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59E9E673-0DC3-411B-82EA-86AD1C355239}" xr6:coauthVersionLast="47" xr6:coauthVersionMax="47" xr10:uidLastSave="{00000000-0000-0000-0000-000000000000}"/>
  <bookViews>
    <workbookView xWindow="-108" yWindow="-108" windowWidth="23256" windowHeight="12576" tabRatio="500" xr2:uid="{00000000-000D-0000-FFFF-FFFF00000000}"/>
  </bookViews>
  <sheets>
    <sheet name="Índice anual" sheetId="1" r:id="rId1"/>
    <sheet name="Fuentes y criterio" sheetId="2" r:id="rId2"/>
  </sheets>
  <calcPr calcId="191029"/>
  <extLst>
    <ext xmlns:loext="http://schemas.libreoffice.org/" uri="{7626C862-2A13-11E5-B345-FEFF819CDC9F}">
      <loext:extCalcPr stringRefSyntax="CalcA1ExcelA1"/>
    </ext>
  </extLst>
</workbook>
</file>

<file path=xl/calcChain.xml><?xml version="1.0" encoding="utf-8"?>
<calcChain xmlns="http://schemas.openxmlformats.org/spreadsheetml/2006/main">
  <c r="F375" i="2" l="1"/>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16005" i="1"/>
  <c r="J16004" i="1"/>
  <c r="J16003" i="1"/>
  <c r="J16002" i="1"/>
  <c r="J16001" i="1"/>
  <c r="J16000" i="1"/>
  <c r="J15999" i="1"/>
  <c r="J15998" i="1"/>
  <c r="J15997" i="1"/>
  <c r="J15996" i="1"/>
  <c r="J15995" i="1"/>
  <c r="J15994" i="1"/>
  <c r="J15993" i="1"/>
  <c r="J15992" i="1"/>
  <c r="J15991" i="1"/>
  <c r="J15990" i="1"/>
  <c r="J15989" i="1"/>
  <c r="J15988" i="1"/>
  <c r="J15987" i="1"/>
  <c r="J15986" i="1"/>
  <c r="J15985" i="1"/>
  <c r="J15984" i="1"/>
  <c r="J15983" i="1"/>
  <c r="J15982" i="1"/>
  <c r="J15981" i="1"/>
  <c r="J15980" i="1"/>
  <c r="J15979" i="1"/>
  <c r="J15978" i="1"/>
  <c r="J15977" i="1"/>
  <c r="J15976" i="1"/>
  <c r="J15975" i="1"/>
  <c r="J15974" i="1"/>
  <c r="J15973" i="1"/>
  <c r="J15972" i="1"/>
  <c r="J15971" i="1"/>
  <c r="J15970" i="1"/>
  <c r="J15969" i="1"/>
  <c r="J15968" i="1"/>
  <c r="J15967" i="1"/>
  <c r="J15966" i="1"/>
  <c r="J15965" i="1"/>
  <c r="J15964" i="1"/>
  <c r="J15963" i="1"/>
  <c r="J15962" i="1"/>
  <c r="J15961" i="1"/>
  <c r="J15960" i="1"/>
  <c r="J15959" i="1"/>
  <c r="J15958" i="1"/>
  <c r="J15957" i="1"/>
  <c r="J15956" i="1"/>
  <c r="J15955" i="1"/>
  <c r="J15954" i="1"/>
  <c r="J15953" i="1"/>
  <c r="J15952" i="1"/>
  <c r="J15951" i="1"/>
  <c r="J15950" i="1"/>
  <c r="J15949" i="1"/>
  <c r="J15948" i="1"/>
  <c r="J15947" i="1"/>
  <c r="J15946" i="1"/>
  <c r="J15945" i="1"/>
  <c r="J15944" i="1"/>
  <c r="J15943" i="1"/>
  <c r="J15942" i="1"/>
  <c r="J15941" i="1"/>
  <c r="J15940" i="1"/>
  <c r="J15939" i="1"/>
  <c r="J15938" i="1"/>
  <c r="J15937" i="1"/>
  <c r="J15936" i="1"/>
  <c r="J15935" i="1"/>
  <c r="J15934" i="1"/>
  <c r="J15933" i="1"/>
  <c r="J15932" i="1"/>
  <c r="J15931" i="1"/>
  <c r="J15930" i="1"/>
  <c r="J15929" i="1"/>
  <c r="J15928" i="1"/>
  <c r="J15927" i="1"/>
  <c r="J15926" i="1"/>
  <c r="J15925" i="1"/>
  <c r="J15924" i="1"/>
  <c r="J15923" i="1"/>
  <c r="J15922" i="1"/>
  <c r="J15921" i="1"/>
  <c r="J15920" i="1"/>
  <c r="J15919" i="1"/>
  <c r="J15918" i="1"/>
  <c r="J15917" i="1"/>
  <c r="J15916" i="1"/>
  <c r="J15915" i="1"/>
  <c r="J15914" i="1"/>
  <c r="J15913" i="1"/>
  <c r="J15912" i="1"/>
  <c r="J15911" i="1"/>
  <c r="J15910" i="1"/>
  <c r="J15909" i="1"/>
  <c r="J15908" i="1"/>
  <c r="J15907" i="1"/>
  <c r="J15906" i="1"/>
  <c r="J15905" i="1"/>
  <c r="J15904" i="1"/>
  <c r="J15903" i="1"/>
  <c r="J15902" i="1"/>
  <c r="J15901" i="1"/>
  <c r="J15900" i="1"/>
  <c r="J15899" i="1"/>
  <c r="J15898" i="1"/>
  <c r="J15897" i="1"/>
  <c r="J15896" i="1"/>
  <c r="J15895" i="1"/>
  <c r="J15894" i="1"/>
  <c r="J15893" i="1"/>
  <c r="J15892" i="1"/>
  <c r="J15891" i="1"/>
  <c r="J15890" i="1"/>
  <c r="J15889" i="1"/>
  <c r="J15888" i="1"/>
  <c r="J15887" i="1"/>
  <c r="J15886" i="1"/>
  <c r="J15885" i="1"/>
  <c r="J15884" i="1"/>
  <c r="J15883" i="1"/>
  <c r="J15882" i="1"/>
  <c r="J15881" i="1"/>
  <c r="J15880" i="1"/>
  <c r="J15879" i="1"/>
  <c r="J15878" i="1"/>
  <c r="J15877" i="1"/>
  <c r="J15876" i="1"/>
  <c r="J15875" i="1"/>
  <c r="J15874" i="1"/>
  <c r="J15873" i="1"/>
  <c r="J15872" i="1"/>
  <c r="J15871" i="1"/>
  <c r="J15870" i="1"/>
  <c r="J15869" i="1"/>
  <c r="J15868" i="1"/>
  <c r="J15867" i="1"/>
  <c r="J15866" i="1"/>
  <c r="J15865" i="1"/>
  <c r="J15864" i="1"/>
  <c r="J15863" i="1"/>
  <c r="J15862" i="1"/>
  <c r="J15861" i="1"/>
  <c r="J15860" i="1"/>
  <c r="J15859" i="1"/>
  <c r="J15858" i="1"/>
  <c r="J15857" i="1"/>
  <c r="J15856" i="1"/>
  <c r="J15855" i="1"/>
  <c r="J15854" i="1"/>
  <c r="J15853" i="1"/>
  <c r="J15852" i="1"/>
  <c r="J15851" i="1"/>
  <c r="J15850" i="1"/>
  <c r="J15849" i="1"/>
  <c r="J15848" i="1"/>
  <c r="J15847" i="1"/>
  <c r="J15846" i="1"/>
  <c r="J15845" i="1"/>
  <c r="J15844" i="1"/>
  <c r="J15843" i="1"/>
  <c r="J15842" i="1"/>
  <c r="J15841" i="1"/>
  <c r="J15840" i="1"/>
  <c r="J15839" i="1"/>
  <c r="J15838" i="1"/>
  <c r="J15837" i="1"/>
  <c r="J15836" i="1"/>
  <c r="J15835" i="1"/>
  <c r="J15834" i="1"/>
  <c r="J15833" i="1"/>
  <c r="J15832" i="1"/>
  <c r="J15831" i="1"/>
  <c r="J15830" i="1"/>
  <c r="J15829" i="1"/>
  <c r="J15828" i="1"/>
  <c r="J15827" i="1"/>
  <c r="J15826" i="1"/>
  <c r="J15825" i="1"/>
  <c r="J15824" i="1"/>
  <c r="J15823" i="1"/>
  <c r="J15822" i="1"/>
  <c r="J15821" i="1"/>
  <c r="J15820" i="1"/>
  <c r="J15819" i="1"/>
  <c r="J15818" i="1"/>
  <c r="J15817" i="1"/>
  <c r="J15816" i="1"/>
  <c r="J15815" i="1"/>
  <c r="J15814" i="1"/>
  <c r="J15813" i="1"/>
  <c r="J15812" i="1"/>
  <c r="J15811" i="1"/>
  <c r="J15810" i="1"/>
  <c r="J15809" i="1"/>
  <c r="J15808" i="1"/>
  <c r="J15807" i="1"/>
  <c r="J15806" i="1"/>
  <c r="J15805" i="1"/>
  <c r="J15804" i="1"/>
  <c r="J15803" i="1"/>
  <c r="J15802" i="1"/>
  <c r="J15801" i="1"/>
  <c r="J15800" i="1"/>
  <c r="J15799" i="1"/>
  <c r="J15798" i="1"/>
  <c r="J15797" i="1"/>
  <c r="J15796" i="1"/>
  <c r="J15795" i="1"/>
  <c r="J15794" i="1"/>
  <c r="J15793" i="1"/>
  <c r="J15792" i="1"/>
  <c r="J15791" i="1"/>
  <c r="J15790" i="1"/>
  <c r="J15789" i="1"/>
  <c r="J15788" i="1"/>
  <c r="J15787" i="1"/>
  <c r="J15786" i="1"/>
  <c r="J15785" i="1"/>
  <c r="J15784" i="1"/>
  <c r="J15783" i="1"/>
  <c r="J15782" i="1"/>
  <c r="J15781" i="1"/>
  <c r="J15780" i="1"/>
  <c r="J15779" i="1"/>
  <c r="J15778" i="1"/>
  <c r="J15777" i="1"/>
  <c r="J15776" i="1"/>
  <c r="J15775" i="1"/>
  <c r="J15774" i="1"/>
  <c r="J15773" i="1"/>
  <c r="J15772" i="1"/>
  <c r="J15771" i="1"/>
  <c r="J15770" i="1"/>
  <c r="J15769" i="1"/>
  <c r="J15768" i="1"/>
  <c r="J15767" i="1"/>
  <c r="J15766" i="1"/>
  <c r="J15765" i="1"/>
  <c r="J15764" i="1"/>
  <c r="J15763" i="1"/>
  <c r="J15762" i="1"/>
  <c r="J15761" i="1"/>
  <c r="J15760" i="1"/>
  <c r="J15759" i="1"/>
  <c r="J15758" i="1"/>
  <c r="J15757" i="1"/>
  <c r="J15756" i="1"/>
  <c r="J15755" i="1"/>
  <c r="J15754" i="1"/>
  <c r="J15753" i="1"/>
  <c r="J15752" i="1"/>
  <c r="J15751" i="1"/>
  <c r="J15750" i="1"/>
  <c r="J15749" i="1"/>
  <c r="J15748" i="1"/>
  <c r="J15747" i="1"/>
  <c r="J15746" i="1"/>
  <c r="J15745" i="1"/>
  <c r="J15744" i="1"/>
  <c r="J15743" i="1"/>
  <c r="J15742" i="1"/>
  <c r="J15741" i="1"/>
  <c r="J15740" i="1"/>
  <c r="J15739" i="1"/>
  <c r="J15738" i="1"/>
  <c r="J15737" i="1"/>
  <c r="J15736" i="1"/>
  <c r="J15735" i="1"/>
  <c r="J15734" i="1"/>
  <c r="J15733" i="1"/>
  <c r="J15732" i="1"/>
  <c r="J15731" i="1"/>
  <c r="J15730" i="1"/>
  <c r="J15729" i="1"/>
  <c r="J15728" i="1"/>
  <c r="J15727" i="1"/>
  <c r="J15726" i="1"/>
  <c r="J15725" i="1"/>
  <c r="J15724" i="1"/>
  <c r="J15723" i="1"/>
  <c r="J15722" i="1"/>
  <c r="J15721" i="1"/>
  <c r="J15720" i="1"/>
  <c r="J15719" i="1"/>
  <c r="J15718" i="1"/>
  <c r="J15717" i="1"/>
  <c r="J15716" i="1"/>
  <c r="J15715" i="1"/>
  <c r="J15714" i="1"/>
  <c r="J15713" i="1"/>
  <c r="J15712" i="1"/>
  <c r="J15711" i="1"/>
  <c r="J15710" i="1"/>
  <c r="J15709" i="1"/>
  <c r="J15708" i="1"/>
  <c r="J15707" i="1"/>
  <c r="J15706" i="1"/>
  <c r="J15705" i="1"/>
  <c r="J15704" i="1"/>
  <c r="J15703" i="1"/>
  <c r="J15702" i="1"/>
  <c r="J15701" i="1"/>
  <c r="J15700" i="1"/>
  <c r="J15699" i="1"/>
  <c r="J15698" i="1"/>
  <c r="J15697" i="1"/>
  <c r="J15696" i="1"/>
  <c r="J15695" i="1"/>
  <c r="J15694" i="1"/>
  <c r="J15693" i="1"/>
  <c r="J15692" i="1"/>
  <c r="J15691" i="1"/>
  <c r="J15690" i="1"/>
  <c r="J15689" i="1"/>
  <c r="J15688" i="1"/>
  <c r="J15687" i="1"/>
  <c r="J15686" i="1"/>
  <c r="J15685" i="1"/>
  <c r="J15684" i="1"/>
  <c r="J15683" i="1"/>
  <c r="J15682" i="1"/>
  <c r="J15681" i="1"/>
  <c r="J15680" i="1"/>
  <c r="J15679" i="1"/>
  <c r="J15678" i="1"/>
  <c r="J15677" i="1"/>
  <c r="J15676" i="1"/>
  <c r="J15675" i="1"/>
  <c r="J15674" i="1"/>
  <c r="J15673" i="1"/>
  <c r="J15672" i="1"/>
  <c r="J15671" i="1"/>
  <c r="J15670" i="1"/>
  <c r="J15669" i="1"/>
  <c r="J15668" i="1"/>
  <c r="J15667" i="1"/>
  <c r="J15666" i="1"/>
  <c r="J15665" i="1"/>
  <c r="J15664" i="1"/>
  <c r="J15663" i="1"/>
  <c r="J15662" i="1"/>
  <c r="J15661" i="1"/>
  <c r="J15660" i="1"/>
  <c r="J15659" i="1"/>
  <c r="J15658" i="1"/>
  <c r="J15657" i="1"/>
  <c r="J15656" i="1"/>
  <c r="J15655" i="1"/>
  <c r="J15654" i="1"/>
  <c r="J15653" i="1"/>
  <c r="J15652" i="1"/>
  <c r="J15651" i="1"/>
  <c r="J15650" i="1"/>
  <c r="J15649" i="1"/>
  <c r="J15648" i="1"/>
  <c r="J15647" i="1"/>
  <c r="J15646" i="1"/>
  <c r="J15645" i="1"/>
  <c r="J15644" i="1"/>
  <c r="J15643" i="1"/>
  <c r="J15642" i="1"/>
  <c r="J15641" i="1"/>
  <c r="J15640" i="1"/>
  <c r="J15639" i="1"/>
  <c r="J15638" i="1"/>
  <c r="J15637" i="1"/>
  <c r="J15636" i="1"/>
  <c r="J15635" i="1"/>
  <c r="J15634" i="1"/>
  <c r="J15633" i="1"/>
  <c r="J15632" i="1"/>
  <c r="J15631" i="1"/>
  <c r="J15630" i="1"/>
  <c r="J15629" i="1"/>
  <c r="J15628" i="1"/>
  <c r="J15627" i="1"/>
  <c r="J15626" i="1"/>
  <c r="J15625" i="1"/>
  <c r="J15624" i="1"/>
  <c r="J15623" i="1"/>
  <c r="J15622" i="1"/>
  <c r="J15621" i="1"/>
  <c r="J15620" i="1"/>
  <c r="J15619" i="1"/>
  <c r="J15618" i="1"/>
  <c r="J15617" i="1"/>
  <c r="J15616" i="1"/>
  <c r="J15615" i="1"/>
  <c r="J15614" i="1"/>
  <c r="J15613" i="1"/>
  <c r="J15612" i="1"/>
  <c r="J15611" i="1"/>
  <c r="J15610" i="1"/>
  <c r="J15609" i="1"/>
  <c r="J15608" i="1"/>
  <c r="J15607" i="1"/>
  <c r="J15606" i="1"/>
  <c r="J15605" i="1"/>
  <c r="J15604" i="1"/>
  <c r="J15603" i="1"/>
  <c r="J15602" i="1"/>
  <c r="J15601" i="1"/>
  <c r="J15600" i="1"/>
  <c r="J15599" i="1"/>
  <c r="J15598" i="1"/>
  <c r="J15597" i="1"/>
  <c r="J15596" i="1"/>
  <c r="J15595" i="1"/>
  <c r="J15594" i="1"/>
  <c r="J15593" i="1"/>
  <c r="J15592" i="1"/>
  <c r="J15591" i="1"/>
  <c r="J15590" i="1"/>
  <c r="J15589" i="1"/>
  <c r="J15588" i="1"/>
  <c r="J15587" i="1"/>
  <c r="J15586" i="1"/>
  <c r="J15585" i="1"/>
  <c r="J15584" i="1"/>
  <c r="J15583" i="1"/>
  <c r="J15582" i="1"/>
  <c r="J15581" i="1"/>
  <c r="J15580" i="1"/>
  <c r="J15579" i="1"/>
  <c r="J15578" i="1"/>
  <c r="J15577" i="1"/>
  <c r="J15576" i="1"/>
  <c r="J15575" i="1"/>
  <c r="J15574" i="1"/>
  <c r="J15573" i="1"/>
  <c r="J15572" i="1"/>
  <c r="J15571" i="1"/>
  <c r="J15570" i="1"/>
  <c r="J15569" i="1"/>
  <c r="J15568" i="1"/>
  <c r="J15567" i="1"/>
  <c r="J15566" i="1"/>
  <c r="J15565" i="1"/>
  <c r="J15564" i="1"/>
  <c r="J15563" i="1"/>
  <c r="J15562" i="1"/>
  <c r="J15561" i="1"/>
  <c r="J15560" i="1"/>
  <c r="J15559" i="1"/>
  <c r="J15558" i="1"/>
  <c r="J15557" i="1"/>
  <c r="J15556" i="1"/>
  <c r="J15555" i="1"/>
  <c r="J15554" i="1"/>
  <c r="J15553" i="1"/>
  <c r="J15552" i="1"/>
  <c r="J15551" i="1"/>
  <c r="J15550" i="1"/>
  <c r="J15549" i="1"/>
  <c r="J15548" i="1"/>
  <c r="J15547" i="1"/>
  <c r="J15546" i="1"/>
  <c r="J15545" i="1"/>
  <c r="J15544" i="1"/>
  <c r="J15543" i="1"/>
  <c r="J15542" i="1"/>
  <c r="J15541" i="1"/>
  <c r="J15540" i="1"/>
  <c r="J15539" i="1"/>
  <c r="J15538" i="1"/>
  <c r="J15537" i="1"/>
  <c r="J15536" i="1"/>
  <c r="J15535" i="1"/>
  <c r="J15534" i="1"/>
  <c r="J15533" i="1"/>
  <c r="J15532" i="1"/>
  <c r="J15531" i="1"/>
  <c r="J15530" i="1"/>
  <c r="J15529" i="1"/>
  <c r="J15528" i="1"/>
  <c r="J15527" i="1"/>
  <c r="J15526" i="1"/>
  <c r="J15525" i="1"/>
  <c r="J15524" i="1"/>
  <c r="J15523" i="1"/>
  <c r="J15522" i="1"/>
  <c r="J15521" i="1"/>
  <c r="J15520" i="1"/>
  <c r="J15519" i="1"/>
  <c r="J15518" i="1"/>
  <c r="J15517" i="1"/>
  <c r="J15516" i="1"/>
  <c r="J15515" i="1"/>
  <c r="J15514" i="1"/>
  <c r="J15513" i="1"/>
  <c r="J15512" i="1"/>
  <c r="J15511" i="1"/>
  <c r="J15510" i="1"/>
  <c r="J15509" i="1"/>
  <c r="J15508" i="1"/>
  <c r="J15507" i="1"/>
  <c r="J15506" i="1"/>
  <c r="J15505" i="1"/>
  <c r="J15504" i="1"/>
  <c r="J15503" i="1"/>
  <c r="J15502" i="1"/>
  <c r="J15501" i="1"/>
  <c r="J15500" i="1"/>
  <c r="J15499" i="1"/>
  <c r="J15498" i="1"/>
  <c r="J15497" i="1"/>
  <c r="J15496" i="1"/>
  <c r="J15495" i="1"/>
  <c r="J15494" i="1"/>
  <c r="J15493" i="1"/>
  <c r="J15492" i="1"/>
  <c r="J15491" i="1"/>
  <c r="J15490" i="1"/>
  <c r="J15489" i="1"/>
  <c r="J15488" i="1"/>
  <c r="J15487" i="1"/>
  <c r="J15486" i="1"/>
  <c r="J15485" i="1"/>
  <c r="J15484" i="1"/>
  <c r="J15483" i="1"/>
  <c r="J15482" i="1"/>
  <c r="J15481" i="1"/>
  <c r="J15480" i="1"/>
  <c r="J15479" i="1"/>
  <c r="J15478" i="1"/>
  <c r="J15477" i="1"/>
  <c r="J15476" i="1"/>
  <c r="J15475" i="1"/>
  <c r="J15474" i="1"/>
  <c r="J15473" i="1"/>
  <c r="J15472" i="1"/>
  <c r="J15471" i="1"/>
  <c r="J15470" i="1"/>
  <c r="J15469" i="1"/>
  <c r="J15468" i="1"/>
  <c r="J15467" i="1"/>
  <c r="J15466" i="1"/>
  <c r="J15465" i="1"/>
  <c r="J15464" i="1"/>
  <c r="J15463" i="1"/>
  <c r="J15462" i="1"/>
  <c r="J15461" i="1"/>
  <c r="J15460" i="1"/>
  <c r="J15459" i="1"/>
  <c r="J15458" i="1"/>
  <c r="J15457" i="1"/>
  <c r="J15456" i="1"/>
  <c r="J15455" i="1"/>
  <c r="J15454" i="1"/>
  <c r="J15453" i="1"/>
  <c r="J15452" i="1"/>
  <c r="J15451" i="1"/>
  <c r="J15450" i="1"/>
  <c r="J15449" i="1"/>
  <c r="J15448" i="1"/>
  <c r="J15447" i="1"/>
  <c r="J15446" i="1"/>
  <c r="J15445" i="1"/>
  <c r="J15444" i="1"/>
  <c r="J15443" i="1"/>
  <c r="J15442" i="1"/>
  <c r="J15441" i="1"/>
  <c r="J15440" i="1"/>
  <c r="J15439" i="1"/>
  <c r="J15438" i="1"/>
  <c r="J15437" i="1"/>
  <c r="J15436" i="1"/>
  <c r="J15435" i="1"/>
  <c r="J15434" i="1"/>
  <c r="J15433" i="1"/>
  <c r="J15432" i="1"/>
  <c r="J15431" i="1"/>
  <c r="J15430" i="1"/>
  <c r="J15429" i="1"/>
  <c r="J15428" i="1"/>
  <c r="J15427" i="1"/>
  <c r="J15426" i="1"/>
  <c r="J15425" i="1"/>
  <c r="J15424" i="1"/>
  <c r="J15423" i="1"/>
  <c r="J15422" i="1"/>
  <c r="J15421" i="1"/>
  <c r="J15420" i="1"/>
  <c r="J15419" i="1"/>
  <c r="J15418" i="1"/>
  <c r="J15417" i="1"/>
  <c r="J15416" i="1"/>
  <c r="J15415" i="1"/>
  <c r="J15414" i="1"/>
  <c r="J15413" i="1"/>
  <c r="J15412" i="1"/>
  <c r="J15411" i="1"/>
  <c r="J15410" i="1"/>
  <c r="J15409" i="1"/>
  <c r="J15408" i="1"/>
  <c r="J15407" i="1"/>
  <c r="J15406" i="1"/>
  <c r="J15405" i="1"/>
  <c r="J15404" i="1"/>
  <c r="J15403" i="1"/>
  <c r="J15402" i="1"/>
  <c r="J15401" i="1"/>
  <c r="J15400" i="1"/>
  <c r="J15399" i="1"/>
  <c r="J15398" i="1"/>
  <c r="J15397" i="1"/>
  <c r="J15396" i="1"/>
  <c r="J15395" i="1"/>
  <c r="J15394" i="1"/>
  <c r="J15393" i="1"/>
  <c r="J15392" i="1"/>
  <c r="J15391" i="1"/>
  <c r="J15390" i="1"/>
  <c r="J15389" i="1"/>
  <c r="J15388" i="1"/>
  <c r="J15387" i="1"/>
  <c r="J15386" i="1"/>
  <c r="J15385" i="1"/>
  <c r="J15384" i="1"/>
  <c r="J15383" i="1"/>
  <c r="J15382" i="1"/>
  <c r="J15381" i="1"/>
  <c r="J15380" i="1"/>
  <c r="J15379" i="1"/>
  <c r="J15378" i="1"/>
  <c r="J15377" i="1"/>
  <c r="J15376" i="1"/>
  <c r="J15375" i="1"/>
  <c r="J15374" i="1"/>
  <c r="J15373" i="1"/>
  <c r="J15372" i="1"/>
  <c r="J15371" i="1"/>
  <c r="J15370" i="1"/>
  <c r="J15369" i="1"/>
  <c r="J15368" i="1"/>
  <c r="J15367" i="1"/>
  <c r="J15366" i="1"/>
  <c r="J15365" i="1"/>
  <c r="J15364" i="1"/>
  <c r="J15363" i="1"/>
  <c r="J15362" i="1"/>
  <c r="J15361" i="1"/>
  <c r="J15360" i="1"/>
  <c r="J15359" i="1"/>
  <c r="J15358" i="1"/>
  <c r="J15357" i="1"/>
  <c r="J15356" i="1"/>
  <c r="J15355" i="1"/>
  <c r="J15354" i="1"/>
  <c r="J15353" i="1"/>
  <c r="J15352" i="1"/>
  <c r="J15351" i="1"/>
  <c r="J15350" i="1"/>
  <c r="J15349" i="1"/>
  <c r="J15348" i="1"/>
  <c r="J15347" i="1"/>
  <c r="J15346" i="1"/>
  <c r="J15345" i="1"/>
  <c r="J15344" i="1"/>
  <c r="J15343" i="1"/>
  <c r="J15342" i="1"/>
  <c r="J15341" i="1"/>
  <c r="J15340" i="1"/>
  <c r="J15339" i="1"/>
  <c r="J15338" i="1"/>
  <c r="J15337" i="1"/>
  <c r="J15336" i="1"/>
  <c r="J15335" i="1"/>
  <c r="J15334" i="1"/>
  <c r="J15333" i="1"/>
  <c r="J15332" i="1"/>
  <c r="J15331" i="1"/>
  <c r="J15330" i="1"/>
  <c r="J15329" i="1"/>
  <c r="J15328" i="1"/>
  <c r="J15327" i="1"/>
  <c r="J15326" i="1"/>
  <c r="J15325" i="1"/>
  <c r="J15324" i="1"/>
  <c r="J15323" i="1"/>
  <c r="J15322" i="1"/>
  <c r="J15321" i="1"/>
  <c r="J15320" i="1"/>
  <c r="J15319" i="1"/>
  <c r="J15318" i="1"/>
  <c r="J15317" i="1"/>
  <c r="J15316" i="1"/>
  <c r="J15315" i="1"/>
  <c r="J15314" i="1"/>
  <c r="J15313" i="1"/>
  <c r="J15312" i="1"/>
  <c r="J15311" i="1"/>
  <c r="J15310" i="1"/>
  <c r="J15309" i="1"/>
  <c r="J15308" i="1"/>
  <c r="J15307" i="1"/>
  <c r="J15306" i="1"/>
  <c r="J15305" i="1"/>
  <c r="J15304" i="1"/>
  <c r="J15303" i="1"/>
  <c r="J15302" i="1"/>
  <c r="J15301" i="1"/>
  <c r="J15300" i="1"/>
  <c r="J15299" i="1"/>
  <c r="J15298" i="1"/>
  <c r="J15297" i="1"/>
  <c r="J15296" i="1"/>
  <c r="J15295" i="1"/>
  <c r="J15294" i="1"/>
  <c r="J15293" i="1"/>
  <c r="J15292" i="1"/>
  <c r="J15291" i="1"/>
  <c r="J15290" i="1"/>
  <c r="J15289" i="1"/>
  <c r="J15288" i="1"/>
  <c r="J15287" i="1"/>
  <c r="J15286" i="1"/>
  <c r="J15285" i="1"/>
  <c r="J15284" i="1"/>
  <c r="J15283" i="1"/>
  <c r="J15282" i="1"/>
  <c r="J15281" i="1"/>
  <c r="J15280" i="1"/>
  <c r="J15279" i="1"/>
  <c r="J15278" i="1"/>
  <c r="J15277" i="1"/>
  <c r="J15276" i="1"/>
  <c r="J15275" i="1"/>
  <c r="J15274" i="1"/>
  <c r="J15273" i="1"/>
  <c r="J15272" i="1"/>
  <c r="J15271" i="1"/>
  <c r="J15270" i="1"/>
  <c r="J15269" i="1"/>
  <c r="J15268" i="1"/>
  <c r="J15267" i="1"/>
  <c r="J15266" i="1"/>
  <c r="J15265" i="1"/>
  <c r="J15264" i="1"/>
  <c r="J15263" i="1"/>
  <c r="J15262" i="1"/>
  <c r="J15261" i="1"/>
  <c r="J15260" i="1"/>
  <c r="J15259" i="1"/>
  <c r="J15258" i="1"/>
  <c r="J15257" i="1"/>
  <c r="J15256" i="1"/>
  <c r="J15255" i="1"/>
  <c r="J15254" i="1"/>
  <c r="J15253" i="1"/>
  <c r="J15252" i="1"/>
  <c r="J15251" i="1"/>
  <c r="J15250" i="1"/>
  <c r="J15249" i="1"/>
  <c r="J15248" i="1"/>
  <c r="J15247" i="1"/>
  <c r="J15246" i="1"/>
  <c r="J15245" i="1"/>
  <c r="J15244" i="1"/>
  <c r="J15243" i="1"/>
  <c r="J15242" i="1"/>
  <c r="J15241" i="1"/>
  <c r="J15240" i="1"/>
  <c r="J15239" i="1"/>
  <c r="J15238" i="1"/>
  <c r="J15237" i="1"/>
  <c r="J15236" i="1"/>
  <c r="J15235" i="1"/>
  <c r="J15234" i="1"/>
  <c r="J15233" i="1"/>
  <c r="J15232" i="1"/>
  <c r="J15231" i="1"/>
  <c r="J15230" i="1"/>
  <c r="J15229" i="1"/>
  <c r="J15228" i="1"/>
  <c r="J15227" i="1"/>
  <c r="J15226" i="1"/>
  <c r="J15225" i="1"/>
  <c r="J15224" i="1"/>
  <c r="J15223" i="1"/>
  <c r="J15222" i="1"/>
  <c r="J15221" i="1"/>
  <c r="J15220" i="1"/>
  <c r="J15219" i="1"/>
  <c r="J15218" i="1"/>
  <c r="J15217" i="1"/>
  <c r="J15216" i="1"/>
  <c r="J15215" i="1"/>
  <c r="J15214" i="1"/>
  <c r="J15213" i="1"/>
  <c r="J15212" i="1"/>
  <c r="J15211" i="1"/>
  <c r="J15210" i="1"/>
  <c r="J15209" i="1"/>
  <c r="J15208" i="1"/>
  <c r="J15207" i="1"/>
  <c r="J15206" i="1"/>
  <c r="J15205" i="1"/>
  <c r="J15204" i="1"/>
  <c r="J15203" i="1"/>
  <c r="J15202" i="1"/>
  <c r="J15201" i="1"/>
  <c r="J15200" i="1"/>
  <c r="J15199" i="1"/>
  <c r="J15198" i="1"/>
  <c r="J15197" i="1"/>
  <c r="J15196" i="1"/>
  <c r="J15195" i="1"/>
  <c r="J15194" i="1"/>
  <c r="J15193" i="1"/>
  <c r="J15192" i="1"/>
  <c r="J15191" i="1"/>
  <c r="J15190" i="1"/>
  <c r="J15189" i="1"/>
  <c r="J15188" i="1"/>
  <c r="J15187" i="1"/>
  <c r="J15186" i="1"/>
  <c r="J15185" i="1"/>
  <c r="J15184" i="1"/>
  <c r="J15183" i="1"/>
  <c r="J15182" i="1"/>
  <c r="J15181" i="1"/>
  <c r="J15180" i="1"/>
  <c r="J15179" i="1"/>
  <c r="J15178" i="1"/>
  <c r="J15177" i="1"/>
  <c r="J15176" i="1"/>
  <c r="J15175" i="1"/>
  <c r="J15174" i="1"/>
  <c r="J15173" i="1"/>
  <c r="J15172" i="1"/>
  <c r="J15171" i="1"/>
  <c r="J15170" i="1"/>
  <c r="J15169" i="1"/>
  <c r="J15168" i="1"/>
  <c r="J15167" i="1"/>
  <c r="J15166" i="1"/>
  <c r="J15165" i="1"/>
  <c r="J15164" i="1"/>
  <c r="J15163" i="1"/>
  <c r="J15162" i="1"/>
  <c r="J15161" i="1"/>
  <c r="J15160" i="1"/>
  <c r="J15159" i="1"/>
  <c r="J15158" i="1"/>
  <c r="J15157" i="1"/>
  <c r="J15156" i="1"/>
  <c r="J15155" i="1"/>
  <c r="J15154" i="1"/>
  <c r="J15153" i="1"/>
  <c r="J15152" i="1"/>
  <c r="J15151" i="1"/>
  <c r="J15150" i="1"/>
  <c r="J15149" i="1"/>
  <c r="J15148" i="1"/>
  <c r="J15147" i="1"/>
  <c r="J15146" i="1"/>
  <c r="J15145" i="1"/>
  <c r="J15144" i="1"/>
  <c r="J15143" i="1"/>
  <c r="J15142" i="1"/>
  <c r="J15141" i="1"/>
  <c r="J15140" i="1"/>
  <c r="J15139" i="1"/>
  <c r="J15138" i="1"/>
  <c r="J15137" i="1"/>
  <c r="J15136" i="1"/>
  <c r="J15135" i="1"/>
  <c r="J15134" i="1"/>
  <c r="J15133" i="1"/>
  <c r="J15132" i="1"/>
  <c r="J15131" i="1"/>
  <c r="J15130" i="1"/>
  <c r="J15129" i="1"/>
  <c r="J15128" i="1"/>
  <c r="J15127" i="1"/>
  <c r="J15126" i="1"/>
  <c r="J15125" i="1"/>
  <c r="J15124" i="1"/>
  <c r="J15123" i="1"/>
  <c r="J15122" i="1"/>
  <c r="J15121" i="1"/>
  <c r="J15120" i="1"/>
  <c r="J15119" i="1"/>
  <c r="J15118" i="1"/>
  <c r="J15117" i="1"/>
  <c r="J15116" i="1"/>
  <c r="J15115" i="1"/>
  <c r="J15114" i="1"/>
  <c r="J15113" i="1"/>
  <c r="J15112" i="1"/>
  <c r="J15111" i="1"/>
  <c r="J15110" i="1"/>
  <c r="J15109" i="1"/>
  <c r="J15108" i="1"/>
  <c r="J15107" i="1"/>
  <c r="J15106" i="1"/>
  <c r="J15105" i="1"/>
  <c r="J15104" i="1"/>
  <c r="J15103" i="1"/>
  <c r="J15102" i="1"/>
  <c r="J15101" i="1"/>
  <c r="J15100" i="1"/>
  <c r="J15099" i="1"/>
  <c r="J15098" i="1"/>
  <c r="J15097" i="1"/>
  <c r="J15096" i="1"/>
  <c r="J15095" i="1"/>
  <c r="J15094" i="1"/>
  <c r="J15093" i="1"/>
  <c r="J15092" i="1"/>
  <c r="J15091" i="1"/>
  <c r="J15090" i="1"/>
  <c r="J15089" i="1"/>
  <c r="J15088" i="1"/>
  <c r="J15087" i="1"/>
  <c r="J15086" i="1"/>
  <c r="J15085" i="1"/>
  <c r="J15084" i="1"/>
  <c r="J15083" i="1"/>
  <c r="J15082" i="1"/>
  <c r="J15081" i="1"/>
  <c r="J15080" i="1"/>
  <c r="J15079" i="1"/>
  <c r="J15078" i="1"/>
  <c r="J15077" i="1"/>
  <c r="J15076" i="1"/>
  <c r="J15075" i="1"/>
  <c r="J15074" i="1"/>
  <c r="J15073" i="1"/>
  <c r="J15072" i="1"/>
  <c r="J15071" i="1"/>
  <c r="J15070" i="1"/>
  <c r="J15069" i="1"/>
  <c r="J15068" i="1"/>
  <c r="J15067" i="1"/>
  <c r="J15066" i="1"/>
  <c r="J15065" i="1"/>
  <c r="J15064" i="1"/>
  <c r="J15063" i="1"/>
  <c r="J15062" i="1"/>
  <c r="J15061" i="1"/>
  <c r="J15060" i="1"/>
  <c r="J15059" i="1"/>
  <c r="J15058" i="1"/>
  <c r="J15057" i="1"/>
  <c r="J15056" i="1"/>
  <c r="J15055" i="1"/>
  <c r="J15054" i="1"/>
  <c r="J15053" i="1"/>
  <c r="J15052" i="1"/>
  <c r="J15051" i="1"/>
  <c r="J15050" i="1"/>
  <c r="J15049" i="1"/>
  <c r="J15048" i="1"/>
  <c r="J15047" i="1"/>
  <c r="J15046" i="1"/>
  <c r="J15045" i="1"/>
  <c r="J15044" i="1"/>
  <c r="J15043" i="1"/>
  <c r="J15042" i="1"/>
  <c r="J15041" i="1"/>
  <c r="J15040" i="1"/>
  <c r="J15039" i="1"/>
  <c r="J15038" i="1"/>
  <c r="J15037" i="1"/>
  <c r="J15036" i="1"/>
  <c r="J15035" i="1"/>
  <c r="J15034" i="1"/>
  <c r="J15033" i="1"/>
  <c r="J15032" i="1"/>
  <c r="J15031" i="1"/>
  <c r="J15030" i="1"/>
  <c r="J15029" i="1"/>
  <c r="J15028" i="1"/>
  <c r="J15027" i="1"/>
  <c r="J15026" i="1"/>
  <c r="J15025" i="1"/>
  <c r="J15024" i="1"/>
  <c r="J15023" i="1"/>
  <c r="J15022" i="1"/>
  <c r="J15021" i="1"/>
  <c r="J15020" i="1"/>
  <c r="J15019" i="1"/>
  <c r="J15018" i="1"/>
  <c r="J15017" i="1"/>
  <c r="J15016" i="1"/>
  <c r="J15015" i="1"/>
  <c r="J15014" i="1"/>
  <c r="J15013" i="1"/>
  <c r="J15012" i="1"/>
  <c r="J15011" i="1"/>
  <c r="J15010" i="1"/>
  <c r="J15009" i="1"/>
  <c r="J15008" i="1"/>
  <c r="J15007" i="1"/>
  <c r="J15006" i="1"/>
  <c r="J15005" i="1"/>
  <c r="J15004" i="1"/>
  <c r="J15003" i="1"/>
  <c r="J15002" i="1"/>
  <c r="J15001" i="1"/>
  <c r="J15000" i="1"/>
  <c r="J14999" i="1"/>
  <c r="J14998" i="1"/>
  <c r="J14997" i="1"/>
  <c r="J14996" i="1"/>
  <c r="J14995" i="1"/>
  <c r="J14994" i="1"/>
  <c r="J14993" i="1"/>
  <c r="J14992" i="1"/>
  <c r="J14991" i="1"/>
  <c r="J14990" i="1"/>
  <c r="J14989" i="1"/>
  <c r="J14988" i="1"/>
  <c r="J14987" i="1"/>
  <c r="J14986" i="1"/>
  <c r="J14985" i="1"/>
  <c r="J14984" i="1"/>
  <c r="J14983" i="1"/>
  <c r="J14982" i="1"/>
  <c r="J14981" i="1"/>
  <c r="J14980" i="1"/>
  <c r="J14979" i="1"/>
  <c r="J14978" i="1"/>
  <c r="J14977" i="1"/>
  <c r="J14976" i="1"/>
  <c r="J14975" i="1"/>
  <c r="J14974" i="1"/>
  <c r="J14973" i="1"/>
  <c r="J14972" i="1"/>
  <c r="J14971" i="1"/>
  <c r="J14970" i="1"/>
  <c r="J14969" i="1"/>
  <c r="J14968" i="1"/>
  <c r="J14967" i="1"/>
  <c r="J14966" i="1"/>
  <c r="J14965" i="1"/>
  <c r="J14964" i="1"/>
  <c r="J14963" i="1"/>
  <c r="J14962" i="1"/>
  <c r="J14961" i="1"/>
  <c r="J14960" i="1"/>
  <c r="J14959" i="1"/>
  <c r="J14958" i="1"/>
  <c r="J14957" i="1"/>
  <c r="J14956" i="1"/>
  <c r="J14955" i="1"/>
  <c r="J14954" i="1"/>
  <c r="J14953" i="1"/>
  <c r="J14952" i="1"/>
  <c r="J14951" i="1"/>
  <c r="J14950" i="1"/>
  <c r="J14949" i="1"/>
  <c r="J14948" i="1"/>
  <c r="J14947" i="1"/>
  <c r="J14946" i="1"/>
  <c r="J14945" i="1"/>
  <c r="J14944" i="1"/>
  <c r="J14943" i="1"/>
  <c r="J14942" i="1"/>
  <c r="J14941" i="1"/>
  <c r="J14940" i="1"/>
  <c r="J14939" i="1"/>
  <c r="J14938" i="1"/>
  <c r="J14937" i="1"/>
  <c r="J14936" i="1"/>
  <c r="J14935" i="1"/>
  <c r="J14934" i="1"/>
  <c r="J14933" i="1"/>
  <c r="J14932" i="1"/>
  <c r="J14931" i="1"/>
  <c r="J14930" i="1"/>
  <c r="J14929" i="1"/>
  <c r="J14928" i="1"/>
  <c r="J14927" i="1"/>
  <c r="J14926" i="1"/>
  <c r="J14925" i="1"/>
  <c r="J14924" i="1"/>
  <c r="J14923" i="1"/>
  <c r="J14922" i="1"/>
  <c r="J14921" i="1"/>
  <c r="J14920" i="1"/>
  <c r="J14919" i="1"/>
  <c r="J14918" i="1"/>
  <c r="J14917" i="1"/>
  <c r="J14916" i="1"/>
  <c r="J14915" i="1"/>
  <c r="J14914" i="1"/>
  <c r="J14913" i="1"/>
  <c r="J14912" i="1"/>
  <c r="J14911" i="1"/>
  <c r="J14910" i="1"/>
  <c r="J14909" i="1"/>
  <c r="J14908" i="1"/>
  <c r="J14907" i="1"/>
  <c r="J14906" i="1"/>
  <c r="J14905" i="1"/>
  <c r="J14904" i="1"/>
  <c r="J14903" i="1"/>
  <c r="J14902" i="1"/>
  <c r="J14901" i="1"/>
  <c r="J14900" i="1"/>
  <c r="J14899" i="1"/>
  <c r="J14898" i="1"/>
  <c r="J14897" i="1"/>
  <c r="J14896" i="1"/>
  <c r="J14895" i="1"/>
  <c r="J14894" i="1"/>
  <c r="J14893" i="1"/>
  <c r="J14892" i="1"/>
  <c r="J14891" i="1"/>
  <c r="J14890" i="1"/>
  <c r="J14889" i="1"/>
  <c r="J14888" i="1"/>
  <c r="J14887" i="1"/>
  <c r="J14886" i="1"/>
  <c r="J14885" i="1"/>
  <c r="J14884" i="1"/>
  <c r="J14883" i="1"/>
  <c r="J14882" i="1"/>
  <c r="J14881" i="1"/>
  <c r="J14880" i="1"/>
  <c r="J14879" i="1"/>
  <c r="J14878" i="1"/>
  <c r="J14877" i="1"/>
  <c r="J14876" i="1"/>
  <c r="J14875" i="1"/>
  <c r="J14874" i="1"/>
  <c r="J14873" i="1"/>
  <c r="J14872" i="1"/>
  <c r="J14871" i="1"/>
  <c r="J14870" i="1"/>
  <c r="J14869" i="1"/>
  <c r="J14868" i="1"/>
  <c r="J14867" i="1"/>
  <c r="J14866" i="1"/>
  <c r="J14865" i="1"/>
  <c r="J14864" i="1"/>
  <c r="J14863" i="1"/>
  <c r="J14862" i="1"/>
  <c r="J14861" i="1"/>
  <c r="J14860" i="1"/>
  <c r="J14859" i="1"/>
  <c r="J14858" i="1"/>
  <c r="J14857" i="1"/>
  <c r="J14856" i="1"/>
  <c r="J14855" i="1"/>
  <c r="J14854" i="1"/>
  <c r="J14853" i="1"/>
  <c r="J14852" i="1"/>
  <c r="J14851" i="1"/>
  <c r="J14850" i="1"/>
  <c r="J14849" i="1"/>
  <c r="J14848" i="1"/>
  <c r="J14847" i="1"/>
  <c r="J14846" i="1"/>
  <c r="J14845" i="1"/>
  <c r="J14844" i="1"/>
  <c r="J14843" i="1"/>
  <c r="J14842" i="1"/>
  <c r="J14841" i="1"/>
  <c r="J14840" i="1"/>
  <c r="J14839" i="1"/>
  <c r="J14838" i="1"/>
  <c r="J14837" i="1"/>
  <c r="J14836" i="1"/>
  <c r="J14835" i="1"/>
  <c r="J14834" i="1"/>
  <c r="J14833" i="1"/>
  <c r="J14832" i="1"/>
  <c r="J14831" i="1"/>
  <c r="J14830" i="1"/>
  <c r="J14829" i="1"/>
  <c r="J14828" i="1"/>
  <c r="J14827" i="1"/>
  <c r="J14826" i="1"/>
  <c r="J14825" i="1"/>
  <c r="J14824" i="1"/>
  <c r="J14823" i="1"/>
  <c r="J14822" i="1"/>
  <c r="J14821" i="1"/>
  <c r="J14820" i="1"/>
  <c r="J14819" i="1"/>
  <c r="J14818" i="1"/>
  <c r="J14817" i="1"/>
  <c r="J14816" i="1"/>
  <c r="J14815" i="1"/>
  <c r="J14814" i="1"/>
  <c r="J14813" i="1"/>
  <c r="J14812" i="1"/>
  <c r="J14811" i="1"/>
  <c r="J14810" i="1"/>
  <c r="J14809" i="1"/>
  <c r="J14808" i="1"/>
  <c r="J14807" i="1"/>
  <c r="J14806" i="1"/>
  <c r="J14805" i="1"/>
  <c r="J14804" i="1"/>
  <c r="J14803" i="1"/>
  <c r="J14802" i="1"/>
  <c r="J14801" i="1"/>
  <c r="J14800" i="1"/>
  <c r="J14799" i="1"/>
  <c r="J14798" i="1"/>
  <c r="J14797" i="1"/>
  <c r="J14796" i="1"/>
  <c r="J14795" i="1"/>
  <c r="J14794" i="1"/>
  <c r="J14793" i="1"/>
  <c r="J14792" i="1"/>
  <c r="J14791" i="1"/>
  <c r="J14790" i="1"/>
  <c r="J14789" i="1"/>
  <c r="J14788" i="1"/>
  <c r="J14787" i="1"/>
  <c r="J14786" i="1"/>
  <c r="J14785" i="1"/>
  <c r="J14784" i="1"/>
  <c r="J14783" i="1"/>
  <c r="J14782" i="1"/>
  <c r="J14781" i="1"/>
  <c r="J14780" i="1"/>
  <c r="J14779" i="1"/>
  <c r="J14778" i="1"/>
  <c r="J14777" i="1"/>
  <c r="J14776" i="1"/>
  <c r="J14775" i="1"/>
  <c r="J14774" i="1"/>
  <c r="J14773" i="1"/>
  <c r="J14772" i="1"/>
  <c r="J14771" i="1"/>
  <c r="J14770" i="1"/>
  <c r="J14769" i="1"/>
  <c r="J14768" i="1"/>
  <c r="J14767" i="1"/>
  <c r="J14766" i="1"/>
  <c r="J14765" i="1"/>
  <c r="J14764" i="1"/>
  <c r="J14763" i="1"/>
  <c r="J14762" i="1"/>
  <c r="J14761" i="1"/>
  <c r="J14760" i="1"/>
  <c r="J14759" i="1"/>
  <c r="J14758" i="1"/>
  <c r="J14757" i="1"/>
  <c r="J14756" i="1"/>
  <c r="J14755" i="1"/>
  <c r="J14754" i="1"/>
  <c r="J14753" i="1"/>
  <c r="J14752" i="1"/>
  <c r="J14751" i="1"/>
  <c r="J14750" i="1"/>
  <c r="J14749" i="1"/>
  <c r="J14748" i="1"/>
  <c r="J14747" i="1"/>
  <c r="J14746" i="1"/>
  <c r="J14745" i="1"/>
  <c r="J14744" i="1"/>
  <c r="J14743" i="1"/>
  <c r="J14742" i="1"/>
  <c r="J14741" i="1"/>
  <c r="J14740" i="1"/>
  <c r="J14739" i="1"/>
  <c r="J14738" i="1"/>
  <c r="J14737" i="1"/>
  <c r="J14736" i="1"/>
  <c r="J14735" i="1"/>
  <c r="J14734" i="1"/>
  <c r="J14733" i="1"/>
  <c r="J14732" i="1"/>
  <c r="J14731" i="1"/>
  <c r="J14730" i="1"/>
  <c r="J14729" i="1"/>
  <c r="J14728" i="1"/>
  <c r="J14727" i="1"/>
  <c r="J14726" i="1"/>
  <c r="J14725" i="1"/>
  <c r="J14724" i="1"/>
  <c r="J14723" i="1"/>
  <c r="J14722" i="1"/>
  <c r="J14721" i="1"/>
  <c r="J14720" i="1"/>
  <c r="J14719" i="1"/>
  <c r="J14718" i="1"/>
  <c r="J14717" i="1"/>
  <c r="J14716" i="1"/>
  <c r="J14715" i="1"/>
  <c r="J14714" i="1"/>
  <c r="J14713" i="1"/>
  <c r="J14712" i="1"/>
  <c r="J14711" i="1"/>
  <c r="J14710" i="1"/>
  <c r="J14709" i="1"/>
  <c r="J14708" i="1"/>
  <c r="J14707" i="1"/>
  <c r="J14706" i="1"/>
  <c r="J14705" i="1"/>
  <c r="J14704" i="1"/>
  <c r="J14703" i="1"/>
  <c r="J14702" i="1"/>
  <c r="J14701" i="1"/>
  <c r="J14700" i="1"/>
  <c r="J14699" i="1"/>
  <c r="J14698" i="1"/>
  <c r="J14697" i="1"/>
  <c r="J14696" i="1"/>
  <c r="J14695" i="1"/>
  <c r="J14694" i="1"/>
  <c r="J14693" i="1"/>
  <c r="J14692" i="1"/>
  <c r="J14691" i="1"/>
  <c r="J14690" i="1"/>
  <c r="J14689" i="1"/>
  <c r="J14688" i="1"/>
  <c r="J14687" i="1"/>
  <c r="J14686" i="1"/>
  <c r="J14685" i="1"/>
  <c r="J14684" i="1"/>
  <c r="J14683" i="1"/>
  <c r="J14682" i="1"/>
  <c r="J14681" i="1"/>
  <c r="J14680" i="1"/>
  <c r="J14679" i="1"/>
  <c r="J14678" i="1"/>
  <c r="J14677" i="1"/>
  <c r="J14676" i="1"/>
  <c r="J14675" i="1"/>
  <c r="J14674" i="1"/>
  <c r="J14673" i="1"/>
  <c r="J14672" i="1"/>
  <c r="J14671" i="1"/>
  <c r="J14670" i="1"/>
  <c r="J14669" i="1"/>
  <c r="J14668" i="1"/>
  <c r="J14667" i="1"/>
  <c r="J14666" i="1"/>
  <c r="J14665" i="1"/>
  <c r="J14664" i="1"/>
  <c r="J14663" i="1"/>
  <c r="J14662" i="1"/>
  <c r="J14661" i="1"/>
  <c r="J14660" i="1"/>
  <c r="J14659" i="1"/>
  <c r="J14658" i="1"/>
  <c r="J14657" i="1"/>
  <c r="J14656" i="1"/>
  <c r="J14655" i="1"/>
  <c r="J14654" i="1"/>
  <c r="J14653" i="1"/>
  <c r="J14652" i="1"/>
  <c r="J14651" i="1"/>
  <c r="J14650" i="1"/>
  <c r="J14649" i="1"/>
  <c r="J14648" i="1"/>
  <c r="J14647" i="1"/>
  <c r="J14646" i="1"/>
  <c r="J14645" i="1"/>
  <c r="J14644" i="1"/>
  <c r="J14643" i="1"/>
  <c r="J14642" i="1"/>
  <c r="J14641" i="1"/>
  <c r="J14640" i="1"/>
  <c r="J14639" i="1"/>
  <c r="J14638" i="1"/>
  <c r="J14637" i="1"/>
  <c r="J14636" i="1"/>
  <c r="J14635" i="1"/>
  <c r="J14634" i="1"/>
  <c r="J14633" i="1"/>
  <c r="J14632" i="1"/>
  <c r="J14631" i="1"/>
  <c r="J14630" i="1"/>
  <c r="J14629" i="1"/>
  <c r="J14628" i="1"/>
  <c r="J14627" i="1"/>
  <c r="J14626" i="1"/>
  <c r="J14625" i="1"/>
  <c r="J14624" i="1"/>
  <c r="J14623" i="1"/>
  <c r="J14622" i="1"/>
  <c r="J14621" i="1"/>
  <c r="J14620" i="1"/>
  <c r="J14619" i="1"/>
  <c r="J14618" i="1"/>
  <c r="J14617" i="1"/>
  <c r="J14616" i="1"/>
  <c r="J14615" i="1"/>
  <c r="J14614" i="1"/>
  <c r="J14613" i="1"/>
  <c r="J14612" i="1"/>
  <c r="J14611" i="1"/>
  <c r="J14610" i="1"/>
  <c r="J14609" i="1"/>
  <c r="J14608" i="1"/>
  <c r="J14607" i="1"/>
  <c r="J14606" i="1"/>
  <c r="J14605" i="1"/>
  <c r="J14604" i="1"/>
  <c r="J14603" i="1"/>
  <c r="J14602" i="1"/>
  <c r="J14601" i="1"/>
  <c r="J14600" i="1"/>
  <c r="J14599" i="1"/>
  <c r="J14598" i="1"/>
  <c r="J14597" i="1"/>
  <c r="J14596" i="1"/>
  <c r="J14595" i="1"/>
  <c r="J14594" i="1"/>
  <c r="J14593" i="1"/>
  <c r="J14592" i="1"/>
  <c r="J14591" i="1"/>
  <c r="J14590" i="1"/>
  <c r="J14589" i="1"/>
  <c r="J14588" i="1"/>
  <c r="J14587" i="1"/>
  <c r="J14586" i="1"/>
  <c r="J14585" i="1"/>
  <c r="J14584" i="1"/>
  <c r="J14583" i="1"/>
  <c r="J14582" i="1"/>
  <c r="J14581" i="1"/>
  <c r="J14580" i="1"/>
  <c r="J14579" i="1"/>
  <c r="J14578" i="1"/>
  <c r="J14577" i="1"/>
  <c r="J14576" i="1"/>
  <c r="J14575" i="1"/>
  <c r="J14574" i="1"/>
  <c r="J14573" i="1"/>
  <c r="J14572" i="1"/>
  <c r="J14571" i="1"/>
  <c r="J14570" i="1"/>
  <c r="J14569" i="1"/>
  <c r="J14568" i="1"/>
  <c r="J14567" i="1"/>
  <c r="J14566" i="1"/>
  <c r="J14565" i="1"/>
  <c r="J14564" i="1"/>
  <c r="J14563" i="1"/>
  <c r="J14562" i="1"/>
  <c r="J14561" i="1"/>
  <c r="J14560" i="1"/>
  <c r="J14559" i="1"/>
  <c r="J14558" i="1"/>
  <c r="J14557" i="1"/>
  <c r="J14556" i="1"/>
  <c r="J14555" i="1"/>
  <c r="J14554" i="1"/>
  <c r="J14553" i="1"/>
  <c r="J14552" i="1"/>
  <c r="J14551" i="1"/>
  <c r="J14550" i="1"/>
  <c r="J14549" i="1"/>
  <c r="J14548" i="1"/>
  <c r="J14547" i="1"/>
  <c r="J14546" i="1"/>
  <c r="J14545" i="1"/>
  <c r="J14544" i="1"/>
  <c r="J14543" i="1"/>
  <c r="J14542" i="1"/>
  <c r="J14541" i="1"/>
  <c r="J14540" i="1"/>
  <c r="J14539" i="1"/>
  <c r="J14538" i="1"/>
  <c r="J14537" i="1"/>
  <c r="J14536" i="1"/>
  <c r="J14535" i="1"/>
  <c r="J14534" i="1"/>
  <c r="J14533" i="1"/>
  <c r="J14532" i="1"/>
  <c r="J14531" i="1"/>
  <c r="J14530" i="1"/>
  <c r="J14529" i="1"/>
  <c r="J14528" i="1"/>
  <c r="J14527" i="1"/>
  <c r="J14526" i="1"/>
  <c r="J14525" i="1"/>
  <c r="J14524" i="1"/>
  <c r="J14523" i="1"/>
  <c r="J14522" i="1"/>
  <c r="J14521" i="1"/>
  <c r="J14520" i="1"/>
  <c r="J14519" i="1"/>
  <c r="J14518" i="1"/>
  <c r="J14517" i="1"/>
  <c r="J14516" i="1"/>
  <c r="J14515" i="1"/>
  <c r="J14514" i="1"/>
  <c r="J14513" i="1"/>
  <c r="J14512" i="1"/>
  <c r="J14511" i="1"/>
  <c r="J14510" i="1"/>
  <c r="J14509" i="1"/>
  <c r="J14508" i="1"/>
  <c r="J14507" i="1"/>
  <c r="J14506" i="1"/>
  <c r="J14505" i="1"/>
  <c r="J14504" i="1"/>
  <c r="J14503" i="1"/>
  <c r="J14502" i="1"/>
  <c r="J14501" i="1"/>
  <c r="J14500" i="1"/>
  <c r="J14499" i="1"/>
  <c r="J14498" i="1"/>
  <c r="J14497" i="1"/>
  <c r="J14496" i="1"/>
  <c r="J14495" i="1"/>
  <c r="J14494" i="1"/>
  <c r="J14493" i="1"/>
  <c r="J14492" i="1"/>
  <c r="J14491" i="1"/>
  <c r="J14490" i="1"/>
  <c r="J14489" i="1"/>
  <c r="J14488" i="1"/>
  <c r="J14487" i="1"/>
  <c r="J14486" i="1"/>
  <c r="J14485" i="1"/>
  <c r="J14484" i="1"/>
  <c r="J14483" i="1"/>
  <c r="J14482" i="1"/>
  <c r="J14481" i="1"/>
  <c r="J14480" i="1"/>
  <c r="J14479" i="1"/>
  <c r="J14478" i="1"/>
  <c r="J14477" i="1"/>
  <c r="J14476" i="1"/>
  <c r="J14475" i="1"/>
  <c r="J14474" i="1"/>
  <c r="J14473" i="1"/>
  <c r="J14472" i="1"/>
  <c r="J14471" i="1"/>
  <c r="J14470" i="1"/>
  <c r="J14469" i="1"/>
  <c r="J14468" i="1"/>
  <c r="J14467" i="1"/>
  <c r="J14466" i="1"/>
  <c r="J14465" i="1"/>
  <c r="J14464" i="1"/>
  <c r="J14463" i="1"/>
  <c r="J14462" i="1"/>
  <c r="J14461" i="1"/>
  <c r="J14460" i="1"/>
  <c r="J14459" i="1"/>
  <c r="J14458" i="1"/>
  <c r="J14457" i="1"/>
  <c r="J14456" i="1"/>
  <c r="J14455" i="1"/>
  <c r="J14454" i="1"/>
  <c r="J14453" i="1"/>
  <c r="J14452" i="1"/>
  <c r="J14451" i="1"/>
  <c r="J14450" i="1"/>
  <c r="J14449" i="1"/>
  <c r="J14448" i="1"/>
  <c r="J14447" i="1"/>
  <c r="J14446" i="1"/>
  <c r="J14445" i="1"/>
  <c r="J14444" i="1"/>
  <c r="J14443" i="1"/>
  <c r="J14442" i="1"/>
  <c r="J14441" i="1"/>
  <c r="J14440" i="1"/>
  <c r="J14439" i="1"/>
  <c r="J14438" i="1"/>
  <c r="J14437" i="1"/>
  <c r="J14436" i="1"/>
  <c r="J14435" i="1"/>
  <c r="J14434" i="1"/>
  <c r="J14433" i="1"/>
  <c r="J14432" i="1"/>
  <c r="J14431" i="1"/>
  <c r="J14430" i="1"/>
  <c r="J14429" i="1"/>
  <c r="J14428" i="1"/>
  <c r="J14427" i="1"/>
  <c r="J14426" i="1"/>
  <c r="J14425" i="1"/>
  <c r="J14424" i="1"/>
  <c r="J14423" i="1"/>
  <c r="J14422" i="1"/>
  <c r="J14421" i="1"/>
  <c r="J14420" i="1"/>
  <c r="J14419" i="1"/>
  <c r="J14418" i="1"/>
  <c r="J14417" i="1"/>
  <c r="J14416" i="1"/>
  <c r="J14415" i="1"/>
  <c r="J14414" i="1"/>
  <c r="J14413" i="1"/>
  <c r="J14412" i="1"/>
  <c r="J14411" i="1"/>
  <c r="J14410" i="1"/>
  <c r="J14409" i="1"/>
  <c r="J14408" i="1"/>
  <c r="J14407" i="1"/>
  <c r="J14406" i="1"/>
  <c r="J14405" i="1"/>
  <c r="J14404" i="1"/>
  <c r="J14403" i="1"/>
  <c r="J14402" i="1"/>
  <c r="J14401" i="1"/>
  <c r="J14400" i="1"/>
  <c r="J14399" i="1"/>
  <c r="J14398" i="1"/>
  <c r="J14397" i="1"/>
  <c r="J14396" i="1"/>
  <c r="J14395" i="1"/>
  <c r="J14394" i="1"/>
  <c r="J14393" i="1"/>
  <c r="J14392" i="1"/>
  <c r="J14391" i="1"/>
  <c r="J14390" i="1"/>
  <c r="J14389" i="1"/>
  <c r="J14388" i="1"/>
  <c r="J14387" i="1"/>
  <c r="J14386" i="1"/>
  <c r="J14385" i="1"/>
  <c r="J14384" i="1"/>
  <c r="J14383" i="1"/>
  <c r="J14382" i="1"/>
  <c r="J14381" i="1"/>
  <c r="J14380" i="1"/>
  <c r="J14379" i="1"/>
  <c r="J14378" i="1"/>
  <c r="J14377" i="1"/>
  <c r="J14376" i="1"/>
  <c r="J14375" i="1"/>
  <c r="J14374" i="1"/>
  <c r="J14373" i="1"/>
  <c r="J14372" i="1"/>
  <c r="J14371" i="1"/>
  <c r="J14370" i="1"/>
  <c r="J14369" i="1"/>
  <c r="J14368" i="1"/>
  <c r="J14367" i="1"/>
  <c r="J14366" i="1"/>
  <c r="J14365" i="1"/>
  <c r="J14364" i="1"/>
  <c r="J14363" i="1"/>
  <c r="J14362" i="1"/>
  <c r="J14361" i="1"/>
  <c r="J14360" i="1"/>
  <c r="J14359" i="1"/>
  <c r="J14358" i="1"/>
  <c r="J14357" i="1"/>
  <c r="J14356" i="1"/>
  <c r="J14355" i="1"/>
  <c r="J14354" i="1"/>
  <c r="J14353" i="1"/>
  <c r="J14352" i="1"/>
  <c r="J14351" i="1"/>
  <c r="J14350" i="1"/>
  <c r="J14349" i="1"/>
  <c r="J14348" i="1"/>
  <c r="J14347" i="1"/>
  <c r="J14346" i="1"/>
  <c r="J14345" i="1"/>
  <c r="J14344" i="1"/>
  <c r="J14343" i="1"/>
  <c r="J14342" i="1"/>
  <c r="J14341" i="1"/>
  <c r="J14340" i="1"/>
  <c r="J14339" i="1"/>
  <c r="J14338" i="1"/>
  <c r="J14337" i="1"/>
  <c r="J14336" i="1"/>
  <c r="J14335" i="1"/>
  <c r="J14334" i="1"/>
  <c r="J14333" i="1"/>
  <c r="J14332" i="1"/>
  <c r="J14331" i="1"/>
  <c r="J14330" i="1"/>
  <c r="J14329" i="1"/>
  <c r="J14328" i="1"/>
  <c r="J14327" i="1"/>
  <c r="J14326" i="1"/>
  <c r="J14325" i="1"/>
  <c r="J14324" i="1"/>
  <c r="J14323" i="1"/>
  <c r="J14322" i="1"/>
  <c r="J14321" i="1"/>
  <c r="J14320" i="1"/>
  <c r="J14319" i="1"/>
  <c r="J14318" i="1"/>
  <c r="J14317" i="1"/>
  <c r="J14316" i="1"/>
  <c r="J14315" i="1"/>
  <c r="J14314" i="1"/>
  <c r="J14313" i="1"/>
  <c r="J14312" i="1"/>
  <c r="J14311" i="1"/>
  <c r="J14310" i="1"/>
  <c r="J14309" i="1"/>
  <c r="J14308" i="1"/>
  <c r="J14307" i="1"/>
  <c r="J14306" i="1"/>
  <c r="J14305" i="1"/>
  <c r="J14304" i="1"/>
  <c r="J14303" i="1"/>
  <c r="J14302" i="1"/>
  <c r="J14301" i="1"/>
  <c r="J14300" i="1"/>
  <c r="J14299" i="1"/>
  <c r="J14298" i="1"/>
  <c r="J14297" i="1"/>
  <c r="J14296" i="1"/>
  <c r="J14295" i="1"/>
  <c r="J14294" i="1"/>
  <c r="J14293" i="1"/>
  <c r="J14292" i="1"/>
  <c r="J14291" i="1"/>
  <c r="J14290" i="1"/>
  <c r="J14289" i="1"/>
  <c r="J14288" i="1"/>
  <c r="J14287" i="1"/>
  <c r="J14286" i="1"/>
  <c r="J14285" i="1"/>
  <c r="J14284" i="1"/>
  <c r="J14283" i="1"/>
  <c r="J14282" i="1"/>
  <c r="J14281" i="1"/>
  <c r="J14280" i="1"/>
  <c r="J14279" i="1"/>
  <c r="J14278" i="1"/>
  <c r="J14277" i="1"/>
  <c r="J14276" i="1"/>
  <c r="J14275" i="1"/>
  <c r="J14274" i="1"/>
  <c r="J14273" i="1"/>
  <c r="J14272" i="1"/>
  <c r="J14271" i="1"/>
  <c r="J14270" i="1"/>
  <c r="J14269" i="1"/>
  <c r="J14268" i="1"/>
  <c r="J14267" i="1"/>
  <c r="J14266" i="1"/>
  <c r="J14265" i="1"/>
  <c r="J14264" i="1"/>
  <c r="J14263" i="1"/>
  <c r="J14262" i="1"/>
  <c r="J14261" i="1"/>
  <c r="J14260" i="1"/>
  <c r="J14259" i="1"/>
  <c r="J14258" i="1"/>
  <c r="J14257" i="1"/>
  <c r="J14256" i="1"/>
  <c r="J14255" i="1"/>
  <c r="J14254" i="1"/>
  <c r="J14253" i="1"/>
  <c r="J14252" i="1"/>
  <c r="J14251" i="1"/>
  <c r="J14250" i="1"/>
  <c r="J14249" i="1"/>
  <c r="J14248" i="1"/>
  <c r="J14247" i="1"/>
  <c r="J14246" i="1"/>
  <c r="J14245" i="1"/>
  <c r="J14244" i="1"/>
  <c r="J14243" i="1"/>
  <c r="J14242" i="1"/>
  <c r="J14241" i="1"/>
  <c r="J14240" i="1"/>
  <c r="J14239" i="1"/>
  <c r="J14238" i="1"/>
  <c r="J14237" i="1"/>
  <c r="J14236" i="1"/>
  <c r="J14235" i="1"/>
  <c r="J14234" i="1"/>
  <c r="J14233" i="1"/>
  <c r="J14232" i="1"/>
  <c r="J14231" i="1"/>
  <c r="J14230" i="1"/>
  <c r="J14229" i="1"/>
  <c r="J14228" i="1"/>
  <c r="J14227" i="1"/>
  <c r="J14226" i="1"/>
  <c r="J14225" i="1"/>
  <c r="J14224" i="1"/>
  <c r="J14223" i="1"/>
  <c r="J14222" i="1"/>
  <c r="J14221" i="1"/>
  <c r="J14220" i="1"/>
  <c r="J14219" i="1"/>
  <c r="J14218" i="1"/>
  <c r="J14217" i="1"/>
  <c r="J14216" i="1"/>
  <c r="J14215" i="1"/>
  <c r="J14214" i="1"/>
  <c r="J14213" i="1"/>
  <c r="J14212" i="1"/>
  <c r="J14211" i="1"/>
  <c r="J14210" i="1"/>
  <c r="J14209" i="1"/>
  <c r="J14208" i="1"/>
  <c r="J14207" i="1"/>
  <c r="J14206" i="1"/>
  <c r="J14205" i="1"/>
  <c r="J14204" i="1"/>
  <c r="J14203" i="1"/>
  <c r="J14202" i="1"/>
  <c r="J14201" i="1"/>
  <c r="J14200" i="1"/>
  <c r="J14199" i="1"/>
  <c r="J14198" i="1"/>
  <c r="J14197" i="1"/>
  <c r="J14196" i="1"/>
  <c r="J14195" i="1"/>
  <c r="J14194" i="1"/>
  <c r="J14193" i="1"/>
  <c r="J14192" i="1"/>
  <c r="J14191" i="1"/>
  <c r="J14190" i="1"/>
  <c r="J14189" i="1"/>
  <c r="J14188" i="1"/>
  <c r="J14187" i="1"/>
  <c r="J14186" i="1"/>
  <c r="J14185" i="1"/>
  <c r="J14184" i="1"/>
  <c r="J14183" i="1"/>
  <c r="J14182" i="1"/>
  <c r="J14181" i="1"/>
  <c r="J14180" i="1"/>
  <c r="J14179" i="1"/>
  <c r="J14178" i="1"/>
  <c r="J14177" i="1"/>
  <c r="J14176" i="1"/>
  <c r="J14175" i="1"/>
  <c r="J14174" i="1"/>
  <c r="J14173" i="1"/>
  <c r="J14172" i="1"/>
  <c r="J14171" i="1"/>
  <c r="J14170" i="1"/>
  <c r="J14169" i="1"/>
  <c r="J14168" i="1"/>
  <c r="J14167" i="1"/>
  <c r="J14166" i="1"/>
  <c r="J14165" i="1"/>
  <c r="J14164" i="1"/>
  <c r="J14163" i="1"/>
  <c r="J14162" i="1"/>
  <c r="J14161" i="1"/>
  <c r="J14160" i="1"/>
  <c r="J14159" i="1"/>
  <c r="J14158" i="1"/>
  <c r="J14157" i="1"/>
  <c r="J14156" i="1"/>
  <c r="J14155" i="1"/>
  <c r="J14154" i="1"/>
  <c r="J14153" i="1"/>
  <c r="J14152" i="1"/>
  <c r="J14151" i="1"/>
  <c r="J14150" i="1"/>
  <c r="J14149" i="1"/>
  <c r="J14148" i="1"/>
  <c r="J14147" i="1"/>
  <c r="J14146" i="1"/>
  <c r="J14145" i="1"/>
  <c r="J14144" i="1"/>
  <c r="J14143" i="1"/>
  <c r="J14142" i="1"/>
  <c r="J14141" i="1"/>
  <c r="J14140" i="1"/>
  <c r="J14139" i="1"/>
  <c r="J14138" i="1"/>
  <c r="J14137" i="1"/>
  <c r="J14136" i="1"/>
  <c r="J14135" i="1"/>
  <c r="J14134" i="1"/>
  <c r="J14133" i="1"/>
  <c r="J14132" i="1"/>
  <c r="J14131" i="1"/>
  <c r="J14130" i="1"/>
  <c r="J14129" i="1"/>
  <c r="J14128" i="1"/>
  <c r="J14127" i="1"/>
  <c r="J14126" i="1"/>
  <c r="J14125" i="1"/>
  <c r="J14124" i="1"/>
  <c r="J14123" i="1"/>
  <c r="J14122" i="1"/>
  <c r="J14121" i="1"/>
  <c r="J14120" i="1"/>
  <c r="J14119" i="1"/>
  <c r="J14118" i="1"/>
  <c r="J14117" i="1"/>
  <c r="J14116" i="1"/>
  <c r="J14115" i="1"/>
  <c r="J14114" i="1"/>
  <c r="J14113" i="1"/>
  <c r="J14112" i="1"/>
  <c r="J14111" i="1"/>
  <c r="J14110" i="1"/>
  <c r="J14109" i="1"/>
  <c r="J14108" i="1"/>
  <c r="J14107" i="1"/>
  <c r="J14106" i="1"/>
  <c r="J14105" i="1"/>
  <c r="J14104" i="1"/>
  <c r="J14103" i="1"/>
  <c r="J14102" i="1"/>
  <c r="J14101" i="1"/>
  <c r="J14100" i="1"/>
  <c r="J14099" i="1"/>
  <c r="J14098" i="1"/>
  <c r="J14097" i="1"/>
  <c r="J14096" i="1"/>
  <c r="J14095" i="1"/>
  <c r="J14094" i="1"/>
  <c r="J14093" i="1"/>
  <c r="J14092" i="1"/>
  <c r="J14091" i="1"/>
  <c r="J14090" i="1"/>
  <c r="J14089" i="1"/>
  <c r="J14088" i="1"/>
  <c r="J14087" i="1"/>
  <c r="J14086" i="1"/>
  <c r="J14085" i="1"/>
  <c r="J14084" i="1"/>
  <c r="J14083" i="1"/>
  <c r="J14082" i="1"/>
  <c r="J14081" i="1"/>
  <c r="J14080" i="1"/>
  <c r="J14079" i="1"/>
  <c r="J14078" i="1"/>
  <c r="J14077" i="1"/>
  <c r="J14076" i="1"/>
  <c r="J14075" i="1"/>
  <c r="J14074" i="1"/>
  <c r="J14073" i="1"/>
  <c r="J14072" i="1"/>
  <c r="J14071" i="1"/>
  <c r="J14070" i="1"/>
  <c r="J14069" i="1"/>
  <c r="J14068" i="1"/>
  <c r="J14067" i="1"/>
  <c r="J14066" i="1"/>
  <c r="J14065" i="1"/>
  <c r="J14064" i="1"/>
  <c r="J14063" i="1"/>
  <c r="J14062" i="1"/>
  <c r="J14061" i="1"/>
  <c r="J14060" i="1"/>
  <c r="J14059" i="1"/>
  <c r="J14058" i="1"/>
  <c r="J14057" i="1"/>
  <c r="J14056" i="1"/>
  <c r="J14055" i="1"/>
  <c r="J14054" i="1"/>
  <c r="J14053" i="1"/>
  <c r="J14052" i="1"/>
  <c r="J14051" i="1"/>
  <c r="J14050" i="1"/>
  <c r="J14049" i="1"/>
  <c r="J14048" i="1"/>
  <c r="J14047" i="1"/>
  <c r="J14046" i="1"/>
  <c r="J14045" i="1"/>
  <c r="J14044" i="1"/>
  <c r="J14043" i="1"/>
  <c r="J14042" i="1"/>
  <c r="J14041" i="1"/>
  <c r="J14040" i="1"/>
  <c r="J14039" i="1"/>
  <c r="J14038" i="1"/>
  <c r="J14037" i="1"/>
  <c r="J14036" i="1"/>
  <c r="J14035" i="1"/>
  <c r="J14034" i="1"/>
  <c r="J14033" i="1"/>
  <c r="J14032" i="1"/>
  <c r="J14031" i="1"/>
  <c r="J14030" i="1"/>
  <c r="J14029" i="1"/>
  <c r="J14028" i="1"/>
  <c r="J14027" i="1"/>
  <c r="J14026" i="1"/>
  <c r="J14025" i="1"/>
  <c r="J14024" i="1"/>
  <c r="J14023" i="1"/>
  <c r="J14022" i="1"/>
  <c r="J14021" i="1"/>
  <c r="J14020" i="1"/>
  <c r="J14019" i="1"/>
  <c r="J14018" i="1"/>
  <c r="J14017" i="1"/>
  <c r="J14016" i="1"/>
  <c r="J14015" i="1"/>
  <c r="J14014" i="1"/>
  <c r="J14013" i="1"/>
  <c r="J14012" i="1"/>
  <c r="J14011" i="1"/>
  <c r="J14010" i="1"/>
  <c r="J14009" i="1"/>
  <c r="J14008" i="1"/>
  <c r="J14007" i="1"/>
  <c r="J14006" i="1"/>
  <c r="J14005" i="1"/>
  <c r="J14004" i="1"/>
  <c r="J14003" i="1"/>
  <c r="J14002" i="1"/>
  <c r="J14001" i="1"/>
  <c r="J14000" i="1"/>
  <c r="J13999" i="1"/>
  <c r="J13998" i="1"/>
  <c r="J13997" i="1"/>
  <c r="J13996" i="1"/>
  <c r="J13995" i="1"/>
  <c r="J13994" i="1"/>
  <c r="J13993" i="1"/>
  <c r="J13992" i="1"/>
  <c r="J13991" i="1"/>
  <c r="J13990" i="1"/>
  <c r="J13989" i="1"/>
  <c r="J13988" i="1"/>
  <c r="J13987" i="1"/>
  <c r="J13986" i="1"/>
  <c r="J13985" i="1"/>
  <c r="J13984" i="1"/>
  <c r="J13983" i="1"/>
  <c r="J13982" i="1"/>
  <c r="J13981" i="1"/>
  <c r="J13980" i="1"/>
  <c r="J13979" i="1"/>
  <c r="J13978" i="1"/>
  <c r="J13977" i="1"/>
  <c r="J13976" i="1"/>
  <c r="J13975" i="1"/>
  <c r="J13974" i="1"/>
  <c r="J13973" i="1"/>
  <c r="J13972" i="1"/>
  <c r="J13971" i="1"/>
  <c r="J13970" i="1"/>
  <c r="J13969" i="1"/>
  <c r="J13968" i="1"/>
  <c r="J13967" i="1"/>
  <c r="J13966" i="1"/>
  <c r="J13965" i="1"/>
  <c r="J13964" i="1"/>
  <c r="J13963" i="1"/>
  <c r="J13962" i="1"/>
  <c r="J13961" i="1"/>
  <c r="J13960" i="1"/>
  <c r="J13959" i="1"/>
  <c r="J13958" i="1"/>
  <c r="J13957" i="1"/>
  <c r="J13956" i="1"/>
  <c r="J13955" i="1"/>
  <c r="J13954" i="1"/>
  <c r="J13953" i="1"/>
  <c r="J13952" i="1"/>
  <c r="J13951" i="1"/>
  <c r="J13950" i="1"/>
  <c r="J13949" i="1"/>
  <c r="J13948" i="1"/>
  <c r="J13947" i="1"/>
  <c r="J13946" i="1"/>
  <c r="J13945" i="1"/>
  <c r="J13944" i="1"/>
  <c r="J13943" i="1"/>
  <c r="J13942" i="1"/>
  <c r="J13941" i="1"/>
  <c r="J13940" i="1"/>
  <c r="J13939" i="1"/>
  <c r="J13938" i="1"/>
  <c r="J13937" i="1"/>
  <c r="J13936" i="1"/>
  <c r="J13935" i="1"/>
  <c r="J13934" i="1"/>
  <c r="J13933" i="1"/>
  <c r="J13932" i="1"/>
  <c r="J13931" i="1"/>
  <c r="J13930" i="1"/>
  <c r="J13929" i="1"/>
  <c r="J13928" i="1"/>
  <c r="J13927" i="1"/>
  <c r="J13926" i="1"/>
  <c r="J13925" i="1"/>
  <c r="J13924" i="1"/>
  <c r="J13923" i="1"/>
  <c r="J13922" i="1"/>
  <c r="J13921" i="1"/>
  <c r="J13920" i="1"/>
  <c r="J13919" i="1"/>
  <c r="J13918" i="1"/>
  <c r="J13917" i="1"/>
  <c r="J13916" i="1"/>
  <c r="J13915" i="1"/>
  <c r="J13914" i="1"/>
  <c r="J13913" i="1"/>
  <c r="J13912" i="1"/>
  <c r="J13911" i="1"/>
  <c r="J13910" i="1"/>
  <c r="J13909" i="1"/>
  <c r="J13908" i="1"/>
  <c r="J13907" i="1"/>
  <c r="J13906" i="1"/>
  <c r="J13905" i="1"/>
  <c r="J13904" i="1"/>
  <c r="J13903" i="1"/>
  <c r="J13902" i="1"/>
  <c r="J13901" i="1"/>
  <c r="J13900" i="1"/>
  <c r="J13899" i="1"/>
  <c r="J13898" i="1"/>
  <c r="J13897" i="1"/>
  <c r="J13896" i="1"/>
  <c r="J13895" i="1"/>
  <c r="J13894" i="1"/>
  <c r="J13893" i="1"/>
  <c r="J13892" i="1"/>
  <c r="J13891" i="1"/>
  <c r="J13890" i="1"/>
  <c r="J13889" i="1"/>
  <c r="J13888" i="1"/>
  <c r="J13887" i="1"/>
  <c r="J13886" i="1"/>
  <c r="J13885" i="1"/>
  <c r="J13884" i="1"/>
  <c r="J13883" i="1"/>
  <c r="J13882" i="1"/>
  <c r="J13881" i="1"/>
  <c r="J13880" i="1"/>
  <c r="J13879" i="1"/>
  <c r="J13878" i="1"/>
  <c r="J13877" i="1"/>
  <c r="J13876" i="1"/>
  <c r="J13875" i="1"/>
  <c r="J13874" i="1"/>
  <c r="J13873" i="1"/>
  <c r="J13872" i="1"/>
  <c r="J13871" i="1"/>
  <c r="J13870" i="1"/>
  <c r="J13869" i="1"/>
  <c r="J13868" i="1"/>
  <c r="J13867" i="1"/>
  <c r="J13866" i="1"/>
  <c r="J13865" i="1"/>
  <c r="J13864" i="1"/>
  <c r="J13863" i="1"/>
  <c r="J13862" i="1"/>
  <c r="J13861" i="1"/>
  <c r="J13860" i="1"/>
  <c r="J13859" i="1"/>
  <c r="J13858" i="1"/>
  <c r="J13857" i="1"/>
  <c r="J13856" i="1"/>
  <c r="J13855" i="1"/>
  <c r="J13854" i="1"/>
  <c r="J13853" i="1"/>
  <c r="J13852" i="1"/>
  <c r="J13851" i="1"/>
  <c r="J13850" i="1"/>
  <c r="J13849" i="1"/>
  <c r="J13848" i="1"/>
  <c r="J13847" i="1"/>
  <c r="J13846" i="1"/>
  <c r="J13845" i="1"/>
  <c r="J13844" i="1"/>
  <c r="J13843" i="1"/>
  <c r="J13842" i="1"/>
  <c r="J13841" i="1"/>
  <c r="J13840" i="1"/>
  <c r="J13839" i="1"/>
  <c r="J13838" i="1"/>
  <c r="J13837" i="1"/>
  <c r="J13836" i="1"/>
  <c r="J13835" i="1"/>
  <c r="J13834" i="1"/>
  <c r="J13833" i="1"/>
  <c r="J13832" i="1"/>
  <c r="J13831" i="1"/>
  <c r="J13830" i="1"/>
  <c r="J13829" i="1"/>
  <c r="J13828" i="1"/>
  <c r="J13827" i="1"/>
  <c r="J13826" i="1"/>
  <c r="J13825" i="1"/>
  <c r="J13824" i="1"/>
  <c r="J13823" i="1"/>
  <c r="J13822" i="1"/>
  <c r="J13821" i="1"/>
  <c r="J13820" i="1"/>
  <c r="J13819" i="1"/>
  <c r="J13818" i="1"/>
  <c r="J13817" i="1"/>
  <c r="J13816" i="1"/>
  <c r="J13815" i="1"/>
  <c r="J13814" i="1"/>
  <c r="J13813" i="1"/>
  <c r="J13812" i="1"/>
  <c r="J13811" i="1"/>
  <c r="J13810" i="1"/>
  <c r="J13809" i="1"/>
  <c r="J13808" i="1"/>
  <c r="J13807" i="1"/>
  <c r="J13806" i="1"/>
  <c r="J13805" i="1"/>
  <c r="J13804" i="1"/>
  <c r="J13803" i="1"/>
  <c r="J13802" i="1"/>
  <c r="J13801" i="1"/>
  <c r="J13800" i="1"/>
  <c r="J13799" i="1"/>
  <c r="J13798" i="1"/>
  <c r="J13797" i="1"/>
  <c r="J13796" i="1"/>
  <c r="J13795" i="1"/>
  <c r="J13794" i="1"/>
  <c r="J13793" i="1"/>
  <c r="J13792" i="1"/>
  <c r="J13791" i="1"/>
  <c r="J13790" i="1"/>
  <c r="J13789" i="1"/>
  <c r="J13788" i="1"/>
  <c r="J13787" i="1"/>
  <c r="J13786" i="1"/>
  <c r="J13785" i="1"/>
  <c r="J13784" i="1"/>
  <c r="J13783" i="1"/>
  <c r="J13782" i="1"/>
  <c r="J13781" i="1"/>
  <c r="J13780" i="1"/>
  <c r="J13779" i="1"/>
  <c r="J13778" i="1"/>
  <c r="J13777" i="1"/>
  <c r="J13776" i="1"/>
  <c r="J13775" i="1"/>
  <c r="J13774" i="1"/>
  <c r="J13773" i="1"/>
  <c r="J13772" i="1"/>
  <c r="J13771" i="1"/>
  <c r="J13770" i="1"/>
  <c r="J13769" i="1"/>
  <c r="J13768" i="1"/>
  <c r="J13767" i="1"/>
  <c r="J13766" i="1"/>
  <c r="J13765" i="1"/>
  <c r="J13764" i="1"/>
  <c r="J13763" i="1"/>
  <c r="J13762" i="1"/>
  <c r="J13761" i="1"/>
  <c r="J13760" i="1"/>
  <c r="J13759" i="1"/>
  <c r="J13758" i="1"/>
  <c r="J13757" i="1"/>
  <c r="J13756" i="1"/>
  <c r="J13755" i="1"/>
  <c r="J13754" i="1"/>
  <c r="J13753" i="1"/>
  <c r="J13752" i="1"/>
  <c r="J13751" i="1"/>
  <c r="J13750" i="1"/>
  <c r="J13749" i="1"/>
  <c r="J13748" i="1"/>
  <c r="J13747" i="1"/>
  <c r="J13746" i="1"/>
  <c r="J13745" i="1"/>
  <c r="J13744" i="1"/>
  <c r="J13743" i="1"/>
  <c r="J13742" i="1"/>
  <c r="J13741" i="1"/>
  <c r="J13740" i="1"/>
  <c r="J13739" i="1"/>
  <c r="J13738" i="1"/>
  <c r="J13737" i="1"/>
  <c r="J13736" i="1"/>
  <c r="J13735" i="1"/>
  <c r="J13734" i="1"/>
  <c r="J13733" i="1"/>
  <c r="J13732" i="1"/>
  <c r="J13731" i="1"/>
  <c r="J13730" i="1"/>
  <c r="J13729" i="1"/>
  <c r="J13728" i="1"/>
  <c r="J13727" i="1"/>
  <c r="J13726" i="1"/>
  <c r="J13725" i="1"/>
  <c r="J13724" i="1"/>
  <c r="J13723" i="1"/>
  <c r="J13722" i="1"/>
  <c r="J13721" i="1"/>
  <c r="J13720" i="1"/>
  <c r="J13719" i="1"/>
  <c r="J13718" i="1"/>
  <c r="J13717" i="1"/>
  <c r="J13716" i="1"/>
  <c r="J13715" i="1"/>
  <c r="J13714" i="1"/>
  <c r="J13713" i="1"/>
  <c r="J13712" i="1"/>
  <c r="J13711" i="1"/>
  <c r="J13710" i="1"/>
  <c r="J13709" i="1"/>
  <c r="J13708" i="1"/>
  <c r="J13707" i="1"/>
  <c r="J13706" i="1"/>
  <c r="J13705" i="1"/>
  <c r="J13704" i="1"/>
  <c r="J13703" i="1"/>
  <c r="J13702" i="1"/>
  <c r="J13701" i="1"/>
  <c r="J13700" i="1"/>
  <c r="J13699" i="1"/>
  <c r="J13698" i="1"/>
  <c r="J13697" i="1"/>
  <c r="J13696" i="1"/>
  <c r="J13695" i="1"/>
  <c r="J13694" i="1"/>
  <c r="J13693" i="1"/>
  <c r="J13692" i="1"/>
  <c r="J13691" i="1"/>
  <c r="J13690" i="1"/>
  <c r="J13689" i="1"/>
  <c r="J13688" i="1"/>
  <c r="J13687" i="1"/>
  <c r="J13686" i="1"/>
  <c r="J13685" i="1"/>
  <c r="J13684" i="1"/>
  <c r="J13683" i="1"/>
  <c r="J13682" i="1"/>
  <c r="J13681" i="1"/>
  <c r="J13680" i="1"/>
  <c r="J13679" i="1"/>
  <c r="J13678" i="1"/>
  <c r="J13677" i="1"/>
  <c r="J13676" i="1"/>
  <c r="J13675" i="1"/>
  <c r="J13674" i="1"/>
  <c r="J13673" i="1"/>
  <c r="J13672" i="1"/>
  <c r="J13671" i="1"/>
  <c r="J13670" i="1"/>
  <c r="J13669" i="1"/>
  <c r="J13668" i="1"/>
  <c r="J13667" i="1"/>
  <c r="J13666" i="1"/>
  <c r="J13665" i="1"/>
  <c r="J13664" i="1"/>
  <c r="J13663" i="1"/>
  <c r="J13662" i="1"/>
  <c r="J13661" i="1"/>
  <c r="J13660" i="1"/>
  <c r="J13659" i="1"/>
  <c r="J13658" i="1"/>
  <c r="J13657" i="1"/>
  <c r="J13656" i="1"/>
  <c r="J13655" i="1"/>
  <c r="J13654" i="1"/>
  <c r="J13653" i="1"/>
  <c r="J13652" i="1"/>
  <c r="J13651" i="1"/>
  <c r="J13650" i="1"/>
  <c r="J13649" i="1"/>
  <c r="J13648" i="1"/>
  <c r="J13647" i="1"/>
  <c r="J13646" i="1"/>
  <c r="J13645" i="1"/>
  <c r="J13644" i="1"/>
  <c r="J13643" i="1"/>
  <c r="J13642" i="1"/>
  <c r="J13641" i="1"/>
  <c r="J13640" i="1"/>
  <c r="J13639" i="1"/>
  <c r="J13638" i="1"/>
  <c r="J13637" i="1"/>
  <c r="J13636" i="1"/>
  <c r="J13635" i="1"/>
  <c r="J13634" i="1"/>
  <c r="J13633" i="1"/>
  <c r="J13632" i="1"/>
  <c r="J13631" i="1"/>
  <c r="J13630" i="1"/>
  <c r="J13629" i="1"/>
  <c r="J13628" i="1"/>
  <c r="J13627" i="1"/>
  <c r="J13626" i="1"/>
  <c r="J13625" i="1"/>
  <c r="J13624" i="1"/>
  <c r="J13623" i="1"/>
  <c r="J13622" i="1"/>
  <c r="J13621" i="1"/>
  <c r="J13620" i="1"/>
  <c r="J13619" i="1"/>
  <c r="J13618" i="1"/>
  <c r="J13617" i="1"/>
  <c r="J13616" i="1"/>
  <c r="J13615" i="1"/>
  <c r="J13614" i="1"/>
  <c r="J13613" i="1"/>
  <c r="J13612" i="1"/>
  <c r="J13611" i="1"/>
  <c r="J13610" i="1"/>
  <c r="J13609" i="1"/>
  <c r="J13608" i="1"/>
  <c r="J13607" i="1"/>
  <c r="J13606" i="1"/>
  <c r="J13605" i="1"/>
  <c r="J13604" i="1"/>
  <c r="J13603" i="1"/>
  <c r="J13602" i="1"/>
  <c r="J13601" i="1"/>
  <c r="J13600" i="1"/>
  <c r="J13599" i="1"/>
  <c r="J13598" i="1"/>
  <c r="J13597" i="1"/>
  <c r="J13596" i="1"/>
  <c r="J13595" i="1"/>
  <c r="J13594" i="1"/>
  <c r="J13593" i="1"/>
  <c r="J13592" i="1"/>
  <c r="J13591" i="1"/>
  <c r="J13590" i="1"/>
  <c r="J13589" i="1"/>
  <c r="J13588" i="1"/>
  <c r="J13587" i="1"/>
  <c r="J13586" i="1"/>
  <c r="J13585" i="1"/>
  <c r="J13584" i="1"/>
  <c r="J13583" i="1"/>
  <c r="J13582" i="1"/>
  <c r="J13581" i="1"/>
  <c r="J13580" i="1"/>
  <c r="J13579" i="1"/>
  <c r="J13578" i="1"/>
  <c r="J13577" i="1"/>
  <c r="J13576" i="1"/>
  <c r="J13575" i="1"/>
  <c r="J13574" i="1"/>
  <c r="J13573" i="1"/>
  <c r="J13572" i="1"/>
  <c r="J13571" i="1"/>
  <c r="J13570" i="1"/>
  <c r="J13569" i="1"/>
  <c r="J13568" i="1"/>
  <c r="J13567" i="1"/>
  <c r="J13566" i="1"/>
  <c r="J13565" i="1"/>
  <c r="J13564" i="1"/>
  <c r="J13563" i="1"/>
  <c r="J13562" i="1"/>
  <c r="J13561" i="1"/>
  <c r="J13560" i="1"/>
  <c r="J13559" i="1"/>
  <c r="J13558" i="1"/>
  <c r="J13557" i="1"/>
  <c r="J13556" i="1"/>
  <c r="J13555" i="1"/>
  <c r="J13554" i="1"/>
  <c r="J13553" i="1"/>
  <c r="J13552" i="1"/>
  <c r="J13551" i="1"/>
  <c r="J13550" i="1"/>
  <c r="J13549" i="1"/>
  <c r="J13548" i="1"/>
  <c r="J13547" i="1"/>
  <c r="J13546" i="1"/>
  <c r="J13545" i="1"/>
  <c r="J13544" i="1"/>
  <c r="J13543" i="1"/>
  <c r="J13542" i="1"/>
  <c r="J13541" i="1"/>
  <c r="J13540" i="1"/>
  <c r="J13539" i="1"/>
  <c r="J13538" i="1"/>
  <c r="J13537" i="1"/>
  <c r="J13536" i="1"/>
  <c r="J13535" i="1"/>
  <c r="J13534" i="1"/>
  <c r="J13533" i="1"/>
  <c r="J13532" i="1"/>
  <c r="J13531" i="1"/>
  <c r="J13530" i="1"/>
  <c r="J13529" i="1"/>
  <c r="J13528" i="1"/>
  <c r="J13527" i="1"/>
  <c r="J13526" i="1"/>
  <c r="J13525" i="1"/>
  <c r="J13524" i="1"/>
  <c r="J13523" i="1"/>
  <c r="J13522" i="1"/>
  <c r="J13521" i="1"/>
  <c r="J13520" i="1"/>
  <c r="J13519" i="1"/>
  <c r="J13518" i="1"/>
  <c r="J13517" i="1"/>
  <c r="J13516" i="1"/>
  <c r="J13515" i="1"/>
  <c r="J13514" i="1"/>
  <c r="J13513" i="1"/>
  <c r="J13512" i="1"/>
  <c r="J13511" i="1"/>
  <c r="J13510" i="1"/>
  <c r="J13509" i="1"/>
  <c r="J13508" i="1"/>
  <c r="J13507" i="1"/>
  <c r="J13506" i="1"/>
  <c r="J13505" i="1"/>
  <c r="J13504" i="1"/>
  <c r="J13503" i="1"/>
  <c r="J13502" i="1"/>
  <c r="J13501" i="1"/>
  <c r="J13500" i="1"/>
  <c r="J13499" i="1"/>
  <c r="J13498" i="1"/>
  <c r="J13497" i="1"/>
  <c r="J13496" i="1"/>
  <c r="J13495" i="1"/>
  <c r="J13494" i="1"/>
  <c r="J13493" i="1"/>
  <c r="J13492" i="1"/>
  <c r="J13491" i="1"/>
  <c r="J13490" i="1"/>
  <c r="J13489" i="1"/>
  <c r="J13488" i="1"/>
  <c r="J13487" i="1"/>
  <c r="J13486" i="1"/>
  <c r="J13485" i="1"/>
  <c r="J13484" i="1"/>
  <c r="J13483" i="1"/>
  <c r="J13482" i="1"/>
  <c r="J13481" i="1"/>
  <c r="J13480" i="1"/>
  <c r="J13479" i="1"/>
  <c r="J13478" i="1"/>
  <c r="J13477" i="1"/>
  <c r="J13476" i="1"/>
  <c r="J13475" i="1"/>
  <c r="J13474" i="1"/>
  <c r="J13473" i="1"/>
  <c r="J13472" i="1"/>
  <c r="J13471" i="1"/>
  <c r="J13470" i="1"/>
  <c r="J13469" i="1"/>
  <c r="J13468" i="1"/>
  <c r="J13467" i="1"/>
  <c r="J13466" i="1"/>
  <c r="J13465" i="1"/>
  <c r="J13464" i="1"/>
  <c r="J13463" i="1"/>
  <c r="J13462" i="1"/>
  <c r="J13461" i="1"/>
  <c r="J13460" i="1"/>
  <c r="J13459" i="1"/>
  <c r="J13458" i="1"/>
  <c r="J13457" i="1"/>
  <c r="J13456" i="1"/>
  <c r="J13455" i="1"/>
  <c r="J13454" i="1"/>
  <c r="J13453" i="1"/>
  <c r="J13452" i="1"/>
  <c r="J13451" i="1"/>
  <c r="J13450" i="1"/>
  <c r="J13449" i="1"/>
  <c r="J13448" i="1"/>
  <c r="J13447" i="1"/>
  <c r="J13446" i="1"/>
  <c r="J13445" i="1"/>
  <c r="J13444" i="1"/>
  <c r="J13443" i="1"/>
  <c r="J13442" i="1"/>
  <c r="J13441" i="1"/>
  <c r="J13440" i="1"/>
  <c r="J13439" i="1"/>
  <c r="J13438" i="1"/>
  <c r="J13437" i="1"/>
  <c r="J13436" i="1"/>
  <c r="J13435" i="1"/>
  <c r="J13434" i="1"/>
  <c r="J13433" i="1"/>
  <c r="J13432" i="1"/>
  <c r="J13431" i="1"/>
  <c r="J13430" i="1"/>
  <c r="J13429" i="1"/>
  <c r="J13428" i="1"/>
  <c r="J13427" i="1"/>
  <c r="J13426" i="1"/>
  <c r="J13425" i="1"/>
  <c r="J13424" i="1"/>
  <c r="J13423" i="1"/>
  <c r="J13422" i="1"/>
  <c r="J13421" i="1"/>
  <c r="J13420" i="1"/>
  <c r="J13419" i="1"/>
  <c r="J13418" i="1"/>
  <c r="J13417" i="1"/>
  <c r="J13416" i="1"/>
  <c r="J13415" i="1"/>
  <c r="J13414" i="1"/>
  <c r="J13413" i="1"/>
  <c r="J13412" i="1"/>
  <c r="J13411" i="1"/>
  <c r="J13410" i="1"/>
  <c r="J13409" i="1"/>
  <c r="J13408" i="1"/>
  <c r="J13407" i="1"/>
  <c r="J13406" i="1"/>
  <c r="J13405" i="1"/>
  <c r="J13404" i="1"/>
  <c r="J13403" i="1"/>
  <c r="J13402" i="1"/>
  <c r="J13401" i="1"/>
  <c r="J13400" i="1"/>
  <c r="J13399" i="1"/>
  <c r="J13398" i="1"/>
  <c r="J13397" i="1"/>
  <c r="J13396" i="1"/>
  <c r="J13395" i="1"/>
  <c r="J13394" i="1"/>
  <c r="J13393" i="1"/>
  <c r="J13392" i="1"/>
  <c r="J13391" i="1"/>
  <c r="J13390" i="1"/>
  <c r="J13389" i="1"/>
  <c r="J13388" i="1"/>
  <c r="J13387" i="1"/>
  <c r="J13386" i="1"/>
  <c r="J13385" i="1"/>
  <c r="J13384" i="1"/>
  <c r="J13383" i="1"/>
  <c r="J13382" i="1"/>
  <c r="J13381" i="1"/>
  <c r="J13380" i="1"/>
  <c r="J13379" i="1"/>
  <c r="J13378" i="1"/>
  <c r="J13377" i="1"/>
  <c r="J13376" i="1"/>
  <c r="J13375" i="1"/>
  <c r="J13374" i="1"/>
  <c r="J13373" i="1"/>
  <c r="J13372" i="1"/>
  <c r="J13371" i="1"/>
  <c r="J13370" i="1"/>
  <c r="J13369" i="1"/>
  <c r="J13368" i="1"/>
  <c r="J13367" i="1"/>
  <c r="J13366" i="1"/>
  <c r="J13365" i="1"/>
  <c r="J13364" i="1"/>
  <c r="J13363" i="1"/>
  <c r="J13362" i="1"/>
  <c r="J13361" i="1"/>
  <c r="J13360" i="1"/>
  <c r="J13359" i="1"/>
  <c r="J13358" i="1"/>
  <c r="J13357" i="1"/>
  <c r="J13356" i="1"/>
  <c r="J13355" i="1"/>
  <c r="J13354" i="1"/>
  <c r="J13353" i="1"/>
  <c r="J13352" i="1"/>
  <c r="J13351" i="1"/>
  <c r="J13350" i="1"/>
  <c r="J13349" i="1"/>
  <c r="J13348" i="1"/>
  <c r="J13347" i="1"/>
  <c r="J13346" i="1"/>
  <c r="J13345" i="1"/>
  <c r="J13344" i="1"/>
  <c r="J13343" i="1"/>
  <c r="J13342" i="1"/>
  <c r="J13341" i="1"/>
  <c r="J13340" i="1"/>
  <c r="J13339" i="1"/>
  <c r="J13338" i="1"/>
  <c r="J13337" i="1"/>
  <c r="J13336" i="1"/>
  <c r="J13335" i="1"/>
  <c r="J13334" i="1"/>
  <c r="J13333" i="1"/>
  <c r="J13332" i="1"/>
  <c r="J13331" i="1"/>
  <c r="J13330" i="1"/>
  <c r="J13329" i="1"/>
  <c r="J13328" i="1"/>
  <c r="J13327" i="1"/>
  <c r="J13326" i="1"/>
  <c r="J13325" i="1"/>
  <c r="J13324" i="1"/>
  <c r="J13323" i="1"/>
  <c r="J13322" i="1"/>
  <c r="J13321" i="1"/>
  <c r="J13320" i="1"/>
  <c r="J13319" i="1"/>
  <c r="J13318" i="1"/>
  <c r="J13317" i="1"/>
  <c r="J13316" i="1"/>
  <c r="J13315" i="1"/>
  <c r="J13314" i="1"/>
  <c r="J13313" i="1"/>
  <c r="J13312" i="1"/>
  <c r="J13311" i="1"/>
  <c r="J13310" i="1"/>
  <c r="J13309" i="1"/>
  <c r="J13308" i="1"/>
  <c r="J13307" i="1"/>
  <c r="J13306" i="1"/>
  <c r="J13305" i="1"/>
  <c r="J13304" i="1"/>
  <c r="J13303" i="1"/>
  <c r="J13302" i="1"/>
  <c r="J13301" i="1"/>
  <c r="J13300" i="1"/>
  <c r="J13299" i="1"/>
  <c r="J13298" i="1"/>
  <c r="J13297" i="1"/>
  <c r="J13296" i="1"/>
  <c r="J13295" i="1"/>
  <c r="J13294" i="1"/>
  <c r="J13293" i="1"/>
  <c r="J13292" i="1"/>
  <c r="J13291" i="1"/>
  <c r="J13290" i="1"/>
  <c r="J13289" i="1"/>
  <c r="J13288" i="1"/>
  <c r="J13287" i="1"/>
  <c r="J13286" i="1"/>
  <c r="J13285" i="1"/>
  <c r="J13284" i="1"/>
  <c r="J13283" i="1"/>
  <c r="J13282" i="1"/>
  <c r="J13281" i="1"/>
  <c r="J13280" i="1"/>
  <c r="J13279" i="1"/>
  <c r="J13278" i="1"/>
  <c r="J13277" i="1"/>
  <c r="J13276" i="1"/>
  <c r="J13275" i="1"/>
  <c r="J13274" i="1"/>
  <c r="J13273" i="1"/>
  <c r="J13272" i="1"/>
  <c r="J13271" i="1"/>
  <c r="J13270" i="1"/>
  <c r="J13269" i="1"/>
  <c r="J13268" i="1"/>
  <c r="J13267" i="1"/>
  <c r="J13266" i="1"/>
  <c r="J13265" i="1"/>
  <c r="J13264" i="1"/>
  <c r="J13263" i="1"/>
  <c r="J13262" i="1"/>
  <c r="J13261" i="1"/>
  <c r="J13260" i="1"/>
  <c r="J13259" i="1"/>
  <c r="J13258" i="1"/>
  <c r="J13257" i="1"/>
  <c r="J13256" i="1"/>
  <c r="J13255" i="1"/>
  <c r="J13254" i="1"/>
  <c r="J13253" i="1"/>
  <c r="J13252" i="1"/>
  <c r="J13251" i="1"/>
  <c r="J13250" i="1"/>
  <c r="J13249" i="1"/>
  <c r="J13248" i="1"/>
  <c r="J13247" i="1"/>
  <c r="J13246" i="1"/>
  <c r="J13245" i="1"/>
  <c r="J13244" i="1"/>
  <c r="J13243" i="1"/>
  <c r="J13242" i="1"/>
  <c r="J13241" i="1"/>
  <c r="J13240" i="1"/>
  <c r="J13239" i="1"/>
  <c r="J13238" i="1"/>
  <c r="J13237" i="1"/>
  <c r="J13236" i="1"/>
  <c r="J13235" i="1"/>
  <c r="J13234" i="1"/>
  <c r="J13233" i="1"/>
  <c r="J13232" i="1"/>
  <c r="J13231" i="1"/>
  <c r="J13230" i="1"/>
  <c r="J13229" i="1"/>
  <c r="J13228" i="1"/>
  <c r="J13227" i="1"/>
  <c r="J13226" i="1"/>
  <c r="J13225" i="1"/>
  <c r="J13224" i="1"/>
  <c r="J13223" i="1"/>
  <c r="J13222" i="1"/>
  <c r="J13221" i="1"/>
  <c r="J13220" i="1"/>
  <c r="J13219" i="1"/>
  <c r="J13218" i="1"/>
  <c r="J13217" i="1"/>
  <c r="J13216" i="1"/>
  <c r="J13215" i="1"/>
  <c r="J13214" i="1"/>
  <c r="J13213" i="1"/>
  <c r="J13212" i="1"/>
  <c r="J13211" i="1"/>
  <c r="J13210" i="1"/>
  <c r="J13209" i="1"/>
  <c r="J13208" i="1"/>
  <c r="J13207" i="1"/>
  <c r="J13206" i="1"/>
  <c r="J13205" i="1"/>
  <c r="J13204" i="1"/>
  <c r="J13203" i="1"/>
  <c r="J13202" i="1"/>
  <c r="J13201" i="1"/>
  <c r="J13200" i="1"/>
  <c r="J13199" i="1"/>
  <c r="J13198" i="1"/>
  <c r="J13197" i="1"/>
  <c r="J13196" i="1"/>
  <c r="J13195" i="1"/>
  <c r="J13194" i="1"/>
  <c r="J13193" i="1"/>
  <c r="J13192" i="1"/>
  <c r="J13191" i="1"/>
  <c r="J13190" i="1"/>
  <c r="J13189" i="1"/>
  <c r="J13188" i="1"/>
  <c r="J13187" i="1"/>
  <c r="J13186" i="1"/>
  <c r="J13185" i="1"/>
  <c r="J13184" i="1"/>
  <c r="J13183" i="1"/>
  <c r="J13182" i="1"/>
  <c r="J13181" i="1"/>
  <c r="J13180" i="1"/>
  <c r="J13179" i="1"/>
  <c r="J13178" i="1"/>
  <c r="J13177" i="1"/>
  <c r="J13176" i="1"/>
  <c r="J13175" i="1"/>
  <c r="J13174" i="1"/>
  <c r="J13173" i="1"/>
  <c r="J13172" i="1"/>
  <c r="J13171" i="1"/>
  <c r="J13170" i="1"/>
  <c r="J13169" i="1"/>
  <c r="J13168" i="1"/>
  <c r="J13167" i="1"/>
  <c r="J13166" i="1"/>
  <c r="J13165" i="1"/>
  <c r="J13164" i="1"/>
  <c r="J13163" i="1"/>
  <c r="J13162" i="1"/>
  <c r="J13161" i="1"/>
  <c r="J13160" i="1"/>
  <c r="J13159" i="1"/>
  <c r="J13158" i="1"/>
  <c r="J13157" i="1"/>
  <c r="J13156" i="1"/>
  <c r="J13155" i="1"/>
  <c r="J13154" i="1"/>
  <c r="J13153" i="1"/>
  <c r="J13152" i="1"/>
  <c r="J13151" i="1"/>
  <c r="J13150" i="1"/>
  <c r="J13149" i="1"/>
  <c r="J13148" i="1"/>
  <c r="J13147" i="1"/>
  <c r="J13146" i="1"/>
  <c r="J13145" i="1"/>
  <c r="J13144" i="1"/>
  <c r="J13143" i="1"/>
  <c r="J13142" i="1"/>
  <c r="J13141" i="1"/>
  <c r="J13140" i="1"/>
  <c r="J13139" i="1"/>
  <c r="J13138" i="1"/>
  <c r="J13137" i="1"/>
  <c r="J13136" i="1"/>
  <c r="J13135" i="1"/>
  <c r="J13134" i="1"/>
  <c r="J13133" i="1"/>
  <c r="J13132" i="1"/>
  <c r="J13131" i="1"/>
  <c r="J13130" i="1"/>
  <c r="J13129" i="1"/>
  <c r="J13128" i="1"/>
  <c r="J13127" i="1"/>
  <c r="J13126" i="1"/>
  <c r="J13125" i="1"/>
  <c r="J13124" i="1"/>
  <c r="J13123" i="1"/>
  <c r="J13122" i="1"/>
  <c r="J13121" i="1"/>
  <c r="J13120" i="1"/>
  <c r="J13119" i="1"/>
  <c r="J13118" i="1"/>
  <c r="J13117" i="1"/>
  <c r="J13116" i="1"/>
  <c r="J13115" i="1"/>
  <c r="J13114" i="1"/>
  <c r="J13113" i="1"/>
  <c r="J13112" i="1"/>
  <c r="J13111" i="1"/>
  <c r="J13110" i="1"/>
  <c r="J13109" i="1"/>
  <c r="J13108" i="1"/>
  <c r="J13107" i="1"/>
  <c r="J13106" i="1"/>
  <c r="J13105" i="1"/>
  <c r="J13104" i="1"/>
  <c r="J13103" i="1"/>
  <c r="J13102" i="1"/>
  <c r="J13101" i="1"/>
  <c r="J13100" i="1"/>
  <c r="J13099" i="1"/>
  <c r="J13098" i="1"/>
  <c r="J13097" i="1"/>
  <c r="J13096" i="1"/>
  <c r="J13095" i="1"/>
  <c r="J13094" i="1"/>
  <c r="J13093" i="1"/>
  <c r="J13092" i="1"/>
  <c r="J13091" i="1"/>
  <c r="J13090" i="1"/>
  <c r="J13089" i="1"/>
  <c r="J13088" i="1"/>
  <c r="J13087" i="1"/>
  <c r="J13086" i="1"/>
  <c r="J13085" i="1"/>
  <c r="J13084" i="1"/>
  <c r="J13083" i="1"/>
  <c r="J13082" i="1"/>
  <c r="J13081" i="1"/>
  <c r="J13080" i="1"/>
  <c r="J13079" i="1"/>
  <c r="J13078" i="1"/>
  <c r="J13077" i="1"/>
  <c r="J13076" i="1"/>
  <c r="J13075" i="1"/>
  <c r="J13074" i="1"/>
  <c r="J13073" i="1"/>
  <c r="J13072" i="1"/>
  <c r="J13071" i="1"/>
  <c r="J13070" i="1"/>
  <c r="J13069" i="1"/>
  <c r="J13068" i="1"/>
  <c r="J13067" i="1"/>
  <c r="J13066" i="1"/>
  <c r="J13065" i="1"/>
  <c r="J13064" i="1"/>
  <c r="J13063" i="1"/>
  <c r="J13062" i="1"/>
  <c r="J13061" i="1"/>
  <c r="J13060" i="1"/>
  <c r="J13059" i="1"/>
  <c r="J13058" i="1"/>
  <c r="J13057" i="1"/>
  <c r="J13056" i="1"/>
  <c r="J13055" i="1"/>
  <c r="J13054" i="1"/>
  <c r="J13053" i="1"/>
  <c r="J13052" i="1"/>
  <c r="J13051" i="1"/>
  <c r="J13050" i="1"/>
  <c r="J13049" i="1"/>
  <c r="J13048" i="1"/>
  <c r="J13047" i="1"/>
  <c r="J13046" i="1"/>
  <c r="J13045" i="1"/>
  <c r="J13044" i="1"/>
  <c r="J13043" i="1"/>
  <c r="J13042" i="1"/>
  <c r="J13041" i="1"/>
  <c r="J13040" i="1"/>
  <c r="J13039" i="1"/>
  <c r="J13038" i="1"/>
  <c r="J13037" i="1"/>
  <c r="J13036" i="1"/>
  <c r="J13035" i="1"/>
  <c r="J13034" i="1"/>
  <c r="J13033" i="1"/>
  <c r="J13032" i="1"/>
  <c r="J13031" i="1"/>
  <c r="J13030" i="1"/>
  <c r="J13029" i="1"/>
  <c r="J13028" i="1"/>
  <c r="J13027" i="1"/>
  <c r="J13026" i="1"/>
  <c r="J13025" i="1"/>
  <c r="J13024" i="1"/>
  <c r="J13023" i="1"/>
  <c r="J13022" i="1"/>
  <c r="J13021" i="1"/>
  <c r="J13020" i="1"/>
  <c r="J13019" i="1"/>
  <c r="J13018" i="1"/>
  <c r="J13017" i="1"/>
  <c r="J13016" i="1"/>
  <c r="J13015" i="1"/>
  <c r="J13014" i="1"/>
  <c r="J13013" i="1"/>
  <c r="J13012" i="1"/>
  <c r="J13011" i="1"/>
  <c r="J13010" i="1"/>
  <c r="J13009" i="1"/>
  <c r="J13008" i="1"/>
  <c r="J13007" i="1"/>
  <c r="J13006" i="1"/>
  <c r="J13005" i="1"/>
  <c r="J13004" i="1"/>
  <c r="J13003" i="1"/>
  <c r="J13002" i="1"/>
  <c r="J13001" i="1"/>
  <c r="J13000" i="1"/>
  <c r="J12999" i="1"/>
  <c r="J12998" i="1"/>
  <c r="J12997" i="1"/>
  <c r="J12996" i="1"/>
  <c r="J12995" i="1"/>
  <c r="J12994" i="1"/>
  <c r="J12993" i="1"/>
  <c r="J12992" i="1"/>
  <c r="J12991" i="1"/>
  <c r="J12990" i="1"/>
  <c r="J12989" i="1"/>
  <c r="J12988" i="1"/>
  <c r="J12987" i="1"/>
  <c r="J12986" i="1"/>
  <c r="J12985" i="1"/>
  <c r="J12984" i="1"/>
  <c r="J12983" i="1"/>
  <c r="J12982" i="1"/>
  <c r="J12981" i="1"/>
  <c r="J12980" i="1"/>
  <c r="J12979" i="1"/>
  <c r="J12978" i="1"/>
  <c r="J12977" i="1"/>
  <c r="J12976" i="1"/>
  <c r="J12975" i="1"/>
  <c r="J12974" i="1"/>
  <c r="J12973" i="1"/>
  <c r="J12972" i="1"/>
  <c r="J12971" i="1"/>
  <c r="J12970" i="1"/>
  <c r="J12969" i="1"/>
  <c r="J12968" i="1"/>
  <c r="J12967" i="1"/>
  <c r="J12966" i="1"/>
  <c r="J12965" i="1"/>
  <c r="J12964" i="1"/>
  <c r="J12963" i="1"/>
  <c r="J12962" i="1"/>
  <c r="J12961" i="1"/>
  <c r="J12960" i="1"/>
  <c r="J12959" i="1"/>
  <c r="J12958" i="1"/>
  <c r="J12957" i="1"/>
  <c r="J12956" i="1"/>
  <c r="J12955" i="1"/>
  <c r="J12954" i="1"/>
  <c r="J12953" i="1"/>
  <c r="J12952" i="1"/>
  <c r="J12951" i="1"/>
  <c r="J12950" i="1"/>
  <c r="J12949" i="1"/>
  <c r="J12948" i="1"/>
  <c r="J12947" i="1"/>
  <c r="J12946" i="1"/>
  <c r="J12945" i="1"/>
  <c r="J12944" i="1"/>
  <c r="J12943" i="1"/>
  <c r="J12942" i="1"/>
  <c r="J12941" i="1"/>
  <c r="J12940" i="1"/>
  <c r="J12939" i="1"/>
  <c r="J12938" i="1"/>
  <c r="J12937" i="1"/>
  <c r="J12936" i="1"/>
  <c r="J12935" i="1"/>
  <c r="J12934" i="1"/>
  <c r="J12933" i="1"/>
  <c r="J12932" i="1"/>
  <c r="J12931" i="1"/>
  <c r="J12930" i="1"/>
  <c r="J12929" i="1"/>
  <c r="J12928" i="1"/>
  <c r="J12927" i="1"/>
  <c r="J12926" i="1"/>
  <c r="J12925" i="1"/>
  <c r="J12924" i="1"/>
  <c r="J12923" i="1"/>
  <c r="J12922" i="1"/>
  <c r="J12921" i="1"/>
  <c r="J12920" i="1"/>
  <c r="J12919" i="1"/>
  <c r="J12918" i="1"/>
  <c r="J12917" i="1"/>
  <c r="J12916" i="1"/>
  <c r="J12915" i="1"/>
  <c r="J12914" i="1"/>
  <c r="J12913" i="1"/>
  <c r="J12912" i="1"/>
  <c r="J12911" i="1"/>
  <c r="J12910" i="1"/>
  <c r="J12909" i="1"/>
  <c r="J12908" i="1"/>
  <c r="J12907" i="1"/>
  <c r="J12906" i="1"/>
  <c r="J12905" i="1"/>
  <c r="J12904" i="1"/>
  <c r="J12903" i="1"/>
  <c r="J12902" i="1"/>
  <c r="J12901" i="1"/>
  <c r="J12900" i="1"/>
  <c r="J12899" i="1"/>
  <c r="J12898" i="1"/>
  <c r="J12897" i="1"/>
  <c r="J12896" i="1"/>
  <c r="J12895" i="1"/>
  <c r="J12894" i="1"/>
  <c r="J12893" i="1"/>
  <c r="J12892" i="1"/>
  <c r="J12891" i="1"/>
  <c r="J12890" i="1"/>
  <c r="J12889" i="1"/>
  <c r="J12888" i="1"/>
  <c r="J12887" i="1"/>
  <c r="J12886" i="1"/>
  <c r="J12885" i="1"/>
  <c r="J12884" i="1"/>
  <c r="J12883" i="1"/>
  <c r="J12882" i="1"/>
  <c r="J12881" i="1"/>
  <c r="J12880" i="1"/>
  <c r="J12879" i="1"/>
  <c r="J12878" i="1"/>
  <c r="J12877" i="1"/>
  <c r="J12876" i="1"/>
  <c r="J12875" i="1"/>
  <c r="J12874" i="1"/>
  <c r="J12873" i="1"/>
  <c r="J12872" i="1"/>
  <c r="J12871" i="1"/>
  <c r="J12870" i="1"/>
  <c r="J12869" i="1"/>
  <c r="J12868" i="1"/>
  <c r="J12867" i="1"/>
  <c r="J12866" i="1"/>
  <c r="J12865" i="1"/>
  <c r="J12864" i="1"/>
  <c r="J12863" i="1"/>
  <c r="J12862" i="1"/>
  <c r="J12861" i="1"/>
  <c r="J12860" i="1"/>
  <c r="J12859" i="1"/>
  <c r="J12858" i="1"/>
  <c r="J12857" i="1"/>
  <c r="J12856" i="1"/>
  <c r="J12855" i="1"/>
  <c r="J12854" i="1"/>
  <c r="J12853" i="1"/>
  <c r="J12852" i="1"/>
  <c r="J12851" i="1"/>
  <c r="J12850" i="1"/>
  <c r="J12849" i="1"/>
  <c r="J12848" i="1"/>
  <c r="J12847" i="1"/>
  <c r="J12846" i="1"/>
  <c r="J12845" i="1"/>
  <c r="J12844" i="1"/>
  <c r="J12843" i="1"/>
  <c r="J12842" i="1"/>
  <c r="J12841" i="1"/>
  <c r="J12840" i="1"/>
  <c r="J12839" i="1"/>
  <c r="J12838" i="1"/>
  <c r="J12837" i="1"/>
  <c r="J12836" i="1"/>
  <c r="J12835" i="1"/>
  <c r="J12834" i="1"/>
  <c r="J12833" i="1"/>
  <c r="J12832" i="1"/>
  <c r="J12831" i="1"/>
  <c r="J12830" i="1"/>
  <c r="J12829" i="1"/>
  <c r="J12828" i="1"/>
  <c r="J12827" i="1"/>
  <c r="J12826" i="1"/>
  <c r="J12825" i="1"/>
  <c r="J12824" i="1"/>
  <c r="J12823" i="1"/>
  <c r="J12822" i="1"/>
  <c r="J12821" i="1"/>
  <c r="J12820" i="1"/>
  <c r="J12819" i="1"/>
  <c r="J12818" i="1"/>
  <c r="J12817" i="1"/>
  <c r="J12816" i="1"/>
  <c r="J12815" i="1"/>
  <c r="J12814" i="1"/>
  <c r="J12813" i="1"/>
  <c r="J12812" i="1"/>
  <c r="J12811" i="1"/>
  <c r="J12810" i="1"/>
  <c r="J12809" i="1"/>
  <c r="J12808" i="1"/>
  <c r="J12807" i="1"/>
  <c r="J12806" i="1"/>
  <c r="J12805" i="1"/>
  <c r="J12804" i="1"/>
  <c r="J12803" i="1"/>
  <c r="J12802" i="1"/>
  <c r="J12801" i="1"/>
  <c r="J12800" i="1"/>
  <c r="J12799" i="1"/>
  <c r="J12798" i="1"/>
  <c r="J12797" i="1"/>
  <c r="J12796" i="1"/>
  <c r="J12795" i="1"/>
  <c r="J12794" i="1"/>
  <c r="J12793" i="1"/>
  <c r="J12792" i="1"/>
  <c r="J12791" i="1"/>
  <c r="J12790" i="1"/>
  <c r="J12789" i="1"/>
  <c r="J12788" i="1"/>
  <c r="J12787" i="1"/>
  <c r="J12786" i="1"/>
  <c r="J12785" i="1"/>
  <c r="J12784" i="1"/>
  <c r="J12783" i="1"/>
  <c r="J12782" i="1"/>
  <c r="J12781" i="1"/>
  <c r="J12780" i="1"/>
  <c r="J12779" i="1"/>
  <c r="J12778" i="1"/>
  <c r="J12777" i="1"/>
  <c r="J12776" i="1"/>
  <c r="J12775" i="1"/>
  <c r="J12774" i="1"/>
  <c r="J12773" i="1"/>
  <c r="J12772" i="1"/>
  <c r="J12771" i="1"/>
  <c r="J12770" i="1"/>
  <c r="J12769" i="1"/>
  <c r="J12768" i="1"/>
  <c r="J12767" i="1"/>
  <c r="J12766" i="1"/>
  <c r="J12765" i="1"/>
  <c r="J12764" i="1"/>
  <c r="J12763" i="1"/>
  <c r="J12762" i="1"/>
  <c r="J12761" i="1"/>
  <c r="J12760" i="1"/>
  <c r="J12759" i="1"/>
  <c r="J12758" i="1"/>
  <c r="J12757" i="1"/>
  <c r="J12756" i="1"/>
  <c r="J12755" i="1"/>
  <c r="J12754" i="1"/>
  <c r="J12753" i="1"/>
  <c r="J12752" i="1"/>
  <c r="J12751" i="1"/>
  <c r="J12750" i="1"/>
  <c r="J12749" i="1"/>
  <c r="J12748" i="1"/>
  <c r="J12747" i="1"/>
  <c r="J12746" i="1"/>
  <c r="J12745" i="1"/>
  <c r="J12744" i="1"/>
  <c r="J12743" i="1"/>
  <c r="J12742" i="1"/>
  <c r="J12741" i="1"/>
  <c r="J12740" i="1"/>
  <c r="J12739" i="1"/>
  <c r="J12738" i="1"/>
  <c r="J12737" i="1"/>
  <c r="J12736" i="1"/>
  <c r="J12735" i="1"/>
  <c r="J12734" i="1"/>
  <c r="J12733" i="1"/>
  <c r="J12732" i="1"/>
  <c r="J12731" i="1"/>
  <c r="J12730" i="1"/>
  <c r="J12729" i="1"/>
  <c r="J12728" i="1"/>
  <c r="J12727" i="1"/>
  <c r="J12726" i="1"/>
  <c r="J12725" i="1"/>
  <c r="J12724" i="1"/>
  <c r="J12723" i="1"/>
  <c r="J12722" i="1"/>
  <c r="J12721" i="1"/>
  <c r="J12720" i="1"/>
  <c r="J12719" i="1"/>
  <c r="J12718" i="1"/>
  <c r="J12717" i="1"/>
  <c r="J12716" i="1"/>
  <c r="J12715" i="1"/>
  <c r="J12714" i="1"/>
  <c r="J12713" i="1"/>
  <c r="J12712" i="1"/>
  <c r="J12711" i="1"/>
  <c r="J12710" i="1"/>
  <c r="J12709" i="1"/>
  <c r="J12708" i="1"/>
  <c r="J12707" i="1"/>
  <c r="J12706" i="1"/>
  <c r="J12705" i="1"/>
  <c r="J12704" i="1"/>
  <c r="J12703" i="1"/>
  <c r="J12702" i="1"/>
  <c r="J12701" i="1"/>
  <c r="J12700" i="1"/>
  <c r="J12699" i="1"/>
  <c r="J12698" i="1"/>
  <c r="J12697" i="1"/>
  <c r="J12696" i="1"/>
  <c r="J12695" i="1"/>
  <c r="J12694" i="1"/>
  <c r="J12693" i="1"/>
  <c r="J12692" i="1"/>
  <c r="J12691" i="1"/>
  <c r="J12690" i="1"/>
  <c r="J12689" i="1"/>
  <c r="J12688" i="1"/>
  <c r="J12687" i="1"/>
  <c r="J12686" i="1"/>
  <c r="J12685" i="1"/>
  <c r="J12684" i="1"/>
  <c r="J12683" i="1"/>
  <c r="J12682" i="1"/>
  <c r="J12681" i="1"/>
  <c r="J12680" i="1"/>
  <c r="J12679" i="1"/>
  <c r="J12678" i="1"/>
  <c r="J12677" i="1"/>
  <c r="J12676" i="1"/>
  <c r="J12675" i="1"/>
  <c r="J12674" i="1"/>
  <c r="J12673" i="1"/>
  <c r="J12672" i="1"/>
  <c r="J12671" i="1"/>
  <c r="J12670" i="1"/>
  <c r="J12669" i="1"/>
  <c r="J12668" i="1"/>
  <c r="J12667" i="1"/>
  <c r="J12666" i="1"/>
  <c r="J12665" i="1"/>
  <c r="J12664" i="1"/>
  <c r="J12663" i="1"/>
  <c r="J12662" i="1"/>
  <c r="J12661" i="1"/>
  <c r="J12660" i="1"/>
  <c r="J12659" i="1"/>
  <c r="J12658" i="1"/>
  <c r="J12657" i="1"/>
  <c r="J12656" i="1"/>
  <c r="J12655" i="1"/>
  <c r="J12654" i="1"/>
  <c r="J12653" i="1"/>
  <c r="J12652" i="1"/>
  <c r="J12651" i="1"/>
  <c r="J12650" i="1"/>
  <c r="J12649" i="1"/>
  <c r="J12648" i="1"/>
  <c r="J12647" i="1"/>
  <c r="J12646" i="1"/>
  <c r="J12645" i="1"/>
  <c r="J12644" i="1"/>
  <c r="J12643" i="1"/>
  <c r="J12642" i="1"/>
  <c r="J12641" i="1"/>
  <c r="J12640" i="1"/>
  <c r="J12639" i="1"/>
  <c r="J12638" i="1"/>
  <c r="J12637" i="1"/>
  <c r="J12636" i="1"/>
  <c r="J12635" i="1"/>
  <c r="J12634" i="1"/>
  <c r="J12633" i="1"/>
  <c r="J12632" i="1"/>
  <c r="J12631" i="1"/>
  <c r="J12630" i="1"/>
  <c r="J12629" i="1"/>
  <c r="J12628" i="1"/>
  <c r="J12627" i="1"/>
  <c r="J12626" i="1"/>
  <c r="J12625" i="1"/>
  <c r="J12624" i="1"/>
  <c r="J12623" i="1"/>
  <c r="J12622" i="1"/>
  <c r="J12621" i="1"/>
  <c r="J12620" i="1"/>
  <c r="J12619" i="1"/>
  <c r="J12618" i="1"/>
  <c r="J12617" i="1"/>
  <c r="J12616" i="1"/>
  <c r="J12615" i="1"/>
  <c r="J12614" i="1"/>
  <c r="J12613" i="1"/>
  <c r="J12612" i="1"/>
  <c r="J12611" i="1"/>
  <c r="J12610" i="1"/>
  <c r="J12609" i="1"/>
  <c r="J12608" i="1"/>
  <c r="J12607" i="1"/>
  <c r="J12606" i="1"/>
  <c r="J12605" i="1"/>
  <c r="J12604" i="1"/>
  <c r="J12603" i="1"/>
  <c r="J12602" i="1"/>
  <c r="J12601" i="1"/>
  <c r="J12600" i="1"/>
  <c r="J12599" i="1"/>
  <c r="J12598" i="1"/>
  <c r="J12597" i="1"/>
  <c r="J12596" i="1"/>
  <c r="J12595" i="1"/>
  <c r="J12594" i="1"/>
  <c r="J12593" i="1"/>
  <c r="J12592" i="1"/>
  <c r="J12591" i="1"/>
  <c r="J12590" i="1"/>
  <c r="J12589" i="1"/>
  <c r="J12588" i="1"/>
  <c r="J12587" i="1"/>
  <c r="J12586" i="1"/>
  <c r="J12585" i="1"/>
  <c r="J12584" i="1"/>
  <c r="J12583" i="1"/>
  <c r="J12582" i="1"/>
  <c r="J12581" i="1"/>
  <c r="J12580" i="1"/>
  <c r="J12579" i="1"/>
  <c r="J12578" i="1"/>
  <c r="J12577" i="1"/>
  <c r="J12576" i="1"/>
  <c r="J12575" i="1"/>
  <c r="J12574" i="1"/>
  <c r="J12573" i="1"/>
  <c r="J12572" i="1"/>
  <c r="J12571" i="1"/>
  <c r="J12570" i="1"/>
  <c r="J12569" i="1"/>
  <c r="J12568" i="1"/>
  <c r="J12567" i="1"/>
  <c r="J12566" i="1"/>
  <c r="J12565" i="1"/>
  <c r="J12564" i="1"/>
  <c r="J12563" i="1"/>
  <c r="J12562" i="1"/>
  <c r="J12561" i="1"/>
  <c r="J12560" i="1"/>
  <c r="J12559" i="1"/>
  <c r="J12558" i="1"/>
  <c r="J12557" i="1"/>
  <c r="J12556" i="1"/>
  <c r="J12555" i="1"/>
  <c r="J12554" i="1"/>
  <c r="J12553" i="1"/>
  <c r="J12552" i="1"/>
  <c r="J12551" i="1"/>
  <c r="J12550" i="1"/>
  <c r="J12549" i="1"/>
  <c r="J12548" i="1"/>
  <c r="J12547" i="1"/>
  <c r="J12546" i="1"/>
  <c r="J12545" i="1"/>
  <c r="J12544" i="1"/>
  <c r="J12543" i="1"/>
  <c r="J12542" i="1"/>
  <c r="J12541" i="1"/>
  <c r="J12540" i="1"/>
  <c r="J12539" i="1"/>
  <c r="J12538" i="1"/>
  <c r="J12537" i="1"/>
  <c r="J12536" i="1"/>
  <c r="J12535" i="1"/>
  <c r="J12534" i="1"/>
  <c r="J12533" i="1"/>
  <c r="J12532" i="1"/>
  <c r="J12531" i="1"/>
  <c r="J12530" i="1"/>
  <c r="J12529" i="1"/>
  <c r="J12528" i="1"/>
  <c r="J12527" i="1"/>
  <c r="J12526" i="1"/>
  <c r="J12525" i="1"/>
  <c r="J12524" i="1"/>
  <c r="J12523" i="1"/>
  <c r="J12522" i="1"/>
  <c r="J12521" i="1"/>
  <c r="J12520" i="1"/>
  <c r="J12519" i="1"/>
  <c r="J12518" i="1"/>
  <c r="J12517" i="1"/>
  <c r="J12516" i="1"/>
  <c r="J12515" i="1"/>
  <c r="J12514" i="1"/>
  <c r="J12513" i="1"/>
  <c r="J12512" i="1"/>
  <c r="J12511" i="1"/>
  <c r="J12510" i="1"/>
  <c r="J12509" i="1"/>
  <c r="J12508" i="1"/>
  <c r="J12507" i="1"/>
  <c r="J12506" i="1"/>
  <c r="J12505" i="1"/>
  <c r="J12504" i="1"/>
  <c r="J12503" i="1"/>
  <c r="J12502" i="1"/>
  <c r="J12501" i="1"/>
  <c r="J12500" i="1"/>
  <c r="J12499" i="1"/>
  <c r="J12498" i="1"/>
  <c r="J12497" i="1"/>
  <c r="J12496" i="1"/>
  <c r="J12495" i="1"/>
  <c r="J12494" i="1"/>
  <c r="J12493" i="1"/>
  <c r="J12492" i="1"/>
  <c r="J12491" i="1"/>
  <c r="J12490" i="1"/>
  <c r="J12489" i="1"/>
  <c r="J12488" i="1"/>
  <c r="J12487" i="1"/>
  <c r="J12486" i="1"/>
  <c r="J12485" i="1"/>
  <c r="J12484" i="1"/>
  <c r="J12483" i="1"/>
  <c r="J12482" i="1"/>
  <c r="J12481" i="1"/>
  <c r="J12480" i="1"/>
  <c r="J12479" i="1"/>
  <c r="J12478" i="1"/>
  <c r="J12477" i="1"/>
  <c r="J12476" i="1"/>
  <c r="J12475" i="1"/>
  <c r="J12474" i="1"/>
  <c r="J12473" i="1"/>
  <c r="J12472" i="1"/>
  <c r="J12471" i="1"/>
  <c r="J12470" i="1"/>
  <c r="J12469" i="1"/>
  <c r="J12468" i="1"/>
  <c r="J12467" i="1"/>
  <c r="J12466" i="1"/>
  <c r="J12465" i="1"/>
  <c r="J12464" i="1"/>
  <c r="J12463" i="1"/>
  <c r="J12462" i="1"/>
  <c r="J12461" i="1"/>
  <c r="J12460" i="1"/>
  <c r="J12459" i="1"/>
  <c r="J12458" i="1"/>
  <c r="J12457" i="1"/>
  <c r="J12456" i="1"/>
  <c r="J12455" i="1"/>
  <c r="J12454" i="1"/>
  <c r="J12453" i="1"/>
  <c r="J12452" i="1"/>
  <c r="J12451" i="1"/>
  <c r="J12450" i="1"/>
  <c r="J12449" i="1"/>
  <c r="J12448" i="1"/>
  <c r="J12447" i="1"/>
  <c r="J12446" i="1"/>
  <c r="J12445" i="1"/>
  <c r="J12444" i="1"/>
  <c r="J12443" i="1"/>
  <c r="J12442" i="1"/>
  <c r="J12441" i="1"/>
  <c r="J12440" i="1"/>
  <c r="J12439" i="1"/>
  <c r="J12438" i="1"/>
  <c r="J12437" i="1"/>
  <c r="J12436" i="1"/>
  <c r="J12435" i="1"/>
  <c r="J12434" i="1"/>
  <c r="J12433" i="1"/>
  <c r="J12432" i="1"/>
  <c r="J12431" i="1"/>
  <c r="J12430" i="1"/>
  <c r="J12429" i="1"/>
  <c r="J12428" i="1"/>
  <c r="J12427" i="1"/>
  <c r="J12426" i="1"/>
  <c r="J12425" i="1"/>
  <c r="J12424" i="1"/>
  <c r="J12423" i="1"/>
  <c r="J12422" i="1"/>
  <c r="J12421" i="1"/>
  <c r="J12420" i="1"/>
  <c r="J12419" i="1"/>
  <c r="J12418" i="1"/>
  <c r="J12417" i="1"/>
  <c r="J12416" i="1"/>
  <c r="J12415" i="1"/>
  <c r="J12414" i="1"/>
  <c r="J12413" i="1"/>
  <c r="J12412" i="1"/>
  <c r="J12411" i="1"/>
  <c r="J12410" i="1"/>
  <c r="J12409" i="1"/>
  <c r="J12408" i="1"/>
  <c r="J12407" i="1"/>
  <c r="J12406" i="1"/>
  <c r="J12405" i="1"/>
  <c r="J12404" i="1"/>
  <c r="J12403" i="1"/>
  <c r="J12402" i="1"/>
  <c r="J12401" i="1"/>
  <c r="J12400" i="1"/>
  <c r="J12399" i="1"/>
  <c r="J12398" i="1"/>
  <c r="J12397" i="1"/>
  <c r="J12396" i="1"/>
  <c r="J12395" i="1"/>
  <c r="J12394" i="1"/>
  <c r="J12393" i="1"/>
  <c r="J12392" i="1"/>
  <c r="J12391" i="1"/>
  <c r="J12390" i="1"/>
  <c r="J12389" i="1"/>
  <c r="J12388" i="1"/>
  <c r="J12387" i="1"/>
  <c r="J12386" i="1"/>
  <c r="J12385" i="1"/>
  <c r="J12384" i="1"/>
  <c r="J12383" i="1"/>
  <c r="J12382" i="1"/>
  <c r="J12381" i="1"/>
  <c r="J12380" i="1"/>
  <c r="J12379" i="1"/>
  <c r="J12378" i="1"/>
  <c r="J12377" i="1"/>
  <c r="J12376" i="1"/>
  <c r="J12375" i="1"/>
  <c r="J12374" i="1"/>
  <c r="J12373" i="1"/>
  <c r="J12372" i="1"/>
  <c r="J12371" i="1"/>
  <c r="J12370" i="1"/>
  <c r="J12369" i="1"/>
  <c r="J12368" i="1"/>
  <c r="J12367" i="1"/>
  <c r="J12366" i="1"/>
  <c r="J12365" i="1"/>
  <c r="J12364" i="1"/>
  <c r="J12363" i="1"/>
  <c r="J12362" i="1"/>
  <c r="J12361" i="1"/>
  <c r="J12360" i="1"/>
  <c r="J12359" i="1"/>
  <c r="J12358" i="1"/>
  <c r="J12357" i="1"/>
  <c r="J12356" i="1"/>
  <c r="J12355" i="1"/>
  <c r="J12354" i="1"/>
  <c r="J12353" i="1"/>
  <c r="J12352" i="1"/>
  <c r="J12351" i="1"/>
  <c r="J12350" i="1"/>
  <c r="J12349" i="1"/>
  <c r="J12348" i="1"/>
  <c r="J12347" i="1"/>
  <c r="J12346" i="1"/>
  <c r="J12345" i="1"/>
  <c r="J12344" i="1"/>
  <c r="J12343" i="1"/>
  <c r="J12342" i="1"/>
  <c r="J12341" i="1"/>
  <c r="J12340" i="1"/>
  <c r="J12339" i="1"/>
  <c r="J12338" i="1"/>
  <c r="J12337" i="1"/>
  <c r="J12336" i="1"/>
  <c r="J12335" i="1"/>
  <c r="J12334" i="1"/>
  <c r="J12333" i="1"/>
  <c r="J12332" i="1"/>
  <c r="J12331" i="1"/>
  <c r="J12330" i="1"/>
  <c r="J12329" i="1"/>
  <c r="J12328" i="1"/>
  <c r="J12327" i="1"/>
  <c r="J12326" i="1"/>
  <c r="J12325" i="1"/>
  <c r="J12324" i="1"/>
  <c r="J12323" i="1"/>
  <c r="J12322" i="1"/>
  <c r="J12321" i="1"/>
  <c r="J12320" i="1"/>
  <c r="J12319" i="1"/>
  <c r="J12318" i="1"/>
  <c r="J12317" i="1"/>
  <c r="J12316" i="1"/>
  <c r="J12315" i="1"/>
  <c r="J12314" i="1"/>
  <c r="J12313" i="1"/>
  <c r="J12312" i="1"/>
  <c r="J12311" i="1"/>
  <c r="J12310" i="1"/>
  <c r="J12309" i="1"/>
  <c r="J12308" i="1"/>
  <c r="J12307" i="1"/>
  <c r="J12306" i="1"/>
  <c r="J12305" i="1"/>
  <c r="J12304" i="1"/>
  <c r="J12303" i="1"/>
  <c r="J12302" i="1"/>
  <c r="J12301" i="1"/>
  <c r="J12300" i="1"/>
  <c r="J12299" i="1"/>
  <c r="J12298" i="1"/>
  <c r="J12297" i="1"/>
  <c r="J12296" i="1"/>
  <c r="J12295" i="1"/>
  <c r="J12294" i="1"/>
  <c r="J12293" i="1"/>
  <c r="J12292" i="1"/>
  <c r="J12291" i="1"/>
  <c r="J12290" i="1"/>
  <c r="J12289" i="1"/>
  <c r="J12288" i="1"/>
  <c r="J12287" i="1"/>
  <c r="J12286" i="1"/>
  <c r="J12285" i="1"/>
  <c r="J12284" i="1"/>
  <c r="J12283" i="1"/>
  <c r="J12282" i="1"/>
  <c r="J12281" i="1"/>
  <c r="J12280" i="1"/>
  <c r="J12279" i="1"/>
  <c r="J12278" i="1"/>
  <c r="J12277" i="1"/>
  <c r="J12276" i="1"/>
  <c r="J12275" i="1"/>
  <c r="J12274" i="1"/>
  <c r="J12273" i="1"/>
  <c r="J12272" i="1"/>
  <c r="J12271" i="1"/>
  <c r="J12270" i="1"/>
  <c r="J12269" i="1"/>
  <c r="J12268" i="1"/>
  <c r="J12267" i="1"/>
  <c r="J12266" i="1"/>
  <c r="J12265" i="1"/>
  <c r="J12264" i="1"/>
  <c r="J12263" i="1"/>
  <c r="J12262" i="1"/>
  <c r="J12261" i="1"/>
  <c r="J12260" i="1"/>
  <c r="J12259" i="1"/>
  <c r="J12258" i="1"/>
  <c r="J12257" i="1"/>
  <c r="J12256" i="1"/>
  <c r="J12255" i="1"/>
  <c r="J12254" i="1"/>
  <c r="J12253" i="1"/>
  <c r="J12252" i="1"/>
  <c r="J12251" i="1"/>
  <c r="J12250" i="1"/>
  <c r="J12249" i="1"/>
  <c r="J12248" i="1"/>
  <c r="J12247" i="1"/>
  <c r="J12246" i="1"/>
  <c r="J12245" i="1"/>
  <c r="J12244" i="1"/>
  <c r="J12243" i="1"/>
  <c r="J12242" i="1"/>
  <c r="J12241" i="1"/>
  <c r="J12240" i="1"/>
  <c r="J12239" i="1"/>
  <c r="J12238" i="1"/>
  <c r="J12237" i="1"/>
  <c r="J12236" i="1"/>
  <c r="J12235" i="1"/>
  <c r="J12234" i="1"/>
  <c r="J12233" i="1"/>
  <c r="J12232" i="1"/>
  <c r="J12231" i="1"/>
  <c r="J12230" i="1"/>
  <c r="J12229" i="1"/>
  <c r="J12228" i="1"/>
  <c r="J12227" i="1"/>
  <c r="J12226" i="1"/>
  <c r="J12225" i="1"/>
  <c r="J12224" i="1"/>
  <c r="J12223" i="1"/>
  <c r="J12222" i="1"/>
  <c r="J12221" i="1"/>
  <c r="J12220" i="1"/>
  <c r="J12219" i="1"/>
  <c r="J12218" i="1"/>
  <c r="J12217" i="1"/>
  <c r="J12216" i="1"/>
  <c r="J12215" i="1"/>
  <c r="J12214" i="1"/>
  <c r="J12213" i="1"/>
  <c r="J12212" i="1"/>
  <c r="J12211" i="1"/>
  <c r="J12210" i="1"/>
  <c r="J12209" i="1"/>
  <c r="J12208" i="1"/>
  <c r="J12207" i="1"/>
  <c r="J12206" i="1"/>
  <c r="J12205" i="1"/>
  <c r="J12204" i="1"/>
  <c r="J12203" i="1"/>
  <c r="J12202" i="1"/>
  <c r="J12201" i="1"/>
  <c r="J12200" i="1"/>
  <c r="J12199" i="1"/>
  <c r="J12198" i="1"/>
  <c r="J12197" i="1"/>
  <c r="J12196" i="1"/>
  <c r="J12195" i="1"/>
  <c r="J12194" i="1"/>
  <c r="J12193" i="1"/>
  <c r="J12192" i="1"/>
  <c r="J12191" i="1"/>
  <c r="J12190" i="1"/>
  <c r="J12189" i="1"/>
  <c r="J12188" i="1"/>
  <c r="J12187" i="1"/>
  <c r="J12186" i="1"/>
  <c r="J12185" i="1"/>
  <c r="J12184" i="1"/>
  <c r="J12183" i="1"/>
  <c r="J12182" i="1"/>
  <c r="J12181" i="1"/>
  <c r="J12180" i="1"/>
  <c r="J12179" i="1"/>
  <c r="J12178" i="1"/>
  <c r="J12177" i="1"/>
  <c r="J12176" i="1"/>
  <c r="J12175" i="1"/>
  <c r="J12174" i="1"/>
  <c r="J12173" i="1"/>
  <c r="J12172" i="1"/>
  <c r="J12171" i="1"/>
  <c r="J12170" i="1"/>
  <c r="J12169" i="1"/>
  <c r="J12168" i="1"/>
  <c r="J12167" i="1"/>
  <c r="J12166" i="1"/>
  <c r="J12165" i="1"/>
  <c r="J12164" i="1"/>
  <c r="J12163" i="1"/>
  <c r="J12162" i="1"/>
  <c r="J12161" i="1"/>
  <c r="J12160" i="1"/>
  <c r="J12159" i="1"/>
  <c r="J12158" i="1"/>
  <c r="J12157" i="1"/>
  <c r="J12156" i="1"/>
  <c r="J12155" i="1"/>
  <c r="J12154" i="1"/>
  <c r="J12153" i="1"/>
  <c r="J12152" i="1"/>
  <c r="J12151" i="1"/>
  <c r="J12150" i="1"/>
  <c r="J12149" i="1"/>
  <c r="J12148" i="1"/>
  <c r="J12147" i="1"/>
  <c r="J12146" i="1"/>
  <c r="J12145" i="1"/>
  <c r="J12144" i="1"/>
  <c r="J12143" i="1"/>
  <c r="J12142" i="1"/>
  <c r="J12141" i="1"/>
  <c r="J12140" i="1"/>
  <c r="J12139" i="1"/>
  <c r="J12138" i="1"/>
  <c r="J12137" i="1"/>
  <c r="J12136" i="1"/>
  <c r="J12135" i="1"/>
  <c r="J12134" i="1"/>
  <c r="J12133" i="1"/>
  <c r="J12132" i="1"/>
  <c r="J12131" i="1"/>
  <c r="J12130" i="1"/>
  <c r="J12129" i="1"/>
  <c r="J12128" i="1"/>
  <c r="J12127" i="1"/>
  <c r="J12126" i="1"/>
  <c r="J12125" i="1"/>
  <c r="J12124" i="1"/>
  <c r="J12123" i="1"/>
  <c r="J12122" i="1"/>
  <c r="J12121" i="1"/>
  <c r="J12120" i="1"/>
  <c r="J12119" i="1"/>
  <c r="J12118" i="1"/>
  <c r="J12117" i="1"/>
  <c r="J12116" i="1"/>
  <c r="J12115" i="1"/>
  <c r="J12114" i="1"/>
  <c r="J12113" i="1"/>
  <c r="J12112" i="1"/>
  <c r="J12111" i="1"/>
  <c r="J12110" i="1"/>
  <c r="J12109" i="1"/>
  <c r="J12108" i="1"/>
  <c r="J12107" i="1"/>
  <c r="J12106" i="1"/>
  <c r="J12105" i="1"/>
  <c r="J12104" i="1"/>
  <c r="J12103" i="1"/>
  <c r="J12102" i="1"/>
  <c r="J12101" i="1"/>
  <c r="J12100" i="1"/>
  <c r="J12099" i="1"/>
  <c r="J12098" i="1"/>
  <c r="J12097" i="1"/>
  <c r="J12096" i="1"/>
  <c r="J12095" i="1"/>
  <c r="J12094" i="1"/>
  <c r="J12093" i="1"/>
  <c r="J12092" i="1"/>
  <c r="J12091" i="1"/>
  <c r="J12090" i="1"/>
  <c r="J12089" i="1"/>
  <c r="J12088" i="1"/>
  <c r="J12087" i="1"/>
  <c r="J12086" i="1"/>
  <c r="J12085" i="1"/>
  <c r="J12084" i="1"/>
  <c r="J12083" i="1"/>
  <c r="J12082" i="1"/>
  <c r="J12081" i="1"/>
  <c r="J12080" i="1"/>
  <c r="J12079" i="1"/>
  <c r="J12078" i="1"/>
  <c r="J12077" i="1"/>
  <c r="J12076" i="1"/>
  <c r="J12075" i="1"/>
  <c r="J12074" i="1"/>
  <c r="J12073" i="1"/>
  <c r="J12072" i="1"/>
  <c r="J12071" i="1"/>
  <c r="J12070" i="1"/>
  <c r="J12069" i="1"/>
  <c r="J12068" i="1"/>
  <c r="J12067" i="1"/>
  <c r="J12066" i="1"/>
  <c r="J12065" i="1"/>
  <c r="J12064" i="1"/>
  <c r="J12063" i="1"/>
  <c r="J12062" i="1"/>
  <c r="J12061" i="1"/>
  <c r="J12060" i="1"/>
  <c r="J12059" i="1"/>
  <c r="J12058" i="1"/>
  <c r="J12057" i="1"/>
  <c r="J12056" i="1"/>
  <c r="J12055" i="1"/>
  <c r="J12054" i="1"/>
  <c r="J12053" i="1"/>
  <c r="J12052" i="1"/>
  <c r="J12051" i="1"/>
  <c r="J12050" i="1"/>
  <c r="J12049" i="1"/>
  <c r="J12048" i="1"/>
  <c r="J12047" i="1"/>
  <c r="J12046" i="1"/>
  <c r="J12045" i="1"/>
  <c r="J12044" i="1"/>
  <c r="J12043" i="1"/>
  <c r="J12042" i="1"/>
  <c r="J12041" i="1"/>
  <c r="J12040" i="1"/>
  <c r="J12039" i="1"/>
  <c r="J12038" i="1"/>
  <c r="J12037" i="1"/>
  <c r="J12036" i="1"/>
  <c r="J12035" i="1"/>
  <c r="J12034" i="1"/>
  <c r="J12033" i="1"/>
  <c r="J12032" i="1"/>
  <c r="J12031" i="1"/>
  <c r="J12030" i="1"/>
  <c r="J12029" i="1"/>
  <c r="J12028" i="1"/>
  <c r="J12027" i="1"/>
  <c r="J12026" i="1"/>
  <c r="J12025" i="1"/>
  <c r="J12024" i="1"/>
  <c r="J12023" i="1"/>
  <c r="J12022" i="1"/>
  <c r="J12021" i="1"/>
  <c r="J12020" i="1"/>
  <c r="J12019" i="1"/>
  <c r="J12018" i="1"/>
  <c r="J12017" i="1"/>
  <c r="J12016" i="1"/>
  <c r="J12015" i="1"/>
  <c r="J12014" i="1"/>
  <c r="J12013" i="1"/>
  <c r="J12012" i="1"/>
  <c r="J12011" i="1"/>
  <c r="J12010" i="1"/>
  <c r="J12009" i="1"/>
  <c r="J12008" i="1"/>
  <c r="J12007" i="1"/>
  <c r="J12006" i="1"/>
  <c r="J12005" i="1"/>
  <c r="J12004" i="1"/>
  <c r="J12003" i="1"/>
  <c r="J12002" i="1"/>
  <c r="J12001" i="1"/>
  <c r="J12000" i="1"/>
  <c r="J11999" i="1"/>
  <c r="J11998" i="1"/>
  <c r="J11997" i="1"/>
  <c r="J11996" i="1"/>
  <c r="J11995" i="1"/>
  <c r="J11994" i="1"/>
  <c r="J11993" i="1"/>
  <c r="J11992" i="1"/>
  <c r="J11991" i="1"/>
  <c r="J11990" i="1"/>
  <c r="J11989" i="1"/>
  <c r="J11988" i="1"/>
  <c r="J11987" i="1"/>
  <c r="J11986" i="1"/>
  <c r="J11985" i="1"/>
  <c r="J11984" i="1"/>
  <c r="J11983" i="1"/>
  <c r="J11982" i="1"/>
  <c r="J11981" i="1"/>
  <c r="J11980" i="1"/>
  <c r="J11979" i="1"/>
  <c r="J11978" i="1"/>
  <c r="J11977" i="1"/>
  <c r="J11976" i="1"/>
  <c r="J11975" i="1"/>
  <c r="J11974" i="1"/>
  <c r="J11973" i="1"/>
  <c r="J11972" i="1"/>
  <c r="J11971" i="1"/>
  <c r="J11970" i="1"/>
  <c r="J11969" i="1"/>
  <c r="J11968" i="1"/>
  <c r="J11967" i="1"/>
  <c r="J11966" i="1"/>
  <c r="J11965" i="1"/>
  <c r="J11964" i="1"/>
  <c r="J11963" i="1"/>
  <c r="J11962" i="1"/>
  <c r="J11961" i="1"/>
  <c r="J11960" i="1"/>
  <c r="J11959" i="1"/>
  <c r="J11958" i="1"/>
  <c r="J11957" i="1"/>
  <c r="J11956" i="1"/>
  <c r="J11955" i="1"/>
  <c r="J11954" i="1"/>
  <c r="J11953" i="1"/>
  <c r="J11952" i="1"/>
  <c r="J11951" i="1"/>
  <c r="J11950" i="1"/>
  <c r="J11949" i="1"/>
  <c r="J11948" i="1"/>
  <c r="J11947" i="1"/>
  <c r="J11946" i="1"/>
  <c r="J11945" i="1"/>
  <c r="J11944" i="1"/>
  <c r="J11943" i="1"/>
  <c r="J11942" i="1"/>
  <c r="J11941" i="1"/>
  <c r="J11940" i="1"/>
  <c r="J11939" i="1"/>
  <c r="J11938" i="1"/>
  <c r="J11937" i="1"/>
  <c r="J11936" i="1"/>
  <c r="J11935" i="1"/>
  <c r="J11934" i="1"/>
  <c r="J11933" i="1"/>
  <c r="J11932" i="1"/>
  <c r="J11931" i="1"/>
  <c r="J11930" i="1"/>
  <c r="J11929" i="1"/>
  <c r="J11928" i="1"/>
  <c r="J11927" i="1"/>
  <c r="J11926" i="1"/>
  <c r="J11925" i="1"/>
  <c r="J11924" i="1"/>
  <c r="J11923" i="1"/>
  <c r="J11922" i="1"/>
  <c r="J11921" i="1"/>
  <c r="J11920" i="1"/>
  <c r="J11919" i="1"/>
  <c r="J11918" i="1"/>
  <c r="J11917" i="1"/>
  <c r="J11916" i="1"/>
  <c r="J11915" i="1"/>
  <c r="J11914" i="1"/>
  <c r="J11913" i="1"/>
  <c r="J11912" i="1"/>
  <c r="J11911" i="1"/>
  <c r="J11910" i="1"/>
  <c r="J11909" i="1"/>
  <c r="J11908" i="1"/>
  <c r="J11907" i="1"/>
  <c r="J11906" i="1"/>
  <c r="J11905" i="1"/>
  <c r="J11904" i="1"/>
  <c r="J11903" i="1"/>
  <c r="J11902" i="1"/>
  <c r="J11901" i="1"/>
  <c r="J11900" i="1"/>
  <c r="J11899" i="1"/>
  <c r="J11898" i="1"/>
  <c r="J11897" i="1"/>
  <c r="J11896" i="1"/>
  <c r="J11895" i="1"/>
  <c r="J11894" i="1"/>
  <c r="J11893" i="1"/>
  <c r="J11892" i="1"/>
  <c r="J11891" i="1"/>
  <c r="J11890" i="1"/>
  <c r="J11889" i="1"/>
  <c r="J11888" i="1"/>
  <c r="J11887" i="1"/>
  <c r="J11886" i="1"/>
  <c r="J11885" i="1"/>
  <c r="J11884" i="1"/>
  <c r="J11883" i="1"/>
  <c r="J11882" i="1"/>
  <c r="J11881" i="1"/>
  <c r="J11880" i="1"/>
  <c r="J11879" i="1"/>
  <c r="J11878" i="1"/>
  <c r="J11877" i="1"/>
  <c r="J11876" i="1"/>
  <c r="J11875" i="1"/>
  <c r="J11874" i="1"/>
  <c r="J11873" i="1"/>
  <c r="J11872" i="1"/>
  <c r="J11871" i="1"/>
  <c r="J11870" i="1"/>
  <c r="J11869" i="1"/>
  <c r="J11868" i="1"/>
  <c r="J11867" i="1"/>
  <c r="J11866" i="1"/>
  <c r="J11865" i="1"/>
  <c r="J11864" i="1"/>
  <c r="J11863" i="1"/>
  <c r="J11862" i="1"/>
  <c r="J11861" i="1"/>
  <c r="J11860" i="1"/>
  <c r="J11859" i="1"/>
  <c r="J11858" i="1"/>
  <c r="J11857" i="1"/>
  <c r="J11856" i="1"/>
  <c r="J11855" i="1"/>
  <c r="J11854" i="1"/>
  <c r="J11853" i="1"/>
  <c r="J11852" i="1"/>
  <c r="J11851" i="1"/>
  <c r="J11850" i="1"/>
  <c r="J11849" i="1"/>
  <c r="J11848" i="1"/>
  <c r="J11847" i="1"/>
  <c r="J11846" i="1"/>
  <c r="J11845" i="1"/>
  <c r="J11844" i="1"/>
  <c r="J11843" i="1"/>
  <c r="J11842" i="1"/>
  <c r="J11841" i="1"/>
  <c r="J11840" i="1"/>
  <c r="J11839" i="1"/>
  <c r="J11838" i="1"/>
  <c r="J11837" i="1"/>
  <c r="J11836" i="1"/>
  <c r="J11835" i="1"/>
  <c r="J11834" i="1"/>
  <c r="J11833" i="1"/>
  <c r="J11832" i="1"/>
  <c r="J11831" i="1"/>
  <c r="J11830" i="1"/>
  <c r="J11829" i="1"/>
  <c r="J11828" i="1"/>
  <c r="J11827" i="1"/>
  <c r="J11826" i="1"/>
  <c r="J11825" i="1"/>
  <c r="J11824" i="1"/>
  <c r="J11823" i="1"/>
  <c r="J11822" i="1"/>
  <c r="J11821" i="1"/>
  <c r="J11820" i="1"/>
  <c r="J11819" i="1"/>
  <c r="J11818" i="1"/>
  <c r="J11817" i="1"/>
  <c r="J11816" i="1"/>
  <c r="J11815" i="1"/>
  <c r="J11814" i="1"/>
  <c r="J11813" i="1"/>
  <c r="J11812" i="1"/>
  <c r="J11811" i="1"/>
  <c r="J11810" i="1"/>
  <c r="J11809" i="1"/>
  <c r="J11808" i="1"/>
  <c r="J11807" i="1"/>
  <c r="J11806" i="1"/>
  <c r="J11805" i="1"/>
  <c r="J11804" i="1"/>
  <c r="J11803" i="1"/>
  <c r="J11802" i="1"/>
  <c r="J11801" i="1"/>
  <c r="J11800" i="1"/>
  <c r="J11799" i="1"/>
  <c r="J11798" i="1"/>
  <c r="J11797" i="1"/>
  <c r="J11796" i="1"/>
  <c r="J11795" i="1"/>
  <c r="J11794" i="1"/>
  <c r="J11793" i="1"/>
  <c r="J11792" i="1"/>
  <c r="J11791" i="1"/>
  <c r="J11790" i="1"/>
  <c r="J11789" i="1"/>
  <c r="J11788" i="1"/>
  <c r="J11787" i="1"/>
  <c r="J11786" i="1"/>
  <c r="J11785" i="1"/>
  <c r="J11784" i="1"/>
  <c r="J11783" i="1"/>
  <c r="J11782" i="1"/>
  <c r="J11781" i="1"/>
  <c r="J11780" i="1"/>
  <c r="J11779" i="1"/>
  <c r="J11778" i="1"/>
  <c r="J11777" i="1"/>
  <c r="J11776" i="1"/>
  <c r="J11775" i="1"/>
  <c r="J11774" i="1"/>
  <c r="J11773" i="1"/>
  <c r="J11772" i="1"/>
  <c r="J11771" i="1"/>
  <c r="J11770" i="1"/>
  <c r="J11769" i="1"/>
  <c r="J11768" i="1"/>
  <c r="J11767" i="1"/>
  <c r="J11766" i="1"/>
  <c r="J11765" i="1"/>
  <c r="J11764" i="1"/>
  <c r="J11763" i="1"/>
  <c r="J11762" i="1"/>
  <c r="J11761" i="1"/>
  <c r="J11760" i="1"/>
  <c r="J11759" i="1"/>
  <c r="J11758" i="1"/>
  <c r="J11757" i="1"/>
  <c r="J11756" i="1"/>
  <c r="J11755" i="1"/>
  <c r="J11754" i="1"/>
  <c r="J11753" i="1"/>
  <c r="J11752" i="1"/>
  <c r="J11751" i="1"/>
  <c r="J11750" i="1"/>
  <c r="J11749" i="1"/>
  <c r="J11748" i="1"/>
  <c r="J11747" i="1"/>
  <c r="J11746" i="1"/>
  <c r="J11745" i="1"/>
  <c r="J11744" i="1"/>
  <c r="J11743" i="1"/>
  <c r="J11742" i="1"/>
  <c r="J11741" i="1"/>
  <c r="J11740" i="1"/>
  <c r="J11739" i="1"/>
  <c r="J11738" i="1"/>
  <c r="J11737" i="1"/>
  <c r="J11736" i="1"/>
  <c r="J11735" i="1"/>
  <c r="J11734" i="1"/>
  <c r="J11733" i="1"/>
  <c r="J11732" i="1"/>
  <c r="J11731" i="1"/>
  <c r="J11730" i="1"/>
  <c r="J11729" i="1"/>
  <c r="J11728" i="1"/>
  <c r="J11727" i="1"/>
  <c r="J11726" i="1"/>
  <c r="J11725" i="1"/>
  <c r="J11724" i="1"/>
  <c r="J11723" i="1"/>
  <c r="J11722" i="1"/>
  <c r="J11721" i="1"/>
  <c r="J11720" i="1"/>
  <c r="J11719" i="1"/>
  <c r="J11718" i="1"/>
  <c r="J11717" i="1"/>
  <c r="J11716" i="1"/>
  <c r="J11715" i="1"/>
  <c r="J11714" i="1"/>
  <c r="J11713" i="1"/>
  <c r="J11712" i="1"/>
  <c r="J11711" i="1"/>
  <c r="J11710" i="1"/>
  <c r="J11709" i="1"/>
  <c r="J11708" i="1"/>
  <c r="J11707" i="1"/>
  <c r="J11706" i="1"/>
  <c r="J11705" i="1"/>
  <c r="J11704" i="1"/>
  <c r="J11703" i="1"/>
  <c r="J11702" i="1"/>
  <c r="J11701" i="1"/>
  <c r="J11700" i="1"/>
  <c r="J11699" i="1"/>
  <c r="J11698" i="1"/>
  <c r="J11697" i="1"/>
  <c r="J11696" i="1"/>
  <c r="J11695" i="1"/>
  <c r="J11694" i="1"/>
  <c r="J11693" i="1"/>
  <c r="J11692" i="1"/>
  <c r="J11691" i="1"/>
  <c r="J11690" i="1"/>
  <c r="J11689" i="1"/>
  <c r="J11688" i="1"/>
  <c r="J11687" i="1"/>
  <c r="J11686" i="1"/>
  <c r="J11685" i="1"/>
  <c r="J11684" i="1"/>
  <c r="J11683" i="1"/>
  <c r="J11682" i="1"/>
  <c r="J11681" i="1"/>
  <c r="J11680" i="1"/>
  <c r="J11679" i="1"/>
  <c r="J11678" i="1"/>
  <c r="J11677" i="1"/>
  <c r="J11676" i="1"/>
  <c r="J11675" i="1"/>
  <c r="J11674" i="1"/>
  <c r="J11673" i="1"/>
  <c r="J11672" i="1"/>
  <c r="J11671" i="1"/>
  <c r="J11670" i="1"/>
  <c r="J11669" i="1"/>
  <c r="J11668" i="1"/>
  <c r="J11667" i="1"/>
  <c r="J11666" i="1"/>
  <c r="J11665" i="1"/>
  <c r="J11664" i="1"/>
  <c r="J11663" i="1"/>
  <c r="J11662" i="1"/>
  <c r="J11661" i="1"/>
  <c r="J11660" i="1"/>
  <c r="J11659" i="1"/>
  <c r="J11658" i="1"/>
  <c r="J11657" i="1"/>
  <c r="J11656" i="1"/>
  <c r="J11655" i="1"/>
  <c r="J11654" i="1"/>
  <c r="J11653" i="1"/>
  <c r="J11652" i="1"/>
  <c r="J11651" i="1"/>
  <c r="J11650" i="1"/>
  <c r="J11649" i="1"/>
  <c r="J11648" i="1"/>
  <c r="J11647" i="1"/>
  <c r="J11646" i="1"/>
  <c r="J11645" i="1"/>
  <c r="J11644" i="1"/>
  <c r="J11643" i="1"/>
  <c r="J11642" i="1"/>
  <c r="J11641" i="1"/>
  <c r="J11640" i="1"/>
  <c r="J11639" i="1"/>
  <c r="J11638" i="1"/>
  <c r="J11637" i="1"/>
  <c r="J11636" i="1"/>
  <c r="J11635" i="1"/>
  <c r="J11634" i="1"/>
  <c r="J11633" i="1"/>
  <c r="J11632" i="1"/>
  <c r="J11631" i="1"/>
  <c r="J11630" i="1"/>
  <c r="J11629" i="1"/>
  <c r="J11628" i="1"/>
  <c r="J11627" i="1"/>
  <c r="J11626" i="1"/>
  <c r="J11625" i="1"/>
  <c r="J11624" i="1"/>
  <c r="J11623" i="1"/>
  <c r="J11622" i="1"/>
  <c r="J11621" i="1"/>
  <c r="J11620" i="1"/>
  <c r="J11619" i="1"/>
  <c r="J11618" i="1"/>
  <c r="J11617" i="1"/>
  <c r="J11616" i="1"/>
  <c r="J11615" i="1"/>
  <c r="J11614" i="1"/>
  <c r="J11613" i="1"/>
  <c r="J11612" i="1"/>
  <c r="J11611" i="1"/>
  <c r="J11610" i="1"/>
  <c r="J11609" i="1"/>
  <c r="J11608" i="1"/>
  <c r="J11607" i="1"/>
  <c r="J11606" i="1"/>
  <c r="J11605" i="1"/>
  <c r="J11604" i="1"/>
  <c r="J11603" i="1"/>
  <c r="J11602" i="1"/>
  <c r="J11601" i="1"/>
  <c r="J11600" i="1"/>
  <c r="J11599" i="1"/>
  <c r="J11598" i="1"/>
  <c r="J11597" i="1"/>
  <c r="J11596" i="1"/>
  <c r="J11595" i="1"/>
  <c r="J11594" i="1"/>
  <c r="J11593" i="1"/>
  <c r="J11592" i="1"/>
  <c r="J11591" i="1"/>
  <c r="J11590" i="1"/>
  <c r="J11589" i="1"/>
  <c r="J11588" i="1"/>
  <c r="J11587" i="1"/>
  <c r="J11586" i="1"/>
  <c r="J11585" i="1"/>
  <c r="J11584" i="1"/>
  <c r="J11583" i="1"/>
  <c r="J11582" i="1"/>
  <c r="J11581" i="1"/>
  <c r="J11580" i="1"/>
  <c r="J11579" i="1"/>
  <c r="J11578" i="1"/>
  <c r="J11577" i="1"/>
  <c r="J11576" i="1"/>
  <c r="J11575" i="1"/>
  <c r="J11574" i="1"/>
  <c r="J11573" i="1"/>
  <c r="J11572" i="1"/>
  <c r="J11571" i="1"/>
  <c r="J11570" i="1"/>
  <c r="J11569" i="1"/>
  <c r="J11568" i="1"/>
  <c r="J11567" i="1"/>
  <c r="J11566" i="1"/>
  <c r="J11565" i="1"/>
  <c r="J11564" i="1"/>
  <c r="J11563" i="1"/>
  <c r="J11562" i="1"/>
  <c r="J11561" i="1"/>
  <c r="J11560" i="1"/>
  <c r="J11559" i="1"/>
  <c r="J11558" i="1"/>
  <c r="J11557" i="1"/>
  <c r="J11556" i="1"/>
  <c r="J11555" i="1"/>
  <c r="J11554" i="1"/>
  <c r="J11553" i="1"/>
  <c r="J11552" i="1"/>
  <c r="J11551" i="1"/>
  <c r="J11550" i="1"/>
  <c r="J11549" i="1"/>
  <c r="J11548" i="1"/>
  <c r="J11547" i="1"/>
  <c r="J11546" i="1"/>
  <c r="J11545" i="1"/>
  <c r="J11544" i="1"/>
  <c r="J11543" i="1"/>
  <c r="J11542" i="1"/>
  <c r="J11541" i="1"/>
  <c r="J11540" i="1"/>
  <c r="J11539" i="1"/>
  <c r="J11538" i="1"/>
  <c r="J11537" i="1"/>
  <c r="J11536" i="1"/>
  <c r="J11535" i="1"/>
  <c r="J11534" i="1"/>
  <c r="J11533" i="1"/>
  <c r="J11532" i="1"/>
  <c r="J11531" i="1"/>
  <c r="J11530" i="1"/>
  <c r="J11529" i="1"/>
  <c r="J11528" i="1"/>
  <c r="J11527" i="1"/>
  <c r="J11526" i="1"/>
  <c r="J11525" i="1"/>
  <c r="J11524" i="1"/>
  <c r="J11523" i="1"/>
  <c r="J11522" i="1"/>
  <c r="J11521" i="1"/>
  <c r="J11520" i="1"/>
  <c r="J11519" i="1"/>
  <c r="J11518" i="1"/>
  <c r="J11517" i="1"/>
  <c r="J11516" i="1"/>
  <c r="J11515" i="1"/>
  <c r="J11514" i="1"/>
  <c r="J11513" i="1"/>
  <c r="J11512" i="1"/>
  <c r="J11511" i="1"/>
  <c r="J11510" i="1"/>
  <c r="J11509" i="1"/>
  <c r="J11508" i="1"/>
  <c r="J11507" i="1"/>
  <c r="J11506" i="1"/>
  <c r="J11505" i="1"/>
  <c r="J11504" i="1"/>
  <c r="J11503" i="1"/>
  <c r="J11502" i="1"/>
  <c r="J11501" i="1"/>
  <c r="J11500" i="1"/>
  <c r="J11499" i="1"/>
  <c r="J11498" i="1"/>
  <c r="J11497" i="1"/>
  <c r="J11496" i="1"/>
  <c r="J11495" i="1"/>
  <c r="J11494" i="1"/>
  <c r="J11493" i="1"/>
  <c r="J11492" i="1"/>
  <c r="J11491" i="1"/>
  <c r="J11490" i="1"/>
  <c r="J11489" i="1"/>
  <c r="J11488" i="1"/>
  <c r="J11487" i="1"/>
  <c r="J11486" i="1"/>
  <c r="J11485" i="1"/>
  <c r="J11484" i="1"/>
  <c r="J11483" i="1"/>
  <c r="J11482" i="1"/>
  <c r="J11481" i="1"/>
  <c r="J11480" i="1"/>
  <c r="J11479" i="1"/>
  <c r="J11478" i="1"/>
  <c r="J11477" i="1"/>
  <c r="J11476" i="1"/>
  <c r="J11475" i="1"/>
  <c r="J11474" i="1"/>
  <c r="J11473" i="1"/>
  <c r="J11472" i="1"/>
  <c r="J11471" i="1"/>
  <c r="J11470" i="1"/>
  <c r="J11469" i="1"/>
  <c r="J11468" i="1"/>
  <c r="J11467" i="1"/>
  <c r="J11466" i="1"/>
  <c r="J11465" i="1"/>
  <c r="J11464" i="1"/>
  <c r="J11463" i="1"/>
  <c r="J11462" i="1"/>
  <c r="J11461" i="1"/>
  <c r="J11460" i="1"/>
  <c r="J11459" i="1"/>
  <c r="J11458" i="1"/>
  <c r="J11457" i="1"/>
  <c r="J11456" i="1"/>
  <c r="J11455" i="1"/>
  <c r="J11454" i="1"/>
  <c r="J11453" i="1"/>
  <c r="J11452" i="1"/>
  <c r="J11451" i="1"/>
  <c r="J11450" i="1"/>
  <c r="J11449" i="1"/>
  <c r="J11448" i="1"/>
  <c r="J11447" i="1"/>
  <c r="J11446" i="1"/>
  <c r="J11445" i="1"/>
  <c r="J11444" i="1"/>
  <c r="J11443" i="1"/>
  <c r="J11442" i="1"/>
  <c r="J11441" i="1"/>
  <c r="J11440" i="1"/>
  <c r="J11439" i="1"/>
  <c r="J11438" i="1"/>
  <c r="J11437" i="1"/>
  <c r="J11436" i="1"/>
  <c r="J11435" i="1"/>
  <c r="J11434" i="1"/>
  <c r="J11433" i="1"/>
  <c r="J11432" i="1"/>
  <c r="J11431" i="1"/>
  <c r="J11430" i="1"/>
  <c r="J11429" i="1"/>
  <c r="J11428" i="1"/>
  <c r="J11427" i="1"/>
  <c r="J11426" i="1"/>
  <c r="J11425" i="1"/>
  <c r="J11424" i="1"/>
  <c r="J11423" i="1"/>
  <c r="J11422" i="1"/>
  <c r="J11421" i="1"/>
  <c r="J11420" i="1"/>
  <c r="J11419" i="1"/>
  <c r="J11418" i="1"/>
  <c r="J11417" i="1"/>
  <c r="J11416" i="1"/>
  <c r="J11415" i="1"/>
  <c r="J11414" i="1"/>
  <c r="J11413" i="1"/>
  <c r="J11412" i="1"/>
  <c r="J11411" i="1"/>
  <c r="J11410" i="1"/>
  <c r="J11409" i="1"/>
  <c r="J11408" i="1"/>
  <c r="J11407" i="1"/>
  <c r="J11406" i="1"/>
  <c r="J11405" i="1"/>
  <c r="J11404" i="1"/>
  <c r="J11403" i="1"/>
  <c r="J11402" i="1"/>
  <c r="J11401" i="1"/>
  <c r="J11400" i="1"/>
  <c r="J11399" i="1"/>
  <c r="J11398" i="1"/>
  <c r="J11397" i="1"/>
  <c r="J11396" i="1"/>
  <c r="J11395" i="1"/>
  <c r="J11394" i="1"/>
  <c r="J11393" i="1"/>
  <c r="J11392" i="1"/>
  <c r="J11391" i="1"/>
  <c r="J11390" i="1"/>
  <c r="J11389" i="1"/>
  <c r="J11388" i="1"/>
  <c r="J11387" i="1"/>
  <c r="J11386" i="1"/>
  <c r="J11385" i="1"/>
  <c r="J11384" i="1"/>
  <c r="J11383" i="1"/>
  <c r="J11382" i="1"/>
  <c r="J11381" i="1"/>
  <c r="J11380" i="1"/>
  <c r="J11379" i="1"/>
  <c r="J11378" i="1"/>
  <c r="J11377" i="1"/>
  <c r="J11376" i="1"/>
  <c r="J11375" i="1"/>
  <c r="J11374" i="1"/>
  <c r="J11373" i="1"/>
  <c r="J11372" i="1"/>
  <c r="J11371" i="1"/>
  <c r="J11370" i="1"/>
  <c r="J11369" i="1"/>
  <c r="J11368" i="1"/>
  <c r="J11367" i="1"/>
  <c r="J11366" i="1"/>
  <c r="J11365" i="1"/>
  <c r="J11364" i="1"/>
  <c r="J11363" i="1"/>
  <c r="J11362" i="1"/>
  <c r="J11361" i="1"/>
  <c r="J11360" i="1"/>
  <c r="J11359" i="1"/>
  <c r="J11358" i="1"/>
  <c r="J11357" i="1"/>
  <c r="J11356" i="1"/>
  <c r="J11355" i="1"/>
  <c r="J11354" i="1"/>
  <c r="J11353" i="1"/>
  <c r="J11352" i="1"/>
  <c r="J11351" i="1"/>
  <c r="J11350" i="1"/>
  <c r="J11349" i="1"/>
  <c r="J11348" i="1"/>
  <c r="J11347" i="1"/>
  <c r="J11346" i="1"/>
  <c r="J11345" i="1"/>
  <c r="J11344" i="1"/>
  <c r="J11343" i="1"/>
  <c r="J11342" i="1"/>
  <c r="J11341" i="1"/>
  <c r="J11340" i="1"/>
  <c r="J11339" i="1"/>
  <c r="J11338" i="1"/>
  <c r="J11337" i="1"/>
  <c r="J11336" i="1"/>
  <c r="J11335" i="1"/>
  <c r="J11334" i="1"/>
  <c r="J11333" i="1"/>
  <c r="J11332" i="1"/>
  <c r="J11331" i="1"/>
  <c r="J11330" i="1"/>
  <c r="J11329" i="1"/>
  <c r="J11328" i="1"/>
  <c r="J11327" i="1"/>
  <c r="J11326" i="1"/>
  <c r="J11325" i="1"/>
  <c r="J11324" i="1"/>
  <c r="J11323" i="1"/>
  <c r="J11322" i="1"/>
  <c r="J11321" i="1"/>
  <c r="J11320" i="1"/>
  <c r="J11319" i="1"/>
  <c r="J11318" i="1"/>
  <c r="J11317" i="1"/>
  <c r="J11316" i="1"/>
  <c r="J11315" i="1"/>
  <c r="J11314" i="1"/>
  <c r="J11313" i="1"/>
  <c r="J11312" i="1"/>
  <c r="J11311" i="1"/>
  <c r="J11310" i="1"/>
  <c r="J11309" i="1"/>
  <c r="J11308" i="1"/>
  <c r="J11307" i="1"/>
  <c r="J11306" i="1"/>
  <c r="J11305" i="1"/>
  <c r="J11304" i="1"/>
  <c r="J11303" i="1"/>
  <c r="J11302" i="1"/>
  <c r="J11301" i="1"/>
  <c r="J11300" i="1"/>
  <c r="J11299" i="1"/>
  <c r="J11298" i="1"/>
  <c r="J11297" i="1"/>
  <c r="J11296" i="1"/>
  <c r="J11295" i="1"/>
  <c r="J11294" i="1"/>
  <c r="J11293" i="1"/>
  <c r="J11292" i="1"/>
  <c r="J11291" i="1"/>
  <c r="J11290" i="1"/>
  <c r="J11289" i="1"/>
  <c r="J11288" i="1"/>
  <c r="J11287" i="1"/>
  <c r="J11286" i="1"/>
  <c r="J11285" i="1"/>
  <c r="J11284" i="1"/>
  <c r="J11283" i="1"/>
  <c r="J11282" i="1"/>
  <c r="J11281" i="1"/>
  <c r="J11280" i="1"/>
  <c r="J11279" i="1"/>
  <c r="J11278" i="1"/>
  <c r="J11277" i="1"/>
  <c r="J11276" i="1"/>
  <c r="J11275" i="1"/>
  <c r="J11274" i="1"/>
  <c r="J11273" i="1"/>
  <c r="J11272" i="1"/>
  <c r="J11271" i="1"/>
  <c r="J11270" i="1"/>
  <c r="J11269" i="1"/>
  <c r="J11268" i="1"/>
  <c r="J11267" i="1"/>
  <c r="J11266" i="1"/>
  <c r="J11265" i="1"/>
  <c r="J11264" i="1"/>
  <c r="J11263" i="1"/>
  <c r="J11262" i="1"/>
  <c r="J11261" i="1"/>
  <c r="J11260" i="1"/>
  <c r="J11259" i="1"/>
  <c r="J11258" i="1"/>
  <c r="J11257" i="1"/>
  <c r="J11256" i="1"/>
  <c r="J11255" i="1"/>
  <c r="J11254" i="1"/>
  <c r="J11253" i="1"/>
  <c r="J11252" i="1"/>
  <c r="J11251" i="1"/>
  <c r="J11250" i="1"/>
  <c r="J11249" i="1"/>
  <c r="J11248" i="1"/>
  <c r="J11247" i="1"/>
  <c r="J11246" i="1"/>
  <c r="J11245" i="1"/>
  <c r="J11244" i="1"/>
  <c r="J11243" i="1"/>
  <c r="J11242" i="1"/>
  <c r="J11241" i="1"/>
  <c r="J11240" i="1"/>
  <c r="J11239" i="1"/>
  <c r="J11238" i="1"/>
  <c r="J11237" i="1"/>
  <c r="J11236" i="1"/>
  <c r="J11235" i="1"/>
  <c r="J11234" i="1"/>
  <c r="J11233" i="1"/>
  <c r="J11232" i="1"/>
  <c r="J11231" i="1"/>
  <c r="J11230" i="1"/>
  <c r="J11229" i="1"/>
  <c r="J11228" i="1"/>
  <c r="J11227" i="1"/>
  <c r="J11226" i="1"/>
  <c r="J11225" i="1"/>
  <c r="J11224" i="1"/>
  <c r="J11223" i="1"/>
  <c r="J11222" i="1"/>
  <c r="J11221" i="1"/>
  <c r="J11220" i="1"/>
  <c r="J11219" i="1"/>
  <c r="J11218" i="1"/>
  <c r="J11217" i="1"/>
  <c r="J11216" i="1"/>
  <c r="J11215" i="1"/>
  <c r="J11214" i="1"/>
  <c r="J11213" i="1"/>
  <c r="J11212" i="1"/>
  <c r="J11211" i="1"/>
  <c r="J11210" i="1"/>
  <c r="J11209" i="1"/>
  <c r="J11208" i="1"/>
  <c r="J11207" i="1"/>
  <c r="J11206" i="1"/>
  <c r="J11205" i="1"/>
  <c r="J11204" i="1"/>
  <c r="J11203" i="1"/>
  <c r="J11202" i="1"/>
  <c r="J11201" i="1"/>
  <c r="J11200" i="1"/>
  <c r="J11199" i="1"/>
  <c r="J11198" i="1"/>
  <c r="J11197" i="1"/>
  <c r="J11196" i="1"/>
  <c r="J11195" i="1"/>
  <c r="J11194" i="1"/>
  <c r="J11193" i="1"/>
  <c r="J11192" i="1"/>
  <c r="J11191" i="1"/>
  <c r="J11190" i="1"/>
  <c r="J11189" i="1"/>
  <c r="J11188" i="1"/>
  <c r="J11187" i="1"/>
  <c r="J11186" i="1"/>
  <c r="J11185" i="1"/>
  <c r="J11184" i="1"/>
  <c r="J11183" i="1"/>
  <c r="J11182" i="1"/>
  <c r="J11181" i="1"/>
  <c r="J11180" i="1"/>
  <c r="J11179" i="1"/>
  <c r="J11178" i="1"/>
  <c r="J11177" i="1"/>
  <c r="J11176" i="1"/>
  <c r="J11175" i="1"/>
  <c r="J11174" i="1"/>
  <c r="J11173" i="1"/>
  <c r="J11172" i="1"/>
  <c r="J11171" i="1"/>
  <c r="J11170" i="1"/>
  <c r="J11169" i="1"/>
  <c r="J11168" i="1"/>
  <c r="J11167" i="1"/>
  <c r="J11166" i="1"/>
  <c r="J11165" i="1"/>
  <c r="J11164" i="1"/>
  <c r="J11163" i="1"/>
  <c r="J11162" i="1"/>
  <c r="J11161" i="1"/>
  <c r="J11160" i="1"/>
  <c r="J11159" i="1"/>
  <c r="J11158" i="1"/>
  <c r="J11157" i="1"/>
  <c r="J11156" i="1"/>
  <c r="J11155" i="1"/>
  <c r="J11154" i="1"/>
  <c r="J11153" i="1"/>
  <c r="J11152" i="1"/>
  <c r="J11151" i="1"/>
  <c r="J11150" i="1"/>
  <c r="J11149" i="1"/>
  <c r="J11148" i="1"/>
  <c r="J11147" i="1"/>
  <c r="J11146" i="1"/>
  <c r="J11145" i="1"/>
  <c r="J11144" i="1"/>
  <c r="J11143" i="1"/>
  <c r="J11142" i="1"/>
  <c r="J11141" i="1"/>
  <c r="J11140" i="1"/>
  <c r="J11139" i="1"/>
  <c r="J11138" i="1"/>
  <c r="J11137" i="1"/>
  <c r="J11136" i="1"/>
  <c r="J11135" i="1"/>
  <c r="J11134" i="1"/>
  <c r="J11133" i="1"/>
  <c r="J11132" i="1"/>
  <c r="J11131" i="1"/>
  <c r="J11130" i="1"/>
  <c r="J11129" i="1"/>
  <c r="J11128" i="1"/>
  <c r="J11127" i="1"/>
  <c r="J11126" i="1"/>
  <c r="J11125" i="1"/>
  <c r="J11124" i="1"/>
  <c r="J11123" i="1"/>
  <c r="J11122" i="1"/>
  <c r="J11121" i="1"/>
  <c r="J11120" i="1"/>
  <c r="J11119" i="1"/>
  <c r="J11118" i="1"/>
  <c r="J11117" i="1"/>
  <c r="J11116" i="1"/>
  <c r="J11115" i="1"/>
  <c r="J11114" i="1"/>
  <c r="J11113" i="1"/>
  <c r="J11112" i="1"/>
  <c r="J11111" i="1"/>
  <c r="J11110" i="1"/>
  <c r="J11109" i="1"/>
  <c r="J11108" i="1"/>
  <c r="J11107" i="1"/>
  <c r="J11106" i="1"/>
  <c r="J11105" i="1"/>
  <c r="J11104" i="1"/>
  <c r="J11103" i="1"/>
  <c r="J11102" i="1"/>
  <c r="J11101" i="1"/>
  <c r="J11100" i="1"/>
  <c r="J11099" i="1"/>
  <c r="J11098" i="1"/>
  <c r="J11097" i="1"/>
  <c r="J11096" i="1"/>
  <c r="J11095" i="1"/>
  <c r="J11094" i="1"/>
  <c r="J11093" i="1"/>
  <c r="J11092" i="1"/>
  <c r="J11091" i="1"/>
  <c r="J11090" i="1"/>
  <c r="J11089" i="1"/>
  <c r="J11088" i="1"/>
  <c r="J11087" i="1"/>
  <c r="J11086" i="1"/>
  <c r="J11085" i="1"/>
  <c r="J11084" i="1"/>
  <c r="J11083" i="1"/>
  <c r="J11082" i="1"/>
  <c r="J11081" i="1"/>
  <c r="J11080" i="1"/>
  <c r="J11079" i="1"/>
  <c r="J11078" i="1"/>
  <c r="J11077" i="1"/>
  <c r="J11076" i="1"/>
  <c r="J11075" i="1"/>
  <c r="J11074" i="1"/>
  <c r="J11073" i="1"/>
  <c r="J11072" i="1"/>
  <c r="J11071" i="1"/>
  <c r="J11070" i="1"/>
  <c r="J11069" i="1"/>
  <c r="J11068" i="1"/>
  <c r="J11067" i="1"/>
  <c r="J11066" i="1"/>
  <c r="J11065" i="1"/>
  <c r="J11064" i="1"/>
  <c r="J11063" i="1"/>
  <c r="J11062" i="1"/>
  <c r="J11061" i="1"/>
  <c r="J11060" i="1"/>
  <c r="J11059" i="1"/>
  <c r="J11058" i="1"/>
  <c r="J11057" i="1"/>
  <c r="J11056" i="1"/>
  <c r="J11055" i="1"/>
  <c r="J11054" i="1"/>
  <c r="J11053" i="1"/>
  <c r="J11052" i="1"/>
  <c r="J11051" i="1"/>
  <c r="J11050" i="1"/>
  <c r="J11049" i="1"/>
  <c r="J11048" i="1"/>
  <c r="J11047" i="1"/>
  <c r="J11046" i="1"/>
  <c r="J11045" i="1"/>
  <c r="J11044" i="1"/>
  <c r="J11043" i="1"/>
  <c r="J11042" i="1"/>
  <c r="J11041" i="1"/>
  <c r="J11040" i="1"/>
  <c r="J11039" i="1"/>
  <c r="J11038" i="1"/>
  <c r="J11037" i="1"/>
  <c r="J11036" i="1"/>
  <c r="J11035" i="1"/>
  <c r="J11034" i="1"/>
  <c r="J11033" i="1"/>
  <c r="J11032" i="1"/>
  <c r="J11031" i="1"/>
  <c r="J11030" i="1"/>
  <c r="J11029" i="1"/>
  <c r="J11028" i="1"/>
  <c r="J11027" i="1"/>
  <c r="J11026" i="1"/>
  <c r="J11025" i="1"/>
  <c r="J11024" i="1"/>
  <c r="J11023" i="1"/>
  <c r="J11022" i="1"/>
  <c r="J11021" i="1"/>
  <c r="J11020" i="1"/>
  <c r="J11019" i="1"/>
  <c r="J11018" i="1"/>
  <c r="J11017" i="1"/>
  <c r="J11016" i="1"/>
  <c r="J11015" i="1"/>
  <c r="J11014" i="1"/>
  <c r="J11013" i="1"/>
  <c r="J11012" i="1"/>
  <c r="J11011" i="1"/>
  <c r="J11010" i="1"/>
  <c r="J11009" i="1"/>
  <c r="J11008" i="1"/>
  <c r="J11007" i="1"/>
  <c r="J11006" i="1"/>
  <c r="J11005" i="1"/>
  <c r="J11004" i="1"/>
  <c r="J11003" i="1"/>
  <c r="J11002" i="1"/>
  <c r="J11001" i="1"/>
  <c r="J11000" i="1"/>
  <c r="J10999" i="1"/>
  <c r="J10998" i="1"/>
  <c r="J10997" i="1"/>
  <c r="J10996" i="1"/>
  <c r="J10995" i="1"/>
  <c r="J10994" i="1"/>
  <c r="J10993" i="1"/>
  <c r="J10992" i="1"/>
  <c r="J10991" i="1"/>
  <c r="J10990" i="1"/>
  <c r="J10989" i="1"/>
  <c r="J10988" i="1"/>
  <c r="J10987" i="1"/>
  <c r="J10986" i="1"/>
  <c r="J10985" i="1"/>
  <c r="J10984" i="1"/>
  <c r="J10983" i="1"/>
  <c r="J10982" i="1"/>
  <c r="J10981" i="1"/>
  <c r="J10980" i="1"/>
  <c r="J10979" i="1"/>
  <c r="J10978" i="1"/>
  <c r="J10977" i="1"/>
  <c r="J10976" i="1"/>
  <c r="J10975" i="1"/>
  <c r="J10974" i="1"/>
  <c r="J10973" i="1"/>
  <c r="J10972" i="1"/>
  <c r="J10971" i="1"/>
  <c r="J10970" i="1"/>
  <c r="J10969" i="1"/>
  <c r="J10968" i="1"/>
  <c r="J10967" i="1"/>
  <c r="J10966" i="1"/>
  <c r="J10965" i="1"/>
  <c r="J10964" i="1"/>
  <c r="J10963" i="1"/>
  <c r="J10962" i="1"/>
  <c r="J10961" i="1"/>
  <c r="J10960" i="1"/>
  <c r="J10959" i="1"/>
  <c r="J10958" i="1"/>
  <c r="J10957" i="1"/>
  <c r="J10956" i="1"/>
  <c r="J10955" i="1"/>
  <c r="J10954" i="1"/>
  <c r="J10953" i="1"/>
  <c r="J10952" i="1"/>
  <c r="J10951" i="1"/>
  <c r="J10950" i="1"/>
  <c r="J10949" i="1"/>
  <c r="J10948" i="1"/>
  <c r="J10947" i="1"/>
  <c r="J10946" i="1"/>
  <c r="J10945" i="1"/>
  <c r="J10944" i="1"/>
  <c r="J10943" i="1"/>
  <c r="J10942" i="1"/>
  <c r="J10941" i="1"/>
  <c r="J10940" i="1"/>
  <c r="J10939" i="1"/>
  <c r="J10938" i="1"/>
  <c r="J10937" i="1"/>
  <c r="J10936" i="1"/>
  <c r="J10935" i="1"/>
  <c r="J10934" i="1"/>
  <c r="J10933" i="1"/>
  <c r="J10932" i="1"/>
  <c r="J10931" i="1"/>
  <c r="J10930" i="1"/>
  <c r="J10929" i="1"/>
  <c r="J10928" i="1"/>
  <c r="J10927" i="1"/>
  <c r="J10926" i="1"/>
  <c r="J10925" i="1"/>
  <c r="J10924" i="1"/>
  <c r="J10923" i="1"/>
  <c r="J10922" i="1"/>
  <c r="J10921" i="1"/>
  <c r="J10920" i="1"/>
  <c r="J10919" i="1"/>
  <c r="J10918" i="1"/>
  <c r="J10917" i="1"/>
  <c r="J10916" i="1"/>
  <c r="J10915" i="1"/>
  <c r="J10914" i="1"/>
  <c r="J10913" i="1"/>
  <c r="J10912" i="1"/>
  <c r="J10911" i="1"/>
  <c r="J10910" i="1"/>
  <c r="J10909" i="1"/>
  <c r="J10908" i="1"/>
  <c r="J10907" i="1"/>
  <c r="J10906" i="1"/>
  <c r="J10905" i="1"/>
  <c r="J10904" i="1"/>
  <c r="J10903" i="1"/>
  <c r="J10902" i="1"/>
  <c r="J10901" i="1"/>
  <c r="J10900" i="1"/>
  <c r="J10899" i="1"/>
  <c r="J10898" i="1"/>
  <c r="J10897" i="1"/>
  <c r="J10896" i="1"/>
  <c r="J10895" i="1"/>
  <c r="J10894" i="1"/>
  <c r="J10893" i="1"/>
  <c r="J10892" i="1"/>
  <c r="J10891" i="1"/>
  <c r="J10890" i="1"/>
  <c r="J10889" i="1"/>
  <c r="J10888" i="1"/>
  <c r="J10887" i="1"/>
  <c r="J10886" i="1"/>
  <c r="J10885" i="1"/>
  <c r="J10884" i="1"/>
  <c r="J10883" i="1"/>
  <c r="J10882" i="1"/>
  <c r="J10881" i="1"/>
  <c r="J10880" i="1"/>
  <c r="J10879" i="1"/>
  <c r="J10878" i="1"/>
  <c r="J10877" i="1"/>
  <c r="J10876" i="1"/>
  <c r="J10875" i="1"/>
  <c r="J10874" i="1"/>
  <c r="J10873" i="1"/>
  <c r="J10872" i="1"/>
  <c r="J10871" i="1"/>
  <c r="J10870" i="1"/>
  <c r="J10869" i="1"/>
  <c r="J10868" i="1"/>
  <c r="J10867" i="1"/>
  <c r="J10866" i="1"/>
  <c r="J10865" i="1"/>
  <c r="J10864" i="1"/>
  <c r="J10863" i="1"/>
  <c r="J10862" i="1"/>
  <c r="J10861" i="1"/>
  <c r="J10860" i="1"/>
  <c r="J10859" i="1"/>
  <c r="J10858" i="1"/>
  <c r="J10857" i="1"/>
  <c r="J10856" i="1"/>
  <c r="J10855" i="1"/>
  <c r="J10854" i="1"/>
  <c r="J10853" i="1"/>
  <c r="J10852" i="1"/>
  <c r="J10851" i="1"/>
  <c r="J10850" i="1"/>
  <c r="J10849" i="1"/>
  <c r="J10848" i="1"/>
  <c r="J10847" i="1"/>
  <c r="J10846" i="1"/>
  <c r="J10845" i="1"/>
  <c r="J10844" i="1"/>
  <c r="J10843" i="1"/>
  <c r="J10842" i="1"/>
  <c r="J10841" i="1"/>
  <c r="J10840" i="1"/>
  <c r="J10839" i="1"/>
  <c r="J10838" i="1"/>
  <c r="J10837" i="1"/>
  <c r="J10836" i="1"/>
  <c r="J10835" i="1"/>
  <c r="J10834" i="1"/>
  <c r="J10833" i="1"/>
  <c r="J10832" i="1"/>
  <c r="J10831" i="1"/>
  <c r="J10830" i="1"/>
  <c r="J10829" i="1"/>
  <c r="J10828" i="1"/>
  <c r="J10827" i="1"/>
  <c r="J10826" i="1"/>
  <c r="J10825" i="1"/>
  <c r="J10824" i="1"/>
  <c r="J10823" i="1"/>
  <c r="J10822" i="1"/>
  <c r="J10821" i="1"/>
  <c r="J10820" i="1"/>
  <c r="J10819" i="1"/>
  <c r="J10818" i="1"/>
  <c r="J10817" i="1"/>
  <c r="J10816" i="1"/>
  <c r="J10815" i="1"/>
  <c r="J10814" i="1"/>
  <c r="J10813" i="1"/>
  <c r="J10812" i="1"/>
  <c r="J10811" i="1"/>
  <c r="J10810" i="1"/>
  <c r="J10809" i="1"/>
  <c r="J10808" i="1"/>
  <c r="J10807" i="1"/>
  <c r="J10806" i="1"/>
  <c r="J10805" i="1"/>
  <c r="J10804" i="1"/>
  <c r="J10803" i="1"/>
  <c r="J10802" i="1"/>
  <c r="J10801" i="1"/>
  <c r="J10800" i="1"/>
  <c r="J10799" i="1"/>
  <c r="J10798" i="1"/>
  <c r="J10797" i="1"/>
  <c r="J10796" i="1"/>
  <c r="J10795" i="1"/>
  <c r="J10794" i="1"/>
  <c r="J10793" i="1"/>
  <c r="J10792" i="1"/>
  <c r="J10791" i="1"/>
  <c r="J10790" i="1"/>
  <c r="J10789" i="1"/>
  <c r="J10788" i="1"/>
  <c r="J10787" i="1"/>
  <c r="J10786" i="1"/>
  <c r="J10785" i="1"/>
  <c r="J10784" i="1"/>
  <c r="J10783" i="1"/>
  <c r="J10782" i="1"/>
  <c r="J10781" i="1"/>
  <c r="J10780" i="1"/>
  <c r="J10779" i="1"/>
  <c r="J10778" i="1"/>
  <c r="J10777" i="1"/>
  <c r="J10776" i="1"/>
  <c r="J10775" i="1"/>
  <c r="J10774" i="1"/>
  <c r="J10773" i="1"/>
  <c r="J10772" i="1"/>
  <c r="J10771" i="1"/>
  <c r="J10770" i="1"/>
  <c r="J10769" i="1"/>
  <c r="J10768" i="1"/>
  <c r="J10767" i="1"/>
  <c r="J10766" i="1"/>
  <c r="J10765" i="1"/>
  <c r="J10764" i="1"/>
  <c r="J10763" i="1"/>
  <c r="J10762" i="1"/>
  <c r="J10761" i="1"/>
  <c r="J10760" i="1"/>
  <c r="J10759" i="1"/>
  <c r="J10758" i="1"/>
  <c r="J10757" i="1"/>
  <c r="J10756" i="1"/>
  <c r="J10755" i="1"/>
  <c r="J10754" i="1"/>
  <c r="J10753" i="1"/>
  <c r="J10752" i="1"/>
  <c r="J10751" i="1"/>
  <c r="J10750" i="1"/>
  <c r="J10749" i="1"/>
  <c r="J10748" i="1"/>
  <c r="J10747" i="1"/>
  <c r="J10746" i="1"/>
  <c r="J10745" i="1"/>
  <c r="J10744" i="1"/>
  <c r="J10743" i="1"/>
  <c r="J10742" i="1"/>
  <c r="J10741" i="1"/>
  <c r="J10740" i="1"/>
  <c r="J10739" i="1"/>
  <c r="J10738" i="1"/>
  <c r="J10737" i="1"/>
  <c r="J10736" i="1"/>
  <c r="J10735" i="1"/>
  <c r="J10734" i="1"/>
  <c r="J10733" i="1"/>
  <c r="J10732" i="1"/>
  <c r="J10731" i="1"/>
  <c r="J10730" i="1"/>
  <c r="J10729" i="1"/>
  <c r="J10728" i="1"/>
  <c r="J10727" i="1"/>
  <c r="J10726" i="1"/>
  <c r="J10725" i="1"/>
  <c r="J10724" i="1"/>
  <c r="J10723" i="1"/>
  <c r="J10722" i="1"/>
  <c r="J10721" i="1"/>
  <c r="J10720" i="1"/>
  <c r="J10719" i="1"/>
  <c r="J10718" i="1"/>
  <c r="J10717" i="1"/>
  <c r="J10716" i="1"/>
  <c r="J10715" i="1"/>
  <c r="J10714" i="1"/>
  <c r="J10713" i="1"/>
  <c r="J10712" i="1"/>
  <c r="J10711" i="1"/>
  <c r="J10710" i="1"/>
  <c r="J10709" i="1"/>
  <c r="J10708" i="1"/>
  <c r="J10707" i="1"/>
  <c r="J10706" i="1"/>
  <c r="J10705" i="1"/>
  <c r="J10704" i="1"/>
  <c r="J10703" i="1"/>
  <c r="J10702" i="1"/>
  <c r="J10701" i="1"/>
  <c r="J10700" i="1"/>
  <c r="J10699" i="1"/>
  <c r="J10698" i="1"/>
  <c r="J10697" i="1"/>
  <c r="J10696" i="1"/>
  <c r="J10695" i="1"/>
  <c r="J10694" i="1"/>
  <c r="J10693" i="1"/>
  <c r="J10692" i="1"/>
  <c r="J10691" i="1"/>
  <c r="J10690" i="1"/>
  <c r="J10689" i="1"/>
  <c r="J10688" i="1"/>
  <c r="J10687" i="1"/>
  <c r="J10686" i="1"/>
  <c r="J10685" i="1"/>
  <c r="J10684" i="1"/>
  <c r="J10683" i="1"/>
  <c r="J10682" i="1"/>
  <c r="J10681" i="1"/>
  <c r="J10680" i="1"/>
  <c r="J10679" i="1"/>
  <c r="J10678" i="1"/>
  <c r="J10677" i="1"/>
  <c r="J10676" i="1"/>
  <c r="J10675" i="1"/>
  <c r="J10674" i="1"/>
  <c r="J10673" i="1"/>
  <c r="J10672" i="1"/>
  <c r="J10671" i="1"/>
  <c r="J10670" i="1"/>
  <c r="J10669" i="1"/>
  <c r="J10668" i="1"/>
  <c r="J10667" i="1"/>
  <c r="J10666" i="1"/>
  <c r="J10665" i="1"/>
  <c r="J10664" i="1"/>
  <c r="J10663" i="1"/>
  <c r="J10662" i="1"/>
  <c r="J10661" i="1"/>
  <c r="J10660" i="1"/>
  <c r="J10659" i="1"/>
  <c r="J10658" i="1"/>
  <c r="J10657" i="1"/>
  <c r="J10656" i="1"/>
  <c r="J10655" i="1"/>
  <c r="J10654" i="1"/>
  <c r="J10653" i="1"/>
  <c r="J10652" i="1"/>
  <c r="J10651" i="1"/>
  <c r="J10650" i="1"/>
  <c r="J10649" i="1"/>
  <c r="J10648" i="1"/>
  <c r="J10647" i="1"/>
  <c r="J10646" i="1"/>
  <c r="J10645" i="1"/>
  <c r="J10644" i="1"/>
  <c r="J10643" i="1"/>
  <c r="J10642" i="1"/>
  <c r="J10641" i="1"/>
  <c r="J10640" i="1"/>
  <c r="J10639" i="1"/>
  <c r="J10638" i="1"/>
  <c r="J10637" i="1"/>
  <c r="J10636" i="1"/>
  <c r="J10635" i="1"/>
  <c r="J10634" i="1"/>
  <c r="J10633" i="1"/>
  <c r="J10632" i="1"/>
  <c r="J10631" i="1"/>
  <c r="J10630" i="1"/>
  <c r="J10629" i="1"/>
  <c r="J10628" i="1"/>
  <c r="J10627" i="1"/>
  <c r="J10626" i="1"/>
  <c r="J10625" i="1"/>
  <c r="J10624" i="1"/>
  <c r="J10623" i="1"/>
  <c r="J10622" i="1"/>
  <c r="J10621" i="1"/>
  <c r="J10620" i="1"/>
  <c r="J10619" i="1"/>
  <c r="J10618" i="1"/>
  <c r="J10617" i="1"/>
  <c r="J10616" i="1"/>
  <c r="J10615" i="1"/>
  <c r="J10614" i="1"/>
  <c r="J10613" i="1"/>
  <c r="J10612" i="1"/>
  <c r="J10611" i="1"/>
  <c r="J10610" i="1"/>
  <c r="J10609" i="1"/>
  <c r="J10608" i="1"/>
  <c r="J10607" i="1"/>
  <c r="J10606" i="1"/>
  <c r="J10605" i="1"/>
  <c r="J10604" i="1"/>
  <c r="J10603" i="1"/>
  <c r="J10602" i="1"/>
  <c r="J10601" i="1"/>
  <c r="J10600" i="1"/>
  <c r="J10599" i="1"/>
  <c r="J10598" i="1"/>
  <c r="J10597" i="1"/>
  <c r="J10596" i="1"/>
  <c r="J10595" i="1"/>
  <c r="J10594" i="1"/>
  <c r="J10593" i="1"/>
  <c r="J10592" i="1"/>
  <c r="J10591" i="1"/>
  <c r="J10590" i="1"/>
  <c r="J10589" i="1"/>
  <c r="J10588" i="1"/>
  <c r="J10587" i="1"/>
  <c r="J10586" i="1"/>
  <c r="J10585" i="1"/>
  <c r="J10584" i="1"/>
  <c r="J10583" i="1"/>
  <c r="J10582" i="1"/>
  <c r="J10581" i="1"/>
  <c r="J10580" i="1"/>
  <c r="J10579" i="1"/>
  <c r="J10578" i="1"/>
  <c r="J10577" i="1"/>
  <c r="J10576" i="1"/>
  <c r="J10575" i="1"/>
  <c r="J10574" i="1"/>
  <c r="J10573" i="1"/>
  <c r="J10572" i="1"/>
  <c r="J10571" i="1"/>
  <c r="J10570" i="1"/>
  <c r="J10569" i="1"/>
  <c r="J10568" i="1"/>
  <c r="J10567" i="1"/>
  <c r="J10566" i="1"/>
  <c r="J10565" i="1"/>
  <c r="J10564" i="1"/>
  <c r="J10563" i="1"/>
  <c r="J10562" i="1"/>
  <c r="J10561" i="1"/>
  <c r="J10560" i="1"/>
  <c r="J10559" i="1"/>
  <c r="J10558" i="1"/>
  <c r="J10557" i="1"/>
  <c r="J10556" i="1"/>
  <c r="J10555" i="1"/>
  <c r="J10554" i="1"/>
  <c r="J10553" i="1"/>
  <c r="J10552" i="1"/>
  <c r="J10551" i="1"/>
  <c r="J10550" i="1"/>
  <c r="J10549" i="1"/>
  <c r="J10548" i="1"/>
  <c r="J10547" i="1"/>
  <c r="J10546" i="1"/>
  <c r="J10545" i="1"/>
  <c r="J10544" i="1"/>
  <c r="J10543" i="1"/>
  <c r="J10542" i="1"/>
  <c r="J10541" i="1"/>
  <c r="J10540" i="1"/>
  <c r="J10539" i="1"/>
  <c r="J10538" i="1"/>
  <c r="J10537" i="1"/>
  <c r="J10536" i="1"/>
  <c r="J10535" i="1"/>
  <c r="J10534" i="1"/>
  <c r="J10533" i="1"/>
  <c r="J10532" i="1"/>
  <c r="J10531" i="1"/>
  <c r="J10530" i="1"/>
  <c r="J10529" i="1"/>
  <c r="J10528" i="1"/>
  <c r="J10527" i="1"/>
  <c r="J10526" i="1"/>
  <c r="J10525" i="1"/>
  <c r="J10524" i="1"/>
  <c r="J10523" i="1"/>
  <c r="J10522" i="1"/>
  <c r="J10521" i="1"/>
  <c r="J10520" i="1"/>
  <c r="J10519" i="1"/>
  <c r="J10518" i="1"/>
  <c r="J10517" i="1"/>
  <c r="J10516" i="1"/>
  <c r="J10515" i="1"/>
  <c r="J10514" i="1"/>
  <c r="J10513" i="1"/>
  <c r="J10512" i="1"/>
  <c r="J10511" i="1"/>
  <c r="J10510" i="1"/>
  <c r="J10509" i="1"/>
  <c r="J10508" i="1"/>
  <c r="J10507" i="1"/>
  <c r="J10506" i="1"/>
  <c r="J10505" i="1"/>
  <c r="J10504" i="1"/>
  <c r="J10503" i="1"/>
  <c r="J10502" i="1"/>
  <c r="J10501" i="1"/>
  <c r="J10500" i="1"/>
  <c r="J10499" i="1"/>
  <c r="J10498" i="1"/>
  <c r="J10497" i="1"/>
  <c r="J10496" i="1"/>
  <c r="J10495" i="1"/>
  <c r="J10494" i="1"/>
  <c r="J10493" i="1"/>
  <c r="J10492" i="1"/>
  <c r="J10491" i="1"/>
  <c r="J10490" i="1"/>
  <c r="J10489" i="1"/>
  <c r="J10488" i="1"/>
  <c r="J10487" i="1"/>
  <c r="J10486" i="1"/>
  <c r="J10485" i="1"/>
  <c r="J10484" i="1"/>
  <c r="J10483" i="1"/>
  <c r="J10482" i="1"/>
  <c r="J10481" i="1"/>
  <c r="J10480" i="1"/>
  <c r="J10479" i="1"/>
  <c r="J10478" i="1"/>
  <c r="J10477" i="1"/>
  <c r="J10476" i="1"/>
  <c r="J10475" i="1"/>
  <c r="J10474" i="1"/>
  <c r="J10473" i="1"/>
  <c r="J10472" i="1"/>
  <c r="J10471" i="1"/>
  <c r="J10470" i="1"/>
  <c r="J10469" i="1"/>
  <c r="J10468" i="1"/>
  <c r="J10467" i="1"/>
  <c r="J10466" i="1"/>
  <c r="J10465" i="1"/>
  <c r="J10464" i="1"/>
  <c r="J10463" i="1"/>
  <c r="J10462" i="1"/>
  <c r="J10461" i="1"/>
  <c r="J10460" i="1"/>
  <c r="J10459" i="1"/>
  <c r="J10458" i="1"/>
  <c r="J10457" i="1"/>
  <c r="J10456" i="1"/>
  <c r="J10455" i="1"/>
  <c r="J10454" i="1"/>
  <c r="J10453" i="1"/>
  <c r="J10452" i="1"/>
  <c r="J10451" i="1"/>
  <c r="J10450" i="1"/>
  <c r="J10449" i="1"/>
  <c r="J10448" i="1"/>
  <c r="J10447" i="1"/>
  <c r="J10446" i="1"/>
  <c r="J10445" i="1"/>
  <c r="J10444" i="1"/>
  <c r="J10443" i="1"/>
  <c r="J10442" i="1"/>
  <c r="J10441" i="1"/>
  <c r="J10440" i="1"/>
  <c r="J10439" i="1"/>
  <c r="J10438" i="1"/>
  <c r="J10437" i="1"/>
  <c r="J10436" i="1"/>
  <c r="J10435" i="1"/>
  <c r="J10434" i="1"/>
  <c r="J10433" i="1"/>
  <c r="J10432" i="1"/>
  <c r="J10431" i="1"/>
  <c r="J10430" i="1"/>
  <c r="J10429" i="1"/>
  <c r="J10428" i="1"/>
  <c r="J10427" i="1"/>
  <c r="J10426" i="1"/>
  <c r="J10425" i="1"/>
  <c r="J10424" i="1"/>
  <c r="J10423" i="1"/>
  <c r="J10422" i="1"/>
  <c r="J10421" i="1"/>
  <c r="J10420" i="1"/>
  <c r="J10419" i="1"/>
  <c r="J10418" i="1"/>
  <c r="J10417" i="1"/>
  <c r="J10416" i="1"/>
  <c r="J10415" i="1"/>
  <c r="J10414" i="1"/>
  <c r="J10413" i="1"/>
  <c r="J10412" i="1"/>
  <c r="J10411" i="1"/>
  <c r="J10410" i="1"/>
  <c r="J10409" i="1"/>
  <c r="J10408" i="1"/>
  <c r="J10407" i="1"/>
  <c r="J10406" i="1"/>
  <c r="J10405" i="1"/>
  <c r="J10404" i="1"/>
  <c r="J10403" i="1"/>
  <c r="J10402" i="1"/>
  <c r="J10401" i="1"/>
  <c r="J10400" i="1"/>
  <c r="J10399" i="1"/>
  <c r="J10398" i="1"/>
  <c r="J10397" i="1"/>
  <c r="J10396" i="1"/>
  <c r="J10395" i="1"/>
  <c r="J10394" i="1"/>
  <c r="J10393" i="1"/>
  <c r="J10392" i="1"/>
  <c r="J10391" i="1"/>
  <c r="J10390" i="1"/>
  <c r="J10389" i="1"/>
  <c r="J10388" i="1"/>
  <c r="J10387" i="1"/>
  <c r="J10386" i="1"/>
  <c r="J10385" i="1"/>
  <c r="J10384" i="1"/>
  <c r="J10383" i="1"/>
  <c r="J10382" i="1"/>
  <c r="J10381" i="1"/>
  <c r="J10380" i="1"/>
  <c r="J10379" i="1"/>
  <c r="J10378" i="1"/>
  <c r="J10377" i="1"/>
  <c r="J10376" i="1"/>
  <c r="J10375" i="1"/>
  <c r="J10374" i="1"/>
  <c r="J10373" i="1"/>
  <c r="J10372" i="1"/>
  <c r="J10371" i="1"/>
  <c r="J10370" i="1"/>
  <c r="J10369" i="1"/>
  <c r="J10368" i="1"/>
  <c r="J10367" i="1"/>
  <c r="J10366" i="1"/>
  <c r="J10365" i="1"/>
  <c r="J10364" i="1"/>
  <c r="J10363" i="1"/>
  <c r="J10362" i="1"/>
  <c r="J10361" i="1"/>
  <c r="J10360" i="1"/>
  <c r="J10359" i="1"/>
  <c r="J10358" i="1"/>
  <c r="J10357" i="1"/>
  <c r="J10356" i="1"/>
  <c r="J10355" i="1"/>
  <c r="J10354" i="1"/>
  <c r="J10353" i="1"/>
  <c r="J10352" i="1"/>
  <c r="J10351" i="1"/>
  <c r="J10350" i="1"/>
  <c r="J10349" i="1"/>
  <c r="J10348" i="1"/>
  <c r="J10347" i="1"/>
  <c r="J10346" i="1"/>
  <c r="J10345" i="1"/>
  <c r="J10344" i="1"/>
  <c r="J10343" i="1"/>
  <c r="J10342" i="1"/>
  <c r="J10341" i="1"/>
  <c r="J10340" i="1"/>
  <c r="J10339" i="1"/>
  <c r="J10338" i="1"/>
  <c r="J10337" i="1"/>
  <c r="J10336" i="1"/>
  <c r="J10335" i="1"/>
  <c r="J10334" i="1"/>
  <c r="J10333" i="1"/>
  <c r="J10332" i="1"/>
  <c r="J10331" i="1"/>
  <c r="J10330" i="1"/>
  <c r="J10329" i="1"/>
  <c r="J10328" i="1"/>
  <c r="J10327" i="1"/>
  <c r="J10326" i="1"/>
  <c r="J10325" i="1"/>
  <c r="J10324" i="1"/>
  <c r="J10323" i="1"/>
  <c r="J10322" i="1"/>
  <c r="J10321" i="1"/>
  <c r="J10320" i="1"/>
  <c r="J10319" i="1"/>
  <c r="J10318" i="1"/>
  <c r="J10317" i="1"/>
  <c r="J10316" i="1"/>
  <c r="J10315" i="1"/>
  <c r="J10314" i="1"/>
  <c r="J10313" i="1"/>
  <c r="J10312" i="1"/>
  <c r="J10311" i="1"/>
  <c r="J10310" i="1"/>
  <c r="J10309" i="1"/>
  <c r="J10308" i="1"/>
  <c r="J10307" i="1"/>
  <c r="J10306" i="1"/>
  <c r="J10305" i="1"/>
  <c r="J10304" i="1"/>
  <c r="J10303" i="1"/>
  <c r="J10302" i="1"/>
  <c r="J10301" i="1"/>
  <c r="J10300" i="1"/>
  <c r="J10299" i="1"/>
  <c r="J10298" i="1"/>
  <c r="J10297" i="1"/>
  <c r="J10296" i="1"/>
  <c r="J10295" i="1"/>
  <c r="J10294" i="1"/>
  <c r="J10293" i="1"/>
  <c r="J10292" i="1"/>
  <c r="J10291" i="1"/>
  <c r="J10290" i="1"/>
  <c r="J10289" i="1"/>
  <c r="J10288" i="1"/>
  <c r="J10287" i="1"/>
  <c r="J10286" i="1"/>
  <c r="J10285" i="1"/>
  <c r="J10284" i="1"/>
  <c r="J10283" i="1"/>
  <c r="J10282" i="1"/>
  <c r="J10281" i="1"/>
  <c r="J10280" i="1"/>
  <c r="J10279" i="1"/>
  <c r="J10278" i="1"/>
  <c r="J10277" i="1"/>
  <c r="J10276" i="1"/>
  <c r="J10275" i="1"/>
  <c r="J10274" i="1"/>
  <c r="J10273" i="1"/>
  <c r="J10272" i="1"/>
  <c r="J10271" i="1"/>
  <c r="J10270" i="1"/>
  <c r="J10269" i="1"/>
  <c r="J10268" i="1"/>
  <c r="J10267" i="1"/>
  <c r="J10266" i="1"/>
  <c r="J10265" i="1"/>
  <c r="J10264" i="1"/>
  <c r="J10263" i="1"/>
  <c r="J10262" i="1"/>
  <c r="J10261" i="1"/>
  <c r="J10260" i="1"/>
  <c r="J10259" i="1"/>
  <c r="J10258" i="1"/>
  <c r="J10257" i="1"/>
  <c r="J10256" i="1"/>
  <c r="J10255" i="1"/>
  <c r="J10254" i="1"/>
  <c r="J10253" i="1"/>
  <c r="J10252" i="1"/>
  <c r="J10251" i="1"/>
  <c r="J10250" i="1"/>
  <c r="J10249" i="1"/>
  <c r="J10248" i="1"/>
  <c r="J10247" i="1"/>
  <c r="J10246" i="1"/>
  <c r="J10245" i="1"/>
  <c r="J10244" i="1"/>
  <c r="J10243" i="1"/>
  <c r="J10242" i="1"/>
  <c r="J10241" i="1"/>
  <c r="J10240" i="1"/>
  <c r="J10239" i="1"/>
  <c r="J10238" i="1"/>
  <c r="J10237" i="1"/>
  <c r="J10236" i="1"/>
  <c r="J10235" i="1"/>
  <c r="J10234" i="1"/>
  <c r="J10233" i="1"/>
  <c r="J10232" i="1"/>
  <c r="J10231" i="1"/>
  <c r="J10230" i="1"/>
  <c r="J10229" i="1"/>
  <c r="J10228" i="1"/>
  <c r="J10227" i="1"/>
  <c r="J10226" i="1"/>
  <c r="J10225" i="1"/>
  <c r="J10224" i="1"/>
  <c r="J10223" i="1"/>
  <c r="J10222" i="1"/>
  <c r="J10221" i="1"/>
  <c r="J10220" i="1"/>
  <c r="J10219" i="1"/>
  <c r="J10218" i="1"/>
  <c r="J10217" i="1"/>
  <c r="J10216" i="1"/>
  <c r="J10215" i="1"/>
  <c r="J10214" i="1"/>
  <c r="J10213" i="1"/>
  <c r="J10212" i="1"/>
  <c r="J10211" i="1"/>
  <c r="J10210" i="1"/>
  <c r="J10209" i="1"/>
  <c r="J10208" i="1"/>
  <c r="J10207" i="1"/>
  <c r="J10206" i="1"/>
  <c r="J10205" i="1"/>
  <c r="J10204" i="1"/>
  <c r="J10203" i="1"/>
  <c r="J10202" i="1"/>
  <c r="J10201" i="1"/>
  <c r="J10200" i="1"/>
  <c r="J10199" i="1"/>
  <c r="J10198" i="1"/>
  <c r="J10197" i="1"/>
  <c r="J10196" i="1"/>
  <c r="J10195" i="1"/>
  <c r="J10194" i="1"/>
  <c r="J10193" i="1"/>
  <c r="J10192" i="1"/>
  <c r="J10191" i="1"/>
  <c r="J10190" i="1"/>
  <c r="J10189" i="1"/>
  <c r="J10188" i="1"/>
  <c r="J10187" i="1"/>
  <c r="J10186" i="1"/>
  <c r="J10185" i="1"/>
  <c r="J10184" i="1"/>
  <c r="J10183" i="1"/>
  <c r="J10182" i="1"/>
  <c r="J10181" i="1"/>
  <c r="J10180" i="1"/>
  <c r="J10179" i="1"/>
  <c r="J10178" i="1"/>
  <c r="J10177" i="1"/>
  <c r="J10176" i="1"/>
  <c r="J10175" i="1"/>
  <c r="J10174" i="1"/>
  <c r="J10173" i="1"/>
  <c r="J10172" i="1"/>
  <c r="J10171" i="1"/>
  <c r="J10170" i="1"/>
  <c r="J10169" i="1"/>
  <c r="J10168" i="1"/>
  <c r="J10167" i="1"/>
  <c r="J10166" i="1"/>
  <c r="J10165" i="1"/>
  <c r="J10164" i="1"/>
  <c r="J10163" i="1"/>
  <c r="J10162" i="1"/>
  <c r="J10161" i="1"/>
  <c r="J10160" i="1"/>
  <c r="J10159" i="1"/>
  <c r="J10158" i="1"/>
  <c r="J10157" i="1"/>
  <c r="J10156" i="1"/>
  <c r="J10155" i="1"/>
  <c r="J10154" i="1"/>
  <c r="J10153" i="1"/>
  <c r="J10152" i="1"/>
  <c r="J10151" i="1"/>
  <c r="J10150" i="1"/>
  <c r="J10149" i="1"/>
  <c r="J10148" i="1"/>
  <c r="J10147" i="1"/>
  <c r="J10146" i="1"/>
  <c r="J10145" i="1"/>
  <c r="J10144" i="1"/>
  <c r="J10143" i="1"/>
  <c r="J10142" i="1"/>
  <c r="J10141" i="1"/>
  <c r="J10140" i="1"/>
  <c r="J10139" i="1"/>
  <c r="J10138" i="1"/>
  <c r="J10137" i="1"/>
  <c r="J10136" i="1"/>
  <c r="J10135" i="1"/>
  <c r="J10134" i="1"/>
  <c r="J10133" i="1"/>
  <c r="J10132" i="1"/>
  <c r="J10131" i="1"/>
  <c r="J10130" i="1"/>
  <c r="J10129" i="1"/>
  <c r="J10128" i="1"/>
  <c r="J10127" i="1"/>
  <c r="J10126" i="1"/>
  <c r="J10125" i="1"/>
  <c r="J10124" i="1"/>
  <c r="J10123" i="1"/>
  <c r="J10122" i="1"/>
  <c r="J10121" i="1"/>
  <c r="J10120" i="1"/>
  <c r="J10119" i="1"/>
  <c r="J10118" i="1"/>
  <c r="J10117" i="1"/>
  <c r="J10116" i="1"/>
  <c r="J10115" i="1"/>
  <c r="J10114" i="1"/>
  <c r="J10113" i="1"/>
  <c r="J10112" i="1"/>
  <c r="J10111" i="1"/>
  <c r="J10110" i="1"/>
  <c r="J10109" i="1"/>
  <c r="J10108" i="1"/>
  <c r="J10107" i="1"/>
  <c r="J10106" i="1"/>
  <c r="J10105" i="1"/>
  <c r="J10104" i="1"/>
  <c r="J10103" i="1"/>
  <c r="J10102" i="1"/>
  <c r="J10101" i="1"/>
  <c r="J10100" i="1"/>
  <c r="J10099" i="1"/>
  <c r="J10098" i="1"/>
  <c r="J10097" i="1"/>
  <c r="J10096" i="1"/>
  <c r="J10095" i="1"/>
  <c r="J10094" i="1"/>
  <c r="J10093" i="1"/>
  <c r="J10092" i="1"/>
  <c r="J10091" i="1"/>
  <c r="J10090" i="1"/>
  <c r="J10089" i="1"/>
  <c r="J10088" i="1"/>
  <c r="J10087" i="1"/>
  <c r="J10086" i="1"/>
  <c r="J10085" i="1"/>
  <c r="J10084" i="1"/>
  <c r="J10083" i="1"/>
  <c r="J10082" i="1"/>
  <c r="J10081" i="1"/>
  <c r="J10080" i="1"/>
  <c r="J10079" i="1"/>
  <c r="J10078" i="1"/>
  <c r="J10077" i="1"/>
  <c r="J10076" i="1"/>
  <c r="J10075" i="1"/>
  <c r="J10074" i="1"/>
  <c r="J10073" i="1"/>
  <c r="J10072" i="1"/>
  <c r="J10071" i="1"/>
  <c r="J10070" i="1"/>
  <c r="J10069" i="1"/>
  <c r="J10068" i="1"/>
  <c r="J10067" i="1"/>
  <c r="J10066" i="1"/>
  <c r="J10065" i="1"/>
  <c r="J10064" i="1"/>
  <c r="J10063" i="1"/>
  <c r="J10062" i="1"/>
  <c r="J10061" i="1"/>
  <c r="J10060" i="1"/>
  <c r="J10059" i="1"/>
  <c r="J10058" i="1"/>
  <c r="J10057" i="1"/>
  <c r="J10056" i="1"/>
  <c r="J10055" i="1"/>
  <c r="J10054" i="1"/>
  <c r="J10053" i="1"/>
  <c r="J10052" i="1"/>
  <c r="J10051" i="1"/>
  <c r="J10050" i="1"/>
  <c r="J10049" i="1"/>
  <c r="J10048" i="1"/>
  <c r="J10047" i="1"/>
  <c r="J10046" i="1"/>
  <c r="J10045" i="1"/>
  <c r="J10044" i="1"/>
  <c r="J10043" i="1"/>
  <c r="J10042" i="1"/>
  <c r="J10041" i="1"/>
  <c r="J10040" i="1"/>
  <c r="J10039" i="1"/>
  <c r="J10038" i="1"/>
  <c r="J10037" i="1"/>
  <c r="J10036" i="1"/>
  <c r="J10035" i="1"/>
  <c r="J10034" i="1"/>
  <c r="J10033" i="1"/>
  <c r="J10032" i="1"/>
  <c r="J10031" i="1"/>
  <c r="J10030" i="1"/>
  <c r="J10029" i="1"/>
  <c r="J10028" i="1"/>
  <c r="J10027" i="1"/>
  <c r="J10026" i="1"/>
  <c r="J10025" i="1"/>
  <c r="J10024" i="1"/>
  <c r="J10023" i="1"/>
  <c r="J10022" i="1"/>
  <c r="J10021" i="1"/>
  <c r="J10020" i="1"/>
  <c r="J10019" i="1"/>
  <c r="J10018" i="1"/>
  <c r="J10017" i="1"/>
  <c r="J10016" i="1"/>
  <c r="J10015" i="1"/>
  <c r="J10014" i="1"/>
  <c r="J10013" i="1"/>
  <c r="J10012" i="1"/>
  <c r="J10011" i="1"/>
  <c r="J10010" i="1"/>
  <c r="J10009" i="1"/>
  <c r="J10008" i="1"/>
  <c r="J10007" i="1"/>
  <c r="J10006" i="1"/>
  <c r="J10005" i="1"/>
  <c r="J10004" i="1"/>
  <c r="J10003" i="1"/>
  <c r="J10002" i="1"/>
  <c r="J10001" i="1"/>
  <c r="J10000" i="1"/>
  <c r="J9999" i="1"/>
  <c r="J9998" i="1"/>
  <c r="J9997" i="1"/>
  <c r="J9996" i="1"/>
  <c r="J9995" i="1"/>
  <c r="J9994" i="1"/>
  <c r="J9993" i="1"/>
  <c r="J9992" i="1"/>
  <c r="J9991" i="1"/>
  <c r="J9990" i="1"/>
  <c r="J9989" i="1"/>
  <c r="J9988" i="1"/>
  <c r="J9987" i="1"/>
  <c r="J9986" i="1"/>
  <c r="J9985" i="1"/>
  <c r="J9984" i="1"/>
  <c r="J9983" i="1"/>
  <c r="J9982" i="1"/>
  <c r="J9981" i="1"/>
  <c r="J9980" i="1"/>
  <c r="J9979" i="1"/>
  <c r="J9978" i="1"/>
  <c r="J9977" i="1"/>
  <c r="J9976" i="1"/>
  <c r="J9975" i="1"/>
  <c r="J9974" i="1"/>
  <c r="J9973" i="1"/>
  <c r="J9972" i="1"/>
  <c r="J9971" i="1"/>
  <c r="J9970" i="1"/>
  <c r="J9969" i="1"/>
  <c r="J9968" i="1"/>
  <c r="J9967" i="1"/>
  <c r="J9966" i="1"/>
  <c r="J9965" i="1"/>
  <c r="J9964" i="1"/>
  <c r="J9963" i="1"/>
  <c r="J9962" i="1"/>
  <c r="J9961" i="1"/>
  <c r="J9960" i="1"/>
  <c r="J9959" i="1"/>
  <c r="J9958" i="1"/>
  <c r="J9957" i="1"/>
  <c r="J9956" i="1"/>
  <c r="J9955" i="1"/>
  <c r="J9954" i="1"/>
  <c r="J9953" i="1"/>
  <c r="J9952" i="1"/>
  <c r="J9951" i="1"/>
  <c r="J9950" i="1"/>
  <c r="J9949" i="1"/>
  <c r="J9948" i="1"/>
  <c r="J9947" i="1"/>
  <c r="J9946" i="1"/>
  <c r="J9945" i="1"/>
  <c r="J9944" i="1"/>
  <c r="J9943" i="1"/>
  <c r="J9942" i="1"/>
  <c r="J9941" i="1"/>
  <c r="J9940" i="1"/>
  <c r="J9939" i="1"/>
  <c r="J9938" i="1"/>
  <c r="J9937" i="1"/>
  <c r="J9936" i="1"/>
  <c r="J9935" i="1"/>
  <c r="J9934" i="1"/>
  <c r="J9933" i="1"/>
  <c r="J9932" i="1"/>
  <c r="J9931" i="1"/>
  <c r="J9930" i="1"/>
  <c r="J9929" i="1"/>
  <c r="J9928" i="1"/>
  <c r="J9927" i="1"/>
  <c r="J9926" i="1"/>
  <c r="J9925" i="1"/>
  <c r="J9924" i="1"/>
  <c r="J9923" i="1"/>
  <c r="J9922" i="1"/>
  <c r="J9921" i="1"/>
  <c r="J9920" i="1"/>
  <c r="J9919" i="1"/>
  <c r="J9918" i="1"/>
  <c r="J9917" i="1"/>
  <c r="J9916" i="1"/>
  <c r="J9915" i="1"/>
  <c r="J9914" i="1"/>
  <c r="J9913" i="1"/>
  <c r="J9912" i="1"/>
  <c r="J9911" i="1"/>
  <c r="J9910" i="1"/>
  <c r="J9909" i="1"/>
  <c r="J9908" i="1"/>
  <c r="J9907" i="1"/>
  <c r="J9906" i="1"/>
  <c r="J9905" i="1"/>
  <c r="J9904" i="1"/>
  <c r="J9903" i="1"/>
  <c r="J9902" i="1"/>
  <c r="J9901" i="1"/>
  <c r="J9900" i="1"/>
  <c r="J9899" i="1"/>
  <c r="J9898" i="1"/>
  <c r="J9897" i="1"/>
  <c r="J9896" i="1"/>
  <c r="J9895" i="1"/>
  <c r="J9894" i="1"/>
  <c r="J9893" i="1"/>
  <c r="J9892" i="1"/>
  <c r="J9891" i="1"/>
  <c r="J9890" i="1"/>
  <c r="J9889" i="1"/>
  <c r="J9888" i="1"/>
  <c r="J9887" i="1"/>
  <c r="J9886" i="1"/>
  <c r="J9885" i="1"/>
  <c r="J9884" i="1"/>
  <c r="J9883" i="1"/>
  <c r="J9882" i="1"/>
  <c r="J9881" i="1"/>
  <c r="J9880" i="1"/>
  <c r="J9879" i="1"/>
  <c r="J9878" i="1"/>
  <c r="J9877" i="1"/>
  <c r="J9876" i="1"/>
  <c r="J9875" i="1"/>
  <c r="J9874" i="1"/>
  <c r="J9873" i="1"/>
  <c r="J9872" i="1"/>
  <c r="J9871" i="1"/>
  <c r="J9870" i="1"/>
  <c r="J9869" i="1"/>
  <c r="J9868" i="1"/>
  <c r="J9867" i="1"/>
  <c r="J9866" i="1"/>
  <c r="J9865" i="1"/>
  <c r="J9864" i="1"/>
  <c r="J9863" i="1"/>
  <c r="J9862" i="1"/>
  <c r="J9861" i="1"/>
  <c r="J9860" i="1"/>
  <c r="J9859" i="1"/>
  <c r="J9858" i="1"/>
  <c r="J9857" i="1"/>
  <c r="J9856" i="1"/>
  <c r="J9855" i="1"/>
  <c r="J9854" i="1"/>
  <c r="J9853" i="1"/>
  <c r="J9852" i="1"/>
  <c r="J9851" i="1"/>
  <c r="J9850" i="1"/>
  <c r="J9849" i="1"/>
  <c r="J9848" i="1"/>
  <c r="J9847" i="1"/>
  <c r="J9846" i="1"/>
  <c r="J9845" i="1"/>
  <c r="J9844" i="1"/>
  <c r="J9843" i="1"/>
  <c r="J9842" i="1"/>
  <c r="J9841" i="1"/>
  <c r="J9840" i="1"/>
  <c r="J9839" i="1"/>
  <c r="J9838" i="1"/>
  <c r="J9837" i="1"/>
  <c r="J9836" i="1"/>
  <c r="J9835" i="1"/>
  <c r="J9834" i="1"/>
  <c r="J9833" i="1"/>
  <c r="J9832" i="1"/>
  <c r="J9831" i="1"/>
  <c r="J9830" i="1"/>
  <c r="J9829" i="1"/>
  <c r="J9828" i="1"/>
  <c r="J9827" i="1"/>
  <c r="J9826" i="1"/>
  <c r="J9825" i="1"/>
  <c r="J9824" i="1"/>
  <c r="J9823" i="1"/>
  <c r="J9822" i="1"/>
  <c r="J9821" i="1"/>
  <c r="J9820" i="1"/>
  <c r="J9819" i="1"/>
  <c r="J9818" i="1"/>
  <c r="J9817" i="1"/>
  <c r="J9816" i="1"/>
  <c r="J9815" i="1"/>
  <c r="J9814" i="1"/>
  <c r="J9813" i="1"/>
  <c r="J9812" i="1"/>
  <c r="J9811" i="1"/>
  <c r="J9810" i="1"/>
  <c r="J9809" i="1"/>
  <c r="J9808" i="1"/>
  <c r="J9807" i="1"/>
  <c r="J9806" i="1"/>
  <c r="J9805" i="1"/>
  <c r="J9804" i="1"/>
  <c r="J9803" i="1"/>
  <c r="J9802" i="1"/>
  <c r="J9801" i="1"/>
  <c r="J9800" i="1"/>
  <c r="J9799" i="1"/>
  <c r="J9798" i="1"/>
  <c r="J9797" i="1"/>
  <c r="J9796" i="1"/>
  <c r="J9795" i="1"/>
  <c r="J9794" i="1"/>
  <c r="J9793" i="1"/>
  <c r="J9792" i="1"/>
  <c r="J9791" i="1"/>
  <c r="J9790" i="1"/>
  <c r="J9789" i="1"/>
  <c r="J9788" i="1"/>
  <c r="J9787" i="1"/>
  <c r="J9786" i="1"/>
  <c r="J9785" i="1"/>
  <c r="J9784" i="1"/>
  <c r="J9783" i="1"/>
  <c r="J9782" i="1"/>
  <c r="J9781" i="1"/>
  <c r="J9780" i="1"/>
  <c r="J9779" i="1"/>
  <c r="J9778" i="1"/>
  <c r="J9777" i="1"/>
  <c r="J9776" i="1"/>
  <c r="J9775" i="1"/>
  <c r="J9774" i="1"/>
  <c r="J9773" i="1"/>
  <c r="J9772" i="1"/>
  <c r="J9771" i="1"/>
  <c r="J9770" i="1"/>
  <c r="J9769" i="1"/>
  <c r="J9768" i="1"/>
  <c r="J9767" i="1"/>
  <c r="J9766" i="1"/>
  <c r="J9765" i="1"/>
  <c r="J9764" i="1"/>
  <c r="J9763" i="1"/>
  <c r="J9762" i="1"/>
  <c r="J9761" i="1"/>
  <c r="J9760" i="1"/>
  <c r="J9759" i="1"/>
  <c r="J9758" i="1"/>
  <c r="J9757" i="1"/>
  <c r="J9756" i="1"/>
  <c r="J9755" i="1"/>
  <c r="J9754" i="1"/>
  <c r="J9753" i="1"/>
  <c r="J9752" i="1"/>
  <c r="J9751" i="1"/>
  <c r="J9750" i="1"/>
  <c r="J9749" i="1"/>
  <c r="J9748" i="1"/>
  <c r="J9747" i="1"/>
  <c r="J9746" i="1"/>
  <c r="J9745" i="1"/>
  <c r="J9744" i="1"/>
  <c r="J9743" i="1"/>
  <c r="J9742" i="1"/>
  <c r="J9741" i="1"/>
  <c r="J9740" i="1"/>
  <c r="J9739" i="1"/>
  <c r="J9738" i="1"/>
  <c r="J9737" i="1"/>
  <c r="J9736" i="1"/>
  <c r="J9735" i="1"/>
  <c r="J9734" i="1"/>
  <c r="J9733" i="1"/>
  <c r="J9732" i="1"/>
  <c r="J9731" i="1"/>
  <c r="J9730" i="1"/>
  <c r="J9729" i="1"/>
  <c r="J9728" i="1"/>
  <c r="J9727" i="1"/>
  <c r="J9726" i="1"/>
  <c r="J9725" i="1"/>
  <c r="J9724" i="1"/>
  <c r="J9723" i="1"/>
  <c r="J9722" i="1"/>
  <c r="J9721" i="1"/>
  <c r="J9720" i="1"/>
  <c r="J9719" i="1"/>
  <c r="J9718" i="1"/>
  <c r="J9717" i="1"/>
  <c r="J9716" i="1"/>
  <c r="J9715" i="1"/>
  <c r="J9714" i="1"/>
  <c r="J9713" i="1"/>
  <c r="J9712" i="1"/>
  <c r="J9711" i="1"/>
  <c r="J9710" i="1"/>
  <c r="J9709" i="1"/>
  <c r="J9708" i="1"/>
  <c r="J9707" i="1"/>
  <c r="J9706" i="1"/>
  <c r="J9705" i="1"/>
  <c r="J9704" i="1"/>
  <c r="J9703" i="1"/>
  <c r="J9702" i="1"/>
  <c r="J9701" i="1"/>
  <c r="J9700" i="1"/>
  <c r="J9699" i="1"/>
  <c r="J9698" i="1"/>
  <c r="J9697" i="1"/>
  <c r="J9696" i="1"/>
  <c r="J9695" i="1"/>
  <c r="J9694" i="1"/>
  <c r="J9693" i="1"/>
  <c r="J9692" i="1"/>
  <c r="J9691" i="1"/>
  <c r="J9690" i="1"/>
  <c r="J9689" i="1"/>
  <c r="J9688" i="1"/>
  <c r="J9687" i="1"/>
  <c r="J9686" i="1"/>
  <c r="J9685" i="1"/>
  <c r="J9684" i="1"/>
  <c r="J9683" i="1"/>
  <c r="J9682" i="1"/>
  <c r="J9681" i="1"/>
  <c r="J9680" i="1"/>
  <c r="J9679" i="1"/>
  <c r="J9678" i="1"/>
  <c r="J9677" i="1"/>
  <c r="J9676" i="1"/>
  <c r="J9675" i="1"/>
  <c r="J9674" i="1"/>
  <c r="J9673" i="1"/>
  <c r="J9672" i="1"/>
  <c r="J9671" i="1"/>
  <c r="J9670" i="1"/>
  <c r="J9669" i="1"/>
  <c r="J9668" i="1"/>
  <c r="J9667" i="1"/>
  <c r="J9666" i="1"/>
  <c r="J9665" i="1"/>
  <c r="J9664" i="1"/>
  <c r="J9663" i="1"/>
  <c r="J9662" i="1"/>
  <c r="J9661" i="1"/>
  <c r="J9660" i="1"/>
  <c r="J9659" i="1"/>
  <c r="J9658" i="1"/>
  <c r="J9657" i="1"/>
  <c r="J9656" i="1"/>
  <c r="J9655" i="1"/>
  <c r="J9654" i="1"/>
  <c r="J9653" i="1"/>
  <c r="J9652" i="1"/>
  <c r="J9651" i="1"/>
  <c r="J9650" i="1"/>
  <c r="J9649" i="1"/>
  <c r="J9648" i="1"/>
  <c r="J9647" i="1"/>
  <c r="J9646" i="1"/>
  <c r="J9645" i="1"/>
  <c r="J9644" i="1"/>
  <c r="J9643" i="1"/>
  <c r="J9642" i="1"/>
  <c r="J9641" i="1"/>
  <c r="J9640" i="1"/>
  <c r="J9639" i="1"/>
  <c r="J9638" i="1"/>
  <c r="J9637" i="1"/>
  <c r="J9636" i="1"/>
  <c r="J9635" i="1"/>
  <c r="J9634" i="1"/>
  <c r="J9633" i="1"/>
  <c r="J9632" i="1"/>
  <c r="J9631" i="1"/>
  <c r="J9630" i="1"/>
  <c r="J9629" i="1"/>
  <c r="J9628" i="1"/>
  <c r="J9627" i="1"/>
  <c r="J9626" i="1"/>
  <c r="J9625" i="1"/>
  <c r="J9624" i="1"/>
  <c r="J9623" i="1"/>
  <c r="J9622" i="1"/>
  <c r="J9621" i="1"/>
  <c r="J9620" i="1"/>
  <c r="J9619" i="1"/>
  <c r="J9618" i="1"/>
  <c r="J9617" i="1"/>
  <c r="J9616" i="1"/>
  <c r="J9615" i="1"/>
  <c r="J9614" i="1"/>
  <c r="J9613" i="1"/>
  <c r="J9612" i="1"/>
  <c r="J9611" i="1"/>
  <c r="J9610" i="1"/>
  <c r="J9609" i="1"/>
  <c r="J9608" i="1"/>
  <c r="J9607" i="1"/>
  <c r="J9606" i="1"/>
  <c r="J9605" i="1"/>
  <c r="J9604" i="1"/>
  <c r="J9603" i="1"/>
  <c r="J9602" i="1"/>
  <c r="J9601" i="1"/>
  <c r="J9600" i="1"/>
  <c r="J9599" i="1"/>
  <c r="J9598" i="1"/>
  <c r="J9597" i="1"/>
  <c r="J9596" i="1"/>
  <c r="J9595" i="1"/>
  <c r="J9594" i="1"/>
  <c r="J9593" i="1"/>
  <c r="J9592" i="1"/>
  <c r="J9591" i="1"/>
  <c r="J9590" i="1"/>
  <c r="J9589" i="1"/>
  <c r="J9588" i="1"/>
  <c r="J9587" i="1"/>
  <c r="J9586" i="1"/>
  <c r="J9585" i="1"/>
  <c r="J9584" i="1"/>
  <c r="J9583" i="1"/>
  <c r="J9582" i="1"/>
  <c r="J9581" i="1"/>
  <c r="J9580" i="1"/>
  <c r="J9579" i="1"/>
  <c r="J9578" i="1"/>
  <c r="J9577" i="1"/>
  <c r="J9576" i="1"/>
  <c r="J9575" i="1"/>
  <c r="J9574" i="1"/>
  <c r="J9573" i="1"/>
  <c r="J9572" i="1"/>
  <c r="J9571" i="1"/>
  <c r="J9570" i="1"/>
  <c r="J9569" i="1"/>
  <c r="J9568" i="1"/>
  <c r="J9567" i="1"/>
  <c r="J9566" i="1"/>
  <c r="J9565" i="1"/>
  <c r="J9564" i="1"/>
  <c r="J9563" i="1"/>
  <c r="J9562" i="1"/>
  <c r="J9561" i="1"/>
  <c r="J9560" i="1"/>
  <c r="J9559" i="1"/>
  <c r="J9558" i="1"/>
  <c r="J9557" i="1"/>
  <c r="J9556" i="1"/>
  <c r="J9555" i="1"/>
  <c r="J9554" i="1"/>
  <c r="J9553" i="1"/>
  <c r="J9552" i="1"/>
  <c r="J9551" i="1"/>
  <c r="J9550" i="1"/>
  <c r="J9549" i="1"/>
  <c r="J9548" i="1"/>
  <c r="J9547" i="1"/>
  <c r="J9546" i="1"/>
  <c r="J9545" i="1"/>
  <c r="J9544" i="1"/>
  <c r="J9543" i="1"/>
  <c r="J9542" i="1"/>
  <c r="J9541" i="1"/>
  <c r="J9540" i="1"/>
  <c r="J9539" i="1"/>
  <c r="J9538" i="1"/>
  <c r="J9537" i="1"/>
  <c r="J9536" i="1"/>
  <c r="J9535" i="1"/>
  <c r="J9534" i="1"/>
  <c r="J9533" i="1"/>
  <c r="J9532" i="1"/>
  <c r="J9531" i="1"/>
  <c r="J9530" i="1"/>
  <c r="J9529" i="1"/>
  <c r="J9528" i="1"/>
  <c r="J9527" i="1"/>
  <c r="J9526" i="1"/>
  <c r="J9525" i="1"/>
  <c r="J9524" i="1"/>
  <c r="J9523" i="1"/>
  <c r="J9522" i="1"/>
  <c r="J9521" i="1"/>
  <c r="J9520" i="1"/>
  <c r="J9519" i="1"/>
  <c r="J9518" i="1"/>
  <c r="J9517" i="1"/>
  <c r="J9516" i="1"/>
  <c r="J9515" i="1"/>
  <c r="J9514" i="1"/>
  <c r="J9513" i="1"/>
  <c r="J9512" i="1"/>
  <c r="J9511" i="1"/>
  <c r="J9510" i="1"/>
  <c r="J9509" i="1"/>
  <c r="J9508" i="1"/>
  <c r="J9507" i="1"/>
  <c r="J9506" i="1"/>
  <c r="J9505" i="1"/>
  <c r="J9504" i="1"/>
  <c r="J9503" i="1"/>
  <c r="J9502" i="1"/>
  <c r="J9501" i="1"/>
  <c r="J9500" i="1"/>
  <c r="J9499" i="1"/>
  <c r="J9498" i="1"/>
  <c r="J9497" i="1"/>
  <c r="J9496" i="1"/>
  <c r="J9495" i="1"/>
  <c r="J9494" i="1"/>
  <c r="J9493" i="1"/>
  <c r="J9492" i="1"/>
  <c r="J9491" i="1"/>
  <c r="J9490" i="1"/>
  <c r="J9489" i="1"/>
  <c r="J9488" i="1"/>
  <c r="J9487" i="1"/>
  <c r="J9486" i="1"/>
  <c r="J9485" i="1"/>
  <c r="J9484" i="1"/>
  <c r="J9483" i="1"/>
  <c r="J9482" i="1"/>
  <c r="J9481" i="1"/>
  <c r="J9480" i="1"/>
  <c r="J9479" i="1"/>
  <c r="J9478" i="1"/>
  <c r="J9477" i="1"/>
  <c r="J9476" i="1"/>
  <c r="J9475" i="1"/>
  <c r="J9474" i="1"/>
  <c r="J9473" i="1"/>
  <c r="J9472" i="1"/>
  <c r="J9471" i="1"/>
  <c r="J9470" i="1"/>
  <c r="J9469" i="1"/>
  <c r="J9468" i="1"/>
  <c r="J9467" i="1"/>
  <c r="J9466" i="1"/>
  <c r="J9465" i="1"/>
  <c r="J9464" i="1"/>
  <c r="J9463" i="1"/>
  <c r="J9462" i="1"/>
  <c r="J9461" i="1"/>
  <c r="J9460" i="1"/>
  <c r="J9459" i="1"/>
  <c r="J9458" i="1"/>
  <c r="J9457" i="1"/>
  <c r="J9456" i="1"/>
  <c r="J9455" i="1"/>
  <c r="J9454" i="1"/>
  <c r="J9453" i="1"/>
  <c r="J9452" i="1"/>
  <c r="J9451" i="1"/>
  <c r="J9450" i="1"/>
  <c r="J9449" i="1"/>
  <c r="J9448" i="1"/>
  <c r="J9447" i="1"/>
  <c r="J9446" i="1"/>
  <c r="J9445" i="1"/>
  <c r="J9444" i="1"/>
  <c r="J9443" i="1"/>
  <c r="J9442" i="1"/>
  <c r="J9441" i="1"/>
  <c r="J9440" i="1"/>
  <c r="J9439" i="1"/>
  <c r="J9438" i="1"/>
  <c r="J9437" i="1"/>
  <c r="J9436" i="1"/>
  <c r="J9435" i="1"/>
  <c r="J9434" i="1"/>
  <c r="J9433" i="1"/>
  <c r="J9432" i="1"/>
  <c r="J9431" i="1"/>
  <c r="J9430" i="1"/>
  <c r="J9429" i="1"/>
  <c r="J9428" i="1"/>
  <c r="J9427" i="1"/>
  <c r="J9426" i="1"/>
  <c r="J9425" i="1"/>
  <c r="J9424" i="1"/>
  <c r="J9423" i="1"/>
  <c r="J9422" i="1"/>
  <c r="J9421" i="1"/>
  <c r="J9420" i="1"/>
  <c r="J9419" i="1"/>
  <c r="J9418" i="1"/>
  <c r="J9417" i="1"/>
  <c r="J9416" i="1"/>
  <c r="J9415" i="1"/>
  <c r="J9414" i="1"/>
  <c r="J9413" i="1"/>
  <c r="J9412" i="1"/>
  <c r="J9411" i="1"/>
  <c r="J9410" i="1"/>
  <c r="J9409" i="1"/>
  <c r="J9408" i="1"/>
  <c r="J9407" i="1"/>
  <c r="J9406" i="1"/>
  <c r="J9405" i="1"/>
  <c r="J9404" i="1"/>
  <c r="J9403" i="1"/>
  <c r="J9402" i="1"/>
  <c r="J9401" i="1"/>
  <c r="J9400" i="1"/>
  <c r="J9399" i="1"/>
  <c r="J9398" i="1"/>
  <c r="J9397" i="1"/>
  <c r="J9396" i="1"/>
  <c r="J9395" i="1"/>
  <c r="J9394" i="1"/>
  <c r="J9393" i="1"/>
  <c r="J9392" i="1"/>
  <c r="J9391" i="1"/>
  <c r="J9390" i="1"/>
  <c r="J9389" i="1"/>
  <c r="J9388" i="1"/>
  <c r="J9387" i="1"/>
  <c r="J9386" i="1"/>
  <c r="J9385" i="1"/>
  <c r="J9384" i="1"/>
  <c r="J9383" i="1"/>
  <c r="J9382" i="1"/>
  <c r="J9381" i="1"/>
  <c r="J9380" i="1"/>
  <c r="J9379" i="1"/>
  <c r="J9378" i="1"/>
  <c r="J9377" i="1"/>
  <c r="J9376" i="1"/>
  <c r="J9375" i="1"/>
  <c r="J9374" i="1"/>
  <c r="J9373" i="1"/>
  <c r="J9372" i="1"/>
  <c r="J9371" i="1"/>
  <c r="J9370" i="1"/>
  <c r="J9369" i="1"/>
  <c r="J9368" i="1"/>
  <c r="J9367" i="1"/>
  <c r="J9366" i="1"/>
  <c r="J9365" i="1"/>
  <c r="J9364" i="1"/>
  <c r="J9363" i="1"/>
  <c r="J9362" i="1"/>
  <c r="J9361" i="1"/>
  <c r="J9360" i="1"/>
  <c r="J9359" i="1"/>
  <c r="J9358" i="1"/>
  <c r="J9357" i="1"/>
  <c r="J9356" i="1"/>
  <c r="J9355" i="1"/>
  <c r="J9354" i="1"/>
  <c r="J9353" i="1"/>
  <c r="J9352" i="1"/>
  <c r="J9351" i="1"/>
  <c r="J9350" i="1"/>
  <c r="J9349" i="1"/>
  <c r="J9348" i="1"/>
  <c r="J9347" i="1"/>
  <c r="J9346" i="1"/>
  <c r="J9345" i="1"/>
  <c r="J9344" i="1"/>
  <c r="J9343" i="1"/>
  <c r="J9342" i="1"/>
  <c r="J9341" i="1"/>
  <c r="J9340" i="1"/>
  <c r="J9339" i="1"/>
  <c r="J9338" i="1"/>
  <c r="J9337" i="1"/>
  <c r="J9336" i="1"/>
  <c r="J9335" i="1"/>
  <c r="J9334" i="1"/>
  <c r="J9333" i="1"/>
  <c r="J9332" i="1"/>
  <c r="J9331" i="1"/>
  <c r="J9330" i="1"/>
  <c r="J9329" i="1"/>
  <c r="J9328" i="1"/>
  <c r="J9327" i="1"/>
  <c r="J9326" i="1"/>
  <c r="J9325" i="1"/>
  <c r="J9324" i="1"/>
  <c r="J9323" i="1"/>
  <c r="J9322" i="1"/>
  <c r="J9321" i="1"/>
  <c r="J9320" i="1"/>
  <c r="J9319" i="1"/>
  <c r="J9318" i="1"/>
  <c r="J9317" i="1"/>
  <c r="J9316" i="1"/>
  <c r="J9315" i="1"/>
  <c r="J9314" i="1"/>
  <c r="J9313" i="1"/>
  <c r="J9312" i="1"/>
  <c r="J9311" i="1"/>
  <c r="J9310" i="1"/>
  <c r="J9309" i="1"/>
  <c r="J9308" i="1"/>
  <c r="J9307" i="1"/>
  <c r="J9306" i="1"/>
  <c r="J9305" i="1"/>
  <c r="J9304" i="1"/>
  <c r="J9303" i="1"/>
  <c r="J9302" i="1"/>
  <c r="J9301" i="1"/>
  <c r="J9300" i="1"/>
  <c r="J9299" i="1"/>
  <c r="J9298" i="1"/>
  <c r="J9297" i="1"/>
  <c r="J9296" i="1"/>
  <c r="J9295" i="1"/>
  <c r="J9294" i="1"/>
  <c r="J9293" i="1"/>
  <c r="J9292" i="1"/>
  <c r="J9291" i="1"/>
  <c r="J9290" i="1"/>
  <c r="J9289" i="1"/>
  <c r="J9288" i="1"/>
  <c r="J9287" i="1"/>
  <c r="J9286" i="1"/>
  <c r="J9285" i="1"/>
  <c r="J9284" i="1"/>
  <c r="J9283" i="1"/>
  <c r="J9282" i="1"/>
  <c r="J9281" i="1"/>
  <c r="J9280" i="1"/>
  <c r="J9279" i="1"/>
  <c r="J9278" i="1"/>
  <c r="J9277" i="1"/>
  <c r="J9276" i="1"/>
  <c r="J9275" i="1"/>
  <c r="J9274" i="1"/>
  <c r="J9273" i="1"/>
  <c r="J9272" i="1"/>
  <c r="J9271" i="1"/>
  <c r="J9270" i="1"/>
  <c r="J9269" i="1"/>
  <c r="J9268" i="1"/>
  <c r="J9267" i="1"/>
  <c r="J9266" i="1"/>
  <c r="J9265" i="1"/>
  <c r="J9264" i="1"/>
  <c r="J9263" i="1"/>
  <c r="J9262" i="1"/>
  <c r="J9261" i="1"/>
  <c r="J9260" i="1"/>
  <c r="J9259" i="1"/>
  <c r="J9258" i="1"/>
  <c r="J9257" i="1"/>
  <c r="J9256" i="1"/>
  <c r="J9255" i="1"/>
  <c r="J9254" i="1"/>
  <c r="J9253" i="1"/>
  <c r="J9252" i="1"/>
  <c r="J9251" i="1"/>
  <c r="J9250" i="1"/>
  <c r="J9249" i="1"/>
  <c r="J9248" i="1"/>
  <c r="J9247" i="1"/>
  <c r="J9246" i="1"/>
  <c r="J9245" i="1"/>
  <c r="J9244" i="1"/>
  <c r="J9243" i="1"/>
  <c r="J9242" i="1"/>
  <c r="J9241" i="1"/>
  <c r="J9240" i="1"/>
  <c r="J9239" i="1"/>
  <c r="J9238" i="1"/>
  <c r="J9237" i="1"/>
  <c r="J9236" i="1"/>
  <c r="J9235" i="1"/>
  <c r="J9234" i="1"/>
  <c r="J9233" i="1"/>
  <c r="J9232" i="1"/>
  <c r="J9231" i="1"/>
  <c r="J9230" i="1"/>
  <c r="J9229" i="1"/>
  <c r="J9228" i="1"/>
  <c r="J9227" i="1"/>
  <c r="J9226" i="1"/>
  <c r="J9225" i="1"/>
  <c r="J9224" i="1"/>
  <c r="J9223" i="1"/>
  <c r="J9222" i="1"/>
  <c r="J9221" i="1"/>
  <c r="J9220" i="1"/>
  <c r="J9219" i="1"/>
  <c r="J9218" i="1"/>
  <c r="J9217" i="1"/>
  <c r="J9216" i="1"/>
  <c r="J9215" i="1"/>
  <c r="J9214" i="1"/>
  <c r="J9213" i="1"/>
  <c r="J9212" i="1"/>
  <c r="J9211" i="1"/>
  <c r="J9210" i="1"/>
  <c r="J9209" i="1"/>
  <c r="J9208" i="1"/>
  <c r="J9207" i="1"/>
  <c r="J9206" i="1"/>
  <c r="J9205" i="1"/>
  <c r="J9204" i="1"/>
  <c r="J9203" i="1"/>
  <c r="J9202" i="1"/>
  <c r="J9201" i="1"/>
  <c r="J9200" i="1"/>
  <c r="J9199" i="1"/>
  <c r="J9198" i="1"/>
  <c r="J9197" i="1"/>
  <c r="J9196" i="1"/>
  <c r="J9195" i="1"/>
  <c r="J9194" i="1"/>
  <c r="J9193" i="1"/>
  <c r="J9192" i="1"/>
  <c r="J9191" i="1"/>
  <c r="J9190" i="1"/>
  <c r="J9189" i="1"/>
  <c r="J9188" i="1"/>
  <c r="J9187" i="1"/>
  <c r="J9186" i="1"/>
  <c r="J9185" i="1"/>
  <c r="J9184" i="1"/>
  <c r="J9183" i="1"/>
  <c r="J9182" i="1"/>
  <c r="J9181" i="1"/>
  <c r="J9180" i="1"/>
  <c r="J9179" i="1"/>
  <c r="J9178" i="1"/>
  <c r="J9177" i="1"/>
  <c r="J9176" i="1"/>
  <c r="J9175" i="1"/>
  <c r="J9174" i="1"/>
  <c r="J9173" i="1"/>
  <c r="J9172" i="1"/>
  <c r="J9171" i="1"/>
  <c r="J9170" i="1"/>
  <c r="J9169" i="1"/>
  <c r="J9168" i="1"/>
  <c r="J9167" i="1"/>
  <c r="J9166" i="1"/>
  <c r="J9165" i="1"/>
  <c r="J9164" i="1"/>
  <c r="J9163" i="1"/>
  <c r="J9162" i="1"/>
  <c r="J9161" i="1"/>
  <c r="J9160" i="1"/>
  <c r="J9159" i="1"/>
  <c r="J9158" i="1"/>
  <c r="J9157" i="1"/>
  <c r="J9156" i="1"/>
  <c r="J9155" i="1"/>
  <c r="J9154" i="1"/>
  <c r="J9153" i="1"/>
  <c r="J9152" i="1"/>
  <c r="J9151" i="1"/>
  <c r="J9150" i="1"/>
  <c r="J9149" i="1"/>
  <c r="J9148" i="1"/>
  <c r="J9147" i="1"/>
  <c r="J9146" i="1"/>
  <c r="J9145" i="1"/>
  <c r="J9144" i="1"/>
  <c r="J9143" i="1"/>
  <c r="J9142" i="1"/>
  <c r="J9141" i="1"/>
  <c r="J9140" i="1"/>
  <c r="J9139" i="1"/>
  <c r="J9138" i="1"/>
  <c r="J9137" i="1"/>
  <c r="J9136" i="1"/>
  <c r="J9135" i="1"/>
  <c r="J9134" i="1"/>
  <c r="J9133" i="1"/>
  <c r="J9132" i="1"/>
  <c r="J9131" i="1"/>
  <c r="J9130" i="1"/>
  <c r="J9129" i="1"/>
  <c r="J9128" i="1"/>
  <c r="J9127" i="1"/>
  <c r="J9126" i="1"/>
  <c r="J9125" i="1"/>
  <c r="J9124" i="1"/>
  <c r="J9123" i="1"/>
  <c r="J9122" i="1"/>
  <c r="J9121" i="1"/>
  <c r="J9120" i="1"/>
  <c r="J9119" i="1"/>
  <c r="J9118" i="1"/>
  <c r="J9117" i="1"/>
  <c r="J9116" i="1"/>
  <c r="J9115" i="1"/>
  <c r="J9114" i="1"/>
  <c r="J9113" i="1"/>
  <c r="J9112" i="1"/>
  <c r="J9111" i="1"/>
  <c r="J9110" i="1"/>
  <c r="J9109" i="1"/>
  <c r="J9108" i="1"/>
  <c r="J9107" i="1"/>
  <c r="J9106" i="1"/>
  <c r="J9105" i="1"/>
  <c r="J9104" i="1"/>
  <c r="J9103" i="1"/>
  <c r="J9102" i="1"/>
  <c r="J9101" i="1"/>
  <c r="J9100" i="1"/>
  <c r="J9099" i="1"/>
  <c r="J9098" i="1"/>
  <c r="J9097" i="1"/>
  <c r="J9096" i="1"/>
  <c r="J9095" i="1"/>
  <c r="J9094" i="1"/>
  <c r="J9093" i="1"/>
  <c r="J9092" i="1"/>
  <c r="J9091" i="1"/>
  <c r="J9090" i="1"/>
  <c r="J9089" i="1"/>
  <c r="J9088" i="1"/>
  <c r="J9087" i="1"/>
  <c r="J9086" i="1"/>
  <c r="J9085" i="1"/>
  <c r="J9084" i="1"/>
  <c r="J9083" i="1"/>
  <c r="J9082" i="1"/>
  <c r="J9081" i="1"/>
  <c r="J9080" i="1"/>
  <c r="J9079" i="1"/>
  <c r="J9078" i="1"/>
  <c r="J9077" i="1"/>
  <c r="J9076" i="1"/>
  <c r="J9075" i="1"/>
  <c r="J9074" i="1"/>
  <c r="J9073" i="1"/>
  <c r="J9072" i="1"/>
  <c r="J9071" i="1"/>
  <c r="J9070" i="1"/>
  <c r="J9069" i="1"/>
  <c r="J9068" i="1"/>
  <c r="J9067" i="1"/>
  <c r="J9066" i="1"/>
  <c r="J9065" i="1"/>
  <c r="J9064" i="1"/>
  <c r="J9063" i="1"/>
  <c r="J9062" i="1"/>
  <c r="J9061" i="1"/>
  <c r="J9060" i="1"/>
  <c r="J9059" i="1"/>
  <c r="J9058" i="1"/>
  <c r="J9057" i="1"/>
  <c r="J9056" i="1"/>
  <c r="J9055" i="1"/>
  <c r="J9054" i="1"/>
  <c r="J9053" i="1"/>
  <c r="J9052" i="1"/>
  <c r="J9051" i="1"/>
  <c r="J9050" i="1"/>
  <c r="J9049" i="1"/>
  <c r="J9048" i="1"/>
  <c r="J9047" i="1"/>
  <c r="J9046" i="1"/>
  <c r="J9045" i="1"/>
  <c r="J9044" i="1"/>
  <c r="J9043" i="1"/>
  <c r="J9042" i="1"/>
  <c r="J9041" i="1"/>
  <c r="J9040" i="1"/>
  <c r="J9039" i="1"/>
  <c r="J9038" i="1"/>
  <c r="J9037" i="1"/>
  <c r="J9036" i="1"/>
  <c r="J9035" i="1"/>
  <c r="J9034" i="1"/>
  <c r="J9033" i="1"/>
  <c r="J9032" i="1"/>
  <c r="J9031" i="1"/>
  <c r="J9030" i="1"/>
  <c r="J9029" i="1"/>
  <c r="J9028" i="1"/>
  <c r="J9027" i="1"/>
  <c r="J9026" i="1"/>
  <c r="J9025" i="1"/>
  <c r="J9024" i="1"/>
  <c r="J9023" i="1"/>
  <c r="J9022" i="1"/>
  <c r="J9021" i="1"/>
  <c r="J9020" i="1"/>
  <c r="J9019" i="1"/>
  <c r="J9018" i="1"/>
  <c r="J9017" i="1"/>
  <c r="J9016" i="1"/>
  <c r="J9015" i="1"/>
  <c r="J9014" i="1"/>
  <c r="J9013" i="1"/>
  <c r="J9012" i="1"/>
  <c r="J9011" i="1"/>
  <c r="J9010" i="1"/>
  <c r="J9009" i="1"/>
  <c r="J9008" i="1"/>
  <c r="J9007" i="1"/>
  <c r="J9006" i="1"/>
  <c r="J9005" i="1"/>
  <c r="J9004" i="1"/>
  <c r="J9003" i="1"/>
  <c r="J9002" i="1"/>
  <c r="J9001" i="1"/>
  <c r="J9000" i="1"/>
  <c r="J8999" i="1"/>
  <c r="J8998" i="1"/>
  <c r="J8997" i="1"/>
  <c r="J8996" i="1"/>
  <c r="J8995" i="1"/>
  <c r="J8994" i="1"/>
  <c r="J8993" i="1"/>
  <c r="J8992" i="1"/>
  <c r="J8991" i="1"/>
  <c r="J8990" i="1"/>
  <c r="J8989" i="1"/>
  <c r="J8988" i="1"/>
  <c r="J8987" i="1"/>
  <c r="J8986" i="1"/>
  <c r="J8985" i="1"/>
  <c r="J8984" i="1"/>
  <c r="J8983" i="1"/>
  <c r="J8982" i="1"/>
  <c r="J8981" i="1"/>
  <c r="J8980" i="1"/>
  <c r="J8979" i="1"/>
  <c r="J8978" i="1"/>
  <c r="J8977" i="1"/>
  <c r="J8976" i="1"/>
  <c r="J8975" i="1"/>
  <c r="J8974" i="1"/>
  <c r="J8973" i="1"/>
  <c r="J8972" i="1"/>
  <c r="J8971" i="1"/>
  <c r="J8970" i="1"/>
  <c r="J8969" i="1"/>
  <c r="J8968" i="1"/>
  <c r="J8967" i="1"/>
  <c r="J8966" i="1"/>
  <c r="J8965" i="1"/>
  <c r="J8964" i="1"/>
  <c r="J8963" i="1"/>
  <c r="J8962" i="1"/>
  <c r="J8961" i="1"/>
  <c r="J8960" i="1"/>
  <c r="J8959" i="1"/>
  <c r="J8958" i="1"/>
  <c r="J8957" i="1"/>
  <c r="J8956" i="1"/>
  <c r="J8955" i="1"/>
  <c r="J8954" i="1"/>
  <c r="J8953" i="1"/>
  <c r="J8952" i="1"/>
  <c r="J8951" i="1"/>
  <c r="J8950" i="1"/>
  <c r="J8949" i="1"/>
  <c r="J8948" i="1"/>
  <c r="J8947" i="1"/>
  <c r="J8946" i="1"/>
  <c r="J8945" i="1"/>
  <c r="J8944" i="1"/>
  <c r="J8943" i="1"/>
  <c r="J8942" i="1"/>
  <c r="J8941" i="1"/>
  <c r="J8940" i="1"/>
  <c r="J8939" i="1"/>
  <c r="J8938" i="1"/>
  <c r="J8937" i="1"/>
  <c r="J8936" i="1"/>
  <c r="J8935" i="1"/>
  <c r="J8934" i="1"/>
  <c r="J8933" i="1"/>
  <c r="J8932" i="1"/>
  <c r="J8931" i="1"/>
  <c r="J8930" i="1"/>
  <c r="J8929" i="1"/>
  <c r="J8928" i="1"/>
  <c r="J8927" i="1"/>
  <c r="J8926" i="1"/>
  <c r="J8925" i="1"/>
  <c r="J8924" i="1"/>
  <c r="J8923" i="1"/>
  <c r="J8922" i="1"/>
  <c r="J8921" i="1"/>
  <c r="J8920" i="1"/>
  <c r="J8919" i="1"/>
  <c r="J8918" i="1"/>
  <c r="J8917" i="1"/>
  <c r="J8916" i="1"/>
  <c r="J8915" i="1"/>
  <c r="J8914" i="1"/>
  <c r="J8913" i="1"/>
  <c r="J8912" i="1"/>
  <c r="J8911" i="1"/>
  <c r="J8910" i="1"/>
  <c r="J8909" i="1"/>
  <c r="J8908" i="1"/>
  <c r="J8907" i="1"/>
  <c r="J8906" i="1"/>
  <c r="J8905" i="1"/>
  <c r="J8904" i="1"/>
  <c r="J8903" i="1"/>
  <c r="J8902" i="1"/>
  <c r="J8901" i="1"/>
  <c r="J8900" i="1"/>
  <c r="J8899" i="1"/>
  <c r="J8898" i="1"/>
  <c r="J8897" i="1"/>
  <c r="J8896" i="1"/>
  <c r="J8895" i="1"/>
  <c r="J8894" i="1"/>
  <c r="J8893" i="1"/>
  <c r="J8892" i="1"/>
  <c r="J8891" i="1"/>
  <c r="J8890" i="1"/>
  <c r="J8889" i="1"/>
  <c r="J8888" i="1"/>
  <c r="J8887" i="1"/>
  <c r="J8886" i="1"/>
  <c r="J8885" i="1"/>
  <c r="J8884" i="1"/>
  <c r="J8883" i="1"/>
  <c r="J8882" i="1"/>
  <c r="J8881" i="1"/>
  <c r="J8880" i="1"/>
  <c r="J8879" i="1"/>
  <c r="J8878" i="1"/>
  <c r="J8877" i="1"/>
  <c r="J8876" i="1"/>
  <c r="J8875" i="1"/>
  <c r="J8874" i="1"/>
  <c r="J8873" i="1"/>
  <c r="J8872" i="1"/>
  <c r="J8871" i="1"/>
  <c r="J8870" i="1"/>
  <c r="J8869" i="1"/>
  <c r="J8868" i="1"/>
  <c r="J8867" i="1"/>
  <c r="J8866" i="1"/>
  <c r="J8865" i="1"/>
  <c r="J8864" i="1"/>
  <c r="J8863" i="1"/>
  <c r="J8862" i="1"/>
  <c r="J8861" i="1"/>
  <c r="J8860" i="1"/>
  <c r="J8859" i="1"/>
  <c r="J8858" i="1"/>
  <c r="J8857" i="1"/>
  <c r="J8856" i="1"/>
  <c r="J8855" i="1"/>
  <c r="J8854" i="1"/>
  <c r="J8853" i="1"/>
  <c r="J8852" i="1"/>
  <c r="J8851" i="1"/>
  <c r="J8850" i="1"/>
  <c r="J8849" i="1"/>
  <c r="J8848" i="1"/>
  <c r="J8847" i="1"/>
  <c r="J8846" i="1"/>
  <c r="J8845" i="1"/>
  <c r="J8844" i="1"/>
  <c r="J8843" i="1"/>
  <c r="J8842" i="1"/>
  <c r="J8841" i="1"/>
  <c r="J8840" i="1"/>
  <c r="J8839" i="1"/>
  <c r="J8838" i="1"/>
  <c r="J8837" i="1"/>
  <c r="J8836" i="1"/>
  <c r="J8835" i="1"/>
  <c r="J8834" i="1"/>
  <c r="J8833" i="1"/>
  <c r="J8832" i="1"/>
  <c r="J8831" i="1"/>
  <c r="J8830" i="1"/>
  <c r="J8829" i="1"/>
  <c r="J8828" i="1"/>
  <c r="J8827" i="1"/>
  <c r="J8826" i="1"/>
  <c r="J8825" i="1"/>
  <c r="J8824" i="1"/>
  <c r="J8823" i="1"/>
  <c r="J8822" i="1"/>
  <c r="J8821" i="1"/>
  <c r="J8820" i="1"/>
  <c r="J8819" i="1"/>
  <c r="J8818" i="1"/>
  <c r="J8817" i="1"/>
  <c r="J8816" i="1"/>
  <c r="J8815" i="1"/>
  <c r="J8814" i="1"/>
  <c r="J8813" i="1"/>
  <c r="J8812" i="1"/>
  <c r="J8811" i="1"/>
  <c r="J8810" i="1"/>
  <c r="J8809" i="1"/>
  <c r="J8808" i="1"/>
  <c r="J8807" i="1"/>
  <c r="J8806" i="1"/>
  <c r="J8805" i="1"/>
  <c r="J8804" i="1"/>
  <c r="J8803" i="1"/>
  <c r="J8802" i="1"/>
  <c r="J8801" i="1"/>
  <c r="J8800" i="1"/>
  <c r="J8799" i="1"/>
  <c r="J8798" i="1"/>
  <c r="J8797" i="1"/>
  <c r="J8796" i="1"/>
  <c r="J8795" i="1"/>
  <c r="J8794" i="1"/>
  <c r="J8793" i="1"/>
  <c r="J8792" i="1"/>
  <c r="J8791" i="1"/>
  <c r="J8790" i="1"/>
  <c r="J8789" i="1"/>
  <c r="J8788" i="1"/>
  <c r="J8787" i="1"/>
  <c r="J8786" i="1"/>
  <c r="J8785" i="1"/>
  <c r="J8784" i="1"/>
  <c r="J8783" i="1"/>
  <c r="J8782" i="1"/>
  <c r="J8781" i="1"/>
  <c r="J8780" i="1"/>
  <c r="J8779" i="1"/>
  <c r="J8778" i="1"/>
  <c r="J8777" i="1"/>
  <c r="J8776" i="1"/>
  <c r="J8775" i="1"/>
  <c r="J8774" i="1"/>
  <c r="J8773" i="1"/>
  <c r="J8772" i="1"/>
  <c r="J8771" i="1"/>
  <c r="J8770" i="1"/>
  <c r="J8769" i="1"/>
  <c r="J8768" i="1"/>
  <c r="J8767" i="1"/>
  <c r="J8766" i="1"/>
  <c r="J8765" i="1"/>
  <c r="J8764" i="1"/>
  <c r="J8763" i="1"/>
  <c r="J8762" i="1"/>
  <c r="J8761" i="1"/>
  <c r="J8760" i="1"/>
  <c r="J8759" i="1"/>
  <c r="J8758" i="1"/>
  <c r="J8757" i="1"/>
  <c r="J8756" i="1"/>
  <c r="J8755" i="1"/>
  <c r="J8754" i="1"/>
  <c r="J8753" i="1"/>
  <c r="J8752" i="1"/>
  <c r="J8751" i="1"/>
  <c r="J8750" i="1"/>
  <c r="J8749" i="1"/>
  <c r="J8748" i="1"/>
  <c r="J8747" i="1"/>
  <c r="J8746" i="1"/>
  <c r="J8745" i="1"/>
  <c r="J8744" i="1"/>
  <c r="J8743" i="1"/>
  <c r="J8742" i="1"/>
  <c r="J8741" i="1"/>
  <c r="J8740" i="1"/>
  <c r="J8739" i="1"/>
  <c r="J8738" i="1"/>
  <c r="J8737" i="1"/>
  <c r="J8736" i="1"/>
  <c r="J8735" i="1"/>
  <c r="J8734" i="1"/>
  <c r="J8733" i="1"/>
  <c r="J8732" i="1"/>
  <c r="J8731" i="1"/>
  <c r="J8730" i="1"/>
  <c r="J8729" i="1"/>
  <c r="J8728" i="1"/>
  <c r="J8727" i="1"/>
  <c r="J8726" i="1"/>
  <c r="J8725" i="1"/>
  <c r="J8724" i="1"/>
  <c r="J8723" i="1"/>
  <c r="J8722" i="1"/>
  <c r="J8721" i="1"/>
  <c r="J8720" i="1"/>
  <c r="J8719" i="1"/>
  <c r="J8718" i="1"/>
  <c r="J8717" i="1"/>
  <c r="J8716" i="1"/>
  <c r="J8715" i="1"/>
  <c r="J8714" i="1"/>
  <c r="J8713" i="1"/>
  <c r="J8712" i="1"/>
  <c r="J8711" i="1"/>
  <c r="J8710" i="1"/>
  <c r="J8709" i="1"/>
  <c r="J8708" i="1"/>
  <c r="J8707" i="1"/>
  <c r="J8706" i="1"/>
  <c r="J8705" i="1"/>
  <c r="J8704" i="1"/>
  <c r="J8703" i="1"/>
  <c r="J8702" i="1"/>
  <c r="J8701" i="1"/>
  <c r="J8700" i="1"/>
  <c r="J8699" i="1"/>
  <c r="J8698" i="1"/>
  <c r="J8697" i="1"/>
  <c r="J8696" i="1"/>
  <c r="J8695" i="1"/>
  <c r="J8694" i="1"/>
  <c r="J8693" i="1"/>
  <c r="J8692" i="1"/>
  <c r="J8691" i="1"/>
  <c r="J8690" i="1"/>
  <c r="J8689" i="1"/>
  <c r="J8688" i="1"/>
  <c r="J8687" i="1"/>
  <c r="J8686" i="1"/>
  <c r="J8685" i="1"/>
  <c r="J8684" i="1"/>
  <c r="J8683" i="1"/>
  <c r="J8682" i="1"/>
  <c r="J8681" i="1"/>
  <c r="J8680" i="1"/>
  <c r="J8679" i="1"/>
  <c r="J8678" i="1"/>
  <c r="J8677" i="1"/>
  <c r="J8676" i="1"/>
  <c r="J8675" i="1"/>
  <c r="J8674" i="1"/>
  <c r="J8673" i="1"/>
  <c r="J8672" i="1"/>
  <c r="J8671" i="1"/>
  <c r="J8670" i="1"/>
  <c r="J8669" i="1"/>
  <c r="J8668" i="1"/>
  <c r="J8667" i="1"/>
  <c r="J8666" i="1"/>
  <c r="J8665" i="1"/>
  <c r="J8664" i="1"/>
  <c r="J8663" i="1"/>
  <c r="J8662" i="1"/>
  <c r="J8661" i="1"/>
  <c r="J8660" i="1"/>
  <c r="J8659" i="1"/>
  <c r="J8658" i="1"/>
  <c r="J8657" i="1"/>
  <c r="J8656" i="1"/>
  <c r="J8655" i="1"/>
  <c r="J8654" i="1"/>
  <c r="J8653" i="1"/>
  <c r="J8652" i="1"/>
  <c r="J8651" i="1"/>
  <c r="J8650" i="1"/>
  <c r="J8649" i="1"/>
  <c r="J8648" i="1"/>
  <c r="J8647" i="1"/>
  <c r="J8646" i="1"/>
  <c r="J8645" i="1"/>
  <c r="J8644" i="1"/>
  <c r="J8643" i="1"/>
  <c r="J8642" i="1"/>
  <c r="J8641" i="1"/>
  <c r="J8640" i="1"/>
  <c r="J8639" i="1"/>
  <c r="J8638" i="1"/>
  <c r="J8637" i="1"/>
  <c r="J8636" i="1"/>
  <c r="J8635" i="1"/>
  <c r="J8634" i="1"/>
  <c r="J8633" i="1"/>
  <c r="J8632" i="1"/>
  <c r="J8631" i="1"/>
  <c r="J8630" i="1"/>
  <c r="J8629" i="1"/>
  <c r="J8628" i="1"/>
  <c r="J8627" i="1"/>
  <c r="J8626" i="1"/>
  <c r="J8625" i="1"/>
  <c r="J8624" i="1"/>
  <c r="J8623" i="1"/>
  <c r="J8622" i="1"/>
  <c r="J8621" i="1"/>
  <c r="J8620" i="1"/>
  <c r="J8619" i="1"/>
  <c r="J8618" i="1"/>
  <c r="J8617" i="1"/>
  <c r="J8616" i="1"/>
  <c r="J8615" i="1"/>
  <c r="J8614" i="1"/>
  <c r="J8613" i="1"/>
  <c r="J8612" i="1"/>
  <c r="J8611" i="1"/>
  <c r="J8610" i="1"/>
  <c r="J8609" i="1"/>
  <c r="J8608" i="1"/>
  <c r="J8607" i="1"/>
  <c r="J8606" i="1"/>
  <c r="J8605" i="1"/>
  <c r="J8604" i="1"/>
  <c r="J8603" i="1"/>
  <c r="J8602" i="1"/>
  <c r="J8601" i="1"/>
  <c r="J8600" i="1"/>
  <c r="J8599" i="1"/>
  <c r="J8598" i="1"/>
  <c r="J8597" i="1"/>
  <c r="J8596" i="1"/>
  <c r="J8595" i="1"/>
  <c r="J8594" i="1"/>
  <c r="J8593" i="1"/>
  <c r="J8592" i="1"/>
  <c r="J8591" i="1"/>
  <c r="J8590" i="1"/>
  <c r="J8589" i="1"/>
  <c r="J8588" i="1"/>
  <c r="J8587" i="1"/>
  <c r="J8586" i="1"/>
  <c r="J8585" i="1"/>
  <c r="J8584" i="1"/>
  <c r="J8583" i="1"/>
  <c r="J8582" i="1"/>
  <c r="J8581" i="1"/>
  <c r="J8580" i="1"/>
  <c r="J8579" i="1"/>
  <c r="J8578" i="1"/>
  <c r="J8577" i="1"/>
  <c r="J8576" i="1"/>
  <c r="J8575" i="1"/>
  <c r="J8574" i="1"/>
  <c r="J8573" i="1"/>
  <c r="J8572" i="1"/>
  <c r="J8571" i="1"/>
  <c r="J8570" i="1"/>
  <c r="J8569" i="1"/>
  <c r="J8568" i="1"/>
  <c r="J8567" i="1"/>
  <c r="J8566" i="1"/>
  <c r="J8565" i="1"/>
  <c r="J8564" i="1"/>
  <c r="J8563" i="1"/>
  <c r="J8562" i="1"/>
  <c r="J8561" i="1"/>
  <c r="J8560" i="1"/>
  <c r="J8559" i="1"/>
  <c r="J8558" i="1"/>
  <c r="J8557" i="1"/>
  <c r="J8556" i="1"/>
  <c r="J8555" i="1"/>
  <c r="J8554" i="1"/>
  <c r="J8553" i="1"/>
  <c r="J8552" i="1"/>
  <c r="J8551" i="1"/>
  <c r="J8550" i="1"/>
  <c r="J8549" i="1"/>
  <c r="J8548" i="1"/>
  <c r="J8547" i="1"/>
  <c r="J8546" i="1"/>
  <c r="J8545" i="1"/>
  <c r="J8544" i="1"/>
  <c r="J8543" i="1"/>
  <c r="J8542" i="1"/>
  <c r="J8541" i="1"/>
  <c r="J8540" i="1"/>
  <c r="J8539" i="1"/>
  <c r="J8538" i="1"/>
  <c r="J8537" i="1"/>
  <c r="J8536" i="1"/>
  <c r="J8535" i="1"/>
  <c r="J8534" i="1"/>
  <c r="J8533" i="1"/>
  <c r="J8532" i="1"/>
  <c r="J8531" i="1"/>
  <c r="J8530" i="1"/>
  <c r="J8529" i="1"/>
  <c r="J8528" i="1"/>
  <c r="J8527" i="1"/>
  <c r="J8526" i="1"/>
  <c r="J8525" i="1"/>
  <c r="J8524" i="1"/>
  <c r="J8523" i="1"/>
  <c r="J8522" i="1"/>
  <c r="J8521" i="1"/>
  <c r="J8520" i="1"/>
  <c r="J8519" i="1"/>
  <c r="J8518" i="1"/>
  <c r="J8517" i="1"/>
  <c r="J8516" i="1"/>
  <c r="J8515" i="1"/>
  <c r="J8514" i="1"/>
  <c r="J8513" i="1"/>
  <c r="J8512" i="1"/>
  <c r="J8511" i="1"/>
  <c r="J8510" i="1"/>
  <c r="J8509" i="1"/>
  <c r="J8508" i="1"/>
  <c r="J8507" i="1"/>
  <c r="J8506" i="1"/>
  <c r="J8505" i="1"/>
  <c r="J8504" i="1"/>
  <c r="J8503" i="1"/>
  <c r="J8502" i="1"/>
  <c r="J8501" i="1"/>
  <c r="J8500" i="1"/>
  <c r="J8499" i="1"/>
  <c r="J8498" i="1"/>
  <c r="J8497" i="1"/>
  <c r="J8496" i="1"/>
  <c r="J8495" i="1"/>
  <c r="J8494" i="1"/>
  <c r="J8493" i="1"/>
  <c r="J8492" i="1"/>
  <c r="J8491" i="1"/>
  <c r="J8490" i="1"/>
  <c r="J8489" i="1"/>
  <c r="J8488" i="1"/>
  <c r="J8487" i="1"/>
  <c r="J8486" i="1"/>
  <c r="J8485" i="1"/>
  <c r="J8484" i="1"/>
  <c r="J8483" i="1"/>
  <c r="J8482" i="1"/>
  <c r="J8481" i="1"/>
  <c r="J8480" i="1"/>
  <c r="J8479" i="1"/>
  <c r="J8478" i="1"/>
  <c r="J8477" i="1"/>
  <c r="J8476" i="1"/>
  <c r="J8475" i="1"/>
  <c r="J8474" i="1"/>
  <c r="J8473" i="1"/>
  <c r="J8472" i="1"/>
  <c r="J8471" i="1"/>
  <c r="J8470" i="1"/>
  <c r="J8469" i="1"/>
  <c r="J8468" i="1"/>
  <c r="J8467" i="1"/>
  <c r="J8466" i="1"/>
  <c r="J8465" i="1"/>
  <c r="J8464" i="1"/>
  <c r="J8463" i="1"/>
  <c r="J8462" i="1"/>
  <c r="J8461" i="1"/>
  <c r="J8460" i="1"/>
  <c r="J8459" i="1"/>
  <c r="J8458" i="1"/>
  <c r="J8457" i="1"/>
  <c r="J8456" i="1"/>
  <c r="J8455" i="1"/>
  <c r="J8454" i="1"/>
  <c r="J8453" i="1"/>
  <c r="J8452" i="1"/>
  <c r="J8451" i="1"/>
  <c r="J8450" i="1"/>
  <c r="J8449" i="1"/>
  <c r="J8448" i="1"/>
  <c r="J8447" i="1"/>
  <c r="J8446" i="1"/>
  <c r="J8445" i="1"/>
  <c r="J8444" i="1"/>
  <c r="J8443" i="1"/>
  <c r="J8442" i="1"/>
  <c r="J8441" i="1"/>
  <c r="J8440" i="1"/>
  <c r="J8439" i="1"/>
  <c r="J8438" i="1"/>
  <c r="J8437" i="1"/>
  <c r="J8436" i="1"/>
  <c r="J8435" i="1"/>
  <c r="J8434" i="1"/>
  <c r="J8433" i="1"/>
  <c r="J8432" i="1"/>
  <c r="J8431" i="1"/>
  <c r="J8430" i="1"/>
  <c r="J8429" i="1"/>
  <c r="J8428" i="1"/>
  <c r="J8427" i="1"/>
  <c r="J8426" i="1"/>
  <c r="J8425" i="1"/>
  <c r="J8424" i="1"/>
  <c r="J8423" i="1"/>
  <c r="J8422" i="1"/>
  <c r="J8421" i="1"/>
  <c r="J8420" i="1"/>
  <c r="J8419" i="1"/>
  <c r="J8418" i="1"/>
  <c r="J8417" i="1"/>
  <c r="J8416" i="1"/>
  <c r="J8415" i="1"/>
  <c r="J8414" i="1"/>
  <c r="J8413" i="1"/>
  <c r="J8412" i="1"/>
  <c r="J8411" i="1"/>
  <c r="J8410" i="1"/>
  <c r="J8409" i="1"/>
  <c r="J8408" i="1"/>
  <c r="J8407" i="1"/>
  <c r="J8406" i="1"/>
  <c r="J8405" i="1"/>
  <c r="J8404" i="1"/>
  <c r="J8403" i="1"/>
  <c r="J8402" i="1"/>
  <c r="J8401" i="1"/>
  <c r="J8400" i="1"/>
  <c r="J8399" i="1"/>
  <c r="J8398" i="1"/>
  <c r="J8397" i="1"/>
  <c r="J8396" i="1"/>
  <c r="J8395" i="1"/>
  <c r="J8394" i="1"/>
  <c r="J8393" i="1"/>
  <c r="J8392" i="1"/>
  <c r="J8391" i="1"/>
  <c r="J8390" i="1"/>
  <c r="J8389" i="1"/>
  <c r="J8388" i="1"/>
  <c r="J8387" i="1"/>
  <c r="J8386" i="1"/>
  <c r="J8385" i="1"/>
  <c r="J8384" i="1"/>
  <c r="J8383" i="1"/>
  <c r="J8382" i="1"/>
  <c r="J8381" i="1"/>
  <c r="J8380" i="1"/>
  <c r="J8379" i="1"/>
  <c r="J8378" i="1"/>
  <c r="J8377" i="1"/>
  <c r="J8376" i="1"/>
  <c r="J8375" i="1"/>
  <c r="J8374" i="1"/>
  <c r="J8373" i="1"/>
  <c r="J8372" i="1"/>
  <c r="J8371" i="1"/>
  <c r="J8370" i="1"/>
  <c r="J8369" i="1"/>
  <c r="J8368" i="1"/>
  <c r="J8367" i="1"/>
  <c r="J8366" i="1"/>
  <c r="J8365" i="1"/>
  <c r="J8364" i="1"/>
  <c r="J8363" i="1"/>
  <c r="J8362" i="1"/>
  <c r="J8361" i="1"/>
  <c r="J8360" i="1"/>
  <c r="J8359" i="1"/>
  <c r="J8358" i="1"/>
  <c r="J8357" i="1"/>
  <c r="J8356" i="1"/>
  <c r="J8355" i="1"/>
  <c r="J8354" i="1"/>
  <c r="J8353" i="1"/>
  <c r="J8352" i="1"/>
  <c r="J8351" i="1"/>
  <c r="J8350" i="1"/>
  <c r="J8349" i="1"/>
  <c r="J8348" i="1"/>
  <c r="J8347" i="1"/>
  <c r="J8346" i="1"/>
  <c r="J8345" i="1"/>
  <c r="J8344" i="1"/>
  <c r="J8343" i="1"/>
  <c r="J8342" i="1"/>
  <c r="J8341" i="1"/>
  <c r="J8340" i="1"/>
  <c r="J8339" i="1"/>
  <c r="J8338" i="1"/>
  <c r="J8337" i="1"/>
  <c r="J8336" i="1"/>
  <c r="J8335" i="1"/>
  <c r="J8334" i="1"/>
  <c r="J8333" i="1"/>
  <c r="J8332" i="1"/>
  <c r="J8331" i="1"/>
  <c r="J8330" i="1"/>
  <c r="J8329" i="1"/>
  <c r="J8328" i="1"/>
  <c r="J8327" i="1"/>
  <c r="J8326" i="1"/>
  <c r="J8325" i="1"/>
  <c r="J8324" i="1"/>
  <c r="J8323" i="1"/>
  <c r="J8322" i="1"/>
  <c r="J8321" i="1"/>
  <c r="J8320" i="1"/>
  <c r="J8319" i="1"/>
  <c r="J8318" i="1"/>
  <c r="J8317" i="1"/>
  <c r="J8316" i="1"/>
  <c r="J8315" i="1"/>
  <c r="J8314" i="1"/>
  <c r="J8313" i="1"/>
  <c r="J8312" i="1"/>
  <c r="J8311" i="1"/>
  <c r="J8310" i="1"/>
  <c r="J8309" i="1"/>
  <c r="J8308" i="1"/>
  <c r="J8307" i="1"/>
  <c r="J8306" i="1"/>
  <c r="J8305" i="1"/>
  <c r="J8304" i="1"/>
  <c r="J8303" i="1"/>
  <c r="J8302" i="1"/>
  <c r="J8301" i="1"/>
  <c r="J8300" i="1"/>
  <c r="J8299" i="1"/>
  <c r="J8298" i="1"/>
  <c r="J8297" i="1"/>
  <c r="J8296" i="1"/>
  <c r="J8295" i="1"/>
  <c r="J8294" i="1"/>
  <c r="J8293" i="1"/>
  <c r="J8292" i="1"/>
  <c r="J8291" i="1"/>
  <c r="J8290" i="1"/>
  <c r="J8289" i="1"/>
  <c r="J8288" i="1"/>
  <c r="J8287" i="1"/>
  <c r="J8286" i="1"/>
  <c r="J8285" i="1"/>
  <c r="J8284" i="1"/>
  <c r="J8283" i="1"/>
  <c r="J8282" i="1"/>
  <c r="J8281" i="1"/>
  <c r="J8280" i="1"/>
  <c r="J8279" i="1"/>
  <c r="J8278" i="1"/>
  <c r="J8277" i="1"/>
  <c r="J8276" i="1"/>
  <c r="J8275" i="1"/>
  <c r="J8274" i="1"/>
  <c r="J8273" i="1"/>
  <c r="J8272" i="1"/>
  <c r="J8271" i="1"/>
  <c r="J8270" i="1"/>
  <c r="J8269" i="1"/>
  <c r="J8268" i="1"/>
  <c r="J8267" i="1"/>
  <c r="J8266" i="1"/>
  <c r="J8265" i="1"/>
  <c r="J8264" i="1"/>
  <c r="J8263" i="1"/>
  <c r="J8262" i="1"/>
  <c r="J8261" i="1"/>
  <c r="J8260" i="1"/>
  <c r="J8259" i="1"/>
  <c r="J8258" i="1"/>
  <c r="J8257" i="1"/>
  <c r="J8256" i="1"/>
  <c r="J8255" i="1"/>
  <c r="J8254" i="1"/>
  <c r="J8253" i="1"/>
  <c r="J8252" i="1"/>
  <c r="J8251" i="1"/>
  <c r="J8250" i="1"/>
  <c r="J8249" i="1"/>
  <c r="J8248" i="1"/>
  <c r="J8247" i="1"/>
  <c r="J8246" i="1"/>
  <c r="J8245" i="1"/>
  <c r="J8244" i="1"/>
  <c r="J8243" i="1"/>
  <c r="J8242" i="1"/>
  <c r="J8241" i="1"/>
  <c r="J8240" i="1"/>
  <c r="J8239" i="1"/>
  <c r="J8238" i="1"/>
  <c r="J8237" i="1"/>
  <c r="J8236" i="1"/>
  <c r="J8235" i="1"/>
  <c r="J8234" i="1"/>
  <c r="J8233" i="1"/>
  <c r="J8232" i="1"/>
  <c r="J8231" i="1"/>
  <c r="J8230" i="1"/>
  <c r="J8229" i="1"/>
  <c r="J8228" i="1"/>
  <c r="J8227" i="1"/>
  <c r="J8226" i="1"/>
  <c r="J8225" i="1"/>
  <c r="J8224" i="1"/>
  <c r="J8223" i="1"/>
  <c r="J8222" i="1"/>
  <c r="J8221" i="1"/>
  <c r="J8220" i="1"/>
  <c r="J8219" i="1"/>
  <c r="J8218" i="1"/>
  <c r="J8217" i="1"/>
  <c r="J8216" i="1"/>
  <c r="J8215" i="1"/>
  <c r="J8214" i="1"/>
  <c r="J8213" i="1"/>
  <c r="J8212" i="1"/>
  <c r="J8211" i="1"/>
  <c r="J8210" i="1"/>
  <c r="J8209" i="1"/>
  <c r="J8208" i="1"/>
  <c r="J8207" i="1"/>
  <c r="J8206" i="1"/>
  <c r="J8205" i="1"/>
  <c r="J8204" i="1"/>
  <c r="J8203" i="1"/>
  <c r="J8202" i="1"/>
  <c r="J8201" i="1"/>
  <c r="J8200" i="1"/>
  <c r="J8199" i="1"/>
  <c r="J8198" i="1"/>
  <c r="J8197" i="1"/>
  <c r="J8196" i="1"/>
  <c r="J8195" i="1"/>
  <c r="J8194" i="1"/>
  <c r="J8193" i="1"/>
  <c r="J8192" i="1"/>
  <c r="J8191" i="1"/>
  <c r="J8190" i="1"/>
  <c r="J8189" i="1"/>
  <c r="J8188" i="1"/>
  <c r="J8187" i="1"/>
  <c r="J8186" i="1"/>
  <c r="J8185" i="1"/>
  <c r="J8184" i="1"/>
  <c r="J8183" i="1"/>
  <c r="J8182" i="1"/>
  <c r="J8181" i="1"/>
  <c r="J8180" i="1"/>
  <c r="J8179" i="1"/>
  <c r="J8178" i="1"/>
  <c r="J8177" i="1"/>
  <c r="J8176" i="1"/>
  <c r="J8175" i="1"/>
  <c r="J8174" i="1"/>
  <c r="J8173" i="1"/>
  <c r="J8172" i="1"/>
  <c r="J8171" i="1"/>
  <c r="J8170" i="1"/>
  <c r="J8169" i="1"/>
  <c r="J8168" i="1"/>
  <c r="J8167" i="1"/>
  <c r="J8166" i="1"/>
  <c r="J8165" i="1"/>
  <c r="J8164" i="1"/>
  <c r="J8163" i="1"/>
  <c r="J8162" i="1"/>
  <c r="J8161" i="1"/>
  <c r="J8160" i="1"/>
  <c r="J8159" i="1"/>
  <c r="J8158" i="1"/>
  <c r="J8157" i="1"/>
  <c r="J8156" i="1"/>
  <c r="J8155" i="1"/>
  <c r="J8154" i="1"/>
  <c r="J8153" i="1"/>
  <c r="J8152" i="1"/>
  <c r="J8151" i="1"/>
  <c r="J8150" i="1"/>
  <c r="J8149" i="1"/>
  <c r="J8148" i="1"/>
  <c r="J8147" i="1"/>
  <c r="J8146" i="1"/>
  <c r="J8145" i="1"/>
  <c r="J8144" i="1"/>
  <c r="J8143" i="1"/>
  <c r="J8142" i="1"/>
  <c r="J8141" i="1"/>
  <c r="J8140" i="1"/>
  <c r="J8139" i="1"/>
  <c r="J8138" i="1"/>
  <c r="J8137" i="1"/>
  <c r="J8136" i="1"/>
  <c r="J8135" i="1"/>
  <c r="J8134" i="1"/>
  <c r="J8133" i="1"/>
  <c r="J8132" i="1"/>
  <c r="J8131" i="1"/>
  <c r="J8130" i="1"/>
  <c r="J8129" i="1"/>
  <c r="J8128" i="1"/>
  <c r="J8127" i="1"/>
  <c r="J8126" i="1"/>
  <c r="J8125" i="1"/>
  <c r="J8124" i="1"/>
  <c r="J8123" i="1"/>
  <c r="J8122" i="1"/>
  <c r="J8121" i="1"/>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<sst xmlns="http://schemas.openxmlformats.org/spreadsheetml/2006/main" count="161135" uniqueCount="32100">
  <si>
    <t>Índice onomástico anual · Gacetas oficiales de 1839</t>
  </si>
  <si>
    <t>Del 1 de enero al 31 de diciembre de 1839 · Gaceta de Madrid</t>
  </si>
  <si>
    <t>Aviso: índice generado a partir del OCR de facsímiles históricos. Las grafías y lecturas dudosas deben cotejarse con la página enlazada.</t>
  </si>
  <si>
    <t>15999 menciones · 371 archivos oficiales · 1498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</si>
  <si>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</si>
  <si>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</si>
  <si>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</si>
  <si>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</si>
  <si>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</si>
  <si>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</si>
  <si>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</si>
  <si>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</si>
  <si>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</si>
  <si>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</si>
  <si>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</si>
  <si>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IORAM</t>
  </si>
  <si>
    <t>IORAM A</t>
  </si>
  <si>
    <t>Mención en noticia o disposición</t>
  </si>
  <si>
    <t>Noticias y disposiciones</t>
  </si>
  <si>
    <t>19/01/1839</t>
  </si>
  <si>
    <t>Gaceta de Madrid n.º 1526</t>
  </si>
  <si>
    <t>PDF p. 4</t>
  </si>
  <si>
    <t>Lectura automática dudosa; cotejar el facsímil</t>
  </si>
  <si>
    <t>…OLOZAGA extraña que cuando se ha perdido un Las operaciones m ilitares están paralizadas á causa del mal punto importante se torne la palabra únicamente para dism i­ temporal. En las Merindades se hallan cuatro de nuestros ba­ D IORAM A. nuir la importancia del suceso, y cree que no es buena política tallones , y el general Espartero mandó tener prontas en V i- la que aconseja en im buir en los ánimos de los españoles el con­ llarcayo 703 raciones, en cuyo punto se esperaba el 8 del cor­ Establecimiento de un género enter…</t>
  </si>
  <si>
    <t>Revisar OCR</t>
  </si>
  <si>
    <t>A, José</t>
  </si>
  <si>
    <t>José A</t>
  </si>
  <si>
    <t>28/07/1839</t>
  </si>
  <si>
    <t>Gaceta de Madrid n.º 1717</t>
  </si>
  <si>
    <t>PDF p. 1</t>
  </si>
  <si>
    <t>…i e nda de Sta. Isabel Acajete, y el justo castigo que reci ­ de esta nueva f ra n q u i ci a y de acuerdo con el gefe superi or de le apedrearou en las calles de L l o d i o : él por su parte t ambién b i ó de sus crí menes D. José A. M e j í a , son ocurrenci as que deber h a ci e nd a , he conveni do en : 1.° A d m i t i r por solo el puerto de Ma t a mo r o s toda clase de se permi te c a st i g a r á los oficiales y soldados sin verificar s i qui e ­ l l a m a r m u y f uert ement e la atención , no solo de los homb…</t>
  </si>
  <si>
    <t>A, Los Ministros de S.</t>
  </si>
  <si>
    <t>Los Ministros de S. A</t>
  </si>
  <si>
    <t>13/12/1839</t>
  </si>
  <si>
    <t>Gaceta de Madrid n.º 1860</t>
  </si>
  <si>
    <t>…diencia á las órdenes del Go­ que no es o tra, Señora, que la de orden, paz y justicia. cas con este objeto. bierno , que nunca serán otras que las que emanen del círculo El nombramiento de gefe político de esta provincia en Don Los Ministros de S. A. continúan reuniéndose frecuente­ de acción que le designan las leyes, y una voluntad decidida Ramón López de Haro ha llenado de júbilo á este vecindario, mente en Consejo en la Sublime P u erta, bien sea para delibe­ de contribuir por su parte á la realización del pensamient…</t>
  </si>
  <si>
    <t>A, Pedro</t>
  </si>
  <si>
    <t>Pedro A</t>
  </si>
  <si>
    <t>08/08/1839</t>
  </si>
  <si>
    <t>Gaceta de Madrid n.º 1728</t>
  </si>
  <si>
    <t>PDF p. 2</t>
  </si>
  <si>
    <t>…nues­ azúcar 1„.514,551 ps. Estos números demuestran la inmensa su­ Los Sres. D. Jo^é del C astillo, D. José Tosar y D. J u a n tra a g r ic u ltu r a , quedará estacionaria, y se lim itará á pasar de N e n n in g e r , por D. Pedro A. G a r c ía , invitados expresamente ma que anualmente paga el pueblo de este pais al extranjero un sitio á otro y á convertir montes en ingenios y estos en como inteligentes en la ciencia m ercan til, hicieron las pregun­ por solo estos dos artículos, y también la urgencia de estimu­ po…</t>
  </si>
  <si>
    <t>A.torga</t>
  </si>
  <si>
    <t>España</t>
  </si>
  <si>
    <t>15/11/1839</t>
  </si>
  <si>
    <t>Gaceta de Madrid n.º 1832</t>
  </si>
  <si>
    <t>PDF p. 3</t>
  </si>
  <si>
    <t>…a los metodistas des- Felipe lugar á la formación de causa. le decidieron á emprender una traducción de la Biblia , no obs­ pue* de haberla desfigurado. tante que circulaba en España con general aceptación la del El Sr. obispo de A.torga publicó una pastoral al clero y P. Seio. fieles de su diócesis en 18 de Mayo úb.imo. KViendo , dice en El 'pá tria rea de Us Indias, inquisidor general , el Sr. de Ar­ ella , que cunde cada dia mas entre el pueblo la lectura de la G U IA D E FO R A STE R O S. ce , y e) arzobispo de Palm ir…</t>
  </si>
  <si>
    <t>AARGUELLES</t>
  </si>
  <si>
    <t>05/01/1839</t>
  </si>
  <si>
    <t>Gaceta de Madrid n.º 1512</t>
  </si>
  <si>
    <t>…ñores, que resul­ se originarán menos perjuicios que de cualquier otro modoY * f jetos se reduce la interpelación del Sr. duque de G o r : primero ta n , son bajas físicas y morales, y e s una injusticia que estos El Sr, PO SA D A A R G U E L L E S manifiesta que aun cuando' * á saber el estado de fuerza de que constaba la división del ge­ hombres se liberten de los peligros que están sufriendo sus dig­ toma la palabra en contra , no es de ningún modo para servir de neral Narvaez y las raciones que sacaba: segundo á los a…</t>
  </si>
  <si>
    <t>ABA, IZ</t>
  </si>
  <si>
    <t>IZ ABA</t>
  </si>
  <si>
    <t>05/10/1839</t>
  </si>
  <si>
    <t>Gaceta de Madrid n.º 1791</t>
  </si>
  <si>
    <t>…que es el y no debo suponer que el ministerio guarde silencio, me reservo jo en su apoyo dictámen de la comisión que propuso la ley de 28 del mismo, hacerlo al rectificar algunas equivocaciones en que tal vez in ­ El Sr. M EN D IZ ABA L: No ha sido mi ánimo al tom arla y la reclamación que hizo el Sr. Arm endariz, Diputado por currirán SS. SS. palabra para apoyar la enmienda dilatar esta discusión por mas N avarra, que se hallaba presente, y se halla en la sesión de 2 El Sr. PRESIDENTE: Cualquiera de los individuos de la…</t>
  </si>
  <si>
    <t>Abad, Amalia</t>
  </si>
  <si>
    <t>Amalia Abad</t>
  </si>
  <si>
    <t>Operaciones o servicios militares</t>
  </si>
  <si>
    <t>Noticias militares</t>
  </si>
  <si>
    <t>10/09/1839</t>
  </si>
  <si>
    <t>Gaceta de Madrid n.º 1763</t>
  </si>
  <si>
    <t>Nombre detectado automáticamente; cotejar si se va a citar</t>
  </si>
  <si>
    <t>…ones na­ y las libertades de la nación, ha cabido en suerte con el pri­ na de Santa Elena: detras del trono estaba el sepulcro. varros que todavía subsisten á devoción de D. Carlos. Esta ma­ mer extracto de la de este dia á Doña Amalia Abad , hija de La restauración atrajo de nuevo á la antigua aristocracia, ñana debían volver las tropas á Andoain á traer la artillería, D. Francisco, coronel de caballería, muerto en el campo del respetando con todo á la moderna. Sin embargo, esta fu­ y destruir las fortificaciones. Las au…</t>
  </si>
  <si>
    <t>Lectura OCR</t>
  </si>
  <si>
    <t>Abad, Manuel</t>
  </si>
  <si>
    <t>Manuel Abad</t>
  </si>
  <si>
    <t>09/02/1839</t>
  </si>
  <si>
    <t>Gaceta de Madrid n.º 1547</t>
  </si>
  <si>
    <t>…o período de tiempo, y al presidente del supremo tr ir herida me es sensible, D. Blas García de Quesada, alférez de CORTES. buual de Ju sticia, todos los cuales, por sus luces y conoci­ navio D. Nicolás Chicarro, primer piloto D. Manuel Abad, mientos en los diferentes ramos de la administración pública, SENADO. podrian ilustrar sobremanera al Gobierno en cuantas materias marineros Andrés Lage y Domingo Antonio Areuas y demas individuos de tropa y m arinería, tengo el honor de manifestar­ PRESIDENCIA DEL SEÑOR MOSCOSO DE A L…</t>
  </si>
  <si>
    <t>ABAL, IZ</t>
  </si>
  <si>
    <t>IZ ABAL</t>
  </si>
  <si>
    <t>…el Sr. Meodizabal seria de la mas grande y elevada nistro. Se leyó el expresado discurso. im portancia; circunscrita por la ley ( y cuando digo la ley ha­ Yo fu i llamado al ministerio en épocas bien calamitosas; El Sr. M EN D IZ ABAL: Ese discurso, pronunciado por blo de las reglas que obtienen su lu g a r, bien sean escritas ó sin em bargo, uno de mis primeros actos fue examinar el ori­ uno de los órganos de la comisión de aquel proyecto de ley, convencionales en los usos parlamentarios) , siguiendo los mis­ gen de es…</t>
  </si>
  <si>
    <t>Abalo, José</t>
  </si>
  <si>
    <t>José Abalo</t>
  </si>
  <si>
    <t>13/03/1839</t>
  </si>
  <si>
    <t>Gaceta de Madrid n.º 1579</t>
  </si>
  <si>
    <t>…stán las otras clases, y esencialmente al jo­ discípulas que regentea : y solo uu sentimiento presentado de sus tareas en él año de 1858 el instituto de la D i­ vina Pastora, no puede menos de hacer una particular y hon­ ven D. José Abalo, discípulo del propio establecimiento, que eclipsar la esfera de su satisfacción; porque es tantopudiera mas hoy peno­ dirige la segunda de gramática, y á D. Guillermo Diaz, que , cuanto^s mayor la imposibilidad de acallarlo. Mucho se rosa mención de su director D. José Robles por el…</t>
  </si>
  <si>
    <t>Abarca</t>
  </si>
  <si>
    <t>Actividad económica o mercantil</t>
  </si>
  <si>
    <t>03/03/1839</t>
  </si>
  <si>
    <t>Gaceta de Madrid n.º 1569</t>
  </si>
  <si>
    <t>…banderas. han sido fusilados, como igualmente do$ compañías de tirado­ buen papel é impresión, divididos en ocho cuadernos de seis El coro de capuchinos de Roma con toda su comunidad* res de G arcía, habiendo sido preso el obispo Abarca. pliegos de letra menuda, los cuales se publicarán sin interrup­ ción alguna y á la mayor brevedad. Se hallarán en la librería ta lasEstácinco abierto todos los dias desde las diez de la mañana has­ de la tarde. Soria 28 de Febrero. He visto una carta ( 1) de Alcanadre, de H u rtado, calle…</t>
  </si>
  <si>
    <t>11/03/1839</t>
  </si>
  <si>
    <t>Gaceta de Madrid n.º 1577</t>
  </si>
  <si>
    <t>…ges que componían la corte del Pretendiente se P aris, 1 6 -4 á 5. G ranad a, 1 * id. pusieron en movimiento para Segura en número de 50 de los M álaga, * b. MADRID 1 1 DE MARZO. mas principales, entre los que cuentan al obispo Abarca , Arias Santander, 1| din. d. T ejeiro, duque de Granada y el marques de Valdespina , á con­ A lic a n te ,* d. Santiago, 2 d. secuencia , según dicen , de un aviso que recibió el Pretendien­ Barcelona, á ps. f s ., par. Sevilla , ¿ á * b. Sociedad d e seguros mutuos contra incendios extram…</t>
  </si>
  <si>
    <t>Abarca, D. Fr. Felipe González</t>
  </si>
  <si>
    <t>D. Fr. Felipe González Abarca</t>
  </si>
  <si>
    <t>28/11/1839</t>
  </si>
  <si>
    <t>Gaceta de Madrid n.º 1845</t>
  </si>
  <si>
    <t>…e está seña­ esta santa iglesia catedral, gobernador eclesiástico de su obis­ proyectadas y llevadas a cabo con inteligencia , es el arquitecto lado el dia 7. de Diciembre próximo, á las doce de la mañana, pado por el limo. Sr. D. Fr. Felipe González Abarca su obis-. D. Antonio Zabaleta. en las salas de dicha dirección general. Estos dias se haa estado probando varias piezas de á 56 que PP 5 y aprobación de S. M. la Reina ; juez sub-coléctor de ex— se envían á B urgos, en donde por haberse restablecido el anti­ polios y v…</t>
  </si>
  <si>
    <t>Abarca, Joaquín</t>
  </si>
  <si>
    <t>Joaquín Abarca</t>
  </si>
  <si>
    <t>24/02/1839</t>
  </si>
  <si>
    <t>Gaceta de Madrid n.º 1562</t>
  </si>
  <si>
    <t>…uida de oficio contra el to para 46 personas en camarotes cerrados de dos y cuatro l i ­ L ogroñ o 20 d e F eb rero . Se ha dado aquí como segura la teras. A proa tiene otra cámara con alojamiento para 50 per­ obispo de León D. Joaquín Abarca , por delitos de alta traición, noticia de que el 16 fueron fusilados en Estella á las diez de sonas. Para tratar de ajuste se acudirá en Cádiz á su dueño fallada por el supremo tribunal de Ju sticia. El ínteres social y la mañana los cinco generales rebeldes N e g ri, G uergué, Gar­…</t>
  </si>
  <si>
    <t>Abarca, León D. Joaquín</t>
  </si>
  <si>
    <t>León D. Joaquín Abarca</t>
  </si>
  <si>
    <t>…inal seguida de oficio contra el to para 46 personas en camarotes cerrados de dos y cuatro l i ­ L ogroñ o 20 d e F eb rero . Se ha dado aquí como segura la teras. A proa tiene otra cámara con alojamiento para 50 per­ obispo de León D. Joaquín Abarca , por delitos de alta traición, noticia de que el 16 fueron fusilados en Estella á las diez de sonas. Para tratar de ajuste se acudirá en Cádiz á su dueño fallada por el supremo tribunal de Ju sticia. El ínteres social y la mañana los cinco generales rebeldes N e g ri, G uergu…</t>
  </si>
  <si>
    <t>Abascal</t>
  </si>
  <si>
    <t>Noticia política o diplomática</t>
  </si>
  <si>
    <t>Noticias extranjeras</t>
  </si>
  <si>
    <t>12/10/1839</t>
  </si>
  <si>
    <t>Gaceta de Madrid n.º 1798</t>
  </si>
  <si>
    <t>…, el Sr. Palaros á la tercera, el Sr. Aleson á la | e t d e s S cien ces nautlques en E spagne.zz Indagaciones acerca en la audiencia de S. S . , que la tiene en el piso bajo de la au ­ cuarta, el Sr. Lasaña á la quinta , el Sr. Abascal á la sexta, y diencia territorial, de los progresos de la astronomía y de las ciencias náuticas en á la séptima el Sr. Castro. I España.zzNaticia de esta obra recien publicada en Francia. El Sr. PRESIDENTE señala para mañana la discusión pen­ Isla Isabe!a.=Sobre el pretendido derecho de los…</t>
  </si>
  <si>
    <t>Abascal, Manuel</t>
  </si>
  <si>
    <t>Manuel Abascal</t>
  </si>
  <si>
    <t>04/01/1839</t>
  </si>
  <si>
    <t>Gaceta de Madrid n.º 1511</t>
  </si>
  <si>
    <t>…ribunal D. Ju an guel de los fRios, D. Antonio Fernandez Urrutia , D. Carlos Otra id. en dicho sitio , la Casualidad, á D. Antonio C a­ Quintana de Triaba , su procurador J o sé T eijeiro, demandan- x Gutiérrez de la T orre, D. Manuel Abascal , D. Mariano Oso- ballero, en id. te de una parte: Andrés Diaz Pardo y mas testamentarios de rio de Moscoso, D. Ramón Gerboles, D. Manuel Fernandez Otra id. en dicho s itio , la Solera . á D. José G arc ía, en id. D. José Diaz de Caucio, vecino que ha sido de Riveras de A u -</t>
  </si>
  <si>
    <t>25/07/1839</t>
  </si>
  <si>
    <t>Gaceta de Madrid n.º 1714</t>
  </si>
  <si>
    <t>…an componer el jurado , y habiéndose verificado con las for­ bre la facción misma. malidades que la misma previene, tocó á los sugetos siguientes: BOLSA DE M ADRID. N o puedo dar detalles sobre esta victoria ; pero todos los D. Manuel Abascal, D. José Tomé y O o d arreta, D. Antonio Cotización del día 24 d las tres de la tarde • militares que haw llegado á esta ciudad después de haber teni­ Sánchez Ocaña, D. Antonio M altrana, D. Ezequiel Martin y do parte en ella , la cuentan coino un hecho glorioso de armase Alonso, D.…</t>
  </si>
  <si>
    <t>Abellan, Juan Antonio Nuñez</t>
  </si>
  <si>
    <t>Juan Antonio Nuñez Abellan</t>
  </si>
  <si>
    <t>10/10/1839</t>
  </si>
  <si>
    <t>Gaceta de Madrid n.º 1796</t>
  </si>
  <si>
    <t>…edro) Feliu, Sánchez de la Otra id., barraoco de los C hirrinchines, nuestra Señora de como ahora; de tan poca importancia cual hoy; una circuns­ F uente, Rodríguez Leal , Silva , Lujan , Calatrava (D . R a­ los Remedios, por D. Juan Antonio Nuñez Abellan, en 26. tancia hay que nos la hace considerar menos severamente,-ry m ó n ), Ruiz del Arbol, Ayilon, y Paz García: y en contra, Otra i d . , sierra de Gador , cerro de las M inas, término de es que esta escuela , si tal es, casi nunca ha echado mano de habiéndola renunci…</t>
  </si>
  <si>
    <t>Abercromby, Mr.</t>
  </si>
  <si>
    <t>Mr. Abercromby</t>
  </si>
  <si>
    <t>08/06/1839</t>
  </si>
  <si>
    <t>Gaceta de Madrid n.º 1666</t>
  </si>
  <si>
    <t>…ueblos inmediatos, dispuso la salida de tal 22. n u e d o , ad q u irie n d o nuevos é incontestables derechos á la 12 hombres al mando de Ignacio Maraiso , sargento 2.° de ti­ se hallaban Cuando la elección del último Presidente Mr. Abercromby, gratitud de la patria y del trono legítim o constitucional, radores, dándole las instrucciones necesarias para la captura de del siguiente626 individuos presentes. L~&gt;s votos se repartieron q u e con tanta gloria defiende; como R eina Regente y aquellos criminales, de los cuales fuer…</t>
  </si>
  <si>
    <t>Aberdeen</t>
  </si>
  <si>
    <t>23/05/1839</t>
  </si>
  <si>
    <t>Gaceta de Madrid n.º 1650</t>
  </si>
  <si>
    <t>…faltaba ninguno de los Pares to r y s, entre los cuales se la tran qu ilidad pública en aquella c a p ita l, pasó al cuartel de dos de América reunidos en Congreso, han decretado: veia al duque de W e llin g t o n , al conde de Aberdeen, lord W a r n - S. Francisco, donde permaneció toda la noche, sin que ocur­ Sección 1.a Que el presidente de los Estados Unidos sea au ­ cliffe, lord Rodeo , el conde Winchelsea y el conde de A d d i g - riese novedad, hasta que sabedor á cosa de las cuatro de la ma­ torizado, como lo es p…</t>
  </si>
  <si>
    <t>25/05/1839</t>
  </si>
  <si>
    <t>Gaceta de Madrid n.º 1652</t>
  </si>
  <si>
    <t>…tar investido Estas personas eran ocho , á saber: el duque de Wellington, sonal y á la dicha de V. M ., asi como al ínteres general de la con la entera confianza de S. M .: sabia que la mayoría de la lord Lyndhurst , el conde de Aberdeen , lord Ellenborouh, lord nadon.” (Aplausos.) Cámara de los Comunes estaba contra raí; y no ignoraba que Stanley , Sir Santiago G raham , Sir Enrique H ardinge, y Mr. Se han desnaturalizado completamente mis intenciones , y no podia gobernar sino con el apoyo de esa mayoría , aun cuan­ Carlo…</t>
  </si>
  <si>
    <t>Abril</t>
  </si>
  <si>
    <t>02/08/1839</t>
  </si>
  <si>
    <t>Gaceta de Madrid n.º 1722</t>
  </si>
  <si>
    <t>…ados has­ consentido; y es probable que si Feli­ ta 1.° de Abril 1851 , cuyo interés habia de comenzar en 1.° ta Doña Carlota con D. Juan, príncipe del Brasil, y del 1 pe lo hubiese imaginado, no hubiera mandado á su general de Abril siguiente ,'á cuyo período se puso eft circulación uná infante D. Gabriel con Doña Mariana de Portugal , tuvo pedir el tal perdoó. nueva suma de 5 .580,000 pesos. Resulta pues que L d^uda rx- ya Carlos m pensamiento de que se reuniesen un dia los La rebelión de losPaises Bajos empezó á manif…</t>
  </si>
  <si>
    <t>Abril, Cándido</t>
  </si>
  <si>
    <t>Cándido Abril</t>
  </si>
  <si>
    <t>Nombramiento o servicio público</t>
  </si>
  <si>
    <t>09/10/1839</t>
  </si>
  <si>
    <t>Gaceta de Madrid n.º 1795</t>
  </si>
  <si>
    <t>…a providencia del Sr. juez de primera ins­ Terminará la función con baile nacional. Por providencia del Sr. intendente subdelegado de Rentas tancia de Toledo; bajo apercibimiento. de esta provincia se cita, llama y emplaza á D. Cándido Abril, D. Manuel Iluiz López y D. Antonio López, endosantes de varios vales no consolidados, para que en el término de oueve CRUZ. Hoy no hay función. dias se presenten en la escribanía principal de Amortización, SU B A ST A S. calle del Lobo, ndm. 8 , piso segundo, á prestar sus declara­…</t>
  </si>
  <si>
    <t>10/11/1839</t>
  </si>
  <si>
    <t>Gaceta de Madrid n.º 1827</t>
  </si>
  <si>
    <t>…, zurcir perversamente Por providencia del Sr. intendente de rentas de esta pro­ S E G U N D A SERIE. T O M O 1. _ N U M . 6.° Luces de comedias españolas ó extrangeras. No hay que esperar v in c ia, se cita, llama y emplaza á D. Cándido Abril , D. M a­ Este número contiene los artículos siguientes: en ellos sino caracteres atroces ó necios pintados con almagre, nuel Ruiz López y D. Antonio López , para que en el término Biografía contera poránea.mCár los x (conclusión.) Por D. G. G. situaciones de indigencia, sentimientos v…</t>
  </si>
  <si>
    <t>Ac, Cárlos.</t>
  </si>
  <si>
    <t>Cárlos. Ac</t>
  </si>
  <si>
    <t>…r ci onar l e un p or veni r venturoso y feliz. L a pa t r i a , recono­ ras. Parece que el padre Ciril o no salió m u y satisfecho del g a ­ c ida s i e m p r e , g r a b a r á en su perpet ua me mori a la acción de binete de D. Cárlos. Ac a j et e y los nombres de los generales S an t an a , Torrtel y . V a ­ T A M PICO. Hoy se ha hecho correr la voz de q*¿e D. Cárl os h a e n v i a ­ l encia , asi como el de los demas gefes , oficiales y soldados do la orden á los refugiados en F r a n c i a , tales cctno el obispo q u…</t>
  </si>
  <si>
    <t>Acaj</t>
  </si>
  <si>
    <t>16/07/1839</t>
  </si>
  <si>
    <t>Gaceta de Madrid n.º 1704</t>
  </si>
  <si>
    <t>…Mayo 3 de 1839.=Tornel.=A los di­ c«sa de este individuo , á quien se encontró A consecuencia del registro hecho en á los maestros de las escuelas ordinarias para la educación do sidentes de Acajete.=Es copia.=Guartel general de Acaj*te, encontrado papeles importantes, de los cuales en la cama , se han niños pobres. Mayo 5 de 1859 = J u a n de ,D. Peza.zrSon copias. Méjico 4 de que ia autoridad procederá á hacer otras prisiones. s« dice resultará Las escuelas particulares se distinguen en escuelas de se- de l8 3 9 .= J. V…</t>
  </si>
  <si>
    <t>Acajete</t>
  </si>
  <si>
    <t>…y ren la grande inquietud eo que ha e*Udo aquella ciudad les 46,4!7 se halUn en escuelas especiales; 4 L 134 en escuelas públicas ordinarias; y 2,511 en escuelas particulares. Del to­ Marina. • J Es copia. —Cuartel general de Acajete, Mayo 3 de 1839 = co» motivo de uu* tentativa de sublevación, que felizmente no ta l, 56,562 niños pertenecen á familias que reciben socorros de ha llegado á verificarse por el celo de la autoridad local. En el las cajas de beneficencia, y 47,500 á familias menesterosas, Juan de D. Peza.…</t>
  </si>
  <si>
    <t>Acebo</t>
  </si>
  <si>
    <t>02/02/1839</t>
  </si>
  <si>
    <t>Gaceta de Madrid n.º 1540</t>
  </si>
  <si>
    <t>…se confirmase alzada la suspen­ sión trastorna completamente en el proyecto que presenta todo que dar cuenta al e;efe político , ni tampoco -,e prevenia á este sión de,los acuerdos. el a n tig u o sistema m u n ic ip al. El Sr. Acebo se equivoca. E sp a­ lo que habia de h a c e r, entonces podia decirse que la su sp en ­ ; El Sr,. Q L I J A N A manifestó que la comisión no encontra­ ñoles como el Sr. Acebo, y amantes de las instituciones m u n i - sión que se indicaba seria p e r p e tu a ; y concluve diciendo que ba ra…</t>
  </si>
  <si>
    <t>08/02/1839</t>
  </si>
  <si>
    <t>Gaceta de Madrid n.º 1546</t>
  </si>
  <si>
    <t>…era de Francia, tado , y por eso digo que he de traer la cuestión á un terreno :on una acusación, y una acusación amistosa, diciendo que influían en la pérdida de nuestra riqueza y destruía la industria. mas práctico que el Sr. Acebo , hoy se está verificando , y á mí os empleados de Hacienda del tiempo en que era yo Ministro Entrando en materia, hizo el orador una breve historia &lt;Jel me sucede, con cierta parte de diezmo de 1857 y 58 que el e^habian opuesto al abono del diezmo , y el Sr. Balsera me dijo asunto, manifesta…</t>
  </si>
  <si>
    <t>10/01/1839</t>
  </si>
  <si>
    <t>Gaceta de Madrid n.º 1517</t>
  </si>
  <si>
    <t>…distante de no pueden menos de in terven ir, si ha de haber buen gobierno. el Sr. Acebo y el Sr. C an tero , me han obligado á pedir la pa­ querer privarle de ese honor, y tampoco dije que era este un Después de in dicar el Sr. Acebo que si se llevaba adelante labra por la sin gu lar posición de haber sido M inistro y encar­ pensamiento nuevo; por consiguiente ni aun de esa manera in­ la idea del Sr. Puche de que las Cortes se conservasen como es­ gado del ramo de Hacienda por ocho meses, y paso á re fu ta rla directa pod…</t>
  </si>
  <si>
    <t>13/01/1839</t>
  </si>
  <si>
    <t>Gaceta de Madrid n.º 1520</t>
  </si>
  <si>
    <t>…ede blado de jugadores. intereses de la deuda interior se satisfagan, y de que los cupo­ haber un caso en que esto perjudique al Estado? nes vencidos se combinen con las cantidades en metálico que El Sr. PRESIDENTE: Orden. Sr. Acebo, está V. S. en el uso de la palabra. Yo concibo muy bien, señores, que este medio de los plie­ deben darse á los acreedores españoles, dividiéndolos en men­ gos cerrados se usa en contratas de cierta especie ; también con­ sualidades. El Sr. GOMEZ ACEBO: Estoy en el uso de la palabra con t…</t>
  </si>
  <si>
    <t>Acebo, Francisco Gómez</t>
  </si>
  <si>
    <t>Francisco Gómez Acebo</t>
  </si>
  <si>
    <t>12/07/1839</t>
  </si>
  <si>
    <t>Gaceta de Madrid n.º 1700</t>
  </si>
  <si>
    <t>…an Castelló y Roca , D Antonio Gó­ Otra id . , sierra de L u ja r, loma del Cordero, término de mez y Paran, D. Manuel Guinea , D. José de Mesa, D. A n­ Velez , S. Antonio , por Nicolás Cabrera , en 22. tonio Marte! y Nuñez, D. Francisco Gómez Acebo, D. Pedro Otra i d . , calar de Guejar Sierra , término de i d . , S. T r i- Ibañez, D. Ventura Martínez Remoa y D. Francisco Astiz, IM P R E N T A N A C IO N A L baldo, por D. Juan Nepomuceno Villalada, en 22. quienes por unanimidad declararon 110 haber lugar á la for­ Otra…</t>
  </si>
  <si>
    <t>ACEBO, GOM EZ</t>
  </si>
  <si>
    <t>GOM EZ ACEBO</t>
  </si>
  <si>
    <t>Anuncios</t>
  </si>
  <si>
    <t>…e colocaron Descuento de letras, á 6 por 100 gl año. luces en la mesa de la presidencia , sin que nos fuese posible tomar de él apuntaciones por la falta de luz. A hora bastante avanzaba hemos recibido esta tarde el pri­ El Sr. GOM EZ ACEBO rogó al Sr. Presidente que suspen­ mero de los correos atrasados de A ragón, y con él periódicos de diese esta discusión , pues la comisión tenia que contestar al ANUNCIOS. París del 2 de ¡Enero. Poco adelantan en noticias á las que ya Sr. Arguelles largamente, y juzgaba muy convenien…</t>
  </si>
  <si>
    <t>16/01/1839</t>
  </si>
  <si>
    <t>Gaceta de Madrid n.º 1523</t>
  </si>
  <si>
    <t>…la situación en que se sean tantos los que se hayan expatriado llevando sus caudales encuentra, no digo solamente los de Andalucía , hablaré del ca­ al extrangero, que no puedan estos facilitar medios para sacar ciónEleste Sr. GOM EZ ACEBO dice que el tomar en considera­ mino que hay entre Olmedo y Valladolid, camino interesante, artículo, seria en su concepto poco digno; porqne no solo para el comercio de Castilla, sino como un camino á la nación de los apuros en que se halla , si el Gobierno in­ para que hubiese sueld…</t>
  </si>
  <si>
    <t>ACEBO, GOMEZ</t>
  </si>
  <si>
    <t>GOMEZ ACEBO</t>
  </si>
  <si>
    <t>…ro de esta cantidad, una especie de excepción, ocupado aquellos bancos. res, los cuales quedan intactos. r dice que esta se apoya en varias resoluciones que yo he dado El Sr. Ministro de H A CIENDA: Lo único que tengo que El Sr. GOMEZ ACEBO: Yo no creo que las observacio­ iendo Ministro de Hacienda con acuerdo de S. M. Señores, contestar al Sr. conde de las Navas, que no me ha interpelado nes presentadas por el Sr. Mioistro de Hacienda sean suficien­ as resoluciones que se han citado, son resoluciones que recaían por actos…</t>
  </si>
  <si>
    <t>11/01/1839</t>
  </si>
  <si>
    <t>Gaceta de Madrid n.º 1518</t>
  </si>
  <si>
    <t>…r e lla Añade que dará su voto al artículo si se admite lo que ha de o ro ) , se ven y admiran decoraciones muy lindas, y visto­ manifestado el Sr. Mendizabal. sas trasformaciones. Dara no obstante algunas entradas regu­ El Sr. GOMEZ ACEBO: L a comisión tiene que hacer a l ­ lares por ver a Guzman sin cabeza, después dentro de un pas- gunas ligeras observaciones para demostrar que la propuesta del MADRID 1 1 DE ENERO. tel, y por reírse al contemplar una carga de caballería que da Gobierno y el dictamen de la comisión no c…</t>
  </si>
  <si>
    <t>…nsignada en esta ley ; me basta, cantidades que se am orticen; pero hay casos en que se puede digo , para saber que los intereses de la nación serán atendidos, hacer una operación extraordinaria que puede ser conveniente El Sr. GOMEZ ACEBO: Señores, como no se habla aquí mas que de cabalas, de a g io , de juego y de cosas parecidas, yo y que no habrá ningún Ministro presente ni futuro que abuse; al Estado, y no se concibe que pueda haber caja de Amorti­ y si esta garantía no basta, ninguna basta. Miro por lo tanto me he…</t>
  </si>
  <si>
    <t>15/01/1839</t>
  </si>
  <si>
    <t>Gaceta de Madrid n.º 1522</t>
  </si>
  <si>
    <t>…gún las noticias recibidas en esta direc­ lé nci a , en que manifiesta haber fijado los dias en que debe ce­ cia del Gobierno es necesaria , se suspenderá esta discusión. ción con posterioridad al 10 de Diciembre último. El Sr. GOMEZ ACEBO : La comisión la cree conveniente]; lebrarse la reelección del mismo Excino. Sr. Secretario. También se leyó otra comunicación del expresado Sr. Secre­ no la considera indispensable. R E P A R T IM IE N T O S PO R D e s p u é s de hacer a l g u n a s aclaraciones el Sr. Arguelles, á l…</t>
  </si>
  <si>
    <t>Acebo, Gómez</t>
  </si>
  <si>
    <t>Gómez Acebo</t>
  </si>
  <si>
    <t>…nto , y re­ del Sr. Presidente, ru ego al Sr. M in istro de H acienda se sirva no respeta al Gobierno ni al Congreso. solvió afir m ativam en te. m anifestar si según las noticias y datos que tiene el Gobierno, A petición del Sr. Gómez Acebo se preguntó al Congreso Se dió cuenta de un a proposición del Sr. Perez de R i v a s y son exactos ó no los hechos que he citado. si se pasaria á otro asu n to , y resolvió afirm ativam ente. otros Sres. D ip u ta d o s , re lativ a á que el Gobierno remita el ex­ El Sr. M in is tro de…</t>
  </si>
  <si>
    <t>…a deuda importan apelar al crédito , y para poder apelar á él es necesario o rgani­ d icial. • ✓ mas de 500 millones. Que no ha podido menos de extrañar lo zar un establecimiento que dé confianza á los acreedores de que El Sr. Gómez Acebo rectificó varias equivocaciones com eti­ que ha m anifestado el Sr. Puche acerca del estado de las rentas las cantidades que en él se depositen han de ser sagradas, y das por el Sr. Mon. en Ñ ipóles y P o rtu g a l, pues cree no es comparable el estado que ni por la atención mas urgen…</t>
  </si>
  <si>
    <t>12/01/1839</t>
  </si>
  <si>
    <t>Gaceta de Madrid n.º 1519</t>
  </si>
  <si>
    <t>…e se hicieran en 1.856 para restablecer el créd ito , por lo que pues toda operación que tienda al sostenimiento del crédito, D e Ídem común sin ello s......................... .. . . . 20 le doy las gracias. Sin embargo,, el Sr. Gómez Acebo dijo que 110 puede reprobarse. A la r ú s t i c a ................................ 17 no estaba de acuerdo respecto á la consolidación; pero no es este El Sr. C A N T E R O dijo que nada tenia que añadir á lo E n papeí fin o ................................................. 20 el momento…</t>
  </si>
  <si>
    <t>…é s de hacer a l g u n a s aclaraciones el Sr. Arguelles, á las tario del Despacho, remitiendo un oficio del gefe político de la PROVINCIAS. : ' Coruña, dando cuenta de los dias que ha prefijado, y en los que satisfizo el Sr. Gómez Acebo , dicho señor en nombre de la . Riqueza t e r r i t o - Riqueza fndus- cuales debe celebrarse la reelección del Sr. Henry. c o m i s i ó n presentó el artículo nuevamente redactado en estos r ia l. Consumos. trial. Asimismo se leyó un oficio del propio Sr. Secretario del términos: Des…</t>
  </si>
  <si>
    <t>Acedo</t>
  </si>
  <si>
    <t>04/10/1839</t>
  </si>
  <si>
    <t>Gaceta de Madrid n.º 1790</t>
  </si>
  <si>
    <t>…de España; de esto es­ Leída el acta de la anterior quedó aprobgda. yo ahora ocnoaf.e su atención repitiendo los mismos argum en ­ tán íntimamente persuadidos todos los que componen la co®/. Entró á ju rar y tomó asiento el Sr. Acedo R ic o , D ip u t a ­ tos y razones que constan en el citado preámbulo. sioo. E sta, que mereció de las secciones que representan al Con, do por la provincia de Cáceres. Nuevas adiciones se han presentado, cuando mi objeto prin­ greso su nom bram iento, cree que tanto el Sr. V ila como cual- j…</t>
  </si>
  <si>
    <t>Acedo, Rafael</t>
  </si>
  <si>
    <t>Rafael Acedo</t>
  </si>
  <si>
    <t>05/04/1839</t>
  </si>
  <si>
    <t>Gaceta de Madrid n.º 1602</t>
  </si>
  <si>
    <t>…uellos ex­ continuó en su puesto, animó sobremanera á las tropas , y con­ Ramón de las Llainosas, herido. cesos, en los umbrales de la sala capitular. tribuyó eficazmente á la victoria. El escuadrón de lanceros de El capitán D. Rafael Acedo R ico, su caballo herido. Este atentado y los muchos que se meditaban, que afortu­ la Guardia Real y dos del regimiento de León , 2.° de ligeros, El teniente D. Cipriano Ramos, herido. nadamente se alcanzaron á evitar, exigen una pronta repara­ á las órdenes del coronel comandante de…</t>
  </si>
  <si>
    <t>Acenjo, Antonio</t>
  </si>
  <si>
    <t>Antonio Acenjo</t>
  </si>
  <si>
    <t>19/02/1839</t>
  </si>
  <si>
    <t>Gaceta de Madrid n.º 1557</t>
  </si>
  <si>
    <t>…de la belleza, y ahora Idem 12. cienda. excitaba alli up recuerdo de compasión y de interés á su pre­ El primer baile de máscaras á beneficio de la casa de Ex­ maturo fallecimiento: y en el que le acompañaba, era de ver 10(5. D. Antonio Acenjo , desde Sevilla con fecha 1.° de la expresión de dolor que habia sabido hallar el artista en la pósitos, habido en la noche del domingo último en el consu­ Diciembre próximo pasado 5 manifiesta que hace cuatro años inmovilidad de sus facciones, que hacia mayor la circunstan­ lado, ha…</t>
  </si>
  <si>
    <t>Aceve-, Manuel María</t>
  </si>
  <si>
    <t>Manuel María Aceve-</t>
  </si>
  <si>
    <t>03/10/1839</t>
  </si>
  <si>
    <t>Gaceta de Madrid n.º 1789</t>
  </si>
  <si>
    <t>…anio Fortun : por la de O viedo á D. A ntonio g r á f ic a , se c o n g ra tu la v iv am e n te éon V . M . por el próxim o no será , Señora , porque m ien tras ex ista un v izcaín o no se bor­ Peón Heredia , en reem plazo de D. Manuel María Aceve- térm in o de la em presa g ra n d io sa aco m etid a en nuestros d ias ra r á de su m em oria el d u lce nom bre de la R e in a , qu e vo lvió d o; y por la de Albacete a D. Mariano V alero y A rteta, por la h eroica n ació n española p re sid id a y g u ia d a por V . M . á est…</t>
  </si>
  <si>
    <t>Acevedo, D. Juan</t>
  </si>
  <si>
    <t>D. Juan Acevedo</t>
  </si>
  <si>
    <t>06/08/1839</t>
  </si>
  <si>
    <t>Gaceta de Madrid n.º 1726</t>
  </si>
  <si>
    <t>…l leyó una extensa y per­ mientos fueron todos aprobados por la sociedad, como igual­ de consiguiente que los gastos de la primera c’ase ascienden á fectamente escrita memoria , dirigida á dar cuenta de los tra­ mente los del Sr. D. Juan Acevedo, que la junta proponía par* 26,016 rs. y 10 mrs. bajos de la junta directiva en el año que acaba de trascurrir. contador, y del Sr. D. José Escario para vicesecretario general, Entran en h j.egund¿ los gastos de recaudación que han as­ Es sensible que la extensión y la naturaleza m…</t>
  </si>
  <si>
    <t>Acevedo, Manuel María</t>
  </si>
  <si>
    <t>Manuel María Acevedo</t>
  </si>
  <si>
    <t>22/06/1839</t>
  </si>
  <si>
    <t>Gaceta de Madrid n.º 1680</t>
  </si>
  <si>
    <t>….....................Navarra. te modo se nota algo de palidez en esta producción, como D. J osé Alvarez Pestaña........................................Orense. TEATROS. que falta aquel tono vigoroso que im prim en las fisono­ D. Manuel María Acevedo.................................. Oviedo. mías individuales; pero también es cierto que el plan ha D. Juan Nepomuceud San M iguel....................Idem. PRINCIPE. Hoy no hay función. ganado no poco en regularidad y concierto determinado. Marques de Santa Cruz deRivadulla....…</t>
  </si>
  <si>
    <t>Acto</t>
  </si>
  <si>
    <t>09/06/1839</t>
  </si>
  <si>
    <t>Gaceta de Madrid n.º 1667</t>
  </si>
  <si>
    <t>…etálico, los consolidados están de edad , tiene una perfecta semejanza. La marquesa de Lon­ aprobada. firmes á 2 3 f oferta y al contado, y á 9 3 f oferta , y á la aper­ donderry estaba sentada entre el gran Duque y el duque de Acto continuo se pusieron de manifiesto los legajos de cer­ tura. Los colombianos están á 3 0 | , 5 1 ^ : portugueses sin va­ Cam bridge, y enfrente el Príncipe Henrique de los Paises-Bajos tificaciones de deuda sin Ínteres destinadas al fu eg o , tales como riación desde la apertura: deuda activa e…</t>
  </si>
  <si>
    <t>ACUALC</t>
  </si>
  <si>
    <t>16/09/1839</t>
  </si>
  <si>
    <t>Gaceta de Madrid n.º 1769</t>
  </si>
  <si>
    <t>…il describirlo: todos se abraza­ lebrar el sorteo de los nueve jueces de hecho que con arreglo á ban y se entregaban á toda suerte de demostraciones de júbilo. la ley debían componer el ju rad o , y prévias las formalidades CA D A C U A L CON SU RAZON . Los balcones aparecieron de improviso cubiertos de ricas colga­ que la misma previene, tocó á los sugetos siguientes: D. José d u ras, las campanas se echaron á vuelo, en las plazas y paseos Cecilio Scgues, D. Santiago Izquierdo, D. Francisco Cano, Si para dar al público u…</t>
  </si>
  <si>
    <t>17/09/1839</t>
  </si>
  <si>
    <t>Gaceta de Madrid n.º 1770</t>
  </si>
  <si>
    <t>…mañana disueltas las Cortes porque el Go­ Congreso para discutir los dictámenes pendientes de la comisión bierno en su sabiduría lo crea oportuno ¿ se encontrará el pue­ de A c ta s; y levantó la sesión á las dos y cuarto. C A D A C U A L CON SU R A Z O N . blo en la necesidad de pagar injusta é ilegalmente las contribu­ ciones , ó repelerá la fuerza con la fuerza? Cualquiera de estas Si para dar al público una idea de esta composición se dejara posiciones en que le pongamos es forzada , perniciosísima para llevar la soc…</t>
  </si>
  <si>
    <t>18/09/1839</t>
  </si>
  <si>
    <t>Gaceta de Madrid n.º 1771</t>
  </si>
  <si>
    <t>…gún el punto, 10 á 12 id. id. PRINCIPE. A las ocho de la noche. Se ejecutará la co­ demasía. media n ueva, o r ig in a l, en tres actos y en verso, titulada Badajoz 1 d e S etiem b re . El parte que el duque de la V ic ­ C A D A C U A L CON SU RAZON. to ria, general en gefede los ejércitos reunidos, da al Gobierno BOLSA DE M A D R ID . de S. M. con fecha 51 de Agosto último desde su cuartel ge­ Si para dar al público una idea de esta composición se dejara neral de V ergara, y que ayer 6 del corriente se recibió en esta…</t>
  </si>
  <si>
    <t>22/09/1839</t>
  </si>
  <si>
    <t>Gaceta de Madrid n.º 1777</t>
  </si>
  <si>
    <t>…a á todos los que se crean con derecho á reclamar algún cré­ GALERÍA DRAMATICA. TEATROS. dito contra los bienes quedados por fallecimiento de J u a n A l a ­ r io , vecino y platero que fue en esta corte, á fin de que acu­ C A D A C U A L CON SU R A Z O N . PRIN CIPE. A las siete y media de la noche. Se volverá dan á hacerlo valere n dicho juzgado y por la referida escriba­ á poner en escena la comedia n u e v a , en tres actos y en verso, n í a , dentro del preciso y perentorio término de quince dias, Comedia en tres actos…</t>
  </si>
  <si>
    <t>ACUALCONS</t>
  </si>
  <si>
    <t>23/09/1839</t>
  </si>
  <si>
    <t>Gaceta de Madrid n.º 1779</t>
  </si>
  <si>
    <t>…las costumbres de los habitantes de original en de escena la comedia nueva, en tres actos y en verso, D. José Zorrilla, titulada LES AVENTURES sus montañas. Tal vez ¡a crítica severa de nuestros dias, en demasía escru­ C A D A C U A L C O N SU R A Z O N . DE pulosa y descontentadiza, graduando de rusticidad la sencillez de algunas poesías de esta colección , y su naturalidad de des­ Si para dar al público una idea de esta composición se dejara tém m aque aliño y abandono, quisiera en ellas argumentos meaos trivia­ l…</t>
  </si>
  <si>
    <t>24/11/1839</t>
  </si>
  <si>
    <t>Gaceta de Madrid n.º 1841</t>
  </si>
  <si>
    <t>…tes nal de D. José Zorrilla , titulada * de su m inisterio, cuyos gefes y dem as em pleados de Real nom bram iento se incluyen en la G u ia de Forasteros, que p O R e! presente y en virtud de providencia del Sr. D. Benito C A D A C U A L C O N SU R A Z O N . para la del añ o de 1840 se sirvan pasar notas certificadas Serrano y A liaga, magistrado honorario, juez de prime­ en la forma que se h a n extendido en los años anteriores ra instancia en esta corte, y para cumplimentar otra dictada Intermedio de baile; terminando…</t>
  </si>
  <si>
    <t>Acuña, Pedro Antonio</t>
  </si>
  <si>
    <t>Pedro Antonio Acuña</t>
  </si>
  <si>
    <t>…...............................Huelva. los mismos, ejercen casi siempre no sé qué poder magné­ D. Mariano Ricafort...............................................Huesca. tico que esta a punto de sojuzgarnos y hacerse dueño de D. Pedro Antonio Acuña............................ .. Jaén. BIBLIOGRAFIA. Buestra voluntad. El espejo en que haya de reproducirse D. Joaquín Diaz Caneja........................................León, nu cambio político con todos su9 accidentes, debe ser en D. Epifa«io Fortun............................…</t>
  </si>
  <si>
    <t>AD, IPUT</t>
  </si>
  <si>
    <t>IPUT AD</t>
  </si>
  <si>
    <t>12/09/1839</t>
  </si>
  <si>
    <t>Gaceta de Madrid n.º 1765</t>
  </si>
  <si>
    <t>…s, de peticiones, de ritorio. Todo esto es Verdad ; ¿ pero qué sucedió ? Que se empe­ gobierno interior y de corrección de estilo , aunque con el c a­ zaron á hacer adiciones, y se presentó una del Sr. Calderón de CONGRESO DE D IPUT AD O S. rácter de interinas. Todo esto después de nombrar las secciones lá B arc a, la cha! fue desechada , y después se precipitaron otras. sus Presidentes y Secretarios. El Sr. O S C A : No se presentó mas que una que fue la dél PRESIDENCIA DEL SEÑOR CALATRAVA. Sr. Calderón de la Barca. El…</t>
  </si>
  <si>
    <t>Ada</t>
  </si>
  <si>
    <t>02/01/1839</t>
  </si>
  <si>
    <t>Gaceta de Madrid n.º 1509</t>
  </si>
  <si>
    <t>…es. «M arques de Leis. fijado el 7 de Diciembre pará hacer rogativas generales á íiu «D . Gaspar Ondovilla. D. de im plorar el favor de la divina Providencia contra una nue­ O viedo. va iuvasiou. ( T im es .) C áceres. «Conde de Ada ñero. «D . M anuel M aría Acevedo. «M arques de Villacaznpo, conde del Campo de A lange. « D . Antonio Posada, arzobispo electo de Valencia. «D . Pedro de Ontiveros. «D . Pedro Salas Omaña. La escuadra de sir Carlos Pn^et destinada á M éjiéó, se há «D . Juan Nepomuceno San M iguel. dado á la…</t>
  </si>
  <si>
    <t>ADAMADUENDE</t>
  </si>
  <si>
    <t>01/01/1839</t>
  </si>
  <si>
    <t>Gaceta de Madrid n.º 1508</t>
  </si>
  <si>
    <t>…asladó la escena al xvn , y decimos 2 o La comedia n u e v a, en tres actos, titulada L A SE­ seguido grand es ventajas sobre las tropas leales. P ero a u n ­ esto sin que sea hacer una inculpación á este señor: nosotros G U N D A D A M A D U E N D E . q u e la justa causa que defendem os no puede sucum bir, en su lugar hubiéramos hecho lo propio; pues de haber dejado 3.° Terceto bailable por las Sras. Diez y Siérra , y por el p o rq u e es la causa de la civilización; con todo , bueno sera la acción contemporánea nuestra,…</t>
  </si>
  <si>
    <t>…a junta en trasladar el Ateneo á un 2 ° La comedia nueva, en tres actos , t i t u l a d a L A SE­ Inglaterra, y del influjo de este mineral en la prosperidad in­ .edificio mas capaz, donde todas sus dependencias esten con G U N D A D A M A D U E N D E . dustrial de aquel pais, presentaron el Sr. presidente y algunos mas desahogo, y en el que este establecimiento tenga toda la 5.° Terceto bailable por las Sras. Diez y S i e r r a , y por el otros socios varios datos sobre los criaderos que existen en Es­ brillantez de que es…</t>
  </si>
  <si>
    <t>03/01/1839</t>
  </si>
  <si>
    <t>Gaceta de Madrid n.º 1510</t>
  </si>
  <si>
    <t>…bargo la impresión que haya podido evitar la efusión de sangre, no obstante que encontró á dicho causar la noticia que con tanta exageración se dio al Sr. Diputado infraganti , pues era indudable que cuando el ge­ LA S E G U N D A D A M A D U E N D E . Comercio, ypara dejar en su justo lugar el honor de tos cuer­ neral se presentó á la junta , formaba aquel parte de e lla , y por pos que guarnecen las provincias de G a lic ia , d iréá V V . asegu­ A continuación boleras á seis; terminando la función con- consiguiente pudo…</t>
  </si>
  <si>
    <t>10/02/1839</t>
  </si>
  <si>
    <t>Gaceta de Madrid n.º 1548</t>
  </si>
  <si>
    <t>…de ios tres me­ Santander 51 d e E n ero . Notorias son las atrocidades que tulo es ses posteriores á la fecha de la publicación de esta l e y , no se el enemigo ejerce en los pueblos corno consecuencia de su sis­ L A SE G U N D A D A M A D U E N D E . presentaren solicitando la redención de dichos censos y cargas, tema de dominar por el terror y de la inmoralidad de los i n ­ perderán el derecho que para hacerla se les habia concedido, dividuos que componen sus fuerzas. Ultimamente (la noche del T erm inará la función con…</t>
  </si>
  <si>
    <t>12/02/1839</t>
  </si>
  <si>
    <t>Gaceta de Madrid n.º 1550</t>
  </si>
  <si>
    <t>…ión del día 11 á las tres d e la tard e. escena la lindísima y aplaudida comedia en tres actos, cuyo tí­ tios que ocupan, descubiertas hasta el d ia , desde la mas remo­ ta antigüedad. tulo es EFECTOS PUBLICOS. L A SE G U N D A D A M A D U E N D E . Inscripciones en el gran libro á 5 por 100 , 00. Catecismo de Geografía con un mapa m undi, un tomito Terminará la función con las Corraleras á ocho. Títu;os al portador del 5 por 1 0 0 , 17 nueve dieciseisa­ en 8.°, á 6 rs. vos con cupones al contado: I 8 f , ¿ t 1 8 ,1 7…</t>
  </si>
  <si>
    <t>Adana</t>
  </si>
  <si>
    <t>24/09/1839</t>
  </si>
  <si>
    <t>Gaceta de Madrid n.º 1780</t>
  </si>
  <si>
    <t>…oño , en que opinaba El Sr. Secretario O N D O V IL L A contestó que la observa­ y los detalles que nos suministra el correo de Marsella no nos ción de S. S. se dirigia á la cuarta cuestión, y no á la que en se admitiese al Sr. Adana. dan motivo para esperar que se resolverá pronto una cuestión aquel momento se discutía, puesto que esta en riada se oponía Se leyó el dictámen de la misma acerca de las segundas elec­ que tiene en suspenso los mas graves intereses de Europa. ciones de Logroño, en que proponía se mandare pro…</t>
  </si>
  <si>
    <t>Adanero</t>
  </si>
  <si>
    <t>21/08/1839</t>
  </si>
  <si>
    <t>Gaceta de Madrid n.º 1742</t>
  </si>
  <si>
    <t>…la de V an-D ick. La Nereida ha completado de una manera útil para el co­ I). José María Reig: por la de Cáceres á D. José Landero mercio y la navegación esta campaña de guerra y de paz , con y Corchado, en reemplazo del conde de Adanero; y por una visita á Tejas, pais fértil y nuevo, limítrofe Je Méjico , y ía de Vizcaya á D. Casimiro de Loizaga, en reemplazo de Escriben de H ungría: que en lo sucesivo parece llamado á brillantes destinos ; y des­ D. Pedro Allende Salazar. Tendréislo entendido, y lo co­ El Emperador de Auit…</t>
  </si>
  <si>
    <t>…ión, se hacen indudablemente Marques de Falces. ..............................................Burgos. C E subasta el arrendamiento de los pastos de rastrojera é ití- merecedores del aprecio común, y honran en alto grado Conde de Adanero........................... ...................... Cáceres. ^ vernadero del monte titulado de VilSamanrique, el de la a sus autores. D. José Fontagud Gargollo......................................Cádiz. Veguilla de los Bodegones, y el de la dehesa A larilla, pertenecien­ Como quiera es tare…</t>
  </si>
  <si>
    <t>27/01/1839</t>
  </si>
  <si>
    <t>Gaceta de Madrid n.º 1534</t>
  </si>
  <si>
    <t>…onstará de dos tomos en 4«° de unas 500 páginas Conde del M ontijo................................................. lfiOO C ádiz, ~ á i id. Z aragoza, id. cada uno, de papel, letra y tamaño del prospecto. Con el objeto Conde de Adanero...................................................... 800 de que su adquisición sea menos costosa, saldrá por cuadernosde Descuento de letras , á 6 por 100 al año. Marques de Villacarnpo........................................ 64O 56 á 60 páginas cada uno coa las figuras correspondientes i…</t>
  </si>
  <si>
    <t>27/11/1839</t>
  </si>
  <si>
    <t>Gaceta de Madrid n.º 1844</t>
  </si>
  <si>
    <t>…R e i n a G o b ern a­ M iguel Flores López, por D. Pedro Palomar y por m í, Matías vidas de nuestra Reina Doña Isabel n y la de Y . M . d o ra y la Serma. Sra. Infanta Doña María Luisa Fer­ Palomar. =Como apoderado del conde de Adanero , y por mí, Lucar y Noviembre 10 de 1859. = Señora. = A L. R. P. de Gregorio Erehuet Requeoa. =Como apoderado del conde de V. M .= Antoaio Encinas.—Manuel Cuevos.r: Antonio M arios =2 nanda, continúan en esta corte sin novedad en su im­ T o r r e - A r ia s , del duque de Noblejas y otros v…</t>
  </si>
  <si>
    <t>Adaua</t>
  </si>
  <si>
    <t>04/09/1839</t>
  </si>
  <si>
    <t>Gaceta de Madrid n.º 1757</t>
  </si>
  <si>
    <t>…sin semejante estratagema ciones de la provincia de Logroño podía aprobarse respecto á tado a los ingenios nacientes: tiénela, porque no ha pues­ hubiera sido alli mismo aprisionada. la del Sr. 0¡óz3ga; mas en cuanto á la del Sr. Adaua , que ce to en escena algunas obras que se le han presentado, en­ Este asumo, bueno cuando mas para una anécdota, pidiera copia autorizada de uno de los distritos, por deber in­ no es ¿ propósito por ningún estilo para el teatro. Ade­ fluir su resultado de la final de la elección. tre otras el…</t>
  </si>
  <si>
    <t>ADE</t>
  </si>
  <si>
    <t>19/08/1839</t>
  </si>
  <si>
    <t>Gaceta de Madrid n.º 1740</t>
  </si>
  <si>
    <t>…c. por medio de p r i­ tres brazos de la legislatura adoptasen una disposición semejan­ vilegios, exenciones, franquicias, noblezas y otras gracias de t e , obedecería á la l e y ; pero actualmente tendré escrúpulo de SO C IE D A D ECONÓMICA M A T R IT E N SE . esta clase.” Las secciones no pueden negar que el fomento de to­ apartarm e de la marcha regular siempre seguida por los conse­ jeros de la corona.” I n fo rm e sobre la industria v i ñ e r a , p r e s e n ta d o d la s o c i e ­ das las iodustrias seria un medio…</t>
  </si>
  <si>
    <t>ADECONOMI</t>
  </si>
  <si>
    <t>14/02/1839</t>
  </si>
  <si>
    <t>Gaceta de Madrid n.º 1552</t>
  </si>
  <si>
    <t>…guna consideración, siendo mayor en Castilla y A ragón aun nadas. Pero al mismo tiempo que obrando con arreglo á prin­ que en las otras dos provincias. cipios estrictos de ju sticia, se despoja al Estado de las fincas S O C IE D A D E C O N O M IC A M A T R IT E N S E . Asi es que la mayor parte de las que presentaban en que ya obran en su poder, debe también cuidar el Gobierno venta eran de Extremadura, no solo porque les era mas fácil de que no llegue á convertirse en abuso este acto de equidad. Si Dictamen de una comisió…</t>
  </si>
  <si>
    <t>AdeCy</t>
  </si>
  <si>
    <t>06/10/1839</t>
  </si>
  <si>
    <t>Gaceta de Madrid n.º 1792</t>
  </si>
  <si>
    <t>PDF p. 6</t>
  </si>
  <si>
    <t>…nacional............................................................ D. Manuel de A r r a z o la ............................ 20 20 D. D. A. M ................................................................................. D. A. de C. y su esposa....................................................... • 17 60 BIBLIOGRAFÍA. E. T ............................................... D. S. C ................................................................................ . . . . 20 20 D . Andrés Vi!lalb¿.........................…</t>
  </si>
  <si>
    <t>ADEL</t>
  </si>
  <si>
    <t>29/07/1839</t>
  </si>
  <si>
    <t>Gaceta de Madrid n.º 1718</t>
  </si>
  <si>
    <t>…la administración , mas ó menos c e rra d a , de las autorida­ d rid , y el que logró echar por tierra el esfuerzo y cons­ NUEVO FANAL des públicas. tancia del síndico persenero de 1805; ese ha sido el fan­ A L A E N T R A D A D E L a LOCA D E L M E D I O EN EL GOLFETE DE Las peticiones del síndico abrazaron la libertad de los tasma que resucitadoj aunque en pequeño, en 1825 ha tres grandes abastos, pan, carne y c a r b ó n , que habían penitenciado al vecindario de Madrid con la carga arriba SA N J O R G E Ó ÁP AL a…</t>
  </si>
  <si>
    <t>AdeLD</t>
  </si>
  <si>
    <t>30/11/1839</t>
  </si>
  <si>
    <t>Gaceta de Madrid n.º 1847</t>
  </si>
  <si>
    <t>…inúan en esta corte sin novedad en su im­ V. M.=G. P. I., Antonio Villaralvo y Fiias.rzJoaquin María Pasiva, 6 j, portante salud. Melgarejo.=José Torralva Iranzo.—Isidro Yictor Alcalde.=Fi an- Diferida, 11. cisco Marti cez.i=D. A. de L. D. P ., Feliciano Grande. Cinco por 100 portugués, 211. S. M. ha oido con complacencia la expresión de los M IN ISTER IO DE LA GOBERNACION DE L A PENINSULA* sentimientos de esta corporación, igualmente que los de los ayuntamientos de Oyagonzalo y Chinchilla y de los un crédito Acaba de…</t>
  </si>
  <si>
    <t>ADELT</t>
  </si>
  <si>
    <t>…contemporánea nuestra, como está en el original, hu­ Sr. Casas. q u e estemos sobre aviso, y que imitemos á nuestros con­ biera tropezado necesariamente con mil dificultades nacidas de 4-° El divertido sainete titulado L A B O D A D E L TIO trarios en el conato que ponen en su organización y en la falta de exactitud que campean en todos los escritos de los C A R C O M A , desempeñado por las partes principales. todos los preparativos de la gu e rra . franceses al hablar de nuestras costumbres y usos modernos, y Siendo est…</t>
  </si>
  <si>
    <t>…nseguirá paña , y con especialidad en Asturias, donde ya se benefician muy en breve. Sr. Casas. con inteligencia y buen éxito. Por últim o, quiere la junta poner en noticia del Ateueo 4*° El divertido sainete titulado L A B O D A D E L TIO El secretario Collado leyó en una de las sesiones el análisis C A R C O M A , desempeñado por las partes principales. de una obra anunciada en Paris con el título de Descripción metódica de la fam ilia de las gramíneas , por Mr. Kunt. El trabajo mas importante en que se ha ocupado la…</t>
  </si>
  <si>
    <t>Ademas, Fernando Muñoz de Guz-</t>
  </si>
  <si>
    <t>Fernando Muñoz de Guz- Ademas</t>
  </si>
  <si>
    <t>11/05/1839</t>
  </si>
  <si>
    <t>Gaceta de Madrid n.º 1638</t>
  </si>
  <si>
    <t>…Perú y de Colombia no permi­ cosa que un incendio devorador que no ha podido extin­ de Yebra, D. Bernardo Riega, D. José Antonio Lafarga, Don ten viajar en carruajes. guir ninguna potencia humana. Alonso de Queso y Valdivia y D. Fernando Muñoz de Guz- Ademas, la experiencia ha demostrado que tanto los Puesto que las dos Américas después de luchas tan m an, ó sus hijos y herederos, el derecho que les asiste al perci­ negros como los europeos no podían resistir el aire frió sangrientas pertenecen definitivamente á las dos I…</t>
  </si>
  <si>
    <t>ADES</t>
  </si>
  <si>
    <t>04/02/1839</t>
  </si>
  <si>
    <t>Gaceta de Madrid n.º 1542</t>
  </si>
  <si>
    <t>…ron miembro corresponsal dél instituto Real dé Francia. 5 V j IC ad qu irir la bella casa que ocupan frente de la iglesia de Santia­ [ConstitutionneL) go. Pero ¿cuáles fueron las rentas con que se contaba para este V A R I E D A D E S . costoso establecimiento ? La caridad * respondía siempre la hermana Sofía , bajando humildemente los ojos para no leer Casas d e a r r e p e n t i d a s e n B é l g i c a. én los inios que yo habia descubierto la verdad de todos los El tomo 2.° del F t aje d H o l a n d a y B é l g i c…</t>
  </si>
  <si>
    <t>05/08/1839</t>
  </si>
  <si>
    <t>Gaceta de Madrid n.º 1725</t>
  </si>
  <si>
    <t>…i .ata ? Perú y Chile, donde el obsequio que se /. 7 7 Q 7 0 0 Puerto-Rico........................................j 1on,.74') 1^0 Y» / t Y c,a a huéspedes y visitas era presentarles el m ate, y D E L C A F E , SUS PR O P IE D A D E S , P R E PA RA C IO N Y USO. Méjico...................... 1 / fio e contento reinaba en cualquier casa ó rancho cuando el Colombia........................ ....................i 4/rci J 1,0/o saco de yerba del Paraguay estaba llene; si no hubiera sido El café de Moca, asi como es el origina…</t>
  </si>
  <si>
    <t>11/04/1839</t>
  </si>
  <si>
    <t>Gaceta de Madrid n.º 1608</t>
  </si>
  <si>
    <t>…ta de energía y de v irtu ­ magnificas imágenes han revestido con su inania? Hallábamo- des. Su tratado sobre la educación encierra su pensamiento to­ nos sentados en la cicna de deliciosas colinas. Ofrecíase el mar V A R 1 E D A D E S. do entero; él quisiera reformar el espíritu humano. Este es el a nuestros ojos con su vasto horizonte, con sus azuladas ondas Malvíe a , literato italiano. asunto que daba márgen á nuestras conversaciones cuando nos en que se mecían los buques que desplegan sus velas como las paseábamos e…</t>
  </si>
  <si>
    <t>11/06/1839</t>
  </si>
  <si>
    <t>Gaceta de Madrid n.º 1669</t>
  </si>
  <si>
    <t>…l , é b m a e l d e A n a s , a q u i e n d e s p o ­ qu ie n se d i r i g i ó al pais q u e esta en las or illa s d e l J o r d á n se yó T i b e r i o desde el p r i n c i p i o d e su r ein ad o. L e n g l e t dn V A R IE D A D E S p r e d i c a n d o el bautismo de la p e n ite n c ia para o b t e n e r e l F re s n o y en sus Tablas cro n o ló g ica s fija en el a ñ o x v d « p e r d ó n d e los peca do*.” P íla lo s pues, no ha p o d id o darse la era v u l g a r la d e p o s ic ió n de Anas; y en el a ñ o x i x el…</t>
  </si>
  <si>
    <t>14/07/1839</t>
  </si>
  <si>
    <t>Gaceta de Madrid n.º 1702</t>
  </si>
  <si>
    <t>…staban los dos kadileskers, ó tos dias acerca de un manifiesto del Sultán contra M ehemet- grandes jueces de la Anatolia y de Romelio; á corta distancia A lí, sin,q.ue hasta ahora se haya confirmado esta noticia de un V A R I E D A D E S . el ministro de Hacienda ( Defterdar-Effendi); el vicecanciller modo positivo. Lo que está fuera de duda es que por el últi­ del imperio (Beylicktchi-Eífendi), y á la derecha el guarda-se­ mo vapor expedido para la Siria el bajá ha dado los mas am ­ Memorias del Oriente. llos (Nichandgi). H…</t>
  </si>
  <si>
    <t>…de N o ­ residen en la provincia de Córd oba que se les ha ig u a la do con viembre último , recurre al Congreso manifestando que después las religiosas. de cuatro años de residencia en España , que mira corno su se­ V A R I E D A D E S . La com isión , aunque sin datos para ju zgar de la certeza de gunda pa tria , y en la que su conducta y acciones habían me­ los hechos que expresa el interesado, no ha p o d id o menos de recido la estimación p ú b l i c a , se vió ob ligado á dejar la Penín­ L IT E R A TU R A EXTRANGERA…</t>
  </si>
  <si>
    <t>19/03/1839</t>
  </si>
  <si>
    <t>Gaceta de Madrid n.º 1585</t>
  </si>
  <si>
    <t>…siguiente: 3,0 67____ 5 0 0.............. para las necesidades del poeta. N o olvidemos que la Sevilla. 3 ,0 4 2 .... 50 0 .............. m ayor parte dgl tiempo del .espectáculo so empleaba en los mo­ M adrid. ^ N T í G ü E D A D E S ._ I T A L I C A . 7 8 5 .... 50 0.............. vimientos y cantos del coro: pero aun le quedaba hueco al autor Bel monte. 3 ,7 8 0 .... 5 0 0 ....... para-desplegar'^ eficientem ente cú ó cinco caraetéres, éntre 5 0 0 .............. Barcelona. En nuestro D iario correspondiente á ld ia 3…</t>
  </si>
  <si>
    <t>20/05/1839</t>
  </si>
  <si>
    <t>Gaceta de Madrid n.º 1647</t>
  </si>
  <si>
    <t>…iones de Iv an , de Miguel trechas calles que se prolongan á la derecha de la calle de San Martin. Rom anoff, de Pedro el G ran de y de casi todos los ilustres Hasta la hora en que escribimos, el movimiento, según se V A R IE D A D E S. Soberanos que le han sucedido. Aqui no hay que d iscutir v e , ha quedado circunscrito entre la plaza del Chalelet y la de si los boyardos, llamando al trono en 1613 a la fam ilia las casas consistoriales; los cuerpos de guardia del mercado de de Rom anoff, habian podido creer que se elevar…</t>
  </si>
  <si>
    <t>24/03/1839</t>
  </si>
  <si>
    <t>Gaceta de Madrid n.º 1590</t>
  </si>
  <si>
    <t>…u e la fue r­ N a da mas fácil que desfigurar,, un hechp cualquiera , callan- za cómica d e b e consistir e s e n cia lm en te en el a rte de b u s­ clp circunstancias sin las; cuales ajiáreceria enlera^néut^ diverjo V A R I E D A D E S . c a r el pun to de vista m as rid ic u lo de las acc io n es y de los del que fuera en realidad , y nada mas fácil por consiguiente p ersonajes viciosos. .A h o r a , b i g n , si e x a m i n a m o s en gene-, qu e;h a c e r q u e .aparezejr cprno--ilegal * injusta y arbitr arjar .u na O…</t>
  </si>
  <si>
    <t>25/12/1839</t>
  </si>
  <si>
    <t>Gaceta de Madrid n.º 1872</t>
  </si>
  <si>
    <t>…uo término que no puede alcanzar. "Si hay un inconveniente en que los presos tengan dinero, Para conseguir los grandes resultados que los hombres de bien ¿cuál puede existir para que el resultado de su aplicación les V A R I E D A D E S . desean , y «uyo retardo pone en peligro á la sociedad actual, proporcione una pequeña suma, con la cual evitarían los con­ desgraciadamente casi todo está aun por hacer, y aates de adop­ flictos de una posición aventurada en los primeros dias en que E l pintor Clavé. El joven barcelonés…</t>
  </si>
  <si>
    <t>30/03/1839</t>
  </si>
  <si>
    <t>Gaceta de Madrid n.º 1596</t>
  </si>
  <si>
    <t>…merario y barras de plata y oro................. fr. 5499000 Pólvora.. . . . . . . . . . . . . . . . ................................. 7000 Productos químicos............................................. •. .i 173000 V A R I E D A D E S . Id. de la industria de Paris.. . . . . . . . . . . . . . . . . 281000 EXPORTACION DE FRANCIA PARA ESPAÑA. Quesos. . ................................... 167000 Sobre la deportacion á la Siberia. Relojería........................................ 167000 Valor Ropas y otros efectos de uso.…</t>
  </si>
  <si>
    <t>31/05/1839</t>
  </si>
  <si>
    <t>Gaceta de Madrid n.º 1658</t>
  </si>
  <si>
    <t>…mejante ingratitud, y se atacara al antiguo mar­ que conservase todavía casi todo su poder; pero su pre­ quesado de Braudebourg en el seno mismo de su poder, sencia en los archivos se señaló por el orden mas regular V A R I E D A D E S . antes que la Rusia pueda acudir en su socorro. Hauterive que en ellos estableció, por una gran cantidad de memo­ entrevé algunos visos de este designio; pronuncia las pa­ rias llenas de sagacidad y de felices expresiones con que Concluye el articulo de la Gaceta anterior . labras de rese…</t>
  </si>
  <si>
    <t>ADMINISTRACIONES, Martínez de la Rosa. NUMEROS. PREMIOS.</t>
  </si>
  <si>
    <t>Martínez de la Rosa. NUMEROS. PREMIOS. ADMINISTRACIONES</t>
  </si>
  <si>
    <t>22/08/1839</t>
  </si>
  <si>
    <t>Gaceta de Madrid n.º 1743</t>
  </si>
  <si>
    <t>…o­ teo de este dia . pondrá de manifiesto en la escribanía mayor de Rentas, sir­ pio: preferimos empero desoiría á dejar de hacer el elogio viendo de tipo para la admisión de posturas la cantidad de que se merece la obra del Sr. Martínez de la Rosa. NUMEROS. PREMIOS. ADMINISTRACIONES. 9,906 rs. y 17 mrs. en cada un año, que son las dos terceras No seguiremos á este en el vario curso de los sucesos partes del valor deducido por un año común del último quin­ que en su libro amontona, ni por miedo de ser prolijos y quenio. L…</t>
  </si>
  <si>
    <t>Admitida, Baudricourt.</t>
  </si>
  <si>
    <t>Baudricourt. Admitida</t>
  </si>
  <si>
    <t>14/08/1839</t>
  </si>
  <si>
    <t>Gaceta de Madrid n.º 1734</t>
  </si>
  <si>
    <t>…ra dar gracias á Dios anunciabi ir á socorrer la plaza de Orleans, y comunicar su de una muger tan extraordinaria, se retiran paso á paso, mien­ por los favores que le habia dispensado. Entonces reiteró su sú­ misión al capitán Baudricourt. Admitida á la presencia de este tras que avanzando los franceses se apoderaron del fuerte. Con­ plica para volver á su casa y acabar su vida en oscuridad ; pero gefe, le dijo delante de los oficiales que le rodeaban: "Q ue ha­ cluida la jornada, se retiró la doncella con su tropa á la…</t>
  </si>
  <si>
    <t>ADOBLE</t>
  </si>
  <si>
    <t>01/11/1839</t>
  </si>
  <si>
    <t>Gaceta de Madrid n.º 1818</t>
  </si>
  <si>
    <t>…dichos pe­ demas útiles y herramientas de uso de los operarios de caía v riódicos, y que traiga y presente un ejemplar de cada uno de preosa. r J J ellos que lo acredite. Habiendo visto estos au to s, lo proveyó, EN P A R T I D A D O B L E , mandó y firmó asi en la audiencia pública de este dia el señor D. Mariano Amadori , juez de primera instancia de esta c iu ­ APLICADO AL COMERCIO Y A LAS OFICINAS DEL ESTADO dad y su partido, en Cartagena á 26 de Junio de 1839.—Licen­ BOLETIN DE COMERCIO. ciado Amadori.zzAote mí Jo…</t>
  </si>
  <si>
    <t>08/11/1839</t>
  </si>
  <si>
    <t>Gaceta de Madrid n.º 1825</t>
  </si>
  <si>
    <t>…al infante D. Carlos conspirador á DE CUENTA Y RAZON IMPRENTA NACIONAL. la usurpación del trono de España. Insurrección de D. Juan M artin de Balmaseda. Tentativa de un emisario de D. Carlos al general goberna­ EN P A R T I D A D O B L E , APLICADO AL COMERCIO Y A LAS OFICINAS DEL ESTADO dor de Ciudad-Rodrigo para la entrega de dicha plaza al in­ COLECCION DE LEYES, fante. POR D . M A N U E L FICTO R D E C H R IST A N T ES, Varias noticias acerca de la posición del infante en Portu­ gal , y conatos para entrar en Es…</t>
  </si>
  <si>
    <t>25/11/1839</t>
  </si>
  <si>
    <t>Gaceta de Madrid n.º 1842</t>
  </si>
  <si>
    <t>…ras déla que se hallan de venta en el despacho y almacén Imprenta Nacional. DE CUENTA Y RAZON rior •, y «i sábado hubo también hasta al mediodía bastante fuego al regreso de nuestras divisiones que pernoctaron en EN P A R T I D A D O B L E , Biosca. Discurso sobre el lujo de las señoras, y proyecto de un tra­ Las facciones se han demostrado obstinadas^ y los sol­ je nacional para las damas, escrito por otra de su sexo , y pu­ APLICADO AL COMERCIO V A LAS OFICINAS DEL ESTADO dados de la patria les han hecho conocer su valo…</t>
  </si>
  <si>
    <t>ADP</t>
  </si>
  <si>
    <t>…eso , porque niero logro llenar la cavidad y dejarla al parecer perfectamen^j te se gu ra; pero siendo el terreno sobre la roca de una n a tu ra ­ Dor°la°7r&lt;&gt; ^00 años, y hubiera durado otro tanto ESTABLECIMIENTOS DE UT IL I D A D PUBLICA. leza desmenuzable , el peso del a g u a , en una marea extraordi­ do! d l , ° “ ^ UD° nueLV0&gt;cuyos ojos fueran mas a d a p ta - n aria que^ ocurrió en 26 de Enero de 1 8 0 8 , hizo reventar el rio S o cied a d p a r a p r o p a g a r y m ejo ra r la ed u ca ció n d e l pueblo. n o ! dp…</t>
  </si>
  <si>
    <t>ADR</t>
  </si>
  <si>
    <t>02/06/1839</t>
  </si>
  <si>
    <t>Gaceta de Madrid n.º 1660</t>
  </si>
  <si>
    <t>…ad de los que se hallen en higieoe, Fenelon, consejos de Federico el Grande á su hijo G u i­ las facciones. (Niiru. 16440 llermo i n , casamiento sin gular, poesía y teatros, se da cuenta del EN BOCA D E L EMBUSTERO L A V E R D A D Real orden declarando que tas disposiciones y providencias que concierto ejecutado en casa del Excmo. Sr. duque de V illa h e r- dicten los ayuntamientos y en su caso las diputaciones pro­ mosa la noche del 18. ES SOSPECHOSA. vinciales er» los negocios que pertenecen á sus atribuciones El prec…</t>
  </si>
  <si>
    <t>Aduanas</t>
  </si>
  <si>
    <t>01/08/1839</t>
  </si>
  <si>
    <t>Gaceta de Madrid n.º 1721</t>
  </si>
  <si>
    <t>…a primera división emprendió la marcha por el desfiladero Madrid 30 de Ju lio de 1 8 3 9 .= E l subsecretario, José Ma­ que conduce á las liseras, lo atravesó sin icupcclimento , y d e - ría P e re z .= S r. director general de Aduanas. jándolo á la izquierda siguió á apoderarse de las alturas que M IN IS T E R IO DE H A C IE N D A . sirven de estribo á las mas inmediatas y elevadas, conocidas por las sierras de las C ruces, donde se hallaban los eueniigos. • Cuarta sección. Al pie se formó la columna de cazadores y el…</t>
  </si>
  <si>
    <t>07/08/1839</t>
  </si>
  <si>
    <t>Gaceta de Madrid n.º 1727</t>
  </si>
  <si>
    <t>…entu­ participa el Sr. Ministro de Hacienda haber comunicad! los celadores de la parroquia de Meilan con un grupo de re­ ras en un teatro que debió ser todo de gloria. Un soldado viejo la órdén oportuna á la dirección general de Aduanas pan beldes resultó muerto el faccioso presbítero D. Ramón Gon­ es un tesoro, porque es el maestro de los reclutas, y porque s ia que disponga lo conveniente á la prohibición referida ei zález Conde, de Otero de R e y ; y que en otro encuentro ocur­ cuadros de soldados antiguos no se organiz…</t>
  </si>
  <si>
    <t>Adán, Mariano</t>
  </si>
  <si>
    <t>Mariano Adán</t>
  </si>
  <si>
    <t>…l C as­ • i ^ dosé Vicente Durana: D . Antonio Ruiz Tagle: D. PJá- quisieran renovarlos, sobre el que la mesa era de parecer que po­ tillejo, Trigueros y Lete, sin haber atendido á lis numerosas 2o p. arcia : Jacinto Ibañez: D. Mariano Adán: D. Loren- dia el Senado mandar se lleve á efecto la suspensión de dichos reclamaciones que hubo por haberse disuelto el dia 17. ii p rra: Luis Igartuburu: D. Benito Picardo: D. Grego- proyectos de ley ó reglamento, conforme lo acordó en la legis­ Que no habiendo llegado á noticia de a…</t>
  </si>
  <si>
    <t>AEDI</t>
  </si>
  <si>
    <t>15/03/1839</t>
  </si>
  <si>
    <t>Gaceta de Madrid n.º 1581</t>
  </si>
  <si>
    <t>…LISTA, y pueblos circunvecinos, á causa de no ser perseguida por nin­ Precios guna de nuestras columnas hace bastante tiempo. AU M EN TADAS en pasta. De resultas de la sorpresa que hizo el coronel V illalonga EN ESTA SEGU N D A E D IC IO N . el 24 de Febrero últim o á las facciones del Borges y cura de A POCALIPSI de S. J u a n , 8.° m ayor con 2 4 es- Viacam p han sufrido estas bajas de consideración de pocos dias ^ tampas finas y el retrato del V . G regorio López. 60 D os tomos en 8 .° Precios: en ra m a , á 2 0 rs. v…</t>
  </si>
  <si>
    <t>17/05/1839</t>
  </si>
  <si>
    <t>Gaceta de Madrid n.º 1644</t>
  </si>
  <si>
    <t>…ido h oy á la pobreza ofrece un ejemplo memorable de DE DON ALBERTO LISTA, I P U R IT A N I E D I C A B A L I E R I , las vicisitudes humanas. AUM EN TAD AS exornada con todo el aparato que exige su argumento. EN ESTA SEGU N D A E D IC IO N . £ ^ C T A V A D E L CO RPU S. Versión parafrástica castellana A ctores: Sras. V illó y Lom bía. Sres. R am os, C a lvet, R e - del oficio y misa de la festividad del Santísimo Sacra­ g u e r , Blasco y coristas. D os tomos en 8 .° Precios: en rama , á 20 rs. vn. e! ejem­ mento y su…</t>
  </si>
  <si>
    <t>29/03/1839</t>
  </si>
  <si>
    <t>Gaceta de Madrid n.º 1595</t>
  </si>
  <si>
    <t>…ó mas actos , im ­ presa con esmero, sin aumento en el precio de suscripción. AUMENTADAS Este será, para el total de la publicación que comprende ocho ó nueve números, un suplemento al menos , una lámina E N E STA S E G U N D A E D IC IO N . de esmerado trabajo, y un drama impreso al mes, en M adrid, de 8 rs. mensuales y 20 por trimestre: y en las provincias y el Dos tomos en 8.° Precios: en rama , á 20 rs. vn. el ejem­ extrangero de 28 por trimestre, franco de porte. plar: en rústica , á 2 2 : en pasta , ó á la holan…</t>
  </si>
  <si>
    <t>AENL</t>
  </si>
  <si>
    <t>25/03/1839</t>
  </si>
  <si>
    <t>Gaceta de Madrid n.º 1591</t>
  </si>
  <si>
    <t>…es , de las distancias y de las figuras. r a v i l l o s o , el en cad en am ien to bien co ncerta d o de los diversos " P e r o á lo menos, se d i r á , ía belleza del co lo rido no de­ D E L A B E L L E Z A C O N S ID E R A D A E N LOS O B JE T O S . ' pensam ientos qu e la co mponen . E l sistema de la a tra cció n n e w - pende de nin guna ley.” ¿C ó m o n o ? ¿ P u e s de dónde procede t o n i a n a , que sometió á una sola y ú n ic a ley todos los m o v i ­ qu e ciertas mezclas de colores nos ag raden mas qu e o t r…</t>
  </si>
  <si>
    <t>AESENCI</t>
  </si>
  <si>
    <t>05/07/1839</t>
  </si>
  <si>
    <t>Gaceta de Madrid n.º 1693</t>
  </si>
  <si>
    <t>…c. &amp;c. costum bres y escenas d e la v id a d e m ar. El Castillo de San Alberto. H ago saber : Que S. M. la Reina Gobernadora (Q. D . G.) El Abuelo. por Real orden de 20 de Junio último se 'ha servido mandar O B R A D E D IC A D A E S E N C IA L M E N T E La hija del avaro. que el calendario ó aimanak civil de Castilla la N u e v a , que Carlos v n . comprende las provincias de M a d rid , Guadalajaira, Cuenca, d rectificar las ideas que se tienen en la actualidad en E s­ El suicidio rom ántico. Toledo y Mancha alta y baja…</t>
  </si>
  <si>
    <t>Afendizabal</t>
  </si>
  <si>
    <t>…liendo de este principio 110 h ay orden , no h ay adm i­ sonal de esta caja , á las garau tías que ofrecen las personas que idea m uy peregrina. La caja-dé A m o rtización , dice el art. 1 1, nistración , no h ay sistema. (El Sr. Afendizabal pidió la p a ­ componen ésta ju n ta y á las garan tías que se dan á estas m is­ ejerce sus funciones con entera independencia del Gobierno. ¿Y labra en pro.) S. S. esplanó mas esas observaciones, y concluyó m as personas para que no puedan ser removidas de sus pues­ cómo se entiende est…</t>
  </si>
  <si>
    <t>Ag, D.</t>
  </si>
  <si>
    <t>D. Ag</t>
  </si>
  <si>
    <t>24/10/1839</t>
  </si>
  <si>
    <t>Gaceta de Madrid n.º 1810</t>
  </si>
  <si>
    <t>algunas que es preciso citarlas material y positivamente, y esta Sr. D. Ag us t í n Arguelles, de cuyos trabajos tengo n oticia, y quiero ofenderlos , no los conozco ; pero tengo entendido que es la tarea que yo me he tomado al pedir la palabra. y o espero , le ruego , y si c ab e, le conjuro, á que nos diga si j mas se in d in a n á que mande uno solo, ó á la o lig…</t>
  </si>
  <si>
    <t>AGENERAL</t>
  </si>
  <si>
    <t>12/03/1839</t>
  </si>
  <si>
    <t>Gaceta de Madrid n.º 1578</t>
  </si>
  <si>
    <t>…90 1 c . .. , . ' ' ■ Total ingresado 5 # . . . . . , . . . . 5394789,,. 19 Por id. id. en la extracción de 24 de id. id .................................................................................. 55 f , ’’ : * S i L I D A G E N E R A L . ______ Por id. id. én la-extracción de 8 de Octubie id . . . . . . . . . . . . 4 5 7 7 ..2 9 Por id. id. en él sorteó de 10 de id. id. . . . . . . . .......................................................... y 7409..29 i ' ¡ .................... por comisiones. " 'Y : ,, . &lt; 862…</t>
  </si>
  <si>
    <t>AGENERALE</t>
  </si>
  <si>
    <t>…rifas.............. * .. . • 180 j . 19 Ganancias d los jugadores . . 1950959. .15 2660459 Por i billete del sorteo de 15 de Marzo de 1838 se han satis­ fecho á los jugadores por cüenta de los 525,940 rs. que les E N T R A D A G E N E R A L EN E L MES D E M AYO DE 1839. correspondieron......................*...............................»........................... 80 Por 52] billetes del sorteo de 14 de Abril se les han satisfecho Por cuenta de extracciones y sorteos. por id. de 597,640 rs. id.......................…</t>
  </si>
  <si>
    <t>Ageo</t>
  </si>
  <si>
    <t>11/08/1839</t>
  </si>
  <si>
    <t>Gaceta de Madrid n.º 1731</t>
  </si>
  <si>
    <t>…i­ tiempo del imperio que M M . de Latour d’ Auvergoe; L aura- g n a is , obispo de A rras; Belmas , obispo de C am b ay, y Jaco u - sión de instrucción primaria de esa provincia, con expre­ P a rís 2 d e A gosto. py , obispo de Ageo. sión de la que haga de secretario. 2.a Un resumen de las principales determinaciones F o n d o s p ú b licos é Cinco por 100, 112, 3&amp; adoptadas por la misma comisión desde que fue instalada Tres id ., 7 9 , 4^« para el cumplimiento de la ley en sus diferentes partes, Acciones del banco , 2800…</t>
  </si>
  <si>
    <t>Ager</t>
  </si>
  <si>
    <t>…te Sírvase Y. E. elevarlo á conocimiento de S. M. Dios guar­ ción de Mr. Dumortier, tienen frecuentes reuniones, ei» las difíciles , cuyos inconvenientes se superaron con extraordinaria de á Y. E. muchos años. Cuartel general de Ager 15 de Febre­ cuales, como es de pensar, se trata de medios de resistencia. A constancia y habilidad por los gefes y cuerpos á quienes cor­ ro de 1859.=Excmo. Sr.=Ramon de Meer.=Excmo. Sr. Secre­ pesar de los términos en que está concebido el decreto de pro- respondían: el 11, venciendo obstác…</t>
  </si>
  <si>
    <t>Aguado, Alejandro</t>
  </si>
  <si>
    <t>Alejandro Aguado</t>
  </si>
  <si>
    <t>20/01/1839</t>
  </si>
  <si>
    <t>Gaceta de Madrid n.º 1527</t>
  </si>
  <si>
    <t>…l de Cataluña y al Gobierno, llas excitaciones, quiso confiar la empresa de la construcción del do llegado el término de su deportación, pidieron sus pasapor­ El Sr. M A D O Z dice que la comisión en la petición que se canal á D. Alejandro Aguado, marques de las Marismas, cuya tes para regresar al seno de sus familias, y se les contestó por discute ha propuesto todo cuanto podia en ventaja de los peti­ venida coincidió con esta circunstancia , á lo que contestó este ti comandante general de las islas doude estaban deportados…</t>
  </si>
  <si>
    <t>Aguado, Facundo</t>
  </si>
  <si>
    <t>Facundo Aguado</t>
  </si>
  <si>
    <t>17/07/1839</t>
  </si>
  <si>
    <t>Gaceta de Madrid n.º 1705</t>
  </si>
  <si>
    <t>…e cometen por una recompensa tan módica que se rica y el extrangero en los puntos siguientes: hace absolutamente insignificante. Albacete, administración de la compañía de diligencias ge­ BOLETIN DE COMERCIO. nerales: Avila, D. Facundo Aguado : Alcoy , Cabrera: Alican­ BOLSA DE M ADRID. Servicios que ofrece esta empresa. te, Carratalá: Almería , Santa M aría: Algeciras, Sierra: A n- dújar,adm inistración de diligencias: Badajoz, viuda de Car­ Cotización del día 16 á las tres de la tarde, Art. 1.° Seguirá todo pleito, pr…</t>
  </si>
  <si>
    <t>Aguado, Juan Manuel</t>
  </si>
  <si>
    <t>Juan Manuel Aguado</t>
  </si>
  <si>
    <t>…JU D IC IA L E S. 'C'N virtud de providencia del Sr. D. Manuel Luceño, juez de primera instancia de esta villa, refrendada del escriba­ COLECCION IM LDE LEYES, PRENTACO J uzgado de Amortización . no del numeró de la misma D. Juan Manuel Aguado, se ha se­ Por providencia del Sr. intendente subdelegado de rentas ñalado el dia 13 del corriente á las nueve de su mañana en la REALES DECRETOS, de eAa provincia juez dé amortización* refrendada por el es­ casa posada de S. S., sita en la calle de Bordadores, ndm. 12 cribano ma…</t>
  </si>
  <si>
    <t>…e prime­ con prueba sinlegal. carácter, embargo pueden ser removidos por causa justa ra instancia de esta villa, refrendada del escribano del nú­ N o se crea por eso que la comisión , y en particular el in­ mero de la misma D. Juan Manuel Aguado, se ha señalado el dividuo que tiene el honor de hablar en este momento al Con­ PARTES RECIBIDOS EN LA SECRETARIA DE ESTADO dia 13 del corriente á las diez de su mañana en la casa posada greso, profese la doctrina de L inam ovilidad, n o , señores, es­ T DEL DESPACHO DE LA GOBER…</t>
  </si>
  <si>
    <t>…Yo creo que cada uno merece su par­ villa D. Manuel Luceño, refrendada del escribano del nú ­ sulados del departamento de Relaciones exteriores. Haute­ te de gloria. En 1809 se habia unido el Austria á la In ­ mero de la misma D. Juan Manuel Aguado, se cita, llama y ’ rive se veia atacado con esto en sus propios Estados, pues glaterra, lo mas tarde que pudo, y se le habían dado al­ emplaza á los representantes del concurso de D. Nicolás Flórez el era el que habia establecido que los consulados se sepa» gunos subsidios; pero…</t>
  </si>
  <si>
    <t>AGUAYO, PEÑA</t>
  </si>
  <si>
    <t>PEÑA AGUAYO</t>
  </si>
  <si>
    <t>06/02/1839</t>
  </si>
  <si>
    <t>Gaceta de Madrid n.º 1544</t>
  </si>
  <si>
    <t>…pel, y si alguna confianza pueden inspirar las darla leer. {La ley ó e l Sr. S ecreta rio M uro.) Como en la co­ El Sr. ARGUELLES h izo varias aclaraciones. promesas del Gobierno al Sr. A rgiielles, espero que en este su­ El Sr. PEÑA AGUAYO: Antes de entrar en el fondo de municación del gobernador metropolitano se hacia referencia á puesto descansará S. S. un breve pontificio que prohibía ciertas doctrinas que se supo­ la cuestión, tengo que rectificar un hecho grave en que ha in ­ El Sr. ARGUELLES pronunció un segundo dis…</t>
  </si>
  <si>
    <t>Aguayo, Peña</t>
  </si>
  <si>
    <t>Peña Aguayo</t>
  </si>
  <si>
    <t>07/02/1839</t>
  </si>
  <si>
    <t>Gaceta de Madrid n.º 1545</t>
  </si>
  <si>
    <t>…manifestando'q*e 00 podían aprobar, que se exigiesen creo qoe iba a tomar su defensa. presentaba al art. 68 aiprobad© ayer, á .sshIkt, que después de en ¿I para ios casos á que hacia referencia tes dos terceras par­ Pero el Sr. Peña Aguayo fiij© entre ©tras cosas, que el se­ la potetera c&amp;legidatdores, se añadiera: extendidos ir es ejem­ tes fie votos j ctt&amp;ado tes resoluciones usas im por tontos fis las I ñor Ortigosa no tenia necesidad de recurrir' á i aterpetoefanes, plares igvmies. Cortes se tomaban por mayoría absol…</t>
  </si>
  <si>
    <t>…S. que si en em bargo, no puedo menos de hacerme cargo de algunas refle­ política# entonces todo es posible; y en ese supuesto no trate­ el año de 1715 cuando Felipe estaba sentado en el trono se hu­ xiones que ha hecho el Sr. Peña Aguayo^ á pesar de que el mos de la suerte del Sr. Ortigosa ni lo demas, porque ese su­ biera hostigado el Papa en llevar adelante sus designios los hu­ Sr. Argiielles las ha resuelto. ceso fortuito es bastante. biera llevado ? En esta cuestión, señores, no he visto mas que la parte po­ ¿ A…</t>
  </si>
  <si>
    <t>Aguiar, Angela</t>
  </si>
  <si>
    <t>Angela Aguiar</t>
  </si>
  <si>
    <t>…Martin de Ferrey.i^Dr. Manuel José de Piedra.r: Academia de Santa Teresa de Jesús, costeada por la Real Dr. Rafael Cortés. {Id.) Las planas que se acpmpanan con este informe darán una sociedad patriótica y está á cargo de Doña Angela Aguiar ; idea exacta de los adelantos en ese ramo. cuyo exámen tuvo lugar el (lid 22. Establecimiento titulado nuestra Señora, del Cdrmen aue Se enseñan en él 51 niñas, 15 de estas pagadas por la so­ Almería 2 de Marzo. dirige D. José Díaz Rijo. * ciedad, y seis por favor dé la preceptora.…</t>
  </si>
  <si>
    <t>Aguijar, Doña María Manuela</t>
  </si>
  <si>
    <t>Doña María Manuela Aguijar</t>
  </si>
  <si>
    <t>19/06/1839</t>
  </si>
  <si>
    <t>Gaceta de Madrid n.º 1677</t>
  </si>
  <si>
    <t>…en prensa las primeras piezas. ñani. su derecho en los autos de segunda suplicación, que se siguen 222. Una bandejita con un mazo de cigarros y una bolsita, por la escribanía de Cámara al cargo del Sr. D. Antonio Lo- á la Sra. Doña María Manuela Aguijar. paz Salazar , introducida por José Juncosa y Elias, vecino de 761. Un almohadón con un león bordado, á la Sra. Doña Barcelona, con varios acreedores sobre graduación y preferencia EL BUEN T O N O , María Fernandez. de los bienes concursados de su pádfe Pablo Juncosa, ba…</t>
  </si>
  <si>
    <t>Aguilar, Manuel</t>
  </si>
  <si>
    <t>Manuel Aguilar</t>
  </si>
  <si>
    <t>…io se espera conseguir mayor ex actitu d , no O liver, D. Gerónimo Diaguez, D. Isidoro Fernandez de A n­ calle ancha de S. Bernardo, señalada con el núm. 3 antiguo perm ite tampoco lo adelantado del tiempo que se extien­ gulo. D. Manuel Aguilar, D. Manuel Estevez de Rivera, Don y 4 I nuevo , de la manz. 449, que se compone toda ella de 5,810 dan órdenes á todos los establecimientos ó corporaciones. Juan José Espinosa, D. Juan José Anguila Mateo Perez, Don pies cuadrados superficiales, vale 478,917 rs. en venta, en ren­ Las…</t>
  </si>
  <si>
    <t>Aguirre</t>
  </si>
  <si>
    <t>20/08/1839</t>
  </si>
  <si>
    <t>Gaceta de Madrid n.º 1741</t>
  </si>
  <si>
    <t>…el consejo de roto se aprovechase de las pretensiones de este Príncipe en su Vera, cuyo gobernador se habia fugado. Ministros. arreglo general, han querido apresurar la explosión del levan­ listas, El cura Echevarría y el coronel Aguirre , desterrados car­ tamiento que meditan há mucho tiempo. se han unido á los revoltosos. En la Real orden expedida en 15 del corriente por el Después de varias conferencias presididas por el obispo de Elío marcha de Tolosa contra ellos con tres batallones: el 12 Minisierio de Hacienda é ins…</t>
  </si>
  <si>
    <t>Aguirre, Domingo</t>
  </si>
  <si>
    <t>Domingo Aguirre</t>
  </si>
  <si>
    <t>31/03/1839</t>
  </si>
  <si>
    <t>Gaceta de Madrid n.º 1597</t>
  </si>
  <si>
    <t>…ento de lanzarles de los de los Palacios.................................................. 17 s e jo : arroja al m ar desde un balcón uno de los consejeros, parapetos: estos empezaban desde la falda del monte y concluían Id. D. Domingo Aguirre.............................. .. 17 en la cúspide con uno redondo que parecía una ciudadela ; pero y quiere d ar m uerte al otro: no hay razón, no hay ho­ Id. D. Manuel Perea de Oliva, cura rector del Sa­ no pasaron en ellos mas tiempo que el que se necesitó para tre­ n o r, no hay…</t>
  </si>
  <si>
    <t>Aguirre, Rafael</t>
  </si>
  <si>
    <t>Rafael Aguirre</t>
  </si>
  <si>
    <t>24/06/1839</t>
  </si>
  <si>
    <t>Gaceta de Madrid n.º 1682</t>
  </si>
  <si>
    <t>…nte coronel D . N i ­ cionalmente se podia esperar, atendidas las circunstancias del Tam bién se me ha asegurado que Cristóbal Mejía el de la colás del M oral, y con la caballería del Saltillo, á cargo de su caso. comandante D. Rafael Aguirre. N o era aun concluido este mo­ El tratado de p a z , como la Cámara advertirá desde luego, Sierra, perseguido por las fuerzas del supremo G o b ierno , ha debido reunirse á Urrea en el referido Villa de V alles, y se­ vimiento cuando comenzó el tiroteo de las guerrillas de in fan ­ t…</t>
  </si>
  <si>
    <t>Agus</t>
  </si>
  <si>
    <t>18/11/1839</t>
  </si>
  <si>
    <t>Gaceta de Madrid n.º 1835</t>
  </si>
  <si>
    <t>…rias. Cita pseudo-continuador del Quijote: y se admira como noso­ entrega del domingo 17 de Noviembre contiene los ar- también los libros y pasajes caballerescos en que se m en­ tros del elogio que hace de él en su aprobación D. Agus­ tículosLa siguientes adornados con dibujos y grabados origi­ cionan semejantes duelos, y principalmente la historia de tín Montiano y Luyando que llegó hasta decir: no es f r ió nales. los pasos honrosos que se han celebrado en Castilla. El y sin gracejo corno Cervantes. Esto decia el que cr…</t>
  </si>
  <si>
    <t>19/04/1839</t>
  </si>
  <si>
    <t>Gaceta de Madrid n.º 1616</t>
  </si>
  <si>
    <t>…unicarme con esta fecha , debo hacer presente á V. E. asegura la integridad del imperio otomano si adopta las con­ r a ; concluyendo nuestro informe con exponer á V. SS. que ni que ya he comunicado hoy mismo orden al ingeuiero D. Agus­ diciones que en él se sientan. Las guerras intestinas no son el esta señora, ni sus alumnas nos han dejado nada que desear tín Marcoartu para que inmediatamente pase á Palencia, se aviste con el gefe político, y después de conferenciar con él y medio seguro para regenerar una nación, y M aham…</t>
  </si>
  <si>
    <t>29/06/1839</t>
  </si>
  <si>
    <t>Gaceta de Madrid n.º 1687</t>
  </si>
  <si>
    <t>…ra fa­ y capitán general de Aragón y Valencia, cuyos mandos en poder de nuestras tropas un gefe, dos capitanes, cinco su­ vorecido á los mejicanos en la mas justa de las contiendas. desempeña interinamente el mariscal de campo D. Agus­ balternos y 138 individuos de tropa rebeldes de los que bloquea­ ¡Cuán agudo y vehemente fue entonces el dolor de mi corazón! tín Nogueras, á quien concedo su cuartel para la ciudad ban á Albalate, los cuales habían tenido ademas bastante n ú ­ La venganza del agravio era mi único voto ; morir…</t>
  </si>
  <si>
    <t>Agus, José</t>
  </si>
  <si>
    <t>José Agus</t>
  </si>
  <si>
    <t>…e: (leyo un oficio.) De manera que aqui se encargó diez en punto de la m añana del expresado dia 1.° del próximo que resolver el Congreso en este dia , es hasta que punto llega particularm ente al director de caminos y canales D. José Agus­ Marzo. ia competencia de las Cortes en esta clase de negocios. Yo creo, tín de L arra mead i la inspección de todas las obras del canal y señores, que las Cortes tienen derecho por la misma C onstitu­ la visita periódica del m ism o, y este señor asegura que son de ción para entender en…</t>
  </si>
  <si>
    <t>Agus-</t>
  </si>
  <si>
    <t>23/11/1839</t>
  </si>
  <si>
    <t>Gaceta de Madrid n.º 1840</t>
  </si>
  <si>
    <t>…un momento á otro debe llegar al puerto de Santander, cos interesantes, y describir las costumbres de las épocas á otro romántico, a los que supone infatuados y locos por procedente del de Manila, la barca P e rú , su capitán D. Agus- que se refieren sus tabulas: en una palabra, introducir en sus respectivos sistemas. Sucedió lo que sucede en casos de fin Jiménez, y regresará al mismo punto á los pocos dias de su nuestra literatura el género de W alter Scott. I n m agnís la misma especie, y siempre que hay pugna de partidos…</t>
  </si>
  <si>
    <t>Agustina</t>
  </si>
  <si>
    <t>06/11/1839</t>
  </si>
  <si>
    <t>Gaceta de Madrid n.º 1823</t>
  </si>
  <si>
    <t>…idiable suerte por verdad y corrección el papel de la condesa; acordábamo- por último de una generación suelen ser de todo punto cierto esa de Cervantes, Moliere y Moratin que hoy tienen nos también de la segunda, inimitable Doña Agustina contrarios de los de aquella que la precedió. Solo quedan por patria ei m undo, si bien un dia en la suya vivió mi­ del C a fé¡ y no aguardábamos de ella menos de lo que ha ciertos caracteres inmutables, que nunca varían; ciertos ti­ serable el uno; á otro ni aun la tumba por ser cóm ico he…</t>
  </si>
  <si>
    <t>07/06/1839</t>
  </si>
  <si>
    <t>Gaceta de Madrid n.º 1665</t>
  </si>
  <si>
    <t>…nes de los co con su pésima é intempestiva erudición, el sarcastico les de ellas para destruir todos los hechos truncados ó falsos Cornelia, de los Zamoras y demás turba de dramaturgos y taimado L&gt;, Antonio, la incomparable Doña Agustina , y que establece de continuo, ó refutar las falsas doctrinas que sien­ que al espirar el siglo pasado y comenzar el actual tenian el hombre de bien y se v e r o , el grave y rudo D. Pedro. Si ta en varios puntos de su obra. Los hombres de todos los par­ infestada nuestra escena de comedi…</t>
  </si>
  <si>
    <t>Agustín</t>
  </si>
  <si>
    <t>12/08/1839</t>
  </si>
  <si>
    <t>Gaceta de Madrid n.º 1732</t>
  </si>
  <si>
    <t>…la escogida colección del Sr. Duran justifican esta opi­ Intendencia m ilitar de Castilla la N ueva . los Herreros. nión nuestra, creemos muy justo restituirle á nuestro T ir­ Imitación de la poesía y coplas del siglo xv. Por D. Agustín so una composición algo mas reg u lar, aunque del mismo Debiendo subastarse en esta intendencia militar en virtud Duran. gén ero , que otras suyas, y que no cede a ninguna de de lo dispuesto por el Sr. intendente general en 10 del ac­ Crónica del mes de Julio. ellas en la sal cómica y en las…</t>
  </si>
  <si>
    <t>13/05/1839</t>
  </si>
  <si>
    <t>Gaceta de Madrid n.º 1640</t>
  </si>
  <si>
    <t>…l otro de atribuir dichas enfermedades á buenas ¿las han desechado acaso los hombres de opinio­ vapores, ó sea á miasmas. nes contrarias?... ¿Hubo alguno que repudiase E l Trova­ Concluida la memoria del Sr. Safont, el socio D. Agustín dor ¡ Los Amantes de Teruel, Carlos H el Hechizado y Yañez hizo una reseña de las numerosas observaciones micros­ muchas otras pertenecientes á la escuela romántica?... ¿Se ESTADO GENERAL cópicas ejecutadas con extraordinaria constancia por Ehren- desconoció su mérito; se negó acaso?... No…</t>
  </si>
  <si>
    <t>17/03/1839</t>
  </si>
  <si>
    <t>Gaceta de Madrid n.º 1583</t>
  </si>
  <si>
    <t>…bre?.... prisioneros el dia 10 , 15 facciosos de á caballo, incluso el gefe en ella se propuso?.. El principal parece el de los amores de Los Sres. Latorre y Guzcnan comprendieron perfectamente sus que los mandaba. Sabina con D. Agustín. ¿Pero lo es tanto que pudiera sostenerse respectivas partes ; el Sr. Luna en un papel que no está en su Desde la entrada de Balmaseda en la sierra , están sobre las sin auxilio de los demás?... ¿Bastaría él solo para la comedia cuerda hizo laudables esfuerzos para agradar. armas los Nacion…</t>
  </si>
  <si>
    <t>21/06/1839</t>
  </si>
  <si>
    <t>Gaceta de Madrid n.º 1679</t>
  </si>
  <si>
    <t>…intura ó la poesía. Es pre­ P R O V I D E N C I A S JU DI CI AL ES . sal que confió á la España la providencia de las naciones. ciso que a lo maravilloso é indeciso suceda lo meditado, H A BIEN DO hecho dimisión de sus bienes D. Agustín M a - Porque este carácter , el sello, la forma de nuestra por­ noble y d ign o, que en tal objeto pusimos el destino de las nuel de la Torre, vecino de esta corte, en favor de los ción nos hafi de revelar si nuestra querida patria se ha­ artes del siglo xix. acreedores que resultan de la…</t>
  </si>
  <si>
    <t>23/02/1839</t>
  </si>
  <si>
    <t>Gaceta de Madrid n.º 1561</t>
  </si>
  <si>
    <t>…scuadrón, ilim i­ tado, procedente de la Guardia Real; el capitán D. José. María Moragrega.; DloAntonio Arjona , teniente dé caballería gra­ bien mandar en nombre de.mi e^ elsa Hija la Reina Doña duado decapitad ilimitado; D. Agustín O rtiz, teniente de in­ R E A L E S D ECRETO S. Isabel i i , que:interinam ente , y sin perjuicio de lo que poi fantería retirada* impurificado y amnistiado; D. José Palanca, ley se determine expresamente y se observe y cumpla le teniente retirado en Zaragoza; D. Francisco Pelegriny ilim i…</t>
  </si>
  <si>
    <t>27/08/1839</t>
  </si>
  <si>
    <t>Gaceta de Madrid n.º 1748</t>
  </si>
  <si>
    <t>…dad de doce, auxiliadores á la clase de monitores, por proceder. nos d e la es cu e la p rim a ria p o r e l m éto d o d e L a n ca s ter , su aplicación, mérito y conocimientos que han manifestado ea bajo la d ir ecció n d e D. Agustín N a vida d, en c e le b r i d a d los mismos ramos que los tres anteriores, se han hecho acree­ r Hace algunos dias que se hacían circular en Cherburgo r u ­ d e los dias d e S. 31. la Reina G obernadora. dores á igual premio. mores de que toda la tripulación del navio Asia , que pertenece D…</t>
  </si>
  <si>
    <t>Agustín, D.</t>
  </si>
  <si>
    <t>D. Agustín</t>
  </si>
  <si>
    <t>10/07/1839</t>
  </si>
  <si>
    <t>Gaceta de Madrid n.º 1698</t>
  </si>
  <si>
    <t>…adora de la impiedad. Esto cada ofrece ' M a r hasta el Cementerio. Llegados todos alli , y puesto en el que La-Gasca ha dejado. de notable ni sospechoso; pero la circunstancia de a c u ñ a r a ien - nicho el a t a ú d , el Sr. D. Agustín Y añ e z , como representando El Gobierno de S. M. lo había nombrado poco hace presi­ to de 7$ ó rnas medallas de esta clase, de las cuales pocas se ú la academia de Ciencias naturales y A r t e s , y en nombre de dente de la junta del museo de ciencias n aturales, y comenda­ han expendi…</t>
  </si>
  <si>
    <t>Agustín, D. José Agustín Cañavate. Sr. D.</t>
  </si>
  <si>
    <t>D. José Agustín Cañavate. Sr. D. Agustín</t>
  </si>
  <si>
    <t>…D. Manuel Hidalgo Calvo. Sr. duque de Gor, Vicepresidente 2.° Sr. conde de las Navas. Sr. D. Miguel Chacón y D uran. Guipúzcoa. Sr. D. José Sánchez de la Fuente. Sr. D. José Jover. Sr. D. Miguel Antonio de Zumalacarregui. Sr. D. José Agustín Cañavate. Sr. D. Agustín de Larramendi. Santander. Avila. Huelva. Sr. D. Felipe Gómez Acebo. Sr. D. Francisco Agustín Sil vela. Sr. D. Angel Fernandez de los Rios. Sr. D. Juan Martin Carramolino. Sr. D. Francisco de Paula Alvarez. Sr. D. Vicente Trueba Cosío. Sr. D. Agustín Mela.…</t>
  </si>
  <si>
    <t>Agustín, D. Pablo Mata Vigil. Sr. D.</t>
  </si>
  <si>
    <t>D. Pablo Mata Vigil. Sr. D. Agustín</t>
  </si>
  <si>
    <t>…Nicolás de la Riva. Sr. D. Tomas de Prada , electo. Sr. D. Manuel de la Rivaherrera. Sr. D. José Fermin Muro , Secretario 4»° Oviedo. Sr. duque de Gor. Sr. D. Ramón de la Sagra.¡ Sr. D. Joaquin Rey. Sr. D. Antonio Loriga. Sr. D. Pablo Mata Vigil. Sr. D. Agustín Armendariz. Sr. D. Jacobo Florez, electo. Sr. D. Alvaro Florez Estrada. Secretarios. Cuenca. Sr. conde de Toreno. Sr. D. J osé María Navia Osorio. Sr. D. Mariano Miguel de Reinoso. Sr. D. Andrés Martinez del Peral. Sr. D. Juan de Posada Arguelles. Sr. D. Luis…</t>
  </si>
  <si>
    <t>Agustín, D. Vicente Trueba Cosío. Sr. D.</t>
  </si>
  <si>
    <t>D. Vicente Trueba Cosío. Sr. D. Agustín</t>
  </si>
  <si>
    <t>…. Sr. D. Agustín de Larramendi. Santander. Avila. Huelva. Sr. D. Felipe Gómez Acebo. Sr. D. Francisco Agustín Sil vela. Sr. D. Angel Fernandez de los Rios. Sr. D. Juan Martin Carramolino. Sr. D. Francisco de Paula Alvarez. Sr. D. Vicente Trueba Cosío. Sr. D. Agustín Mela. Sr. D. Angel Iznardi., Segovia. Badajoz• Sr. D. Joaquin Garrido. Huesca. Sr. D. José Balsera. Sr. D. Marcos Marin. Sr. D. Miguel Cosío. Sr. D. Francisco de Lujan. Sr. D. José Queraltó. Sr. D. Francisco Bartolomé y Colorao. Sr. D. Juan José García C…</t>
  </si>
  <si>
    <t>Agustín, Miguel</t>
  </si>
  <si>
    <t>Miguel Agustín</t>
  </si>
  <si>
    <t>…tancias; pare coristas, en celebridad de los felices acontecimientos de las pro­ ciéronnos notables por la belleza y elevación de los pen­ vincias del Norte, el ZORCICO VASCUENCE del maestro samientos 1a titulada la P az, de D. Miguel Agustín P rín ­ La Excraa. Sra. duquesa viuda de Gor, por sí y á nombre Sobejano , que tanto se aplaudió en la noche del 6 del corriente. cipe; las del Sr. Zorrilla por la valentía y expresión de de otras señoras, animadas del deseo de solemnizar el final de Concluida la ópera, y con el mism…</t>
  </si>
  <si>
    <t>Aheran, Francisco de Paula</t>
  </si>
  <si>
    <t>Francisco de Paula Aheran</t>
  </si>
  <si>
    <t>11/11/1839</t>
  </si>
  <si>
    <t>Gaceta de Madrid n.º 1828</t>
  </si>
  <si>
    <t>…cié Del espíritu de asociación, y de los beneficios que ofrecerá á p i n , mecánico en San Dionisio, ha establecido en dicha ense­ la u r e l, que ciñó el Sr. M ate al afortunado in genio , v recitán­ esta p ro v in cia, por D. Francisco de Paula Aheran. nada un astillero, en el cual ha construido el barco de vapor dose diferentes composiciones poéticas en honor suyo. Mucho Estado de la legislación penal en E spañ a, y reformas que y a botado al a g u a , el cual se llamará la ciu d a d d e M e t z , de­ celebramos este t…</t>
  </si>
  <si>
    <t>Ahnodis</t>
  </si>
  <si>
    <t>06/06/1839</t>
  </si>
  <si>
    <t>Gaceta de Madrid n.º 1664</t>
  </si>
  <si>
    <t>…edicación, que fue concedida, prévia cen­ D. Ramón ii, por sobrenombre E l V iejo. pe. Yo admiré la extraordinaria sangre fría con que M r.de Ta­ sura, tan favorable como justa, de la Academia de la His­ 16. El asesinato de Doña Ahnodis, esposa del conde lleirand escuchando lo que yo le decía, y que era para él de la toria: mas no pudo ver la luz pública hasta tres años des­ Ramón el Viejo, cometido por su entenado Pedro, hijo mayor importancia, se dejaba revestir con su uniforme oficial. pués. del primer matrimonio de es…</t>
  </si>
  <si>
    <t>Ahora, Ventura de la Vega.</t>
  </si>
  <si>
    <t>Ventura de la Vega. Ahora</t>
  </si>
  <si>
    <t>…da!. según San Lucas. Anás fue nombrado sumo sacerdote po­ La historia considerada como ciencia de los hechos. cas semanas después de la muerte de Jesucristo. 5.725... ¿ , 8000; ps, fs.. Madrid. Orillas del Pusa.z=Poesía.=:Por D. Ventura de la Vega. Ahora bien, en las Actas de los Apóstoles se dice ca­ 6.999.. •. 5000............ • Málaga. Crónica del mes de Mayo. pítulo x x i i , vers. 3, 26 y 28 que S. Pablo, natural de 21.200.... 1 0 0 0 ....... Cádiz. Se suscribe á este periódico en Madrid, en la librería de Tarses, en…</t>
  </si>
  <si>
    <t>Aia-</t>
  </si>
  <si>
    <t>19/07/1839</t>
  </si>
  <si>
    <t>Gaceta de Madrid n.º 1707</t>
  </si>
  <si>
    <t>…e 1839.=Gabriel Valencia.=Excmo. Sr. M i- S. M . la R e i n a , s u augusta Madre la R e in a G o b e r n a ­ pensas al mérito , he dado las debidas gracias en nombre de la listro de Guerra y Marina =Es copia.=Cuartel general de Aia- dora y la Serma. Sra. Infanta Dtifga María Luisa Fernan­ nación y del Excmo. Sr. Presidente al general en gefe, á los ete Mayo 5 de 1859=Juan de Dios Peza. da , continúan en esta corte sin novedad en sti importante generales de las brigadas, á los gefes, oficiales y tropa que con­ Es copia.rrMé…</t>
  </si>
  <si>
    <t>Aillon</t>
  </si>
  <si>
    <t>…ba juzgar el Con­ 2.° El disfrute de los pastos, aguas y demas usos y apro­ A petición del Sr. Guillen y Gras se volvió á leer el a r­ greso. vechamientos comunes. tículo 7 o de la ley de 19 de Julio de 1B13. A petición del Sr. Aillon se lee el decreto de 20 de Agosto 5.° El plantío , cuidado y aprovechamiento de los montes El Sr. A Y L L O N , después de manifestar que no era su ob­ de 1856. y bosques del com ún, y la corta , poda, beneficio y uso de sus jeto impugnar el dictámen de la comisión por encontrarle en­ El Sr…</t>
  </si>
  <si>
    <t>AILLON</t>
  </si>
  <si>
    <t>11/09/1839</t>
  </si>
  <si>
    <t>Gaceta de Madrid n.º 1764</t>
  </si>
  <si>
    <t>…os que de sí arroja el Congreso resuelva á su tiempo lo que estime conveniente. llamalefa y otros. expediente, por los periódicos y noticias hay una certeza de El Sr. C A L D E R O N C O L L A N T E S : Cuando todos losSe- El Sr. A I L L O N propuso se añadiese al dictámen que se re­ que verificado el escrutinio salimos Diputados el Sr. Elordi y ares Diputados manifiestan de una manera tan clara la im p a - mitiesen copias de las sesiones del dia 15 de Jun io , en que se yo; esta es una certeza moral, pero no valedera, cuand…</t>
  </si>
  <si>
    <t>17/10/1839</t>
  </si>
  <si>
    <t>Gaceta de Madrid n.º 1803</t>
  </si>
  <si>
    <t>PDF p. 5</t>
  </si>
  <si>
    <t>…E T A , deshaciendo equivocaciones dice: Que Alvaro, el Sr. Rodríguez Leal, á quien tocaba la palabra co­ y nacerán las virtudes aun cuando creia que no eran ofensivas las expresiones que mo de la comisión, la renunció en el Sr. Aillon. com o en el campo la flor. pronuncio en su discurso, sin embargo dio algunas explicacio­ S. S. contestó á los argumentos del Sr. Alvaro, manifestan­ Esta es la poesía del sentim iento candoroso: esta es la úni­ nes para echar el sello á todo cuanto se pudiera decir. Que no do que convenia…</t>
  </si>
  <si>
    <t>23/10/1839</t>
  </si>
  <si>
    <t>Gaceta de Madrid n.º 1809</t>
  </si>
  <si>
    <t>…onía, C á d iz , 1 i id. [Z aragoza, i id. leerle; pero ni esto me gusta á r a í , ni tampoco con aquel po­ retiraba desde aquel momento la enmienda. dría «tender á las pequeñas variaciones que he indicado. Se leyó otra del Sr. Aillon reducida á que por el Gobierno Descuento de le tra s, á 6 por 1 0 0 ai año. Uno de los puntos cardinales del discurso de S. S. es que se abra un crédito á los pueblos de la reata anual por un q u in ­ no se les da nada á los soldados á quienes la comisión quiere quenio cuyo importe se admit…</t>
  </si>
  <si>
    <t>27/09/1839</t>
  </si>
  <si>
    <t>Gaceta de Madrid n.º 1783</t>
  </si>
  <si>
    <t>…no se separase de la Mancha. que estoy muy contento mas que hacer esta manifestación , por­ con que se sujete á estas personas á un filas de la Milicia. La comisión opinaba que esta instancia pasase al ministerio misión El Sr. A I L L O N manifestó que estaba conforme con la co­ juicio, como ellas mismas piden. Por de pronto me consta su de la Gobernación. en que la petición debia tenerse presente en tiempo opor­ inocencia, pues su único delito fue intervenir en las elecciones El Sr. T E M P R A D O im pugnó el dictámen…</t>
  </si>
  <si>
    <t>28/09/1839</t>
  </si>
  <si>
    <t>Gaceta de Madrid n.º 1784</t>
  </si>
  <si>
    <t>…contestó que como de la comisión sus in d i­ teria de circu n sta n cia s , lo recomendamos á nuestros lectores. adm itirá el cuádruplo en efectos de la deuda consolidada del viduos no podían conformarse con la propuesta del Sr. Aillon, 4 por 100 ó de la del 5 por 100 en cantidad proporcionada á porque no era solo el pueblo de Carboneras el que había su fri­ la diferencia del rédito entre una y otra. do en esta guerra. C on clu ye e l p r o y e c t o d e l e y so b re la lib erta d d e im p r en ta . L a consignación debe…</t>
  </si>
  <si>
    <t>30/09/1839</t>
  </si>
  <si>
    <t>Gaceta de Madrid n.º 1786</t>
  </si>
  <si>
    <t>…Castro.zzJosé García.—Antonio Caraban- Cortes constituyentesentendido que no habiéndose asi, se acordó una ley por las ataca , como se ha querido d ecir, las facultades de la Corona* en 14 de Octubre de 1856, ademas del El Sr. Aillon renunció la palabra. tej.^Juan José L asala.^Juan Bel monte.—Feliz Recuero, Real decreto de 50 de Agosto de 1856, pero que S. M. no tu­ Quedó sobre la mesa un dictámen de la comisión de Actas vo á bien sancionarla , cuya circunstancia dejó sumergidas en acerca de la admisión del Sr. Orozco,…</t>
  </si>
  <si>
    <t>Aires, Buenos</t>
  </si>
  <si>
    <t>Buenos Aires</t>
  </si>
  <si>
    <t>09/11/1839</t>
  </si>
  <si>
    <t>Gaceta de Madrid n.º 1826</t>
  </si>
  <si>
    <t>…a25 carecía de víveres. Los hobitantes de Anitab están obligados á que la correspondencia que ha habido eutre el comodoro ame­ caballos para ingenieros. pagar anticipadamente tres años de contribuciones* ricano y el gobernador de Buenos Aires. H ay en la actualidad en este puerto cargamento para 250 buques. Los primeros que arriben á él cuando esté abierto ha­ PRUSIA. llarán fletes m uy ventajosos. No se permite detenerse para h a ­ blar en las calles arriba de dos personas. El gobernador actual NOTICIAS NACIONALES. Be…</t>
  </si>
  <si>
    <t>Airiorós, D. Francisco</t>
  </si>
  <si>
    <t>D. Francisco Airiorós</t>
  </si>
  <si>
    <t>02/05/1839</t>
  </si>
  <si>
    <t>Gaceta de Madrid n.º 1629</t>
  </si>
  <si>
    <t>…id. con que tuvo que luchar.—Organiza las partidas de aduaneros. y a subasta se anunció en este periódico el día 6 de Marzo ú l­ 189721 id. id. V enida del autor á España.—Se presenta á los facciosos.— tim o , ha señalado el Sr. D. Francisco Airiorós v López, juez 191617 id. id. Acción junto á Lecaroz.—Z um alacarregui organiza á los suyos de primera instancia de esta v i l l a , el dia 8 de M ay o próximo 1 91799 id. id . rápidamente. — Alsasua perdida por Quesada. — Fusilamiento de venidero, y hora de las doce de é l , en…</t>
  </si>
  <si>
    <t>Aivarez, Manuel</t>
  </si>
  <si>
    <t>Manuel Aivarez</t>
  </si>
  <si>
    <t>14/09/1839</t>
  </si>
  <si>
    <t>Gaceta de Madrid n.º 1767</t>
  </si>
  <si>
    <t>…n las cedido en la elaboración del tabaco filipino el director de lla vacante, el gefe de la sección del mismo ramo en el provincias del Norte son tales y de tanta im p ortan cia , que h an la fabrica de cigarros de Valencia D. Manuel Aivarez, excedido las esperanzas de todos los españoles amantes de la fe­ ministerio de vuestro cargo D. José María Secades, con vengó en concederle , á nombre de mi augusta Hija la licidad n a c i o n a l , y producido las emociones mas vivas de reco­ retención de esta plaza, a que deberá vo…</t>
  </si>
  <si>
    <t>AKTETA</t>
  </si>
  <si>
    <t>23/01/1839</t>
  </si>
  <si>
    <t>Gaceta de Madrid n.º 1530</t>
  </si>
  <si>
    <t>…s á la le y , y exigirles la responsabilG El Sr. Olivan , á quien, tocaba, ¡a p a lab ra, la renunció. ' talidad del proyecto de iey sobre estados excepcionales, [id éa se d ad , caso de excederse de ellas. *. ¡ i: il| t El Sr. A K T E T A dijo en nombre de la comisión que si en la Gaceta de 5i de Diciembre último. El Sr. P ID A L se opone ai p royecto, porque dice q u e íestá bien esta profesaba los iniSmos senil, i míe otos del Sr. Arguelles., E l Sr. L U J A N empezó manifestando que la cuestión ac­ ley no tiene la me…</t>
  </si>
  <si>
    <t>Al, Caylus.</t>
  </si>
  <si>
    <t>Caylus. Al</t>
  </si>
  <si>
    <t>21/04/1839</t>
  </si>
  <si>
    <t>Gaceta de Madrid n.º 1618</t>
  </si>
  <si>
    <t>…no á una sobrina de este de 10 á 12 años En los muchos dias que duró su "indisposición, no oyó ha­ Cuando marchaste de Baviera á Breslau con el cuerpo de de edad, que abrió á Beaumarchais; y cuando este la hubo blar del conde de Caylus. Al cabo de mucho tiempo fue á visi­ ejército que yo te habia confiado , te estreché entre mis brazos preguntado si su tio se hallaba en casa, respondió la muchacha tarla; pero en tal estado de abatimiento, que no pudo menos diciéndote: Tú eres, no mi sobrino, sino mi hijo. ¿Te hallas que est…</t>
  </si>
  <si>
    <t>Al, Constantino</t>
  </si>
  <si>
    <t>Constantino Al</t>
  </si>
  <si>
    <t>02/04/1839</t>
  </si>
  <si>
    <t>Gaceta de Madrid n.º 1599</t>
  </si>
  <si>
    <t>…E. muchos años. En las aguas de Meli­ D. Blas Requería por su activi­ lla á 25 de Marzo de í859.=rExcrao. Sr.nSantiago de Soroa.r: á fin de que tome las disposiciones convenientes á su dad y decisión. A mi ayudante de campo D. Constantino Al­ Excmo. Sr. Secretario de Estado y del Despacho de Marina. cumplimiento. Dios guarde á V. S. muchos años. Madrid varez, embarcado de ayudante de la expedición, lo recomienda 18 de Marzo de 1839.= Pita.= Sr. director general de Ren­ singularmente el referido comandante del bloqueo, y…</t>
  </si>
  <si>
    <t>Al, D. Aníbal</t>
  </si>
  <si>
    <t>D. Aníbal Al</t>
  </si>
  <si>
    <t>22/07/1839</t>
  </si>
  <si>
    <t>Gaceta de Madrid n.º 1710</t>
  </si>
  <si>
    <t>…afé , 12000000 libras................ 1*&gt;00000 Esta graciosa y elegante embocadura h a sido de invención te el año expirado en J u lio de 1 8 5 5 , llegó á 3 .0 9 0 ,000J pe­ Azúcar , 1100(1 q u i n t a l e s . . . * . del Sr. D. Aníbal Al vares., y la ejecución en la parte de pin­ sos, poco mas ó menos; y el de los géneros importados á ..................... 4 7000 3 .1 0 9 ,0 0 9 pesos , incluyendo en esta últim a surna la .c a n tid a d Algodón , 195000 libras......... ... Í6 0 00 tura del Sr. Rosales, auxiliado de un…</t>
  </si>
  <si>
    <t>Al, Francisco de Paula</t>
  </si>
  <si>
    <t>Francisco de Paula Al</t>
  </si>
  <si>
    <t>29/05/1839</t>
  </si>
  <si>
    <t>Gaceta de Madrid n.º 1656</t>
  </si>
  <si>
    <t>…sobre la misma carretera cerca di litar. Por esto mandé avocar fuerzas de la 5 a división m a n d a ­ PARTE RECIBIDO EN LA SECRETARIA DE ESTADO la Nestosa antes de este pueblo , una de 16 pies de longitud, das por eí general D. Francisco de Paula Al cal á , que con un Y DEL d e s p a c h o d e l a g u e r r a . 10 de latitud y 4 de pr o f u n d i d a d , y la otra de 25 , 20 y 7. E¡ vivo f uego, cuando no apagasen el del enemigo, le hiciese me­ movimiento lo ordené para las cuatro de la m a ñ a n a ; pero una nos certero…</t>
  </si>
  <si>
    <t>Al, Manuel de Villota y Laoin. ARRIENDOS.</t>
  </si>
  <si>
    <t>Manuel de Villota y Laoin. ARRIENDOS. Al</t>
  </si>
  <si>
    <t>14/04/1839</t>
  </si>
  <si>
    <t>Gaceta de Madrid n.º 1611</t>
  </si>
  <si>
    <t>…yo medio po­ pondencia del correo que salió de esta capital en la madrugada drán interesarse por entero, mitad ó cuarta parte, según aco­ del 23 de Marzo último para dicha ciudad adonde se los remi­ modase á los jugadores. tía D. Manuel de Villota y Laoin. ARRIENDOS. Al dia siguiente de realizarse el sorteo se darán al público las listas impresas de los números que hayan couseguido pre­ D euda sin ín teres . Se arriendan por un año ó mas, comenzando desde 1.° de m io, y por ellas, y no por ningún otro documento, se satis­ J…</t>
  </si>
  <si>
    <t>AL, PID</t>
  </si>
  <si>
    <t>PID AL</t>
  </si>
  <si>
    <t>…o , se hiciese efectiva hasta la cantidad de 500 millones. El pensiones que disfrutan los hijos se tomen en cuenta. Congreso sabe cuál fue el dictámen de la comisión, y podrá Leida el acta de la anterior, quedó aprobada. El Sr. PID AL dice que las personas que son objeto de esta calcular los recursos que se han presentado al Gobierno. Otra de be leyó un oficio del Sr. Ministro de Hacienda, que conte­ ley, no son solo las viudas, sino también los hijos; y que res­ las leyes presentadas ha sido la de hacer efectivos los atr…</t>
  </si>
  <si>
    <t>Al, Rafael</t>
  </si>
  <si>
    <t>Rafael Al</t>
  </si>
  <si>
    <t>…4 Sr. ministro D. Juan Duro Espinosa.. . . . . . . ,/V 10 6 ,2 9 6 .... 500............ Algeciras. La R. madre priora y comunidad de Sta. Catalina. 4** ^ Sr. ministro D. José Serapio Mojairieta. * . . . . . i 10 El presbítero D. Rafael Al varado 4** 2 Sr. fiscal D. Fernando Perez Rozas. ............. 10 La dirección general ha dispuesto que el sorteo que ha de Id. D. Manuel Retureta, teniente de cura de M a­ El Sr. ministro honorario D r Juan María Blanco de verificarse el dia 15 de Abril próximo, sea bajo el fondo de 44©…</t>
  </si>
  <si>
    <t>Al, Victoria García</t>
  </si>
  <si>
    <t>Victoria García Al</t>
  </si>
  <si>
    <t>06/04/1839</t>
  </si>
  <si>
    <t>Gaceta de Madrid n.º 1603</t>
  </si>
  <si>
    <t>…nta de lectura para hacer un bosquejo suscinto, la época de su reinado es cé­ tle los teatros principales de Madrid le dio su voto de lebre por las Cortes de Santiago y la Coruña; por las represen­ IGNORANDOSE el paradero de Doña Victoria García Al— aprobación, eíi lo cual cometió una injusticia, porque se­ taciones de los procuradores de varias ciudades; por las conmo­ A bona, que por los años de 1809 al 14 vivía en la correde­ gún la opinión de un crítico de primera tonsura, la jun­ ciones de Valladolid y de Toledo; el nac…</t>
  </si>
  <si>
    <t>Alabern</t>
  </si>
  <si>
    <t>…ído de París eloscura. Comparada esa plancha con la que Cuando una persona dotada de voz muy grave se dispone á situación de la Gran Bretaña está llena de dificultades. La I r ­ plaza de la Magdalena, todos los yconcurrentes Sr. Alabern, que presenta la vista de la prefirieron la lanzar el aliento para producir una nota baja, acercando el o í­ landa que ha de incorporarse á Inglaterra por la igualdad de sacada anteayer por haber quedado mejor marcados do á su boca se percibe uoa especie de movimiento de tic tac derechos…</t>
  </si>
  <si>
    <t>Alahnioulic</t>
  </si>
  <si>
    <t>26/08/1839</t>
  </si>
  <si>
    <t>Gaceta de Madrid n.º 1747</t>
  </si>
  <si>
    <t>…R A N CIA . del viento y de las pretensiones didocadas de las Potencias ex- rnando la dirección de Elo rrio; de consiguiente he verificado la entrada sin ningun a oposición. En mis anteriores comuni­ trangeras. El navio almirante Alahnioulic, de 150 cañones, ha caciones manifesté á Y . E. las prevenciones que h ab ia hecho al P aris 16 d e Agosto. entrado a q u i, y se ha visto precisado á quitar su artillería y su general Castañeda , comandante general de Y iz c a y a , y al con­ lastre. ¿ P o r qué no se adoptó 4O años há…</t>
  </si>
  <si>
    <t>Alais, Manuel</t>
  </si>
  <si>
    <t>Manuel Alais</t>
  </si>
  <si>
    <t>20/03/1839</t>
  </si>
  <si>
    <t>Gaceta de Madrid n.º 1586</t>
  </si>
  <si>
    <t>…olamente un rebelde; de manera que á tribunal de Justicia se cita y emplaza á la viuda ó sucesores de la paz; y después de declarar que la resistencia conduciría in­ la media hora de haberse hecho el bando del arrendamiento, D. Manuel Alais; únicos que restan serlo en el asunto, y cuyo faliblemente al páis á sufrir la rnisma suerte que la Polonia, sé hizo el de la muerte del comisionado y sus compinches. paradero se ignora, para que en el término de treinta dias, censura fuertemente la política seguida por el ministerio,…</t>
  </si>
  <si>
    <t>Alaix</t>
  </si>
  <si>
    <t>08/10/1839</t>
  </si>
  <si>
    <t>Gaceta de Madrid n.º 1794</t>
  </si>
  <si>
    <t>…és á los Sres. Arrazola y Carramolino. Otro grupo , en el No es la guerra la que desea el Gobierno, es la paz, la Sr. O ló zag a, estoes imposible; y los cargos de V . S. son an­ que se veia al Sr. Gil (D. Pedro), conduce al Sr. Alaix al asien­ unión, la armonía: por eso he dicho , y repito, que me felici­ ticipados , infundados; yo los rechazo....(Fatal divergencia ¡Por to del Sr. Arguelles, y uno y otro se abrazan también cor­ to cuando la cuestión se trata en este sentido. una palabra que ha venido á ponernos en estado…</t>
  </si>
  <si>
    <t>25/10/1839</t>
  </si>
  <si>
    <t>Gaceta de Madrid n.º 1811</t>
  </si>
  <si>
    <t>…e sea también parlamentario. ra en sus trece. ¿ N o son sabidos los trámites que esto tiene que El Sr. C A M P U Z A N O empezó su discurso manifestando salen del Consejo de Ministros. Compañero hace 10 meses del digno general Alaix le hago la justicia que se merece; es me­ s e g u ir ? Si se han de salvar las intenciones es menester esperar que hablaría con toda franqueza y que sentía no se hallase pre­ nester que sienta esos elogios que derraman ignominia sobre su á que las cuestiones vengan en su dia. ¿S e rá el prime…</t>
  </si>
  <si>
    <t>31/10/1839</t>
  </si>
  <si>
    <t>Gaceta de Madrid n.º 1817</t>
  </si>
  <si>
    <t>…s, ha llamado poderosamente mi mo por ensalmo, en lo que no le cabe la menor gloria al ilus­ haber hecho cuanto era posible por el bien de nuestro pais. atención el discurso del Sr. M inistro. La primera circunstan­ tre general Alaix. (Se proroga la sesión por una hora mas.) cia que despertó mi curiosidad es que correspondía, como el Pero todo esto ocupaba totalmente la atención del Gobier­ El Sr. M inistro de GRACIA Y JU STICIA (continuando): Congreso sabe, la cuestión de la totalidad , á los Sres. D ipu­ no, y hé aqui…</t>
  </si>
  <si>
    <t>Alaix, Isidro</t>
  </si>
  <si>
    <t>Isidro Alaix</t>
  </si>
  <si>
    <t>…e co rresp on d a .= Eslá rubricado de la Real n ja n o .= E n Pala­ los que ro podían inclinar á que votasen en favor de sir Far­ m era a n t ic ip a c ió n ; siendo una obligación rigorosa cio á 1.° de Junio de Í 8 3 9 . = A D. Isidro Alaix. guhar, se les ofrecían condiciones ventajosas para alejarlos. del G o b ie r n o el presentar á las Cortés, tan luego Por últim o, Mr. Cowper ha triunfado de estas poco nobles c ó m o se hallen reunidas, para su a p r o b a c i ó n , no so­ maniobras, gracias á la influencia tan popula…</t>
  </si>
  <si>
    <t>…V i - go d e t, y encargando interinamente su despacho al teniente falta inutilizaba una gran porción de juegos, con lo que se han Los suscriptores reciben mensualmente una magnífica es» general actual Ministro de la Guerra D. Isidro Alaix. (Id.) podido surtir de nuevo las librerías de S a n z , calle de Carretas, tampa análoga á su objeto, y una comedia nueva en tres actos y de Cruz frente á las C ovachuelas, donde se continúan v en ­ al menos. Las láminas publicadas hasta ahora son el retrato del — . admitiendo la dimi…</t>
  </si>
  <si>
    <t>…is á de condiciones que estará de manifiesto en la secretaría de la quien corresponda.=Está rubricado de la Real mano.= PARTES. ju n ta económica de dicho parque á toda hora del d ia. Dado en Palacio á 29 de Enero de 1839.= A Don Isidro Alaix. E l comandante general de Toledo y C iud ad -R eal dice que el comandante de la p artid a de F uencaliente, el Chorno, le da T&gt;OR providencia del Excmo. Sr. capitán general de la p ro - Como Reina Regente y Gobernadora, durante la me­ parte que el 24 salió en persecución de los ladro…</t>
  </si>
  <si>
    <t>…e que se verifique con c u m p lim ie n to s Está rubricado de la Real mano. = Palacio 20. Se exceptúan también de requisición los caballos la posible igualdad en tan gravosa como importante con­ á 10 de Enero de 1 8 3 9 .= A D. Isidro Alaix. que redimieron esta suerte con arreglo á lo prevenido en tribución. el art. 5.° del Real decreto de 27 de Febrero de 1837. Art. 6.° El ministerio de la Guerra distribuirá el pro­ 21. Se autoriza al Gobierno para eximir de la presen­ ducto de la quinta en las diferentes armas y cuerp…</t>
  </si>
  <si>
    <t>…ue c u le .= E stá ru b rica d o de la Real m a n o .= E n Palacio á 1.° guarnición de Lucena , tanto del batallón de artillería de ma­ de tiempo en tiempo, y únicamente á impulsos de un arado ó de F eb re ro de 1 8 3 9 .= A D. Isidro Alaix. rina como de su Milicia nacional , á las órdenes de su gober­ de cualquier otro instrumento de labranza, se han hallado pre­ nador el teniente coronel D. Rafael Ovalle, también han teni­ ciosidades que llenan de respetuosa admiración á los inteligen­ do ocasión casi al mismo tiempo d…</t>
  </si>
  <si>
    <t>…e Jiálla de yet^a eii ^i^bq desp^ho á los^ pnecTos:siguiéat^: Real orden declarando el día en que se^encargó de la Secreta^ ] ha tenido éfécto lá íéy de présüJ)úestÓs;-/(N ,filnV\l5050 ’ ría de la Guerra el mariscal de campo D. Isidro Alaix. (Id.) inandahdó activadla requisición de cábáflb¥/(Núm.¿ 15(74;) - D é lújb. 24j7 * Real decreto ádmitiendoJlb cÜmi si©fir hecha portel marques de ■ , ; Jdeclarando que la gracia concedida á los compradÓfés de D é medí o’ lujó á . . . . .A .T G ;. • ’» . V . . .. 129' , Montevírgeh d…</t>
  </si>
  <si>
    <t>24/01/1839</t>
  </si>
  <si>
    <t>Gaceta de Madrid n.º 1531</t>
  </si>
  <si>
    <t>…resp o n d a.= E stá rubricado de la Real m a n o .= E n Palacio maciones de algunos propietarios, quejándose de los re ­ nos provinciales carreteras generales y una gran parte de los c u n i- á 17 de E nero de 1 8 3 9 .= A D. Isidro Alaix. partos en dinero que se les hace en varios pueblos en con­ m ente cjue se busquen y aun de los vecinales, e u g e im periosa­ cepto de hacendados forasteros para cu b rir las atenciones recursos necesarios para por todos los medios posibles los proceder sin dem ora a su repara­ m un…</t>
  </si>
  <si>
    <t>…aba de enviar un magnífico cuadro da rubricado de la Real m ano.= E n Palacio á 23 de Julio La noticia de la muerte del Sultán anunciada en la bolsa la Asuncioa de la Virgen : este cuadro tiene siete pies de altu­ de 1839.=A D. Isidro Alaix. había hecho subir los fondos franceses. ra y cinco de ancho. El Rey por su parte ha enviado otro cua­ dro que representa la redención de los cautivos por los monges de la Merced en 1757, y ademas un ornamento completo de MINISTERIO DE LA GOBERNACION DE LA PENINSULA. El Sultán Mahamu…</t>
  </si>
  <si>
    <t>28/03/1839</t>
  </si>
  <si>
    <t>Gaceta de Madrid n.º 1594</t>
  </si>
  <si>
    <t>…Sres. gefes, Y DEL DESPACHO DE LA GUERRA. da.=Está rubricado de la Real m ano.=En Palacio 26 de esa provincia, que parificará con la de iguales dei año Capitanía general de Aragón.=Estado mayor.r^Seccion cen- Marzo de 1839.=A D. Isidro Alaix. anterior de 1838. Esta demostración revelará á primera tral.—Excmo. Sr.: El Sr. geueral D. Joaquín Ayerve, coman­ vista el estado de abyección ó vitalidad de esas oficinas; dante general de la segunda división del ejército del Centro, y proponiéndome yo presentarlo en la junta que se…</t>
  </si>
  <si>
    <t>…e tiene por divisa Constitución de fecha, admitir la dimisión del Ministro de la Guerra el Oviedo. que despachase pronto su dictámen sobre las de 1857, y en las reformas mucha p a u s a m u c h a moderación, teniente general D. Isidro Alaix, y nombrar para que le mucha templanza , verificándolo con cuidado &amp; c. Seo., sin que El Sr. C O R T IN A contesto que hacia pocos reemplace interinamente al capitán general de esta pro­ bían pasado esas actas á la comisión; pero que sin embargo las dremos dias que se ha­ yo pueda fig…</t>
  </si>
  <si>
    <t>Alaix, Manuel</t>
  </si>
  <si>
    <t>Manuel Alaix</t>
  </si>
  <si>
    <t>…bordado de pelo, al Sr, D. Felipe Reyes. tribunal de Justicia, se cita y emplaza á la viuda ó sucesores Sigue abierta la suscripción en la librería de Boix, calle de 7/|5. Un cuadro con una Venus, al Sr. marques de Q uin­ de D. Manuel Alaix , únicos que restan serlo en el asunto, y Carretas, núm. 8 , á 12 rs. tomo ó sea 2 rs. cada comedia. ta na r. cuyo paradero se ignora, para que en el término de 50 dias, 925. Un cuadro con una cabeza, al Sr. D. Antonio Bali- contados desde que se anuncie en la Gaceta, acudan á usar de…</t>
  </si>
  <si>
    <t>Alameda, Francisco</t>
  </si>
  <si>
    <t>Francisco Alameda</t>
  </si>
  <si>
    <t>28/04/1839</t>
  </si>
  <si>
    <t>Gaceta de Madrid n.º 1625</t>
  </si>
  <si>
    <t>…cuarto entre­ dirá en cinco b rigad as, mandadas por el brigadier D. Francis­ v. f. ó vol. á prima de \ y i por 100 con cupones. suelo, adonde se d ir ig ir á n las reclamaciones y las cartas fran ­ co Guajardo y los coroneles D. Francisco Alameda , D. Lean­ Inscripciones en el gran libro á 4 por 1 0 0 , 00. cas de porte. dro Quiros, D. M iguel M a u d u i t y D. José R o d ríg u ez : SS. M M. Títulos al portador del 5 por 100. Nota. Con el número siguiente se repartirá á los suscrip­ recorrerán la línea , y concluida esta o…</t>
  </si>
  <si>
    <t>Alanje, Campo</t>
  </si>
  <si>
    <t>Campo Alanje</t>
  </si>
  <si>
    <t>…nauguración de la estatua de dora recuerdos á un tiempo gloriosos y tristes, pues su herma­ po marcha mas acelerado que los negocios. El mensaje será mas Galileo en el patio de la universidad, y el profesor Rossini ha no el conde Campo Alanje ha sido el primer grande de España modesto y la discusión mas difícil. Ei ministerio cuenta , y con pronunciado un discurso de circunstancias. La estatua es mag­ que ha tenido la honra de derramar su sangre por ia causa da razón , con la extraordinaria sagacidad , con la hábil elocuenci…</t>
  </si>
  <si>
    <t>Alarcon, Antonio</t>
  </si>
  <si>
    <t>Antonio Alarcon</t>
  </si>
  <si>
    <t>18/06/1839</t>
  </si>
  <si>
    <t>Gaceta de Madrid n.º 1676</t>
  </si>
  <si>
    <t>…o y perfección de la Milicia ciudadana, ha dado Habiéndose denunciado ante el Sr. alcalde constitucional me tuvieras por infame , principio á la inserción del reglamentó vigente de |a misma, D. Cárlos Martin del Romeral per D. Antonio Alarcon como advirtiendo por medio de notas circunstanciadas las variacio­ si a quien de este agravio cu lp o apoderado del licenciado D. Ambrosio Yañiz y Asensio, abo­ le señalara á tus ojos nes ó modificaciones que cada uno de sus artículos ha sufrido gado de los tribunales nacionales y…</t>
  </si>
  <si>
    <t>Alarcon, Enrique</t>
  </si>
  <si>
    <t>Enrique Alarcon</t>
  </si>
  <si>
    <t>08/12/1839</t>
  </si>
  <si>
    <t>Gaceta de Madrid n.º 1855</t>
  </si>
  <si>
    <t>…1 3 2 .. 0 .. 17 por D. Fancisco Márquez Muía , en 29. Otra id ., barranco Jaroso, término de Cuevas, la Corona, Totales................. .............................. 7 7 ,9 4 7 ..0 .. 2 2,522 _ “ 8 0 ,4 6 9 ..0 .. 2~ por D. Enrique Alarcon , en 31. D em arcaciones. RESUMEN. Una mina plomiza, calar de G üejar, término de id ., San Gonzalo, por D. José del Castillo, en 7 de Octubre de 1859. Derechos Idem Idem de toneladas Totales, Una fábrica de hierro, vegetal de las Yeseras, término de de importación. de exportaci…</t>
  </si>
  <si>
    <t>Alarcon, Eusebia</t>
  </si>
  <si>
    <t>Eusebia Alarcon</t>
  </si>
  <si>
    <t>19/12/1839</t>
  </si>
  <si>
    <t>Gaceta de Madrid n.º 1866</t>
  </si>
  <si>
    <t>…de esta fecha, á los 5.° D úo en la ópera Anua Bolena, del maestro Donizettí, que se crean con derecho á los bienes quedados por fallecimiento P O R ABEN AMAR. por la Sra. Lambía y el Sr. R eguer; con decoración y trajes. de Doña Eusebia Alarcon, acaecido de mano airada en fines 4*° Variaciones de flauta de Mr. K a lt-b e k , por el joven de Octubre último, p&amp;ra que se presenten en su juzgado á h a ­ Folleto en 8 .° profesor D. Pedro Sarmiento. cer las reclamaciones que crean convenientes, y se les adminis­ 5.° Cavatina en l…</t>
  </si>
  <si>
    <t>Alarcou, Permití</t>
  </si>
  <si>
    <t>Permití Alarcou</t>
  </si>
  <si>
    <t>01/09/1839</t>
  </si>
  <si>
    <t>Gaceta de Madrid n.º 1753</t>
  </si>
  <si>
    <t>…Primero f u e r o n llamados á la mesa de la presidencia Don isla de la Sonda, llamada Huen , que le habia sido cedida al as­ titu d , y los vientos reinantes en cada una de ellas, cuyo co­ Eduardo R u iz , D. Emilio D ía z , D. Permití Alarcou , D. José trónomo para su residencia; y e n 8 de Agosto de l5 7 6 s e puso la nocimiento es indispensable para d ir ig ir la derrota con acierto, de Torres, D. Antonio Cánovas y D. J u a n del Castillo , y el piedra fundamental del edificio. Este observatorio tiene 22 va­ y resolvió…</t>
  </si>
  <si>
    <t>Alava</t>
  </si>
  <si>
    <t>02/03/1839</t>
  </si>
  <si>
    <t>Gaceta de Madrid n.º 1568</t>
  </si>
  <si>
    <t>…de lo que se resolvió circular de este Ministerio de Í1 de Noviembre úl­ El general en gefe de los ejércitos reunidos, consiguiente en 22 del actual la comunicación que sigue: al parte que transcribió del comandante general de Alava , re­ timo respecto de los instrumentos públicos otorgados sobre lativo á la expedición que ejecutó el coronel Zurbano el 2/f , y «El encargado de Negocios de S. M. en Copenhague me contratos dice con fecha 10 del mes último lo siguiente :== Es digna en pais ocupado y negocios privados entre…</t>
  </si>
  <si>
    <t>Alava, D. Alejandro Mon.</t>
  </si>
  <si>
    <t>D. Alejandro Mon. Alava</t>
  </si>
  <si>
    <t>…. Luis Mayans y Enriquez. Sr. D. Fermin Caballero. Sr. D. Wenceslao Toral» Sr. D. José Gispert. Sr. D. Juan López Pelegrin. Sr. D. Francisco Posada Fernandez de Córdoba. Sr. D. José Fermín Muro. Sr. D. Juaa Alfonso Montoya. Sr. D. Alejandro Mon. Alava . Sr. D. Pedro José Pidal. Sr. D. Blas López. Gerona. Valencia. Albacete • Sr. D. José Antonio Pastell, electo. Sr. D. Juan Cano Manuel. Sr. D. Juan Pou. Sr. D. Antonio Ilom panera de Cos. Sr. D. Ramón Pretel de Cozar. Sr. D. Pedro Camps y Ros , electo. Sr. D. Román Ovej…</t>
  </si>
  <si>
    <t>Alba</t>
  </si>
  <si>
    <t>…quedando el eleclor de Sajonia que pretendía tener derecho á la sucesión de Portugal, llamó á la nación/’ En cuanto á la influencia de la segunda, dice hecho prisionero. Cárlos v quedó tan satisfecho de los talentos al duque de Alba, y poniendo bajo sú mando un ejército de de esta suerte: «La revolución francesa, á la par de algu­ del duque, que le nombró luego capitán general del ejército de solo 123 hombres, en una campaña de do$ semanas púso todo él nas ideas provechosas para el bienestar material de los Rhin , donde…</t>
  </si>
  <si>
    <t>…iboj^;/ gfia^dps o r ig in a le s ., fc,,| ^ ^ . f v? i del desgraciado, el desden que irrita y no a l i v i a , y sin a m b a r a establecimiento. En,este caso se exige* solamentequ£ medite a n - Biografía española; el duque de Alba* v .: go no se detienen en proteger instituciones, viciosas y empresas Res su deterpjinacioíi ¿n el silencio, de ún a CéMa d urap te 2 4 ho­ \ ^Higiene: sobre, la ^ lud de los literatos y hombres, detne­ industriales directamente contrarias á la moralidad de las clases nras. R ara vez ha dejado…</t>
  </si>
  <si>
    <t>18/12/1839</t>
  </si>
  <si>
    <t>Gaceta de Madrid n.º 1865</t>
  </si>
  <si>
    <t>…dro Yentura de segundos Esteban Rodríguez, apel l idado c omandant e de la in­ Rua.rrManuel Gómez Novoa.“ Antonio Moreiro.—Pedro Sán­ fantería del partido del Sabiñao. Lo que manifiesto á Y. S. pa­ chez de Toca.“ Por el duque de Alba conde Monterrey, Manuel ra que imprimiéndose en é! Boletín oficial de esa provincia sir­ Benito Lorenzana y Lemos.—Joan Tutor.“ Vicente Saez.“ Juan A L E M A N IA . va de satisfacción á sus leales habitantes. Pontevedra 9 de D i­ Mendez G uerrero-Juan María Cid y Losada.zzFrancisco de ciembre…</t>
  </si>
  <si>
    <t>30/07/1839</t>
  </si>
  <si>
    <t>Gaceta de Madrid n.º 1719</t>
  </si>
  <si>
    <t>…, ha cabido en suerte con el Ñapóles como la tercera ó cuarta entre las capitales de Europa. Nápoles no sirven mas que de cuarteles para tropa ; y el único primer extracto de la de este dia á Doña Basilia Guisasola, El duque de Alba, durante su vireinato en Ñapóles, hizo castillo llamado propiameute asi es el de Santelmo, erigido so­ hija de D. José, voluntario nacioaal de Oviedo, muerto en el )á Strada de Toledo, y no solo es la calle mas principal de la bre una colina que domina toda la ciudad. Es ciertamente de­ campo…</t>
  </si>
  <si>
    <t>Albacete</t>
  </si>
  <si>
    <t>14/01/1839</t>
  </si>
  <si>
    <t>Gaceta de Madrid n.º 1521</t>
  </si>
  <si>
    <t>…Por otra parte el co­ (Extracto de partes recibidos en la cap itan ía general.) por el Pretendiente con el carácter de comandante general in ­ mandante de la partida de Caudiel Gregorio Sabio no se des­ E l comandante general de Albacete con referencia al de terino y gefe organizador de las g av illas que lo recorren; sien­ cuida , pues en pocos dias tiene hechas tres expediciones á la ig u a l clase de la provincia de Cuenca , m anifiesta en parte de 2</t>
  </si>
  <si>
    <t>26/09/1839</t>
  </si>
  <si>
    <t>Gaceta de Madrid n.º 1782</t>
  </si>
  <si>
    <t>…anuel de Luca. —Jaime M a ­ tallas. Tal es el májico poder de tan sagrados objetos. A ellos y El expresado segundo cabo añade q u e, sabiendo el coman­ n é a t e Vicente Morera.—Vicente Ju an Viv es, secretario. dante general de Albacete que algunas fuerzas del rebelde Ca­ á los grandiosos actos de justicia y Lenig?.idad , ejercidos per brera habian ocupado la barca de la Marmota sobre el Jdcar, y V. M. , deberá su gloria, su ilustración y engraadeeiixiiíniet.to que cornetiaa todo género de vejaciones con los viajeros de es…</t>
  </si>
  <si>
    <t>Albacéte, José María Calatrava.</t>
  </si>
  <si>
    <t>José María Calatrava. Albacéte</t>
  </si>
  <si>
    <t>…te, aunque el poder y la influencia de esta D. Fausto Otazu. ..................................... Alava. Blas Alonso y D. Antonio Aparicio, se declaró no haber lu-*- sean un hecho incontestable , los sucesos se multiplican de D. José María Calatrava. Albacéte. gar á la formación de causa , habiendo dicho que sí lo$ tres tal modo y las opiniones sufren diariamente tales modifi­ D. D. José María R eig........................ ........ ............. Alicante. restantes D. Manuel Ramos, D. Froilan García Sánchez y Don caciones,…</t>
  </si>
  <si>
    <t>Albane's, María</t>
  </si>
  <si>
    <t>María Albane's</t>
  </si>
  <si>
    <t>…s consejeros, que mas inmediatamente unidos á V . M.r=El comandante accidental del primer batallón, José rio r, se leyeron y el Congreso oyó con agrado dos felicitacio­ V . M ., llevarán sus nombres con el del ilustre conde-duque María Albane's—E l m ayor interino del primer batallón, Jai­ nes de los ayuntamientos de Ronda , y de Melgar de Fernán,ca­ á la posteridad en el rasgo mas honroso que vieron los ana­ me V id al.^ P o r la clase de capitanes, Matías V ila .riP o r la tar, provincia de Burgos, por la memorable sesión…</t>
  </si>
  <si>
    <t>Albares</t>
  </si>
  <si>
    <t>…perdido y lo que tiene que perder en adelante, tra­ S. M. llante jornada todo el fruto posible, en términos que el traidor ta su política mercantil de salvar de sus perdidas ventajas la Unos cuantos facciosos al mando del cura de Albares tu­ Balín aseda haya de sucumbir al esfuerzo y decisión de nuestro) mas interesante, es decir, la introducción favorecida desús vieron el atrevimiento de penetrar en el barrio de San Roque, valientes soldados , si en breve no abandona uü pais donde, azúcares medio fabricados, suponiendo con…</t>
  </si>
  <si>
    <t>Albarran, José</t>
  </si>
  <si>
    <t>José Albarran</t>
  </si>
  <si>
    <t>13/10/1839</t>
  </si>
  <si>
    <t>Gaceta de Madrid n.º 1799</t>
  </si>
  <si>
    <t>…el diezmo y aplicados á miento de esta ciudad &amp; \ Certifico: que habiéndose devuelto mi testimonio, se signe pleito entre Antonio H erranz, vecino otros objetos los edificios referidos, no há lugar á deliberar. de Sangarcía ; D. José Albarran # vecino de esta ciudad, y Don por el Sr. juez de primera instancia del partido al Sr. alcalde Fernando primero constitucional la denuncia hecha por D. José M axi­ derecho losGdos arcía, curador de Doña Emilia su sobrina, sobre primeros á suceder en el vínculo que fundó Do­ Núm . 1…</t>
  </si>
  <si>
    <t>Albeniz, Pedro</t>
  </si>
  <si>
    <t>Pedro Albeniz</t>
  </si>
  <si>
    <t>…tos, y por su gracia y patriotismo la letrilla sa­ religiosas tírica del Sr. Bretón de los Herreros. El público Jas aplau­ necesidadesdepadecen todos los conventos de esta capital, que tantas CUENCE, compuesto por el profesor D. Pedro Albeniz para en las actuales circunstancias, abriendo al la serenata dada á SS. MM. en la noche del 4 delante del Real dió todas frenéticamente, asi como el himno de Riego que efecto una suscripción pública para que todos los que gusten palacio. después se entonó. Nunca hemos visto mayor júb…</t>
  </si>
  <si>
    <t>Albo, José</t>
  </si>
  <si>
    <t>José Albo</t>
  </si>
  <si>
    <t>09/12/1839</t>
  </si>
  <si>
    <t>Gaceta de Madrid n.º 1856</t>
  </si>
  <si>
    <t>…s acreedores clase de mínimos y menores, por el padre Santiago Gómez, de que se crean con derecho á le herencia y bienes relictos por las escuelas pias. Nueva edición en un cuaderno en 8.°, á 2 rs. fallecimiento abintestato de D. José Albo, vecino y del comer­ cio que fue de esta villa, para que en el preciso término de 27 dias, que en calidad de tres, y cada uno con el de nueve, se Manual de los niños ó enseñanza práctica de lectura , por un método desconocido hasta el dia, compuesto por D. T ori- SEMANARIO les señala, y…</t>
  </si>
  <si>
    <t>Albá</t>
  </si>
  <si>
    <t>…oroto duque y confusión. Felipe t i , que reinaba entonces, tiempo. de Alba por virey y generalísimo de sus ejér­ s e g u i d o caminando gradualmente por la senda de las re­ Amigos y enemigos todos confesaban sér el duque de Albá citos en Italia, y áqui fué donde mostró Alba su capacidad el mayor general de su siglo. El fue principalmente distiogúi- formas útiles, y habria mejorado su estado social. Guantas como general y como político, satisfaciendo á Felipe aun mas do por la mas hábil estrategia, disponiendo Sus cam…</t>
  </si>
  <si>
    <t>Albénix, Pedro</t>
  </si>
  <si>
    <t>Pedro Albénix</t>
  </si>
  <si>
    <t>05/02/1839</t>
  </si>
  <si>
    <t>Gaceta de Madrid n.º 1543</t>
  </si>
  <si>
    <t>…á toda costa esta o. resuellos 5.° El Clásico , compuestos para piano-forte por el p r o f e s o r ■ E Í Sr. Ministro de G RA C IA Y JU S T IC IA : Sr. Presiden­ á defender la. justa causa que cordial mente ha o abrazado ; no D. Pedro Albénix. cabiendo duda alguna en que las das compañías dte G olas,. for­ ¡Se hallará 11 de venta en el al macen de música de Garrafa, te* d o teago Ínteres en continuar. Hecha la pregunta al Gosgresode si se pm ogaba la, sesión^ madas por el bizarro comandaute general de la sierra, y con ca…</t>
  </si>
  <si>
    <t>Alcal, Joaquin</t>
  </si>
  <si>
    <t>Joaquin Alcal</t>
  </si>
  <si>
    <t>17/12/1839</t>
  </si>
  <si>
    <t>Gaceta de Madrid n.º 1864</t>
  </si>
  <si>
    <t>…o, D. José Pombo, D. José Laplana, D. Francisco Esquer­ do calle del T urco, y continuarán hasta concluir el curso los ra evitar ó corregir contratiempos y dirigir la cria de lofe aut¿- ra , D. Manuel Viejo, D. Alberto Tolosa, D. Joaquin Alcal­ martes , viernes y sábados dé cada semana de doce á dos. males que necesitan; ya en fio , para conocer los terrenos y de, D. Rafael Jiménez y D. Manuel Fernandez Cadiñanos: La matrícula estará abierta hasta el dia 20 de dicho mes en minerales. Lo mismo sucederá á los’ médicos y farmac…</t>
  </si>
  <si>
    <t>Alcala, Dionisio</t>
  </si>
  <si>
    <t>Dionisio Alcala</t>
  </si>
  <si>
    <t>…l solicitud hacia un esta plaza con el sueldo de su dotación al secretario con El ejemplo de aquel convenio celebrado en los campos de pueblo m a g n á n im o y generoso; y que n in g ú n esfueizo perdo­ ejercicio de decretos D. Dionisio Alcala G alia n o, oficial V e r g a r a será sin d uda im ita d o por todos los demas qu e obce­ na p ara labrar su fe lic id a d , acaba de ostentar tan nobles y m a ­ del ministerio de vuestro cargo. Tendréislo entendido, y cados sig ue n au n la errad a senda por que h an m archado hast…</t>
  </si>
  <si>
    <t>ALCALAGALIANO</t>
  </si>
  <si>
    <t>…ientes. bia visto en las di fe reo tés vicisitudes parlas cuales habia pasado dle Enero. Los*billetes1foe despachan en l á BLreríé"d é '"TiisO'i, calle de la desgraciada España golpes de inaudita tiranía , ¡áW^enidoi &lt; El Sr. A L C A L A G A L I A N O se opuso á la existencia del del poder m ilit a r , cuyos individuos tienen u a interés en «au4 C arretas, frente al correo , hasta las diez de la o och e, y en el D iario de Ce r í e s , por creer qué no era una copia fiel délo que mentar este poder^ cosa que ñu Congreso…</t>
  </si>
  <si>
    <t>ALCALAZAMOR</t>
  </si>
  <si>
    <t>…, las convencimiento íntimo de que estas elecciones no son el efecto Continúa la discusión. cuales fueron aprobándose o n o , según las Cortes tuvieron á de la voluntad de los electores, sino de iníluencias ilícitas que El Sr. A L C A L A Z A M O R .A impugnó el dictámen f u n ­ L ien ; asi fue que resultó este artículo complicado y lleno de la ley no puede consentir, ni nosotros saocionar, aun por el dado en iguales razones á las ya expuestas por el Sr. La fuente. contradicciones; pero ya tal como está es menester obs…</t>
  </si>
  <si>
    <t>ALCALAZAMORA</t>
  </si>
  <si>
    <t>…acogido los restos de las vió á la auto rid ad m ilita r para proceder tan i legal meo te. hueste* devastadoras, Desolado deja este suelo desgraciado; pero fuerzas navarras cpn el b rigad ier Ortigosa á los beneficios del El Sr. A L C A L A Z A M O R A la apoya brevem ente, m a n i-</t>
  </si>
  <si>
    <t>Alcalde, Francisco</t>
  </si>
  <si>
    <t>Francisco Alcalde</t>
  </si>
  <si>
    <t>05/12/1839</t>
  </si>
  <si>
    <t>Gaceta de Madrid n.º 1852</t>
  </si>
  <si>
    <t>…por término de 20 dias precisos, contados Maderas no comprendidas en las clasifi­ regresando con las carabinas y cananas de los mismos. ^ desde el en que se anuncie en la Gaceta del Gobierno, á caciones precedentes 1,589 5 17 D. Francisco Alcalde, vecino que fue de esta corte, y oficial L ugo 29 d e N oviem bre. El 25 fue capturado en una casa mayor de la tesorería de Cruzada , para que por sí ó por medio Total 205,122 5 55 de la parroquia de Moregan , distrito m unicipal de esta capital, de procurador competentemente aut…</t>
  </si>
  <si>
    <t>Alcalde, Joaquín</t>
  </si>
  <si>
    <t>Joaquín Alcalde</t>
  </si>
  <si>
    <t>25/02/1839</t>
  </si>
  <si>
    <t>Gaceta de Madrid n.º 1563</t>
  </si>
  <si>
    <t>…este La serna, D. José Alvarez Crespo, D. José Sagiista, este servicio, ó encomendar al éxito de un sorteo el seña­ llamamiento, se le conducirá á esta capital en calidad de preso Moyana, D.Martínez D. Tomas Domingo Ibarra, D. Joaquín Alcalde, D. Basilio del Rio y D. Manuel Labraña , quienes lamiento de los individuos que han de componer dicho de justicia en justicia por su inobediencia á los preceptos judi­ por unanimidad declararon no haber lugar á la formación de batallón, ha preferido sin embargo el medio de explor…</t>
  </si>
  <si>
    <t>Alcalá</t>
  </si>
  <si>
    <t>03/02/1839</t>
  </si>
  <si>
    <t>Gaceta de Madrid n.º 1541</t>
  </si>
  <si>
    <t>…sí y con el Gobierno. bajaiatos importados de las costas de Berbería. Y si se viera solo de cualquiera otra clase, sin estar autorizada para poderlas Concluida la an terio r, se entrará en la del proyecto de ley el hecho del Sr. Alcalá Z am ora, no hubiera tomado la palabra; usar , será juzgada breve y sumariamente ; y si resultare com­ para establecimiento de un Consejo de Estado. pero corno ha sido acompañado de tantos otros, he creído que prendida en alguno de los artículos anteriores , su frirá la pena Votación por es…</t>
  </si>
  <si>
    <t>09/05/1839</t>
  </si>
  <si>
    <t>Gaceta de Madrid n.º 1636</t>
  </si>
  <si>
    <t>…E co de A ra gón se lee el artículo siguiente: causándole algunas bajas; pero Castañeda cargó sobre aquel , y En el drama antiguo no es un sentimiento el amor, es un hecho, ó cuando mas un instinto. Despojado asi de el general Alcalá por el ílanco izquierdo , haciéndole volver á DEL ROMANTICISMO. sus posiciones coa igual ó mayor pérdida á coila diferencia; todo su esplendor, de toda su gracia, de toda su poesía, R ivero quedó acampado en la altura indicada , Alcalá en la queda reducido á bien poca cosa. A decir verdad…</t>
  </si>
  <si>
    <t>13/07/1839</t>
  </si>
  <si>
    <t>Gaceta de Madrid n.º 1701</t>
  </si>
  <si>
    <t>…iones en el gran libro á 4 P°r 100, 00. corte, se ha suspendido y trasladado para el 19 del mismo mes De los profesores de primera educación. Títulos al portador del 5 por 100, 00. de orden de dicho Señor. Al claustro general de Alcalá , poesía. Vales Reales no consolidados, 00. Oda á un colegio de niñas. Deuda negociable de 5 por 100 á papel, 00. Instrucción pública de los artistas. Idem sin Ínteres, 00. Proyecto de un instituto de artes. Acciones del banco español de S. Fernando, 00. Catálogo de las mejores estampas q…</t>
  </si>
  <si>
    <t>Alcalá, Pedro</t>
  </si>
  <si>
    <t>Pedro Alcalá</t>
  </si>
  <si>
    <t>…nsuno; cuento con el apoyo y cooperación de las de­ Se dió lectura al siguiente: Lacia aquel p u n to , formando Ja reserva de la fuerza que co­ más autoridades, y os a g r a v i a r í a , toledanos, si dudara de la N úm . 87. D. Pedro Alcalá Z am ora, con fecha 28 de No­ mienza á operar. El general en gefe tomó el camino de Mon­ vuestra. Si los resultados no correspondieren á mis deseos, si no viembre último en Priego de A n d a lu c ía , se queja de que h a ­ t a n , á c uya vista llegó con la seguridad de que no le espera…</t>
  </si>
  <si>
    <t>Alcanadre</t>
  </si>
  <si>
    <t>…responsables todos los gefes á quienes corresponda. Dios ^ pondientes oficinas, los pastos y leñas necesarias para el produce en los ánimos de estos la impresión agradable que es el guarde á V. S. muchos años.=:Cuartel general de Alcanadre 14 primero del monte ó bosque que en la villa de Buitrago perte­ tributo exigido por la belleza. de Marzo de 1859-=El conde Luchana. necen al Excmo. Sr. duque del Infantado en los términos y bajo Si el tono y el estilo de la obra no corresponden al objeto; Publíquese por bando en la forma…</t>
  </si>
  <si>
    <t>ALCANTARANAYA</t>
  </si>
  <si>
    <t>22/01/1839</t>
  </si>
  <si>
    <t>Gaceta de Madrid n.º 1529</t>
  </si>
  <si>
    <t>…á ella. Ya que se ha tratado de represalias El Sr. C A L A T R A Y A : Pido la palabra en contra. guerra, invitando antes á los señores firmantes de la propo­ contra individuos, quisiera también que se tratara de las re­ El Sr. A L C A N T A R A N A Y A R R O : Señores, he pedido sición que había dado margen á é l , que no eran individuos de presalias que se ejercen contra la nación. N o hace muchos dias la palabra en pro del dictamen, no porque lo necesite], tenien­ la comisión, a que dijesen si se conformaban con el di…</t>
  </si>
  <si>
    <t>Alcaucin</t>
  </si>
  <si>
    <t>03/09/1839</t>
  </si>
  <si>
    <t>Gaceta de Madrid n.º 1755</t>
  </si>
  <si>
    <t>…ó el 6 á los Dardanelos talmente el cabecilla Patricio Cazorla. de O rien te, y ha declarad* que M ehem et-A lí no ha sido nom- ;: con seis oficiales de su bordo. Ha pasado la noche en casa de Que oido el fuego por el alcalde de Alcaucin , se dirigió brado, según se d ijo , generalísimo de los ejércitos turcos. En j¡ Mr. B attu s, vicecónsul de F ran c ia, y se ha puesto en camino desde el punto que ocupaba al de la acción , distante un cuarto seguida se ha entablado una discusión muy viva sobre una rao- ! al dia siguiente…</t>
  </si>
  <si>
    <t>ALCAZ</t>
  </si>
  <si>
    <t>…primera proposición de la mesa. (Véase la Gace­ Señora: El intendente, ge fes y demas empleados de Hacien­ ta del martes 17 del corriente.) da pública de esta provincia se acercan con respeto al trono El Sr. marques de G U A D A L C A Z .A R , después de pedir se Constitucional de V. M. para tributar de nuevo su rendido ho­ Diputación provincial de Madrid.rrSeñora: Si los felices y verificase la lectura de los proyectos comprendidos en la pri­ menaje con el plausible motivo de los gloriosos sucesos, precur­ extraordina…</t>
  </si>
  <si>
    <t>ALCAZAR</t>
  </si>
  <si>
    <t>08/01/1839</t>
  </si>
  <si>
    <t>Gaceta de Madrid n.º 1515</t>
  </si>
  <si>
    <t>…dejado caer esos enormes atrasos sean los obligados á frontera á defender su independencia y su libertad en un mo­ Se leyó el art. 9.° pagarles. mento en que la disputaban mas de 1003 bayonetas. Asi que, El Sr. marques de G U A D A L C A Z A R manifestó que desea­ El Sr. F U E N T E S: El S r. V aldés en realidad no ha im p u g ­ entiendo que si pudiera buscarse otro medio para atender á esa ba saber desde cuándo se consideraban los caballos destinados nado el d ictám en , puesto que su im pugnación se h a d irig id ^ neces…</t>
  </si>
  <si>
    <t>Alcedo, María de la Concepción</t>
  </si>
  <si>
    <t>María de la Concepción Alcedo</t>
  </si>
  <si>
    <t>11/02/1839</t>
  </si>
  <si>
    <t>Gaceta de Madrid n.º 1549</t>
  </si>
  <si>
    <t>…. Fernando g£c. £jc. vela para Cádiz el 15 de Marzo de 1817 con un convoy reales franco de porte. Nacido en Cádiz en 13 de Ab il de (772 de D. Geró­ de 42 velas; llegó sin el menor* contratiempo el 9 de Ma­ nimo Enrile y de Doña María de la Concepción Alcedo, yo, y se trasladó á esta corte en 1.® de Junio á dar cuen­ marqueses deGasa-Eurile, y educado'en liorna en el colegio ta de todo al Gobierno. Clomentino, entró á servir de guardia marina en el de­ Obtuvo en últimos de Julio Real licencia para pasar á SEM AN ARIO partam…</t>
  </si>
  <si>
    <t>ALCO</t>
  </si>
  <si>
    <t>…n presente á su tiempo y le diesen su apoyo. El Sr. Ministro de la GOBERNACIO N: Tengo que hacer patriota. El Sr. ALCON expuso las razones que habia tenido la co­ una observación á la comisión en cuanto á la dirección que El Sr. ALCO N , haciéndose cargo de lo expuesto por el misión para dar su anterior dictámen y Jas que la habían mo­ quiere dar á esta exposición, porque opina que pase al ministe­ Sr. Cortina , manifestó que la comisión proponía que esta ex­ vido á dar el presente, y coocluyó respecto á la petición del s…</t>
  </si>
  <si>
    <t>E! Sr. ALCO N dice que lo propuesto por los Sres. Beoavi- :a á los fondos m unicipales, ofreciéndolos como objeto de es- gadas y de Navarra ea cuanto no se oponga á los derechos des y González Alonso no está en la formula del reglamento, DecuIación particular; y pide al Congreso que se exija la res- políti…</t>
  </si>
  <si>
    <t>Alcocer, Juan Rey Romero</t>
  </si>
  <si>
    <t>Juan Rey Romero Alcocer</t>
  </si>
  <si>
    <t>28/05/1839</t>
  </si>
  <si>
    <t>Gaceta de Madrid n.º 1655</t>
  </si>
  <si>
    <t>…Lon- rey y otros muchos, entre los de los médicos y naturalistas mas goria: Salamanca, D. Vicente Blanco! Santander , D. Clemen­ CAMBIOS. famosos que admira la Francia; cuando todas las academias y te María Riesgo: Santiago, D. Juan Rey Romero Alcocer: Londres, á 90 dias, 3 8 f papel. Coruña, 1¿ á 2 d. corporaciones científicas de una nación que marcha al frente de Segovia, D. Domingo Alejandro: Sevilla, Sres. José Hidalgo París, 1 6 -6 id. Granada, 1| id. la ilustración europea han acogido con tanto interés al autor y c…</t>
  </si>
  <si>
    <t>ALCOiN</t>
  </si>
  <si>
    <t>20/09/1839</t>
  </si>
  <si>
    <t>Gaceta de Madrid n.º 1775</t>
  </si>
  <si>
    <t>…con i l u mi na c i ón g e n e r a l , re pi que de c amp a na s y músi cas en a p oy a r l e S. S. puede hacerlo. o l í m p i c o , en obsequio de los cuerpos de esta g ua r n i ci ón , asi s­ las pri nci pal es plazas. El Sr. ALCOiN : A y e r me fue imposible estar presente c u a n ­ tiendo á ella g r a t ui ta m e n t e los Sres. gefes y oficiales con la tro­ pa de su mando. do se leyó el proyecto de ley que t uve el honor de presentar a l El pa^eo del D u q u e estuvo anoche vistosa y ma g n í f i ca ­ Congreso sobr…</t>
  </si>
  <si>
    <t>Alcon</t>
  </si>
  <si>
    <t>…ncargo, reservándose presen­ votos, habiendo obtenido el Sr. Benavides 1 6 , el Sr. Quinto niente; y por medio de acuerdos, que se extenderán en un libro tar documentos que acreditan su aptitud legal. 2 , el Sr. Roldan 7 , el Sr. Alcon 1 , el Sr. Mascaró 1 , el se­ que al efecto llevará uno de los secretarios, resolverá cuanto Otra comunicación del Sr. duque de Castroterreño, Sena­ ñor Olózaga 1 , y el Sr. Viadera 1. Número total de votantes convenga al logro de los fines que se propone la sociedad. dor por la provincia de…</t>
  </si>
  <si>
    <t>25/09/1839</t>
  </si>
  <si>
    <t>Gaceta de Madrid n.º 1781</t>
  </si>
  <si>
    <t>…relativa á la formación de un cuerpo de sanidad militar. Pre­ mariscal de campo D. Antonio Urbistondo , y otros vienen á tenidas en seguridad , se les miraba como personas que debian sidente el Sr. Mendez Vigo, secretario el Sr. Alcon. fijar en ella su residencia como lo verificaron á principios de dar de sí lo necesario para sostenerse los alcaides con un lujo y El Sr. ^PR ESID EN TE: Para mañana después del despa­ esta semana en M aham ud siete individuos á la vez. opulencia escandalosa ; pero no basta que lijemos la vi…</t>
  </si>
  <si>
    <t>Alda, Luis</t>
  </si>
  <si>
    <t>Luis Alda</t>
  </si>
  <si>
    <t>N.° 1719. MARTES 30 DE JULIO DE 1839. DIEZ c u a r t o s . PARTE OFICIAL. Que al intendente D. Luis Alda se le imponga la de 1500 pesos fuertes con la misma calidad: 2.a Los alcaldes de los pueblos exigirán en el modo y forma que dichos reglamentos y ordenanzas prevengan, Que al asesor D. Juan Miret se le aperciba seriamente las multas señaladas a los contraventores, á consecuencia por s…</t>
  </si>
  <si>
    <t>Aldam, Juan</t>
  </si>
  <si>
    <t>Juan Aldam</t>
  </si>
  <si>
    <t>17/08/1839</t>
  </si>
  <si>
    <t>Gaceta de Madrid n.º 1737</t>
  </si>
  <si>
    <t>…rs, que llegó á Paris dos dias hace, ha sido reci- * reem plazo del vizconde de H uerta; por la de Sevilla á tor general de aduanas. bido por el Rey en St. Cioud, con quien ha tenido uoa larga D. Narciso López, en reemplazo de D. Juan Aldam a, y conversación: El antiguo Ministro no ha disimulado la gran­ por la de Zaragoza , por renuncia de D. Miguel Laborda deza de la situación presente. y G aiindo, á D. Agustín Nogueras. Tendréislo entendido Mr. Thiers ha probado en esta conferencia que nada puede y lo comunicareis ¿ quie…</t>
  </si>
  <si>
    <t>Aldama, Juan</t>
  </si>
  <si>
    <t>Juan Aldama</t>
  </si>
  <si>
    <t>…anuel Llauder la dimisión que ha he­ terino de la Guerra D. Francisco Narvaez. (Núm. 18 19.) cho de la capitanía general de Granada y Jaén, y nombran­ _ concediendo el uso de media firma al Ministro interino do en su lugar á D. Juan Aldama. (Núm. I 842.) Valencia 10 de Diciembre. de M arina, Comercio y Gobernación de Ultramar. (Núme­ nombrando capitán general de las islas Baleares al tenien­ ro 1820.) te general D. Santos de lo Hera. (Id ) Sabemos de buena tinta se ha presentado en J á tiv a , aco­ Circular del minister…</t>
  </si>
  <si>
    <t>Aldama, Juan de la Dehesa</t>
  </si>
  <si>
    <t>Juan de la Dehesa Aldama</t>
  </si>
  <si>
    <t>…nte a este fin que presentando las co­ D. Ignacio de la Pezuela.......................... Segovia. Paccini , que hace ya ocho años no se ejecuta, y que siempre D. Juan sas y las personas en su desnudez y verdad. La templanza D. Juan de la Dehesa Aldama......................................................Sevifla. ha obtenido los mayores aplausos, titulada : y mesura que reinan en toda la novela, la serie de cua- D. Manuel de Pedro. . . ........................ Tarragona. Teruel. L ’ULTIMO GIORNO DE POMPEI. D. Dionisio C…</t>
  </si>
  <si>
    <t>Aldeanueva.zzJosé</t>
  </si>
  <si>
    <t>24/12/1839</t>
  </si>
  <si>
    <t>Gaceta de Madrid n.º 1871</t>
  </si>
  <si>
    <t>…milo A lv a re z , labrador, zz Fausto M a rin y M a r í n , l a - declarando que su Gobierno no perm itiría semejante medida. de la H ab an a, A L. R. P. de Y. M. ,con ei respeto mas profun­ brador.zzManuel R u i z , alcalde de Aldeanueva.zzJosé M aría En aquel caso se invocó la fuerza de las otras cuatro Potencias; do d i c e : Que antes de recibir oficialmente las noticias plausibles G utiérrez, labrador, zz Diego O con, hacendado, zz José M aría mas el B ;já está persuadido de que ni la Prusia ni el A u stria sobre l…</t>
  </si>
  <si>
    <t>Alderson</t>
  </si>
  <si>
    <t>04/08/1839</t>
  </si>
  <si>
    <t>Gaceta de Madrid n.º 1724</t>
  </si>
  <si>
    <t>…oducir el presentarlo r a , que cuaudo oficiales como el coronel W y ld e , el coronel guerra civil existe tan solo en los puntos en que se la ha con­ como un dato á esta Cámara. Tal es el actual estado de cosas Lacy y el coronel Alderson, hombres de acrisolado honor, que finado hace mucho tiem po, á saber, las provincias Vasconga­ en España , y creo que no se necesita ningún talento extraor­ están obligados por su deber y sü reputación á reunir y tras­ d a s, parte del bajo A ragón, Valencia y un corto distrito de dinario p…</t>
  </si>
  <si>
    <t>Aldersson</t>
  </si>
  <si>
    <t>…abundan­ nos. La caballería consiste en cuatro escuadrones de á 100 hom­ También debo hacer mención del coronel L a c y y teniente cia al principio del año. bres cada u n o , bien montados. En los últimos tres meses ha coronel Aldersson, comisionados de S. M. B. en este ejército, G ran d es, aunque in ú tile s , esfuerzos se bao hecho en e&gt;tos dad» Maroto licencia ilim itada á 80 oficiales agregados á los que á mi lado dieron un solemne testimouio del vivo y tficas últimos dias para reemplazar á la d ip u ta c ió n , jun…</t>
  </si>
  <si>
    <t>Aldobrandini, Francisco Borghesi</t>
  </si>
  <si>
    <t>Francisco Borghesi Aldobrandini</t>
  </si>
  <si>
    <t>…s trascendentales defectos de higiene pública se Roma y con dirección á sus Estados. baños; el lamentable abandono en que se hallaban los m anan­ h allan en el dia corregidos. E fectivam en te, el extenso y hermo­ El Príncipe D. Francisco Borghesi Aldobrandini , herm a­ tiales, fuentes, edificios y cam in os, los que lejos de repararse so valle ó cañada en que brotan las aguas minerales, que ex­ no político de P aulina Bonaparte , hermana de N ap oleón, ha se destruían co ntin uam ente; el haber sido servida la plaza de ten…</t>
  </si>
  <si>
    <t>Ale</t>
  </si>
  <si>
    <t>21/11/1839</t>
  </si>
  <si>
    <t>Gaceta de Madrid n.º 1838</t>
  </si>
  <si>
    <t>…cartistas han renunciado á hacer nuevas manifestacio­ Atendiendo al relevante mérito, leales servicios y dis­ PRUSIA. nes. La autoridad ha tomado sus medidas para rechazar toda tinguidas circunstancias del mariscal de campo D. Ale­ especie de ataque. Los constables, un piquete de 10 húsares y jandro González Villalobos, como Reina Regente y G o­ Berlín 5 de Noviembre . un destacamento del, regimiento núm. 45, permanecen sobre la« bernadora del reino durante la menor edad de mi au­ armas. Los habitantes han ilumioado sus…</t>
  </si>
  <si>
    <t>Ale, José</t>
  </si>
  <si>
    <t>José Ale</t>
  </si>
  <si>
    <t>28/10/1839</t>
  </si>
  <si>
    <t>Gaceta de Madrid n.º 1814</t>
  </si>
  <si>
    <t>…zana 5 1 0 , que tiene de sitio ca lle de Coloreros , ¿y en la de Cuesta , frente á las gradas de *'.4592£ pies superficiales, tasada por los arquitectos de la aca­ San Felipe. demia de tas tres nobles artes de San Fernando j D. José Ale­ jandro y Alvarez, y D. Francisco JaVief *Váai-Bamberghen L A M IN 05 A S. lU IC IO analítico sobre el discursio canónicó-legal que dió á en la cantidad de 2 í 1,252 rs. 29 rors. vh. á revajár Cargas. Y ** , luz el Excmo. é' Ilmo. Sr. D. Pedro González V allejo, a r­ para su remate se…</t>
  </si>
  <si>
    <t>Ale, Pedro Sainz de Baranda y D.</t>
  </si>
  <si>
    <t>Pedro Sainz de Baranda y D. Ale</t>
  </si>
  <si>
    <t>…que si S. E. q u i­ el Excmo. Sr. D. Antonio Barata, consejero.de Estado, y miario del añ o'4*°? que las municipalidades de los departamen­ siere contribuir á este objeto con alguna nueva exposición, se de los Sres. vocales D. Pedro Sainz de Baranda y D. Ale­ tos sen fueran responsables de las pérdidas o perjuicios que causa­ tendrá muy presente en la discusión, no debiendo dudar un las reuniones tum ultuarias, bien á las personas, bien á las mapieoto que las Cámaras se ocuparán de tan importante ma­ jandro López, indi…</t>
  </si>
  <si>
    <t>Ale, Stirling. Mr.</t>
  </si>
  <si>
    <t>Stirling. Mr. Ale</t>
  </si>
  <si>
    <t>18/04/1839</t>
  </si>
  <si>
    <t>Gaceta de Madrid n.º 1615</t>
  </si>
  <si>
    <t>…endo en un negocio muy curioso, cuyo héroe es un tal Mr. Este cetáceo, que tiene el nombre de tortuga fra n c a , proviene tria se trasladarán de nuevo á Bruselas para ejercer sus fun*- Alejandro Hum phrey, que se titula conde de Stirling. Mr. Ale­ de la isla de la Ascensión; pesa 500 libras, y presenta una ex­ ciones. jandro ha residido mucho tiempo en Francia , donde ha per­ tensión de cinco pies de largo y tres y medio de ancho, llegó el manecido señaladamente desde 1805 hasta la restauración. R e­ viernes en la tarde, y…</t>
  </si>
  <si>
    <t>Alejan, D.</t>
  </si>
  <si>
    <t>D. Alejan</t>
  </si>
  <si>
    <t>…rir á S. M. por úna gracia especial, para cuya con­ 2 9 ^ , i y 30 á v. f . ó vol. á prima de £ , i£ y 1 por 100 con Luzuriaga H uagoo, Arteta , Calatrava , Aquino Amat , Fuen­ cesión me favoreció con su ilustrado inílujo el Sr. D. Alejan­ cupones. te Andrés t Tem prado, Estrada , La-Calle y los Secretarios dro O livan; pero la Real orden que me ha sido comunicada, Inscripciones en el gran libro á 4 por 1 0 0 ,0 0 . Feliu y Moya. no lo fue á las aduanas del reino, y por esto y las dificultades Títulos al portador del 4 po…</t>
  </si>
  <si>
    <t>Alejan, Pedro</t>
  </si>
  <si>
    <t>Pedro Alejan</t>
  </si>
  <si>
    <t>…que anunciaba haber dispuesto el Gobierno por Real de semilla del gusano de seda, que con franca rnauo le cedió de orden de la legislatura del año 1829 ai 25 , se le franquearan su cria el director actual del jardín botánico D. Pedro Alejan­ cada uno de los contendientes. Si atendem os al origen y los auxilios necesarios para introducir en la isla el cultivo y dro Auber; y si el resultado no se ha presentado próspero, es formación del lenguaje; si estudiamos el g en io de los d i­ aclimatación de la grana , siendo uno de…</t>
  </si>
  <si>
    <t>Alejan, Pedro Sainz de Baranda y D.</t>
  </si>
  <si>
    <t>Pedro Sainz de Baranda y D. Alejan</t>
  </si>
  <si>
    <t>…volver al enemigo , á cuyo efecto dispuso que las compañías de la quema por indisposición del que lo es en propiedad , y dos ramos............................ .................. # 2 - 3 1 2 ,5 5 6 -2 5 de los señores vocales D. Pedro Sainz de Baranda y D. Alejan­ de cazadores, 5.a y 4 *a del provincial de Burgos contuviesen Consignaciones á fábricas. ................................. 1 .2 5 5 ,4 7 4 - 7 los fuegos del primer parapeto, dejando para protegerlas la da dro López , individuos de la diputación provincial; D. J…</t>
  </si>
  <si>
    <t>Alejandro</t>
  </si>
  <si>
    <t>03/11/1839</t>
  </si>
  <si>
    <t>Gaceta de Madrid n.º 1820</t>
  </si>
  <si>
    <t>…ida antigua , 8 £ El B orsen -H a lle del 18 de Octubre, recibido por extra­ N O T IC IA S N A C IO N A L E S* Tres por 100 portugués, 2 4 f. ordinario, anuncia, fundado en la autoridad de cartas de Ber­ lín , que el gran duque Alejandro habia caido enfermo en W i Z a ra goz a 26 d e O ctubre. tepsk en su viaje de Borodino á Bolonia, renunciando por La Gaceta de Augsburgo anuncia queM ehem et-Alí aca­ consecuencia á la visita que se proponía hacer á Yarsovia. De­ El dia 24 se les cogió á los facciosos por la segunda div…</t>
  </si>
  <si>
    <t>…cerca de su Gobierno para obtener todas las Rusias; al Rey de los Paises Bajos ; d S, A . / . el tramente en el Ateneo, y deber es de la prensa trasmitir el derecho de participación en las ventajas del nuevo tratado Gran Duque Alejandro , Principe heredero de Rusia. S. A . I . , al p ú blico el ju icio que ha de formarse de las encontradas de comercio, con lo cual se evitarían los notables perjuicios que que habla con mucha facilidad el ingles, se levantó para dar opiniones alli sostenidas con el brillante adorn o de l…</t>
  </si>
  <si>
    <t>…de su vicepresidente el Excmo. Sr. D. Antonio Ba­ cual Bartels y Kats han sido absueltos y puestos inm ediata­ la corte de Portugal, ha sido nombrado secretario de legación r a t a , consejero de Estado, y de los Sres. vocales D. Alejandro mente en libertad. Se dice que la resotucion del jurado ha sido en la corte de España. (Courier.) López, individuo de la diputación provincial; el Excmo. Señor por unanim idad, [Constituíionnel.) D . Luis Sorela, presidente de la junta de liquidación de la deuda del Estado; D. Félix D ’Olh…</t>
  </si>
  <si>
    <t>14/05/1839</t>
  </si>
  <si>
    <t>Gaceta de Madrid n.º 1641</t>
  </si>
  <si>
    <t>…s un mérito el atreverse á to­ quema por indisposición del que lo es en propiedad; y de los cootiene los artículos siguientes: do, por desgracia este mérito no le ha faltado mucho an­ Sres. vocales D . Pedro Sainz de Baranda y D. Alejandro L ó­ Pena de los bancarrotas. tes que vosotros. No rehúsa seguiros en la senda de las ex­ pez, individuos de la diputación provincial; D. Félix D ’Olha- Eugenio Scribe , biografía contemporánea. periencias; pero sí quiere que se conserve su gramática, verriague y Blanco, director de la caj…</t>
  </si>
  <si>
    <t>…astornado esta política son los solos verda­ Los ram os que co nstitu yen la segunda enseñanza son: deros autores de la crisis actual. la lógica y gram ática g e n e ra l; las lenguas la tin a , francesa, S. A. I. el gran duque Alejandro, heredero presuntivo de El orador concluye haciendo varias consideraciones sobre inglesa é italia n a; las m atem áticas, la partida d o b le , ten e­ la corona de Rusia , y las personas de su servidum bre, han sido la necesidad de formar un ministerio, y uo cree que el proyec­ d u ría de…</t>
  </si>
  <si>
    <t>28/12/1839</t>
  </si>
  <si>
    <t>Gaceta de Madrid n.º 1875</t>
  </si>
  <si>
    <t>…en este caso el duque de conexión con el casamiento proyectado eotre la hija del gran das en ia instrucción actual, dice Mr. M eriihou, han demos­ Burdeos se marcharía á Nápoles, y nada se habría adelantado. duque y el gran duque Alejandro, heredero de la corona de trado el peligro que habia de dejar en las tiendas de los arm e­ Por lo demás , sé por muy buen conducto que el embajador ros los medios de ejecución para esta dase de tentativas. Un de Austria ha ofrecido su mediación al conde de Latour M au— Rusia. decreto de l…</t>
  </si>
  <si>
    <t>Alejandro, D.</t>
  </si>
  <si>
    <t>D. Alejandro</t>
  </si>
  <si>
    <t>…rtar en la Guia de Forasteros, pues en ello rencias desagradables que tuvieron lugar en la ciudad de Sevi­ Presidente.CzExcrao. Sr. D. Gaspar Remisa. lla en el mes de Noviembre del año próximo pasado ; usando "Consiliarios —Sr. D. Alejandro O livan, Excuso. Sr. conde harán un servicio agradable é interesante al público. de las facultades y jurisdicción que S. M. la Reina Gobernado­ de Cervellon y Sr. D. .luán Pedro Ayegui. Las personas particulares que deseen hacer alguna rec­ ra tiene concedidas en estos casos por sus Rea…</t>
  </si>
  <si>
    <t>Alejandro, Domingo</t>
  </si>
  <si>
    <t>Domingo Alejandro</t>
  </si>
  <si>
    <t>…dmira la Francia; cuando todas las academias y te María Riesgo: Santiago, D. Juan Rey Romero Alcocer: Londres, á 90 dias, 3 8 f papel. Coruña, 1¿ á 2 d. corporaciones científicas de una nación que marcha al frente de Segovia, D. Domingo Alejandro: Sevilla, Sres. José Hidalgo París, 1 6 -6 id. Granada, 1| id. la ilustración europea han acogido con tanto interés al autor y compañía: Toledo, D. Blas Hernández: Valencia, D. Juan M álaga, i id. y á su obra, poniendo á esta en manos de los jóvenes que se Bautista Jimeno: Vallad…</t>
  </si>
  <si>
    <t>Alejandro, Pedro Sainz de Baranda y D.</t>
  </si>
  <si>
    <t>Pedro Sainz de Baranda y D. Alejandro</t>
  </si>
  <si>
    <t>14/03/1839</t>
  </si>
  <si>
    <t>Gaceta de Madrid n.º 1580</t>
  </si>
  <si>
    <t>…darían mas de 4 i por 100. El Es­ oposición quede asegurado en el 11 colegio. celentísimo Sr. D. Antonio Barata, consejero de Estado, y de tado debe interyénir , porque las ganaucias no son bastante con^ J los Sres. vocales D. Pedro Sainz de Baranda y D. Alejandro, sidérablés para atraer á los capitalistas» Toda la cuestión se re-, ;Dimos noticia' á núést^ós 'lectores' ;d ¿ “ íós tééminós eii López, individuos de la diputación provincial, y D. Luis So- duce desde luego a esto: ¿Se quiere ó no que haya caminos de que conc…</t>
  </si>
  <si>
    <t>Alejandría</t>
  </si>
  <si>
    <t>31/07/1839</t>
  </si>
  <si>
    <t>Gaceta de Madrid n.º 1720</t>
  </si>
  <si>
    <t>…es de todos los magistrados que han administra­ funciones de subsecretario de Estado de las Colonias. La ciudad do la ciudad desde el año de 1502. lo sentirá. Varios autores de los alborotos de Llanidloes han El cónsul general de Alejandría al presidente del Consejo: sido sentenciados á la deportación por 15 y siete años. El ejército turco bajo las órdenes de Ibrahim, atacó al ejército En Birmingham se continúan tomando algunas precauciones, Desde el 5 al 10 de Julio han llegado á las aguas de Ai* turco mandado por el sera…</t>
  </si>
  <si>
    <t>Alemany, Francisco</t>
  </si>
  <si>
    <t>Francisco Alemany</t>
  </si>
  <si>
    <t>30/04/1839</t>
  </si>
  <si>
    <t>Gaceta de Madrid n.º 1627</t>
  </si>
  <si>
    <t>…ha ob­ procurador con poder bastante, á evacuar el traslado que se le ciéndolo con la actividad que le distingue. El teniente coman­ servado* ha conferido, y contestar á los cargos que contra este prelado dante de ingenieros D. Francisco Alemany con sus 50 zapa­ resultan en la causa que se le ha formado con motivo de cierta comunicación que d irigió al cabildo catedral desde el pais re­ dores arregló algunas banquetas, debiendo en caso de uecesi- Bilbao 20 d e Abril. Él ataque contra Ramales y de- dad acudir al paraje q…</t>
  </si>
  <si>
    <t>Alenzon</t>
  </si>
  <si>
    <t>…auxilio poderoso inferiores en número; y sus comandantes el condestable de R i- dos los generales y partidarios ingleses concurrieron unánime­ para librar á Orleans del sitio que la aflige y á la Francia del chemont, el duque de Alenzon , el mariscal Rieux y el general mente en la cobardía é inhumanidad d^sacrificar á la doncella; yugo con que la afrenta un eoemigo. Déseme un ejército por D unois, no querían dar batalla en campo abierto á un ejército y aunque la duquesa de Luxemburg , que la habia a istido en pequeño que…</t>
  </si>
  <si>
    <t>Alepo</t>
  </si>
  <si>
    <t>07/12/1839</t>
  </si>
  <si>
    <t>Gaceta de Madrid n.º 1854</t>
  </si>
  <si>
    <t>…54 316100 d o r de la Meca (4O años); lbrahim-bajá , general de división biendo sido de los primeros en manifestar á la nación con he­ C a n a r ia s .. 5 90450.. 6 224488.-22 en el Iledsis (55 años); Ismail-bajá , gobernador de Alepo (52 chos positivos sus sentimientos patrióticos , tanto en el ejército Guadalajara i 28267 168000 a ñ o s ) ; Hussitnbey (42 años), y otros dos sobrinos mas jó­ como fuera de él, no anhela mas que el bien general de la pa­ G ranada..................... 40 764488 2202405 venes. tria bajo la e…</t>
  </si>
  <si>
    <t>Aleson</t>
  </si>
  <si>
    <t>…utensilios á producía en la obra los obuses de á 12 de la batería de monta­ clases. Con este objeto se establecerán las comisiones de re­ las tropas estantes y transeúntes desde 1.° de Abril próximo ña, di la órden al brigadier Aleson para que con la brigada de quisición en las divisiones, brigadas ó puntos que dichos en adelante , por ser inadmisibles las proposiciones que se hi­ su mando se adelantara y colocase á las inmediaciones del fuer­ generales estimen mas a p rop ósito, y se com pon drán de cieron en ella, ha d…</t>
  </si>
  <si>
    <t>…r sido agregado el Sr. Mateu á la se­ Bibliografía.=:/tec7¿er&lt;:ñe?5 su r l e s p r o g r e s d e l'a stro n o m ie para su remate el dia 22 del corriente á las doce de su mañana gunda sección, el Sr. Palaros á la tercera, el Sr. Aleson á la | e t d e s S cien ces nautlques en E spagne.zz Indagaciones acerca en la audiencia de S. S . , que la tiene en el piso bajo de la au ­ cuarta, el Sr. Lasaña á la quinta , el Sr. Abascal á la sexta, y diencia territorial, de los progresos de la astronomía y de las ciencias náuticas en á…</t>
  </si>
  <si>
    <t>ALEÑO, CAM</t>
  </si>
  <si>
    <t>CAM ALEÑO</t>
  </si>
  <si>
    <t>25/01/1839</t>
  </si>
  <si>
    <t>Gaceta de Madrid n.º 1532</t>
  </si>
  <si>
    <t>…coa la na prueba de que á pesar nuestro, sin conocerlo, nos dejamos salvación de la patria.^ arrastrar por una triste desgracia ¿ buscar eosas extrañas, cuan­ r ASTIM ERO via crucis de la tropa , ó sean décimas descrip- El Sr. CAM ALEÑO d ijo , rectificando una equivocación, do tenemos en nuestra casa principios y prácticas que no tiene y * tivas sobre las inim itables y cotidianas virtudes cíel va­ Que siempre ha habido aversión á los tribunales m ilitares; y uinguna nación. liente ejército constitucional en ta presente…</t>
  </si>
  <si>
    <t>31/01/1839</t>
  </si>
  <si>
    <t>Gaceta de Madrid n.º 1538</t>
  </si>
  <si>
    <t>…dd día. D-:icti*e« dk b mutis*®» sobre el proyecto ¿e tey presente coa t e iwtere^s cíe t e pueblos. nifestaado que en su concepto no debía detenerse el Congreso roblív® i bs Atr¿b»cm»es &amp; .1» apiñam ientos, Se procede i, Él Sr. CAM ALEÑO : JE! Sr. Martí« ha dicho en sfl dis­ en aprobar el dicta meo. curso que »o primeáis conformarse coa el proyecto de ley q**e 86 .El! Sr., Ya-ldés hizo varias aclaraciones# la «fósc&amp;s&amp;MBi generuL e Sr. i t ' i z B E L ARBOL i Señares ■„ he pedido A p a la ­ discute porque no está coaform…</t>
  </si>
  <si>
    <t>Alfonso</t>
  </si>
  <si>
    <t>…l es sumamente reservado, y solo publica su plan cuando lo Otra plom iza, id ., de Montroy , barranco Pin alb o, térm i­ ñía , en 5. ejecuta, se temen sin embargo que la tronada va á descargar, no de Cuevas, la Concepción, por D. Alfonso C aparros, en 14. Otra de h ierro , compuesta de dos pertenencias, en la inm e­ y no saben como conjurarla. Cabrera ha quedado aturdido del Otra id. , sierra de G ador, collado del A g u a , término de diación y término de V e n ta lá , del propio p artido , por el m is­ últim o golpe , y co…</t>
  </si>
  <si>
    <t>07/11/1839</t>
  </si>
  <si>
    <t>Gaceta de Madrid n.º 1824</t>
  </si>
  <si>
    <t>…á los bienes al que faltare al pago de 10 ducados de multa , y si por ser quedados por fallecimiento abintestato de Doña Vicenta pobre no pudiese, á un mes de p risió n , y ademas á ser casti­ Novales, que estuvo casada con D. Alfonso G ran ados, guarda gado según la parte de culpa que le resultare. Igualmente pro­ menor del canal de M anzanares, ocurrido en 6 de J u n io del híbo que cualquier forastero pernocte en los pueblos, sin que el año último , acudirán á deducirle por sí ó por medio de pro­ vecino que lo reciba…</t>
  </si>
  <si>
    <t>…scopetas y otros efectos, y res­ de Y illa fa fila , del mismo p trtid o , que hasta el año de 1817 pose­ 5 de Febrero de Í839.= A D. Isidro Alaix. cataron 9 00 cabezas de ganado que habían robado. Dichos g u ar­ yó y disfrutó D. Alfonso T re jo , vecino que fue de la ciud ad d a s , a se g u ra , fueron aprehendidos y serán juzgados por el con­ de T o ro , desde cuya época no tiene dueño conocido. A conse­ sejo permanente de guerra. cuencia de providencia dictada en 28 de Enero ú ltim o , se c ita , Que el d ía 30 el sar…</t>
  </si>
  <si>
    <t>…ades que la misma previene, to­ á lo que se cree, de concurrir pasando por ella á la reconcen­ có á los sugetos siguientes: D. Ramón G alindez, D. Juan de tración de fuerzas, de que parece se ocupan actualmente los Aroste^ui , D. Alfonso R u iz, D. Tomas María Z anon , Don BIB LIO G R A FIA . enemigos hacia el extremo izquierdo de la línea de nuestro ejér­ Luis Martínez Leganés, D. Miguel Serralde, D. Lorenzo Me­ cito del N orte, alguna gente castellana en fuerza de dos ó tres lero, D. Lorenzo Sancho y D. José Golovardas, qu…</t>
  </si>
  <si>
    <t>Alfonso, José Fermín Muro. Sr. D. Juaa</t>
  </si>
  <si>
    <t>José Fermín Muro. Sr. D. Juaa Alfonso</t>
  </si>
  <si>
    <t>…del Peral. Sr. D. Juan de Posada Arguelles. Sr. D. Luis Mayans y Enriquez. Sr. D. Fermin Caballero. Sr. D. Wenceslao Toral» Sr. D. José Gispert. Sr. D. Juan López Pelegrin. Sr. D. Francisco Posada Fernandez de Córdoba. Sr. D. José Fermín Muro. Sr. D. Juaa Alfonso Montoya. Sr. D. Alejandro Mon. Alava . Sr. D. Pedro José Pidal. Sr. D. Blas López. Gerona. Valencia. Albacete • Sr. D. José Antonio Pastell, electo. Sr. D. Juan Cano Manuel. Sr. D. Juan Pou. Sr. D. Antonio Ilom panera de Cos. Sr. D. Ramón Pretel de Cozar. S…</t>
  </si>
  <si>
    <t>Alfonso, José Ramón</t>
  </si>
  <si>
    <t>José Ramón Alfonso</t>
  </si>
  <si>
    <t>…Fernandez. ........... 5 114 d e.. 24................... 2756 de la vicaria de Piñal del Rio 4 .. 2 Licenciado D. José de la Rocha................................ 5 40 x ............ d e .. 16. . . . • • • . • 6448 Presbítero D. José Ramón Alfonso, teniente de Licenciado D. José de Silva y Suarez...................... 5 2 aproximaciones d e ... 8 para el an­ cura de la Salud .............................................. 2 El escribano de Cámara D. Eusebio Nuñez.............. 3 terior y posterior al premio de 8d. 16 Id. D.…</t>
  </si>
  <si>
    <t>Algarra</t>
  </si>
  <si>
    <t>15/04/1839</t>
  </si>
  <si>
    <t>Gaceta de Madrid n.º 1612</t>
  </si>
  <si>
    <t>…rraich ha causado mucha novedad, y mucho las ocurrencias del poeta. Pero en donde mas manifest&lt; los dos primeros 875 rs. , y los gastos 7 1 1 rs., de forrna que se la mira aquí como un hecho glorioso de arm as, no obstante el Sr. Algarra sus grandes talentos escénicos fue en el Amante quedaron libres I 64 rs.; y la segunda 2048 rs. 28 inrs. , que que JVurschid habia podido apoderarse en dos dias de tan dé- prestado , segunda pieza del beneficio. El papel de Bartolo eri bajados 497 rs. de aquellos indispensables gastos, queda…</t>
  </si>
  <si>
    <t>Algeciras, María</t>
  </si>
  <si>
    <t>María Algeciras</t>
  </si>
  <si>
    <t>30/12/1839</t>
  </si>
  <si>
    <t>Gaceta de Madrid n.º 1877</t>
  </si>
  <si>
    <t>…ierno y de las direcciones generales. ces , ¡desgraciado! caerá sobre su cabeza la espada de la justicia José Maris de Zavala, D. José López, D. Manuel Iturriria y con la velocidad del rayo. No se diga de hoy en adelante en­ Doña María Algeciras, para que en término de nueve dias, que tre nosotros otras voces que: viva la Constitución : viva Isa­ por segundo se les señala, se presenten en la escribanía principal bel it : viva la paz y la unión. Calatayud i.° de Enero de Amortización, calle del Lobo, núm. 8, piso segundo, á p…</t>
  </si>
  <si>
    <t>Alguacil, Lorenzo</t>
  </si>
  <si>
    <t>Lorenzo Alguacil</t>
  </si>
  <si>
    <t>…icó las dispo­ del 4*° batallón franco D . Jorge Gutiérrez y el capitán del operación continuada dias y noches sin cesar por mis marineros siciones de aquel, y cuantos individuos se mencionan en el par­ provincial de Córdoba D. Lorenzo Alguacil le avisan con fe­ y los matriculados de Laredo, Santoña y Argoños se concluyó te , pues sus trabajos, privaciones y decisión á fin de propor­ cha dél 10 desde Burgondo haber destrozado varios grupos de al anochecer del 27. cionar los auxilios que necesitó el cuerpo de ejército del…</t>
  </si>
  <si>
    <t>Alia, Santa</t>
  </si>
  <si>
    <t>Santa Alia</t>
  </si>
  <si>
    <t>06/12/1839</t>
  </si>
  <si>
    <t>Gaceta de Madrid n.º 1853</t>
  </si>
  <si>
    <t>…x pues* parte separado cada correo de cuantas ocurrencias sobre­ forma de la Constitución, conforme al deseo manifestado por tas al publico, cuidará V. S. de que la diputación pro­ vengan en tan delicada materia. el ex-presidente Santa Alia. (C. ¿X.)</t>
  </si>
  <si>
    <t>Aliaga, D. Agustín Arguelles. Sr. D. Félix</t>
  </si>
  <si>
    <t>D. Agustín Arguelles. Sr. D. Félix Aliaga</t>
  </si>
  <si>
    <t>…Valladares j electo. Sr. D. Julián Rodríguez del Valle. Valencia. Cádiz. Sr. D. José Ferraz. Sr. D. Manuel Montes de Oca. Madrid. Sr. D. Luis Mayans y Enriquez, Secretario 2.° Sr. D. Francisco Javier Istdriz, Presidente. Sr. D. Agustín Arguelles. Sr. D. Félix Aliaga. Sr. D. Antonio Alcalá Galiano. Sr. D. Antonio Seoane. Sr. D. Francisco Carbonell. Sr. D. Juan Donoso Cortés. Sr. D. Manuel Cantero. &gt; Sr. D. Nicolás Esteban. Sr. D. Julián Villalva. Sr. D. Joaquin María López. Sr. D. Vicente Sancho. Sr. D. José María H…</t>
  </si>
  <si>
    <t>Alicante, Antonio Agustín.</t>
  </si>
  <si>
    <t>Antonio Agustín. Alicante</t>
  </si>
  <si>
    <t>…siguientes adornados con dibujos y grabados origi­ M álaga, id. id. Rodríguez Valdeo¿era, juez togado de primera instancia nales. Santander, par. de esta corte, refrendada de D. Manuel Fernandez de Pazos, Biografía Española.=D. Antonio Agustín. Alicante, * á f b. Santiago, 2 d. escribano de S. M. del número del crimen; se cita, llama y em­ Antigüedades de Méjico.=Conclusion. Barcelona á p s.fs.,p ar. Sevilla, 1 * á 1 id. plaza á D. Manuel Rasilla, cuya habitación se ignora, para Viajes.—Francia. Pau. Bilbao, par. "Valencia…</t>
  </si>
  <si>
    <t>Alicante, Carlos.</t>
  </si>
  <si>
    <t>Carlos. Alicante</t>
  </si>
  <si>
    <t>…ranada, 11 papel id. toria , Barrio: Zaragoza, Yagüé; y eú Miadrid, librería de M álaga, i á f id. Contiene: Correspondencia secreta entre el Rey D. Fer­ Yiana calle de Carretas. - Santander, £ á £ id. nando vii y el Infante D. Carlos. Alicante, i i } d. Santiago, 1£ á 2 id. Anónimos sobre el estado político de Cádiz y la Isla , pro­ Barcelona á ps. fs., £ id. Bilbao, t papel id. Cádiz, \ id. Sevilla , £ á f id. Valencia, £ din. id. Zaragoza, par. Descuento de letras, á 6 por 100 al año. videncias del Gobierno con…</t>
  </si>
  <si>
    <t>Alicante, Diego</t>
  </si>
  <si>
    <t>Diego Alicante</t>
  </si>
  <si>
    <t>…. rústicas y Reales vellón. Reales vellón, Real orden. trada en la provincia de León, vacante por no haberse pre­ urbanas. Enterada S. M. la Reina Gebernadora de la instancia sentado á servirla D. Francisco Buron y Sierra, á D. Diego Alicante 8 100180 119559.. 2 promovida por varios individuos del comercio de Cádiz, Francisco Ramos^ que reúne las circunstancias requeridas para Albacete 3 75563..3® 191000 consignatarios de buques con cargamentos de bacalao, se esta clase de destiiios. Avila Badajo*................ t 20…</t>
  </si>
  <si>
    <t>Alicante, Joaquín Yagüe.</t>
  </si>
  <si>
    <t>Joaquín Yagüe. Alicante</t>
  </si>
  <si>
    <t>…Juan M álaga, i id. y á su obra, poniendo á esta en manos de los jóvenes que se Bautista Jimeno: Valladolid, Sra. viuda de Roldan: Zaragoza, Santander, par á { id. dedican á este interesante ramo del saber humano; cuando por D. Joaquín Yagüe. Alicante, 1 á £ d. Santiago, 1¿ á 2 id. fin cinco ediciones consecutivas y á cual mas numerosas han Barcelona á ps. fs ., par. Sevilla, par. venido á sancionar la utilidad y bondad de los nuevos elemen­ Bilbao, ~ á | d. Valencia, 1 d. tos de botánica y de fisiología vegetal que ofr…</t>
  </si>
  <si>
    <t>Alicante, Tankersly</t>
  </si>
  <si>
    <t>Tankersly Alicante</t>
  </si>
  <si>
    <t>…La carta numero 21 del Atlas y Derrotero publicado ton dio la noticia del fracaso agregando haberla recibido Santander, par din. • en Amsterdam el año 1715 por Nicolás Janz y Juan Van- en Malaga por Setiembre de 1822 del Capitán Tankersly Alicante, 1 á £ d. Santiago, l f á 2 d. keulen sitúa un Bajo doce leguas al SO dei Cabo San Vi­ de la Goleta de Londres Lord Mulgrave, quien le dijo Barcelona á ps. fs., par. también haber hablado con otro Capitán, cuyo nombre Bilbao , ¿ á £ d. -Sevilla, par. ^ cente. Valencia, £ d» . &gt;…</t>
  </si>
  <si>
    <t>Alicen, José Antonio</t>
  </si>
  <si>
    <t>José Antonio Alicen</t>
  </si>
  <si>
    <t>…ue se viese y nio H erranz, á consecuencia de haber este pedido alimentos, su propuesta. fallase el asunto por nuevos jueces, asi lo estimó el Sr. alcalde suponiéndose inmediato sucesor; y en su virtud se ha manda­ Ndrn. 14. D. José Antonio Alicen , presbítero , desde V a­ con dictámen de asesor letrado; y practicado el sorteo con las crean con derechoedictos do llamar por á y papeles públicos á todos los que se suceder en dicha vinculación, por térmi­ lencia expowe al Congreso que en 1852 vacó en Utiel , de don­ ces…</t>
  </si>
  <si>
    <t>Alio</t>
  </si>
  <si>
    <t>10/04/1839</t>
  </si>
  <si>
    <t>Gaceta de Madrid n.º 1607</t>
  </si>
  <si>
    <t>…cultades, no justificó, sobrepujó las es­ ciego se hallaba una partida de facciosos procedente de los que brillantes sesioues públicas que ha celebrado. Faltó en verdad á peranzas que de ella habíamos concebido. manda el cura de Alio celebrando la festividad de la Pascua</t>
  </si>
  <si>
    <t>Alisal, Manuel</t>
  </si>
  <si>
    <t>Manuel Alisal</t>
  </si>
  <si>
    <t>…l dia de ayer el En el de 5 de Enero del corriente año se ha servido tam­ diencia de S. S ., sita en el piso bajo de la territorial de esta Sr. Sancho, el resultado seria que la doctrina de la inam ovili- bién S. M. nombrar á D. Manuel Alisal para la promotoría corte, de doce á dos de su tarde, con el fin de hacerle saber un dad era siempre un absurdo, porque dijo que una inatnovili- fiscal del juzgado de Baltanás, vacante por salida de D. Fran­ despacho librado por el Sr. juez de primera instancia de Torre- dad quiere deci…</t>
  </si>
  <si>
    <t>Alisen, José Antonio</t>
  </si>
  <si>
    <t>José Antonio Alisen</t>
  </si>
  <si>
    <t>18/02/1839</t>
  </si>
  <si>
    <t>Gaceta de Madrid n.º 1556</t>
  </si>
  <si>
    <t>…discípulos el estudio y la á d - por 11 pescadores zelandeses dirigidos por los patrones Adrián quisicion de una buena pronunciación. Da lecciones én sum isa Visser é Isac de W a e r, los cuales se expusieron á los mayores 96. D. José Antonio Alisen , presbítero , vecino de la villa y en las de las personas que gusten. Darán razón en la liljFie— riesgos para salvar la tripulación del buque mercante francés de U tiel, pide se le oiga en el juzgado de primera instancia de ría de Doña H. A. Poupart y compañía, calle dél A renal…</t>
  </si>
  <si>
    <t>ALLAAL</t>
  </si>
  <si>
    <t>…ectuar la presentación en el término de figurines, una de señora, otro de caballero y otro de muebles, nueve dias, Ies causará entero perjuicio la sustanciacion del carruajes ó máquinas: y el núm. 9 que acaba de publicarse, M E D A L L A A L 2 D E M A Y O D E 1803. sumario. contiene el modelo ilum inado del monumento que se acaba de construir en el Prado , en memoria de las víctimas del 2 de N ú m e ro s . C a n tid a d . La sociedad numismática que dirige D . Basilio Sebastian M ayo de 1808. Castellanos, anticuario de l…</t>
  </si>
  <si>
    <t>Allard</t>
  </si>
  <si>
    <t>06/05/1839</t>
  </si>
  <si>
    <t>Gaceta de Madrid n.º 1633</t>
  </si>
  <si>
    <t>…iendo de una ner algunos de sus caprichos. Mademoiselle Mars ha con­ mana de las Hadas de Mr. Auber. cipdad á otra: sabido es que en un viaje que hizo á Milán, servado dos afectos que no pueden ocultarse á la vista me­ El general Allard, cuya permanencia en Francia ha en el que tardó 18 dias, compuso la ópera de A na Role- nos perspicaz: tales son sus cabellos y sus hombros. Jamas causado tanta sensación hace pocos años, tenia fama de un na , una de sus mejores producciones. Donizetti no puede se pone papalina en casa, y con…</t>
  </si>
  <si>
    <t>09/07/1839</t>
  </si>
  <si>
    <t>Gaceta de Madrid n.º 1697</t>
  </si>
  <si>
    <t>…ta de causa ante la C ám ara de los P a ­ nas d e q u e habéis hablado estaban en e l la ? mentarán las deudas de la compañía. res ha empezado el 27 de J u n i o : R . Solo un hombre que encendió varias veces su pipa. El general Allard murió en Febrero, y Rundjet S in g no le Atendido desde luego á que no ha pasado un término de P. ¿ Y le couoceríais si le vieseis ? sobrevivirá mucho tiempo. L a compañía espera en este mo­ cinco dias entre la notificación y la vista de causa conforme á R. Acaso me seria bastante dificil. m…</t>
  </si>
  <si>
    <t>ALLASQUEN</t>
  </si>
  <si>
    <t>…ban los pocos sabios en ciencias naturales que ha poseído nuestra Es­ también algunas personas que quisieron tributar este obsequio paña : su nombre pertenece á todo el orbe , y es citado con elo­ H A L L A Z G O DE U N AS M E D A L L A S Q U E NO SON R O M A N A S. ftl mérito y á la reputación de La-Gasea. gio al lado de los C avanilles, de los B aux, de los R ich ards, de Salida la comitiva del palacio tornó la plaza Nueva , y si­ los Decandolles y de las demas lumbreras de la botánica. Sin Hablase mucho de algunas meda…</t>
  </si>
  <si>
    <t>ALLERO, CAB</t>
  </si>
  <si>
    <t>CAB ALLERO</t>
  </si>
  <si>
    <t>07/09/1839</t>
  </si>
  <si>
    <t>Gaceta de Madrid n.º 1760</t>
  </si>
  <si>
    <t>…acional. Al mismo tiempo extendió una alocución al presión compacta, legible y herm osa, adornados con las lámi­ sultado de la elección. público , fijándose ejemplares manuscritos en los sitios mas con­ nas arriba dichas. El Sr. CAB ALLERO cree que en la desaprobación ó apro­ curridos , poniendo en su conocimiento estos lisonjeros sucesos, Puntos de suscripción: En Barcelona se suscribe en la li­ bación de las actas , debe servir de norma la ley y hacer recaer y que confiaba eo que este heroico vecindario se apresuraría á…</t>
  </si>
  <si>
    <t>Alm</t>
  </si>
  <si>
    <t>22/11/1839</t>
  </si>
  <si>
    <t>Gaceta de Madrid n.º 1839</t>
  </si>
  <si>
    <t>…cho nombra­ minos. durante los cuales deben mantenerse, no solo las tropas sitiado­ miento. El de R ipolfes largo, pues qué son 10 horas de camino, ras, sino también los 4 5900 hombres que cubren á Casserras, Granada. — Conde de Alm odóvar, y D. José María Perez. presentando ademas el inconveniente de su mal piso en general sierra de Viure , Porreig y Viver, y las dos columnas entre Bal­ Guadalajara. = D. Ramón López Pelegrin. que exigiría una larga composición : en su curso se encuentran sareny y Berga ; lo que hará uu to…</t>
  </si>
  <si>
    <t>Alma-</t>
  </si>
  <si>
    <t>…? Unos salen vestidos á la usanza del siglo xvnr, rotunda, destinada para las esculturas de bronce y varie­ G sutier, conde Labcrde, el barón Degerando y Jomare], miem­ sntre el¡03 L). Bartolo y la vieja; otros, como el conde de Alma- dad de m ármoles de color. De esta rotunda se pasa al ú l­ bros del instituto, y de Jullien, L eroy, Bailli, y el médico viva , de elegante de nuestros d ias; y por último, los coristas Montegre) que observó este método, dijo lo siguiente: se presenta^.de Milicianos nacionales!!! timo cuarto…</t>
  </si>
  <si>
    <t>Almagro, José Martin</t>
  </si>
  <si>
    <t>José Martin Almagro</t>
  </si>
  <si>
    <t>15/07/1839</t>
  </si>
  <si>
    <t>Gaceta de Madrid n.º 1703</t>
  </si>
  <si>
    <t>…á todas las personas que por D. Fernando vn y el Infante D. Cárlos. por los agrimensores aprobados D. Félix. Nuñez y Trenas y créditos ú otras causas se crean con derecho á dichos bienes, Jura de la Serma. Infanta primogénita. D. José Martin Almagro, y la casilla, pozos y norias en para que ea el improrogable término de 80 dias, contados des­ Pasquines y proclamas subversivas en varios puntos de la 14 00 rs. de esta fecha, parezcan por sí ó por apoderados en forma en los Península. Fu su consecuencia se admitirán de nuevo l…</t>
  </si>
  <si>
    <t>Almarza, D. Pablo Govantes Sr. D. Andrés</t>
  </si>
  <si>
    <t>D. Pablo Govantes Sr. D. Andrés Almarza</t>
  </si>
  <si>
    <t>…. D. Pedro Moret. Sr. D. Antonio Viadera. Sr. D. Miguel de Córdoba. Sr. D. Ramón dé Bacardí. Sr. D. Pascual Madoz. Sr. D. Ramón Salvato. Sr. Teruel. Logroño. Sr. D. Ambrosio Sánchez. Burgos. Sr. D. Miguel Alejos Burrie!. Sr. D. Pablo Govantes Sr. D. Andrés Almarza. Sr. D. Ramón. María Tempradc. Sr. D. Manuel de la Rivaherrera, Vicepresidente 1.° Sr. D. Salustiano de Olózaga. Sr. D. Joaquin Romero y Domingo. Sr. D. Santiago Azuela. Sr. marques de Someruelos. Sr. D. Ramón de Santillan. Lugo. Toledo. Sr. D. Félix M art…</t>
  </si>
  <si>
    <t>Almarza, Tomasa</t>
  </si>
  <si>
    <t>Tomasa Almarza</t>
  </si>
  <si>
    <t>16/08/1839</t>
  </si>
  <si>
    <t>Gaceta de Madrid n.º 1736</t>
  </si>
  <si>
    <t>…i: D. Luis de Losas, hijo de D. Juan José: Doña Jacinta Alva- BIBLIOGRAFIA. te. Que él habia quedado extremamente pesaroso de lo su­ rez, cedido, y mucho mas cuando el prisionero habia sido to­ de D.hija de D. Tomas Onofre: Doña Tomasa Almarza , viuda Miguel de Vidarreta y Echegaray : D. Vicente Rodrí­ mado como sospechoso de haber causado la muerte. Que guez, en representación de Doña Serafina González: D. Ma­ habiendo acabado de pasar la visita de juez en aquel con­ nuel Ribera , heredero de Doña Josefa Correa: Doña Marí…</t>
  </si>
  <si>
    <t>Almodóvar</t>
  </si>
  <si>
    <t>…. Marcelino Oráa. los que salieron al poder el 15 de A bril de 1857. «D . José Antonio Rich. D. Salvador Campillo. {Constituí ionnel.) D. D. D. T oledo. Granada. « D . Sebastian García Ochoa. MADRID 2 DE E N E R O . «Conde de Almodóvar. «M arques de M alpica. «Conde de Santa Ana. «D . Dionisio Capaz. «D . José M aría Perez. V alencia. No habiéndose p ub licad o en la G aceta los nom bres de « D . M anuel de Soria. «Conde de Parsent. lo« Senadores y D iputados de esta le g is la tu ra , y habiendo G uadalajara. «D . M…</t>
  </si>
  <si>
    <t>ALO, GO NZALEZ</t>
  </si>
  <si>
    <t>GO NZALEZ ALO</t>
  </si>
  <si>
    <t>…O L SA DE M A D R ID . ra «Aa'do reunida podia asegurarse que no se hubiera hecho dades que dejan de percibir por la enagenacion de las mismas ninguna redamación. tierras. Cotización del dia 2 2 a l as tres de la tarde. El Sr. GO NZALEZ ALO N SO insistió en que desde luego El Sr. G O N Z ALE Z A L O N SO empezó su discurso m a n i­ EFECTOS PÚBLICOS. debía el Congreso anular esas elecciones para evitar que no ten - festando que habia pensado retirar esta enmienda ; pero que se g i u L g » r en lo sucesivo los abusos que…</t>
  </si>
  <si>
    <t>Aloe, Antonio Perez</t>
  </si>
  <si>
    <t>Antonio Perez Aloe</t>
  </si>
  <si>
    <t>…í ? i y 17£ á v. f. ó vol. y en el extrangero. Si alguna entrega no tuviese láminas , se hará I). Manuel Perez H e rn á n d e z.. 520 firme: 1 8 , l 7 f , § , f , y i l % á v. f. ó vol. á prima de ¿ , f , una rebaja de 2 rs. D. Antonio Perez Aloe......................................... D . Rufino García Carrasco.................................. 520 520 f Y i Por con ctlPones« Inscripciones en el gran libro á 4 p or 1 0 0 5 00. D . Vicente Silva..................................................... 520 Títulos al po…</t>
  </si>
  <si>
    <t>Alon</t>
  </si>
  <si>
    <t>…reso, y en que se deseche el dictámen en que se estaba El Sr. Ministro de la G O B E R N A C IO N : Efectivamen­ Asi q u e , los pueblos han debido dirigirse á la autoridad ocupando, porque ó bien se admitiese ó excluyera al Sr. Alon­ te no he tenido el gusto de presenciar la discusión de este administrativa que es á quien tocaba ejecutar la ley , y si se so, siempre tendría que ocuparse la provincia en una segunda asunto; otros de no poca importancia me han detenido: des­ consideraban exentos los pueblos de este pago, exi…</t>
  </si>
  <si>
    <t>Alon, Doña Francisca de Paula</t>
  </si>
  <si>
    <t>Doña Francisca de Paula Alon</t>
  </si>
  <si>
    <t>…tulo de la historia literaria de España , y de la general de plaza á todos los que se crean con derecho á los bienes queda­ pa 4 rs. la civizalacion europea. Pero há mucho tiempo esperamos en vano dos por fallecimiento de la Sra. Doña Francisca de Paula Alon­ La misma colección en 8 .°, 20. á que una pluma hábil y acreditada nos revele los servicios so , marquesa de U sategui, ocurrido en 10 de Febrero de este Retrato de Carlos v , por el original de T ic ian o , y graba­ prestados en todos tiempos por los españoles á la cau…</t>
  </si>
  <si>
    <t>Alon, González</t>
  </si>
  <si>
    <t>González Alon</t>
  </si>
  <si>
    <t>…ndar una proposición , ea la cual exija norata Y i d a r t , h i j a del brigadier D. José D o m in g o , en que cesor á la corona, nos otorga una dulce prenda de paz y se g u ­ la responsabilidad al Gobierno. A qu i verá el Sr. González Alon­ pedia que en atención á los muchos servicios que prestó su d i ­ n dad , y nos promete en el augusto hijo una reproducción de so cómo ahora m ism o, sin nada mas que lo que se ha leído, funto p adre, tanto en la Península como en A m é r ic a , se la as virtudes de sus excelsos pro…</t>
  </si>
  <si>
    <t>Alon, Ramón</t>
  </si>
  <si>
    <t>Ramón Alon</t>
  </si>
  <si>
    <t>…onal pero el encargamento varar Staten Island ; el buque ha sufrido rancha avería, parece que está en buena condición. ñor: Por las comunicaciones que me han dirigido los dignos so de D. Luis Oseñalde por el promotor fiscal D. Ramón Alon­ las Heras el artículo inserto en el periódico titulado el ques costeros, y las cabezasdedechoques Hubo ademas infinidad con los vapores y bu­ Diputados que en comisión de esta provincial la representan Guirigay los muelles rompiendo obras en las conferencias con la de Santander, se s…</t>
  </si>
  <si>
    <t>ALONS</t>
  </si>
  <si>
    <t>…renunciado y no estaba Pidieron la palabra los Sres Ayllon y Osea. lidad de la elección del cuarto. admitida su renuncia: én otras habia Senadores que por el ar­ El Sr. PE R EZ D E R IV A S dijo que la comisión al dar su El Sr. A L O N SO expresó que trataba de demostrar que no tículo 45 de la Constitución podían suponerse sugetos á reelec­ dictámen habia tenido presente , no solo que esta exposición estaba tan claro que se suponía el contexto literal de algu­ ción ; y como el número de suplentes tenia que sér en razón de…</t>
  </si>
  <si>
    <t>…xtremo de delica­ que prim ero tendría que pasar por aquellos trám ites la petición Se anunció que el Congreso lo tom ária en la consideración deza parlamentaria. de que se trataba. debida, y que pasaría á las secciones. El Sr. A L O N SO : Yo no he tratado de usar de esa delica­ E l Sr. A L V A R O : Señores, esta es una cuestión gravísim a El Sr. conde de las N A V A S , dirigiéndose á la comisión deza parlamentaria , sino de pagar un tributo á la sabiduría del que tiene mucho de económica y ag raria; por tanto es nece…</t>
  </si>
  <si>
    <t>…con­ Procediéodose en seguida al orden del día , se anunció que testación al discurso de la Corona. continuaba la discusión del dictán:en de la comisión de Acta^ Se abrió á la una menos cuarto, y leída c! acta de la an ­ El Sr. A L O N SO , reasumiendo lo que manifestó en la sesión a cerca de las elecciones de Albacete, pasando en seguida á rec­ terior, quedó aprobada. de ay er, dijo que el Gobierno en esta última época ha faltado tificar varias equivocaciones los Sres. Capas y Caneja. El Sr. PR E SID E N T E concedió la…</t>
  </si>
  <si>
    <t>Alons, González</t>
  </si>
  <si>
    <t>González Alons</t>
  </si>
  <si>
    <t>…rm inación, ó vea el camino ¡aquella crisis, precursora de subida, se presentó rápidamente la nación. | que ha de tomar. | de bajada. Parece una fatalidad, pero es en todo, pues solo la Y o prescindo de la manera con que el Sr. González Alons&lt; 1 Esa paz que hemos pronunciado aqui llenos de entusiasmo, S gloriosa y feliz circunstancia de la tenoinacir&gt;n de la ley de h a hecho su discurso; S. S. habrá tenido las razones que hay; | ¿puede continuar? Yo creo que se apagará un fuego; pero se | fueros era suficiente agente para…</t>
  </si>
  <si>
    <t>Alonso</t>
  </si>
  <si>
    <t>01/10/1839</t>
  </si>
  <si>
    <t>Gaceta de Madrid n.º 1787</t>
  </si>
  <si>
    <t>…rá al Sr. Ministro de Gracia y Justicia el nombramiento rem atados, encarcelados y encausados. diencia de Albacete misma será quien conteste. Presente está un escandaloso que se ha hecho por su ministerio. A h o r a , si el Sr. Alonso se concreta á disputar las ventajas alto empleado de hacienda pública , á quien yo he rogado en El Sr. C O R T IN A dice que aun cuando es cierto que á los é inconvenientes del principio , no estaremos los dos m uy dis­ cierta ocasión adelantase una paga á la audiencia de Albacete tribunales…</t>
  </si>
  <si>
    <t>…ñas. Coruña su El Sr. F U E N T E ANDR.ES dice que si bien es cierto que ayuntamiento de 20 de Setiembre de 1859.—Señora.—A L. R. P. Los principales españoles residentes en París en la actuali- ha estado sentado á su lado el Sr. Alonso, también lo es que de Y. M —Vicente A lsina, alcalde primero.—Camilo de Gam­ la d , se han reunido ayer en el palacio de la embajada para el otro dia se guardó consideración respecto al Sr. Calderón C o - boa,alcalde segundo.—Juan Manuel de Prado, alcalde tercero.zz :elebrar en familia el f…</t>
  </si>
  <si>
    <t>…escrutinio general, y otra porcíon de ritualidades putado. resultaba que con arreglo al art. 56 de la ley electoral, tres se­ que con la misma razón hubieran podido exigirse; pero exis­ Juró y tomó asiento en el Congreso el Sr. Alonso. rian Diputados y dos suplentes; que aplicando esta fórmula tia ademas una gran dificultad; habia muchas provincias que A petición del Sr. Ministro de la Gobernación se leyó la que era general á las elecciones de Madrid , resultaba que no tenían Senadores electos, pero que todavía no habían…</t>
  </si>
  <si>
    <t>…v illa de Moron y su p a rtid o , &amp;c. que pasen el mar Negro. (N úm . 1792.) Por el presente convoco, llamo y emplazo á los parientes ac­ C ircu lar expedida por el m inisterio de )a G uerra á los c a p ita ­ tuales del canónigo Alonso L o b o , vecino qne fue de la ciu d ad nes generales para que quedea desde luego suprim idas las ca­ de C arm o n a, llamados al goce de la reata del patronato f a m i­ jas de quintos establecidas en sus capitales. (Id.) Salida d e buque pa ra M on tevideo . liar que fundó eo esta v illa ,…</t>
  </si>
  <si>
    <t>…antado primero á pedir la levantabá á im pugnar la proposición que estaba discutiéndose do no pasa de ser una opinión nuestra? Si el modo coo que se palabra; que siéndole indiferente que hablasen determinados sino á pedir al Sr. Alonso le explicase qué habia querido decir ha presentado hubiera sido irregular, si el reglamento no h u ­ señores primero que otros, dejaba esta cuestión á la resolución con las expresiones de wEl Gobierno con justicié desea ó afecta biese dado medios hábiles para presentarla , esté seguro el se…</t>
  </si>
  <si>
    <t>…B o r ta , y particularm en te el célebre p r i v i l e ­ ¿cuál es la suma d i v i s i b l e , y cuáles las porciones que c o r re s - se m a n ife s t a rá mejor en tiem p o de bonanza. T a m b ié n q u ed a rá g io del R.ey D. Alonso iv para que dicho B o rra pudiese be­ ponoen a cada in d i v i d u o ? resuelta la cuestió n sobre un punto de un a im p o r ta n c ia no me­ ber de toda suerte de v in o s , que algunos reputan por apócrifo* Las cinco porciones son 4O , 5 5 , 9 , 2 , 7. n o r , á s a b e r , de las relacion…</t>
  </si>
  <si>
    <t>…primero convenia era dar la paz a a la nación, lue­ á los Sres. Ministros. Entre los grupos que forman los D ipu­ propósito. go entrar *en la cuestión. M as en este m om ento el G obierno tados en medio dél salón , se ve al Sr. Alonso (D. Juan Bau­ Yo me felicito cou S. S. Ojalá pudiera decir otro tanto de tiene que deshacer un cargo q'.ne le ha dirigido el Sr. Olozaga. tista) estrechando afectuosamente primero al Sr. Alaix y des­ otros discursos de que no podré menos de hacerme cargo. S. S. no me gana ni puede aventajar…</t>
  </si>
  <si>
    <t>…Los Sres. Lujan y Menáizabal, á quines como de la comi­ lo que se quejaban de un pueblo de la provincia de Cádiz en 9 y concluye diciendo que no puede m enos, en vista de to­ sión tocaba el uso de la palabra, la cedieron al Sr. Alonso. una exposición que S. S. entregó al Sr. Secretario, y leída que das las observaciones expuestas, de considerarla im practicable El Sr. A LON SO (D. Juan Bautista): lie pedido la palabra, fue, pidió el orador que pasase á la comisión para que en su vis­ y perjudicial, y de rogar por lo tant…</t>
  </si>
  <si>
    <t>…palab ra en contra y h a y a po, ni e le c to r, ni mesa a l g u n a de distrito p a rt ic u la r ha r e c la ­ al sostenerla h a in tro d u c id o un a modificación con la c u a l n a h a b la d o en d istin to sentido. El Sr. Alonso ha hablado en pro m a d o ; d iré m a s , por los mismos que al parecer quedaron ven­ estoy tampoco conforme. S. S. f u n d a d o en el contenid o de ese de las elecciones, a u n c u an d o h a pedido la palabra en con tra. cidos en la lucha e le c to r a l, se ha venido á reclam ar aqu i ot…</t>
  </si>
  <si>
    <t>ALONSO</t>
  </si>
  <si>
    <t>15/10/1839</t>
  </si>
  <si>
    <t>Gaceta de Madrid n.º 1801</t>
  </si>
  <si>
    <t>…e parece hallarse d i­ támen de la comisión , y pido al Congreso tenga á bien desa­ vidida la provincia. N ada encontró que reparar la junta gene­ probarle. ral de escrutinio en las 17 actas de las 50 que se sujetaron á su El Sr. A L O N S O (D. J u a n Bautista): Señores, tengo pre­ CONGRESO DE D IP U T A D O S. examen; pero las otras 15 sufrieron diferentes impugnaciones sente todavía el discurso que pronunció el Sr. Alvaro delante y protestas. PRESIDENCIA DEL SEKOR C A L A T R A V A . del Congreso y la impresión que me h…</t>
  </si>
  <si>
    <t>18/01/1839</t>
  </si>
  <si>
    <t>Gaceta de Madrid n.º 1525</t>
  </si>
  <si>
    <t>…en el depósito de prisioneros de Pam plona. con la proposición del Sr. A rteta y otros Sres, D iputados apro­ da, continúan en esta corte sin novedad en su importante bada ay er por el Congreso. salud. Se dio cuenta de que el Sr. Alonso ( D . M i l la n ) quedaba El comandante general de la provin cia de A v ila p articipa agregado á la sección séptima. en comunicación de 9 del actual que el ca p itá n del 4*° b a ta ­ Se leyó una exposición del Sr. D. Antonio R am írez de A re - llón franco de C astilla D. Marcos O ria h…</t>
  </si>
  <si>
    <t>…a B a le ra , p ara c u y a consecució n, an im ad o s con el ejemplo de V. M . , e s t a ­ m esas, é in t im id a n d o otra con im p ú d ico descaro y osadas am e ­ alcaldes constitucionales de esta v i ll a de B u lla s , D. Alonso ban dispuestos á arro strar los sacrificios que fuesen necesarios, nazas. L a inm en sa m a y o ría de la nación se estremeció al ver G arcía P u e r t a , procurador síndico del a y u n t a m i e n t o , y y o el secundando con todos sus esfuerzos las m edidas que al efecto que el despotis…</t>
  </si>
  <si>
    <t>19/10/1839</t>
  </si>
  <si>
    <t>Gaceta de Madrid n.º 1805</t>
  </si>
  <si>
    <t>…ríamos que se al presente impidiera al Congreso discutir los asuntos que se trajesen esas «leyes aqu i; lo mismo digo de la parte económica hubieran señalado adiímHstraUva ; y la judicial ya he demostrado que no hay in ­ El Sr. A L O N S O se opuso á que se difiriera la discusión, MADRID 1 8 DE OCTUBRE. com patibilidad alguna. De consiguiente, pido que el Senado porque á su entender podia muy bien dividirse el ministerio vote la ley tal como se ha aprobado en el otro cuerpo colcg is- para asistir á los dos cuerpos ; y p…</t>
  </si>
  <si>
    <t>24/05/1839</t>
  </si>
  <si>
    <t>Gaceta de Madrid n.º 1651</t>
  </si>
  <si>
    <t>…te y á las costumbres. Varios ejemplos sacados de los Califas de versal. Justo era pues que los nombres de Sigiienza, Márquez, que en Cicerón la de Verres com placiéndose en el supli­ Bagdad , Cufa y Basora , de nuestros Reyes D. Alonso x y Don G aribay, Z urita, Pulgar, Cáscales, M orales, Mendoza, Ma­ cio de Gabio. Juan i i , fueron suficientes para demostrar que la prosperidad riana y otros infinitos de historiadores, filósofos, moralistas y Pero es mas extensa la libertad que se concede en esta de las ciencias y letras…</t>
  </si>
  <si>
    <t>…ión hubiese explanado porque es de sumo ínteres, i.i« personas que no tienen derecho, y que están nadando en 1 verdad que han manifestado serlo todos los que desde el año 54 | teres morah N o ío haré tan extensamente como el Sr. Alonso, a b u n d an c ia, mientra? otras padecen aqui la m ayor miseria: n&lt; h an estado sentados en esos bancos. Siempre ha habido ese te­ « porque ni me creo con fuerzas suficientes, ni lo creo oportuno. digo m as; cuando llegue el caso podremos explanar mas esta m o r : no ha habido fe en nuest…</t>
  </si>
  <si>
    <t>…o Y si no las habian votado, ¿con qué derecho las decretaban los durnbre? especial, que fue , como dije el otro d ia , que las glorias, los Ministros? ¿con qué derecho las percibían? Con ninguno ab­ El Sr. PR E SID E N T E : Sr. Alonso, si V . S. trata de exten-* triunfos y la paz no deben sancionar los malos hechos: por solutamente. derse, podrá continuar mañana. tanto espero que la comisión retire su proyecto. Se arguye siempre con la necesidad de salvar la patria , con El Sr. A L O N S O : Coocluyo observando que todo…</t>
  </si>
  <si>
    <t>…corte, como todos los seño­ Constitución del Estado. sostiene que han votado el mayor número de electores, lo cu&amp;l res Diputados saben, ha habido una alarma á la una de la no­ El Sr. Ministro de la G U E R R A : Ha dicho el Sr. Alonso no es exacto, porque la mitad son 2895; y no habiendo toma­ che pasada , con motivo de hallarse los facciosos á m uy poca que peligra la libertad de la nación porque esten á su frente los do parte mas que 240 5, faltaban 492 , cerca de 500 electores distancia: la noticia la tengo por cierta;…</t>
  </si>
  <si>
    <t>…cuyo dió m as; tal planta puede darse á la nueva audiencia , de for­ I esa escuadra. arfículo 2.° se dice ( l e y ó ) : pues bien, en este decreto se estable­ ma que casi con lo que cuenta hoy la de Puerto-Príncipe hay | El Sr. Alonso tocó el punto de contribuciones, haciendo c a r - ce una censura previa. para las dos. Sus demostraciones , que pueden verse en el expe- s qo al Gobierno sobre si las habia ó no cobrado coa auto riza- ! El Sr. Ministro de la G u e rra, valiéndose de la ventaja diente, han convencido hasta…</t>
  </si>
  <si>
    <t>26/10/1839</t>
  </si>
  <si>
    <t>Gaceta de Madrid n.º 1812</t>
  </si>
  <si>
    <t>…de que le falta­ mer lugar á lo que el Sr. González Alonso habia dicho; en se­ El brigadier segundo cabo de Valencia en comunicación de ban los dccumentos necesarios; pues lo dicho por el Sr. Caneja guida á lo que dijera el Sr. Alonso (D. Juan Bautista); y ha­ 22 del actual dice que el capitán de la partida franca, D. Mel­ de que á la comisión se le habia presentado un acta limpia y ciéndose cargo en tercero de lo que el Sr. López, corno indivi­ chor Clemente , sorprendió el dia 18 en la venta del Rebollar sin reclamació…</t>
  </si>
  <si>
    <t>Alonso, D. Millan</t>
  </si>
  <si>
    <t>D. Millan Alonso</t>
  </si>
  <si>
    <t>…noso , Secretario 1.° Castellón de la Plana. Sr. marques de Casa-Iru jo. Sr. D. Luis Rodríguez Camaleño. Sr. D. Diego María López, electo. Sr. D. Lorenzo Arrazola. Sr. D. José María Valterra. Sr. D. Andrés Borrego, electo. Sr. D. Millan Alonso.</t>
  </si>
  <si>
    <t>ALONSO, GONZALEZ</t>
  </si>
  <si>
    <t>GONZALEZ ALONSO</t>
  </si>
  <si>
    <t>…anismo me hicieron por un sábio. Mi cabeza ha llegado á tan plausibles como son los que celebramos todos los españoles, pasar un momento sin poner la discusión. j en momentos de reconciliación , unión , paz y fraternidad. El Sr. GONZALEZ ALONSO manifestó no se habia di­ ser una bibiloteca revuelta, cuya llave solamente guar* Después de leer S. S. un trozo del discurso de la corona, rigido de modo alguno á la cornision de Fueros: que reconocía do yo. dice: que para discutir una ley por artículos no se necesitaba la mi­ CAP…</t>
  </si>
  <si>
    <t>…con respecto al Sr. Gómez Par­ Barcelona á ps. fs., | á $ id. Sevilla, i á | id. Bilbao, par din. Valencia, \ b. V iena, viajes. do, quedaría retirado el dictamen. Cádiz, |&gt; d. Zaragoza, $ id. El pañuelo blanco, novela. r El Sr. GONZALEZ ALONSO dijo que formalizaba la Origen de la poesía. reclamación, y la comisión retiró su dictamen. Descuento de letras , á 6 por 100 al año. Se suscribe en Madrid en la librería de Cuesta, frente á las Dióse cuenta de haber sido incluido en la 4»a sección el se­ Covachuelas; en la estampe…</t>
  </si>
  <si>
    <t>Alonso, González</t>
  </si>
  <si>
    <t>González Alonso</t>
  </si>
  <si>
    <t>…ete mas que juzgar y h a ­ qué clases de esas que Hadan en La opulencia se habrá referi­ S. S. que es sumamente lamentable la situación de muchos ju e ­ cer que se ejecute lo juzgad»»? ¿ E .ta r á n siempre sentados en do el Sr. González Alonso: si las hubiera citado podría entrar ces y magistrados , y particularmente los de la audiencia de A l ­ él tribuna! ? Pues qué ¿ no tienen gobierno in terio r? ¿ no reci­ mas bien en materia. Por lo d em as, mientras que la sociedad bacete, que se han visto en el Compromiso de tener…</t>
  </si>
  <si>
    <t>…salida. (Morning Chronicle.) y al parecer no se atreve á aguárdale para recibir una lección justicia de! dictamen de la comisión. Podrá ser m uy cierto semejante á la de Tales. Se nos ha asegurado que aquel cabeci­ cuanto el Sr. González Alonso acaba de exponer: los documen­ lla se ha dirigido hácia la Mancha con una fuerza considera­ tos que ha presentado podrán merecer á S. S. toda la fe de que ble de infantería y caballería , con el doble objeto sin duda de son capaces ; pero si la comisión hubiera de obrar en particu­…</t>
  </si>
  <si>
    <t>13/09/1839</t>
  </si>
  <si>
    <t>Gaceta de Madrid n.º 1766</t>
  </si>
  <si>
    <t>…rio el Sr. L u ja n : Vicesecretario el Sr. f u e n ­ C u n in -G rid a in e ; en Paris , con el presidente del Consejo, los te A «id t es. Sres. Teste, Passy , D uch atel, Villemain y D ufaure. 4-a sección. Presidente el Sr. González Alonso: Vicepresi­ PARTE RECIBIDO EN L A SE C R E T A R IA DE ESTADO dente el Sr. S ilv a : Secretario el Sr. Osea : Vicepresidente el se­ Y DEL DESPACHO DE L A GU E RR A . L a salida de Port-Yendres del Príncipe Real se ha fijado ñor Alfonso. para el 12 próximo. 5.a sección. Presidente…</t>
  </si>
  <si>
    <t>…e Toledo. cido. Esto es en cuan to á la p rim era parte. po colegislador tiene un deber de a v e tig u a r que e fe ctivam enla Q u edaron sobre la mesa los siguien tes d ic t á m e n e s : Respecto de la segunda diré que ei Sr. González Alonso h a lo e s t á : esta es la verdadera opinió n ó concepto de la ley. H a s­ 1.° Acerca de la a d m isió n del Sr. Gómez P a r d o , suplente reclamado del Congreso cierta g ra c ia á favo r de los D ip u ta d o s ta a q u i m i opinión en esta m ateria , que juzgo la mas con for­ p…</t>
  </si>
  <si>
    <t>…las elecciones de Pontevedra, comisión que ahora se discute; y tanto por é l , como por las previene que los cuerpos colegisladores sean únicos jueces so­ y de este modo S. S. podría aprobarlas legalmente. observaciones del Sr. González Alonso, tengo que hacer a lg u ­ bre la legalidad ó ilegalidad de las elecciones; y por él verá el El Sr. C O R T I N A : La comisión no puede menos de estar nas para rectificar algunos hechos, sobre losxjue el Congreso re­ Congreso que sin faltar á ella puede adoptarse un m edio, que m uy…</t>
  </si>
  <si>
    <t>…o Congreso. esos premios colectivos, recae lo mismo sobre los que son acree­ de estos señores. Se dió cuenta y acordó constase en el acta que la comisión dores á ellos como sobre los que no lo son, y por otra en que Dijo el Sr. González Alonso (leyendo ) wque no podia menos nombrada para informar acerca de la proposición del Sr. Sán­ no se comprende á los mutilados, cuerpos francos y Milicia de extrañar que el Ministro de la Gobernación 110 haya puesto chez de la Fuente y otros Diputados para que no se abone suel­ nacion…</t>
  </si>
  <si>
    <t>…e piensa reunirse hoy CAPITULO I. Rothschild, Meternich ni RossinL para acordarlo definitivamente. M i nacimiento. El Sr. ARTETA: También yo á mi vez tengo que hacer­ c ap i t u l ó xiv. me cargo de lo que ha manifestado el Sr. González Alonso; El 12 de Marzo de 1765 salí ,de las tinieblas para ver porque al mismo tiempo que se ha dirigido á la comisión de a luz del dia. Me'midieron, pesaron y bautizaron. Nací M i epitafio. Contestación al discurso de la corona, lo ha hecho también á Aqui han colocado la que entiende del p…</t>
  </si>
  <si>
    <t>…y 12 á v. f. ó vol.: I 4 á 60 d. á quien debia responder de sus actos , 'pues de ella dependía f. ó vol. á prima de 1 por 100: 7$ y 7 | á v, f. ó vo!.nuevas. inmediatamente , y no del Gobierno, como quiso dar á enten­ der el Sr. González Alonso , suponiendo que habia sufrido de Acciones del banco español de S. Fernando, 00* LA ESPERANZA, c a m b io s , PERIODICO LITERARIO. su parte reconvenciones. Y concluyó rogando al Congreso apro­ base el dictamen; pues no tenia datos fehacientes para obrar Londres, á 90 dias, 3 8 |. C…</t>
  </si>
  <si>
    <t>21/09/1839</t>
  </si>
  <si>
    <t>Gaceta de Madrid n.º 1776</t>
  </si>
  <si>
    <t>…ara decidir la con­ por la provincia de Toledo, por no estimarse justa la reclama­ la autoridad civil y gub ernativ a; y antes de hablar de e lla , lo secuencia form al, es decir; adoptó respecto de elecciones lo que ción del Sr. González Alonso. voy hacer de lo que sucedió en el distrito de la Palma. Se pre­ los jurisconsultos hacen respecto de las pruebas , que dos pruebas El Sr. P R E S ID E N T E anunció para mañana la discusión sentó un alférez con 13 soldados al juez de primera instancia, semiplenas forman una plena. Y…</t>
  </si>
  <si>
    <t>…hoy por no h allar tacha n in g un a legal contra dicho señor cial decano ; que este* se excusó bajo el pretexto d e q u e no le de ley que h aya presentado, lo cual eo su concepto no puede en ios documentos que presentó el Sr. González Alonso. correspondía; y que no habiendo quien presidiese, fue necesario en manera algun a aprobarse , y que en vez de invitarle al Go­ El Sr. G O N Z A LE Z A L O N S O , protestando que no tenia disolver la jun ta. .. bierno á que reproduzca los proyectos , se ponga en su conoci­ resenti…</t>
  </si>
  <si>
    <t>…pregunta de si se tomaba en consideración esta la noche. bu !*,»1 para decidirlas. enmienda , el Congreso se decidió por la negativa. ES Sr. C A B A L L E R O dijo que esas reclamaciones se podian Se leyó otra enmienda del Sr. González Alonso reducida á BOLETIN DE COMERCIO. Inber dirigido á la comisión de despacho que hacia las veces que se autorice á las diputaciones provinciales para que com­ de la diputación provincial , y añadió que aunque esta hubie­ pensen á los pueblos por medio de otros arbitrios de las c an ti­…</t>
  </si>
  <si>
    <t>…osa que la pauta que \ Tengo abocado ese artículo; no me meteré yo á profundizar la civilizada, ha desaparecido, y para siempre; pues aun cuando el Gobierno de S. M . trata de seguir en su marcha política y I cuestión como el Sr. González Alonso, pues me acuerdo hNn la guerra continúa asolando á algunas provincias de la m onar­ en la administración y manejos de los intereses públicos; y de 1 que quise en cierta ocasión indicarle, y desde un banco s¿ rae quía , su foco principal está exterm inado, y para siempre, re­ consigu…</t>
  </si>
  <si>
    <t>…. Ruego &lt;I Tocó el Sr. Alonso otro punto relativo á la suspensión de Congreso que en esta parte me oiga coa benignidad, porque 1 i un periódico: siento, señores, tener un escudo tan poderoso en Empezó ayer esta discusión el Sr. González Alonso, y en un cuestión es delicada, es espinosa, y hoy tal vez lo es mas de 1 &gt; esta cuestión, porque no quiero que sirva de pretexto para de­ discurso templado tocó entre otras especies la de la influencia que se piensa. extrangera. Siento que sea yo el que tenga el honor de contes­ c…</t>
  </si>
  <si>
    <t>…ley que el Congreso tiene. del presupuesto, con reserva de la cuestión constitucional, h a ­ 2.° Otro del de la Gobernación , manifestando haber pedido al gefe político de A v ila la certificación de las actas de la d i­ El Sr. González Alonso procede equivocadamente, pues dice bían manifestado su deseo de que se les presentasen nuevas ba­ que la cuestión que se establece es la misma que está sometida á ses de negociaciones. En la proclama que ha publicado el Rey putación p ro v in c ia l, sobre las reclamaciones de los el…</t>
  </si>
  <si>
    <t>…tro de Gra­ que le componen , el Senado no podia examinar la legalidad de cia y Justicia dió principio á su discurso respondiendo en pri­ las elecciones de Huelva por la razón sencilla de que le falta­ mer lugar á lo que el Sr. González Alonso habia dicho; en se­ El brigadier segundo cabo de Valencia en comunicación de ban los dccumentos necesarios; pues lo dicho por el Sr. Caneja guida á lo que dijera el Sr. Alonso (D. Juan Bautista); y ha­ 22 del actual dice que el capitán de la partida franca, D. Mel­ de que á la comi…</t>
  </si>
  <si>
    <t>…nsa del dict a­ asi como también la restricción de no Congreso el aplicar las leyes, y que por lo tanto este no puede der ejercer libremente su profesión mientras resida y sirva en una equivocación. po­ men, indicando que el Sr. González Alonso habia procedido de resolver sino que pase al Gobieruo la solicitud de aquel in te­ S. Gervasio , que se le habia impuesto por un consejo de dis­ El Sr. C O R T I N A manifiesta que debia decirse que no h a ­ resado. ciplina de un batallón de dicha ciudad. La comisión opinaba bia lug…</t>
  </si>
  <si>
    <t>30/08/1839</t>
  </si>
  <si>
    <t>Gaceta de Madrid n.º 1751</t>
  </si>
  <si>
    <t>…, para el tercero y último de adjudicación el 50 de Noviembre del cor­ El Seoado quedó enterado de un oficio del Sr. Secretario difícil de que se hizo cargo. del Despacho de Estado, al que acompañaba el Real decreto de El Sr. González Alonso, dedicado constantemente á esta riente año, de diez á doce de sus mañanas en los estrados de 26 del corriente por el cual S. M. la Reina Gobernadora , en trabajos intendencia, bajo el pliego de condiciones y presupuesto uso de sus prerogativas, ha tenido á bien nombrar para Presi­…</t>
  </si>
  <si>
    <t>Alonso, José</t>
  </si>
  <si>
    <t>José Alonso</t>
  </si>
  <si>
    <t>10/08/1839</t>
  </si>
  <si>
    <t>Gaceta de Madrid n.º 1730</t>
  </si>
  <si>
    <t>…I. SS. ministros del tribuna) de Valencia D. Manuel ViUafañe, Félix G alilea, gefe político interino que fue en el año pasado primer tomo por el mismo precio de suscripción al tiempo de D, Ramón G¡raido, D. Lorenzo Villanueva, D. José Alonso, de 1837 de la ciudad de Murcia , para solo el efecto, por aho­ hacerla por el tomo ó tomos siguientes. D. Francisco Gutiérrez Soss-a, D. Francisco !&gt;ala, D. Juan A n­ ra , de que inmediatamente le dé el correspondiente aviso por Continúa aquella abierta en los términos y por el precio d…</t>
  </si>
  <si>
    <t>Alonso, Juan Bautista</t>
  </si>
  <si>
    <t>Juan Bautista Alonso</t>
  </si>
  <si>
    <t>…cerca de la admisión del señor ya de las pasiones turbulentas que han agitado otros pueblos en *ueros.” este lastimoso periodo de discordia, cifrábase solo su anhelo en El Sr. Eceta: **A la nación inglesa, que tantas simpatías D. Juan Bautista Alonso, cuarto suplente por la provincia de el restablecimiento de una paz sólida y honrosa que asegurase la mostrado por nuestra causa, corno constancia y lealtad en M adrid , en virtud de haber optado por otras los Sres. López, Mendizabal, Olózaga y demas , siendo de parecer la comi…</t>
  </si>
  <si>
    <t>…le, ha llenado del mas puro regocijo al leal vecinda­ 1.° Copia certificada de la del distrito de Villacarrillo, pro­ delicadeza. rio de Santa Cruz de Múdela ; y su ayuntamiento constitucio­ vincia 2.° de Jaén. Un oficio de D. Juan Bautista Alonso, cuarto suplente La equivocación de la comisión es un error cronológico íq^ nal , fiel intérprete de tan patrióticos sentimientos, tiene la por la provincia de Madrid , en que solicita su admisión en el tituyentes enpues voluntario; dice que se acordó una ley por las Cortes co…</t>
  </si>
  <si>
    <t>Alonso, Juan Crisóstomo</t>
  </si>
  <si>
    <t>Juan Crisóstomo Alonso</t>
  </si>
  <si>
    <t>…do se adopten años escolásticos. citando carta de naturaleza. carias medidas relativas al crédito público. ' 172. D. Juan Antonio Recarey, sobre validez de una dona­ 215. Rafael de AlbareSloz y Domingo Ramírez, pidiendo 255. D. Juan Crisóstomo Alonso, reproduciendo la señala- ción hecha á favor de sus dos hijos. se declare nulo el sorteo practicado en la villa de Viguera el la con el número 9 8 , resuelta ya por el Congreso. 175. Esperanza Lagarriga f en solicitud á pensión. 1.° de Enero del corriente año. 254. La diputa…</t>
  </si>
  <si>
    <t>…francos, y también han recibido nistro de Hacienda. El panteón de los Reyes Católicos ilum inado ’ de una poderosa casa de comercio de Amsterdam un donativo L a iglesia de Atocha con su im agen y banderas. de 600 francos. 98. D. Juan Crisóstomo Alonso , escribano del juzgado de El coro de capuchinos de Roma con toda su comunidad. Estos actos de munificencia, estos testimonios de estimación, Nava-hermosa , pide se le releve del pago de los derechos de Está abierto todos los dias desde las diez de la m añana has­ son para ‘u…</t>
  </si>
  <si>
    <t>Alonso, Julián</t>
  </si>
  <si>
    <t>Julián Alonso</t>
  </si>
  <si>
    <t>03/04/1839</t>
  </si>
  <si>
    <t>Gaceta de Madrid n.º 1600</t>
  </si>
  <si>
    <t>…dias del inm ediato siguiente. sugetos siguientes: D. Alberto Tolosa , D. Pedro V illar, Don que hay en aquellos hospitales para atender á la curación de Q ue en el estado de valores se com prendan con José García M artínez, D. Julián Alonso, D. José Quintana, fin los muchos heridos que en ellos se hallan. Con este m otivo, y á la distinción debida los de las rentas y ramos que se ad« D. Francisco Pavas, D. Juan Bautista de Llano, D. Juan M a ­ ademas de poder acudir al alivio de estos beneméritos militares, que nuel Mue…</t>
  </si>
  <si>
    <t>15/02/1839</t>
  </si>
  <si>
    <t>Gaceta de Madrid n.º 1553</t>
  </si>
  <si>
    <t>…ra­ Alejo Izquierdo que sirve la judicatura de igual clase de Pa­ gobierno la autorización de fabricar un puente colgante sobre do nía de la Bélgica. Los territorio*en disputa continuarían sien­ leada , y para esta resulta á D. Julián Alonso, juez electo de el Tiber. (Gazette d'Augsbourg .)” civil y judicialmente administrados por el gobierno belga, Plasencia. elegirían corno ahora sus Diputados para las Cámaras legislati­ Asimismo ha tenido á bien nom brar, á propuesta de las vas y para los consejos de provincia; pero q…</t>
  </si>
  <si>
    <t>Alonso, Manuel</t>
  </si>
  <si>
    <t>Manuel Alonso</t>
  </si>
  <si>
    <t>13/08/1839</t>
  </si>
  <si>
    <t>Gaceta de Madrid n.º 1733</t>
  </si>
  <si>
    <t>…da de que aspire al Su primer pensamiento debió dirigirse á dejar en sus here­ deros, por medio de una buena educación, unos continuadores amor de su hermana; su rabia al ver que la obedece; su fue Se avisa á los herederos de D. Manuel Alonso, marido que de Doña María Fernandez (que residía en Madrid el mes de la grande obra de que él no ha podido dejar mas que el d i­fingida inclinación á Carlos, á quien los celos han hecho de Marzo de 1822), que pueden dirigirse á D. Ildefonso Pi­ seño, y buscar en sus yernos unos auxili…</t>
  </si>
  <si>
    <t>Alonso, Ramón</t>
  </si>
  <si>
    <t>Ramón Alonso</t>
  </si>
  <si>
    <t>25/06/1839</t>
  </si>
  <si>
    <t>Gaceta de Madrid n.º 1683</t>
  </si>
  <si>
    <t>…y concluye: " y de otros ministros iguales á estos” , gidos de Jovellanos ,Ó lavide, Cadalso , bolis, Crespi, Cervao- rir la opulencia y el esplendor que disfrutamos. Faltaba á nues­ denunciado por el caballero promotor fiscal D. Ramón Alonso tes, M ariana, Chaide , Isabel la Católica, Hernando del Pul­ tro bienestar un tribunal superior de justicia que de cerca nos de las Heras en concepto de incitador á la desobediencia ; des­ gar y A y ala , y otros en verso, éscogidos de las obras de M artí­ oyese y consolase., y al inst…</t>
  </si>
  <si>
    <t>Alonso, Sr.</t>
  </si>
  <si>
    <t>Sr. Alonso</t>
  </si>
  <si>
    <t>…l ministerio a c tu a l, que que debía nombrarse un suplente que faltaba despúes de adm i­ llena de desconsuelo contemplaba m uy remota todavía la época ia prestado socorros tan noble y generosamente á la causa de la tidoElel Sr. Sr. Alonso. B E N A V ID E S : La duda que se presenta es una duda dichosa en que pudieran realizarse tan grandes beneficios, la ve ileina de España.” adelantarse por una especie de prodigio que eternizará la glo­ El Sr. Colomer: " A l Presidente del Consejo de Ministros de de ley electoral acerca…</t>
  </si>
  <si>
    <t>Alooso</t>
  </si>
  <si>
    <t>…dice: "á los tribunales.” Asi e s, que si es gloria le cabe cuanto mas penosa es su situacian. cia , agradeceré mucho la confianza ; pero tengo la seguridad colegiado, lo componen colectivamente los 8 ó 10 ó i 2 de Dice el Sr. Alooso que la Hacienda se apoderó antes de de que en mi ministerio no se han hecho. que consta: a s i , lo que se encarga á un solo individuo r&gt;o se ahora de las penas de cámara y gastos de ju s t ic ia , para des­ S. S . , llevado del calor que es el carácter de sus discursos, encarga al trib u n…</t>
  </si>
  <si>
    <t>…s. Diputados que se ha­ que solo presagiaba eternos odios y reocores. Pasiva, 8b llan presentes se encuentra uno que no lo es. (Hacia alusión al Dignaos, Señora, admitir benigna esta franca y sincera Diferida antigua , 9 |. Sr. Alooso nombrado cuarto suplente por Madrid.) manifestación , ya que á la generosa y benéfica mano de Y. M. Ciuco por 100 portugués, 95. El Sr. P R E S ID E N T E : No habia reparado; pero creo que p s debido suceso tan venturoso , y recibid los votos de un ay u n ­ Id. 5 i d ., 25b la persona á qu…</t>
  </si>
  <si>
    <t>ALQUIVIR</t>
  </si>
  <si>
    <t>26/11/1839</t>
  </si>
  <si>
    <t>Gaceta de Madrid n.º 1843</t>
  </si>
  <si>
    <t>…llón que S. M . llevará al pecho. Las cartas de la frontera, publicadas por el Moniteur, c o n ­ (fiera id .) firman la noticia de la muerte del conde de España. Sevilla 10 de Noviembre, M E JO R AS P U B LIC A S EN E L G U A D A L Q U I V I R . . An tea yer han recorrido algunos barrios de Lóndres d iv e r ­ Escriben de S. Petersburgo co n fecha 2 de N o v ie m b r e que sos grupos de ca rlis tas, dis trib uyendo con p r ofu sión unas cir ­ el navio de guerra San Nicolás , dé cañ ones, m andado por culares concebidas en…</t>
  </si>
  <si>
    <t>Alraec, D. Felipe</t>
  </si>
  <si>
    <t>D. Felipe Alraec</t>
  </si>
  <si>
    <t>…8 del corriente, el i la Reina , notario público del colegio de dicha ciudad, certifi­ por 3ai va r su honor. Huye la in feliz, y busca asilo en casa comandante Páramo con la columna de su mando tuvo noticias co : Que ante el Sr. D. Felipe Alraec, alcalde tercero constitu­ del conde de O rgaz, al mismo tiempo que el R e y , pren­ se dirigía un gran convoy para los enemigos, el cual compuesto cional de esta capital, y por rni testimonio, se ha formado ex- dedos carros y 52 cargas de víveres, logró aprehender en el pediente á…</t>
  </si>
  <si>
    <t>Altabas, Ramón</t>
  </si>
  <si>
    <t>Ramón Altabas</t>
  </si>
  <si>
    <t>…a Parra , id., Union 1.a, antes M e- mo Elactual mismo dia D. Armando N a jel, residente en G ijon, co­ apoderado de los Sres. Aguado, Muriel y Paula primera^ aves de ra p iñ a , que son siempre las mas inm e­ talblauco, por D. Ramón Altabas, en 2. diatas, descubren primero la osamenta; y con sus revole­ Enriquez, vecinos de Paris, pidió el registro de cuatro perte­ Otra id., sierra Alm agrera, término de P ulpi, San José, nencias contiguas sobre el criadero de carbón de las Llanas, tees y graznidos llaman la atención d…</t>
  </si>
  <si>
    <t>Altaron, Rafael</t>
  </si>
  <si>
    <t>Rafael Altaron</t>
  </si>
  <si>
    <t>…é asimismo los antecedentes que .»subido. Se remitió á la comisión de Actas la que presentaba el se­ Babia para esta variación, á saber, unos aranceles fundados ea Pasó el Sr. Madoz á comparar el arancel existente con el ñor D. Rafael Altaron ací y Mora, Diputado electo por Jaén el sistema de concesiones mutuas., uoa junta ó trabajos prepara­ que habia dejado de existir, para hacer ver que lo que Catalu­ en reemplazo del Sr. D. Simón Fernandez Gallardo. torios del Gobierno para variar estos mismos aranceles, de ios ña pedi…</t>
  </si>
  <si>
    <t>Alten</t>
  </si>
  <si>
    <t>…rio de la educación física, gimnástica quebotes de vapor, de fuerza de 540 caballos, por cuenta del y moral del coronel Amorós, ni de los premios concedidos á ministerio de Hacienda. ¿ Estarán destinados á formar por fin El conde Alten , general en gefe al servicio del Rey de Han- nuestro ilustre paisano , r.i de los elogios hechos por filósofos, las líneas de navegación regular que el ministerio ha prometido nóver , bien conocido por la parte que tomó con la legión han - sabios y generales en los libros de educación y en lo…</t>
  </si>
  <si>
    <t>Alv</t>
  </si>
  <si>
    <t>…: L a comisión está conforme en la palabra, diré al Sr. Sancho que en la comisión se trató de no haya ese valor y esa fortaleza , es necesario someterse á ella, que ha habido motivo que justifique el procedimiento, y el si el Sr. Alv arez tenia ó no fuero militar , y algún señor de la como yo me someto, sin embargo de que quizá no estuve con­ procedimiento criminal contra la persona del Dip utado Alvarez. comisión dijo que le parecía que s í; se trató también de si, forme con todas sus doctrinas; pero no hay ninguno que u»e…</t>
  </si>
  <si>
    <t>Alva</t>
  </si>
  <si>
    <t>…ndicta públi­ gun a manera mala fe. dalosos , porque no hace mucho tiempo que habiendo propuesto ca suprimiéndole? De ninguna m anera; el Gobierno ha debido Habló el Sr. conde del crédito; las teorías del crédito son E duque de Alva para la abadía de O livares, abadía quizá la por los medios legales perseguir al que incurrió en esa falta; bien conocidas , hay un inmenso número da personas que están mas insignificante de España , se han remitido las bulas por ha debido hacerlo ; ha debido proporcionar la reparación de m uy…</t>
  </si>
  <si>
    <t>Alva, Francisco de Paula</t>
  </si>
  <si>
    <t>Francisco de Paula Alva</t>
  </si>
  <si>
    <t>18/10/1839</t>
  </si>
  <si>
    <t>Gaceta de Madrid n.º 1804</t>
  </si>
  <si>
    <t>…ado; y yo pregunto á S S ., ¿quién pidió au­ sultar mucho provecho de que venga ese testimonio si el juez las Cortes, no al Gobierno. El tercer punto que ha tocado el Sr. Cortina ha sido sobre torización para proceder contra D. Francisco de Paula Alva— juzga necesario enviarlo; porque tampoco se le m anda, tam ­ la necesidad rez? Pidió la autorización el Gobierno de S. M . , y la autori­ poco se le previene , el juez puede enviarlo y las Cortes deter­ pide: en esta óparte utilidad de la remisión del testimonio que se zac…</t>
  </si>
  <si>
    <t>Alvar</t>
  </si>
  <si>
    <t>26/07/1839</t>
  </si>
  <si>
    <t>Gaceta de Madrid n.º 1715</t>
  </si>
  <si>
    <t>…por S. M. Mendoza , D. G er ón im o de Z u r i t a , D. Diego S a j v e d r a F a j a r ­ Caspe de que en M*u?l!a y Tab ara existían algunas partidas re­ E;t.ído de C a t a l u ñ a , según deducciones de la corresponden­ do y D. Alvar o N a v i a Oso rio. beldes , dispuso el dia 19 por la tarde la salida de 150 i u f a n - j cia de las autoridades superiores. 7.° D. Luis de Requesens, D. B ir tol orré Leonardo de A r - tes y 25 caballos délos Nacionales movilizados, los cuales avis­ Partes comunicados al Gobie rno sobre con…</t>
  </si>
  <si>
    <t>Alvarez</t>
  </si>
  <si>
    <t>…aprobar la prisión del Diputado deque se trata, y si bien El Sr. P R E S ID E N T E : Orden del dia. Dictamen de la co­ pudiera limitarme al círculo estrechó que con tanto tino se trazó misión sobre la piision del Sr. Diputado Alvarez. hace poco en una cuestión semejante á esta , y decir como aque­ Los Sres. conde de las Navas y Pacheco pidieron la pala­ lla comisión: "h a habido hechos én Sevilla que aparecen como ACTAS DEL GOBIERNO. bra; y asi estos, como otros varios Sres. Diputados, se aproxi­ criminales, ha habido…</t>
  </si>
  <si>
    <t>…ar, se dirige á que no constando las razones por que el que referirse al parte del mismo general. ( L ey ó un trozo d e blecida, no por las arbitrariedades que com eten, sino porque capitán general de Andalucía habia preso al Sr. Alvarez, no aq u el en que se d ice que de hecho quedó disuelta la junta.) sostienen el orden. Por lo que* á mí toca rechazo con toda la habiéndole cogido in fr a g a n tí , el Congreso dé un voto de cen­ Luego la junta existia : luego las personas que pertenecían á ella fuerza de que soy capaz es…</t>
  </si>
  <si>
    <t>…e Cleonard en sus contestaciones al Gobierno, El Sr. Ministro de GRACI \ Y JUSTICIA: Lo que he d i­ Dice el artículo: {Lo leyó.) Alvarez: « L a rebelión cho en mi discurso no ha sido de ninguna manera para hacer El sr. Diputado Alvarez fue hallado infraganti , luego continúa v iv a , aun después de haberse reasumido 1a autori­ dad. Quiere decir que el conde de Cleonard, que ha manifesta­ Wfc* al Congreso, sino me referí únicamente á lo prolongada pudo ser arrestado: esto es lo que voy á probar, pues la parte do qltMr era…</t>
  </si>
  <si>
    <t>…aremos el hilo Añade que no es el primer ejemplar el que sucede ahora de nuestros próxim os artículos recorrerem os las p rin cip a­ de los sucesos exteriores en este ligero extracto, en el mismo con la prisión del Sr. Diputado Alvarez; pues en la época del les m edidas tomadas hasta el dia por el actual m inisterio, punto en que le dejamos interrumpido. año 54 Jalgunos de los Diputados que ahora se sientan en el y por ellas pod rá deducirse si es ó no acreedor al apoyo Conocido es ya de nuestros lectores el nombramiento…</t>
  </si>
  <si>
    <t>…ón en que el conde de pues hasta ahora no habia nadie que hubiese dicho como S. S . N i en un solo oiño de los que entre alii habia he podido notar Cleonard había cometido atropeilainientos de toda clase, que que el Sr. Diputado Alvarez hubiese sido preso infraganti. ¡ en su semblante que la educación moral perjudicase á su salud: habia procedido á la prisión del Diputado A lvarez, y que en Que el Sr. general Sanjuanena, puesto que se dice la halló m - prueba incontestable de que en este colegio se les trata con el 4 su…</t>
  </si>
  <si>
    <t>…que no dividuos de la junta, para que nunca se dijere que se trataba de ría ¿ q u é quieren los señores de la comisión al decir paladina­ se ha resuelto la única cuestión que debe servir de p au ta, que sustraer del juicio al Sr. Alvarez por ser D ip u t a d o , la comi­ mente que el Diputado Alv arez sea juzgado por la justicia or­ es la de infraganti . sión de buena fe creyó que estaba comenazada la actuación c r i­ d i n a r i a ? Esto quiere decir que como Diputado no hay bastan­ Y o 110 veo medio legal de esclarecerse y…</t>
  </si>
  <si>
    <t>…dos por el G o - ¡ que había una infracción notable de la Constitución, cometida de la R osa, Salva, Rodríguez del V alle, Q u iroga, Olivan, bienio, y el Presidente no se considera con facultad para impe­ al prender al Diputado Alvarez sin et permiso prévio del Con­ Barrio A yu so, marques de Someruelos, conde de Ayamans, d ir su lectura. greso. Yo repito que reconvengo al Gobierno por la inopor­ barón de Casablanca, Valterra , Zaforteza , Pardo Montenegro, El Sr. A R G U E L L E S indico que no había sido su ánimo tunida…</t>
  </si>
  <si>
    <t>…sucedieron efectivamente de padres dores franceses. poco mas de 100 infantes; siendo el resultado la muerte de los á hijos sin interrupción. He aqui pues nuestra opinión, que nos parece la mas cabecillas Remesar, Carril, Cura de Alvarez, y otros de sus ti­ No ¡habría cuestión si se hubiese podido encontrar al­ conforme á los hechos, á la sucesión histórica y á los do­ tulados oficiales, mas de 4 O rebeldes muertos, muchos heridos, gún documento fehaciente de la cesión de Carlos el Calvo cumentos conocidos hasta ahora. algu…</t>
  </si>
  <si>
    <t>…muerte de los ca­ sus Los cuentas. Se cree que todo saldrá bien. consolidados están á 9 5 ¿ , | al contado, 93y á cuenta. rores, ¿dé qué sirven esa dilación y esa pérdida de tiempo ?... becillas Souto de Remesar, Caril, cura de Alvarez, y otros de Bonos del tesoro , en una ligera baja, 28 , 26. En este caso es evideote que no cambiando de principios, se sus titulados oficiales según ios papeles encontrados sobre los ca­ Bonos de las Indias, 30-28. quiere solamente apelar á las masas y estimularlas coa sugestio­ dáveres, si…</t>
  </si>
  <si>
    <t>…y Solimán concede á los primeros; es uecesario que para ello esten reco­ putados electos; en el de la Constitución de 1857 solo se trata (Selves), á quien se habia tratado de envenenar. nocidos en el Congreso. Precisamente el Sr. Alvarez cuando los de los Diputados. El art. 7.° del mismo decreto dice {lee). En Estas noticias ocupan vivamente los ánimos por la influen­ acontecimientos desgraciados ocurridos en Sevilla era D i p u t a ­ este artículo se prevenía que el tribunal que tomase conocimien­ cia que puedeu ejercer só…</t>
  </si>
  <si>
    <t>…en la rectificación que acaba de no ha lugar á deliberar sobre este dictam en, y esperar á que el en su origen que arresto, que este continúa: pues si no hay hacer el Sr. Cortina ha manifestado lo vago , lo imperfecto , lo Sr. Alvarez haga la reclamación conveniente y remitido el tes­ auto de prisión, y según la ley electoral solo en este caso se pue­ inexacto de la significación de la palabra arresto. Unos la con­ timonio necesario. de impedir aqui la entrada á un D iputado, ¿con qué razón se sideran jurídico m ilitar,…</t>
  </si>
  <si>
    <t>…quiero ds u a juez de p ri­ situación social que tenían antes de ser nombrados Diputados. competencia del tribunal que h a y a de entender en la causa del mera m s t a n .1.4, si este quiere procesar á co nq uiera que sea El Sr. Alvarez no era Diputado en las Corles actuales, pues Sr. Alvarez. Cre- 8. S. que no se decidió arregladam ente, so- ( nombrado D.putado „ y de este modo el Con/jreso puede estar muchos meses anfes hacia que estaba sufriendo el arresto. m e t i e n d o el cococi miento de esa causa a! tribunal milita…</t>
  </si>
  <si>
    <t>…la ca­ Congreso, faltaría como he dicho á la Constitución , y violaría que para algo está allí. pital. Parece que dicho V an-A m burgh acababa de entrar á en gran parte las facultades del poder judicial. ( EL Sr. Corti­ El Sr. Alvarez puede y debe venir aqui ; y digo mas , si presencia del público en la primera jaula de sus peligrosos na pide la palabra,) Espero que el Sr. Cortina que ha pedido después de haber tomado asiento en el Congreso se le considera­ discípulos, y habia comenzado apenas á excitarlos, cuando la pa…</t>
  </si>
  <si>
    <t>…e suponiendo esas J cho los hombres de la minoría y de ía oposición. Ma nd an do en aquel distrito militar , tienen el honor de dirigirse al heroico circunstancias debia venir el Gobierno á las Cortes á decir que Barcelona al Sr. Alvarez , ó á lo menos siendo segundo cabo á vecindario de M a dr id para excitar su generosidad y p at ri o tis ­ habia llegado este caso, el cual se díscutia en ambos cuerpos las órdenes del general Mina, fueron deportados en 5 de Enero mo en favor de los desgraciados cuanto beneméritos habitantes…</t>
  </si>
  <si>
    <t>…e Gn todos los documentos de diante una autorización que expidió el Congreso, juntamente tes , en fin nadie , pues no cobran sino ciertas y ciertas clases, la guerra y de la paz, nunca ha dicho paz á toda costa, sino con el Sr. Alvarez que se sacó de su fuero para juzgarle como y ciertos y ciertos empleados, en ciertos y ciertos destinos. que la ha proclamado coa Constitución, con el trono de Isa­ uno de los motores de cierto suceso de que no quiero hablar en Estas son, señores, las causas que nos hacen defender con bel i…</t>
  </si>
  <si>
    <t>Alvarez, Antonio María</t>
  </si>
  <si>
    <t>Antonio María Alvarez</t>
  </si>
  <si>
    <t>…ral D. José Carratalá. (Núm. 1858.) Ayer á las tres de la tarde entró la brigada de reserva en I _ relevando de la capitanía general de Granada al teniente El buque correo número 1.° de la empresa de los de la H a- I general D. Antonio María Alvarez. (Id.) M urviedro, en donde se hallaba preparado un convoy de mu­ I baña, saldrá del puerto de Cádiz el dia 2 de Enero del próximo I .... nombrando capitán general de Andalucía al mariscal niciones de guerra y boca, y se ha dicho ha salido hoy con i año de I 84O con la corre…</t>
  </si>
  <si>
    <t>…p an e ra de C o s = S r . gefe po­ edad de mi excelsa Hija la R eina D oña Isabel n , vengo lítico de.......... Sr. gefe político d e ...... en n o m b ra r capilan general de G ran ad a y J a é n al m aris­ cal de cam po D. Antonio María Alvarez, en reem plazo del de la misma clase D. J u a n Palarea, á quien he tenido á Segunda sección.-----Circulares. Quinta sección Circular. bien declarar su cuartel para el distrito de Castilla la Vie­ ja. T en d ré is lo en ten d id o , y lo com unicareis á quien cor- S. M. la R…</t>
  </si>
  <si>
    <t>Alvarez, D. Antonio María</t>
  </si>
  <si>
    <t>D. Antonio María Alvarez</t>
  </si>
  <si>
    <t>24/04/1839</t>
  </si>
  <si>
    <t>Gaceta de Madrid n.º 1621</t>
  </si>
  <si>
    <t>…ones tendríamos que men­ último. nosotros la importancia del servicio que ha prestado el Excelen­ cionar y recomendar si se desplegase todo el rigor y actividad Hemos podido leerlo , y se estipuló que todos los que vo­ tísimo Sr. D. Antonio María Alvarez, á cuyo general se ha que se puede! luntariamente quisieran salir de Melilla , podrían verificarlo querido zaherir en una de sus páginas que mas honrarán su para las costas de Cantabria con sus armas y equipajes perso­ memoria, no debiendo prescindir de prestar aqui nuestro…</t>
  </si>
  <si>
    <t>Alvarez, D. Francisco de Paula</t>
  </si>
  <si>
    <t>D. Francisco de Paula Alvarez</t>
  </si>
  <si>
    <t>…ahora voy á demos— ha habido ilegalidad supone que ha durado ó d u ri mas de ción de I 8 l 2 ; pero que aun cuando tuviese aplicación en la trar que no puede haber inconveniente en que sea admitido diez meses el arresto del Sr. D. Francisco de Paula Alvarez, cuestión del momento, siempre por ese mismo artículo se esta- D. Francisco de Paula Alvarez; ¿y cuál era la causa que pudie­ dicen cuando las leyes protectoras de la libertad y seguridad personal ria en el caso de presentar el testimonio para juzgar sobre su ra haber…</t>
  </si>
  <si>
    <t>Alvarez, Diputado</t>
  </si>
  <si>
    <t>Diputado Alvarez</t>
  </si>
  <si>
    <t>…la. puede aprobar la prisión del Diputado deque se trata, y si bien El Sr. P R E S ID E N T E : Orden del dia. Dictamen de la co­ pudiera limitarme al círculo estrechó que con tanto tino se trazó misión sobre la piision del Sr. Diputado Alvarez. hace poco en una cuestión semejante á esta , y decir como aque­ Los Sres. conde de las Navas y Pacheco pidieron la pala­ lla comisión: "h a habido hechos én Sevilla que aparecen como ACTAS DEL GOBIERNO. bra; y asi estos, como otros varios Sres. Diputados, se aproxi­ criminales, h…</t>
  </si>
  <si>
    <t>…n lugar du­ pecie. S. S. tiene el mismo que y o , esto e s, ninguno, como no que ia posición actual es una consecuencia inmediata de la si­ rante las elecciones , refutando lo dicho sobre que no habia te­ le tiene tampoco el Sr. Diputado Alvarez que es hoy objeto de tuación en que nos encontramos, pues la guerra civil que to­ nido resultado alguno, y solo habían sido penados los delato-v esta discusión , y parecía que solo un sentimiento de propia rnando cuerpo es cada vez mas ensangrentada y desoladora, res , pues indicó…</t>
  </si>
  <si>
    <t>…nas, tornaremos el hilo Añade que no es el primer ejemplar el que sucede ahora de nuestros próxim os artículos recorrerem os las p rin cip a­ de los sucesos exteriores en este ligero extracto, en el mismo con la prisión del Sr. Diputado Alvarez; pues en la época del les m edidas tomadas hasta el dia por el actual m inisterio, punto en que le dejamos interrumpido. año 54 Jalgunos de los Diputados que ahora se sientan en el y por ellas pod rá deducirse si es ó no acreedor al apoyo Conocido es ya de nuestros lectores el nomb…</t>
  </si>
  <si>
    <t>…terpelación en que el conde de pues hasta ahora no habia nadie que hubiese dicho como S. S . N i en un solo oiño de los que entre alii habia he podido notar Cleonard había cometido atropeilainientos de toda clase, que que el Sr. Diputado Alvarez hubiese sido preso infraganti. ¡ en su semblante que la educación moral perjudicase á su salud: habia procedido á la prisión del Diputado A lvarez, y que en Que el Sr. general Sanjuanena, puesto que se dice la halló m - prueba incontestable de que en este colegio se les trata con e…</t>
  </si>
  <si>
    <t>Alvarez, Diputado D. Francisco de Paula</t>
  </si>
  <si>
    <t>Diputado D. Francisco de Paula Alvarez</t>
  </si>
  <si>
    <t>…ra ahorrarme el entrar en estas observaciones. La cuestión REDACCION DE LA GACETA. der al Gobierno de S. M. la autorización necesaria para conti­ está prejuzgada ; el Congreso ha decidido el otro dia que se nuar la causa al Sr. Diputado D. Francisco de Paula Alvarez, formase causa á dos Diputados que tuvieron parte en aquellos entendiéndose para ante el tribunal que corresponda y sea sucesos, y decidida esta cuestión yo rae atrevería á demostrar competente. Sin embargo, el Cougreso con su superior ilustra­ que lejos de d…</t>
  </si>
  <si>
    <t>Alvarez, Domingo Antonio</t>
  </si>
  <si>
    <t>Domingo Antonio Alvarez</t>
  </si>
  <si>
    <t>…caramu­ mercado, debida á los cuidados de Mr. Poublan, arquitecto di Donall Ies arengó de nuevo, con lo que consiguió mitigar en zas que han mediado en aquellos últimos dias, el capitán de la ciudad. parte su cólera. gavilla D. Domingo Antonio Alvarez, vecino de la Carrera A las nueve y media llegó S. A. R. á la sala del baile. Er A la una y cuarto el doctor Taylor con algunos amigos su­ de Lam a, Gregorio Salvador, natural de la Sabuqueira y de­ el momento de aparecerse el Príncipe se comunicó á la concur­ yos se retirar…</t>
  </si>
  <si>
    <t>Alvarez, Eugenio María</t>
  </si>
  <si>
    <t>Eugenio María Alvarez</t>
  </si>
  <si>
    <t>…de Tejerina , soldado del regimiento les de dicha ciudad, y reclamadas actualmente por las oficina 179. Agueda M a rtin , en solicitud á pensión. infantería de América , quejándose del mal trato que recibe de de rentas. 180. D. Eugenio María Alvarez, sobre organización del algunos oficiales de dicho regimiento. 260. Doña Ana y Doña Paula Bonilla, pidiendo se exija montepío de jueces. ^ 222. La diputación provincial de Teruel, en solicitud de la responsabilidad al ayuntamiento de Talavera de la Reio¡ 18 1. Leocadio Aller,…</t>
  </si>
  <si>
    <t>Alvarez, Francisco</t>
  </si>
  <si>
    <t>Francisco Alvarez</t>
  </si>
  <si>
    <t>…ino la arbitrariedad del del poder judicial , porque previene el Congreso que se restitu­ la cornidon , que dice que se remita el testimonio de la causa, juez, que podia por malicia impedir que aquel viniese á su y a á M adrid D. Francisco Alvarez í pesar del arresto, entro­ habiendo dicho a ates .que es D ip u tad o , no está bieo, Lo único puesto. metiéndose á decidir una causa criminal. que tersemos'que decidir es si el Sr. Alvarez es Diputado ó 00, Si el principio que domina la cuestión es el que acabo de Sobre la neces…</t>
  </si>
  <si>
    <t>…o de 20 dias, contados do al castellano de la última edición, y considerablemen­ de conspiración para'entregar dicha plaza, y que 15 de la misma desde la publicación en la Gaceta de esta capital, comparezcan te aumentado, por D. Francisco Alvarez, profesor de medi­ corporación se escaparon temiendo el mismo castigo. A todas las los que se crean con el indicado derecho, á deducirle en forma cina y cirugía. hordas rebeldes se les ha prohibido hablar de paz, y se les imbu­ ante el Sr. D. Francisco Amorós y López, juez de pri…</t>
  </si>
  <si>
    <t>Alvarez, Francisco de Paula</t>
  </si>
  <si>
    <t>Francisco de Paula Alvarez</t>
  </si>
  <si>
    <t>…el entrar en estas observaciones. La cuestión REDACCION DE LA GACETA. der al Gobierno de S. M. la autorización necesaria para conti­ está prejuzgada ; el Congreso ha decidido el otro dia que se nuar la causa al Sr. Diputado D. Francisco de Paula Alvarez, formase causa á dos Diputados que tuvieron parte en aquellos entendiéndose para ante el tribunal que corresponda y sea sucesos, y decidida esta cuestión yo rae atrevería á demostrar competente. Sin embargo, el Cougreso con su superior ilustra­ que lejos de diferenciarse…</t>
  </si>
  <si>
    <t>16/10/1839</t>
  </si>
  <si>
    <t>Gaceta de Madrid n.º 1802</t>
  </si>
  <si>
    <t>…e con la nobleza del carácter español, está pando haber dado aviso al primer suplente por dicha provin­ duda verán realizadas sus mas lisonjeras esperanzas. Tales son encomendado el complemento de su ventura, preparada por cia D. Francisco de Paula Alvarez para que venga á tomar los ardientes votos del rector y claustro de Yalladolid, que lle­ el caudillo pacificador en los campos de V ergara: y al desa­ asiento en el Congreso. nos de gratitud y respeto, creen presentar la ofrenda mas grata parecer dentro de breves dias los…</t>
  </si>
  <si>
    <t>…pero que aun cuando tuviese aplicación en la trar que no puede haber inconveniente en que sea admitido diez meses el arresto del Sr. D. Francisco de Paula Alvarez, cuestión del momento, siempre por ese mismo artículo se esta- D. Francisco de Paula Alvarez; ¿y cuál era la causa que pudie­ dicen cuando las leyes protectoras de la libertad y seguridad personal ria en el caso de presentar el testimonio para juzgar sobre su ra haber para que no entrase? Era menester que ¿e hubiera dic­ que el arresto no debe durar mas de 24 hor…</t>
  </si>
  <si>
    <t>…o quiero llamar ía atención tamente para nada puede servir el testimonio de la causa que Dias pasados dijimos que en el Condestable de Chester, del Congreso para que no se deje seducir con facilidad. se sigue en Sevilla contra D. Francisco de Paula Alvarez. ópera de Paccini, que debe ejecutarse dentro de poco en el Un Diputado ha sido arrestado, y pasa 10 ú l i meses en teatro de la C ruz, trabajarían juntas las dos primas-donnas: El Sr. C O R T IN A : Dos equivocaciones ha padecido mi hoy , mejor informados, debemos mani…</t>
  </si>
  <si>
    <t>Alvarez, Gabriel</t>
  </si>
  <si>
    <t>Gabriel Alvarez</t>
  </si>
  <si>
    <t>…oncurrir Don signar acerca de ellos opiniones sólidas, agenas del con­ Nombres, 'Provincias. Genaro Bayon , por hallarse ausente con anterioridad , por Don tinuo embate y atormentada carrera de la prensa periódi­ Alejo Farro , D. Gabriel Alvarez, D. Cándido Parainio, Dou ca. Por otra parte, aunque el poder y la influencia de esta D. Fausto Otazu. ..................................... Alava. Blas Alonso y D. Antonio Aparicio, se declaró no haber lu-*- sean un hecho incontestable , los sucesos se multiplican de D. José María C…</t>
  </si>
  <si>
    <t>Alvarez, Josefa García</t>
  </si>
  <si>
    <t>Josefa García Alvarez</t>
  </si>
  <si>
    <t>…nalmente por poca delicadeza en el desempeño de Poesía. Por providencia del Sr. intendente de rentas de esta pro­ su oficio de escribano, para que dentro del término de 50 dias Un Cuákero. vincia se cita , llama y emplaza á Doña Josefa García Alvarez, contados desde la publicación del presente edicto , se persone Una crónica. para que en el preciso término de nueve dias se presente en la ante mí ó en las cárceles de este juzgado á defenderse de la culpa Se suscribe en M adrid en la librería de Cuesta, frente á la» escribaní…</t>
  </si>
  <si>
    <t>Alvarez, José Alejandro</t>
  </si>
  <si>
    <t>José Alejandro Alvarez</t>
  </si>
  <si>
    <t>…ícolas. entre las ocupaciones industriales y nester que se diga que la reforma de cárceles 110 es una Por el segundo se baria autorizar el de esas mejoras de lujo que se pueden retardar sin peli­ el arquitecto de esta corte D. José Alejandro Alvarez, contie­ Gobierno para construir en las casas centrales, hoy dia gro : nuestras prisiones son escuelas de d e p r a va c i ó n , ofici­ ne tres pisos, bajo, principal y segundo. El piso bajo consta de cuatro independientes y capaces es­ existentes, un cierto número de habita…</t>
  </si>
  <si>
    <t>Alvarez, José María</t>
  </si>
  <si>
    <t>José María Alvarez</t>
  </si>
  <si>
    <t>15/06/1839</t>
  </si>
  <si>
    <t>Gaceta de Madrid n.º 1673</t>
  </si>
  <si>
    <t>…e durante su MADRID 1 4 DE JUNIO. habiéndose realizado con las formalidades que la misma pre­ viene, tocó á los sugetos siguientes: D. Alejandro Peña Villa- toando en esta provincia pudo con un puñado de soldados con­ rejo, D. José María Alvarez, D. Benito Ochoa, D. Francisco tener á las hordas facciosas en los límites de sus guaridas , y López, D. Juan Tejada y Lozano, D. José María M altrana, uuuca osaron pisar esta fértil vega, ni fhvadir los ricos pue­ D. Eugenio Hernández Borbon, D. Juan Bautista Verdegal, blos de…</t>
  </si>
  <si>
    <t>Alvarez, José Soto</t>
  </si>
  <si>
    <t>José Soto Alvarez</t>
  </si>
  <si>
    <t>…a Q u irog a,id .: D. José Cotización del dia 16 á las tres die ta tarde • * TEATROS. ^ Pardo San Cibrian, id.: D. José Gajoso Pombal, id.: D. José PRINCIPE. A las siete de la noche. Se pondrá en escena Pardoi y Luac»s, id.: D. José Soto Alvarez, letrado: D. R a- EFECTOS PÚBLICOS. la acreditada y graciosa comedia en tres actos, titulada mon Neira Montenegro, propietario. Inscripciones en el gran libro á 5 por 100 , 00. MARIDO JOVEN Y MUGER VIEJA, Síndico: D. Eustaquio García Cacho, propietario. Títulos al portador del 5…</t>
  </si>
  <si>
    <t>Alvarez, Juan Manuel</t>
  </si>
  <si>
    <t>Juan Manuel Alvarez</t>
  </si>
  <si>
    <t>…ón alguna por ventajosa que sea. adoptada por Broussais en su curso de frenología, se ha vacia­ al público” , su fecha 14 de Marzo últim o, firmado por su pre­ do en escayola un número de cabezas de la mitad del tamaño sidente D. Juan Manuel Alvarez, por el párrafo contenido al natural. Distínguense en primer lugar con colores vivos las final de la página cuarta y principio de la quinta, que co­ FAEBIENDO sacarse á pública subasta el suministro de pan cuatro secciones del cráneo , asiento de los cuatro grupos prin­ mienza: "…</t>
  </si>
  <si>
    <t>Alvarez, Narciso</t>
  </si>
  <si>
    <t>Narciso Alvarez</t>
  </si>
  <si>
    <t>…toresca.=El alcázar de Sevilla. reales, y moderno 16. capital D. Francisco Amorós y López, que conoce del Biografía española.=Manuel García. Santiago el M enor: pintado con valentía por Ribera (J.), abintestato del presbítero D. Narciso Alvarez, se cita á una pri- Costumbres aacionalés.=La novillada. y grabado por Vázquez (José). Tiene 9 p. de alto , y 12 p. de fl»a, única panenta que se conocía en esta corte, llamada Doña Poesía.=:El crepúsculo. ancho: Precio antiguo 14 rs., y moderno 10. Joaquina, que vivia en la calle dé…</t>
  </si>
  <si>
    <t>Alvarez, ON Francisco de Paula</t>
  </si>
  <si>
    <t>ON Francisco de Paula Alvarez</t>
  </si>
  <si>
    <t>…...... 13,253 naturales, y con las observaciones de las sociedades patrió­ En otras partes, varios 4,468 PROVIDENCIAS JUDICIALES. ticas, leido en la sociedad económica de M adrid el año de 1791, 2 rs. -----------------17,721 D ON Francisco de Paula Alvarez, juez de primera instancia Irlanda . de la ciudad y partido de Cazorla en la provincia d&lt; En el Norte: de algodón. ....................... 935 Jaén &amp;c. De lino..................................................... 100 Por el presente cito y emplazo á José María de Tor…</t>
  </si>
  <si>
    <t>Alvarez, Trinidad</t>
  </si>
  <si>
    <t>Trinidad Alvarez</t>
  </si>
  <si>
    <t>29/04/1839</t>
  </si>
  <si>
    <t>Gaceta de Madrid n.º 1626</t>
  </si>
  <si>
    <t>…n, y sin embargo apenas ha perioridad. D. Pedro Bringas, que falleció en esta corte en el año ante­ pronunciado algunas palabras, y ya ha comprendido el especta­ Ah!... Contestó Moliere: está interesado mi honor en se­ rior; á D. Trinidad Alvarez , capitán de infantería; D . Pedro dor todo el espíritu de la comedia. guir en la compañía. Tellez, capitán segundo del regimiento suizo de Z e y ; D. Fran­ La acción se presenta por sí misma, ha dicho Boileau , y Bravo honor, exclamó el satírico, que se cifra en pintarse cisco Mel…</t>
  </si>
  <si>
    <t>Alvaro</t>
  </si>
  <si>
    <t>…stro deben considerarse en el mismo caso que los licenciados por so tener mas detalles y esperar á que el tiempo ponga en claro de la Gobernación á la firma de S. M . el decreto que nombra­ cumplidos. (Id.) los sucesos. ba al Sr. Alvaro para la subsecretaría del citado M inisterio, Real decreto centralizando en la contaduría y pagaduría gene­ manifestó alguna repugnancia , fundándose en que el ac­ rales del ministerio de la Gobernación la cuenta y razón y el Z a r a g o ta 27 d e F eb rero. Una facción compuesta de 150 tual…</t>
  </si>
  <si>
    <t>ALVARO</t>
  </si>
  <si>
    <t>…el pais, y este cabalmente ha sido lo ha procedido conforme en un todo á lo que dispone la ley'. la comisión habia sido el considerar la junta general de escru­ el que ha obtenido menor número de votos: estos resultados no El Sr. A L V A R O : Yo creo que encontrándose en un esta- tinio como el primer jurado que debia entender en estas mate­ dan á entender que ha habido reañejos en las elecciones. 0 excepcional esta provincia , por lo cual las elecciones han te- rias, quedando únicamente el Congreso como tribunal de ape­ Po…</t>
  </si>
  <si>
    <t>…s no tienen baldíos, y yo por mi parte creo que he dado satisfacción á las observa­ disensión pendiente sobre premios m ilitares, y deshechas algunas que habrá provincias que tendrá m uy pocos ó ningunos; y que ciones que el Sr. Alvaro se ha servido dirigirme. equivocaciones por el Sr, González Alonso , aunque en uno de sus artículos se dice que las diputaciones El Sr. A R G U E L L E S , rectificando varias equivocaciones, El Sr. LA C O ST A dijo que en el año 22 concedieron las provinciales propongan medios para que est…</t>
  </si>
  <si>
    <t>…n la Gaceta de ayer, plena 5.a , columna 5.a , línea 19, Se vende al precio de 12 rs. en la librería de la viuda de tado, de los que le deducen sus padecimientos por la libertad donde dice: E l Sr. Arguelles , debe decir: E l Sr. Alvaro . C ruz, frente á la Covachuelas. y las persecuciones que ha sufrido por su adhesión á las insti­ En la misma plana y columna , línea 24* dice: Indicó por El objeto de esta obra , según indica su mismo títu lo , se tuciones vigentes. Dice también que ha dedicado á S. M. una último que este fu…</t>
  </si>
  <si>
    <t>…erta á las doce y m e d ia, se lee y es aprobada el acta de Yo me propongo desvanecer cierta ingrata y desabrida i m ­ tos , no se demostrada por ello haberse in frin g id o ninguno de la anterior. presión que el discurso del Sr. Alvaro ha debido producir en los artículos de la ley electoral. Se lee, y el Congreso oye con a g r a d o , una exposición de el ánimo de algunas personas. En primer lugar supuso S. S. que Asi es que guiada sin duda por ella la junta general del es­ la diputación provincial de M ad rid , en que le…</t>
  </si>
  <si>
    <t>…misión, ne­ vantó la sesión á las cuatro y cuarto. cosecha con que pagan la casa , se visten y subvienen á otras cesito alegar las razones en que me fundo para negar mi apoyo necesidades d'e consideración, y de paso diré al Sr. Alvaro que á un proyecto de ley que se presenta como beneficioso al ejér­ es una ilusión, qué es un cuento el decir que un hombre del cito, que ha circulado en todo él, y que se ha hecho por consi­ pueblo con un duro mensual paga la casa y se viste i quisiera guiente famoso. En mi concepto lo que…</t>
  </si>
  <si>
    <t>…an os y aceite qu e son de su propiedad se venden sin satisfa­ R u i z del Arbol. es p a rie n te m i ó , señores, y hace mas de 5 0 años qu e un e la cerlas sus pensiones. Si esos g ran os están a d jud icado s al Estado El Sr. A L V A R O dice que no se h a p re g u n tad o si se p a sa ­ m a s estrecha a m ista d á su f a m i li a con la m i a : no he t r a t a d o no pueden ser de su propiedad. Se supone qu e los c om isio n a­ r á á la discusión por artículos. y o de p r i v a r de su c a r r e r a , n i de q u i t a…</t>
  </si>
  <si>
    <t>…s hizo su creto fue sancionado por las Cortes constituyentes, á cuya san­ puede consentirse esta redacción ni obligación que viene im ­ fortuna comprando sus peqpeña$ suertes á estos infelices. ción contribuyó con su voto el Sr. Alvaro. poniéndose desde luego. No se crea por esto que yo trate de Este artículo no favorece la prosperidad p'ública, porque N o puedo menos de extrañar , señores , que se dude de la desenteaderme de esta deuda m oral, ni tampoco que tengo en íesta no consiste en que se enriquezcan pocos á costa d…</t>
  </si>
  <si>
    <t>…do creia que no eran ofensivas las expresiones que mo de la comisión, la renunció en el Sr. Aillon. com o en el campo la flor. pronuncio en su discurso, sin embargo dio algunas explicacio­ S. S. contestó á los argumentos del Sr. Alvaro, manifestan­ Esta es la poesía del sentim iento candoroso: esta es la úni­ nes para echar el sello á todo cuanto se pudiera decir. Que no do que convenia en que el decreto de 24 de Octubre no era ca de que es capaz la infancia. ha considerado esta cuestión como de premios, sino económica, un…</t>
  </si>
  <si>
    <t>…tiene ya noticia de que se iba á tratar de este nego­ ciones. en otra parte emite el autor de ella. Esto nos sucede hoy á no­ cio, ademas de que estaba presente ayer cuando se señalaron los Habiéndose concedido la palabra al Sr. Alvaro , el Sr. Ló­ sotros, porque la comedia del Sr. Zorrilla nos ofrece tres cues­ asuntos que habían de discutirse hoy. pez pidió se leyese una proposición que acababa de presentar. tiones distintas: el drama por sí solo, su prefacio y el discurso El Sr. O LO ZAG A : Prescindiendo del fondo de…</t>
  </si>
  <si>
    <t>27/03/1839</t>
  </si>
  <si>
    <t>Gaceta de Madrid n.º 1593</t>
  </si>
  <si>
    <t>…ado, y la concurrencia, Málaga, par. sobre ser extraordinaria, se componía de lo mas selecto y esco­ Alicante, £ á \ d. Santander, £ á \ d. Elementos de jurisprudencia mercantil, por D. Eugenio de gido del pueblo. La pieza era D. Alvaro ó la fuerza del sino9 Barcelona, á ps. fs., i á £ b. Santiago, 2 id. Tapia. Nueva edición considerablemente aumentada y refun­ y fue tan bien ejecutada, que solo viéndolo puede formarse Bilbao, 1J á £ d. Sevilla, \ á £ b. dida con arreglo al código de comercio. Dos tomos en 4»° Se una exacta…</t>
  </si>
  <si>
    <t>30/10/1839</t>
  </si>
  <si>
    <t>Gaceta de Madrid n.º 1816</t>
  </si>
  <si>
    <t>…ya ía hora cumplida, dejo mi discurso en esta par­ el caso de increparla ahora cabalmente que nos esta sirviendo? j en la mejoría que ha tenido el aspecto de la guerra ; no recor­ te, y lo siento porque necesito demostrar al Sr. Alvaro que Por consiguiente si el ministerio por cualquier camino que ha­ daré la victoria que se obtuvo cuando el Sr. López era minis­ á pesar de esa lluvia de cargos que ha habido contra el G o­ ya sido ha conseguido interesar á nuestro favor este Gabinete, tro de la Gobernación, ni sus palabras;…</t>
  </si>
  <si>
    <t>…las ha te ­ Juan ii, se introduce en su corte como un soldado de for­ cidentes, ninguna ofensa reciben en ella las buenas costumbres; nido aceptación ni fama en el teatro. Empezaron por una tuna , se hace amigo del condestable D. Alvaro, imita con y que á pesar del título que lleva y de la ortografía con que parte los partidarios de Hacine y Moliere á desacreditar sal y sin afectación los modales de palacio, enamora y va escrito, las Señoras mayores pueden asistir sin miedo á la el género: por otra á corromper la escena co…</t>
  </si>
  <si>
    <t>…e la provincia de L u g o , que tampoco. Supongo yo ahora que el ministerio de este partido excelsa Hija la Reina Doña Isabel n, vengo en resolver remitia el Sr. Ministro interino de la Gobernación. ocupa el poder, y dice el Sr. Alvaro : yo no quiero ese minis­ que el citado D. Francisco Narvaez se encargue igualmen­ 2.° Una comunicación del mismo Sr. M inistro, anuncian­ terio porque no le mueve otra cosa que intereses personales en te y en los mismos términos del Despacho de este último do que el gefe político de esta p…</t>
  </si>
  <si>
    <t>…mo puede generales , privándose d la patria de dos hijos predilectos, y El Sr. L O PE Z dijo que á nombre de la comisión repudia­ digo predilectos, porque han ornado sus cabezas con laureles ba completamente el discurso del Sr. Alvaro que pidiendo la pa­ obrarse de un modo diverso? Entonces no son los actos, algu­ na cosa se sobreentiende, porque si antes se han ejecutado ac­ inmarcesibles. labra para apoyar el dictamen se habia propuesto hacer una tos contra los que ahora se reclaman, ¿n o se les podrá presen­ Hay m as…</t>
  </si>
  <si>
    <t>Alvaro, Alvaro. El Sr.</t>
  </si>
  <si>
    <t>Alvaro. El Sr. Alvaro</t>
  </si>
  <si>
    <t>…e el Sr. Alvaro habia dicho que el ministerio solo debía mento que parece que tiene mas fuerza. Pero no es esa la razón visto en todos tiempos. pertenecer al partido de la nación , y que habieudo en esta dos ue ha alegado el Sr. Alvaro. El Sr. Alvaro ha dicho que se No solo , señores, se dió esa orden para extraer de sus jue­ que marchaban por una misma senda, el ministerio tenia que qhabían cobrado las contribuciones, mas ¿p ara qué? para una ces naturales á esos individuos , y apelo á la cita de consultas pertenecer á u…</t>
  </si>
  <si>
    <t>Alvaro, D. Aniceto</t>
  </si>
  <si>
    <t>D. Aniceto Alvaro</t>
  </si>
  <si>
    <t>…su palabra, mucho mas cuando no veo el fuerzas. banco negro tan guarnecido como debia estar en una discusión REALES DECRETOS. de esta especie: pero sea de esto lo que quiera, yo voy á con­ tinuar contestando á mi amigo el Sr. D. Aniceto Alvaro, y La división que avanzo hasta M o n ro y o , está muy oportu­ esa es la difícil tarea que tengo que desempeñar. Habiéndome manifestado el teniente general D. Isidro namente colocada , porque en el caso de dirigirse la facción á Dejamos el hilo de mi discurso en los partidos, un…</t>
  </si>
  <si>
    <t>Alvaro, L. J.</t>
  </si>
  <si>
    <t>L. J. Alvaro</t>
  </si>
  <si>
    <t>16/11/1839</t>
  </si>
  <si>
    <t>Gaceta de Madrid n.º 1833</t>
  </si>
  <si>
    <t>…y desengañar nas; y los hombres, que basta hace poco tiempo parece desde­ muchos años. Salamanca 19 de Octubre de 1859 —Antonio Cres- á los crédulos. ñaban el asociar las Señoras á las nobles funciones de la cari­ po.zdP. A. D. L. J. Alvaro G il, vocal secretario.—Sr. gefe po­ Una de las principales calumnias es la de suponer que dad pública , se han convencido y a , no solo de su utilidad, si­ lítico de la provincia.... el Gobierno está en el dia sujeto á influencias extrangeras. no también de la imprescindible necesida…</t>
  </si>
  <si>
    <t>Alvarrz</t>
  </si>
  <si>
    <t>…s, pero que deseaba Señores que dijeron no : O tro dia sin em bargo h ablarem os m as acerca de ella. salvar su voto, reducido á que no podia aprobar la prisión M ayans, G ispert,M uro, Arrazola , Ilom pauera, Mata Y i­ del Sr. Alvarrz por no haber sido hallado in fragan ti , pues g il, Bacardi , Carrasco (D. Ju an ), Donoso, Montes de Oca, erfo no se había probado, á pesar de los documentos que se han H u e t, marques de C asa-lrujo, Galiano , Carrasco (D. Rufino), leído hoy sin objeto. Castro, Bravo M urillo, P idal, m…</t>
  </si>
  <si>
    <t>Alvear, Juan Antonio Castejon. Sr. D. Diego</t>
  </si>
  <si>
    <t>Juan Antonio Castejon. Sr. D. Diego Alvear</t>
  </si>
  <si>
    <t>…guel Puche y Bautista. »D . Ezequiel Diez de Tejeda. Sr. D. Audres Carabantes. Sr. D. Diego María Chico, electo* Sr. D. Juan Gerónimo Cebados. Sr. D. Manuel Martinez Ayala. Zaragoza. »Duque de Zaragoza. Córdoba. Navarrai »j D. Juan Antonio Castejon. Sr. D. Diego Alvear. Sr. D. Fermin Arteta. »D . Miguel Laburda y G alindo, obispo electo Sr. D. José Soldevilla , electo. Sr. D. Agustín Arrnendariz, Vicepresidente 4»° de Puerto-Rico. Sr. D. Francisco Gamero Cívico y Benjumea. Sr. D. Gaspar Elordi. »D . Juan Romeo y Tello. S…</t>
  </si>
  <si>
    <t>Alverá</t>
  </si>
  <si>
    <t>23/04/1839</t>
  </si>
  <si>
    <t>Gaceta de Madrid n.º 1620</t>
  </si>
  <si>
    <t>…barán por hacerlos desaparecer y por corregirlos com­ por la partida del Sr. Salas á Francia é Italia en busca de al­ das unas guardillas caprichosas y admirables ; en las puertas pletamente. De todos modos la adquisición del Sr. Alverá ha gunas nuevas partes para completar la compañía. Hemos oido grandes y en sus postigos se leen también trozos: en las del sa­ sido ú t i l , mucho mas cuando la escasez de buenos actores se hablar ^de que vendrá la Sra. Campos, tan conocida y aprecia­ jón de Embajada!ei por la parte interio…</t>
  </si>
  <si>
    <t>Alverá, Antonio</t>
  </si>
  <si>
    <t>Antonio Alverá</t>
  </si>
  <si>
    <t>…ierra, gracioso, destinado para armería. Fernando vr mandó construir las grar D. Ildefonso Zafra. y Fernandez, galan joven , son dignos de especial mención. A des oficinas que se levantan al costado izquierdo del antigno Al D. Antonio Alverá. / todos aconsejamos que procuren madurar sus facultades con el cazar sobre los baños, que llaman, de Doña María Padilla: di D. José Guzman. estudio, y desterrar ciertos resabios de provincia que á las ve­ cha obra se hizo i causa de las ruinas que sufrió la fábrica e D. Ignacio Sil…</t>
  </si>
  <si>
    <t>Alzag, Merced</t>
  </si>
  <si>
    <t>Merced Alzag</t>
  </si>
  <si>
    <t>…en el momento. nes á la aplicación” , y un dobton de á cuatro pesos, y banda tiles , quedaban ya organizadas tres brigadas para salir luego á Estimulado el Diván.por parte de la Rusia á emprender igual y un doblon de á dos á Doña Merced Alzag » , Doña Ju i ­ los trabajos. Por ultimo me manifiesta que las brigadas que se una lucha en la Siria para conjurar la tempestad que le ame­ na Gavilán, Doña Dolores Pons, Doña M argaiili Y aldés Do­ hábian situado en Alendin y Otura , y principiado los traba­ naza en el Bosforo, se ve s…</t>
  </si>
  <si>
    <t>Alzáa</t>
  </si>
  <si>
    <t>…be record Írselas. Aquí está páñíií del 5 ° , ti 6 ° y el éivtiadron de (.¿triou cou el íi uíj iu dtshals (Emperador) de Francia , nos retiramos andando hacia bien el decir cou lord Byron : Erostrato y Elgin vivirán eter­ general Alzáa, en Arroyabe, y asimismo el almacén de sal que «aras. namente malditos por los hombres, y acaso el segundo vale me­ tenían en M u r g u í a lo han traslado á Villareal. Tuvimos que ver de nuevo desfilar en los patios del serrallo nos que el primero.” Todos convienen en que la facción está des…</t>
  </si>
  <si>
    <t>Alénzon</t>
  </si>
  <si>
    <t>…acierto, que abrió una brecha practicable, y luego mandó asal­ el puente para entrar en la ciudad ; pero F lavi, gobernador de eran de opinión que hiciesen volver á su casa á aquella pobre tar animando las columnas. E| duque de Alénzon mandaba una, Compiegne, cerró traidora mente la barrera para impedir la en­ ilusa muchacha sin o iría; pero después de algunos dias de de­ y acercándose Juana á él le dijo sonriéndose: "A l ataque, ga­ trada á la heroina de Orleans. Esta, no viendo mas modo de liberación fue resuelto que e…</t>
  </si>
  <si>
    <t>Am, D. Francisco</t>
  </si>
  <si>
    <t>D. Francisco Am</t>
  </si>
  <si>
    <t>…A B I E N D O S E adm itido la cesión hecha por D . Julián O r - pales librerías. Auto. En la villa de M adrid á 25 de Setiembre de 1859, *--*■ tiz Canelas, vecino de esta corte, para pago de sus acreedo­ y acto seguido, el Sr. D. Francisco Am orós y López , ministro res, se ha mandado convocarlos á junta ; y para ella ha señala­ honorario de la audiencia territorial de A lbacete, y juez de do el Sr. D . M iguel Maria D u ra n , juez de primera instancia en esta cap ital, por la escribanía del número de D . José M a­ n r…</t>
  </si>
  <si>
    <t>Am, Torres</t>
  </si>
  <si>
    <t>Torres Am</t>
  </si>
  <si>
    <t>…bula de la Santa Cruzad®, cuyo comisario EFECTOS PUBLICOS. ducción no era muy ortodoxa, puesto que las sociedades bíbli­ ha maudado circular con la autorización de la Silla apostólica. cas le prodigaban sus elogios; pero el Sr. Torres Am at se ha­ Cualquiera otra bula es inválida, y su circulación es una in­ Inscripciones en el gran libro á 5 por 100, 00. bía puesto á cubierto de tal recriminación, habiendo rogado vasión á la autoridad episcopal. Títulos a! portador del 5 por 1 0 0 , 28£ con cupones al con­ muy de antema…</t>
  </si>
  <si>
    <t>Amadori, Mariano</t>
  </si>
  <si>
    <t>Mariano Amadori</t>
  </si>
  <si>
    <t>…, y que traiga y presente un ejemplar de cada uno de preosa. r J J ellos que lo acredite. Habiendo visto estos au to s, lo proveyó, EN P A R T I D A D O B L E , mandó y firmó asi en la audiencia pública de este dia el señor D. Mariano Amadori , juez de primera instancia de esta c iu ­ APLICADO AL COMERCIO Y A LAS OFICINAS DEL ESTADO dad y su partido, en Cartagena á 26 de Junio de 1839.—Licen­ BOLETIN DE COMERCIO. ciado Amadori.zzAote mí José Antonio Alcaráz Romero. Y PO R D. M A N U E L VICTO R D E C H R IST A N T E S,…</t>
  </si>
  <si>
    <t>04/05/1839</t>
  </si>
  <si>
    <t>Gaceta de Madrid n.º 1631</t>
  </si>
  <si>
    <t>…dremos ocasión de volver á tratar de este importante asun- PROVIDENCIAS JUDICIALES. l o —B.... la desenvoltura. Dígalo, si no, el hermoso carácter de Es­ tela en la comedia de Pruebas de amor y am istad ; carác­ L I CENCIADO D. Mariano Amadori, abogado de los tribu­ ter noble é ideal que resiste á las solicitaciones de un nales nacionales , juez de primera instancia de esta ciu­ Del Tiempo copiamos el artículo siguiente; príncipe, y lo que es mas, a las injusticias de un amante dad y su partido &amp;c. celoso: que sabe sufr…</t>
  </si>
  <si>
    <t>AMADUE</t>
  </si>
  <si>
    <t>26/02/1839</t>
  </si>
  <si>
    <t>Gaceta de Madrid n.º 1564</t>
  </si>
  <si>
    <t>…dividuos acos­ frente ¿ las Covachuelas, á 12 rs. en tres actos, cuyo titulo es v tumbrados á los géneros del Asia , y por consecuencia estos ten­ drán fácil despacho ; pero el monopolio que las mercaderías ru ­ L A SEGUNDA D A M A D U EN D E, sas ejercían en muchos mercados del A sia, ha sufrido un gol­ /~\RDINARIO de la M isa, en íatin y castellano, con un pe- pe bastante fuerte, y aun corre riesgo de que acabe de un todo. queño ejercicio cotidiano y oraciones para recibir digna­ que en sus muchas representaciones h…</t>
  </si>
  <si>
    <t>Amat</t>
  </si>
  <si>
    <t>05/05/1839</t>
  </si>
  <si>
    <t>Gaceta de Madrid n.º 1632</t>
  </si>
  <si>
    <t>…pusieron en sus versiones de ¿qué importa al cabo del año Muertos.................................................................... 2 6 5 / la Biblia los traductores de ella. Véase lo que dice el veinte muertos mas ó menos? Sr. Amat al fin del Apéndice de las notas. Existentes en 51 de Diciembre........................... 84 O ( D . G il de las calzas verdes.) Es pues muy conveniente, y aun necesario en estos tiempos, inculcar de nuevo al pueblo español el puntual Nadie ignora que nuestro poeta disfrazó con el nombre Res…</t>
  </si>
  <si>
    <t>…quisie­ NOTICIAS NACIONALES. B illia s españolas sin notas , cuya corrupción se atribuye ran comprometerse á educar á sus hijos ea la religión católica. á los memnonitas. (Temps.) Esto sabemos relativam ente á la versión del Sr. Amat; Pontevedra 18 de Diciembre, de lo cual resulta claram ente que en la edición de la Bi­ Comandancia general de Pontevedra.nEl Excmo. Sr. capi- blia ilustrada con notas no tiene la m enor parte sociedad MM. Rothschiíd y Jaudon, ea representación del banco de ;an general de este ejército y rei…</t>
  </si>
  <si>
    <t>Amat, Torres</t>
  </si>
  <si>
    <t>Torres Amat</t>
  </si>
  <si>
    <t>…ue fueron fruto de susaños juveniles. Montalbandice en el P ara llevan al frente los respetables nombres de nuestros re­ todos, que estaba el padre Tellez pronto á dar á la pren ­ De medicina. verendos obispos el P. Scio y el Sr. Torres Amat, si no sa un tomo de Novelas ejem plares, que no hemos visto. se han reimpreso en España y con arreglo á las leyes de la Bajo su verdadero nombre no conocemos nada publicado Existentes en 1.° de Enero....................................... 520/ 1AA/Q lglesi¿i y del reino, que exigen que…</t>
  </si>
  <si>
    <t>…sus cu - 1 natural de Daim iel, para que dentro del término de n ue­ r**s. El cardenal de Gregorio tenia razón de decir al conde de ve dias siguientes al de la publicación de este anuncio, y de diez S.*hradieJ: wLa Biblia del Sr. Torres Amat hace honor á Es- Ayuntamiento constitucional de Madrid. á doce de la m añana, se presente en la audiencia del Sr. Don pana: cuando V. le vea dígaselo V. asi de mi parte. Miguel María D u ra n , juez de primera instancia de esta capi­ Habiéndose denunciado ante el Sr. alcalde primero con…</t>
  </si>
  <si>
    <t>…vos, los spahis, establecidos en otros puntos de la isla, se suscribieron á la consiguiente de los delincuentes. Pero en Francia falta la base, y de tanto regulares como irregulares, que llevarán sus distintivos, versión del Sr. Torres Amat, con lo cual prosperó la edi­ no puede tener lugar la aplicación. y que esten de servicio, lo que deberán hacer constar presen­ ción hasta el punto de venderse á un precio tan m odera­ en Francia Con respecto á la segunda cuestión, ¿ha llegado la época tándose en el cuerpo de guardia d…</t>
  </si>
  <si>
    <t>Ambas, D. Utiel.</t>
  </si>
  <si>
    <t>D. Utiel. Ambas</t>
  </si>
  <si>
    <t>…edio de dos dias han logrado nuestras armas ; aquello que pueda contribuir á aumentar sus conocimientos, dos ventajas considerables sobre el enemigo, en Luceria y en mas de una vez ha maldecido la falta de una cabeza superior Sr. D. Utiel. Ambas hemos dado por extraordinario, y en ellas han: que la animase; el anhelo universal de aprender ha producido podido ver nuestros lectores, que nuestra causa se manifiesta gn j Cádiz de de 18 todas partes cual ella es, es decir, invencible y gloriosa, y .á , en ella una revolución int…</t>
  </si>
  <si>
    <t>Ambos, Diputado.</t>
  </si>
  <si>
    <t>Diputado. Ambos</t>
  </si>
  <si>
    <t>…é im po­ ticular del Sr. Perez de R ivas, proponiendo que debia adm itir­ res individuos de la comisión tuvieran la bondad de explicar­ niendo Ja mas estrecha responsabilidad personal á toda se á jurar y tomar asiento á dicho Sr. Diputado. Ambos dicta­ me qué entienden por esta preferencia que se da en el artículo autoridad, y a sea civil, ya ni i litar , y a c u a 1qu ie ra ot ra ra enes se anunció que se imprimirían. á los empresarios nacionales sobre los extrangeros, porque acaso Obtuvo en seguida la palabra y dijo se dé…</t>
  </si>
  <si>
    <t>Ambro</t>
  </si>
  <si>
    <t>05/06/1839</t>
  </si>
  <si>
    <t>Gaceta de Madrid n.º 1663</t>
  </si>
  <si>
    <t>…s que condujo Simón Torre por la parte de M u rg u ía, sin que ¿e vellón 15402 con 18. 1.° Sinfonía en la ópera L ’ASSEDIO DI CO RIN TO , de sepa de dónde procedían originariamente. Otra id. de 29 de Febrero de 1856 á favor de D. Ambro­ maestro R ossini, á completa orquesta. Separado Castor del maudo de las que operan por la parte sio Ondazaros , endosada al propio Sainz, de 620 rs. vn. 2.° Cavatina en la ópera GLI A R A B I, del maestro P acci- de las Encartaciones, le ha reemplazado A rro yo , y parece que Un vale de 100…</t>
  </si>
  <si>
    <t>AMEDI</t>
  </si>
  <si>
    <t>…e. Dando fin i la 1 .° Noticias. Descuento de letras, á 6 por 100 al año. 2.° Actos del Gobierno y legislación. función con la divertida pieza en un acto, titulada 5.° Defensa de los derechos del pueblo. L A C A S U A L ID A D A M E D IA N O C H E . 4*° Ciencias y amena literatura. S I alguno tuviese que reclamar á la testamentaría del difunto 5.° Ultramar. D. Andrés Sánchez Izquierdo, presbítero, capellán mayor Al marcar el dia, según el calendario, pondremos al nivel</t>
  </si>
  <si>
    <t>Amerigo</t>
  </si>
  <si>
    <t>…canal de la M an- no pueda ya pasar mas. 2 o Dúo de Capuletti é Montecchi por la señorita Ibar— cha 9 y de 10 a 20 en los del Mediterráneo. El mínimum se Pero como entre nosotros ninguno de los estudios se presen­ rondo y el Sr. Amerigo. aplicará siempre a los buques que hayan pasado á lo menos 15 taba mas repugnante (en cuanto al tiempo que se empleaba en 5.° Variáciones de clarinete con acompañamiento da dias en la mar, sin haber tenido desdé su salida de un puerto él) que el de la lengua, ó vulgarmente gramática latina,…</t>
  </si>
  <si>
    <t>Ameró</t>
  </si>
  <si>
    <t>…no; de aqui cultades morales det mismo modo que el de las físicas ; y el procurar corregirlos. Semejante anacronismo contribuye á que se sale al vestíbulo, no siendo permitido el salir por la examen del Díélodo seguido por el Sr. Ameró s ha demostrado pierda el argumento de la ópera el colorido propio del tiempo misma puerta por donde se entra. esta verdad á vuestros comisarios. Ejercicios puramente corpo­ sn que se le supone; pues ahora ni los tutores son tan crueles Hasta aqu i 110 hemos hecho mas de mencionar la s e ­ ral…</t>
  </si>
  <si>
    <t>Ametller</t>
  </si>
  <si>
    <t>09/09/1839</t>
  </si>
  <si>
    <t>Gaceta de Madrid n.º 1762</t>
  </si>
  <si>
    <t>…cción; y esta fue admitida. Granada, y el segundo como suplente por la de Gerona, Ha­ par estos bancos en todos tiempos; de consiguiente el objeto Año 1855 la situación era la misma , idénticas las com­ teado por renuncia del Sr. Ametller, propietario por la misma que yo tengo al tomar la palabra en contra , respecto al señor plicaciones, igual el estado de la guerra, y por consiguiente se provincia. Aprobado. Cortázar, no es otro que el de mantener un principio, objeto admitió el mismo sistema. En el año 1857 se procedió á…</t>
  </si>
  <si>
    <t>Ametller, Blas</t>
  </si>
  <si>
    <t>Blas Ametller</t>
  </si>
  <si>
    <t>…n su primera representación, y cuyo título es la academia de S. Fernando D. Juan Moran Lavandera, tiene con toque franco, degradación bien entendida, y pureza de OQO^0 P*es cuadrados, y está tasada por el mismo en buril, por D. Blas Ametller, grabador de Cámara de S. M., LA SOLTERONA. 292,612 rs. vn., de cuya, cantidad se rebajarán las cargas que y director en su arte de la Real academia de S. Fernando. Tie­ tenga. Quien quisiere hacer postura acuda á dicho juzgado ne 20 p. y o 1. de alto , y 29 p. y 6 1. de ancho: preci…</t>
  </si>
  <si>
    <t>…ga á un joven, quien se dispone á bebería. El acier- do Sánchez , calle de la Concepción. de la bella diosa. Esta tiene en la mano derecha un aba­ nico para refrescarle; pero enmedio de este cuidado, vuelve la ditado profesor D. Blas Ametller grabó este cuadro con aquel cabeza al ladrido de un perro, que por haber visto ú eido á al­ empaste y brio que tan bien da á conocer la valentía del o r i ­ guna fiera , acude á despertar á su a m o : el niño Amor agarra al ginal. Tiene 14 p. y 2 1. de alto, y 11. p. y 7 1. de anchi.…</t>
  </si>
  <si>
    <t>Amieba</t>
  </si>
  <si>
    <t>20/07/1839</t>
  </si>
  <si>
    <t>Gaceta de Madrid n.º 1708</t>
  </si>
  <si>
    <t>…LO PRIMERO. desastres, gravámenes , privaciones y sacrificios; hijos son de riendo á esto los Nacionales de Yébenes. Combinada esta cuarta esta los que sufrís, no busquéis la causa en otra parte. columna con la quinta (comandante Amieba) batieron las sierras Con esta expresión compuesta, cuyas voces parece q u e No creo que sea esta la última vez que nos veamos. Sí el del Milagro y Molinillo, y lograron sorprender el raucho del se excluyen una y otra, se significan aquellas íab ulas, en estado de la guerra lo exige pronto m…</t>
  </si>
  <si>
    <t>Amieva</t>
  </si>
  <si>
    <t>18/05/1839</t>
  </si>
  <si>
    <t>Gaceta de Madrid n.º 1645</t>
  </si>
  <si>
    <t>…to, á quien habían ya in ti­ Al mismo tiempo se previene al público que el lunes 20 no mado la suerte de ser pasado por las armas. habrá cátedra de derecho público con motivo de la festividad El de la quinta y sexta (comandante Amieva) en su última del dia. batida por la sierra ha dado muerte al faccioso conocido por TEATROS. Claudio el de la V enta, cogiéndole su caballo y armas: ade­ PRINCIPE. Hoy sábado no hay función. mas en el Castañar se apoderó de otros dos caballos y varias ar­ PROVIDENCIAS JUDICIALES. Mañana do…</t>
  </si>
  <si>
    <t>Amieva, Antonio</t>
  </si>
  <si>
    <t>Antonio Amieva</t>
  </si>
  <si>
    <t>…el orgullo de esta provincia. Un don de tan honrosa paz es la inmortalidad de Dice asimismo el comandante general que el gefe de la q u in ­ dad de hacer conocer á S. M. la sinceridad de sus sentimientos. ta y sexta columnas D. Antonio Amieva tuvo el 4 un choque en A l comprender toda su importancia reconoce igualmente vuestro augusto nombre, el afianzamiento de las libertades pa­ trias, el esplendor del solio de Doña Label ii nuestra R e in a , la la dehesa del Castañar, cuyo resultado fue quedar muerto en el que unos s…</t>
  </si>
  <si>
    <t>Amo-, D. Francisco</t>
  </si>
  <si>
    <t>D. Francisco Amo-</t>
  </si>
  <si>
    <t>…adm inistraciones donde han cabido Pazos. vitar la falsificación llevan la firma dersV . Collantes. los 17 prem ios m a yores d e los 602 que com p ren d e e l sor­ teo d el dia 13. E N virtud de providencia dictada por el Sr. D. Francisco Amo- rós y López, ministro togado de la audiencia territorial de NUMEROS. PREMIOS. AD MINISTRACIO NES. Albacete y juez de primera instancia en esta cap ital, se cita, llama y emplaza á D. Masseto Massetti, maestro marmolista, IMPRENTA NACIONAL para que dentro de seis dias contados…</t>
  </si>
  <si>
    <t>Amor</t>
  </si>
  <si>
    <t>04/06/1839</t>
  </si>
  <si>
    <t>Gaceta de Madrid n.º 1662</t>
  </si>
  <si>
    <t>…. todo tran ce, y que necesitaba batirlo para que no incomodase contribuido muy eficazmente con su v a lo r , decisión y conocí— El Gobierno de S. M. no debe pues permanecer silen­ mi marcha é impidiese mi reunión con el general Amor , que \ rnientos al brillante resultado de la jornada. El gefe de E. M. de cioso ni indiferente, cuando la lucha de los partidos pue­ j debia llegar por la dirección de C o rtés, resolví atacarlo; y á j esta d iv isió n , comandante graduado D. Joaquín M orales, el de comprometer la salvación…</t>
  </si>
  <si>
    <t>12/05/1839</t>
  </si>
  <si>
    <t>Gaceta de Madrid n.º 1639</t>
  </si>
  <si>
    <t>…á mi frente, y desde el Cabrera se retira en dirección de Priego y Cañaveras ; y que l.i y la Serma. Sra. Infanta Doña María Luisa Fernan­ campamento que ocupaban nuestras brigadas se dejaron cono­ columna del mando del general Amor , que venia en su segui­ cer sus disposiciones para defenderse con tesón; pero di la señal dora de ataque, y el fuego de nuestra artillería y el de todas las ba­ miento, debia entrar el dia anterior en Molina. da, continúan en esta corte sin novedad en su importante terías enemigas fueron pre…</t>
  </si>
  <si>
    <t>…anto reclama esta campaña , y de la elección h u b ie r a b asta d o p ara p r o d u c i r un in c e n d io , y q u izá s p ara que habrá tenido de los individuos que la componen, tan co­ nocedor corno lo es del arma el general Amor. (Id.) d e se n c a d e n a r á las m asas p o p u l a r e s ; m ien tras q u e hoy to­ dos las esfuerzos de los q u e a sp ir a n a d e m o s t r a r q u e la F r a n c ia está m al r e g id a , son i n ú t il e s , p o r q u e la F r a n c ia ANUNCIOS. Idem 16. ve c r e c e r p or instante…</t>
  </si>
  <si>
    <t>26/06/1839</t>
  </si>
  <si>
    <t>Gaceta de Madrid n.º 1684</t>
  </si>
  <si>
    <t>…ayo de 1859.:= A M. el conde D 'H alvis Valencia 19 de Junio . obligación es la del ejemplo. de Pienne.=Darmstadt.z=Sobre exterior.=:Mr. M. el conde H al- 7.a Las horas se distribuirán d é la manera siguieote: des­ El general Amor ha llegado hoy por la mañanad esta de las siete á las nueve en verano, y desde las ocho á las diez vis de Píenne en Darmstadt. capital. (Z&gt;. AS de alenda .) en invierno, para recibir á los niños y recreo de estos: desde Número 2.° las nueve á las once, ó desde las diez á las doce, escuela: de…</t>
  </si>
  <si>
    <t>27/05/1839</t>
  </si>
  <si>
    <t>Gaceta de Madrid n.º 1654</t>
  </si>
  <si>
    <t>…ones que no han ocasionado E! general Ayerve con cuatro batallones y 690 caballos de­ pechas injuriosas de su marido. No bien hubo acabado de ningún debate importante. ( Debuts.) bió pernoctar anoche en Martin dei Rio. El general Amor con informar al Santo, cuando el tierno infante, que descan­ la división de Reserva habrá llegado hoy á las inmediaciones saba en los brazos de la nodriza, se incorporó , v, seña­ de Moutalvan. El brigadier M ir con su brigada en (jalamocha. lando al esposo de su madre, dijo con voz clara: Es…</t>
  </si>
  <si>
    <t>Amor, Bartolomé</t>
  </si>
  <si>
    <t>Bartolomé Amor</t>
  </si>
  <si>
    <t>…elsa pricho á cuantos no predican odio y exterminio contra los es­ Reina. pañoles fieles á su Reina. Tiene prohibido á los curas todos acu­ dir al Gobierno legítimo civil ó eclesiástico; y ahora por fin, El mariscal de campo D. Bartolomé Amor dice con fecha 3 con el robo sacrilego de los óleos, cuantos se presentan á Cas­ El intendente general , refiriéndose al militar del ejército del actual desde Muniesa, que al amanecer del dia 1.° marche tellebre voluntariamente ó á la fuerza á pedirle aquellos que del N orte, manifie…</t>
  </si>
  <si>
    <t>Amor, D. Francisco</t>
  </si>
  <si>
    <t>D. Francisco Amor</t>
  </si>
  <si>
    <t>18/07/1839</t>
  </si>
  <si>
    <t>Gaceta de Madrid n.º 1706</t>
  </si>
  <si>
    <t>…n de Reales cédulas , instrucciones, órdenes y dispo - N otas del e d iío r francés. siciones del ramo de Pósitos expedidas hasta fin del año • Cartas sobre el ejército de D. Cárlos. de 1826. | 7 N virtud de providencia del Sr. D. Francisco Amor6$y Lo- La verdad sobre la cuestión de sucesión. Véndese á 8 rs. en papel y 9 en rústica e n Nel despacho de pez, juez de primera instancia de esta villa, refrenda del Pragmática sanción de 1789. la imprenta nacional. escribano de número D. Carlos Rodríguez de M o y a , que des­ No…</t>
  </si>
  <si>
    <t>Amor, Sr. D. Bartolomé</t>
  </si>
  <si>
    <t>Sr. D. Bartolomé Amor</t>
  </si>
  <si>
    <t>…Sr. D. José Antonio Pastell, electo. Sr. D. Juan Cano Manuel. Sr. D. Juan Pou. Sr. D. Antonio Ilom panera de Cos. Sr. D. Ramón Pretel de Cozar. Sr. D. Pedro Camps y Ros , electo. Sr. D. Román Ovejero. Sr. D. Diego Montoya. Sr. Sr. D. Bartolomé Amor , electo. Sr. D. Francisco Javier Rodríguez de Vera* Granada. Pontevedra. Alicante • Sr. D. Miguel de Roda. Sr. D. José Guillen. Sr. D. Diego López Ballesteros. Sr. D. Ignacio Puigmoltó. Sr. D. Francisco Martinez de la Rosa* Sr. D. Domingo Fontan. Sr. D. Antonio Sereix. Sr…</t>
  </si>
  <si>
    <t>Amoraga, Bonifacio</t>
  </si>
  <si>
    <t>Bonifacio Amoraga</t>
  </si>
  <si>
    <t>12/06/1839</t>
  </si>
  <si>
    <t>Gaceta de Madrid n.º 1670</t>
  </si>
  <si>
    <t>…adonde se dirigirán las reclamaciones y las cartas, fr a n ­ Otra id ., id , i d . , Sr. de Misericordia, por D . Nicolás, Alanza 110, en 4 . EL ENTREACTO. cas de porte. B.a*sa nueva » término del Presidio, S. Patricio, por D. Bonifacio Amoraga , en 5. PERIODICO D E T E A T R O S , L I T E R A T U R A Y ARTES- Otra id., Guijarrales, término del Presidio, la Leona ó L u c ia , por Pedro Cabrera, en 4* TEATROS. Sale jueves y domingos á las ocho de la mañana en elegan- Otra i d . , loma del V ica rio , término de i d . ,…</t>
  </si>
  <si>
    <t>Amoros</t>
  </si>
  <si>
    <t>…a, señores, de los documentos que se han puesto á la productos de las bellas arte s, las gracias de la poesía y los en­ vista de vuestra comisión: cantos de la música, concurriesen de cousuno á saludar á la _ L Que Mr. el coronel Amoros ha organizado una ense­ Ejército del Centro.—Estado mayor general.ziSeccion pritne- ^urora de paz que tras tantos años de desgracias brillaba por ra.=N dm . 128 = O rden general del 2 de Noviembre de 1859 en ñanza tica. completa, metódica y racional del arte de la gimnás­ &amp; primera vez en…</t>
  </si>
  <si>
    <t>Amortización</t>
  </si>
  <si>
    <t>…la honra de manifes­ próximo para elegir sus respectivos Diputados. Los dos cole­ tar á tas Cortes que abunda en tos principios emitidos por la gios electorales de la Córcega se reunirán para el mismo efecto dirección general de Amortización, en junta de ventas de bie­ el 6 de Marzo próximo. / ^O N G R E SO de Y e r o n a , obra escrita por Mr. de Cha lea u - nes nacionales, siendo por lo mismo de opinión que debe uni­ Art. 5.° L a Cámara de los Pares y la de Diputados se ^ briand. T ra d u c id a , anotada y aumentada por…</t>
  </si>
  <si>
    <t>Amorós</t>
  </si>
  <si>
    <t>…uenta en uno ni en muchos el Gobierno para construir en aquel puerto una docena de pa­ números de nuestro Diario de la educación física, gimnástica quebotes de vapor, de fuerza de 540 caballos, por cuenta del y moral del coronel Amorós, ni de los premios concedidos á ministerio de Hacienda. ¿ Estarán destinados á formar por fin El conde Alten , general en gefe al servicio del Rey de Han- nuestro ilustre paisano , r.i de los elogios hechos por filósofos, las líneas de navegación regular que el ministerio ha prometido nóver ,…</t>
  </si>
  <si>
    <t>…sio ci­ El aria de I Puritani embelesó en boca de la señorita de vil establecido interinamente en el Liceo de Valencia; el dis­ Garcés por la ternura , pasta» y delicadeza con que expresó los tinguido aprecio que el Sr. coronel Amorós ha merecido justa­ amorosos conceptos de Bellini , cuya música encuentra siempre mente á todas las personas de esta ciudad que se interesan por Valencia 19 de Noviembre . la mas cumplida expresión eñ boca de quien tan feliz fue en Us glorias y la felicidad de España , y el deseo de ver secu…</t>
  </si>
  <si>
    <t>…7.° Que el cuerpo de zapadores de Paris debe á las leccio­ tegeré decididamente y á todo trance la,libertad p úb lica, h a ­ en las batallas, considerándolas en sí y coii relación á las operacio­ nes y cuidados de Mr. el coronel Amorós, según las relaciones ciendo que ante ellos se humillen los que inteutareu saltarlos; nes m istas, á los movimientos de los ejércitos, y á la oportunidad de varios prefectos de p olicía, una gran parte de lá&gt;destreza, y esto sin acepción de personas ni de opiniones; porque solo de emplear las…</t>
  </si>
  <si>
    <t>Amorós, D. Francisco</t>
  </si>
  <si>
    <t>D. Francisco Amorós</t>
  </si>
  <si>
    <t>…ución do de Valencia, y á consecuencia de despacho requisitorio de la defensa de la Constitución y del trono legítimo de nuestra se encabecen las partidas con títulos los mas claros y e x ­ dicho Sr. juez cumplimentado por el Sr. D. Francisco Amorós inocente José María Reina. Madrid i.° de Abril de 1839.i=El presidente, Puig.=Por acuerdo de la diputación, y enfermedad y López, que lo es de esta corte, se cita, llama y emplaza á presivos en cuanto sea posible de su verdadero sign ifica- todos lqs que se crean con derecho á…</t>
  </si>
  <si>
    <t>An, D. José</t>
  </si>
  <si>
    <t>D. José An</t>
  </si>
  <si>
    <t>…iene en el piso bajo que fue repeso de corte. El marido de dos mugeres. 68. Otro id., á la Excma. Sra. marquesa de Sta, Cruz. Completan el tomo segundo que quedarán corrientes la se­ 259. Un cuadro con uu ramo de flores, al Sr. D. José An­ mana próxima: gel Zorrilla. Secretaria del supremo tribunal de Justicia . A toaI tiempo buena cara. 558. Un cuadro con un pájaro bordado, al Excmo. señor El marido dedos mugeres. conde de Campo-Alan ge. A virtud de providencia dé la sala segunda del supremo La honra de mi madre. 147.…</t>
  </si>
  <si>
    <t>AN, ESTEB</t>
  </si>
  <si>
    <t>ESTEB AN</t>
  </si>
  <si>
    <t>22/10/1839</t>
  </si>
  <si>
    <t>Gaceta de Madrid n.º 1808</t>
  </si>
  <si>
    <t>…o en su ca­ Los Diputados de la provincia de Salamanca han tenido ya en el caso de aprobarla. so, saldrá del puerto de la Coruña el dia 6 del próximo mes de una conferencia con el Sr. Ministro de Hacienda sobre este mis­ El Sr. ESTEB AN dijo que con el artículo que se discute des­ Noviembre con la correspondencia del Gobierno y de particu­ mo asunto, para manifestar á S. S. que no habia en esto nin­ aparece la oferta que en el primero se haceá ios soldados, porque lares para Canarias, Puerto-Rico é isla de Cuba. gún géne…</t>
  </si>
  <si>
    <t>Ana, Santa</t>
  </si>
  <si>
    <t>Santa Ana</t>
  </si>
  <si>
    <t>…l 15 de A bril de 1857. «D . José Antonio Rich. D. Salvador Campillo. {Constituí ionnel.) D. D. D. T oledo. Granada. « D . Sebastian García Ochoa. MADRID 2 DE E N E R O . «Conde de Almodóvar. «M arques de M alpica. «Conde de Santa Ana. «D . Dionisio Capaz. «D . José M aría Perez. V alencia. No habiéndose p ub licad o en la G aceta los nom bres de « D . M anuel de Soria. «Conde de Parsent. lo« Senadores y D iputados de esta le g is la tu ra , y habiendo G uadalajara. «D . M ariano Egea. o currid o desde el año an terio…</t>
  </si>
  <si>
    <t>Ana, Sta.</t>
  </si>
  <si>
    <t>Sta. Ana</t>
  </si>
  <si>
    <t>…delo ó Mucho se ha hablado estos últimos dias del hallazgo de un fuerzas de la lengua castellana, cuando en los Nombres de ejemplo en los poetas del siglo x v í . Las lenguas 110 tienen cfierpo incorrupto en la parroquia de Sra. Sta. Ana, en Tria ­ C risto se em peñó en com unicarle el genio traspositivo de una perfectibilidad indefinida. Cuando llegan á cierto ría , después de 536 años de muerto. Se ha contado este suceso la latina. E n efecto, el castellano, aunque menos trabado punto, no es lícito alterarlas.= A. L. ( E…</t>
  </si>
  <si>
    <t>Anast</t>
  </si>
  <si>
    <t>…L e ó n , D. J u a n E c h e v a r r í a , L a m a s , Pa rdo y otros, de i n ­ por el Excmo. Sr. Presi dente , general eo gefe del ejército de ternarse en lo i nterior del pa í s ; pero tengo motivos para creer ooeraciones, D. Anast asi o B u s t a ma n t e , se sirve el Excmo. señor que esta noticia carece de f un da me nt o . El ejercito carlista se h a l l a en uoa si t uaci ón m u y crí ti ca. El coma ndan t e general de S i na l on p a r t i c i pa con f echa 17 Presidente i nt eri no de la Re públ i ca renovar ent…</t>
  </si>
  <si>
    <t>Anastasio</t>
  </si>
  <si>
    <t>…rdo Medrano y D. T^más González, Otra id. en barranco Jaro so , término de Cuevas Espe­ reglaba a los artículos 20 y 21 del plan eu los exímenos para relatores jubilados de la audiencia de Cáceres , exponen: que ran z a, por D. Anastasio M árquez, en 14 . * maestros de primera educación, lo que el expolíente habia re­ habiendo conseguido que se les jubilase con el sueldo que les Otra de azufre , en barranco del M archalico, término de clam ado, sin otro resultado que el de nombrar eu su lugar á correspondiese según clasi…</t>
  </si>
  <si>
    <t>25/08/1839</t>
  </si>
  <si>
    <t>Gaceta de Madrid n.º 1746</t>
  </si>
  <si>
    <t>…. d e A . M.) Capitulación d e Tuspan . En el rancho de S. Francisco á los 11 dias del mes de J u ­ T U R Q U IA . nio de 1 8 5 9 , reunidos los Sres. coronel D. Francisco Ponce de León y el prefecto del distrito de Tuspan D. Anastasio M aría BUENOS A IR E S . Constantinopla 2 4 d e Julio, Llórente por parte del Sf. general D. M ariano Paredes y A r ­ rilla ga , y los tenientes coroneles D. Francisco de P aula Lince y Por la v ía de Boston se ha recibido la importante noticia Akiff-effendi, enviado cerca del bajá de Eg…</t>
  </si>
  <si>
    <t>Anaya, Juan Pablo</t>
  </si>
  <si>
    <t>Juan Pablo Anaya</t>
  </si>
  <si>
    <t>…ulpar sus préstamos forzosos y pondré dirigirme sobre la gavilla de Canales, á quien se ha tfcórbitantés contribuciones de todas clases, mientras que por al frente de la proviacia á su antiguo gefe político , al conser­ unido D. Juan Pablo Anaya, lo cual si logro darie alcance, ama inconsecuencia, hija de su delirio, oponen hoy obstáculos vador del orden, al amante de la paz y de la justicia: el cielo será destruida en el acto, ó se pondrá á disposición del supre­ vendiga á V. M. por tan feliz reposición, como lo hacen lo…</t>
  </si>
  <si>
    <t>And, D.</t>
  </si>
  <si>
    <t>D. And</t>
  </si>
  <si>
    <t>…ado y Fajardo. Sr. D. Juan Bravo Murillo. Sr. D. Miguel Salvá y Cardell. Sr. D. Pablo Ayala y Moría. Sr. D, Francisco Armero y Peñaranda. Sr. D. Juan Burguez Zaforteza. Sr. Sr. D. Nicolás Rípoli. León. Soria. . Barcelona. Sr. D. And rés Leal. Sr. D. Segundo Sierra y Pambley. Sr. D Manuel Barrio-Ay uso. Sr. D. Joaquin Rey, Vicepresidente 5.° Sr. D. Pascual Fernandez Baeza. Sr. D. José Antonio Flaquer. Sr. D. León Ilerques. 7 1arragona. Sr. D. Carlos de Martí. Sr. D. Santiago Alonso Cordero. Sr. D. Baltasar de Toda. S…</t>
  </si>
  <si>
    <t>Anda</t>
  </si>
  <si>
    <t>…irespondencia de u n o de los generales de D . Ped ro de L e i v a , J u a n U rb ír i a , el padre D. T om as Vicente Tosca. boinas, contándose entre los expresados muertos el teniente del P ort uga l con el cap itá n general de Anda luc ía . 9.° D. H u g o de Moneada, el cardenal Silíceo, Bartolomé de titulado 5.° batallón de A ra g ó n D Benito Poblador. En el i n s i ­ F ad o de la causa instruida contra los Sres. O t a ! , G r i s u s a - Carranza , D. A n t o n io Cova rru bi as y Leiva , A n t o n i o Peres, n ua do p…</t>
  </si>
  <si>
    <t>Andalucía</t>
  </si>
  <si>
    <t>…acontecimientos de una Y si bien se suscitó en la comisión la. especie de si el capi­ rebelión manifiesta , no es mi objeto manifestar cuáles han sido por primer término se les ha señalado, conforme al decreto de tán general de Andalucía, conde de Gleonard , en el arresto del los delincuentes, esto corresponde á los tribunales; pero es im­ las Cortes de 15 de M ayo de 1821 , se presenten por sí ó por Sr. Diputado Alvarez, pudo ó no proceder de otro mejor mo­ portante calificar de esta manera estos acontecimientos, sien­ me…</t>
  </si>
  <si>
    <t>…autoridad alli esta­ particular, se dirige á que no constando las razones por que el que referirse al parte del mismo general. ( L ey ó un trozo d e blecida, no por las arbitrariedades que com eten, sino porque capitán general de Andalucía habia preso al Sr. Alvarez, no aq u el en que se d ice que de hecho quedó disuelta la junta.) sostienen el orden. Por lo que* á mí toca rechazo con toda la habiéndole cogido in fr a g a n tí , el Congreso dé un voto de cen­ Luego la junta existia : luego las personas que pertenecían á el…</t>
  </si>
  <si>
    <t>01/03/1839</t>
  </si>
  <si>
    <t>Gaceta de Madrid n.º 1567</t>
  </si>
  <si>
    <t>…tal él E x­ fundadas esperanzas que tenemos dé su completa orgáoizjcidn, viedro. {Id,) celentísimo Sr. D. José G arratalá, nombrado por S. M. capitán con la apertura dé las cátédras dé pintura y arqúitectúi^ir, y eá general de Andalucía* Parece que S. E . se ha alojado en casa fin cón el establecimiento de teatro lírico y dramático ¿'q«e:es­ del Excmo. Sr. general-segundo cabo D . Francisco Sanjuahéna. S e v i l l a 2 3 d e F e b r e r o . tá muy próximo á realizarse. - ? {Diario d e Sevilla.) Séáíaos permitido ai co…</t>
  </si>
  <si>
    <t>…el alcalde prodigiosamen­ Félix Sánchez Fano. (E co d e A ra gó n .) en la adjudicación de premios militares. (Núm. 15540 te de su furor: el 20 pasó por V illanuño y dió de golpes á dos Real decreto nombrando capitán general de Andalucía al te­ vecinos de ViIlam eriel, sacando un ojo de un palo á uno de niente general D. José Carratalá en reemplazo del conde de ellos, rompiendo un brazo á otro del pueblo , y dejando impo­ Hoy por la mañana se ha encargado de esta comandancia Clonard. (Núm. 1555.) sibilitado al alcalde de…</t>
  </si>
  <si>
    <t>…ptado. 19 de M ay o del corriente año por el comandante general de nuestra columna, disparando algunos tiros casi fuera de alcan­ Tales son los sentimientos de vuestro compatriota y coman­ Córdoba , y orden del capitán general de Andalucía conde de ce, y solo por gastar pólvora en salvas. dante general.= Juan Garrido.rzToledo 27 de Enero de 1859. C lonard, y conducidos desde la Carlota á Córdoba, se les dió El fuerte de Montan ha sido entregado á las llam as, según libertad en 51 del mismo mes sin haberles tornado declaraci…</t>
  </si>
  <si>
    <t>…n clim a capaz por sí solo de restablecer la salud del fugado. ca b a llero ; pero en el hombre puede mas el o rgullo que la ra - En cuanto recibí la noticia di las órdenes convenientes p a ­ Núrn 2.° C a p it a n ía general de Andalucía.= Excrno. Sr.: No z o n , y yo solo soy víctima de todos los elementos y hombres ra d i r i g i r requisitorias á los comandantes generales de las p ro- constando en e&gt;ta cap ita n ía general la autorización cou que se que conspiran contra m í ; pero llevo en mi corazón un lenitivo hall…</t>
  </si>
  <si>
    <t>…sional fran­ desde la publicación de este anuncio en la G aceta, ac udan á. co atacaron el dia 13 en Rubio una casa donde se habían deducirle ante el referido Sr. juez y escribanía, apercibidos de Núm . 4-° Capitanía general de Andalucía. — Excmo. Sr.: hecho fuertes ocho rebeldes, los mismos que cayeron en nues­ que en otro caso se declarará por herederos abintestato de dicha Acabo de recibir la comunicación de "V. E. del 7 del corrien­ tro poder con armas y demas efectos, distinguiéndose notable­ Doña M aría á los que lo…</t>
  </si>
  <si>
    <t>05/03/1839</t>
  </si>
  <si>
    <t>Gaceta de Madrid n.º 1571</t>
  </si>
  <si>
    <t>…mbién que no pagará á la Holanda mas que aquella sus habitantes la alocución que sigue: Las consideraciones que acerca de la tragedia; hace eí señór parte exacta y fijada que por medio de documentos compro­ El capitán general de Andalucía á los habitantes de la . 1.atorre nos parecen juiciosas acertadas; otro tanto decimos bantes incumbe pagar realmente á la Bélgica en la división misma. — Al encargarme del mando de esta capitanía general,íj le las diferencias que establece éntre el cómicó y el actor trág¡¿- equitativa de…</t>
  </si>
  <si>
    <t>…stablecer, podrá contribuir á que se consigne aquel Córdoba 12 de Mayo. En la tarde de ayer llegó á esta H onorarios de la segunda enseñanza. objeto tan importante de suyo. En cuyo concepto ha acor­ capital el capitán general de Andalucía, procedente de Sevilla dado se diga á V. que la diputación dispensara á V., como y Osu na .después de haber recorrido los pueblos de Aguilar y Prim er cursQ. Segundo. Tercero. Cuarto. director de aquel establecimiento, la protección á que se Mantilla de esta provincia. hiciere acreedor…</t>
  </si>
  <si>
    <t>…ceridad de sus sentimientos. Dígnese pues V . M . acoger con su Real agrado este p ara­ Dio? guarde á V. E. muchos años Jaén l í de Setiembre bién sincero y respetuoso como testimonio de la mas viva g r a ­ El capitán general de Andalucía con fecha 11 del actual, de l859^=Excrao. Sr ~EI presidente, Francisco Muñoz y A ñ ­ titud que rinde la villa de Manzanares por la aparición del iris y refiriéndose á un parte del comandante general de Córdoba, il rade.—Francisco María Montoro.—Por acuerdo de la d ip u ta ­ pacificador: as…</t>
  </si>
  <si>
    <t>…empresa de los de la H a- I general D. Antonio María Alvarez. (Id.) M urviedro, en donde se hallaba preparado un convoy de mu­ I baña, saldrá del puerto de Cádiz el dia 2 de Enero del próximo I .... nombrando capitán general de Andalucía al mariscal niciones de guerra y boca, y se ha dicho ha salido hoy con i año de I 84O con la correspondencia del Gobierno y de parti- I dirección á Segorbe. de campo D. Francisco Saojuanena. (Id.) I culares, para Canarias, Puerto-Rico é isla de Cuba. I _ nombrando capitao general del di…</t>
  </si>
  <si>
    <t>…na 3 d e Junio. El 22 de M ayo llegó aqui el correo de D. José C arratalá , teniente general de los ejércitos nacio­ Varis 12 d e Ju n io. Constantiaopla: muchas casas han recibido cartas en que dicen nales y capitán general de Andalucía &amp;c. &amp;c. =Hago saber: que que Hafiz-bajá habia pasado con su ejército el Eufrates, sin 5. M la Reina Gobernadora se ha dignado resolver en 5 del F ondos pú blicos. Cinco por 1 0 0 ,1 í 1 - 50. que por eso hubiesen empezado las hostilidades. Sin embargo, actual cese él estado excepcional e…</t>
  </si>
  <si>
    <t>28/02/1839</t>
  </si>
  <si>
    <t>Gaceta de Madrid n.º 1566</t>
  </si>
  <si>
    <t>…u Real consideración el nuevo méri­ acaba de contraer el bizarro coronel Zurbano. que sigue: de confinados, para lo cual, asi como para todo lo que Dios guarde á Y. E. muchos años. Cuartel general de Lo­ «Al capitán general de Andalucía con esta fecha digo conduzca po al al mejor éxito de este asunto, previne con tiem­ groño 25 de Febrero de 1839.=:Excmo. Sr.—El conde de L u­ comisionado y visitador D. Manuel Montesinos, se cha na.=Excmo. Sr. Secretario de Estado y del Despacho de la lo siguiente : He dado cuenta á la…</t>
  </si>
  <si>
    <t>…argo , á pesar de ciertas circunstancias que parece indican lo orden lo siguiente: y que la proposición que resulte mas ventajosa en ambos pun­ contrario, no creemos que el Gobierno belga quiera emprender «A i capitán general de Andalucía con esta fecha digo lo tos será la que obtenga la preferencia, y no se admitirá después una lucha con las Potencias que forman la conferencia, y con ue sigue: He dado cuenta ¿ S. M. la Reina Gobernadora 3 el oficio de V. E. de 5 del actual, en que manifiesta que de concluido el acto ning…</t>
  </si>
  <si>
    <t>Andalucía.r</t>
  </si>
  <si>
    <t>09/04/1839</t>
  </si>
  <si>
    <t>Gaceta de Madrid n.º 1606</t>
  </si>
  <si>
    <t>…ontribuir á formar un latable, y constituía un gran peligro. Aquellos tiempos han verdadero conocimiento del estado en que se encuentra la insti­ pasado; pero siempre lo e s, para que los que han procurado, Capitanía general de Andalucía.r=D. José Carratalá , tenien­ tución, y de las medidas que será conveniente adoptar para como nosotros, conservar ilesa la fe de sus padres rechacen con te general de los ejércitos nacionales, capitán geueral de A n ­ mejorarla y darle toda la latitud que le corresponde con arreglo vigor…</t>
  </si>
  <si>
    <t>Andrés</t>
  </si>
  <si>
    <t>…comparando la exactitud de que son tuche de matemáticas cada uno de ellos. vista de C openhague, y en el centro de esta galería se eleva el susceptibles los relojes de longitud con la deducción de esta D. José de U r ia r té , D. Andrés M ora , D. Norberto Zinza, observatorio. En la parte mas alta del ángulo que corresponde por las distancias lunares. D. J u a n R u b io , D. Antonio S e g a le r v a , D. Eugenio S o u b i- á la puerta de la torre h ay la siguiente inscripción : D octrinam Satisfizo completamente las pregun…</t>
  </si>
  <si>
    <t>…e proceda A ntonio González , D. José Castejon , D. M iguel M arques y han de estar separados unos de otros, y no encajados unos en todas las provincias á la renovación y nombramiento de V ille g a s , D. Lorenzo M a r a c i, D. Andrés M a r t i, D . Ju a u G a- en otros, como sucede en casi todas las galerías de p in tu ­ los ind ivid uo s que han de componer las diputaciones pro­ r a y y C a sa !, D. Rafael C añavera! y D. Francisco Ja v ie r S á n ­ ras , excepto la del L o u v re , pues de otro modo seria su- vinciale…</t>
  </si>
  <si>
    <t>…IA B O R G IA , que se ha difundido entre los individuos de todas las opinio- gado D. Manuel Fernandez de Pazos, se cita , llama y emplaza visa’da'16 ” reU" eQ ®4U Urde *“ una comida ¡a*pro- á Doña Petra H ernández, viuda de D. Andrés R am os, mayor adornada con el aparato correspondiente. de plaza que fue en la villa del F erro l, cuya habitación se ig ­ «L a puerta del Sol se halla llena de gente que con sus pala­ nora t para que tan luego como llegue á su noticia este anuncio bras y ademanes están manifestando la ale…</t>
  </si>
  <si>
    <t>…osé Arau- jo y Alcaide, D. Joaquín de Echavarría , D. Ricardo López, D. Antonio González , D. José de Castejon, D. Miguel M ar- p O R el presente y providencia dictada por el Sr. D. Juan qüés y Villegas, D , Lorenzo Marau , D. Andrés M artí, Don José Rodríguez Yaldeosera, caballero comendador de la Juan Garay y Casal, D. Rafael Cañaveral, D. Francisco Ja­ Real orden Acbericana de Isabel la Católica , juez togado de EL LIBRO DE LOS NIÑOS, vier Sánchez y D. Juan José G il, que aparecen endosantes de primera instancia de e…</t>
  </si>
  <si>
    <t>…un tomo en 8 .° rústica , á 2 rs. ron á ocuparnos de este trabajo que no nos toca calificar. Bas­ sé Casfejon, D. Miguel Márquez y Villegas, D. Lorenzo M a- ta el nombre del célebre filósofo Mr. Bouvier, de cuyas obras raci, D. Andrés M a rti, D. Ju a n Garay y Casal, D. Rafael Instrucción sobre el método de curar á los asfíticos por el hemos traducido y tomado una gran parte de la que tratamos de Cañaveral , D. Francisco Javier Sánchez, y D. Ju a n José Gil, mefitismo, los ahogados &amp;c. con observaciones sobre las causas…</t>
  </si>
  <si>
    <t>…Lo confesamos: al reliano de Beruete , D. José Crozat, D. Antonio del Alcázar, mi interino mando. Barcelona 2 9 de Noviembre de 1859.= José pronto no podíamos resolvernos á dar crédito á los rumores p ú ­ D. M anuel N ieto, D. Andrés A qu il y O’Conell, D. José M a ­ M aría de Gispert. blicos que corrían sobre este acontecimiento: reflexionábamos en ría Secades , D. Felipe Canga A rguelles, D. Manuel Sierra y la gran distancia de los lugares y en la dificultad suma que D. R a m e a González, responsables de dicho im p…</t>
  </si>
  <si>
    <t>…malidades que la misma previene, tocó á los sugetos siguien­ pide a! Congreso se sirva acordar conste en el acta la causa por d o , se procedió á la operación sin que las cinco villas reclama­ tes: D. Juan Jiménez y González, D. Andrés M olinillo, Don qué no asiste. sen según consta del expediente, con lo cual se probaba que - M anuel M olinuevo, D. Dom ingo Diez del V alle, D. Vicente Se concedió licencia por cuatro meses para restablecer sn sa­ no habia la arbitrariedad que habia querido suponerse. Yo aplaudo el celo d…</t>
  </si>
  <si>
    <t>27/02/1839</t>
  </si>
  <si>
    <t>Gaceta de Madrid n.º 1565</t>
  </si>
  <si>
    <t>…les en un plimiento de esta superior disposición, he cometido el mando Cromwell de D euclairon, escogido para los exámenes de aquel país que tan pocos año* cuenta de su establecimiento, permíta­ militar del distrito al coronel D. Andrés E guaguirre, cuyo año. seme aventurar la expresión. Las artes y ciencias se disputan cargo ha recaído en este gefe por indisposición de los mas gra­ Al siguiente, queriendo Mr. Lamaigniere evitar toda com­ la primacía; pero sobre todo la música, ese arte delicioso y e n ­ duados á quienes co…</t>
  </si>
  <si>
    <t>…no y vincia se cita , llama y emplaza por tercer edicto y término de adm inistración p úb lica, obra escrita en francés por Bourbon- Habiendo salido de Zaragoza, según las últim as noticias nueve dias á D. Fernando Iglesias, D. Andrés G utiérrez, Don L e b la n c ,y trad u cid »al castellano por D. E. de S. P .: segunda que tengo de aquella ciudad, porción de prisioneros facciosos Manuel Domínguez, Doña Teresa Romeroso, y D. M anuel edición española, á 10 rs. en rústica. para ser cangeados por igual número de nuestros vali…</t>
  </si>
  <si>
    <t>…de esta provincia, se cita, llama y emplaza por segundo edicto nes, de amenazas, de acriminaciones que tendian a pro­ ferian á otro asunto. Acabada la lectura se guardó la m e­ y término de nueve dias á D. Fernando Iglesias, D. Andrés bar que en los debates había sido el agresor Pió vn. Hé moria en él bolsillo, buscó con la vísta al hombre que le Gutiérrez, D. Manuel D. Manuel Domioguez, Doña Teresa Romeroso y María de la Orden para que comparezcan én la es­ aqui algunos fragmentos de aquellas: «El Papa permane­ enseña…</t>
  </si>
  <si>
    <t>Andrés, Bernabé</t>
  </si>
  <si>
    <t>Bernabé Andrés</t>
  </si>
  <si>
    <t>23/08/1839</t>
  </si>
  <si>
    <t>Gaceta de Madrid n.º 1744</t>
  </si>
  <si>
    <t>…ztañeta, un real. Lorente , Pablo Ascaso , Ignacio Paño de Sesé, José de la Cruz, llama y emplaza á cualquiera persooa que se conceptúe con de­ Noticia biográfica y literaria del cosmógrafo Alonso de Juan de Maritorena , por D. Bernabé Andrés que no sabe fir­ recho á los bienes quedados por fallecimiento abintestato de Santa C ruz , 2 rs. mar, y á su ruego, Rafael Urries,Francisco Aivar, Manuel Ma- Doña María Josefa y Doña Josefa Blasa Santelices y Huyarra, Noticia histórica sobre los progresos que hizo en Espa­ gallón,…</t>
  </si>
  <si>
    <t>Andrés, Fuente</t>
  </si>
  <si>
    <t>Fuente Andrés</t>
  </si>
  <si>
    <t>…la com isión, y seguirá las formalidades que se Ernesto. ( D ebats .) previenen. los interesados la resolución del Congreso, puedan renovar sus peticiones si lo tienen por conveniente, no estaba conforme coa A petición del Sr. Fuente Andrés se leyó la exposición que que se aprobase la p r im e r a , pues es contraria al art. 67 del re­ d irige á las Cortes D. Luis González Bravo. El P ortofoglio Jlfa ltesse , periódico que se publica en M a l­ glamento, que previene que, concluida una diputación, terminan El Sr. B E N A…</t>
  </si>
  <si>
    <t>Andrés, Pedro</t>
  </si>
  <si>
    <t>Pedro Andrés</t>
  </si>
  <si>
    <t>…ija ademas la cuar­ Ayuntamiento constitucional de la Coruña. ^ do dé primera instancia de esta ciudad de Segovia y su ta parte de este, recaudándolo en metálico ó por algún medio partido &lt;Scc. que facilite su proota venta. Don Pedro Andrés M ourin, secretario del ilustre ay unta­ Doy fe: Que en este juzgado de primera instancia, y por La comisión opina que, abolido el diezmo y aplicados á miento de esta ciudad &amp; \ Certifico: que habiéndose devuelto mi testimonio, se signe pleito entre Antonio H erranz, vecino otros obje…</t>
  </si>
  <si>
    <t>Aneorós</t>
  </si>
  <si>
    <t>…es D . Félix G u s an o del original italiano, se ha impreso en francés y dedicado P R I N C I P E . A las o c h o y media de la noche. L a sociedad y D. José Cán dido del Riego alcanzaron en u na paridera que al ilustre coronel Aneorós, fu n d a d o r y director de ios gimnasios dram át ic a ha dispuesto ejecutar h o y el d r a m a n ue vo o rig in al está en el término de íruecha , partido de M e d i n a c e ti , en la franceses, por ser la natación uno de los nías impo rtantes ejer­ en verso y en tres actos, titulado p…</t>
  </si>
  <si>
    <t>Angel</t>
  </si>
  <si>
    <t>07/10/1839</t>
  </si>
  <si>
    <t>Gaceta de Madrid n.º 1793</t>
  </si>
  <si>
    <t>…Olozaga, que es uno de ios que En doctrina cristiana é historia s a g r a d a , de m e m o r i a .— sin domicilio ni vivienda fija , para que en el térm in o de 15 mas han contribuido á ia introducción de las grandes m á x i­ D. Angel P e r e d a , D . F austino P a s t o r , D . José Ferres , D . M a ­ dias , siguientes á la inserción de este em plazamiento, se presen­ mas del arte, de las que nunca se separa. Concretándonos al c u a ­ nuel M o n seg u r, D. Rafael A g u i r r e , D. José Morillo. te en este tr ib u n a l…</t>
  </si>
  <si>
    <t>13/04/1839</t>
  </si>
  <si>
    <t>Gaceta de Madrid n.º 1610</t>
  </si>
  <si>
    <t>…meros para Por providencia del Sr. intendente de Rentas de esta pro­ están adornadas de preciosas láminas grabadas en acero; la im ­ facilitar las referencias de ambos, y á la vez de comprender v in c ia , se cita y emplaza á D. Angel M orales, D. Francisco presión y papel es de lo mas esmerado. Se hallan de venta en los reglamentos é instrucciones que se citen en el cuaderno p rin - Laserna , D. Joaquín M ana Sanguino y D. Ignacio García M adrid en la librería de Cuesta; en Barcelona en la de O liva, c ip a l, y que por su…</t>
  </si>
  <si>
    <t>…a segunda serie. miento se procediese á la publicación solemne de la Paz. Por la Habiéndose denunciado ante el señor alcalde constitucio­ tarde se cantó con igual solemnidad un T e Deum en la in sig­ nal de esta M.' H. villa , D. Angel M azon, por el promotor ne Basílica de Santiago para dar gracias al Todopoderoso por fiscal de uno de los jurados de primera in stan cia, D. Pa­ tan fausto suceso con asistencia de todas las corporaciones y tricio Joaquín de A v ila , los tres artículos de fondo escritos en TEATROS» autoridade…</t>
  </si>
  <si>
    <t>…nto á las Barcelona, á ps. f s . , i á par id. Sevilla , i á 1 id. personas de todas clases que han correspondido tan generosa­ B ilbao, par din. V a le n c ia , \ din. b. T ^ A B U L A S , cuentos y alegorías morales del D r. D. Angel C a - mente á una invitación nacida solo de amor y caridad en f a ­ C á d iz , i á 1 d. Z aragoza, 1 d. A simiro de Govantes. Un tomo en 8.° de 2 08 p á g in a s , á 8 vor de unos establecimientos religiosos que se hallan al presen­ reales en rústica. te pobres y necesitados por los efectos de…</t>
  </si>
  <si>
    <t>20/12/1839</t>
  </si>
  <si>
    <t>Gaceta de Madrid n.º 1867</t>
  </si>
  <si>
    <t>…ópera E len a é M alvin a , por la señ ora V illó y los Sres. U n a n u e y S a l a s ; con d ecoració n y trajes* Habiéndose den unciado ante el Sr. alcalde co nstitu cion al de B IB L IO G R A F IA . esta muy heroica villa D. Angel M a z o a ñor el teniente coro ­ nel D . José V ig sl y el e s p it a n D . J u a n P a r d o , á nombre de C U R S O de o s te o lo g ía , ó colección co m p leta de los huesos qu e Segunda p a rte . D . Felipe F e rn a n d ez , coronel del re g im ien to caballería de la ^ com ponen el esqu…</t>
  </si>
  <si>
    <t>27/12/1839</t>
  </si>
  <si>
    <t>Gaceta de Madrid n.º 1874</t>
  </si>
  <si>
    <t>…os que ha­ ñores jueces de hecho que suscriben , por convocación del señor vez, con el auxilio de la gracia divin a, en volver al seno de la yan civilizado tan tristemente el carácter sagrado de que los alcalde constitucional D. Angel M azon, reunidos en una de las iglesia romana de un modo sincero y duradero. salas consistoriales, prévio el correspondiente juramento pres­ habia revestido la autoridad de esta sede apostólica. Pero tam­ Asi al principio en el concilio general de Florencia el ar­ bién es grande nuestra sol…</t>
  </si>
  <si>
    <t>29/08/1839</t>
  </si>
  <si>
    <t>Gaceta de Madrid n.º 1750</t>
  </si>
  <si>
    <t>…a d ­ Por providencia del Sr intendente subdelegado de rentas mirable. de esta provincia se c it a , llama y emplaza por primer edicto y Compendio de la obra inglesa in titulada Riqueza de las término preciso de nueve dias a D. Angel M orales, D. J o a ­ naciones, hecho por el marques de Condorcet, y traducido al quín María Sanguino , D. Ignacio García Cabrero y D. F ran­ castellano con varias adiciones del original por D. C irio s M a r ­ cisco Laserna , para que se presenten en el juzgado á dar sus tínez de Irujo. Uu t…</t>
  </si>
  <si>
    <t>Angel, Juan Ramón de Barcia y D.</t>
  </si>
  <si>
    <t>Juan Ramón de Barcia y D. Angel</t>
  </si>
  <si>
    <t>15/12/1839</t>
  </si>
  <si>
    <t>Gaceta de Madrid n.º 1862</t>
  </si>
  <si>
    <t>…verá á poner en escena la causa formada á D. José Castillo, su señora é hijas han dis­ la profecía del Pirineo D. Ju a n Bautista de Arriaza. Un cua­ ópera n u e v a , dividida en tres partes, titulada .4 puesto los doctores D. Juan Ramón de Barcia y D. Angel Hidal­ derno en 8.° impreso en I 8 I 4 , á 12 cuartos en rústica. go , en el que se demuestra la clase de muerte que robó tan pre­ maturamente los preciosos dias de Doña Rita 9hijay hermana res­ Gramática de la lengua inglesa, que contiene reglas fáciles I B R IG A…</t>
  </si>
  <si>
    <t>Anglada, Andrés</t>
  </si>
  <si>
    <t>Andrés Anglada</t>
  </si>
  <si>
    <t>…de Egipto, ha tenido una au­ moso a rm a m e n to , llam ado la arm ad a invencible , q u e Baile. D. Juan Riquer , D. Guillermo Ghesio, D. Ma-nuel diencia del Santo Padre, en la cual le ha presentado libros re­ María Simó y D. Andrés Anglada. hizo Felipe n en L i s b o a , y destinado contra Inglaterra, ligiosos de los drusos. Su Santidad le ha regalado en cambio El premio de conducta, que es el primero del colegio, su ad­ se componía de barcos g r a n d e s , y las baterías en las cu­ tina caja de oro para tabaco f cuy…</t>
  </si>
  <si>
    <t>Anglona</t>
  </si>
  <si>
    <t>…que rebosan sus habitantes por los felices cuanto El general Cruz: "A l duque de la Victoria.” El Sr. P R E S ID E N T E : Orden del dia: Discusión sobre los inesperados acontecimientos de las provincias del Norte, une su El Sr. Anglona: "A l ejército español.” dictámenes de la cornision de Actas electorales. voz á la de todos los buenos españoles para felicitar respetuosa­ El Sr. R oca: "Q ue el sábio y prudente espíritu que ha dic- Fueron aprobados sin discusión los relativos á la admisión mente á Y. M. Grande es, Señora,…</t>
  </si>
  <si>
    <t>Angulema</t>
  </si>
  <si>
    <t>16/12/1839</t>
  </si>
  <si>
    <t>Gaceta de Madrid n.º 1863</t>
  </si>
  <si>
    <t>…mete, h corbeta Diligente , y los ha ido á Roma para exponer al Duque de Burdeos que deb&lt; Estos son los sentimientos del ayuntamiento y sus comiteu- vapores de guerra Papin y Lavoisier estaban foodeados en obediencia al Duque de Angulema, como al gefe de la familia tes, los que pagarán sus cargas públicas con todo placer y gus­ Ourlac, en donde se hallaban igualmente los dos almirantes. Los Se dice que la Duquesa de Berry no ha querido volver á Gratí to, único medio de sostener el trono de vuestra excelsa Hija Tritón, Júp…</t>
  </si>
  <si>
    <t>Angulo, Matías</t>
  </si>
  <si>
    <t>Matías Angulo</t>
  </si>
  <si>
    <t>…ándome m ucho trabajo y proporcionando infinitas D. Manuel de las Heras, lonja del Almidón, plazuela del mediatos (.E . de A.) ventajas á mis discípulos: en prueba de esta verdad, y de A n gel, esquina á la calle de Atocha. D. Matías Angulo, tienda de fierro en Puertacerrada. los felices resultados que he conseguido no dudaria un D. Blas de Jáuregui, plazuela de San Ildefonso, lonja. momento en recomendarle á mis comprofesores. Y en la confitería plazuela de Antón Martin. CORTES. También he visto con particular satisfa…</t>
  </si>
  <si>
    <t>Angéí</t>
  </si>
  <si>
    <t>…del vapor Cometa i solicitar de P o r el presente de cita , llama y emplaza á D. Joaquín Ma­ tos necesarios, nombradas como queda dicho, siendo los su comandante la remolcase á este puerto, cuya contestación fue lta Sanguino, D. Angéí 'Mótálés ^ Xtr-ésposá TJhñáT Marta dét mismos gefes responsables de la aptitud é integridad de lo haria luego que abonanzase el tiempo, fací litando sin embar­ Rosario J ^ í ó Gutiérrezv etiyó paradero se ignora, para que los elegidos; sin que estas comisiones especiales eximan a go un ancla…</t>
  </si>
  <si>
    <t>Aniceto</t>
  </si>
  <si>
    <t>…de este ejército.—Es copia.—Nogueras. Doña Isabel n , y la Regencia de su augusta Madre, so­ | de la 1.a brigada D. Eusebio de Calonge , y subteniente a u x i - lemnemente sancionada por las Cortes llamadas a fijar la ¡ liar D. Aniceto M uñoz, hasta la cúspide de la peña , de donde suerte de la nación, consolidando su sistema político, son ¡ un fuego espantoso no fue suficiente á separarlo. No solo las El mismo general en gefe en comunicación de ig u a l fecha los sagrados objetos que los españoles han jurado respe­ I m…</t>
  </si>
  <si>
    <t>Aniceto, Antonio Luzan y D.</t>
  </si>
  <si>
    <t>Antonio Luzan y D. Aniceto</t>
  </si>
  <si>
    <t>…dé un mo­ i de la i . a brigada , comandante graduado D. Eusebio de C a— tre todos ellos, y extraño á toda fracción, a todo color po­ mento vencerlo, y hacerle añadir un baldón mas en la 'h isto r ia i longe, y los auxiliares D. Antonio Luzan y D. Aniceto M u — de los combates que ha sostenido con esta división. I ñoz, nada me han dejado que desear rivalizando en decisión y lítico, sabrá proteger enérgicamente el derecho que la A l efecto ordené al benemérito y bizarro b rig a d ie r , gefe de ! a r ro jo , practicando ex…</t>
  </si>
  <si>
    <t>Anipudia</t>
  </si>
  <si>
    <t>30/06/1839</t>
  </si>
  <si>
    <t>Gaceta de Madrid n.º 1688</t>
  </si>
  <si>
    <t>…rramientas y útiles prepara­ Por extraordinario que acaba de llegar de Monterey , sé olvida promover la felicidad de sus habitantes. Dios guarde á dos para romper la tierra á la voz del ingeniero director que sabe que el coronel Anipudia con 800 hombres y cuatro piezas Y . E. muchos años* Córdoba 25 de Ju n io de i859.~E xee!er.tí- estaba á su frente: todo juuto y cada objeto por sí solo exci­ marchaba á Monte-Morelos para conceder al Sr. Leum? la ren­ sirno Sr.izJosé Melchor P rat.—Excmo. Sr. Secretario del Des­ taba conm…</t>
  </si>
  <si>
    <t>Ann-M</t>
  </si>
  <si>
    <t>…os. El numero de da del A sia , se ha añadido que el capitán ingles habia asegu­ !a bondad de los directores de las mismas obras y establecimien­ los edificios habitados es de 5661: hay 150 iglesias rusas y 26 rado al capitán del Ann-M arlha , que él mismo poseía el cro­ tos, convencen altamente nuestros asertos anteriores. El bien ge-' extra ngeras. nómetro del Jean-M art , que se habia proporcionado dando á neral debe ser el inevitable resultado de la observancia de las El consumo sube á una cantidad prodigiosa : las carn…</t>
  </si>
  <si>
    <t>Anselmo</t>
  </si>
  <si>
    <t>…la libra. {Id.) Manuel Docavo y D. Juan Pablo Lasanta. Traducción latina. D. Manuel María Simó y D. José Dios- lo fui el triste entre tantos a l e g r e s , y el cautivo entre tan­ dado. tos libres.,, (l) Propiedad latina. D. Anselmo M ateo, D. José Saochez, Uchalí se escapó con las galeras que m a n d a b a r en n u ­ Escriben de Piorna. El 6 de Junio último, octava del Corpus, un joven pintor D. Manuel Maderne y D. Valentín Galarza. mero de 30. El resultado de esta m em orable jorn ada fue francés se encontró con un…</t>
  </si>
  <si>
    <t>Ansotegui, Juan Francisco</t>
  </si>
  <si>
    <t>Juan Francisco Ansotegui</t>
  </si>
  <si>
    <t>…na comisión que debe acompañar al teniente coronel mayor del regimiento caballería de Albuhe­ anuncia que Mr. Gastón de Pins, administrador de la diócesis frontera al Príncipe Milosch, el cual se retira á sus ra, 5.° ligero, D. Juan Francisco Ansotegui, con fuerza del mis­ dominios de la Valaquia. Loa comisión del mismo Senado ha mo para perseguir á los rebeldes que apoyados en Sierra M o­ de León, será nombrado arzobispo de aquella diócesis en reem­ declarado plazo del difunto cardenal Fesch. al Príncipe excluido de tod…</t>
  </si>
  <si>
    <t>Ant</t>
  </si>
  <si>
    <t>08/04/1839</t>
  </si>
  <si>
    <t>Gaceta de Madrid n.º 1605</t>
  </si>
  <si>
    <t>…a j a n d o el m u y poco lo que h a y que a v e r i g u a r y a s e g ur a r en este a s u n ­ j a n a s , son incalculables. ma r i s cal S o u l t ? Lo i gnorarnos, a un q u e podernos a f i r ma r que to. El Sr. di rector D. Ant on i o de V a r o n a h a cedi do á la c om­ Ser i a pues un insulto al buen senti do de mis compa t r i ot a s los c ua t r o nombres que forman en este momento la base p u e ­ pañí a en pi opi edad 50 varas de l ati t ud e a toda la l on g i t ud de si y o me detuviese á demostrar que es úti…</t>
  </si>
  <si>
    <t>17/06/1839</t>
  </si>
  <si>
    <t>Gaceta de Madrid n.º 1675</t>
  </si>
  <si>
    <t>…N a r a n j o , D. M a r t i n D u q u e , D. Gregori o de Pablo N u e v o - M u n d o , y c u y a h isto ria por otra p arte está l ig a d a á la ría , penetro en la pobl aci ón, hacicjuiü prisionero tocio el des- S a u z , D. Ant oni o Eernandez L r r u l i a , D. An g el Mo r e n o , Don de los viajes y colonias m en ores; de modo que sab idas bien las tac ioícnto faccioso. Eate constaba hace mas de un mes de mas Ant oni o Conde y González y D. V a l e n t í a Cés pe de s, quienes c onquistas de aquellos im p e r io s…</t>
  </si>
  <si>
    <t>Ant, José</t>
  </si>
  <si>
    <t>José Ant</t>
  </si>
  <si>
    <t>…de m e d i d a , á la cual dan una aprobación tácita que hiere de un r i e n t e tuvo l u g a r respecti vamente lo que s i g u e : im ped írselo. modo significativo al partido de los 22 í . 1.° Se leyó un discurso del socio D. José Ant oni o A n g l a d a Los cabecillas M o n t a r d id y G r a c ia permanecen en S u c ra y ¿ f í a previsto el m inisterio las t rille s consecuencias de esto? conteniendo la descri pci ón pintoresca do Ls cuatro principales AI g i w i a . ¿ Piensa que los 22 t que se le han un id o con tan…</t>
  </si>
  <si>
    <t>Ant, Nicolás</t>
  </si>
  <si>
    <t>Nicolás Ant</t>
  </si>
  <si>
    <t>…nterés y ¡a ignorancia. 1.° D. A n t o n io L e i v a , Am brosi o M o r a le s , el P. J u a n d e M a r i a n a , Fr. Lope Félix de V e g a C ar pi ó , D . A n t o n io Solís Ju nta municipal de beneficencia de M adrid, y D. Nicolás Ant onio . El resultado de las operaciones de catarata , practicadas en el hospital general de e^ta corte en la última te mporada en la FASTOS ESPAÑOLES, 2.° El cardernal Gil A lb o r n o z , Gonzalo F er nan dez de C ór ­ doba , el g rao d u q u e de A l b a , A n a s M o n t a n o , D .…</t>
  </si>
  <si>
    <t>Antero</t>
  </si>
  <si>
    <t>…sacrificios a' D. Francisco Rodriguez, que sirve el de Sarria, de entrada, de los españoles leales por su legítima dinastía prepararon tan PRESIDENCIA DEL SEÑ O R TA RA N C O N en la provincia de Lugo: para esta judicatura á D. Antero gloriosos acontecimientos: el convencimiento y la gratitud Rubio de Oroña , juez electo de Viana del Bollo, de la misma de los que engañados la hicieron oposición aceleraron el ‘ansia­ Sesión del dia 21 de Setiembre . clase, en la provincia de Orense: para Viana del Bollo á Don do momento d…</t>
  </si>
  <si>
    <t>Antero, Francisco</t>
  </si>
  <si>
    <t>Francisco Antero</t>
  </si>
  <si>
    <t>…icia este an u n cio , se presente en la escribanía de róas del quinto a c to , a l l i mismo acaba el papel odioso ; a lli inclusión del que en su venta cause el artículo de bacalao, por número, vacante por fallecimiento de D. Francisco Antero C a ­ mismo desaparece del cuadro la única sombra que le oscure­ término de uu a ñ o , que dará principio el í . ° de Enero de sado, sita en las P laterías, para instruirla de ciertas diligencias cía. Aun cuando se vea su apuradísim a situación; al héroe I 84 O, y concluirá en fi…</t>
  </si>
  <si>
    <t>…o señala: Galarza, D. José Tomé y Ondarreta, D. Feliciano Sancha, destrozo causado por la tormenta del sábado: poco sin embar­ pues excitado aquel ayuntamiento y junta de comercio inspiran D. Antonio Castro, D. Diego del Rio, D. Francisco Antero go podríamos añadir á lo publicado Casado , D. Custodio Moreno, D. José Alvarez Crespo y Don ayer sin contraernos á confianza, y la tienen también, como deben, en la de Reinosa Pantaleon Muntion y Alonso, quienes por unanimidad decla­ derribo de chimeneas, destecho de casas &amp;c. En…</t>
  </si>
  <si>
    <t>Anticipaciones, Francisco Serrano.</t>
  </si>
  <si>
    <t>Francisco Serrano. Anticipaciones</t>
  </si>
  <si>
    <t>…......................... 2 - 8 0 5 ,1 5 1 -1 8 de montaña y dos escuadrones del regimiento de Cataluña, 6 .° Depósitos................................................ . 7 8 8 8 2 9 11 de ligeros , á las órdenes de su coronel D. Francisco Serrano. Anticipaciones reintegrables............ ................ * 1 .8 9 7 , 8 1 5 - 1 4 La que debía atacar á la izquierda enemiga , á mis inmediatas Traslación de caudales..................... .................... 8 0 2 ,16 0 ANUNCIOS OFICIALES. órdenes, la componían 12 compañías d…</t>
  </si>
  <si>
    <t>Anto</t>
  </si>
  <si>
    <t>20/11/1839</t>
  </si>
  <si>
    <t>Gaceta de Madrid n.º 1837</t>
  </si>
  <si>
    <t>…por muerte de D. Santiago de los Ríos, á D. Joan María Riec, El Bey de esta regencia ha quedado muy satisfecho de los 6* Los comisionados, que según dispone el art. 34 de fiscal de la propia audiencia ; y para esta vacante á D. Anto­ pliegos que le ha dirigido el enviado del joven Sultán , Irscid nio Caro Muñoz, abogado del colegio de aquella ciudad , que Bey, quien acaba de salir de esta ciudad con presentes para el la mencionada ley, deben concurrir al escrutinio general se h¿lla condecorado y a con los honores de la…</t>
  </si>
  <si>
    <t>…ne repetir a q u i , que entre sustantivo y adjetivo tín Jim énez, y regresará al mismo punto á los pocos dias de su estando juntos y siendo único e ste , es violenta la cesura; y Asimismo se cita y emplaza á D. José Sánchez, D. Anto­ arribo ; y pudiendo llevar algunos pasageros de cám ara, se d ir i­ mucho toasen los artículos, preposiciones , conjunciones y pa­ nio D u rán y Doña M arg a rita M o s t i , para que en el término g irá el que quiera aprovechar esta ocasión á D. Félix de A g u ir - labras que no tienen sig…</t>
  </si>
  <si>
    <t>27/07/1839</t>
  </si>
  <si>
    <t>Gaceta de Madrid n.º 1716</t>
  </si>
  <si>
    <t>…ios de la villa de Martorell que se han tan poderosas recomendaciones ha hecho su entrada en estas provincias. (Id.) Los gobernadores de las provincias manifestaron deseos é •cercado esta mañana al Excmo. Sr. general 2.° cabo D. Anto­ intenciones de cooperar en cuanto les fuese posible al lo»ro de nio Seoane con motivo de haberse aproximado nuevamente los esta empresa , con cuyo motivo la administración general pidió facciosos del Llarch á aquella benemérita población, hemos sa­ á la sociedad una noticia acerca de las mejor…</t>
  </si>
  <si>
    <t>Anto, Gaspar</t>
  </si>
  <si>
    <t>Gaspar Anto</t>
  </si>
  <si>
    <t>…que r ig e , traslada á este ministerio traslado de un los pliegos de condiciones que formarán las respectivas oficinas fin el tratado de los 24 artículos después de una de las roas parte que el dia anterior dirigió el coronel D. Gaspar Anto­ de provincia, y de los cuales habrán de remitirse copias con largas discusiones de que han conservado memoria los fastos nio Rodríguez desde Santibañez al juez de primera instancia la posible anticipación para que se teugan también presentes del régimen parlamentario La paz de Europa y…</t>
  </si>
  <si>
    <t>Anto, Pedro</t>
  </si>
  <si>
    <t>Pedro Anto</t>
  </si>
  <si>
    <t>…y por consecuencia, PARTE RECIBIDO EN LA SECRETARIA DE ESTADO al menos en concepto de m u c h o s , del Gabinete de Londres. L as quin P atiño, reelegidos por las mismas: por la de Jaén al marques de Falces, en reemplazo de D. Pedro Anto­ T DEL DESPACHO DE L A G U E R R A . esperanzas que los pasos dados por dicho lord han hecho conce­ bir tienen mas consistencia eo las provin cias ocupadas en parto nio A c u ñ a ; y por la de Segovia á D. Francisco J a v ie r Az- C o m an d a n c ia general de la p ro v in c ia de A l…</t>
  </si>
  <si>
    <t>Antonino</t>
  </si>
  <si>
    <t>…haus , D . Manuel Biale , D . Juan José Ortiz y López, arregladas (advirtiéndose que á la viña y tierra se halla hecha El Sr. PR E SID E N T E : N o puedo concederla sino en uno D. Basilio de Carranza, D . Antonio Tabernilla, D. Antonino postura en 1200 rs.), y para su remate se ha señalado el dia ú otro sentido. de U riarte, D. Adriano de las Bárcenas, D . Valentín Sigüen- 13 del corriente y hora de once á doce de la mañana en la casa El Sr. BARRIO AY USO : N o es justo que á unos se les za y D . Luis B ion, quienes decla…</t>
  </si>
  <si>
    <t>Antonio</t>
  </si>
  <si>
    <t>…ento en atrás grandes progresos en astronomía , uo solo en la teoría mas sobre el globo celeste. que yacieran las artes por espacio de muchos siglos y por efec­ también en la p ráctica; pero concediendo á los chinos la prio­ D. Antonio M aría Bermejo , que le s ig u ió , se ocupó de la to de cau as que enumerarlas serian objeto de difusos escritos. ridad en todo , debemos desconfiar de sus relaciones. Asimismo longitud , dando una idea de los primeros hombres que cono­ Las proposiciones de todas las materias fueron distri…</t>
  </si>
  <si>
    <t>…conde Lovenhieim y el Lugo. «D . Melchor Astiz. conde Adelsward. El Rey va acompañado en su viaje por el D. José Ferriol. « D . José M aría Moscoso de A ltam ira. maris- al del reino conde Brake y los condés Loevenhaujot y D. Antonio M ira Perceval. D. Jav ier M artín ez, marques viudo de V alladares. YVeidemann. «D . José M aría Reig. «Conde de O falia. Durante la ausencia del Rey mandará las fuerzas de tierra el Príncipe Real. ( Boersen IfalL) A lmería. D. «D . Diego Entrena. M adrid. «M arques de Torrealta. «D .…</t>
  </si>
  <si>
    <t>…el siguiente día E L ASTROLOGO DE V A L L A D O L ID. pia de tao expresivo escrito, que tanto honor hace al que lo í Ager. produce, como á mí en poderte contestar; dando á V. S. las Los Sres. La torre (D. Carlos) y Guarnan (D. Antonio) se mas expresivas gracias, quedando enterado de cuanto V. S. tie­ Soria 50 de E n ero « Cuatro facciosos de infantería proce­ han encargado de los papeles respectivos en obsequio del inte­ ne la bondad de manifestar me. —Dios guarde á V. S. muchos dentes de Aragón han atravesado con tal c…</t>
  </si>
  <si>
    <t>…compañía del sasen de Lubeck á Hamburgo, procedentes del Báltico, so­ batallón 6.° de Alava. lo se les cargaba la m itad; de que resultaban favorecidas Estando concedido un premio de 2500 rs. en todas las D . Gregorio Lapeña y D. Antonio Q uintana, subtenientes las producciones del Báltico y perjudicadas las del mar del atracciones de la lotería primitiva1¿ las huérfanas de los de id. id. Norte en un 60 por 100. La Inglaterra nó-podía dejar pa­ jatriólas, Milicianos nacionales y militares que hayan Mauuel Garibay, sargento p…</t>
  </si>
  <si>
    <t>…de la G uardia Real y regimiento Reina Real decreto separando de sus destinos á D. Esteban A y ala, Ies obligó á marchar con él en dirección á Congosto. Este fora- Gobernadora; á M orella los del de Córdoba, y á Benifasar to­ D. Antonio U lib a rri, D. Cárlos Ortiz de Taranco y D. Isi­ gido no para un solo dia en ningún pueblo, obstruyendo por dos los sargentos y soldados, excepto siete que quedaron muy dro Nicolao y Puig. (Núm. 1551.) este medio su captura ; pero su conducta es ta l, que me persua­ enferm os; trasladando a…</t>
  </si>
  <si>
    <t>…n tio n , D. José d é la Q u in t a n a , D. Fran­ del método actual de la sustanciacion civil y crim inal en la j u ­ menos g ran d e, trenos generosa? ¿hará menos por una nación cisco Ortiz y Flores, Sr. marques de Cerralbo, D. Antonio risdicción Real ordinaria. Por D. J u a n M artin Carrarnolioo. am iga y vecina á que se halla ligada por los vínculos mas Conde González, D. Antonio Esteban, D. A gustín Seco, Don Cornp¡ende la sustanciacion de todas las instancias y demas re­ santos y los mas solemnes tratados, y sobre tod…</t>
  </si>
  <si>
    <t>02/07/1839</t>
  </si>
  <si>
    <t>Gaceta de Madrid n.º 1690</t>
  </si>
  <si>
    <t>…se Ó. Gerónimo Valdés. (Id.) El traductor de Barcelona ha estimado útil dar mera y es­ relevando de la capitanía general de Castilla la Nueva al trictamente la traducción del texto, si bien con alguna ligera teniente general D. Antonio Q u iro ga, y nombrando en su omisión; y el de M ad rid , sin culpar aquel parecer, antes res­ reemplazo al mariscal de campo D. Francisco Narvaez. (Id.) LOTERIA P R IM IT IV A NACIONAL. petándole, se ha atrevido á anotar algunos pasajes, por rnaa . . relevando del cargo de iospector gene…</t>
  </si>
  <si>
    <t>…, por D. José Scolto, en 7. do batido, según tenia ofrecido, los escabrosos é inaccesibles Otra id. en el cerro de San A lejo, término de Torbiscon, montes del Emperador, logró sorprender un campamento de los la Fortuna , por D. Antonio L lo rca, en 15. enemigos en on alto pico, donde parecía imposible se pudiese Otra id. en la cuesta de las Tejas, término de V iato r, L im ­ PARTES. habitar , causándoles la pérdida de dos muertos, siendo uno pia y P ura, por D. Manuel D iaz, en 17. Otra id. en Sierra de Gador, barranco d…</t>
  </si>
  <si>
    <t>…cia 24 d e E n e r o . de Enero de 1859. si fuese un grande crim inal. La sociedad, señores, tiene obli­ Capitanía general de los reinos de Valencia y M u rcia.= gaciones y derechos sobre todos los miembros que la componen, D. Antonio V ari-H ale n , S a r t í, M u rp h i y Castañeda, caballe­ Soldados: A l encargarme del mando m ilitar de esta pro­ y estas obligaciones y derechos en vano están consignados en ro gran cruz de la Real y distin gu ida orden española de C ár- v in c ia , creo excusado recordaros vuestros deb…</t>
  </si>
  <si>
    <t>03/05/1839</t>
  </si>
  <si>
    <t>Gaceta de Madrid n.º 1630</t>
  </si>
  <si>
    <t>…e Valencia 2 6 d e Abril. fortificación de Escarpe. Que reunidos todos á las once de la PERIODICO DE T E A T R O S , L I T E R A T U R A Y A R T E S . noche en el sitio marcado con anticipación al otro lado del Se- El coronel D. Antonio C arru aua , comisionado para v eri­ g r e , emprendieron el movimiento hacia Bobera con el fin de Sale jueves y domingos en elegantísimo papel y esmerada ficar el cange de los prisioneros que estaba determ in ado, dice escarmentar á los rebeldes que tranquilamente dominaban d i ­ impresión…</t>
  </si>
  <si>
    <t>03/07/1839</t>
  </si>
  <si>
    <t>Gaceta de Madrid n.º 1691</t>
  </si>
  <si>
    <t>…las autoridades ó tribunales , y del giro que se ha da­ PARTE OFICIAL. y sabido por el capitán de la compañía de movilizados de los do á todos estos negocios por el ministerio de Relaciones exte­ cantones de Buron y Nogales D. Antonio C id ron, logró alcan­ riores. zarlos y dispersarlos, rescatando cuatro vecinos del menciona­ Examinados con imparcialidad y con la crítica propia de S. M. la R e in a , su augusta Madre la R e in a G o b e r n a ­ do pueblo que llevaban consigo los rebeldes, los cuales tuvieron un hombre…</t>
  </si>
  <si>
    <t>…casa de planta baj a, Se vende la segunda edición de este Catecismo en la impren­ 5.a El Sala y el Compendio de Siñeriz contiene solamente calle de S. Mar cos , oiína. 9 , ma n za n a 5 1 0 , que comprende de ta y librería de D. Antonio M ateix M u ñ o z , calle de Carretas, 57 títulos. El Compendio del autor D. J . de V. cinco mas. ¿ Y sitio 5, 810 pies con de f a c h a d a : tiene pozo de a b u n d a n t es á real de vellón cada ejemplar. quién responde de la autoridad y exactitud de estos títulos y ag u a s , y esta reta…</t>
  </si>
  <si>
    <t>…M i­ sidio , Santa E ugenia, á D. Francisco Nuñez Dorado , en id. Sentencia. En pleito que sigue en este tribunal D. Ju an guel de los fRios, D. Antonio Fernandez Urrutia , D. Carlos Otra id. en dicho sitio , la Casualidad, á D. Antonio C a­ Quintana de Triaba , su procurador J o sé T eijeiro, demandan- x Gutiérrez de la T orre, D. Manuel Abascal , D. Mariano Oso- ballero, en id. te de una parte: Andrés Diaz Pardo y mas testamentarios de rio de Moscoso, D. Ramón Gerboles, D. Manuel Fernandez Otra id. en dicho s itio , la…</t>
  </si>
  <si>
    <t>…ión general de minas.—Gobierno político de !^s islas el autor á las; necesidades deAa escuela normal qué se abrió en Baleares.—5.* sección: En 2 del actual se admitió á D. G u i­ llermo Arner , vecino del lugar de Binibona , y D. Antonio B O L E T IN D E C O M E R C IO . Marzo, empezándole,el estudio de la Historia natural por el de . las plantas. A m e r , que lo es de esta capital, el registro de una mina de El precio de la obra completa es de 4^ rs. vn. , y la venta, B O L S A D E M A D R ID carbón de piedra en el préd…</t>
  </si>
  <si>
    <t>…ridad del territorio , señores!... Acababa de detef A uditóf Péredá^ ^ ^ jy , Jbsé Á guiíló. ' ^ ^ Se respete también á la humanidad que bajo el imperio del cris­ minarse el territorio étóindó prestó el Rey este juram ento, ; D. Antonio N egri. . tianismo no puede ser una presa devuelta á los príncipes confe­ aquel habia sido declarado por el poder constituyente. . Me pa derados ó no confederados, y divisible según su albedrío en el rece resultar de estaque las; Cámaras carecen dé’fuerza*; es pre dia y la hora que juzgue…</t>
  </si>
  <si>
    <t>…,. en Ja- imprenta y dos primeras representacíoDés,r ^ J- ñores D. M anuel de la R i v a , del comercio de S a n t ia g o , ha Lqs ábonos , ; rebajados í a s t a ¿l.púhto de quedar ias loéalK almacén dé libros de educación de D. Antonio M ateix Muñoz. naufragado en las costas de la Holanda (Ulcesingeu) á la vuelta dades, de primer orden al alcance dp» cualquier .p ersona.-^ . . i Ii63 -E?ra PoDtevedra y C arril. El equipaje se ha medianas fafcúltacies, se reqiberi en contaduría jdefc mismo Mlvado. M e ofrezco á la disposi…</t>
  </si>
  <si>
    <t>…cmo. Sr. D. A n tonio B a ­ v i r t u d de denuncia hecha por el promotor fiieal del m ism o , tes sobre el particular. rata , consejero de E s t a d o , y de los Sres. vocales D. Pedro S ain z se ha p rincipiado causa contra D. Antonio L u is B o a n , autor Y. M. en su vista se dignará acordar lo que fuere de de B arand a y D , A le jan dro López, in d iv id u o s de la d i p u t a ­ responsable del folleto titulado Contestación al papel que a ca­ su Real agrado. ción p r o v in c ia l; D . J u a n Q u in t a n a , por…</t>
  </si>
  <si>
    <t>07/04/1839</t>
  </si>
  <si>
    <t>Gaceta de Madrid n.º 1604</t>
  </si>
  <si>
    <t>…í­ Inspección de minas del distrito de Asturias y Galicia.z: España, es obvio que debiamos dar la preferencia á la del sima instrucción, como el testamento del célebre Chateubriand; Mes de Febrero de l859.^:En 27 de dicho mes D. Antonio M a­ P. Mariana como la única general, y digna de distinción, los principales tratados de que consta son los siguientes: a r - ría Valdés, vecino y hacendado de Villaviciosa , provincia de comparable con las mejores de la antigüedad y tesoro de la cheologia, anécdotas y novelas, biografía, b…</t>
  </si>
  <si>
    <t>…de las Heras, ante el D. José Torner, calle del R eg o w ir, y en k de la viuda de Sr. alcaide constitucional D. Luis Oseñalde, de la cencerrada del núm. 101 del periódico titulado El G irigay , correspondien­ LA PENA CAPITAL, D. Antonio B ru si, calle de la Libretería. te al sábado 27 de Abril últim o, que existe en tni escribanía, se halla el acta del jurado, que copiada á la letra dice asi : escritas y publicadas en francés A cta . En la villa de Madrid á 5 de Mayo de 1859, re­ unidos en las Casas consistoriales los seño…</t>
  </si>
  <si>
    <t>…..................................................... 952,795.. 5.. 52 Comparación de los productos de rentas marítimas, movimiento mercantil, número de buques y toneladas de en­ drama original en cuatro actos y en verso por D. Antonio trada y salida entre el año de 1838 y el de 1837. Gil y Zarate, representado con general aplauso en el teatro del Liceo el jueves 5 del corriente. Lleva de frente el retrato de su DERECHOS. autor. Véodese á 8 rs. en las librerías de Escamilla, calle de Carretas, y de Cuesta frente á las…</t>
  </si>
  <si>
    <t>10/03/1839</t>
  </si>
  <si>
    <t>Gaceta de Madrid n.º 1576</t>
  </si>
  <si>
    <t>…ca, teniente retirado tQÚrn. 15 antiguo* jy 55 moderno, de la,manzana 343 * y kp*** j ceta', comparezcan por medio de providencia con poder bastan- en Zaragóéa, y á D . M artin D om ingo, alférez de cuerpos rece se pagaba á D. Antonio ?EJl|oa * se ha mandado*po¿ provi­ I te en el citado juzgado por dicha escribanía, á deducir el de- francos, para qué comparezcan en la escribanía del juzgado de dencia ^del^n- D . Tomas Pacheco $ jueaÉ de primera instancia, I recho que les asista en los autos promovidos por Doña M^ría és…</t>
  </si>
  <si>
    <t>10/05/1839</t>
  </si>
  <si>
    <t>Gaceta de Madrid n.º 1637</t>
  </si>
  <si>
    <t>…el indicado dia á pesar de no mente las producciones de los acreditados ingenios: Sres. Bre­ San Pedro en Rorna , San Pablo en L o n dres, y quizás alguna haber concurrido el número suficiente, se acordó en ella que tón , Gil (D. Antonio), Hartzembusch, Escosura (D. Patricio), otra catedral latina moderna , ha perdido la primacía en el cris­ para terminar de una vez este tan dilatado negocio evitando Vega (D. V e n tu r a ), García G utiérrez, Príncipe &amp;c. Esta co­ tianismo, y per un caso sin gular pasó á a d q u irir una nu…</t>
  </si>
  <si>
    <t>…s, por el mismo. cartas. para los últimos dias de la semana, disponen también una ópe­ Aranceles, presupuestos, por D. N. N. ra de m agia: la música y poema sonde autores nacionales, es­ Sobre la nueva máquina inventada por D. Antonio M a r t í ­ Escriben de L y o n : cando aquel escrito en español. Parece que el genio de los pro- nez para destrozar la uva , por D. Joaquín Riquelme. El dia 1.° de Diciembre próximo empezará la exposición ligio s teatrales, el Sr. L u c in i, ha comenzado y a á pintar vis- Una série de a…</t>
  </si>
  <si>
    <t>…declam atorias 4-° T a m bién se hizo presente otra obra re m it id a por el so­ JU N T A DE V E N T A S DE BIENES NACIONALES. de las que usan todas las oposiciones. U n a vez por to d a s , los cio correspondiente en Palm a D. Antonio F u r ió , t i t u l a d a : D ic­ nuevos ministros no deben confiar mucho en ese g ra n p ro g ra­ cion a rio h istórico d e los p r o fe s o r e s d e las b ella s a r tes d e ma del centro izquierdo con que se les pertrecha todas las m a ­ M a llo r ca ; obra que debe excitar en los c a t…</t>
  </si>
  <si>
    <t>…ácharo en el va­ Ojeada sobre el sistema de vigilancia y de educación que R io , provincia de Sevilla. lle de Cari pe del Nuevo M u n d o , la de Adeisberg en Carnioía, debe observarse en la asistencia de tos niños que se ad­ D. Antonio D om iné, vecino y del comercio de la ciudad la gruta de W im alborg en Sajorna , que se comunica con la miten en las salas de asilo ó escuelas de infancia p ro ­ de Sevilla, ha registrado una peí tenencia de mina argentífera caverna de Cresfeld, la fuente de Vaucluse, la sábana dé agua ye…</t>
  </si>
  <si>
    <t>…alle del Duque de Otra id ., sierra Almagrera , barranco Jaroso , término Cue­ Alba , número 1, cuarto segundo, ó á D. Martin A tienza, calle y :la empresa no ha perdonado gasto para .presentarla; coa ; el vas, la Diosa, por D. Antonio M arques, en 27. de Preciados , número 7 0 , cuarto segundo; en inteligencia que aparato correspondiente. , c D em arcaciones . pasados sin hacerlo, quedan refundidos en la masa común del concurso el haber que les corresponde, y ¿e halla separado para Ubí mina plomiza, &gt;ita éo toma y llan…</t>
  </si>
  <si>
    <t>…nómina desde la fecha en la imprenta de Gobierno; y cuando se hayan reunido En el tribunal supremo de Guerra y M arin a y su sala de los suficientes, se dará principio á la obra con la publicación justicia pende causa contra D. Antonio L a s , asentista que fue de provisiones del distrito de A rag ó n , D. José Domingo U r- P A R FÉNÉLON. del primer núm ero, esperándose I3 indulgencia por faltas in ­ voluntarias en gracia de la utilidad que aun con ellas puede quiza, interventor del ejército de aquel reino, y otros sobre…</t>
  </si>
  <si>
    <t>…d o s , y lugar-teniente del César en I t a lia , que fáticamente L e y v a : si Y. M. tiene u a a lm a , déjese de con­ El autor comienza su obra por la definición esencial de reunia todos estos honores. Pues este hombre fue D. Antonio quistas y váyase á su palacio.” toda ella, que es la del trabajo de una fuerza. Llámase asi de L e y v a , de quien nos proponemos dar aqui algunas notician el producto de la fuerza por el espacio que hace correr en Nació este ilustre hombre en I 48 O en una villa de la R io - ja , llamad…</t>
  </si>
  <si>
    <t>…siguientes dictámenes de la misma comisión : UQ.salón de 20 pies. En la sala del banquete podrán comer con toda anchura 500 personas. 1.° La comisión de A c ta s, en vista de la renuncia que ha hecho del cargo de Diputado D. Antonio R o ld an , electo por El palenque tiene de largo 650 píes, sobre 250 de ancho y cuatro pies seis pulgadas de a lto : en frente del cercado h ay un NOTICIAS NACIONALES. M u r c ia , y la exposición de D. M ariano de la Paz García para ^naenso anfiteatro, en cuyo centro se eleva un magnífi…</t>
  </si>
  <si>
    <t>…icas hordas, les. M ucho tiene que reconocer el suelo valenciano al bizarro sobre todo en un cuerpo solo de obra estos mismos hechos que De mucha consideración ha sido la toma y ocupación de este general Am or y al comandante D. Antonio T ruquet. se h allan ahora esparcidos en m il papeles públicos y consigna­ punto para la defensa de nuestra justa Causa, y de gran pér­ Hoy se ha recibido con indecible entusiasm o las noticias re­ dos en muchos otros desconocidos del todo hasta el presente. d id a para los infames esclavo…</t>
  </si>
  <si>
    <t>…obtenido también las licencias ne­ lebrada coa los impresores de esta capital D. Pedro Mariana y dicha viña dos fanegas y media de tierra , y en ella 600 cepas cesarias del limo. Sr. obispo de aquella diócesis ; pero deseando D. Antonio para la publicación del Boletín oficial de y 88 tallones grandes y pequeños, valuado todo en I 428 rea­ dar un cuevo testimonio de sumisión al Soberano, prescin­ esta provincia,Feijóo á fin de que todos aque­ les vellón. dió de su gusto y preparativos por conformarse á los deseos de llos que…</t>
  </si>
  <si>
    <t>…ión del Real museo de Cien­ ción verdaderamente cristiana y una alma buena que le sucesivamente a íos dos sabios y virtuosos varones D. José cias naturales. cupo en suerte , valiéndome de las expresiones de los li­ H uebra y D. Antonio A h u m a d a , que han dejado eterno Aqui seria el lugar de en trar en el examen de sus ta­ bros sagrados, dieron el resultado que debia esperarse, y los cabildos catedrales de Salamanca y de reas literarias, y de manifestar cuán aventajadamente cor­ la práctica constante de las máximas de…</t>
  </si>
  <si>
    <t>16/04/1839</t>
  </si>
  <si>
    <t>Gaceta de Madrid n.º 1613</t>
  </si>
  <si>
    <t>…c a , siem pre que el au tor de ella ó su apoderad o por su parte eu la de dicha carretera comprendida en su pro­ se les presente o p o rtu n am e n te en queja por no haberse vincia. Que el gefe de la quinta y sexta columna, D. Antonio obtenido el indicado perm iso; y au n sin necesidad de q u e ­ Camino de Córdoba d Antequera. Amieba, en la última entrada que ha verificado en la sierra dió ja , ejecutarán lo m ism o si les constare que sem ejante p e r­ muerte á un rebelde y aprehendió dos armas, cuatro ínulas y miso no…</t>
  </si>
  <si>
    <t>…Clares son del ejército del Centro y de las capitanías generales de Aragón Y lo comunico á V . para su conocimiento y efectos cor­ los motivos en que se apoyó tan honrosa corno inevitable reso­ y Valencia al teniente general D. Antonio V a n —H a le n , nom­ respondientes. lució n, y están ademas bien explicados en la respuesta que dió brando para reemplazarle interinamente y en los mismos tér­ Dios y libertad. Méjico y Enero 2 5 de 1859.=P. de Lebrija. entonces el ministro de Relaciones exteriores al encargado de minos q…</t>
  </si>
  <si>
    <t>18/08/1839</t>
  </si>
  <si>
    <t>Gaceta de Madrid n.º 1738</t>
  </si>
  <si>
    <t>…este año para fallar la seota una singular y bien rara anomalía en un niño que tiene causa formada á los tenientes d el regim iento de cab alle­ cierta cosa de anormal. Este niño es á la vez bicéfalo y aneu- r ía 2.° ligero D. Antonio V alenzuela y D. J u a n Osorio, GRAN BRETAÑA. céfalo , es decir, que presenta el singular espectáculo de una acusados por el m al comportamiento que observaron el doble cabeza sin Cerebro. Es el duodécimo que da á luz una rau- dia 14 de Marzo de 1888 en la acción dada ai rebelde L ondres…</t>
  </si>
  <si>
    <t>…tomo 2.° se satisfagan los cua­ teriores representaciones , titulado por primer edicto y término de nueve dias, contados desde su dernos de cuatro en cuatro, al tiempo de recibir uno de ellos, publicación , a D. José Sánchez, D. Antonio D uran y Doña siendo por consiguiente el adelanto de solos tres, cuya recau­ Margarita Mostí, para que comparezcan en la escribanía prin­ dación se hará exclusivamente cuando se distribuyan las entre­ E L CA S T IL L O D E S A N A L B E R T O . cipal de rentas y arbitrios de Amortización, si…</t>
  </si>
  <si>
    <t>…nor muestra de rencor ó resentimiento por pasados agravios. El Certifico: que en el.expediente de inventario formado por muer­ ¿ Y me permitirá Y. M. I. que le diga la verdadera razón de te de Doña Josefa Iglesias, viuda de D. Antonio M a s i, se ha­ esto?—Sin duda. Pues es porque aquel de mis antepasados regocijo mas puro y las esperanzas mas halagüeñas de un d i­ lla estampado el edicto original que dice: En virtud de pro­ que vino de Tartaria á establecerse en R usia, llegó aqui en in­ choso porvenir bajo el Gobiern…</t>
  </si>
  <si>
    <t>…a r la palabra. Esta es el mas sublime destino de un QUPLEM EN TO al diccionario de medicina y cirugía del 2 .a Catarata lenticular blanda y dehiscente. poeta ; pero no es él el que ha creado la palabra , es D io s; y profesor D. Antonio B allano, por los doctores en m edici­ 5.a Catarata capsular anterior. nuestra epopeya, ya form ada, no necesita mas que presentarla na y cirugía D. Manuel Hurtado de Mendoza y D. Celedonio Los que gusten suscribirse lo harán en esta corte en la l i ­ en verso* para que encante los ánim os.n…</t>
  </si>
  <si>
    <t>19/11/1839</t>
  </si>
  <si>
    <t>Gaceta de Madrid n.º 1836</t>
  </si>
  <si>
    <t>…ustria de Aragón con la nueva ampliación de puertos m ente para el 1.° de D iciem bre p ró x im o , pues al paso que de Navidad , con una estampa que representa el sagrado naci- para el comercio de América , escrito por el Dr. D. Antonio por este medio se espera conseguir m ayor e x a c titu d , no miento del Hijo de Dios. Se hallará á 10 cuartos en la librería Arteta. U n cuaderno en 4*° mayor, edición de 1785, á 8 rs. perm ite tam poco lo adelantado del tiem po que se e x tie n ­ de Cuesta, frente á San Felipe el Real. en…</t>
  </si>
  <si>
    <t>21/02/1839</t>
  </si>
  <si>
    <t>Gaceta de Madrid n.º 1559</t>
  </si>
  <si>
    <t>…h ab lar, y no tardaremos acaso M inistro de Hacienda á los efectos convenientes. K la facción de A rnau desde C hulilla y Losa marchó el dia antes en convencernos de ello por experiencia. Por eso decíamos que á Chelva. 122. D. Antonio A m ar, por sí y á nombre de los empre­ la aprehensión de los 7900 fusiles equivale á una victoria se­ ñalada. (Id.) sarios de las artes de pesca llamado el Buche, que se calaban El gobernador de Segorbe manifiesta con igual fecha que eu las ensenadas de Coriil y Z ah ara, acude al Congre…</t>
  </si>
  <si>
    <t>…rcantes de Chile en los mismos té r- Sanz. reales d iario s, y como 12 para un escribiente. ( A thenaeum .) mios que los de paises neutrales. (Núm. 1550.) nombrando para capitán general de Granada y Jaén al mariscal de campo D. Antonio M an a Alvarez , en reem­ T ECCIONES elementales de astronom ía, explicadas en el plazo de D. Ju an Palarea. (Núm. 1551.) ^ Real observatorio de Paris , y consagradas á poner esta In d ice d e tos d ecr eto s y R eales órd en es publicados en este C ircular del ministerio de Gracia y Justic…</t>
  </si>
  <si>
    <t>…ulares que han llegado de cienda, se dió lectura al informe de los Sr es. D. Miguel H erre­ didos de que asi convenia á los intereses públicos. La recauda­ aquella ciudad ayer y h o y , guardan igualmente el silencio mas ra y D. Antonio M aría de Escovedo, en el que refieren la mar­ ción de productos nunca la quisimos tener á nuestro cargo; des­ absoluto acerca de aquel pretendido alboroto. Es pues evidente cha que habían seguido en la vasta administración del camino pués de arreglada por un sistema de banco en que casi es…</t>
  </si>
  <si>
    <t>…ahora á desenvolver el sistema fo ral; yo di­ den. ¿Por tiempo lo que tiene de dañoso y lo que tiene de favo­ cuando nunca qué pues decir al Gobierno que regularice la guerra, 29 de Diciembre de 1858 —Conde de Morelta.r^Sr, D. Antonio rable, asi como que su estado administrativo es excelente y dió la palabra.) ha faltado á ella? (El Sr, duque de Bailen p i­ V an-Ifalen, gefe de las fuerzas enemigas de Aragón y Yaten- digno de ejemplo; pero se tra ta , señores, de sostener los fue­ t ia.rzEs copia.=:El brigadier gefe de…</t>
  </si>
  <si>
    <t>22/03/1839</t>
  </si>
  <si>
    <t>Gaceta de Madrid n.º 1588</t>
  </si>
  <si>
    <t>…se hallen obligados á tomarle, pa­ hácia fuente del A rco, fue alcanzada y batida por la columna gún práctico á los buques entrantes, debe ponerse delante de gan (á excepción de los cargados con lastre, carbón y arenques, de D. Antonio S o la r , causándole la pérdida de. 15 muertos ellos y hacer vela hasta su estación rio adentro, y darles allí, los cuales si no traen al mismo tiempo 5 de fardería, S tü ck g u te r , vistos, dos prisioneros y todo el bagaje; sin que por nuestra si es posible, un práctico, en cuyo caso s…</t>
  </si>
  <si>
    <t>22/04/1839</t>
  </si>
  <si>
    <t>Gaceta de Madrid n.º 1619</t>
  </si>
  <si>
    <t>…ran­ mi noble amigo el subsecretario de Estado ha pedido la pre­ co á las órdenes de su cqmandante D. Ju an P rim , parte del 1.° sentación de estos documentos que no tardarán en venir á la mesa. ligero mandado por su coronel D. Antonio O ro , y dos mitades de caballería del 4 »° de línea. PARTE NO OFICIAL. L a Cámara señala su sesión inm ediata para el lunes próximo. Que el enemigo estuvo tardo en presentar toda su fuerza; por lo que el reconocimiento hubo de avanzar hasta obligarle, pero que presentándose, y lleno el o…</t>
  </si>
  <si>
    <t>…e gado de A lcira á D. Pedro José Abad y Escudero, electo de lla dividido según los matices que le componen, esto es, centro D. Cárlos, el 12.° batallón se presentó cerca de Lesaca camino C alahorra, y para esta judicatura á D. Antonio A rteaga, tam­ izquierdo y centro derecho. Los cinco individuos que forman de Vera gritan do : vi va el R ey, muera Maroto , viva D. Ju an bién juez electo de L érid a; cuyas traslaciones han sido acorda­ la m ayoría han ofrecido permanecer firmemente unidos y no Echeverría. das á solicitu…</t>
  </si>
  <si>
    <t>…el rápido trasporte de las Total 250. Córdoba. = Marques de Guadalcázar, y D. José Marrón. arm as, materiales y efectos necesarios para el sitio: pero no es Núm* 2.° Estado de los víveres que se consideran necesa­ Coruña. = D. Antonio Q u iro g a , y D. Rafael Caamaño difícil el hacerlas practicables, empleando para ello los habitan­ rios para las tropas que hayan de formar el sitio de B erga, de­ Pardo. tes f e l p á i s bajo la protección de las tropas. talladas en el número 1 .°, y suponiendo que sean 500 los ca­ Cuen…</t>
  </si>
  <si>
    <t>…Real socie- dad económica matritense. Cuatro tomos en 4*° impresos ea Por el presente se cita, llama y emplaza al teniente coronel Entrega de JUNIO de 1839. 1818, á 84 rs. rústica, y 104 pasta común. de caballería graduado D. Antonio U ria: D. Juan Plana y Desde el principio del siglo xvr, en que se publicó por pri­ M iJa, gobernador del castillo de Porto-Petro en Mallorca: Se halla á 3 rs. tanto en rama como en rústica en el mera vez esta obra de orden y á expensas del célebre cardenal D. Francisco de la Maza, capitán…</t>
  </si>
  <si>
    <t>24/08/1839</t>
  </si>
  <si>
    <t>Gaceta de Madrid n.º 1745</t>
  </si>
  <si>
    <t>…e Negri al cuartel R ea l; seis compañías de pre­ lla , se cita, llama y emplaza por tercero y último edicto y tér­ ferencia de los batallones guipuzcoanos acompañaban al prínci­ mino de nueve dias á D. Pedro M aría Tremens y D. Antonio pe rebelde, y la circunstancia de llevarse este consigo á su fa­ M aría Bonomo , cuyas habitaciones se ign o ran , para que tan CRUZ. Hoy no h ay función. m ilia hacia sospechar su introducción al suelo extrangero , si luego como llegue á su noticia este an un cio , se constituyan en bien…</t>
  </si>
  <si>
    <t>…icarlo dentro reas y monturas: recomiendo á V. S. el mérito cootraido por de él sin mas citación ni emplazamiento, les parará el perjui­ BOLSA D E M A D R ID . cio que haya lugar. el teniente D. Basilio M ateos, y subteniente D. Antonio N o - g u e ira, cuyo parte circunstanciado daré. Cotización del dia 25 á las tres de la tardo AlTecibirlo tendré el honor de hecer á V. E. las recomen­ daciones justas que considere oportunas. Lo que se hace saber ai publico para su satisfacción. L u ­ EFECTOS PUBLICOS. SUBASTAS. go 12…</t>
  </si>
  <si>
    <t>…én á 9 5 él contada , 9 5 £ ú cuenta: ; resto de su compañía , acompañado de jos subalternos tenienti ^°* Si,, en cualquiera circunstanciadme hubiera creído obligado Los fondos que en el priaCipió óYóStraban una tendencia á D. Antonio G a r c ía , subteniente D . Ju l i á n Meraleda , del re á permanecer fie! á este deber, mucho mas eu el dia después de la baja han sufrido después‘alguna mejora. ,: gimiento de M allo rca, y D . Bernardo la M u e l a , teniente de mis recientes relaciones con la Reina , y de las conversa…</t>
  </si>
  <si>
    <t>…lles sobre esta victoria ; pero todos los D. Manuel Abascal, D. José Tomé y O o d arreta, D. Antonio Cotización del día 24 d las tres de la tarde • militares que haw llegado á esta ciudad después de haber teni­ Sánchez Ocaña, D. Antonio M altrana, D. Ezequiel Martin y do parte en ella , la cuentan coino un hecho glorioso de armase Alonso, D. Manuel Regidor, D. Manuel Bretón, D. Juan EFECTOS PUBLICOS. mis conocimientos de la localidad y medios con que se ha con­ Miguel Inclan y D. Juan R u iz, quienes por unanimidad de­ s…</t>
  </si>
  <si>
    <t>…gid o s por las m ism a s: por la d e A v i­ nera esten comprometidos por sus actos políticos desde la expe­ suelo para los sinceros amigos de los nuevos Estados de A m é­ la a D. F ran c isco Narvaez , en r e em p la z o de D. Antonio rica el ver que ai través de las vicisitudes de la revolución y dición de la Constitución v ig e n t e , ofreciéndose desde luego el S o l í s : por la de S a la m a n c a á D. M au ricio C arlo s de O n ís3 de las disensiones que los agitan , el espíritu de unión y de n a ­ 3r. ge» eral U…</t>
  </si>
  <si>
    <t>26/01/1839</t>
  </si>
  <si>
    <t>Gaceta de Madrid n.º 1533</t>
  </si>
  <si>
    <t>N.° 1 5 3 3 . SABADO 26 DE ENERO DE 1839. DIEZ CUARTOS. S. M. la R e i n a , s u augusta Madre la R e i n a G o b er n a ­ que manifiesta que el comandante de la cuarta columna de ope­ Otro idem del de Córdoba. raciones D. Antonio A m ie v a, destinado á perseguir la facción Y 1274 soldados, cabos y tambores. dora y la Serm a. Sra. Infanta Doña María Luisa F ernan­ de ambas armas que ocupaba el pueblo de Espinosa del R ey, habia dado alcance el dia antes á la infantería en em iga, re­ d a, continúan en esta corte sin…</t>
  </si>
  <si>
    <t>26/12/1839</t>
  </si>
  <si>
    <t>Gaceta de Madrid n.º 1873</t>
  </si>
  <si>
    <t>…es. Maiquez y Tarnayo dispusieron á beneficio del a p r e- experiencia adquirida por uña nación vecina” ; lo cual cierta­ comisión ó a g en cia consultiva en P a r is , á la c u a l , tanto el ciable cuanto infortunado artista D. Antonio M aría Esquivel. mente no puede menos de sernos favorable. Gobierno español, como las comisiones formadas en el seno de N ad a diremos de las piezas que se ejecutaron ; pues la A/ú- Se dirá tal vez que los debates parlamentarios de la Francia las Cortes, dirigiesen sus preguntas y pedidos s…</t>
  </si>
  <si>
    <t>27/04/1839</t>
  </si>
  <si>
    <t>Gaceta de Madrid n.º 1624</t>
  </si>
  <si>
    <t>…Santos , desertor del segundo Voluntarios de aquel dis­ u n ifo rm id ad y concierto; debiend o cesar la ex tra ñ a ano Gobernación de la Península. nía lía de que la enseñanza de algunas de las ciencias de Que el subteniente D. Antonio G a lv a n , de la propia co­ c u ra r esté confiada á dos distintas dilecciones y siga d i­ lum na, sorprendió dicha noche á tres facciosos, dió muerte á Gobierno superior político de la provincia de Cádiz. = E x­ uno en la resistencia que hizo, y cogió los dos restantes , uno de versos si…</t>
  </si>
  <si>
    <t>…ándose aquella situada ya en posfcioii á las once dé y complicados de aritméticá y álgebra, y coritéstará en italiano, El comandante militar de Chiva escalonó la füér£a que con* lg noche á las Órdeoeá del brigadier gobernador D. Antonio i francés, ingles y latín á todas tas preguntas que se le hagan. ducia en el montecillo de T drréllá, Jf óbservo desde aquella al­ M auryi A las dos de ella se incorporó dicho geóéral con ésta Si ha^ qn espectáculo curioso é interesante i un rni*mo tura que el enemigo retirándose én órdén…</t>
  </si>
  <si>
    <t>…GIO RÑO DI PO M PEI. q u e , estando lejos todavía de ponerse en práctica, omitiremos de esta pro v in cia, juez de Amortización , se cita , llama y em­ para decir algo sobre la últim a causa indicada de ios n aufra­ plaza á D. Antonio R u b ín , D. Diego Paredes, D. José L a t o r - gios* ' * re y D . 3 uan José de S o m o v ilia , c uyas habitaciones y para­</t>
  </si>
  <si>
    <t>…ernandez Acuña, D. Manuel Muñoz, D. Juan Bautista Tj^N virtud de providencia del Sr. juez de primera instancia D. Benito Serrauo y Aliaga , se saca nuevamente á p ú ­ mente para el l.° de Diciembre próxim o, pues ai paso que D. Antonio , del D. Juan Laraña, D. Andrés Mendez y Pareja, R io, D. Ignacio de la Riva, D. Blas Mena y blica subasta la mitad de una casa situada en esta corte y su por este medio se espera conseguir mayor ex actitu d , no O liver, D. Gerónimo Diaguez, D. Isidoro Fernandez de A n­ calle ancha de S. B…</t>
  </si>
  <si>
    <t>…siguiente, y al efecto el se­ una importancia que no se oculta á vuestra penetración: se os ñor gobernador de la plaza comandante general de la provin­ Idem 22. han presentado como concebidos y preparados por una asocia- cia D. Antonio M auri tomó las oportunas disposiciones para d o n que despüei de emplear para atraer á las masas populares recibirle con arreglo á ordenauza. Saltó á tierra S. E. de gran Hemos visitado el colegio de educación establecido en el las seducciones mas dañosas, ha tomado las armas, ha invadido…</t>
  </si>
  <si>
    <t>30/05/1839</t>
  </si>
  <si>
    <t>Gaceta de Madrid n.º 1657</t>
  </si>
  <si>
    <t>…cultivo á prueba del arroz de secano en los concienzudo tra b a jo , es el acontecim iento literario mas im por­ á la identidad , y dé haber considerado descompuesto un hace­ años de 1 8 5 6 , 1857 y 1838 , y en la heredad de D. Antonio tante que se ha verificado de mucho tiem po en E spañ a, y ju z ­ cillo de rayos solares con un prisma de sal g e m in a , pasó á exa­ B ulbena, extramuros de esta ciudad y térm ino del H ospitalet, gárnosle capaz de excitar hasta m uy alto punto la atención dé m inar los fenómenos dél cal…</t>
  </si>
  <si>
    <t>…........... d e .. 2000................... 6000 de W ajay . 5 .. i El licenciado D. Fernando José M ontilla.. . . . . . . 5 15................. d e......... 500.................... 6500 Id. D. Valeriano Ayala 2.. 1 Licenciado D. Antonio G alv ez.................. 5 66 . . . . . . . . d e.. 50................... 5500 D. José Mariano Ramírez y Notario , eclesiástico Licenciado D. José de Jesús Fernandez. ........... 5 114 d e.. 24................... 2756 de la vicaria de Piñal del Rio 4 .. 2 Licenciado D. José de la Rocha...…</t>
  </si>
  <si>
    <t>31/08/1839</t>
  </si>
  <si>
    <t>Gaceta de Madrid n.º 1752</t>
  </si>
  <si>
    <t>…l ic ia nacional de la villa de Pozuelo , y recomienda á los in d i­ tainebleau , y sin detenerme me trasladé al campo , situado á U na compañía del tren de equipajes; un destacamento da viduos de ella D. J u a n José García , D. Antonio M o r e n o , An­ dos leguas y media oeste de la ciudad : el cam ino, para el que obreros de la administración , y otro de gendarmería. tonio N avarro y Alonso Fernandez que mas se han d is t i n g u i ­ el consejo m un icipal ha votado 2 03 francos, no está todavía E fectivo.^Infantería 83…</t>
  </si>
  <si>
    <t>Antonio, D.</t>
  </si>
  <si>
    <t>D. Antonio</t>
  </si>
  <si>
    <t>…Sr. Alonso ( D . M i l la n ) quedaba El comandante general de la provin cia de A v ila p articipa agregado á la sección séptima. en comunicación de 9 del actual que el ca p itá n del 4*° b a ta ­ Se leyó una exposición del Sr. D. Antonio R am írez de A re - llón franco de C astilla D. Marcos O ria habia dado alcance en llan o , Diputado e’ecto por la pro vincia de C ó rd o b a, en que ACTAS DEL GOBIERNO. aquel d ia á la facción de M o ra le s, compuesta de 4 9 caballos, manifiesta que debiéndose someter un dia de estos…</t>
  </si>
  <si>
    <t>…que en la concesión de fondos á la em­ del Sr. Lujan. zando aquellas islas de la mas completa tranquilidad , sin te­ presa había que reconocer losderechos de los pertenecientes á los Pasó á la comisión de Actas un oficio del Sr. D. Antonio mor alguno de que pudiese ser turbada ; y que se preparaba terrenos de particulares, pues entonces no teníamos, es cierto, de los R í o s , Diputado por Málaga, manifestando hallarse dis­ una considerable remesa para la Península de tabaco elaborado la ley de expropiación; pero había ot…</t>
  </si>
  <si>
    <t>21/01/1839</t>
  </si>
  <si>
    <t>Gaceta de Madrid n.º 1528</t>
  </si>
  <si>
    <t>…Restaba todavía que el Senado proclamase su opinión de Marzo del año últim o é instrucciones posteriores , compues­ sobre los graves puntos á que se d i r i g í a , y que con ella presta­ ta de su vicepresidente el Excmo. Sr. D. Antonio B a r a ta , con­ se el conveniente apoyo al Gobierno. El celo desplegado por sejero de E stado, y de los Sres. vocales D. Pedro Sain z de B a ­ este sobre el p a r t ic u la r , requería también que el Senado se con­ ran d a y D. A le jan d ro L ó p e z , in d iv id u o s de la dipu…</t>
  </si>
  <si>
    <t>…su derecho en los autos de segunda suplicación, que se siguen nal. Excúsase encarecer el mérito d« esta linda obrita por ser (Extracto de partes recibidos en la capitanía general.) por la escribanía de Cámara al cargo del Sr. D. Antonio L o - sobradamente conocido. Se publicará á la mayor brevedad. Se paz Salazar , introducida por José Juncosa y Elias, vecino de hallará en M adrid en la im prenta de D. M iguel de Burgos. En la madrugada del¡l6 fue sorprendida la Osa de Montiel Barcelona, con varios acreedores sobre gr…</t>
  </si>
  <si>
    <t>Antonio, D. Antonio Alcalá Galiano. Sr. D.</t>
  </si>
  <si>
    <t>D. Antonio Alcalá Galiano. Sr. D. Antonio</t>
  </si>
  <si>
    <t>…el Valle. Valencia. Cádiz. Sr. D. José Ferraz. Sr. D. Manuel Montes de Oca. Madrid. Sr. D. Luis Mayans y Enriquez, Secretario 2.° Sr. D. Francisco Javier Istdriz, Presidente. Sr. D. Agustín Arguelles. Sr. D. Félix Aliaga. Sr. D. Antonio Alcalá Galiano. Sr. D. Antonio Seoane. Sr. D. Francisco Carbonell. Sr. D. Juan Donoso Cortés. Sr. D. Manuel Cantero. &gt; Sr. D. Nicolás Esteban. Sr. D. Julián Villalva. Sr. D. Joaquin María López. Sr. D. Vicente Sancho. Sr. D. José María H uet, electo. Sr. D. José Landero. Sr. D. Paulino…</t>
  </si>
  <si>
    <t>Antonio, D. Manuel Moi.edero. Sr. D. José</t>
  </si>
  <si>
    <t>D. Manuel Moi.edero. Sr. D. José Antonio</t>
  </si>
  <si>
    <t>…ida , electo. Sr. D. Antonio Ros y Olano. V izcaya, Ciudad-Real. Murcia. »D . Pedro Allende Salazar. Sr. D. José María Cambrottei o. Sr. conde de Balazote. Sr. D. Juan Antonio Hidalgo. Sr. D. Manuel Marin Blazquez. Zamora. Sr. D. Manuel Moi.edero. Sr. D. José Antonio Ponzoa. wDuque de Castroterreño. Sr. D. Santiago Moreno M uñoz, electo. Sr. D. Miguel Puche y Bautista. »D . Ezequiel Diez de Tejeda. Sr. D. Audres Carabantes. Sr. D. Diego María Chico, electo* Sr. D. Juan Gerónimo Cebados. Sr. D. Manuel Martinez Ayala. Zar…</t>
  </si>
  <si>
    <t>Antonio, Francisco</t>
  </si>
  <si>
    <t>Francisco Antonio</t>
  </si>
  <si>
    <t>…dividuos del escuadrón de la M ilic ia activa de Cáceres al m an ­ g uirla por completo , sin extranjeras intervenciones para mayor e n re e m p la z o d e l m a r q u e s d e S a n M a rtin de H o m b reiro . do del teniente D. Francisco Antonio B e lt r a n , y 18 carabine­ honra y exaltación de los españoles. Feliz V . M . , y mil veces T e n d í é i s l o e n t e n d i d o , y lo c o m u n ic a r e is á q u ie n c o rre s­ ros de la provincia de Cáceres, á las órdenes del teniente Don dichosa vuestra augusta H i j a , n…</t>
  </si>
  <si>
    <t>Antonio, Gaspar</t>
  </si>
  <si>
    <t>Gaspar Antonio</t>
  </si>
  <si>
    <t>…a­ camino real de A ragoo, a lo que debe cooperar igualmente la de la iinpiovUacion , esas palabras, vuelvo á decirlo, deben ch o, por lo que yo consigne ahora , pues voy á tratar de una brigada de Soria, que manda el coronel D. Gaspar Antonio interpretare Lien , deben interpretarse con lealtad, y jamás en cuestión puramente legal que interesa mucho al público dársela Rodríguez; y la de reserva del ejército del C entro, á las órde­ tnala parte. á conocer, y en la cual guardaré toda la consideración debida, nes del coronel…</t>
  </si>
  <si>
    <t>Antonio, J.</t>
  </si>
  <si>
    <t>J. Antonio</t>
  </si>
  <si>
    <t>…n. á sus sacrificios por la causa de la libertad , se recomiende a sentes á la discusión del arreglo de la deuda interior unos cré­ 224* D. Antonio Bresca y sobrinos, presos ea el castillo de Gobierno la colocación de su hijo D. J. Antonio. ditos que posee. G ibraltar, en exposición dirigida al Congreso insertan la que 262. La diputación provincial de la C oruña, exponiendo 183. D. Manuel García de La M ad rid , maestro de prime­ elevan al tribunal supremo de guerra y m arina, pidiendo la la consideración del Congreso var…</t>
  </si>
  <si>
    <t>Antonio, José</t>
  </si>
  <si>
    <t>José Antonio</t>
  </si>
  <si>
    <t>…F e r n a n d o ,00* todo cuanto en este punto ofrece la capital. La literatura y las Otra id ., cañada de la Hig uera, término de Berja, Guer- artes obtienen también un lugar preferente en sus columnas. reto de Mantua, por D. José Antonio B arco, en 15. Gira id., barranco dé lo* Monte es, término de Dalias , San CAM BIOS. Publica mensualmente una litografía ó un grabado análogo Blas, p o r !&gt;. Blas Castañeda, en 15. á su objeto, y ejecutado con la posible perfección por nuestros O t r a i d . , umbría d e O f t i s , t…</t>
  </si>
  <si>
    <t>17/11/1839</t>
  </si>
  <si>
    <t>Gaceta de Madrid n.º 1834</t>
  </si>
  <si>
    <t>…sto Perez de C astro , P resi­ ción y emplazamiento, inserto en este periódico al riítn. ] 8 i 2 dente d el Consejo de M inistros. del 26 de Octubre último, por el término de 50 d ias, contados desde el de esta publicación, á D. José Antonio M arúlla de Te­ Idem 7. ruel Pinilla yMotezuma, conde de este título: á D. José Mote- zuma y Roja 3 , vecino de la ciudad de Ronda, ó á las personas PARTE NO OFICIAL. El L iverpool llegó al fia al puerto de este nombre después que representen el derecho de estos, como d cualquiera qu…</t>
  </si>
  <si>
    <t>…argentinos en los puertos de Chile. los revolucionarios, y haciendo prisionero á su caudillo el ex- sioneros á mas de 200. Lo expuesto espero se sirva V. E. po- Según las mismas cartas parece que el comandante de la géneral D. José Antonio M ejía, y á un considerable número I nerlo en el conocimiento del Excmo. Sr. Presidente de la Répú- escuadra francesa estacionada en él mar Pacífico, había hecho de sus gefes, oficiales y tropa. Todo consta de los partes de que I blica, como el resultado de las fatigas de la división q…</t>
  </si>
  <si>
    <t>25/04/1839</t>
  </si>
  <si>
    <t>Gaceta de Madrid n.º 1622</t>
  </si>
  <si>
    <t>…cep tada, señalándose la hora de uua buena acogida de la academia. cuantos medios esten á su alcance, todos los r.tinos de la pro­ las ocho de la mañana siguiente en los fosos de la ciudad. El primero fue una memoria del socio D. José Antonio ducción , estimulada de su celo, excita por segunda vez a las Los padrinos Augusto B.... y Alfonso L.... tuvieron el en­ L lo b e t, titulada Ensayo d e la d e scr ip ció n g eu g n o stica d e las personas industriosas y amantes de las glorias de la n a c i ó n al cargo de buscar las…</t>
  </si>
  <si>
    <t>Antonio, Juan</t>
  </si>
  <si>
    <t>Juan Antonio</t>
  </si>
  <si>
    <t>…ceder, acudió por dos veces Otra id. eu barranco Jaroso, término de Cuevas, Purísima se haga en su favor que se perdonen los adeudos de toda clase á la diputación provincial de Toledo en queja contra el a y u n ­ Concepción, D. Juan Antonio M iguel Pico, eo 11. de contribuciones hasta el d i a , y quede libre de ellas en los tamiento de T a la v e ra, no solo por la arbitrariedad é ilegalidad Otr£ id. en sierra L u ja r, Hoya grande, término de Velez, seis años inmediatos: que se faciliten granos á los vecinos para del re…</t>
  </si>
  <si>
    <t>…a con todo el aparato que su argumento re-1 U. Juan Mesia. ° Idem sin interés, 6* y 6£ nuevas al contado: 6± y 6 | á v. quiere. Regidores: primero D. Vicente Borja , segundo D Pedro Guerrero, tercero D. Cristóbal Tey, cuarto D. Juan Antonio f. ó Accionesvol.: 7 á 60 d. f. ó vol. á prima de | por i 00 nuevas. ¿el banco español de S.aa Fernando, 00.</t>
  </si>
  <si>
    <t>…y co­ pas ; hermanos tiene, á los que puede ceder tan glorioso em­ hemostiene sido testigos de uno de los mas admirables, y que solo modelos en un M o zart, un Bellini y otros prodigios m u­ mandante general de la provincia D. Juan Antonio P ardo, de peño. El duque de Orleans no puede ni debe olvidar que él es sicales. Creemos que todos nos agradecerán les aconsejemos no cuyos destinos tomó posesión el día 17 del corriente. el segundo persocage político del reino , y que tiene otros de­ dejen de acudir á ver al niño Juan…</t>
  </si>
  <si>
    <t>Antonio, Manuel</t>
  </si>
  <si>
    <t>Manuel Antonio</t>
  </si>
  <si>
    <t>L a m is m a p a r a cosas secas . del D. Manuel Antonio; bien entendido que pasado sin ha­ TOMO X. berlo ejecutado, se dará á dichos autos el curso que coriesponda, Causa única» La seguida en la Cámara de Pare» contra los Litro. = - de celem ín de Castilla. y le parará perjuicio. últimos Ministros del desgraciado Carlos x. Decalitro. =…</t>
  </si>
  <si>
    <t>Antonio, Vicente</t>
  </si>
  <si>
    <t>Vicente Antonio</t>
  </si>
  <si>
    <t>…to (sin el cual no pueden ser observadas L aso , juez de primera instancia de la ciudad de Valencia, No sé quién fue el desgraciado.... y cumplidas) se difunda en todas las clases de la sociedad. D is ­ por la escribanía de D. Vicente Antonio B arrac h in a, cum p li­ M i hijo despareció. persas aquellas en los muchos códigos vigentes á la vez , fre­ mentado por el Sr. D. M iguel M aría D u r a n , que lo es de esta heroica v i l l a , se c i t a , llama y emplaza á todos los que se crear; cuentemente suele ser necesar…</t>
  </si>
  <si>
    <t>Antouio</t>
  </si>
  <si>
    <t>…pas. cuanto se oponga á lo dispuesto por la presente ley. Habiendo dispuesto el gefe de la columna de operaciones G R A N B A IL E D E M A S C A R A S M adrid 25 de Enero de l8 5 9 .= P io Pita. del distrito de Navahermosa , D. Antouio A m ie b a , la salida á las dos de la mañana del 4 de la compañía de tiradores de Casti­ EN EL SUNTUOSO SALON DE VILLAH E RM O SA. lla al mando de su capitán D. Rafael G arc ía, logró este encon­ trar en el punto que le habia indicado una g av illa de facciosos, H oy domingo 10 se verifi…</t>
  </si>
  <si>
    <t>Antón, Miguel</t>
  </si>
  <si>
    <t>Miguel Antón</t>
  </si>
  <si>
    <t>…la aplicación y el mérito de su compatriota la Sra. M ar­ bel rr. sido el ludibrio y escarnio de los mismos que le adularon? Este tínez. Muestras de admiración le arrancó á su vez la Sra. M an - Provincial de Búrgos.=:Tenieate D. Miguel Antón , grado acontecimiento feliz para C ataluña, unido con el famoso con­ zocchi (Doña Elisa) por el buen método con que ejecutó la ca­ de capitán de milicias. venio de Y ergara, debe afirmar la paz de la Península; y los vatina del maestro Donizzeti , y sobre todo con los extraordi­ Sargen…</t>
  </si>
  <si>
    <t>Aotooia</t>
  </si>
  <si>
    <t>28/06/1839</t>
  </si>
  <si>
    <t>Gaceta de Madrid n.º 1686</t>
  </si>
  <si>
    <t>…r é d i- 600 350 0 0 el término preciso de tercero dia se presente en la escribanía ^ to que reclamar sobre los bienes pertenecientes á los d i f u n ­ principal de Amortización, sita en la calle del Lobo, núme­ tos Sres. Doña Aotooia G a rc in i, D. Sebastian y Doña Vicenta ro 8 , piso segundo , á ratificarse en una declaración que tiene Pujol y Garcini , hijos, y á D. Francisco de E autregard, maris­ Los 2 2 $ billetes estarán subdivididos en la clase de cuartos, prestada en cierta causa crim inal qae se sigue sobre f…</t>
  </si>
  <si>
    <t>Aparicio, Antonio</t>
  </si>
  <si>
    <t>Antonio Aparicio</t>
  </si>
  <si>
    <t>…a carrera de la prensa periódi­ Alejo Farro , D. Gabriel Alvarez, D. Cándido Parainio, Dou ca. Por otra parte, aunque el poder y la influencia de esta D. Fausto Otazu. ..................................... Alava. Blas Alonso y D. Antonio Aparicio, se declaró no haber lu-*- sean un hecho incontestable , los sucesos se multiplican de D. José María Calatrava. Albacéte. gar á la formación de causa , habiendo dicho que sí lo$ tres tal modo y las opiniones sufren diariamente tales modifi­ D. D. José María R eig...................…</t>
  </si>
  <si>
    <t>Aparicio, Dámaso</t>
  </si>
  <si>
    <t>Dámaso Aparicio</t>
  </si>
  <si>
    <t>…e cualquiera que sea la resolución riague y Blanco, director de la caja nacional de Amorti­ blecimientos ó propiedades fueron perjudicados por la revolución del Congreso general, el Gobierno de S. M. verá en ella una zación; D. Dámaso Aparicio, procurador síndico del ayun­ de Julio. prueba inequívoca de que solo los principios que se establezcan tamiento constitucional de esta M. H. V.; D. Manuel Villo- Los fundamentos en qtté sé han ápoyado éstas dos disposi­ le han movido á dictarla. En ellos no tendrán parte otras con­…</t>
  </si>
  <si>
    <t>…D . Luis Sorela, presidente de la junta de liquidación de la deuda del Estado; D. Félix D ’Olhaberriague y Blanco, direc­ A yer noche se verificó el gran banquete y la fiesta ofrecida tor de la caja nacional de Am ortización; D. Dámaso Aparicio, á S. A. L el gran Duque heredero de R usia por el marques y procurador síndico del ayuntam iento constitucional de esta GRAN BRETAÑA. la marquesa de Londonderry en su magnífico palacio de P ark- M . II. V .; D. José Cano S ain z , del comercio de esta corte, y Lane. Todos los convid…</t>
  </si>
  <si>
    <t>Apezechea, Fermín</t>
  </si>
  <si>
    <t>Fermín Apezechea</t>
  </si>
  <si>
    <t>…con­ D . Pablo Cabrero , depositario. de comandante de infantería. ciudadanos, como son, si no estamos mal informados, los se­ D. Eugenio Hárlzembusch , bibliotecario. Idem Melchor G erona, empleo de mayor del batallón. ñores D. Fermín Apezechea , D . Antouio Rosales, D . N. S a n - D , Luis Pastor , contador. Idem D. Eustaquio H errán, cruz de S. Fernando de p ri­ clemente y D . N. Becquer. mera clase. E l director parece decidido á no escasear gasto alguno pa­ Sección de literatura. Tenientes D . Luis Coll, D. José Nava…</t>
  </si>
  <si>
    <t>Appomy</t>
  </si>
  <si>
    <t>…rificarse al dia siguiente, y ha pasado hoy largos ratos en su calabozo ocupado en leer el M a ­ nual del cristiano . A las cus-tro el escribano de la cárcel fue á prevenirle que A las doce y cuarto ha tenido ayer el conde de Appomy, bajase inmediatamente al locutorio. El Sr. director mandó abrir NOTICIAS EXTRANGERAS. embajador de Austria , una conferencia con Ahmed-Fethi-bajá en la embajada otomana. la reja que ordinariamente separa á las visitas de los presos, y apenas entró Barbés, cuando se arrojaron en sus brazo…</t>
  </si>
  <si>
    <t>Aquel, Granada.</t>
  </si>
  <si>
    <t>Granada. Aquel</t>
  </si>
  <si>
    <t>…ria por D. Francis­ cuación con las modificaciones hechas por el Excmo. Sr. capi­ ACTAS DEL GOBIERNO. co Carbonell, vecino de Valencia. Dios guarde á Y. S. muchos años. Madrid 28 de Marzo de 183 9 .= P ita.— Se­ tán general de Granada. Aquel mismo dia refrescó el viento al O. N. O. en términos que me hizo largar de este fondeadero y dirigirme á las Chafarinas. El 20 se presentó en estas 3 guas el ñor director general de Rentas y arbitrios de amorti­ bergantín de guerra francés Volage , su capitán el teniente de M INIS…</t>
  </si>
  <si>
    <t>AQUEMA</t>
  </si>
  <si>
    <t>…puede im ­ ció de que se trata, procede con toda la justificación y buena fe pedir. Los mismos decretos que se han dado en Francia sobre que exigen la moralidad de sus principios y el decoro de la na­ V IG E S IM A S E G U N D A Q U E M A . este punto comprueban de la manera mas clara que no es un ción, ha manifestado el infrascrito al Sr. barón Dcffaudis, que principio general el que se ha defendido, y que los esfuerzos siendo él punto de indemnizaciones propio del poder legislati­ Reunida en la plaza de la Constitució…</t>
  </si>
  <si>
    <t>Aquino, Elias</t>
  </si>
  <si>
    <t>Elias Aquino</t>
  </si>
  <si>
    <t>…eyes solo pueden obtenerse por medio de la comparación Camino de Granada á Motril. dio del entusiasmo, cuyas estrepitosas demostraciones eran aco­ de todas las civilizaciones, esto es, en vista de la descripción El ingeniero D. Elias Aquino me dice con fecha 26 de gidas por Mr. Barrot. La unión de los centros preconizada de las diferentes faces que han presentado todos los pueblos de la tierra considerados con respecto á la civilización ; y esta com­ por MM. Guizot y Bugeaud, parece uua esperanza vana y so­ Abril próxim…</t>
  </si>
  <si>
    <t>07/05/1839</t>
  </si>
  <si>
    <t>Gaceta de Madrid n.º 1634</t>
  </si>
  <si>
    <t>…ra de esta ciudad á Gobierno político de la provincia de Jaen.=Excmo. S r . : Por Motril me da parte de que desde el último que me dirigió el la relación que acompaña se enterará V. E. del número de ope­ director de la misma D. Elias Aquino hasta el 26 del pasado, rarios que han trabajado en las obras de la carretera de G ra ­ A lc a n ta r illa d e l R egajo g ra n d e. se ha abierto la caja del camino en la Cuenta de las Lágrimas ó nada á Bailen en la tercera semana de Abril anterior , y de los Suspiro del M oro, y de…</t>
  </si>
  <si>
    <t>…alquiera honorable individuo que no pertenezca á la adm i­ bajos de esta carretera provistas de las herramientas necesarias nistración, el solicitar que se decida (al llegar aqui los repeti­ que ha proporcionado al ingeniero D. Elias Aquino , y que ha­ dos aplausos ahogan la voz del orador m in isterial); digo que E éicito Je operaciones del Norte de España. = 6 .a d tv i- bía dado disposición para fabricar otras en la fragua que po­ creo un deber mió el solicitar que se decida si la Cámara quie­ sion.zrP. M =Relacion nom…</t>
  </si>
  <si>
    <t>…trabajos de la carretera de M o tril; d e ­ ducían con ellos. salud. jándolas situadas en los pueblos d eA lh en din y O tura, desig­ Que notó con placer que todos tenían su vestuario, si bien nadas al efecto por el ingeniero D. Elias Aquino. varios careciau de camisa por lo difícil que es evitar vendan Encargándome personalmente á d ir ig ir esta operación, me algun a que otra prenda por mas exquisita que sea la v igilao cia S. M . la Reina Gobernadora se ha servido nombrar para propuse examinar si todos los preparativos…</t>
  </si>
  <si>
    <t>…s pérdidas en las costas, pues su dirección á New-York era del mar á tierra en derechura. Dirección general de Caminos.=:Excmo. Sr.: Con esta fecha Temporal horroroso.- El sábado (26) por la mañana cayó prevengo al ingeniero D. Elias Aquino, que luego que esten sobre esta ciudad una tempestad, que aunque no duró mucho, planteadas las obras y arreglados los confinados en la carretera fue roas terrible en su violencia y mas desastrosa en sus efectos REINO DE HANNOV ER. de Granada á M otril, dando las disposiciones convenient…</t>
  </si>
  <si>
    <t>…Córdoba, y me dé parte de su llegada, sin resum en . NOTICIAS EXTRANGERAS. perjuicio de hacer inmediatamente el reconocimiento de Importa el cargo............ ................ .. 85987050. .28 lá línea trazada por el ingeniero D. Elias Aquino, para Id. la data............ * 74558285 .17 FRANCIA. que dando las disposiciones oportunas se principien los trabajos á la brevedad posible, á cuyo efecto le remito Existencia para 1.° de F ebrero..... 11418745 .11 Varis 6 de Marzo. copias del plano y de la relación y presupuesto que d…</t>
  </si>
  <si>
    <t>18/03/1839</t>
  </si>
  <si>
    <t>Gaceta de Madrid n.º 1584</t>
  </si>
  <si>
    <t>…z de Tene­ Gobierno político de la provincia de Granada.- Excmo. Sr.: utensilios necesarios para su demarcación, examinando al m i s ­ rife, de la misma clase en las islas Canarias. En consecuencia de lo que dije al ingeniero D. Elias Aquino, mo tiempo en las inmediaciones de la líoea , tanto en loi. o c h o encargado en la construcción de la carretera de M otril, me pueblos, como en las ventas, caserías ó cortijos, los locali &gt; Asimismo se ha dignado nombrar, á propuesta de la au­ manifiesta que á pesar de hallarse ocupa…</t>
  </si>
  <si>
    <t>…s no es mas que el primer paso para la di­ se atrase un momento el servicio, me he avistado nueva­ la ley debían componer el jurado ; y habiéndose verificado con solución. (G. de Leipsick.) mente con el Sr. ingeniero encargado D. Elias Aquino, á las formalidades que la misma previene, tocó á los sugetos si­ fin de recoger ó tener prontas las ollas y demas útiles que guientes: D. Juan R u iz , D. José Figuer y Cubero, D. Fran­ los penados pueden y deben llevar consigo, economizan­ cisco Antonio de P a n d o , D. Felipe López…</t>
  </si>
  <si>
    <t>…la de aguardiente. que comunicarle , mas que la llegada del ingeniero pasiva ó diferida. 4.° Que con estos medios, con las existencias que hay ble Portugueses 561. de los mencionados arbitrios especiales en la tesorería ge­ D. Elias Aquino á Granada, según me lo avisa con fecha 13 del corriente, pidiéndome instrucciones para empren­ Tres por i 00 22}. neral del ramo, y con lo que estos vayan produciendo en der Belgas 99¿. adelante, se proceda sin demora y con toda eficacia y ac­ abrirsusdesde trabajos en la nueva carre…</t>
  </si>
  <si>
    <t>…ontesinos. El lunes 22 del corriente yy Juan pasaje eu persona acompañado de dicho visitador ingeniero co, una López, lanza , procedente de N a v a rra , cogiéndoles un trabu­ una canana, otros efectos y algunos papeles dé D. Elias Aquino a establecer las nuevas brigadas en el lugar M. la R e in a , su augusta Madre la R eina G oberna del Padul, punto señalado por el referido ingeniero. La fuerza im portancia, sin que haya habido por nuestra parte otra des­ gracia que la caida por un derrumbadero del comandante de dora…</t>
  </si>
  <si>
    <t>…Cámara , yo p reguntaría al marques centro izquierdo sin la concurrencia de M r. T h ie r s , que no de­ de Lansdowne si han adoptado este p artido : en este caso seria jara de prestarse á una nuúva combinación. El ingeniero D. Elias Aquino con fecha 18 del corriente me dice desde el P a d u l, que en los cinco dias últimos se ha­ necesario que se completase la comisión con personas en qu ie­ Consuliado el duque de Broglie sobre la situación actual, nes pueda tener confianza el pais. protestará á lo que se asegura contra…</t>
  </si>
  <si>
    <t>Aquino, Elías</t>
  </si>
  <si>
    <t>Elías Aquino</t>
  </si>
  <si>
    <t>…teniendo presente que aun Para ganar tiempo en el pensamiento del Gobierno, escribo cuando por pura equidad quisiera hacérseles alguna con­ El 20 se presentó en aquellas aguas el bergantín de guerra con esta fecha al ingeniero D. Elías Aquino, dándole e tos da­ donación a los interesados, seria preciso que la autoriza­ francés Volage, su capitán él teniente de navio Gressier, el tos, que podrá estimar según las órdenes que le asistan, y la sen las Corles, porque causaría una rebaja en la cantidad que pasó á bordo y le manife…</t>
  </si>
  <si>
    <t>Aquí, Lorenzo Arrazola.</t>
  </si>
  <si>
    <t>Lorenzo Arrazola. Aquí</t>
  </si>
  <si>
    <t>…sa palabra preferente . La persona interesada tinguirse: ha confundido el Ministro de Gracia y Justicia con en defender su elección tiene el derecho de hablar cuando pide Ayer tarde á primera noche fuimos agradablemente sor­ D. Lorenzo Arrazola. Aquí se trata de si se ha cometido defec­ la palabra, pero no con preferencia á otro D iputado, siuo en prendidos con un espectáculo que sin anuncio ni aviso se pre­ to ó falta en el nombramiento de este señor como Diputado: en su turno , porque esa palabra la miro con cuidado. sen…</t>
  </si>
  <si>
    <t>Ar, Antonio</t>
  </si>
  <si>
    <t>Antonio Ar</t>
  </si>
  <si>
    <t>22/02/1839</t>
  </si>
  <si>
    <t>Gaceta de Madrid n.º 1560</t>
  </si>
  <si>
    <t>…nía diese cuenta cada quince dias del estado y resul­ y debe tener sin uso almacenados, con el doble objeto de la ma­ vacante por traslación de D. José G enaro Gutiérrez al de Lo ja, tado de la comisión conferida al ingeniero D. Antonio Ar­ yor economía y de no demorar el principio de los referidos á D. Juan Pablo Trigueros que desempeña el de Baltanas. ríete para el reconocim iento de los deterioros del puerto trabajos con toda la extensión posible. de Luarca. De Real orden lo com unico á V. S. para su inteligencia y ef…</t>
  </si>
  <si>
    <t>Ar-, Lorenzo</t>
  </si>
  <si>
    <t>Lorenzo Ar-</t>
  </si>
  <si>
    <t>…anto á D. Carlos la cumplimiento.—YO LA REINA GOBERNA DO RA.= En suyo, haciendo lo mismo el coronel de húsares, y de este mo­ corte de Cerdeña está negociando en favor suyo con el Gobier­ Palacio á 16 de Noviembre de 1839.=A D. Lorenzo Ar- do le llevaron. no francés para que se le concedan sus pasaportes. Sin embargo, razóla, Ministro interino de la Gobernación de la Penín­ Todos dormían en el palacio mientras pasaba esta escena, ex­ parece que el Gabinete de Paris no está muy dispuesto á acce- sula. cepto la hermana del…</t>
  </si>
  <si>
    <t>Aracena, Juan</t>
  </si>
  <si>
    <t>Juan Aracena</t>
  </si>
  <si>
    <t>…so ejem­ I escritas, todas las fábulas aunque sean de hechiceríai y de mas de fuego y varias blancas. plo que habéis dado encontrará muchos imitadores.” I mágica? ¿Y qué es una novela sino una epopeya escrita Que el capitán D. Juan Aracena , del regimiento de caba­ En seguida se brindó por los representantes irlandeses. I en prosa , con su protagonista, sus descripciones, su mo­ llería 2.° de linea, que encontró una gavilla en las inmediacio­ M r. O ’Connell: He venido á este sitio, señores , para sa­ nes del pueblo de…</t>
  </si>
  <si>
    <t>Aragon</t>
  </si>
  <si>
    <t>…Zaragoza 5 de Setiembre. , niones; cuando tenemos que llenar un deber de propia delica­ deza, de circunspección, de im parcialidad, nosotros no debe­ Brillante ha estado y concurridísima la soberbia función Capitanía general de Aragon.=Estado mayor.=Orden gene­ mos, ni sabemos, ni queremos atender á otra cosa sino á lo que esta mañana se ha celebrado en el grandioso templo de San ral del 3 de Setiembre de 1859. n Habiendo dispuesto el Exce­ que resulta de las actas. Agustín en obsequio del santo y del restablecimiento del…</t>
  </si>
  <si>
    <t>…s niños pais lluvioso y frió. Por otra p a r te , el comercio entre los con­ les dictase su celo la práctica de los principios emanados de la dados de Kent y Essex , á los dos lados del rio , se ha aum en ­ Capitanía general de Aragon.—Estado mayor.zrSeccion cen­ tado mucho , y los carros de trasporte están obligados á dar una tral.—El coronel gobernador de Caspe con fecha 19 del actual eterna sabiduría de que están llenas las paredes de la escuela. Con este acto ha quedado instalada la tercera escuela de p ár­ grande vue…</t>
  </si>
  <si>
    <t>Aragon.s</t>
  </si>
  <si>
    <t>29/01/1839</t>
  </si>
  <si>
    <t>Gaceta de Madrid n.º 1536</t>
  </si>
  <si>
    <t>…rovincias en las administraciones de correos de to­ das las capitales y en las librerías siguientes; Barcelona, Pifer—' torcillos, cuyos cantos y órgano se oirán también en la iglesia Zaragoza *1í de Enero. Capitanía general de Aragon.s rer: Badajoz, Carrillo: Valencia, Mallen: Granada, Linares: del Escorial. La junta creada por el Real decreto de 51 de Abril último M álaga, Qumcoces: Sevilla, Hidalgo: Gihraltar, Hepper: Y a - La entrada á 8 rs. y 4 los niños. para proponer á S. M. los ciudadanos que se hicieron merece­…</t>
  </si>
  <si>
    <t>Aragon.zzSeccion</t>
  </si>
  <si>
    <t>…te de Bonifacio v m , presos. Las diferentes piezas en que se ha dividido la causa la traslación de la Sede pontificia á A viñon, el cisma de Occi­ principal continúan su curso, y serán vistas en consejo de Capitanía general de Aragon.zzSeccion central.—El coman­ d en te, y mas que to d o , los progresos de las naciones y de los dante del batallón de Milicia nacional de Gandesa, goberna­ Gobiernos en las artes y ciencias (progresos debidos sin disputa guerra á proporción que se hallen en estado de serlo. dor interino de…</t>
  </si>
  <si>
    <t>Aragoo.izEstado</t>
  </si>
  <si>
    <t>02/09/1839</t>
  </si>
  <si>
    <t>Gaceta de Madrid n.º 1754</t>
  </si>
  <si>
    <t>…és de las once. Éste retardo de mas de cuatro horas ha L ondres 22 d e A gosto . sido ocasionado por la reuuion de los caballos de posta para el viaje del Príncipe Real á los alrededores de Burdeos. Lo mis­ Capitanía general de Aragoo.izEstado mayor.r: 8 ecciou cen­ Leemos en el Sin el siguiente extracto de un folleto del ca­mo ha sucedido hoy. tr a l: El cónsul de S. M. C. en Bayona con fecha 25 del actual pitón Slade , cuyo título es el Saltan y M ehem et-A lí. S3. A A. RR.. deben partir él 24 para ir á dormir á M a r -…</t>
  </si>
  <si>
    <t>Aragón</t>
  </si>
  <si>
    <t>…m oderaH a^,;J&gt;rtidei[ite y firtó e; conducta Barcelona , á ps. fs.t | b» Sevilla, par din. de Huesca. 3ilbao, 1£ d. Valencia, par. í . que no podemos d ejar de a p la u d ir por un sentim ien to de Otra, Capitanía general de Aragón. = Pía na mayor. —Sec­ Jádia, par. Zaragoza, 1£ d. r ción primera. —Los apuros de la pagaduría m ilitar son, como á ju s tic ia , pues no nos une con tan celoso gefe relación de V. S. consta, cada vez inas extraordinarios; y si el tnes de No­ n in gún g é n e ro , y le juzgam os por sus obr…</t>
  </si>
  <si>
    <t>…ble que llegó después, Igual resolución recayó sobre las actas de elecciones presen­ Que en igual caso se encontraba el general Oráa, que siendo ca­ tadas por el Sr. Arguelles y el Sr. Lasaña, Diputados electos, pitán general de Aragón, habia sido propuesto y nombrado pues por en 1854 se hicieron ya las elecciones excepcionalmente; y no poder ir los comisionados ¿qué se hizo? Se procedió al el primero por la provincia de Barcelona, y el segundo por la Senador por la provincia de T eruel, por cuya razón creia no nombramien…</t>
  </si>
  <si>
    <t>…y de su­ Num. 2.° Ejército de operaciones del C entro^Estado ma­ na clase, sino por enriquecerse á costa délos inocentes que caen cesión que nos rige? ¿Será la de alentar al despojo violento yor general = Comandancia general de Aragón, Valencia y en sus manos? del derecho de propiedad? lié aquí cosas que cuando se trata de Murcia.—8u contestación de Y. de 22 del actual á la mía del 19 El orador pasó á oponerse al párrafo en que se dice que los ilegalidad hubiera deseado que se tuvieran presentes en el men­ me convence de…</t>
  </si>
  <si>
    <t>…a justicia. El teniente de granaderos de M onterrey, comandante de la En consecuencia de estos principios, recomiendo á los alcal­ columna de C hantada, me dice con fecha de ayer lo que sigue: Estado mayor.- Gapitanía general de Aragón.—Sección cen­ des y demas individuos de los cuerpos municipales, que vigilen Al encargarme del mando de esta columna, según Y. S. tral,nEl coronel D. Manuel Sebastian, gefe de la segunda bri­ muy eficazmente en sus respectivos distritos la conducta de sus ha dispuesto, quedándose de gefe del…</t>
  </si>
  <si>
    <t>…de once á tres, recreo y comida: de dos á cua­ Secretaría de Estado y del Despacho de la Guerra. == Exce­ M A D R ID 2 5 D E J U N IO . tro , ó de tres á cinco, escuela, esperando desde esta hora á lentísimo Sr.=Al comandante de Aragón , Valencia y M urcia que vayan á buscarlos. digo coa esta fecha lo siguiente: 8 .a Según lo prevenido en la regla anterior, serán recibi­ Sociedad para propagar y mejorar la educación del pueblo. dos los niños diariamente en la escuela desde las siete á las cer de"Elsu Rey nuestro S eñ o r,…</t>
  </si>
  <si>
    <t>…irección todos los meses la recaudación de presenten los Sres. gefes, Y DEL DESPACHO DE LA GUERRA. da.=Está rubricado de la Real m ano.=En Palacio 26 de esa provincia, que parificará con la de iguales dei año Capitanía general de Aragón.=Estado mayor.r^Seccion cen- Marzo de 1839.=A D. Isidro Alaix. anterior de 1838. Esta demostración revelará á primera tral.—Excmo. Sr.: El Sr. geueral D. Joaquín Ayerve, coman­ vista el estado de abyección ó vitalidad de esas oficinas; dante general de la segunda división del ejército del Ce…</t>
  </si>
  <si>
    <t>Aran-</t>
  </si>
  <si>
    <t>…ón no le permitía ir al palacio de las T ullerías; y H oy domingo 10 de Febrero se verificará el undécimo bai­ que ademas, después de profundas reíiexioues se creia obligado le de máscaras en el gran salón de la casa del conde de Aran- á persistir en la declaración que dos veces habia hecho, y que en d a , calle de Luzon , núuo. 4 ? cuarto principal. consecuencia no podia p o r e l m om ento aceptar la misión de BOLETIN DE COMERCIO. Los billetes se despachan en el mismo local y en la calle componer un Gabinete. de C arretas,…</t>
  </si>
  <si>
    <t>…á de Enero de 1808. Hecho después prisionero por los fran­ todos en consternación y cuidado. Aliviado algún tanto á le deHoy lunes 11 de Febrero se verificará el duodécimo bai­ máscaras en el gran salón de la casa del conde de Aran- ceses en aquella plaza, y fugado á Cádiz eu Abril de 1809, los tres ó cuatro dias siguientes, se obstinó de nuevo el da, calle de Luzon, mira. 4 ? cuarto principal. prestó grandes servicios a la patria, ya de comandante del 27 en ir a la junta. En vano redobló su familia las sú­ Los billetes…</t>
  </si>
  <si>
    <t>Aranda</t>
  </si>
  <si>
    <t>…aum en to de g ra c ia á las personas qu e h a n c o n trib u id o á a m in o r a r los e stra­ contra los mismos intereses que él cree que debe soste­ la g u a r d i a m u n ic ip a l. gos del fuego. ner. Asi es que el conde de Aranda, por mas afecto que fuese á las ideas filosóficas de su siglo, miró como una B rujas 20 d e J u l i o . grave imprudencia, que nos costaría la América, hacer L a Gaceta d e F rancia h a referido con muchos detalles la batalla de N e z ib , y hasta de las m a n io b ra s , por medio de las…</t>
  </si>
  <si>
    <t>…5 VO O ^ O recobrar á G ibraltar, dando á los ingleses en cam bio a á esta ciencia que h m :&gt;s vis!o publicados en español han co ------------------------------------------------- ------------------ G uadalupe; pero el conde de Aranda se opuso á ello p or­ sido la origtog* osia de W id en in a n n , que aquel tradujo ' cy. . ot c * a* ri que tem ió que el objeto del G obiern o ingles fuese intro­ del alemau en ei año de 179 7 ; siendo de notar que cuan­ «s w o ^ w« co ¡3 (i g- rt 2 í, -• en d o eí Sr. D. C arlos…</t>
  </si>
  <si>
    <t>…y D . Juan Bautista Cozzer. de presumir haya emprendido su movimiento para Zaragoza. Y H oy martes 8 de Enero gran baile en el magnifico salón de Las facciones siguen en los mismos puntos de la sierra , sin la casa del conde de Aranda , calle de L u z o n , núm. 4 » cuarto que por ahora se sepa traten de emprender ninguna operación. ESTADO MILITAR principal El público juzgará por sí m ism o, por lo que no hay nece­ Logroño 2 de E n ero . Continúa en esta capital el Sr. con­ P A R A EL PR ESEN TE AWO DE 1859. sidad de ha…</t>
  </si>
  <si>
    <t>…Comprende los artículos siguientes, adornados con sus cor­ che se verificará el séptimo baile de máscaras en el gran salón se ocupó contra los enemigos , la que irá acompañada de un respondientes láminas. de la casa del conde de Aranda, calle de) Luzon, número 4» memorial sencillo en que el interesado manifieste bajo su cré­ Curiosidades naturales de España: la sima de Cabra. cuarto principal; durará hasta el amanecer. dito y responsabilidad la calle y casa que habitaba la madruga­ Ciencias y artes: el Daguerotipo , nuevo d…</t>
  </si>
  <si>
    <t>Aranejo, Mariano</t>
  </si>
  <si>
    <t>Mariano Aranejo</t>
  </si>
  <si>
    <t>…m bargo los traductores se obispado.................................................... 100 Esta tarde ha entrado un batallón del 4.0 ligero conducien­ llam an originales : tam bién es verdad que no dejan de ser El presbítero D. Mariano Aranejo..................... 51 do los heridos, y con el objeto de llevar la artillería gruesa originales estas traducciones, pues dejan el texto tan en Id. D. Francisco García , cura párroco de M atan­ para batir el fuerte de Segura. francés como se estaba. zas, por s í, y lo contribuido po…</t>
  </si>
  <si>
    <t>Aranero, Modesto Cascos</t>
  </si>
  <si>
    <t>Modesto Cascos Aranero</t>
  </si>
  <si>
    <t>…Gómez Hernández, Yelez M á la g a á D. José Fernandez del Castillo , y para la de se les hicieron de que serian tratados con h um anidad y ju sti­ dice está concluida la mitad del camino de Sanlúcar de B a rr a ­ L u a rc a á D. Modesto Cascos Aranero. cia , y de que se les proporcionarían todos los alivios compati­ meda al Puerto de Sta. M a r í a , y trazada la línea de u n largo bles con su situación ; y se aumento su confianza cuando les trozo de la otra mitad , en cuyo punto se ocupan de los t r a ­ ofrecí que v isit…</t>
  </si>
  <si>
    <t>Araoz, Miguel</t>
  </si>
  <si>
    <t>Miguel Araoz</t>
  </si>
  <si>
    <t>…sto ú ltim o; pues lidad aquella provincia. donde dice: por si y á nombre de los gefes y o f dales em ­ Lo #stá igualmente la de Guipúzcoa, y el mariscal de cam­ pleados en la m ism a , debe decirse: por si y á nombre de po D. Miguel Araoz recorre aquella parte de frontera hasta Ve­ Diputación provincial de Soria.=Señora: Si después de seis Los 45 regimientos , gefes y oficiales empleados en la ins­ ra, mientras que por esta lo verifica el brigadier D. Joaquín años de la mas desoladora guerra ha aparecido entre los españ…</t>
  </si>
  <si>
    <t>Arau-, José</t>
  </si>
  <si>
    <t>José Arau-</t>
  </si>
  <si>
    <t>…rentas de esta pro­ tiene en la plazuela de S. M iguel, ndm. 6 , á las diez de di­ vincia se cita , llotna y emplaza á Ú, Pedro Torreas y M iral- cho dia. B IB L IO G R A F ÍA . da , D. José de Acebo, D. Clemente Bernaídez, D. José Arau- jo y Alcaide, D. Joaquín de Echavarría , D. Ricardo López, D. Antonio González , D. José de Castejon, D. Miguel M ar- p O R el presente y providencia dictada por el Sr. D. Juan qüés y Villegas, D , Lorenzo Marau , D. Andrés M artí, Don José Rodríguez Yaldeosera, caballero comendador de…</t>
  </si>
  <si>
    <t>ARBOL, EL</t>
  </si>
  <si>
    <t>EL ARBOL</t>
  </si>
  <si>
    <t>…sten ntuas que s-oa esencia t e de estos cuerpos, responde £ ios alcaldes/* las C o rtes: ei¡ es extra i© tamrpuc® fo e hasta £ los ce e rip s co~ las- cuate * y esta es mi doctrina, deben ejercerlas los ayunta— E,l Sr. IlCIZi D EL ARBOL hizo una ligera,, iiidjicacioo £ kgb&amp;adortó se baya» elevado ce» este mentí v® noli! y ibííI expo­ mientos. Él.,ay otras atribuciones, k s coa. lies se mezclan con in­ la co-itti;si"©'«, respecto ai! deslinde de Ib:® atribuciones.. siciones. Señores, sí rincerameitite se quiere el buen, go…</t>
  </si>
  <si>
    <t>Arbulo</t>
  </si>
  <si>
    <t>…e l p r o y e c t o p r e s e n ­ to y por si tiene á bien elevarlo al de S. M . Dios guarde á donado. ta d o p o r e l G obierno r c U t iv o á los f u e r o s d e las p r o v i n c i a s V. E. muchos años. Cuartel general de Arbulo 9 de Setiembre V a s c o n g a d a s : Sres. Arguelles , Díaz G il, M u r g a , Arteta , G u ­ de 1859.=Excmo. Sr.=:Gregorio Piquero Argüelles.^Excelentí- En un periódico inglés se lee el hecho siguiente con el título tiérrez de Cevallos, Zurnalacarregui y Ferro Montaos. simo Sr. Secretario…</t>
  </si>
  <si>
    <t>ArcDeoduris</t>
  </si>
  <si>
    <t>…too desgracia da como heroica, -Se aprobó labra en contra B se declaró que había lugar i deliberar por ár­ el. letrado: iniciepe odie ules oo hay mas que tres. Por co nsi guíe.o— ■ poc ultim o el dictamen, coo la adición del Sr. ArcDeoduris. te fio me parece que pode® os peo caelee nos toda la regalar i dad. A si este como todos loa demás aprobados Los iioseirta,remas tica los. .otro dia. Fuero*) aprobadlos sin discusión los seis de qu« consta, dicho Según la regla de briba na les, jo creo qne serla me&gt;ir a a mentar E t…</t>
  </si>
  <si>
    <t>Arche</t>
  </si>
  <si>
    <t>…. D. Luis González, de D. Francisco Cañas, alférez Cano Sainz.—Datnaso Aparicio.rrJo^quin de Fagoaga.=José TL ' Oposicion.ziPrimer colegio, 1334 votantes, 'Odiion Bar- del resguardo , y del auxiliar de dicho gobierno político Don Arche. rot 509. Juan Cordon. Ministerio.^:Jacqueminot 817. El capitán general de Castilla la Vieja y comandante gene­ Oposicion.~3egu ndo colegio, 2314 votantes ^ Laffite 1126. ral de Falencia recomiendan de la misma manera al gefe polí­ Ministerio.:^ Lefebvre 1174» tico D. Miguel Antonio Camacho p…</t>
  </si>
  <si>
    <t>Arche, José Higinio</t>
  </si>
  <si>
    <t>José Higinio Arche</t>
  </si>
  <si>
    <t>…rla. En ellos no tendrán parte otras con­ ta y D. José Cano Sainz, del comercio de esta corte, y ciones han sido de muy diversa naturaleza: la primera se dic­ sideraciones qué las que aconseja la justicia , y estarán siémpre D. José Higinio Arche, contador general de la caja na­ tó para reprimir el vandalismo revolucionario, principalmente conciliadas con los sentimientos que animan a los supremos po­ cional de Amortización, vocal secretario; y colocada en en los departamentos del E scaut, de las dos N ethes, de la D y -…</t>
  </si>
  <si>
    <t>…sión: cionales é5 D. individuo de la junta de enagenacion de bienes na­ Manuel Villota, D. José Cano Sainz, del comer­ privadas de los medios de hacer constar sus cualidades como la lea el acta de Viana. cio de esta corte , y D. José Higinio Arche, contador general, ley requería para que fuesen electores. Las listas de valles ó dis­ Se leyó, y su fecha era de Setiembre de 1857. de la caja nacional de Amortización, vocal secretario; y colo­ tritos ocupados por la facción, firmadas por autoridades pues­ copiaEl remitidaSr. A…</t>
  </si>
  <si>
    <t>Arche, José Higinió</t>
  </si>
  <si>
    <t>José Higinió Arche</t>
  </si>
  <si>
    <t>…nácion de bienes nacionales; Don qué fue désechádá por la comisión, y nos limitaremos única- Manuel Villota y D. José Cano Sainz, del comercio de esta menté i públíéár la part^ dél informé^ que tiene relación con el corte, y D. José Higinió Arche, contador general de la caja FRANCIA. fóndó de la cuestión, reduciré á lo siguiente: ¿Conviene ad-^ nacional de Amortización, vocal secretario; y colocada en el m itir el tratado ; sí ó ho? ¿CotíViene oponerse á é l , si ó no? estrado preparado al intentó, se procedió á leer el…</t>
  </si>
  <si>
    <t>Ardennes</t>
  </si>
  <si>
    <t>…na 1 1 , acaba de morir. (Id.) da en el Diario de las Sesiones. El Rey de los belgas ha llegado de incógnito el 17 á Colo­ El Sr. P R E S ID E N T E anunció que habiendo suficiente nú­ nia. S. M. viaja bajo el nombre de conde de Ardennes: des­ mero de Sres. Senadores presentes, se iban á votar en su totali­ pués de algún descanso ha continuado su camino hácia W ies- dad las leyes sobre testamentifaccioo de los eclesiásticos de Jaco, &gt; vade. NOTICIAS NACIONALES. y sobre aplicación de la ley de 25 de Agosto de 1857 á Ids elec…</t>
  </si>
  <si>
    <t>Arechavala, Miguel</t>
  </si>
  <si>
    <t>Miguel Arechavala</t>
  </si>
  <si>
    <t>Gaceta de Madrid n.º 1778 · extraordinaria</t>
  </si>
  <si>
    <t>…Estella, cuya plaza caerá pronto en nuestro poder, lo mismo que el castillo de G u e v a r a , que hace algunos dias bloquea el mariscal de campo D . Gregorio Piquero, comandante general de la provincia de A lava. El general D. Miguel Arechavala ha completado 7a el licénciamiento de la d i­ visión vizcaína, 7 está en completa tranquilidad aquella provincia. L o está igualmente la de G u ip ú z c o a , 7 el mariscal de campo D . Miguel A r a o z recorre aquella parte de la frontera hasta V e r a , mientras que por esta lo…</t>
  </si>
  <si>
    <t>…de Torner. == involuntario de imprenta , hubo una otnision en la exposición de Alava. Vicente Tortosa C erda.=Juan Bautista Castillo.“ Vlariauo P ar­ dirigida á S.,M. por el Sr. inspector general interino de mili­ El general D. Miguel Arechavala ha completado ya el licén­ ra. = Francisco Palau. — Vicente Tad Micó. — Pedro Morales. cias provinciales al felicitarla en 7 del actual por los importan­ ciamiento de la divibion vizcaína , y está en completa tranqui­ José Brugada.mÁlonso Navarro.=H onorato P ie ra , secretario. t…</t>
  </si>
  <si>
    <t>Arellano</t>
  </si>
  <si>
    <t>30/01/1839</t>
  </si>
  <si>
    <t>Gaceta de Madrid n.º 1537</t>
  </si>
  <si>
    <t>…hay aprobado el dictámen. Que en seguida por acuerdo de este mis­ por el Congreso para examinar este asunto no dijo que se sus­ conformidad mo Congreso se habia mandado pasar á otra comisión extraor­ pendiese la admisión del Sr. Arellano hasta la conclusión de la se ocupe de la, creo que el camino mas corto es que el Congreso dinaria para resolver lo que se habia de hacer en el caso parti­ causa, sino hasta el procedimiento y pesquisa. Pero no podrá y luego vendrádiscusión de suyo de las atribuciones de ayuntam ientos, la…</t>
  </si>
  <si>
    <t>Arellano, Ramírez</t>
  </si>
  <si>
    <t>Ramírez Arellano</t>
  </si>
  <si>
    <t>…n su art. 40 que, corno dije en­ de la misma en cuanto á que el estado en que se halla la causa rar sobre el párrafo que se discute; pero no es asi, nadie pue­ tonces y ahora repito, en mi sentir comprende una disposición del Sr. Ramírez Arellano no presenta motivo para proponer al de negar que hecha la designación de jueces quede excluida to­ que es de la competencia del Congreso. Van pasados ocho dias Congreso la admisión de este Sr. Diputado. Que todo lo que da arbitrariedad, si es que hablando de tribunales colegiados y…</t>
  </si>
  <si>
    <t>Arenas</t>
  </si>
  <si>
    <t>…as N A V A S pidió que se leyera el oficio dad , su civilización y su sosiego. d o llegue ese caso, se podrá tratar cuál de esas leyes ó fueros remitido por el G obierno; y leido mauifestó que aunque el señor M uchas veces el Sr. Arenas se muestra elocuente en su deben quitarse ó no. ¿Q tré es lo que se concede ahora provisio­ Benavides habia dicho en su discurso que el ministerio supli­ peroración; inflamado por dos nobles sentimientos, el de la nalmente 7 Esta es la cuestión. El articulo d ic e : {leyó). caba , le parecía…</t>
  </si>
  <si>
    <t>Arenas, Bernardino Nuñez</t>
  </si>
  <si>
    <t>Bernardino Nuñez Arenas</t>
  </si>
  <si>
    <t>…os be­ general de aduanas; y tercer oficial de los que disfrutan D ía memorable , S e ñ o r a , será el 5 i de Agosto de 1 8 5 9 en n ig n a m e n t e , queden cumplidos los deseos de todos los h a b i t a n ­ 2Ó3 rs. anuos á D. Bernardino Nuñez Arenas, que lo es de los fastos de la h isto ria , pues en ellos ocu pará un l u g a r d is­ tes de la p ro vin c ia . la clase de terceros en la contaduría general de valores. t in g u id o el gran d io so c uadro de alia n za trazado por la sab id u ­ D ios g u a r d e á V . E. mu…</t>
  </si>
  <si>
    <t>Arenas, Eduardo</t>
  </si>
  <si>
    <t>Eduardo Arenas</t>
  </si>
  <si>
    <t>…la misma previene, tocó á los Santo Domingo el cúter está anclado en la lín ea el seno de esta navegación en m in iatu ra es donde Isabey En sugetos siguientes: D. Nicolás Mélida, D. Martin López Sala- DE LOS TEATROS zar, D. Eduardo Arenas, D. Cayetano de Dilio y Rubio, Don forma esos preciosos dibu jos, esos a preciables cu ad riles con Rauion Guerra, D. Román Matute , D Bernardina Eraña , Don MODERNO ESPAÑOL Y EXTRANGERO. que se enriquecen todas las colecciones de los particulares Tadeo Sánchez Escandola y D . J osé…</t>
  </si>
  <si>
    <t>Arenas, Rafael Diaz</t>
  </si>
  <si>
    <t>Rafael Diaz Arenas</t>
  </si>
  <si>
    <t>…COS. na , Ba.tavia , el Brasil y P o r t u g a l; con una descripción de los usos, costumbres, comercio y demas cosas notables que ha ob­ Inscripciones en el g r a n libro á 5 por 100 , 00. servado en dichos países su autor D. Rafael Diaz Arenas. C á ­ Títulos al portador del 5 por 100 , 2 0 | , 2 1 , { y 2 1 ¿ con diz 1859. Un tomo en 8 .° á 15 rs. en rústica. SU IZA. cupones al contado: 2 1 , 20 treintaiun treiutaidosavos, f , 2 l Memoria sobre el comercio y navegación de las Islas F i lip i ­ un dieziseisavo , f ¿…</t>
  </si>
  <si>
    <t>ARG</t>
  </si>
  <si>
    <t>…rimero , que ni ofrecía inconvenientes ni ataba instituciones políticas. No confiamos menos en que el G o­ CAM BIOS. las m.Mios al Gobierno como se habia pretendido. bierno de S. M. elegirá para consejeros de Estado á los El Sr. ARG U ELLES indicó que su dificultad para apro­ hombres mas hábiles y eminentes de toda la n ación : p or­ Londres, á 90 dias, 38| papel. Coruña, ± i i . bar este artículo consistía en que para él era el mas perjudi­ que si no fuera asi, vana seria la ley, vanas laáventajas que Paris, 16-4. Granada,…</t>
  </si>
  <si>
    <t>…s librerías de E scam illa, calle de Carretas, y mo de la palabra, la cedió al Sr. Arguelles. t a , como también guerras de principios á su manera / ¿ Y es de C uesta, frente á las Covachuelas, donde se hallan los toraoí El Sr. ARG U ELLES: La bondad del Sr. Madoz hubiera posible que durante seis ó siete siglos que podemos contar de anteriores. sido para mí mas lisonjera si no la hubiera acompañado ver­ legislación conocida, la mayor parte c iv il, no encontremos en daderamente un compromiso, cual es el de tener que hace…</t>
  </si>
  <si>
    <t>ARG, Salas Omaña. El Sr.</t>
  </si>
  <si>
    <t>Salas Omaña. El Sr. ARG</t>
  </si>
  <si>
    <t>…ctámen, que está firmado culpase de omisa. de de D onadío, había nombrado para presidente al Sr. Bardají, por m í, no obstante que le considero en su lugar. El Sr. PRESIDENTE dijo que el Congreso tenia deposi­ y Secretario al Sr. Salas Omaña. El Sr. ARG U ELLES: S i» que sea mi ánimo ofender en tada toda su confianza en la comisión que habia nombrado. El Sr. PRESIDENTE: Para la primera sesión se avisará á manera ninguna al Sr. Diputado que ha tenido la bondad de Se procedió al orden del dia poniéndose á discusión los dic­ l…</t>
  </si>
  <si>
    <t>Argel</t>
  </si>
  <si>
    <t>14/12/1839</t>
  </si>
  <si>
    <t>Gaceta de Madrid n.º 1861</t>
  </si>
  <si>
    <t>…P R U S IA . á anunciar al mariscal el próximo arribo de los refuerzos que O rden g e n e ra l. ha pedido. B e rlín 24 de N oviem bre . El navio A lg e s ira s va á servir de depósito para la t r i p u ­ Cuartel general de Argel 28 de Noviembre de 1859. lación del navio M aren go, En este momento se completan las El canónigo Pzoghuski de Gresen ha tenido recientemente El mariscal comandante en gefe se apresura á participar al cuatro compañías que deben trip ular aquel navio. Se habla de una conferencia con el arzobi…</t>
  </si>
  <si>
    <t>…aris 5 de Diciembre. cida la villa de Logrosan de que el Gobierno de Y. M. aspira á la consecución de aquellos objetos, ofrece gustosa la coopera­ Los periódicos, de Bogotá del 50 de Setiembre dan alguna El mariscal gobernador de Argel ha pedido principalmente ción que de ella dependa para la realización de aquel pensa­ noticia sobre la insurrección de Pasto , de la cual ya hemos ha­ medios de subsistencia para el ejército, de los cuales acaba de miento. Y. M. puede contar con su decisión firme de que serán blado. privarle l…</t>
  </si>
  <si>
    <t>23/12/1839</t>
  </si>
  <si>
    <t>Gaceta de Madrid n.º 1870</t>
  </si>
  <si>
    <t>…y han sido asesinados dos gendarmes. ha recibido un aumento de mártires. Los do« obispos del orden Se trata de evacuar todos los campamentos de la llanura, y Ignacio Delgado, de Santo Domingo del Toug-Kin orienta! (el doctor Argel 5 de Diciembre.=Ayer ha habido en esta ciudad una obispo de Mellipotaruus, vicario apostóüco grande alarm a, y no sin motivo, pues que acababa de pasar á de concentrar las tropas sobre la ciudad de Argel si no nos lle­ desde 14 de Febrero de 1794 &gt; J ^ doctor Domingo Ileo eres, legua y media d…</t>
  </si>
  <si>
    <t>…ñadirem os que por un momento obtenido en el criminal este gran resultado decreto. la circunstancia de ser amigo suyo el primero, hizo que el en de la disciplina penitenciaria, ¿ podrá luego conservarse puro, Cuartel general de Argel 4 de Diciembre de 1859. {id.) ilustre prelado no declamase ítícis abiertam ente contra las aunmedio de una sociedad seductora, que no ha sido sometida a medio alguno de reforma?</t>
  </si>
  <si>
    <t>…la Religión : del rom anticism o actual. Pero C alderón no quería som eter El Papa , para recompensar al mariscal Valee la buena aco­ el hom bre al ímpetu ciego de las pasiones: creia en la ra ­ gida que ha hecho al obispo de Argel, va á enviarle un cua­ dro de mosáico del mismo gusto que el que regaló su Santidad MADRID 3 1 DE MARZO. zón y en la m oral: y ese es su defecto á las ojos de I09 al gran duque Alejandro de Rusia. El Santo Padre muestra en m odernos dramaturgos. esto el Ínteres que toma por Mr. D upuch: verdad…</t>
  </si>
  <si>
    <t>Argiielies</t>
  </si>
  <si>
    <t>…sa simple modificación bastaba para alejar á l.ar^a dis- Para cuarto Vicepresidente el Sr. Cortina por 6 6 votos, h a­ nen en común con el resto de los españoles, conforme á la Cons­ tancia lo que tanta impresión ha hecho al Sr. Argiielies. biendo tenido los Sres. Ferraz 7 , Cosío 5 , Pinto 5 , L u z u r ia - titución de la monarquía de 1857.” Si lograse yo que mi a r t í ­ L a cornision mira como una ofensa que se h a y a presenta­ ga 2 , A lvaro 1. culo dijese mas de lo que dice el artículo del Gobierno y el da do otro…</t>
  </si>
  <si>
    <t>Argiielles</t>
  </si>
  <si>
    <t>…enmieada que hemos tenido el honor do un testimonio de amistad ; pero yo pedí la palabra cuan­ bó por unanimidad. Yo no sé si el Sr. Ministro á que aludo de preseutar, y que espero recibirá un voto unánime de apro­ do dijo el Sr. Argiielles que yo habia propalado una especie lo aprobo como Diputado; pero estoy bien seguro de que si el bación. de paradoja. Yo creo que extendí bien mi pensamiento, pues M inisterio hubiera encontrado una sola expresión contraria al El Sr. ARGUELLES (como de la comisión): El Congreso yo no dije…</t>
  </si>
  <si>
    <t>…contestaciones, y tigosa a la citación del metropolitano para el palacio episcopal, llegaron á agriarse hasta el extremo de exigir que tomase parte y d ice: {Leyó). Es decir, que después de haber tomado las cosas Ha dicho el Sr. Argiielles que he confesado que la cuestión en ellas el Gobierno, y este desde entonces empezó á fijarse so­ este carácter ju d icial, el mismo Sr. Ortigosa conoce que lo que es grave. Lo he confesado, es cierto, y diré sobre qué punto bre este grave asunto, excitó al obispo y ai cabildo á que re­ l…</t>
  </si>
  <si>
    <t>…na profecía, sino una verdad. Repúblicas con frailes, monjas berlo conseguido con mas ventaja. tir un expediente sobre los efu giosq u e el Papa usó para recono­ y canónigos no se podrán avenir de ningún modo con aquella El Sr. Argiielles, diciendo que era aventurado el adoptar cer al archiduque y darle el título de Rey de España. Se enco­ forma de Gobierno. disposiciones para someter á un juicio al Sr. O rtigosa, que naron los ánimos y todavía en el año de 1710 tuvo el valor que Concluyo no con solo pedir mil perdones…</t>
  </si>
  <si>
    <t>…V A S , dirigiéndose á la comisión deza parlamentaria , sino de pagar un tributo á la sabiduría del que tiene mucho de económica y ag raria; por tanto es nece­ de A ctas, manifestó que desearía saber el estado de una recla­ Sr. Argiielles. sario que los Sres. D iputados se penetren de las razones de jus­ mación que se hizo acerca de la ioclusion ó exclusión de electo­ El Sr. A R G U E LL E S: Tal vez no hubiera pedido la pala­ ticia y conveniencia pública con que se debe llevar á efecto, res en la provincia de A vila. br…</t>
  </si>
  <si>
    <t>…t probata. y si esta hiciese que fuese á parar á un suelo extraño, compar­ llos cuyos intereses están ligados á la cuestión presente, y á Este suceso que hoy se refiere de un Diputado mañana se tiría mis padecimientos con el Sr. Argiielles; y si no los com­ los que por su posición se vean precisados á tomar parte en referirá de otros, y aun de los Sres. ministros que se sientan en partiese porque me quedase en España , si la suerte me lo per­ ella. ese banco. ¿ Y hay alguna inviolabilidad después que se deja de mitiese, har…</t>
  </si>
  <si>
    <t>…leida la lista resultas riarían de concepto los Sres. D iputados, si bien antes de en­ acusados con la claridad que se requiere en estos casos. en contra los Sres. Sancho, Gómez Acebo, O íózaga, San M i ­ trar á im pugnar al Sr. Argiielles iba á contestar á algunas de Dijo también el Sr. Argiielles, hablando del reinado de guel y Muñoz Maldonado; en pro el Sr. Pidal. las razones del Sr. Camaleño , que mas bien que impugnación, J u an 11 , que no se establecieron en la guerra de Portugal estos El Sr. SANCHO dice que si consi…</t>
  </si>
  <si>
    <t>27/10/1839</t>
  </si>
  <si>
    <t>Gaceta de Madrid n.º 1813</t>
  </si>
  <si>
    <t>…á mi antiguo amigo y Gobiernos de Europa que no han reconocido á S. M. favor de una patria la cual en su mayor parte ha pensado y compañero. Sin duda no conocerá el Sr. Ministro de Estado, y siento piensa como nosotros.” El Sr. Argiielles ha insistido hablando de Roma. El cjue mucho no poder presentárselo ahora á S. S. y al Congreso, un La mayor parte de los españoles ha pensado y piensa como esten interrumpidos los negocios de España con aquella corte no documento publicado por este mismo sugeto bajo su firma im­ al Sr. Z…</t>
  </si>
  <si>
    <t>Argiielles, El Sr.</t>
  </si>
  <si>
    <t>El Sr. Argiielles</t>
  </si>
  <si>
    <t>…documentos cuando se está Vázquez Moscoso , Sr. Presidente. inculpar á la mesa en lo mas mínimo. discutiendo una cuestión del mayor ínteres. Señores que dijeron sí: El Sr. P R E S ID E N T E : Tiene la palabra el Sr. Presidente El Sr. Argiielles, hablando de la inobservancia de la Cons­ Conde de las N avas, Florez E strad a, Muñoz Maldonado, interino del Consejo de Ministros. titución , ha preguutado si se quiere otra cosa; y yo voy á Y ilches, Ruiz del A rbol, Perez de los R io s, San M iguel, Her— El Sr, Ministro de la…</t>
  </si>
  <si>
    <t>Argiielles, Presidente El Sr.</t>
  </si>
  <si>
    <t>Presidente El Sr. Argiielles</t>
  </si>
  <si>
    <t>…leido esos documentos cuando se está Vázquez Moscoso , Sr. Presidente. inculpar á la mesa en lo mas mínimo. discutiendo una cuestión del mayor ínteres. Señores que dijeron sí: El Sr. P R E S ID E N T E : Tiene la palabra el Sr. Presidente El Sr. Argiielles, hablando de la inobservancia de la Cons­ Conde de las N avas, Florez E strad a, Muñoz Maldonado, interino del Consejo de Ministros. titución , ha preguutado si se quiere otra cosa; y yo voy á Y ilches, Ruiz del A rbol, Perez de los R io s, San M iguel, Her— El Sr, Min…</t>
  </si>
  <si>
    <t>ArgiteIIes</t>
  </si>
  <si>
    <t>…a. &gt; to con la independencia necesaria necesito saber el objeto con íanos, G a lli, H idalgo, Moret, Perez, A zuela, Martínez A ya- la , Armendariz, Ripoll, Sarnaoiego, Hormaeche, Cezar, M arin, KI Sr. P11ES! D E N T E : EI Sr. ArgiteIIes no habra querido que se hacen ciertas cosas. Digo pues que lo mismo antes de ha­ hacer un cargo á la mesa, cuando lia dichoque hoy se lian j berse leído esos documentos, como después, daba ese voto por­ Aliaga , conde de la R.osa, Arteta , L e a l, Carbonell , Martínez leído esos documen…</t>
  </si>
  <si>
    <t>Argue</t>
  </si>
  <si>
    <t>…Ministro de G R A C IA Y JU S T IC IA : Como quiera A yam ans, Salvá, Carrasco (D, Ju an ), Lujan, Temprado, Iñi­ se trataba nada menos que de salvar su propia existencia. q u esea, el Gobierno se ve precisado á contestar al Sr. Argue­ go y Sr. Presidente. Esta y no otra es la verdadera causa del la til entable estado lles. S. S. sabe el medio que tiene todo español, sea o no D ipu ­ Señores que dijeron no: de la industria en m uchas de nuestras provincias. Mien­ tad o , de entablar el recurso de competencia, el cual no p…</t>
  </si>
  <si>
    <t>ARGUE</t>
  </si>
  <si>
    <t>…la G U E R R A ocupó la tribuna , y leyó tanta trascendencia é importancia como la presente. suyos propios, y de consiguiente debían acudir ante el juez de un proyecto de ley, por el cual se han de asignar á la orden m i­ El Sr. A R G U ELLES: Agradecido á la bondad con que me su pueblo para que les pusiera en posesión, y en caso de que litar de San Fernando las fincas nacionales suficientes para pro­ ha honrado el Sr. Alonso, debo manifestar que usaré de la pa­ este no lo h ic iera, al gefe político, y en últim o resulta…</t>
  </si>
  <si>
    <t>…amino, cuyo coste hubiera ascendí o á estar autorizado para ello, por cuya razón aprobaba el artículo. Las cantidades que la caja invierta en las amortizaciones de 1.8000 rs. El Sr. SA N C H O : Estoy casi de acuerdo con el Sr. Argue­ que habla el art. 15, serán votadas anticipadamente por las Yoy á hacer otra indicación para manifestar cómo se ad ­ lles en muchas de las razones que ha sentado en su discurso: Cortes; pero en cualquier dia que estas tengan lugar el direc­ ministra ese ramo. Entre Palencia y Herrera hay un…</t>
  </si>
  <si>
    <t>Argue, José Reguero</t>
  </si>
  <si>
    <t>José Reguero Argue</t>
  </si>
  <si>
    <t>…ón base y preliminares al tratado y concordia entre el sacer­ objeto de hacerles sentir á par que su agradecimiento los in­ se han colocado a( fin del libro cuatro odas de las mas gracio­ docio y el imperio, por el licenciado D. José Reguero Argue­ mensos beneficies de la economía. Otros muchos se propusieron sas de Anacreonte, puestas en música tres de ellas por el cono­ lles, presbítero. Un tomito en 8.°, se veude en esta corte en la allí convenir efen sus criados y oficiales en reservar mensual- cido y a preciable profe…</t>
  </si>
  <si>
    <t>ARGUEL</t>
  </si>
  <si>
    <t>01/02/1839</t>
  </si>
  <si>
    <t>Gaceta de Madrid n.º 1539</t>
  </si>
  <si>
    <t>…como ya se ha visto? ¿Quién c a , no deja de ofrecer gravísimos inconvenientes. Hecha la leclura , continuó les ha dado esos poderes? ¿Cuándo han consultado la opinión £1 Gobierno, adoptada esta opinión, se encuentra en­ El Sr. A R G U E LL E S: Yo que tenia conocimiento de la ley pública ? ¿Cómo cuatro ó seis individuos se obrogan el derecho tre dos grandes escollos: su Ínteres, como responsable ante que acaba de leerse, aunque no tuve el honor de participar de de decir: "esta es la voluntad de la nación?” Habiendo sido l…</t>
  </si>
  <si>
    <t>…o es nece­ de A ctas, manifestó que desearía saber el estado de una recla­ Sr. Argiielles. sario que los Sres. D iputados se penetren de las razones de jus­ mación que se hizo acerca de la ioclusion ó exclusión de electo­ El Sr. A R G U E LL E S: Tal vez no hubiera pedido la pala­ ticia y conveniencia pública con que se debe llevar á efecto, res en la provincia de A vila. bra, á no haber visto el giro que se ha dado á la discusión. y so atiendan solamente á los impulsos generosos del corazón. El Sr. M inistro de la G O B…</t>
  </si>
  <si>
    <t>…alvar á la nación. El Gobierno tan importante. Lo que es lamentable é imperdonable, es que tito. cree salvar á la nación por los medios regulares; y cree que cobrándose arbitrios especiales, los caminos continúen siempre El Sr. A R G U E LL E S: Señores, ya dije el primer dia que para poder obtener el crédito que la falta en esas naciones, á lo mismo. usé de la palabra en esta discusión, que sin embargo'de que quienes se cree enemigas nuestras, ha de ser con la regularidad creía este proyecto totalmente in ú til, conside…</t>
  </si>
  <si>
    <t>ARGUELL</t>
  </si>
  <si>
    <t>…a l poder del P ríncipe rebelde, de partido , pues todos piensan como el Sr. O rtigosa , solo uno y asegurar la estabilidad de las instituciones vigentes. es sospechoso, es menester decirlo a s i, es carlista ; pero ese no El Sr. A R G U E L LE S dijo qae si hubiera estados preparado r~\ICCIONARIO de hacienda p o rD . José C anga A rguelles, y firmó la representación: ¿pero cómo había de firm a rla , señores? como el Sr. Peña A g u a y o , no le cedería el triu n fo aun cuando observaciones sobre la h istoria de la guerra de…</t>
  </si>
  <si>
    <t>Arguelle</t>
  </si>
  <si>
    <t>…le­ I c EI ? r‘ Mí,,&gt;istro de GRACIA Y JU ST IC IA : Doy gracia* y le correspondían tambie» el recurso de protección, v ademas e¡ siástico, había sido la remoción del secretario de gobierno, que ordinario de apelación. J al Sr. Arguelle* por los elogios que me ha dispensado; pero no era canónigo, y que su destituciou interesó al cabildo, tomó creo haber dado motivo al calor queS. S. ha expresado. No ha­ este sobre sí la cuestión , y empezaron las contestaciones. Es de i ^ ha d ldo el C i e r n o a' este negocio después qu…</t>
  </si>
  <si>
    <t>…e fuero como el de los m ilita re s, y el o rd in a ­ cim iento han de p a rtir las providencias que se adopten. \ a es- v in c ia , y nombrada por el Gobierno eotre las personas de ~ r io de las demas personas, convendrá el Sr. Arguelle s en que el tan penetrados los Sres. D iputados de los fundam entos que h ay nocido a r ra ig o , filan tro p ía, probidad é in teligen cia. Esta i ^ poder espiritual que ejercen los ordin arios diocesanos, sien o una en este asunto. A hora b ien , examinemos esta cuestión. ta se compone…</t>
  </si>
  <si>
    <t>ARGUELLES</t>
  </si>
  <si>
    <t>…tidos, ferido á informes equivocados y siniestros, remitidos de las rado por la autoridad militar. podrá á su modo de ver levantar la cabeza y marcar su marcha provincias, pues por poca que sea mi práctica parlamentaria, El Sr. A R G U E L L E S : Señores, muy lejos estaba yo de que de una manera explícita y terminante. Que era ciertamente una no puedo olvidar lo que se debe á la urbanidad y la cortesía. se diera á esta cuestión el giro que se le ha dado, y si lo hu­ anomalía el ver un Gobierno que no se apoya en una may…</t>
  </si>
  <si>
    <t>Arguelles</t>
  </si>
  <si>
    <t>…decidida; ¿es aqui donde se espera al cual las Córtes no puedeu decidir. pedido Ja palabra sobre este objeto , quisiera, si lo tiene á bien Continúa exponiendo que se perjudica á los generales Cór- el.Sr. Presidente, que el Sr. Arguelles,hiciese la aclaración que Gobierno? ¿Será por veutura en la administrativa? ¿Qué ha dova y Narvaez con querer mezclarse en la. prisión del D ipu­ hecho el Gobierno? ¿ A los tres dias de sentarse en estos ban­ tado Alvarez, pues cree que están en el misino caso los referi­ tenga a bien. ^…</t>
  </si>
  <si>
    <t>…Esta opinión á primera vista pa­ nominal no estarlo por 67 votos contra 64. nada. ¿Q ué seria, señores, si los ayuntamientos cada uno de rece muy acertada y niuy conforme á la naturaleza de las Prosiguiendo la discusión . el Sr. Arguelles pidió se leyese por sí pudiera elevar la voz y exponer la voluntad del pueblo instituciones que nos rigen; pero examinada mas de cer­ la ley de 12 de Enero de 1822. á pretexto de ser la de la nación , como ya se ha visto? ¿Quién c a , no deja de ofrecer gravísimos inconvenientes. Hecha la…</t>
  </si>
  <si>
    <t>…e por El Sr. B R A V O M U R IL L O : Había pedido la palabra para no ; si se le niega , no tiene responsabilidad alguna. la mejor educación de sus hijos. contestar á la interpelación del Sr. Izuardi, y asi y o como los E l Sr. A R G U E L L E S después de indicar algunas de las equi- 1 . a Observación. A l verme rodeado de niños desde la edad demas Diputados por Sevilla, estábamos dispuestos á dar las caciones en que dijo haber incurrido el Sr. Sancho, y que di­ de cinco hasta la de doce añ os, llamó particularmente mi a…</t>
  </si>
  <si>
    <t>…e z , ó si se han dirigid o los procedimientos la palabra. galería , porque si 116 haré ejecutar el reglamento. ju diciales; repito que desearia que los señores de la comisión se E l Sr. A R M E N D A R I Z : Y o contesto al Sr. Arguelles con El Sr. A R G U E L L E S : N o , señores , si ha y valor y si hay sirviesen contestarme. la parte del dictámen que dice (L eyen do ): "Corno igualm en­ osadía, empléese en decir no haya Constitución, no se puede E l Sr. P R E S I D E N T E : E l Sr. secretario va á dar lectura te se…</t>
  </si>
  <si>
    <t>…rque no habría espa­ mero, Alcon , Martin , H uelves, Fernandez Alejo. contestar ¿ algunas de las observaciones del Sr. Sánchez de le ñol ninguno que, viendo morir á sus representantes, no pre­ Fuente, y después á algunas del Sr. Arguelles , esperando que sentase su pecho á las bayonetas, asi de los enemigos declarados el Gobierno tome parte en la cuestión. de la libertad como de los enemigos encubiertos. Los estados de MADRID 4 DE ENERO. Ha dicho el Sr. Sánchez de la Fuente que se debía conceder sitio prolongados no llevan…</t>
  </si>
  <si>
    <t>…votaron 1 1 1 , y habiendo obteuido el Sr. Zumalacarregui 2/4 mejor que yo ; pero comprometido á dar un voto en este asun­ estado prim itivo que tuvieran las provincias hasta esta época. votos, el Sr. Barrio A y uso 12, el Sr. Arguelles 5 , y el Sr. Cor­ t o , y llenar todos los deberes de Diputado en una ocasión tan Piogaria al Congreso que si lo tomaba en consideración resol­ tina 1. solemne é im p ortante, no puedo prescindir de hacerlo, por si viese. Se procedió á la elección de primer Vic epresidente, y h e ­ las o…</t>
  </si>
  <si>
    <t>…oceder envuelve hasta el escándalo de destruir la disciplina y la su­ ra n c o n , y leyó el d ictám en relativo al proyecto de ley sobre á ella. bordinación que debe haber entre un cabildo y su p rela­ segunda enseñanza. El Sr. A R G U E L L E S : Creo necesario comenzar esta g r a v í ­ do? Y o no vengo aqui á poner el menor estor:,o, ni aun de pa­ C on clu ida su lectura se a n un ció que se im p r i m i r í a y seña­ sima cuestión por justificarme ante el Congreso del motivo que la b r a , á la jurisdicción eclesiástic…</t>
  </si>
  <si>
    <t>…a de seg u ir, ¿q u é son en ese caso las Cortes? ¿p ara q u e pacho* i quienes pueden aludir varías de las reflexiones y he­ Santander, l f id* se reú n en los representantes del pueblo á tratar de los chos citados por el Sr. Arguelles „ y -asi en alguna parte dejaré Alicante,, par. ' Santiago, 2 id* de «©testar at Congreso, pues de otro modo no podía prescin­ mas graves-asuntos del Estado? S i los ayuntam ientos pue­ Barcelona, a -■ps. fs. # § b. Sevilla,, 4 b. dir de tomar la defensa de dichos señores. Pero descargad…</t>
  </si>
  <si>
    <t>…de ciertos deberes. He to­ resante, y si el Congreso no lo tiene por conveniente pueden mienda. mado la palabra en esta discusión, porque se ha creido por m u­ quedar sobre la mesa para que los Sres. Diputados se enteren El Sr. ARGUELLES : Yo desearía que usase primero de chos , entre ellos algunos Sres. Ministros, que la pacificación de en los dias que debe durar la discusión. ella el Sr. Ministro de Gracia y Ju s tic ia , puesto que creo que la nación dependía de la concesión de los fueros. Yo, como M i­ Leídos dichos…</t>
  </si>
  <si>
    <t>…yo habia propalado una especie lo aprobo como Diputado; pero estoy bien seguro de que si el bación. de paradoja. Yo creo que extendí bien mi pensamiento, pues M inisterio hubiera encontrado una sola expresión contraria al El Sr. ARGUELLES (como de la comisión): El Congreso yo no dije que el proyecto del G o bierno, ni el de la mayoría pensamiento del Gobierno, el Gobierno se hubiera opuesto al no podrá menos ¿e conocer que es grande la perplejidad y con­ y minoría de la comisión fuesen iguales. He dicho que habia mensaje, y…</t>
  </si>
  <si>
    <t>…de Estado, no pudo salir de otro modo de ella Mas ahora contestaré á algunas de las observaciones hechas sino dirigiendo el ruego á los cabildos. * profesión para poder contraer m atrim onio, ea la que se rozaba ayer por el Sr. Arguelles, que será lo misino que anunciar mi una cuestión de disciplina y canónica ju d ic ia l; á saber, si pue­ modo de pensar en alguno de los puntos que arroja esta cues- Ha dicho S. S que habia usado de su derecho al leer la or­ den ejecutarse en primera instancia esos juicios de nulidad de io…</t>
  </si>
  <si>
    <t>…e* de esta, comisión se diisco;t Irá si a alterad:©,! o ¡i ra­ verificarse la elección á pluralidad absoluta de los votos pre­ el us© fie la palabra. gú ©a por el Senado y el Congreso; y si fuese ¿admitid© pee tes sentes» El Sr. A R G U E L L E S: Eli Sr* Diputado qne hizo ayer ia Sas, quedará aprobado el. proyecto de ley. A rt 92. En los casos de excitaste® i la sucesión de 1a caro­ impaginación 9 y siento no se, baile presente, irae obligo á to­ A peí; teten del Sr. Isla Ferna mitas, se tejó el i r t 57 de b sa de que t…</t>
  </si>
  <si>
    <t>…dro de la división de interpelación. El reverendo obispo Carlos M auricio de Taillerand, cono­ opiniones que la divide. ¿ Y e*tan en ese caso nuestros herma­ cido con el nombre de Príncipe de Benevento, obtuvo c’e B o­ ¿ El Sr. Arguelles se propone probar según su discurso de h oy nos de A m érica? Ellos están en el primer período de su revo­ ma la dispensación de sus votos que fue mutandas mixtandis lu ción; están como estábamos nosotros en el año de 8 , que el convencer al Gobierno de que está en el caso de hacer que l…</t>
  </si>
  <si>
    <t>CAMBIOS. d el t e xto que ha citado S. S. : vease el principio , léase también en las leyes, Reales órdenes y reglamente sobre reemplazos de el fin y considere el Sr. Arguelles que toda vía queda que ver ejéixita , benefi«encía , i. nstir occion pública , M i 1¡d a m c í oinal„ Londres , á 90 días , 3Sy. C oran a , 11 d., sí hay delito, es decir, qoc todavía queda que ver si el: delito estadística y tiernas ramos de la administiacioíi.. papeL Granada, i| id. de q…</t>
  </si>
  <si>
    <t>…go en la L a circunstancia de haberme cedido la palabra el Sr. O l ó - u i a g u n modo. mano y cou el que vo y á responder al Sr. L u z u r ia g a en su zaga , lo cual le agradezco m u c h o , aunque habría deseado que E l Sr. Arguelles dijo el otro dia que debía tratarse esta discurso de ay e r cuando dijo que el gefe político de G u i p ú z ­ me hubiese precedido , me pone en la necesidad de contest ar á cuestión con frialdad : es verdad , lo confieso. T am bién e! se­ coa había recorrido toda la provincia encontrándol…</t>
  </si>
  <si>
    <t>…) El tercero 110 causa una resolución biendas en su administración en perjuicio del Estado. juicio que por esta disposición resulta á los propietarios , lo tan parecida al caso en cuestión ; pero tiene mucha analogía, y El Sr. A R G U E L L E S pidió se leyese la resolución del Con­ cual seria, d ic e , suponer que todos los productos de la a g r ic u l­ e^to ha motivado que en el proyecto último para hacer efecti­ greso acerca de la reelección del Sr. conde de Toreno. tura pertenecian exclusivamente á los arrendatarios;…</t>
  </si>
  <si>
    <t>…cada votación sigue una salva de aplausos: term i­ cipios de Diciembre es cuando todos los presidios de las cos­ no porque creyera que la existencia de ese ministerio fuese siem­ nadas las votaciones, se oyen nuevos vivas al Sr. Arguelles, tas de A frica estaban insurreccionados, menos la plaza de pre necesaria para conservarla en España. ¿Cómo pues se viene al general A laix, á los Sres. Olózaga, y Calatrava , y al M i­ C e u ta , aunque ya estaba preparada para ello. Bien sabido es ahora á decir que me he anticipado á h…</t>
  </si>
  <si>
    <t>…no solo ap oyó la opinión contestar á dicha interpelación, se podia señalar para otro dia. zado. del intendente de Gerona , sino que aconsejó que al momento El Sr. M in istro de H A C I E N D A : He d ic h o , n o q u e no El Sr. A R G U E L L E S d ijo que se tr a n q u iliz a r ía con la res­ se pusiese en e jecu ció n aquella disposición. venia p re p a ra d o , sino que no tenia noticia de ella. puesta del Sr. M in istro si se pudiera descansar en sus buenos Como el Gobierno se ha creído siempre con esta fa cu lta d , H…</t>
  </si>
  <si>
    <t>…llamar también asesor al los presentes son m ucho mas de lo que s u e n a n , a causa Real mano.—En Palacio á 25 de huero de 1859.—Á D. Pió Consejo, y si se cree que esto ha de rebajar la dignidad del de la interpelación del Sr. Arguelles, que creyó su honor Pita Pizarro. que ha de pedir el consejo , no se llame asi. Sabe ademas A LAS CORTES. em peñ ado en volver por el obispo electo de Malaga Don S. S. que en el projecto se consigna la libertad de pedir ó no Consejo, j lo que se sigue, libertad de conformarse ó no Valentí…</t>
  </si>
  <si>
    <t>…vio lab les, y ademas se declara lo que sea exceso de ley es in cu rrir en el defecto contrario: haré mitiese la enmienda que he manifestado. responsables, empezando por el M inistro, á todos los empleados este argumento. El Sr. A R G U E L L E S dice que no h ará cargo al Gobierno que distraigan estos fondos aplicables al pago de la deuda; Si un M inistro se propone abusar de los fondos de la caja, porque se h aya querido atar las manos y separar uiia jprecoga-</t>
  </si>
  <si>
    <t>…on ya en ese caso directamente al omisión que pueden compararse con el que nos ocupa en este votos, el Sr. Zumalacarregui 2 5 , el Sr. Barrio Ayuso 2 , el Congreso. jomento, no solo por la semejanza de los casos, sino también Sr. Arguelles 1. Total de votantes 81. Mayoría absoluta 42. Se Respecto á la admisión del Sr. Arteta la comisión ha tr a ta ­ or la casi absoluta identidad : hoy mismo se ha discutido el re- anunció quedar elegido Presidente el Sr. D. José María Ca­ do de que el número componente de Diputados sea el m…</t>
  </si>
  <si>
    <t>…portador del 4 por 1 0 0 , 0 0 . 8. S, en seguida contesta á las objeciones del Sr. Peña y L eído el 1 3 , dijo Vales Reales no consolidados, 0 0 . A g u a y o , relativas á la parte 5 .a y 4 . a del artícu lo , y dice E l Sr. A R G U E L L E S , que expresándose en el artículo que Deuda negociable de 5 por 100 á papel, 0 0 . respecto de la primera que la comisión no se mete en la no­ la caja puede hacer operaciones extraordinarias de amortización Idem sin Ínteres, , 4 f J 4 quince dieziseisavos á v . L d menclatura de…</t>
  </si>
  <si>
    <t>…en su vis­ y perjudicial, y de rogar por lo tanto al Congreso que no la pero creo que estoy en el caso de renunciarla , pues habiéndola ta aclarara algo mas el proyecto de ley sobre este punto. dé su asentimiento. pedido el Sr. Arguelles, me parece que de su boca saldrá la E l Sr. L U JA N contestó que no era aquel negocio del Con­ Se suspendió esta discusión. verdad mejor que de la raia , mucho mas en una cuestión de greso, pues que los bienes que los peticionarios reclamaban c a n El Sr. M inistro de la G U E R R A ocu…</t>
  </si>
  <si>
    <t>…odríguez: V ito ria, B arrio: Zaragoza Dice S. S. que se nota una tendencia á que no se enagenen Polo. 9 los b?enes nacionales; yo nada advierto, pero ea este punto el ■pARA pago de acreedores, y en virtud de providencia del Sr. Arguelles ir.e tendrá siempre á su lado. Sr. juez de primera instancia D. Francisco Amorós y Ló­ Se suspende esta discusión. pez, se venden las fincas siguieutes: Un lagar nombrado de L i­ Se leen varios documentos sobre las elecciones de Avila que nares, al partido de Campanillas, término de la v…</t>
  </si>
  <si>
    <t>…o , do cu ra- ha prestado y está prestando servicios en su carrera ; este d ig ­ está reservado. ptieron como era de esperar ; en este caso el Gobierno se ha no in d iv id u o , que por lo mismo que tiene tantos enemigos, El Sr. ARGUELLES dijo que nunca habia sido su ánimo visto precisado á presentar una ley para aclarar estos hechos. debe tener un am igo ; y si por esta razón, repito, alguno cree al dirigirse á S. S. el ofenderle. Que en cuanto á los perjuicios que pueden resultar á los que falto á mis principios y á mis…</t>
  </si>
  <si>
    <t>…un pais que es el m ió , que fue y tos hechos por las secciones. será eternamente el de mis afecciones. 1.a sección. Presidente el Sr. Calatrava : Yicepre ideóte el Recibid de nuevo la seguridad de mi profundo é inalterable Sr. Arguelles: Secretario el Sr. Pascual: Vicesecretario el se­ reconocimiento. ñor Sánchez Tosca no. S. M. la R e i n a , s u augusta Madre l a R e i n a G o b e rn a ­ A. T h ie r s, Diputado del distrito de Aix. 2 .a sección. Presidente el Sr. López de Pedrajas: Vicepre­ dora y la Serma. Sra. Infa…</t>
  </si>
  <si>
    <t>…s EL HOM BRE de los fueros á las provincias Vascongadas y Navarra,habia nom­ “ Valdeosera, caballero comendador de la Real orden ame­ G O R D O , desempeñando la parte de protagonista D . Joaquín brado por su Presidente al Sr. Arguelles, y por su Secretario ricana de Isabel la Católica, juez togado de primera instancia González , que sin llegar su talla á cinco pies, pesa 18 arrobas. al Sr. Arteta. de esta capital , refrendada del escribano del número D . Mar­ También se dió cuenta de varios documentos cuya lectura tin…</t>
  </si>
  <si>
    <t>…rvados que dice haber presen­ £ n la Gaceta de ayer, plena 5.a , columna 5.a , línea 19, Se vende al precio de 12 rs. en la librería de la viuda de tado, de los que le deducen sus padecimientos por la libertad donde dice: E l Sr. Arguelles , debe decir: E l Sr. Alvaro . C ruz, frente á la Covachuelas. y las persecuciones que ha sufrido por su adhesión á las insti­ En la misma plana y columna , línea 24* dice: Indicó por El objeto de esta obra , según indica su mismo títu lo , se tuciones vigentes. Dice también que ha dedicad…</t>
  </si>
  <si>
    <t>…r ciertas estas operaciones, lejos de aliviar al tesoro con ellas, Francisco Martinez.ziFelicisno G irande, secretario. se inserten á lo letra las proposiciones. se le puede poner por el contrario en mayores apuros, impo­ El Sr. A R G U E L L E S ; La reclamación del Sr. Benavides se sibilitando al Gobierno de entrar en negociaciones mas en Señora ; El ayuntamiento de la M. N. y M. L. ciudad de funda en el derecho que cree tener de que se inserten íntegras grande y ventajosas, hemos creído deber llamar la atención del Cuen…</t>
  </si>
  <si>
    <t>…e la reelección del mismo Excino. Sr. Secretario. También se leyó otra comunicación del expresado Sr. Secre­ no la considera indispensable. R E P A R T IM IE N T O S PO R D e s p u é s de hacer a l g u n a s aclaraciones el Sr. Arguelles, á las tario del Despacho, remitiendo un oficio del gefe político de la PROVINCIAS. : ' Coruña, dando cuenta de los dias que ha prefijado, y en los que satisfizo el Sr. Gómez Acebo , dicho señor en nombre de la . Riqueza t e r r i t o - Riqueza fndus- cuales debe celebrarse la reelecci…</t>
  </si>
  <si>
    <t>…una petición de la diputación provincial de M d a­ trar un empréstito en el extrangero: debernos aprobar el artícu­ en la bolsa diciendo el nombre del agente y la cautidad que ga lo, Este dice todo lo contrario de lo que el Sr. Arguelles quiere; hay que comprar de efectos públicos: por consiguiente yo de­ que entantos que pedia que se separase de aquella ciudad el presidio, males produce, por ser un foco de corrupción, y o mas bien nada dice. ¿Qué es lo que propone el artículo? Que searía que se dijera: 1.° Que no se pud…</t>
  </si>
  <si>
    <t>…rmanecerá tranquilo especta­ resultaba probado del acta ; pero veo , que como ha dicho m u y parado con los que actualmente han votado. Confiesa que siem­ do r, no solo del abuso que se haya podido hacer en la provin­ bien el Sr. Arguelles , son muchas las cosas que se dicen y lue­ pre se ha verificado que las rentas y contribuciones han sido cia de Pontevedra, sino de todas las dem as; y que es llegado go suelen salir falsas ; v eo , d i g o , que por fortuna esto no es­ pequeñas en el norte, comparándolas á las del mediod…</t>
  </si>
  <si>
    <t>…asar algunas observaciones que ha hecho S. S. lución que tomásemos seria con conocimiento de causa. En el decreto que habla de los procedimientos judiciales se Yo no he citado el art. I f i de la Constitución directamente El Sr. A R G U E L L E S : Habiendo yo de seguir el ejemplo encuentra el art. 2.° que yo he leído, y este es ei decreto que para el fondo de la cuestión ; lo he citado para probar que la dado por el Sr. C o rtin a, digo que envidio su templanza, y mas, tiene aplicación al caso en cuestión: este decreto t…</t>
  </si>
  <si>
    <t>…, si la suerte me lo per­ ella. ese banco. ¿ Y hay alguna inviolabilidad después que se deja de mitiese, haría lo que antes, partir el pan con los infelices. ser Ministro ó D iputado? N o ; y si esta doctrina sigue, si el El Sr. A R G U E L L E S : en la alusión que hice al Sr. Calderón pueblo incauto la adopta , ¿qué será lo que haga el día de m a­ Collantes reconocerá el Congreso el diferente espíritu que me E l 6 del corriente ha hecho su primera salida en el tea­ ñana? M irar con indiferencia cómo arrebatan no solo á un…</t>
  </si>
  <si>
    <t>…que era tóente en un cuerpo que es seguro que se hará con toda parsi­ ramento un Sr. D iputado. poco antes triste luto y amarga desolación. A los festejos con monia , de esa discusión , me prometo mejor posición para ex ­ El Sr. A R G U E L L E S manifestó que se debia acceder á lo que las poblaciones alborozadas han celebrado la feliz aurora planar mis razones, y entonces votaré la ley; pero hasta ahora que el G obierno solicitaba, á pesar de no ser enteramente ne­ de paz que asoma por nuestro horizonte, el termino de los…</t>
  </si>
  <si>
    <t>…edió a continuar la discusión sobre el canal d e &gt;Cas­ ORDENES Y REGLAMENTOS D E L GOBIERNO la diversión y comodidad que encuentra en el misma. tilla» f3' 1 Los billetes se despachan en el mismo local y en la. calle di? El Sr. A R G U E L L E S dice que se ve obligado á hacer va­ Y DE LA S DIRECCIONES Y A U T O R ID A D E S SU PERIORES. Carretas, frente á correos, tienda del tasador de joyas Gaseo, rias observaciones para que el Gobierno las tenga presentes al donde se expenden los de los toros. presentar el. proyecto de…</t>
  </si>
  <si>
    <t>…i: il| t El Sr. A K T E T A dijo en nombre de la comisión que si en la Gaceta de 5i de Diciembre último. El Sr. P ID A L se opone ai p royecto, porque dice q u e íestá bien esta profesaba los iniSmos senil, i míe otos del Sr. Arguelles., E l Sr. L U J A N empezó manifestando que la cuestión ac­ ley no tiene la menor consonancia con la ley fundam ental, que y conocía cuán peligroso era dejar á la dirección de la em ­ tual era de suma im p o rta n cia , y que debia mirarse c o i d o una es ta que debe haber en todas las l…</t>
  </si>
  <si>
    <t>…ón fuera contra la C arta, que un Cosa notable, aun en ese reinado de Cárlos iti al que aludió dijo: "los impresos no se entienden comprendidos.” Esto fue una ,tribunal cocnn el de Paris reconoció la competencia; y habien­ el Sr. Arguelles, en ese reinado que no se dió gran fuerza al po­ especie de consentimiento expreso del Congreso, y es esto tan do sido preso un individuo mezclado en los tumultos, se le re- der , se ensanchó la jurisdicción militar para el caso de juzgar cierto que el dia 11 de Setiembre del mismo año, a…</t>
  </si>
  <si>
    <t>…ontinuando la discusión , el Sr. M adoz, á quien tocaba el ras civiles , tanto din ásticas, como se quiere sostener que es es­ en pasta fina en las librerías de E scam illa, calle de Carretas, y mo de la palabra, la cedió al Sr. Arguelles. t a , como también guerras de principios á su manera / ¿ Y es de C uesta, frente á las Covachuelas, donde se hallan los toraoí El Sr. ARG U ELLES: La bondad del Sr. Madoz hubiera posible que durante seis ó siete siglos que podemos contar de anteriores. sido para mí mas lisonjera si no l…</t>
  </si>
  <si>
    <t>…de la nación , y es una de las cosas mas monstruosas que sean elegidos Senadores ni Diputados los capitanes generales y pueden darse el que se hayan vendido los oficios de alcaides; regentes de las audiencias. Presidente el Sr. Arguelles, secre­ porque señores, cuando se vendia el oficio de alcaide ¿qué se tario el Sr. Caballero. Biírgos 22 de Setiembre. Continúan transitando por esta compraba? Se compraba el derecho de esclavizar y vejar á los Comisión que ha de dar su dictámen sobre la proposición elprovincia los licen…</t>
  </si>
  <si>
    <t>…del Carmen Bizarro, decir hasta con repugnancia , á impugnar algunas de las razo­ v iuda del conde del Donadío, muerto en acto del servicio. da á uno de los enemigos, y aun se decretó que todos los co­ nes que expuso ayer el Sr. Arguelles. lonos que llevasen en arrendamiento tierras de personas adheri­ Y si la comisión presentase su dictamen sobre el art. 1 .° Dijo S. S. que la comisión se había visto obligada por el que ha vuelto á ella , continuará la discusión por artículos del das á la causa del Pretendiente, por este…</t>
  </si>
  <si>
    <t>…as. tamente su independencia y decoro.” Motezuma Ovalle y Loaysa, caballero maestrante y vecino de El Sr. P R E S ID E N T E dijo que mañana continuaría esta la ciudad de R.onda, á cuya instancia se ha acordado la provi­ El Sr. A R G U E L L E S , después de hacer algunas observa­ iiscusion después del despacho ordinario; y cerró la sesión á dencia que queda expresada. ciones manifestando la posición en que se hallaba el Congreso, las cuatro y media. y lo que habian variado las circunstancias desde 1.° de Setiem­ bre, e…</t>
  </si>
  <si>
    <t>…la fuerza física. A esto reduzco contestó que el Gobierno avisaría cuando hubiese de contestar de todos los partidos, es si puede ó n o , sin faltar á las g a ra n ­ yo el estado de sitio. á la interpelación anunciada por el Sr. Arguelles. tías que da la Constitución , aprobar este artículo í.°, y las El orador continuando en sus observaciones insiste en la El Sr. Secretario del Despacho de H A C I E N D A ocupó la consecuencias de éi después de aprobado. necesidad de aprobar esta ley con aquellas modificaciones que t r i b…</t>
  </si>
  <si>
    <t>…tar en España la píaota extrangera del despotismo píritu público. positiva , y tanto que es público y notorio en toda Europa ilustrado. En el penúltimo párrafo de su memoria dice así: El Sr. Ministro de ESTADO contestando al Sr. Arguelles: que el Gobierno constitucional español ha dado una mi sioa á "Hombres monárquicos, súbditos fieles, defensores escru­ Suplico la indulgencia deí Congreso. Un catarro tenaz dismi­ un personaje español, que creo no habia jurado ni reconocido pulosos de los principios conservadores del orden…</t>
  </si>
  <si>
    <t>…o de ley presentado por el Gobierno sobre libertad de A rt. 22. No se podrá publicar n ingún periódico sin que posición del Sr. Sánchez de la Fuente y otros Sres. Diputados, im p re n ta , habia nombrado por su presidente al Sr. Arguelles, se presente al gefe político de la provincia un editor responsa­ relativa á que no puedan ser Diputados los Senadores , los ca­ y secretario al Sr. Benavides. ble de cuanto en él se escriba. pitanes generales y regentes de las audiencias por el distrito de Se mandaron pasar á la comisió…</t>
  </si>
  <si>
    <t>…s documentos oficiales. Habló el Sr. Cortina de la causa del Sr. Ortigosa : algo d i­ sancionaría, ine parece que ha sido demasiado aventurar S. S., Señores, quisiera que no hubiera tanto credo escrito: bueno jo sobre esto el Sr. Arguelles; y todo viene á recaer en cargos porque ni es infalible , ni es eterno en ese puesto ; y no sabe S. S. será que el Gobierno diga algo, aunque algunas veces ha mos­ contra el Gobierno, siendo una cosa enteramente ju d icial, y si si dejándolo m añana, entrará pasado mañana otroque propon­ t…</t>
  </si>
  <si>
    <t>29/10/1839</t>
  </si>
  <si>
    <t>Gaceta de Madrid n.º 1815</t>
  </si>
  <si>
    <t>…no mas viando un embajador, y otras secretamente mandando á uno en Se restableció la ley de la pasada época constitucional por que desengaños, y este es uno que yo debo añadir á los m u ­ clase de particular. Por ejemplo: el Sr. Arguelles, si no me el decreto de 50 de Agosto , y como por el art. 4.0 de este de­ chos que tenia. equivoco, obtuvo del Gobierno nacional una misión diplom á­ creto quedaron pendientes para que las resolviesen las Cortes Dijo S. S. que habia habido misión oficial: yo digo y torno á tica oficial en…</t>
  </si>
  <si>
    <t>…buciones , lo que es una prueba de dado por personas que no merezcan su confianza? Yo quisiera ver cuando tan buenos los ha dado. que tenia necesidad de ella. quién seria el valiente que se presentara á mandar á un bata­ El Sr. A R G U E L L E S , haciéndose cargo de la alusión hecha llón sin tener la confianza de ios mandados. No seria obedecido, á su persooa por el Sr. Arteta , dijo que ahora los rumores sa­ Llegam o s, señores, á la cuestión de libertad de imprenta: y ei valiente no podría continuar con su c a rg o ,…</t>
  </si>
  <si>
    <t>…to y hora para reunirse. deben formar una comisión según previene el reglamento, in­ cedió en Efectivam ente, ha tenido esta entrevista , oyó las razones que conveniente tocado ya varias veces en esta legislatura , y para El Sr. A R G U E L L E S : Tengo presente que cuando se formó la comisión tuvo á bien manifestar, como fundam ento de las cuyo remedio propone lo siguiente: la ley electoral hubo varios debates á la ‘formación del art. l i nuevas opiniones que ha presentado al Congreso. En el único "Siempre que se imposibi…</t>
  </si>
  <si>
    <t>…Se suspendió esta discusión. Sigue después el discurso de la corona (Leyó.) Según ha d i­ nifestando que 00 podia moverse de Bilbao porque no tenia Pasó á la comisión de Actas un oficio del Sr. Sedaño , D i ­ cho muy bien el Sr. Arguelles, el Diputado que habla aqui lo pan para el soldado. Ademas, el acontecí mié uto de Vergara no putado por Ciudad Real, solicitando se le admita en el Con­ hace sin otra restricción que su prudencia. Bajo este supuesto es una batalla , no es la toma de una plaza , es un suceso que greso. voy…</t>
  </si>
  <si>
    <t>Argñe-</t>
  </si>
  <si>
    <t>dónales para conservar la ley fundamental del Estado, y liber­ competencia del otro tribunal, invalidó su fallo, declaró nula pisaba eso legalidad impunemente. Cabalmente el Sr. Argñe- tarse del contagio de una revolución: disputaban la libertad la sentencia ; pero ¿qué hizo? ¿acudió al Gobierno? no: lo pasó II ;s citó el otro dia á un gefe distinguido, que siendo capitán .con la ley , que es lo que forma el orgullo. al juez de primera instancia. general de una provincia…</t>
  </si>
  <si>
    <t>Argüelles</t>
  </si>
  <si>
    <t>…articular el voto puede es un voto de censura de tal naturaleza^, del resultar otra cosa que obligar al Gobierno á de­ se dé un voto de censura al conde de Cleonard; pero yo adver­ también dicho no hace muchos dias por el Sr. Argüelles una cosa que jar los puestos, ó disolver las Cortes. Repito lo que dije antes, tiré de paso que no es solo al conde á quien se dirige este voto se ti ata deentra en la convicción del Gobierno , y es que cuando que la elección no seria dudosa. administrar justicia no hay categorías: dijo…</t>
  </si>
  <si>
    <t>Argüelles'puede</t>
  </si>
  <si>
    <t>…ue están en el misino caso los referi­ tenga a bien. ^ Sr' P R E S ID E N T E : E| Sr. Ministro tiene la preferen- cos no trajo tres proyectos de ley? Serán malos; pero son hijos dos generales. J * r o .?V!? aclaración del Sr. Argüelles'puede ser ú t i l , no cion ^ ¿yvoluntad de una decidida. Hay desordenes en te administra— Que los individuos que hayan sido atropellados por cual­ para esto se necesita programa?Yo creo que no; pues quier autoridad , tienen el derecho expedito para reclamar á su hay inconveniente en qu…</t>
  </si>
  <si>
    <t>Argüelíes</t>
  </si>
  <si>
    <t>…un cuando la elecdon no seria dudosa. No traerá pios políticos de ó administrativa, cuestión de guerra, de gobier­ cas con las legislativas: que esta es una cuestión judicial, en 1a esa tendencm el voto particular: y como el Sr. Argüelíes ha no yEamedios de gobernar para mantener la tranquilidad. principios esta decidida; ¿es aqui donde se espera al cual las Córtes no puedeu decidir. pedido Ja palabra sobre este objeto , quisiera, si lo tiene á bien Continúa exponiendo que se perjudica á los generales Cór- el.Sr. Presid…</t>
  </si>
  <si>
    <t>ARI</t>
  </si>
  <si>
    <t>…acontecimientos que á todos nos llenan de un júbilo inex­ haya tenido noticia deesa circular del Sr. Diputado de cuya mendariz y Arteta en pro. plicable: la carta del general León al general Elío (murmullos ); El Sr. A RM EN D A R IZ: Pido que se lea el art. 9.° del re­ he dicho general Elío; tal vez lo sea; ¡ojalá lo sea! admisión estamos tratando? Meta cada uno de los Sres. D ipu­ glamento. tados la mano en su pecho; consúltense á sí mismos, y digan si Dice el general León á Elío en Tolosa el 51 de Junio que esta cir…</t>
  </si>
  <si>
    <t>…o á otros de valles leales ocupados por los faccio­ ciendo que no estaba el acta de Viana. Rodríguez de la Dehesa, individuo de la diputación provin­ sos. La comisión ha visto estas reclamaciones, y conoce que no El Sr. A RM EN D A R IZ: He dicho que no la he visto, (/''a- cial ; el Excmo. Sr. D. Luis Sorela, presidente de la junta de hubo toda la imparcialidad necesaria; pero no ve pruebas cla­ rias voces : N o , no.) liquidación de la deuda del Estado; D. Félix D ’OIhaberriágue ras de parcialidad. Señores, que no admitió e…</t>
  </si>
  <si>
    <t>…vista de que tratan las dos disposiciones anteriores les en que ejerzan su jurisdicción.” puesto del G obierno, sustituyendo empero la palabra ano­ concurrirá para formar el número requerido de cinco ministros, El 8r. A R M E N D A R IZ como de la comisión cree que con tará d la de escribirá , para evitar un mal sonido . uno de los que asistieron á la vista. la lectura que acaba de hacerse, se manifiesta bien claramente Se leyó la siguiente enmienda del Sr. Ondovilla: ” 5.a Conforme. que los auditores de guerra no están ex…</t>
  </si>
  <si>
    <t>Arias</t>
  </si>
  <si>
    <t>…dad á los que podrían con demasiada facilidad no de Montesino . ta directiva, y 152 de multas impuestas por el Sr. vicario ecle­ serlo por haber tenido la poca fortuna de pasar la niñez, cuan­ Respecto á la primera observó el Sr. Arias que estaba muy siástico, también vocal de ella, que de su orden fueron aplica­ do todos cuantos ejemplos tienen á su vista llevan, al menos das al fondo de la sociedad. Han entrado igualmente en este por efecto de las desgracias de los tiempos, el sello de indife­ conforme con ella; pero que d…</t>
  </si>
  <si>
    <t>…cas­ que fue prácticamente conocida á los americanos del oorte, mas mínima novedad. btrajo urna emigración tun rápida de los estados meridionales de América , que alaru-ó al Gobierno de Méjico, temiendo con CO Ntellano por D. Arias G onzdo de Mendoza y Francia. Zaragoza 19 de Julio . Ayer tarde , á las cinco, llegaron prudente política que una nueva población , compuesta casi Esta obra, que con justicia ha merecido siempre el aprecio á esta capital dos escuadrones del 7.° ligero y cuatro mitades luda de extranjeros,…</t>
  </si>
  <si>
    <t>Arias, Cristóbal</t>
  </si>
  <si>
    <t>Cristóbal Arias</t>
  </si>
  <si>
    <t>…e aquel maneja la sátira, asi como don , titulada Nabucodonosor, para llamarse San Cayetano, por crito es muy a lta ; y a mas de esto que exige unas grandes fa­ la amenidad que sabe dar á sus escritos. Periódicos literarios se D. Cristóbal Arias; en 6. cultades , necesita la que se eocargue de el sentir mas que en han publicado dos nuevos en este mes: El Entreacto , del que Otra id. en sierra de L ujar, en lo alto del barranco de las ninguna otra ópera, y ser actriz consumada. Las terribles si­ el otro dia dimos una ligera i…</t>
  </si>
  <si>
    <t>Arias, D. Felipe Fernandez</t>
  </si>
  <si>
    <t>D. Felipe Fernandez Arias</t>
  </si>
  <si>
    <t>…e y , pren­ se dirigía un gran convoy para los enemigos, el cual compuesto cional de esta capital, y por rni testimonio, se ha formado ex- dedos carros y 52 cargas de víveres, logró aprehender en el pediente á instancia del Sr. D. Felipe Fernandez Arias , in­ dado del valor y honradez del labrador, le manda venir mismo dia, conduciéndolo á esta ciudad , en donde se han ven­ tendente militar de este distrito de Aragón , sobre denuncia de á Toledo para ponerle al frente de un cuerpo de milicias dido los efectos y caballerí…</t>
  </si>
  <si>
    <t>Arias, José López</t>
  </si>
  <si>
    <t>José López Arias</t>
  </si>
  <si>
    <t>…cia de esta villa , refrendada del escribano de Hago saber: Que finalizando en fin de Junio de este año la jos y grabados originales. Usos y trajes provinciales: los montañeses de León. Historia de España. número del crimen D. José López Arias, se cita , llama y em­ actual contrata con D. Pedro Martínez Crespo, por la cual, se Geografía y viajes; la Islandia. plaza por segun do anuncio y termino de seis dias , a D. José halla á su cargo la subsistencia , asistencia y curación de los en­ España pintoresca; descripción de l…</t>
  </si>
  <si>
    <t>Aris</t>
  </si>
  <si>
    <t>…a goleta de guerra W arren se ha recibido en Nuévá Parece que es mi destino ser llamado á lds negocios dé la de sus hermanos, esto ha sido sin odio , sin pasión ni rencor, Orleans la noticia de haberse rendido Tampico al general Aris­ guerra en los móméntos mismos en q u e, sin instrucción previa, y porque la obediencia es el primer deber que se les recomien­ ta el dia 5 del corriente , habiendo capitulado su guarnición* acerca de sus diversos y complicadísimos ramos , ha de darse al da. El soldado mejicano ha sido conside…</t>
  </si>
  <si>
    <t>Arista</t>
  </si>
  <si>
    <t>17/02/1839</t>
  </si>
  <si>
    <t>Gaceta de Madrid n.º 1555</t>
  </si>
  <si>
    <t>…ición tory. A suntos d e B élg ica y H olanda . se de nuevo de la plaza. Se dice que el general Santana ha per­ Dos de sus gefes en las dos C ám aras, el duque de W e l l i n g - dido una pierna en este choque, y que el general Arista ha (Correspondencia particular del Constitucional.) ton y sir Roberto Peel , han declarado que en este punto no es­ sido hecho prisionero por los franceses. Nada se dice de la pér­ taban de acuerdo con el M in iste rio , y L cuestión tiene dema­ dida que h a y a habido por una y otra parte…</t>
  </si>
  <si>
    <t>…cido. Méjico herido. Igualmente se asegura por muy cierto que las este mes, que el 9 fue atacada por el destacamento de Cástrelo S. E. el Presidente regresará mañana para Puebla; y estan­ tropas del Gobierno al mando del general Arista se hallaban i do Miño una gavilla compuesta de 12 hombres, única que do alli el tiempo muy preciso para dar destino á las brigada 15 millas de Tampico, y se creía que entrarían en la ciudad existe en aquel pais, quedando muerto el segundo comandante y al arreglo de algunos asuntos de gran í…</t>
  </si>
  <si>
    <t>…habiendo tenido la felonía de faltar al p a r­ nuestro común enemigo! ¡C uándo tendrán por imitadoresá lamento que tenia abierto. todos los españoles dignos y beneméritos liberadles de la liberal ANUNCIOS OFICIALES. El general Arista no pudiendo salir prontamente de mi h a ­ villa de Alcira! bitación, tuvo la desgracia de caer en manos de los hombres que deseaban cebarse con mi sangre. Dirección general de minas. Al concluir mi existencia no puedo dejar de manifestar la Valencianos: Desde que el ayuntam iento constituc…</t>
  </si>
  <si>
    <t>…coronel Romero unos, otros al se*» Asi quedó consignado sobre aquel terreno tan fausto y gran ­ L a diputación por su parte no perdona njedio con el mis­ dioso acto por si mismo y por las circunstancias que concur­ ñor general Arista, y pereciendo otros en la acción del Y a lie. ólo f i n , á que coopera m uy eficazmente la indicada comisión, riero n ; asi quedó impreso en la memoria de todos para trasmi­ Sabemos á no dudarlo que la salud del Sr. Urrea está tan de­ removiéndo los obstáculos que p udiera» entorpecer tan út…</t>
  </si>
  <si>
    <t>Arista, Mariano</t>
  </si>
  <si>
    <t>Mariano Arista</t>
  </si>
  <si>
    <t>…io López de San- ránse acaso precisados á conteuer su ardoroso patriotism o, por garme del mando militar de este departam ento, previne al se­ tana. no contar de pronto con los medios para equiparse de las pren­ ñor general D. Mariano Arista que con la sección de su m an­ das de vestuario que no facilita el ayuntam iento ; pero á pe­ do forzase las marchas para situarse en Santa Fe á esperar mis Excmo. Sr. ministro de la Guerra.m La situación en que me encuentro me habia hecho olvidar manifestar á Y. E. que por sar de l…</t>
  </si>
  <si>
    <t>Aristizabal, Gabriel</t>
  </si>
  <si>
    <t>Gabriel Aristizabal</t>
  </si>
  <si>
    <t>…Filipi­ Sultán y Celinda : episodio de la historia de los Canes. ta de Africa, trasladándose después á América deayudan­ nas, cuyo encargo como los de comandante de la marina El carnaval en Roma. te de la escuadra del general D. Gabriel Aristizabal, ha­ é inspector del ejército de aquellas Islas que se le confirie­ Crónica. biéndose hallado en la toma del fuerte Delfín en la isla ron sucesivamente, no fue á desempeñar hasta Mayo de Ateneo. Sección de literatura: paralelo entre las novelas de Sto. Domingo y socorro de la de…</t>
  </si>
  <si>
    <t>ARIUn</t>
  </si>
  <si>
    <t>…ó sean recuerdos de la vida mortal desde la cu­ ju e z . ¿No os la h a l l a r o n ? J ’ai meme en succombant su me faire admirer. na al sepulcro, adaptados á tas láminas en metro poético, por p. t e l l o . Si, á los pies. D. A. R. I. Un tomo en 8.° á 8 rs. en rústica y 10 en pasta. ju e z . ¡Bañada en sangre! Guando solo á Carlos v el Grande me atreví á resistir; aun Se hallará en la librería de Hurtado calle de Carretas. p. t e l l o . E s asi. sucumbiendo mé hice admirar. juez . Y un hombre teníais m u erto Con ra…</t>
  </si>
  <si>
    <t>Ariztnendi, José Santos</t>
  </si>
  <si>
    <t>José Santos Ariztnendi</t>
  </si>
  <si>
    <t>…ta provincia , se c i t a , llama unieron en las cercanías de la calle nueva de San M e r y , notán­ se sigue á instancia de dicha señora marquesa contra el coronel y emplaza por segundo edicto y término de nueve dias, conta­ D. José Santos Ariztnendi, el escribano D. Ramón l i r i a , y el dose que muchos de ellos llevaban pistolas debajo de las blusas; dos desde la publicación del presente an un cio, á D. José Gon­ pero como no hacían ninguna demostración hostil, la tropa es­ enunciado miguelete sobre el robo de 2 0 $ pes…</t>
  </si>
  <si>
    <t>Arjona</t>
  </si>
  <si>
    <t>…ca, por merosa de españoles para solemnizar los sucesos de la guerra de 8 gDEAS napoleónicas, por el príncipe Napoleón Luis Bona- D. José María de Pando, ministro de Estado que fue la Península, después de varios brindis, el Sr. Arjona, ex- 8 parte, traducida del francés por D. Manuel de la Escosu- en 1823. ^ asistente de Sevilla, que suscribió y asistió al banquete, brindó 8 *a. Un toraoea 8.° con retrato de Napoleón. 8e venden á 14 rs. en la librería de Sojo, calle de Car­ el ultimo por la R.tina Doña Isabel ir y por la f…</t>
  </si>
  <si>
    <t>Arjona, Juan García</t>
  </si>
  <si>
    <t>Juan García Arjona</t>
  </si>
  <si>
    <t>…ndos de los Estados , á saber: 1.500,000 La de Mocterroso me participa la presentación del titulado limosna espiritual, aun cuando las 300 suscripciones de de Pensilvania , i.500,000 del Misisipí, 1.500,000 de 'M ichi­ bficial D. Juan García Arjona con un cabo y ocho hombres Inglaterra no fueron necesarias para im prim irla. gan, 250,000 del Illicés, y 250,000 de Indiana. El Ínteres irmados de los suyos, asegurándome que en todo el distrito anual será de un 6 por 100. Los pagos se harán del modo si­ ]ue le está confiado solo…</t>
  </si>
  <si>
    <t>Armando</t>
  </si>
  <si>
    <t>…resa. Este es pues el me­ L u p io n a, por Diego Juan Espadas, en 1.® dicha provincia. dio por el que son atraídos los buitres á su presa: Las Otra id. id., loma de la Parra , id., Union 1.a, antes M e- mo Elactual mismo dia D. Armando N a jel, residente en G ijon, co­ apoderado de los Sres. Aguado, Muriel y Paula primera^ aves de ra p iñ a , que son siempre las mas inm e­ talblauco, por D. Ramón Altabas, en 2. diatas, descubren primero la osamenta; y con sus revole­ Enriquez, vecinos de Paris, pidió el registro de cuat…</t>
  </si>
  <si>
    <t>…3 1 1 .. 1 .. 1,437. .5 . .1 8 Inspección de Asturias y Galicia. = El dia 24 de Octubre Penuelas................................................................. 681 . . 6 . . 4 3 7 6 ..5 .. 16 1 5 2 ..0 .. 17 l,l9 0 ..4 .. 3 D. Armando N agel, apoderado de los Sres. Aguado, Muriel y Paula Enriquez, de P aris, tomó posesión de las minas de car­ T o tales............................... 6 0 4 ,9 3 5 ..5 ..2 9 2 3 3 ,8 0 2 ..6 ..2 0 8 0 ,4 6 9 .- 0 .. 2 9 1 9 ,2 0 5 .. 4 . . 17 bón siguientes 3 El Sorriego una pertenencia$…</t>
  </si>
  <si>
    <t>ARMENDAR</t>
  </si>
  <si>
    <t>…las leyes.” N o fue tomada en consideración una adición del Sr. Cezar, cortapisa que podría ser perjudicial. En estos términos fue aprobado por el Congreso. proponiendo que se intercalase entre los artículos 9.° y 10 uno, El Sr. A R M E N D A RIZ: Antes de contestar á las razones El Sr. Secretario M U R O : Señores, admitida ayer la en­ reducido á que en caso de que los ayuntamientos hayan de se­ que en apoyo de su opinión ha emitido el Sr. Valdes, y por­ mienda ó voto particular de los Sres. Camaleño y Polo y Mon- guir ó…</t>
  </si>
  <si>
    <t>ARMENDARI</t>
  </si>
  <si>
    <t>…persona las fun­ posición en que en uno ó en otro caso queda el Gobierno. reglo á la de estado de sitio. ciones de gefe político y de intendente en aqu ellas pro­ Si se le concede la autorización, empieza su responsabili­ El Sr. A R M E N D A R IZ refirió todo lo que habia pasado vincias que el G obierno de S. M. lo estime necesario, aten­ d ad : si no «e le concede, desde luego los presuntos reos quedan en la comisión, para rebatir á los que habían impugnado el diendo a su estado interior y al estado de la guerra. Tam ­ en…</t>
  </si>
  <si>
    <t>09/01/1839</t>
  </si>
  <si>
    <t>Gaceta de Madrid n.º 1516</t>
  </si>
  <si>
    <t>…tas se los con­ ñor O ráa que me está oyendo puede decirlo, y también si ha de los arbitrios especiales que paga[esta provincia para la cons- cederían. 5 ; r'i podido lograr algo. truccion de varias carreteras del reino. El Sr. A R M E N D A R IZ hizo ver que en el artículo venia Ha dicho el Sr. marques de V ilum a en una de sus obser­ El Sr. P R E S ID E N T E : Se avisará al Gobierno. envuelto un pensamiento que era m uy fecundo en consecuen­ vaciones que venciendo en el campo y después perdonando, se En seguida se apr…</t>
  </si>
  <si>
    <t>Armendariz</t>
  </si>
  <si>
    <t>…ar al Con­ á salvar no digo á España, sino á Europa entera , cuaudo hay tacta ; y y o pregunto á la comisión, ¿cómo sabe sise debe con­ greso los errores en que incurra. suficiente capacidad para usar de todos sus medios. El Sr. Armendariz ha contestado perfectamente al Sr. Sán­ Y o 110 digo que haya influido nadie en el ánimo del G o ­ ceder al Gobierno la autorización, si tía dejado intacta la cues­ chez de la Fuente. Cuando dijo este Sr. D ip utado que 110 creía bierno; pero este no llevará á mal que le diga que se haga…</t>
  </si>
  <si>
    <t>…, como nimoCuartel Valdés. general de Manresa 22 de Agosto de 1859.—Geró­ (Id.) tor escrutador que pondré yo mismo de manifiesto; y siguien­ también de vuestra decisión por conservar ioviolable la buena do yo el ejemplo del Sr. Armendariz impugnando el dictamen fe nacional. de la comisión sobre las actas de G ranada, me valdré yo taro» Milores y señores: Con grande pesar mió me he visto pre­ bien de autoridades para hacer ver con qué cuidado debemos cisada á hacer mas severa la ley contra aquellos que no ocul­ Valencia 1.…</t>
  </si>
  <si>
    <t>…e. al público en la Gaceta y Diario de Avisos varra. Creo que estas dos ideas cardinales son las que han ocu­ el debate. Yo creo pado su discurso con aquella verbosidad y afluencia que acos­ y asi yo no extrañoquequeel haya Sr. Armendariz conocerá la buena fe: En seguida el Excmo. Sr. vicepresidente ordenó que el se­ tumbra. En cuanto a si la diputación ha sido parcial, para dar á estar enterado seguramente: enhecho S. S. ese cargo, mediante cretario esta atención, la comisión re­ de Marzoleyese, como se verificó, el exp…</t>
  </si>
  <si>
    <t>ARMENDARJ</t>
  </si>
  <si>
    <t>…eblos: hibido por esta ley ni por ninguna. el particular de que se tratase fuesen de sus opiniones. La comisión tiene que manifestar lo cauta que fue al discu­ Que la ley que acababa de leerse estaba bien terminante; ley El Sr. A R M E N D A R JZ , después de manifestar su extrañeza tir este artículo. En el de la ley orgánica de ayuntamientos: que dictó la necesidad , y en la cual habia tenido parte con m u­ por haberse im pugnado antes esta ley como importada y mo­ presentado por el G obierno, habia dos artículos que dec…</t>
  </si>
  <si>
    <t>ARMERO</t>
  </si>
  <si>
    <t>…os 20 rs. abonados por D. Pedro Do» minguez , individuo de la misma, por una luneta de patio, au­ teriormente. x-..;!.1- 1 ----------- 1 .. . J - i i 1.: """ ■ m entaron, sin haber tomado otra localidad, la cantidad de El Sr. A R M E R O , despue3 de indicar que en todo el año 92 rs. entregados á la comisión por dicho Sr. Domínguez. de 58 los marineros de la costa de Cantabria no habian reci­ Hemos dicho en nuestro artículo último que el pro­ También creemos de nuestro deber hacer público el acto pa­ bido mas que una p…</t>
  </si>
  <si>
    <t>Armesto, José Antonio</t>
  </si>
  <si>
    <t>José Antonio Armesto</t>
  </si>
  <si>
    <t>…os de testamentaría función con baile nacional. a los bienes que quedaron por fallecimiento del presbítero Don Juan José O rt.z, y que entre su heredera y hermana Doña Jo­ DE LA GUERRA CIVIL sefa y varios acreedores con el Dr. D. José Antonio Armesto, DESDE OCTUBRE DE 1832. CRUZ. Hoy no hay función. que también lo es, se ha celebrado una escritura de transacción, por la que este se ha obligado á satisfacerles sus respectivos cré­ CUADERNO X. ditos, bajo las indemnizaciones que en ella resulta, con cujo Contiene los artículo…</t>
  </si>
  <si>
    <t>Armesto, Juan Bautista</t>
  </si>
  <si>
    <t>Juan Bautista Armesto</t>
  </si>
  <si>
    <t>…la denuncia pro- ticulos siguieotss adornados con dibujos y grabados origi- ^ puesta por D. Francisco Custodio, vecino de la ciudad tules. Con arreglo á lo que previene el reglamento vigente de este de Ecija , al folleto de D. Juan Bautista Armesto, del mismo Costumbres provinciales. establecimiento se halla abierta la matrícula para el próximo vecindario, titulado “ Contestación de D. Juan Bautista Armes- La procesión de un lugar , por D. C. Díaz. curso que empezará en los primeros dias de Octubre. Los que to, alcalde co…</t>
  </si>
  <si>
    <t>Armildez</t>
  </si>
  <si>
    <t>…os de Octubre no desmerezca de la de Gobierno y nombramiento de una división al mando del gene­ D oña D. S ...................... 160 los anteriores años, ha invitado á sugetos de acreditado saber ral D. Santiago W a ll, conde de Armildez dé Toledo, é ins­ Excma. Sra. viuda de S. Fernando.................................... 520 para que se encarguen de las explicaciones. Reunidos en la no­ trucciones que se le cometen para la pacificación del pais suble­ S. C. de T . .........................................................…</t>
  </si>
  <si>
    <t>20/10/1839</t>
  </si>
  <si>
    <t>Gaceta de Madrid n.º 1806</t>
  </si>
  <si>
    <t>…L a d r ó n , y relación del Sr. L u jan , en que enumerólos distinguidos servicios del in ­ P a r ís , 1 6 - 6 . Granada, id. id. de sus antecedentes militares y políticos. teresado. M á l a g a , \ papel d. Llegada del conde de Armildez á Burgos. Se leyó y aprobó sin discusión el dictámen sobre la petición S a n ta n d e r , 4 h. Reales disposiciones á que dan lugar los empleados de Cor­ núm. 60. A lic a n te , f b. S a n tia g o , 1| á 2 d. reos. El Sr. P R E SID E N T E dijo que mañana por ser domingo Barcelona, á ps.…</t>
  </si>
  <si>
    <t>Arnauta, José María</t>
  </si>
  <si>
    <t>José María Arnauta</t>
  </si>
  <si>
    <t>…del siglo a ctu a l, por mas propuso la presentación de un bilí adicionando el I degenerada y pervertida que se la quiera suponer. Los del capitán , teniente de granaderos de la Guardia Real pro­ bilí de reforma. vincial , D. José María Arnauta , de los capitanes D. Fran­ da la proposiciónDespués por una de una corta discusión , fue desecha- 1 mayoría de 85 votos contra 50. A I i n g l e s e s estiman todavía á su M illón, los italianos á su cisco Javier Naneti y D. Pedro M arin; del capitán de caba­ las nueve y media…</t>
  </si>
  <si>
    <t>Arquero, María de los Dolores</t>
  </si>
  <si>
    <t>María de los Dolores Arquero</t>
  </si>
  <si>
    <t>…e hasta el 2 de dicho mes de Diciembre, de 1850, mím. 59,901 por rs. 694? 9 mrs. á favor de D. An­ sultó alcanzado D. Andrés Ballesteros, tercenista que fue de desde las diez de la mañana hasta las tres de la tarde* tonio y Doña María de los Dolores Arquero. tabacos de esta capital, resulta un déficit á favor de la Hacien­ La entrada es por la calle de la Cruz. Otra lámina de deuda sin Ínteres emitida con el nume­ da pública de 15,560 rs. 25 y un tercio mrs. , y responsables ro 22,051, por rs. vn. 72 á favor de D. Antonio…</t>
  </si>
  <si>
    <t>Arra</t>
  </si>
  <si>
    <t>…men pasiones en ese dia que se verificaba la elección, no tenia mas de la comisión respecto á las actas de que leer en el núm. 558 del Correo nacional esa carta, docu­ sepan la influencia que en las elecciones ha tenido el Sr. Arra­ Navarra. zola / Todo se sabe, señores: no nos hagamos tan ignorantes: mento célebre en nuestra historia , y mas célebre por los faus­ la prensa ha hablado bien claro, y ¿qué elector habrá que no El Sr. M ADOZ pidió la palabra en contra. Los Sres. A r- tos acontecimientos que á todos nos llen…</t>
  </si>
  <si>
    <t>Arra, Francisco</t>
  </si>
  <si>
    <t>Francisco Arra</t>
  </si>
  <si>
    <t>…Pagan, en 4 . tocó á los sugetos siguientes: D. Alfonso Peralta, D . Manuel ban encomiado ya todos los periódicos al hablar del nuestro; Otia id., sierra de Gador , cerro de la Monterilla , término G uinea, D. José Sandoval , D. Francisco Arra tia, D. Juan pues basta fijar la consideración en que el abono á cualquier de Iluercal , S. Nicolás, por D Francisco Salmerón , en 8. Pedro A y e g u i, D. Fermín Diez Hernández, D. Benito Corta - gabinete de lectura , que nuestros suscriptores tienen gratis, Otra i d . , sierra Alma…</t>
  </si>
  <si>
    <t>Arraiz, Tomas</t>
  </si>
  <si>
    <t>Tomas Arraiz</t>
  </si>
  <si>
    <t>…el satírico, que se cifra en pintarse cisco Mellado , teniente de infantería en espectacion de retiro; el monólogo de A rgan, por muy largo que sea , no lo parece, todos los dias el rostro para hacerse unos bigotes á lo Sgana- D. Tomas Arraiz, subteniente de infantería ; D . Pedro Blasco, porque es propio y adecuado al objeto, su impaciencia, aque­ relle, y en poner la espalda para recibir todos los palos de las cabo primero que fue del provincial de Chinchilla; D . Jacobo llos gritos de un hombre sano y robusto, aunque se l…</t>
  </si>
  <si>
    <t>Arranz, Faustino</t>
  </si>
  <si>
    <t>Faustino Arranz</t>
  </si>
  <si>
    <t>…ta , regresó adonde estaba Elú*: juzgado de primera instancia de Burgos, vacante por trasla­ Se asegura que los cinco ministros M M . Passy, Teste , V i- poco después D. Cárlos salió de Lesaca pera Goizueta escoltado ción de D. Faustino Arranz , á D. Lorenzo Cobo de la Torre llemain , Dufaure y el alm irante Duperré se han declarado en por Elio con cuatro compañías del 7.° y una parte del 11.° ba­ que desempeña el de Logroño; para esta judicatura á D. Pele- favor de que se adopten medidas prontas y enérgicas ; los otros t…</t>
  </si>
  <si>
    <t>Arrau</t>
  </si>
  <si>
    <t>…yos, tanto mas, cuanto la mayor parte de estos reactivos no la reflexión. Una facción grande se anuncia muy de antemano, se dividió en dos facciones implacables. Los prelados robaban son comunes. Por estas razones propuso el Sr. Arrau un medio y da tiempo de poner en salvo las personas y efectos. Una ga­ las iglesias y vendían públicamente los despojos sagrados ; los' derivado de estos mismos experimentos que consideró el mas fá ­ villa de ladrones tampoco puede sorprender toda una población sacerdotes abandonaron los alta…</t>
  </si>
  <si>
    <t>Arrazo-</t>
  </si>
  <si>
    <t>…i n a , Comercio y Gobernación de Ultramar, nom­ y yo no le agradezco esa medicina general con que concluyó su despacho ordinario se abrirá la discusión sobre ei proyecto de brando interinamente para sustituir al primero al Sr. Arrazo- discurso. S. S. , como si la cosa fuera un grano de auís , nos ha contestación al discurso de la corona , y levantó la sesión. la , Ministro de Gracia y J u s t ic ia , y para el segundo al señor dicho que se podría crear un papel que represente el fruto de Eran las cuatro y media. A l a i…</t>
  </si>
  <si>
    <t>…ertad. S. S. se ha equivocado: los actuales M i­ añadió que se h.tbia circunscrito la facultad y libertad que de­ testar que de Arganda absolutamente sabe n a d a d o que puede nistros, y particularmente mi digno compañero el Sr. Arrazo- bían tener los electores cuando en vez de nombrar entre seis decir es que andan por ahí algunas cuadrillas de ladrones que la , que ha entrado al mismo tiempo que yo á ocupar este candidatos, solo nombraron entre cinco, porque uno de ellos zon perseguidas incesantemente, y que hoy aparecen e…</t>
  </si>
  <si>
    <t>Arrazola</t>
  </si>
  <si>
    <t>…e c la r a r: 1.° Q ue eí cusion del dictamen de la cornision de Actas sobre la reelec­ medio de los horrores de la guerra civil. Deseamos ardientemen­ mozo cu y o p ad re tenga o tro hijo sirviendo de cirujano* gn ción del Sr. Arrazola. te que continuando el Gobierno de Y . M . en prestar á la causa el e jé rc ito , n o está excep tu ad o del serv icio : y 2.° Que el de la Reina Isabel 11 el apoyo que permitan los intereses de la Se leyó el dictamen , y fue aprobado sin discusión , y di­ soltero que m an tien e á sus h e…</t>
  </si>
  <si>
    <t>…ho de conceder la gra­ reconoce Un periódico anuncia esta mañana que el acta por la cual Se acordó llamar al suplente por la provincia de Zamora el Gobierno francés la nueva república de Tejas ha en virtud de haber optado el Sr. Arrazola por la de Valladolid. cia de nueva sustitución á aquellos que justifiquen haber sido firmada ayer por el mariscal Soult. La negociación en El Sr. PRESIDENTE: Orden del dia. Continúa la discu­ practicado las medidas y precauciones que dicta la pru­ sión pendiente sobre fueros; el Sr. conde…</t>
  </si>
  <si>
    <t>…nsistió m ucho, pues dijo que del Gobierno, salva alguna pequeña modificación, como dije Pero, señores, si se aprueba ’o que se propone por los se­ en la enmienda se escatimaban los fueros, y que ni aun con­ tni compañero el Sr. Arrazola , para que pueda después entre­ res autores de la enmienda , ¿qué es lo que damos en este mo­ cedía, como á las demas provincias, los fueros municipales. garse el Congreso á otras reformas, que harto las necesita la mento á esas provincias? Yo reconozco en su deseo el patrio­ En esto hay…</t>
  </si>
  <si>
    <t>…ema paz , unión y libertad , y un S. S .; pero repito que no se trata de esto, sino de examinar si todo que el caso del Sr. Gortázar es distinto de el del Sr. A r­ arco igualmente hermoso coa un vitor al duque de la Victo­ el Sr. Arrazola, nombrado Diputado por la provincia de Va­ mendariz. El primero de estos señores ha hablado en su lugar* ria. Fue idea de los Nacionales de la 5.a compañía del primero, lladolid , tiene ó no las cualidades que la ley exige y establece cuando se hayan aprobado las actas de Navarra y quiera p…</t>
  </si>
  <si>
    <t>…e ha nombrado en Santander, par din. primeras elecciones. Alicante, i b. Santiago, lf- á 2 d. Si la circular pudiera haber influido hubiera sido en favor Barcelona á ps. f s ., f á f id. Sevilla, f á f id. BIBLIOG RAFIA. del Sr. Arrazola que dispensa gracias , no en el mió que no Bilbao, par din. d. Valencia, f b. puedo dispensarlas. ¿Cómo es que el Sr. Arrazola no ha salido Cádiz, \ á f d. Zaragoza, i id. D e los fueros de N avarra, A lava, Guipúzcoa y Vizcaya, electo por Zamora? por F. de Aldamar. Se vende en la librerí…</t>
  </si>
  <si>
    <t>…BIDOS EN LA SECRETARIA DE ESTADO Congreso por el Sr. duque de V eraguas, primer suplente por instituciones provincias en donde se enarbola aun la bande­ Y DEL DESPACHO DE LA GUERRA. la provincia de Z am ora, en reemplazo del Sr. Arrazola, que ha ra ie í &lt; p y enemiga, tenemos la mas ilimitada confianza en El Sr. duque de la Victoria , generaren gefe de los ejérci­ optado por Yalladolid. la sauiduria, prudencia y patriotismo del Góbierno de V. M. tos reunidos, da parte de*de Befcbite, con fecha iO def actual, Se procedió al…</t>
  </si>
  <si>
    <t>…rgo, sin exceptuar las reuniones mas d istin ­ de Cruzada me fue remitido para este efecto. M ad rid 18 de No- g u id a s , consideran cada vez ia guerra como mas inevitable, A tra ng ero s. 1’ En la firma que se supone del Sr. Arrazola se vípmbrp de 1859 ^-Mi/?uel de V icto rica. juzgar por lo que contienen estas cartas, que proceden de per­ añade después de ella « Min istro de la J u s t i c i a d Los Mi­ sonas de la comitiva del duque de Leuchtemberg se continúan nistros de España no firman asi, ni han firmado janias…</t>
  </si>
  <si>
    <t>Arrazola, Lorenzo</t>
  </si>
  <si>
    <t>Lorenzo Arrazola</t>
  </si>
  <si>
    <t>…rte de conspirar, y el de co cuadernos sin embargo del recargo que han sufrido con d i­ Doñá Bárbara Laroadrid en los Amantes de Teruel• tonio Hompanera de Cos, encargando interinamente su des­ pacho al de Gracia y Justicia D. Lorenzo Arrazola. (Id.) cho motivo. Lo que se avisa principalmente á las personas que Los dramas son el Marino del célebre Alejandro Dumas, habiendo acudido i comprarlos no se les ha podido servir por y Laura y original del Sr. D. José María Diaz. —— admitiendo á D. José Ferraz la dimisión del desp…</t>
  </si>
  <si>
    <t>…circule. = YO L A R E IN A G O B E R N A D O R A . = E n P a la ­ pero sí navios americanos que protegen el comercio siempre ac­ que el Excmo. Sr. duque de la Victoria debía hallarse con las cio á 9 de N oviem bre de 1839.— A D. Lorenzo Arrazola. tivo de los negociantes de los Estados Unidos. (Sun.) fuerzas que personalmente dirige sobre A guaviva y Mas de las M atas, y que los enemigos ocupaban aquel dia la Cañada con siete batallones. (Id.) M in i s t e r io d e g r a c ia y j u s t ic ia . FR A N C IA . Real orden. Z…</t>
  </si>
  <si>
    <t>…o no le permitieron recono­ fección. Las principales capitales, como Burdeos, Nautes, interinamente del Despacho del referido Ministerio cer el campo, logrando Marsella , Lyon , N a n ci, Brest, Strasburgo , presentaron en­ á D. Lorenzo Arrazola, actual Secretario del Des­ tos que llevaban presos, alentre mismo tiempo rescatar cuatro suge- ellos D. Manuel Pinedo, secre­ tonces sus estados, y el número considerable de libretas espe­ didas da á conocer la rápida propagación y multiplicación en pacho de Gracia y Justicia.…</t>
  </si>
  <si>
    <t>11/10/1839</t>
  </si>
  <si>
    <t>Gaceta de Madrid n.º 1797</t>
  </si>
  <si>
    <t>…..... 2269..15 E lc h e ..................... 4735..29 cu m plím iento.= E stá rubricado de la Real m a n o .= E n P a­ 1 5...................... 7974-.ll Escorial......... ... 2951.. 18 lacio á 10 de O ctubre de 1 8 3 9 .= A D. Lorenzo Arrazola. 1 6......................... 328 Gerona.................... Í7015..16 1 7........................... 585..24 Granada......... .... • . 5594-33 1 8........................... 9225..3I G uadalajara.......... 13962..27 1 9 ........................... 852..26 H uelva.. . . . . . .…</t>
  </si>
  <si>
    <t>…s en cada extracción,á Despacho de Gracia y Justicia á D. Antonio González, y- las huérfanas dé militares^ Guardias nacionales y patriotas que un'^sq^practico,.idel estaaeifííe^ U , justicia ;en M adrid. ;^ ; .: nombrando á D. Lorenzo Arrazola para que desempeñe én murieron en la guerra de ía independencia, y en la gloriosa propiedad.dicha secretaría. (Id.) ¡ - Se hallairáti eft* de -Sójo, callé dé CáVfetáé'. lucha que sostenemos, por los :legítin^Svd®trcébós\de\J)pña Isa­ admifiejido/la dimisión hecha por D . Francis…</t>
  </si>
  <si>
    <t>…sertos en sus columnas en todo el año trascurrido desde 5 de ministerio el actual Secretario de Estado y del Despacho de Vinaroz 7 de Diciembre. Enero de 1858 al 5 de Enero de 1859, á saber: el Tim es , que Gracia y Justicia D. Lorenzo Arrazola. (I I.) en dicho año ha hecho sellar 5.650® pliegos de papel, 11,258 confiriendo la propiedad del destino de Secretario de Es­ También ha participado esta marina de las desgracias cau­ libras esterlinas: el M ortiing-H erald , 1.925,006 pliegos pu­ sadas por el fuerte temporal que…</t>
  </si>
  <si>
    <t>Arrazóla, Lorenzo</t>
  </si>
  <si>
    <t>Lorenzo Arrazóla</t>
  </si>
  <si>
    <t>…itos los inagotables manantiales fie feli­ cado de la Real mano.=En Palacio á 25 de Octubre saludables reformas del Gobierno de V . M ., aseguran para cidad que tanto tiempo pudo obstruir el genio de la discor­ de 1839,*»e=A D. Lorenzo Arrazóla. siempre el trono de nuestra excelsa Reina, y con el las ins­ dia. E l dia próximo de la universal reconciliación, el en que tituciones que esta magnánima pación ha sabido adquirirse, todos los españoles ni sean ni puedan llamarse otra cosa que peleando seis años consecutivos con…</t>
  </si>
  <si>
    <t>Arreta, Pedro</t>
  </si>
  <si>
    <t>Pedro Arreta</t>
  </si>
  <si>
    <t>23/06/1839</t>
  </si>
  <si>
    <t>Gaceta de Madrid n.º 1681</t>
  </si>
  <si>
    <t>…e, y de la Zaragoza 17 de Junio. Según escriben de Ateca con fe­ Organizóse este regimiento en Cádiz el año de 1854* y des­ prudencia con que corrige los extravíos del mal hijo. Vol­ cha del 12, el teniente de aquella Milicia D. Pedro Arreta, con de entonces ha estado á las órdenes de los misinos gefes. ¡ Qué viendo el bueno triunfante de una expedición contra los cinco individuos, logró capturar dos sargentos facciosos de los lejos estarían estos y los soldados de pensar que á quien mas mahom prisioneros fugados del depós…</t>
  </si>
  <si>
    <t>Arriete, Antonio</t>
  </si>
  <si>
    <t>Antonio Arriete</t>
  </si>
  <si>
    <t>…de pedirlas en seguida al ministerio de la Guerra; plano, relación y presupuesto que ha remitido el inge­ sa de la Cámara las comunicaciones de Sir J. flead , relativa* á cuyo efecto quiere S. M. que conferenciando sobre to­ D. Antonio Arriete para el puerto de Luarca ha si­ alSirCanadá , y las que tienen relación con el mando diferido á dos estos puntos con el expresado director, y de acuerdo niero John Colborne en las dos provincias. con él, proponga V- S. con urgencia á este ministerio do examinado y aprobado por la j…</t>
  </si>
  <si>
    <t>Arrióla, Ramón María</t>
  </si>
  <si>
    <t>Ramón María Arrióla</t>
  </si>
  <si>
    <t>…or­ T ejera.= Juan Pardo y P rado.= M anuel V alcara y Saavedra.=: Habiendo solicitado D. Perfecto G an da rias, ministro elec­ te de la monarquía. Anhelosos de la consolidación de las insti­ to de la audiencia de Oviedo, y D. Ramón María Arrióla, que tuciones que rigen á la España , y que Y. M. ha sabido salvar José Saavedra y P ard o .n jo sé A nto n io Somoza.=Manuel M. sirve plaza de igual clase en la de Zaragoza , que se les permita del naufragio que les preparaban los enemigos de la libertad, Y añe z.= :P . A. D. D…</t>
  </si>
  <si>
    <t>Arrnendariz, D. Agustín</t>
  </si>
  <si>
    <t>D. Agustín Arrnendariz</t>
  </si>
  <si>
    <t>…. Manuel Martinez Ayala. Zaragoza. »Duque de Zaragoza. Córdoba. Navarrai »j D. Juan Antonio Castejon. Sr. D. Diego Alvear. Sr. D. Fermin Arteta. »D . Miguel Laburda y G alindo, obispo electo Sr. D. José Soldevilla , electo. Sr. D. Agustín Arrnendariz, Vicepresidente 4»° de Puerto-Rico. Sr. D. Francisco Gamero Cívico y Benjumea. Sr. D. Gaspar Elordi. »D . Juan Romeo y Tello. Sr. D. Antonio Valera. Sr. I). Luis Fernandez de Córdoba. Sr. D. Antonio Ramírez y Arellauo, electo. Sr. D. Miguel de Fuentes. Orense. CONGRESO DE…</t>
  </si>
  <si>
    <t>Arrtzola</t>
  </si>
  <si>
    <t>…viese unido al bien del Portugal. Lam entaban teraeote contra un artículo constitucional. esta disposición desfavorable de los ánimos muchos ilustres, en ­ Los dos oradores ilustres que ayer usaron de la p alabra eri ' (E l Sr. Arrtzola contestó á las observaciones hechas en el tendidos y prudentes portugueses amantes de su patria y de la contra , separaron los ojos del dictamen para cerrer por el a n ­ dia de ayer por los Sres. González y Fieros, cuyo discurso i n ­ ju s t ic ia ; pero el influjo del partido dominante ven…</t>
  </si>
  <si>
    <t>Arríete, Antonio</t>
  </si>
  <si>
    <t>Antonio Arríete</t>
  </si>
  <si>
    <t>…araba de la doctrina; y Mr. Bu­ opiniones pués que varios hechos contradicen el sistema, repudian las geaud, haciendo una especie de desafio á Mr. Thiers, ha repu­ en masa, por el mismo estilo que las adoptaron. El ingeniero D. Antonio Arríete con fecha de 28 de Abril diado la fe y las palabras de Mr. de Lamartine, y las de Mr. (G. N.) próximo pasado, me dice desde Santander que en cumplimien­ Guizot. La descomposición de los 221 es pues evidente, y lo ha to de las órdenes que le habia yo comunicado , salía el dia si­ si…</t>
  </si>
  <si>
    <t>…mo comunicarme con fecha 2 del corriente, he nombrado al in ge­ en la Irlan d a, la creencia general de que su objeto es trasferir da parte de la salida que hizo de la plaza de Bilbao la noche niero ayudante primero de caminos D. Antonio Arríete para el gobierno ejecutivo de la Irlanda en las manos de una co­ anterior con el objeto de destruir las dos casas fuertes que el que concurra á la comisión que se ha de formar, compuesta de misión especial de una de las Cámaras del Parlam ento, lo que enemigo tenia en bodupe, porque…</t>
  </si>
  <si>
    <t>…á Santander. venta de la Guia y Badajoz, que sin demora alguna pase á practicar el reconocimiento del arco arruinado del puente de PARTE OFICIAL NO Almaráz para formar el proyecto con el correspondiente cál­ El ingeniero D. Antonio Arríete me dice coa fecha 7 del culo y presupuesto, y remitírmelo á la brevedad posible para NOTICIAS EXTRANGERAS. corriente desde Sautander que ha dado las disposiciones mas su examen y aprobación de la junta cousultiva de esta direc­ eficaces para empezar inmediatamente la obra de la reedi…</t>
  </si>
  <si>
    <t>…onvenien­ 4.° No considerándose necesario por ahora alterar el que se le admitirá siendo arreglada. tes según el espíritu de la citada Real orden. artículo 34 de la referida ley de reem plazos, no se anu­ • Previne asimismo á D. Antonio Arríete q u e , sin perjuicio lará ni renovará ningún sorteo por reclamación extem po­ de atender á la dirección de las obras del camino-carbonero de ránea sobre inclusión ó exclusión de individuos en los N virtud de providencia del Sr. D. Francisco A moros y L ó ­ Langreo á Gijon, y de la c…</t>
  </si>
  <si>
    <t>Art</t>
  </si>
  <si>
    <t>02/10/1839</t>
  </si>
  <si>
    <t>Gaceta de Madrid n.º 1788</t>
  </si>
  <si>
    <t>…iduos, dando en seguida por esta dirección, se remesaron á Galicia por el correo que el término de la referida presentación con iguales circunstan­ cuenta al Gobierno. cias, por todo el mes de Octubre próximo venidero. Conde de Art. 64 . El R e y , prévio el oportuno expediente, que for­ salió de la corte en 24 del mes últim o, el cual fue intercepta­ la G ran ja, marques de Monte R ea l, duque de Sotomayor, mará el gefe político oyendo en un breve término á los intere- do y quemado: en su virtud se anuncia al público que…</t>
  </si>
  <si>
    <t>…te d el C onsejo : No lo creáis. sualidades subsiguientes á la prim era designada en el a r­ E l m a risca l C lausel : No quiero explicarme tao explícita­ tículo 4.° m ente: no he dicho que esas sim patías son en favor de Don Art. 7.° La otra m itad, de que también habla el a r­ G obierno p o lítico d e la p ro v in cia d e T eru el . C árlo s, sino que quizás lo son. tículo 5.° y se ha de pagar en papel, se verificara en los A fin de que nuestros desgraciados prisioneros que se h a­ EL P resid en te d el C onsejo : ¡N o…</t>
  </si>
  <si>
    <t>Art, Car-</t>
  </si>
  <si>
    <t>Car- Art</t>
  </si>
  <si>
    <t>…y para que se aumenten Art. 33. Podrán celebrar sus sesiones en la sala con­ terceptado días antes la orden que S. E. habia expedido para donde no hubiere las suficientes. que se le aproximase la 1.» división al mando del general Car- Art. 18. Se pondrán también de acuerdo con los res­ niente. sistorial , ó ea otro lu g a r, si lo tuvieren por mas conve­ bo, pensando sin duda que la esperaría para emprender la ope­ pectivos ayuntamientos y comisiones locales para la for­ 34. Para que sean válidas las deliberaciones de raci…</t>
  </si>
  <si>
    <t>Art, Onís.</t>
  </si>
  <si>
    <t>Onís. Art</t>
  </si>
  <si>
    <t>…y Corchado. Artículo í.® Se confirman los fueros de las provincias V a s ­ contaré la otra mitad. Por Cuenca: Sr. Melgarejo. congadas y N av arra . L a comisión propuso el artículo del modo s ig u ie n te : Por Salamanca : Sr. Onís. Art. 2.° El Gobierno, tan pronto como la oportunidad lo No podrán ser elegidos Diputados ni Senadores los capita­ El Sr. P R E S ID E N T E dijo que hallándose en el Senado dos nes generales, los regentes y magistrados de las aud ie n c ias, los permita , presentará á las Cortes, oyendo ante…</t>
  </si>
  <si>
    <t>Art, Valores</t>
  </si>
  <si>
    <t>Valores Art</t>
  </si>
  <si>
    <t>…rte al Ministerio en que concurrir con su tolerancia en él á la perpetración Aláix.=Sr. capitán general de..... fin de cada mes de la recaudación del anterior por medio del excesa de estados que formará la contaduría general de Valores Art. 17. Se exceptúan de esta regla general los casos en cuanto a los ramos que interviene directamente, y las previstos en el art. 14, y las disposiciones que acordaren contadurías especiales respecto de aquellos que tienen á los generales en gefe de los ejércitos con autorización ó PARTE…</t>
  </si>
  <si>
    <t>Artacho, Salvador</t>
  </si>
  <si>
    <t>Salvador Artacho</t>
  </si>
  <si>
    <t>…ncionado coronel Vasallo, y los escuadrones por dríguez Castro, idem. A rt. 5.° Unr« comisión militar ejecutiva procederá á juz­ sus respectivos comandantes D, Sebastian Capdevila y D. Juan Tercero idem. = El capitán teniente D. Salvador Artacho, gar á los delincuentes. Antonio del Palacio, protegieron constantemente la infantería, herido. Las vidas y fortunas de los ciudadanos pacíficos, pero hon¿ y asistieron á la toma de los parapetos, sin servirles de obstácu­ El subteniente D. José M aría M uñoz, idem. rados y libres…</t>
  </si>
  <si>
    <t>Arte</t>
  </si>
  <si>
    <t>17/01/1839</t>
  </si>
  <si>
    <t>Gaceta de Madrid n.º 1524</t>
  </si>
  <si>
    <t>gítimos y parlamentarios; soy peregrino á esas cuestiones. Al­ de manifestar, que no se aprobase la proposición del Sr. Arte­ reservándose el ponerse de acuerdo con la comisión; pe go he sabido; pero protesto que cuando lo he sabido ha sido ta y demas señores: porque ¿ cuál es la otra cuestión que se ha mientras esto no sucede, ¿ puede haber discusión sobre este pun­ cuando se ha presentado la proposición. Repito q…</t>
  </si>
  <si>
    <t>Arteaga, Antonio</t>
  </si>
  <si>
    <t>Antonio Arteaga</t>
  </si>
  <si>
    <t>…cia. Su predecesor, el Perú paz, orden, libertad y dicha. {Id.) brado D. Joaquín M ir asesor de la capitauía general de Ca­ Sr. Rocafuerte , ha merecido del nuevo Presidente, en vez^ de ta lu ñ a , ha venido S. M. en nombrar á D. Antonio Arteaga, vejámenes, honrosos recuerdos que le unirán estrechamente á que desempeña la judicatura de Arévalo, y para esta vacante la nueva administración. No habrá granadino alguno amante El A riete de Guayaquil núra. 39 contiene varias piezas á D . José Jiménez Cisneros, juez de Lillo. de. l…</t>
  </si>
  <si>
    <t>Arteta</t>
  </si>
  <si>
    <t>…percibir á consecuencia de haberle de los párvulos, tanto en nuestro pais corno en los extraños, y en una causa, en cuyo fallo defi/aitivo ha sido ab- á hacer conocer por otra el mecanismo de este sistema y las ven­ por él Sr. Arteta; 1: suelto. 197. Los de la tercera compáñía del mismo, desde Tudeía 9 258. El presbítero D. Juan José Roldan, solicitando se íe tajas inmensas que pueden resultar a nuestra patria de que se con igual pretensión. - 19o. D. Manuel Muriel , sobre reintegro de varias suma; s;4 ^declare cumplid…</t>
  </si>
  <si>
    <t>…e la comisión. BO LSA D E M A D R ID . de la imparcialidad se debía conceder la palabra á todos los L o mismo que hacen ahora siete lo ha podido hacer uno Sres. Diputados que tuviesen que ilustrar la cuestión; por lo solo; el Sr. Arteta , por ejemplo, ha podido disentir de la Cotización del día 4 d las tres de la tardo* qu# pedia se hiciese la pregunta de si se abriría discusión so­ Opinión de los demas individuos de la comisión , y haber pre­ E F E C T O S P U B LIC O S. bre esto. sentado un voto particular , y este hubier…</t>
  </si>
  <si>
    <t>ARTETA</t>
  </si>
  <si>
    <t>06/01/1839</t>
  </si>
  <si>
    <t>Gaceta de Madrid n.º 1513</t>
  </si>
  <si>
    <t>…ción para la clase á que asi El Sr. RUIZ D E L A R B O L : Estoy dispuesto ¿ dar toda tir la adición que proponía S. S. el Sri “I ñigo corno él pertenecían. clase de auxilios al Gobierno para que atienda á las necesidades El Sr. A R T E T A se opuso al artículo nuevamente redacta­ Precedidas algunas rectificaciones de los Sres. Iñigo y Cas­ de la guerra, pero no puedo estar conforme con el modo como do diciendo que por lo que habia oido al Sr. B urriel, habia tro , se aprobó el dictamen de la comisión. propone la comisión…</t>
  </si>
  <si>
    <t>…, Serrano, P in to , A lcon, Cor­ iba á proponer al Congreso si se concedería primero la palabra zaga y demas señores , va á ver que desaparece enteramente su tina , Vigo ,L3costa , Fajardo, Daoiz , Villalobos, S urrá, Paz al Sr. Arteta , dijo este que renunciaba al derecho que podia dictamen. Por otra p irte, no sabe qué giro 6 papel ha de jugar García , Starico, García (D. Lucas), Mascaros, Mestre, Guillen tener á ella. en esta discusión. Si se la conserva á la comisión de Fueros la y Gras , Montesino , Sánchez del Pozo, C…</t>
  </si>
  <si>
    <t>…político, solo tira el dictámen. y la instrucción de 12 de Agosto, el número total diré que el artículo transitorio de la ley electoral faculta á la diputación para que pueda nombrar 500 electores porcada D i­ las actas: El Sr. ARTETA : No tomo la palabra para hablar sobre de que las certificaciones destinadas á la quema, y ti de paquetes las contenían. Concluida la lectura y colocados estos en su putado, con la circunstancia de echar mano de los mayores pu­ que ha manifestado la tomo única y exclusivamente para corrobo…</t>
  </si>
  <si>
    <t>…ncia de Cuenca , opinaba la comisión se aprobasen las elec­ instituciones y todos las Gobiernos reposan sobre un cimiento ciones respecto a los cinco Sres. Diputados nombrados, no asi desde maría luego podia ser admitido el Sr. Arteta , y que se recla­ el acta de Viana. de arena; la paz, sin la cual la nación ni puede tener esperan­ cuanto al suplente. El Sr. A R .TE T A : Con sentimiento, señores, oí al Sr. M a - zas, ni gozarse en un porvenir dicho o; la paz, sin la cual la 5.° Proponiendo la aprobación de las primera…</t>
  </si>
  <si>
    <t>…el honor de presentar al C u e n c a : Sres. Fernandez, V illa b a , Belinchon, Ayllon y El Sr. C A B A L L E R O : De los cuatro puntos que ha tocado ongreso. Antes de exponer las observaciones que voy á some- Caballero. el Sr. Arteta , el primero , que es sobre el que mas se ha exten­ r á la consideración del Congreso, me creo precisado á decir Ja én: Sre9. Ayala y Moría , Benavides y Fontecilla. dido, no se dirige á la comisión ; ha sido reducido únicamente 1 causa que tne impele á tomar parte en la discusión de este V i…</t>
  </si>
  <si>
    <t>…o y en dias de fiesta , y y o he visto raba un Sr. D ip u tad o , y verificado este acto dijo El Sr. P R E S ID E N T E señaló para mañana la discusión por labrarlas á la luz de la lu n a: resulta pues que sin desatender El Sr. A R T E T A : Me levanto para fundar mi voto, por­ artículos del proyecto c u y a totalidad se habia discutido , y le­ sus jornales se encuentran al fin del año con el producto de lá que habiendo de ser contrario al dictámen de la comisión, ne­ vantó la sesión á las cuatro y cuarto. cosecha con qu…</t>
  </si>
  <si>
    <t>…ulo que con la denominación de Mosaico del periódico t it u ­ firmantes. Resuelta la g u a r n i c i ó n , compuesta de un destacamento de a r ­ lado N osotros de 7 del a c t u a l , núm. 2 8 9 , p rin c ip ia : " E l 5 de Él Sr. A R T E T A : Si el Sr. Presidente'h ubiese estado en el E n ero ,” y concluye "el Sr. D. Carlos ,” se procedió á celebrar interior de los D iputados que han firmado la proposición , h u ­ tille r ía d e m a rin a y de la colum na m óvil de Castelloif, á d e ­ el sorteo de los nueve jueces de hech…</t>
  </si>
  <si>
    <t>…, pues al contrario estaba enteramente conforme con ella de ayuntamientos, á no ser el de la cuestión de presupuestos ó monarquía. Se dirá que discutida esta ley, y sancionada, se y quería que los principios sentados por el Sr. Arteta para fun­ recursos. Esta, señores, es el objeto primordial de las Cortes, volverían á nombrar: ¿cuándo se nombrarían? Acaso en J u ­ dar su proposición, los tuviera presentes en algún artículo de porque encierra el deposito de las libertades públicas: ninguna nio ó Agosto. Por tanto creo qu…</t>
  </si>
  <si>
    <t>…los méritos entra en la obligación que dijo que se habían esparramado con profusión ejemplares. ( EL inscribirse en sus filas, concluyo mis observaciones al art. i.° debia cumplir. A qui no venimos á premiar por solo cumplir Sr. Arteta hace un signo negativo.) El Sr. Arteta dijo term i­ El Sr. A R T E T A : Sin necesidad de que esta discusión nos con su obligación ; venimos á recompensar las acciones que es- nantemente que este proyecto se supo antes de presentarse al diese á conocer la importancia de la ley de que se tra…</t>
  </si>
  <si>
    <t>…nte no se puede to al m ism o tiem po que las de la virtud; ideas que están de ningún modo podía esperar. echar mano de ellos porque no se puede disponer de una cosa mas enlazadas entre si de lo que generalm ente se cree. El Sr. Arteta se ha pronunciado abiertamente contra los que está dedicada al pago dé otros acreedores, cuyas deudas son Lueden servirnos de ejem plo algunos de sus proverbios, premios colectivos. Yo también hasta cierto punto convendré anteriores y mas precisas. com o este: con S. S .; pero esta, señores,…</t>
  </si>
  <si>
    <t>…da su redac­ es indiferente: por consecuencia nada tengo que ver con ción á varios de sus individuos, y que piensa reunirse hoy CAPITULO I. Rothschild, Meternich ni RossinL para acordarlo definitivamente. M i nacimiento. El Sr. ARTETA: También yo á mi vez tengo que hacer­ c ap i t u l ó xiv. me cargo de lo que ha manifestado el Sr. González Alonso; El 12 de Marzo de 1765 salí ,de las tinieblas para ver porque al mismo tiempo que se ha dirigido á la comisión de a luz del dia. Me'midieron, pesaron y bautizaron. Nací M i epit…</t>
  </si>
  <si>
    <t>…has fam ilias eu los pueblos que son cuide mucho de h; cer vigilar á los reos poniéndolos en puntos Se dará principio con una brillante sinfonía; y á continua­ que no sean aislados. objeto de sus incursiones. A petición del Sr. Arteta se pregunta al Congreso si se pa­ ción se pondrá en escena el drama de m á g ia , nuevo, original, sará a otro asunto, y decide negativamente. Avila 16 d e E n ero . Me cabe la mayor satisfacción en par­ en cuatro actos, titulado ticipar á VV . que el espíritu público de esta proviucia ha s…</t>
  </si>
  <si>
    <t>…. D i­ Londres, á 90 dia s, 58^. C oru ña, 11 papel d. putados prejuzgarán según su concien cia, y examinarán por Paris, 16-4* G ranada, l f din. d. sí los artículos, pero el Gobierno no tomará parte. M álaga, f id. id. El Sr. A R T E T A dice que no sabe cuáles son los artículos Santander, l f d. que se han retirado ó suspendido, y quisiera saber cuáles eran; A licante, £ din. d. Santiago, l f id. DIORAMA. pero que hace cinco dias que el Congreso hizo un acuerdo so­ Barcelona, á ps. f s . , f b. S evilla, par din. bre e…</t>
  </si>
  <si>
    <t>…rzas enemigas se En primer lugar se observa que cuando existían los fueros ta se expresa que el número de votos fueron 2405 : que estos se presentó acosado de las circunstancias , resuelto á adherirse á repartieron, 2158 al Sr. Arteta ; 1592 al Sr. Perez Pastor; 785 todo trance, como lo manifiesta esa proclama que ha publicado escritos, se veiar» las juntas, que no solo se ocupaban de nego­ a otro señor; 575 al Sr. Gallego, y 22 ai Sr. D. Diego Valle- m Bilbao, al convenio que se le proponía. Veamos ah o ra, seño­ cios pe…</t>
  </si>
  <si>
    <t>…diri­ vincias Vascongadas y N a v arra, los correspondientes á la cues­ ministerio de la Guerra. giéndose al templo de Dios á rogar al Todopoderoso por las vi­ tión muñagorriaoa , y la correspondencia del ilustre duque de El Sr. A R T E T A : Yo he pedido la palabra , no porque pre­ das de vuestras Magestades y de nuestro paisano el ilustre ge­ la Victoria sobre el tratado de Vergara. tenda combatir el dictámen, pues sé muy bien que el regla­ neral manchego, para que lleven al último término tan árdua El Sr. M E N D IZ A B…</t>
  </si>
  <si>
    <t>Sr. Arteta ha dicho que la comisión ha cumplido con su deber: taban en poder del Gobierno, mediante á haberse acordado p a ­ se quejó de un acuerdo del consejo de disciplina , pasó su expo­ en este supuesto poco tengo que decir. Pero la comisión no pue- ¡ sasen al mismo. sición á las Cortes, vino esta a…</t>
  </si>
  <si>
    <t>…de los proyectos presentados y que ría cuando se discutiese la contestación al discurso de la corona; hacerla conocer. forman la base de la administración , y en su conducta pasada he aqui este plazo: y a está contestado el Sr. Arteta con las mis­ La principal razón que me ha movido á tomar la palabra violando la Constitución y las leyes del E stado, no tiene ten ­ mas palabras del Sr. Ministro de la Guerra. El resultado de es el compromiso de honor que me impuse cuando dije unte el dencia b u e n a, que la Constitución…</t>
  </si>
  <si>
    <t>Arteta, D. Fermin</t>
  </si>
  <si>
    <t>D. Fermin Arteta</t>
  </si>
  <si>
    <t>…eda. Sr. D. Audres Carabantes. Sr. D. Diego María Chico, electo* Sr. D. Juan Gerónimo Cebados. Sr. D. Manuel Martinez Ayala. Zaragoza. »Duque de Zaragoza. Córdoba. Navarrai »j D. Juan Antonio Castejon. Sr. D. Diego Alvear. Sr. D. Fermin Arteta. »D . Miguel Laburda y G alindo, obispo electo Sr. D. José Soldevilla , electo. Sr. D. Agustín Arrnendariz, Vicepresidente 4»° de Puerto-Rico. Sr. D. Francisco Gamero Cívico y Benjumea. Sr. D. Gaspar Elordi. »D . Juan Romeo y Tello. Sr. D. Antonio Valera. Sr. I). Luis Fernandez de…</t>
  </si>
  <si>
    <t>Artículo, Landero y Corchado.</t>
  </si>
  <si>
    <t>Landero y Corchado. Artículo</t>
  </si>
  <si>
    <t>…n diciendo que la ley no dice lo que debia decir: Por Zamora: Sr. duque de Castroterreno. preámbulo, comprendía los dos artículos siguien tes: no ha contado mas que la mitad de la historia del a r tíc u lo : yo Por Cáceres: Sr. Landero y Corchado. Artículo í.® Se confirman los fueros de las provincias V a s ­ contaré la otra mitad. Por Cuenca: Sr. Melgarejo. congadas y N av arra . L a comisión propuso el artículo del modo s ig u ie n te : Por Salamanca : Sr. Onís. Art. 2.° El Gobierno, tan pronto como la oportunidad lo N…</t>
  </si>
  <si>
    <t>Arévalo, José</t>
  </si>
  <si>
    <t>José Arévalo</t>
  </si>
  <si>
    <t>…4. .“Ü j 1,249.. 6. ." II. 6,642. . 2 .. 1 1 ,604,953.. 5 .. 29 Otra id-, pecho de Lastras, término de Berja, Malicia 2.a, por D. Antonio Llorca , en 18. Otra id. , loma de la Higuera, término del L aujar, el Ro­ sario, por D. José Arévalo, en 18. DERECHOS DE EXPORTACION. Otra id., sierra Alamilla,cuesta de las Tejas, término de V ia- tor, la Blanca, para llamarla la Paz, por Amaro de Rei ¿a, Derecho Real. Depósito. Arbitrios locales. Balanza. Total. en 19. Otra i d . , sierra de Baza, Calar de P e r r e r a , térm in…</t>
  </si>
  <si>
    <t>Arévalo, Víctor Manuel</t>
  </si>
  <si>
    <t>Víctor Manuel Arévalo</t>
  </si>
  <si>
    <t>…rias religiosas secularizadas en esta corte, sobre pa­ ion en la plaza de médico titular de las aguas minerales que ción del extinguido primer batallón de Guadalajara. go de sus haberes. levan el nombre de dicho pueblo. 171. D. Víctor Manuel Arévalo, sobre simultaneidad de 214. Francisca Jorge Boisson, natural de Francia, soli­ 252. Doña María de la O N águens, pidiendo se adopten años escolásticos. citando carta de naturaleza. carias medidas relativas al crédito público. ' 172. D. Juan Antonio Recarey, sobre validez de…</t>
  </si>
  <si>
    <t>Ascutia, Lucas</t>
  </si>
  <si>
    <t>Lucas Ascutia</t>
  </si>
  <si>
    <t>…ragoza, par. Cijamos, por D. Rafael de la Fuente , en id. Materias que contiene el tomo primero. Otra de hierro en sierra Nevada, hoya del Espino, térm i­ Descuento de letras , á 6 por 100 al año. no de Dilar , San Lucas, por D. Lucas Ascutia, en id. Después de una noticia de la vida y escritos del Padre Juan Otra plomiza en sierra de G ador, hoya de M artos, térm i­ de M ariana, y de una tabla cronológica de los Emperadores no de Laujar, San Antonio de Lozano, por José Lozano, en 7. romanos y Reyes godos que fueron Señore…</t>
  </si>
  <si>
    <t>ASD</t>
  </si>
  <si>
    <t>…iel García de García I por la Cámara de los Diputados. El marques de Laplace ha Caballero, juez de Navalcarnero; y para esta resulta á D. Jua n ] presentado su informe acerca de la ley relativa á la quinta de ROBO DE LAS T IE N D A S DE LOS ARM EROS» Antonio Beojumea , electo de Alpueote. 1 803 hombres. El resto de la sesión se ha ocupado en el escruti­ Para la judicatura de término de A vila, vacante por haber { nio sobre la ley que pide un crédito para las pensiones milita­ Se llevó á efecto este atentado asi como todos l…</t>
  </si>
  <si>
    <t>Asensio, Juan</t>
  </si>
  <si>
    <t>Juan Asensio</t>
  </si>
  <si>
    <t>…ientos, y los sitios en q u e, diencia de Madrid, para una reiatoría vacante en la misma urgente del camino de Málaga el ingeniero D. Sera lia Der- á falta de ellos, se habrán de construir casernas ó barracones por muerte de D. Juan Asensio , á D. Francisco Pellico Pa- gui , que el director general ha puesto á sus órdenes, marchó y que verificado esto y evacuada la conferencia cou la dipi?Li­ ^«igua. con el aparejador D. Ildefonso Valera para que se fuese ha- ción proviucial , para que fue citado, solo aguarda que cejeu…</t>
  </si>
  <si>
    <t>ASERIE</t>
  </si>
  <si>
    <t>11/07/1839</t>
  </si>
  <si>
    <t>Gaceta de Madrid n.º 1699</t>
  </si>
  <si>
    <t>…i n u ­ t o s , á 6 y 8 rs. tivos no se les tendrá por m atriculados, y por consiguiente no JULIO DE 1839. M u erte forzada á las chin che s, á 2 rsi g an a ra n curso. Polvos para m a ta r las moscas, á u n real. S E G U N D A S E R I E . T O M O I . _ N U M . 2.° Ápreciable bálsamo para c u ra r toda ciase de dolores , llagas, h e rid a s , y cortar el vómito de s a n g r e , á 4 rs* Contiene los artículos sig u ie n te s: L A dirección general de Caminos ha acordado sacar á pública L íq u id o p ara q u ita r toda…</t>
  </si>
  <si>
    <t>Asi, Cristóbal</t>
  </si>
  <si>
    <t>Cristóbal Asi</t>
  </si>
  <si>
    <t>05/09/1839</t>
  </si>
  <si>
    <t>Gaceta de Madrid n.º 1758</t>
  </si>
  <si>
    <t>…Igualmente ha tenido á bien S. M . nombrar para la p ro - truidas las defensas visibles y apagados los fuegos. i d a d , el que cangeados y llegados á Castellón á primeros de es­ motoría fiscal del juzgado de Iluercal Overa á D. Cristóbal Asi tuvo efecto en gran parte en los siguientes dias, reem­ te mes, y a principiado el sitio de T a le s, los oficiales prisioneros Ballesta Parra , y para la de Baeza á D. Demetrio Asenjo y plazándose con otra que hice venir de Onda^ una pieza de | e n M a e ila , me pidieron un fusil par…</t>
  </si>
  <si>
    <t>Asi, Java.</t>
  </si>
  <si>
    <t>Java. Asi</t>
  </si>
  <si>
    <t>21/07/1839</t>
  </si>
  <si>
    <t>Gaceta de Madrid n.º 1709</t>
  </si>
  <si>
    <t>…......... 10,22.......................... 10,66 tado por muchos años en una colonia de los trópicos, estaba en 183 0.................... 6,56........................... 13,66 posición de apreciar las doctrinas del gobernador de Java. Asi pues, cuando desde los principios de la agronomía pasé á la aplicación de esta ciencia á las colonias para extinguir la men­ , 1851................... 1 0 ,2 4 .......................... 1832.................... 9,58........................... 20,92 55,00 COLECCION DE LEYES. 1833 20,…</t>
  </si>
  <si>
    <t>Asi, López Berrio.</t>
  </si>
  <si>
    <t>López Berrio. Asi</t>
  </si>
  <si>
    <t>…los jueces extraogeros, y ha sido mas Se anunció haber sido agregado a la quinta sección el se­ estaba concebido en el proyecto. de una ó dos veces, que tenga yo conocimiento, ocasión de dis­ ñor A d a o a , y á la sexta el Sr. López Berrio. Asi pues, una vez que los señores de la comisión no retiran turbios en aquel p a is, asi como lo ha sido también eu otras El Sr Sánchez de la Fuente suplicó al Sr. Secretario de la su proem io, y no dejan qué el Senado vote el proyecto del Con­ muchas; porque sabido es que siempre qu…</t>
  </si>
  <si>
    <t>Asimismo</t>
  </si>
  <si>
    <t>19/09/1839</t>
  </si>
  <si>
    <t>Gaceta de Madrid n.º 1773</t>
  </si>
  <si>
    <t>…ción graciosa ó remu­ A continuación se leyó una proposición del Sr. Lujan para Se acordó pasar á la comisión de Actas. neratoria ó por otras traslativas de dominio.” que el Congreso acordase un voto de gracias al general duque Asimismo se dió cuenta de que las secciones habían nom­ El Sr. L A N D E R O , como autor de la enmienda, la apoyó de la Victoria y al ejército que bajo sus órdenes ha terminado brado para la diputación que ha de poner en manos de S. M. demostrando la necesidad de hacer las supresiones que en ella…</t>
  </si>
  <si>
    <t>Asimismo, Bomfin.</t>
  </si>
  <si>
    <t>Bomfin. Asimismo</t>
  </si>
  <si>
    <t>04/12/1839</t>
  </si>
  <si>
    <t>Gaceta de Madrid n.º 1851</t>
  </si>
  <si>
    <t>…tran q u ilid ad : todos son p e!igro s,y la servia in terinam en te, y nombrando en su lugar y con el mis­ consternación reina en todas las clases. Los comerciantes quie­ A m sterdam 19 d e N oviem bre. mo carácter al conde de Bomfin. Asimismo ha admitido S. M . b r a n , las clases proletarias perecen de necesidad en las calles, y mas de 40 dementes arrojados de su asilo divagan por las ca­ las dimisiones del referido barón da Sabrosa como presidente del Entre otras muchas cuestiones importantes se está suscitan­ lles a…</t>
  </si>
  <si>
    <t>Asimismo, José</t>
  </si>
  <si>
    <t>José Asimismo</t>
  </si>
  <si>
    <t>…ento de ejecución contra los mismos y sus fiadores. nom bram iento se incluyen en la Guia de Forasteros, que para la del año de 1840 se sirvan pasar notas certificadas en la forma que se han extendido en ios años anteriores D. José Asimismo se cita, llama y emplaza á D. Antonio Leizaval, á la im prenta Nacional, donde deberán hallarse precisa­ Gorocochea Fernandez Acuña, D. Manuel Muñoz, D. Juan Bautista Tj^N virtud de providencia del Sr. juez de primera instancia D. Benito Serrauo y Aliaga , se saca nuevamente á p ú ­…</t>
  </si>
  <si>
    <t>Aspicoz</t>
  </si>
  <si>
    <t>…an terio r, en que gefe con toda la d iv isió n , según dicen para Bétera , y ha en­ Con la sexta entrega que se dará el viernes próximo se com­ manifiesta que convenido con el gefe político de L é r id a , dis­ trado el general Aspicoz á las seis de la misma tarde con una pleta el tomo 1.° de esta acogida colección, y se dará su ín d i­ puso que el capitán D. M anuel Soler Yilella saliese al oscure­ pequeña escolta de caballena 4 ° ligero, pues dicen que se ha ce y portada. cer del dia 21 con toda la compañía de Nacional…</t>
  </si>
  <si>
    <t>Aspircz</t>
  </si>
  <si>
    <t>…concurran en Castellón 15 de Ju lio. El 15 á las ocho de la noche entró forma por el oficio del escribano D. Fernando Perez de A zpilla- paradas. El interés novelesco,que pocos han sal.)ido m ane­ en esta ciudad el Sr. general Aspircz con la primera división g a , donde se halla radicado el expediente, á deducir el derecho ja r como él, llega siem pre a su, m ayor girado en medio ó á del ejército, y ayer 14 á las diez de la mañana lo verificó el que pueda asistirles ; con prevención que de no hacerlo se pro­ los dos terc…</t>
  </si>
  <si>
    <t>Aspiroz</t>
  </si>
  <si>
    <t>…igo dirigió para reocuparlos, cumpliendo asi valerosa y fiel­ tando nuestra bandera asimilada en el pago de derechos á bre de 1 8 3 8 , sobre cualidades de jueces y fiscales, se en­ mente la orden que comuniqué al citado general Aspiroz para la francesa, se ha hecho extensivo á los buques españoles tiende de los fiscales que hayan obtenido ú obtuvieren su que las conservase. M i principal objeto en esta determinación este nuevo reglam ento, de cuya favorable disposición te n ­ nombramiento de tales después del citado d ec…</t>
  </si>
  <si>
    <t>…lafamés, cuyo punto principió ¿ hostilizar con artillería. ción del número de operarios que se han invertido en las obras lla, por decirlo asi, herméticamente cerrada. Esta es una de las Que noticioso de este incidente el general Aspiroz, que se ha­ de la expresada carretera en la primera semana del mes de la consecuencias mas deplorables de la triste situación de la Polo­ blaba empeñado en un reconocimiento sobre el fuerte de A y o - fecha, y de los adelantos que se han hecho. nia. Los complots y conspiraciones se suceden r…</t>
  </si>
  <si>
    <t>…an bría sepultarse en la ruina antes que sucumbir. Es de creer que dante del bloqueo aparentar á la plaza fuerzas y recursos que sido licenciados; pero si se considera que puestos en las filas re*- á esta hora se halle el general Aspiroz próximo á dicho punto, no existían, y que avanzara la reacción, que en la absoluta in ­ beides de D. Cárlos podian optar á la misma gracia , porque la en cuyo socorro ha marchado á las cuatro de la mañana en el comunicación en que se hallaban los sublevados de toda noticia guerra civil tiene…</t>
  </si>
  <si>
    <t>…usencia ó e n fe rm e d a d , n o m b ra rá la d i ­ El general en gefe del ejercito del Centro trascribe un p a r­ rección u n su p len te: pero asi este como aquellos h a n de te que le dirige con fecha 16 del actual el general Aspiroz , en S. M. la Reina Gobernadora , con presencia de la clasifica­ h a b e r ejercido 12 años por lo m enos la profesión. que manifiesta que el dia antes habia emprendido un reconoci­ ción de solicitudes remitida por la junta de damas de honor y Art. 6.° No se proveerán las prim eras plazas q…</t>
  </si>
  <si>
    <t>…y menor, hisopo fétido, tida; y hace unos dias trajeron otros tantos. defraudadas, será una prueba de que en España , como en to­ escordio , acedera , aristoloquia , vivorora, toda clase de poleos Por Alpuente se halla el general Aspiroz con 11 batallones dos los países , con la paz renace la afición á las artes y á las y mentas, nepeta, marifolla, manzanilla superior, el haro, hie­ y bastante artillería, y no sabemos si será con el objeto de ata­ letras; y de que las dulces inspiraciones de la poesías y las me­ dra terrestr…</t>
  </si>
  <si>
    <t>Astiz, Ventura Martínez Remoa y D. Francisco</t>
  </si>
  <si>
    <t>Ventura Martínez Remoa y D. Francisco Astiz</t>
  </si>
  <si>
    <t>…. Manuel Guinea , D. José de Mesa, D. A n­ Velez , S. Antonio , por Nicolás Cabrera , en 22. tonio Marte! y Nuñez, D. Francisco Gómez Acebo, D. Pedro Otra i d . , calar de Guejar Sierra , término de i d . , S. T r i- Ibañez, D. Ventura Martínez Remoa y D. Francisco Astiz, IM P R E N T A N A C IO N A L baldo, por D. Juan Nepomuceno Villalada, en 22. quienes por unanimidad declararon 110 haber lugar á la for­ Otra id ., cuesta de las Tejas, cerro de la Fuente del Lo­ mación de causa. bo, término de V ia to r , El Sauri, p…</t>
  </si>
  <si>
    <t>Astorga</t>
  </si>
  <si>
    <t>…Las cartas dé Dublín anuncian que lord Normandy ten­ «M arques de Castelldosrius. « D . Evaristo San Clemente, marques de Montesa. drá por sucesor á lord Radnet. La tranquilidad de la Irlanda «D . Félix Torres A rnat, obispo de Astorga. se ve turbada con harta frécuencia por asesinatos. (Sun.) «D . Ramón M acia Lleopart. O rense. D. B urgos. «Conde de Puñorirostro. «M arques de V ilum a. «D . José Alvarez Pestaña. - Según una carta de Filadelfia sir John Colbóurne había «M arques de Falces. «M arques de Leis. fijado el…</t>
  </si>
  <si>
    <t>…ena razón la d ic tab a ; examinó los TorreaIta , D. Alvaro Gómez Becerra, D. José M a iía Reig, Cádiz , exceptuando la isla de San Fernando ; he creído conve­ hechos que habían dado lugar á la formaciou de causa ; exa­ obispo de Astorga, obispo electo de Oviedo, marques de V ilu m a, niente que continúe aun el de Sevilla , supuesto que los recien­ minó detenidamente el caso en que se encontraba ; descendió á D. Rafael Caamaño y P ardo , D. Joaquín M aría Ferrer , Don tes acontecimientos de su capital tienen aun viva la sen…</t>
  </si>
  <si>
    <t>…l. También manifestó la directiva que los ocho voca­ La primera clase ha sido tan considerable que ha absorbi­ se encontraban en ella las personas mas notables de la capital les que debían salir este año eran los Sres. obispo de Astorga, do las dos terceras partes del fondo como debía esperarse en el de uno y otro sexo. Quijana, M eras, Acevedo, Escario, Arias, Campo y Perez primer año de la sociedad , habiéndose de hacer locales para es­ Abrió la sesión el Presidente de la junta directiva Sr. d u ­ González, y que para ree…</t>
  </si>
  <si>
    <t>…la ir, á quieh dehe tún exéelefité^ obsérvacióñes Ma e'_ br. Be^rauQ por los, adela ntamientos que,en él se notan. de tas- belías* le trá s\ el principió de lá im ilac ión y i p s j n t iá d ^ p o r r i n a l m é n t é , el Sr. Astorga , como de la sección de e s c u l tu -, ■í v - \ "• - - '• /' • • ■ - - Aristóteles y 'T íb r a c í o , y desenvuelto y .demostrado híéTa^la ía,-pKfms.o tm. retrato á caballo» hecho de barro con cóloféá, so-? C m sti&amp; uciok europea f é o n c u y a observancia se evitarán tas evidencia por é…</t>
  </si>
  <si>
    <t>…rticulo. nuestro eutenaer la tendencia hostil de la Gran Bretaña contra y que los nombramientos no se publicarán hasta el viernes. Presentamos los pormenores que se refieren á la Biblia espa­ M ehemet-Alí. ñola del R. obispo de Astorga , como habíamos ofiecido en 7 P. D. 6on las ocho de la noche.z: \caba de llegar el v i r e y , de M ay o último. Son tan raras las ocasiones que se nos ofrecen sia embargo que no se le aguardaba hasta tnañ&amp;ua. Ea este de hablar de lo que se refiere á la iglesia de E spaña, nos halla­ L a…</t>
  </si>
  <si>
    <t>…o. KViendo , dice en El 'pá tria rea de Us Indias, inquisidor general , el Sr. de Ar­ ella , que cunde cada dia mas entre el pueblo la lectura de la G U IA D E FO R A STE R O S. ce , y e) arzobispo de Palm ira, tío del obispo de Astorga , que Bibúa en español, y que en las edicioa&lt;io extranjeras, y hasta había hablado á Carlos tv , Rey de España, acerca de ia nece­ en las que se han hecho en Barcelona y otros puntos, se han D e orden del Sr. Ministro de ia G o bernación se p re ­ sidad que tenia el pueblo español de una nue…</t>
  </si>
  <si>
    <t>20/02/1839</t>
  </si>
  <si>
    <t>Gaceta de Madrid n.º 1558</t>
  </si>
  <si>
    <t>…erior ilustración resolverá lo queestirae mas acertado. cuyo obsequio la compuso D. A ntonio C oyian, cura propio de ^ A rt. 10. Con las certificaciones del exámen de salida podrán M adrid 4 de Febrero de 1859.^F elix, obispo de Astorga.—Se­ la iglesia parroquial de nuestro patrón S. Cecilio, de la cjudac} pasar los que hayan estudiado en un instituto á las universida­ bastian García de Ochoa. r : José Alcántara. —Vicente Ramos.— de G ranada /exam inador sinodal del mismo arzobispado y el de des á recibir en ellas el grad…</t>
  </si>
  <si>
    <t>…...Baleares (Islas/ tidas y llevadas a cupnplido término con la conciencia y Marques de Castelldosrius. ............* Barcelona. SUBASTAS. buena íé que desde la primera pagina se echan de ver en D. Félix Torre* A m at, obispo de Astorga. . . . Idem. los Cortesanos y la Revolución, se hacen indudablemente Marques de Falces. ..............................................Burgos. C E subasta el arrendamiento de los pastos de rastrojera é ití- merecedores del aprecio común, y honran en alto grado Conde de Adanero..............…</t>
  </si>
  <si>
    <t>…a Biblia moderadas ydevirtuosas,una especie torbellino, donde todas las clases, aun las mas no pueden sustraerse á las sensaciodes opinión, y adoptado las del Gabinete ingles, todo al contra­ española publicada por el obispo de Astorga: dice usted que fuertes y variadas de placer, de dolor, de ambición, de gloria, rio de Kosrew-bajá, que ha mitigado sus prevenciones contra aquel respetable prelado desembolsó todo el importe de impre­ Mebemet-Alí. Hoy añadiremos , según noticias seguras que se sión &amp;c .: en una palabra, q…</t>
  </si>
  <si>
    <t>At-, Antonio</t>
  </si>
  <si>
    <t>Antonio At-</t>
  </si>
  <si>
    <t>…de revisión de Actas un ofi­ poder su caballo, sable y carabina. cio del Sr. Secretario del Despacho de la Gobernación de la Que en otro encuentro que tuvo la partida de los Chornos Península acompañando la renuucia que hace D. Antonio At- al mando de su comandante Rodríguez, fueron muertos eo el meller, Diputado electo por la provincia de Gerona. campo dos facciosos y hechos tres prisioneros , á quienes se co­ FR A N C IA . Igual resolución recayó á otra comunicación de dicho señor gieron dos yeguas, cinco fusiles , tres…</t>
  </si>
  <si>
    <t>ATA</t>
  </si>
  <si>
    <t>16/03/1839</t>
  </si>
  <si>
    <t>Gaceta de Madrid n.º 1582</t>
  </si>
  <si>
    <t>…......................... 1 8 1 9 0 5 6 . . 16 1 8 1 9 0 3 6 . . ' 16 León......................................... 748700 6 2 5 6 1 .. 17 8 1 1 0 6 1 .. 17 Lérida............ ....................................... „ : ' '• D A T A .' ,2 7 9 0 7 8 7 1 5 .. 5 L ogroño..................................................... 651Ó44 . . 5 1 5 1 5 5 5 .. 17 702598 I4 L u g o ...................................................... 1515800 1 9 5 1 5 9 .. 5 1508959 . 5 M adrid................. ....................................…</t>
  </si>
  <si>
    <t>Ata-</t>
  </si>
  <si>
    <t>…Pares, ni le prestaron homenaje personal; mas babilidades, emparentado con la familia cariovingia. Eli cada llería de San Vicente, cuyo edificio será preciso batir con arti­ gruesa, y asi parece que lo intenta el brigadier. D. Ata- tampoco lo hicieron ni por el señorío de Mompeller , ni esta época tomaron los beneficios militares la forma de nasio Aleson. por el condado de Provenza, ni por otras tierras y feudos feudos y fueron hereditarios de hecho, y poco clespuos de Conseguido el objeto de este gefe, que fue á hacer un…</t>
  </si>
  <si>
    <t>Atanasio</t>
  </si>
  <si>
    <t>…nviniendo guimos uu camino lento nada adelantaremos; únicamente po­ Art. 4*° Se señala igualmente á Doña María Dolores San con algunos señores en que no debía haberse puesto en la ley, dremos Juan , viuda del coronel graduado D. Atanasio M endivil, te­ pero que ya puesto, el Congreso debe aprobarle, porque es de mos los hallar medios, porque los hay, si vencemos y obtene­ objetos que nos proponemos. No me atreveré á indicar niente coronel mayor de infantería y gefe de la plana mayor suma que fue del ejército de la derecha,…</t>
  </si>
  <si>
    <t>Atenas</t>
  </si>
  <si>
    <t>13/06/1839</t>
  </si>
  <si>
    <t>Gaceta de Madrid n.º 1671</t>
  </si>
  <si>
    <t>…En el sitio de que estamos tratando han pasado suce­ cena la linda comedia en dos actos, y que tanta aceptación me­ Descuento de letras, á 6 por 100 al año. reció en sus últimas representaciones, titulada: sivamente el duque de Atenas, Gauthier de Brienne, un intrigante que no se sabe cómo llegó á hacerse Rey de EL RAMILLETE Y LA CARTA. Florencia. Expulsado este, empezaron á darse á conocer los Médicis, legítimos usurpadores de Florencia, no obs­ PROVIDENCIAS JUDICIALES. tante ser este el tiempo en que el pueblo decia…</t>
  </si>
  <si>
    <t>Atlántico, Océano</t>
  </si>
  <si>
    <t>Océano Atlántico</t>
  </si>
  <si>
    <t>…se haya fijado la exacta situación de tan pe­ ligroso escollo. Continuamos mura estribor al NNE hasta DATO OCTAVO. 00 .. 558G . 05" 50°.. 37'.. 55" las siete de la mañana; a cuya hora, distantes dos millas ^ La carta general del Océano Atlántico, publicada en Promedios 56°.. 53'.. 48" N. 3o. . 05;. . 45" O. del Cabo, viramos en vuelta del S. A mi entender se ha­ Londres el año 1821 por Juan Purdy, de que se hicieron lla el Bajo en la carta muy al O; yo diria que demora al después otras ediciones corregidas en 1826 y 27, sit…</t>
  </si>
  <si>
    <t>Atribuye, Clemencin.</t>
  </si>
  <si>
    <t>Clemencin. Atribuye</t>
  </si>
  <si>
    <t>…la segunda, son de los trozos mas filoso- fíeos y ai mismo tiempo mas elocuentes que han salido de nuestro idioma, dos negaciones, en lugar de afirmar, con­ E l ingenioso hidalgo Don Quijote de la M ancha com­ la pluma del Sr. Clemencin. Atribuye con mucha razón al firman la negación, y lo prueba con numerosos ejemplos puesto por M iguel de Cervantes f Saavcdra, y comen­ ilotismo político y civil a que se sometieron los moros con­ de Cervantes y de otros escritores y con la autoridad del tado por D. D iego Clemencia. Pa…</t>
  </si>
  <si>
    <t>Auch</t>
  </si>
  <si>
    <t>…ado de L eó n , vacante por muerte del cardenal relativo á la definición demasiado vaga é imperfecta del carác­ reconocer ni en lo judicial los límites de su intervención, in ­ Fesch, á Monseñor el cardenal dTsoard , arzobispo de Auch. ter y circunstancias que constituyen el delito de usura. En terpuesta casi siempre sin oportunidad. Comenzado apenas un (.M oniteur .) consecuencia el Ministro se ha comprometido á presentar á las ¡negocio en un juzgado ó trib u n al, la legación ha ocurrido in ­ Cámaras un proyecto de ley que…</t>
  </si>
  <si>
    <t>Audres</t>
  </si>
  <si>
    <t>…rminación de fortificar las villas y castillos de Almenara y C ádiz, \ b. Zaragoza, 2 d. La redacción cuenta con que darán sus trabajos para el O nda, como está realizándose , y la feliz aprehensión de 7900 periódico los Sres. D. Audres L e a l, D. José M aría H u et, Don fusiles, con el bergantín conductor, verificada en los Alfaques Descuento de le tra s, á 6 por 100 al año. Juan Bravo M u rillo , D. Joaquín Francisco Pacheco, D. M a­ de Tortosa, y la correspondencia arrojada al mar por el capitán nuel Perez Hernández y ot…</t>
  </si>
  <si>
    <t>AUe</t>
  </si>
  <si>
    <t>…agoza un drama nuevo, n es e u r o p e a s , por D. Alejandro Llórente. Muchos de nuestros conciudadanos ignoran que en Metz, titulado D. P e d r o e l C ru el , obra del Sr. D. José I í u i c i , hijo V iñ as y bodegas, por D. A. U. entre el puente del arsenal y el puente co lgante, en la confluen­ de aquella heroica c iu d a d , y ha tenido el éxito mas favorable. Uua novela y varios cuadros de costumbres, por D. F ra n ­ cia del Mosela y de la Seila, un hombre ú t i l , laborioso y mo­ El Excmo. ayuntam iento constituc…</t>
  </si>
  <si>
    <t>Augustowo</t>
  </si>
  <si>
    <t>…r termino á ellos, y va á en­ Prusia entre el Gobierno y el clero católico se representa en El Sr. ONDOVILLA propuso se suspendiese por hoy la jug ar las lágrimas que el temerario empeño de ese Príncipe Polonia donde el obispo de Augustowo se niega , como los ar­ discusión de este dictámen, y quedase sobre la mesa. nos hiciera verter. zobispos de Colonia y de Posen, á bendecir todo matrimonio No habiéndose accedido á esta propuesta, se leyó el art. 65 V. M. que siempre ha sido una madre solícita de lo$ es­ misto. Aquel prel…</t>
  </si>
  <si>
    <t>Aumale</t>
  </si>
  <si>
    <t>…r que habia llegado á infundir con sus no regresará á Paris hasta últimos de Octubre. $u delito. De Real o rd e n lo com unico á V. E. para su co­ Atrocidades tenia consternados á sus habitantes. El duque de Nemours y el duque de Aumale saldrán á fines n o c im ien to y efectos consiguientes. Dios g u a rd e á V. Tb de Agosto para el campo de Fontainebleau. (Debuts .) m u c h o s años. M adrid de Agosto de 1839. = A la ix .= S e ñ o r ..... PARTE NO OFICIAL. El Rey ha dado la cantidad de id francos para la funda­ Excm o. S…</t>
  </si>
  <si>
    <t>…a escuadra tur­ pedición contra Abd-el-Kader. Hoy se dice que llevará de ayu­ incluyendo en ellos á D. Andrés Beiosa , padre del cabecilla ca ; y digan lo que quieran algunos corresponsales de esta ciu­ dante de campo al duque de Aumale su hermano. Ignoramos en muerto que tenia este nombre. dad , tenemos por seguro que la escuadra no será devuelta has­ qué se fundan estos rumores. En las operaciones de la línea de Portugal resultó un re­ ta después del arreglo de los negocios. Sea como quiera, parece que la partida del Prínc…</t>
  </si>
  <si>
    <t>Aunque, Andrés Muriel.</t>
  </si>
  <si>
    <t>Andrés Muriel. Aunque</t>
  </si>
  <si>
    <t>…el Sr. Rey D. Carlos n i, ó instrucción reserva- Id. 6.a Libertad, zr Cap. i. Libertad légalo civil. Cap. ii. ^ da para dirección de la Junta de estado que creó este M o­ TEARO DEL Libertad de imprenta. narca ; dada á luz por D. Andrés Muriel. Aunque mil m onu­ Tomo segundo. mentos útiles y grandiosos anuncian y anunciarán al mundo la gloria del feliz reinado de Carlos nr en E spaña, se ocultan to­ Conversación 7.a Moral y fraternidad. davía en los archivos y librerías de los curiosos y amantes de la Id. 8.a Verdad. pot…</t>
  </si>
  <si>
    <t>Aurrecoecheá</t>
  </si>
  <si>
    <t>…á la publica* son mucho mas cuando la persona que las presenta ál público cion de este anuncio en la Gaceta del Gobierno. reuné á los conocimientos téóHcos la práctica y la experiencia: en este caso creemos que se baila el Sr. Aurrecoecheá, autor de este folleto. T ¡ T j Congreso de Yerona: guerra d e España: negociaciones: Se vende en el gabinete de lectura, bajada de San Martin colonias españolas. Obra escrita por el vizconde de C ha- á la del Arenal , údm. 2L, á 3 rs.</t>
  </si>
  <si>
    <t>Aurreepe-, José María</t>
  </si>
  <si>
    <t>José María Aurreepe-</t>
  </si>
  <si>
    <t>…l reino, por entregas de 32 páginas, á 2 --------— ----- ------ — — . p ------- -- reales vn. para M adrid y á 2$ para las provincias. O B SERV A CIO N ES écóñómicó^pohjicás sobre la admínistra- ^ ciou militar de España , por D. José María Aurreepe- chea. Como éste folleto tiene tan pocas págTúas , creemos excu­ C E declara vacante la plaza de médico cirujano de los nueve sado dar uua idea de su contenido-, tjúé siéaqíré seria insufi­ concejos de Ucieda á Renedo, en el valle de Cabuérniga, ciente, y que podrá suplirse Ven…</t>
  </si>
  <si>
    <t>Ausetn-</t>
  </si>
  <si>
    <t>…las Quesada , y de los alféreces de Escriben de Sitard : ridad judicial y administrativa , cuya facultad im pugna, al navio D. Nicolás Cbicarro y D. Manuel A bad, cuyos oficia­ Los preparativos para el recibimiento del conde de Ausetn- paso que cree necesario el que entieuda en los negocios gra­ les, cada uno con su fu sil, acompañaron á la tropa y marine­ bourg se prosiguen con actividad en el Limburgo. La guardia ves que prescribe la Constitución, tales como las alianzas rea­ ría para conseguir que se mantuviese el or…</t>
  </si>
  <si>
    <t>Ausnn</t>
  </si>
  <si>
    <t>08/09/1839</t>
  </si>
  <si>
    <t>Gaceta de Madrid n.º 1761</t>
  </si>
  <si>
    <t>…roas, muy verosímil. Las goza (el 5 de Marzo), no pudieron los carlistas recoger el menor » resoluciones violentas no son del temperamento de nuestro mi­ motivo de queja , ¿cómo se les daría ahora que celebramos la El Sr. abad Ausnn, gefe de la iglesia evangélica francesa, nisterio. Pero si se opinase que la Inglaterra nos llevaba dema­ paz con ellos? No son generosos, ya lo sabemos; pero lo somos acaba de dirigir al señor obispo de Versalles la retractación siado lejos , esta seria una razón para declinar desde el prioci…</t>
  </si>
  <si>
    <t>Auson</t>
  </si>
  <si>
    <t>…s y pública de sus errore-j, y la expresión de su mas vivo arrepen­ pio la responsabilidad de un paso tal como el que se nos ha muestras de una generosidad, que aun agradecida no esperamos timiento. Mucho tiempo hacia que el abad Auson había re­ anunciado por el telégrafo. Ahora , lo que en todo otro caso de su fanatismo. suelto entrar en el aeno de la iglesia católica, apostólica y ro­ hubiese podido pasar por moderación, no merecería roas nom­ mana. bre que el de debilidad. Hasta después de haber sufrido un desaire del b…</t>
  </si>
  <si>
    <t>Austin</t>
  </si>
  <si>
    <t>…a grande porción de que vieue á EJorrio. no 50. tie rra , la cual ha servido de modelo pura otras varias concesio­ nes que le han sucedido. Burgos 19 de Julio . E5 17 salió para O rduña un convoy El establecimiento del coronel Austin , en el distrito llama­ de ocho carros con pantalones y camisas para el ejército. do. Rio Brazos , se compone ahora de 15§ habitantes. La salu­ Por la tarde entró la diligencia procedente de esa corte con B IB L IO G R A FIA . bridad del clima y la fertilidad extraordinaria de Tejas , luego…</t>
  </si>
  <si>
    <t>Autenil</t>
  </si>
  <si>
    <t>…iere por­ La gravedad de los jueces no pudo sostenerse mas al oir la que habia sido có m ico !!... Su viuda se vió precisada á ir historia de tan extraño régimen, y la cueuta del boticario fue á Versalles acompañada del cura de Autenil ,, á echarse á los VARIEDADES. reducida á la mitad. pies del Rey y á quejarse de la injuria que se hacia á la memo­ El latiu macarrónico que emplea el doctor del E nferm o de ria de su marido. M O L I E R E CO M ICO Y A U T O R . aprensión ie habia sido sugerido á Moliere por Boileau en u…</t>
  </si>
  <si>
    <t>Avelino, Andrés</t>
  </si>
  <si>
    <t>Andrés Avelino</t>
  </si>
  <si>
    <t>…Sr. auditor de guerra honorario, juez letrado, Premios. Pesos. Id. D. Pedro Ignacio de Acosta . . ................... 4 .2 D, Benigno Orbegoso. .................. 4 íd. D. José María Cortés, capellán con cura de al* El relator D. Andrés Avelino M ena. .............. 5 mas en Regla 4 .. 2 El abogado t). Juan de Rojas............................ 5 1................ * d e .. 8000 ps. f s .. . , 8000 Id. D. Anastasio José C uadra, teniente de cura El licenciado D. José Bello.. . . ................ 3 3................. d e .. 20…</t>
  </si>
  <si>
    <t>Avellana, Piamon</t>
  </si>
  <si>
    <t>Piamon Avellana</t>
  </si>
  <si>
    <t>…ico. 7 por fin , habiéndose pasado al 4*° nilitares de las divisiones, batallones, compañías ó destácamen­ De 20 á 2 5 ................................................................. 88 sorteo salió el nú i d . 5 , esto es, D. Piamon Avellana , y quedó os que se hallen en las poblaciones inmediatas # bien sean fijas De 25 á 5 0 ...................... 6i para el último D. José Iloca. por temporadas ó transeúntes. De 50 á 5 5 . .......................................................................................... 87…</t>
  </si>
  <si>
    <t>Avellana, Rarnon</t>
  </si>
  <si>
    <t>Rarnon Avellana</t>
  </si>
  <si>
    <t>…am o s, M anuel Seoane, vecino de San V i ­ pleados en tan nefando comercio. 4* D. Francisco de Asís Presas. cente de Arceo, eutregando un fusil ingles recortado. Hoy ha entrado en el Tajo la escuna de guerra F a y a l con 5. D. Rarnon Avellana.</t>
  </si>
  <si>
    <t>AVENDERE</t>
  </si>
  <si>
    <t>13/11/1839</t>
  </si>
  <si>
    <t>Gaceta de Madrid n.º 1830</t>
  </si>
  <si>
    <t>…te con casa de S an­ tanto agradó en sus primeras representaciones, titulada I L d i M f T . V ' f T 011 al,GobJiero° ,pgOimo á Sevilla y C á - tos Carbonero, y por mediodía con la expresada calle Real: tie­ C A R R O Z Z IN O D A V E N D E R E , música de D. Basilio Ba- d.z Madnd 11 de Noviembre de I 8 ñ 9 - D e orden del capitán, ne de sitio 4102 pies, y fuera de la expresada casa, arrimado sili. da teCIDF . .. Terreno , el coronel primer a y u ­ á los pajares, 1 0 5 L pies, valuada en 684 Í rs. 24 mrs. Parte segunda.…</t>
  </si>
  <si>
    <t>…resiones del momento, se echa de ver que versi­ dad, una ópera nueva en un acto } titulada IL CARROZZINO E a este establecimiento se han recibido los géneros si­ ficaron en algunos ratos de holganza, ágenos de toda pretensión, D A V E N D E R E , música expresamente escrita por el maestro guientes: y persuadidos quizá que sus producciones serian tan perecede­ D. Basilio Basili. Linimento para curar la sarna solo con untarse la palma ras y transitorias como la ocasión que las produjo. De aqui el de la mano, cada bote á 10…</t>
  </si>
  <si>
    <t>AVI, BEN</t>
  </si>
  <si>
    <t>BEN AVI</t>
  </si>
  <si>
    <t>…erno. vo de un expediente seguido de antemano de resultas de una pe­ Se puso á discusión el art. 2.° El Sr. ÍIE R O S dice que renuncia ta palabra en atención á tición de D. Juan Luis González, párroco déla ciudad deB ae- El Sr. BEN AVI D E S , después de m anifestarla sorpresa qué que todos convienen en la necesidad de las represalias, y cree z a ; y en los documentos remitidos ha hallado cuanto deseaba le había causado, asi á él como á otros Diputados la presenta­ que lo que debe tratarse es de formularlas , y se reserva…</t>
  </si>
  <si>
    <t>Avila</t>
  </si>
  <si>
    <t>…astilla la Vieja con fecha 8 del ac­ Escriben del Havre con fecha 2 de Noviembre : tual dice que el presentado D. Lorenzo Chaves , comisionado Por noticias de los Erados-Unidos se sabe que el Gobierno por el comandante general de Avila para la persecución de 2 í C O N F E D E R A C IO N G E R M A N IC A . federal, instruido de las expediciones inglesas á la Nueva Zelan­ facciosos montados de la partida de Palillos, logró alcanzarlos da , ha nombrado á Mr. Fitz Dhu de Barbtowa cónsul ameri­ con los 16 hombres de su m ando, y…</t>
  </si>
  <si>
    <t>…....... 1785.. l León.......................... 15735.20 14 del actual, y con referencia á parte que ha recibido del en­ 14.. ........................ 58 L. 5 Lcnda» .. , . . . . . . 5403..26 cargado de la comandancia general de Avila, dice que la fac­ 15 ............... 107..24 Logroño................... 38763-19 ción Perdiz ha sido batida el 8 por la columna que manda el 16 ...................... 491.. 2 Lugo. . . ................. 3999.. 18 capitán del 4*° batallón franco de aquel distrito D. Santiago i? ............…</t>
  </si>
  <si>
    <t>…; y en el puesto junto á la iglesia de San Luis á 5 rs. Juzgado de Amortización. Intendencia general militar. Tresillo: cuaderno en 4*° á 4 rs* Por providencia del Sr. intendente subdelegado de Rentas de Pastoral del obispo de Avila á 5 rs. Por Real orden que roe ha sido comunicada esta provincia se cita y emplaza á cualquiera persona que sepa lentísimo Sr. Secretario del Despacho de la Guerra con esta por el Exce­ Todos tres se encuentran en dichas librerías. del paradero de los créditos de la deuda del Estado, que se…</t>
  </si>
  <si>
    <t>Ay, Barrio</t>
  </si>
  <si>
    <t>Barrio Ay</t>
  </si>
  <si>
    <t>…das de fueros^ Yo pregunto : aünque al art. i.° se le quiera dar la duda del reglamento , y á la necesidad que hay de entrar en las aguerridas y valientes tropas gue manda el joven caudillo inteligencia que ha manifestado el Sr. Barrio Ay uso, ¿puede la discusión de los proyectos, es inadmisible la enmienda ; y si vencedor de T ales, perseguirán al expresado infernal cabeci­ cumplirse con lo prevenido en el 105 abierta ya la discusión? se adm ite, pido que también se admita la mia. lla y sus hordas hasta hacerlas desapare…</t>
  </si>
  <si>
    <t>…; pero ha Tan lejos estaba de hablar en esta parte, que habiendo con­ legal , tenían que presentarse los ejemplares en el término que tratado de conseguirlo hasta el punto de que los resultados sentido en que iba á hablar el Sr. Barrio Ay uso, dije a! señor fuera mas hábil para el resultado. No insisto mas en esto por­ pueden tomarse en cuenta para juzgar de los medios: ¿puede Presidente que no iba á hablar. Pero luego, como se iba á pre­ que he manifestado mis ideas, y ya digo , no perteuecen á esto desconocerse? ¿puede…</t>
  </si>
  <si>
    <t>AY, CA LA TE</t>
  </si>
  <si>
    <t>CA LA TE AY</t>
  </si>
  <si>
    <t>…presentarían' se proponía» solo conseguiría establecer gastes considerables que tos díetíiimenes. ai esa jauta cantidades líquidas; añadiendo , respecto á que .no' «o estaban de «ingnua manera en relación eos tel. provecho El Sr. CA LA TE AY. A, replicó qoe si a que la ley .se eo tien­ sé coro prendiera» las causas incoadas en el articuló» qué el ex­ q#e de dichas juMas res# liaba. Qne ademas i la acción expedi­ da desechada» podía volver á la comisión para, que h exami­ presarlo no era de■ahsolata necesidad, pues ni las; ju…</t>
  </si>
  <si>
    <t>Aya</t>
  </si>
  <si>
    <t>…tra 26. la comisión debía modificar su dictámen. 4 ba°t e or!e Per|ddico, donde se admitirán suscripciones desde Se leyó el dictámen relativo á la proposición cuarta, acerca El Sr. Q U IN T O contentó á las observacioues del Sr. Aya!» guientes: rs* vn* Los individuos suscritos hoyJ son los si­ de si los proyectos de ley ó reglamento que tienen su orígeo de que la diputación provincial habia excluido indebidamente mas los Sres. Senadores quedarían suspensos, mientras sus autores no de la mitad de los electores de Gibraleon…</t>
  </si>
  <si>
    <t>AYALA</t>
  </si>
  <si>
    <t>…que tratarse de la reelección del Sr. Castro, dice que habiéndosele dia dejar de ser Diputado español por ponerse una condeco­ fue nombrado el Sr. Baeza. nombrado decano del tribunal especial de las Ordenes , no ha ración. El Sr. AYALA Y MOR LA dice que á pesar de !a exac­ sido comunicada la orden ni al interesado ni al tribunal. El Sr. Castro es víis tin to ; no se apele* ál ingenio , no á las titud de cuanto ha manifestado el Sr. Pelegrin, se ha olvidado El Sr. Castro era Ministro de Gracia* v Justicia en 6 de sutilezas,…</t>
  </si>
  <si>
    <t>Ayala</t>
  </si>
  <si>
    <t>…rían juntas las dos primas-donnas: El Sr. C O R T IN A : Dos equivocaciones ha padecido mi hoy , mejor informados, debemos manifestar que la Sra. Lom - su arresto: ¿qué jurisprudencia nos rige hoy? ¿Q ué D ip u ta­ amigo el Sr. Ayala sin duda por no haberme oido bien. do podrá dormir tranquilo, cuando ve que se detiene á un ciu­ bía se ha encargado de la parte que la Sra. Campos habia de Es la primera haber dicho que la comisión propone que se dadano 10 ú 11 meses en prisión? ¿Asi se juega con la liber­ desempeñar. Creemo…</t>
  </si>
  <si>
    <t>…estión de ta n ta im p o r ta n ­ u n a resp o nsabilidad m oral inm ensa a n te los mismos colegios ver con el presente , porque era excepcional. cia. El Gobierno de S. M . debe estar pues bien convencido de electorales. El Sr. A Y A L A , conformándose con el primero y tercer q u e u n paso m al dado puede tra e r funestas c o n secuencias, y la Se suspendió esta discusión para d a r l u g a r á qu e p restaran p árra fo del d i c t á m e n , no podia convenir con el s e g u n d o , en in s in u a c ió n que hace es ext…</t>
  </si>
  <si>
    <t>…henar á todo buen español, no digo de tristeza , sino de El Sr. B E N A V I D E S : Estoy satisfecho. que se acabó la reunión sin que se reclamase uada absoluta­ indignación. No ha apelado á sus opiniones particulares, ha El Sr. A Y A L A : Ha dicho el Sr. Quinto que por varios mente. apelado á su opinión como representante de Dios en la tierra, documentos consta evidentemente la ilegalidad de las eleccio­ Si pues nada se le ha pedido al Gobierno , me parece que "N o son intereses temporales, sino los de Dios” dice en su…</t>
  </si>
  <si>
    <t>…ra y haberse votado al mismo tiempo , con lo cual se J u r ó y tomó asiento el Sr. Esteban. 2.° las Reales órdenes; y en últim o lu g a r las circulares é ins­ ubiera ahorrado esta discusión: manifiesta que con esta exci­ El Sr. A Y A L A presentó una proposición para que el Con­ trucciones de las direcciones generales. A l principio de cada tación se pone en un nuevo compromiso al Gobieruo, por c uya greso se sirviese pedir al Gobierno todos los antecedentes que tom o , y a sea este de seis meses ó de un a ñ o , según los…</t>
  </si>
  <si>
    <t>…­ sición legal para que las comisiones diesen ese aviso al Gobier­ de las elecciones de Huelva. póles; otros en fin creen que discurrirá por el Mediterráneo, n o , podía darse el caso en que no se hiciese con la debida au El Sr. A Y A L A dijo que insistiendo hoy la comisión en su pronta siempre en caso de alguna ocurrencia eo Sicilia. El 9 ticipacion, y se viese comprometido á presentarse en la discu dictámen después de haber visto los documentos que en su pro­ debía salir de Génova para pasar á Tolon. (L e Temps,) sion…</t>
  </si>
  <si>
    <t>…e coacción capaz de i n ­ á las elecciones; ¿ pero qué hicieron en apoyo de la autoridac contados desde la publicación de este aviso. validar las elecciones. que los habia m an dado ? Esto no consta ; y aunque dije el di£ El Sr. A Y A L A observó que la certificación de compare­ anterior que la coacción es m u y diíicil de p ro b ar, no por esc cencia leida por el Sr. Quinto era del mismo que compareció. deja de tener pruebas. A qu i se dice que fueron mandados cor Liceo artístico y literario . El Sr. C O R T A Z A R repro…</t>
  </si>
  <si>
    <t>29/09/1839</t>
  </si>
  <si>
    <t>Gaceta de Madrid n.º 1785</t>
  </si>
  <si>
    <t>…ia indispensable que se t ir el d ictám en que en la a c tu a lid a d se discute. g u i e n t e era v a l i d a , por mas que la copia fuese ile g al. anulasen todas las elecciones de los demas distritos. Se hizo c a r ­ El Sr. A Y A L A : M e propongo hacer presente al Congreso O tro comisionado de distrito se ha fu n d a d o en que h a b ie n ­ el mal com portam iento con que se produjo en estas eleccioues la go y contestó á las observaciones expuestas por los señores q u e d o h a bid o e m p ate en la elección de la m…</t>
  </si>
  <si>
    <t>Ayala, Valeriano</t>
  </si>
  <si>
    <t>Valeriano Ayala</t>
  </si>
  <si>
    <t>…llo.. . . ................ 3 3................. d e .. 2000................... 6000 de W ajay . 5 .. i El licenciado D. Fernando José M ontilla.. . . . . . . 5 15................. d e......... 500.................... 6500 Id. D. Valeriano Ayala 2.. 1 Licenciado D. Antonio G alv ez.................. 5 66 . . . . . . . . d e.. 50................... 5500 D. José Mariano Ramírez y Notario , eclesiástico Licenciado D. José de Jesús Fernandez. ........... 5 114 d e.. 24................... 2756 de la vicaria de Piñal del Rio 4 ..…</t>
  </si>
  <si>
    <t>AYALAYMORLA</t>
  </si>
  <si>
    <t>…casión al Gobierno para poder abu- espero que el Congreso desaprobará el dictámen de la cornision. niente, como creo que no lo tendrá, se puede proceder desde sar&gt;? que era indispensable mostrar mayor severidad. Pues bien, El Sr. A Y A L A Y M O R L A : Las cortas observaciones que luego á la interpelación. señores, hoy se hallan los Sres. Diputados en el caso de apro­ ha hecho el Sr. Sancho, pueden reducirse á dos. La primera El Sr. duque d? GOR dijo, según pudimos entender, que bar el voto de la comisión respecto al Sr. Fe…</t>
  </si>
  <si>
    <t>…onsabilidad ninguna el poder judicial, y no hay otro der en los procedimientos contra los Diputados. mestra , porque para unas funciones puramente españolas, no m edio, entretanto que se forma una ley sobre la materia, que El Sr. A Y A L A Y M O R L A : La misma razón que ha da­ debia postergarse á otras óperas la de un maestro español, que recurrir á ese triste y reprobadísimo recurso. tan justos y merecidos aplausos ha reportado de ella, que ha do S. S. para creer que puede ser ú t i l , es la que me asiste á mí ¿E s p…</t>
  </si>
  <si>
    <t>Ayamans</t>
  </si>
  <si>
    <t>…R osa, Salva, Rodríguez del V alle, Q u iroga, Olivan, bienio, y el Presidente no se considera con facultad para impe­ al prender al Diputado Alvarez sin et permiso prévio del Con­ Barrio A yu so, marques de Someruelos, conde de Ayamans, d ir su lectura. greso. Yo repito que reconvengo al Gobierno por la inopor­ barón de Casablanca, Valterra , Zaforteza , Pardo Montenegro, El Sr. A R G U E L L E S indico que no había sido su ánimo tunidad con que se han leido esos documentos cuando se está Vázquez Moscoso , Sr. Presidente.…</t>
  </si>
  <si>
    <t>Ayer</t>
  </si>
  <si>
    <t>…e se espera de G ibraltar, se dará la es­ Marcha el embajador á caballo, seguido de dos ayudantes hizo un presente. cuadra á la vela para Levante. de campo á pie. Vestidos con los trajes orientales que ocultaban enteramen­ P. D. Ayer á las diez ha llegado el Aqueronte de Gibraltar Detrás de estos, y á Ja derecha, iban los oficiales de la m a­ te los nuestros europeos, pasamos al tercer recinto del serrallo, con la mala de Londres. rina francesa: á la izquierda los agregados á la embajada ; y en donde dos gentiles hombres (c…</t>
  </si>
  <si>
    <t>Ayer, España.</t>
  </si>
  <si>
    <t>España. Ayer</t>
  </si>
  <si>
    <t>…s se lee lo siguiente: cos antiguos, á contar y á reconocer los numerosos monumen­ A la vista tenemos la facción reunida , estando á la cabeza tos byzantinos que adornan aun aquella ciudad, los jóvenes su general el ex-conde de España. Ayer se presentaron tres fac­ Guadalajara 5 de Setiembre. anticuarios se han detenido especialmente en la iglesia de la ciosos: unos 200, queriendo practicar lo mismo, cayeron en po­ Transfiguración, antigua catedral de Atenas, y que hoy sir­ der de su caballería y los llevaron presos á Be…</t>
  </si>
  <si>
    <t>Ayer-</t>
  </si>
  <si>
    <t>…su comunidad. 17 tes pormenores sobre la acción de Segura. cuando despertase se le hiciese creer que era Monarca d u ­ El R. P. prior del convento de S. Agustín i d .. . . 17 Ya supongo sabrán VV. por los partes de este general Ayer- rante un d ia; y que vuelto á em briagar se le restituyese Comendador de la merced id............................. 17 ve el resultado de nuestra batalla ganada, y por ella se habrán á su prim er miseria. En esta conseja trivial descubrió el Presbítero D. Manuel Donoso, cura párroco de enterado…</t>
  </si>
  <si>
    <t>Ayerbe</t>
  </si>
  <si>
    <t>…ertad de percibir sus derechos de curación del vecindario, se asegura que el sábado anterior fue completamente batida la excepto los que devenguen en las causas criminales de oiicio. facción de Cabrera por las tropas del general Ayerbe, en unión que Los tenia libros de caballería debian agradar á una sociedad todas las virtudes y vicios de la niñez, como fue Loja Marzo 25 de 1859. con las del brigadier Parra , en las inmediaciones de Segura, habiendo también llegado las del general en gefe, concluida ya la de la edad me…</t>
  </si>
  <si>
    <t>Ayerve</t>
  </si>
  <si>
    <t>…del señor juez de primera instancia de esta gura y con el nombre de Pasmo de Sicilia. tal los prisioneros hechos á la facción en la última acción dada piso bajoD. Juan José Rodríguez Valdeosera, que la tiene en el por el general Ayerve, y una porción de heridos que existían el indicadodefin, la territorial , de doce á dos de cualquier dia , con Otro cuadro del inmortal Urbino (Rafael) que representa lo y por ante el escribano del número del crimen siguiente. Cuando el Señor era conducido al Calvario con la en Montalvan. Po…</t>
  </si>
  <si>
    <t>…dar lo que le falta de mordente le participa la acciou que sostuvo el dia anterior con las tropas el estado de la enseñanza en 15 de Octubre próximo pasadc y de limpieza. Cantó las dos grandes cavatinas de la Sonndm­ del general Ayerve, suponiendo fue muy ventajosa á sus a r­ el estado de todas las secciones es brillante. bula y de Amia Bolena de una manera tan brillante, que mas desleales. Aritmética.zzHasta regla de tres compuesta fueron exarni bastó á desarmar la crítica mas severa. A cada frase de efectc Aragón Las pe…</t>
  </si>
  <si>
    <t>…I 4, prés le Ía*ú*w£diftcÍQues de Orduña, dando las voces de "muera M a- Palais Royale et le theatre fran cais; á razón de 8 rs. por mes i-.jfp yí,y# Cabrera ; ya perseguido por algunas fuerzas Z aragoza 8 de M arzo. É l general Ayerve continúa en para M ad rid , y 10 para fu e ra , franco de porte. ^iaveats^ y á'igual persecución, como dejo indicado, parece se C ariñena, para donde ha salido ua convoy de víveres en la Los números sueltos se venden en Madrid , á 10 rs. sibdgpauJátftbíeq Goñi y C anin a; mas me han asegurado…</t>
  </si>
  <si>
    <t>…Sr. Lasagra, estimulado siempre jero de Justicia, Presidente de la Cámara de Diputados , estaba por su pasión dominante , para descansar de sus tareas le­ también resuelto á renunciar su destino, y solo á duras penas El general Ayerve con las divisiones segunda de reserva y gislativas, y cuando el Ínteres de los debates parlamenta­ ha conseguido el Gobierno hacerle que desista de su intento. la, brigada Parra se hallaban ayer en Muniesa y Cortes. La fac­ rios no exigian La Cámara de Diputados no se compone en realidad ma…</t>
  </si>
  <si>
    <t>14/06/1839</t>
  </si>
  <si>
    <t>Gaceta de Madrid n.º 1672</t>
  </si>
  <si>
    <t>…osamente poético, y qu e r a r a vez cuenta de las funciones del Liceo, y tanto que hemos dado lu­ gar á que las nuevas de ellas nos hayan veoido por Madrid. sabe templar. Hé aqui el soliloquio de u n a m a n te q u e El general Ayerve con sus tropas debe hallarse ya sobre q u ie re pintar la vehem encia de su p a sión : Conformes en el fondo con el corresponsal del Correo N a cio ­ Montalvau. n al , que las describe, creemos sin embargo que hay algo de xnas y de menos en sus artículos; sin duda porque el corres­ Una escala…</t>
  </si>
  <si>
    <t>…r que el enemigo habia ar­ arrancándome del pecho. desempeñadas con ún celo digno de los' mayores elogios, y al­ rebatado de sus masadas, y muerto un faccioso. Semíramis, rodeada al morir de las fantasmas de cuantos El general Ayerve d ice, según se asegura , desde Cariñena, gunas con una inteligencia superior a todo encomio. La que de Historia general ha abierto D . Antonio G il y habián sido víctimas de su s crímenes, nos obliga á acordarnos qne acababa de llegar un factor de la brigada Parra anuncián­ del Ricardo iti…</t>
  </si>
  <si>
    <t>20/06/1839</t>
  </si>
  <si>
    <t>Gaceta de Madrid n.º 1678</t>
  </si>
  <si>
    <t>…da ventaja, porque siendo la inten­ Por providencia del Sr. iutendéiite de re fitas de pro­ ción del autor ofrecer una lección útil acerca de las bella- vincia , se cita y empLzi á cualquiera persona que sepa deí pa­ El general Ayerve con siete batallones se halla en Cariñena. que//as y manejos de ciertas gentes, de ningún modo se radero de dos certificaciones de deuda sin interés, la una n u ­ llega mas derechamente á este fin que presentando las co&lt; mero 115,552, de rs. vil. 72,089 y 22 mrs. , y la otra número sas y la…</t>
  </si>
  <si>
    <t>…sioneros fugados del depósito de Burgos. habían de admirar con su valor y fidelidad era á los aragone­ guel enetanos de las islas Baleares, le da m uerte Beren­ el momento de desem barcar, instigado de celos. chite. El general Ayerve con su división se encuentra en Bel­ ses! La Patria los bendice. ' Pero apenas acaba de cometer el fratricidio, siente el peso Idem 20. La aproximación de los rebeldes á Cuarte y C a- del rem ordim iento, y exclam a: drete no salió cierta. Hoy i las once de la mañana ha entrado en esta cap…</t>
  </si>
  <si>
    <t>…ada de su esposo, llevando el rios proyectos de ley (Je ínteres local. El resto de ta sesión se na niño consigo, y suplicó al siervo de idos disipase las sos» consagrado á dictámenes de peticiones que no han ocasionado E! general Ayerve con cuatro batallones y 690 caballos de­ pechas injuriosas de su marido. No bien hubo acabado de ningún debate importante. ( Debuts.) bió pernoctar anoche en Martin dei Rio. El general Amor con informar al Santo, cuando el tierno infante, que descan­ la división de Reserva habrá llegado hoy…</t>
  </si>
  <si>
    <t>…le ha­ las publicaciones relativas á tan interesante objeto, dando los ha situado en Cortes. cen amables; y este debe ser el objeto, la verdadera misión del programas extensos de las funciones, con un ligero análisis an­ El Sr. Ayerve arengó á la tropa al dar la señal de ataque, poeta , obligar á la sociedad á que ame la virtud y le rinda sus tes de su ejecución, que ampliará después; é insertando todas y se arrojó á los enemigos con el ímpetu del rayo. (Id.) homenajes. Un verso feliz grava mejor una máxima importante las…</t>
  </si>
  <si>
    <t>…arla la mano : ve después á Ro­ tíficos y especulativos. llama una temeridad. saura y quiere forzarla. En una palabra , todas sus pasiones 4*° La misma facilidad para la carrera de las armas. Nada quiero decir de nuestro general Ayerve: es mu y en­ son brutales, é hijas de la ilusión de los sentidos, sin fre­ 5.° El establecimiento en fin de seminarios para los jovenes tusiasta, y tuvo un golpe de vista tan feliz, que á él se deben no alg u n o , ni aun el que unos afectos suelen im poner á luxemburgueses que piensen dedic…</t>
  </si>
  <si>
    <t>Ayerve, Joaquín</t>
  </si>
  <si>
    <t>Joaquín Ayerve</t>
  </si>
  <si>
    <t>…incia, que parificará con la de iguales dei año Capitanía general de Aragón.=Estado mayor.r^Seccion cen- Marzo de 1839.=A D. Isidro Alaix. anterior de 1838. Esta demostración revelará á primera tral.—Excmo. Sr.: El Sr. geueral D. Joaquín Ayerve, coman­ vista el estado de abyección ó vitalidad de esas oficinas; dante general de la segunda división del ejército del Centro, y proponiéndome yo presentarlo en la junta que se cele­ desdeEnCortes el día con fecha 25 del actual me dice lo siguiente: de hoy han recibido siete bat…</t>
  </si>
  <si>
    <t>Ayguals, Wenceslao</t>
  </si>
  <si>
    <t>Wenceslao Ayguals</t>
  </si>
  <si>
    <t>…ez, se apoderaría de mi alma el mayor sentimiento al conside­ frates. No se comprende cómo no hayan llamado la atención de antes. Ibrahim -baja los preparativos de un movimiento en los cuales El digno comandante del batallón D. Wenceslao Ayguals rar por los apuros que eran necesarios para solventarla ; pero hoy fortuna los labradores han principiado á coger el fruto de debe haberse empleado mucho tiempo , pues ciertamente los ge­ de Izco ha dado un singular ejemplo de desprendimiento y sus desvelos, y ya tienen recursos…</t>
  </si>
  <si>
    <t>AYI</t>
  </si>
  <si>
    <t>21/05/1839</t>
  </si>
  <si>
    <t>Gaceta de Madrid n.º 1648</t>
  </si>
  <si>
    <t>…to á sus casas se armaron precipitada­ tunidad para coronar á la nación de glo ria! mente , y fueron á reunirse con los valientes soldados. Casi en todas partes se habian tomado las barricadas á la bayoneta por PE D R A R IA S D A Y IL A . las dos armas reunidas en medio de un granizo de balas que Entre los dramas románticos que han visto la luz pública PRUSIA. les disparaban desde las casas ocupadas por los facciosos. La de algunos años á esta parte, hemos leido uno , impreso últim a­ barricada de la calle del Arbol sec…</t>
  </si>
  <si>
    <t>AyIIon</t>
  </si>
  <si>
    <t>…eñores de la comisión, y no quisiera equivocarme, mitad del diezmo que por la ley de 16 de Julio de 1857 se hace pagará en la contribución extraordinaria de guerra por frutos reo que era uno de ellos el Sr. Burriel, y otro el Sr. AyIIon, á la agricultura en la contribución extraordinaria de guerra, se civiles , ó sea paja y utensilios, tanto, por ejemplo, un 50 por ae contestaron por medio del primero de dichos señores que se entienda en favor por mitad de los colonos ó arrendatarios y 10 0 5 pagará por consumos tanto, otro…</t>
  </si>
  <si>
    <t>Ayllon</t>
  </si>
  <si>
    <t>…1811, título oneroso &amp;c? Por eso no es fácil aqui resolver la cues­ cuya lectura se verificó á su petición , asi como la del art. 1 .° tión. A rt. 2.° Es privativo de los ayuntamientos: de la ley de 19 de Julio de 1853. El Sr. Ayllon ha dicho m uy bien que estas cuestiones se 1.° Adm itir bajo las condiciones prescritas en las leyes y El Sr. Ministro de la G O B E R N A C IO N : Yo no he dicho ventilan judicialmente. Si los iuteresados conocian que podían reglamentos, los facultativos de medicina, cirugía, farmacia que…</t>
  </si>
  <si>
    <t>AYLLON</t>
  </si>
  <si>
    <t>…causa del que hay que no lo están , y que aunque lo esten no vienen preparados. mi discurso. que cubrir otras necesidades, que.hay que atender á otros obje­ Esta es la dificultad que me ocurre. N o importa que si no hay El Sr. A Y L L O N : Señores, me mueve á pedir la palabra tos del dia , no la mala administración , la cual para calificar­ asuntos señalados, no nos ocupemos en nada, porque mejor es lá consideración de que se anularía el derecho dé petición , ya la asi, es necesario no prescindir de una infinidad de cons…</t>
  </si>
  <si>
    <t>…der judicial se traspase por la facultad om­ Congreso. do , ruega á la comisión tenga á bien retirar su dictamen. nímoda que reside en el Congreso. A petición del Sr. Ternprado se leyó nuevamente el a rtíc u ­ A petición del Sr. Ayllon se leyeron los artículos2 92 y 287 u n D ip u tad o , sea que cometa un delito i n J ' r a g a r t t i , ó sea lo 29 de la Constitución. de la Constitución de I 8 i 2 , y el 5.° y 4-° d e la de que se halle procesado, el Congreso tiene que hacer una ju s t i­ El Sr. Ministro de G R A C IA Y J…</t>
  </si>
  <si>
    <t>…ia á BdrgGs. 4 0 y 58 á v. f. ó vol. á prima de 1 , f , 5 dieziseisavos, | y hasta que se halle presente el Gobierno por haber manifestado Nombramiento del general Sardsfield para el mando de las i por 100 , con cupones. el Sr. Ayllon que, pidieudo en ella el ayuntam iento constitucio­ Inscripciones en el g ran libro á 4 Por 1 0 0 , 00. tropas que deben operar sobre las p rovincias, y varias disposi­ nal de M adrid , entre otras cosas, que se exija la responsabili­ ciones notables sobre este asunto. Títulos a l portador d…</t>
  </si>
  <si>
    <t>…ipe , nutn. 15, tica. A pesar de esto la cuestión ha vuelto otra vez al terreno con la que no se habia podido menos de sorprender á los sen­ cuarto entresuelo de la izquierda. en que estaba el dia a n te rio r; asi que, el Sr. Ayllon ha fun d a­ cillos habitantes de la provincia de Huelva , poco instruidosec do la mayor parte de su discurso contra la legalidad de las elec­ materia de Gobierno, y que quizá no habrían formado aun su ciones de H uelva en la exclusión indebida de 500 electores, la opinión sobre la clase…</t>
  </si>
  <si>
    <t>Ayuntamiento, Campos.</t>
  </si>
  <si>
    <t>Campos. Ayuntamiento</t>
  </si>
  <si>
    <t>…iada ; poesía de Don M álaga, id. Manuel Bretón de los Herreros, música del mismo maestro C ar- Santander, par. nicer , también expresamente compuesta para esta función; será Alicante, 1 d. Santiago, 2 d. ejecutada por la Sra. Campos. Ayuntamiento constitucional de Madrid . Barcelona á ps. fs., par. Sevilla, 1 | id. 4.0 Fantasía de fagot por Mr. Villent, desempeñada por el Bilbao, id. Valencia, par. joven profesor D. Casimiro Mellier. Habiéndose denunciado ante el Sr. alcalde constitucional de Cádiz, i £ á * d. Zaragoz…</t>
  </si>
  <si>
    <t>Ayuso, Barrio</t>
  </si>
  <si>
    <t>Barrio Ayuso</t>
  </si>
  <si>
    <t>…erá que éste gobernador militar con va á discutirse; pero á todo el proyecto después de abierta la res que fuese nominal. los oficiales y tropa de la guarnición , que este ayuntamiento discusión no es posible. Yo pregunto al Sr. Barrio Ayuso, El Sr. O LÓ ZAG A pidió que se leyese el art. 155 del re­ constitucional, que el cura párroco y clero, y que la Milicia ¿qué preferencia merece esta enmienda que se ha presentado? glamento.</t>
  </si>
  <si>
    <t>AYUSO, BARRIO</t>
  </si>
  <si>
    <t>BARRIO AYUSO</t>
  </si>
  <si>
    <t>…que habia que se daba por parte del Sr. M inistro: que nunca habia sido proyecto*. (S í Sr. Leal indico que se Leyese la reform a del querido hablar. su ánimo ofender al Gobierno ni hacerle cargos, pues en ese reglamento.) El Sr. BARRIO AYUSO dijo que también había pedido la caso lo haría de una manera digna del Congreso , en quien es­ En la reforma del reglamento se trata del modo de dirigir palabra ; pero que se contentaba con el lugar que eo la lista le taba representada la nación. las enmiendas, y si deben ó no discutir…</t>
  </si>
  <si>
    <t>…ificado el escrutinio resultó haber obtenido el Sr. Calatrava 55 Las protestas de las juntas son ya en ese caso directamente al omisión que pueden compararse con el que nos ocupa en este votos, el Sr. Zumalacarregui 2 5 , el Sr. Barrio Ayuso 2 , el Congreso. jomento, no solo por la semejanza de los casos, sino también Sr. Arguelles 1. Total de votantes 81. Mayoría absoluta 42. Se Respecto á la admisión del Sr. Arteta la comisión ha tr a ta ­ or la casi absoluta identidad : hoy mismo se ha discutido el re- anunció quedar el…</t>
  </si>
  <si>
    <t>Azara</t>
  </si>
  <si>
    <t>22/12/1839</t>
  </si>
  <si>
    <t>Gaceta de Madrid n.º 1869</t>
  </si>
  <si>
    <t>…Inscripciones en el gran libro á 5 por 10 0 , 00. coo que el autor ha sabido hacer á un mismo tiempo agrada­ Manuel Bretón de los Herreros , música del mismo maestro Car­ ble é instructiva su obra, y la maestría con que el Sr. Azara nicer , también expresamente compuesta para esta función; será Títulos al portador del 5 por 100, 27£ con cupones al con­ tado : 2 7 } , £ , 28 , 27 ooce dieziseisavos, | , 2 8 | y 28* á v. f. supo trasladarla á nuestro idioma;desde luego podrá asegurar­ ejecutada por la Sra. Campos. ó vol.…</t>
  </si>
  <si>
    <t>Azcon, Mariano</t>
  </si>
  <si>
    <t>Mariano Azcon</t>
  </si>
  <si>
    <t>…porque en ella los lectores, ademas de en­ nal de esta capital, y por mi testimonio, se ha formado expe­ Bilbao, par. V alencia, \ din. b. contrar todas las doctrinas contenidas en la primera , hallarán diente á instancia de D. Mariano Azcon con la calidad de apo­ Cádiz, 1 d. Zaragoza, £ id. también ¡as notables mejoras que ha recibido el Ensayo , asi en derado del Sr. D. Bonifacio M ir, abogado y vecino de la villa la coordinación de las materias que abraza, como en un consi­ de Trernp, en Cataluña , y Diputado a Cortes p…</t>
  </si>
  <si>
    <t>Azcuénaga</t>
  </si>
  <si>
    <t>…ritorio. Cato- L a comisión no puede pasar en silencio el merecido elogio que pueden llegar) al recinto de Cantavieja ó Morella , sitiados tico ferviente, es particularmente á los católicos á quienes se á que es acreedora la Sra. Azcuénaga por su constancia en la entre aquellos montes, y cortadas las comunicaciones y recursos dirige Mr. de Gerlache, preguntándoles si pueden, descono­ educación del bello sexo habanero, no desmayando su celo é con casi todos los puntos de aquella circunferencia? ciendo los tratados, hacer un a…</t>
  </si>
  <si>
    <t>Azcárate, Gabriel</t>
  </si>
  <si>
    <t>Gabriel Azcárate</t>
  </si>
  <si>
    <t>…y fueron donados generosa y voluntariamente por los Sres. al­ ciaciones secretas para encaminarse con mas seguridad á sus que el alrna de las sociedades secretas no es siquiera el fervor y caldes, presidente D. Baltasar M oró, D. Gabriel Azcárate, fines, y a sirviéndose de ellas como de un escudo en tiempos de celo por la propagación ó el triunfo de ciertas doctrinas ó sis­ D Miguel M artínez y D. Manuel Fernandez. Con las 25 ban­ intolerancia civál ó religio sa, y a empleándolas como una mina te m as, sino la bastarda ambic…</t>
  </si>
  <si>
    <t>Azcárate, Nicolás</t>
  </si>
  <si>
    <t>Nicolás Azcárate</t>
  </si>
  <si>
    <t>…el dia 16 del corriente, y la PARTE NO OFICIAL. NOTICIAS NACIONALES. Habana 5 de M arzo . justicia y el honor debido á tan laborioso preceptor nos obli­ gan á manifestar minuciosamente el orden de los exámenes. El alumno D. Nicolás Azcárate abrió el acto con una bre­ ve alocución dirigida á demostrar que cuando la villa de G ü i­ NOTICIAS EXTRANGERAS. REAL SOCIEDAD PA TR IÓ T IC A . Sección de educación. nes reúne hoy tantas circunstancias para su mayor civilización F R A N C IA . y engrandecimiento, debe imitar en…</t>
  </si>
  <si>
    <t>Aznar</t>
  </si>
  <si>
    <t>…LA GUERRA. la presidencia*, no se sorprenderá la Cámara de oírme propo­ ner abiertamente la candidatura del honorable representante del El brigadier segundo cabo de Valencia, con fecha 4 del ac­ tual:, participa que el general Aznar introdujo en Lucena el dia 1 ° un convoy de víveres, habiendo antes arrojado á los PARTE NO OFICIAL. N Las c rtb -Iíam p Jlire, Mr. Fb;iw Lefevre. {Estrepitosos aplausos.') cualidades dei honorable individuo son demasiado conoci­ rebeldes de cuantas posiciones ventajosas ocupaban en las al…</t>
  </si>
  <si>
    <t>…, de 10 y 12: arqueólogo á esta deferencia, todas las noches formaba el plan hombres. también se hacen tareas de encargo al estilo de A rag ó n , y no expedicionario para el dia siguiente. Unas veces, siguiendo el El Sr. general Aznar sigue en Lucena sin novedad, y pue­ gustando se devolverá el dinero. &gt; órJen cronológico, me hacia admirar los progresos de la arqui­ do asegurar que hay que comer en aquella villa para algún tectura griega, pasando por grados desde la infancia del arte tiempo. hasta su apogeo, y presentánd…</t>
  </si>
  <si>
    <t>23/07/1839</t>
  </si>
  <si>
    <t>Gaceta de Madrid n.º 1712 · extraordinaria</t>
  </si>
  <si>
    <t>…liber­ ñor Secretario de Estado en comunicación de 20 del actual, tad los dos batallones de infantería, los 40caballos y cinco pie- que una partida de 12 movilizados de Vinároz á beneficio de gas de montaña, que con el general Aznar se hallaban encerra­ una marcha rápida y de la oscuridad de ía noche entró el 14 dos y ya cuasi sin víveres. del actual en el pueblo de Rosell, ocupado constantemente por Se me acaban de incorporar dichas fuerzas, al mismo tiem­ los rebeldes; y á pesar de las considerables fuerzas énemígas…</t>
  </si>
  <si>
    <t>24/07/1839</t>
  </si>
  <si>
    <t>Gaceta de Madrid n.º 1713</t>
  </si>
  <si>
    <t>…a mañana ha entrado en nuestra La junta se celebrará en la capilla de los Estudios de San rada una fragata austríaca. El paquebote austríaco debe llegar Isidro. mañana. D écim o distrito. Las comunicaciones recibidas del general Aznar , si bien no aclaran las circunstancias, dan evidente testimonio del hecho Comprenda los barrios de Huerta del B a y o , M ira el R ío, M alta 7 de Julio.= L a escuadra inglesa ha partido hoy pa­ principal é interesante, y es que Lucena se ha salvado, y que ra Levante. Puerta de Toledo, San…</t>
  </si>
  <si>
    <t>…los al portador del 4 por 100, 00. *&lt; te y dictan L humanidad y la gratitud. Han veuidp custo­ ^ elementos esplanados de ella. Obra especialmente destina­ Yalés Reales no consolidados , 00. diados y asistidos por el Sr. general Aznar , y también ha lle­ da á la enseñanza de los alumnos del seminario de la escuela Deuda negociable de 5 por 100 á papel, 00. gado el Excroo. Sr. general en gefe con todas las tropas. normal de instrucción primaria de M adrid, y acomodada para Idem sin interés, 5y á 60 d. f. ó vol. nuevas. tod…</t>
  </si>
  <si>
    <t>Azpiroz</t>
  </si>
  <si>
    <t>01/12/1839</t>
  </si>
  <si>
    <t>Gaceta de Madrid n.º 1848</t>
  </si>
  <si>
    <t>N.» 1848. DOMINGO 1." DE DICIEMBRE DE 1839. D IE Z C U A R T O S. PARTE OFICIAL. que el general Azpiroz se apodero el 22 del fuerte enemigo lla­ mado Torre C astro, haciendo prisionera su g u arn ició n , com­ puesta de un capitán , tres tenientes, un subteniente y 76 in ­ brador y procurador síndico de Potes. — Francisco de La Ma-&gt; J rid .—José Perodia , labrador y Nacional. ^ L a a c de…</t>
  </si>
  <si>
    <t>02/11/1839</t>
  </si>
  <si>
    <t>Gaceta de Madrid n.º 1819</t>
  </si>
  <si>
    <t>…f á Zaragoza 29 de Octubre. Han felicitado á S. M. con motivo de los faustos sucesos de Españoles: 29^ las provincias del Norte los intendentes y demas empleados de Portugueses, 56. Hoy ha llegado á esta capital el señor general Azpiroz para Hacienda pública de las de Sevilla y Valencia. tomar el mando de la división que pasa á Cataluña. Compóne- se esta de dos batallones de S. Fernando, dos de Almansa, el El Parlamento se prorogará el jueves próximo al jueves 12 provincial de Valladelid y el de Jaén; una batería de obuse…</t>
  </si>
  <si>
    <t>…se dice, y tal es el ta de la laeultad de hablar entre sí; la esperanza había la fuerza valenciana, dos Latallones de Cabrera y tinos 400 ca­ sentido que se quiere dar á la palabra, que el pueblo es­ ballos, ordenó al brigadier Azpiroz, comandante general de la pañol se ha levantado en masa para subvertir un orden de abandonado ban, veian a los mas , y los pucos que alguna conserva­ tan remota su realización, que mas la alimen­ 1.a división, hiciese un reconocimiento sobre el enemigo , á fin cosas, y sustituir otro en s…</t>
  </si>
  <si>
    <t>TÍgiJos siempre por el eotendido coronel D. Juan Saraaníego, los dalos necesarios, puedan formarse, y se tne remítan, segun arm ada, y también acudió oportunamente el brigadier Azpiroz jgefc de la brigada &lt;del Norte. Al ser llamados estos cuerpos tengo prevenido. con parte de sus valientes tropas, que luego salieron para su para tomar parte en el combate, el regimiento provincial de ^ Dios guarde á V. E. muchos años. Cuartel general de Ca­ destino , á excepción de un La…</t>
  </si>
  <si>
    <t>…no por la izquierda enemiga , cor­ Sargentos, 6. llones enemigos ocupaban las alturas inmediatas. La columna rieron con generosa rivalidad á unírseles, despejando el frente C ab o s, 8. de cazadores de la división del general Azpiroz , apoyada por con ig u a l bravura. Tambores , 5. un batallón, ocupó las de la izquierda , desalojando á las fuer­ Verificado esto, el general Hoyos se d irigió con rapidez al Soldados, 40. zas destinadas á defenderlas. Inmediatamente procedí con los pueblo de T ales: un batallón de la R…</t>
  </si>
  <si>
    <t>11/12/1839</t>
  </si>
  <si>
    <t>Gaceta de Madrid n.º 1858</t>
  </si>
  <si>
    <t>…siense : Acaba de estallar la guerra en Africa : el Gobierno del Rey V alencia 4 de Diciembre . ha tomado todas las medidas que reclama la dignidad de la Francia. Se han dado órdenes para expedir al ejército de A r­ El general Azpiroz, comandante general de las tropas de gel refuerzos considera bies en soldados, caballos y materia), y Valencia y Murcia , con fecha 5 del actual desde Liria mani­ TEATRO 259 horabres van á ser llamados inmediatamente á las armas. fiesta que á fio de impedir las comunicaciones entre ias fa…</t>
  </si>
  <si>
    <t>14/11/1839</t>
  </si>
  <si>
    <t>Gaceta de Madrid n.º 1831</t>
  </si>
  <si>
    <t>…ning-Chroniclé hu­ Marenes. d1vUvat l1^TT0 t0Del.......... 1 • 1 24 33 biera debido añadir que seria de desear que el Gobierno francés ____ San Martin. ( üna bam ca* * 8 .. 8 blo delcaballería ría y destacadas por el general Azpiroz sobre el pue­ Toro capturaron en él siete facciosos armados, entre mostrase en fin toda su generosidad con una amnistía completa. 18 ! ____ Na n tes. 1 los cuales se hallan dos cabecillas famosos en dicho pais por sus Pnnligien. 1 robos y violencias. _ _ R o c h ille ...................…</t>
  </si>
  <si>
    <t>…todos los presentes y Idem 6. venideros, salud; hemos decretado y decretamos lo siguiente: (Extracto de partes recibidos en la capitanía general.) Se convocan la Cámara de los Pares y la de Diputados para La división del general Azpiroz salió ayer mañana de esta el 25 de Diciembre de 1859. plaza para Sarrion. A su paso por las inmediaciones del Toro El Excmo. Sr. comandante genera? de la primera división Nuestro M inistro Secretario de Estado del departamento de prendió una partida enemiga compuesta de I I hombres que eon…</t>
  </si>
  <si>
    <t>Ayer mañana pasó el general Azpiroz con 6 batallones y los Ministros como conspiradores, intentan solo comno' tura bajo eí techo doméstico, podía también contribuir á la fe­ 4 OO caballos escoltando un convoy hasta Sarrion, y por la tar­ verle, y causar sediciones para su provecho. licidad general; y necesitado ademas de su a…</t>
  </si>
  <si>
    <t>…de 180 pies de largo ponerse ai nivel de las demas tropas de la división : á las doce c urrir á medidas de rigor para castigar infracciones; pues obra por 150 de ancho. Las operaciones que se hacen alli son ver­ salió el general Azpiroz con los batallones 6.° l i g e r o , Almansa, t a n t o , aun en las imaginaciones mas dep ravadas, el aspecto de daderamente terríficas. Cuarenta y ocho fraguas suelen 4estar á Ceuta , Reina Gobernadora, provincial de León , una batería recogimiento y circunspección que reina en la c asa, q…</t>
  </si>
  <si>
    <t>Gaceta de Madrid n.º 1739 · extraordinaria</t>
  </si>
  <si>
    <t>…des que acau­ la altura , sin embargo de haberla defendido hasta tiro de pis­ dilladas por Cabrera ocupaban las posiciones de frente y flancos. tola de los parapetos, pronunciándose entonces la fuga de los La división del general Azpiroz marchó al amanecer á en­ enemigos por toda la cumbre hasta precipitarse en el profundo volverlas, y la del brigadier Hoyos secundaba el movimiento. barranco, desde el cual se eleva la cordillera de Arlaban y las Sin gran resistencia fueron ocupadas y rodeados los fuertes: escarpadas de Arama…</t>
  </si>
  <si>
    <t>…t or idades empleen los medios legales que Añade también el segundo cabo que por una comunicación forme al citado art. 26 de la Consiiiucion. Tendréislo en­ están á su alcance á fin de prevenir y r epr imi r la del 14 del general Azpiroz sabe que la brigada de la riberá te n d id o , y lo comunicareis a quien corresp orn la.=Y O LA menor pert urbación del orden. ocupó el pueblo y fuerte de Chelva el dia 12 , y que los ene­ R E I N A G ü B E R N A D O R A . = E n Palacio a 18 de Noviem­ L o s pueblos no pueden dis fr ut ar d…</t>
  </si>
  <si>
    <t>…el perjuicio que haya lugar. pies de su esclarecido trono , y con toda veneración exponen: reserva á M urviedro, desde donde ha pasado á V alen cia, y el Que siguiendo el noble ejemplo de V. A ., han tenido el sin­ Sr. general Azpiroz lo hizo con la 1.a división a esta ciudad gular placer de recorrer las paginas de la historia y de la geo­ conduciendo los heridos que habíamos tenido en el sitio de T a­ p O R providencia del Sr. juez de primera instancia de esta ca- grafía universal , infiriendo de su lectura que es last…</t>
  </si>
  <si>
    <t>…e que solo es capaz 400 plazas y la partida volante de D. Rafael Campillo con 16 la misma naturaleza. Este ensayo de la aplicación del nuevo caballos y 25 infantes, cuyos valientes á pesar de la superiori­ El Excmo. Sr. general Azpiroz con fecha de ayer anuncia instrumento, es quizá el primero que se haya hecho en España dad de los enemigos que se habian apoderado de algunas casas, su llegada á Losa y que se dirígia á Liria por víveres , habien­ y promete otros mas felices, atendida la inteligencia del posee­ trabaron un…</t>
  </si>
  <si>
    <t>26/04/1839</t>
  </si>
  <si>
    <t>Gaceta de Madrid n.º 1623</t>
  </si>
  <si>
    <t>…gar bastante delicioso y cómodo; separémonos aquí: mis com­ dicho señor por la escribanía del citado Manrique, que se ad— pañeros de viaje están ya acostados; yo estoy todavía gozando hay Elfuerza enemiga en Cabanes. Sr. general Azpiroz, gefe de la primera ¡división y la que tnitirán las que se hicieren siendo arregladas; en el concepto de del aire libre para acabar de fumar mi cigarro , contemplar la que opera por la ribera de Valencia, llegará esta tarde á esta y hora para su remate se ha señalado el dia 13 de Mayo próxim…</t>
  </si>
  <si>
    <t>…creíble sus obras de defensa, forti­ tía eo entregar la isla de Gandía á la Puerta otom ana, si las ficando á presencia del Sr. duque el pueblo de Linares. Potencias le responden de la posesión independiente del Egipto El general Azpiroz ha marchado á A lp uen te, hácia donde y de la Siria , incluso Adana. Las tripulaciones de la escuadra En la noche del 15 del actual se dió en Londres un gran se oye mucho fuego dos ó tres d ia s , suponiendo sea su objeto otomana solicitan volverse á T urquía. baile á beneficio de los emigr…</t>
  </si>
  <si>
    <t>…siles, cananas, 123 cartuchos y víveres. Extraido todo, y luego saca aguardiente, y aun después destina á basura el gún lo permite este escrito sentada antes la base de ser mas útil y retiradas las tropas, dispuso el Sr. general Azpiroz volar clitis del orujo seco y para la aves el granillo. al labrador el ganado vacuno, después el caballar, y por último el fuerte, cuya operación se verificó á las ocho de la noche. En el resto de la provincia apenas hay una viña , aunque el mular. Lo que se hace saber á los leales habitan…</t>
  </si>
  <si>
    <t>…ra división, que ha emprendido el movimiento á las cuatro non&gt;ia del animal. de la madrugada de hoy á consecuencia de una comunicación En la parte superior y hacia la cola tienen todos los balle­ Buñol 25 de Agosto. del general Azpiroz, que marchó á Valencia el 24 del corriente nopteros una aleta , que es lo que les da el nombre de ballena dirigida al gefe accidental de dicha fuerza, el cual ha m anda­ ton ala. En la especie del rostralus está algo desarrollado aquel fue Elfusilado miércoles 21 del corriente á las nueve…</t>
  </si>
  <si>
    <t>Azpiroz, Doña Teresa</t>
  </si>
  <si>
    <t>Doña Teresa Azpiroz</t>
  </si>
  <si>
    <t>…nejos verificados en la Rio- El marques viudo de Pontejos............................................. 100 á las letras, y conocer cuáles son las ventajas que han de con­ ja con igual objeto por D . Narciso Claudio de Arias y Don Doña Teresa Azpiroz............................ 50 seguir cultivándolas. Miguel Marrón. Doña Isabel Azpiroz...................................... 20 Deseosa la junta actual de gobierno de que la enseñanza que Movimientos de tropas y otras disposiciones dictadas por el Sr. D. M. T .................…</t>
  </si>
  <si>
    <t>Azpiroz, Francisco Javier</t>
  </si>
  <si>
    <t>Francisco Javier Azpiroz</t>
  </si>
  <si>
    <t>…erá á Bru­ facción. Parecía que este hombre no tenia otra misión que la de selas. (Journal allemand de Francfort.) Valencia 4 de M arzo . un agente revolucionario, excitando al desorden á las clases trabajadoras. El general D. Francisco Javier Azpiroz ha dirigido á l&lt;¿ Se han hecho visitas domiciliarias, tanto en la oficina del Escriben de Bruselas con fecha del 2 7 : habitantes de Onda la siguiente in vita ción - vw i periódico EL Belga como en las casas de algunos de sus redac­ Desde 1820 el Sena no ha salido de madre…</t>
  </si>
  <si>
    <t>Azpiroz, Isabel</t>
  </si>
  <si>
    <t>Isabel Azpiroz</t>
  </si>
  <si>
    <t>…........ 100 á las letras, y conocer cuáles son las ventajas que han de con­ ja con igual objeto por D . Narciso Claudio de Arias y Don Doña Teresa Azpiroz............................ 50 seguir cultivándolas. Miguel Marrón. Doña Isabel Azpiroz...................................... 20 Deseosa la junta actual de gobierno de que la enseñanza que Movimientos de tropas y otras disposiciones dictadas por el Sr. D. M. T .............................................................................................160 ha de principi…</t>
  </si>
  <si>
    <t>Azpirr</t>
  </si>
  <si>
    <t>…, su augusta Madre la R e in a G o bernacartuchos; habiendo tenido por nuestra parte cinco muertos y 11­ heridos. d o ra y la Serma. Sra. Infanta Doña María Luisa Fer­ A ñade el, segundo cabo que el 24 llegó á L iria el general Azpirr z Con tres batallones y un escuadrón, y que el general Señora: Los españoles quieren paz, y con el orden la liber­ nanda, continúan en esta coVte sin novedad en su im­ tad. Y. M. se afana porque esto tengan, y lo coaseguirá sin du­ en gefe del Centro se hallaba el 20 en Camarillas. da ; pero…</t>
  </si>
  <si>
    <t>AZUCAR, EL</t>
  </si>
  <si>
    <t>EL AZUCAR</t>
  </si>
  <si>
    <t>07/07/1839</t>
  </si>
  <si>
    <t>Gaceta de Madrid n.º 1695</t>
  </si>
  <si>
    <t>…de los chinos en mantener oculto el á 150 arrobas, donde se cuecen a un puntó casi hasta cultivo de la cañá de azúcar , y otras manufacturas precio­ hervir; y mezclándole una cantidad proporcionada de cal, HISTORIA Y COMERCIO D EL AZUCAR. sas, como la perfección de una verdadera economía nacio­ la mayor parte de las impurezas se levantan a la superfi­ nal; mientras que otros la considerau como antisocial y cie. Eli este estado se deja correr el jugo por la llave ó Esta importante sustancia es uno de los principios cons­…</t>
  </si>
  <si>
    <t>Aíeson</t>
  </si>
  <si>
    <t>…ado hoy en consideración nado el fuerte de S. V ice n te,e n G uriezo, sobre el cual m ar­ cas. Se han despachado 3500 balas de algodón. [Times.) la proposición de Mr. de Tracy relativa á |a abolición de la es­ chaba el brigadier Aíeson, encargado de fortificar la línea de clavitud en nuestras colonias. , R am ales, cuyas obras están m uy adelantadas, prometiéndose En seguida Mr. de Lespinasse ha apoyado sil proposición dicho general que las facciones no ejecutarán impunemente * Se dice en la Cité que M r. Jandon va á salir…</t>
  </si>
  <si>
    <t>Añadió</t>
  </si>
  <si>
    <t>…por la fuerza en el orden normal, del que estamos muy lejos. Por estas razo­ el impulso que necesitaba. armada á bordo del bergantín G u a d a lete, en virtud de orden nes me opongo al dictámen , pues con él se censura al capitán Añadió que el Rey de regreso á Madrid , cediendo á aque­ del capitán general de Cataluña. Que estos individuos, creyen­ general de Cataluña y al Gobierno, llas excitaciones, quiso confiar la empresa de la construcción del do llegado el término de su deportación, pidieron sus pasapor­ El Sr. M A D O…</t>
  </si>
  <si>
    <t>Añés, José</t>
  </si>
  <si>
    <t>José Añés</t>
  </si>
  <si>
    <t>01/05/1839</t>
  </si>
  <si>
    <t>Gaceta de Madrid n.º 1628</t>
  </si>
  <si>
    <t>…ico se puso á la cabeza del resto de la columna con el resultado d a r gorantías á los intereses de o rd e n , de paz y de roe revela actualm ente que ha habido disentimiento por mi in trép id o comandante de francos de Lérida D. José Añés. A p e r ­ libertad. parte no solo con la corona , sino también con mis colegas, me cibido el enem igo, rompió el fuego, que fue la señal de e n tra ­ E l m arques de D alm acia : Comienzo por decir que lejos congratulo tanto mas por haber ilustrado la cuestión , por h a ­ da : sin hacer…</t>
  </si>
  <si>
    <t>A’yerve</t>
  </si>
  <si>
    <t>…ompañías las El mismo general en gefe del ejército del Centro dice que tución dé m o n a r q u í a española R eina de las Españas, cargaron, á cuyo tiempo salió’pop ellas el bizarro Descatllar en una incursión que hizo el general A’yerve con su división y en su n o m b re D oña María Cristina de B o r b o n , Reina a recibir á la bayoneta á loS cuatro batalíqnes que le acometían en los pueblos de Oliete , Andorra y Ayoza logró capturar á R e g e n te vy G o b ern ad o ra d el rein o , á todos los que las p re ­ y los puso…</t>
  </si>
  <si>
    <t>Ba, D. Antonio</t>
  </si>
  <si>
    <t>D. Antonio Ba</t>
  </si>
  <si>
    <t>…decreto de 13 de Marzo de 1837 é instrucciones posteriores, el jurado ha respondido negativamente á todas ella s, por 1c El honorable G. S. S. Jern in gham , secretario de legación en compuesta de su vicepresidente el Excmo. Sr. D. Antonio Ba­ cual Bartels y Kats han sido absueltos y puestos inm ediata­ la corte de Portugal, ha sido nombrado secretario de legación r a t a , consejero de Estado, y de los Sres. vocales D. Alejandro mente en libertad. Se dice que la resotucion del jurado ha sido en la corte de España. (Courier…</t>
  </si>
  <si>
    <t>Ba, Joaquín</t>
  </si>
  <si>
    <t>Joaquín Ba</t>
  </si>
  <si>
    <t>…leta tranquilidad aquella provincia. L o está igualmente la de G u ip ú z c o a , 7 el mariscal de campo D . Miguel A r a o z recorre aquella parte de la frontera hasta V e r a , mientras que por esta lo verifica el brigadier D. Joaquín Ba7ona para limpiarla enteramente, 7 arreglar el estableci­ miento provisional de las aduanas en dichas fronteras. T a l es, Excmo. Sr., el lisonjero aspecto que presenta el país que hasta aquí ha sido el foco y teatro principal de la guerra. Los pueblos disfrutan ya de los bene­ ficios de…</t>
  </si>
  <si>
    <t>Ba-, Basilio</t>
  </si>
  <si>
    <t>Basilio Ba-</t>
  </si>
  <si>
    <t>…dó en sus primeras representaciones, titulada I L d i M f T . V ' f T 011 al,GobJiero° ,pgOimo á Sevilla y C á - tos Carbonero, y por mediodía con la expresada calle Real: tie­ C A R R O Z Z IN O D A V E N D E R E , música de D. Basilio Ba- d.z Madnd 11 de Noviembre de I 8 ñ 9 - D e orden del capitán, ne de sitio 4102 pies, y fuera de la expresada casa, arrimado sili. da teCIDF . .. Terreno , el coronel primer a y u ­ á los pajares, 1 0 5 L pies, valuada en 684 Í rs. 24 mrs. Parte segunda. d an te, francisco Muñoz Maldon…</t>
  </si>
  <si>
    <t>Ba-roja, Ignacio Ramón</t>
  </si>
  <si>
    <t>Ignacio Ramón Ba-roja</t>
  </si>
  <si>
    <t>08/03/1839</t>
  </si>
  <si>
    <t>Gaceta de Madrid n.º 1574</t>
  </si>
  <si>
    <t>…ron cogidos por la iN ico las Francisco Anldca’d e.^R uérío -R ico , Dalman.zzS^ Sebas- ? ^ gustia y de compasión que las tie rra s, escucharon sin respon­ compañía de Y eiillá y otra del í.° de francos Cuatro facciosos tian , D. Ignacio Ramón Ba-roja.^Saotaoder , D.Gleinente d derle. y un oficial. ’ *J / rja Riesgo.izSevilla, Sres. Hurtado y com pañía.^V alencia, Don Anduvo errante por espacio de cinco meses por los arenales Casiano M aT i^nasT ortosa, D. V it^nte Mfró. ' T y justificó los descubrimientos sucesivos del rio…</t>
  </si>
  <si>
    <t>BAARI</t>
  </si>
  <si>
    <t>…R E G U I: V. S. no ha Interceptada la comunicación de D. Cárlos se veia en ella {Leyó.) hablado. que los confidentes le decian que por desgracia esta habia abor­ El orador continuó contestando á varias observaciones he­ El Sr. B A A R IO A Y U S O : Tengo la desgracia de no po­ tado antes que hubiesen correspondido las demas provincias. En chas ayer por el Sr. Alvaro ; y en seguida dice: der opinar ni con V. S. ni con el Sr. Presidente en propiedad, fin, señores, aquello daba el mayor cuidado; pero sobre todo, Ahora voy…</t>
  </si>
  <si>
    <t>Bachiller</t>
  </si>
  <si>
    <t>…kain y Maiquez; pero dedica sus esfuerzas a e n ­ cutada por el Sr. Gómez, acreditado pintor, y te&gt;grafia&gt;dk REPERTORIO DRAMATICO. PRIMERA ENTREGA. ( I ) . señar a su hija lsabel, que manifiesta felices disposiciones, por el Sr. Bachiller, es quizás la mejor que se ha publica­ y á preparar su salida en un teatro principal. do en España, y digna de competir con las del ex tran je­ E l Cómica de la legua , comedia en cinco actos, tra­ Hay en el mundo una ley, verdad es que no e t í es­ ro. En fin E l Entreacto ha logrado ha…</t>
  </si>
  <si>
    <t>Bachiller, Antonio</t>
  </si>
  <si>
    <t>Antonio Bachiller</t>
  </si>
  <si>
    <t>…rancisco A n­ suyo, y utilidad general. Habana y Enero i.° de 1859. = Juai Quisiéramos nosotros á la verdad que los talentos del gran tonio Valdés avistó el dia 19 eu la parroquia de Brates á cua­ Agustín de Ferrety.—Licenciado Antonio Bachiller.—José M a ­ profesor el Sr. de Sanclemente fuesen oidos y juzgados fuera de tro facciosos de infantería, y persiguiéndolos eficazmente logró ría de la Torre y de la Torre.zzDoctor Diego Manuel Gobantes su p atria, bien seguros de que acaso seria una de las mas bri­ dar muerte á do…</t>
  </si>
  <si>
    <t>Badajoz, Harring-</t>
  </si>
  <si>
    <t>Harring- Badajoz</t>
  </si>
  <si>
    <t>…aciones de Hijar el dia le d condado de Bedford. Se casó en Agosto de 1808 con Lady Albacete 14 64595..18 140103..18 25 á una partida de ocho facciosos, de los que uno fue muer­ Ana María Stanhope, hija mayor del tercer conde de Harring- Badajoz 50 315097 508950 to en el campo y tres prisioneros; habiéndose presentado á in­ ton , dama de honor de la Reina, y que nació en 1785. No han Barcelooa 7 390725..16 955750 dulto al mismo comandante otros diez facciosos, y uno al go­ tenido mas que un hijo , hoy marques de Tavistock,…</t>
  </si>
  <si>
    <t>Badén</t>
  </si>
  <si>
    <t>…órganos de la prensa y mil me­ oerg, según se dice, no corre en perfecta armonía con el gran su cátedra por haberse atrevido á decir que el imperio griego dios legales están de continuo á la disposición del mas humilde duque de Badén, y este por su parte no puede menos de con­ se enervó en la edad media por las sutilezas con que las sectas de los ciudadanos que se siente lastimado en sus derechos, con</t>
  </si>
  <si>
    <t>29/12/1839</t>
  </si>
  <si>
    <t>Gaceta de Madrid n.º 1876</t>
  </si>
  <si>
    <t>…ormal y reservado, publica lo que rotado completamente el cuerpo de 1500 tutrcrianos que Rosas M . de Gerstlacher , ministro residente de S. A. R. el gran sigue: enviaba á las órdenes de Zapata para batirle. Este gefe ha duque de Badén , ha entregado al Rey en audiencia particular La justicia instruye con la mayor actividad el proceso acer­ muerto en el combate. Las cartas* añaden que este es un golpe la respuesta de S. A. R. á las cartas de llamamiento de M r. de ca de todos los hechos relativos al com plot, de que han rebu…</t>
  </si>
  <si>
    <t>BAEZ</t>
  </si>
  <si>
    <t>…s cuales deben esperarse in­ apoyo del artículo, se leyó este nuevamente suprimiéndose las individuo de la comisión regia que ha de pasar á ultramar.. mensas ventajas para la sociedad. palabras apud a cta , y fue aprobado. El Sr. B A E ZA obtuvo la palabra para anunciar una inter­ Añadió que nada de cuanto había dicho S. S. sobre este pun­ Se leyó la disposición 5.a del G obierno, que dice a s i: pelación al Gobierno, sobre la Real orden dé! 6 de Diciembre to tema que ver con la cuestión presente, pues lo que se trataba del…</t>
  </si>
  <si>
    <t>…istro de G R A C IA Y JU S T IC IA : N o ha com­ Se puso á discusión el dictámen de la mayoría. prendido bien el Sr. Perez de Rivas el pensamiento del Gobier­ lié aqui todo lo que tenia que exponer en rni difensa , y es­ El Sr. B A E ZA le im p u g n ó , fundándose en que la comi­ pero que el Congreso resolverá en este asunto con la justicia é sión especial nombrada por el Congreso para inform ar de este no. H ay un artículo en la Constitución que dice, que habrá imparcialidad de que tiene dadas repetidas pruebas. ay untam…</t>
  </si>
  <si>
    <t>Baeza</t>
  </si>
  <si>
    <t>…n ­ la toma en consideración , resolvió afirm ativam ente. siempre respetable para nosotros, hablando de sí mismo en una cenderse con lo manifestado por el Sr. R u iz del A r b o l, mas bien Se leyó otra al párrafo 2 .° del Sr. Baeza , y fue tomada en ley recopilada, se da á sí mismo el nombre de a d m in istrador del podrían tener lu g a r con lo expuesto por S. S. consideración. Estado. Esta es una manera de expresarse: si el Sr. Acebo tiene A petición de varios Sres. Diputados se preguntó si estaba Leida otra del mism…</t>
  </si>
  <si>
    <t>…go. Seijas, Q u ija n a , L eal, A zu ela, Reinoso\ S i l v e l a ? O nnaeche, audiencia de Cáceres en la época á que se refiere, Separado de A rm e r o . Iñig o, A rte ta , H idalgo Calvo¿-(¡ovantes, G. de A y a- la suya el Sr. Baeza , que la obtenía en V allad o lid , pasó el se­ tnans , Toral , M u r o , Rodríguez del Val!#, Infante. ñor López Vázquez á ella ; y la plaza que en Cáceres tenia , se El Sr. conde de L uch ana en 27 del propio traslada una co­ Segunda sección : Sres. Roí y G lano , LarratnPndi , Castro, dió…</t>
  </si>
  <si>
    <t>…ngreso, si está establecida una jurisprudencia nueva, va­ como de escala rigorosa. Y tengo corno autoridad en mi favor greso; y no hallando reclamación alguna contra su aptitud le­ mos á hacer aplicación de ellas al caso del Sr. Baeza. un proyecto de ley que se formó siendo Ministro de Gracia y g a l, la comisión opina que se le debe admitir á jurar y tomar Justicia el dr. Castro, y otro que acaba de darse por el minis­ Yo deduzco que hay un sinnúmero de razones, 10 ó 12 asiento. Madrid 2 de Enero de 1839. = Fouseca. = C…</t>
  </si>
  <si>
    <t>…para la contribución ex- El Sr. PRESIDENTE: Pasará á las secciones. Se procede á materia parece que estaba ya agotada , y que Diputado alguno raordinaria de guerra 1 4 ? millones sin hacer deducciones de la interpelación del Sr. Baeza sobre los derechos de introducción pudiera decir mas ; pero esto no obstante, y á pesar de Jas ex­ os que habían abonado el diezmo 0 contando cou que el total de las ínulas lechales. S. S. tiene la palabra. plicaciones dadas por el Sr. Ministro de Hacienda, tengo que leí diezmo pagado se debia…</t>
  </si>
  <si>
    <t>…de-Gerri ¿que por tener .unas puede de ningún modo haber incurrido en la responsabi'HaÜ da un código administrativo, pues si bien es verdad que la le­ ricas salinas ha excitado la codicia de los facciosos, que la han que el Sr. Baeza le atribuye. gislación administrativa existe, esta se halla diseminada en los _ bloqueado muv á mentido y- puesto siete sitios, el último de En cuanto á la conveniencia de la medida, esta es cuestión diferentes códigos y pragmáticas. Prosigue haciendo otras ob­ los cuales duro 16 días, siend…</t>
  </si>
  <si>
    <t>…D I Z A B A L : El Congreso notará lo sobrio y al actu al Sr. Secretario del Despacho. Se l e y ó , siendo su contenido el s ig u ie n t e : Que habiéndose circunspecto que he s id o , porque conocía que no era tiempo de El Sr. Baeza hace a lg u n a s a c laracio nes, como igu a lm en te el tomado por la a u to rid ad de C a ta lu ñ a disposiciones contra la ley en tra r en ese exárnen , mediante la respuesta del Sr. M in istro. Sr. marques de M ontevírgen. v ig e n te , d i g a el Gobiern o: 1.° S i es cierto que se ha ma…</t>
  </si>
  <si>
    <t>…os demas casos que ha puesto el Sr. Cortázar respec­ que los navarros son honrados, y por convicción propia se han tiene derecho para interrumpirle: reclamo pues del Sr. Presi­ el mismo Senado, no tienen nada que ver. El del Sr. Baeza no es afiliado en las banderas de Carlos; pero en Cataluña, en A ra­ dente que en lo sucesivo no se me interrumpa. de S. S. El Sr. Baeza fue elegido magistrado después gón los individuos de esas partidas que por sus crímenes no re­ de ser D iputado; Vuelvo á repetir, señores, que mi concien…</t>
  </si>
  <si>
    <t>…losepa no querrá ni un soio te el Sr. Lope2 Vázquez quedó cesante desde el momento que tratarse de la reelección del Sr. Castro, dice que habiéndosele dia dejar de ser Diputado español por ponerse una condeco­ fue nombrado el Sr. Baeza. nombrado decano del tribunal especial de las Ordenes , no ha ración. El Sr. AYALA Y MOR LA dice que á pesar de !a exac­ sido comunicada la orden ni al interesado ni al tribunal. El Sr. Castro es víis tin to ; no se apele* ál ingenio , no á las titud de cuanto ha manifestado el Sr. Pelegrin, s…</t>
  </si>
  <si>
    <t>…e A re - cuentro en el mismo caso, y siento que la nueva oposición del su opinión está de acuerdo con lacuando el Gobierno dice que comisión, no veo cómo se llano habia sido elegido D ip u ta d o , pasaron á la comisión cor­ Sr. Baeza me obligue á tomar parte; pero debo hacerlo puesto puede entrar en la discusión de la organización de ayuntam ien­ respondiente. Que la comisión hecha cargo de todos los antece­ que ha impugnado el dictámen. tos. Si no hubiera habido este asentimiento entre el Gobierno y dentes, opinó por la a…</t>
  </si>
  <si>
    <t>Baeza, D. Pascual Fertíandez</t>
  </si>
  <si>
    <t>D. Pascual Fertíandez Baeza</t>
  </si>
  <si>
    <t>…de B arranco-rubio, clase de la.audiencia de VallaHolid en 6 de J u n io de 1856 por palabra de las muchas latinas que hay. Sabido es que á veces se,„ término de Requena, el día 2 9 de Diciembre próximo pasado deposición del Sr. D. Pascual Fertíandez Baeza que la sérvia , ei hace nécesario el escoger palabras l a t in a s :.y aun h ay m a s , y es'* á las once de la noche por nueve facciosos, los cuales se lleva­ cual fue repuesto en este destino pc?r decreto de 18 de Agosto dé-! qué* nuestras leyes aunque esFrítás éñ^ cásl…</t>
  </si>
  <si>
    <t>Baeza, Fernandez</t>
  </si>
  <si>
    <t>Fernandez Baeza</t>
  </si>
  <si>
    <t>Quedó enterado el Congreso del ^Real decreto inserto en la están por consiguiente en el caso de hacer aplicación de esas nue­ Gaceta de ayer, por el cual S. M. se ha servido nombrar Se­ vas doctrinas al caso del Sr. Fernandez Baeza. año otra. En el año pasado el Sr. Ponzoa, que habia sido oficia nador por la provincia de Tarragona al Sr. marques de Y a l- gornera, reelegido por la misma. Recuerdo bien que los Sres. M a rtin , Burriel, Iluelves, do laá gefe de secretaría de la Gobernación, siendo cesante fue a…</t>
  </si>
  <si>
    <t>BAEZA, FERNANDEZ</t>
  </si>
  <si>
    <t>FERNANDEZ BAEZA</t>
  </si>
  <si>
    <t>…ían abonado el diezmo 0 contando cou que el total de las ínulas lechales. S. S. tiene la palabra. plicaciones dadas por el Sr. Ministro de Hacienda, tengo que leí diezmo pagado se debia abonar. Entonces no se hizo esa dis- El Sr. FERNANDEZ BAEZA (desde ¿a tribuna) dijo que poner la cuestión en un terreno mas práctico que el Sr. Gómez incion, sino que se cargó coa todo. solo habia hecho esta interpelación porque creía que afectaba á Acebo. El Congreso ha visto por la lectura de la discusión que En este estado encontré yo las…</t>
  </si>
  <si>
    <t>…ex presa adío'-que era indis peosable se evitasen estos ma­ | despees cargo de sus observaciones. pero que sin embargo no había una razón para que se desde­ les, que podían condpeimos a im descrédito eí mas ruinoso, por­ ■■El Sr. FERNANDEZ BAEZA insistió rectificando hechos ñara de admitir del extrangero todo io que fuese útil y conve­ fíe era. necesario tener preseote que á los pueblos no se les po­ en que debía haberse pedido autorización á las Cortes para ha­ niente al país1, acomodan de lo al nuestro. la n exigir con vio…</t>
  </si>
  <si>
    <t>…mbier; Se abrió á las doce y media, y leída el acta de la anterior, desempeñando sus destinos. En prueba de ello citó al Sr. Pardo pero como conozco esa tendencia de que antes he hablado, debo quedó aprobada. Montenegro y al Sr. Fernandez Baeza, magistrados el uno de la hacer algunas reflexiones. Se mandó pasar á la comisión de Revisión de actas la del audiencia de la Coruña, y el otro de la de Valladolid , contra Desde el año 1854 Navarra se ha regido por leyes excep­ distrito de Alarcon en la provincia de Cuenca, reclama…</t>
  </si>
  <si>
    <t>…ar la falta de uno ó mas individuos que por algunas aclaraciones. nar este se puso de acuerdo entre s í , y en seguida excitó á la cualquiera motivo puedan faltar en la totalidad de siete, que Tocando por turno la palabra al Sr. Fernandez Baeza, la comisión para que se sirviera señalar punto y hora para reunirse. deben formar una comisión según previene el reglamento, in­ cedió en Efectivam ente, ha tenido esta entrevista , oyó las razones que conveniente tocado ya varias veces en esta legislatura , y para El Sr. A R G U E…</t>
  </si>
  <si>
    <t>Baeza, Juan</t>
  </si>
  <si>
    <t>Juan Baeza</t>
  </si>
  <si>
    <t>…e el momento en que resulte comprobado el desfalco, conformé a lo dis­ Por Reales órdenes de 22 del corriente se ha servido S. M. nom­ puesto én Reales decretos de 5 de Mayo de 1764 y 17 de brar contador general de correos á D. Juan Baeza , cesante del L A Real junta protectora de la obra pia de Jerusalen se h a­ lla autorizada por S. M. la Reina Gobernadora para re­ mesar á Oriente sacerdotes de los religiosos exclaustrados de Noviembre de 1790. 1 /j. m ismo, y administrador del correo general de esta corte á Don la…</t>
  </si>
  <si>
    <t>Baeza, Pascual Fernandez</t>
  </si>
  <si>
    <t>Pascual Fernandez Baeza</t>
  </si>
  <si>
    <t>…el art. 29 2 dé la C onstitución del año 1812,* otro Real decreto&lt;de 28 de Mayo de aquel año. Entre los re­ que corresponde á u n título que en el dia está en vigor conió 1 PRESIDENCIA DEL SEÑOR IST U R IZ . puestos era uno D. Pascual Fernandez Baeza , ministro de la ley particular. audiencia d e V a l L d o l i d , á cuya plaza habia sido trasladado (Se leyó dicho artículo por el 8r. Secretario Muro.) Sesión del día 2 de Enero de 18 39. D. Ramón López V ázqu ez, dejando otra igual que obtenía en Señores, esta es la ley…</t>
  </si>
  <si>
    <t>…el dicha pl aza á D. Ju a n Sevilla , ministro de la audiencia de diaciones del pueblo de D u rr a l, operccior. que se ha detenido Sur 498 pies cúbicos de piedra, y se han aguzado las herra­ Valladolid : para esta vacante á D. Pascual Fernandez Baeza, por la necesidad de dar algún descaoso á los presidiarios que mientas. ministro de la de la Coruña; y para esta resulta a O. francis­ sufrieron mucho én su marcha á causa del mal tiempo, y p o r -, co Agustín Silvela, gefe de sección del ministerio de la Gober­ que fue pre…</t>
  </si>
  <si>
    <t>…espondiente al próxi­ mo pasado, de los objetos extraídos de las excavaciones de Itá­ M onedas. Pasa á la comisión de Actas la de la provincia de León que lica , que me ha dirigido el director interino de ellas D. Ivo presenta D. Pascual Fernandez Baeza, D ipntado electo por la Doscientas c u a tro ; de los emperadores C o nstan tin o , D io - misma , y una exposición del comisionado del distrito electoral de la C ortina , oficial de esta gefatura. Dios guarde á V. E. clecianoJ Constancio y Honorio. muchos años. Sevilla 18…</t>
  </si>
  <si>
    <t>Baezá</t>
  </si>
  <si>
    <t>…uando llegó adonde fue nombrado , ocurrieron los sucesos der si un diá teniendo el crédito á 60 por 1Q0 se presenta el Minis­ consiguiente cree S. S. que no habiendo admitido el Sr. Cas­ Agosto, y fue nombrado en su lugar el Sr. Baezá. tro de Hacienda diciendo estar dispuesto á pagar los intereses de tro, ni estando comprendido en el art. 43 de la Constitución, El Sr. IZNARDI: No pensaba haber tomado parte en esta la deuda, puesto que hay una casa que se obliga á ello, nadie debe el Congreso por lo tanto aprobar el dictam…</t>
  </si>
  <si>
    <t>Bahía, Cirilo</t>
  </si>
  <si>
    <t>Cirilo Bahía</t>
  </si>
  <si>
    <t>…a p ital, y guna de las circunstancias que pueden contribuir á su mejor escribanía de número de D. Agustín Seco, acudirán con los éxito. Sr. D. José Joaquín del Alamo, presidente. documentos que legitimen sus reclamaciones á D. Cirilo Bahía, Sera exornado con todo el aparato que su argumento re­ Sr. D. Rafael Joaquín de L a r a , secretario. apoderado del Sr. D. Cárlos Villam il, síndico nombrado en quiere; y la señora V i lió se ha encargado, por pura complacen­ dicho concurso, que vive calle de Hita á la de Tudescos, n…</t>
  </si>
  <si>
    <t>Baiben</t>
  </si>
  <si>
    <t>…e Zara gara., conde de V ig o, Na varrete 9 obispo Se acordó pasar á las .seccionéis un proyecta de ley firmadlo Art. 75,. Estando abiertos ks Corles , cuando S. M. ce dig­ electo de Almería, y Montesoro,» por los Sres. duque de Baiben, marques deCastelidosrrias, mar­ nare dar su sanción á una. ley, s® publicara ¿nmedltetamente en Para Ib pensión á la viuda del general Mendex Y ig o , á los ques de Y algor «era y ■obispo electo de Astorga 9 pnra que se ambos caer pos colegisladores, preseati «o,dase eu ellos ell Minis­ Sr…</t>
  </si>
  <si>
    <t>Bailen</t>
  </si>
  <si>
    <t>…definitiva­ res Solanot , Caamaño Pardo, Diez Tejeda , Salas Omaña , Ve- mente. rea Cornejo, Llenpart, Ondovilla y Francisco Navarrete. te duque de Frias , Secretario Ojero , Vicesecretario Rich. 3.a Sres. Presidente duque de Bailen , Vicepresidente Ochoa, Reuniéronse antes de ay e r en nuestra redacción los señores 2 .a Sres. Quintana , Rich , G arelly, Marques de Santa Cruz, que y a otra vez nombrarnos para seguir tratando de los me­ M ed ran o , González, marques viudo de Pontejos, conde d e V i - Secretario marque…</t>
  </si>
  <si>
    <t>…ctrina constitucional, y los para su discusión. excepcional, si bieu todas las autoridades han ejercido sus fu n ­ que las manifestaron han hecho alarde de e lla s , y han sido oí­ Se leyó una proposición de los Sr es. duque de Bailen , con­ ciones con libertad. das por unos y otros con atención. de de Y i g o , duque de Castroterreño, Isla Fernandez y conde Las medidas tomadas por m í han contrarestado á las de los Ocurrió un caso en el año anterior, no hablo del del señor de Ezpeleta, relativa á que cesasen las juntas de…</t>
  </si>
  <si>
    <t>…yecto presen­ la Isla gaditana en 1 8 2 3 , preseuta al exámen del Senado 56 tado por el Gobierno sobre formación de un Consejo de Esta­ ¡deas dirigidas al bien de la patria , y dice que si consigue ver d o , los Sres. duque de Bailen, conde de O f a l i a , marques de E n virtud de providencia del Excmo. Sr. capitán general de realizados sus buenos deseos, mereciendo su aprobación, habrá V ilu m a , conde de Pinofiel y Garelly. ^ esta p ro v in cia, se ha señalado para junta general de acree­ obtenido su objeto. Se leyó…</t>
  </si>
  <si>
    <t>…e d io cuenta de que las secciones habian graduado de útil sorpresa efectuada la noche del 10 de Noviembre en el posesiou los que debiau ser con sid era d os, al menos provision al­ y oportuna la proposición de los Sres. duque de Bailen , du que pueblo de Alcaudele. El parte que elevé al Gobierno de mente , com o los verdaderos elegidos. El secretario de Estado de Castroterreño , conde de V i g o , conde Ezpeleta , y D . José Y. M. se halla inserto en la Gaceta del dia 8 de Diciem­ de Pensilvanía, que habia denunciado alta…</t>
  </si>
  <si>
    <t>…sión , la c ua l se re­ Sres. Presidente, duque de Frias , D . Martin Fernandez dar la paz de la nación española , y mantener el brillo del tro­ feria ¿ que se presentasen por el Gobierno, según señala el ar­ Navarrete, duque de Bailen, arzobispo electo de Toledo, Don no constitucional de nuestra Reina. (B ien, bien,) tículo 75 de la Constitución, las cuentas, y á que las oficinas Francisco Varea Cornejo , conde de Pinofiel, duque de Castro- El Sr. P R E SID E N T E : Propongo a! Senado que se pregun­ activen los trabajos…</t>
  </si>
  <si>
    <t>…nca qué pues decir al Gobierno que regularice la guerra, 29 de Diciembre de 1858 —Conde de Morelta.r^Sr, D. Antonio rable, asi como que su estado administrativo es excelente y dió la palabra.) ha faltado á ella? (El Sr, duque de Bailen p i­ V an-Ifalen, gefe de las fuerzas enemigas de Aragón y Yaten- digno de ejemplo; pero se tra ta , señores, de sostener los fue­ t ia.rzEs copia.=:El brigadier gefe de estado mayor general, Pe­ ros de Vizcaya, cuando se enganchan tropas de uu reino ex- saje,Siguiendo en el análisis de los…</t>
  </si>
  <si>
    <t>Bailes, Antonio</t>
  </si>
  <si>
    <t>Antonio Bailes</t>
  </si>
  <si>
    <t>….......................... . ............................................. 20 20 por consiguiente á ios malvados que intentan dilatarle por mas Doña Josefa Bohorques........................................................... D. Antonio Bailes 50 ............................................. 10 tiempo el goce de tan precioso don. D onj Luisa Bohorques............................................................. Un ciiado de! marques de B élgida.................................. 50 20 Doña Jacoba Bohorques................…</t>
  </si>
  <si>
    <t>Baillet</t>
  </si>
  <si>
    <t>…que jamás abandonará á ninguno de Escriben de Berlín con fecha del 2 1 : educación. Ella desea instruirse de todo y á todos dispensar jus­ sus hijos, presenta en medio desu dolor una mano amiga y ca­ El embajador belga conde de Baillet sajió ayer mañana pa­ ra Dresde por orden de su Gobierno, y como está íntimamen­ ticia : ahí está su divisá.—Manuel González del Vallé ^secre­ ritativa á todos los que el amor de la patria adhiere á sus ins­ tario. (D. de la H.) tituciones y á los destinos de un pueblo libre. te convencid…</t>
  </si>
  <si>
    <t>Bailón</t>
  </si>
  <si>
    <t>…ificar al arzobispo de Posen la sentencia algunos muertos. La guardia municipal ha sufrido mucho. El cido de los apasionados al teatro por otras producciones su­ dada contra éhe^ta sentencia está concebida en los términos coronel Bailón, del 55 de línea, ha sido gravemente herido. Pa­ yas que han recibido con aprecio. El asunto de este drama está siguientes: rece que los insurgentes han tenido una gran pérdida. tomado de nuestra historia del descubrimiento de A m érica, "El arzobispo de Gnesen y Posen , M r. D u n in , qued…</t>
  </si>
  <si>
    <t>Bajo, Mariano García</t>
  </si>
  <si>
    <t>Mariano García Bajo</t>
  </si>
  <si>
    <t>Gaceta de Madrid n.º 1711</t>
  </si>
  <si>
    <t>…bernadora h a tenido á bien nombrar pa­ ra úuo de los juzgados de primera instancia de Valencia , va­ PARTE NO OFICIAL. M I N I S T E R I O D E L A G O B E R N A C IO N D E L A P E N Í N S U L A . cante por fallecimiento de D. Mariano García Bajo, á D. José Poveda, electo de Santiago ; y para el de M álaga, también v a­ Segunda sección.—Circular. cante por muerte de D. José Yelasco de Castró, á D. Faustino NO TIC IAS E X TR A N G ER A S. A rranz, que sirve el de Burgos. P o r el rninisterio: de la G uerra en 7 de este…</t>
  </si>
  <si>
    <t>Bal</t>
  </si>
  <si>
    <t>…turarlos. Se lee en el Courier : R E A L E S D E C R E T O S. S. M. enterada y satisfecha se ha dignado mandar se haga Mr. Shaw Lefevre ha sido electo ayer para la presidencia D eseando d a r al capitán general del ejército D. Bal­ que mención honorífica del comandante D. Manuel C arande, y de la Cámara de los Comunes por una mayoría de 18 votos. do m cro E sp artero , conde de L u ch a n a, general en gefe tribuyeron se den las gracias en su Real nombre á los demás que con­ Los votantes eran 620. El restóse considera com…</t>
  </si>
  <si>
    <t>Balbiani, José</t>
  </si>
  <si>
    <t>José Balbiani</t>
  </si>
  <si>
    <t>…o en venta por el precio de un serán llamados á decidir sobre el número de indemnizaciones reemplazo de D. José Fontagud Gargollo: por la de Má­ franco. Una hora después de la compra la autenticidad del cua­ reclamadas. laga a D. José Balbiani, en reemplazo de D. Gaspar R e­ dro estaba reconocida por Mr. Gerad , de P aris, bien conocido 5.° Asegurar á la Francia las satisfacciones que ha pedido misa: por la de Valencia á D. Andrés García Camba , en de todo el mundo artista: en seguida fue también reconocida con la destitució…</t>
  </si>
  <si>
    <t>Balboa, D. Trinidad</t>
  </si>
  <si>
    <t>D. Trinidad Balboa</t>
  </si>
  <si>
    <t>…tería y comandante de la misma D. José Bojart. Ciudad Real 18 de Noviembre . Lo que traslado á Y. S. para su inteligencia y satisfacción, esperando el qne se servirá disponer se publique en el Boletín Gobierno po!ítico.=El Sr. D. Trinidad Balboa, comandante Cuando la patria pierde uno de aquellos hijos que la oficial para la de los habitantes de este pais. general de las provincias de Toledo y Ciudad-Real , me hace han servido desde sus primeros años con la lealtad y p u n ­ Lo que se inserta en el Bo’etin oficial para…</t>
  </si>
  <si>
    <t>Baldomc</t>
  </si>
  <si>
    <t>…uena , para que en el tér­ un principio constitutivo. mino de 30 dias se presente al juzgado á dar noticia del insi­ A mi e n t e n d e r , señores, lo que ha movido al Gobierno á El propio tribunal ha declarado en quiebra á D. Baldomc­ nuado crédito. proponer este articulo y á la comisión á adoptarle, ha sido un</t>
  </si>
  <si>
    <t>Baldomero</t>
  </si>
  <si>
    <t>…ro les, si fuera posible, á un punto de coincidencia. Estos fueros del corriente, por la que S. M. la Reiua se digna participar al impracticable. se dividen naturalmente en provinciales y en particulares. Los capitán general D. Baldomero E sp a rte ro , duque de la V ic to ­ El pensamiento de restablecer los fueros, de confirmarlos y fueros particulares nacen de las cartas-pueblas que concedieron r i a , haLerle hecho la merced de nombrarle gran cruz de la de mantener la unidad constitucional es i ^practicable, señores. l…</t>
  </si>
  <si>
    <t>Balduque, José</t>
  </si>
  <si>
    <t>José Balduque</t>
  </si>
  <si>
    <t>…á 30 de Diciembre de 1838.=A1 Presidente Ignacio Goyanes. José Viton y D. Joaquín Sánchez, á fin de que se presenten á interino del Consejo de Ministros. prestar declaración en la escribanía mayor de Amortizicion i cargo de D. José Balduque, sita en la calle del Lobo, niím. 8 , ACTAS DEL GOBIERNO. Inspección de minas de las provincias de Granada y A l­ piso segundo; apercibidos que de no hacerlo les causará per­ juicio. mería.—Mes de Noviembre de 1858 —Relación de los denuncios y registros de minas admitidos en dicho…</t>
  </si>
  <si>
    <t>…baron las Cor­ nio R eina, para que se presente en la escribanía principal de observar judáicamente la letra. Ocupándose después de la Espa­ tes una proposición que tuve á bien presentar para .que se re­ Amortización ácargo de D. José Balduque, calle del Lobo, n ú ­ ña , declara el orador que no quiere ni la intervención ni la co­ visasen ciertos actos de ía Hacianda civil y m ilitar. Él 24 mero 8 , piso segundo, á dar sus descargos y proponer la de­ operación; quiere sin embargo que se haga alguna cosa por Es­ nombró la com…</t>
  </si>
  <si>
    <t>…itudes al pliego que está de manifiesto en la escribanía principal del ramo bano de número de la misma Dr. D. Claudio Sanz y Barea. presidente del ilustre ayuntamiento constitucional de la in d i­ de amortización, á cargo de D. José Balduque, calle del Lobo, se cita , llama y emplaza á todas las personas que por cualquier cada ciu d ad , dentro del término de un mes. El abono de di­ núm. 8 , piso segundo. concepto se consideren con derecho á los bienes del difunto cor­ cho sueldo se hace por la corporación municipal de lo…</t>
  </si>
  <si>
    <t>Bali-, D. Antonio</t>
  </si>
  <si>
    <t>D. Antonio Bali-</t>
  </si>
  <si>
    <t>…de D. Manuel Alaix , únicos que restan serlo en el asunto, y Carretas, núm. 8 , á 12 rs. tomo ó sea 2 rs. cada comedia. ta na r. cuyo paradero se ignora, para que en el término de 50 dias, 925. Un cuadro con una cabeza, al Sr. D. Antonio Bali- contados desde que se anuncie en la Gaceta, acudan á usar de tro moderno, que deseambos Inmediatamente publicará el teatro antiguo español y tea­ están en prensa las primeras piezas. ñani. su derecho en los autos de segunda suplicación, que se siguen 222. Una bandejita con un maz…</t>
  </si>
  <si>
    <t>Balles, D. Tomas</t>
  </si>
  <si>
    <t>D. Tomas Balles</t>
  </si>
  <si>
    <t>…mas tanta utilidad. Dios guarde a V. muchos años. Valencia 23 siendo el resultado dejar el campo cubierto de cadáveres y 104 sobresalientes. Estos actos serán presididos por las perso­ de Abril de 1839.^ J o a q u ín Ferraz.=Sr. D. Tomas Balles­ que prisioneros, que condujo á estos depósitos, asegurando muchos nas que designen las autoridades, bajo cuyos auspicios es­ ter, profesor de primera educación. pasan de 500 los que el enemigo ha tenido fuera de com­ tá el Instituto. bate. Nuestra pérdida se asegura ha consistido e…</t>
  </si>
  <si>
    <t>Balleste, Diego López</t>
  </si>
  <si>
    <t>Diego López Balleste</t>
  </si>
  <si>
    <t>…e Ju lio de 1857 por D. Manuel José Franco , la ley absuelve pre prudentes, y justas mis resoluciones, porque la justicia es manos, lo que nos tiene en una penosa ansiedad: eso es lo que á los Sres. D. Cesáreo M aría Saenz , D. Diego López Balleste­ la primera necesidad de los pueblos; declarando, para que sirva aumenta la am argura que de todas partes nos aflige; y eso es ros , marques de Y iü a g a r c í a , D. José de San M ü la a , D. A u - de gobierno, que la energía ha de ser el carácter distin tivo de lo que mas…</t>
  </si>
  <si>
    <t>BALLESTEROS</t>
  </si>
  <si>
    <t>…m eros, y dicei Que respecto del primero es ine\ 3cto determi­ se halla en grande atraso. nar en una ley que los atrasos se liquiden; porque el G obier­ tribuciones , pues debe conocer que nada tiene que ver el tribu ­ E l Sr. B A L L E S T E R O S sostiene como el Sr. M in istro de nal de cuentas con la exacción de las contribuciones. Las a tri­ no tiene facultad y aun obligación de hacerlo cum plir. Que el Hacienda , que este proyecto es beneficioso no solo para el G o­ buciones de ese tribunal están limitadas á ver la…</t>
  </si>
  <si>
    <t>Ballesteros</t>
  </si>
  <si>
    <t>…r las dicándoles á dar principio á la instrucción elemental , con cu­ la capilaridad ; y 5 en la que atribuye el ascenso de las aguas dificultades disponiendo que dos brigadas de ingenieros civiles yos pormenores concluye el Sr. Ballesteros su memoria, {id.) • l principio universal de la expansión y á la acción de la hiciesen un viaje geológico por las provincias de las dos Casti­ fuerza centrífuga. llas y Extremadura (yo formé parte, dice el a u to r, de la des­ Para completo conocimiento de la teoría de las fuentes as­…</t>
  </si>
  <si>
    <t>…te, y 110 he querido dejar p a­ Siguió haciendo otras observaciones, y después de contes­ puede asegurar que en un gran número de actas h a y , mas que sar una oportunidad como esta porque es indispensable apro­ tar á las del Sr. Ballesteros , concluyó diciendo que la comisión indicaciones , actos robustos que indican esa funesta influen­ vecharla. ¿Cómo he de dejarla pasar yo sin llamar la atención estaba íntimamente convencida de los amaños que habia h a b i­ cia que han ejercido los agentes del poder ju d i c i a l ; y po…</t>
  </si>
  <si>
    <t>…u pro­ residentes en la capital que se interesaran por mitad en la em­ una regla de proporción , con arreglo á las cantidades que se vecto de ley, y la comisión al dar sobre él su dictamen, presa. Que con este motivo el Ministro Ballesteros reunió en su libraban. La dificultad está sin embargo, en que en la corte despacho al Sr. Premisa , director del tesoro , á D. Javier de Bur­ se han entregado algunos socorros pecuniarios, que se llaman difíciles han tenido que resolver son sin duda ninguna de las gos y al que tenia el…</t>
  </si>
  <si>
    <t>Ballesteros, Andrés</t>
  </si>
  <si>
    <t>Andrés Ballesteros</t>
  </si>
  <si>
    <t>…Ínteres emitida en 1.° de Abril De expediente seguido para pago de 4^,950 rs. en que re­ el dia 27 del corriente hasta el 2 de dicho mes de Diciembre, de 1850, mím. 59,901 por rs. 694? 9 mrs. á favor de D. An­ sultó alcanzado D. Andrés Ballesteros, tercenista que fue de desde las diez de la mañana hasta las tres de la tarde* tonio y Doña María de los Dolores Arquero. tabacos de esta capital, resulta un déficit á favor de la Hacien­ La entrada es por la calle de la Cruz. Otra lámina de deuda sin Ínteres emitida con el nume…</t>
  </si>
  <si>
    <t>Ballesteros, Juan Manuel</t>
  </si>
  <si>
    <t>Juan Manuel Ballesteros</t>
  </si>
  <si>
    <t>…eld, la fuente de Vaucluse, la sábana dé agua yectadas por la sociedad Económica M atritense , por que titula Ntra. Sra. de lo&gt; Dolores, y se halla en el sitio lla­ subterránea del lago Ziruilz en Carniola , exponiendo ademas D. Juan Manuel Ballesteros. mado ia Lisenilri ó la Cruz del Pobre, término de la villa de o tr a s muchas corrientes que la sonda ha descubierto en varias Galároza , provincia de Huelva. ; partes. El autor principia su trabajo manifestando lo interesante Entra después el Sr. Borjas á considerar la f…</t>
  </si>
  <si>
    <t>Ballesteros, López</t>
  </si>
  <si>
    <t>López Ballesteros</t>
  </si>
  <si>
    <t>…l estado que tiene ese asunto. 48Q rs. : Sr. C aro, 40$ rs.: Sr. conde de O falia , 40 3 rs.: señor valga la España nada entre las naciones de Europa. El duque de Alba es patrono particular de esa abadía , y Pezuela, 403 rs.: Sr. López Ballesteros, 403 rs.: Sr. Zea Ber- A qui debería concluir, señores, si no hubiese llamado mi siéndolo, está salva la prerogativa Real , pues no está en el caso tnudez, está suspenso el pago de su sueldo , 403 rs. Y en uoa atención un punto de bastante gravedad en la cuestión que nos de las dem…</t>
  </si>
  <si>
    <t>Ballivian</t>
  </si>
  <si>
    <t>…en que se Tales son en resúmen los principios que van á guiarme en hallaban esos pueblos por sacudirse 8e su dominación, apoyán­ PARTE NO OFICIAL. el ejercicio del poder temporal que se me ha confiado: cuento dose en el general Ballivian que acaudilla las íuerzas militares con que la divina Providencia me dispensará su auxilio y pro­ del Sur de aquel territorio; mas él mismo tuvo que experimen­ tección. Dichoso yo si los hechos corresponden á mis promesas tar el movimiento general que el pueblo de Arequipa , á pesar NOT…</t>
  </si>
  <si>
    <t>Ballivían</t>
  </si>
  <si>
    <t>…algunos grupos en los que se leian firmada por el parte que ha recibido el comandante de E. M . 1t izarri y tres edecanes. peticiones para la abolición de U pena de muerte. Uno de estos que estampamos á continuación. El general Ballivían hizo la revolución en, Bolivia el 14 de grupos se presentó ante la Cámara de los D iputados; pero fue Febrero; el mismo dia estallo en Puno ; el 20 fue secundado el inmediatamente disipado. Ahora todo está perfectamente tran­ Por un corneta faccioso que se ha pasado en la tarde de pronunc…</t>
  </si>
  <si>
    <t>Ballonesta, Miguel</t>
  </si>
  <si>
    <t>Miguel Ballonesta</t>
  </si>
  <si>
    <t>…idea. La Gleopatra del la plazuela del d u q u e de A lb a de M a d r id . el escribano del número D . L u is de la M o r e n a , se c i t a , llama mismo está bien c olo rid a, dibujada co rrectam en te, y en Ls y emplaza á D. Miguel Ballonesta ó sus herederas para que en carnes h ay morbidez: los pliegues son de excelente estilo, como E n la clase de silabeo. = D . Ignacio O m u lr ia n y D . L u is el té rm ino de 20 dias comparezcan en el indicado juzgado y so­ en el otro cuadro de la Dolorosa ; y ambos están perfect…</t>
  </si>
  <si>
    <t>Balltviau</t>
  </si>
  <si>
    <t>…da y sin saber el partido Guayaquil 15 de Marzo de 1859.=Mi muy querido com­ presos. Se añade que en la tarde de ayer un funcionario colo­ mas ventajoso que le convendría elegir. padre: La confederación está disuelta: el general Balltviau hizo cado en uua de las puertas del Luxemburgo fue insultado por Se esperaba con sobrado fundamento verla entrar prisionera Ja revolución en Bolivia el 14 de Febrero: ese mismo dia esta­ un obrero de blusa que se sustrajo inmediatamente de una viva en esta plaza. Mas la desgracia hizo burl…</t>
  </si>
  <si>
    <t>Balme</t>
  </si>
  <si>
    <t>…an Bautista Cozzer. medicina y ciru gía: dos tomos en 4*°* á 4O rs. en pasta. José. Consideraciones clínicas sobre las recaídas de las enfermeda­ Se hallará á 2 rs. en las librerías de H u rtado, calle de Car­ des, por el doctor Balme, médico que fue, traducidas del fran­ retas; y de Brun , frente á las Covachuelas. cés por el doctor D . A n ton io Lavedan, profesor de medicina y H oy viernes 11 de Enero de 1859 á las once de la noche c iiu g ’a : un tomo en 8.° marquida , á 10 rs. en pasta. gran baile de M A S C A R A S en…</t>
  </si>
  <si>
    <t>Balsera</t>
  </si>
  <si>
    <t>…mí os empleados de Hacienda del tiempo en que era yo Ministro Entrando en materia, hizo el orador una breve historia &lt;Jel me sucede, con cierta parte de diezmo de 1857 y 58 que el e^habian opuesto al abono del diezmo , y el Sr. Balsera me dijo asunto, manifestando que por una parte se hacia u n beneficio ay untamiento no quiere admitirlo porque en su concepto los onfide acial mente que habia uua resolución del intendente de Se- rebajando los derechos de entrada, y por otra un perjuicio grar artículos 59 y 4O dicen que no…</t>
  </si>
  <si>
    <t>Balta</t>
  </si>
  <si>
    <t>…atisfacción de decir estuvieron de su parte por sacar todo el partido posible del a l ­ cierto el resultado que el que proporciona otra cosecha cualquie­ á V . SS. que m uy poco ó en nada tuvieron que ponerse en ejer­ calde D. Balta sar , que no es de los principales ni mas intere­ ra que se confie a la t ie r r a , al paso que se suministra un em­ cicio mis paternales funciones, porque el preceptor ha llenado santes. Este mismo joven brilló en la ejecución de D. Ciríaco pleo ligero , fácil y provechoso á los n iñ o s,…</t>
  </si>
  <si>
    <t>Baltasar</t>
  </si>
  <si>
    <t>…villa, en co , G arcía, Caballero, Galan y Casado. siguiente: el término de quince d ia s, contados desde el en que se inserte 5.° Manchegas nuevas, sobre un tema de la ópera II conte Acuerdo de los jueces de hecho.r:Señores D. Baltasar M e - este anuncio en la Gaceta y Diario de avisos de esta capital, ha­ O r í , por las Sras. A udujar, y Molina, vestida esta de hombre. Ttendez, D. Juan Antonio del Adalid, D. Francisco de Zuloaga, ciéndolo por sí ó por medio de apoderado autorizado competen­ 4*° D ú o de tiples en la ópe…</t>
  </si>
  <si>
    <t>…de las niñas , que en su escuela dirige Doña María cipió el exárnen, y fuimos sorprendidos de ver tan extensos co­ causaría sorpresa el saber que la Puerta se ha decidido por fin de Regla Y aldés, presidido por el Sr. alcalde D. Baltasar nocimientos en materia de religión , pues no solo contestaron á adoptar medidas enérgicas para hacer que termine un estado M olé, verificó su encargo en la mañana dei dia 20 del cor­ los niños á las preguntas que se les hicieron .sobre la doctrina de cosas incompatible con la paz y el bien…</t>
  </si>
  <si>
    <t>…natismo religioso; y fueron donados generosa y voluntariamente por los Sres. al­ ciaciones secretas para encaminarse con mas seguridad á sus que el alrna de las sociedades secretas no es siquiera el fervor y caldes, presidente D. Baltasar M oró, D. Gabriel Azcárate, fines, y a sirviéndose de ellas como de un escudo en tiempos de celo por la propagación ó el triunfo de ciertas doctrinas ó sis­ D Miguel M artínez y D. Manuel Fernandez. Con las 25 ban­ intolerancia civál ó religio sa, y a empleándolas como una mina te m as, sin…</t>
  </si>
  <si>
    <t>Baltemoros, Manuel</t>
  </si>
  <si>
    <t>Manuel Baltemoros</t>
  </si>
  <si>
    <t>…les y oportunas. Pero apoyados eu Teniente coronel D. Ramón Lamelino. diendo el paso del torrente ; y que aunque llegase el número la confianza de una de las Cámaras (muchas v o c e s : aten ción ), Teniente coronel graduado D. Manuel Baltemoros. al completo de 29 y aun á duplo núm ero, no quedarían para­ y la tolerancia de la otra , hemos logrado adm inistrar y gober­ Teniente coronel capitán D. Prudencio Larragan. dos por su parte. nar la Irlanda de un modo capaz de asegurar la felicidad de Capitares D. Francisco Gonzá…</t>
  </si>
  <si>
    <t>Bande, Domingo</t>
  </si>
  <si>
    <t>Domingo Bande</t>
  </si>
  <si>
    <t>…, juez de primera instancia de esta cap ital, refrendaba' los diferentes ramos de la administración pública. Nuestros d e' rá el artíc ulo; y cree que es menester que se levante á los ayun­ del escribano del número de la misma D. Domingo Bande ; Gse seos reclaman también el proyecto de ley relativo á la organi­ tamientos la pesada carga que tienen. Por último quiere que los c»ta y emplaza á todos los que se consideren con derecho á^ lósf zación del estado mayor general. señores de la comisión tengan la bondad de explicarle e…</t>
  </si>
  <si>
    <t>…tud de providencia del Sr. D. Tomas Pacheco, juez de ORDENES Y REGLAMENTOS DEL GOBIERNO primera instancia de esta capital , refrendada del escri­ Comercio nacional................... 2.692,159 .4 f bano del número de la misma D. Domingo Bande, se llama, Y DK LAS DIRECCIONES Y AUTORIDADES SUPERIORES. Idem extrangero....................... 15.104,655..2- cita y emplaza por término de 15 d ias, contados desde la pu­ Depósito de salida.................... 2.674,287..5£ blicación de este anuncio en la Gaceta, á todos los que se…</t>
  </si>
  <si>
    <t>15/09/1839</t>
  </si>
  <si>
    <t>Gaceta de Madrid n.º 1768</t>
  </si>
  <si>
    <t>…el segundo capitán primera instancia de esta capital , refrendada del escriba­ diz, Hortal y compañía. Figueras, Matas. G erona, Fígaro. de la compañía fija del cuerpo de artillería de la propia ciu­ no del número de la misma D. Domingo Bande, dada á ins­ M álaga, Carreras. Palm a, Gelabert. T arragona, Puigrubi. Va­ dad , se sirvan ponerlo en conocimiento de dicho juzgado p ri­ tancia del defensor judicial de los herederos ausentes de la se­ lencia , Gimeno. V ic h , Valí. Zaragoza, Polo. Y en las demas vativo, para en v…</t>
  </si>
  <si>
    <t>Bandin, D. Carlos</t>
  </si>
  <si>
    <t>D. Carlos Bandin</t>
  </si>
  <si>
    <t>…ejía y á un conside­ numerosa falange que las sostenía entre nosotros, y que en su rable número de sus gefes, oficiales y tropa : todo consta de los tiempo y por sus esfuerzos se extinguieron los jesuitas, ya se A l Exorno. Sr. D. Carlos Bandin , comandante de las fu er­ partes de que acompaño á Y. S. copia. podrá conocer si habrán tenido enemigos , y si los llamarán hoy zas navales francesas en el golfo de Méjico. Como al mismo tiempo se comunicó á S. E. que en este retrógrados y serviles los partidarios de aquellas doct…</t>
  </si>
  <si>
    <t>Bar</t>
  </si>
  <si>
    <t>…empeñó un fuégo muy vivo de 306 bocas de fuego á •agne en nombre de la comisio|i det suscripfjaresj Mr. Gace y 1200 metros de distancia: el combate de la artillería duró siete el corregidor en nombre de la ciudad, y él general de Bar cuartos de hora; mas habiéndose apurado las municiones, el fue­ MADRID 1 1 DE AGOSTO. eu nombre del ejército, han tomado sucesivamente la palabra. go siguió con menos calor hasta que llegasen las municiones de Concluidos los d isc u rso sla s descargas de artillería y dé reserva. Este fue un mo…</t>
  </si>
  <si>
    <t>27/06/1839</t>
  </si>
  <si>
    <t>Gaceta de Madrid n.º 1685</t>
  </si>
  <si>
    <t>…mos recibido ninguno. Trasmitiré á la secretaría de su naturaleza á la del sol y de nuestro satélite. Probó la inexac­ carácter gótico del siglo xiv y principios del xv es el de la Guerra lo que V. me comunica relativamente á D. Bar­ titud de esta opinión, apoyado con la de los célebres astróno­ nuestros dias? tolomé Caulas, y pondré en conocimiento de V. la decisión de Por lo demas si Madrazo ha conseguido dos premios S. M. en este particular. mos Ciscar, Laplace, Lalande y A rago, quienes por resultado de sus observac…</t>
  </si>
  <si>
    <t>Barajas, NOTICIAS NACIONALES. Eusebio</t>
  </si>
  <si>
    <t>NOTICIAS NACIONALES. Eusebio Barajas</t>
  </si>
  <si>
    <t>…el mismo lerna , pen­ dia festivo. diente de cinta de los colores de la bandera nacional en lazo de azul Cristina. Hace 10 años que se miraban como una utopia los caminos D. Francisco Jim énez, monitor de la segunda clase, Don NOTICIAS NACIONALES. Eusebio Barajas , de la primera , por su aplicación y mérito, de hierro: hoy se está tratando de construir un camino de hierro sin vapor, suspendido en el aire. esmero y cuidado de s u d a s e , principalmente el B arajas, por T oledo 24 d e Agosto. su facilidad en escribir en…</t>
  </si>
  <si>
    <t>Baraona</t>
  </si>
  <si>
    <t>…greso para que este decida. nión de amigos se trató de ponerle en la candidatura de D i ­ gu nta r si era en pro ó en contra , por eso ha sido mi dud Hecha la pregunta se accedió á lo expuesto por el Sr. Pa s­ putados con el Sr. Baraona , gefe político que fue de aquella desde ahora la pido en pro del Sr. Cortázar. a‘ 0 c u a l , quien habiendo obtenido la palabra pronuoció un breve p ro v in c ia , y otros varios.) E l Sr. O L O Z A G A fue de parecer que habiéndose Va j disc urso, en el cual manifestó que el deber de la…</t>
  </si>
  <si>
    <t>Barata, D. Antonio</t>
  </si>
  <si>
    <t>D. Antonio Barata</t>
  </si>
  <si>
    <t>…; 52 E. 584 ■1755 á 2336 *' ^ 2400 1401600 ma, piarte de la deuda extrangera diferida , con arreglo á la ley de 16 dé Noviembre de 18 5 4 , compuesta de su presidente el 65 , F .. 514 2057 á -2 5 7 0 • ' 4800 ' 2467200 ExcmOí'Sr. D. Antonio Barata , consejero de Estado , y de Ioí ! i Sres. vocales D. Félix D ’O lhaberriague y Blanco, director gene­ i ¡ ral de la caja nacional de Amortización , D Manuel Gonzales A llen d e, en representación del banco español de S. Fernando .6 ; L otes que comprenden 3681 Documentos de deuda…</t>
  </si>
  <si>
    <t>…enciario de Francia califique de instrucciones posteriores, compuesta de su vicepresidente República previno como conformé á la ley del 10 de Vendi- mas conducentes para ilustrar la materia ; y que si S. E. q u i­ el Excmo. Sr. D. Antonio Barata, consejero.de Estado, y miario del añ o'4*°? que las municipalidades de los departamen­ siere contribuir á este objeto con alguna nueva exposición, se de los Sres. vocales D. Pedro Sainz de Baranda y D. Ale­ tos sen fueran responsables de las pérdidas o perjuicios que causa­ tend…</t>
  </si>
  <si>
    <t>…os al o^rq, para., que «él triunfo de la instrucciones posteriores, compuesta de su vicepresidente el Ex­ nos de Hierro en Irlanda no darían mas de 4 i por 100. El Es­ oposición quede asegurado en el 11 colegio. celentísimo Sr. D. Antonio Barata, consejero de Estado, y de tado debe interyénir , porque las ganaucias no son bastante con^ J los Sres. vocales D. Pedro Sainz de Baranda y D. Alejandro, sidérablés para atraer á los capitalistas» Toda la cuestión se re-, ;Dimos noticia' á núést^ós 'lectores' ;d ¿ “ íós tééminós e…</t>
  </si>
  <si>
    <t>Barba, Alvaro Alonso</t>
  </si>
  <si>
    <t>Alvaro Alonso Barba</t>
  </si>
  <si>
    <t>…ro Bernardo Perez de Vargas. istmo de Suez. Dueña de la primera posesión la Rusia, y la 5.° Con siete capítulos del Arte de los metales, compues­ Ioglaterra de la segunda, para siempre quedaba roto el equi­ to por el licenciado Alvaro Alonso Barba.</t>
  </si>
  <si>
    <t>Barbería, Pedro</t>
  </si>
  <si>
    <t>Pedro Barbería</t>
  </si>
  <si>
    <t>…tor de que en esta materia nadie puede El heredero presuntivo de la corona de Rusia llego a esta el prometerse el mérito de la invención, como no sea el que tenga domingo 20 de Diciembre después de medio dia. S. A. I. se 95. D. Pedro Barbería , vecino y del comercio de esta cor­ el modo de describir los sucesos, ha extractado aunque concisa­ apeo del coche eo el palacio del embajador ruso conde de G u - te, en 6 del corriente acude al Congreso manifestando que en mente (sin om itir uingunode grave im portancia) todos los…</t>
  </si>
  <si>
    <t>Barbes</t>
  </si>
  <si>
    <t>…que los procedimientos se limitan á quince indivi­ última vez las capitulaciones , han o c u r r id o ca m b io s de d i f e ­ Bastante difícil es formar opinión acerca de la determina­ d u os, entre los cuales se cuenta al Sr. Barbes, abogado, ya rente naturaleza, tanto ea la adm inistra ción interior del im p e ­ ción que tome el Gobierno mejicano con motivo del tratado del comprometido en el asunto de la fabricación de la pólvora de rio t u r c o , com o en sus relaciones exteriores con las otras P o t e n ­ 9 de Marzo…</t>
  </si>
  <si>
    <t>Barbudo, Eusebio</t>
  </si>
  <si>
    <t>Eusebio Barbudo</t>
  </si>
  <si>
    <t>…No es menos bella la comparación de la n u b e , forma­ Cotización del día 2 á las tres de la tarde. dores y con derecho á los bienes que han quedado por fin y da por el vapor de la piedra que descompuso en el íuege muerte de D. Eusebio Barbudo, del comercio de dicha villa de el alq uimista, con el aliento del q u e r u b precito. EFECTOS PUBLICOS. Orgaz, para que se presenten á deducirle por medio de procu­ E n turbias ondas por el aire sube Inscripciones en el gran libro á 5 por 100, 00. rador de dicho juzgado autorizado…</t>
  </si>
  <si>
    <t>Barbudo, Eusebio Sánchez</t>
  </si>
  <si>
    <t>Eusebio Sánchez Barbudo</t>
  </si>
  <si>
    <t>…a de Orgaz y su partido , de después apóstata, casándose, y cooperando del mismo modo á 2 del corriente , en los autos de testamentaría ó concurso á los la consolidación del imperio de Napoleón, que á su destrucción; bienes de D. Eusebio Sánchez Barbudo, vecino y del comerio á la vuelta de los Borbones, que á la dinastía popular de Luis que fue de esta v illa , y por la escribanía de D¿ Jaim e R uiz T a- JV U E V A gram ática de la lengua castellan a, según loa prin­ Felipe. En cada página se encuentra algo que adm irar, y m…</t>
  </si>
  <si>
    <t>Barbés</t>
  </si>
  <si>
    <t>…rdan con la sangre del pueblo# Finalmente , se h an encontrado dos documentos en poder nocen. y que no pudo menos de a g radar sobremanera á S. E. I., 4.° ¿ E n v ir tu d de qué derecho g o b ie r n a n ? —, E n v irtu d del Sr. Barbés: uno contiene la orden del dia fecha en M ayo corno hijo de aquel pais. Tam bién bailaron a !1i lo? gaPegos y del derecho de la fuerza. de 1855 en las sociedades secretas, cuando ya habia u n año los indios y españoles, pronunciando el cacique de los segundos 5.° ¿ C u á l es el vicio que m…</t>
  </si>
  <si>
    <t>Barcelona</t>
  </si>
  <si>
    <t>…arull del cotejo de signos , firmas y de Talleirand ha sabido quizás concillarse tanto, sin el menor M A D R ID 5 DE JU N IO . rúbricas. esfuerzo en la apariencia , el afecto de sus subordinados. Los 2.° La de Mirón i, conde de Barcelona, hijo y sucesor que le rodeaban en sus últimos momentos habían envejecido ea de Suniario, y nieto de W ifredo, que reinó juntam ente su servicio; de los que le habían prodigado sus cuidados duran­ Los condes de Barcelona vindicados, y cronología y ge­ con su hermano BorreH n , deducida de…</t>
  </si>
  <si>
    <t>…echazados á celona. Este documento prueba legítimamente que cuando Esta junta ha acordado anunciar al publico que se halla ya la bayoneta por los granaderos de la Guardia Real, que lanza­ Carlos el Calvo nombró a Wifredo conde de Barcelona, expedita la carretera desde esta ciudad al rio Duero,- y allana­ ron al enemigo hasta el barranco, donde resultaron los tres he­ le dió tierras, no á feudo, sino en propiedad, sitas en la dos de todo punto los penosísimos y difíciles pasos de las baja­ ridos expresados. {D. M . de V i) p…</t>
  </si>
  <si>
    <t>…es las roas agradables, y que en el dia de hoy Mr. D i d ro n , encargado de una misión arqueológica en se celebre un baile de máscaras en el teatro á las once de la uo- Grecia, ha llegado el 1.° de Agosto á Atenas con el conde Barcelona 25 de Agosto. che; pudiendo usar de dicho traje el que le acomode'poFTas Anatolio de Sta. Aldegonda, Mr. Manuel Durand y Mr. H i ­ calles. Zaragoza 5 de Setiembre de 1859 n D e acuerdo de S. E., Gregorio Ligero, secretario. {E. de A.) pólito Parfait, sus compañeros de viaje. Después de…</t>
  </si>
  <si>
    <t>…n número obispos vecinos los auxilios que estas necesiten. Con tan lauda­ permitir el terreno que toda ella tomase parte. de efectos tendré la honra de detallar á,V . E. al elevar el par­ ble celo el Excuso, é limo. Sr. obispo de Barcelona consagró el Tan señalada victoria no ha sido obtenida sin la pérdida te circunstanciado de esta gloriosa jornada, en la cual nada me último jueves santo los santos óleos para el obispado de Urgel. de algunos valientes, pero puedo asegurar á Y . E. que ha si­ han dejado que desear los gefe…</t>
  </si>
  <si>
    <t>…sar desde luego, relevándose por otros Inscripciones en el gran libro á 4 Por 1 0 0 , 00# elegidos con arreglo á la ley, contrariando asi la disposición del Títulos al portador del 4 Por 1 0 0 ,0 0 . Excmo. Sr. capitán general de Barcelona que ha mandado con­ Vales Reales no consolidados, 00. D euda negociable de 5 por 100 á papel, 00. TVíOTICIAS sobre el arte de la declamación, por D . Carlos. La* tinúen aquellos individuos, no obstante lo dispuesto por las le­ Idem sin Ínteres, 4 quince dieciseisavos al contado: 4 f y 5…</t>
  </si>
  <si>
    <t>…n la prim eraB erenguel aborrece á su her­ Aragón. subordinación y demas virtudesde que tan ilustre muestra aca­ mano m ayer R am ón, á pesar de la igualdad con que ama ban de dar en aquella plaza. y trata á los dos el conde de Barcelona su padre, y de la Zaragoza 17 de Junio. Según escriben de Ateca con fe­ Organizóse este regimiento en Cádiz el año de 1854* y des­ prudencia con que corrige los extravíos del mal hijo. Vol­ cha del 12, el teniente de aquella Milicia D. Pedro Arreta, con de entonces ha estado á las órdene…</t>
  </si>
  <si>
    <t>Barcelona, Doña</t>
  </si>
  <si>
    <t>Doña Barcelona</t>
  </si>
  <si>
    <t>…ros y una bolsita, por la escribanía de Cámara al cargo del Sr. D. Antonio Lo- á la Sra. Doña María Manuela Aguijar. paz Salazar , introducida por José Juncosa y Elias, vecino de 761. Un almohadón con un león bordado, á la Sra. Doña Barcelona, con varios acreedores sobre graduación y preferencia EL BUEN T O N O , María Fernandez. de los bienes concursados de su pádfe Pablo Juncosa, bajo aper­ 494. Un acerico bordado de felpillas y oro, al Sr. D. Ra­ cibimiento que de no hacerlo les parará el perjuicio que haya fael Bert…</t>
  </si>
  <si>
    <t>Barcia, Juan</t>
  </si>
  <si>
    <t>Juan Barcia</t>
  </si>
  <si>
    <t>…y aprenderla metódicamente , con nio último por D. José Maximino Castillo, la ley condena al muchas observaciones y notas críticas de los mas célebres auto­ poema de Crescini, cuyo asunto está tomado de la famosa tra­ doctor D. Juan Barcia, responsable de dicho impreso, en las res puramente ingleses, especialmente de L o w t h , Prietley y gedia de Schiller, que tiene el mismo título , música del maes­ penas de prisión por dos meses en el castillo de San Felipe del Irin d e r . Su autor , el P. Fr. Tomas Connelly. Un tomo…</t>
  </si>
  <si>
    <t>Barda</t>
  </si>
  <si>
    <t>…ses principales del de la pues q u é, ¿acaso era él primero que los representantes? ¿pues materia eclesiástica 58 arzobispados y 8 00 y tantos obispados, M ilicia n acio n al, del de los ayuntam ientos y del de la libertad el Sr. Barda jí no representaba el mismo sistema? ¿pues el señor y mandaba sobre 10 0 millones de h ab itan tes, quién diria que de im p ren ta, y que yo desde luego les daré un bilí de in m u n i­ C a latrav a, digno Presidente actual de nuestro Congreso 9 no re­ habían de desaparecer los restos de nuestr…</t>
  </si>
  <si>
    <t>Bardají</t>
  </si>
  <si>
    <t>…cia preseute para que no se la proyecto de ley sobre conceder una pensión á la viuda del con­ tonces por mi parte votaré contra el dictámen, que está firmado culpase de omisa. de de D onadío, había nombrado para presidente al Sr. Bardají, por m í, no obstante que le considero en su lugar. El Sr. PRESIDENTE dijo que el Congreso tenia deposi­ y Secretario al Sr. Salas Omaña. El Sr. ARG U ELLES: S i» que sea mi ánimo ofender en tada toda su confianza en la comisión que habia nombrado. El Sr. PRESIDENTE: Para la primera sesión…</t>
  </si>
  <si>
    <t>Barinaga</t>
  </si>
  <si>
    <t>…ón, una ei mismo Sr. presidente, otra el secretario ros de Paris, y se trasladarán al de esta capital tan luego como Zam ora, Barinaga, y otra el socio D. Pedro Miranda. Ademas de estas se halle establecido. el mismo secretario Barinaga leyó en una sesión posterior otras Los trabajos del presente año no desmerecen ni en objeto Sr. D. Antonio Samaniego. tres remitidas desde Sevilla por D. Fernando de la Puente á ni en resultados á los de los años anteriores. Los socios á porfía Sr. D. Francisco Ruiz del Arbol. los redacto…</t>
  </si>
  <si>
    <t>Barona, Vicente</t>
  </si>
  <si>
    <t>Vicente Barona</t>
  </si>
  <si>
    <t>…la villa de Viguera el la con el número 9 8 , resuelta ya por el Congreso. 175. Esperanza Lagarriga f en solicitud á pensión. 1.° de Enero del corriente año. 254. La diputación provincial de Alicaote, solicitando am - 17/j. D. Vicente Barona , ex~monge bernardo , sobre de­ 216. El ay un tan? ie oto de la villa de Vivero, manifestando ahacion del término señalado para la admisión de créditos en volución de un vínculo que renunció al hacer su profesión. la necesidad de reducir el número de empleados públicos. ?ago de la co…</t>
  </si>
  <si>
    <t>BARR</t>
  </si>
  <si>
    <t>…á todos los Sres. Diputados en la discusión de la jas de su dictámen. hasta que se concluyese el asunto de los fueros. enmienda en qué el Congreso iba á ocuparse. El Sr. Q U IN T O : El Sr. Olózaga se ha olvidado de una El Sr. B A R RIO AYUSO, como autor de ella, la apoyó di­ El Sr. P A SC U A L expuso que estando aprobada la propo­ circunstancia que se ha observado; esta es que se ha presenta­ ciendo: Que hallándose dos millones de españoles, y tal vez el sición de los Sres. Estrada y Egaña , ya no tenia logar la suya…</t>
  </si>
  <si>
    <t>…laría respecto á la una , porque aunque no es tan insignifi­ Se leyó la parte referida del dictámen. votos de un distrito, no constaba en el acta si efectivamente cante como indica la comisión, sin embargo no me parece de El Sr. B A R RIO A Y U SO : Después de lo dicho por el señor habia sido obra ó no del ayuntam iento; requisito que era in­ tanta gravedad para poder ocupar al Congreso. La otra es de Calderón Collantes, y después de haber oido á algunos indivi­ dispensable para aclarar este particular. mas importancia y…</t>
  </si>
  <si>
    <t>Barra, Francisco Javier</t>
  </si>
  <si>
    <t>Francisco Javier Barra</t>
  </si>
  <si>
    <t>…iguiente‘continuara en servicio el mozo en favor de cu ­ ACTAS DEL GOBIERNO. llamado de Reiuosa, hipotecando los productos de los portazgos, ya padre , m adre, abuelo ó abuela haya sido contraida la pasé al inspector general D. Francisco Javier Barra , ;co,mo dicha obligación. persona conocedora de todas las. circunstancias de aquel pais. 7.° Tanto las diputaciones provinciales com o los ayun­ Luego que vuélva,' y oyendo a la junta consultiva, haré tam- ! tamientos deben facilitar y facilitaran los informes y co­ _ .M I…</t>
  </si>
  <si>
    <t>Barrachin</t>
  </si>
  <si>
    <t>…felicitarla por los faustos de las Tullerías ha llegado á Marsella á bordo del Licurgo , El pedido la palabra en contra. Esta cuestión es in útil, ya se di&lt;=* y reciente* acontecimientos del tratado de Yergara, tan fecun­ doctor Barrachin, agregado á la misma legación, acompaña á cuta la enmienda separada, ó previamente; es indiferente. Si se do en resultados, que él ha coustituidoJa base de la prosperi­ Tal-A t-E ffeudi. {Id) discute separada , las razones que se opongan á la eomienda se-</t>
  </si>
  <si>
    <t>Barrantes, Alejandro</t>
  </si>
  <si>
    <t>Alejandro Barrantes</t>
  </si>
  <si>
    <t>…e causa : habiendo votado titulado seis jueces por el sí,y tres por el no. Siendo los que compusie­ | 7 L intendente militar del distrito de Extremadura r^Hago sa- L A Q U IN T A D E P A L U Z Z I ron el jurado los siguientes: D. Alejandro Barrantes, D. Ma­ be r: Que finalizando en fio de Junio de este año la actual ó nuel Segura, D. Francisco Bargas Perez, D. Benito Lagarza, contrata con D. Pedro Martínez Crespo, por la cual se halla á D. Manuel Bartolomé M iranda, D. Manuel Lindo, D. Pedro su cargo la subsistencia, asisten…</t>
  </si>
  <si>
    <t>BARRI</t>
  </si>
  <si>
    <t>…, y naria escolta de caballería. Llegado á Elorrio encontró los ba­ que hablar contra ellas. leyó los dictámenes de la comisión de A ctas, en que se propo­ tallones formados en b atalla, y les pasó revista juntamente coa El Sr. B A R R IO A Y U S O : Resuelto á aprobar las eleccio­ nía la aprobación de las de A lic a n te , V a le n c ia , Segovia, L é ­ Maroto. nes de M a d r id , declaro que no es mi ánimo oponer una obje­ rida , Guipúzcoa , A lm e r ía , Cáceres y Córdoba, los que sin la Concluida se d ir ig ió D. Cárl…</t>
  </si>
  <si>
    <t>…del mo­ troducir los nombres en una u rn a , y q u e la suerte decida cuál hay personas , y yo soy una de ellas, que necesitan estudiar. mento : si se discute solo la enmienda, todo lo que digamos en ha de hablar primero. El Sr. B A R R IO A Y U SO dijo que era una equivocación contra se sepa rara de la discusión. Deseo pues que el Congreso Varios señores pidieron la palabra en contra de lo que aca­ creer se oponía á la proposición que estaba discutiéndose: que tome est3s razoces en consideración , y que declare si han de…</t>
  </si>
  <si>
    <t>…drá con­ ducir. r des como lo hizo el otro dia con respecto á una carta que pre­ Descuento de l e t r a s , á 6 por 100 al año. sentó el Sr. conde de las Navas. Yo no tendria inconveniente en que se suspendiera la reso­ El Sr. B A R R IO A Y U SO insistió en que la comisión r e ti­ lución de este dictamen y que se vieran esos documentos que ha rase su d ic tám e n , pues obrando con consecuencia, debia h a ­ presentado el Sr. Benavides; pero como quiera que sobre los cerlo , como lo hizo a y e r , por una mera indicació…</t>
  </si>
  <si>
    <t>Barriera</t>
  </si>
  <si>
    <t>El contralmirante barón Barriera ha anclado el 28 con su En el puerto de Sebastopol han entrado para invernar en él, Los dos príncipes de Coburgo van á partir de W inJror pa­ división. Í5 navios de alto bordo, y 25 entre fragatas, bergantines y ra el continente. El mismo dia ha salido la corbeta rusa la Ifígenia para corv…</t>
  </si>
  <si>
    <t>Barriere, Pedro</t>
  </si>
  <si>
    <t>Pedro Barriere</t>
  </si>
  <si>
    <t>…a fecha he recibido la expo­ Se ha dicho que por una circular de 1851 el Ministro de á 2 de Abril de í859.r:Joaquiu de Ezpeleta.izAatonio María la Guerra prevenía á todos los oficiales del ejército se abstuvie­ sición en que D. Pedro Barriere, como decano de la profesión de la Torre y Cárdenas, secretario. de abogados de esta audiencia, solicita que á un cierto n ú m e- sen de llevar las insignias de la orden de San Luis. Pero en esta circular no se expresa que la cruz de San Luis haya sido abo­ de individuos de ella se…</t>
  </si>
  <si>
    <t>Barriere, Regente.zzDr. D. Pedro</t>
  </si>
  <si>
    <t>Regente.zzDr. D. Pedro Barriere</t>
  </si>
  <si>
    <t>…un cierto n ú m e- sen de llevar las insignias de la orden de San Luis. Pero en esta circular no se expresa que la cruz de San Luis haya sido abo­ de individuos de ella se les permita el honor de concurrir á Excmo. é limo. Sr. Regente.zzDr. D. Pedro Barriere, como acompañar de ceremonia á la guarda del sello al Sr. M inistro lida. En cuanto al motivo y al objeto que pudiera tener el avi­ decano de la facultad, por sí, y de acuerdo con varios letrados so del ministerio, se dejan comprender fácilmente. que ha de velarle,…</t>
  </si>
  <si>
    <t>Barrio</t>
  </si>
  <si>
    <t>…examinar desde el origen y votaron 1 1 1 , y habiendo obteuido el Sr. Zumalacarregui 2/4 mejor que yo ; pero comprometido á dar un voto en este asun­ estado prim itivo que tuvieran las provincias hasta esta época. votos, el Sr. Barrio A y uso 12, el Sr. Arguelles 5 , y el Sr. Cor­ t o , y llenar todos los deberes de Diputado en una ocasión tan Piogaria al Congreso que si lo tomaba en consideración resol­ tina 1. solemne é im p ortante, no puedo prescindir de hacerlo, por si viese. Se procedió á la elección de primer Vic…</t>
  </si>
  <si>
    <t>…en el seno del hogar doiné&gt;ti- sipar este error. Por consiguiente la comisión ha previsto el ca­ co. El Senado aleja de sí este temor, confiado , Señora, en que Sesión d e l dia 4 d e S etiem b re . so que ha manifestado el Sr. Barrio A y uso, y no encuentra el primero y mas importante resultado de la paz será el de res­ motivo para que el Congreso deje de aprobar el dictámen. titu ir al Gobierno de V. M . la fuerza y la energía de que ne­ Se abri ó á las doce y m e d ia , y leida el acta de la sesión El Sr. Barrio A y u…</t>
  </si>
  <si>
    <t>BARRIO</t>
  </si>
  <si>
    <t>…lm enara 23 de Setiembre de 1839.=Señora.= A L. R . P. sideración del Congreso para que decida. se habrá conseguido sin influencias extrañas, y quedando sal­ de V . M .= G reg o rio del Castillo , regidor prim ero.=Pascual El Sr. BARRIO A Y USO : Yo creo que la importancia de vas las instituciones que nos rigen y los imprescriptibles dere­ Versalles, regidor segiindo.=Juan M artin.=M iguel T enorio.= esta cuestión es inmensa , y hace necesario que se ilustre todo chos al trono español de nuestra augusta R eina f)ona Rii'- M…</t>
  </si>
  <si>
    <t>…Secretarios del Despacho que están presentes, y monio de los discursos pronunciados en aquella época por el El Sr. Ministro de G R A C 'A Y JU STICIA (m ovimiento que deben haber examinado los antecedentes de la época á que Sr. Barrio A y uso y á los cuales pueden referirse los Sres. D i­ general de atención): Apenas h ab rá, señores, una cuestión zne remito que existen en la secretaría, no me podrán contra­ putados, acerca del propio asunto de que acabo de hacer mé­ donde pueda lucirse mas la ilu stració n , la erudición…</t>
  </si>
  <si>
    <t>06/09/1839</t>
  </si>
  <si>
    <t>Gaceta de Madrid n.º 1759</t>
  </si>
  <si>
    <t>…s acostumbrados. ñ a , Diputado por la misma provincia. mayores demostraciones de entusiasmo. En todo el tránsito des­ Zaragoza 2 de Setiembre de 1839.=:De acuerdo de S. E ., Gre­ 9.° Sobre las de S o ria , presentadas por el Sr. Barrio A y uso* de Bayona aqui se les ha obsequiado con espléndidas fiestas y gorio Lifiero . secretario. (Id A 10. Sobre las de Zamora. en el momento en que escribo á V V . presenta la linda ciudad A la comisión de Actas se remitió una reclamación de va­ de Pau un aspecto verdaderamente encantador.…</t>
  </si>
  <si>
    <t>…habiendo pedido la palabra muchos señores á trate de un solo hecho, sino de todos los extremos, pues si él dadano me queda la imprenta para manifestar mis razones: la vez; pero que podría hacerse lo que en algunos cuerpos le­ Sr. Barrio A y uso ; cuya proposición tenia por objeto abreviar ahora se trata de llevar la cuestión á otro terreno, donde no gislativos de Europa se practica en semejantes casos, y es in ­ la terminación de este asunto; tiene la facilidad de improvisar, tenemos armas iguales. Las razones que demos no…</t>
  </si>
  <si>
    <t>…resentado la en m iend a, como decir por qué no podia aceptar esa misión; conocidos son mis tación. por parte de la comisión y el G obierno, que si bien todos principios, y esto lo explicará por ahora. Pero la prueba m a­ El Sr. BARRIO A Y U SO : Para que conste el número de estamos conformes en el principio, porque todos amamos la yor que puedo dar al Sr. Ministro de la Guerra de que no soy Diputados que han votado la ley ; que la votamos todos. paz, no podíamos entendernos. quien ha querido anticipar esos cargos, es que…</t>
  </si>
  <si>
    <t>…ido la palabra para una estaba pronto á todo. ¿Y prueba esto que se habia mejorado la pió decoro jr el deseo de conservar la marcha que se ha trazado de orden. guerra? Pudiera yo decir que por parte de los de la junta que El Sr. BARRIO A Y U SO : Pido la palabra para advertir tal declararon se añadió el insulto á la desgracia. Navarra se</t>
  </si>
  <si>
    <t>…viernes 16 de Agosto último que principia: " E n Dos id. de 16 arrobas en 96 rs. el templo de la jusiicia. el número del jueves 8 , ” y concluye, "locura de que se ve Y finalmente tres id. como de cinco arrobas. cada una E1 Sr. BARRIO A YUSO s Pido la palabra en pro ó en trabajado este pobre” : se procedió á celebrar el sorteo de Jos en 60 rs. contra. nueve jueces de hecho que con arreglo á la ley debían compo­ Quien quisiere hacer postura á dichas fincas y tinajas jun­ El Sr. P R E SID E N T E : Extraña petición..... ner…</t>
  </si>
  <si>
    <t>…de Arellano ; pues debe cortar el Congreso y decidiéodose que fuese nominal la v otació n, á petición del El Sr. ONDE V IL L A contesta diciendo que la mesa al pro­ por cuantos medios están á su alcance que se arranque de su Sr. Barrio A y uso , fue aprobado por 7 6 votos contra siete. poner su dictamen está m uy lejos de querer sorprender al Go­ seno ningún D iputado. Se dió cuenta de varios expedientes. bierno. Hizo presente S. S. que resultan graves cargos contra el se­ El Sr. P R E S ID E N T E anunció para m añana la…</t>
  </si>
  <si>
    <t>…a corte , en el parte dia­ Verificada la votación, y teniendo duda algunos señores, y presencia, porque nos ha prodigado dones tan grandiosos. Pero rio para Zaragoza el 22 del actual á las cuatro de su tarde, entre ellos el Sr. Barrio A y m o , sobre su resultado, pidieron para que nuestra alegría sea pura y nuestros cánticos aceptables fue interceptada y quemada por los facciosos á las seis de la que se contase; pero sin pasarse á hacer esto, por haberse levan­ á los ojos de Dios no bastan las señales exteriores, es menes…</t>
  </si>
  <si>
    <t>Barrio-Ay, Manuel</t>
  </si>
  <si>
    <t>Manuel Barrio-Ay</t>
  </si>
  <si>
    <t>…Salvá y Cardell. Sr. D. Pablo Ayala y Moría. Sr. D, Francisco Armero y Peñaranda. Sr. D. Juan Burguez Zaforteza. Sr. Sr. D. Nicolás Rípoli. León. Soria. . Barcelona. Sr. D. And rés Leal. Sr. D. Segundo Sierra y Pambley. Sr. D Manuel Barrio-Ay uso. Sr. D. Joaquin Rey, Vicepresidente 5.° Sr. D. Pascual Fernandez Baeza. Sr. D. José Antonio Flaquer. Sr. D. León Ilerques. 7 1arragona. Sr. D. Carlos de Martí. Sr. D. Santiago Alonso Cordero. Sr. D. Baltasar de Toda. Sr. D. José Almirall. Sr. Sr, D. Joaquin Borras. Sr. D. J…</t>
  </si>
  <si>
    <t>BARRIOAYIJSO</t>
  </si>
  <si>
    <t>…que lo que no vino bien en tiempo del señor El Sr. P R E S I D E N T E : N o h a y palabra. clase de docum ento s, á s a b e r: (leyó el párrafo del mensaje que Mendizabal lo venga boy ? ¿ Q u é tiene que ver la época del El Sr. B A R R I O A Y I J S O : N o hay palabra para deshacer empieza : " A s i q u e , no solo ratificarán si es necesario &amp;c.” ) Sr. Mendizabal con la presente? Yo me atengo á la a c tu a l, en equivocaciones, pero alusiones personales coa el nombre propio, Señores , hé aqui la ley que nosotros present…</t>
  </si>
  <si>
    <t>BARRIOAYUSO</t>
  </si>
  <si>
    <t>…t íc u ­ be el estudiar y aplicar los medios , dedicando á ello cuanto me Ayuso. los que nosotros presentamos á continuación del primero , en es dado comprender , mis f u e r z a s , mi p a tr io tis m o ; s í , señores, El Sr. B A R R I O A Y U S O : Sr. Presidente , es p ara una a l u ­ que están textualm ente estas palabras, no son mas que la m a­ m i patriotismo ; hijo de España soy ; sus intereses me ligan, sión personal. nera que hemos creído op ortun a para ejecutar la ley. E n esta sus in fortunios son raios tamb…</t>
  </si>
  <si>
    <t>…punto donde tuviesen la residencia. modado á la le y , si bien esta pudiera ser mas justa y menos en si se hubiese presentado. Por todas e&gt;tas razones ha resultado el artículo lleno de con­ contradicción consigo ir.isnja. El Sr. B A R R I O A Y U S O manifiesta que tiene entendido tradicciones ; pero la ley lo dice a s i , y es necesario acatarla y S. S. reproduce con este objeto la historia del art. 57 de la que el Sr. Cortázar se halla enfermo. obedecerla; el artículo tieue anom alías, mas estas son hijas de ley elector…</t>
  </si>
  <si>
    <t>…a c o m u n ic a ­ c u an d o el Gongreso exam inase las n uevas elecciones. tiene ni sostendrá la n u lid a d de las actas de Pontevedra. S i el ción h a b ia contestado e l Gobierno ¿ m anifestan do que el a r t í c u ­ El Sr. B A R R I O A Y U S O im p ug n ó el d i c t a m e n , f u n d á n ­ Congreso estima que eso no e.tá resu elto, está en la libertad de lo constitu cion al e x ig ía este número para vo tar la to t a lid a d de dose en que en n in g ú n a rtícu lo de la ley electoral se expresaba ha ce rlo ; pero si…</t>
  </si>
  <si>
    <t>…d if e r e n te s , como tam bién cedido a h o r a , que h a n sido elegidos los que ún ica m en te h a n su d ictám e n . las razones en que á m i ver se a p o y a b a n p a ra la exclusión. obtenido u n a tercera parte. El Sr. B A R R I O A Y U S O expuso que le h a b ia m ovido á Unos d ijero n que se debian e x c lu ir distrito s enteros porque Se suspendió por u n momento la discusión y entró á j u r a r pedir la palabra el haber oido decir al Sr. Perez de R iv a s qu e las actas las h a b ía n re m itid o firm adas…</t>
  </si>
  <si>
    <t>Barrionuevo, Francisco</t>
  </si>
  <si>
    <t>Francisco Barrionuevo</t>
  </si>
  <si>
    <t>…ión á que los ha conducido ver próximo el fin de su d e­ Mioistro de la Gobernación. Una fábrica de fundición plomiza en Fuente-redores, tér­ senfreno y rapacidades, quisieran arrastrar con su ruina ía de mino Je F eliz, por D. Francisco Barrionuevo, en 23. toda la nación, y deseara que el reglamento la permitiera em i­ Núm. 41* Manuela Perez, vecina de la ciudad de Se v illa, Una mina plomiza en Poyos del M adroñico, término de tir su dictámen en la exposición de la diputación provincial de pide á las Cortes eximan á su…</t>
  </si>
  <si>
    <t>Barrios, Luis</t>
  </si>
  <si>
    <t>Luis Barrios</t>
  </si>
  <si>
    <t>…­ que no se resiente al parecer la salud de los presos, no sucede tes: D. Tadeo Sánchez Escandon , D. Francisco Iruegas, Don REALES DECRETOS, Jo mismo con respecto al juicio (1). Y no se diga que en los Es­ Pedro Cengotita, D. Luis Barrios, D. Manuel Angel Indo, tados-Unidos los dementes se hallan en las prisiones bajo la de­ D. Francisco del Herrero , D. Fernando de Palacios, D. Ma­ O RD EN ES Y REGLAM ENTOS D E L GOBIERNO nominación de criminales, cuya aserción es tan inexacta , cuan­ nuel Castresana y D. Francisco Go…</t>
  </si>
  <si>
    <t>BARRIOÁYUSO</t>
  </si>
  <si>
    <t>…raciada grangería, tanta mansedumbre , tanta docilidad, y es tan amante del hom­ terinos. que ademas de los perjuicios que irrogaria á la agricultura , h a ­ bre , tan cariñoso con él, y se deshace de tal manera por obe­ El Sr. B A R R I O Á Y U S O expuso que en la lista de actas ría desistir de ella á los labradores? Pues veamos ahora nada decerle, que promueve en su dueño un sentimiento de gra titud aprobadas que acababa de leerse no habia oido la respectiva á menos que la operación de castrar todos los caballos del ej…</t>
  </si>
  <si>
    <t>Barroeta, Ramón Alonso</t>
  </si>
  <si>
    <t>Ramón Alonso Barroeta</t>
  </si>
  <si>
    <t>…nece; todo el animo que le comunica Otra de fierro, Taral , término de Jerez del Marquesado, plumas le permite mantenerse en el aire con la mayor se­ su extraordinario poder cuando no halla carne pestífera, La Constancia, por D. Ramón Alonso Barroeta, en 20. renidad sin hacer el mas leve es tuerzo. Asi se ven por ho­ y se siente estimulado del h am bre, es agarrar un corde­ Otra de carbón de piedra, barranco de Z u jar, término de ras boyando entre las nubes, particularmente en las An­ ro; pero temeroso aun del temblor de…</t>
  </si>
  <si>
    <t>Barron, Manuel</t>
  </si>
  <si>
    <t>Manuel Barron</t>
  </si>
  <si>
    <t>cultos , esta población se compone de 2.855,512 cristianos, D. Manuel Barron , autor dedos lindísimos países: D . Joaquín vos contribuisteis con 10 rs. vn., que es la cantidad que nos 26.752,155 mahometanos, y 71.100.856 idólatras. Becquer, que expuso una bellísima vista original del patio de en virtud de las facultades concedidas, hemos se ñ a la d o 0 ui- La…</t>
  </si>
  <si>
    <t>Barroso</t>
  </si>
  <si>
    <t>…fueron indudablemente para la música; el canto y el solo por ser sevillana debemos suponer mil veces mas linda que que ofrecieren dudas. piano fueron los que en aquella noche pudieron disputar á las sus versos, y lamentaba el Sr. Barroso su desgracia , de suer­ Los informes de las secciones se leerán en sesión pública el bellezas sevillanas la atención y la admiración de los espectado­ te que casi quisiéramos que las tuviera siempre, por oir la lec­ sábado y los dias siguientes. res, sin que ellas deban darse por ofendidas,…</t>
  </si>
  <si>
    <t>Bartolomé</t>
  </si>
  <si>
    <t>…y esté cobarde mons­ de prometernos felices resultados de este cuerpo nwcíente, c ü y a truo no quiso hacer frente á nuestros valientes* creación es debida al in fatigab le célo é interés por la causa del benemérito general D. Bartolomé A m o r, cuyos servicios eter­ Esta tarde ha salido tln escuadrón del 4»° ligero de caballe­ ría , y ha tomado la dirección de A lm enara. En esta jiu e v a for­ nizan su nombre, y al generoso desprendimiento qué ha sabido F A STO S españoles, ó efem érides de la gu erra c iv il desde O…</t>
  </si>
  <si>
    <t>…1 lanceros........................................................................... i El procurador D. José Saturnino Blanco................. 1 602 53000 Id. D. Martiniano Gómez, capellán del castillo El escribano de número D. Bartolomé N uñez.. . . 4 de Atarás .......................................................... 1 Id. D. Bartolomé Puigdoller....................................... 4 Caso de salir premiado el número 1 con los 8000 ps. fs ., la La R. madre abadesa de Sta. Clara y su comunidad. 17 Id. D. Jesualdo Gayá…</t>
  </si>
  <si>
    <t>Bartolomé, D. Joaquin Francisco Pacheco. Sr. D.</t>
  </si>
  <si>
    <t>D. Joaquin Francisco Pacheco. Sr. D. Bartolomé</t>
  </si>
  <si>
    <t>…tonio Puicerciís. Sr. D. Facundo Infante. Sr. D. José Perez de Rivas. Sevilla. Sr. D. Manuel Perez Hernández. Sr. D. Alejandro Olivan. Sr. D. Francisco Olavarrieta. Sr. Jaén. Sr. D. Rarnon María Narvaez. Baleares {islas). Sr. D. Joaquin Francisco Pacheco. Sr. D. Bartolomé Marin y Tauste. Sr. D. Juan Morales Cortina. Sr. conde de Ayamans. Sr. D. Antonio Benavides. Sr. marques de la Motilla. Sr. D. Pedro Juan Morell. Sr. D. Francisco Curado y Fajardo. Sr. D. Juan Bravo Murillo. Sr. D. Miguel Salvá y Cardell. Sr. D. Pab…</t>
  </si>
  <si>
    <t>Bartolomé, Manuel</t>
  </si>
  <si>
    <t>Manuel Bartolomé</t>
  </si>
  <si>
    <t>…siguientes: D. Alejandro Barrantes, D. Ma­ be r: Que finalizando en fio de Junio de este año la actual ó nuel Segura, D. Francisco Bargas Perez, D. Benito Lagarza, contrata con D. Pedro Martínez Crespo, por la cual se halla á D. Manuel Bartolomé M iranda, D. Manuel Lindo, D. Pedro su cargo la subsistencia, asistencia y curación de los enfermos LOS ASESINOS D E FL O R E N C IA . Martínez Crespo, D. Pedro O rd u ñ a, D. Pedro Yarte. Y para del ejército que ocurren en el hospital militar de esta plaza, su publicación en la Gac…</t>
  </si>
  <si>
    <t>Bartolomé, Riesco D. Tomas</t>
  </si>
  <si>
    <t>Riesco D. Tomas Bartolomé</t>
  </si>
  <si>
    <t>…im p arcialidad, la buena f e , y el acendrado pa^ acreedores á los bienes dimitidos ó concursados por parte de argumentos que hacen contra estas fiestas españolas los mas triotismo que caracterizan á todos los escritos del Sr. Riesco D. Tomas Bartolomé E l-R ain , vecino y del comercio que fue acérrimos declamadores nacionales y extrangeros; y se demues­ Le-G rand , nos dispensan de insistir en hacer el elogio que se de esta corte , el día 29 del corriente á las once de su m a­ tra que casi no hay pais que no tenga otros…</t>
  </si>
  <si>
    <t>Bas, Manuel</t>
  </si>
  <si>
    <t>Manuel Bas</t>
  </si>
  <si>
    <t>…8. M. del tribunal de comercio de la ciudad de ciones anteriores; hemos procurado poner todas las definiciones jados con que los vejan aquellas autoridades, sobre lo cual lla­ dictada en yvirtud juez comisario de la quiebra de D. Manuel Bas, y sistema dre doctrina en completa armonía con íiuéstras otras de comisión de dicho tribunal en el expe­ dos gramáticas castellana y latina, que con tanta, aceptacion ma también la atención de las Cortes para que pongan reme­ diente sección 2 .a sobre dio á este m a l, que está en oposi…</t>
  </si>
  <si>
    <t>Basabe, José Rafael</t>
  </si>
  <si>
    <t>José Rafael Basabe</t>
  </si>
  <si>
    <t>…sino, estudiaba el plan de sus por ía columna de b r io l, al mando del benemérito teniente co­ galidad de la operación, abriendo por sí ó señalando para que obras larga y detenidamente; entonces tenia la conciencia de ronel D. José Rafael Basabe; y en los presentados á D. Marcos se abriese el paquete ó paquetes que designaseu , á fin de com­ sus deberes y de la importancia de ellos. Sus primeros pasos López, y al titulado comandante de ia infantería correspon­ probar la exactitud de su conteuido coa la indicación del su­…</t>
  </si>
  <si>
    <t>Basart, Ramón</t>
  </si>
  <si>
    <t>Ramón Basart</t>
  </si>
  <si>
    <t>…didas adoptadas por la adm in istració n, son En la B isbal, D. Benito de C lurana. perar en este libro el aparato de cálculos, y a algeb raico s, y a las que deseamos que se adopten, es decir , medidas que asegu­ En Oadaqués, D. Ramón Basart. numéricos, que son necesarios para resolver el gran problema ren la libertad legal y la prosperidad pública. Si obrase de este En B esalú , D. Ignacio Zafont* qué el cielo presenta á la t ie r r a , á saber; " d a d a la posición del</t>
  </si>
  <si>
    <t>Basave, José Rafael</t>
  </si>
  <si>
    <t>José Rafael Basave</t>
  </si>
  <si>
    <t>…la de A I- en diferentes cantones 17 facciosos. Que la columna de Friol, Casas consistoriales de Gerona á los 11 de Octubre de 1859.= coy , en la provincia de Alicante, que no cede á ningún otro al mando del teniente coronel D. José Rafael Basave, dio muer­ Señora.= A L. R. P. de Y. M .=l -.os alcaldes constitucionales pueblo de la monarquía en adhesión á laGonsfitucion de 1857, te sobre el campo á los cabecillas D. Josc Sánchez, titulado co­ Francisco Campo y Roger.zzRamon Mi ralles.—Los regidore* y en amor y respeto á l…</t>
  </si>
  <si>
    <t>Basili</t>
  </si>
  <si>
    <t>…otros casi lodos los periódicos nos obiiga á no descender á mas de desde el pedimento basta el centro en el patio interior. tan célebre español, sin que tengamos necesidad de otra cosa pormenores, limitándonos á felicitar at Sr. Basili, y á desear Cada una de estas alas tiene dos antas al frente coronadas que de traducir , porque las relaciones de las sociedades sébiss, que veamos pronto ea el escenario de la Cruz otra obra suya con capiteles del orden corintio , entre las que hay t-cs las memorias y papeles escritos nos d…</t>
  </si>
  <si>
    <t>Basili, Basilio</t>
  </si>
  <si>
    <t>Basilio Basili</t>
  </si>
  <si>
    <t>…e general, el brigadier D. T rin i­ Se pondrá en escena la ópera nueva, b u fa , en un acto, atier.de al calor con que todos estamos preparados para esta dad Balboa, producen felices efectos, pues se yan presentando música de D. Basilio Basili, titulada I L C A R R O Z Z IN O D A cuestión, el cual espero no impedirá sea tratada con la cir­ al indulto muchos facciosos de aquellos que no estaban encena VENDERE. cunspección que la nación espera de sus representantes. El se- gados en crímenes; solamente del pequeño pueblo de…</t>
  </si>
  <si>
    <t>…40 Viernes.z:De siete á ocho, D. Eusebio M aría del Valle, Una viuda...................... Se pondrá en escena la ópera nueva, b u fa, en un acto, D . José Gelabert ........................ 8 economía política. música de D. Basilio Basili, titulada IL C A R R O Z Z IN O D A Sra. coiídesa de la Vega del Pozo...................................... 40 Sábado.izDe siete á ocho, D. Fernando Corradi, literatura 100 extrangera. VENDERE. Sr. D. Francisco Martínez de la Rosa.............................. 160 Segunda parte,…</t>
  </si>
  <si>
    <t>Basilio</t>
  </si>
  <si>
    <t>…integrante de la Constitución m ism a, est¿ A riásT éjeiró . ‘ ? ‘ Sánzl ' sibilidad de una continuación prolongada de actitud pasiva, fijado el territorio de la Bélgica. Ahora b ien , en los término D. Diego M iguel García. D. Basilio. r ' mientras que limitándonos á conservar nuestros medios de defen­ del art. 80 de la Constitución presta el R ey el juramento si­ Orellána^ “‘ ^- Célis. sa en proporción con las fuerzas disponibles del ejército ho­ guiente : t Alvarez A rias. Senodilia. * landés, no sucumbiríamos bajo u…</t>
  </si>
  <si>
    <t>…a de M artin -G arcía en dos divisiones, una de las cuales des­ l i e creído de mi deber el participaros mi resolución con P A R T E RECIBIDO EN L A SE C R E T A R IA DE ESTADO embarcó en el puerto de Landa , y otra en el de D. Basilio, la mayor prontitud posible, á fin de que podáis estar bien in ­ reuniéndose en seguida y marchando juntas sobre G u a le g u a y - formados de un asunto de tan alta importancia para mi y pa­ Y DEL DESPACHO DE L A G U E R R A . chu. Su objeto era llamar la atención de las fuerzas invasora…</t>
  </si>
  <si>
    <t>…en la inteligeocia que de no verificarlo dentro reas y monturas: recomiendo á V. S. el mérito cootraido por de él sin mas citación ni emplazamiento, les parará el perjui­ BOLSA D E M A D R ID . cio que haya lugar. el teniente D. Basilio M ateos, y subteniente D. Antonio N o - g u e ira, cuyo parte circunstanciado daré. Cotización del dia 25 á las tres de la tardo AlTecibirlo tendré el honor de hecer á V. E. las recomen­ daciones justas que considere oportunas. Lo que se hace saber ai publico para su satisfacción. L u ­ E…</t>
  </si>
  <si>
    <t>Bassano</t>
  </si>
  <si>
    <t>…documentos á Mr. Le- elerg, holandés, que queria llevarse consigo. El 17 de solamente con dulzura: «Eso es contrario á todas mis no­ rs. vu. 455, 46O y 9 mrs. , como también á D. Antonio Este­ Abiil de 181 í, Mr. Moret, duque de Bassano, fue nom­ ticias; pero si vos me decís, Sr. de Caulincourt, que lo ban, para que en el término de nueve dias se presenten á pres­ haré yo también por creerlo.” Hé aquí el final del tar sus respectivas declaraciones en la causa que se sigue sobre brado Ministro de Negocios extrangeros. F o u…</t>
  </si>
  <si>
    <t>Bastía</t>
  </si>
  <si>
    <t>…ardenal Fesch , se ha celebrado con la en los eventos de la guerra, destacó todala caballería de la bri­ jía, con mas de 200 de las otras clases, y según tengo noticias m ay o r pompa en la iglesia catedral. Ofició .el obispo de Bastía , gada á las órdenes del Sr. coronel D. Angel Perez Palacios, ! Urrea está herido, y deberá caer en todo el dia de hoy en mi y tanto las autoridades civiles como las militares y casi toda la compuesta de 500 caballos,para dar auxilio á la división com­ poder. Cuando dé el detalle recomendar…</t>
  </si>
  <si>
    <t>Batanero, Eugenio</t>
  </si>
  <si>
    <t>Eugenio Batanero</t>
  </si>
  <si>
    <t>…ados disfrutarán, malidades que la misma previene, tocó á los sugetos siguientes: á los empleados procesados el Real decreto de 3 de Abril mientras esten en esta situación, la mitad del haber que D. Juan José García Martínez, D. Eugenio Batanero, D. A n­ de 1828, determinando ai mismo tiempo el que haya de gocen por clasificación , y tendrán derecho al abono de la tonio Fuentetaja , D. Manuel Mosquera, D. Ramón Naranjo, satisfacerse á los cesantes y jubilados que esten encausa­ otra mitad si fuesen absueltos plenamente. D.…</t>
  </si>
  <si>
    <t>Batefc, Don Juan</t>
  </si>
  <si>
    <t>Don Juan Batefc</t>
  </si>
  <si>
    <t>…Ex­ Bibliotecario ízSr. D. Aotonio María Segovia. celentísimo Sr. capitán general de este distrito, donde deberá Suplentes.srSr. D. Antonio Gil y Zarate, para consiliario. Sr. D. Francisco de Paula Mellado, para secretario. Sr. Don Juan Batefc, para depositario. Sr. D. Rafael Bertodauo^ para IMPRENTANACIONAL. presentarse personalmente dentro del término de 50 dias, que se cuentan desde el dia de la fecha, á dar sus descargos y de­ fensas, y de no comparecer en el referido plazo se seguirá la contador. COLECCION DE LEYE…</t>
  </si>
  <si>
    <t>Batro, Ramón María</t>
  </si>
  <si>
    <t>Ramón María Batro</t>
  </si>
  <si>
    <t>…egocios EXPOSICION A S. M. LA REINA GOBERNADORA. de su excelsa Hija la Reina Doña Isabel n en la corte del Excmo. Sr.: Por el ministerio de la Guerra en 10 de Señora: El ayuntamiento constitucional de la villa de Fuen­ Haya á D. Ramón María Batro, que se hallaba alli como encargado de la correspondencia, y que ha sido recibido este mes se ha comunicado al de la Gobernación de la tes de Andalucía, provincia de la ciudad de Sevilla, no puede meaos de elevar al superior conocimiento de V. M. el júbilo y ya por S. M. el Rey…</t>
  </si>
  <si>
    <t>Bau</t>
  </si>
  <si>
    <t>…te mas poderoso de charlos al apronto del pedido en metálico que exigia por su rescate. que 50 Nacionales y cuatro caballos del batallón de Gandesa moral y de civilización. se dirigiesen sobre Candasuos al mando del teniente D. Bau­ Y después de todo, ¿qué nos importan esas cuestiones subor­ tista Soler, quien trabajando sin descanso noche y d ía , siguien­ dinadas? ¿Q ué importa saber cuándo acabó ó comenzó ese po­ Biírgos 7 de A bril, El 5 salió de esta capital para el N o r­ do la pista de dicho cabecilla , ha consegu…</t>
  </si>
  <si>
    <t>…es rumores causan muchos oficiales y soldados, obligando á los demas á reembar­ seguiría sus proyectos políticos y militares sobre el Asia cen­ aqui la mas. viva agitación. carse. Pero habiendo tomado inmediatamente el almirante Bau­ tral y el Afghanistan. Hoy se han disipado todas las dudas acerca P. D. Los enviados de Prusia y de A ustria p artirán esta din ta ofensiva, la primera ventaja obtenida por los mejicanos de eMe punto. La Reina anuncia formalmente que las medidas noGhe á las siete. fue de corta duración. toma…</t>
  </si>
  <si>
    <t>Bau, Juan</t>
  </si>
  <si>
    <t>Juan Bau</t>
  </si>
  <si>
    <t>…se halla la escuela. En la misma ofi­ dido en la causa del libelo de D. Juan Bautista Armesto y Crónica literaria. cina se dará razón de las circunstancias y documentos que de­ D. Francisco Custodio, fue decidido ab'.uelto el D. Juan Bau­ Estado demostrativo de las operaciones de la Caja de ahor­ ben reunir los interesados, y para la mayor comodidad de es­ tista Armesto por 10 votos contra dos, y lo firmaron á conti­ ros de Madrid en los meses de Junio, Julio y Agosto, y re- tos se vende en la librería de Sanz, calle de Car…</t>
  </si>
  <si>
    <t>…donación hecha por los Sres. Quijana , Montesino y Ola­ P ro v in c ia s. de c a p ita liz a c ió n . v e n ta . completamente satisfechos, á los socios que la honraron con su varrieta, y á lo recibido del donativo hecho por D. Juan Bau­ censos. R ea les v n . R eales vellón. confíanza, á los habitantes de Madrid tan próximamente intere­ tista V irio , componen la cantidad de 51,055 rs. que han in ­ sados en el buen éxito de esta empresa , y á todos los españo­ gresado en la tesorería de la sociedad , y de los cuales se…</t>
  </si>
  <si>
    <t>…nvenia era dar la paz a a la nación, lue­ á los Sres. Ministros. Entre los grupos que forman los D ipu­ propósito. go entrar *en la cuestión. M as en este m om ento el G obierno tados en medio dél salón , se ve al Sr. Alonso (D. Juan Bau­ Yo me felicito cou S. S. Ojalá pudiera decir otro tanto de tiene que deshacer un cargo q'.ne le ha dirigido el Sr. Olozaga. tista) estrechando afectuosamente primero al Sr. Alaix y des­ otros discursos de que no podré menos de hacerme cargo. S. S. no me gana ni puede aventajarme en patri…</t>
  </si>
  <si>
    <t>Bau-</t>
  </si>
  <si>
    <t>01/07/1839</t>
  </si>
  <si>
    <t>Gaceta de Madrid n.º 1689</t>
  </si>
  <si>
    <t>…nte Lamar ha llegado á Galveston el 7 , y ha voto del ducado de Brunswick á disposición del embajador h an - pronunciarán por el S u ltá n , y el ejército otomano, que as­ vueltoe! mismo dia á Houston para obsequiar ai almirante Bau- noveriano. Esta proposición ha sido aprobada , habiendo ma­ ciende á 49® hombres, podrá penetrar en Siria por los desfila­ din. (Id.) nifestado ademas la asamblea sus deseos de que el Gobierao co­ deros del Tauro, únicamente.defendidos por algunos millares de operase por todos los medios pos…</t>
  </si>
  <si>
    <t>Baude, Domingo</t>
  </si>
  <si>
    <t>Domingo Baude</t>
  </si>
  <si>
    <t>…e á los primeros años de la vida de Cabrera. primera instancia de esta v il la , refrendada del escribano ORDENES Y REGLAMENTOS DEL GOBIERNO Solo falta añ adir respecto á la parte tipográfica que se ha del número de la misma D. Domingo Baude , se lla m a , cita y unido el esmero y limpieza de la impresión á la buena calidad emplaza por término de 20 dias , contados desde la publica­ del pape!. La fundición se ha elegido metida y pequeña, á fin T DE L A S DIRECCIONES Y A U T O R ID A D E S SUPERIORES. ción en la G aceta, á…</t>
  </si>
  <si>
    <t>Baudin</t>
  </si>
  <si>
    <t>…do, ocurrir para notar la diferene.a a los documentos que se han rio francés viese con disgusto mi nombramiento , y esperaba hasta ahora, y en el cual pudieran fundarse futuras reclama­ publicado. Supongo sin embargo que el Sr. Baudin solo ha que­ por el contrario lo considerase como la mejor prueba de la ciones: ni debia limitar por último la buena disposición del’ rido presentar en extracto y con la mejor buena fe lo mas esen­ sinceridad y buena fe del Gobierno mejicano. Se enviaba al mi­ Gobierno en una materia en que…</t>
  </si>
  <si>
    <t>…guir que los que no debia adoptar la forma del proyecto del contra-ílm i- comerciantes de la ciudad paguen una contribución que les h a­ Asi como lo hacia prever ayer nuestra correspondencia de los Estados U nidos, el almirante Baudin ha llegado á Tejas ran te, ni mucho menos la redacción de su art. 4 -° bia impuesto de 1200 bolsas (150® francos.) En tales circuns­ y ha desembarcado en GalveTon el 7 de M ayó. Se lee en el pe­ (Se contin uará .) tancias ¿cómo podrá evitar la desorganización de su ejército? riódico america…</t>
  </si>
  <si>
    <t>…irado en Zaragoza; cruz el 27 de Octubie y de Tampico el 4 del corriente, se sa­ terey , pude obtener sobre la gav illa de Guisande las dos veces D. J u a n González, teniente retirado en Piedrahita ; D. José be, que el almirante Baudin habia llegado el 26 á Sacrificios que salí en su persecución. Pero en la premura con que extendí Viadern , subteniente del regimiento in fa n te ría , 44 de línea; con dos fragatas de á 6 0 cañones, y que habia enviado su u l-</t>
  </si>
  <si>
    <t>06/03/1839</t>
  </si>
  <si>
    <t>Gaceta de Madrid n.º 1572</t>
  </si>
  <si>
    <t>…ración que to­ ellos el rescripto que hoy hemos d irigido á la asamblea de los do hombre de honor debia dar en tal circunstancia. E stados, á fin de que puedan apreciar los objetos sobre los cua­ L ord Lindhurst: ¿E l almirante Baudin no ha atribuido el Escriben de Roma con fecha 8 de Febrero: les velamos coii solicitud paternal. * hecho á la inexperiencia del comandante del buque francés? H oy ha sido en gran parte presa de las llamas el palacio Hannóver 15 de Febrero de l859.=:Ernesto A u gu sto.= E l ba­ Y en el momen…</t>
  </si>
  <si>
    <t>…tar. Pero aquellas Potencias tie­ primera pregunta, y decirme qué se ha hecho dél piloto hecho Selee,en el Tim es : nen ademas contra nosotros, é independientemente de la guer­ prisionero. Desearía saber también si el almirante Baudin dio c .N o sé habla 4dé otra ¿osa en el dia jju e de la tentativa he­ ra, medios equivalentes de coerción. Cerrado el Escalda, y pues­ sus excusas tan luego como tuvo conocimiento de la indiscre­ día por el pobre caballero yá conocido por só extraña manía de to Ostende y. nuestra costa en es…</t>
  </si>
  <si>
    <t>…39.i=Ayer mañana hicieron re­ LICEO. de l859.r=Excmo. Sr.—Leopoldo O Donnell.—Excmo. Sr. Se­ tumbar de repente nueve cañonazos los ecos de la rada. Era la cretario de Estado y del Despacho de la Guerra. Nereida , era el almirante Baudin que volvia á ver la Francia después de una de las mas gloriosas campañas de nuestra ma­ MARINO FALTERO. rina, y á quien el almirante G rivel, por una atención digna de su noble carácter, y tan bien merecida por el vencedor de San Primera representación en la noche del 8 . PARTE NO OFICIAL…</t>
  </si>
  <si>
    <t>…dad ; pero se dice generalmente en la ciudad que el coman­ de intervepcion ó de protección concedido á la R u s i a ; la inte­ Hemos recibido por extraordinario de Marsella las noticias dante Stubrick, cuando llegó el almirante Baudin , fue á visi­ gridad del imperio otomano le parecía gravemente amenazada siguientes: tarle , pero que no se le recibió con los honores debidos á su por este acto del bajá ; acaso al Gabinete ingles no le pesaba se d ase: que el almirante Baudin dirigió en seguida una nota al comodoro, en…</t>
  </si>
  <si>
    <t>…ta ciudad , en los cuales, presentadas Cuatro por 100 102 c. 4 O. tropas que Rincón puede dejar en Yeracruz, es una prueba de por D. J u a u Bautista Perez Galvez las cuentas y particiones, Tres por 100 78 c. 75. que el almirante Baudin se ha engañado con respecto á las fuer, he mandado conferir traslado á los interesados en aquellos, y Acciooesdel banco 2615 . zas de que disponía el general mejicano. M il soldados es todo para que lo puedan evacuar los ausentes Doña Francisca y Renta de Ñapóles 99 c. 20 . lo que Rincón ha p…</t>
  </si>
  <si>
    <t>…u a ­ nos que se habían propuesto en J alap a , constase mas bien en Nuestro comercio queda colocado en Méjico para lo suce­ d a la ja r a , Torija y Brihuega. Este camino en sus 15 primeras una comunicación oficial que el Sr. Baudin dirigiese al efecto sivo bajo el mismo pie que el d e Las naciones mas f a v o r e ­ leguas se dirige por la brillante y comoda carretera de Z arago ­ á los propietarios mejicanos, que no en artículo alguno de la cidas. za , y en las seis últimas que median de Torija á T rillo estaba menciona…</t>
  </si>
  <si>
    <t>…que se embarquen coa sus bienes y f a m ilia s , y que permita en su casa, con apercibimiento de que á la que la con­ nas , en ................................................................................... 1766 el almirante Baudin iba á despachar un bergantín francés con sintiese parará perjuicio, entre otras cosas acordadas por dicho Otro en la Fuente S a n t a , con 29 olivos y 147 120 de los expulsados á Nueva Oríeans. señor juez, se ha mandado d ir ig ir este documento para su in ­ piernas , en...................…</t>
  </si>
  <si>
    <t>…con­ tracción de un piloto mejicano que tnvo lugar á bordo de? pa­ ringlera de curiosos deseosos de ver á los individuos mas dis­ duce de Badén á ILidelberg, ha sido la elegida por los libre­ quebote Express. Cuando el almirante Baudin prescribió des­ tinguidos del Parlamento. Lord John Russell es aclamado es­ ros alemanes para celebrar en ella el congreso en que se propo­ graciadamente esta medida , ignoraba que el buque pertenecía trepitosamente. nen adoptar medidas generales para h a c e r que cese de uoa vez á la marina…</t>
  </si>
  <si>
    <t>Baudin, Cárlos</t>
  </si>
  <si>
    <t>Cárlos Baudin</t>
  </si>
  <si>
    <t>16/05/1839</t>
  </si>
  <si>
    <t>Gaceta de Madrid n.º 1643</t>
  </si>
  <si>
    <t>…sos en plazos de 2 , 4 p a z , amistad y confederación con la república del Ecuador. nistro de la Guerra y M a r i n a , José M aría Tornel. r : A S. E. y 6 meses. Otro de amistad y comercio se celebra actualmente con el Rey : D. Cárlos Baudin , contralmirante de la escuadra frarucesá. 3 .° La indemnización de los gastos de la guerra y de los de los franceses: ambos se someterán á vuestra aprobación; y os franceses desterrados , será ulteriormente arreglada por una na­ ruego que les deis la posible preferencia , y que dispo…</t>
  </si>
  <si>
    <t>Baudio</t>
  </si>
  <si>
    <t>…s se hallan :iones que tuviera que presentar Mr. M auguin. su contenido á nuestro conocimiento: supimos que e l ,arzobis­ dispuestos á hacer uso ele sus yataganes y de sus pistolas. D e las explicaciones resulta que el almirante Baudio habia po estaba acusado de tres delitos, y que la sentencia le habí* Muchas mugeres árabes que han tenido la desgracia de des- propuesto introducir en el ft ota&lt;|o cláu&amp;u)^ c&amp;pax de pro­ absuelto de los dos cargos de alta traición y excitación del pue­ tlgradiríés‘"han sídofc*uertas inhuman…</t>
  </si>
  <si>
    <t>Baus</t>
  </si>
  <si>
    <t>…u­ anuncia ya el Bellido Del fu s, del Sr. Bretón de los Herreros, lan acerca de las causas de estas prisiones: todo lo que pode­ Alocución que ha dirigide d los andaluces el capitán gene - drama destinado al beneficio de la Sra. Baus. mos decir es qus tienen relación , según parece, con un asunto raí D . Francisco Sanjuanean, político que prosigue la policía hace algunas semanas, {id.) Habitantes de Andalucía: Nombrado capitán general de este distrito por 8. M. la Reina Gobernadora, en nombre de su ex­ JUNTA DE VENTA D E…</t>
  </si>
  <si>
    <t>Baus, Teresa</t>
  </si>
  <si>
    <t>Teresa Baus</t>
  </si>
  <si>
    <t>…servado hasta el replicar mas que con un silencio vergonzoso. Se trató de re­ D oña Bárbara Lamadrid. fm. Nunca han lucido sus dotes oratorios con mas brillantez mediar el daño, y lo lograron en parte algunos celosos adm i­ Doña Teresa Baus. que en esta ocasión. nistradores limpiando los arabescos; pero el daño estaba cau­ D oña Catalina Bravo. En seguida ha hablado el Sr. D. José Rivero , ccfeo repre­ sado, los colores aparecieron todos apagados; unos sin vida, D oña Teodora Lamadrid. sentante del Sr. fiscal eclesiástico,…</t>
  </si>
  <si>
    <t>Bautista</t>
  </si>
  <si>
    <t>…apreciación con­ la partida de Sales al mando del sargento M acedo, y algunos mos adornos, que la señora de Montenegro dió á gustar á toda veniente á la ilustración de nuestro Gobierno. Nacionales al de su segundo comandante D. Bautista E m o, que la concurrencia momentos de aquella maggior felicitd¡ que tan prestaron voluntariamente este servicio, acompañando también hechiceramente repetían sus amorosos labios. Felicidad compa­ mercial, después de la relación hecha á la, manufacturera La academia de la industria agrícol…</t>
  </si>
  <si>
    <t>Bautista, D. Juan</t>
  </si>
  <si>
    <t>D. Juan Bautista</t>
  </si>
  <si>
    <t>…os nombres de este papel, procedente todo de la segunda donación hecha en ración naciente no v.aya contagiándose con aquellos malos ejem­ S.fanta M. y de la Reina Doña Isabel it , el de la Serma. Sra. In­ Julio de 1854 por el Sr. D. Juan Bautista V irio , empleado muy plos, y la utilidad , mayor hoy que lo ha sido en tiempo algu­ con estaDoña Luisa Fernanda. La sociedad aprobó la propuesta adición. antiguo de nuestro cuerpo diplomático, avecindado en Viena, n o , de infundir en las clases menesterosas la idea de que las el…</t>
  </si>
  <si>
    <t>Bautista, Juan</t>
  </si>
  <si>
    <t>Juan Bautista</t>
  </si>
  <si>
    <t>…a del reglamento. una pregunta á la mesa ; pero que sí creia que debia observarse explicación de ella. -f Pido que se lea e! art. 105 (Se leyó.) el reglamento, que previene que los Sres. Diputados pidan la El Sr. A L O N S O (D. Juan Bautista) contestó que esa pa­ Vea el Sr. Quinto y el Congreso cómo el reglamento preve palabra desde su asiento; que la habia pedido al mismo tiempo labra en el sentido literal no era en ningún modo aplicable al el caso de hacer las enmiendas, no á los artículos, sino á los que el Sr. Madoz;…</t>
  </si>
  <si>
    <t>…matarlo entre en pro del proyecto los Sres. Surrá y R ail, Perez de Rivas, Otra plomiza, sierra de G ador, collado de los Valientes, nosotros, acomodándolo ‘según lé plugo a sus ideas y al gusto Cam puzano, Estrada, Alonso ( D. Juan Bautista) Pascual, término de L au ja r, Tres M arías, por Diego de C am pos, en 24 . del público de aquella época. Tan insustancial era entonces Aillon , Temprado, Gil ( D. Pedro) Feliu, Sánchez de la Otra id., barraoco de los C hirrinchines, nuestra Señora de como ahora; de tan poca importan…</t>
  </si>
  <si>
    <t>…os, en vista de to­ sión tocaba el uso de la palabra, la cedieron al Sr. Alonso. una exposición que S. S. entregó al Sr. Secretario, y leída que das las observaciones expuestas, de considerarla im practicable El Sr. A LON SO (D. Juan Bautista): lie pedido la palabra, fue, pidió el orador que pasase á la comisión para que en su vis­ y perjudicial, y de rogar por lo tanto al Congreso que no la pero creo que estoy en el caso de renunciarla , pues habiéndola ta aclarara algo mas el proyecto de ley sobre este punto. dé su asen…</t>
  </si>
  <si>
    <t>…tamente. derse, podrá continuar mañana. tanto espero que la comisión retire su proyecto. Se arguye siempre con la necesidad de salvar la patria , con El Sr. A L O N S O : Coocluyo observando que todo cuanto El Sr. A LO N SO (D. Juan Bautista): A pesar de que al­ la de atender al ejército , á estas ó las otras atenciones; pero no he tenido el honor de manifestar al Congreso (Momentos de gunas veces he tenido el honor de tomar la palabra delante del es esa la respuesta; la que hay que dar es muy distinta. ¿ N o interrupción…</t>
  </si>
  <si>
    <t>…falta­ mer lugar á lo que el Sr. González Alonso habia dicho; en se­ El brigadier segundo cabo de Valencia en comunicación de ban los dccumentos necesarios; pues lo dicho por el Sr. Caneja guida á lo que dijera el Sr. Alonso (D. Juan Bautista); y ha­ 22 del actual dice que el capitán de la partida franca, D. Mel­ de que á la comisión se le habia presentado un acta limpia y ciéndose cargo en tercero de lo que el Sr. López, corno indivi­ chor Clemente , sorprendió el dia 18 en la venta del Rebollar sin reclamación alguna, e…</t>
  </si>
  <si>
    <t>Bayeu, Francisco</t>
  </si>
  <si>
    <t>Francisco Bayeu</t>
  </si>
  <si>
    <t>…que se hará cargo de Berga por temor de alguna catástrofe. Añadequeen este último cualquiera comisión que se le encargue por ellos en cualquiera punto se esperaba la llegada de 500 caballos procedentes de la Pintó este cuadro D. Francisco Bayeu, con la ‘fraoqueza* de los puntos indicados, para cuyo desempeño se valdrá de los facción de Cabrera, con el titulado coronel Antonio Palillos; expresión y correcto dibujo que distinguen á este acreditado corresponsales que tiene en todas partes. el gefe carlista ha prohibido la in…</t>
  </si>
  <si>
    <t>Bayeu, Ramón</t>
  </si>
  <si>
    <t>Ramón Bayeu</t>
  </si>
  <si>
    <t>…calle de Atocha, Concepción Gerdníma, Trece estampas grabadas al agua fuerte de varios pensa- Barrio Nuevo, los Remedios y la de Atocha á la puerta del p O R providencia del Sr. intendente de Rentas de esta pro­ mientos, por D. Ramón Bayeu , precio 12 rs. babadores * ^ r0°da ^ ^ dereclla ^asta el Portill° de Em - vincia se cita, llama y emplaza por segundo edicto y tér­ guo La6 rs.Madre del Divino Redentor, por Bruneti, precio anti­ , y moderno 4. mino de nueve dias á D. Eusebio Goiri para que Comprende los barrios de…</t>
  </si>
  <si>
    <t>Bayeus, Roda.</t>
  </si>
  <si>
    <t>Roda. Bayeus</t>
  </si>
  <si>
    <t>08/05/1839</t>
  </si>
  <si>
    <t>Gaceta de Madrid n.º 1635</t>
  </si>
  <si>
    <t>…umnos , y estimular á algunos de ellos parí Barcelona á ps. f s ., ¿ papel b. Sevilla , par. 5.° Muerta para el mundo. que sigan la senda inmortal que les trazaron los M urillos, lo: Bilbao , 1 d. Valencia , \ d. 4-° El obispo de Roda. Bayeus, los Maellas, los Veiazquez y otros muchos españoles, C ádiz, i papel d. Zaragoza, par. 5.° Una orjia. gloria de su patria y admiración de las naciones extrangeras, 6.° La campana de Huesca. La sociedad recuerda también con placer el método sencillo Descuento de letras, á 6 por 100 al…</t>
  </si>
  <si>
    <t>Bayon, Bjáilio</t>
  </si>
  <si>
    <t>Bjáilio Bayon</t>
  </si>
  <si>
    <t>…asistentes órdenes terminantes de su difunto hermano y augusta Reina Doñ-i Rafaela de la Torre..................................................... 60 han escuchado disertaciones sobre la parte mas sublime de las Gobernadora. D. Bjáilio Bayon...................................... , , 20 ciencias, y los unos han podido recordar, ordenar y reducir á Pronunciamiento á favor de D. Cárlos en Prats de Llusanéa Una señora................................................................................... 8 sistema lo que ya sabrán…</t>
  </si>
  <si>
    <t>Bayon, Genaro</t>
  </si>
  <si>
    <t>Genaro Bayon</t>
  </si>
  <si>
    <t>…donado, en 5. se procedió al sorteo de los nueve Sres. jueces de hecho que de­ bían componer el jurado, y tocó á los siguientes: D. Luis Bal- Otra en sierra Alhamilla,. cuesta de las Tejas, término de buena, D. Alejo Perez, D. Genaro Bayon, D. Pedro José de Viator, Virgen de los Doloros, por Luis Trujillo, en 3. Cea , D. Gabriel Alvarez de Alvarez , D. Miguel Carbajo, Don DIRECCION GENERAL DE PRESIDIOS DEL REINO. Otra en sierra de Gador, Balsanueva, término de Berja, Juan María Barte, D. Alejo Carro y D. Juan Bustamant…</t>
  </si>
  <si>
    <t>Bazabe, José Rafael</t>
  </si>
  <si>
    <t>José Rafael Bazabe</t>
  </si>
  <si>
    <t>…ución de 29 de Noviembre de 1850. Mas mas por la columna de Friol al mando del benemérito tenien­ Hemos tenido de 500 á 400 muertos, y otros tantos heri­ de 200 hijos de la Polonia han asistido á una misa que se ha te coronel D. José Rafael Bazabe, y en los presentados á Don dos. Un destacamento de 170 hombres, mandado por un coman­ celebrado á mediodía en la iglesia de S. Germain dés Piés, en Marcos López y al titulado comandante de la infantería cor­ dante, fue acometido en medio de la llanura por unos 600 ca­ la capill…</t>
  </si>
  <si>
    <t>Bazago, Juan Vicente</t>
  </si>
  <si>
    <t>Juan Vicente Bazago</t>
  </si>
  <si>
    <t>…con m ucho sen­ Por el presente anuncio se cita, llama y emplaza por tercera del Mr. mariscal Soult. T hiers, siempre dispuesto d ceder con respecto d tim iento y disgusto, que en las provincias del antiguo vez al licenciado D. Juan Vicente Bazago, subdelegado de Ren­ principado de Cataluña se procura con el m ayor esfuerzo tas nacionales que ha sido de la villa de Talavera de la Reina, las personas , con tal que se vaya de conformidad en las co­ kgitar los ánimos y conmover el orden y la tranquilidad y contra quien pend…</t>
  </si>
  <si>
    <t>Bazo, Ramón María</t>
  </si>
  <si>
    <t>Ramón María Bazo</t>
  </si>
  <si>
    <t>…n el cordel, y se desprendió todavía á su excelsa Hija la Reina Doña Isabel ii en la corte del París 12 de Diciembre. . bastante a ltu ra , lo que le causó, según d ice n , la rotura de loa brazos y piernas. (D. de S.) Haya á D. Ramón María Bazo, que se hallaba alli como encargado de la correspondencia, y que ha sido recibido Bolsa del li . Cinco por 100 consolidado, 112 fr. 45 c. Tres por 100 id., 80 fr. 75 c. ya por S. M. el Rey de los Paises-Bajos, previa la presen­ Fondos españoles: deuda activa, 25£. tación de la cred…</t>
  </si>
  <si>
    <t>Baüestracci</t>
  </si>
  <si>
    <t>…: parece que el preladosloslasfieles do que en general no lean sin licencia de sus versiones vulgares de la Escritura sagrada que tander , y por consiguiente el mismo ahorro para Palencia , Va­ corredor Merelli nos envia al Sr. Baüestracci, que acaba de no tengan algunas notas para la inteligencia de varias pa­ lladolid, Madrid &amp;c. cantar en el teatro de Florencia. Este actor ha puesto por cláu­ labras ó expresiones que si bien sean claras en sus lenguas Dios guarde á Y. E. muchos años. Madrid 4 de Mayo de sula de su esc…</t>
  </si>
  <si>
    <t>Bclascoain</t>
  </si>
  <si>
    <t>…reclamaciones El Sr. L O PE Z renunció la palabra en favor del Sr. Cortina siciones formidables. ningunas contra dichas actas, y por lo tanto no ha podido El Sr. C O R T IN A : El Congreso advertirá, señores, coa Que el conde de Bclascoain, adelantándose con un escuadrón menos de dar su dictamen aprobándolas, y concluye pidiendo cuanta desventaja entro en esta discusión , poco acostumbrado i . y una compañía de tiradores de caballería á reconocer el cantón que haga lo mismo el Senado. las prácticas parlamentarias por una pa…</t>
  </si>
  <si>
    <t>Be, D.</t>
  </si>
  <si>
    <t>D. Be</t>
  </si>
  <si>
    <t>…risprudencia española, vende su obra á 25 rs. en rústica. El simple título de esta obra manifiesta la importancia de El Compendio del derecho Real de España de Siñeriz se T ) O R aut o fecha de h o y , que dicto ante m í el Sr. D. Be rna r­ sus doctrinas. Los tres censores que nombró el Gobierno en h allará desde hoy en a d elan te , también en rú stic a , á 18 rea­ do L a to r r e, magi st rado honorari o de la a ud i en c i a nacio­ 1854 dijeron que debia establecerse de texto en todas las u n i­ les en las librerías de…</t>
  </si>
  <si>
    <t>Beatriz, Doña</t>
  </si>
  <si>
    <t>Doña Beatriz</t>
  </si>
  <si>
    <t>…esta provincia , y para dar cumpli­ DICCIONARIO D E M EDICINA Y CIRUGIA PRACTICAS. Sra. Doña Josefa Fernandez de Córdoba. miento á un despacho del Sr. intendente de la provincia de Sevi­ 594. Un cuadro con ao dechado, á la Sra. Doña Beatriz lla, se cita, llama y emplaza á D. Pedro María Tremens y Entrega 17 del tomo 2.* Dele de Cabañil las. D. Antonio María Bonomo , cuyas habitaciones se ignoran ; pa­ ra que tan luego como llegue á su noticia este anuncio, se cons­ Nota ¿fe los números premiadas cuyos dueños no se han p…</t>
  </si>
  <si>
    <t>Beaumarehais, Campos.</t>
  </si>
  <si>
    <t>Campos. Beaumarehais</t>
  </si>
  <si>
    <t>…in­ hiere d i Siv iglia 9 en el que ha estado llena de gracia, de co­ tio. El prim er aposento por donde entran los visitantes es­ dustrioso; y nos dispone á resistir á todas las intemperies de las quetería y de expresión la Sra. Campos. Beaumarehais mismo tá á la izquierda del vestíbulo, apropiado para las anti­ estaciones, á todas las variaciones de los climas, á soportar to­ no imaginó una Rosina mas picaresca y donosa. Tan acertada güedades egipcias. El siguiente, que esíá en el ángulo pró­ das las privaciones y contrari…</t>
  </si>
  <si>
    <t>Beauvais, D. Juan Bautista</t>
  </si>
  <si>
    <t>D. Juan Bautista Beauvais</t>
  </si>
  <si>
    <t>…a, en donde los señores suscriptores de­ C E R M O N E S morales, panegíricos y oraciones fúnebres del jarán una papeleta con sus nombres , el número de ejemplares Zaragoza 18 de Marzo. La brigada Parra no se ha mo­ ^ limo. Sr. D. Juan Bautista Beauvais, obispo de Senez, por que se suscriben y las señas de sus habitaciones 6 parages vido por hallarse dos batallones enemigos en las inmediacio­ predicador del Rey Luis xv. Es muy recomendable el mérito adonde se les hayan de remitir á su tiem po; y en las provincias nes de Bu…</t>
  </si>
  <si>
    <t>Beauvoís</t>
  </si>
  <si>
    <t>…ande. B ayona, y estuvo en Biarrits y en el palacio de Marrac. A l salir del palacio episcopal una porción de jóvenes vasconga­ los padres en la fuga de sus hijos podrán aquellos ser Sabemos por el bergantín Himmaleh9s\i capitán Beauvoís, dos vestidos con su traje provincial ejecutaron en su presencia condenados á la subsanacion de los suplentes de los que llegó el sábado de dicho puerto, que la ciudad de Port-A le- varias danzas tan festivas y originales, que han agradado m u­ mismos. gre se hallaba auo considerada en esta…</t>
  </si>
  <si>
    <t>Becar</t>
  </si>
  <si>
    <t>….......................... . . ■1 . . . 536,595 •• 38.304,602 La sierra de Albarracin se verá también libre de las p arti­ das que la recorren y molestan mas que nunca , porque luego Pudos. Libras. llegará el comandante general Becar con tres batallones y un escuadrón destinados á dicho objeto. E stado d e la n a v eg a ció n d e l p u erto d e O dessa Las divisiones de que se componen los ejércitos reunidos for­ Algodón en ram a....................... 59,313 37 1.360,529 e n e l año d e 1838. man una línea desde Mora de…</t>
  </si>
  <si>
    <t>12/11/1839</t>
  </si>
  <si>
    <t>Gaceta de Madrid n.º 1829</t>
  </si>
  <si>
    <t>…ambios. trae el Sala, sino otras muchas que no cita dicho autor; casi retenes de consideración , asi de carros como de acémilas. todo el reglamento provisional de justicia y las demás leyes pos­ La columna al mando del brigadier Becar ha seguido para Londres, á 90 dias, 58|. Coruña, 1$ d. teriores dadas hasta el dia; por consiguiente contiene muchas Valencia. El grueso de la facción continúa en las iumediacio- Paris, 16-6. Granada, id. mas que la de Siñeriz, corno se puede ver cotejando el tít. 2.° nesde Cantaviej», y algun…</t>
  </si>
  <si>
    <t>Beccar</t>
  </si>
  <si>
    <t>…cionado un cuerpo Una órden del 5 de M ayo del corriente año ha extendido respetable de tropas y un regimiento de Quetta. U a oficial ge­ hasta el litoral de la Gironda inclusivamente las disposicio­ Seis dias há que el brigadier Beccar con los batallones P rin ­ neral escribe ademas lo que sigu e: nes del artículo 1.° de la de 25 de Ju lio de 1838 , relativam en­ cesa y Mallorca y dos escuadrones ligeros de caballería se en­ El pais está mas tranquilo de lo que creían muchas perso­ te á la prohibición de exportar ciertas m…</t>
  </si>
  <si>
    <t>BECEP</t>
  </si>
  <si>
    <t>…públicas es mucho. Los an tig u o s la reconocían como un a dirección al N o rd -n o rdeste. d e i d a d , y la lev an taro n a l t a r e s , y edificaron t e m p lo s , y el se ha de d e cla rar ó no fiesta n acio n al. El Sr. B E C E P iR A insiste en su e nm ien d a , porque dice mismo c ardenal de R i c h e li e u , aqu el m in istro sabio que elevó que en ella está h erm an a d a la del Sr. F e r r e r , y reproduce su la F r a n c ia al mas alto gra d o de p o d e r, lo prim ero que h acia para confiar u n destioo…</t>
  </si>
  <si>
    <t>BECERRA</t>
  </si>
  <si>
    <t>…fic u lta d , toda su d uda con­ ó por haber abusado de ellas á sabiendas en p erjuicio del Estado. c iarían . sistía en los primeros co n trib uyen tes, respecto á los cuales se C oncluida la le c tu ra d ijo en su apoyo El Sr. B E C E R R A hizo presente á la comisión que desearía necesitaba una ex p licació n , que á ju icio de la comisión no h a ­ El Sr. SE O A N E : Señ o res,n i una sola palabra d iré en apo-. que se dijese en e) artículo al fin al, en lu g a r de acuerdos, actos. cia f a lt a , pues se hablaba de aqu…</t>
  </si>
  <si>
    <t>Becerra</t>
  </si>
  <si>
    <t>…sirva el Gobierno dar sobre ello apelo á todos los que me escuchan que me digan si hubo m a­ El Sr. OCHO A expuso ei¿ contestación á lo dicho por el explicaciones. dre de familia en Madrid que no quemara aquel periódico ape­ Sr. Becerra, que la comisión examinaba cuidadosamente la le­ En el dia de ayer tropa armada circuía este recinto, y las nas llegó á su casa para que no lo leyeran sus hijos; todo el galidad de las actas y que habia entrado en las cuestiones del autoridades militares de la provincia se encontraban en el…</t>
  </si>
  <si>
    <t>…la conformidad de la dificultad que se creia constitucional. interpelación al Sr. M inistro de Hacienda por haber incluido en mayoría de la comisión en cuanto á la primera cuestión que se Voy ahora á la idea sugerida por el Sr. Becerra , porque la instrucción para la cobranza de la contribución extraordina­ habia propuesto; pero que había tenido el disgusto de diferir también á primera vista parece especiosa y que debe preponde­ ria de guerra una disposición en su art. 40 que, corno dije en­ de la misma en cuanto á que el…</t>
  </si>
  <si>
    <t>…il e ra l, sig n e la celebración de esta fiesta. Cree oportuna la enm ien da ai Gobierno que se com prom etía á press atar á las Cortes.... En pues d iso lv ió las anteriores C o r te s, c u y a m a y o r ía e ra de la del Sr. Becerra porque en ella está envuelta la adición del se- esta misma expresión de que se com prom etía, tenemos pues qu e fracción conocida en «1 nombre de moderada , y re u u id a s oslas, Sor marques de Y a l i g o r n e r a ; pues y a se dice que se tra sla d a habían mediado contestaciones entre…</t>
  </si>
  <si>
    <t>Becerra, Alvaro Gómez</t>
  </si>
  <si>
    <t>Alvaro Gómez Becerra</t>
  </si>
  <si>
    <t>…s, no procedió con ligereza, ni D. Diego M edrano, Secretarios; duque de Frias , marques de cual he levantado el estado de guerra de Córdoba, Huelva y tampoco por lo q u e su buena razón la d ic tab a ; examinó los TorreaIta , D. Alvaro Gómez Becerra, D. José M a iía Reig, Cádiz , exceptuando la isla de San Fernando ; he creído conve­ hechos que habían dado lugar á la formaciou de causa ; exa­ obispo de Astorga, obispo electo de Oviedo, marques de V ilu m a, niente que continúe aun el de Sevilla , supuesto que los recien­ mi…</t>
  </si>
  <si>
    <t>…............. nester criterio harto fino y ejercitado para deducir de D. Antonio Solís................ ............. .. ................... Avila. Almería. la votación. ellos la verdad de la historia en su exactitud y pureza. D. Alvaro Gómez Becerra......................................Badajoz. Juzgamos por lo mismo que las obras de esta clase acome­ D. José Camps y Soler.............................................Baleares (Islas/ tidas y llevadas a cupnplido término con la conciencia y Marques de Castelldosrius. .......…</t>
  </si>
  <si>
    <t>Becerra, D. Alvaro Gómez</t>
  </si>
  <si>
    <t>D. Alvaro Gómez Becerra</t>
  </si>
  <si>
    <t>…y Heros hacen algunas ministerio portugués en un intervalo de sosiego algo mas largo nistro de la Gobernación , acompañando una manifestación del aclaraciones. á tratar del reglamento, y comenzaron las conferencias, que con Sr. D. Alvaro Gómez Becerra, pidiendo ser admitido ea el Se­ El Sr. OCHO A : Tengo que rogar antes de todo á los se­ penosa im p ortunidad habia yo tanto solicitado , y que siem­ nado. ñores taq u íg rafo s, que si no me oyen ó no me en tien d en , que pre diferian las mudanzas ministeriales; porque cu…</t>
  </si>
  <si>
    <t>BECERRA, GOMEZ</t>
  </si>
  <si>
    <t>GOMEZ BECERRA</t>
  </si>
  <si>
    <t>…s nifiesto en la escribanía mayor de Rentas, sita en el piso bajo propios. de la aduana, donde se admitirán proposiciones, sirviendo de base la que se hizo en el anterior remate de 8 rs. por cada ar­ REDACCION DE LA GACETA El Sr. GOMEZ BECERRA se opone al dictámen, fun­ dándose en que esta cuestión debe examinarla el Senado como un gran jurado que va á juzgar sobre hechos. roba de dicho papel. Lo que se hace notorio al público para co­ Que el Sr. Laborda ha acreditado los medios de subsisten­ nocimiento de los licitadores…</t>
  </si>
  <si>
    <t>…ficas. Tengo el av e­ créditos que ofreciesen duda. gera discusión entre los Sres. Q u ijan a, T em prado, duque de Gor y Perez de R iv as, que dice asi : rna que señala la ley de 17 de A b ril, en la cual se estahlece. El Sr. GOMEZ BECERRA continúa haciendo varias refle­ que todos están sujetos á las leyes naturales, excepto cuando xiones sobre la utilidad y conveniencia deque haya en esta junta La comisión encargada de informar sobre la exposición d i­ rigida al Congreso por D. Autoido Ramírez de Arellano con sublevan…</t>
  </si>
  <si>
    <t>…tes ¡de la ac­ cido al ver que todos' los señorea qae habían impugnado el ron exceptuados de él los segundos coutribuyente,------------------ ción diel Gobierno. proyecto convenían es que so objeto era mmaman# útil y lau­ El Sr. GOMEZ BECERRA maaifestó que aunque ron toda El Sr. FERRER indicó que segas unos'señores era escan­ dable. la urbanidad y cortesía posibles, ino- pedia dejar' de decir que" daloso e! atraso que resoltaba» y según otros tan insi guiñea ule Recordando en seguida los punios principales i qae se ha­ tea…</t>
  </si>
  <si>
    <t>…te ayuntamiento. Dios guar­ did as de rigor. El obispo de Augustowo está libre, y encuentra lución. de la vida de V. M. dilatados años para bien de los españo- en los dones de sus fieles una indemnización suficiente de las El Sr. GOMEZ BECERRA contestó que el Sr. marques de les.rzSeñora.izA L. R. P. de Y. M.zrEl alcalde primero, Jo ­ pérdidas que ha experimentado por otra parte. Pero la lucha Valígornera habia distinguido en su enmienda tres casos; pero sé María Castizo y Ponce.zzEl alcalde segundo, Francisco puede envenena…</t>
  </si>
  <si>
    <t>Becerra, Gómez</t>
  </si>
  <si>
    <t>Gómez Becerra</t>
  </si>
  <si>
    <t>…cuando la ley no exige una cosa no hay título ni nadie se deja á sus hijos la viudedad que le corresponde al grado en mente ; pero que no obstante se hará cargo de algunas obser­ tiene derecho para exigirla. Insiste como el Sr. Gómez Becerra que muere. Esta gracia la tiene el general Escalera, porque ha vaciones del Sr. Polo y Monge. en que en el art. 56 de la ley electoral no se dice que la renta muerto como en campaña, y su viuda é hijos tienen derecho Dice que esta ley tiende á que los fondos que reúna la na­ haya de…</t>
  </si>
  <si>
    <t>…o­ También se acordó que se llamase al suplente por Cáceres Este es un estado comparativo de la división de distritos de nes en vez de encenderlo; pero de esto á probar que han i n ­ por haber tomado asiento en ei Senado el Sr. Gómez Becerra, la provincia de Huelva en el año 57 por una diputación que fluido directamente en las elecciones de Huelva , h ay gran d i­ Diputado por aquella provincia. se apellida del progreso con otro de la división de ios mismos ferencia : porque ¿q u é datos hay para decirlo? ¿ q u é razones…</t>
  </si>
  <si>
    <t>21/10/1839</t>
  </si>
  <si>
    <t>Gaceta de Madrid n.º 1807</t>
  </si>
  <si>
    <t>…bos y seis pies de fábrica de uno de nador por dicha provincia el teniente general D. Santos de la PARTE OFICIAL. ellos sobre la losa de elección. Hera. ( 6) Este puente está sobre el rio Pum aravule: su arco A petición del Sr. Gómez Becerra quedo sobre la mesa un escarzano, y tiene construidos los estribos hasta los arranques. dictamen de la comisión de Actas acerca de las segundas elec­ S. M. la R e i n a , s u augusta Madre la R e i n a G o b e r n a ­ ( 7) Puente sobre el rio Nora, de 48 pies de luz en arco ciones de…</t>
  </si>
  <si>
    <t>…do con im p arcialid ad , y que cómo era que su oficio El Sr, marques de F A LC E S sostiene el dictamen fundado de la anterior. del 16 de J u lio , en que recomendaba la elección de personas de en la misma ley citada por el Sr. Gómez Becerra, diciendo que Se dio cuenta , y el Congreso quedó enterado , de que la co­ juicio y que no causasen la ruio a de su patria , no estaba en su letra está tan clara y term in an te , que no da lugar á entrar misión encargada de examinar el proyecto de ley del Sr. Gon­ las a c tas, hallánd…</t>
  </si>
  <si>
    <t>Becerra, Pedro</t>
  </si>
  <si>
    <t>Pedro Becerra</t>
  </si>
  <si>
    <t>…eros la seguridad y el Se dió igualmente lectura á otro oficio del Sr. actual presi­ consíguese tranquilizar esta hermosa provincia, no aspiraría á sosiego: comparad vuestro estado actual y el que teníais eu la dente brigadier D. Pedro Becerra, en que participa haberse en­ otro galardón que el que me conservaseis en vuestra memoria, fecha que acepté el usando de estas provincias, y vuestro propio cargado interinamente del mando político y militar de esta seguros que merecereis siempre el afecto de vuestro comandan­ concepto…</t>
  </si>
  <si>
    <t>Becquer, José</t>
  </si>
  <si>
    <t>José Becquer</t>
  </si>
  <si>
    <t>…sfizo pero capaz por sí solo de sostener la gloria de la sesión. Era mediar prontamente el m a l , y castigar á los insensatos que se á esta exigencia con tal p r o d ig a lid a d q u e en m uchas d e del distinguido artista D. José Becquer: su asuntó la F eria de atrevieron á insultar la ley y alterar el orden público ; pero sus piezas, aun las mas te rr ib le s , como el C ain de C a ta ­ S an tipon ce: toda la gracia y la inteligencia de su autor en aterrados los malhechores al saber que los habitantes de los pue­ lan…</t>
  </si>
  <si>
    <t>Bed</t>
  </si>
  <si>
    <t>…un general valiente, decidido, y que tiene por sus robos y asesinatos. conocimiento del pais, habiendo hecho la guerra en Cataluña Se lee en el Globe. mucho tiempo. {E, de A .) Anunciamos con sentimiento la muerte del duque de Bed­ ford, cabeza de la ilustre casa de Russell, verificada el domin­ El capitán general de Galicia dice con la misma fecha que go último á la una del dia en sus posesiones de Escocia. Tenia el coronel D. Nicolás de Luna con su columna dio alcance á 74 años, y nació el 6 de Julio de 1766. Entró en…</t>
  </si>
  <si>
    <t>Beda</t>
  </si>
  <si>
    <t>21/12/1839</t>
  </si>
  <si>
    <t>Gaceta de Madrid n.º 1868</t>
  </si>
  <si>
    <t>…secundado al momento en Locarno y w V ictoria, Reina: Beliinzona. Loa jóvenes de este último pun to, en donde hay » E n atención á que nuestro Parlamento se ha pro rogad o una fortaleza , y cuya guarnición mandada por el capitán Beda hasta el jueves 12 del mes de Diciembre, Nos, da consuno con NOTICIAS NACIONALES. habit sido aumentada para intimidar á la población, se arma­ nuestro Consejo privado, publicamos y declaramos por la pre­ ron luego que supieron las noticia* de L ugano, y plantaron el sente que el dicho Parlamen…</t>
  </si>
  <si>
    <t>Bedford</t>
  </si>
  <si>
    <t>…eros. los Ministros estaban presentes á excepción de lord Jhon Rus­ N o podemos menos de celebrar esta disposición del señor du­ El capitán general de Extremadura con fecha 25 del pasa­ sell, sin duda por la muerte del duque de Bedford. que de la V ictoria, ya porque esta fuerza ha de hacer servicios do dice , que los escopeteros de Zarza Capilla han muerto dos importantísimos en el principado, ya porque ha echado maco facciosos , de los cuales uno tenia en consternación aquel país para mandarla de un general valiente, dec…</t>
  </si>
  <si>
    <t>…poco, fue conducida á Crotoy , ciudadela muy fuerte á la em­ na este m un do, me ha enviado al Rey para salvar la patria. con estas pérdidas, mandó 6$ hombres de Paris , á los que se bocadura del Somme, mientras que el duque de Bedford traza­ Vosotros rae pedís señales porque no queréis creerme sobre mi juntaron las guarniciones de varias plazas que habia mandado ba la mas inhumana tragedia para satisfacer la venganza dé palabra; la única seña! que me ha sido dada para mostrar que aba&lt; donar para detener la marcha de los…</t>
  </si>
  <si>
    <t>Bedfort</t>
  </si>
  <si>
    <t>…n de lord Brougham. Pero el partido liberal ha sufrido una gran pensar el pais. ¿Se proponen Mr. Dufaure y Mr. C u n iu -G ri- el Li ceo tocar un tema con variaciones de Beriot á un joven que, pérdida en la persona del duque de Bedfort, gcfe de la familia daine consagrar á la defensa de los mismos principios , el uno dejando á un lado todo motivo de patriotismo , hubiera sido délos Rusell, la que ha ocupado frecuentemente durante tres su bello talento, y el otro sus buenas intenciones? ¿Emplearán aplaudido en la sala de l…</t>
  </si>
  <si>
    <t>Bee</t>
  </si>
  <si>
    <t>…Nueva York para Méjico, á fin de negociar un tratado de dad de mantener un ejército en la frontera para tener á raya negativa. 5.° Que renuncie al ejercicio de todo derecho de ma- indemnidad con esta República, y que el coronel Bee ha par­ af bajá, y por este solo hecho la paz del mundo estará siempre gestad y de soberanía, á no ser en virtud de una formal dele­ tido también para aquella ciudad á fin de negociar la inde-* amenazada. Asi pues, el abandooo de la Siria por Mehemet- gación, y por consiguiente que se obligue…</t>
  </si>
  <si>
    <t>Behició, Andrés</t>
  </si>
  <si>
    <t>Andrés Behició</t>
  </si>
  <si>
    <t>…al poseedor ó posee­ y ;áf lbVde igual clase retirado en Granada D . Juan de A v ila; á ~ ¡j;G N O R A N D O SE quién Sea'«L dueño dé tln cénso ¿perpetuo dores de las casas libres junto á las murallas de la puerta dq los de D. Andrés Behició, factor que fue de provisiones en la ciu­ Jáe 8 rs. que en lo*antiguo gravitaba sobre párte del terre- i Sevilla de la ciudad de Cádiz, para que en el término de 3Q dad de Segó vía ; a los de D. Luis Casamayor, comandante que jdq; que ahora ocupa la casa situada en la Red de San Lu…</t>
  </si>
  <si>
    <t>Beiascoain</t>
  </si>
  <si>
    <t>…do á este punto inm e­ diato al valle de U iz im a , donde me he puesto en comuuicacion la r d e u n a c o m i ú o n , com puesta d el p residen te y cinco La E spaña, Señora, era despedazada en la que por dis­ con el conde de Beiascoain , y mañaoa penetrare por dicho valle m inistros del su p re m o t r ib u n a l de J u s t ic ia e n ca rg ad a d e curso de seis años apuraba todos sus recursos; y sucesos no me­ en tres columnas después de dejar cubierta la ribera de JNavarra fe licitar a S. M. por los faustos acontecim…</t>
  </si>
  <si>
    <t>Beiosa, Andrés</t>
  </si>
  <si>
    <t>Andrés Beiosa</t>
  </si>
  <si>
    <t>…parte en la nueva ex­ El dia 18 del actual se presentaron á indulto 17 facciosos, N o se trata en manera alguna de restituir la escuadra tur­ pedición contra Abd-el-Kader. Hoy se dice que llevará de ayu­ incluyendo en ellos á D. Andrés Beiosa , padre del cabecilla ca ; y digan lo que quieran algunos corresponsales de esta ciu­ dante de campo al duque de Aumale su hermano. Ignoramos en muerto que tenia este nombre. dad , tenemos por seguro que la escuadra no será devuelta has­ qué se fundan estos rumores. En las operaciones…</t>
  </si>
  <si>
    <t>Beja</t>
  </si>
  <si>
    <t>…estados de sitio,lo han hecho 29 de Junio del año próximo pasado en Ficayo de Portugal, sado , como yo he pasado últimamente por la laguna de la Nava como innecesarios en tal ó tal p u n to , como demasiado donde el R. obispo de Beja les dispensó el tercer grado de con­ para que hubiera visto hasta dónde llega el ingenio del inge­ duraderos en otros, como demasiado opresivos en algunos: sanguinidad niero , pues llegaban las aguas hasta donde no han llegado pero lo rep e tim o s: nadie ha dicho todavía que en las cir­ Segú…</t>
  </si>
  <si>
    <t>Bejar, José</t>
  </si>
  <si>
    <t>José Bejar</t>
  </si>
  <si>
    <t>…., San Gonzalo, por D. José del Castillo, en 7 de Octubre de 1859. Derechos Idem Idem de toneladas Totales, Una fábrica de hierro, vegetal de las Yeseras, término de de importación. de exportacioo. j ancoraje. H uejar, por D. José Bejar , en 7 id. id. Otra plomiza, cerro del C alsr, término de H uejar, San Tribaldo, por Antonio D íaz, en 7 id. id. Puerto-Rico ........................................... 211,889. . 4 . . 19 25,964-. 1 .. 18 1 6 ,1 5 5 ..5 .. 4 2 5 4 ,0 0 9 ..1 .. 7 Mayagües.............................…</t>
  </si>
  <si>
    <t>Bel</t>
  </si>
  <si>
    <t>…de Polonia solo nos dicen que son mas Pam plona 8 d e A gosto . El 4 del corri ente llegó á esta me n t e , y lo es también por consecuencia la subi da de los e nc a ­ c i u d a d procedente de la Ri be r a el general conde de Bel ascoai n, miserables que los esclavos en A m é r i c a , porque estos saben á bezamientos de los pueblos, para que al paso que se aseguren vi rey e n c a r g o s , con 10 b a t a l l on es , ocho escuadrones y la a r t i ­ lo menos la obediencia que ha n de d a r y las tareas d i ar i as los…</t>
  </si>
  <si>
    <t>Belas-</t>
  </si>
  <si>
    <t>…lo altamente satisfecha que queda de su pericia y cons­ neros y quedado en nuestro poder diez fusiles, una corneta y trabuco y uno de los sables son los que llevaba Palillos. tante denuedo, y que á los bizarros generales conde de Belas- algunos efectos de ropa , sin que hubiese habido pérdida alguna y tropa que mas se bayao distinguido, se les dé las gracias ea c o a in , Arechavala y Castañeda , asi como á los gefes, oficiales por nuestra parte. Enterada S. M., se ha servido mandar que en su Real nom* Que ea el propio dia…</t>
  </si>
  <si>
    <t>Belascoain</t>
  </si>
  <si>
    <t>…de las legisla­ Real decreto nombrando duque de la Victoria al capitán ge­ neral D. B.ildomero Espartero. (Ndm. 1666.) MODERNO ESPAÑOL. ciones de la edad llamada media , descrito y presentado de tan - n o m b ra n do conde de Belascoain á D. Diego León. (Id.) UNA NOCHE DE M ASCARAS, diversas maneras por infinidad de escritores de todos los pai­ Circular del ministerio de la Gobernación para que los fondos ses, y en que todos dejan un vacío y una oscuridad que será propios de la Milicia nacional se inviertan exclusivamen…</t>
  </si>
  <si>
    <t>…la me­ jadores, i Molinero, i Carretero y i Carpintero de carretas. eado alguna parte de aquellos, aunque ignorándose el objeto. dicina, por D. Félix Janer. Un tomo en 8.° Se vende en la 1 Alfarero con Barro. El general conde de Belascoain ha marchado con sus tro­ propia librería á 12 rs. en rústica. 2 Paseadores con 2 Esperanzas, y 5 Jóvenes con i Papa-' pas la mañana de hoy desde Lárraga hacia Oteiza. gayo. Elementos de moral médica, por dicho D. Félix Janer. Un í Francés con i Punzón, Largo y Agudo. tomo en 8.° Se ven…</t>
  </si>
  <si>
    <t>…dencia podría venir á ser lla para sí, sus hijos y descendientes, con la d e n o m in a­ hombres de su compañía y 29 caballos los salió al encuentro; una cuestión de Gabinete. La silla, á mis ojos , no es ni debe ción de conde de Belascoain, libre de lanzas y medias pero que este oficial pudo eludir dicha emboscada y rechazarlos ser una dependencia ministerial. (Risas irónicas en los bancos an atas, y de cu alquiera otro pago. T endréislo entendido, con pérdida , obligándoles á retirarse y repasar el M iñ o , te­ de la oposi…</t>
  </si>
  <si>
    <t>…los bilis Concernientes á las Esco­ sábado. sé discutirá el de la Victoria con fecha 5 del actual desde Atnurrio traslada el cia que serán discutidos durante la sesión. En cuanto á la cues­ parte qiié le ha dirigido el conde de Belascoain, escrito el dia 2 tión canádense, el Gobierno ha sido autorizado para presentar Entré las peticiones dé que se ha dadó cuenta , la que ha en los Arcos , refiriendo qué dos escuadrones del regimiento del dos bilis respectivos al Canadá. El uno no continúará durante sido ibas bien recibida…</t>
  </si>
  <si>
    <t>…, con fecha de Alejandría 7 de Se­ Tanta ventura para España y tanta deferencia y docilidad por Brigada de vanguardia y la primera división á las órdeaes tiembre , anuncia positivamente que H afiz-bajá se ha pasado á del conde de Belascoain se ha dirig id o á A lcañiz en unión con parte de los vecinos de Pilas para ayudar las obras y celebri­ Ibrahim. N o se dice si le han seguido las tropas que le que­ el general en gefe duque de la V ictoria. dades, tan pronto proyectadas y mandadas por el ayuntamien­ daban. (Id.) to, co…</t>
  </si>
  <si>
    <t>16/06/1839</t>
  </si>
  <si>
    <t>Gaceta de Madrid n.º 1674</t>
  </si>
  <si>
    <t>…s f ue r zas ; y que s i mu l t á n ea me n t e puesto en marcha con dirección al E u f r a t e s , y en breve ha br á publi caci ón de una Historia d e l consulado y d e l im p erio que lo verifica el vi re y en cargos conde de Belascoain al rebelde m este punto fuerzas bastante i mponentes p a r a c om p r i m i r y debe servi r de c ont i nua c i ón á la Historia d e la re v o lu ció n Elío , que con nueve batallones está aca nt onado h aci a M a ñ e r u . m u l a r las malas intenciones de la P u e r t a. fra n cesa .…</t>
  </si>
  <si>
    <t>…sabrá. Antes relativo á las segundas elecciones de Zamora. monte de dicho Urdax. de presentar mi proposición á la consideración del Congreso ya Pasándose al orden del d i a , que era la discusión de los d ic ­ El general conde de Belascoain ha permanecido con sus habia yo entendido que podría hacerse tal ó cual operación, tal támenes de la comisión sobre los expedientes pendientes, y leí­ tropas en esta capital desde el dia 5 del corriente, y en la m a­ ó cual o t r a , no lo he creído porque lo he oido extraoficialmen­ do e…</t>
  </si>
  <si>
    <t>…arto de hora después de esta intimación se que de la Victoria, desde Arourrio en 9 del actual dice que el Tales soldados son la mejor esperanza de la patria. pusieren á disposición del supremo Gobierno, obtendrán el per- conde de Belascoain se propuso hacer el dia 3 u n reconocí mien­ otros tres Sres. Ministros pasen á cumplimentar á su nombre á don Dispone el Excmo, Sr. Presidente interino que V. S. y. los de la vida; pero si no lo hicieren en el expresado término serán pasados á cuchillo, pues que tienen una brigada de 2…</t>
  </si>
  <si>
    <t>…mer partido todos los individuos de tropa, siguiendo á Francia por los Alduides los gefes y oficiales, 7 ademas con sus armas 7 monturas como unos 100 caballos del escuadrón de Manolin. 6 El general D. Diego León , conde de Belascoain , marchó el 1 sobre la Borda de Iñigo con orden de apoderarse de aquel fuerte, que a7er 17 halló abandonado con tres piezas de artillería, montajes, considerable numero de balerío, muchas municio­ nes, víveres 7 otros pertrechos. Todo será conducido á Pamplona, manteniendo por ahora g…</t>
  </si>
  <si>
    <t>…Guadalajara, y monturas corno unos 100 caballos del escuadrón de Manolin. mo á la augusta Hija del Rey su hermano ; y aunque el cau­ órgano fiel de su vecindario, con el mayor júbilo recurre A El general D. Diego León, conde de Belascoain , marchó el dillo feroz, á quien sus crueldades en estas provincias han dado L. R. P. de V. M. felicitándola por los extraordinarios como 16 sobre ta Borda de Iñigo con orden de apoderarse de aquel una funesta celebridad, redobla sus esfuerzos para prolongar gloriosos sucesos acaecidos en…</t>
  </si>
  <si>
    <t>…an Comandancia general de los ejércitos reanidos.=Secretaría los enemigos para hacernos dueños de la cordillera de Sta. L u ­ cruda guerra. Por esto la orden general de incendiar las raieses de cam paña.—Excmo. S r.: El conde de Belascoain, virey en cía de Yermo. donde no pudieron recogerse, para privar al enemigo los medios cargos de N a v a rra , con fecha 19 del actual me dice desde L e - Tres dias de penosas m archas, campamentos y fatigas han de subsistencia. Por esto en fin el estrecho bando de bloqueo p a­ rin lo que…</t>
  </si>
  <si>
    <t>…IT A LIA . la brigada de v ang uardia y la segunda división siguen en el Reina con mucha modestia, ¿por qué no habréis de permanecer en é l ? ” Estas palabras equivalían á una tierna declaración. Mas de las Matas. El conde de Belascoain con la 1.a y 2.a b ri­ R om a 50 d e N oviem bre. gada de la 2 .a división , un escuadrón de lanceros ingleses y (Tenips.) otro de Borbon con dos baterías de lomo ocupa el pueblo de La santa Sede acaba de recibir de S. Petersburgo una nota A g u a v i v a , y el Sr. brigadier Velarde…</t>
  </si>
  <si>
    <t>…us- icia de la muerte de Runjeet-Simgh. ria, contándose mas de 500 entre artistas, fabricantes y m a - Comandancia general de los ejércitos reunidos. = Secretaría mfactureros. de cam paña.r: Excmo. Sr. = El Excaio. Sr. conde de Belascoain, El ministro de Comercio, el intendente general de la lista virey en cargos de N avarra , con fecha 15 del actual desde Los iv il, Mr. Rambuteau , el barón Thenard, presidente del júra­ Arcos me dice lo que sigue: Cartas de Atenas de 29 del mes último , dirigidas al Timesb lo central de a…</t>
  </si>
  <si>
    <t>Belascoaio</t>
  </si>
  <si>
    <t>…ordi nar i o. stan Tonificando la posición de que se l ian apoderado. I b r a - Se lee en el In d e p en d ien te de Brusel as : S e n o s habi a asegura do , pero era un e r r o r , que las r a t i f i ­ El Excmo. br. conde de Belascoaio , v i r e y en cargos de N a ­ l im por su p i r t e ha adelant ado sus tropas á a l g u na s l eguas caciones del t r a t a do h a bí a n t eni do l ug a r en Londres el lunes v a r r a , con feche, del 10 á las seis de la tarde entre otras cosas aas acá de Al epo , si tuándose bien c…</t>
  </si>
  <si>
    <t>Belda, Cayetano</t>
  </si>
  <si>
    <t>Cayetano Belda</t>
  </si>
  <si>
    <t>20/04/1839</t>
  </si>
  <si>
    <t>Gaceta de Madrid n.º 1617</t>
  </si>
  <si>
    <t>…tiempos, y ex­ letazo en la calle de la C equiola, junto al Picadero, un sugeto seaban con ansia. {D. M. d e V alenda.) pone su razonada opiuion acerca de cada p un to , deducida de de bastante edad, que según se asegura es D. Cayetano Belda, lógicas y precisas consecuencias que la sutileza de su ingenio empleado en la comisión de amortización de esta provincia. A l le permite sacar de los diferentes sistemas que han ideado los primer aviso acudió el m ayo r, teniente de Rey interino de la políticos mas eminentes y d…</t>
  </si>
  <si>
    <t>Belda, Jacinto</t>
  </si>
  <si>
    <t>Jacinto Belda</t>
  </si>
  <si>
    <t>…y t i e r , alcalde primero consti­ dora y la Serma. Sra. Infanta Doña María Luisa Fer­ de Estado y del Despacho de la G ue rra . tucional y presidente de dicho ilustre a y u n ta m ie n t o ; D. M a r ­ tin José de Ríaya , D. Jacinto Belda , D. A n ton io de Z ? fra , nanda, continúan en esta corte sin novedad en su im ­ D. francisco Sastre, D . Nicolás F a u re , D. Fernando de Mora portante salud. y González, regidores; y D. J o í q u in Román M ercader, procu­ PARTE NO OFICIAL. rador síndico prim ero; y los censor…</t>
  </si>
  <si>
    <t>Beldford</t>
  </si>
  <si>
    <t>…a n a ; yo no soy , á la verdad , venida aqui so guerrero inglés de aquel tiempo. y quedó insensible con el golpe de su caida. Restablecida un para hacer milagros. Aquel Dios que desde su alto solio gobier­ Alarmado el duque de Beldford ¿ el general en gefe ingles, poco, fue conducida á Crotoy , ciudadela muy fuerte á la em­ na este m un do, me ha enviado al Rey para salvar la patria. con estas pérdidas, mandó 6$ hombres de Paris , á los que se bocadura del Somme, mientras que el duque de Bedford traza­ Vosotros rae pedí…</t>
  </si>
  <si>
    <t>Beliiughaussen, Munch</t>
  </si>
  <si>
    <t>Munch Beliiughaussen</t>
  </si>
  <si>
    <t>…., sino por todos los Se aguarda en esta noche al Principe de Metternich. Tam ­ gobernador militar y político de la plaza de Melilla, en Afri­ buenos españoles: convenio que puso término i la guerra de- ! bien se espera al conde Munch Beliiughaussen.</t>
  </si>
  <si>
    <t>Belle</t>
  </si>
  <si>
    <t>…dijo que res de las ideas de los iluminados. Era un aventurero traído de la indignación de los partidarios mismos de este tráfico. No nos le dejase con mi hermano, al que tenia que dar algo que comer. Alemania por el mariscal de Belle lsle, quién le presentó á Luisxv decidiríamos á publicarlas si no sintiéremos toda la necesidad de Volvía aun otra vez al cuarto del capitau, cuando al subir el y á Madama de Pompadour. Este hombre, que por algún tiem­ esclarecer la conciencia pública sobre este punto. Pedimos per- puente vi q…</t>
  </si>
  <si>
    <t>Bello, José</t>
  </si>
  <si>
    <t>José Bello</t>
  </si>
  <si>
    <t>…Avelino M ena. .............. 5 mas en Regla 4 .. 2 El abogado t). Juan de Rojas............................ 5 1................ * d e .. 8000 ps. f s .. . , 8000 Id. D. Anastasio José C uadra, teniente de cura El licenciado D. José Bello.. . . ................ 3 3................. d e .. 2000................... 6000 de W ajay . 5 .. i El licenciado D. Fernando José M ontilla.. . . . . . . 5 15................. d e......... 500.................... 6500 Id. D. Valeriano Ayala 2.. 1 Licenciado D. Antonio G alv ez...........…</t>
  </si>
  <si>
    <t>Beloso, Andrés</t>
  </si>
  <si>
    <t>Andrés Beloso</t>
  </si>
  <si>
    <t>…e rebeldes , y SUECIA. frente á la marina inglesa. se han aprehendido cinco caballos con sus monturas y armas. El d ia 18 del actual se presentaron á indulto 17 facciosos, Slokholmo 8 d e N oviem bre . incluyendo en ellos a D. Andrés Beloso , padre del cabecilla Nuestras rentas no h a a estado nunca en una situación tan muerto que tenia este nombre. El famoso violinista Paganini acaba de de{ar la ciudad de próspera como en este momento. En los años desde 1831 hasta En las operaciones de la linea de P ortugal resultó un…</t>
  </si>
  <si>
    <t>Below</t>
  </si>
  <si>
    <t>…iniciales F. L. con que en el sobrescrito suple Hace también mérito en su carta de un tal Preskou, cuya Santander, £ id. el nombre de esta (Furst L iniow ski, principe L in io w sk i, pue- llegada á España le anunciaba el coronel Below, y á quien sin A lican te, J d. San tiag o , á 2 id. den significar dichas dos iniciales), es de suponer se dirigen en embargo'dice no haber visto. Pasa después á hablar de guerra; Barcelona, á ps. f s ., * par. S e v illa , £ papel d. efecto al príncipe L in io w ski, actualmente residente en…</t>
  </si>
  <si>
    <t>BEN</t>
  </si>
  <si>
    <t>…latra­ A rt. 2.° ’ E n caso de m orir ábintéstato heredarán-sus pa­ de la creación dé la Junta.1 I ^ ^ ^ rrjiup h ? va y M inistro de la G obernación, y concluye rogando al Se­ rientes con arreglo á las leyes de Sucesión. El Sr. BEN A V ID E S repuso que conocía* la nado la tome en consideración. A rt. 5.° Cesarán los diocesanos eu el derecho de percibir det zoa * y circuescribiéndose á tratar* d é la qiínt»*dmbb¿&amp;¿tó Rfcs Los Sres. M inistro de la Gobernación y V il urna hacen va­ las dichas testa mentarías la alhaja ó l…</t>
  </si>
  <si>
    <t>…onde hay cumentos , y eran pasados cerca de dos meses, y hasta ahora á la dar estas explicaciones. tud de leyes que tos legisladores no han reprobado, pero que comisión no había llegado mas que el expediente ele los azo­ El Sr. B E NA VI D E S suplicó al Sr. Presidente que se sir­ pueblos han hecho caer eu desuso: que eu los tiempos dé Cát-4 gues. Añadió que la comisión no habia perdido momento, y viese mandar leer el art. 156 del reglamento. los m y Carlos i v , y aura en el motin que hubo en esta corte estaba próxima á…</t>
  </si>
  <si>
    <t>Ben-</t>
  </si>
  <si>
    <t>…ntenares de estos defensores de nues­ W erther. También habían sido convocados los plenipotencia­ difuntaNapoleón tros derechos. En medio de ellos tenemos i nuestros hermanos rios belga y holandés, MM, de V an-W eyer y él barón Ben- cilio. Sedebe le educarse en Francia y establecer en ella su domi­ y á nuestros hijos, entregará todo lo que la ex-Reina de N ápo- que solo ansian la hora de la pelea ; y cuan­ tinck. les poseía como recuerdos del Emperador Napoleón, como do en remuneración de la victoria imploran nuestro so…</t>
  </si>
  <si>
    <t>Bena</t>
  </si>
  <si>
    <t>…S. S. era de aquellas cuya natu rale ­ aunque todos los demas la h ay an com un icado , no hay n in g u ­ haciendo uso de la palabra en el sentido que lo ha hecho ; y za no son susceptibles de discursos: asi lo d ijo , y el Sr. Bena­ no que al mismo tiempo h ay a sido nombrado D ip u ta d o ; y que cuando debían acallarse las pasiones, y que cuando tra b a ­ vides ha podido ver la im parcialidad del Presidente , puesto aunque tuviese también esta c ir cu n sta n cia, no tendría la de jaban los guerreros que antes habían…</t>
  </si>
  <si>
    <t>BENAV</t>
  </si>
  <si>
    <t>…Se unos documeutos sobre las de Albacete. procede á la discusión del dictamen de la comisión de go que tiene mas con la de 1857 que con la de 1 8 12. bajo los mejores auspicios. Santa Cruz de Múdela 20 de Se­ Peticiones El Sr. B E N A V íD E S : He oido hablar de poca delicadeza tiembre de 1839.—A L. R. P. de V. M.—El preaiieute, á nom­ , y se lee el ruíoa. 55 que dice : respecto á m í, y quisiera que el Sr. Gonzilez Alonso explicase bre del A. C., Juan Sainz de Medina, D. Angel Colono, vecino de la ciudad de Sevilla, r…</t>
  </si>
  <si>
    <t>BENAVI</t>
  </si>
  <si>
    <t>…sin intervenciones extrañas que tanto ha te­ Deuda activa española , 5 2 |. rio r, al preguntarse si se aprobaba, pidió la palabra y dijo mido siempre, y el amistoso desenlace de un drama trágico Diferida sin Ínteres, 15. El Sr. B E N A V ID E S : Entre los Sres. Diputados que se ha­ que solo presagiaba eternos odios y reocores. Pasiva, 8b llan presentes se encuentra uno que no lo es. (Hacia alusión al Dignaos, Señora, admitir benigna esta franca y sincera Diferida antigua , 9 |. Sr. Alooso nombrado cuarto suplente por Ma…</t>
  </si>
  <si>
    <t>…la segunda ba&gt;e. 5.° Que se remitan ejemplares de esla no hallándose presente, la obtuvo y dijo ha recibido de D. Jo*é Saavedra y Tenorio, secretario del ge­ 'tewtewcia a los editores de U Gaceta de Madrid y Boletín ofi­ Eí Sr. B E N A V ID E S : Señt res, tres motivos me han im­ neral N arvaez, en que le participa desde S. Lucar de B a rr a - cial de esta provincia, á fin de que se inserte en dichos peuó- pulsado á tomar la palabra; primero por haber dado mi apoyo meda la fuga del general D. Ramón María Narvaez. diros,…</t>
  </si>
  <si>
    <t>…iva Label n. (Repetidos vivas en el salón y tribunas.) mos: prefiera las obras originales cuando tengan algún de Europa. La otra especie, que es muy común en Espa­ Se pregunta si se aprueba la ¡odicacion del Sr. Olozaga. El Sr. B E N A V ID E S pidió que la votación fuese nominal. mérito, sm reparar en nombres: cou esto producirá bie­ ña, es el buitre egipciaco, llamado neophron ptrnoplerus. El Sr. conde de las N A V A S contestó que bastaba que fuese nes incalculables, y liara que las traducciones escaseen E¿te género ne…</t>
  </si>
  <si>
    <t>…v in cia, por no resultar nada contra su ap ti­ el pueblo, y corrompido y desmoralizado las tropas. mos presentarlas al Congreso para su aprobación. tud legal. Llegados sus planes á sazón, ofició el 2 4 á D. Cárlos para El Sr. B E N A V ID E S dijo estaba completamente satisfecho; Igualmente fue aprobado el de la misma co m isió n , en que que fuese el 2 5 á Elorrio á presidir una jun ta de generales que pero que le parecía oportuno se hiciese una aclaración sobre se proponía la aprobación de las actas de Zaragoza y la a…</t>
  </si>
  <si>
    <t>…ia quedará tranquila con haber­ 4 por lo tanto se estaba en el caso do acordar no se cerrase la dis narlas cuanto gusten, porque tendrán campo bastante para lo hecho asi. ! cusion hasta que todos hubiesen hablado. hacerlo. El Sr. B E N A V ID E S manifestó que el Sr. Q uinto le habia Tomada en consideración, y abierta discusión sobre ella Si se discute junta con los demas proyectos, entonces con prevenido en la exposición de la gran duda que teuia : que si dijo 9 mas derecho se expondrán razones para contrariarla. En este s…</t>
  </si>
  <si>
    <t>…to citado por el Sr. Gonzá­ precedente escrito. Dios guarde á V. E. muchos años. Barcelo­ lez Alonso. na 29 de Agostode 18:&gt;9-A ntonio Seoane.=Excmo. Sr. capi- Se abrió á las doce y inedia con la lectura del acta de la an­ El Sr. B E N A V ID E S : Se ha pedido por el Sr. Guillen y tan general de las Islas Baleares. ' r terior, que fue aprobada después de haber pedido el Sr. conde de las Navas se leyera la parle relativa al oficio del Sr. D , Pió ne as la lectura del artículo del reglamento , en que se previe- que las elec…</t>
  </si>
  <si>
    <t>…incumbencia; se aplacen para cuantío se halli constituido el Congreso.” Pero Sr. Perez de Rivas. U «ícamente diré que hay reclamaciones, y que hasta tanto que yo pregunto: ¿las ddicultades que ha expuesto S. S. son apli* El Sr. B E N A V ID E S ; Son tan fuertes los argumentos que e»to se ponga en claro , tenemos probabilidad para creer que cables á los cuatro Diputados cuya admisión aprueba la com i­ han hecho los señores que han impugnado la proposición del hubo ilegalidad en las elecciones de Huesca. sión? No. No son…</t>
  </si>
  <si>
    <t>…G il, Mestre y R om ea, conde de las N avas, Muñoz V. M. la sinceridad de sus votos, no cree equivocarse en afir­ Terminada su lectura , dijo y Villaloa. mar que tal es el sentimiento de los habitantes de e.^ta leal pro­ El Sr. B E N A V ID E S : Aun no he visto el D ia rio ; pero veo "Asegurándose de público que por el Ministro de Hacien­ vincia , muy en armonía por cierto coa el de los españoles to­ en la redacción dei acta que no se han insertado literalmente da se ha verificado un convenio con una casa de comercio de d…</t>
  </si>
  <si>
    <t>…o que ha dicho el Sr. M inis­ cuanto al Gobierno, está avisado como se hace todos los dias. ces vengan á reclamar lo que se las debe de justicia , lo que era tro, pero voy á hacer explicación de algunas de sus cláusulas, El Sr. B E N A V ID E S : Tiene muchísima razón el Sr. Presi­ suyo? Es la mala administración, es un abandono inexplicable, y ahora, estando S. S. en ése banco, me viene como de molde dente en lo que ha expuesto, es una verdad; pero también lo considerando que tanto el Gobierno como las Cortes en las hace…</t>
  </si>
  <si>
    <t>…sión datos estadísticos en que formular su aquiescencia ó su re­ art. 1.° del proyecto sobre recompensas militares. 1440 rs* ó 2 0 , y no se olvide que no es una adulación, es una sistencia al proyecto que se presentaba. El Sr. B E N A V ID E S: Yo tuve, señores, un gran senti­ promesa tan sagrada como la de la viuda que reclame su viu­ El Sr. S urrá, que tomó la palabra en diverso sentido, dijo miento dias anteriores cuando vi que al hablar el Sr. Alonso dedad , y el jubilado lo que le corresponde por sus años de en defe…</t>
  </si>
  <si>
    <t>Benavi</t>
  </si>
  <si>
    <t>…lo demas de trocar papeles, está equivocado S. S. M u­ testación al discurso de la corona , y para mañana la de los son dignos del escritor patriota , que quiere grabar en los cho me alegro de ver defender la Constitución al Sr. Benavi­ dictámenes de la comisión de Actas que quedaron sobre la mesa, tiernos ánim os de sus lectores el conocim iento y el am cr d es, y de oirle que las leyes deben tener los requisitos nece­ y la continuación de la del proyecto de recompensas militares, de la patria. sarios. se levantó la sesión…</t>
  </si>
  <si>
    <t>…ara dar lugar á que asistiera el miembro del den fijar. Gabioete que tuviera por conveniente hacerlo. roquial de San Sebastian de esta corte el 6 deí corriente O c­ El Sr. TUjIZ D E LA. Y E G A confiesa que ninguna cues- El Sr. B E N A V ID E 3 sostuvo que se debia esperar á que tubre en acción de gracias al T od op od eroso p or los felices sucesos ocurridos en las provincias del N orte. lien fe ha hecho pensar rnas que esta , al mismo tiempo que le asistiera el Gobierno como él mismo suplicaba, porque el C on ­ ha dej…</t>
  </si>
  <si>
    <t>…ido hasta ahora , y es preciso, repito, que desde un principio se corte de Concluyó pues rogando á la comisión retirase su dictámen C á d iz , A á £ d. Z arag oza, i á \ id. para examinar los documentos que ha presentado el Sr. Benavi­ raíz el m a l, porque si no, Dios sabe á lo que nos podrá con­ ducir. r des como lo hizo el otro dia con respecto á una carta que pre­ Descuento de l e t r a s , á 6 por 100 al año. sentó el Sr. conde de las Navas. Yo no tendria inconveniente en que se suspendiera la reso­ El Sr. B A R R…</t>
  </si>
  <si>
    <t>…l , y de su administración. brillante victoria, derramando abundante sangre española , y pia literal de la exposición al Sr. Ministro de Gracia y Justicia. estableciendo sobre cadáveres la superioridad de vuestras armas, El Sr. B E N A V ID E S : El dictamen está en su lug^r p i­ Art. 66 . Todos los individuos de las clases excluidas y dis­ sino por haber sabido hermanar sin influencias extrangeras los diendo que se reserve esta petición para tenerla preseote en pensadas por esta ley del servicio de la Milicia nacional, p…</t>
  </si>
  <si>
    <t>BENAVIDE</t>
  </si>
  <si>
    <t>…a que ver con prescribir reglas sus resoluciones. la conclusión de este negocio. para aquellas. El Sr. B A R R I O A Y U S O dijo que no podia menos de creer El Sr. M A D O Z : Señ o res, esta excitación prueba en cierto El Sr. B E N A V I D E á maoifestó que la com isión se f u n d a b a que la comisión establecía u n a nueva legislación cuando a t r i ­ modo que el Congreso no m ir a en parte con el Ínteres que cor­ para o p in a r por la a n u la ció n de las elecciones de Pontevedra buía al Congreso la fa cu lta d que…</t>
  </si>
  <si>
    <t>Benavides</t>
  </si>
  <si>
    <t>…ño, y del estado en que la junta actual de Gobierno De geología el Sr. Santaella. la columna escaparon por la parte opuesta; viendo frustrado su deja las diversas atenciones que le han sido confiadas. De'historia de España el Sr. Benavides. plan , dicho comandante cogió 20 caballos de cazadores de la La primera sección ha empleado varias sesiones en investigar De literatura extrangera el Sr. Corradi. Guardia con el teniente de dicho cuerpo Montenegro , y á todo el estado actual de nuestra nación , con respecto á su opimon D…</t>
  </si>
  <si>
    <t>…xpresando 8 .a Esta junta se reunirá siempre que lo tenga por conve­ P rimer in dividuo de la comisión el Sr. C ab alle ro , por 6 9 hallarse pronto á ad m itir dicho encargo, reservándose presen­ votos, habiendo obtenido el Sr. Benavides 1 6 , el Sr. Quinto niente; y por medio de acuerdos, que se extenderán en un libro tar documentos que acreditan su aptitud legal. 2 , el Sr. Roldan 7 , el Sr. Alcon 1 , el Sr. Mascaró 1 , el se­ que al efecto llevará uno de los secretarios, resolverá cuanto Otra comunicación del Sr. duque…</t>
  </si>
  <si>
    <t>…las formas que las continúe el proceso. En esta parte creo que podemos estar acor­ les N arvaez y Córdoba , porque como militares , su s jueces com­ leyes tienen establecidas para el procedimiento: yo no veo mas des. Pero el Sr. Benavides que ha impugnado y con mucha petentes son los tribunales de g u e r r a ; hablo de otras muchas medio legal que aquel que la ley establece; y cuando este está fuerza de raciocinio lo que propone la cotnision al Congreso, personas que como simples ciudadanos están en el caso de ser atropell…</t>
  </si>
  <si>
    <t>…constitucional d e M a d r id . ofrece. cometer. El Sr. O L O Z A G A : Yo me alegro mucho haber oido al Hizo en seguida otras varias observaciones, manifestando El Excmo. ayun tam ien to constitucional ha acordado se ce­ Sr. Benavides, y deseo que tanto á S. S. como á los Sres. D ip u ­ que en su sentir las actas que se h ay an remitido al Congreso ó lebre un solemne T e D eum á las once del dia de mañana 5 en tados no quede n ingún escrúpulo acerca de este punto. las capitales de provincia para hacer el escrutinio sin…</t>
  </si>
  <si>
    <t>BENAVIDES</t>
  </si>
  <si>
    <t>…ienda que ocupa la atención del Gongreso para dejar á en aquel momento á hacer esta pregunta. culos fraternales, cordialmpute fraternales, que deben existir los Sres. Diputados en entera libertad de resolver sobre ella sin El Sr. B E N A V I D E S : Pido la palabra. para siempre entre las provincias Vascongadas y el resto de la que los desvien de su opinión las observaciones que podrían El Sr. P R E S I D E N T E : No puedo concederla; esto es co-</t>
  </si>
  <si>
    <t>…echo y aun en su obligación porque es terminante el artículo del reglamento. estará el Congreso de considerarlo como tal proyecto de ley, El Sr. conde de las N A V A S pidió la palabra para una y á un proyecto de ley sabe el Sr. Benavides que se pueden BOLETIN DE COMERCIO. cuestión de orden , y obtenida dijo que siendo tan grave el hacer enmiendas, y á estas otras, todo como si fuese el pri­ asunto que seiba á poner á discusión, le parecía que en honor mitivo del Gobierno ó el único de la comisión. BO LSA D E M A D R ID . d…</t>
  </si>
  <si>
    <t>…o de la G O B E R N A C IO N , después de pedir quiet e , de indulgencia de la comisión , le aplaudo; pero me im­ clamaciones que se presenten fuera de este térm ino, no puedan que se leyese la Real orden á que se refería el Sr. Benavides, porta que no se establezca una jurisprudencia que viene á fal­ admitirse, mediante á que ha espirado el término prescrito. manifestó que habia sido dada á consecuencia de haber mani­ sear por su base el espíritu de la ley electoral. Ahora pregunto y o : los que reclamaban sobre la exclu…</t>
  </si>
  <si>
    <t>…comu­ malizar proposición para que pasase á la secretaria. Sobre el proyecto presentado al Gobierno por la sociedad nes, y mas que todo, de esos desfigurados rocines en que .se con­ Después de unas ligeras observaciones del Sr. Benavides, se económica matritense para mejorar la caballería. vierten los capones. Tampoco ignoran los labradores que la cas­ acordó decir que el Congreso quedaba en te ra do, y que se ar­ tración no puede hacerse con cierta seguridad sino en la pri­ chivase el referido documento. E n la Gaceta del…</t>
  </si>
  <si>
    <t>…hemos tenido los * que pensaba poner el Sr. conde de las Navas sobre la mesa adopte por unanimidad. Algún Sr. Diputado de los mas avan­ que representamos, y esa misma consideración ha debido te- j y que se anticipa á ello el Sr. Benavides? Luego no ha sido zados en esta cuestión contra la enmienda, me dijo: todos ner el Ministro. Por consiguiente, cuando un Gobierno que &lt; el principio, ni las expresiones, ni nada lo que ha impedido estamos corrientes. se sienta en esos bancos procede de esta manera , cuando que se termine…</t>
  </si>
  <si>
    <t>…ellos tribunal d e s , y tam bién á alguna que otra del Sr. d u q u e de G or. tes á particu lares, pueblos ó corporaciones que tengan legítima com petente; y en los otros dos siguientes se realizarán defin iti­ D ic e el Sr. Benavides "s e van á aum entar los em pleados” , y reconocida participación en ellos. ¿ d ó n d e e s t á n ? ¿q u ié n e s se enum eran com o empleados de los que vamente la cobranza y terminación de los d é b it o s , quedand o Igualm ente se leyó y fu e tom ada en consideración una e n ­ oespue…</t>
  </si>
  <si>
    <t>…sig n i­ M inistro que la d irig ió y no contra mi. El Sr. P R E S I D E N T E volvió á in te rru m p ir al orador , en ­ fica nada , ó si significa algo es la usurpación m ayor de los de­ Se leyó una, segunda proposición del Sr. Benavides re d u c i­ cargándole se ciñera á fu n dar la proposición. rechos del ciudadano. Dice asi (lee): Yo preg u n to : ¿ q u é a u ­ da á que el Congreso se sirviese acordar que la mesa fijase la El Sr. B E N A V I D E S contestó que para ello y para fijar la toridad es esta , qué es lo que pr…</t>
  </si>
  <si>
    <t>…ha decidido que se repro­ misión que proponía la admisión del Sr. Cortázar , se decidió mino de nueve dias se presenten en la escribanía principal de duzca hoy en los términos siguientes: por la afirmativa, y pedido por el Sr. Benavides que fuese no- Amortización á prestar sus declaraciones y reconocer sus firmas; 1.° Sinfonía. vúoal la votación , se acordó asi: verificada esta, quedó apro­ apercibidos que de no comparecer les parará entero perjuicio. 2.° El M EDICO Y L A H U E R F A N A , comedia nueva en bado por 41 v…</t>
  </si>
  <si>
    <t>…ar al tesoro con ellas, Francisco Martinez.ziFelicisno G irande, secretario. se inserten á lo letra las proposiciones. se le puede poner por el contrario en mayores apuros, impo­ El Sr. A R G U E L L E S ; La reclamación del Sr. Benavides se sibilitando al Gobierno de entrar en negociaciones mas en Señora ; El ayuntamiento de la M. N. y M. L. ciudad de funda en el derecho que cree tener de que se inserten íntegras grande y ventajosas, hemos creído deber llamar la atención del Cuenca , órgano fiel de sus habitantes, se acer…</t>
  </si>
  <si>
    <t>…en atenció n á que lo he creído de sum a im p ortan cia. El Sr. P R E S I D E N T E : C o n tin ú a la d iscusión pen dien te putados, que no h a y semejante d ivisió n de D ip u ta d o s suplentes El Sr. C O R T I N A : E! Sr. Benavides ha dado p rin c ip io á sobre los dictám enes de la comisión de A ctas. y D ip utados p ro p ie tario s, sino que en la significación de D i ­ su discurso haciendo una inculp ación á la comisión * y ha p ro ­ So leyó ei correspondiente á la p ro vin c ia de M u r c i a , en que putados e…</t>
  </si>
  <si>
    <t>…s de c h in a sobre pedestales de ^ S ale todos los d o m ing o s por la m a ñ a n a . S u precio en M a ­ puso á votación el dictam en de la comisión. d r id llevado á casa de los suscriptores es el de 2 reales a l mes El Sr. B E N A V I D E S pidió que la votación fuese n o m in al, bronce dorado y candelabros de lo mismo. D elante de los espe­ jos mesas de ja s p e , y sobre ellas riq u ís im o s relojes y otros c a n ­ y 10 por u n tr im e s t r e , franco de p o r t e , en las p ro v in c ia s . * y verificada esta…</t>
  </si>
  <si>
    <t>…Gobierno seria sauv crítica si de resultas de la discusión de *2.° O tra copia de las actas de varios distritos de la p ro v in ­ la comisión el Sr. B e n a v id e s , me veo precisado á hacer una ob­ servación. Ha dicho el Sr. Benavides que no puede menos de esta proposición se llegasen á negar los prestamistas, y se en­ cia de Toledo que remitia el Sr. M in istro. extrañar la inconsecuencia de la comisión al ver su comporta­ contrase aislado sio poder atender ai ejército, faltando el pre^t 5 . ° Una exposición de la di…</t>
  </si>
  <si>
    <t>…djetárnen de la comisión. El Sr. Secretario C A B A L L E R O : Si estuviera seguro de eso nester que oiga el Congreso io que voy á leer, y de lo cual re­ El Sr. IÑIGO expuso, en nombre de la com isión, que los que el mismo Sr. Benavides duda, acaso no se hubiera propuesto sulta el cargo mas violento y mas fuerte contra el Ministro del deseos de esta eran que se ventilasen en el Congreso las cuestio-* el suspender esta discusión ; pero no tengo certeza de si esas rumo. {Leyó el extracto de la petición que se hace en el di…</t>
  </si>
  <si>
    <t>…izabal rectifica un hecho. concurrencia lucida y numerosa. de la Constitución de 1 8 5 7 , no por e lla , sino por el capricho El Sr. C A B A L L E R O expuso que aunque estaba de acuer­ del Gobierno? do con la doctrina del Sr. Benavides creia que el reglamento P am plona 9 d e S etiem b re. El Pretendiente continúa en la Si se me forzara á ello diria esto mas claro ; pero todos mis nada tenia en contrario de lo que proponía el Sr. Presidente, parte de Lecumberri con algunos batallones mandados por Elío, compañeros sabrán…</t>
  </si>
  <si>
    <t>…en en aquel pais. procede la promesa de que se trata , es ó no una verdadera ley, PRE SID E N CIA DEL SEÑOR CALATRAVA. Desembarazado asi de esta parte que corresponde á los dis­ porque habiendo sido este punto tratado por el Sr. Benavides, cursos de los Sres. González Alonso v Surrá y Rull , debo e n ­ y pedido yo la palabra después que ha hablado, no sé yo cómo Sesión del dia 16 de Octubre . trar francamente en la cuestión: hasta ahora no he atacado al hubiera podido interrumpir al orador para manifestar la O p i ­ art.…</t>
  </si>
  <si>
    <t>añade el Sr. Benavides que deja de comprender á otras perso­ menos lo que el ministerio de aquella época hizo por ese decre­ N o se cre3 que porque yo le ataco desee que tío se premie al n a s , que aunque m uy dignas, debían esperar obtener mayor to : lejos de esto, señores , yo So miró con júbilo como una me­…</t>
  </si>
  <si>
    <t>…S. S. cree, sino otra cosa dife­ el artículo por 6 t votos contra 16. del gran libertador, figurado en Moisés ; y todo para el uso rente. Pasó á la comisión de Actas el testimonio de la causa que de la infancia. Respecto al Sr. Benavides, digo al Congreso, que ni me se sigue en Ponferrada al Sr. marques de Montevírgen ; y anun­ Los últim os rom ances, en que se da una descripción acordé de S S. cuando hablé ayer. ciándose para pasado mañana la discusión del proyecto de con­ sucinta de España , cual pueden com prenderla los…</t>
  </si>
  <si>
    <t>…stentación del p o d e r; pero que estas á tal a rtícu lo de la ley electoral. sin roas que c op iar sus p a la b r a s , y podrían decir que el C on­ cosas tarde ó tem prano se tom an en c u e n t a , y que todos ten ían El Sr. B E N A V I D E S contestó que aquel caso no tenia que greso se h a cia in d iferen te á u n a cuestión de ta n ta im p o r ta n ­ u n a resp o nsabilidad m oral inm ensa a n te los mismos colegios ver con el presente , porque era excepcional. cia. El Gobierno de S. M . debe estar pues bien conven…</t>
  </si>
  <si>
    <t>…del Sr. Este­ Alicante, $ din. b. Santiago, á 2 id. bre ^ , contiene los artículos siguientes : ban : que si el Sr. González Alonso la presentaba, como en otra Exceso de compasión de una monja, anécdota. ocasión lo hizo el Sr. Benavides con respecto al Sr. Gómez Par­ Barcelona á ps. fs., | á $ id. Sevilla, i á | id. Bilbao, par din. Valencia, \ b. V iena, viajes. do, quedaría retirado el dictamen. Cádiz, |&gt; d. Zaragoza, $ id. El pañuelo blanco, novela. r El Sr. GONZALEZ ALONSO dijo que formalizaba la Origen de la poesía.…</t>
  </si>
  <si>
    <t>…convenientes de la i n ­ Congreso fallar con mas conocimiento de causa. posición era una reconvención á ella, á la vez que excitación al tendencia, y se hizo con cuantos datos la fue posible para con­ El Sr. Q U IN T O : El Sr. Benavides ha combatido uno por Gobierno, del cual dijo S. S. que pues retardaba el enviar los seguir que ía ley quedase c u m p lid a ; pero los que pedían que uno loa apoyoí en que la comí don se ha fundado, y prescin­ documentos que se le habían pedido desde el dia 12 después de se eliminasen de…</t>
  </si>
  <si>
    <t>…han tenido lugar en aquella provincia , en El Sr. Q U IN T O : Yo de n inguna manera he aludido al del proyecto de ley. Y en efecto , en el mismo dia y hora m ar­ que la mas grave de todas ha sido la pastoral del gobernador Sr. Benavides ni á ningun a otra persona. Solo he dicho que me cados por la comisión asistió el Gobierno , hizo la exposición de eclesiástico de la diócesis. Es imposible que se h ay a presentado habia ofendido de que se supusiese que hasta ahora no habia los motivos , manifestó lo que tuvo por conveni…</t>
  </si>
  <si>
    <t>…sión nombrada no tenia de que ocuparse: terminó dicien­ pronuncien en sus sesiones públicas &amp;c. El Sr. Q .L IJA N A contesta que la comisión, al presentar á Ja do que esto era mas importante de lo que parecía, pues habia E l Sr. B E N A V I D E S , después de manifestar que la lectu­ deliberación del Congreso el proyecto que se discute , no ha he­ empeñado su honor en probar á los ojos de la nación estos abu­ ra dle este solo articulo con test aria mejor que él pudiera ha­ cho mas que cum plir coa lo prevenido eu el art. 8…</t>
  </si>
  <si>
    <t>…tadas en esta leg isla­ liberar. Asi se entiende en todos los países del m u nd o . local de la elección , no porque lo d isp on g a la l e y , sino porque t u r a , sobre lo c u a l el Congreso resolvería lo conveniente. El Sr. B E N A V I D E S : Como la cuestión p rin c ip a l la creó s e ia lie r e .d e u n modo claro. P o r e j e m p l o , ¿ n o e xige la le y qu e El Sr. T E M P R A D O m anifestó que de procederse á la d is ­ te r m in a d a por lo que ha dich o el Sr. P a sc ua l , y vista la bien ■Us papeletas h a…</t>
  </si>
  <si>
    <t>…n pasase á la comisión de Economías, creada en virtud de una pro­ G il, y Ferro M ontaos, presenta á la deliberación del Congreso boca del Sr. Zorrilla , y que creemos de nuestro deber refutar. posición de S. S. Se opuso el Sr. Benavides, y después de un li­ el siguieute: “ Yo ignoro, d ijo, si mi drama es bueno ó taalo ; pero sé gero debate se aprobó el dictámen de la comisión. Proyecto de ley de la mayoría de la comisión . que es español” Sabido es que nosotros hemos clamado siem­ Se leyó el dictámen de la misma sobre…</t>
  </si>
  <si>
    <t>…ión que entendía eo la provincia de Barcelona , sino los representantes de cierto par­ la misma solicitud, y que la comisión debiera por lo tanto h a­ el examen del proyecto presentado para atender á las necesidades tido. {EL Sr. Benavides pide con calor la palabra.) berla recomendado en la parte expositiva de su dictámen como del culto y clero. El orador .concluye suplicando al Sr. Ministro que le c o n ­ se habia practicado en legislaturas anteriores. Reprodujo las observaciones del Sr. Lujan respecto á la con­ teste á su…</t>
  </si>
  <si>
    <t>…s, animase una misma intención A LAS CORTES. calles y su fácil propagación, son causa de que ambos géneros y un recto proceder. de escritos se confundan muchas veces , y de que con nombre El Sr. F E L IU : Interpelado por el Sr. Benavides, me veo El estado en que se encuentra la libertad de imprenta hace de hojas sueltas se hayan publicado verdaderos periódicos sin en la necesidad de contestarle. S. S. lo ha hecho con el tacto indispensable una reforma completa en la legislación vigente los requisitos que la ley exige para…</t>
  </si>
  <si>
    <t>…es. Diputados, im p re n ta , habia nombrado por su presidente al Sr. Arguelles, se presente al gefe político de la provincia un editor responsa­ relativa á que no puedan ser Diputados los Senadores , los ca­ y secretario al Sr. Benavides. ble de cuanto en él se escriba. pitanes generales y regentes de las audiencias por el distrito de Se mandaron pasar á la comisión de Actas dos documentos A rt. 25. Para ser editor responsable con respecto á los pe­ la provincia de su mando. La comisión era de dictamen que se relativos á…</t>
  </si>
  <si>
    <t>…endo era este un asunto de sumo interés , co­ f u n d a m e n to a lgu n o . mo que en su concepto las elecciones estaban h erid as de muerte elecciones. Ellos d ic e n : nosotros hemos f a l t a d o , y por eso q u e ­ El Sr. B E N A V I D E S : L a comisión de A ctas en su nuevo remos que las elecciones se an u len . en su origen , h a b ia pedido ciertos documentos para enterarse d ictam en ha in terp retad o á su placer la v o lu n tad del C on g re ­ S i se dejase ab ierta esta p u e r t a , ¿ q u é e le c c ió n ,…</t>
  </si>
  <si>
    <t>Benavides, Antonio</t>
  </si>
  <si>
    <t>Antonio Benavides</t>
  </si>
  <si>
    <t>…............................................ CRUZ. A las siete y media de la noche. Se ejecutará una D . S. V. y M .............................................................................. 40 Miércoles.nDe siete á ocho, D. Antonio Benavides, histo­ función extraordinaria, distribuida del modo siguiente: D . J. V. d e N ........................................................................... 20 ria de España. D . M. de U. y R. . . . .......................................................... 20 Jueves.=De siete á o…</t>
  </si>
  <si>
    <t>…comandante gene­ Del estado de la civilización entre los árabes, y de su in - cación de una niña á la que por su demasiada viveza nada ral de la sierra , sigue practicando nuevos reconocimientos en íluencia en la Europa: por D. Antonio Benavides. podiao enseñarle los maestros, está tan bien desempeñado que su distrito por si existen ocultos algunos efectos de los rebeldes, España goda: por D . Ju an Morales Santistevan. admira ver el partido tan grande que se puede sacar hasta de y eu el que no hay enemigos que perseguir…</t>
  </si>
  <si>
    <t>…ropiedad de la n ación , de la que El miércoles 23 se da principio á las lecciones de Histo­ que tenían derecho de v o tar, pues no podían hacerse reclama­ podia disponer siempre que lo creyese conveniente. r ia de España por D. Antonio Benavides, de siete a ocho de ciones por no estar reunida la diputación provincial, único t ri­ Hecha la pregunta de si se tomaba en consideración esta la noche. bu !*,»1 para decidirlas. enmienda , el Congreso se decidió por la negativa. ES Sr. C A B A L L E R O dijo que esas reclamacione…</t>
  </si>
  <si>
    <t>Benavides, Joaquín</t>
  </si>
  <si>
    <t>Joaquín Benavides</t>
  </si>
  <si>
    <t>…dos estos pormenores acudió al Otra id. en loma de M arin , término de R io ja , S. Sebas roz enemigo en estrechar y hostilizar á las tropas nacionales ayun tam ien to, y cuando esperaba que esta corporación, con­ tian , por D. Joaquín Benavides, en 27. se entregó á sus comunes tropelías, incendiando las mieses y vencida del fundamento de su queja f reformaría el reparto con Otra id. en barranco de la M onterilla , término de Bena­ las casas, robando y destruyendo cuanto encontraron en las arreglo a equidad y ju s t ic ia…</t>
  </si>
  <si>
    <t>Benavides, Sr.</t>
  </si>
  <si>
    <t>Sr. Benavides</t>
  </si>
  <si>
    <t>…que han tenido lugar en aquella provincia , en El Sr. Q U IN T O : Yo de n inguna manera he aludido al del proyecto de ley. Y en efecto , en el mismo dia y hora m ar­ que la mas grave de todas ha sido la pastoral del gobernador Sr. Benavides ni á ningun a otra persona. Solo he dicho que me cados por la comisión asistió el Gobierno , hizo la exposición de eclesiástico de la diócesis. Es imposible que se h ay a presentado habia ofendido de que se supusiese que hasta ahora no habia los motivos , manifestó lo que tuvo por con…</t>
  </si>
  <si>
    <t>Benavidez</t>
  </si>
  <si>
    <t>…yo creo que esta discusión dejo á la consideración del Congreso. te las objeciones que baya con respecto á mi deben de ser ex­ debe aplazarse como se previene en el art. 7.° del reglamento. El.Sr. conde de las N A V A S : El Sr. Benavidez se ha equi­ trañas de las de otros. Si por una parte debería querer que se El Sr. PE R EZ D E R IV A S; El Sr. ponde ha dicrb o , según vocado cuando ha manifestado que yo había dicho que se ha­ averiguase la verdad, por otra mi deber como Diputado y parece, que en las elecciones ha habi…</t>
  </si>
  <si>
    <t>BENAYI</t>
  </si>
  <si>
    <t>…ma parte, sino la trigésima parte de la Plana , en que también se opinaba que debia aprobarse. junta para tomar la resolución que tomó; veo por el contrario mas pequeña ; no culparé por esto á los de la elección ; pero no El Sr. B E N A Y ID E S impugna el dictámen por encontrar que las razones del comisionado de Lorca son de tanta grave­ es posible que pueda tolerarse el oir eso; conozco el pais , y sé en dicha elección reclamaciones de alguna importancia; una la dad , que por mas que diga la cornision, son capaces de va…</t>
  </si>
  <si>
    <t>BENAYIDES</t>
  </si>
  <si>
    <t>…es de un sugeto que no dejarán de co­ E l Sr. conde de las N A V A S : En pro del Sr Cnn de lo que exponga el Sr. Cortázar sobre tachas personales quie­ nocer algunos Sres. D iputad os por ser una persona d istin g u i­ E l Sr. B E N A Y I D E S : Y o quisiera .para pedir la 7 ran pedir la pala bra, la obtendrán. da en aquella provin cia por su patriotism o, por sus principios saber antes qué es lo que se discute. Pahbra El Sr. P A S C U A L pidió permiso al Sr. Presidente para re­ verdaderamente liberales, y por ser uno…</t>
  </si>
  <si>
    <t>…im e r a , pues es contraria al art. 67 del re­ d irige á las Cortes D. Luis González Bravo. El P ortofoglio Jlfa ltesse , periódico que se publica en M a l­ glamento, que previene que, concluida una diputación, terminan El Sr. B E N A Y I D E S : A pesar de haber pedido la palabra t a , contiene en su número del 12 de Setiembre una noticia so­ cuantos negocios pendían en el Congreso. en co ntra, no pienso hacer impugnación al d ictam e n , porque bre N a d ir -b ey , ó A lun et N a d i r , hijo de M ustafá 4*°&gt; y pre­ El…</t>
  </si>
  <si>
    <t>…nor importancia , y que si el resentimiento del espíritu de ra puede Y. S. usar de la palabra. que habia padecido en España por la causa nac ional, pues cuan­ partido los condujo adonde están ; la paz, la tranquilidad y el El Sr. B E N A Y I D E S : Agradecido en extremo á la bondad do en el año de 53 se levantó el administrador de correos de sincero deseo de la unión de todos los españoles los vuelva á sus que acaba de dispensarme el Congreso , deseando rebatir a l g u ­ Talavera, González, la primera víctima que trató de s…</t>
  </si>
  <si>
    <t>Benedicto, José</t>
  </si>
  <si>
    <t>José Benedicto</t>
  </si>
  <si>
    <t>…nombre del sabio que va al frente de esta Granada, D. Antonio Vallejo: M álaga, D . Luis Carreras y Acciones del banco español de S. Fernando, 00. obra ha merecido ser escrito como los de C uvier, Lesson , V i- Ramón: Murcia, D. José Benedicto: O vied o, D. Gabriel Lon- rey y otros muchos, entre los de los médicos y naturalistas mas goria: Salamanca, D. Vicente Blanco! Santander , D. Clemen­ CAMBIOS. famosos que admira la Francia; cuando todas las academias y te María Riesgo: Santiago, D. Juan Rey Romero Alcocer: Londres…</t>
  </si>
  <si>
    <t>Beneito</t>
  </si>
  <si>
    <t>15/05/1839</t>
  </si>
  <si>
    <t>Gaceta de Madrid n.º 1642</t>
  </si>
  <si>
    <t>….... 70000 En la junta ordinaria de 5 del corriente celebrada por esta da en su jardín, de 21 pies de altura. Id. por donativo de D. M ariano Castañeda, veci­ academia de nobles artes de S. Fernando di cuenta de la expo­ El Sr. Beneito, el decano de los floricultores, ha logrado no de Huesca............................................................... 8 7 .. 28 sición que Y. S. acompaña y recomienda en su oficio, de el tercer premio por su magnífico metrosideros: otras varias Pedro García Torrebesano, implorando la prot…</t>
  </si>
  <si>
    <t>Benet, Ramona</t>
  </si>
  <si>
    <t>Ramona Benet</t>
  </si>
  <si>
    <t>…abilidad, que se consideren con derecho como herederos á los bienes que facerla al citado D. Joaquín M orso: en inteligencia que de no tnas bien que del carácter enérgico y m arcial. quedaron por fallecimiento intestado de Doña Ramona Benet verificarlo dentro del término que se les deja señalado se toma­ La confianza en la protección de V. A, á un sexo que se y Tormos, natural que fue de Barcelona, y viuda de D. Fran­ ha acostumbrado á sufrir una tiranía que ni el tiempo ni la cisco Juan y C antabella, ocurrido en la v il…</t>
  </si>
  <si>
    <t>Bengoa, Juan de Cengotita</t>
  </si>
  <si>
    <t>Juan de Cengotita Bengoa</t>
  </si>
  <si>
    <t>…ordó se cele­ de la Calle M a c ía , D. Ju lián Ja v ie r , D. José María Vildosola, PRINCIPE. A las siete y media de la noche. Después de brasen los regocijos y festejos públicos que constan del progra­ D. Rafael Misfavila , D. Juan de Cengotita Bengoa , Sr. conde una brillante sinfonía , se pondrá en escena el melodrama nue­ m a, pudiendo asegurar á Y. que el vehemente deseo de una de Saceda , y D. León García V illareal, quienes declararon por v o , de grande espectáculo, en cinco actos, titulado honrosa paz es tan gen…</t>
  </si>
  <si>
    <t>Bengoechea</t>
  </si>
  <si>
    <t>…el pais, es muy muchos valientes oficiales, tales cómo Simori T o rre , Castor, natural que en cualquier negociación que se proponga , sepamos Tolosa 28 de Julio. = En mi última os trazaba la posición Luqui y otros: el brigadier Bengoechea ha muerto de enfer­ de antemano las bases con que se preteude entrar en ella. le los carlistas en Navarra. Hoy continúo mi obra describién­ medad. Niego que se hayan hecho respecto á la pacificación de Es­ doos el estado de sus pérdidas en Vizcaya. Hé aqui la vérdaderá posición de los c…</t>
  </si>
  <si>
    <t>Beni</t>
  </si>
  <si>
    <t>…nstitutos marcharán reunidos los batidores CAMBIOS. j p N la calle de Embajadores, núm. 2 6 , cuarto^bajo, se v en - y bandas de los cuerpos que los componen , y ademas á v a n ­ ^ den dos órganos nuevos, hechos por el maestro D. Beni­ Londres, á 9 0 d i a s , 58§. din. C o r u ñ a , 1¿ á ~ d. to Baquero. g uard ia del de ligeros lo efectuará una compañía de tiradores P a r i s , l 6-6 id. Granada , id. del primero que no se comprende en el número de escua­ R egistros que con tien en . M á l a g a , par papel. drones. S a…</t>
  </si>
  <si>
    <t>Beni, D.</t>
  </si>
  <si>
    <t>D. Beni</t>
  </si>
  <si>
    <t>….= L u cio María Tapia. . &lt; citados arquitectos en la cantidad dé 9 7 ,2 6 4 rs. á rebajar Cargas; yi:^íífa'-'5u''Wriiáté‘*cs¿4:' ’s éííalado:eI,día 18 del corriente á las ; p O R el presente y en virtud de providencia del Sr. D. Beni­ éÓée*&gt;dé' SÚ trumana en la posada del Sr. auditor dé guerra, qué to 8 errano y A liaga, magistrado honorario de la audien- Ju zgado de la intendencia militar d el distrito |ci.a qe Cáceres, y juez de primera instancia en esta v illa, re - fó- tiétte calle de Relatores, número 7 , ciiafto…</t>
  </si>
  <si>
    <t>Benigno, D.</t>
  </si>
  <si>
    <t>D. Benigno</t>
  </si>
  <si>
    <t>…prontas y enérgicas ; los otros tallón. grin José Saavedra que sirve la de Toro; para esta vacante a ¡ cuatro adictos á la opinión del Rey son M M . So ult, Schneider, El segundo hecho e s , que no obstante la presencia de Don D. Benigno M artínez V id a l, juez electo de A lc ira ; para el juz­ D uchatel y Cunin-G ridaine. Está visto que el Consejo se ha­ Cárlos ea Lesaca, y las órdenes de Elío d*das á nombre de gado de A lcira á D. Pedro José Abad y Escudero, electo de lla dividido según los matices que le componen, es…</t>
  </si>
  <si>
    <t>Benitc</t>
  </si>
  <si>
    <t>09/08/1839</t>
  </si>
  <si>
    <t>Gaceta de Madrid n.º 1729</t>
  </si>
  <si>
    <t>…ón de un ar­ camino de Mouterey , porque su po también venían mu y ceres Dios Síc. Puebla M ayo Í7 de 1859.—Felipe Codallós.—E x­ tículo que debe ofrecer favorables resultados.” ) de Linares las tropas que manda el Sr. general D. Benitc celentísimo Sr. M inistro de Guerra y Marina* De Real orden, comunicada por el expresado Sr. Mi­ Q tuja no. nistro de la Gobernación, lo traslado á Y. S. para que Hice salir en el mohiento 159 caballo* -de tropa y vecino; Excmo S r .: Solos y errantes por montañas inaccesibles losí' publicán…</t>
  </si>
  <si>
    <t>Benito</t>
  </si>
  <si>
    <t>…uel reino. (Núm. 1568.)* ra en propiedad á D. Fernando N orzagaray , por falleci­ habia tocado, y que debia hacerle p artir para los países bárba­ Circular del ministerio de Gracia y J u s t ic i a , en la que se de­ miento de D. Benito M a ría M iran da. (Núm. 1594-) ros de b Bohemia. claran comprendidos en el art. 5.° de la instrucción de 51 C ircu lar del ministerio de la Gobernación de la Península de­ Asi desde el principio de su carrera recibió coronas sobre de Ju lio anterior á los ordenados de menores que siguieron…</t>
  </si>
  <si>
    <t>…d a n co n trib u ir al fallo d e o u e s t i Q B í quo» juez de primera instancia en esta c a p ita l, accediendo á para poner á salvo el decoro de úna comisión Óel C o n g reso ; y interesa A rtodos. ; •.- una solicitud de D. Benito R o dríguez, se ha servido señalar me veo eu la péecision de pedir explicaciones relativas a un do­ \ ,, pije«que se Rabja h u id q .d e d eterm inar J a calificación de para junta de acreedores á la dimisión de bienes hecha por Don Pedro Miguel G uichot , D. Ignacio España y compañía , el d…</t>
  </si>
  <si>
    <t>…actas de Badajoz, en cuya junta de escrutinio general se Pascual, Bresca, La Calle, Serrano, Iñigo, Atejo, Alcon, L a- ción de reclamaciones de los pueblos, y por consiguiente el anularon las actas de Coscuera, Alburquerque y D. Benito por borda , Silva, Mendez V ig o, Daoia, Diaz G il, Ramírez de Gobierno por primera medida no hizo mas que decir: “ Consér­ haber nombrado un suplente m a s , y la comisión de Actas no Arellano, Surrá, V argas, Fernandez, García (D. Lucas), Mes- vese el statu qiioP Esto e s ; sígase un princ…</t>
  </si>
  <si>
    <t>…cto y á la carrera por el flanco izquierdo de las co- j lumnas de M i r , subiese en masa el batallón de Burgos conduci­ nes 51 del mismo. violencia y toda sugestión ilegal; sin que por esto se im­ do por su valiente coronel D. Benito S ie r r a , y por la derecha el Dicha relación comprende á los individuos siguien tes: pida ni coarte en manera alguna la practica útilmente ad­ del Infante , mandado por su bizarro comandante barón de | Quinto batallón de Aragon.=:Teniente graduado de capitán mitida en otras naciones, y y…</t>
  </si>
  <si>
    <t>…l juzgado de Baltanás, vacante por salida de D. Fran­ despacho librado por el Sr. juez de primera instancia de Torre- dad quiere decir poder irresponsable, y que desde el momento cisco García Semoiinos ; para la del juzgado de D. Benito á laguna , pues de lo contrario le parará el perjuicio que haya que se declara que un empleado es inam ovible, se declara que D. José Alvarez Roldan , y para la de Figueras á D. Ignacio lugar. no es responsable; pero esta es una equi vocación, porque cuan­ Sans y Roca. to mas se asegura la pr…</t>
  </si>
  <si>
    <t>…úmero 1 con los 83 pesos fu er­ _ nombrando para la intendencia de la provincia de Cáce- la diputación que ha de cum plim entar á S. M . , y anunc i a ndo tes, la aproximación anterior será el 2 2 3 , y si este obtuviese res á D. Benito M aría Caballero. (Id.) que mañana continuaría la discusión, levauló la sesión á las igual prem io, la posterior será el 1. concediendo á D M anuel A lvarez, director de la fáb ri­ dos y media. Los 223 billetes estarán subdivididos en la clase de cuartos, ca de cigarros de V alencia, los hono…</t>
  </si>
  <si>
    <t>…e salva^- hijos y la desolación de pueblos enteros, cuyas infinitas desgra­ p ortan te salud. cion de esta trab ajad a nación. cias han llenado completamente de am argura el sensible co ra­ Dios guarde á V . E. muchos años. Don Benito 9 de O ctu­ zón de V . M . bre de l839.:=Excrao. Sr.ziPedro Torre é Isunza.= E xcrao. señor Convencidos de tan m aternales sentimientos los citados em ­ PARTE RECIBIDO EN LA SECRETARIA DE ESTADO Secretario de Estado y del Despacho de la Goberuacion de la pleados, tienen la honra de ofrecer…</t>
  </si>
  <si>
    <t>N.° 1875. SABADO 28 DE DICIEMBRE DE 1839. d ie z c u a r t o s . ción , Señora, se atreve á reputar como el mas ú til y conve­ Señora: El ayuntamiento constitucional de Don Benito, PARTE OFICIAL. niente el decreto de disolución de las Cortes; disolución que provincia de Badajoz, lleno de respeto y poseído de un gozo m a m K X S S S S S S S = = = S = = = r- r— ------------------------------------------------ .■||, L. reclamaban el cambio favorable de los negocios polí…</t>
  </si>
  <si>
    <t>Benito, D.</t>
  </si>
  <si>
    <t>D. Benito</t>
  </si>
  <si>
    <t>…ientos dependientes nal de D. José Zorrilla , titulada * de su m inisterio, cuyos gefes y dem as em pleados de Real nom bram iento se incluyen en la G u ia de Forasteros, que p O R e! presente y en virtud de providencia del Sr. D. Benito C A D A C U A L C O N SU R A Z O N . para la del añ o de 1840 se sirvan pasar notas certificadas Serrano y A liaga, magistrado honorario, juez de prime­ en la forma que se h a n extendido en los años anteriores ra instancia en esta corte, y para cumplimentar otra dictada Intermedio de ba…</t>
  </si>
  <si>
    <t>Benito, D. Manuel</t>
  </si>
  <si>
    <t>D. Manuel Benito</t>
  </si>
  <si>
    <t>…son el fundamento regulador de las sociedades unas ligeras variaciones que hizo en e lla, exactas ó inexactas, N O G A N A M O S P A R A SU STO S. roas cultas. ha creido que y a no es la misma obra. Empezó pues D. J . de E! Sr. D. Manuel Benito A g u ir r e , oficial primero de la V . , autor que se dice de este segundo compendio, por mudar Intermedio de b aile; terminando la función con la divertida inspección general de la M ilicia nacional del re in o , autor de de algun a manera su t ít u lo , y en lugar de "Compendio…</t>
  </si>
  <si>
    <t>…ando los recibe p or huéspedes; les sugetos siguientes: D. Gregorio M iota, D. Juan Genieys, Don dactor de dicho periódico, que según tenernos entendido es el d ice : Manuel Herclaes, D. Mariano Nicolás Espinosa , D. Dom ingo Sr. D. Manuel Benito A gu irre, oficial primero de la inspec­ «Caballeros de alta guisa, Pereda, D. Ventura Martínez Ramón, D. Augel Peralta, Don ción general de la Milicia nacional del reino, y oficial también Dios os dé bienes y honores; Pedro Alvarez y D . Jacioto San Salvador, quienes declararon…</t>
  </si>
  <si>
    <t>Benito, Manuel</t>
  </si>
  <si>
    <t>Manuel Benito</t>
  </si>
  <si>
    <t>…as, con decora­ la dirección, se anuncia por el presente el remate para el dia 6 ción y trajes. llo: compuesto , corregido y aumentado en esta tercera edición de Setiembre de una á dos de la tarde en la sala de jau tas de por D. Manuel Benito C arrera, profesor de instrucción publica. 5 ° Los E ncajes d e B ru sela s , quinta tanda de walses de la misma , donde se adjudicará en el mejor postor. Strauss, con decoración. • A l publicar el presente método, no pretende el autor a tri­ buirse un mérito singular por haber hecho…</t>
  </si>
  <si>
    <t>Benjumea, Juan Antonio</t>
  </si>
  <si>
    <t>Juan Antonio Benjumea</t>
  </si>
  <si>
    <t>…la R e in a G o b e rn a ­ de penuria en que se ve el tesoro, que se demore con igual clase, en la provincia de Valencia : para esta judicatura d o r a y la Serma. Sra. Infanta Doña María Luisa Fernan­ prolongados trámites. á D. Juan Antonio Benjumea, que sirve la de Colmenar V ie­ Y 5.° Finalmente, que si todas estas obligaciones im­ jo, también de entrada , en la provincia de M adrid; y para da , continúan en esta corte sin novedad en su importante periosas gravitan principalmente sobre la autoridad de los esta vacante á…</t>
  </si>
  <si>
    <t>Benkendorff</t>
  </si>
  <si>
    <t>…n Pedro y Sáu Juan de esta ciu dad, me han hecho cretarios intérpretes del ministerio de negocios extrangeros, tra­ presente por escrito que habiendo leido en un periódico de la bajan en el gabinete del teniente general conde de Benkendorff, corte titulado Eco del Comercio una representación dirigida director en gefe de la policía secreta del ejército ruso, y por de­ IT A L IA . en nombre del pueblo á S. M. la Reina Gobernadora con fecha cirlo asi á su misma vista, en redactar un manifiesto que debe­ en esta ciudad , en…</t>
  </si>
  <si>
    <t>Benson</t>
  </si>
  <si>
    <t>…norme, que á un ugier de dades nuevas con los birmanes á consecuencia de haber rehusa­ hasta ahora. {Debats.) la Cámara costó mucho trabajo llevar hasta el asiento del no­ do T h a rraw ad ia tratar definitivamente con el coronel Benson, ble lord, está firmada por habitantes de Glasgow. Todas residente ingles. Se dice que el R e y de A v a hacia inmensos pre­ las miradas de les miembros de la C ám ara se dirigieron á este parativos de guerra en R an go o n ; mas parece que la corbeta de En el N o u velh ste de esta tarde se…</t>
  </si>
  <si>
    <t>Bentinck</t>
  </si>
  <si>
    <t>…­ ha verificado entre los plenipotenciarios belga y holandés, Mr. el otro de las franquicias, privilegios é inm unidades, cuales­ tidarios del virey de Egipto. El Rum eli W alessi, M ustafa-bajá, V an -d e -W e y e ry el barón de Bentinck. (Id.).</t>
  </si>
  <si>
    <t>Beoavides</t>
  </si>
  <si>
    <t>…de toda mesura llan animados el comandante propietario y los demas que le componen, tienen la honra de felicitar á V- M. por los faustos baceas del conde y su inmediato sucesor; porque con e! de este cuando rae he dirigido al Sr. Beoavides; he conocido su deli­ Sucesos de Vergara y ultima derrota de las fuerzas rebeldes en se hizo por aquel la división de la mitad de los vinculados que cadeza, y dije que mediante esa delicadeza, no creia que pudie­ poseía; mas habiendo sido declarados por el decreto de 1 .° de se incurrir e…</t>
  </si>
  <si>
    <t>Ber, Francisco Zea</t>
  </si>
  <si>
    <t>Francisco Zea Ber</t>
  </si>
  <si>
    <t>…, pues esta no es cuestión mas que de la primera pregunta que le hice. M i pregunta no fue si el m i­ conserve el trono legítimo y la Constitución de España , como despotismo y libertad. nisterio actual habia dado esa misión á D. Francisco Zea Ber­ lo sabe bien el Sr. Calatrava , es la primera que ha encomiado El Sr. C A M P U Z A N O : Si el estado de nuestras relaciones mudez , sino si el Gobierno español , no solo este ministerio, esa memoria, la primera que la ha ap laudido, diciendo que nos diplomáticas no fuese tan int…</t>
  </si>
  <si>
    <t>Ber-, Zea</t>
  </si>
  <si>
    <t>Zea Ber-</t>
  </si>
  <si>
    <t>…8Q rs. : Sr. C aro, 40$ rs.: Sr. conde de O falia , 40 3 rs.: señor valga la España nada entre las naciones de Europa. El duque de Alba es patrono particular de esa abadía , y Pezuela, 403 rs.: Sr. López Ballesteros, 403 rs.: Sr. Zea Ber- A qui debería concluir, señores, si no hubiese llamado mi siéndolo, está salva la prerogativa Real , pues no está en el caso tnudez, está suspenso el pago de su sueldo , 403 rs. Y en uoa atención un punto de bastante gravedad en la cuestión que nos de las demas bulas en que se roza la Pieal…</t>
  </si>
  <si>
    <t>Berard, Antonio</t>
  </si>
  <si>
    <t>Antonio Berard</t>
  </si>
  <si>
    <t>…Traducidos de la quinta edición francesa, por D. Fran­ Sres. Hortal y compañía: Cartagena, D . Vicente Benedicto: Deuda negociable de 5 por 100 á papel, 00. cisco Oliveres y M orera, profesor de medicina y cirugía. Córdoba , D. Antonio Berard : Coruña , D . José María Perez: Idem sin interés, 00. Cuando el ilustre nombre del sabio que va al frente de esta Granada, D. Antonio Vallejo: M álaga, D . Luis Carreras y Acciones del banco español de S. Fernando, 00. obra ha merecido ser escrito como los de C uvier, Lesson , V i-…</t>
  </si>
  <si>
    <t>Berberana</t>
  </si>
  <si>
    <t>…anecer el 12 recibí un ficencia de S. M . Dios guarde á Y . E. muchos años. C u a rte l El dia 8 al amanecer y bajo el fuego de los fuertes enem i­ oficio de M aroto en que me d e c ia : " S i dispone V . que L&gt;e sus­ general de Berberana 24 de M ayo de 1859.—Excmo. Sr.z^El go s, se construyeron avanzadas otras dos baterías. A las seis de pendan las hostilidades contra el fuerte de R am ales, y deja sa­ conde de L u ch an a.—Excmo. Sr. Secretario de Estado y del Des* la mañana se rompió el fuego contra las casas fuertes de…</t>
  </si>
  <si>
    <t>Berea, Rarnon</t>
  </si>
  <si>
    <t>Rarnon Berea</t>
  </si>
  <si>
    <t>…­ nes de la línea de P o rtu g a l, dice que el teniente del regimiento desde la fecha en que les sea comunicado por los gefes políticos pedir que los empleados recauden , es que no han correspondi­ p ro vin cial de M onterrey D. Rarnon Berea , comandante de la el acuerdo del Congreso; y que respecto á los que no lo hubie­ do á lo que S. M. se propuso. colum na de la B ande, capturó en el pueblo de la G ándara á sen verificado en dicho térm in o , se someta á la deliberación del Pero aun tenemos todavía un ejemplo reciente.…</t>
  </si>
  <si>
    <t>Berenguel</t>
  </si>
  <si>
    <t>…lla actualmente el primer batallón de Navarra con nía independiente, y el asesinato cometido por el conde marino'. y en fin, la misma costumbre de fechar los d o ­ varias compañías sueltas. Desde Llodio á Miravalles hay cuatro D. Berenguel n en su herm ano D. Ramón n , por sobre­ cumentos públicos por los años del reinado de los Reyes cuatro batallones castellanos: en Orozco dos guipuzcoanos, y adernatf nom bre Cabeza de estopa, llamado asi á causa de &amp;u rubia franceses. La comparación que hace el Sr. Bofarull de esta ocurre…</t>
  </si>
  <si>
    <t>…prado de Madrid en obsequio del Rey Bofarrull en su obra de ios Condes de B arcelona, refie­ Felipe iv la noche de San Juan del año 1631. individuos , de los cuales 22 han sido nuevos ren á la misma época, á saber: del conde D. Berenguel, Es muy singular y apreciable la de la página 296 en imponentes.................. 57,150 por sobrenombre el F ra tricid a , que fue vencido en el que se da noticia de una adición manuscrita hecha en Ale­ Se han devuelto á solicitud de 6 interesados.. . . 6,640 ilesa fio. , mania al Q u…</t>
  </si>
  <si>
    <t>Berenguer</t>
  </si>
  <si>
    <t>…­ gran m érito, entre ellos un cacto especiosísimo de seis á siete CARGO. Rs. Mrs. cación de una artista cordobesa, añadiendo que hemos tenido pies de alto, ingerto en un opuncia con dos hermosas flores y varios capullos. El Sr. Berenguer, cultivador entendido y apasionado an­ Existencias en i.° de Octubre.................... 52771. .5 5 el gusto de ver este delicado trabajo, en el cual sobresale su in ­ tiguo á las flores, ha obtenido el segundo premio por su her­ Recibido de la cornision de Sres. Diputados á teligencia en…</t>
  </si>
  <si>
    <t>Berenguer, Juan</t>
  </si>
  <si>
    <t>Juan Berenguer</t>
  </si>
  <si>
    <t>…dennes. S. M. se apeó melones, cuatro sandías, y aceitunas, cultivado en esta vega. (Un número considerable de Sres . Diputados , entre ellos del coche en la fonda del Gran Rheimberg. Esta mañana con­ res , colecciónBautista D. Juan Berenguer, por uvas de las mas singula­ el Sr. Roda). Al orden , Sr. D ip utado ; no se puede hablar so­ tinuó el Rey su viaje para Wiesvade. de patatas , cacto especioso florido, paja de trigc bre un asunto votado ya por el CoDgreso. de Florencia, con la cual se teje la esterilla de los somb…</t>
  </si>
  <si>
    <t>Berga</t>
  </si>
  <si>
    <t>…Bretón to ­ El mismo periódico añade que se le ha ofrecido un mando pañola. das las cualidades necesarias paca esa noble misión , y permíta­ al general Bugeaud , mandándole un expreso á Excideoií para Ayer tarde el gobernador de Berga hizo noche con toda su senos la fra¿e, de autor dramático? ¿Tiene toda la convic­ saber su respuesta. (Presse.) familia en la Cabanasa , presumiendo que eí drama sangriento que asuela eí principado hace tantos años se acerca á su tér­ ción de la grandiosidad de su empresa ?,... N o vacilamos…</t>
  </si>
  <si>
    <t>Berga, José María Moscoso de Altamira.</t>
  </si>
  <si>
    <t>José María Moscoso de Altamira. Berga</t>
  </si>
  <si>
    <t>…ilas para las baterías de obuses I 4 O: el de Logroño, r: D. M artin Fernandez de Navarréte. paso del puente del O rnin sobre el Llobregat á una hora de la batería rodada 70: el de muías de tiro para el piovjtiiiento Lugo. = D. José María Moscoso de Altamira. Berga , que ofrece al enemigo una posición ventajosa para opo­ de la artillería y deinas en el sitio 8 0 , serán 1 ,0^ lás?á?emi¿ M adrid.— D. Juan de M adrid Dávila. nerse á su páso. • las y caballos que hay que racionar, las cuales exigirán en 50 Málaga. =2Conde d…</t>
  </si>
  <si>
    <t>Bergay, Antonio</t>
  </si>
  <si>
    <t>Antonio Bergay</t>
  </si>
  <si>
    <t>…calle ancha de Peligros, p lan tas, y para su mejor conocimiento se pone ig u a l número mitn. 5 , cuarto p rin cip al: en Barcelona, imprenta y librería de de estampas que las representan; y por ú ltim o , que la celebri­ D. Antonio Bergay : en Sevilla , imprenta frente á Sta. M aría dad de su a u t o r , los elogios que en varias partes de Europa se de Gracia y calle de Génova, librería de D. Aotonio Alvares. Nota. Se advierte al público que el autor cede de su pro­ piedad para el fondo de las escavacione* 16 mrs.…</t>
  </si>
  <si>
    <t>Berinudez</t>
  </si>
  <si>
    <t>…acer y morir casi en un punto, y algunos vivir pero cou una De geografía el Sr. Fabre. dante D. Luis Serrano , tuvo noticia como eu el pueblo de Fres- vida valetudinaria y achacosa , el nuestro se alimenta , pros­ De árabe el Sr. Berinudez. nadilla se hallaba el cabecilla Navarro el dia 27 con 4 O hom­ pera y promete una larga y robusta virilidad. De economía política el Sr. Valle. bres montados, el que inmediatamente dió sus disposiciones Haremos una breve reseña de los trabajos del Ateneo en el D e derecho político el Sr…</t>
  </si>
  <si>
    <t>Beris, Joaquín</t>
  </si>
  <si>
    <t>Joaquín Beris</t>
  </si>
  <si>
    <t>…pocos dias. Otra id ., Pecho del M uerto, término de Benadux, S. Ale­ de B erja, Virgen del Cármen ó M olineros, por José López, jo , á Antonio Romero, en id. También anuncia que el capitán del provincial de Plasencia en 24 * D. Joaquín Beris rescató 12 piezas de paño gris que los euemi- Otra id ., cerro del Artesón, término de H uercal, Centi­ Otra id. en dicha sie rra , Pecho del G u ijo , término de gos tenían ocultas en las cuevas de S. Leonardo; y que habia nela de Santiago, á D. Manuel Pagan , en id. B erja, Santa…</t>
  </si>
  <si>
    <t>Berm, Zea</t>
  </si>
  <si>
    <t>Zea Berm</t>
  </si>
  <si>
    <t>…ecir que entre los consejeros de Gobierno y de Estado, se dé por entendido por una frase, por significativa que sea. ron las bulas, sometiéndose á quien entonces competía; hoy el aunque suspenso el pago de su sueldo , está el Sr. Zea Berm u- Por consiguiente, creo que á los grados que ha ido toman­ tribunal que entiende en esto es el supremo de Justicia. Eu este dez. Y por la nota que acaba de oir el Congreso se consagra do el voto de censura que se ha formulado se puede añadir uno estado, entró el agraciado, y se le disputa…</t>
  </si>
  <si>
    <t>Bermejo</t>
  </si>
  <si>
    <t>…u ad ro , y de una altura correspondiente á su basa. Se ron propuestos. los consideraba dignos de premiarlos con un certificado especial sube por un plano c ir c u la r , dando 10 vueltas desde la entrada Demostró después el Sr. Bermejo cuán interesante es la de­ que se le entregaría á cada uno para hacer constar en todo tiem ­ de abajo hasta la sala de arriba , donde están los instrumentos. terminación de la longitud en la mar , y los obstáculos que se po sus talentos y esmerada aplicación. No h ay escalones, á imitación d…</t>
  </si>
  <si>
    <t>Bermejo, Faustino</t>
  </si>
  <si>
    <t>Faustino Bermejo</t>
  </si>
  <si>
    <t>…hum ana matanza y todos los horrorosos efectos de la mas bár­ rebeldes, entre los cuales se cuenta el titulado capitán de U bara dom inación, de la cual apenas dos ó tres pueblos se han NOTICIAS EXTRANGERAS. facción de Ja ra D. Faustino Bermejo (al. Zamarra.) salvado, arrostrando las mayores fatigas y peligros; y en me­ dio de tantas desdichas jam ás han vacilado estos habitantes, FR A N C IA . nunca se ha disminuido su le altad , siempre se han conservado sus esperanzas fundadas en la justicia de la causa, en los des­…</t>
  </si>
  <si>
    <t>Bermejo, Francisco</t>
  </si>
  <si>
    <t>Francisco Bermejo</t>
  </si>
  <si>
    <t>N.º 1511. VIERNES 4 DE ENERO DE 1839. DIEZCUARTOS S. M. la R e i n a , s u augusta Madre la R e i n a GOBERNA­ y D. Francisco Bermejo , quienes por unanimidad declararon Otra id. en dicha sierra , loma de la Breba , término del no haber lugar á la formación de causa. Presidio, Demasía para San Miguel de Granada, á D. José d o r a y la Serma. Sra. Infanta Doña María Luisa Fernan­ Lozano , en id. da, continúan en…</t>
  </si>
  <si>
    <t>Bermudez, Francisco de Zea</t>
  </si>
  <si>
    <t>Francisco de Zea Bermudez</t>
  </si>
  <si>
    <t>…ta x is ; tas cuales ver­ sando sobre lo mas prin cip al de la gram ática francesa, hacen ENCvirtud de providencia del Excroo. Sr. cap itán general de astilla la N u e v a, se ha señalado para ju n ta general de paña ; por. D. Francisco de Zea Bermudez. conocer al que apreode y le dan el medio de convencerse por sí m ism o, de si retiene ó ha olvidado las reglas mas in teresan ­ •creedores á la testam entaría de D. José E gu izab al, coman­ El cuaderno 1.° contiene lo sig u ie n te : dante de escuadrón que fue de la G u…</t>
  </si>
  <si>
    <t>…, no ha sido promulgada dod veces, ha tado mi súplica para que se sirva contestar si es cierto ó no Se ha dicho.que se ha dadp pasaporte á D. Sebastian. Este sido tres: dos veces destruida, pero la tercera vez fue procla­ que D. Francisco de Zea Bermudez ha obtenido del Gobierno Príncipe se,ha marchado irritado contra D. Cárlos y contra su mada por la nación. constitucional español una misión cerca de las cortes que no madre, y pesaroso de haber servido cuatro años á una causa " y otras tantas destruida ¿ha dado nunca mar…</t>
  </si>
  <si>
    <t>Bermudez, Zea</t>
  </si>
  <si>
    <t>Zea Bermudez</t>
  </si>
  <si>
    <t>…spíritu y buenos oficios han contribuido eficazmente Igualmente pasó un oficio del Sr. Jimeoez (D , D .), en que í la salud de España y á su situación actual.” decia que habiendo sido electo D iputado por Huesca y Ciudad El Sr. Zea Bermudez: " A la paz de nuestra cara patria y á R eal, optaba por la primera provincia. Se acordó llamar al su­ Senorat El ayuntamiento de la ciudad de G an d ía, poseído a reconciliación estrecha de todos los españoles.” plente. del júbilo en que rebosan sus habitantes por los felices cuanto E…</t>
  </si>
  <si>
    <t>…entárselo ahora á S. S. y al Congreso, un La mayor parte de los españoles ha pensado y piensa como esten interrumpidos los negocios de España con aquella corte no documento publicado por este mismo sugeto bajo su firma im­ al Sr. Zea Bermudez, según dice él mismo ; es decir, que en es culpa nuestra; y el que diga lo contrario se equivoca. Estoy preso en francés en este mismo año, fecha 19 de Febrero en España no debe haber instituciones liberales, sino puro despo­ pues conforme con S. S. en esta parte. Berlín: lo tengo en mi…</t>
  </si>
  <si>
    <t>…tes del tra el G obierno, es referente á m í; hablo de la circular diri­ Llego ahora á un punto para mí mas delicado, relativo á trono de Isabel 11. gida á los jueces de primera instancia. Me haré cargo, y será la misión del Sr. Zea Bermudez: y digo m isión, porque á pe­ Todos la hemos jurado por R ein a , y estamos prontos á en este discurso. sar de la explicación que terminante y categóricamente dio el derramar la última gota de sangre por defender el trono, pero Paso á tocar ligeramente otro cargo de S. S. sobre la aba­…</t>
  </si>
  <si>
    <t>…sistía en la fuerza de la validación del decreto de 50 de Gobierno porque no son verdaderas misiones. Yo sé que en Berlín y en Viena ha dicho el Sr. Zea sien­ A g o sto , sino sobre el estado en que quedó después de negada El Sr. Zea Bermudez abogó por los derechos de Doña Isa­ do preguntado que iba movido de un impulso propio ,sin m i­ la sanción. bel 1 1 , como le sugirió su celo propio, pero sin que se la encar­ sión del Gobierno. Esa expresión una vo z lle n a d e co n fia n z a , El Sr. Olózaga quiere que yo exprese mi…</t>
  </si>
  <si>
    <t>Bermudo</t>
  </si>
  <si>
    <t>03/06/1839</t>
  </si>
  <si>
    <t>Gaceta de Madrid n.º 1661</t>
  </si>
  <si>
    <t>…ón , Es cobardía que al valiente infama. en su carácter y en su provecto, la recuerda sus dias de gloria, Y vuestro labio mentía! de a m o r , de alta privanza con su padre ; le anuncia que ha es­ ¿Pensáis que á su hijo tierno D. Bermudo se presenta y les anuncia con satisfacción la pirado esta con la muerte de a q u e l, y Doña Leonor le dice Puede una madre arriesgar? llegada de D. Enrique. Aparece este, nublada la frente por el con el pesar de una alma profundamente abatida. Mejor se querrá abrasar dolor; D. Gonzalo de Me…</t>
  </si>
  <si>
    <t>Bernal, José</t>
  </si>
  <si>
    <t>José Bernal</t>
  </si>
  <si>
    <t>…nida de otros: establécense relaciones Paz y Membiela, ministro cesante de la de Albacete: el Señor, bilidad que debe adjudicarse á cada firma, la orden del dia es con otros grupos: pásase revista, hácense reconocer los gefes, D. José Bernal, fiscal de la de Puerto-Príncipe, regeote, m a­ una nueva prueba de ese complot permanente con que se nos y se dan las palabras de orden. En este momento suenan las dos gistrados y fiscal nombrados para esta de la Habana, no ha­ amenazaba desde 1854* ¿ s una reminiscencia de los tiempos…</t>
  </si>
  <si>
    <t>Bernaldez, Clemente</t>
  </si>
  <si>
    <t>Clemente Bernaldez</t>
  </si>
  <si>
    <t>…stic a , á 6 rs. chos siglos desolaron los pueblos , y el de dar a) mismo tiempo vincia se cita, llama y emplaza á D. Pablo Torrens y Miralda, á luz en nuestro idioma una obra de esta clase , tan instructi­ D. José de Acevo, D. Clemente Bernaldez, D. Joaquín de Tratado histórico práctico de la vacuna, por D. Vicente va como agradable para todas las de la sociedad , nos decidie­ Echavarría, D. Ricardo López, D. Antonio González, D. J o ­ Martínez: un tomo en 8 .° rústica , á 2 rs. ron á ocuparnos de este trabajo que no nos…</t>
  </si>
  <si>
    <t>Bernar</t>
  </si>
  <si>
    <t>…ripulaciones en teras ahogadas en cada año . 18. D. Pedro Fernandez de V elasco, J u a n Sebastian dei 1 81 6 ........................ 15 1 85 5 ......................... 58 Cano, Fr. Melchor Cano , el P. Alfonso Salm eró n, D. Bernar­ 1 8 1 7 ........................ 19 1 8 5 4 ............... 24 BOLETIN DE COM ERCIO do de V alb u e n a, D. Felipe Gil de Taboada. 181 8 __________ 15 1 85 5 ......................... 19 19. D. Diego de A lav a y B eau m on t, el conde de Gondo- mar , Pedro de Rivadeneira , el obispo de O…</t>
  </si>
  <si>
    <t>Bernard</t>
  </si>
  <si>
    <t>03/12/1839</t>
  </si>
  <si>
    <t>Gaceta de Madrid n.º 1850</t>
  </si>
  <si>
    <t>…que si la escuadra turca pasa fórmula usada entre ellos, y con la cual se consuelan de todas aq u i el in v ie rn o , peligran las vidas de los europeos. las adversidades diciendo: D ios e s g r a n d e . La fam ilia del general Bernard ha rogado al conde Mole A lgunos camerciantes austríacos han obtenido del Gobierno Los árabes que han traído la noticia han venido por tie rra, « que pronuncie el elogio del general en la Cámara de los Pares, ingles a u t o ra jc io n para formar establecimientos comerciales en y en las 8 0…</t>
  </si>
  <si>
    <t>Bernardo</t>
  </si>
  <si>
    <t>…el juramento que la ley previene , y dejado á su nisterio de Hacienda de vuestro cargo correspondiente al estrado preparado al i n t e n t o , se procedió á leer el acta an te ­ disposición el folleto impreso en la oficina de D. Bernardo M a r ­ año de 1838 las pensiones y viudedades pertenecientes al r i o r , y fue aprobada. Acto continuo se pusieron de manifiesto tin , de esta v e c in d a d , cjue con el título de w Contestación al monte pió del Ministerio, y ios sueldos y gastos de su se­ los legajos de inscripciones…</t>
  </si>
  <si>
    <t>…pone este distrito militar. y trastorno empezó a ser el carácter dominante de todos ción marítima y terrestre contra los sarracenos, ya en fin los feudos hasta que de hecho se convirtió en derecho, es por la influencia del conde Bernardo, privado de Ludo- Santander 2 de Junio. El 28 del anterior, consecuencia una prueba muy débil para distinguir el dominio feudal vico Pió y uno de los mejores capitanes de su siglo. del movimiento de algunas de nuestras compañías, dos trinca­ de la potestad soberana. En la decadencia dei imp…</t>
  </si>
  <si>
    <t>…te amigos del pais. h ay a considerado el cultivo de la seda del mismo mod®, y saca­ Seguidamente se llamaron las clases, resultando presentes do poco mas ó menos las mismas consecuencias. D. Tomas M igu el de A lj o v i n , D. Bernardo A n g u lo , D. Jo¿é Este artículo contiene ademas un aviso que no deben des­ Rico y E spada, D. L u is Sáez de R iv an cierre, D. Jo a q u ín I d em 2 1. preciar nuestros agricultores ni tampoco el Gobierno, cu y a G utié rre z, D. Nicolás R u iz y G allego , D. J u a n de Igualado, sue…</t>
  </si>
  <si>
    <t>…erpentino del mismo au tor, y lo ha ganado por el nú­ de los fondos que en el semestre último, desde 1.° de Octubre á mero y magnitud de sus flores, y por la fuerza y lujo de su 51 de Marzo, han ingresado en poder del tesorero D. Bernardo vegetación. Las llores abiertas eran 1 4 8 , y las mas de dos pul­ Borras, é inversión que se les ha dado. Con la mayor satisfacción damos publicidad al documento gadas de largo. E! mismo señor ha presentado otros ingertos de siguiente, en el que la academia de nobles artes premia la apli­…</t>
  </si>
  <si>
    <t>Bernaídez, Clemente</t>
  </si>
  <si>
    <t>Clemente Bernaídez</t>
  </si>
  <si>
    <t>…a del Sr. intendente de rentas de esta pro­ tiene en la plazuela de S. M iguel, ndm. 6 , á las diez de di­ vincia se cita , llotna y emplaza á Ú, Pedro Torreas y M iral- cho dia. B IB L IO G R A F ÍA . da , D. José de Acebo, D. Clemente Bernaídez, D. José Arau- jo y Alcaide, D. Joaquín de Echavarría , D. Ricardo López, D. Antonio González , D. José de Castejon, D. Miguel M ar- p O R el presente y providencia dictada por el Sr. D. Juan qüés y Villegas, D , Lorenzo Marau , D. Andrés M artí, Don José Rodríguez Yaldeosera,…</t>
  </si>
  <si>
    <t>Berri, Sixto</t>
  </si>
  <si>
    <t>Sixto Berri</t>
  </si>
  <si>
    <t>…que le suceda en el primer mando nos com­ aquellos se han distinguido D. Rafael Carrillo , teniente de h ú ­ n utos, y fue al cuarto de su marido para desnudarse en él, pense la pérdida de Esteban, {id.) sares de la Princesa ; D. Sixto Berri , de igual graduación en como lo tenia de costumbre. el regimiento 2 ° ligeros; D. Vicente M en d ig u tia, del 6 ° de ¿Qué es lo que pasó de las nueve á las once? A quí hay un ligeros, que supo Banquear al enemigo y entretenerle estraté­ misterio que parece difícil de penetrar. A las…</t>
  </si>
  <si>
    <t>Berriz, Federico</t>
  </si>
  <si>
    <t>Federico Berriz</t>
  </si>
  <si>
    <t>…e ditaron su decisión y valor. Para proteger la mitad de tirado­ El de la misma clase D. Cristóbal de Córdoba, el suyo he­ vean entre nosotros, sino el suave imperio de la Constitución, res de lanceros mandada por el alférez D. Federico Berriz, que rido. y el impasible de la ley* he venido en publicar él siguiente se hallaba avanzada con las guerrillas , fueron destinadas tres Estado mayor.=El capitán de caballería D. Rafael Primo bando. 0 mitades del mismo cuerpo á las órdenes del coronel capitán Don de R ibera, herido.…</t>
  </si>
  <si>
    <t>Bertodano, D. Rafael</t>
  </si>
  <si>
    <t>D. Rafael Bertodano</t>
  </si>
  <si>
    <t>…De 952 billetes que entraron en suer- ■ Lá Excma. Sra. marquesa viuda de 502. Una banqueta bordada de lanas finas al pasado, al te con opcion á premio de los obje­ Perales................................ .............. .• 60 Sr. D. Rafael Bertodano. tos rifados, se rebajan 50 que se die­ Y otras diferentes personas, al tomar 736. Un taburete para el piano con asiento de terciopelo, ron gratis á los profesores y señores los billetes de entrada á la exposi­ á la señorita de Eaton, hija del Sr. Miui&amp;tro de los Estados de am…</t>
  </si>
  <si>
    <t>Bertodauo, D. Rafael</t>
  </si>
  <si>
    <t>D. Rafael Bertodauo</t>
  </si>
  <si>
    <t>…ía Segovia. celentísimo Sr. capitán general de este distrito, donde deberá Suplentes.srSr. D. Antonio Gil y Zarate, para consiliario. Sr. D. Francisco de Paula Mellado, para secretario. Sr. Don Juan Batefc, para depositario. Sr. D. Rafael Bertodauo^ para IMPRENTANACIONAL. presentarse personalmente dentro del término de 50 dias, que se cuentan desde el dia de la fecha, á dar sus descargos y de­ fensas, y de no comparecer en el referido plazo se seguirá la contador. COLECCION DE LEYES, causa y se sentenciará en rebeldía p…</t>
  </si>
  <si>
    <t>Bertrand</t>
  </si>
  <si>
    <t>…en su programa de i . ° de M ayo cursiones que los enemigos hacen cada momento, y en las que de 1858, se procedió á la lectura del dictamen de la comisión agobian y aniquilan á los pueblos con las exorbitantes exac-í El general Bertrand llegó ayer á nuestra ciudad. Cerca de nc morad a al efecto de dar su parecer sobre el mérito respecti­ ciones que les hacen: mucho conviene para evitarlo se aumenten itlO personas han salido á recibirle, y le han acompañado con vo dé las mémoHás préieñtádas al concurso, y conformándose aque…</t>
  </si>
  <si>
    <t>…atidadess personales del Diputado elec­ Anoche á las doce se le ha dado una magnífica serenata al El expresado Sr. brigadier, al paso que tiene suma compla­ to , por lo que si bien era verdad que no habia reclamación al­ general Bertrand por la orquesta del gran teatro. Las hermosas cencia en anunciar por medio de la orden lo satisfactoria que guna contra la aptitud del Sr. Gutiérrez de C evallos, era ne­ sinfonías de Robín d es B o is , de Guillermo T e ll y de la M u ­ le ha sido tan generosa determinación, previene á los…</t>
  </si>
  <si>
    <t>Beruiudez, Zsa</t>
  </si>
  <si>
    <t>Zsa Beruiudez</t>
  </si>
  <si>
    <t>…e he oido á personas que me merecen buen concepto decir si le hizo efectivam ente ¿com o dejaba de cobrar las contribu­ no la interesada por el tiempo de su permanencia en el co'egio*. que habían leido instrucciones dadas al Sr. Zsa Beruiudez ; que ciones cuando u rg ia atender á las necesidades de la g u e rra ? Mas caso de ser admitida. se habia costeado la impresión de esa m em o ria, y que habia sea de esto lo que fuere ¿lo s pueblos se negaron á pagarla*? Este aviso debe insertarse en los tres primeros números del im…</t>
  </si>
  <si>
    <t>Beuavides</t>
  </si>
  <si>
    <t>…n rectificase una equivocación en cía , secretario. Abierta á la una menos cuarto, se lee y es aprobada el que ha incurrido en el dictámen, y ahora debía haberla pedi­ acta de la anterior. do también para rectificar otra del Sr. Beuavides, que siendo Señora: El convenio deVergara, preludio de una paz pron­ Pasa á la comisión de Actas: tan delicado, ha incurrido en una cosa que no manifiesta mucha ta y estable, ha llenado del mas puro regocijo al leal vecinda­ 1.° Copia certificada de la del distrito de Villacarrillo, pro­…</t>
  </si>
  <si>
    <t>Beust</t>
  </si>
  <si>
    <t>…ias Mecklemburgo-Schwerin , Mr. de Schak; por la de Ordecu- tribuido á la adquisición de estas ventajas, y se ha servido en la línea de Quito á las Bodegas, lo que no ofrece grandes.di­ burgo-A nhalt y Schwartzburgo, el conde de Beust; en re­ conceder la cruz ds María Isabel Luisa al menciooado D om in­ ficultades, ellas harán al pais el servicio mas distinguido, el presentación de ios ducados y Gran ducados de Sajorna go Bautista Fernandez, y á un sargento del tercer batallón de mas aplaudido de los pueblos, y el mas dig…</t>
  </si>
  <si>
    <t>Bia</t>
  </si>
  <si>
    <t>…ld , se ha encontrado en lo inte­ cional. juzgar de los exámenes sus señores individuos D. Félix García rior de la pared uaa bolsa usada por el tiempo y la humedad, Cuerva, D. Braulio G uijarro, D. Toribio Guillermo Monreal, D. Bia9 López, cinco años de ed ad , número siete de la p ri­ y conteniendo 11 monedas de plata. Todo indica qüe esta ocul­ tación se hizo al tiempo de la invasión de los suecos. Las unas no D. Juan Manuel de Linares y D. Francisco Galvez , quienes mera clase, por su aplicación en ei ramo de leer en la…</t>
  </si>
  <si>
    <t>Bianco, Ramón Fradejas</t>
  </si>
  <si>
    <t>Ramón Fradejas Bianco</t>
  </si>
  <si>
    <t>…an interesado tantas personas. D e todos modos Tormes, en la provincia de Salamanca, y por la escribanía En obsequio de estos señores hemos determinado venderles quedan desmentidas las voces que han procurado esparcirse de de D. Ramón Fradejas Bianco, se instruye expediente de oficio por el precio de 7 rs. vn. en rústica la obrita titulada Frenolo­ que cesaba completamente esta colección , con intenciones poco para identificar la persona dé un hombre hecho cadáver, que gía , ó nueva clasificación de las facultades cerebrale…</t>
  </si>
  <si>
    <t>Biberud, Antonio</t>
  </si>
  <si>
    <t>Antonio Biberud</t>
  </si>
  <si>
    <t>…o y sueldos de los empleados públicos. le declare exento del pago de la contribución de paja y utensilios. chos que pagan los mencionados artículos á su introducción e 188. Doña María Antonia Armero y su hijo D. Joaquin, 228. D. Antonio Biberud , pidiendo su reposición en el em­ esta corte. pidiendo se les alce el destierro que sufren , exigiendo la res­ pleo de teniente de Rey de la plaza de Gerona. 266. El ayuntamiento de Barcelona, exponiendo la necesida ponsabilidad al gefe político de Cuenca que les impuso esta 229.…</t>
  </si>
  <si>
    <t>BIBLIOGRAFIA, Jacinta Alva-</t>
  </si>
  <si>
    <t>Jacinta Alva- BIBLIOGRAFIA</t>
  </si>
  <si>
    <t>…brar guen ignorancia los que se hallen en este caso, se txpresan á su horquilla, recibió las heridas que ocasionaron su muer­ continuación: Doña María del Carmen Aymes de Circunregui: D. Luis de Losas, hijo de D. Juan José: Doña Jacinta Alva- BIBLIOGRAFIA. te. Que él habia quedado extremamente pesaroso de lo su­ rez, cedido, y mucho mas cuando el prisionero habia sido to­ de D.hija de D. Tomas Onofre: Doña Tomasa Almarza , viuda Miguel de Vidarreta y Echegaray : D. Vicente Rodrí­ mado como sospechoso de haber causado la mu…</t>
  </si>
  <si>
    <t>Bidaondo, Gmóstomo</t>
  </si>
  <si>
    <t>Gmóstomo Bidaondo</t>
  </si>
  <si>
    <t>…iar la buena conducta de los que han tenido par­ verría , muerto eu la batalla de Puente la R e in a; general Be­ te. Indicaré sin embargo que todos los Sres. generales, gefes, A U ST R IA . nito Eraso, muerto de enferm edad: D. Gmóstomo Bidaondo, ; oficiales y tropas llenaron sus deberes de una manera que les vocal de la ju n ta , en desgracia : D. Beuito del R i o , id. id. r Don honra. El mariscal de campo D. Bartolomé Arnor estuvo cons­ El archiduque palatino ha llegado aq u í para solicitar una J o a q u ia M a rc h…</t>
  </si>
  <si>
    <t>Bien, Baeza.</t>
  </si>
  <si>
    <t>Baeza. Bien</t>
  </si>
  <si>
    <t>…o elecciones. A si, yo D iputado o reelijan al Sr. Baeza. ¿Y es poco perjuicio el que biera propuesto la en lugar de los señores de la comisión hu­ está dado por uua ley que lo determine, al menos lo tiene de reelección del Sr. Baeza. Bien sé, sin em­ derecho ínterin que por esta ley se lijan las reglas sobre la se causa á los pueblos con las elecciones? Ademas el Sr. Baeza bargo, que el Congreso ha mudado no ha obtenido ascenso y sí descenso; y si descenso se dijera en y yo este año soy mas rigoroso que de opinión en es…</t>
  </si>
  <si>
    <t>Bigüezal</t>
  </si>
  <si>
    <t>…os acierto que rica poesía se narraba suceso tari la­ M a r z o del año pasado. Este p rin cipio se h ;l!a exactam en te e x ­ pollados en la p rim a v e ra de huevos depositados en el otoño mentoso; era la obra del Sr. barón de Bigüezal, correcto presado en u s o de sus perío dos; héfe a q u í : p re ce d e n te , vueltos crisálid as en el cu rso del veran o , y llegan ­ y elegante versificador; y en ella vemos fielmente obser­ ^C onsid erando el sistema penitenciario bajo el p un to de do á su estado perfecto en o to ñ…</t>
  </si>
  <si>
    <t>Bilbao</t>
  </si>
  <si>
    <t>10/12/1839</t>
  </si>
  <si>
    <t>Gaceta de Madrid n.º 1857</t>
  </si>
  <si>
    <t>…ril de 1595. 5.° Un divertido sainete. M álag a, l x id. S an tan d er, par. A lican te, par papel. S an tiag o , 2 d. Barcelona, á ps. f* ., par. Sev illa, 1^ id. T ? N v irtu d de providencia del Excmo. Sr. capitán general de Bilbao, id. V alencia, par. Castilla la N u ev a se ha señalado para ju n ta de acreedores C R U Z . H o y no h ay función. C ádiz, l{ d. Zaragoza, id. á los bienes quedados por fallecimiento del Sr. coronel D . V i - ceote de Eulate el dom ingo 15 del corriente á las diez de su Descuento de le tr…</t>
  </si>
  <si>
    <t>Bishop</t>
  </si>
  <si>
    <t>…tos se han colocado en la posición secretario. ( Id .) han sido pocos, si sé quiere, y de poco mérito para lo que me­ que les es propia. rece tan distinguido cuerpo; pero son muchos atendido el esta- Habiendo observado e! doctor Bishop que durante la produc­ Idem 17. o lánguido y decadente de la ciudad , y mayores si se observa ción del sonido quedaba cerrada la abertura de la glotis menos la sinceridad y buen afecto de sus corazones. en las partes en que habia actual vibración , reconoció que cuan­ ¡Loor eterno á los gefes…</t>
  </si>
  <si>
    <t>Biírgos, Caballero.</t>
  </si>
  <si>
    <t>Caballero. Biírgos</t>
  </si>
  <si>
    <t>…los capitanes generales y pueden darse el que se hayan vendido los oficios de alcaides; regentes de las audiencias. Presidente el Sr. Arguelles, secre­ porque señores, cuando se vendia el oficio de alcaide ¿qué se tario el Sr. Caballero. Biírgos 22 de Setiembre. Continúan transitando por esta compraba? Se compraba el derecho de esclavizar y vejar á los Comisión que ha de dar su dictámen sobre la proposición elprovincia los licenciados dé la división castellana que mandaba presos, y se conseguía que en vez de mirarlos co…</t>
  </si>
  <si>
    <t>Blacas</t>
  </si>
  <si>
    <t>….º 1 8 5 4 . SABADO 7 DE DICIEMBRE DE 1839. d ie z c u a r t o s . A U S T R IA . PARTE OFICIAL. PARTE NO OFICIAL. Vie na 19 d e N oviem bre. S. M. la R e i n a , s u augusta Madre la R e i n a G o b e r n a ­ El Sr. duque de Blacas ha dejado al duque de Orleans tirt NOTICIAS EXTRANGERAS. legado de tres millones de francos que Luis x v m le habia dado d o r a y la Serma. Sra. Infanta Doña María * Luisa Fer­ pocos momentos antes de morir. Ha dejado también al prínci­ nanda, continúan en esta corte sin novedad en su im­ E…</t>
  </si>
  <si>
    <t>…entos para negocios. Como se halla bajo la protección e g ip c ia , se ignora la rigorosa tutela en que le tienen la duquesa de A n gulem a y verificarlo. cómo se administrará la justicia en este caso. Parece que este el conde de Blacas, aprovecha cuantas ocasiooes se le presentan L a aplicación de los alumnos y la atención que prestan en asunto es bastante escandaloso» para sustraerse de ella. las clases de sus correspondientes catedráticos, llenan al director</t>
  </si>
  <si>
    <t>Blanca</t>
  </si>
  <si>
    <t>…pintura heroica de D. Ju3n de M anuel; pero el concitar á la venganza los parciales de Doña María de Padilla ¿ N o os acordáis? yo me acuerdo, autor del drama no ha querido que el espectador gozase m u ­ contra los héroes de Doña Blanca , y no podemos negarnos al Y os ruego no me matéis; cho tiempo de la felicidad de sus héroes , y D. Enrique m ani­ placer de citar su respuesta por la cadencia y armonía del verso. Jamas un borron echeis fiesta á su esposa que la nobleza castellana espera su brazo, y Sobre tan dulce recuerdo…</t>
  </si>
  <si>
    <t>…, que él llama á boca llena su ces o s nazaba. Yelez por lo menos supone al príncipe desvelado con­ v e r d a d e r o s . E l v er d u g o d e M á la ga , por ejemplo, explica el En la misma comedia, reprendiendo la infanta Doña Blanca al tinuamente por su am ada: y cuando sucedió la catástrofe, es­ origen de una fam ilia noble del apellido de V erdu go . El p ri­ Rey por sus amores con una ju d ía , le dice: taba esperando noticia de Inés para entrar en la quinta sin que mero que lo llevó por haber sido terror de los mor…</t>
  </si>
  <si>
    <t>Blanco</t>
  </si>
  <si>
    <t>…o- 5.° V a ria c io n e s de piano á cuatro ru an o s, por la señorita empeño su papel como acostum bra ; pero la S ra. B a u s recarg &gt; duce mejor efecto en la obra , mas preserva la m á q u i n a , porque de L ezam a y el Sr. Blanco C am arón. un tanto el s u y o , m arcán d o le mas de lo d e b id o , y h ab lan d 1 un m o v im ien to desordenado d e s t r u y e , no solamente el juego di j 4.0C a v a tin a del A lh a o r d i G r a o a ta , por la S eñ o rita Ocon. demasiado a l t o : c o rrija este últim o defecto a…</t>
  </si>
  <si>
    <t>Blanco, José Prats</t>
  </si>
  <si>
    <t>José Prats Blanco</t>
  </si>
  <si>
    <t>…el Muerto, término de Benadux, Fé 2.a, refrendada de D. Manuel Fernandez de Pazos, escribano de S. M. Inspección de minas de las provincias de Granada y Alme­ del número del crim en, se c it a , llama y emplaza á Gabriel por D. José Prats Blanco, en tí de Noviembre de 1858. ría.—Mes de Mayo de 1839 —Relación de los deuuncios y re­ ternandez de la Cuesta y a Ana Rodríguez de Castro, cuyas Otra id ., i d . , .id., id», Fé 5.a, por D. Luis Palenzuela, en gistros de minas admitidos en dicho ines, y las demarcaciones habitacio…</t>
  </si>
  <si>
    <t>Blanco, José Saturnino</t>
  </si>
  <si>
    <t>José Saturnino Blanco</t>
  </si>
  <si>
    <t>…premio de 8d. 16 Id. D. Rafael de H ita, capellán del regimiento de El tasador general D. Manuel Camuñas................... 1 lanceros........................................................................... i El procurador D. José Saturnino Blanco................. 1 602 53000 Id. D. Martiniano Gómez, capellán del castillo El escribano de número D. Bartolomé N uñez.. . . 4 de Atarás .......................................................... 1 Id. D. Bartolomé Puigdoller....................................... 4 Caso de sa…</t>
  </si>
  <si>
    <t>Blanco, Vicente</t>
  </si>
  <si>
    <t>Vicente Blanco</t>
  </si>
  <si>
    <t>…preceder á la admisión de unos y otros un decreto de esta cor­ Hortal y compañía: en la Coruña , en la de D. Rarnon Calve­ los Sres. abonados tendrán reservados los billetes de sus respec­ poración. te: en Salamanca, en la de D. Vicente Blanco: en Sevilla , en tivas localidades en la contaduría del teatro hasta el jueves La instrucción que se dé en esta escuela será la mandada la de I). José Hidalgo y compañía: en Valencia , en la de Ca­ 19 á las doce del dia. observar en virtud de la ley de 21 de Julio de 1858: las horas…</t>
  </si>
  <si>
    <t>…de S. Fernando, 00. obra ha merecido ser escrito como los de C uvier, Lesson , V i- Ramón: Murcia, D. José Benedicto: O vied o, D. Gabriel Lon- rey y otros muchos, entre los de los médicos y naturalistas mas goria: Salamanca, D. Vicente Blanco! Santander , D. Clemen­ CAMBIOS. famosos que admira la Francia; cuando todas las academias y te María Riesgo: Santiago, D. Juan Rey Romero Alcocer: Londres, á 90 dias, 3 8 f papel. Coruña, 1¿ á 2 d. corporaciones científicas de una nación que marcha al frente de Segovia, D. Domingo…</t>
  </si>
  <si>
    <t>Blas</t>
  </si>
  <si>
    <t>…iene 14 p. y 6 1. de alto, y 11 p. le®, cuyo paradero se igoora, á fin de hacerle saber unas di­ PIN T O R E S C O ESPAÑOL. y 2 1. de ancho: precio antiguo 18 rs., y moderno 10. ligencias de la causa que se siguió á su hermano D. Blas, dig­ La Pastorcilla llamada de Z urbarán, que representa una al­ nidad de Chantre de la catedral de Santiago , en averiguación correspondiente al domingo 1 4 de Julio . ma virtuosa caminando sin turbarse entre las asechanzas del los motivos que pudo tener para su fuga á Francia. vicios pintad…</t>
  </si>
  <si>
    <t>…úon.zzNuevo salvavidas.—Sonda en la mar á grandes profundi­ de primera instancia de esta c a p ita l, refrendada del es­ tregarse á los regocijos dispuestos para contemplar esta patrió­ dades. cribano del número del crimen D. Blas M oreno, se c ita , llama tica y religiosa fun ción , en la que ha reinado el mejor orden Se publ ca por cuadernos mensuales de 52 páginas m 4.0 y han visto cuantos forasteros concurrieron á e l l a , la unión y y emplaza por segundo edicto á Faustino Izquierdo, alias C h a ­ :on cubierta ,…</t>
  </si>
  <si>
    <t>…viedo ha consa­ Plazuela de Antón M artin , confitería de Perez. samos: oíros pormenores serian in útiles, porque el argumento grado los dias 8 y 9 del actual a celebrar la paz y la unión en­ Plazuela de S. Ildefonso, lonja de D. Blas J á u r e g u i . referido toscamente y sin el auxilio de aquella versificación a r ­ tre todos los españoles con m úsicas, repique general de campa­ Calle mayor , librería de Cuesta. moniosa „ elevada y p ro fu n d a, pareciera pálido y f r ió , des­ nas. fuegos artificiales, iluminación , dan…</t>
  </si>
  <si>
    <t>…de re a l , D. J u a n M a n u e l de L i na r e s y D. Francisco Gal vez, naci onal . c ausar i n q u i e t u d e s , sobre todo si se c ompa r a su edad con el quienes mani festaron á la sociedad lo satisfechos que ha bí an D. Blas L ó p e z, cinco años de e d a d , número siete de la p r i ­ inmenso peso del i mper i o otomano que carga sobre sus h om ­ q u e d a d o , tanto de los adelantos de la j u v e n t u d , c uant o del mera c l a s e, por su apli caci ón en el ramo de leer en la clave y bros. Sea lo que q u i…</t>
  </si>
  <si>
    <t>Blas, Bartolomé Tejada Diez y D. Pedro</t>
  </si>
  <si>
    <t>Bartolomé Tejada Diez y D. Pedro Blas</t>
  </si>
  <si>
    <t>N.° 1550. MARTES 12 DE FEBRERO DE 1839. d ie z c u a r to s . S . M . la R e i n a , s u augusta Madre la R e in a G o b e rn a ­ los arquitectos D. Bartolomé Tejada Diez y D. Pedro Blas de é inconciliables, representante de antecedentes, de principios, d o r a y la Serma. Sra. Infanta Doña María Luisa Fernan­ Uranga: otra en la de D. Pedro, que hace esquina y vuelve á de esperanzas contrarias ; conducida por gefes que habian ex­ la de San Isid…</t>
  </si>
  <si>
    <t>Blas, D. Pedro José Pidal. Sr. D.</t>
  </si>
  <si>
    <t>D. Pedro José Pidal. Sr. D. Blas</t>
  </si>
  <si>
    <t>…. Fermin Caballero. Sr. D. Wenceslao Toral» Sr. D. José Gispert. Sr. D. Juan López Pelegrin. Sr. D. Francisco Posada Fernandez de Córdoba. Sr. D. José Fermín Muro. Sr. D. Juaa Alfonso Montoya. Sr. D. Alejandro Mon. Alava . Sr. D. Pedro José Pidal. Sr. D. Blas López. Gerona. Valencia. Albacete • Sr. D. José Antonio Pastell, electo. Sr. D. Juan Cano Manuel. Sr. D. Juan Pou. Sr. D. Antonio Ilom panera de Cos. Sr. D. Ramón Pretel de Cozar. Sr. D. Pedro Camps y Ros , electo. Sr. D. Román Ovejero. Sr. D. Diego Montoya. Sr.…</t>
  </si>
  <si>
    <t>Blasco, Juan Nepomuceno</t>
  </si>
  <si>
    <t>Juan Nepomuceno Blasco</t>
  </si>
  <si>
    <t>…n la persecución y exterminio de las guer­ La de cosmografía que regenta el citado profesor bachiller Esperanza proporcionan las breves comunicaciones que la In ­ rillas son debidamente apreciados por S. M. Palacio de las N e­ D. Juan Nepomuceno Blasco, compuesta de ocho discípulos, glaterra y Francia tienen establecidas desde Europa á Bombay cesidades 5 de Julio de 1859.—Barón de Piibeira de Sabrosa. manifestó los buenos conocimientos generales que tiene de esta por el istmo de Suez, y deseoso de hacer extensivo tan benéfi­…</t>
  </si>
  <si>
    <t>Blasco, Juan Nepooiuceno</t>
  </si>
  <si>
    <t>Juan Nepooiuceno Blasco</t>
  </si>
  <si>
    <t>…les ^kcnlben -de Roma x de Méjico; ya de los habitantes de la llábana, que han podide puso en el encerado les propusieron los profesores D. Juan Clau­ apreciar á un mismo tiempo su modestia y su valor; después d&lt; dio Díaz , D. Juan Nepooiuceno Blasco, D. Esteban de N a - Mr. ée Jaoobis, laz'irista, nombrado prefecto apostólico d&lt; las pruebas de afecto que ha recibido en Brest y en todo él ca­ vea y D. Antonio García. U misión que se va á abrir en Abisinia, se halla en este mo­ mino que ha corrido hasta T aris ,solo: fa…</t>
  </si>
  <si>
    <t>BLASDI</t>
  </si>
  <si>
    <t>…n ORDENES Y REGLAMENTOS DEL GOBIERNO para aliviar el ánimo fatigado con la lucha continua de gran­ des y fuertes pasioues, solo las felices inspiraciones de una jQ lC C IO N A R IO de medicina y de cirugía prácticas. Entre­ Y D B L A S D IRECCIONES Y A U T O R ID A D E S SUPER I0R E8. fantasía creadora consiguen cautivar por poco tiempo la aten­ ga segunda del tomo 5.° Continúa abierta la suscripción ción del público con la novedad y el halago de sus encantos. en la botica de Olinedilla, calle de Carretas, núm. 2 2 , y en…</t>
  </si>
  <si>
    <t>Blockausen</t>
  </si>
  <si>
    <t>en Bélgica; barón de Blockausen , Jacebo Lamont y Fernando costados sin,detenerse, ni dudar un momento y despreciando porque sabe que ha de p e rd e rla , y que ha de despertar Pescatore,se traslade inmediatamente á la Haya para recordar el fuego de los enemigos: algunos de nuestros soldados han sido en otra reg ió n ,…</t>
  </si>
  <si>
    <t>Blomíield</t>
  </si>
  <si>
    <t>…sión mas grande pa­ de W olw ich dos piezas de artillería y 50 artilleros á caballo, pilleradás, y algunas piezas de artillería y obuses de montaña ra un estudio qué de suyo es árido, penoso y desabrido? mandados por el capitán Blomíield , asi como ocho compañías que las retiraron desde luego: ademas todos los pericuetos al re­ Sin querer, dice el prólogo, hemos venido á tocar una cues­ del 45 de infantería de línea. {Standard.) dedor cubiertos de masas en bastante orden dé un modo im po­ tión muy vital en el ramo de la i…</t>
  </si>
  <si>
    <t>Bláhchard, Juan</t>
  </si>
  <si>
    <t>Juan Bláhchard</t>
  </si>
  <si>
    <t>…sio ingresar en el establecimiento no pasen de 12 años , porque se­ stdentes. ' " ' ■- L-r-i Góm ez, cruz pensionada de María Isabel Luisa. rá privar á muchos jóvenes, que por falta de protección se ha­ B . Valentín CárdeWrá y D. Juan Bláhchard, consiliario*. Idem Francisco Moya , Pedro Fernandez, Mateo Olguera, llan atrasados en su instrucción, de las ventajas que&lt; preseptaes­ D . Aútonio Malea y D, Diego de Agreda, secretarios*^ s José M uñoz, Valentín M artin , Bartolomé F élix, José Rubio, te colegio; y creemos que el S…</t>
  </si>
  <si>
    <t>Boa, Francisco</t>
  </si>
  <si>
    <t>Francisco Boa</t>
  </si>
  <si>
    <t>…s distritos la conducta de sus ha dispuesto, quedándose de gefe del cantón el que antes la gada de la tercera división del ejército de operaciones de Cata­ administrados, poniendo un pronto y eficaz remedio en los pri­ mandaba D. Francisco Boa» , me cabe la mayor satisfacción en luña , desde Puigcerdá eu escrito de 12 del actual dice al señor meros pasos de extravío que por sugestión ó malicia observen en haber correspondido á la confianza que le merecí al honrarme brigadier segundo cabo de este remo ío siguiente: cualquiera…</t>
  </si>
  <si>
    <t>Boadella, José</t>
  </si>
  <si>
    <t>José Boadella</t>
  </si>
  <si>
    <t>…stante concurrida , con la asistencia de todas las autoridades rada y fueron revistadas por el Sr. comandante general de la civiles, militares y eclesiásticas con sus respectivas dependencias. brigada de operaciones, brigadier D. José Boadella, presentán­ El teatro ofreció aquella noche uno de los ratos mas bellos Las tropas al inmediato mando del Excmo. Sr. duque de la dose á este acto el segundo batallón del regimiento de Extre­ que presentar puede ese paraje de placer. Honor nacional, ale­ Victoria ocupan desde el 17 del…</t>
  </si>
  <si>
    <t>Boan, Antonio Luis</t>
  </si>
  <si>
    <t>Antonio Luis Boan</t>
  </si>
  <si>
    <t>…sente no prevé, y nos dedicaremos en prom otor fiscal de) juzgado, licenciado D. Pedro Sánchez Tomo, tado concluido entre Inglaterra y A ustria. consecuencia á utilizar la prosperidad de la época , empleando la ley absuelve á D. Antonio Luis Boan , responsable de dicho Es menester convenir en que esta es una diplomacia de un im preso; y en su consecuencia mandó sea puesto inm ediata­ con religiosidad el excedente de las rentas públicas. El grave deber de conceder el contingente para el reempla­ nuevo género. El tratado con…</t>
  </si>
  <si>
    <t>Bobo, D. Ricardo</t>
  </si>
  <si>
    <t>D. Ricardo Bobo</t>
  </si>
  <si>
    <t>…opio tiempo un escarnio de la c iv iliz a ­ A lic an te , i din. b. S a n t ia g o , 1£ á 2 id. ción y cultura de nuestro siglo , cuando los hechos de Cabrera, Barcelona á ps. f s . , | á i id. S e v i ll a , 1 á £ id. P ' L Sr. D. Ricardo Bobo, juez de primera instancia e a el ni como m ilita r , ni como político, han podido suministrar m a­ B ilb a o , par din. V ale n cia, £ b. “ partido judicial de Gambados , provincia de Pontevedra teria para adm irar una actividad febril , una audacia circuns­ C á d iz , f y 1 d. Z a…</t>
  </si>
  <si>
    <t>Bocherini</t>
  </si>
  <si>
    <t>…erros de publicar dicha invención por las ventajas que puede U » artículo sobre la legislación actual de los mayorazgos, Arte de fabricar el salitre y la pólvora, escrito y pu blica­ proporcionar su descubrimiento, y dar al Sr. Bocherini una por D. Jo aq u ín Francisco Pacheco. do de orden del Rey Fernando v ií , y dedicado á S. M. por prueba de lo grato que le han sido sus desvelos. Otro titulado el Abogado , por * * * , D . Manuel Martínez Rueda. U n tomo en 4«° impreso en 1 8 5 5 , E.ste instrumento está reducido á…</t>
  </si>
  <si>
    <t>Bofa</t>
  </si>
  <si>
    <t>…la mañana siguiente el primero á Durango, y los otros é la pañola que tuvo C ataluña, y el de marqueses que afecta­ citada carretera, sin que se sepa el motivo d objeto especial de Hemos dejado para el fin dos puntos que el Sr. Bofa­ ron los condes de Barcelona, que eran los principales se­ esta reunión. rull examina con su acostumbrada sagacidad: tales son la ñores de todo el territorio; lo que probaba la dependencia Maroto continua en Llodio. El punto mas avanzado que sus determinación de la época en que el condado de Ba…</t>
  </si>
  <si>
    <t>Bofarull</t>
  </si>
  <si>
    <t>…rtia- 2.° l)e los condes de Barcelona Reyes de Aragón. con documentos numerosos, muchos de los cuales inserta de, que hacia muchos años no tenia mas empleo que el de con­ 3.° De ios condes de Barcelona Reyes de España de el Sr. Bofarull, y de los que no, indica con suma escru­ servador de las condecoraciones de su amo. Ejercer estas graves la dinastía de Austria. pulosidad el archivo, y el sitio donde se hallan; notando funciones con una dignidad conveniente, tal era el único o b ­ 4.° De los condes de Barcelona Reyes de…</t>
  </si>
  <si>
    <t>…te cos que los que él cita, sino porque estos no nos parecen cierto la cesión de la soberanía de la Marca española, he­ de la facción de Galicia , mandada por los cabecillas cura del suficientes para probar las aserciones del Sr. Bofarull. cha, según se dice, por Carlos ,el Calvo á W ifredo i el Freijo, Souto de Piemesar , y el ex-fraile Saturnino, recoma En la introducción á la obra se lee: W ifr e d o el V ello- Velloso. Tampoco es admisible el principio de que los ca­ los pueblos déla derecha del Miño ostentando su fuerz…</t>
  </si>
  <si>
    <t>Bohorques, Encarnación</t>
  </si>
  <si>
    <t>Encarnación Bohorques</t>
  </si>
  <si>
    <t>…B élgida.................................. 50 20 Doña Jacoba Bohorques................. El Excmo. Sr. D. Mariano L iñan...................................... 20 2500 Aaragoza o de Octubre. Se espera en esta capital para Doña Encarnación Bohorques...................... D .P .O 20 ................................................................. 8 manaua á las dos de su tarde al Excmo. Sr. duque de la Vic­ L i Sra. marquesa de Povar................................................... Doña Vicenta Serrano de Onliveros.....…</t>
  </si>
  <si>
    <t>Bohorques, Jacoba</t>
  </si>
  <si>
    <t>Jacoba Bohorques</t>
  </si>
  <si>
    <t>…......................... 10 tiempo el goce de tan precioso don. D onj Luisa Bohorques............................................................. Un ciiado de! marques de B élgida.................................. 50 20 Doña Jacoba Bohorques................. El Excmo. Sr. D. Mariano L iñan...................................... 20 2500 Aaragoza o de Octubre. Se espera en esta capital para Doña Encarnación Bohorques...................... D .P .O 20 ................................................................. 8 mana…</t>
  </si>
  <si>
    <t>Bohorques, Josefa</t>
  </si>
  <si>
    <t>Josefa Bohorques</t>
  </si>
  <si>
    <t>…................................................... D. N ................................................ . ............................................. 20 20 por consiguiente á ios malvados que intentan dilatarle por mas Doña Josefa Bohorques........................................................... D. Antonio Bailes 50 ............................................. 10 tiempo el goce de tan precioso don. D onj Luisa Bohorques............................................................. Un ciiado de! marques de B élgida.…</t>
  </si>
  <si>
    <t>Bohorques, Nicolás</t>
  </si>
  <si>
    <t>Nicolás Bohorques</t>
  </si>
  <si>
    <t>…...................... 80 20 columnas militares, y no encontrando en los pueblos el apoyo Doña Polonia García „ ........ * P. E ............................. 20 10 que antes, han tenido que abindonar el pais, que empieza á D. Nicolás Bohorques.............................................................. F. M ................................................................................................ 20 4 gustar por primera vez los dulces placeres de la p&gt;z, y á odiar D. M auricio B.ihorques........................…</t>
  </si>
  <si>
    <t>Boileau</t>
  </si>
  <si>
    <t>…las provincias. De estambre............................................ 3,125 citadores. La entrega 20, correspondiente al domingo 18 de Agosto, De lana...................... 801 contiene los artículos siguientes: El Barón de Boileau, novela histórica. ---------------------7,809 Cheshire. De algodón. ................................... 22,491 Intendencia militar de Castilla. la Nueva La Chinchilla, historia natural. Monumento Poesía. de Granada. De seda...................................................... 4I4 No…</t>
  </si>
  <si>
    <t>Bois-le-Comte</t>
  </si>
  <si>
    <t>…fin principal El mismo dia se despidió el barón Mortier de los Prínci­ sin tener ningún texto, sin haber cansado su memoria, han lle­ que es destruirlo y aniquilarlo. Decimos esto porque es para no­ pes. Su sucesor el barón de Bois-le-Comte ha sido recibido hoy gado á instruirse del arte de bien hablar á viva voz del precep- sotros y creemos lo será para quien piense bien tan laudable y por S. M. á efecto de presentar sus credenciales. Después de la to r, y por sus continuas y repetidas explicaciones, no dudan­ meritor…</t>
  </si>
  <si>
    <t>Boix</t>
  </si>
  <si>
    <t>…propia lleva el mejor correctivo. Ya dijimos algo el otro dia acerca de lo que nos pare­ Títulos al portador del 5 por 1 0 0 , con en peines a? con­ La diferencia de hábitos y costumbres que existe siem­ ce el Repertorio del Sr. Boix: hoy añadiremos dos pala­ tado : 20 once dieziseisavos, £ , | , * , § y 2R fá v* f. vol. y pre entre dos naciones, hacia imposible que al trasladar bras. Hemos visto ya la segunda entrega, que se hallara lirrm: 21^, 20|- y á v. f. ó vol. á pruna de ¿ y J por 1QO esta comedia al castellano, se l…</t>
  </si>
  <si>
    <t>…á nuestros lectores del Repertorio dramá­ do en pueblos donde está bien organizada la música, que o arquitectónica. Uno y otro dandigámoslo a su obra asi, geométrica lo que se lla­ tico. Esta empresa, á cuyo frente está el Sr. Boix, ventajosa­ mente conocido por su formalidad y honradez, se propone labriegos y pastores de ganado, ágenos de todo conoci­ ma expresión: el estatuario comunica al mármol la pasión publicar dramas originales ó traducidos. Siguiendo el ejemplo miento musical, inventan espontáneamente cantos que…</t>
  </si>
  <si>
    <t>Boix, Esteban</t>
  </si>
  <si>
    <t>Esteban Boix</t>
  </si>
  <si>
    <t>…­ pasado, si se quiere dar al lector el placer y la u tilid ad ¡ ta prima , en cuyos rostros se ven claramente los respectivos de hallarse en medio de los hombres que le bao prece- j afectos de que se hallan animadas. Le grabó D. Esteban Boix dido. con fuerza y decisión: Tiene 19 p. y 5 I. de alto, y 15 p. y 8 Estas son las condiciones esenciales de la novela histó­ BOLETIN DE COMERCIO. 1. de ancho: Precio antiguo 20 r s . , y moderno 15. rica. Es necesario pues para llen arlas hacer antes un es­ BOLSA DE M A D RID . tudio…</t>
  </si>
  <si>
    <t>Boix, Ignacio</t>
  </si>
  <si>
    <t>Ignacio Boix</t>
  </si>
  <si>
    <t>…partición. La Sra. Vilió no podia agradar como otras veces en una ópera poco a propósito para sus facul­ ANGELO, TIRANO DE PADUA. tades: ademas creimos notarla algo indispuesta; pero sin (0 Se vende á 4 rs en la librería de D. Ignacio Boix, calle embargo fue aplaudida en todas las piezas que ejecutó. El de Cañetas, núm. 8. Sr. Calyet ha estado felicísimo, y mas que en nada en la ca­</t>
  </si>
  <si>
    <t>…puntualidad el importe de este gasto. sancionados como legítimos, respetablesy sagrados. Esta mons­ drán renovar la suscripción para el siguiente eu la librería de truosa y absurda contradicción , y la impotencia en que por D. Ignacio Boix, calle de Carretas, nútn. 8 . ella ha ido quedando el imperio de Constantiuopla, sugirió la Con elcuáderóo 10 correspondiente al próximo mes de Agos­ idea de rebelión en el bajá de Egipto Mehemeth-Alí, que la PR O V ID E N C I A S JUD ICIALES. to concluye el tomo primero de la Españ…</t>
  </si>
  <si>
    <t>…idb que % ' ] dos de su manía aventurera, se separaron de el y Fueron á esta­ llafamés. del número siguiente. La parte adm inistrativa' Correrá á 'c á rg ó blecerse al pais de los cenis y a l de los akansas, en donde, gér­ d(e D. Ignacio Boix, impresor en esta capital ? en cuyo despacho, menes perdidos entonces, fueron mas adelante el núcleo de es­ L érida 2 d e Marzo. La 2.a brigada dé la 4-a división en­ calle de Carretas, se adm itirán en adelante las suscripciones , y tablecimientos mucho mas vastos. tró ayer tarde en es…</t>
  </si>
  <si>
    <t>…sabemos, á no dudar, den incompletas algunas obras, como sucede generalmente. que el ejército va estrechando al enemigo, haciéndole perder el Londres, á 90 dias, 38§. C o ru ñ a, 1£ papel d. Se suscribe en Madrid , librería de D. Ignacio Boix, calle de terreno que antes ocupaba. (£Z Desengaño .) P a rís, 16-6. Granada , id. id. Carretas, núm. 8 , y en las provincias en los puutos siguientes Málaga , á 1£ id. y administraciones de correos. Santander, par. Puntos de suscripción en las provincias. Alicante, C arra- Alicante,…</t>
  </si>
  <si>
    <t>…étricos; y Gall mira el razonamiento como por cuadernos, y cuatro los de las provincias. La parte admi­ cepción, la memoria y la imaginación/' una série de actos de percepción y de memoria, puesto nistrativa correrá á cargo de D. Ignacio Boix, impresor en esta Hemos demostrado que la memoria no es un grado de que censura á algunos filósofos por haberla considerado, capital, en cuyo despacho, calle de Carretas, se admitirán en actividad ó modo de cantidad de la percepción; lo que sin razón, como una facultad especial. adelan…</t>
  </si>
  <si>
    <t>…y si la espada de Cárlos M arte!, los esfuerzos de los cris­ Pu utos de suscripción. = M adrid, imprenta y librería del Reservó para t í , triste hermosura : tianos de España y la energía de los Papas habían libertado editor D. Ignacio Boix, calle de C arretas, núm. 8. Provincias, Uoa del tiempo al hierro diam an tin o, la cristiandad ya casi m oribunda, el peligro podia renovarse. en las administraciones de correos y puntos siguientes: A lican­ Otra en la tumba oscura.” Todavía poseían los mahometanos gran parte de nues…</t>
  </si>
  <si>
    <t>…ripciones en el gran libro á 5 por 1 0 0 , 00. y 8 en las provincias franco de porte. Títulos al portador del 5 por 100, 21 con cupones al con­ EL ENTREACTO. Puntos de suscripción.—Madrid : Imprenta y librería del edi­ tor D. Ignacio Boix, calle de Carretas, niím. 8 : Provincias , en las administraciones de correos y puntos siguientes: tado: 2 1 ^ , i , 2 1 , tres treintaidosavos y 2 l § á v. f. ó vol.: 21 cinco dieziseisavos y 2 l f á v. f. ó vol. á prirna de i y | A licante, Carratalá: A lm ería, Santamaría: Barcel…</t>
  </si>
  <si>
    <t>31/12/1839</t>
  </si>
  <si>
    <t>Gaceta de Madrid n.º 1878</t>
  </si>
  <si>
    <t>…nco de porte. Puntos de suscripción. En Madrid , en el despacho del pe­ ficencia del aparato , para lo que no ha omitido la sociedad nin­ mouvcmens des m últiples ondulations de leurs draperies; riódico, librería de su editor D. Ignacio Boix, calle de Carre­ gún sacrificio, á pesar del poco tiempo que ha tenido, para po­ en ouire elles sotit indeform ables a l’usage, et peuvent se tas, núm. 8 , y en las provincias en las principales librerías. nerla en escena el dia de Natividad. Será exornada con coros y laver comme le lin…</t>
  </si>
  <si>
    <t>Boix, José</t>
  </si>
  <si>
    <t>José Boix</t>
  </si>
  <si>
    <t>…Mariana : Coruña , Perez: Córdoba, Man- C ádiz, 1 d. Zaragoza , 4 id. té: Cartageua, Benedicto: Caracas , librería de Cabrerizo: Fer­ Descuento de letras , á 6 por 100 al año. rol , Taxonera: Granada , Bada y Sanz: Habana , D. José Boix: GUIA DE FORASTEROS. L ugo, Pujol y Macía: M álaga, Carreras y R am ón: Murcia, Benedicto y M arti: M ahon, Sitges Faner: Oviedo, García De orden del Sr. M inistro de la G o b ern ac ió n se p re­ L ongoria: Pam plona, Erasun: Puerto-R ico, Dalman : Palma viene á las corporaciones, est…</t>
  </si>
  <si>
    <t>…ecial­ Cartagena, Benedicto: Caracas, librería de Cabrerizo : Ferrol, Deuda negociable de 5 por 100 á p a p e l, 00. mente al fomento del arte dramático y á propagar la afición Tajonera : G ranada, Linares y Sanz: H a b an a , D. José Boix: Idem sin interés, 6 tres dieziseisavos á 60 d. f. ó vol: 6 í á al teatro, dedicara siempre una parte de sus columnas á todas Logroño, Ruiz: L u g o , Pujol y M acía; M álaga, Carreras y 60 d. f. ó vol. y firme á prima de i por 100 : 4 t y 4§ á v. las publicaciones relativas á tan interesa…</t>
  </si>
  <si>
    <t>Boletín</t>
  </si>
  <si>
    <t>…que voluntariamente quieran ingresar en dicho cuer­ pueblos de su demarcación respectiva, bien por medio del dora y la S e r m a . Sra. Infanta Doña María Luisa Fernan­ po, pasando los capitanes generales ai inspector general de Boletín oficial donde le hubiere, ó por vereda si no ha­ infantería las relaciones y medias filiaciones de los que se llasen otro tan eficaz y menos gravoso para los mismos da, continúan en esta corte sin novedad en su impórtente alisten para servir en él. Como es regular que se presenten pueblos.…</t>
  </si>
  <si>
    <t>Boletín, Pedro Redondo y Ala- El</t>
  </si>
  <si>
    <t>Pedro Redondo y Ala- El Boletín</t>
  </si>
  <si>
    <t>…Luego que la autoridad local tuvo conocimiento de su apa­ llamo y emplazo á los parientes que existen dentro del quinto pública. rición y dirección, dio conocimiento al comandante de un des­ grado de consanguinidad del difunto D. Pedro Redondo y Ala- El Boletín oficial de las ventas, remates y adjudicacione: tacamento del batallón de Nacionales movilizados estacionado toa, vecino que íue de esta ciudad , para que dentro de treinta de bienes nacionales. Van publicados hasta esta fecha 560 nú­ en ía capital del concejo, quien…</t>
  </si>
  <si>
    <t>Bolivia</t>
  </si>
  <si>
    <t>…diez de nación de la Península con fecha de 17 de Julio próximo chilenos. Sedelhabían protector 'anta Cruz en el Perú á manos de los la mañana que llegó á las cinco de la madrugada sin novedad, hecho proposiciones por el general Bolivia­ p isado que en la misma dice al intendente de las Islas Fi­ no, Velazco , para restablecer la paz entre aquella República y y que según los avisos que tenia, Urrea permanecía en T cusi- lipinas lo que sigue: tlan con 50 hombres de caballería, y que él se aproximaba un Buenos A ire s , las…</t>
  </si>
  <si>
    <t>BOLSA</t>
  </si>
  <si>
    <t>…espacho de de los vecinos de aquellos pueblos. la imprenta nacional. Ratería carlista . BOLETIN DE COMERCIO. No encontrando ya la canalla medio de libertarse de las continuas alarmasen que la tiene de continuo el intrépido Don BOLSA D E M A D R ID . VACANTES. Gregorio Sabio, trataron de armarle un lazo, encerrando el 7 en Laudiel i varias personas de todos colores en sus propias ca­ Cotización del dia 14 á las tres de la tarde. ^ hallan vacantes las das escuelas de educación primaria ele- mental de la villa de la Nava d…</t>
  </si>
  <si>
    <t>BOLSA, Manuel Bretón de los Herreros.</t>
  </si>
  <si>
    <t>Manuel Bretón de los Herreros. BOLSA</t>
  </si>
  <si>
    <t>…qu e no le distinguiesen de verso, titulada los demas p or aquella sonrisa apacible q u e le caracte­ BOLETIN DE COMERCIO. ¡U N A V IE JA ! rizaba. Para d a r fin á este artículo , que i n te r r u m p e ya la sen­ Su autor D. Manuel Bretón de los Herreros. BOLSA D E M A D R I D . sibilidad agitada con el recuerdo de tanta b o n d a d , co n­ Intermedio de baile; terminando la función con un diver­ c lu iré diciendo que á su m u e rte es cua nd o efectivamente Cotización del dia i¿\ d las tres de la tarde• tido sainete.…</t>
  </si>
  <si>
    <t>Boltivion</t>
  </si>
  <si>
    <t>…os los la Holanda , la cual debe también llevar su parte en la deuda extraogeros. pública en proporción á sus 1500 habitantes. Según despachos recibidos de R io -Jan ie ro por el último pa­ En la república de Bolivia el general Boltivion ha tomado q u e t e , podemos tener la bien fundada esperanza de que los ne­ las armas contra el Presidente Velasco en favor del general gocios de Portugal con aquel pais se arreglarán en breve de un Santa Cruz» A U ST R IA . modo satisfactorio y debido á la influencia del Sr. G alv ao ,…</t>
  </si>
  <si>
    <t>Bolufer, Francisco</t>
  </si>
  <si>
    <t>Francisco Bolufer</t>
  </si>
  <si>
    <t>…lo método del profesor Ballester, y mereciendo to­ de 58 á 40 de prima. NO GANAMOS PARA SUSTOS. das ellas la aprobación y aplauso de tan escogida concurrencia. Consolidados, 95 i al contado, 95§ á cuenta. También se presentó D. Francisco Bolufer , discípulo de len­ Bonos de Indias , 44* Seguirá un Pas-de-deux, nuevo, bailado por la Sra. Diez gua francesa, que habiendo empezado á estudiar seis dias antes Acciones del banco, 197. y el Sr. Casas, composición de este último; terminando la fun­ de esta ceremonia, bajo el carg…</t>
  </si>
  <si>
    <t>Bolívar, Manuel</t>
  </si>
  <si>
    <t>Manuel Bolívar</t>
  </si>
  <si>
    <t>…se de la fuerza, pidiendo auxilio a los perder d Morote el capitán ayudante D. Carmelo Martí­ del ramo, á las que se circulará para satisfacción del in­ De Real orden, comunicada por el expresado señor nez; el de igual ciase D. Manuel Bolívar, secretario de teresado, á quien se perm itirá, si asi lo pidiere, insertar Ministro, lo traslado á Y. S. para su inteligencia y electos aquel G obierno, y principalmente el intendente D. Luis el favorable resultado de su causa en los papeles públi­ consiguientes. Dios guarde á Y. S*…</t>
  </si>
  <si>
    <t>Bombay</t>
  </si>
  <si>
    <t>…el de que si se dejaba en el poder al gran libras esterlinas. A lí y en Kosrew-bajá, un poderoso Ínteres se liga á lo pasado visir arruinaría el imperio, la aceptó, y el dia 15 se mezclar oa Sir James Carnac, nuevo gobernador de Bombay , ha nom­ asi como al porvenir de los dos rivales. Se nos han comunicado los buques de ambas escuadras. brado por su secretario íntimo á M. Duiners. El capitán Lus- varias noticias sobre el origen de $u enemistad. * El dia 15 el capitan-bajá vino á visitar al virey, quien le hington y el te…</t>
  </si>
  <si>
    <t>Bombelles</t>
  </si>
  <si>
    <t>…no cederá dos á lo mas alto de los pericuetos de Morella y Cantavieia. Sabemos que el Príncipe de Metternich ha escrito desde J o - un ápice mientras no se le garantice el derecho que se le había {E.deA.) hanmiberg al conde de Bombelles, enviado de Austria en Sui­ concedido sobre unos países que tanto han mejorado en todos sen­ za, encargándole haga presente al nuevo Gobierno Zurich que tidos. Sin otros comentarios tengo el honor de escribiros, seño­ el Gabinete austríaco reconocía sus principios , y al mismo tiem­ res…</t>
  </si>
  <si>
    <t>Bommasini</t>
  </si>
  <si>
    <t>…do de los europeos Se dividió el congreso en seis secciones: 1 .a de medicina, na, en que su voz parezca tan coqueta, tan atractiva, tan la presunción, la intriga y el lenguaje vacío y sonoro; su in­ bajo la presidencia del conde Bommasini, de Parma: 2.a de quí­ agradable, tan graciosa, como en el Bajelito nuevo y en el quietud por cuanto de cerca ó de lejos toca á la lu d ia ; su mica , fíúca y ciencias matemáticas, bajo la presidencia del con­ Chairo. conducta en la cuestión de Oriente y en las de la Peuínsulj ; su de Pedr…</t>
  </si>
  <si>
    <t>Bonaplata, José</t>
  </si>
  <si>
    <t>José Bonaplata</t>
  </si>
  <si>
    <t>…e 8.* rnarquilla. teatro no pretende de ningún modo rivalizar con el acredi­ ría. (Ndm. 1740.) Precio de cada torno 14 rs. tado actor que felizmente ha creado el papel de el hombre gor­ _ _ del mismo ministerio permitiendo á D. José Bonaplata do; por lo que espera que el público le favorecerá con su in­ introducir por la aduana de Alicante un surtido de piezas dulgencia y y la sociedad ha creido oportuno acompañar á los modelos de hierro colado para su taller de construcción de D E LAS P E R D ID A S S E M IN A L E S I N…</t>
  </si>
  <si>
    <t>…F erm ín M uro; y á los p a r- peranza de la Francia. Concluida la lectura del p árrafo , tomo la palabra M r. Pe­ CORTES. tieulíVres D. P e d ro S u rrá y R u ll, D. M anuel In c la n , Don A utoíiio G u ille rm o M oreno y D. José Bonaplata. T endréis- lel (de la Lozere), y habló en los términos siguientes: SENADO. lo e n ten d id o y d isp o n d réis su c u m p lim ie n to .— R u b ric ad o E l barón Pelet (de la Lozere): Hago justicia al espíritu qué d e lif Real m an o E n P alacio á 4 de E n e ro d e 1839. = A ha di…</t>
  </si>
  <si>
    <t>…regadas por los comerciantes ingle­ el cuerpo dos años, por lo menos, con buenas notas. Al i He dado cuenta á S, M. la Reina Gobernadora de la ses de Cantón mismo tiempo ha resuelto S. M» que asi esta Real orden solicitud de D. José Bonaplata sobre que se le permita esterlinas. EstaaleraGobierno chino, ascienden á 2.500,000 libras la condición puesta á la seguridad personal como la citada de 22 de Noviembre del año próximo pa­ introducir por la aduana de Alicante un surtido de piezas del superintendente ingles. sado se…</t>
  </si>
  <si>
    <t>Bonifacio</t>
  </si>
  <si>
    <t>…a María Josefa Arias y Prada , viuda de D. Juan Rosen­ viese en prisión; mas pareciéndole que la prisión seria do González: D &gt;ña Teresa y Doña Josefa Camacho, hijas de para este, que era un jornalero, de menos importancia que D. Bonifacio: Doña Petronila Luisa Galan , viuda de D. Jo ­ para el como hacendado, habia dejado seguir el curso de la las MercedesPicó: sé Ramón Doña Francisca de Paula y Doña María de I IBRO^.rzPublicaciones nuevas.—La autoridad Real, según Márquez de la Plata , hijas de D. Rodrigo: Doña las leyes…</t>
  </si>
  <si>
    <t>…upuesto de G uerra? Sí Quedó sobre la mesa un dictámen de la comisión de Actas, Emperador de este apellido, en M égico á 8 de Setiembre de ó no. ¿N o puede? Pues entonces no pueden estar satisfechas proponiendo la admisión de D. Bonifacio M ir, D iputado por 1570 , con sus unidos y agregados, de cualquiera modo incor­ todas sus cargas. Repito que tengo dicho por escrito lo que hay Lérida. porados, y grandeza de España de primera clase , vacantes por eo el particular. Se acordó que se imprimiría, y señalaría dia para su di…</t>
  </si>
  <si>
    <t>…al 1 72 inclusive, b»d Puso * votación el articulo y fjae.apror; j Se aprobó sin discusión un dictamen dé la comisión de A c - cesario para hacer siquiera una indicación. ¿ Y en qué consiste Aas err que proponía Ja admLÚnFde D. Bonifacio M ir , D ip u - que después del convenio de V ergara hay proyectos en Europa, Pasóse á votar la enmienda del Sr. duque de FríésV redírói^ ¿ tfidp jelecto por la proy i ocia de. Lérida. a y se dice que es necesario arreglar las cosas de España ? Pues la da a que después de las últimas pal…</t>
  </si>
  <si>
    <t>Bonifacio, D.</t>
  </si>
  <si>
    <t>D. Bonifacio</t>
  </si>
  <si>
    <t>…trar todas las doctrinas contenidas en la primera , hallarán diente á instancia de D. Mariano Azcon con la calidad de apo­ Cádiz, 1 d. Zaragoza, £ id. también ¡as notables mejoras que ha recibido el Ensayo , asi en derado del Sr. D. Bonifacio M ir, abogado y vecino de la villa la coordinación de las materias que abraza, como en un consi­ de Trernp, en Cataluña , y Diputado a Cortes por la provin­ Descuento de letras, á 6 por 100 al año. derable aumento de las mismas. cia de Lérida, sobre denuncia de un artículo comunicado in…</t>
  </si>
  <si>
    <t>Bonilla, Ana y Doña Paula</t>
  </si>
  <si>
    <t>Ana y Doña Paula Bonilla</t>
  </si>
  <si>
    <t>…ina 179. Agueda M a rtin , en solicitud á pensión. infantería de América , quejándose del mal trato que recibe de de rentas. 180. D. Eugenio María Alvarez, sobre organización del algunos oficiales de dicho regimiento. 260. Doña Ana y Doña Paula Bonilla, pidiendo se exija montepío de jueces. ^ 222. La diputación provincial de Teruel, en solicitud de la responsabilidad al ayuntamiento de Talavera de la Reio¡ 18 1. Leocadio Aller, preso en la cárcel de villa de esta cor­ que se modifique el art. 4*° de la ley , sobre el mod…</t>
  </si>
  <si>
    <t>Bonilla, Gregorio Gómez</t>
  </si>
  <si>
    <t>Gregorio Gómez Bonilla</t>
  </si>
  <si>
    <t>…ingleses hicieron como Despacho universal de Gracia y J u sticia. del regimiento infantería Voluntarios de N avarra , 6.° de lige­ 150 prisioneros que iban á ser juzgados por un consejo de guer^ ros, D. Antonio Urbistoudo; á D. Gregorio Gómez Bonilla, ca­ r a , y se cree que serán ahorcados. (Ar. d e A . Af.) pitán de la G uardia Real de infantería , ilimitado eu Castilla la V i e j a , y comandante que fue del depósito de quintos de Juzgado de primera instancia de la ciudad de Vigo. ^ E x ­ C uen ca; á D. Pedro Crespo…</t>
  </si>
  <si>
    <t>Bonilla, Juan Manuel</t>
  </si>
  <si>
    <t>Juan Manuel Bonilla</t>
  </si>
  <si>
    <t>…e se halla dividida en cinco partes, se da Inscripciones en el gran libro á 4 Por 100, 00. Fernandez de Pazos, se cita , llama y emplaza á D. José Pi- una extensa noticu de las antigüedades del m en ci o n a d o Real ñeiro y D. Juan Manuel Bonilla, vecinos de esta corte, cuyas sitio, formación del bosque Real, y agregaciones á Aranjuez Títulos ai portador del 4 por 100, 24£ á 58 d. f. 6 vol. a habitaciones prima de L por 100 con cupones. se ignoran , con el fin ds hacerles entender cierto para ello, de los edificios y su…</t>
  </si>
  <si>
    <t>Bonnet</t>
  </si>
  <si>
    <t>…putados á estos dos contumaces é ideal, Don Lucas del Cigarral es un personaje extravagante Su hostilidad ana'rquica empieza desde 1850, siendo de se encuentra notar que desde entonces ha sido cada vez mas violenta y exage­ Sr. Bonnet; existen en la narración que se os ha pretentado acerca del tinencia que reúne la grosería de un aldeano y la im per­ de un hidalgo de aldea, con la pretensión a la rada. En 1857 fee comprendido en la amnistía: debia suponerse entre estos tres individuos lazos demasiado entonces que tratarí…</t>
  </si>
  <si>
    <t>Bonomo, Antonio María</t>
  </si>
  <si>
    <t>Antonio María Bonomo</t>
  </si>
  <si>
    <t>…ba. miento á un despacho del Sr. intendente de la provincia de Sevi­ 594. Un cuadro con ao dechado, á la Sra. Doña Beatriz lla, se cita, llama y emplaza á D. Pedro María Tremens y Entrega 17 del tomo 2.* Dele de Cabañil las. D. Antonio María Bonomo , cuyas habitaciones se ignoran ; pa­ ra que tan luego como llegue á su noticia este anuncio, se cons­ Nota ¿fe los números premiadas cuyos dueños no se han pre­ tituyan en la escribanía principal de amortización calle dél Continúa abierta; la suscripeiotr^éit &amp; botiéa de Ohne…</t>
  </si>
  <si>
    <t>Booth</t>
  </si>
  <si>
    <t>…agente de policía. A las diez y cuarto la policía y la tropa S e ñ o r e s , antes de pensaren remover piedras para levantar ¿S e trata de la ley sobre los azúcares? Se sabe que el G a ­ con el corregidor á su cabeza , el doctor Booth , llegaron al s i­ vastos edificios, busquemos una palanca para conmover los co­ binete tiene intencioues de descargar de este gravám en por me­ tio del desorden, y habiendo cargado á los autores, huyeron en razones y trastornar las conciencias: las murallas no moralizan, dio de un decreto,…</t>
  </si>
  <si>
    <t>Bor-, Luis</t>
  </si>
  <si>
    <t>Luis Bor-</t>
  </si>
  <si>
    <t>…s. Ha llamado dades de frutos especiales que han presentado. zar el ejército, de Cataluña , y mejorar la triste situación de la atención de S. A. R, la admirable resignación con que so­ También han merecido mención honorífica D. Luis Bor- aquellas provincias de tanta riqueza y población. portaban su miseria. Añaden que es preciso haber visto esto de deore, D. Rafael M artínez; Sres. vicario del hospital, D. Fa- El Sr. M A D O Z se adhiere á esta interpelación. cerca para formarse una idea de la energía y constancia que bio…</t>
  </si>
  <si>
    <t>Borbon, Boyer de Pei-</t>
  </si>
  <si>
    <t>Boyer de Pei- Borbon</t>
  </si>
  <si>
    <t>…eto que se le habia confiado fuera de confesión , pero corno Causa 1.a Causa política del siglo xix. Proceso seguido con­ Guadalupe..................... consecuencia de la confesión. tra el Sr. conde de Linois y el coronel barón Boyer de Pei- Borbon................................... 8.a Seductor sorprendido en el aposento de una joven sol­ Gu yana............................ tera, y muerto por mano del padre de esta. releau. 9.a Crimen de alta traición, ó proceso de Miguel Miguel. 2.a Causa política del siglo xix. Proce…</t>
  </si>
  <si>
    <t>Borbon, Eugenio Hernández</t>
  </si>
  <si>
    <t>Eugenio Hernández Borbon</t>
  </si>
  <si>
    <t>…a Alvarez, D. Benito Ochoa, D. Francisco tener á las hordas facciosas en los límites de sus guaridas , y López, D. Juan Tejada y Lozano, D. José María M altrana, uuuca osaron pisar esta fértil vega, ni fhvadir los ricos pue­ D. Eugenio Hernández Borbon, D. Juan Bautista Verdegal, blos de 1a Ribera. Es el mismo que al frente de algunas com­ pañías de los batallones y escuadrones de esta capital y sus CORRESPONDENCIA DE LA GACETA. y D. Rafael Jiménez , quienes declararon haber lugar á la for­ mación de causa, por seis voto…</t>
  </si>
  <si>
    <t>Bordogny</t>
  </si>
  <si>
    <t>…capital , donde de aduana. la célebre prirna-donoa hizo sus primeros estudios bjjo la d i ­ En la sesión de competencia, celebrada el Jueves último en Pues ahora b ien ; nosotros preguntamos al ministerio: ¿0 0 rección del Sr. Bordogny , actual director del conservatorio de el L iceo , se presentó por varios individuos del mismo un fi­ tendrá la Francia ig u a l derecho á ser tratada en H aiti con las música. lantrópico proyecto, que no menos honor hace á los que lo pro­ mismas consideraciones que la Inglaterra ? Cuat…</t>
  </si>
  <si>
    <t>Borghesi, Camilo</t>
  </si>
  <si>
    <t>Camilo Borghesi</t>
  </si>
  <si>
    <t>…y que hubiera privada. En i S 5 2 heredó las inmensas posesiones de su herm a­ nistradores con sus deberes, dieron origen á aquel triste y a z a ­ podido interpretarse corno si fuera una nueva concesión. no mayor el príncipe D. Camilo Borghesi, y empleó sus riq u e ­ roso resultado. Finalmente, por el cuarto artículo del tratado se asegura la zas en restablecer el museo Borghesiauo, en desecar el lago G a- Resuelto el actual médico-director D. M arian o José Gonzá­ devolución del castillo de Ulúa con su artille r ía , ta…</t>
  </si>
  <si>
    <t>Borgoña</t>
  </si>
  <si>
    <t>…desde el rio Miño hasta el Tajo en 1098. Entre Crecen hoy bellas ñores muchos aventureros ilustres que servían en el ejército de Cas­ NOTICIAS NACIONALES. Que darán algún dia dulce fruto , t i l l a , habia un hijo del duque de Borgoña, gran potentado de Y á la moderna España aquel tiempo. Este joven se llamaba Enrique ; y por su valor é O viedo 25 d e N oviem bre, H arán que el mundo entero ilustre cuna mereció la mano de la Infanta Teresa , h ija del De admiración y gloria R ey , el que cedió á su yerno la parte de Po…</t>
  </si>
  <si>
    <t>Borja, Mariano</t>
  </si>
  <si>
    <t>Mariano Borja</t>
  </si>
  <si>
    <t>…inados y rebeldes del Sacristao : di­ celo y sentimientos evangélicos del benemérito y digno cura de Lo que de orden del Excmo. Sr. general encargado del man­ cha brillante división ha tomado la dirección de Murviedro. Benisa D. Mariano Borja. do se hace saber al público para su satisfacción. Barcelona 50 Después de los golpes maestros que recibieroa en las alturas Benisa 22 de Octubre. Amigo: Las fiestas de la paz se han de Octubre de 1859.=El gefe de las secciones fijas.—Antonio de Alcora é inmediaciones de la invicta Luc…</t>
  </si>
  <si>
    <t>Borja, Vicente</t>
  </si>
  <si>
    <t>Vicente Borja</t>
  </si>
  <si>
    <t>…dro Maldonado, segundo Deuda negociable de 5 por 100 á papel, 00. Será éxornada con todo el aparato que su argumento re-1 U. Juan Mesia. ° Idem sin interés, 6* y 6£ nuevas al contado: 6± y 6 | á v. quiere. Regidores: primero D. Vicente Borja , segundo D Pedro Guerrero, tercero D. Cristóbal Tey, cuarto D. Juan Antonio f. ó Accionesvol.: 7 á 60 d. f. ó vol. á prima de | por i 00 nuevas. ¿el banco español de S.aa Fernando, 00.</t>
  </si>
  <si>
    <t>Borjas</t>
  </si>
  <si>
    <t>…a Cruz del Pobre, término de la villa de o tr a s muchas corrientes que la sonda ha descubierto en varias Galároza , provincia de Huelva. ; partes. El autor principia su trabajo manifestando lo interesante Entra después el Sr. Borjas á considerar la facultad absor­ que es sustraer los niños de familias indigentes de la miseria y Denuncios. bente que tienen los terrenos estratificados, de la cual se ha sa­ corrupción á que están expuestos en el seno de sus parientes, cado tanta utilidad en muchos puntos, respecto de la a…</t>
  </si>
  <si>
    <t>Borrego</t>
  </si>
  <si>
    <t>…de la nuestra; pero Pasó a contestar á otras observaciones, concluyendo con go que deshacer las mismas equivocaciones que ha rectificado que en las circunstancias lamentables en que nos hallamos nin­ decir respecto á la del Sr. Borrego sobre que esto se habia traído el Sr. Gómez Acebo, y e n que ha incurrido el Sr. Mon. Por gú n talento adm inistrativo busca ese remedio heroico y ese pro­ de F ra n c ia , que fuese ó no del extran gero , era un pensamien- de pronto diré que S. S. ha combatido lo que no ha dicho nin­ d i…</t>
  </si>
  <si>
    <t>BORREGO</t>
  </si>
  <si>
    <t>…re significar, y por lo mismo no puedo aprobarle. interpelación no es de manera alguna corno de hostilidad al decir que lo retira , pues lo cree muy en su lugar. El Sr. Secretario del Despacho de H A C IE N D A : Señores, El Sr. BORREGO dijo que creía de suma importancia el he pedido la palabra para contestar únicamente á una expre­ Gobierno, y particularmente al Ministro actual que no ha te­ asunto que ocupaba al Congreso , y que habiendo sido bastan­ sión del discurso del Sr. Sancho. Ha dicho S. S. que estábamos nido para…</t>
  </si>
  <si>
    <t>Borrego, D. Andrés</t>
  </si>
  <si>
    <t>D. Andrés Borrego</t>
  </si>
  <si>
    <t>…o. Sr. D. Mariano Miguel de Reinoso , Secretario 1.° Castellón de la Plana. Sr. marques de Casa-Iru jo. Sr. D. Luis Rodríguez Camaleño. Sr. D. Diego María López, electo. Sr. D. Lorenzo Arrazola. Sr. D. José María Valterra. Sr. D. Andrés Borrego, electo. Sr. D. Millan Alonso.</t>
  </si>
  <si>
    <t>Borrell</t>
  </si>
  <si>
    <t>…de dejar que los condes le protegiesen, le goberna­ NOTICIAS NACIONALES. do hasta que él lo ha publicado. Es una escritura de ven­ sen, le aumentasen con nuevas conquistas, le fortificasen ta del año 961, hecha por el conde D. Borrell, nieto de con nuevas alianzas, le poseyesen en tin en toda soberanía: V alencia 5 de Junio. Wifredo i, en la cual señalando su titulo á ella, dice que porque el tiempo convierte los gobiernos de hecho en go­ la hubo de su padre y abuelos, y estos del gloriosísim o biernos legales. (Extrac…</t>
  </si>
  <si>
    <t>Borso</t>
  </si>
  <si>
    <t>…s no se han concluido; el negocio de B él­ ed ificio , en el que se habían refugiado. solos de la Pensilvania y del Saint A u dré valían de 4 &amp; 50 gica está todavia entre las manos del M in isterio ; la Cam ara no 4*a El general Borso habia pedido su cuartel por falta de libras esterlinas. (Standard.) tiene á la vista las piezas que ilustrarían su juicio. N ada mas salud hacia y a tres meses. La evidencia de las aclaraciones an­ sencillo en la apariencia que d ecir; no queremos pronunciarnos teriores que cuanto dice Cabre…</t>
  </si>
  <si>
    <t>…co Salvá y Campillo, y D. Fran­ efectuándose 1a cura pronta y radical de esta afección morbosa, general en gefe con las Tuerzas de Clemente hacia Igualada, el cisco Sarnpons y Roca. Un cuaderno en 4.0 impreso en 1784, y general Borso para el campo de Tarragoua, y la división As- adornado con dos láminas en que se describe general y particu­ ydoá lalasfiebre veces pertinaz, en el corto tiempo de tres dias, cortan­ indudablemente por crónica y rebelde que sea, in­ piroz queda destinad* á esta proviocia , y hoy se asegura q…</t>
  </si>
  <si>
    <t>Borstell</t>
  </si>
  <si>
    <t>…con ha*» tnuna será general en gefe en el caso que h aya alguna expedi­ pero entonces ¿qué autoridad la decretaría? El pacto de 1815 no ber o i do el trozo que acaba de leerse, si explica todo lo que tie** ción: y el general de Borstell, á cuyas órdenes están las tropas dice nada acerca de este punto. ne relación con este asunto. : ; .I ; ^ del R in y de W estfalia, obtendrá el mando en el interior. L ord C olch esieri Yo desearía que el conde de M into nos dijese si las excusas dadas por él alm irante francés han sido v…</t>
  </si>
  <si>
    <t>Bosch, Vanden</t>
  </si>
  <si>
    <t>Vanden Bosch</t>
  </si>
  <si>
    <t>…acas. en ninguna otra colonia , y en donde mejor he observado en para juzgar de su resistencia, si las cañerías son de barro, todo reinaba deel orden Los jóvenes 15 á 25 años tienen su dormitorio aparte. En compañía del general Vanden Bosch , m ereferí reí á está 1 cqí&lt;£- mas completo. Existen ademas 18 casillas nia en todas las explicaciones geoerales que voy a dár relativa­ p lo m o , o h ie rro colado; por ultim o , debe ser este trabajo distribuidas en este terreno, en las cuales se albergan otras tan­ m uy detenido…</t>
  </si>
  <si>
    <t>Bosvers</t>
  </si>
  <si>
    <t>…a cau­ actual. Dios guarde á V. E. muchos años. Madrid 22 de sado alguna agitación. Una fuerza considerable, bajo las órde­ Marzo de 1839.=Excmo. S r.= Zenon Asuero.—Excmo. Se­ R E IN O D E H A N N O V E R . nes del mayor general Bosvers, habia .sido enviada de nuevo ñor Secretario de Estado y del Despacho de la Goberna­ contra Yhausee , donde un destacamento del 16.° regimiento ción de la Península. Hannóver 27 de Febrero. indiano á las órdenes del capitán Duff se ha visto rechazado. El capitán Duff ha recibido una herida…</t>
  </si>
  <si>
    <t>Bosvring</t>
  </si>
  <si>
    <t>decretar que se haga la indemnización inm edia tam ente, de,'°,rá tiene otra ocupación el doctor Bosvring que la de ir á cualquier calizos y demas, porque los adelantamientos de la geognosia por lo menos declarar que su intención es de terminar pronta­ parte donde puede llamarle su interés comercial ó industrial. han demostrado científicamente lo que no se sabia sino con im ­ mente este arunto.…</t>
  </si>
  <si>
    <t>Botas, Blas</t>
  </si>
  <si>
    <t>Blas Botas</t>
  </si>
  <si>
    <t>…tarde del 11 del próximo pasado, y sentenciados por el con­ do en la frontera una junta , adonde, como centro de unidad, naciones no estaban obligados coa respecto al Papa á tributo ó sejo de guerra ordinario á la última pena D. Blas Botas, sub­ deben dirigirse los del partido contrario de Maroto. La situa­ vasallaje; mas hacían mucho caso de sus amonestaciones y am e­ teniente de las filas carlistas , fugado el año anterior del depó­ ción de este general es espantosa, y se duda que pueda soste­ nazas , y generalmente obe…</t>
  </si>
  <si>
    <t>Botet</t>
  </si>
  <si>
    <t>…ico se habia de y preguntas que se le hicieron. lazquez, comandante de ingenieros de esta plaza; el coronel Don ad q u irir por su talen to, escribió al Rey Federico ir de D in a ­ El segundo dia se presentó á la pizarra el Sr. Botet, y des­ A gu stín Lim ian a de !a Puente, director de las obras de este marca , recomendándole que llamase al astrónomo á su corte y pués de hacer ver la poca confianza que se debe tener en la l a ­ p uerto, que permanentemente han asistido, la junta dió una le protegiese , seguro de que el m…</t>
  </si>
  <si>
    <t>Botánico, María Mariuela Aguilar.</t>
  </si>
  <si>
    <t>María Mariuela Aguilar. Botánico</t>
  </si>
  <si>
    <t>…sus ayudantes y ordenanzas. La lí­ todiaron los objetos rifad os 558 225. Un cogiu bordado de rocortes de colores, i la señora nea se extendía desde cerca de la Cibeles hasta el jardín Por la conducción del globo, bolas pa­ Doña María Mariuela Aguilar. Botánico, y constaria de la fuerza de 2500 plazas. ra el sorteo y asistencia de cuatro 67. Un pañuelo bordado en una bandeja de cristal, á la S. M., que se presentó en carretela, se dignó recor­individuos de loterías.. . . . . . . . . . . 178 Sra. Doña Rosario Serrano. rer…</t>
  </si>
  <si>
    <t>Bourgue</t>
  </si>
  <si>
    <t>…-belga, á la que asistieron el Príncipe de Esterhazy, el manera definitiva y con ventajas recíprocas para Méjico y la Las noticias de Salónica del 12 de M ayo dicen qne habían conde Pozzo-di-Borgo , lord Palraerston , el barón de Bourgue— Francia sus relaciones en lo sucesivo, los agentes diplomáticos estallado afli los alborotos después de la partida de la g u arn i­ ney y el baion de YVerther. y consulares , los ciudadanos de todas las clases, los navios y ción : sin em bargo, se habia reprimido el desórdeu ; pero en A l-…</t>
  </si>
  <si>
    <t>Bourqueríey</t>
  </si>
  <si>
    <t>…ien expone su vida y office. Asistieron el príncipe Esterbazy , el conde Pozzo di Bor- sumucha consideración, á su nieto Joaquín M urat, hijo de L u ­ derrama una sangre que á toda costa debiera conservarse ? De go, el barón de Bourqueríey, lord Palmerston y el barón de ciano Murat. Según las últimas disposiciones de la entre nosotros han salido centenares de estos defensores de nues­ W erther. También habían sido convocados los plenipotencia­ difuntaNapoleón tros derechos. En medio de ellos tenemos i nuestros hermanos r…</t>
  </si>
  <si>
    <t>Bow</t>
  </si>
  <si>
    <t>…to de estabilidad La comi ion de examen y conservación de los monumentos que constituye la seguridad del presente y la garantía del por­ públicos de Egipto acaba de organizarse conform e al proyecto venir.” formado por el doctor Bow ring , comisionado por el bajá. Esta El Rey respondió com o sigue: comisión protegerá sin duda esas preciosas antigüedades contra " D o y gracias á la Cámara de los Pares por los votos que N O T IC IA S N A C IO N A L E S . las tentativas de los vándalos que recorren el E g ip to , priván­ acaba…</t>
  </si>
  <si>
    <t>Bowles, Guillermo</t>
  </si>
  <si>
    <t>Guillermo Bowles</t>
  </si>
  <si>
    <t>…Barcelona, en la de Sellas U lS T O R IA natural y descripción de la langosta de Espapa Inscripciones en el gran libro á 5 por 10 0, 00. y Oliva y Sauri, y en los demas puntos donde se hayan sus­ ^ y modo de destruirla , por D. Guillermo Bowles, con U Títulos al portador del 5 por 100 , 20 nueve diesiseisayos coa crito, donde sigue abierta la suscripción. instrucción dirigida á los pueblos para exterminar esta terrible •opones al contado: 20 quince dieziseisavos, f , once dieziseisa- plaga. Uu cuaderno en 8.° que puede i…</t>
  </si>
  <si>
    <t>Bowring</t>
  </si>
  <si>
    <t>…lles arriba de dos personas. El gobernador actual NOTICIAS NACIONALES. Berlín 15 de Octubre. es el hombre único que conviene en las circunstancias en que se Lugo 4 de Noviembre. encuentra la ciudad, {id.) La misión del doctor Bowring cerca del Congreso de los Es­ Capitanía genera! de Galicia.—Artículo de oficio,=:E1 coronel tados de la Union de comercio de la Alemania, no ha pro­ comandante de los cantones de la izquierda del Miño, con la co­ ducido los resultados que el celo y la habilidad de este hombre Mr. Tomas W a g…</t>
  </si>
  <si>
    <t>…ha sido nombrado agente parlamentario del comité, y y como ea el parage á que principalmente lo dirigía después Mr. Austin su primer consejero parlamentario. de derribado un m uro, apareció otro nuevo, sin dejar de in­ EL doctor Bowring se ha explicado en estos términos: No Escriben de Londres con fecha 5 de Febrero: sistir en el mismo, dirigió al propio tiempo sus tiros hacia hay hipocresía mas monstruosa que la del hombre que, des­ Mr. Montgommery M artin acaba de publicar una obra otros que parecieron y fueron mas fácile…</t>
  </si>
  <si>
    <t>Boyer</t>
  </si>
  <si>
    <t>…alia. A su derecha é izquierda marchaban el prefecto y el cor- agentes de policía de Londres, y trató de dispersar la concur­ choso , y aprehender dos caballos, que se han aplicado al ser­ egidor; después iban el teniente general Boyer, su primer ay u - rencia. vicio de la caballería , siendo nuestra pérdida la de un oficial íante de cam po, el general Jacobi, el coronel Poque, goberna- Apenas se apoderaron los constables de las banderas y de los y seis soldados heridos, y un caballo muerto. lor del castillo , los agregados,…</t>
  </si>
  <si>
    <t>Boyer, PARTE NO OFICIAL.</t>
  </si>
  <si>
    <t>PARTE NO OFICIAL. Boyer</t>
  </si>
  <si>
    <t>…amiento de las tropas y Nacionales que tu ­ Ha llegado á esta el duque hereditario con toda su servi­ vieron parte en este suceso. dumbre. Audi 20 de Julio . GRAN BRETAÑA. S. A. R. el duque de N em ours, acompañado del general PARTE NO OFICIAL. Boyer, su ayudante de carnpo; de Mr. de Noailles y de Mr. Londres 19 de Julio . Beranger, ha atravesado esta mañana la ciudad de Auch. Reproducimos del Philadelphian inquirer el extracto si­ Como se le aguarda en Paris para los aniversarios de J u ­ guiente de una carta escrita…</t>
  </si>
  <si>
    <t>Boyers</t>
  </si>
  <si>
    <t>…Tratado completo de anatomía ó descripción de todas las monstruosos que diariamente exigían víctimas, y estas víc­ partes Según aviso recibido en esta dirección se ha extraviado una cados siete del cuerpo humano por el Sr. barón Boyers van publi­ timas eran hombres. La imaginación, reprimida por aque­ libranza que expidió la misma en 4 de Julio ultimo sobre Oren­ cuadernos á 7 reales cada uno. se, niítn. 5,762, de rs. vn. 503, y en su virtud quedará sin Historia general de la civilización en Europa desde la caída llos sím…</t>
  </si>
  <si>
    <t>Bra</t>
  </si>
  <si>
    <t>…en otra párte con este nombre* C AJA DE AHORROS DE MADRID. de Peñalver. Son cuatro cuadernos en folio que se dan sueltos en la forma siguiente: Domingo 24 de Noviembre . Número 1 .° Descripción de la prensa hidráulica del Sr. Bra­ Rs vn. Mrs. ción y Contiene mada una estampa que la representa., coo su explica­ algunas reflexiones sobre su uso y aplicación; se vende TEATROS. cada ejemplar iluminado al precio de 5 rs. rústica. Han ingresado en este dia, depositados por Í 4O En negro á 4 id. PRINCIPE. A las siete de la…</t>
  </si>
  <si>
    <t>Braganza</t>
  </si>
  <si>
    <t>…tanta habili­ después én manos de ministros instruidos y experimentados, me­ dad y valor personal, que las armas de España obtuvieron una El reino murió Henriqúe ir de Portugal sin heredero Jegítimo; se declaró por el duque de Braganza ; pero Felipe ií, dios preciosos de defensa contra el huracán que amenazaba completa victoria en aquel dia, quedando el eleclor de Sajonia que pretendía tener derecho á la sucesión de Portugal, llamó á la nación/’ En cuanto á la influencia de la segunda, dice hecho prisionero. Cárlos v qu…</t>
  </si>
  <si>
    <t>…tán uqa^cpnspira^ion* y eai 1 .? de Diciembre de I 64 O proclamaron primera medida fue nombrar una regencia en la isla Tercera, formados con bellos edificios, como la aduana , la lonja y otros» de Pqrtugal á J u a n j v duque de Braganza, descendiente que se habia mantenido fiel á Doña M a ría , y habiendo junta­ En el centro hay una estatua de bronce del Rey José 1. Las de la antigua familia R eal, y en. él principió la dinastía que do un ejército de voluntarios franceses , ingleses y los emigra­ calles que conducen á esta…</t>
  </si>
  <si>
    <t>Braganza, Oliva-</t>
  </si>
  <si>
    <t>Oliva- Braganza</t>
  </si>
  <si>
    <t>…jo Felipe iv , hasta que exasperada la nobleza portu­ fante de cinco años de edad, y vuelto á Europa como duque de mercio junto al desembarcadero, con un área de 615 pasos de guesa coa la provocante conducta del ministro conde de Oliva- Braganza se empleó con ardor en formar una expedicioo para largo y 550 de ancho. Por un lado está abierta al r i o , al otro .-í® unió al pueblo o prim id o, formaron con mucho arte arrojar de Portugal al usurpador de la corona de su hija. Su tiene un palacio ahora arruinado, y los otros dos…</t>
  </si>
  <si>
    <t>Brambilla, Teresina</t>
  </si>
  <si>
    <t>Teresina Brambilla</t>
  </si>
  <si>
    <t>…que el ingeuiero Calleja propone Tenemos ya en Barcelona á la Sra. Lusignani, que debe muchos de íos legos hacian de ella. Leltre á Mr. L E v e - Ja construcción de otros dos ramales de poca extensión , cuyo sustituir á la Sra. Teresina Brambilla , y aunque corre la voz qae d' Arras $ c.” coste regula en 491460 rs.; y que dice que continuando al in­ de que es bastante buena, los aficionados nos contentaríamos La misma Iglesia aun ahora tiene justamente m anda­ terior por tierra de Campos hasta Frómista , resulta un ahorr…</t>
  </si>
  <si>
    <t>Brasileños, Rosas.</t>
  </si>
  <si>
    <t>Rosas. Brasileños</t>
  </si>
  <si>
    <t>…español, 2 0 ¿ con los cupones. Hé aq u i, sin hablar del bloqueo que sufre la república ar­ Camino d e V alencia á S a n ta n d er . No ha habido variación en los demasr valores. g en tin a, la situación actual de su gobernador Rosas. Brasileños, 76^. El general R iveira, presidente de la república del U ruguay Con fecha 9 del corriente desde Santander me dice el inge­ B elgas, 102 j . niero D. Antonio A rríete que y a se habia verificado la reunión (Montevideo), se ha puesto en marcha contra aquel pais con Holandeses a…</t>
  </si>
  <si>
    <t>Braulio</t>
  </si>
  <si>
    <t>…l Excmo. Sr. D. Antonio de en oo haber admitido á los emigrados en Valcarlos, y en no y respeto á sus compañeros. Ha tratado de prevenir al Congreso contra la comisión di­ Barata , consejero de Estado, y de los Sr es. vocales D. Braulio haber admitido á otros de valles leales ocupados por los faccio­ ciendo que no estaba el acta de Viana. Rodríguez de la Dehesa, individuo de la diputación provin­ sos. La comisión ha visto estas reclamaciones, y conoce que no El Sr. A RM EN D A R IZ: He dicho que no la he visto, (/''a- cial…</t>
  </si>
  <si>
    <t>…s de la bandera na­ A lttviller, cerca de Saint-Avold , se ha encontrado en lo inte­ cional. juzgar de los exámenes sus señores individuos D. Félix García rior de la pared uaa bolsa usada por el tiempo y la humedad, Cuerva, D. Braulio G uijarro, D. Toribio Guillermo Monreal, D. Bia9 López, cinco años de ed ad , número siete de la p ri­ y conteniendo 11 monedas de plata. Todo indica qüe esta ocul­ tación se hizo al tiempo de la invasión de los suecos. Las unas no D. Juan Manuel de Linares y D. Francisco Galvez , quienes me…</t>
  </si>
  <si>
    <t>Bravo</t>
  </si>
  <si>
    <t>…haber incurrido el Sr. Sancho, y que di­ de cinco hasta la de doce añ os, llamó particularmente mi aten­ gracias á S. S. por lo que respecta á sus intenciones, aunque no cho señor rectificó, entró á refutar las doctrinas del Sr. Bravo ción Ja excelente educación fisica de todos ellos, sin la cual de podíamos aprobarla por el modo de hacerla. M u rillo , demostrando lo peligrosas que eran sus doctrinas, nada aprovechan al hombre todos los conocimientos humanos. E l Sr. Iznardi fundó su interpelación en que el conde de pues…</t>
  </si>
  <si>
    <t>…s modales. Decir queia Sra. Llórente y el Sr. Fabiani han ó presentación ; y aun cuando asi no fuese, poco podrían resis­ disposición la Sra. Campos, se volverá á poner en escena la estado admirables nos parece excusado. La Sra. Bravo ha tir al numeroso, valiente y aguerrido ejército que está pronto aplaudida ópera bufa en dos actos, del maestro Ricci, titulada entendido y caracterizado muy bien el papel de la ba­ átalcargar sobre ellos, y que indudablemente conseguiría su to­ exterminio, á no rendirse, como es probable l…</t>
  </si>
  <si>
    <t>…cuela mas elevada y que de la condesa haciéndola tia del duque; y, sea dicho entre pa­ villa , de suerte que obrando todos en combinación y con ac­ en ellas no ha sido siempre feliz; ¿pero no manifiestan Don réntesis, ni la Sra. Bravo tiene edad para hacer papeles de vie­ tividad , es casi segura la destrucción de aquel rebelde. Fernando el emplazado y la Elena que su autor no está des­ ja, ni el Sr. García Luna para hacerlos de joven enamorado. el Por 10 carta de Vitoria escrita el 12 del corriente, se sabe que se verif…</t>
  </si>
  <si>
    <t>…una fuerza de rio del Norte. policía en aquella ciudad. R E IN O D E H A N N O V E R . M E JIC O . Hannóver 11 de Agosto . Se dice que Mr. Poulet Thomson irá de gobernador al Canadá. Por N ueva Orleans sabemos que el general Bravo habia sido Habiéndose restablecido la tranquilidad, los regimientos Se hacen preparativos en Manchester-IIouse para el reci­ nombrado interinamente presidente de la República mejicana, que se habían hecho venir aqui volverán á sus guarniciones. bimiento del embajador de Francia, conde Sebastia…</t>
  </si>
  <si>
    <t>Bravo, Arguelles</t>
  </si>
  <si>
    <t>Arguelles Bravo</t>
  </si>
  <si>
    <t>…nte de tributar á los demas todo el celo y respeto que G aliano, Puche, Fonseca , marques de C asa-lru jo , Salamanca, las contribuciones, y vice versa; pero cuando un p ais se exijo para mí. Había entendido la idea como el Sr. Arguelles Bravo M urillo, Castro , P id a l, marques de Montevírgen, du­ la entiende, y uo podia creer que fuese un cargo á mí que no que de G o r , Cambronero, Anguera, Infante, Pacheco, Perez encuentra en circunstancias tan tristes que ni es posible soy el Gobierno, sino el mas humilde individuo…</t>
  </si>
  <si>
    <t>Bravo, D. Francisco Hilarión</t>
  </si>
  <si>
    <t>D. Francisco Hilarión Bravo</t>
  </si>
  <si>
    <t>…de letras , á 6 por 100 al año. CRUZ. A las siete de la noche. Se volverá á poner en Sr. D. Eusebio María del Valle, director. escena la ópera nueva, dividida en tres partes, titulada Sr. marques del Socorro , subdirector. Sr. D. Francisco Hilarión Bravo , censor. I B R IG A N T I, Sr. D. Basilio Castellanos, vice-censor. PROVIDENCIAS JUDICIALES. Sr. D. Juan Antonio Seoane, secretario. poema de Crescini, cuyo asunto está tomado de la famosa tra­ Sr. D. Francisco Bertrand de N a rd , vice-secretario. T O D A S las perso…</t>
  </si>
  <si>
    <t>Bravo, Luis González</t>
  </si>
  <si>
    <t>Luis González Bravo</t>
  </si>
  <si>
    <t>…n Ramón de Barcia y D. Angel Hidalgo : w después de con­ za de 50 hasta 520 caballos. También se fletan y alquilan al­ pretensión. ferenciar entre sí el asunto, declaran por unanimidad que ha gunos de primera clase. Num . 15. D. Luis González Bravo, vecino de esta corte, lugar tículo á la formación de causa , y firman con arreglo al ar­ 46 de la libertad de imprenta. Coruña 15 de Julio 4 0 , Se venden igualmente máquinas para vapores de fuerza de 80 y 220 caballos. quejándose de haber intentado su prisión y haber allana…</t>
  </si>
  <si>
    <t>BRAVOMURI</t>
  </si>
  <si>
    <t>…concederla ; si la en aígo pueden contribuir al esmero con que todos los padres nunció en concede, desde entonces empezará la responsabilidad del Gobier­ de fam ilia deben procurar sacrificarse cuanto les sea posible por El Sr. B R A V O M U R IL L O : Había pedido la palabra para no ; si se le niega , no tiene responsabilidad alguna. la mejor educación de sus hijos. contestar á la interpelación del Sr. Izuardi, y asi y o como los E l Sr. A R G U E L L E S después de indicar algunas de las equi- 1 . a Observación. A l ver…</t>
  </si>
  <si>
    <t>Brañanoba, Francisco</t>
  </si>
  <si>
    <t>Francisco Brañanoba</t>
  </si>
  <si>
    <t>…63 rs. pagados por el ayuntamien­ do á usar del derecho que se conceptúen asistidos en la reclama­ to y por trimestres; ademas casa y libre de contribuciones. La Lóndres, á 90 dias, 38§ din. Coruña, 1 d. ^ ción producida por D. Francisco Brañanoba, vecino de dicha barba se pagará por separado de los que se afeitan en su casa. Paris, 16-6. Granada, id. id. ciudad sobre enagenacion de un título al portador del 4 por 160, Se dirigirán las solicitudes al ayuntamiento de dicha villa an­ M álaga, i papel. despachado en esta cap…</t>
  </si>
  <si>
    <t>BRE, ICIEM</t>
  </si>
  <si>
    <t>ICIEM BRE</t>
  </si>
  <si>
    <t>…en Oriente. El hatti-scheriff de Gulhané debe tener para ella consecuencias no muy venta­ lico primitivo. Generalm ente hab lan do , se reduelan á ex­ josas. Asi en Londres se considera esta carta, que según es sa­ MADRID 9 DE D ICIEM BRE. plicar las divinas Escrituras, y á deducir de ellas reglas y preceptos de m oral: y para hacerlas perceptibles y a m a­ bido promete el establecimiento de un sistema regular y unifor­ me de impuestos públicos, corno destructora del art. 2 .° del tra­ bles se valían de lodos los medios pr…</t>
  </si>
  <si>
    <t>…te general de! del ministerio de la Gobernación de la Península, repro­ Campo de Gibraltar al tenieote general D. Fernando Gómez duciendo la que en 15 del anterior pasó al mismo el minis­ de Butrón. (Núm. 1845.) MADRID 18 DE D ICIEM BRE. I terio de la G uerra, acerca de los que se mutilen voluntaria­ nombrando comandante general del Campo de Gibraltar al teniente general D. Luis Carondelet y Castaños. (Id.) mente para sustraerse al servicio de las armas. (Id.) ■ del ministerio de Gracia y Justicia, determinando que Cir…</t>
  </si>
  <si>
    <t>BRE, LA RESURRECCION DE UN HOM</t>
  </si>
  <si>
    <t>LA RESURRECCION DE UN HOM BRE</t>
  </si>
  <si>
    <t>06/07/1839</t>
  </si>
  <si>
    <t>Gaceta de Madrid n.º 1694</t>
  </si>
  <si>
    <t>…n la civilización material. No lo entende­ rior llegaron 290 caballos del 5.° de línea, los que salieron pa­ mos; pero es imposible apartar mas una palabra de su ra el N ortea las tres de la tarde en virtud de orden del general LA RESURRECCION DE UN HOM BRE, genuina y primitiva significación. Romance quiere decir no­ en gefe del ejército: también entraron en esta plaza , proceden­ vela, cuento, fabuia inventada para deleitar; y ahora se tes de la de Y alladolid, dos carros con armamento. poema o r ig in a l , canto i.° po…</t>
  </si>
  <si>
    <t>Bre, Manuel</t>
  </si>
  <si>
    <t>Manuel Bre</t>
  </si>
  <si>
    <t>…NGERO. venes árabes de Constantino han venido á recibir los primeros principios en la misma escuela? (Id.) NO GANAMOS PARA SUSTOS, Cotización del dia 17 d las tres de la tarde* comedia original en tres actos y en verso por D. Manuel Bre­ EFECTOS PUBLICOS. tón de los Herreros, representada con general aplauso en el tea­ NOTICIAS NACIONALES. tro del Príncipe. Inscripciones en el gran libro á 5 por 100 , 00. Véndese á 8 rs. en las librerías de Escamilla y de Cuesta, Toledo Í6 de Mayo, Tiíhilos al portador del 5 por 100,…</t>
  </si>
  <si>
    <t>Bres, Antonio</t>
  </si>
  <si>
    <t>Antonio Bres</t>
  </si>
  <si>
    <t>…ación, tenemos á disposición comendado ningún cocinero ni ningún médico: por con­ provincia de Toledo, y el tercero por la de Madrid. secuencia no he atentado contra la vida de nadie. Pasó á la comisión de Actas un oficio de D. Antonio Bres­ de V. É. 500 rs. vn. para que los soldados estropeados que hay ca y Colomer, Diputado electo por la provincia de Málaga, en el establecimiento de su cargo, disfruten de la general ale­ gría que proporcionan á toda la nación los últimos felices acon­ c a p i t u l o x. en que pide su…</t>
  </si>
  <si>
    <t>Breslau</t>
  </si>
  <si>
    <t>…0? ¿H ab ia tenido su ministerio amenazas de la auto ridad; un canónigo ha sido arrestado. El ciones la inviolabilidad del R ey, separando á uu lado la res­ una mayoría hasta de 15 votos? Cuando el desacuerdo no fue­ arzobispo de Breslau ha dado también su dim isió n, según se ponsabilidad de los Ministros, declarando que á pesar de esta se sino entre el ministerio y la C á m a r a , el Rey tendría toda­ dice, por no permitirle su conciencia consentir en los casa­ responsabilidad altamente aceptada por ellos, no podían poner…</t>
  </si>
  <si>
    <t>Bresson</t>
  </si>
  <si>
    <t>…entregarse ; y que este servicio pres­ conferencia acaba de comunicar ai Gobierno holandés las ú lti­ Consejo. mas proposiciones hechas por el Gobierno belga. tado por unos individuos que hace poco tiempo pertenecían a El conde Bresson, M inistro de Negocios extrangeros. las filas rebeldes, es de la rnayor consecuencia para la causa de la VEclair. H ay datos para creer que* el Gobierno holandés M r. T h ie rs, M inistro de lo Interior. ha recibido comunicación de parte de la conferencia de las ú l­ p atria y para el terri…</t>
  </si>
  <si>
    <t>BRETAÑA, GRAN</t>
  </si>
  <si>
    <t>GRAN BRETAÑA</t>
  </si>
  <si>
    <t>…u b ric a d o de La Real m a n o .esEn P a ­ cangeados 12 oficiales, 1 capellán, 2 cadetes y 1501 indivi­ lacio á 25 de A bril de 1839.== A D. A ntonio H o m p an era duos de las clases de tropa; y añade que el coronel comandante GRAN BRETAÑA. d e Cos. del cuerpo de estado mayor D. Antonio Carruana , encargado Londres 15 de Abril. de efectuar esta operación , manifiesta que el estado lastimoso en que se encuentran nuestros prisioneros, extenuados y exá­ c á m a r a d e los c o m u n e s . Sesión del dia 15 de Abril. PART…</t>
  </si>
  <si>
    <t>BRETAÑA, José de la Vega GRAN</t>
  </si>
  <si>
    <t>José de la Vega GRAN BRETAÑA</t>
  </si>
  <si>
    <t>…peroá solicitud del plenipotenciario austríaco se insertó lacláu - en la citada parroquia, abintestato, hijo de D. Juan Manuel »ula. Los reglamentos vigentes en los puertos del Danubio de la Vega y Doña M aría G rova, nieta de D. José de la Vega GRAN BRETAÑA. ¡erán observados con respecto á los navios ingleses á su entrada y Doña Rosa del Cam po, naturales de Santa M aría de Toroga y salid a, los cuales serán recibidos en los puertos austríacos en el valle de Hoz, meriadad de T rasm iera, obispado de San­ L on d res 12 d e F…</t>
  </si>
  <si>
    <t>Bretón</t>
  </si>
  <si>
    <t>…pre­ hombres fuertes y que voluntariamente se extravían , es á los que sentándose los desertores en varios pueblos dtfendidos por la debe juzgar mas enérgica y vigorosamente. Con adalides corno el línea de nuestro ejército. Sr. Bretón, cuya armadura es tan completa, un ataque embo­ El Monitor parisiense anuncia esta noche que las activas Las tropas continúan en los mismos puntos. Sabemos de po­ zado , un reto insidioso es inútil; mas aun , es ridículo , porque pesquisas que se han verificado acerca del acontecimiento de l…</t>
  </si>
  <si>
    <t>…elevació n y Fiáramos la m a y o r parte de e¿as escenas tan Lúe» versificadas que ■ o ir el f *1 11o de los es p e d i d o r e s , ni de ahor«.‘ \ . j oco el que preúon podrán mover una pabr&gt;ca, de modo que abra ó •ócr'X el Sr. Bretón llam a c o m ed ia s, pero que la c rític a no puede nosotros lo h a y a m o s r i d i c u li z a d o ; otro f o íle t h ó C i «.preciable, el una v t h v u l a , á c ada cambio que se verifique en la velocidad de acep tar como tales. Sr. Cueto , ha clam ado la rabien coa Ira semej a -¿‘a ' v…</t>
  </si>
  <si>
    <t>…Duero , porque indudable­ imaginación ni de medios para interesar, esa repugnancia ó in­ didez y el tierno amor de esta última. Alguna modificación ha mente la dirección del enemigo era para Aragón. El coronel diferencia del Sr. Bretón hacia el drama social. Cierto es que hecho que no aprobamos, entre otras la de cambiar el carácter Cheli se hallaba ayer en Cogollos, y ha debibo salir para R e- pocas veces se ha ensayado en una escuela mas elevada y que de la condesa haciéndola tia del duque; y, sea dicho entre pa­ villa ,…</t>
  </si>
  <si>
    <t>…a el poeta el espa­ obra. Si la sociedad dramática hubiera sido mas franca Después de la seg u n d a................. ................................ * . . 94 cio que se le otorga para dar suelta a su imaginación y á con el.Sr. Bretón, nos hubiera excusado el tener ahora que D espués de la te rce ra ................. .. ♦. , ............................ . 4ÓO su inspirada fantasía. Doña Urraca no es seguramente la serlo nosotros con entrambos. D espués de la c u a r t a . . . . . . . .............. Í6 2 8 débil niña que…</t>
  </si>
  <si>
    <t>Bretón, Manuel</t>
  </si>
  <si>
    <t>Manuel Bretón</t>
  </si>
  <si>
    <t>…s de las doce del medio dia en la gran plaza de la Constitución. Mientras el Excmo. Sr. segundo pillerada, fortificación de la de. Baños, reducto de Ciriza, el S. M. se ha enterado con particular satisfacción de este su­ cabo D. Manuel Bretón recibía en corte á los cuerpos y autori­ de la Barca y la misma barca de este nombre, están reducidos á ceso* que demuestra el valor y buen espíritu de las tropas lea- dades civiles, militares y eclesiásticas, y las bandas y músicas cenizas, y las voladuras han consumado el espanto y e…</t>
  </si>
  <si>
    <t>…e la tarde • militares que haw llegado á esta ciudad después de haber teni­ Sánchez Ocaña, D. Antonio M altrana, D. Ezequiel Martin y do parte en ella , la cuentan coino un hecho glorioso de armase Alonso, D. Manuel Regidor, D. Manuel Bretón, D. Juan EFECTOS PUBLICOS. mis conocimientos de la localidad y medios con que se ha con­ Miguel Inclan y D. Juan R u iz, quienes por unanimidad de­ seguido me la hacen ver del mismo modo; y la insignificante clararon haber lugar ¿ la formación de causa. Madrid 25 de Inscripciones en…</t>
  </si>
  <si>
    <t>Breves</t>
  </si>
  <si>
    <t>…en el departamento de Negocios extrangeros binete de ap o yar á M e h ern e t-A ií, para que obtenga el gobier­ cipe piensa pasar pocos dias en T herap ia, y que no lardará eri ha sido nombrado por el Santo P adre, secretario de Breves, en no hereditario de la Siria bajo las condiciones que y a son cono* ir á la bahía del A r s e n a l . La sociedad de Pera ha recibido con reemplazo del cardenal de Gregorio. cidas. Por tnuy pequeña que h a y a sido la satisfacción que el placer esta noticia y disfruta anticipadamente de su…</t>
  </si>
  <si>
    <t>Bringas, Pedro</t>
  </si>
  <si>
    <t>Pedro Bringas</t>
  </si>
  <si>
    <t>…Nada de preámbulos; cuando dóciles á vuestros consejos, pues conocerán mejor vuestra su ­ este edicto, á los herederos del teniente coronel de ingenieros se a b e !a escena está solo A rgan, y sin embargo apenas ha perioridad. D. Pedro Bringas, que falleció en esta corte en el año ante­ pronunciado algunas palabras, y ya ha comprendido el especta­ Ah!... Contestó Moliere: está interesado mi honor en se­ rior; á D. Trinidad Alvarez , capitán de infantería; D . Pedro dor todo el espíritu de la comedia. guir en la compañía. Tel…</t>
  </si>
  <si>
    <t>Briones, Mariano</t>
  </si>
  <si>
    <t>Mariano Briones</t>
  </si>
  <si>
    <t>21/03/1839</t>
  </si>
  <si>
    <t>Gaceta de Madrid n.º 1587</t>
  </si>
  <si>
    <t>…ó tácitamente este pacto: Yo evitasen toda clase de desórdenes; y mientras tomaba estas dis­ respetare y defenderé vuestra existencia (dice á los demas del Sr. Silvela y á sus sentimientos filantrópicos, que aun­ posiciones, D. Mariano Briones , comandante del batallón de hombres que forman con él la sociedad); vosotros respe­ que sostiene la necesidad de conservar en los códigos la Milicia nacional, llevado de su buen celo, se situó en la guar­ tareis y defenderéis la mia ; si faltam os d esta obligación pena capital, s…</t>
  </si>
  <si>
    <t>Brissac</t>
  </si>
  <si>
    <t>…s tantas habrían sido también cha fue a Ulpiáúo, donde batió á los franceses mandados por en mantener su ejército én la más estricta disciplina. Era infle* y planteadas en el suelo español por nuestros sabios minis­ el conde de Brissac ; de alli partió á M ilán, sofocó la sedición xible áun cruel, pero no sanguinario sino con los rebeldes; y tros, sin temor de los vendavales y furiosos movimientos causada alli, y dejó la plaza en seguridad; luego fue á N ápo- esto mas por principio que por disposición. Aunque cierto feÚ…</t>
  </si>
  <si>
    <t>Bro-</t>
  </si>
  <si>
    <t>…de pasión tan soez. El mismo en la disciplina. (Debáis.) ba de recibir de Mr. Passy la noticia de haberse roto la combi­ efecto produ ce la herm osa com paración de Rioja. nación centro izquierdo, hizo llamar S. M. al duque de Bro- glie y le invitó á ponerse de acuerdo con el mariscal Soult ¡Qué callada que pasa las m on tañas para la formación de un Gabinete. El aura respirando m ansam ente! E! duque de Broglie respondió que estaba á las órdenes de i g á rru la y sonante por las canas! En la sesión de 50 de Abril Mr.…</t>
  </si>
  <si>
    <t>Broca</t>
  </si>
  <si>
    <t>…os autores de aquellos antiquísimos tiempos....? Digá­ quien en su ejecución se excedió á sí misma; unas variaciones moslo claram ente: ¿Se querrá que los pueblos y naciones de clarinete con acompañamiento de cuarteto por el Sr. Broca, no miren ni respeten como divinas y bajadas del cielo las quedándose con los dos entusiasmó á los oyentes; una romanza del maestro Fontana sublimes verdades y las máximas morales y eminentemen­ alones cabeceando, que cantó con mucho gusto y expresión el Sr. de Perez, y en . te sociales que co…</t>
  </si>
  <si>
    <t>Brockmann, Leopoldo</t>
  </si>
  <si>
    <t>Leopoldo Brockmann</t>
  </si>
  <si>
    <t>…te atrevió á hacer ninguna obser­ Rudimentos de latinidad. D. José Sánchez, D. Angel Re- sus soldados por haberse separado los dos b u q u es, q u ed o vación, y pagó el jamón al mismo precio que el algodón, es de­ tortillo , D. Leopoldo Brockmann , D. Fernando Reyes, Don solo, prisionero y lleno de heridas; por esto d ijo: «Yo so­ c i r , á 4 pesetas la libra. {Id.) Manuel Docavo y D. Juan Pablo Lasanta. Traducción latina. D. Manuel María Simó y D. José Dios- lo fui el triste entre tantos a l e g r e s , y el cautivo ent…</t>
  </si>
  <si>
    <t>Broglie</t>
  </si>
  <si>
    <t>04/04/1839</t>
  </si>
  <si>
    <t>Gaceta de Madrid n.º 1601</t>
  </si>
  <si>
    <t>…ndiente sobre la mas débil , una «*al contra las trabas que se le han puesto, y contra las p riv a- escuadra seria útil para mantener el equilibrio entre las potencias cioi*es que está sufriendo. Hoy h a sido recibido el duque de Broglie por S. M . beligerantes, y para alentar á los residentes británicos en aquel (Debáis.) Comprendo m uy bien lo poco conveniente que seria estre­ punto. Yo creo que el Gobierno no ha explicado saficientemente char á lord Palmerston á que se explicase en este momento de las causas por que no…</t>
  </si>
  <si>
    <t>…Dijimos ayer tarde que las personas de mayor influjo del ACTAS DEL GOBIERNO. infrascrito. Dado en Badajoz á 28 de Marzo de 1859. z= El centro derecho se ocupaban en la composición del Gabinete. El marques de Almenara. duque de Broglie se habia prestado oficialmente á servir de me­ diador entre el Rey y los individuos llamados á la nueva ad­ M IN ISTERIO DE HACIENDA. ministración. Al efecto tuvo en el dia de ayer una entrevista Real orden. Audiencia territorial de Madrid. con Mr. Thiers, estrechándole fuertemente á que…</t>
  </si>
  <si>
    <t>…ntro izquierdo, hizo llamar S. M. al duque de Bro- glie y le invitó á ponerse de acuerdo con el mariscal Soult ¡Qué callada que pasa las m on tañas para la formación de un Gabinete. El aura respirando m ansam ente! E! duque de Broglie respondió que estaba á las órdenes de i g á rru la y sonante por las canas! En la sesión de 50 de Abril Mr. D u pin pidió la palabra S. M. , y que aunque persistiese en quedar personalmente fuera para hacer algunas explicaciones sobre los motivos que le habian de toda combinación , iba sin…</t>
  </si>
  <si>
    <t>…e p in tu ra Mr. D u p in , al cual han ofrecido positivamente el ministerio Si hemos de dar crédito á un periódico de N ew -Y ork del solam ente en los dom ingos y fiestas de p re c e p to , como de Justicia el Rey y el duque de Broglie; pero se ignora si lo 21 de Marzo, corrían rumores en Rio Janeiro en 1.° de Febre­ hasta el p re se n te , desde las nueve de la m a ñ an a hasta admitirá. ro que la escuadra dél almirante Leblanc , estacionada en el las dos de la tard e ; y los lunes á las mismas horas la ga­ Algunos creen…</t>
  </si>
  <si>
    <t>…na nuúva combinación. El ingeniero D. Elias Aquino con fecha 18 del corriente me dice desde el P a d u l, que en los cinco dias últimos se ha­ necesario que se completase la comisión con personas en qu ie­ Consuliado el duque de Broglie sobre la situación actual, nes pueda tener confianza el pais. protestará á lo que se asegura contra cualquier acomodamiento bían ejecutado 5 i 2 varas cúbicas de terrap lé n , 1891 de des­ m o n te , trasportándolo á distancia de 60 v ara s, y que ea el ca­ El m arq u es d e L a n sd o w n…</t>
  </si>
  <si>
    <t>…interesantes circunstancias. (// Republicano.) Al mismo tiempo se atreve la junta á esperar de V. E. que se sirva recomendar la sociedad á los tribunales del reino, á Gn de que la faciliten los auxilios, datos y no­ El Duque de Broglie se halla en Nápoles en este momento. ticias que necesite para contribuir á las mejoras que se clamaEl : Gobierno provisional ha publicado la siguiente pro­ (Idem.) ha propuesto.” "Por las manifestaciones de los sentimientos de millares de En su consecuencia, dispuesta siempre S. M. á dar á…</t>
  </si>
  <si>
    <t>Brow</t>
  </si>
  <si>
    <t>…das las operaciones practicadas en estas aquel primer ensayo. da pulgada cuad rad a, siendo este peso el término de la fuerza fábricas tan estupendas sin hacer un largo t ra ta d o , que solo Casi al mismo tiempo que el capitán Brow n construía el del hierro forjado sin estirarse. Asi pues el puente suspendido podrían apreciar los arquitectos; y estos sacarán r c m 'v e n t a ja puente suspendido que acabamos de mencionar, estaba emplea­ de Menai puede constantemente mantener el peso de 46 /8 OO consultando á Mr. D re w y…</t>
  </si>
  <si>
    <t>Brown</t>
  </si>
  <si>
    <t>…y á y salvar la vida de! general Santacruz, como en efecto lo h i­ nos, y que de ello se vanaglorian en vez de mostrarse arre­ las órdenes del Excmo. Sr. general en gefe de este ejército , de cieron llevándole á bordo. El general Brown trato de sostenerse pentidos. la que resultó atravesado de un balazo en el hombro izquierdo en Bolivia , pero sucumbió, fue herido y reducido i prisión,y En fin ¿que libertad les queda á los jueces que pronuncian el citado cabecilla, y de haberse encargado del mando de las se supone que sucedi…</t>
  </si>
  <si>
    <t>…onalmente para asegurarlas en la parte de tierra , mientras mó una compañía para el intento. tercia de diámetro , sobre planchas de hierro de un grosor y que los otros las dejan caer perpendicularmente dentro de tier­ El capitán Brown fue encargado en la construcción de este peso enorm e; debiéndose advertir también que la parte de cada ra , adonde las sujetan en un lecho proporcionalraente fuerte. famoso muelle, que comenzó en Octubre 1 8 2 2 , y fue conclui­ cadena que pasa por aquellos cañones es mucho mas fornida Expl…</t>
  </si>
  <si>
    <t>Bruno</t>
  </si>
  <si>
    <t>…cabello y los hombros. No cial, que puede reducirse á cuatro palabras. Oficial de es­ que tiene su casa en Ñapóles, recorre sin cesar las ciuda­ tiene un cabello blanco; vsus sienes, todavía bien lisas, no tado mayor del mariscal Bruno, después del asesinato de des de Roma, Genova, Milán, Bolonia, Florencia y Vene- descubren esos vacíos que con frecuencia presentan la fal­ Aviñon se embarcó para el Egipto, y en breve llegó á ser cia. Cada una de sus obras ha nacido en una ciudad, en ta de cabellos en la cabeza de las mugeres…</t>
  </si>
  <si>
    <t>…i­ Portillo, muerto por las facciones de Tena y Cabañero; á Doña Isabel 1.° de S etiem bre de 183 8; en tendiéndose esto sin e m b a r­ ficio ; y lleno el objeto que el expresado general se proponía, Morella , hija del coronel D. Bruno, muerto en la brecha de g o , en el concepto de que la sección de negocios m édicos marchó á Fausara, de donde fue desalojado por la vanguardia D. D om ingo, muertoManuela y á Doña Joaquina N ieto , hija del capitán eu la acción de Chiva. h a de constar siem pre de tres facultativos á lo m e…</t>
  </si>
  <si>
    <t>Brunswick</t>
  </si>
  <si>
    <t>…tivo alguno para tratar de engañarla, paña de Francia de 1792. Rey , Monsieur y el conde de A rtois, y los mandados por el llegando al fin á confiar en que pues tenia realmente el ascen­ En 51 de Agosto del mismo año, el duque de Brunswick— príncipe de Condé. Oriundos de familias ilustres, propietarios diente de que se vanagloriaba sobre ciertos espíritus reprobos, Luneburgo, general en gefe de las fuerzas coligadas del Em­ de inmensos territorios, podría conseguir por su mediación una dicha que anhelaba de perador de Aleman…</t>
  </si>
  <si>
    <t>Bruselas</t>
  </si>
  <si>
    <t>12/04/1839</t>
  </si>
  <si>
    <t>Gaceta de Madrid n.º 1609</t>
  </si>
  <si>
    <t>…de la Iglesia no es de este ta importancia porque el autor es hermano del gobernador de ruinas y escombros de cuarteles y otros muchos edificios que mundo; pero el gobierno político sí: ¿ y quién podrá qui­ la sociedad general de Bruselas , autiguo banco de los Paises- han sido derribados. A lguna parte mas elevada de la tierra ha tar á las naciones el derecho de poner condiciones á la Bajos. sido h u n d id a , quedaudo al nivel de la mas baja. (Id.) ciudadanía ? Y si entonces quisieron todas componerse ex­ Se sabe que M…</t>
  </si>
  <si>
    <t>Bsrtolo</t>
  </si>
  <si>
    <t>…aturaleza organizado al hombre para obrar, Sr. Cslonge, con alguna meaos exageración, hubiera sido un arte de Roma. Esta última es la sala mas espaciosa del i n ­ para juzgar y para sentir al propio tiempo, el sistema del fun­ D. Bsrtolo perfecto. terior, formando una galería igual á todo el ángulo inte­ dador de la gimnástica en Francia y en España no es sino la No concluiremos sin hacer una observación acerca de la ma­ rior del p atio, cuyo piso está cuatro ó cinco pies mas bajo expresión y cumplimiento de estos principios…</t>
  </si>
  <si>
    <t>Bucelly, Emilia</t>
  </si>
  <si>
    <t>Emilia Bucelly</t>
  </si>
  <si>
    <t>…os de vedad de los pensamientos y la riqueza de su arm onía, y feliz­ para comendador de la orden de Isabel la Católica. Orgañá, y fue enterrado durante la noche, y sigue entre ellos mente ejecutado por las socias honorarias Doña Emilia Bucelly, Capitán graduado , subteniente de infantería agregado al e! misterio: ahora están tomando declaraciones , siendo esto una Doña Manuela Garcés y Doña Antonia Berneau de Montene­ mismo, D. Manfredo Lauti, empleo de teniente de infantería. farsa ridicula, pues por la relación que acabo…</t>
  </si>
  <si>
    <t>Buckingham</t>
  </si>
  <si>
    <t>…ril. (Sigue el documento en leugua francesa, publicado por dar que mas de un Monarca ó ur» príncipe ingles han sufrido En la sesión celebrada en Francfort en 11 de M a y o último, los periódicos belgas.) esta suerte. El duque de Buckingham ha dado la muerte á sus por la Dieta germáoica se ha aprobado y ratificado el acta ue 2.° Las ratificaciones de la Dieta se expedirán en la forma dos sobrinos; y los torys serian capaces de cometer tan atroz cri­ adhesión a! t r a t a d o de los 2 4 artículo*, firmada en Londres en conv…</t>
  </si>
  <si>
    <t>…el nombra­ divergencias de opiniones anuncian una disolución próxima presentes de v a lo r , que sir Jo h n rehusó a d m i t i r , aunque los miento de los nuevos Ministros en el M onitor antes del miér­ del Gabinete. El duque de Buckingham , el conde de R i p o n , el recibió con ^iucha política. Esta precaución de parte de sir coles ó jueves. Se dice que 'a ausencia de Mr. H u m an a á quien duque de W eilington y el duque de Richraond han combatido John se atrib uye á una comunicación que habia recibido, i n ­ se destina…</t>
  </si>
  <si>
    <t>Bue-</t>
  </si>
  <si>
    <t>…ad de................................................ 1.000,000 visto cuanto que ella habia aceptado la prenda de paz que le Las ventajas mercantiles por medio de la navega­ Ha llegado á esta de comandante general el Sr. general Bue- habían ofrecido las cinco Potencias representadas por la Confe­ ción en las aguas interiores de la Holanda, que se rens: el Sr. Trillo parece vuelve á Tortosa de gobernador. rencia, reposaba en el armisticio que creia no poder romperse sino valuaron en 1851 en 6000 florines anuales, for­ (Eco…</t>
  </si>
  <si>
    <t>Buena, S.</t>
  </si>
  <si>
    <t>S. Buena</t>
  </si>
  <si>
    <t>…M aría santísima de los Dolores que en forma ahora se han formado criaderos artificiales son las que estando criaderos; y 5.° que se mande á los gefes políticos recoger iñm e- de oficio divino compuso en latin el seráfico doctor S. Buena­ situadas mas lejos de las fronteras de F r a n c i a , ofrecen mayores diatameñte el mayor número posible de datos acerca del estado ventura , puesta en una .plana la letra del Santo , y en otra la dificultades para conducirlas a un mercado seguro y útil. actual y anterior de los criader…</t>
  </si>
  <si>
    <t>Buenavista</t>
  </si>
  <si>
    <t>…nta con cada que debian aprobarse, quedando admitido como Senador por tivos designarán la cantidad á que deba ser acreedor cada indi­ pueblo por razón de esta contribución extraordinaria : se ajus­ dicha provincia el Sr. conde de Buenavista. viduo de los contribuyentes al diezmo, según quedan clasifica­ tarán las cantidades abonadas por cada uno de los conceptos Se dió cuenta de los siguientes dictámenes despachados por dos en el art. 39 de esta instrucción. i expresados en ef artículo anterior, y traídas á una suma se de­ l…</t>
  </si>
  <si>
    <t>Buendia, Diego Perea</t>
  </si>
  <si>
    <t>Diego Perea Buendia</t>
  </si>
  <si>
    <t>…. se ha sustanciado el pleito de que informa la sentencia que d i ­ tenido efecto con las formalidades que la misma previene, tocó á Otra id. en dicha sierra , cueva Horada , término del Pre­ ce asi : los sugetos siguientes: D. Diego Perea Buendia , D. Ju an M i­ sidio , Santa E ugenia, á D. Francisco Nuñez Dorado , en id. Sentencia. En pleito que sigue en este tribunal D. Ju an guel de los fRios, D. Antonio Fernandez Urrutia , D. Carlos Otra id. en dicho sitio , la Casualidad, á D. Antonio C a­ Quintana de Triaba , su pr…</t>
  </si>
  <si>
    <t>Bueno, José</t>
  </si>
  <si>
    <t>José Bueno</t>
  </si>
  <si>
    <t>…iz: Gerona, Ba- prontas y eficaces. lau rt: G ibraltar, R. L. Ilepper : Habana , D. José Roix: Jaén, Inscripciones en el gran libro á 4 por 100, 00. 2.° Desempeñará cualquiera oegocio de bolsa o' de giro ex­ Cereceda: Jerez, D. José Bueno: León, Paramio y Miñón: Títulos al portador del 4 por 100, 00. tranjero y nacional que se le cometa de las provincias con su­ Lucena, D. Pedro Jiménez: Lugo, Pujol y Masía: Lérida, Vales Reales no consolidados, 00. jeción á instrucciones, para cuyo efecto se valdrá de los corre­ Coromin…</t>
  </si>
  <si>
    <t>Bueno, Vicente</t>
  </si>
  <si>
    <t>Vicente Bueno</t>
  </si>
  <si>
    <t>…de Toledo las primeras, y las segundas en las villas inmediatas B IB L IO G R A FIA . Gobierno político de la provincia de Murcia. de Olias y Vargas, acudirá á tratar con D. José de Bustamante y Bustillo ó con su apoderado D. Vicente Bueno, que vive en E L Alcalde Juan Z u rró n , juguete gracioso de representado Registros, la calle del Desengaño, núm. 12 , cuarto 3 .°, casa grande para celebrar las Pascuas de Navidad, con cuatro letras de que fue de padres basiiios. pastorela , arreglada cada una para las respectivas…</t>
  </si>
  <si>
    <t>Buerens, José</t>
  </si>
  <si>
    <t>José Buerens</t>
  </si>
  <si>
    <t>…de los antiguos. El del cuartel general se halla situado en la villa de Guisona el viajero sobre el puente para contemplar los terribles combates las ha rejuvenecido con las descripciones arrebatadoras de la mariscal de campo D. José Buerens coo la primera brigada de del aire y de las ondas, se hizo atar al mástil del navio: sus naturaleza, y para trasladar mejor su inspiración, se ha ser­ la división de su mando, que es la 4*a» q ue ordinariamente ojos unas veces se elevaban al cielo y otras se sumergían en los vido de su…</t>
  </si>
  <si>
    <t>Buffoo</t>
  </si>
  <si>
    <t>…los intermedios se tocarán canciones patrióticas. los días te ven citados los bueno* autores de equitación, y no Los V ito r ia 5 de S etie m b re . No es fáqil hacer una p intura de veterin aria A ú lo hizo el célebre conde de Buffoo, y asi se exacta del aspecto que presentó esta población el d ia 1.° del ac­ ve en la inUt uccion militar del gran colegio de cabullería de tual luego que se recibió el oficio deJ Excmo. Sr. general en Sau m u r. Y p*ra que ni aun lo duden los mismos veterinarios g e f e , al que acó.* paña…</t>
  </si>
  <si>
    <t>Bugeaud</t>
  </si>
  <si>
    <t>…z de menguar?... N o ­ sotros no creernos que basta. ¿ Y posee acaso el Sr. Bretón to ­ El mismo periódico añade que se le ha ofrecido un mando pañola. das las cualidades necesarias paca esa noble misión , y permíta­ al general Bugeaud , mandándole un expreso á Excideoií para Ayer tarde el gobernador de Berga hizo noche con toda su senos la fra¿e, de autor dramático? ¿Tiene toda la convic­ saber su respuesta. (Presse.) familia en la Cabanasa , presumiendo que eí drama sangriento que asuela eí principado hace tantos años s…</t>
  </si>
  <si>
    <t>…scar al Príncipe y á su comitiva. En seguida tomaron la palabra los Sres. Garnier Pages y d er cualquiera profesión científica , form an los artistas ilus­ S. A. I. fue conducido hasta el salón de audiencia por el con­ el general Bugeaud , y habiéndose preguntado si se procederia trados, en riq u ece n al com erciante con los conocim ientos de Pozzo di Borgo. Por la tarde, y acompañado aquel del Prín­ á la votación, se decidió por la negativa, con lo cual se term i­ cipe Guillermo Enrique délos Países Bajos, y seguido del Pr…</t>
  </si>
  <si>
    <t>19/05/1839</t>
  </si>
  <si>
    <t>Gaceta de Madrid n.º 1646</t>
  </si>
  <si>
    <t>…2 de M ayo. En estos últim os dias se han ca interrogación de Cicerón, defendiendo á Quinto Liga- presentado rio delante de César, contra el acusador Tuberon, que ocho facciosos en esta línea. Otros han llegado pro­ EL general Bugeaud: V eo , como Mr. Billaud, una ma­ cedentes de Castro U rdíales, adonde se presentaron desertando yoría en esta Cámara; roas no veo como S. S. que sea necesario habiendo llevado las armas contra el dictador , no tenia del 5.° batallón de Guipúzcoa que se halla en las Encartaciones. crearla, y…</t>
  </si>
  <si>
    <t>…u sia , deje de convenir en d e , y se refiere al acta de 1613 , confirm ado por dos u k a­ q u e , suprim ido el E m p erad or, la R u sia se descom pondría ses del Em perador A lejan d ro , el uno de 1807 y el otro El general Bugeaud ha sido nombrado comandante de la al instante como un cad áver que privado de la esencia de de 1820 , y últim am ente por otro ukase de 1826 , dado división formada por las brigadas reunidas de los generales vida que form aba su unidad y su fu erza, cae á pedazos y por el Em perador Nicolás…</t>
  </si>
  <si>
    <t>…ponea algunos, el P o r t u g a l, por ejemplo , á la abolicioa ge ­ A b d -e l-K a d e r tiene in fa n t e ría , pues* que á pesar de la leccioa neral de este tráfico. ('Tem ps .) que ha recibido en su acción contra el general Bugeaud , ha continuado organizando tropas regulares, fácil es de ser bati­ Despacho telegráfico* d o : él tiene un cuerpo, y nosotros podremos alcanzarle. Si, H oy en dia la Dinamarca tiene una superficie de 1 ,0 2 2 E l mariscal Yalée al Sr. ministro de la G ae r ra .= A rg e l 1 6 . = como no…</t>
  </si>
  <si>
    <t>…ó de exci­ su mmon, que en la época actual es la de proclamar la propia m irando por sus verdaderos intereses piense en buscar la alian­ tarlos. N o sucedía lo mismo entre los griegos za cou a brancia y en respetarla. El general Bugeaud , que h a - do el estudio de la oratoria y de la poética, yy aun romanos-, cuan­ inteligencia. Hasta ahora se habia creído un gran m érito en las el de la m ú ­ obras de las artes ocultarse el artista: en el dia lo “ íme " o l e la esperado con inuilia razón á nuestro rnodo de v e r, este…</t>
  </si>
  <si>
    <t>Buil, Antonio</t>
  </si>
  <si>
    <t>Antonio Buil</t>
  </si>
  <si>
    <t>…ia, en los cuales, y en los otros de S a b o y a , comisionando al propio tiempo al coronel g r a d u a ­ que se provee en este acta, el presidente de los Estados Unidos en que lo han hecho vuestros antecesores, pondréis la do D. Antonio Buil para que con algu n a infantería y caba­ queda autorizado para completar los buques púhíicos armados, vuestra por entero. Tendréislo entendido, y lo comuni­ llería recorriese la circunferencia interior de las m urallas; u n i­ y a consentidos por la ley, y para equipar , tripular y empl…</t>
  </si>
  <si>
    <t>Bulnes, Manuel</t>
  </si>
  <si>
    <t>Manuel Bulnes</t>
  </si>
  <si>
    <t>…cuer­ do 01uy pequeña, consistiendo en la muerte de dos gefes, ayu­ á los dos oficiales mencionados para las gracias á que se hayan dos de aquellos grandes hechos que nos fueron comunes, y que dantes Jel benemérito Sr. general D. Manuel Bulnes, teniente hecho acreedores. son ya del dominio de la historia. coronel Valenzuela, y sargento mayor Olivares, algunos ofi­ Contando, como debo, con el apoyo del Congreso, propen­ ciales heridos, y el Sr. general Elespura , aunque levemente:' El brigadier segundo cabo de Valencia en c…</t>
  </si>
  <si>
    <t>Bur</t>
  </si>
  <si>
    <t>…stivo. la proposición de Mr. Leu, manifestando El Padre santo, que aun no ha dejado su palacio de vera­ prefija. sin embargo que el gran Consejo reconoce la autoridad de la no como acostumbra hacerlo, no ha recibido al duque de Bur­ De Real orden lo comunico á V. E. para su conoci­ Iglesia en materias de fe, y que la protegerá, sosteniendo al deos; y tanto los cardenales como los príncipes, prelados &amp;c. miento y efectos correspondientes en el ministerio de su propio tiempo los derechos tradicionales del poder político. P…</t>
  </si>
  <si>
    <t>Bur-</t>
  </si>
  <si>
    <t>…al, y si es delincuente, que eche dar su aprobación. un objeto de tanta importancia corno el que se ha propuesto bendiciones con los pies. En el estado en que estamos este es el Después de im pugnar brevemente el dictámen el Sr. Bur-* el Sr. duque de G o r, y cuando se hacen en los términos que único medio de corregir tales abusos , porque es preciso persua­ rie l, fundándose que será mas costosoel proyecto de requisición lo ha hecho S. S., lejos de serles desagradables á los Sres. Secre­ dirnos de que no se remedian coa…</t>
  </si>
  <si>
    <t>Burdeos</t>
  </si>
  <si>
    <t>…licadas a t e n ­ do hace poco, ha recibido de la familia la orden de llevarse trañ a y peligrosa situación en que la T u rq u ía se halla. Si este ciones por parte del Gobierno de S. A . A u n esta mañana ha otra vez al duque de Burdeos á los estados au^triacos. La a g i ­ arreglo tiene lugar en Noviembre corriente, la escuadra oto­ recibido á bordo la visita de muchos grandes dignatarios, entre tación que la presencia del duqoe de Burdeos en Roma había mana podrá volver fácilmente á Constantinopla en Diciembre los cuales e…</t>
  </si>
  <si>
    <t>…ue los circasianos de sustraerse á la tutela de sus parientes. Es m uy posible que y a esperanza de que tal vez dentro de pocas semanas se reno­ conocían exactamente ios puntos débiles de cada punto y de ca­ el viaje del duque de Burdeos h ay a dado lugar á algunas ne* varán las relaciones diplomáticas de nuestra corte con la de L a da posición, lo cual prueba que los montañeses tenían confiden­ gociaciones de fa m ilia ; y se espera con curiosidad ver si la d u ­ H aya. {Id.) cias eutre las tropas rusas. quesa de Berri volv…</t>
  </si>
  <si>
    <t>…or de infantería y la diputación dé! Aito-Canadá habían suspendido temporalmente sus pagos provincial de Orense , consultando varias dudas sobre la en metálico, y sir J. Arthur se habia cegado á autorizar al El viaje del duque de Burdeos continúa envuelto en cierto inteligencia del art. 110 de la ley de reemplazos, y exten­ banco de Toronto á que prolongase la suspensión. Todos los misterio, habiendo llegado aqui , como es sabido, sin que se le sión que haya de darse á lo que en él se determina con­ bancos 1.° de habían vue…</t>
  </si>
  <si>
    <t>…z Cid , dió alcance en las parro­ venta 80 quintales de nitro. quias dé Bruma y Bisoño á tres rebeldes, los que fueron muer­ Las buenas noticias escasean ; sin embargo, hoy podemos da­ Hoy hace 12 dias escrib íam os?*EI duque de Burdeos, que tos en el acto, dejando en nuestro poder sus caballos y armas. ros una. Dentro de pocos dias será permitida la libre exporta­ todavía obtener no ha podido legrar ser recibido por el Papa , cuenta dentro de poco una audiencia que á título de católico Son las noticias ocurridas en el…</t>
  </si>
  <si>
    <t>…etri , Diademe y tenia ya necesidad de vivir bajo tutela. El conde de Montbel plir con toda exactitud cuanto Y. M. ordene y mande. Genereux, el bergantín Comete, h corbeta Diligente , y los ha ido á Roma para exponer al Duque de Burdeos que deb&lt; Estos son los sentimientos del ayuntamiento y sus comiteu- vapores de guerra Papin y Lavoisier estaban foodeados en obediencia al Duque de Angulema, como al gefe de la familia tes, los que pagarán sus cargas públicas con todo placer y gus­ Ourlac, en donde se hallaban igualmente l…</t>
  </si>
  <si>
    <t>…otros se sustituyan , y estuvo la población iluminada : el sábado celebró los divinos con los cuales pueda conferenciar el Gobierno para la me­ oficios, y el domingo debia hacer la confirmación. Escriben de Turin que el duque de Burdeos llegó inopina­ jo r ejecución de lo dispuesto en el art. 2.° de la ley de 25 A las dos de la madrugada un destacamento de tropa cer­ damente á Genova, en donde se embarcó bajo un nombre su­ de Octubre. có su palacio: se allanó la puerta cochera asi como las demás, y puesto para Civita Yecc…</t>
  </si>
  <si>
    <t>…ANCIA. pan poco á poco. La confianza en los Gabinetes del Norte lia Como Reina Regente y Gobernadora del Reino du­ desaparecido, y ha quedado la certidumbre de que su apoyo &lt;e rante la menor edad de mi excelsa Hija la Reina Doña Burdeos 13 de Agosto. limitará á proteger diplomáticamente una transacción, que cada vez se hace mas quimérica, y que ninguno de los dos partidos Isabel ii , he venido en admitir la renuncia que ha hecho El Correo de Burdeos del 14 trae en su correspondencia ha deseado jamás sinceramente. D. Doming…</t>
  </si>
  <si>
    <t>…que el algunos puntos interesantes. divau ha rogado á las Potencias que declaren sus intenciones hacia los puertos de Beceite. Parte de la facción se habia corrido EFECTOS PUBLICOS. sobre el particular. La escapada del duque de Burdeos á Roma no ha carecido Inscripciones en el gran libro á 5 por 100, 00. de comentadores. Sin embargo, Ea interpretación mas acredita­ Títulos al portador del 5 por 100, 28 y 2 7 f con cupones al da es la de que el joven duque, fastidiado de la tutela rigoro­ El convoy que fue sorprendido por u…</t>
  </si>
  <si>
    <t>…s del Gabinete son apoyar á M eh c m e t-A ií para que con­ llamar aqui la atencioa mas que lo ha hecho en Constantino­ siga los gobiernos hereditarios de Egipto y de S i r i a , sin com­ Es positiva la noticia de que el duque de Burdeos se ha tras­ pla. (Id.) prender los bajalatos de Adana y de Tarsos, y el disfrute v i ­ ladado á Roma sin conocimiento del Gobierno austríaco. Este talicio del gobierno de Candía. Estos datos son mas ó meaos viaje no dejará de tener sus consecuencias, y ejercer cierta de­ exactos; pero lo cie…</t>
  </si>
  <si>
    <t>…ecir, son insignificantes p o r ­ toria. gue han desaparecido. Dios conserve las importantes vidas de nuestra adorada Mucho mas ligero anduvo S. S. en el examen de los fueros Reina y la de Y|jpj¡^al^atados años^. ^ El duque de Burdeos ha llegado á Verona el 5 de Octubre. jue han de ser la cuestión capital; son pocos, y con ellos no en­ Carmena y Octubre i.b de 18^9 — Bartolomé Diaz P rie­ Debe asistir á las grandes maniobras que se verificarán el 9 en­ tretendré mucho al Senado por no agravar el peso de una dis- to. fzMa…</t>
  </si>
  <si>
    <t>…teas encendidas para prender­ Roma 30 de Noviembre . S. M. la R e i n a , s u augusta Madre la R e in a G o b e rn a - árabes les fuego. Se cuentan crueldades inauditas cometidas por los Audiencia dada por el Papa al duque de Burdeos.=Las ins­ con los prisioneros franceses, y hasta con los cadáveres. tancias de la Reina viuda de Cerdeña han podido mas que la !&gt; ora y la Serma. Sra. Infanta Doña María Luisa Fer­ Ayer fue cogido un árabe que llevaba escondida una pro­ habilidad de Mr. de Latour-Maubourg. El duque de Burde…</t>
  </si>
  <si>
    <t>…a Hemos recibido por M alta noticias de Bombay de 7 de Oc­ restablecerse de sus heridas, (M orning- Ckronicle.) U na carta de Roma que hemos publicado hace seis dias, nos tubre y de A lejandría del 50. anunciaba que el duque de Burdeos no habia sido recibido por Según estas últim as, M ehem et-A lí estaba dispuesto á de­ el Santo Padre. Poca importancia dábamos á esta noticia ; pero volver la escuadra del S u ltá n , pero conservando la ofensiva, los periódicos legitimistas la han contradecido, y el M onitor Se han veri…</t>
  </si>
  <si>
    <t>…onsecuencias de esta elevado, dispuesto expresamente para ellos, y en medio se veía S. M. la R e i n a , s u augusta Madre la R e i n a G o b e r n a ­ crisis tan fatal para el comercio. Hé aqui las bases de las ins­ al duque de Burdeos , hácia quien se d irig ían todas las m ira­ d o r a y la Serma. Sra. Infanta Doña María Luisa Fer­ trucciones que ha recibido el cónsul: se las trasmito á ustedes das. He oido á varios extrangeros de distintas naciones que ex­ nanda, continúan en esta corte sin novedad en su im­ tales como…</t>
  </si>
  <si>
    <t>…era­ Señora: El ayuntamiento constitucional y autoridades de la mente patrióticos sus servicios y su mas activa cooperación. ciudad de Baza , en la provincia de Granada , que jamas han Después de la marcha de su madre el duque de Burdeos ha El ayuntam iento que suscribe faltaría al deber mas sagrado sido los últimos en recurrir á L . R. P. de V. M. cuando suce­ reiterado sus esfuerzos para conseguir una audiencia del Padre que su instituto le impone si en las circunstancias en que la sos extraordinarios y dignos lo han ex…</t>
  </si>
  <si>
    <t>…el ejército ruso está ani­ El Papa ha asistido á las ceremonias religiosas de Todos San* ro su nombre y apellido, y los restantes la denominación del mado del mejor espíritu y rebosando en adhesión por la perso­ tos. El duque de Burdeos se dejó ver en una tribuna. S. S. pa­ cargo que obtienen , siendo asi que no han suscrito tal repre­ na del autócrata. Asi pues, prepárense ustedes para leer muy rece disfrutar de bueoa salud. sentación, ni tenido noticia de ella hasta que la han visto en el pronto en los principales perió…</t>
  </si>
  <si>
    <t>…desaparecieron. dictámen. 1 embajador de Francia está muy irritado por la audiencia que Este gendarme ha sido preso y se le ha empezado á formar En cuanto á los 54 restantes, de los que tres se han fugado, dio el Papa al duque de Burdeos. N ü se teme, es verdad, una causa , como igualmente á la señorita Dacosta que ha sido ar­ el tribunal ha declarado haber cargos suficientes contra ellos, y interrupción diplomática con la Francia , porque el Rey Luis restada esta mañana. {Ivíoniteur Parisién.) en su consecuencia deberán com…</t>
  </si>
  <si>
    <t>Burdes</t>
  </si>
  <si>
    <t>…icarán en Idem 5. cuadrón de 12 lauceros. Si hay algún mero levantamiento se breve con la mayor escrupulosidad de orden del Sr. comandan*- dirigirá contra la cárcel. (Courier.) te general de la provincia. El viaje del duque de Burdes á R om a, a insabiendas del Árt. 2.Q Los mismos ayuntamientos formarán y me remiti­ Gobierno, ha sido considerado como una violación de las leyes rán para el 1.° de Diciembre próximo, estados de'los efectos de de la hospitalidad. Se dice que el Emperador Nicolás ha elegido guerra que asi reco…</t>
  </si>
  <si>
    <t>Burgos</t>
  </si>
  <si>
    <t>…El Sr. general en gefe de los ejércitos reunidos, en 31 del Cinco por IQQ portugués, 5 5 | : 5 por 109 id ., 2 1 |. mayoría de la Cámara y con el voto oacionah El pueblo toma anterior, traslada un parte del comandante general de Burgos, Deuda activa española, 19^. un vivo Ínteres por el éxito de esta candidatura, porque espe­ fecha 2 9 del mismo, en que manifiesta que el capitán de la Bonos del ecbiquier, de baja, 24&gt; 27, 28. ra encontrar en el voto de la mayoría la indicación y el símbo­ compañía franca D. Gerónimo Villarr…</t>
  </si>
  <si>
    <t>09/03/1839</t>
  </si>
  <si>
    <t>Gaceta de Madrid n.º 1575</t>
  </si>
  <si>
    <t>…o­ fin dé o c u rrir á sus nééesidádés fu tu ra s, puedérl consti'* d o 'p u e d e n co n fu n d irse con los ex tran g ero s. ; tu iísé lib re n ie n té y siA o ti^s co n d icio n e s ^ q u e las si- f ' El comandante general de Burgos con fecha 5 del actual 2.° Q ue en la exp o rtació n é in tro d u c c ió n se o b serv en íg ú ié n té s: ! • •• • ■ 1 1 • manifiesta que el 5 iáe présentó en íbeas un escuadrón de Bal­ coil él m ayor rig o r todas las form alidades y p recau cio n es ' í .a p re s e n ta r á la á d to rid a…</t>
  </si>
  <si>
    <t>…va á pedir se dijese después de la palabra tasa­ fu nda mental. Y o me hallo aqui con la misma legalidad que el Secretarios nel Congreso de D iputados. ción en fincas que esten á media legua ó poco tnas de distancie Diputado de Burgos , el Senador de C á diz, el de Córdoba &amp;c. El Sr. P R E S ID E N T E dijo que habiendo anunciado por dos del dom icilio de los interesados, y á que los 56 0 rs. se les en­ S í , señores, mi voto es tan válido eorno el del primero. dias consecutivos la discusión de contestación al discurso de…</t>
  </si>
  <si>
    <t>…se cobro en el del estado respectivo, y lo que resul­ los efectos correspondientes. Dios guarde á Y. S. muchos ta 2.° por cobrar para el siguiente. En cuanto á rentas y ramos de producto eventual, tualElquecomandante general de Burgos da parte en 16, del ac­ años. /Madrid 12 de Marzo de 1839.= El subsecretario, los productos el rebelde Bilmaseda pernoctó el dia 1 1 en Neiia ; y de cada uno de ellos en el mes á que cor­ pasando al siguiente á Monterubio, se detuvo alli haciendo pe­ Juan Felipe Martinez.=Sr. gefe político d…</t>
  </si>
  <si>
    <t>…en com unicada por el expresado Sr. Mi­ PARTES. atender á las de su conservación. • En la puerta de Armas sé abré una mina en roca muy fuer­ nistro de ia Goberna'eioft lo traslado á V. SC para su inte­ El comandante general de Burgos traslada con fecha 17 te y dura de 20 pies de luz y 16 de altura hasta el arranque ligencia r y efectos correspondientes. Dios guarde á .V. S. ana comuhicacion delxomandante general de Ja sierra D. Gas­ del arco que lá Cubré para (Jue pase el caminó, porque ha de­ muchos años. M adrid 14 de…</t>
  </si>
  <si>
    <t>Burgos, Teruel. Logroño. Sr. D. Ambrosio Sánchez.</t>
  </si>
  <si>
    <t>Teruel. Logroño. Sr. D. Ambrosio Sánchez. Burgos</t>
  </si>
  <si>
    <t>…tario 5.° Lérida. Sr. D. Antonio Satorras. Sr. D. Pablo Gali. Sr. D. Juan Anguera. Sr. D. Pedro Moret. Sr. D. Antonio Viadera. Sr. D. Miguel de Córdoba. Sr. D. Ramón dé Bacardí. Sr. D. Pascual Madoz. Sr. D. Ramón Salvato. Sr. Teruel. Logroño. Sr. D. Ambrosio Sánchez. Burgos. Sr. D. Miguel Alejos Burrie!. Sr. D. Pablo Govantes Sr. D. Andrés Almarza. Sr. D. Ramón. María Tempradc. Sr. D. Manuel de la Rivaherrera, Vicepresidente 1.° Sr. D. Salustiano de Olózaga. Sr. D. Joaquin Romero y Domingo. Sr. D. Santiago Azuela. S…</t>
  </si>
  <si>
    <t>BURRI</t>
  </si>
  <si>
    <t>…iene en el artículo, pues nunca han una misma cuota , entonces seria preferido el de mayor edad. usaba el Gobierno en su provecto, proponíeodo suspensión y tenido esas facultades, porque si nos referimos á la época de la El Sr. B U R R IE L se opuso al artículo, porque á su pare­ otras cosas de los ay untam ientos, la comisión ha sido rnas ho­ libertad ya se ha leido la ley de Enero de 1822; y si nos refe­ cer daba poca garantía á los pueblos, pues en la corona de nesta y cauta, diciendo únicamente que no podrán deliberar…</t>
  </si>
  <si>
    <t>…guerra.Conozco los perjuicios que se irrogarán á para comprar las muías necesarias para la artillería. La comisión propone que se tenga presente en tiempo opor­ la agricultura ; sin embargo, paso por todo, y solo pido una El Sr. B U R R IE L : Ilahiendo manifestado ayer mi opinión tu n o , remitiéndose copia al Ministerio de Gracia y Justicia. medida de justicia y equidad en esta contribución, que me pa­ acerca de este asunto, poco tengo hoy que añadir. Sin embargo, El Sr. IÑ IG O apoyó el contenido de la exposición, haci…</t>
  </si>
  <si>
    <t>…o conmina al Papa si persiste mi corazón el haber retardado la contestación del Sr. Castro. ñor O rtigosa, y que aun el fuego llegaria á las Secretarías del en la costumbre de no aprobar las bulas, y le amenaza hasta el El Sr. B U R R IE L : Y o hubiera renunciado la palabra si Despacho. Si se da rienda suelta á la interpelación, fácil es punto de hacerle responsable ante Dios de los males que pudie­ no tocara esta cuestión á la provincia que tengo el honor de que lleguemos á ese caso: si se olvida que hay leyes, que ha…</t>
  </si>
  <si>
    <t>…V a le n cia, don­ culo i que podia hacer la adición estaba y a votado. c ip al de este proyecto. de después vienen á ser presa de las incursiones de Cabrera. Por El Sr. M inistro de la G U E R R A expuso que habiendo sido El Sr. B U R R IE L : Y o veo en esta ley un premio á la mo­ éste medio en fin , señores, mejor que por cualquiera otro se nombrados dichos generales para una cosa e v e n tu a l, no podían rosidad y al mismo tiempo un castigo á la exactitud y al buen podrá asegurar la reposición sucesiv a, g r a d u a l,…</t>
  </si>
  <si>
    <t>…en lo sucesivo. B aez a, I ñ ig o , L in d e r o , Q u in to , M a rio , R om ero, A lcoa, M ontosa (D . J u a n ) , Lahorda , Fernandez A le io , Iluelves dijo que le era m uy sensible tener que hablar en un asunto de El Sr. B U R R IE L indico que era de opinión de que estas tanto ínteres y trascendencia por efecto de una interpelación. proposiciones no tenían resultado alg u n o , y que asi no podia iu ° nt0f a Tvr D íe§ ” ) ’ Can0 M a,,uel &gt;Estéban , Jim én ez , San Esta interpelación , continuó, encierra una incógn…</t>
  </si>
  <si>
    <t>…uditores de guerra no están excluidos. "Pido que en el último párrafo del art. 1.°, á la palabra latina apud a cta , se sustituya la de en los autos . 4.a El número de cinco jueces que han de formar la sala en chasElrazones Sr. B U R R IE L : No creo que sea necesario acudir á mu­ para probar que está declarada la calidad de au­ los casos expresados, se completará con magistrados que sirvan ditor. Me inclino tanto mas, cuanto que tengo presente la dis­ Conformándose la comisión con esta enmienda, fue toma­ en la misma a…</t>
  </si>
  <si>
    <t>Burrie, D. Miguel Alejos</t>
  </si>
  <si>
    <t>D. Miguel Alejos Burrie</t>
  </si>
  <si>
    <t>…Gali. Sr. D. Juan Anguera. Sr. D. Pedro Moret. Sr. D. Antonio Viadera. Sr. D. Miguel de Córdoba. Sr. D. Ramón dé Bacardí. Sr. D. Pascual Madoz. Sr. D. Ramón Salvato. Sr. Teruel. Logroño. Sr. D. Ambrosio Sánchez. Burgos. Sr. D. Miguel Alejos Burrie!. Sr. D. Pablo Govantes Sr. D. Andrés Almarza. Sr. D. Ramón. María Tempradc. Sr. D. Manuel de la Rivaherrera, Vicepresidente 1.° Sr. D. Salustiano de Olózaga. Sr. D. Joaquin Romero y Domingo. Sr. D. Santiago Azuela. Sr. marques de Someruelos. Sr. D. Ramón de Santillan. Lu…</t>
  </si>
  <si>
    <t>BURRIEL</t>
  </si>
  <si>
    <t>…los, al paso que de la Mancha muy pocos, pues la exacto, de los particulares que S. S. desea saber. también que seria empalagoso y mirado hasta con desprecio; provincia de Ciudad-Real ha dado 1 4 caballos en la última re­ El Sr. BURRIEL: Pues en ese caso continúo impugnando pero qué al ñn y al cabo se trataba de los derechos dé unas cor­ quisición, y la de Valencia 620, de los cuales 500 son sacados el artículo, y digo que no puedo condescender en que quede poraciones dignas del mayor respeto y atención, y que habían del…</t>
  </si>
  <si>
    <t>Burriel</t>
  </si>
  <si>
    <t>…M O N : Repito que si no se me concede la palabra, ninguna. del abono del medio diezmo los propietarios, en cuyo caso es interpelo al Sr. Ministro sobre la alusión que me ha hecho. Después de algunas breves observaciones del Sr. Burriel, se nece-ario que ese artículo tenga una segunda parte, y que el El Sr. PRESID EN TE: El reglamento 110 me autoriza para acordó que se pasase á otro asunto. Sr. Ministro la publique, por la cual se entienda que no se ha conceder palabras con ese objeto. A terminar este negocio.... El Sr. P…</t>
  </si>
  <si>
    <t>…n haciendo otras reflexiones , y contestando á lo manifestado ayer Pu es b i e n , el G o b i e r n o d e S. M. a ten to e x c l u s i v a m e n ­ d e q u e las oficin a s'dé H acienda pública no presentasen las recla­ por el Sr. Burriel acerca del descubierto de la provincia de M á ­ te íi la t e r m in a c ió n de esa g u e r r a f r a t r i c i d a , y p r e s c in ­ m aciones y com probantes sobre d é lito s de atraso de co n trib u ­ la g a , dice que solo debe 5 .7 6 0 ,1 2 9 r s .; exhorta á los Sres. D i ­ d i e n d…</t>
  </si>
  <si>
    <t>…incias. térm ino de nuestros males, sino que excediéndose á si d i e n t e , sino es todos los demas. A si pues, yo deseo que el señor M in is tro de H acienda para propio en ciuismo y en osadía, se atreve á mancillar uu El Sr. B U R R I E L im p u g n ó la idea del Sr. P i d a l , porque en t ran q u iliz a r al Congreso y á m í , manifieste si eu un período nombre augusto, estampándole con frecuencia en sus as­ su concepto cree que si se reclam an todos esos exp ed ientes, se corto tiene la seguridad de que puedan ser r…</t>
  </si>
  <si>
    <t>Bushire</t>
  </si>
  <si>
    <t>…de decir y a que el Cuando sir Federico M aitland estaba á punto de embarcar­ to le fue posible, y prometiéndoles su desvelo por el pronto y ejército turco está diezmado por la falta de víveres, por la se quiso el gobernador de Bushire que lo verificase en la a d u a ­ mas feliz despacho de sus causas en lo que permitiese la ley y deserción , y derrotado por las incursiones de los kurdos rebel­ n a, y no en el muelle que hace frente á la residencia del cónsul la justicia. des ; y y a es el ejército egipcio el que sufre l…</t>
  </si>
  <si>
    <t>Bustam</t>
  </si>
  <si>
    <t>…preten mal sus sentim ientos. N o nos cabe la provinciales de Osnabruck. Los peticionarios exponen q u e , se­ G ranada 2 de Febrero de i 8 5 9 .r J u a n L ui» B e ltra n , secretario menor duda que la proclam a del presidente Bustam ante es el eco de los sentim ientos dé la generalidad de la n ació n , y que gún las máxinas del aotiguo derecho público g erm án ico , los interino. estos darán pruebas de que hay muchos corazones que prefie­ Estados de la Alemania tieneu la facultad de reunirse en de­ ran lá muerte á la…</t>
  </si>
  <si>
    <t>Bustamante</t>
  </si>
  <si>
    <t>…ios. Hé aqui los nombres de los presidentes de todos los gobier­ por otros motivos. Se dice que !a Mitidja ha quedado entera­ Dios guarde á Y. M. muchos años para felicidad de esta nos de la América de! Sur. En Méjico el general Bustamante. mente asolada , y que las guarniciones de nuestros caraparnen- monarquía. Logrosan 14 de Diciembre de I859.“ 3eñora.“ A La República de Goatemala se halla ahora dividida en tantos tos fortificados han visto desfilar los rebaños de la llanura aco­ L. R. P. de Y. M.zzFrancisco Canillas.zzF…</t>
  </si>
  <si>
    <t>Bustamante, Alejo Carro y D. Juan</t>
  </si>
  <si>
    <t>Alejo Carro y D. Juan Bustamante</t>
  </si>
  <si>
    <t>…Virgen de los Doloros, por Luis Trujillo, en 3. Cea , D. Gabriel Alvarez de Alvarez , D. Miguel Carbajo, Don DIRECCION GENERAL DE PRESIDIOS DEL REINO. Otra en sierra de Gador, Balsanueva, término de Berja, Juan María Barte, D. Alejo Carro y D. Juan Bustamante; y El Boliche, por D, Francisco Sánchez, en 8. hallándose enfermo hace tiempo el D. Miguel Carbajo y ausen­ Excmo. Sr.: En Real orden de 21 de Febrero próxi­ Otra id. en dicha sierra, Barjalé, término de Padiíles, mo pasado se me provino que cada ocho dias dé part…</t>
  </si>
  <si>
    <t>Bustamante, Anastasio</t>
  </si>
  <si>
    <t>Anastasio Bustamante</t>
  </si>
  <si>
    <t>D . Alfonso Franco y D, Benito Escalera, llevando cada una za , á menos que no se les obligase por vía de represalia. Sin el Excmo. Sr. general D. Anastasio Bustamante iba á renu * un guardia marina y los oficiales mayores que voluntaria­ em bargo, yo desde la tarde habia tomado mis medidas precau­ larnospresidencia, mientras otros fingen pronunciamientos en favor de una dictadura. Semejantes alarmas en mente se presentaron para este servicio…</t>
  </si>
  <si>
    <t>Bustamante, D. Anastasio</t>
  </si>
  <si>
    <t>D. Anastasio Bustamante</t>
  </si>
  <si>
    <t>…reció el local de la apertura. sección considerable, y acabamos de saber positivamente que el del a c to , que conmovió plácidamente mi ánimo y el de los Su situación pintoresca, la vista de la riqueza agrícola planta­ Excmo. Sr. D. Anastasio Bustamante ha verificado .su arribo á demás que lo presenciaron, me exime de pintarle con otros co­ da y cultivada en el terreno mismo de donde iba á arrancarse el San Luis Potosí con suficiente dinero para el socorro de las loridos. V. E. puede asegurar á S. M. que jamas resonarán con…</t>
  </si>
  <si>
    <t>Bustamante, Juan</t>
  </si>
  <si>
    <t>Juan Bustamante</t>
  </si>
  <si>
    <t>…en­ Excmo. Sr.: En Real orden de 21 de Febrero próxi­ Otra id. en dicha sierra, Barjalé, término de Padiíles, mo pasado se me provino que cada ocho dias dé parte de Puntalillo, por Juan Delgado, en 10. te con anterioridad el D. Juan Bustamante, por los siete restan­ lo que se vaya adelantando respecto á la entrega de con­ tes unánimemente se declaró haber lugar á la formación de cau­ Otra id. en dicha sierra, loma del Vicario, término del sa. León 28 de Febrero de 1839.2 El alcalde segundo constilu* finados para las car…</t>
  </si>
  <si>
    <t>Bustamaute, Anastasio</t>
  </si>
  <si>
    <t>Anastasio Bustamaute</t>
  </si>
  <si>
    <t>…l defensor por lo que*el Gobierno mejicano ha logrado este triunfo sin Coogreso uaeionai toda la suficiente para qué conozca lo que del pueblo, como la mejor garantía de las propiedades y de las efusión de sangre. El general D. Anastasio Bustamaute iba á existe, lo que hay y lo que es necesario que haya para la or­ vidas, expuestas tantas veces al desbordarse la guerra c i v i l . hacer su entrada en la ciudad el dia 7. ganización del ejército. Vendrá quizá un tiempo en que nuestras tropas se coloquen Parece que la solda…</t>
  </si>
  <si>
    <t>Bustaraante</t>
  </si>
  <si>
    <t>…se creía que entrarían en la ciudad existe en aquel pais, quedando muerto el segundo comandante y al arreglo de algunos asuntos de gran ínteres, regresará á 1&lt; sin encontrar la menor resistencia. de ella. capital. El Presidente Bustaraante habia dirigido una proclama á los El destacamento de Negreira dió alcance el 15 á otra par­ Dios y libertad. Cuartel general eu Acajete Mayo 5 di habitantes de Tamaulípas y de las provincias internas, amo­ tida de seis facciosos montados y les cogió tres yeguas y varios 1839.:=A las oc…</t>
  </si>
  <si>
    <t>Bustarnante</t>
  </si>
  <si>
    <t>…ostilidades estipulada en 28 de No viernbre. No h a ­ do favorable al principio de la revisión de las leyes sobre los por mas tiempo las explicaciones que ofreció dar á las C ám a­ biéndose aprobado el convenio por el Presidente Bustarnante, »ereales, mientras uue en la Cámara de los Lores el vizconde ras belgas acerca de la resolución que ha adoptado en las g r a ­ las tropas se acercaron á Yeracruz á las órdenes de S.intana que Melbourne, gefe del Gabinete , ha declarado que el momento de ves circunstancias en que se en…</t>
  </si>
  <si>
    <t>Bustaroante</t>
  </si>
  <si>
    <t>…e M ayo á las cinco y m edia.rrE l M inistro de lo In ­ queado en Tuspan. re r, cuando no habia una barricada que los guareciese. terior al prefecto de la G ironda.irM r. Sauzet acaba de ser nom­ ¡Q ué bueno fuera que el general Bustaroante, después de Tal era el aspecto de la revolución á cosa de las ocho de brado Presidente de la Cám ara de los Diputados.” pacificar á T am aulip as, fue^e sobre Matamoros y reuniese 12 esta noche. En este momento un gran número de guardias na­ ó 15S) hombres para hacer una visita á los téj…</t>
  </si>
  <si>
    <t>Buzo, José</t>
  </si>
  <si>
    <t>José Buzo</t>
  </si>
  <si>
    <t>bajos, para que se vea ho se ha descuidado este ramo de ense­ das: el que esto sospeche, que tenga la bondad de pasar á su de los conocimientos hum anos; la cultura de los pueblos; las ñanza^ y D. José Buzo, joven de 15 años, manifestará un re­ establecimiento, y verá que mas de 50 jóvenes hablan el fran­ mejoras en sus instituciones políticas; esa mano protectora de trato que ha aecho bajo la dirección de D. Luis de Cruz, pin­ cés; 10 ó 12 el francés é ingles; y que tan adelantados se h a ­…</t>
  </si>
  <si>
    <t>Bár</t>
  </si>
  <si>
    <t>…Congre- perteneciente i ninguno de los dos partidos extremos que «o para entrar en su discusión. Se levanta la sesión. hasta aqui se disputaban la supremacía literaria. Hoy con bas son de esto los frecuentes tropezones de la Sra. Bár­ Era la una en punto. la misma sinceridad la reconvenimos por no proteger á bara Lamadrid; sin embargo, su hermána Teodoritar ha es­ los autores españoles, por no contribuir á que nuestro tado llena de gracia y naturalidad; el Sr. Lombía ha te­ teatro nacional se constituya sobre bases sólida…</t>
  </si>
  <si>
    <t>Bár, Ignacio Vergara y Doña</t>
  </si>
  <si>
    <t>Ignacio Vergara y Doña Bár</t>
  </si>
  <si>
    <t>…ura. Le pintó el mismo Ye­ Madrid. N o pudiendo tener efecto la junta general de acreedores á los lazquez, y le grabó con mucha inteligencia Muntaner (F ra n ­ Exámenes de maestro de primera educación. bienes de los consortes D. Ignacio Vergara y Doña Bár­ cisco). Tiene 14 p- y 6 1. de alto, y 11 p. de ancho: precio an­ Real orden sobre libertad para abrir colegios. bara Herreros, vecinos de Getafe, señalada para el 20 del que tiguo 28 rs., y moderno 20. Idem sobre estudios de Ultramar. rige en la audiencia del juzgado de p…</t>
  </si>
  <si>
    <t>Bárbara</t>
  </si>
  <si>
    <t>10/06/1839</t>
  </si>
  <si>
    <t>Gaceta de Madrid n.º 1668</t>
  </si>
  <si>
    <t>…rodujeron en este L IT O G R A F IA . adquiere mal gusto : de este pescado 110 se sacan por lo común mismo año millón y medio de rublos. mas que unos 43 quintales. Salan los arenques, y forman con el El retrato de la actriz Doña Bárbara L a m a d rid , según sale, bacalao la parte mas importante de la pesca en aquellos parajes, dad No cada contenta la industria rusa de explotar con una activi­ vez en aumento la parte de las aguas de esté inár, en los Am antes de T e ru el , se vende á 4 , rs. en la librería de. valuándose…</t>
  </si>
  <si>
    <t>…raraa El A rte d e co n sp ira r. La que se dará en este, será el N oticia d e lo s p u eb lo s y a d m in istra cion es d o n d e han ca b id o te . dispuestas las tres divisiones desde el amanecer para atacar le la actriz Doña Bárbara L am adrid , con el traje que saque en los 14 p rem io s m a y o re s d e lo s 800 qu e co m p r en d e e l so r­ toda la línea enemiga , un fuerte aguacero obligó a! Sr. gene­ ma de las piezas que mejor haya desempeñado. Estos retratos te o d e l dia 11. ral en gefe á suspeuder el movimie…</t>
  </si>
  <si>
    <t>Búrgos</t>
  </si>
  <si>
    <t>…ros en 19. cido á la gavilla de ladrones que divagan por aquel territorio. de minas admitidos en dicho mes, y de las demarcaciones da­ Otra id en dicha sierra y térm ino, cerro de las Cucharas, das en él. El comandante general de Búrgos da parte con fecha 29 M in erva, á D. Eleuterio Carrascosa , en id. del pasado, y refiriéndose al de Santander, que el brigadier Otra id ., Loma del Poyo, término de Huercal, antes A u­ D enuncios, gefe de la 2 .a brigada de la división de la izquierda marchó el rora , ahora Forzosa, á D…</t>
  </si>
  <si>
    <t>…uramos á declarar que Mr. Passy ha desechado esta pro­ ba impunemente el fuerte de Y ilL fa w é s. escoltando 100 prisioneros facciosos procedentes del depósito de posición. Al amanecer del mismo 16 , á petición del comandante de Búrgos. _____________________ El M essa gcr dice lo mismo casi en diferentes términos. ingenieros, mandé recoger cuantos sacos habia en el pueblo, Solo añade á los nombres de M M . Dufaure y V i v i e n , pleni­ tanto de particulares como de la facto ría, arreglándolos según potenciarios de M r. T…</t>
  </si>
  <si>
    <t>C'eo-</t>
  </si>
  <si>
    <t>…El Congreso sabe que si yo podia hablar hechas. Y por esta ini sentencia en definitiva asi lo proveo, b re, comunicado al gobernador m ilitar de S a n lú c a r , en el cual aqui de simpatías, sin duda eran en favor del conde de C'eo- mando y firmo.—í3enito Gadelles Moana, C uya sentencia fue manifiesta haber participado al general Narvaez que se sirva nard porque profesaba los principios de la mayoría , y mi voto pr nuutjciada por ante mí en los 2/ del mes próximo pasado Oc­ pasar de Marcheua á Sanlúcar de Barrameda sin…</t>
  </si>
  <si>
    <t>C, Francisco</t>
  </si>
  <si>
    <t>Francisco C</t>
  </si>
  <si>
    <t>…ue está á cargo del acreditado profesor D. José M aría toda propiedad el título de desaplicadas, porque no compensa­ titubeado un instante en adm itir unánimemente la competencia R odríguez, y la de los idiomas que está al de D. Francisco C. ríamos entonces con el aprovechamiento las asiduas y penosas del poder legislativo o rd in ario , para ocuparse de la ley some­ de Betancourt; en la cual se hizo por uno de sus alumnos un tareas, que por inspirarnos sentimientos religiosos, por hacer­ tida á vuestra deliberación por e…</t>
  </si>
  <si>
    <t>Ca, D. José María</t>
  </si>
  <si>
    <t>D. José María Ca</t>
  </si>
  <si>
    <t>…Arguelles 1. Total de votantes 81. Mayoría absoluta 42. Se Respecto á la admisión del Sr. Arteta la comisión ha tr a ta ­ or la casi absoluta identidad : hoy mismo se ha discutido el re- anunció quedar elegido Presidente el Sr. D. José María Ca­ do de que el número componente de Diputados sea el mayor jtivo á las elecciones de Jaén , que estoy muy distante de latrava. posible, y ademas porque siendo el Sr. Arteta Dip u ta d o por ombatir, pero que debo apoyarme en ei porque me suminis- Para primer Vicepresidente obtuviero…</t>
  </si>
  <si>
    <t>Ca, Eduardo</t>
  </si>
  <si>
    <t>Eduardo Ca</t>
  </si>
  <si>
    <t>…ropiedades públicas y particulares que se encuentran nalmente, llamaron la atención tres bodegones pintados por Merece de justicia que hagamos en este lugar particular en ellas están valuadas en 2445.150,000 libras esterlinas. D. Eduardo Ca no y D. Fernando V id a , compañeros ambos y mención y demos las gracias en nombre de todos los aficio;.. - La administración de estos países cuesta cerca de 25 millo­ discípulos de Becquer, que siendo los primeros cuadros que dos á los encargados de los bailes de máscaras (para cuya do…</t>
  </si>
  <si>
    <t>Ca, Lornbía y los Sres.</t>
  </si>
  <si>
    <t>Lornbía y los Sres. Ca</t>
  </si>
  <si>
    <t>…e a tro s de p rovin cia .El Sr. C u b a s . . __ pitosos aplausos por la f a ci l i d a d y expresión de su c a n t o , fue El Sr. La t orre. en el dúo con el Sr. O n a a u e , qu i e n también estuvo acertado en él. L a Sra. Lornbía y los Sres. Ca l ve t y R e gu e r h a n ma ni fe st a ­ Copi a de edificios de todas épocas. No m u y ab u n d a n t e ha sido t ampoco en novedades d r a m á ­ do como siempre su apl i caci ón y su celo. Conoci mi ent o de rocas con nociones de geognosi a. ticas la semana t rasc ur ri da…</t>
  </si>
  <si>
    <t>Ca-, Antón Fébregas</t>
  </si>
  <si>
    <t>Antón Fébregas Ca-</t>
  </si>
  <si>
    <t>…por habei dadas observar por mis antecesores, han caido en desuso y ol­ De 9 5 ........................................................................................ . ............... 2 salido la bola niim. 5 , y el alumno D. Antón Fébregas Ca- vido con escándalo general y notable entorpecimiento de las ope­ De 9 7 ........................................................................................................... 1 n e a y , representado por la bola uúin. i que salió en segundo l u ­ raciones m ilitares, dilatán…</t>
  </si>
  <si>
    <t>Caam</t>
  </si>
  <si>
    <t>…dió cuenta de que la com isión encargada de in fo rm a r so­ tisfacción los cuatro artículos anteriores de este proyecto de ley, sus ruegos la marcha de las tro p as, las que dispuse se acanto­ bre la proposición del Sr. Senador Caam año P a rd o , habia nom ­ y estoy conforme en aprobar los dem as; pero en el 5 .° tengo nasen en los pueblos de Lim pias y A m p uero , donde permanez­ brado Presidente al Sr. Egea y secretario al Sr. Diez de Teieda. que hacer algun as aclaraciones. El verdadero fundamento de co hoy, obligado…</t>
  </si>
  <si>
    <t>Caam, Senador</t>
  </si>
  <si>
    <t>Senador Caam</t>
  </si>
  <si>
    <t>…a ­ Se dió cuenta de que la com isión encargada de in fo rm a r so­ tisfacción los cuatro artículos anteriores de este proyecto de ley, sus ruegos la marcha de las tro p as, las que dispuse se acanto­ bre la proposición del Sr. Senador Caam año P a rd o , habia nom ­ y estoy conforme en aprobar los dem as; pero en el 5 .° tengo nasen en los pueblos de Lim pias y A m p uero , donde permanez­ brado Presidente al Sr. Egea y secretario al Sr. Diez de Teieda. que hacer algun as aclaraciones. El verdadero fundamento de co hoy,…</t>
  </si>
  <si>
    <t>CAAMANO</t>
  </si>
  <si>
    <t>…a leg ría al tener noticia nisterio está en la m ism a posición que el Sr. López cuan d o dijo tivo . de que v o lv ía la paz á este desventurado pais. aquellas memorables palab ras de que á los ataques de sus en e m i­ El Sr. C A A M A N O expresó que detenerse en esto era per­ M u év e m e el pedir la palabra en contra de este p á rra f o la gos respondía con v i c t o r i a s , porque estoy bien p ersuadido de der t ie m p o , pues el que qu isiera tra b a ja r t r a b a j a r í a , y el que in te lig e n cia que en l…</t>
  </si>
  <si>
    <t>Caamaño</t>
  </si>
  <si>
    <t>…es se reunirán las secciones para nom brar la comi­ ta fin de 1857, se liquidarán y calificarán precisa é improrroga­ do el pueblo: no hablaré de violaciones de m ugeres, ni de pro­ sión que ha de examinar la proposición del Sr. Caamaño P ar­ blemente en los seis primeros meses siguientes á la publicación fanaciones de tem plos, por los que se dicen amantes de la re­ d o, é igualm ente la que ha de dar su dictám en sobre la propo­ de esta ley en las capitales de provincia. ligión. sición que acaba de tomar el Senado en co…</t>
  </si>
  <si>
    <t>Caamaño, D. Rafael</t>
  </si>
  <si>
    <t>D. Rafael Caamaño</t>
  </si>
  <si>
    <t>…honor del Senado se ve­ comisión que ha de dar dictamen sobre la proposición leida en cando ademas que tan celosos como debían ser los Diputados de ría comprometido si se aprobase esta proposición, tiene tanto la de ayer del Sr. D. Rafael Caamaño P ardo, calificada ya de conservar todas sus atribuciones, y de procurar por todos los celo como el Sr. Calatrava por el honor de la nación, y es in ­ útil y oportuna en la anterior legislatura, y para la que ha de medios posibles que el Gobierno no haga objeto de reglamento capa…</t>
  </si>
  <si>
    <t>Caamaño, Rafael</t>
  </si>
  <si>
    <t>Rafael Caamaño</t>
  </si>
  <si>
    <t>…Total 250. Córdoba. = Marques de Guadalcázar, y D. José Marrón. arm as, materiales y efectos necesarios para el sitio: pero no es Núm* 2.° Estado de los víveres que se consideran necesa­ Coruña. = D. Antonio Q u iro g a , y D. Rafael Caamaño difícil el hacerlas practicables, empleando para ello los habitan­ rios para las tropas que hayan de formar el sitio de B erga, de­ Pardo. tes f e l p á i s bajo la protección de las tropas. talladas en el número 1 .°, y suponiendo que sean 500 los ca­ Cuenca.zzConde de Buenayista. R…</t>
  </si>
  <si>
    <t>CABAL</t>
  </si>
  <si>
    <t>…ajas decisivas obtenidas última­ mesa tuviese á bien insertar en el acta porque quiero que conste. El capitán general de Cataluña y en gefe de su ejército de mente en las provincias del N o rte, fruto de la sangre vertida El Sr. C A B A LLER O : No consta en el acta la lectura de los operaciones, D. Gerónimo Valdés, da parte al Gobierno en por los valientes soldados de la patria , de la pericia del ilustre artículos del reglamento que pidió el Sr. conde de las Navas ea comunicación de 5 del actual desde Maoresa del recono…</t>
  </si>
  <si>
    <t>CABALLE</t>
  </si>
  <si>
    <t>…ra ello. Bien sabido es ahora á decir que me he anticipado á hacer cargos? N o , señor: nisterio. cóm o se hallaba la A ndalucía ,; en un pueblo se tocó la ge­ de alguno de sus colegas viene el encontrarnos en e3ta situa­ El Sr. C A B A L L ER O : Está corriente por la comisión de nerala y ya iban á chocar españoles con españoles: en algunos ción. ¿N o ve el sentimiento unánime de los Diputados , aun corrección de estilo. de estos bancos se levantaba la voz contra los estados de sitio, desús mayores amigos? Atribuyalo pue…</t>
  </si>
  <si>
    <t>…ra ; pero de 11 millones de fanegas de tie rra ; y hé aquí tas razones que testim onio, sino las actas. convencido de que S. S. con mucha destreza parlamentaria tne han determ inado á tom ar la palabra confiado en que el El Sr. C A B A L L ER O manifestó que no podía hacer otra ha acudido á este medio para dirigir algunas preguntas al señor Congreso m irará la cuestión bajo este nuevo aspecto. cosa sobre el particular que recordar el oficio rem itido ante­ M inistro, ñola uso sino para atenuar la impresión que pedia H a…</t>
  </si>
  <si>
    <t>Caballe</t>
  </si>
  <si>
    <t>…rim e ra ’ instancia remitan avisos acerca de los movi­ conformes con la idea del Gobierno. no , y se hallan en sus destinos; de consiguiente ¿dónde está mientos de los enemigos. Cou motivo de la ley de amnistía reprodujo el Sr. Caballe­ ese transiego de empleados por el ministerio de Gracia y J u s ­ S. S. continuó leyendo otras circulares y órdenes, por las ro los cargos que antes se han hecho. No disputo el derecho t ic ia ? Yo espero que se me cite un hecho. cuales se daban á los jueces de primera instancia cargos que n…</t>
  </si>
  <si>
    <t>Caballero</t>
  </si>
  <si>
    <t>…tar de L iria dice en parte de hoy que El Sr. O LO Z A G A expuso que hubiera opinado como el ley sobre lo cabeza del delator infame, para que viera que no sa la facción de A rn au , que según el aviso citado del comandante Sr. Caballero si el Sr. Madoz hubiese reclamado que hoy se le­ denuncia en balde á la virtud ante la ley. de la brigada de la Púbera se hallaba en Losa, después de hacer yesen las listas; pero no siendo asi, creiaq ue la observación que Señores, si tratándose de un honrado ciudadano y en la un corto d…</t>
  </si>
  <si>
    <t>CABALLERO</t>
  </si>
  <si>
    <t>…jo Rey Guillermo desearía gustar las dulzuras de un segun- sentado de ninguna manera está falseada. de la Victoria y demas ilustres campeones, que á través de to­ lo himeneo. Se habia pensado que si el Rey Guillermo creia El Sr. C A B A L L E R O : Señores, la comisión ha fundado su dos los peligros y privaciones derraman pródigamente su sangre poder descender de su alto rango para entrar en una familia dictámen en el art. 5 6 , porque ha creído que este texto de la en defensa de la justa causa. particular, era sin embarg…</t>
  </si>
  <si>
    <t>…sion mira como una ofensa que se h a y a presenta­ ga 2 , A lvaro 1. culo dijese mas de lo que dice el artículo del Gobierno y el da do otro proyecto que establezca otras disposiciones: obrando ea Para Secretario primero el Sr. Caballero por 58 votos, h a ­ la comisión , evitando el intérvalo desde el dia en que el Con­ a m is t a d , no habia tenido eL menor inconveniente en presen­ biendo tenido los Sres. Benavides 1 2 , Temprado 8 , Pascual 4 greso conceda los fueros al dia en que se verifique su modifica­ tarlo ; pero…</t>
  </si>
  <si>
    <t>…ora ¿ las esperanzas del ayuntam iento cons­ dirigen á S. M. el subinspector y Milicia nacional de Sevilla, titucional y juez de primera instancia de Pego, y tales sus y la compañía de artillería de la Milicia de G erona. El Sr. CABALLERO: Yo diré al Sr. Barrio A yuso que la votos que ruegan á V . M. acoja con su acostumbrada benig­ reforma del reglamento se hizo en Mayo del año 58 para cor­ nidad , ínterin quedan rogando al Todopoderoso conserve di­ tar esos abusos de las enmiendas. latados años la preciosa vida de nuestra…</t>
  </si>
  <si>
    <t>…e ha dado al señor El Sr. P R E S ID E N T E añadió á la lista los nombres de los do conocimiento. Quinto esa preferencia ? ( Los Sres. Benavides y Calderón señores que reclamaron su inclusión en ella, y entre ellos el del El Sr. C A B A L L E R O manifiesta que su objeto,al pedir la Collanies piden la palabra para deshacer una equivocación.) Sr. Luzuriaga , que pidió la palabra en pro. palabra es solo el dé hacer ver que todo el tiempo que se emplea N o sé en quién estará la equivocación, para que se pida la pa­ Se dió cuen…</t>
  </si>
  <si>
    <t>…oes, la castración.” Esas naciones, digo yo con los Varios Sres. Diputados pidieron la palabra. sucesivo la compra de ellas por el Gobierno, le parecen desde autores mas esclarecidos, se han sometido muy á su pesar y con El Sr. C A B A L L E R O : Creo que no estamos en el caso de luego los medios mas adecuados para conseguir el aumento de m u y grande sentimiento á un mal muy grave, pero que les era la constitución del Congreso , ni aun del nombramiento inte­ nuestra caballería y fomentar la cria caballar. El inconvenien^…</t>
  </si>
  <si>
    <t>…de que no habia contradicción de lo que dije ción suya no quede en suspenso. y de consiguiente era cosa concluida. en el informe que di á principios del año de 36. Otro motivo h ay para que se apruebe el proyecto del Go­ El Sr. C A B A L L E R O apoyó ío dicho por el Sr. Presidente, Q u isie ra, señores, ser breve, porque veo que h a y muchos bierno y se deseche la enmienda. En N avarra y provincias fundándose también en que la enmienda del Sr. Mendizabal era que tienen pedida la p a la b ra , y por otra parte este asunto…</t>
  </si>
  <si>
    <t>…utinio artículo arterior. El Sr. IÑIGO: Pido que ¿e lea el art. 7.° del reglamento. son fiscalizadas, y en este caso ¿cómo pueden resultar actas (Se leyó.) Art. 5.° Queda derogada toda legislación contraria á lo en aqui El Sr. CABALLERO: Voy á empezar por hacer una ligera res, establecemos que no se han visto en las de escrutinio? Con esto, seño­ esta ley prevenido. Dado en Cintra á 29 de Julio de 1859 &lt;3cc. reflexión acerca de la lectura del artículo del reglamento que ha precedentes funestos, funestísimos. Me haré carg…</t>
  </si>
  <si>
    <t>…ecular y regular, y por el orden siguiente: La de economía política , ciencia des­ Bilbao, | papel d. Valencia, i á \ b. adquirir su afección y subordinación con la dulzura de los me­ atendida en el plan de estudios del Ministro Caballero, fue la Cádiz, idem. Zaragoza, i id. dios y con las demostraciones de honor y agradecimiento que primera que se abrió: á ella siguen la de taquigrafía , la escue­ merezcan los prelados y demás iudividuos que se distinguiesen la de sordo-raudos, la cátedra de economía industrial y la de D…</t>
  </si>
  <si>
    <t>…n que incurrió ayer el Sr. Elipe, equivocación hizo? N o pudiendo admitir los apoderados, no se pudieron ad ­ que pudiera interpretarse en desdoro de los sentimientos del individuos El Sr. T E M P R A D O : El Sr. Sancho, el Sr. Caballero , los mitir las actas. Yéase pues, señores, como tampoco los otros pais que rae ha honrado con su confianza. que componen la mesa , y generalmente todos, es­ individuos que componían la junta electoral no faltaron á su El Sr. Elipe dijo ayer que estaba exento de parcialidad misión de Act…</t>
  </si>
  <si>
    <t>…­ la elección, pasa á ocuparse del dictamen de la comisión, y reso determine lo que estime mas justo. putados porque se constituya el Congreso, no quiere molestar dice: N o puedo de ninguna manera aprobarle, porque si bien El Sr. C A B A L L E R O : Cabalmente la comisión ha tenido mas su atención. pudiera decirse que eo él se halla consignada la práctica obser­ suy presente la observación expuesta por el Sr. A lv ar o; pero Rectifican varias equivocaciones los Sres. Collantes y Quinto. vada , N av ar ra es necesario conocer…</t>
  </si>
  <si>
    <t>…ión naval. primera instancia de esta v illa , refrendada de D. Jacinto dé la justicia á quien la tenga. Modo de hacer potable el agua del m a r , conocido de m uy Gaona y Loeches, escribano del número de la misma, se ha El Sr. CABALLERO dice que el gefe político de Avila en ¡ mandado sacar nuevamente á pública subasta una casa sita en antiguo por los españoles. la contestación que da al ministro cita la resolución del Con­ esta corte, y su calle de San Vicente b aja, núm. 7 8 , manza­ El Daguerrotipo. = Breve noticia y de…</t>
  </si>
  <si>
    <t>…n u e v a, l l £ . sidente..... teras; mírense esas casas de comercio sin entrar en ellas n i.c a ­ El Sr. P R E S ID E N T E (interrumpiéndole con viveza) Orden, pital ni producto. Y en este caso, ¿de dónde sacaremos nues­ Sr. Caballero, pregunte V . S. si se aprueba el acta. tros recursos? de nuestro patriotismo y desinterés; demos ejem­ Hecha esta pregunta , quedó aprobada. plo: sean esas clases adm inistrativas, esas clases de prestigio, Se asegura que Mr. Thiers se propone ofrecer en don á la El Sr. S A N C H O : A…</t>
  </si>
  <si>
    <t>…d rid , en que pedia su adm isión en el Congreso , m ediante á sentación de la m a y o ría de ese d istrito electoral contra la ju n ta de fin itiv a s , sino que quedan sujetas á la posterior determinación, h aber optado el Sr. Caballero por la p ro v in c ia de C u e n c a , y el de e s c r u t in io ; 5 0 0 y tantos son los votos de ese distrito. de los cuerpos colggi.slado.res. A q u i también me haré carón de Sr. Olózaga por la de Logro ño. Pues si h a y todos estos antecedentes para conocer la v o lu n ­ otra o p in…</t>
  </si>
  <si>
    <t>…n v i l le h a salido de C o n sta n tin o - traried ad es de los gobernantes. dada esperanza de u n a p ró x im a paz 9 d i f u n d i d a con las ú l t i ­ p la el 1 4 por la tarde á bordo del buque de v a p o r el Papin El Sr. CABALLERO contestó que el haber hecho extrae-</t>
  </si>
  <si>
    <t>…ia 15 de Setiembre . á 15 de Setiem bre de 1 8 3 9 .= A D. Evaristo P erez de Cas­ Torres.idEl tesorero, José M. dé Palacio. tr o , Presiden te del Consejo de Ministros. Se abrió á la una menos siete minutos. El Sr. Secretario Caballero leyó el acta de la anterior. Diputación provincial de León.— Señora : La diputación mención, El Sr. conde de las N A V A S : Veo que en el acta do se haca como debia hacerse, de que ayer antes de tomarse en PARTE RECIBIDO EN LA SECRETARIA DE ESTADO provincial de León, tan interesada en…</t>
  </si>
  <si>
    <t>…ectoral la lista de las personas que tenian derecho á El Sr. B A L L E S T E R O S rectifica varios hechos. decir que tiene datos para haber emitido esa idea. votar en las elecciones de aquella época , valiéndose del medio El Sr. C A B A L L E R O (como de la comisión): L a comisión El alcalde segundo constitucional de V ig o formó una su­ de oir antes á los ayuntamientos y demas personas de quienes tendria mucho que decir para contestar, tanto á los argum en ­ maria , la cual tuvo principio con un a u t o , cabeza de proces…</t>
  </si>
  <si>
    <t>…o que esta discusión hará que el El Sr. R E N A Y ID E S: Si esas enmiendas á que hace refe­ por parte del comprador porque al capital positivo se hubiera Gobierno reconozca que no hay razón, que no hay causa nin­ rencia el Sr. Caballero son á los artículos, me parece que sin rebajado esa parte. guna para dejar á estas infelices y á otras clases en el abando­ faltar al reglamento se puede entrar en la discusión en la to­ ¿ N o sedas paga en algunas provincias? ¿Por qué no se les no casi completo en que las tiene. Por lo de…</t>
  </si>
  <si>
    <t>…. Se supone qu e los c om isio n a­ r á á la discusión por artículos. y o de p r i v a r de su c a r r e r a , n i de q u i t a r el paso ¿ éste h onrado dos de a m o rtizació n no cu m p len con su deber porque no p agan El Sr. C A B A L L E R O : No h a y artícu lo en el re g la m en to e m p leado , he tra ta d o solo de q u e se h a g a el servicio en la p ro ­ las pensiones de los productos de esos g r a n o s , y eso no es c ie r­ que prevenga esa p r e g u n t a ; lo ún ico que se dice es que p a ra v i n c i a com…</t>
  </si>
  <si>
    <t>…iglesia mayor con una ¿ Y qué español se encontrará tranquilo y quieto á la sombra El Sr. Mend izabal rectifica un hecho. concurrencia lucida y numerosa. de la Constitución de 1 8 5 7 , no por e lla , sino por el capricho El Sr. C A B A L L E R O expuso que aunque estaba de acuer­ del Gobierno? do con la doctrina del Sr. Benavides creia que el reglamento P am plona 9 d e S etiem b re. El Pretendiente continúa en la Si se me forzara á ello diria esto mas claro ; pero todos mis nada tenia en contrario de lo que proponía el S…</t>
  </si>
  <si>
    <t>…s á fa v o r de otra. que sea a s i , ¿ e s u n pensam iento de j u s t i c i a , de e q u i d a d , de juez de p rim e ra in s tan c ia de V i g o el S r. Cald erón Golfantes. El Sr. A Y A L A replicó que lo expuesto por el Sr. Caballero convenien cia s i q u ie r a ? Pero veo que la cuestión afecta también No hablé un a ¿ola palabra de n u lid a d de elecciones, porque m i daba mas fuerza á su a r g u m e n t o , porque si bien es verdad que a l C o n g re s o , y este ¿ q u é mas h a podido hacer en la m a te ria ? mis…</t>
  </si>
  <si>
    <t>…su autor 110 fue tomada en conside­ cluiré diciendo i D ue ruego al Senado tenga presente que en la por lo que lo dejaba á la resolución del Congreso. ración. cuestión actual se halla en tan buena posición , que no tiene El Sr. C A B A L L E R O manifestó que podia muy bien darse El Sr. P R E S ID E N T E señaló para mañana la discusión de qu*3 quitar un ápice de libertad ni á N avarra, ni á las provin ­ al Gobierno esa tregua ó próroga que solicita , con tal de que no los dictámenes que quedaron sobre la mesa y el proyec…</t>
  </si>
  <si>
    <t>…do alza la voz, aunque sea con una carta p articu­ bía hecho cora las mejores intenciones. no convenia con los demas distritos. ¿ Y qué fue lo que hizo? l a r , como ha sucedido no hace muchos d iás, retira la comisión ( El Sr. C A B A L L E R O leyó un oficio que la comisión de Lo que ha prevenido el Congreso que se h aga respecto á Pon­ su d ic tám e n , ruego pues á esta se sirva hacerlo asi ea vista de Fueros habia dirigido al ministerio con fecha 12 del corriente, tevedra; rectificar las listas por cuantos medios han…</t>
  </si>
  <si>
    <t>…ha dicho de que c u an ­ ■ S O R A E T , * 7 N r ’ . ,í.v! El Sr, G A M A L E N O expresó que la comisión estaba de to se ha hecho, en todas las épocas de libertad que llevamos en. acuerdo con la ultima indicación del Sr. Caballero, pues lleva­ ¡materias de estados de sitio ha sido con infracción - de la ley, P R IN C IP E . Á. las''siétte'':&lt;le;;la:ínodie*-■■'■■■ T &gt; ::'N ba ea sí una inspiración de justicia y de conveniencia, sin em­ pues con solo leer el. art. 8.° de J a Constitución-se ve que por el Sé dará pvia…</t>
  </si>
  <si>
    <t>…e a ocho de ciones por no estar reunida la diputación provincial, único t ri­ Hecha la pregunta de si se tomaba en consideración esta la noche. bu !*,»1 para decidirlas. enmienda , el Congreso se decidió por la negativa. ES Sr. C A B A L L E R O dijo que esas reclamaciones se podian Se leyó otra enmienda del Sr. González Alonso reducida á BOLETIN DE COMERCIO. Inber dirigido á la comisión de despacho que hacia las veces que se autorice á las diputaciones provinciales para que com­ de la diputación provincial , y añadió qu…</t>
  </si>
  <si>
    <t>…u número del 12 de Setiembre una noticia so­ cuantos negocios pendían en el Congreso. en co ntra, no pienso hacer impugnación al d ictam e n , porque bre N a d ir -b ey , ó A lun et N a d i r , hijo de M ustafá 4*°&gt; y pre­ El Sr. C A B A L L E R O expuso no ser exacto lo que habia le haHo en su lugar. Sin contradecirle, diré también que el se­ tendiente al trono del imperio otomano. ( Tem'ps .) manifestado el Sr. S an c h o , pues mas abajo dice el artículo " y ñor González Alonso tiene razón en lo que ha expuesto; y el deb…</t>
  </si>
  <si>
    <t>…s de conveniente es adaptable á la situación y á los Guerra. Se suspendió esta discusión. progresos del gusto del público. Porque, ¿seria hoy posible ni Se leyó el dictámen de la comisión sobre la petición nú­ El Sr. Secretario CABALLERO ocupó la tribuna , y leyó imaginable siquiera una reacción hacia el primitivo drama mero 18 de D . Francisco Díaz M orales, presentando un pro­ los dictámenes de la comisión encargada de informar sobre el griego?... Esta escuela, la madre común de todas, pasó para yecto para el estableci…</t>
  </si>
  <si>
    <t>…ue había su fri­ la diferencia del rédito entre una y otra. do en esta guerra. C on clu ye e l p r o y e c t o d e l e y so b re la lib erta d d e im p r en ta . L a consignación deberá hacerse en el Banco español de San El Sr. C A B A L L E R O expuso, que si bien no era Carboneras F e rn a n d o , ó en poder de sus comisionados en las provincias, el solo pueblo que habia sufrido en esta guerra, se hallaba en un T IT U L O III. y se devolverá al punto que cese el periódico. caso p a r tic u la r , pues que después de ha…</t>
  </si>
  <si>
    <t>…a­ demostraré por los documentos que obran en la secretaría del tic ia, Guerra y Hícienda. y a n traído mas pruebas de la inlluencia ilegal del Gobierno Congreso, que n ingún ministerio desde el año de 1 8 5 4 , q ue se El Sr. C A B A L L E R O '( desde la t r ib u n a ) : Señores; la suer­ como en esta. abrieron las Cortes, ha dejado de pedir esa autorización de que te de haberme tocado la palabra cuando la discusión presente Como otra de las pruebas de que el ministerio no g u a r d a ­ carece el Gobierno. está tan ?del…</t>
  </si>
  <si>
    <t>…contribuyentes.” ridos? Esto es lo que hay respecto á la abadía de Olivares. cho que de los párrafos leídos ayer se deduce que sí. Todo el Creo que de este modo se conseguirá el efecto que se desea; Paso ahora al discurso del Sr. Caballero; y aunque dijo m undo ha leido en los periódicos extrangeros que en los ban­ el Congreso determinará lo que crea mas conveniente. S. S. que se limitaba á dos grandes cargos, han venido des­ quetes dados en celebridad del convenio de Vergara , el Sr. Zea El Sr. M inistro de G R A C IA Y JU…</t>
  </si>
  <si>
    <t>…que de cien peticiones apenas se. podrán conceder diez. Y si no, sobre todo desde que oí que en otras no se contiene ese resumen. En 10 de Octubre de 1855 se nombró la comisión de Có­ ¿por qué d o ha ido citando alguna;?, e l Sr. Caballero? ¿Por qué Se refirió también el Sr. Caballero al párrafo del discurso de digo civil , eo la que entraban magistrados : uo quiero nombrar­ no ha dicho tales y tales peticiones quedaron sin sesolucion? la corona que dice que esta tenia motivos para creer mejor i n ­ los, ni es mi ánimo hacer…</t>
  </si>
  <si>
    <t>…de las que muchos mañana, limitándose entre tanto á solo cumplir la palabra que Sr. Calatrava. pueden pensar la existencia ó no existencia legal de esa ley; y dio ayer de presentar la memoria del Sr. Zea, impresa en Pa­ El Sr. CABALLERO: Me limitaré á deshacer cuatro equi­ yo procuraré examinar brevemente todos los principios bajo los rís en francés en 19 de Febrero de este año, la cual había con­ vocaciones en que ha incurido el Sr. Ministro de Gracia y Jus­ cuales importa que sea examinada. frontado el Sr. Secretario…</t>
  </si>
  <si>
    <t>…as sesiones. exactitud de mis expresiones. No sé que puedan darse mayores de la cuestión. El Sr. Ministro de E ST A D O : Lo que ha dicho el Sr. conde comprobantes que la memoria y el artículo del periódico que l í a dicho el Sr. Caballero que yo no podia ignorar que el de las Navas no requiere contestación. a y e r deje sobre la mesa ; ahora presentaré otras. Sr. Zea no hubiese jurado la Constitución , porque h ay una Una cosa me ha movido á decir dos palabras. Ha dicho S. S. n lo que voy á decir no abuso de n in g un a co…</t>
  </si>
  <si>
    <t>Caballero, Benito María</t>
  </si>
  <si>
    <t>Benito María Caballero</t>
  </si>
  <si>
    <t>…ia les es m u y pro­ bel n vengo en conferir en propiedad la intendencia de d u c t iv a . L a g ente de nuestros buques observa la mejor d isc i­ nanda, continúan en esta corte sin novedad en su im­ la provincia de Cáceres á D. Benito María Caballero, nom­ plina. brado en comisión para la misma por mi Real decreto de En S an Sebastian h a b ía n entrado el 8 tres lanch as q u e se portante salud. 27 de Ju lio último. Tendréislo entendido, y dispondréis h a lla b a n a rm a d a s en Bermeo. su cumplimiento.=Rubricado de…</t>
  </si>
  <si>
    <t>Caballero, Benito Rodríguez</t>
  </si>
  <si>
    <t>Benito Rodríguez Caballero</t>
  </si>
  <si>
    <t>…ipu­ los efectos que crea oportunos. Real cédula, porque en ella se habla indiferentemente de 5 ó 40 tados, creemos que logrará satisfacer los deseos y aquietar obradas de terreno , como si 10 obradas significasen poco. 61. D. Benito Rodríguez Caballero, cura párroco de la vi­ Señores, 10 obradas no creo que sea aventurado decir que los temores de todos, satisfaciendo á una ^necesidad im pe­ riosamente sentida por todas las fracciones del partido li­ lla de Albaladejo, provincia de Ciudad-Real, acude al con­ vale cada…</t>
  </si>
  <si>
    <t>Caballero, Gómez</t>
  </si>
  <si>
    <t>Gómez Caballero</t>
  </si>
  <si>
    <t>que obtuvo iodos los grados, el estudio de la sagrad» E^c.itura Tal es la historia de U Biblia del sábio actual obispo de Gómez Caballero; resultando por unanimidad no haber roo tal ardor, que las iostancias de muchos prelados españoles Astorga, cuya obra propagan en Espoña los metodistas des- Felipe lugar á la formación de causa. le decidieron á emprender una traducción de la Biblia , no obs­ pue* de haberla desfigura…</t>
  </si>
  <si>
    <t>Caballero, Juan</t>
  </si>
  <si>
    <t>Juan Caballero</t>
  </si>
  <si>
    <t>…aya por uno de nuestros ha contraido el citado coronel, el capitán de cazadores de la y m arinería asi de la expresada lancha como del cañonero M a­ escuadrones: que al efecto distribuyó sus fuerzas, y por dis­ G uardia Real D. Juan Caballero, y el de los demas individuo} rina nada me han dejado que desear, causando admiración á tintas direcciones llegó y penetró á media noche en el Valder- que le acompañaron en este encuentro. todos los espectadores de sus fatigas que en tan cruda estación, redible para caer con mas fac…</t>
  </si>
  <si>
    <t>Caballero, Manuela</t>
  </si>
  <si>
    <t>Manuela Caballero</t>
  </si>
  <si>
    <t>…o de dicho juzgado p ri­ tancia del defensor judicial de los herederos ausentes de la se­ lencia , Gimeno. V ic h , Valí. Zaragoza, Polo. Y en las demas vativo, para en vista de lo que resulte acordar lo que correspon­ ñora Doña Manuela Caballero, se ha mandado que ninguua librerías del reino. da en justicia. persona que adeude cantidades á esta por sí ó como viuda del Sr. D. Agustín Pascua , su primer esposo, las paguen y satis­ fagan á persona alguna , sin que ademas del documento justi­ ficativo de la deuda , le pres…</t>
  </si>
  <si>
    <t>Caballero, Secretario</t>
  </si>
  <si>
    <t>Secretario Caballero</t>
  </si>
  <si>
    <t>…tas nombrasen una travíos y vicios de una administración envejecida, no menos Se abrió á la una menos cuarto. comisión especial, y se resolvió afirmativamente. que por los estragos de una guerra desapiadada. La diputación El Sr. Secretario Caballero leyó el acta de la sesión an­ Se leyó la siguiente proposición de los Sres. Calatrava (D. R.) se asocia y complace en situación tan lisonjera ; y al ofrecer á terior. Lacalle, G il, Mestre y R om ea, conde de las N avas, Muñoz V. M. la sinceridad de sus votos, no cree equivocar…</t>
  </si>
  <si>
    <t>…esión del dia 15 de Setiembre . á 15 de Setiem bre de 1 8 3 9 .= A D. Evaristo P erez de Cas­ Torres.idEl tesorero, José M. dé Palacio. tr o , Presiden te del Consejo de Ministros. Se abrió á la una menos siete minutos. El Sr. Secretario Caballero leyó el acta de la anterior. Diputación provincial de León.— Señora : La diputación mención, El Sr. conde de las N A V A S : Veo que en el acta do se haca como debia hacerse, de que ayer antes de tomarse en PARTE RECIBIDO EN LA SECRETARIA DE ESTADO provincial de León, tan int…</t>
  </si>
  <si>
    <t>CABALLERO, Secretario</t>
  </si>
  <si>
    <t>Secretario CABALLERO</t>
  </si>
  <si>
    <t>…uando ademas de conveniente es adaptable á la situación y á los Guerra. Se suspendió esta discusión. progresos del gusto del público. Porque, ¿seria hoy posible ni Se leyó el dictámen de la comisión sobre la petición nú­ El Sr. Secretario CABALLERO ocupó la tribuna , y leyó imaginable siquiera una reacción hacia el primitivo drama mero 18 de D . Francisco Díaz M orales, presentando un pro­ los dictámenes de la comisión encargada de informar sobre el griego?... Esta escuela, la madre común de todas, pasó para yecto para e…</t>
  </si>
  <si>
    <t>…examinar brevemente todos los principios bajo los rís en francés en 19 de Febrero de este año, la cual había con­ vocaciones en que ha incurido el Sr. Ministro de Gracia y Jus­ cuales importa que sea examinada. frontado el Sr. Secretario Caballero con la traducción castella­ ticia. Antes diré dos palabras para manifestar al Congreso porqué na, la cual quedaba en la mesa á disposición de todos los se­ S. S. ha dicho, como interpelándome, que citase las peti­ no habia tomado parteen esta discusión, y por qué hubiera de­ ñ…</t>
  </si>
  <si>
    <t>Caballero, Sr.</t>
  </si>
  <si>
    <t>Sr. Caballero</t>
  </si>
  <si>
    <t>…ilitar de L iria dice en parte de hoy que El Sr. O LO Z A G A expuso que hubiera opinado como el ley sobre lo cabeza del delator infame, para que viera que no sa la facción de A rn au , que según el aviso citado del comandante Sr. Caballero si el Sr. Madoz hubiese reclamado que hoy se le­ denuncia en balde á la virtud ante la ley. de la brigada de la Púbera se hallaba en Losa, después de hacer yesen las listas; pero no siendo asi, creiaq ue la observación que Señores, si tratándose de un honrado ciudadano y en la un cor…</t>
  </si>
  <si>
    <t>Cabanillas</t>
  </si>
  <si>
    <t>…ran exorbitantes, pues en los dos primeros T- lativa al establecimiento de enseñanzas alli ni en la Pe­ glos que siguieron á su conquista subiun á 26 por 100 con nínsula hasta el año de 1787, es decir, el anterior al fa­ El Sr. Cabanillas d ijo , que al haber oid o en la últi­ las exacciones que se hacían del 5 .° de la plata y o ro , y llecim iento del Sr. D. Carlos 1 1 1 , en que se mandó formar ma sesión que las ciencias habían progresado durante el por lo que se pagaba por fu n d ición , ensaye y m arca, por una acade…</t>
  </si>
  <si>
    <t>…m edio de los adelantos del siglo, y cuando nos empuja en Se suscribe en esta corte eo la librería de la Sra. viuda de todos los ramos del saber la Europa entera. Razóla , y en las provincias en las librerías siguientes: El Sr. Cabanillas pidió la palabra para rectificar algu­ En el despacho de la Im prenta N acional se adm ite A licante, Ibarra. A icoy, Cabrera. A ddújar, Alava. An­ nos h ec h o s, y dijo: el Sr. Seijas se ha separado de la cues­ tió n , yo no he tratado de inculpar al G obierno de Cár- suscripción al D…</t>
  </si>
  <si>
    <t>Cabanilles, Antonio José</t>
  </si>
  <si>
    <t>Antonio José Cabanilles</t>
  </si>
  <si>
    <t>…también 6 ,8 4 1 .... 400 .............. Madrid. por los Sres. D. Christiano Herrgen, D. Luis Proust, D. Do­ excita vivamente la atención, y presagia mas extraños 1 ,0 5 6 .... 4 0 0 . . . . . . . Barcelona. mingo Fernandez y D. Antonio José Cabanilles, adornados de lances y aventuras. 8 ,8 5 8 .... 4OO.............. Zaragoza. muchas y preciosas láminas que facilitan la inteligencia de los En fin, después de otros mil acontecimientos, que no 5 ,7 1 0 .... 4 0 0 . ...... Jerez de la Frontera. diferentes puntos de que tratan…</t>
  </si>
  <si>
    <t>Cabañas</t>
  </si>
  <si>
    <t>…trascribir á V. E. para su cono­ |ue tenían coosigo, rescatando e i mismo tiempo tres mugeres y c'tado eu esto» últimos años entre los pescadores de la G k*ii cimiento y el superior de S. M. Dios guarde á V. E. mucho* *1 cura de Cabañas cou su críalo que habían *ido capturados Bretaña y los de Francia. Este comercio , removiendo Ls cau­ anps. Barcelona 27 de Agosto de 1859.;= Excmo. Sr.=:Antonio por aquellos. sas de toda disputa, contribuirá á consolidar la unión existente</t>
  </si>
  <si>
    <t>Cabañas, Fernando</t>
  </si>
  <si>
    <t>Fernando Cabañas</t>
  </si>
  <si>
    <t>…a y emplaza, por el preciso y conseguido todavía*, por no poder satisfacer sus adeudo; ultimo téiftnáéo de diez dias contados desde la publicación de á causa de np.estar designada lia clase de papel que $e de este edicto y á D. Fernando Cabañas, teniente coronel de caba­ ACTAS DEL GOBIERNO. bia admitir en pago de estos descubiertos; y conformán­ dome con el pareceFdel Consejo d"e~ Ministros, he tenido a llería ; D.\ José de;So£pioasa«, comandante de escuadrón, ilim i­ tado, procedente de la Guardia Real; el capitán D.…</t>
  </si>
  <si>
    <t>Cabello, Antonia Fernandez</t>
  </si>
  <si>
    <t>Antonia Fernandez Cabello</t>
  </si>
  <si>
    <t>N.º 1588. VIERNES 22 DE MARZO DE 1839. DIEZCUARTOS. S . M. la R e i n a , su augusta Madre la R e i n a G o b e r n a ­ de la Gaceta como está m andado, pongo el presente que signo Doña Antonia Fernandez Cabello, hijos los dos primeros, y y firmo en M adrid á 19 de Marzo de 1839.=iManuel W ebre. esta nieta de Diego José Cabello y de Doña Francisca M a­ dora y la Serma. Sra. Infanta Doña María Luisa Fernan­ ría de Figueroa , naturales y vecinos que estos fueron de la da , continúa…</t>
  </si>
  <si>
    <t>Cabello, Diego</t>
  </si>
  <si>
    <t>Diego Cabello</t>
  </si>
  <si>
    <t>…tre según sus espe­ Gobierno político de Santander, rr Relación de las minas dflf cies ; pero ¿qué diremos de sus habitudes? Guando se tra­ Una mina plomiza, cerro del Calar, término de Huejar, vena de hierro, denunciadas por D. Diego Cabello. ta del tiburón , ¿se deberá insultar á otro pez comparán­ Abencerrajes, por D. José Q uintero, en l.°de Julio. Una en el sitio de íniestra, término del lugar de Liaño, , Otra id., sierra Alm agrera, término de P u lp iS a n tís im a lindante por el Sur con monte de los pueblos de Pá…</t>
  </si>
  <si>
    <t>Cabello, Isabel</t>
  </si>
  <si>
    <t>Isabel Cabello</t>
  </si>
  <si>
    <t>…remito. Y para que asi conste, y rem itir á la redacción E c cia de la plaza de C ádiz, dictada ante mí en este d ia , se obrar de esta manera. Se hablado de incompetencia ; mas es ne­ ita , ífama y emplaza á D . Pedro y Doña Isabel Cabello, y ácesario que esta se pruebe, y ademas esta cuestión h a sido y a</t>
  </si>
  <si>
    <t>Cabellos, Nicasio González</t>
  </si>
  <si>
    <t>Nicasio González Cabellos</t>
  </si>
  <si>
    <t>…tres de la tarde, y según ca Santipetri, D. Pedro Porras, D. Felipe López VadeIdem D. Juan la Ro­ dos cadenas: la goleta O rear, procedente de S. Agustine, varó todas las referencias de donde procede esta noticia los enemigos D. Nicasio González Cabellos, D. Francisco Iñigo, D. José oro, al Sud de Staten Island, pero no tuvo avería en el cargamento: Es­ otro bergantin-goleta, grande, está varado en Great Kiln : el habían sido batidos. cribano y D. Valentín Sigúenza, quienes declararon no.haber bergantín Laurel , viniendo…</t>
  </si>
  <si>
    <t>Cabo, Cayetano Treberi.</t>
  </si>
  <si>
    <t>Cayetano Treberi. Cabo</t>
  </si>
  <si>
    <t>…s á B IB LIO G R A FIA . Miguel Clavilla , Isidro Sabater y Jo é Castañé. su pais, no aspiran á otra cosa que á labrar la felicidad de sus P I N T U R A del amor conyugal, considerado en el estado del Sexta compañía.—Teniente D. Cayetano Treberi. Cabo: An­ patriotas; y ¡ojalá tuviesen en su mano, aunque fuera á costa matrimonio, por Mr. V enette, traducción de la 56 ed i- tonio Mercader. de su existencia, sofocar la guerra civil que destroza su patria, Compañía de cazadores.=:Soldados: Ramón Pera, Rafael y que la Reina Gob…</t>
  </si>
  <si>
    <t>Cabotasisth</t>
  </si>
  <si>
    <t>…a por M. O ’Connell prueban de una manera irrefragable el conde S e n ftt, Mr. D e d e l, el barón YYerther, Mr. H u m e - que la Irlanda tiene confianza en el ministerio actual. Lord lauer, el barón de Bourgueney y el conde de Cabotasisth asis* Norm anby debia pues conceder su patronazgo á los amigos del PARTE NO OFICIAL. tian á aquel banquete. ( M orning-Fust •) Gobierno. En Inglaterra se conforma con los votos del pueblo ingles; ¿por qué pues en Irlanda se habia de conformar con los deseos de una minoría? Sostengo po…</t>
  </si>
  <si>
    <t>Cabrera, Pablo</t>
  </si>
  <si>
    <t>Pablo Cabrera</t>
  </si>
  <si>
    <t>…general deí En lugar de biombos preferiríamos tabiques para la sepa* D . José Tomaf,, presidente* ; , ejército para conocimiento de sus individuos y satisfacción de ración de las cam as, evitando de este modo la producción de D. Pablo Cabrera, vicepresidente. , ! c los interesados, debiendo los que han obtenido ascenso usar las chinches y otros insectos. D , Nicolás Fernápdéz y 4D. Sabino Medina , consiliario*. desde luego las insignias que por su nueva graduación les cor­ El plan dé alimentos nada deja que desear: la facil…</t>
  </si>
  <si>
    <t>Cabrera, Torres</t>
  </si>
  <si>
    <t>Torres Cabrera</t>
  </si>
  <si>
    <t>…incia, Agustín de Chinchilla.zrContador de bre de l839.=Excmo. Sr,=José Melchor P rat, presidente.=El Tan felices resultados son debidos, Señora, á los desveloi aduanas, Joaquín Serven.=Contador de am ortización, Yicente conde de Torres Cabrera.= Antonio Navarro y Navarro.rzJosé de V. M ., á su previsión, á las acertadas disposiciones de su Noriega de Bada.zzAdministrador ídem , Antonio Rodríguez y Aviñó.=Cirilo Sanchez.=Aureo Jiménez ^Cristóbal Y ergara.= ilustrado Gobierno, á los sacrificios y lealtad de la nación Fernande…</t>
  </si>
  <si>
    <t>Cabrero, D. Pablo</t>
  </si>
  <si>
    <t>D. Pablo Cabrero</t>
  </si>
  <si>
    <t>…cha imprenta Nacional los oficiales de su ejército; por el presente llamo, cito y empla­ Sr. D. Leopoldo Augusto de Cueto. hasta el 10 de Diciembre. zo al Excmo. Sr. teniente general D. Luis Fernandez de Córdo­ Depositario ±:Sr. D. Pablo Cabrero. ba, advirtiéndose que es el primer edicto al efecto de su presen­ Confador.—Sr. D. Manuel Gatalá de Vaferíola. tación, señalándole para ella la casa palacio habitación del Ex­ Bibliotecario ízSr. D. Aotonio María Segovia. celentísimo Sr. capitán general de este distrito, donde de…</t>
  </si>
  <si>
    <t>Cabrillas, José</t>
  </si>
  <si>
    <t>José Cabrillas</t>
  </si>
  <si>
    <t>…n estos últimos dias en la pla­ perturbación á lo íntimo del corazón del hom bre, al asilo de Mas y a que no sea ni pueda ser objeto de este breve escrito su couciencia. Oponiendo deberes á deberes, juramentos á ju-? tería de D. José Cabrillas , calle Mauleros. Según se nos ha in­ abarcar uno y otro cu a d r o , dignos entrambos de un pincel va­ rauientos, causan por lo menos incertidumbre y duda auu en formado parece que una persona de buenas maneras empezó á liente, nos habremos de lim i t a r , como asunto de mas urgen…</t>
  </si>
  <si>
    <t>Cacho, Eustaquio García</t>
  </si>
  <si>
    <t>Eustaquio García Cacho</t>
  </si>
  <si>
    <t>…to Alvarez, letrado: D. R a- EFECTOS PÚBLICOS. la acreditada y graciosa comedia en tres actos, titulada mon Neira Montenegro, propietario. Inscripciones en el gran libro á 5 por 100 , 00. MARIDO JOVEN Y MUGER VIEJA, Síndico: D. Eustaquio García Cacho, propietario. Títulos al portador del 5 por 100, 27f , £ y 2 7 | con cupo­ Ciudad Real 11 de Diciembre. Con la mayor tranquili- fnes&gt; ial&gt; 27f contado: 2 7 |, tres dieziseisavos, £ , ¿ , 28 , 27f 28¿, tido sainete. de baile; terminando la función con un diver­ Intermedio de…</t>
  </si>
  <si>
    <t>Cadaval, José</t>
  </si>
  <si>
    <t>José Cadaval</t>
  </si>
  <si>
    <t>…mez.............................................................. 51 los 20 premios mayores de los 602 que comprende el sor­ buenos dedicadas á la Milicia nacional de esta corte y á los españoles, en los términos siguientes : D. José Cadaval................................................................... 51 teo del dia 30. 1.° Una noche de alarma en Madrid. D. Francisco de Armas.................................................... 51 Marques de San Felipe . ................................. 51 NÚMEROS. PREMIOS. ADMINISTRA…</t>
  </si>
  <si>
    <t>Cadiñanos, Rafael Jiménez y D. Manuel Fernandez</t>
  </si>
  <si>
    <t>Rafael Jiménez y D. Manuel Fernandez Cadiñanos</t>
  </si>
  <si>
    <t>…contratiempos y dirigir la cria de lofe aut¿- ra , D. Manuel Viejo, D. Alberto Tolosa, D. Joaquin Alcal­ martes , viernes y sábados dé cada semana de doce á dos. males que necesitan; ya en fio , para conocer los terrenos y de, D. Rafael Jiménez y D. Manuel Fernandez Cadiñanos: La matrícula estará abierta hasta el dia 20 de dicho mes en minerales. Lo mismo sucederá á los’ médicos y farmacéuticos resultando por unanimidad haber lugar á la formación de causa. la secretaría del conservatorio, donde pódráó ácúdir los que para est…</t>
  </si>
  <si>
    <t>Cafranga, José</t>
  </si>
  <si>
    <t>José Cafranga</t>
  </si>
  <si>
    <t>Je la mas dulce satisfacción, y les anuncia adelantos positivos Salamanca.^:D. José Cafranga. puntos de apoyo, sí se queria a egurar el paso de los convoyes. siguiendo constantemente el camino principiado* Cada dia se Sevilla* = D. Vicente Ramos G arcía, obispo electo de Cór­ N inguna avenida ofrece mas ventajas que la de Cardona, .si van matriculando en el instituto nuevos al…</t>
  </si>
  <si>
    <t>Cagliostro</t>
  </si>
  <si>
    <t>…mandó que ckolmo y de Paris. José Balsamo, natural de Palerino, conoci­ de querer sublevar las colonias, de ser los enemigos de estos es­ fuese á lavar los platos. Cuando volví al puente ya no encon­ do por el nombre de conde de Cagliostro, gran paracelsista , al­ tablecimientos; se les escucha con ínteres; disponense todos á tré á mi herm ano; fui á buscarle al cuarto de los marineros, quimista , fabricador de afeites y de cosméticos, fundó en seguir sus consejos; y la emancipación total de los esclavos se los cuales me re…</t>
  </si>
  <si>
    <t>Cailler</t>
  </si>
  <si>
    <t>…e E s p a ñ a , mandando publicar su ordenanza suspendiese su marcha. P e ro co n tra y é n d o n o s , d e sp u é s de va rio s e je m p lo s q u e á voz del pregonero Pedro B .z , y conminando con la pena L a nota del capitán Cailler contiene detalles muy circuns­ presenta de d ila p id a c io n e s de g r a n d e s p r e c io s id a d e s , á la de cien azotes al director de mancebías que contraviniese al ex­ tanciados de la batalla de Nezib. Solo á fuerza de trab ajo, dice, p regu n ta qu e hace del p a r a d e r o de…</t>
  </si>
  <si>
    <t>…l im p e rio , partido por dos cuentran en consecuencia de esto en una posición m u y crítica. irías dulce y precursora de la veuturosa dicha á que son tan trenzas #sobre la fren te; tiene la dimensión de una pulgada y El capitán Cailler se halla por fin de vuelta en A lejandría: acreedores; y cuando por todas partes se apresuran á demostrar dos líneas desde la barba al cráneo. ha estado malo en el cam ino, y se cree que partirá en el p r i­ su entusiasmo y regocijo estrechando los lazos de la fraternal Utensilios d e bronce…</t>
  </si>
  <si>
    <t>Caillé</t>
  </si>
  <si>
    <t>…já de V V idin , á to de Hafiz ha sido perseguido mas allá de la frontera de S iria, Es una falsa medida el exigir que los precios que deben ser­ qu ien principalmente se debe la extinción de los genízaros , se ó si el capitán Caillé llegó á tiempo de impedir que Ibrahim vir de base para la percepción de los derechos se revisen todas f i l a b a en esta, en donde en breve tendremos 103 hombres, los las semanas: el comercio de líquidos no puede absolutamente que unidos á las tropas que guarnecen la plaza formarán una pa…</t>
  </si>
  <si>
    <t>Cainpomanes, P. Bernardo</t>
  </si>
  <si>
    <t>P. Bernardo Cainpomanes</t>
  </si>
  <si>
    <t>…l punto diese lugar á que el na.nlgnacio María Lorenzana.—Manuel de Prado.izP. A. D. L. suplente porá jurar Entró Madrid. y tomó asiento el Sr. M iranda, Diputado enemigo continuara los incendios y su sistema de devastación D. P. Bernardo Cainpomanes, secretario in terino. Se mandó unir al expediente una reclamación sobre las elec­ por los pueblos inmediatos á Berga. ciones de Valladoiid. Elogia la conducta de las tropas en este movimiento, y hace Pasó á la comisión de Actas una reclamación acerca de las mención del ge…</t>
  </si>
  <si>
    <t>Cal</t>
  </si>
  <si>
    <t>…la Leida el acta de la anterior, quedó aprobada. para a prov idencia que corresponda. Dios guarde á Y. E. inu- cu al, como el pliego de las citadas condiciones, obran en poder Se leyó y mandó im prim ir el voto particular del Sr. Cal­ de dichos ministros; debiendo hallarse en el mió las indicadas derón Collantes al proyecto de ley sobre atraso de contri­ c os años. Sevilla 16 de Diciembre de 1858.—E1 conde de Clo­ proposiciones precisamente 12 ó 15 dias antes del referido re­ buciones.</t>
  </si>
  <si>
    <t>…unas ligeras observaciones de los Sres. Benavi- en caso excepcional , y los que han intentado presentar el acta or lo mismo que la pacificación de esa provincia está próxima des y B.»rrio Ay uso en apoyo de los argumentos del Sr. Cal­ y asistir á la junta han dicho que la ley de N av ar ra era la del que vau á ocuparnos asuntos de esta naturaleza, ha creído derón Collantes, á que contestaron los Sres. Quinto y Cortioa, año 57; y si esta ley rige en aquel pais, debe aplicarse: asi ue no debia quedar esa provincia en semejante…</t>
  </si>
  <si>
    <t>CAL</t>
  </si>
  <si>
    <t>…aprovechamiento de la riqueza (¡no la feracidad de su suelo el decreto de 21 de Marzo de 1857. sido ilegales, que puede haber habido algun a p arcialid ad , si­ les ofrece, hayan asegurado su bienestar, bendecirán los des­ El Sr. C A LD E R O N C O L E A N T E S : M u y desagradable no que se ha escandalizado de ellos. ¿Pero la comisión en el ex­ velos e ¡lustrados esfuerzos de Y . M . , cuyo reinado será sin me es tomar la defensa de la Constitución y de las leyes, cuan­ pediente que está sobre la mesa encuentra algún docum…</t>
  </si>
  <si>
    <t>Cal, Saturnino</t>
  </si>
  <si>
    <t>Saturnino Cal</t>
  </si>
  <si>
    <t>…sterio el teniente general D. Francisco N ar­ vaez. (Núm. 1854.) nombrando en propiedad Secretario de Estado y del Des* I Los periódicos ingleses , cuyos nombres citamos á continua­ pacho de la Gobernación de la Península á D. Saturnino Cal­ NOTICIAS NACIONALES. ción, han pagado al fisco por derechos sobre los anuncios in­ derón Collantes, cesando en el desempeño interino de dicho sertos en sus columnas en todo el año trascurrido desde 5 de ministerio el actual Secretario de Estado y del Despacho de Vinaroz 7 de Diciem…</t>
  </si>
  <si>
    <t>Cal, Tadeo</t>
  </si>
  <si>
    <t>Tadeo Cal</t>
  </si>
  <si>
    <t>…e examen públ i c o, pudi era la sociedad con todo acierto a dopt ar á i gu a l premio que el anteri or. d i s t i n g u í a por su superi or i ntel i genci a. En estos úl t imos años una medi da benéfica que tanto anhel aba. D. Tadeo Cal ouaar de, siete años de e d a d , número pri mero le habi a puesto el S ul tá n bajo la dirección de profesores e x t r a n - Destinados los dias 1 8 , 19 y 2 0 del mes que r i ge al i nt e n ­ de la pri mera c la s e, por su a p l i c a c i ón , ser el sobresaliente eu g er os, entre lo…</t>
  </si>
  <si>
    <t>Cal-, Benito Flores</t>
  </si>
  <si>
    <t>Benito Flores Cal-</t>
  </si>
  <si>
    <t>…columnas, y basta hubo choque de lanza y arma blanca entre una y otra Se halla á 3 rs. tanto en rama como en rústica en el biernode ingles: ^ justicia criminal úe Iogtaterra , y del espíritu de G o­ traducido del francés por D. Benito Flores Cal- caballería, siendo la contraria mandada por Balmaseda , que despacho de dicha Imprenta. deroo; un tomo en 8 .° rústica. Se vende en la librería de Ranz, para esta operación dejó á las hordas del feroz Cabrera; pasó calle de la Cruz, á 8 rs. el Ebro por las barcas de Flix , y se in…</t>
  </si>
  <si>
    <t>Cala</t>
  </si>
  <si>
    <t>…io-asldeo— ■ducir k resolución que' se tome en este día ,, coa inte aciones art. IF i por consi guie inte con lie fia la discusión de este asuntó,, cíoq estas ra sones. E l Sr. F 'E R R E iR contesto á lo manifestado por el Sr. Cala­ m uy buenas sin du da, pero muy distantes del oso que puede Eli Sr. Mi¡oist.ro de Hacienda ha avisado que do puede asistir- hacerse de esta arma por toóos los parí I dios, 1 b e:%f.a discusión por estar ocupadlo en el Congreso dé Diputa-*» tía va dicieudo epe ea cnanto á lo que ha hedí o ver…</t>
  </si>
  <si>
    <t>Calabnig, María</t>
  </si>
  <si>
    <t>María Calabnig</t>
  </si>
  <si>
    <t>tn intestado de Doña María Calabnig, viuda en secundas nup­ la á recoger el cuaderno segundo del mismo tratado con las lá­ ; rán los tomos en entregas de 40 paginas cada UDa , en cuarto cias de D. José de la Peña , y vecinos que fueron do la misma, minas que le corresponden. Sigue abierta la suscripción. mayor prolongad…</t>
  </si>
  <si>
    <t>Calabuig, Joaquín</t>
  </si>
  <si>
    <t>Joaquín Calabuig</t>
  </si>
  <si>
    <t>…el profesor niega su exactitud : in­ Melchor Clemente* á los tenientes D. Eduardo Sahop y Dod sos, y dos caballos heridos. siste Vito* y desafia formalmente al profesor : este se resigo*, Francisco M artínez, y ál subteniente D. Joaquín Calabuig , y Expone el expresado segundo cabo la importancia de este á súplicas de algunas damas, á volver á empezar su cálculo, hace especial mención del alférez L ázaro, que con solo 10 cabá- suceso, y elogia la conducta y bizarría de las tropas , el celo y y pronto trae á Mangiarnelé triu…</t>
  </si>
  <si>
    <t>Calatea</t>
  </si>
  <si>
    <t>…que tras Sres. Giispert y Los Sim Becerra, Isla y :S,„. Miguel ¡aclararon varios hechos. la mayoría absoluta de votos presentes» Co neo rr irán á este ac- Armendaris no podían asistir por bailarse enfermos» A petición éel Sr. Calatea va se ley© el art. 10' de la ley de t# ta mitad mas uno á lo menos de los individuos de cada cuer- ¡po colegistedor, y ¡ningún© se podrá abstener, de votar, En el Se leyó el dictamen fie la comisión encargadla fie informar 19 de Julite, que dice: acerca fie la pensión que ha fie conceders…</t>
  </si>
  <si>
    <t>Calatr</t>
  </si>
  <si>
    <t>…a no era fácil otros que en justa vindicación deben ser manifestados. ñaba , que á la poca movilidad unia la dificultad de ocultar verificarlo con Palillos y otros por ese e stilo , porque no los Respecto á loque ha dicho el Sr. Calatr ava sobre las junta s, sus m o y im ie n to s , decidí retirarme á esta villa no sin sorpren­ consideraba como facciosos sino como pandillas de ladrones. y o diré que á consecuencia de un tumulto en Zaragoza , se en­ der alg un os a v i s o s , y tomar noticias que pueden iuteresar á la Res…</t>
  </si>
  <si>
    <t>CALATRAVA</t>
  </si>
  <si>
    <t>…vez que se ve en los Estados U nidos una #e indica. consideración la proposición. Cám ara arrojada del sitio desú s sesiones; y ¡h ech o deplorable!.. Se asegura que un fu n cion a rio del G ob iern o federativo está á El Sr. C A L A T R A V A dice que el deseo de tod o lo que está la cabeza del bando que asi huella la C on stitu ción y las leyes. consignado en el mensaje se halla y a rsa tisfech o, porque el G 9 - REAL DECRETO. E u los países libres, desde el m om ento en que el orden le­ b iern o, en un Real decreto…</t>
  </si>
  <si>
    <t>Calatrava</t>
  </si>
  <si>
    <t>fueron á presentarse á C abrera, y este tigre tuvo valor para citado el Sr. Calatrava ; yo podría citar tin o , pero no quien ’ provincia en un caso enteram ente ig u a l, la comisión cree que» m andar poner en libertad al padre después de haberle obligado por no excitar la sensibilidad de los Sres. Senadores. el Congreso puede acordar el siguiente proyecto de ley. á pres…</t>
  </si>
  <si>
    <t>…están des­ cia íuo ad m irab le , mas todavía por lo que supo callar Se dio cuenta de varios nombramientos de Presidente j Se­ que por lo que d¡;o. La posición do un consejero de la vanecidas ambas cuestiones: y y a que el Sr. Calatrava se ha re­ cretarios para componer algunas comisiones. ferido al Ministro que en la actualidad tiene el honor de serlo corona 011 cuestiones de esta especie es tan embarazosa de Se lejó la lista de las peticiones presentadas en la secretaría de Gracia y Justicia, diciéndole que tendrá qu…</t>
  </si>
  <si>
    <t>…cias fueron depositando sus votos en la urna , y ve­ escrutinio y le remitió al Congreso, ¿cómo se vuelve á reunir? ecto del acta de que se trata? Señores, hay dictámenes de la rificado el escrutinio resultó haber obtenido el Sr. Calatrava 55 Las protestas de las juntas son ya en ese caso directamente al omisión que pueden compararse con el que nos ocupa en este votos, el Sr. Zumalacarregui 2 5 , el Sr. Barrio Ayuso 2 , el Congreso. jomento, no solo por la semejanza de los casos, sino también Sr. Arguelles 1. Total de votan…</t>
  </si>
  <si>
    <t>…mo señor dió cuenta de los siguientes nombramien­ PARTE OFICIAL. dulce me es encontrarlos en un pais que es el m ió , que fue y tos hechos por las secciones. será eternamente el de mis afecciones. 1.a sección. Presidente el Sr. Calatrava : Yicepre ideóte el Recibid de nuevo la seguridad de mi profundo é inalterable Sr. Arguelles: Secretario el Sr. Pascual: Vicesecretario el se­ reconocimiento. ñor Sánchez Tosca no. S. M. la R e i n a , s u augusta Madre l a R e i n a G o b e rn a ­ A. T h ie r s, Diputado del distrito d…</t>
  </si>
  <si>
    <t>…atado júbilo. conforme á la imparcialidad que debe tener siempre la mesa; y gar en la negociación.” La diputación se da el parabién por el dichoso porvenir que digo que es conforme á la imparcialidad que se inserten lite­ El Sr. C A L A T R A V A (D. R.): Como uno de los autores entreve*, y al felicitar á V. M. por su Ínteres en esta grave ralmente, porque asi no queda al arbitrio el interpretarlas. Asi de esta proposición, ruego al Congreso me permita decir dos cuestión, y por la parte que en ella ha debido ton ar vuestro…</t>
  </si>
  <si>
    <t>…la causa púbhca. 4 *° Otra exposición de varios electores de O Í í s , V illasrca, presentó su d ictá m e n , y un Sr. D ip u tad o se presento recla­ mando contra la admisión del Sr. C o r t á z a r , y el dictamen fue E! Sr. C A L A T R A V A (D. R am ó n ): E l Sr. M in is tro de H a ­ Puebla de M ontalb an y otros distritos de la provincia de T o ­ cienda , al paso que ha usado expresiones que envuelven una ledo, manifestando que han dado sus votos á D. N . Esteban, retirado. E l Sr. Góm ez Pardo ha hecho gestión par…</t>
  </si>
  <si>
    <t>…l buen servicio de S. A. ó al dad de sus representantes en proporcionarle mejoras y beneficios. obrado distintam ente, y haciéndose cargo de que no era posi­ buen régimen de la administración de justicia. ¿ Y son los fue­ El Sr. C A L A T R A V A iuterpeló también á la comisión en­ ble en este momento de una manera improvisada , como á b u l­ ros de esta clase aquellos por c u y a confirmación se o p in a? De cargada de examinar los proyectos de ley sobre manutención to , fijar y terminar la suerte de aquellas provincias p…</t>
  </si>
  <si>
    <t>…oluta indiferencia , é in d i­ la idea del Senado, la comisión reformó la proposición ; y aho­ El Sr. PRESIDENTE: Se avisará al Gobierno. Orden del ferente me será que el Senado la apruebe ó n o, yo por mi parte ra que ve el Sr. Calatrava que el mensaje se convierte en una dia. Continúa la discusión sobre la empresa del canal de Casti­ no la aprobaré, y no por otra razan que por la de creer que un acción de gracias á S. M . , se opone también diciendo que no lla. El Sr. marques de Casa-Irujo quedó con la palabra el dia me…</t>
  </si>
  <si>
    <t>…d e ? Los excesos se consideran cometidos por algun as j u n t a s ; no Se leyó la tercera» cioso que salían á reconocernos, y que á la voz de viva la R e i­ aprobaré tal con du c ta; pero 110 podré menos de conocer que á El Sr. C A L A T R A V A dice que esta parte es el verdadero na en que prorum pieron nuestros s o l d a d o s , nos dispararon sus esas jun tas se las dió la i n ic i a t i v a , porque los generales en gefe mensaje, pues con ella se censura todo lo hecho en A r ag ó n y trabucos. L e s cargam os al g a…</t>
  </si>
  <si>
    <t>…izada por las secciones de uu NOTICIAS EXTRANGERAS. tados por el Gobierno al Senado en las anteriores legislaturas proyecto aun cuando el mismo Gobierno no los reproduzca , presenta bre organización de ley que presentaba el Sr. Calatrava (D. Ramón) so­ de la dirección general del tesoro público. reformado el dictámen que retiró, y opina que se dé conoci­ FRANCIA. miento al Gobierno de los proyectos de ley que haya presenta­ y pasó á las secciones. por su autor, se tomó en consideración, Apoyado brevemente do al Senado…</t>
  </si>
  <si>
    <t>…mocracia y oligarquía implican algo. El Sr. Ministro de E S T A D O : Tengo el honor de manifes­ meza de carácter y de conducta , aunque puedan disputarse ........ " s u tendencia á la anarquía y la opresión que impo­ tar al Sr. Calatrava que paladina y terminantemente niego que mis talentos. nía al poder Real originaron un sentimiento general de repul­ el Gobierno español haya dado misión alguna al sugeto á que No hablo de los periódicos, porque estos dicen lo que les da sión que la hizo justamente proscribir” ..........…</t>
  </si>
  <si>
    <t>…ene un artículo igual á la de 1 8 5 7 , se dijo que curso y á la imparcialidad del Congreso. sión que sejup on e del Sr. Zea. Si en efecto hubiera habido esa los jueces de primera instancia procedieran á hacer publicar la El Sr. C A L A T R A V A (D. José): Las equivocaciones que m is ió n , señores, yo , como individuo del, Gabinete , tendría Constitución , y no sé por qué no se mandó á los alcaldes y necesito deshacer son dos; pero para la una seria m u y conve­ que saberlo ; y cuando la hubiera sin que yo lo s u p ie r…</t>
  </si>
  <si>
    <t>…V A (L). José) dijo que aguardaría hasta yo; ahora si este es un error, será error de que me sacará el Es, señores, de consecuencias mas graves de las que muchos mañana, limitándose entre tanto á solo cumplir la palabra que Sr. Calatrava. pueden pensar la existencia ó no existencia legal de esa ley; y dio ayer de presentar la memoria del Sr. Zea, impresa en Pa­ El Sr. CABALLERO: Me limitaré á deshacer cuatro equi­ yo procuraré examinar brevemente todos los principios bajo los rís en francés en 19 de Febrero de este año,…</t>
  </si>
  <si>
    <t>…ue ( y esto lo han tomado todos los Contestaré en pocas p alab ras, porque no puedo extenderme Yo entiendo por misión oficial la que da de oficio el Go­ periódicos) que mi opiuion sobre el asunto de mayorazgos la m uch o , al Sr. Calatrava , que parece haber tomado el empeño b iern o , ora la dé públicamente, ora ostensiblemente , ora de tenia formada ; pero que no la expresaba porque no era del de dejarme en público como hombre inexacto en materia de una manera acreditada , ora de una manera reservada y clan­ caso. Luego no…</t>
  </si>
  <si>
    <t>CALATRAVA, Quiroga. PRESIDENCIA DEL SEÑOR</t>
  </si>
  <si>
    <t>Quiroga. PRESIDENCIA DEL SEÑOR CALATRAVA</t>
  </si>
  <si>
    <t>…ONGRESO DE DIPUTADOS. por el Sr. Medraoo con relación á la ley electoral, la comisión dó aprobado por unanimidad, constando que habia sido asi á reconoce el plausible celo de su autor; pero entiende que su con­ petición del Sr. Quiroga. PRESIDENCIA DEL SEÑOR CALATRAVA. tenido es materia de una proposición, en la cual podrá hacerse También fue aprobada , prévia una breve impugnación del la calificación de los defectos de que adoleciere la ley vírenle, Sr. Caneja, fundada .eu una equivocación de S. S., cual era la Sesión d…</t>
  </si>
  <si>
    <t>Calatrava, Ramón María</t>
  </si>
  <si>
    <t>Ramón María Calatrava</t>
  </si>
  <si>
    <t>…rcunstancias no son las mas á propósito para que el le notificaria para que nombrase otro. Gobierno y los cuerpos colegisladores puedan plantear esos esta­ Después de unas ligeras observaciones del Sr. Becerra en reemplazo de D. Ramón María Calatrava, que ha sido nombrado ble ¡mieutos de beneficencia , de los cuales deben esperarse in­ apoyo del artículo, se leyó este nuevamente suprimiéndose las individuo de la comisión regia que ha de pasar á ultramar.. mensas ventajas para la sociedad. palabras apud a cta , y fue aprobad…</t>
  </si>
  <si>
    <t>CALATRAYA</t>
  </si>
  <si>
    <t>…prendida ción , y se aumenta la suma de jubilados y cesantes, que ya de no acceder á su solicitud. la pensión de viudedad, pues la pensión de viudedad es un asciende á 95.780,151 rs. Después de hacer otras ligeras obser­ El Sr. CALATRAYA, contestando al Sr. San Miguel dice, derecho adquirido por esa señora , y no necesitaba para ello de vaciones, concluye diciendo que los medios de conservar el cré­ que el Sr. Laborda en su concepto propone y subroga á los modo alguno acudir á las Cortes. dito es el asegurar los capitales…</t>
  </si>
  <si>
    <t>…no ei único ensión de. la totalidad del proyecto sobre creación de un Conse­ responsable de sus actos» jo de Estado. Tiene la palabra era contra el Sr. Gala Ira va» ¿Debemos ademas mirar el Consejo de Estado como asesor El Sr. CALATRAYA: Mi deseo y la importa ocia del nato de 1.a potestad Real ? Era la significación y en la idea que T I A RIENDOSE fugado de la casa Galera de esta ciudad el día .asunto que se discute roe ira»peleo á ofrecer á lia con,sideración tenemos de; esta palabra, ¿debemos darle á la Corona? El as©*…</t>
  </si>
  <si>
    <t>…os dos artículos. p utados; pero estando y a presentados es indispensable nombrar me gana. E l Sr. P R E S I D E N T E : Constará eso en e! D iario, Sr. conde. esta comisiou , no obstante no haber el número suficiente de E l Sr. C A L A T R A Y A , contestando á una alusión personal, A petición de otro Sr. D ip utad o se leyó ei art. 112. Sres. Diputad os. Por lo tanto va á preguntarse si pasarán á las dice que el Sr. M in istro de la G u e r ra le ha d irig id o una in ­ E l Sr. conde de las N A V A S pide que se lea el…</t>
  </si>
  <si>
    <t>…lgunas provincias de la monarquía ; estado que es en­ El Sr. PR E S ID E N T E : Orden , señores. la discusión del mensaje á S. M. sobre que se regularice la teramente contrario á ella. Ya que se ha tratado de represalias El Sr. C A L A T R A Y A : Pido la palabra en contra. guerra, invitando antes á los señores firmantes de la propo­ contra individuos, quisiera también que se tratara de las re­ El Sr. A L C A N T A R A N A Y A R R O : Señores, he pedido sición que había dado margen á é l , que no eran individuos de presa…</t>
  </si>
  <si>
    <t>…ados en la administración principal de loterías de lio y el decreto de 50 de Diciembre de 1828. ios bao podido hacer nos le han hecho. Lo que se necesita aho- la ciudad de Barcelona para ser entregados al portador del bi­ El Sr. C A L A T R A Y A : Desearía saber si la mesa puede de­ •a es el vigor y la dignidad de un Gobierno justo y liberal. llete cuyo número haya sido premiado. cir si hay alguna autorización de las Cortes aprobando el pre­ El Gobierno , amaestrado con la experiencia , debe tener pre- Infinitas son las ci…</t>
  </si>
  <si>
    <t>Calbet, Ezequiei</t>
  </si>
  <si>
    <t>Ezequiei Calbet</t>
  </si>
  <si>
    <t>…as estas sospechan al en em igo, e?&gt;ie clava su palo eu Según el extracto del diario del buque form ado por estas preparaciones parten al caer el dia para los montes, la nieve, y poniendo el som brero en el tope , marcha aga­ D. Ezequiei Calbet resulta lo siguiente: para pasar la n oche en alguna de las chozas hechas con chado dando una vuelta , mientras que las gamuzas están El capitán A droher recaló a la isla del C uervo á las este o b je t o , y adonde procuran tener leña seca para hacer m irando con asombro aquel obje…</t>
  </si>
  <si>
    <t>Calde</t>
  </si>
  <si>
    <t>…de una Congreso no pue­ todavía arrestado, en igual posición y circunstancias que se eu- El Sr. Ministro de la G O B E R N A C IO N : El Sr. Cortina de juzgar de su validez. contraba en Noviembre de 1858: y yo pregunto al Sr. Calde­ ha tocado dos cuestiones: una propiamente electoral, otra ju- Por consiguiente, es inútil que se pida el testimonio para rón Collantes, que es perito en la materia y no podrá haber rídico-criminal. También ha manifestado que trataría esta juzgar de la validez de las actas de Sevilla, y mucho…</t>
  </si>
  <si>
    <t>…d de los ciudadanos? Yo creo que para juzgarlos se debia na que se diga al Gobierno dé sus órdenes para que á pesares superior á las facultades de la Sra. Lombía, y que el no primero seguir un curso práctico de calabozos. (El Sr. Calde­ ejecutarlo quien debia puede comprometer el éxito de la del arresto se traslade el referido á la corte, sin perjuicio de rón Collantes pidió la palabra.) Para que el Sr. Calderón Co- función. que remitido testimonio de la causa, conforme al decreto de 21 llantes se extienda mas en su contes…</t>
  </si>
  <si>
    <t>CALDERO</t>
  </si>
  <si>
    <t>…os se compondrá de Proyectos revolucionarios en varios puntos de E sp añ a, y distinta manera. los que lo sean en propiedad en cualquiera facultad , y de los conatos para sublevar el pais por algunos emigrados en los ve­ El Sr. C A L D E R O ‘4 C O L L A N T E S insistió en que no ha que tengan Real nombramiento de in te rin o s, hasta que se pro­ cinos reinos de Francia y Portugal. bia razón para que la comisión variase de d ic ta m e n , propo­ vean sus plazas. Dictámenes fiscales y diferentes providencias y disposicion…</t>
  </si>
  <si>
    <t>CalderOil, Casa-blanca. Sr. D. Serafín Estevanez</t>
  </si>
  <si>
    <t>Casa-blanca. Sr. D. Serafín Estevanez CalderOil</t>
  </si>
  <si>
    <t>Valladolid. Sr. D. José M artí, barón de Casa-blanca. Sr. D. Serafín Estevanez CalderOil * electo* wD. Francisco Ramonet. Sr. D. Joié Miquel Polo. Sr. D. Eduardo Gahvey , electo. D. Evaristo Perez de Castro. Sr. D. Joaquin de Pedro, marques de Albaida , electo. Sr. D. Antonio Ros y Olano. V izcaya, Ciudad-Real. Murcia. »D . Pedro Allende…</t>
  </si>
  <si>
    <t>CalderOil, D. Serafín Estevanez</t>
  </si>
  <si>
    <t>D. Serafín Estevanez CalderOil</t>
  </si>
  <si>
    <t>Valladolid. Sr. D. José M artí, barón de Casa-blanca. Sr. D. Serafín Estevanez CalderOil * electo* wD. Francisco Ramonet. Sr. D. Joié Miquel Polo. Sr. D. Eduardo Gahvey , electo. D. Evaristo Perez de Castro. Sr. D. Joaquin de Pedro, marques de Albaida , electo. Sr. D. Antonio Ros y Olano. V izcaya, Ciudad-Real. Murcia. »D . Pedro Allende Salazar. Sr. D.…</t>
  </si>
  <si>
    <t>CALDERONCOLEA</t>
  </si>
  <si>
    <t>…he sido menos audaz ; podría no haber sido El Sr. P R E S I D E N T E : N o h ay halabra. ción de u n sentimiento común á todos los españoles aqui y tan a f o r tu n a d o ; cualquiera cosa : en fin , yo no he tenido por El Sr. C A L D E R O N C O L E A N T E S : Pido que la votación fuera de aqui. Y o voy á d a r algunas razones para hacer ver la conveniente pedirle: ¿y no hay mas que un medio de gobernar? sea nominal. verdad de esta proposición. ¿ n o ha y mas medios de gobernar que los que empleó el señor El Sr. P R E…</t>
  </si>
  <si>
    <t>CALDERONCOLLA</t>
  </si>
  <si>
    <t>…usión estableciese el giro que debia darse á esta clase de ticia para los fines oportunos. to ha podido, y ha discurrido todos los medios posibles para que ren u n cias, mediante á que el artículo 54 de la ley electoral no El Sr. C A L D E R O N C O L L A N T E S manifiesta que el Con­ esten atendidas estas clases. Si ellas se quejan del M in is t r o , este permite el que se hagan libremente por los individuos que h a ­ greso no debe constituirse en conducto de las exposiciones que verá io-que ha de contestar. y a n sido no…</t>
  </si>
  <si>
    <t>…mero.zzüomingo Conde, regidor a paciñcacion de la -Península. El Sr. marques de Miraíiores, putado. s^gundo.nFrancisco Galcerán, regidor tercero.—J. Antonio del Dresidente deí banquete, ha hecho con la mas perfecta cordia- El Sr. C A L D E R O N C O L L A N T E S : El otro dia cuando A djlid , regidor cuarto, zz Bernardo Bolaño , regidor quinto»-: idad los honores de esta fiesta, en la que no han dejado de se trató de mi admisión entré, y me salí en el momento mis­ R «caí do Bermudez, regidor sexto.zzPedro M. Sanz, regidor s…</t>
  </si>
  <si>
    <t>…providencia interina puramente pose­ E ntró á jurar y tomó asiento el Sr. M uñoz Maldonado. que se notaba respecto á la inteligencia de la ley electoral, y soria , y dirigida á asegurar los derechos tales cuales fueren, El Sr. C A L D E R O N C O L L A N T E S manifiesta que no se añadió que era extraño que no hubiese tenido noticia dé este ca­ que pudiera tener el Real patrimonio , no reconociendo facul­ propone oponerse á que se admita al Sr. Alonso, sino defender so cuando lo habia denunciado la prensa que tenia á su…</t>
  </si>
  <si>
    <t>…de Islas tejo, formando después en batalla para hacer una descarga á Varios señores pidieron la palabra. ExCm°; f r- caPita“ general de este ejército y principado la conclusión del Te Deum , y desfilar en columna de honor El Sr. C A L D E R O N C O L L A N T E S : Pido que se lea el do­ desde su cuartel general de Manresa me dice en el dia de ayer cuando me presente con el Excmo. ayuntamiento.irEl brigadier cumento que ha puesto sobre la mesa el Sr. González Alonso. Jo que copio: * segundo cabo, Zaragoza. Se leyó dicho do…</t>
  </si>
  <si>
    <t>…de Caravaca dijo que estaban procesados. La esta debe tener todas las formalidades de costumbre. comisiónado en junta de escrutinio , en que por convicción mo­ diputación provincial dijo al ayuntamiento de Caravaca si era El Sr. C A L D E R O N C O L L AN TES : Señores, á mi pare­ ral supone que se habían incluido en las listas á sugetos que cierto, y se dirigió al juez de primera instancia; los indivi­ cer el documento que se ha leido debe pasar á la comisión; no debían aparecer. Esta observación del comisionado de Lor­ du…</t>
  </si>
  <si>
    <t>…mar la S. S. se ha contraido á los agentes que pudiera haber tenido el expuesto el Sr. Iñigo. palabra y decir los fundamentos que el Sr. Iñigo ha tenido pa­ Sr. Ministro de Hacienda ; por consiguiente la alusión está des­ Ei Sr. C A L D E R O N C O L L A N T E S : Señores, yo he to­ ra intentar que debe suspenderse la aprobación de las actas de truida, Pero el Sr, conde ha dicho que el que tiene el honor de mado la palabra en pro de la proposición , porque la encuentro «ai provincia. Yo no en tra ré, señores, en pormenores…</t>
  </si>
  <si>
    <t>…e lo habrá, y esta corporación no titubea en afirmar que la con­ Pidió en seguida la palabra y dijo ninguna manera , si no fuera preciso para responder á los car­ ducta digna y decorosa de V. E. ha satisfecho cumplidamente El Sr. C A L D E R O N C O L L A N T E S : Creo que está en el á la opiriiou pública, que aleccionada por seis años de una cruel orden del dia la discusión del acta de la C o ru ñ a, y suplicaría gos rirme presentados por el Sr. M adoz, quien no pudo menos de h e ­ profundamente, y mucho mas me obliga á…</t>
  </si>
  <si>
    <t>…del distrito de V i - porque si bien es verdad que por los datos que de sí arroja el Congreso resuelva á su tiempo lo que estime conveniente. llamalefa y otros. expediente, por los periódicos y noticias hay una certeza de El Sr. C A L D E R O N C O L L A N T E S : Cuando todos losSe- El Sr. A I L L O N propuso se añadiese al dictámen que se re­ que verificado el escrutinio salimos Diputados el Sr. Elordi y ares Diputados manifiestan de una manera tan clara la im p a - mitiesen copias de las sesiones del dia 15 de Jun io , e…</t>
  </si>
  <si>
    <t>…ico dió parte al Gobierno, dando cuen­ lará ni un punto en aprobar el dictámen de la comisión. Marzo se dió para hacer aplicable , para poderse ejecutar fácil­ ta de! sucedo, cuyo parte comprendía el extremo de haber sido El Sr. C A L D E R O N C O L L A N T E S rectificó varios hechos, mente el artículo constitucional de I 8 i2 ; pero publicada la arrestado D Francisco de Paula Alvarez; y el Gobierno, cum­ é insistiendo en lo anteriormente manifestado, indicó que po­ Constitución de 1857 , ¿cómo es posible que haya de rem…</t>
  </si>
  <si>
    <t>…cias y de todas maneras. n o pueda h acerlo; per consiguiente, que no hay vaguedad Se leyó el art. 2.° Si nos halláram os en nuestro estado n o r m a l, o siqu ie­ cuando se adoptan todos los medios. El D iputado que en el El Sr. C A L D E R O N C O L L A N T E S hizo presente que no ra en un estado sop ortable, no habria un solo esp añ ol término de 20 dias no hubiese adm itido ó renunciado, se en­ se hablaba en el artículo de los Diputados que pudiesen hallar­ que abogara p «r esta clase de ley es, qu e al fin y al c a b…</t>
  </si>
  <si>
    <t>CALDERONCORLA</t>
  </si>
  <si>
    <t>…ados años. y serán siempre: ^libertad legal consignada en la Constitución de los Sres. Lasaña y Abascal, Bornos y Octubre 1.° de 1859.=3eñora.= A L. R. P. de vigente ; Isabel n ; regencia de su augusta M adre; orden p ú ­ El Sr. C A L D E R O N C O R L A N T E S dijo que la comisión Y. M.czJoaquín González, presidente.—Juan Contreras, alcal­ blico, u nió n, tolerancia y fraternidad entre todos los españo­ fundaba su dictámen para anular el acta del distrito de Santa de segundo. = Manuel Delgado. ^Alonso Andrades.= Andrés…</t>
  </si>
  <si>
    <t>CALDERONCQLLA</t>
  </si>
  <si>
    <t>…de la sal- salen alcanzados, y en ellas salen responsables los fiadores, pues de amortización. pero el Gobierno se esfuerza en qu itar estos privilegios y en estos los testigos que se requieren tienen sua derechos que no E l Sr. C A L D E R O N C Q L L A N T E S ; A proporción que se traer al orden legal y común á esas provincias. pueden perderse en jurado. adelanta en esta cu estió n , se conoce su im portancia: todas las Pero se ha dicho que se hace á los deudores un gran per­ Y o pregunto, ¿ cu á l es el resultado de es…</t>
  </si>
  <si>
    <t>CALDERONGOLLA</t>
  </si>
  <si>
    <t>…ue han merecido la aprobación de los maes­ ber la resolución que el Gobierno hubiese adoptado sobre el pública , y que por lo mismo debe aprobarse. particular. tros nacionales y extrangeros; y por último después de estar El Sr. C A L D E R O N G O L L A N T E S manifestó que el se­ publicado su nuevo método de solfeo y canto para todas vo­ El Sr. Ministro de la G O B E R N A C IO N : Estando ausente ñor Arguelles en una alusión que habia tenido por convenien­ ces, que se ha adoptado por la enseñanza de los alumnos del el…</t>
  </si>
  <si>
    <t>Calderón</t>
  </si>
  <si>
    <t>…estado sentado á su lado el Sr. Alonso, también lo es que de Y. M —Vicente A lsina, alcalde primero.—Camilo de Gam­ la d , se han reunido ayer en el palacio de la embajada para el otro dia se guardó consideración respecto al Sr. Calderón C o - boa,alcalde segundo.—Juan Manuel de Prado, alcalde tercero.zz :elebrar en familia el feliz acontecimiento que por fin asegura llantes, que también se presentó en el Congreso sin ser D i ­ Francisco G u rre a , regidor primero.zzüomingo Conde, regidor a paciñcacion de la -Península. E…</t>
  </si>
  <si>
    <t>…er Vicepresidente quedó electo el Sr. López (D on llaba vigente en las capitales de las demás del reino al celebrar­ " p ara el arreglo de las demas provincias que cómpooen la mo­ Joaquín ) por 52 votos, habiendo obtenido el Sr. Calderón C o - se ei expresado convenio de V e rgara.” E f artículo í.° de la n arquía” , se dijese " p a r a el arreglo délas cuatro provincias que llantes 1 0 , el Sr. Cortioa 1 5 , el Sr. Olózaga 2 , el Sr. L a h e - minoría dice lo mismo que el Gobierno, y añade " en cuanto se contienen” &amp;c. r…</t>
  </si>
  <si>
    <t>…nza de débitos á favor de la H acienda pública. correspondiente al distrito que ocupaba M erino ; otro el de la precisamente la requisición la que la causa, sino los medios que Se leyó dicho dictam en y voto p articu lar del Sr. Calderón compra adoptada en 1834 y 56 y que no produjo satisfactorios se emplean , pues si se hiciera pagando al contado no causaría Collantes. resultados, pues como manifestó el barón del Solar en su me­ el terror y los males que lleva consigo. L a comisión , sin em­ El Sr. M O N T O Y A (D. Dieg…</t>
  </si>
  <si>
    <t>…el resul- m anifestar que este artícu lo precisam ente, y los que le sigu en , presada, no se admitirá por ningú n título mas que dinero efec­ tado de todo en los boletines oficiales. fu eron a y er el objeto del v oto del Sr. Calderón C olla n tes, en ti v o ; y los funcionarios de la Hacienda publica procederán Después de un ligero debate entre los Sres. A lo e , Q u ija n a , S ejecutivamente con el mayor rigor contra los deudores. c u y o a p o y o se d irig ieron todas las razones de q u e era regla­ Burriel y F u…</t>
  </si>
  <si>
    <t>…ncia de gefe del del Norte.—Está couforme.zzBerrueta. Presidente que concediese el que se abriese discusión sobre el N avarra, y de que la diputación habia formado empeño en particular * pues tendré muchísimo gusto en oir al Sr. Calderón que saliesen en la candidatura ciertos hombres de color político, Collantes. habiendo hecho S. S. esta manifestación al hablar de las cuali­ El Sr. P R E S ID E N T E : Repito que esta es una cuestión que dades de la guerra y de los males políticos que allí existían. PARTE NO OFICIAL. de…</t>
  </si>
  <si>
    <t>…legalidad ó ilegalidad de la Alvarez, y no que su prisión fuese bien ó mal hecha. Esta dia durar 24 horas, pasadas las cuales se podrá dictar auto de las actas electorales que consideración ha desvirtuado todo el cargo del Sr. Calderón prisión, y que habia una notable diferencia de uno á otro; por tado misrno de las actas por la presentación que hace el D ip u­ Collantes , y sin embargo de que nos hallamos en Octubre de lo que había incurrido el Sr. Calderón Collantes en una nota­ un D iputado no las presenta, si ,todos…</t>
  </si>
  <si>
    <t>…y alguna inviolabilidad después que se deja de mitiese, haría lo que antes, partir el pan con los infelices. ser Ministro ó D iputado? N o ; y si esta doctrina sigue, si el El Sr. A R G U E L L E S : en la alusión que hice al Sr. Calderón pueblo incauto la adopta , ¿qué será lo que haga el día de m a­ Collantes reconocerá el Congreso el diferente espíritu que me E l 6 del corriente ha hecho su primera salida en el tea­ ñana? M irar con indiferencia cómo arrebatan no solo á un D i ­ tro Real italiano de París con el Otelo de…</t>
  </si>
  <si>
    <t>Calderón, D. José González</t>
  </si>
  <si>
    <t>D. José González Calderón</t>
  </si>
  <si>
    <t>…or sí ofrece un premio á costa de sus pobres ahorros ; rasgo caridad destine para dicho objeto, y son los siguien tes: E L D IA M A S FELIZ DE L A V I D A . á la verdad de una filantropía heroica. Yo no seria menos fi­ 1.° El Sr. D. José González Calderón , presidente de dicha lantrópico (como no lo fui cambiando mi categoría de director sociedad, y cura párroco de S. José. 5.° Un baile nacional. de las experiencias en ser instrumento de ellas por bien de la 2.° Sr. D. M anuel Arévalo, presbítero y secristan mayor 4.0 L a co…</t>
  </si>
  <si>
    <t>Calderón, Manuel Fernaudez</t>
  </si>
  <si>
    <t>Manuel Fernaudez Calderón</t>
  </si>
  <si>
    <t>…ea y se tengan presentes en la discusión de la ley de ayuntamiento1 percibir en el tiempo que estuvo separado de su destino. de su auditor de guerra el Sr. Egaña. 265. El ayuntamiento del lugar de Polopos , provincia d Í 84. D. Manuel Fernaudez Calderón, sobre simultaneidad 225. El ayuntam iento de E zagra, solicitando se declare á G ra n a d a , en solicitud de que se habilite de embarcadero &lt; de, años escolásticos. ( .... su Miiicia nacional comprendida, e n l a Jey de 14 de Octubre punto marítimo de la Mamola. 185. Ma…</t>
  </si>
  <si>
    <t>Calderón, Rodrigo</t>
  </si>
  <si>
    <t>Rodrigo Calderón</t>
  </si>
  <si>
    <t>píos? ¿ q u é hombres a estos h om bres? ¿ a qué gobierno, á qué Doble motivo para que yo c o n c lu y a , á fin de oir al se­ E l D. Rodrigo Calderón conducido al patíbulo „ de R i ­ contusión se nos quiere ll e g a r ? ñor M in istro que acaba de pedir la palabra. b e r a , es un cuadro en que ha vencido inmensas d iñ enItades E sto es lo que querem os s a l v a r ; esto es lo que no q u e r e ­ D ir é por conclusión , repitie…</t>
  </si>
  <si>
    <t>Calero</t>
  </si>
  <si>
    <t>…n con Los billetes se expenderán en el despacho del de mugere?, pones. otros de diferentes ciencias que seguirán publicándose por el calle del Príncipe, al lado del teatro. Inscripciones en el gran libro á 4 por 1 0 0 , 00. Sr. Calero, han merecido tanta aceptación en Inglaterra y las Títulos al portador del 4 por 1 0 0 , 00. Américas por lo mucho que facilitan la instrucción á la juven­ CRUZ. A las siete y media de la noche. Vales Reales no consolidados, 00. tud , que se han hecho de ellos difereutes impresiones. Deuda…</t>
  </si>
  <si>
    <t>Calero, M.</t>
  </si>
  <si>
    <t>M. Calero</t>
  </si>
  <si>
    <t>07/01/1839</t>
  </si>
  <si>
    <t>Gaceta de Madrid n.º 1514</t>
  </si>
  <si>
    <t>…o aun el historiador de Napoleón: tal I Los puntos de suscripción en M adrid son: en la imprenta * dad, se le presenta este compendio, que se ha formado espe­ vez este gran poeta de acción no ha sido todavía descrito por I de D. M. Calero, calle del Ave M aría, núm. 17 ; en las libre- 1 cialmente en obsequio de ella , y que también puede ser útil el poeta de pensamiento: ¡quizás es menester el pincel de Ho­ | rías de Perez, calle de Carretas, y en la de la viuda de Cruz, para la concentración de sus ideas á los que han hec…</t>
  </si>
  <si>
    <t>26/03/1839</t>
  </si>
  <si>
    <t>Gaceta de Madrid n.º 1592</t>
  </si>
  <si>
    <t>…quinta de 403 hombres; el Real decreto repartiendo el blime de todos; esto es, el verdadero Dios. número de reemplazos entre todas las provincias del rei­ Todas las reglas que han dado los autores de poética para imprenta de D. M. Calero, calle del A vem aria, num. 17. la expresión del sublim e, deducidas de la naturaleza y de la Esta traducción con las notas que le acompañan es diferen­ no; la ley qué autoriza al Gobierno para hacer una re­ observación , confirman la doctrina que acabamos de d a r, á sa­ te de otra que s…</t>
  </si>
  <si>
    <t>Calixto</t>
  </si>
  <si>
    <t>…alento. H a y pues en él i P or ú lt im o , no podemos menos de llamar la atención sobre PROVIDENCIAS JUDICIALES. trasparencia en las sombras y gracia en la ejecución de los a do r- I algunos excelentes grabados en madera , de D. Calixto O rteg a, nos: el oro está tocado con v e r d a d , el aire interpuesto bien ¡ que tan rápidos progresos h a hecho en poco tiempo , gracias á j n N v ir tu d de providencia dictada por el Sr. juez de p rim era e n te n d id o , y acordado todo el cuadro. su mucha aplicación y buenas disposic…</t>
  </si>
  <si>
    <t>Calleja, José Julián</t>
  </si>
  <si>
    <t>José Julián Calleja</t>
  </si>
  <si>
    <t>…ra de esta haya ido esta combina­ la Iglesia católica. «Esta en los tiempos antiguos en que~ ción á reunirse á sus hermanas mayores en las grandes catacum­ el común de los fieles (como decia el inmortal Fenelon) El ingeniero D. José Julián Calleja me ha remitido el pla­ bas de las combinaciones ministeriales del año de 1859. era sencillo, dócil y adicto á las instrucciones de sus pas­ n o , relación y cálculo que en virtud de Real orden se le man­ Mr. Molé ha sido recibido por el Rey. Se asegu»a que ha tores, íes confiaba…</t>
  </si>
  <si>
    <t>07/03/1839</t>
  </si>
  <si>
    <t>Gaceta de Madrid n.º 1573</t>
  </si>
  <si>
    <t>…ar, cumplir y ejecutar la pre­ Art. 4.° &gt;Los sargentos primeros de los enunciados re­ sente ley en todas sus partes. Tendréislo entendido para su gimientos provinciales que cuenten dos años á lo menos Excmo. Sr.: El ingeniero D. José Julián Calleja me da cumplimiento, y dispondréis se imprima, publique y cir- de efectividad en esta clase, y reúnan las demas circuns­ parte desde Potes con fecha 12 de Febrero próximo pa­ c u le .= YO L A REINA GOBEBNADORA. = En Palacio tancias necesarias, tendrán derecho á la tercera parte…</t>
  </si>
  <si>
    <t>Calleja, Miguel</t>
  </si>
  <si>
    <t>Miguel Calleja</t>
  </si>
  <si>
    <t>…stro compatriota la Sagra por el esmerado traba­ P aris, 16-4* G ranada, l f id. La persona á quien acomode su adquisición se presentará jo que ha empleado en la mencionada obra sobre Cuba. No­ M álaga, par. en esta corte á D. Miguel Calleja, calle de Tudescos, numero 16, sotros tributamos también las mas sencillas felicitaciones á la Santander, d. Alicante, par. Santiago, 2 id. cuarto principal, quien enterará del sugeto con quien ha de Sagra por la preciosa relación de su ultimo viaje científico á tratar. Holanda y Bél…</t>
  </si>
  <si>
    <t>Callier</t>
  </si>
  <si>
    <t>…et-Alí á Ibr&amp;him , ordenando á este que de­ y apoyado por el cónsul ruso. Seis navios de dos puentes, de 74 á 90 cañones, que son : el aegtsu n marcha. F evrié , el Fethié , el Tesrifié el Menduhié , el Tefihié y el El capitán Callier, oficial de estado mayor de sobresaliente Bourgi-Giaffer. mérito, ya ha sido enviado en otro tiempo á Egipto por la Dos fragatas de 7 2 , la Nisamié y la Nousretie. ? eslauraei'on: componía parte de la caravana científica nora- Escriben de Luxemburgo con fecha de 1.° de Ju lio : Ocho fragat…</t>
  </si>
  <si>
    <t>…e Ale- NOTICIAS NACIONALES. quedando las cosas in statu quo. Esto último ha venido á suce­ po , estaría el 2 del mismo mes. der, y á la verdad no era de esperarse otra cosa del patriotismo Las mismas cartas dicen que el capitán Callier , ayudante Barcelona 4 de Agosto. é. ilustración del plenipotenciario venezolano, porque no es po­ de campo del mariscal Soult, habia llegado á Alepo con un ofi­ sible ceder á la Francia en materia tan importante , y que ma­ cial de Mehemet-Alí con órdenes expresas á Ibrahim -bajá pa­ Capi…</t>
  </si>
  <si>
    <t>Callíer</t>
  </si>
  <si>
    <t>…hecho que queda oficialmente probado es la caida dei príncipe Milosch , adicto al Sultán y sostenido por el cófrsul ñones. El Meksoudie\ también de tres puentes y 110 cañones. La Cuotidiana hace la siguiente reseña del capitán Callíer? ingles, y el triunfo del partido aristocrático , hostil á la Puerta enviado por Mehemet-Alí á Ibr&amp;him , ordenando á este que de­ y apoyado por el cónsul ruso. Seis navios de dos puentes, de 74 á 90 cañones, que son : el aegtsu n marcha. F evrié , el Fethié , el Tesrifié el Menduhié , el T…</t>
  </si>
  <si>
    <t>Calomarde</t>
  </si>
  <si>
    <t>…ional, dentro de la fecha ex p re­ El Papa se hallaba enfermo entonces. dia, y que no compreudea los beneficios del sacerdocio, saldrán sada, los estados que en ios años anteriores se ha acos­ Fernando vn dió orden á su ministro Calomarde para que de sus preocupaciones cuando la negra tempestad de la revolu­ tu m b rad o insertar en la G uia de Forasteros, pues en ello manifestase en su nombre ai Sr. D. Félix Torres la satisfacción ción se habrá disipado: verán entonces todo lo que hace un h a rá n u n servicio ag radable é…</t>
  </si>
  <si>
    <t>Calonge, Eusebio</t>
  </si>
  <si>
    <t>Eusebio Calonge</t>
  </si>
  <si>
    <t>…es, D. Carlos Seutiel, y resto Comandante graduado, capitán de infantería agregado al es­ siguiente que este ahogamiento, pena merecida pero inusitada, de la sección de música. Con tino y acierto fue cantado tam ­ tado m ayor, D. Eusebio Calonge , empleo de mayor de ba­ ha sido inventado y dispuesto por la junta rebelde de Berga, bién el dúo del Tasso , no obstante la timidez que revelaron tallón. Á cuyo efecto fue enviado su vocal Ferrer. Iléaq ui pues demos­ los primeros acentos de la socia honoraria Doña Victoria Be- Terc…</t>
  </si>
  <si>
    <t>Calsamiglia, José</t>
  </si>
  <si>
    <t>José Calsamiglia</t>
  </si>
  <si>
    <t>firiéudo*e en lo demás á caanlo lleva d ich o en su parte. parte proporcional de corrección para la longitud de es­ llegado tan cerca, que pueda distinguir los cu ern os, los Declaración del segundo piloto D. José Calsamiglia = tima , al atravesar el B a n co, y para el intervalo de 4d 5h cuales son cortos y encorvados por la punta, una distancia Preguntado: El dia que descubrieron el Bajo, qué hora I V entre la salida del Cuervo y el descubrim iento del es­ de 200 a 300 pasos, toma la puntería descansa…</t>
  </si>
  <si>
    <t>Calve, Rarnon</t>
  </si>
  <si>
    <t>Rarnon Calve</t>
  </si>
  <si>
    <t>…rer: Badajoz, en la de la viuda de Carrillo: C ádiz, en la de Esta función no entra en el .numero de las de abono ; pero preceder á la admisión de unos y otros un decreto de esta cor­ Hortal y compañía: en la Coruña , en la de D. Rarnon Calve­ los Sres. abonados tendrán reservados los billetes de sus respec­ poración. te: en Salamanca, en la de D. Vicente Blanco: en Sevilla , en tivas localidades en la contaduría del teatro hasta el jueves La instrucción que se dé en esta escuela será la mandada la de I). José Hidalgo y com…</t>
  </si>
  <si>
    <t>Calvet</t>
  </si>
  <si>
    <t>…que á las veces parece excesiva, y que cuidase algo mas de la nuestros autores antiguos, que de tanta estima son para noso­ cristiandad de E sp aña, los cercos de Sevilla y de G ran ada, acción; pero con todo, asi él como el Sr. Calvet, han contri­ tros, parece que nuestras mismas exigencias artísticas desperta­ la conquista de Ñapóles y el descu brim iento del nuevo buido mucho al buen éxito de la ópera : nada decirnos del se­ ron la idea de esta publicación, como complemento digno de M u n d o , sin sentirse inspirado y d…</t>
  </si>
  <si>
    <t>Calvo, Casilda</t>
  </si>
  <si>
    <t>Casilda Calvo</t>
  </si>
  <si>
    <t>…M edida de c a p a c id a d p a r a líquidos . T)OR el presente se cita, llama y emplaza á D. José Merelo CRUZ. A las ocho y media de la noche. Se pondrá L itro . E^ta es la unidad en las medidas cúbicas para A y su esposa Doña Casilda Calvo , hija esta de D. Manuel Antonio Calvo, agente fiscal que fue del Consejo de las Orde­ en escena la muy acreditada ópera en dos actos del maestro Ric- los líquidos. nes, para que dentro del término de 50 dias, contados desde el c i , titulada Decilitro. s=8 p u lg a d a s c u b .d…</t>
  </si>
  <si>
    <t>Calvo, Manuel Antonio</t>
  </si>
  <si>
    <t>Manuel Antonio Calvo</t>
  </si>
  <si>
    <t>…pulg. 5 lín. id. -L de metro. concepto de acreedores se crean con derecho á los bienes queda­ Lombia, y representada con aplauso en el teatro del Príncipe. Metro. = 3 pies 7 pulgadas id. Medida usual. dos por fallecimiento de D. Manuel Antonio Calvo, agente fis­ Véndese á 4 **$• cu las librerías de Escamilla calle de Carretas, cal que fue del Consejo de las Ordenes, para que dentro de 30 y de Cuesta frente á las Covachuelas. Las m ed id as sig u ien tes son itin er a r ia s. dias, contados desde la inserción de este llama…</t>
  </si>
  <si>
    <t>Calvo, Román Lorenzo</t>
  </si>
  <si>
    <t>Román Lorenzo Calvo</t>
  </si>
  <si>
    <t>…Real y escribanía del número á cargo del secretario de fuertes en la forma siguiente: mos sabido, corno debía esperarse de la disciplina, bravura y S. M ., su escribano de Cámara en el tribunal supremo de Guer­ ra y Marina , D. Román Lorenzo Calvo, donde se halla radi­ entusift tno de las tropas Je este ejército, y del valor y talentos cado Premios. Pesos. militares del joven general en geíé que lfls mandaba. Desde el dias, elque juicio, dentro del preciso y perentorio término de 30 último soldado hasta los generales de…</t>
  </si>
  <si>
    <t>Calyet</t>
  </si>
  <si>
    <t>…l­ ANGELO, TIRANO DE PADUA. tades: ademas creimos notarla algo indispuesta; pero sin (0 Se vende á 4 rs en la librería de D. Ignacio Boix, calle embargo fue aplaudida en todas las piezas que ejecutó. El de Cañetas, núm. 8. Sr. Calyet ha estado felicísimo, y mas que en nada en la ca­</t>
  </si>
  <si>
    <t>Calza, Felipe</t>
  </si>
  <si>
    <t>Felipe Calza</t>
  </si>
  <si>
    <t>…l 5 0 ligero de caballería , y otra del escuadrón franco de Castilla la N u eva, mientras él se dirigía hácia U tiel, acom­ El mismo con fecha i.° del actual da parte de que el co­ pañado por el Diputado suplente de Valencia D. Felipe Calza, DE LA EPOPEYA. mandante de la columna de operaciones de Alava, D. Tornas de y el teniente coronel D. Luis Saavedra lo hacia igualmente con ¿Es este género tan contrario al espíritu y al gusto N alda, con noticias que tuvo el 24 del anterior de que el ca­ dos mitades del escuadrón de su…</t>
  </si>
  <si>
    <t>Calzaa</t>
  </si>
  <si>
    <t>…principios, con tal de producir esos bre los vicios cometidos en las elecciones. Otra id., i d . , las A n gustias, antes Salud de C an o , por que llaman efectos, y que suelen consistir en groseras y mal 5.° La admisión del Sr. Calzaa, primer suplente por V a ­ Luis L lu c , en 5. zurcidas aventuras, que al vulgo distraen*, y qúétál hombre de lencia. Otra i d . , sierra de G ador, M onterilla, término de Bena- sano juicio disgustan sobéranaménte. Decíamos qué en nuésíro 4*° La del Sr. P irad o r, Diputado por Gerona. dux…</t>
  </si>
  <si>
    <t>Calzada, D. Dionisio Valdés. Sr. D. Pedro</t>
  </si>
  <si>
    <t>D. Dionisio Valdés. Sr. D. Pedro Calzada</t>
  </si>
  <si>
    <t>…s. Sr. D. Manuel Cantero. &gt; Sr. D. Nicolás Esteban. Sr. D. Julián Villalva. Sr. D. Joaquin María López. Sr. D. Vicente Sancho. Sr. D. José María H uet, electo. Sr. D. José Landero. Sr. D. Paulino Jiménez. Canarias {islas). Sr. D. Dionisio Valdés. Sr. D. Pedro Calzada. Sr. D. Juan Alvarez y Mendizabal. Sr. D. Andrés Alcon. Sr.) gr’&gt;C No está aprobada el acta de elección. Sr Málaga. Valladolid. Sr.) Sr. D. Antonio de los Rios y Rosas , electo. Sr. D. Mariano Miguel de Reinoso , Secretario 1.° Castellón de la Plana. Sr…</t>
  </si>
  <si>
    <t>Calzón, Domingo</t>
  </si>
  <si>
    <t>Domingo Calzón</t>
  </si>
  <si>
    <t>…es José Antonio L lanos, contador que también fue de rentas d&lt; ciencia ocupan el lugar de aquellas; y se ha cuidado m uy par­ pintores que adornan las galerías de V ersalles, del palacio del dicho partido, y los herederos de D. Domingo Calzón, ad­ ticularmente de que este tratad o , no solo sea á propósito para duque de Orleans y de las T ullerías. Baratura y lujo es lo ministrador del propio partido, en los que por sentencia del servir de introducción al estudio de los roas célebres que sobre que se ha procurado herm ana…</t>
  </si>
  <si>
    <t>Cam</t>
  </si>
  <si>
    <t>…es; mas ante lord Howick presenta el presupuesto de la Guerra , y,ap o yán ­ todo deseo que señale para el 15 de A bril el informe de la co­ dose eo las circunstancias, dice que será necesario vote la j a ­ Dirección general de Cam inos, canales y puertos. = Exce­ misión sobre el bilí de las corporaciones municipales de Irlan­ mara un aumento de fuerzas nacionales. A consecuencia de las</t>
  </si>
  <si>
    <t>…gera tendencia al alza Los periódicos ingleses, y entre otros el G lobo , publican desde el medio d ia , y se han cotizado á 9 2 f al contante, y á noticias de Buenos-Aires, que están m uy lejos de convenir Dirección general de Cam inos, Canales y Puertos. = Exce­ 92| á cuenta. lentísimo S r .: Paso a manos de V . E. el parte semanal que con las que nos escriben de Montevideo con fecha 29 de Ene­ sigue s Cinco por 100 portugués, 5 4 ^ ro , y que tenemos por buen conducto. Fondo activo español, 2 0 ¿ con los cupones. Hé a…</t>
  </si>
  <si>
    <t>CAM</t>
  </si>
  <si>
    <t>…uedaría siempre aisladlo ; de modo que si fa* S» se de­ d alcalde ell que lev te® qme ejeraerl^s. vil , y hasta privarlos de deliberar y de hacer y dirigir exposi­ tiene á meditar nn poco, reconocerá con la buena ic que te Ei Sr. CAM A LEÑ O ; En elll arL L° consiguMimtM b s pría- ciones sofare negocios políticos* I-ailes son b s ruedas sobre que distingue que ea el proyecto que la, comisión presenta , y »o api© ¡ no hacera1»® mas. El desenvolví miento de él y la contes- camina el proyecto de ¡h comisión , 'proyecto que con…</t>
  </si>
  <si>
    <t>Cam, Francisco</t>
  </si>
  <si>
    <t>Francisco Cam</t>
  </si>
  <si>
    <t>23/03/1839</t>
  </si>
  <si>
    <t>Gaceta de Madrid n.º 1589</t>
  </si>
  <si>
    <t>…ga su cultivo. de Febrero ha nevado cou tanta abundancia que era imposible Cou el fin de generalizar los conocimientos de agricu ltu ra reconocer los c am in o s: la nieve tenia tres pies de altura ; se in ­ Barcelona el Dr. D. Francisco Cam pderá, y de las que se halh un ejemplar en esta secretaria. 2o todas las clases se dará patente de sócio de mérito al autor terrumpieron las comunicaciones. del mejor compendio de agric u ltu ra q u e , ademas de contener Eu la noche del 8 al 9 , en el momento en que caía la n ie­…</t>
  </si>
  <si>
    <t>Camacho, Agustín Diaz</t>
  </si>
  <si>
    <t>Agustín Diaz Camacho</t>
  </si>
  <si>
    <t>…enca. rá siendo arreglada á instrucción. fuerte, es preciso emplear los medios, ya de la pasión, ya D. Manuel de Soria....................................... Granada. del ridículo, que mezclados á la efervescencia general de D. Agustín Diaz Camacho...................................Huelva. los mismos, ejercen casi siempre no sé qué poder magné­ D. Mariano Ricafort...............................................Huesca. tico que esta a punto de sojuzgarnos y hacerse dueño de D. Pedro Antonio Acuña...........................…</t>
  </si>
  <si>
    <t>Camacho, D. Agustín Díaz</t>
  </si>
  <si>
    <t>D. Agustín Díaz Camacho</t>
  </si>
  <si>
    <t>…tación el dictamen , fue aprobado. calidades que han de tener sus individuos.” De esto es una SENADO. Quedó admitido como Senador por la provincia de Huelva consecuencia necesaria que para el establecimiento de un juzga­ el Sr. D. Agustín Díaz Camacho. d o , de un tribuoal, se necesita una ley; y que una ley ha de PRESIDENCIA DEL SEÑOR MOSCOSO DE ALTAMIRA. Se procedió á la discusión del dictamen sobre testamenti- marcar y fijar su organización, ha de establecer sus facultades, ficacion de las dignidades, colegiatas y pár…</t>
  </si>
  <si>
    <t>…erte del Sr. D. J u a n José Sánchez, y uno que le parecía el mas conveniente, cual era el de que se hallándola arreglada á la ley opina que debe aprobarse. tuviese en el tribunal un álbum ó lista de K) ó 12 abogados que El Sr. D. Agustín Díaz Camacho, Senador electo por d i­ el mismo juzgase á propósito, y qué cuando llegase un caso de T aris 20 d e E nero. cha provincia, ha justificado su aptitud le g al, y por ello opina necesidad, la suerte designase estos suplentes. El Sr. O N D O V IL L A replicó que estos abogado…</t>
  </si>
  <si>
    <t>Camacho, Josefa</t>
  </si>
  <si>
    <t>Josefa Camacho</t>
  </si>
  <si>
    <t>…e: frente á Ls Covachuelas. Que entia cada día mas que aquel hombre inocente estu­ Doña María Josefa Arias y Prada , viuda de D. Juan Rosen­ viese en prisión; mas pareciéndole que la prisión seria do González: D &gt;ña Teresa y Doña Josefa Camacho, hijas de para este, que era un jornalero, de menos importancia que D. Bonifacio: Doña Petronila Luisa Galan , viuda de D. Jo ­ para el como hacendado, habia dejado seguir el curso de la las MercedesPicó: sé Ramón Doña Francisca de Paula y Doña María de I IBRO^.rzPublicaciones nuevas…</t>
  </si>
  <si>
    <t>Camacho, Miguel Antonio</t>
  </si>
  <si>
    <t>Miguel Antonio Camacho</t>
  </si>
  <si>
    <t>…ueminot 817. El capitán general de Castilla la Vieja y comandante gene­ Oposicion.~3egu ndo colegio, 2314 votantes ^ Laffite 1126. ral de Falencia recomiendan de la misma manera al gefe polí­ Ministerio.:^ Lefebvre 1174» tico D. Miguel Antonio Camacho por este y otros servicios hechos á la causa de la patria. REDACCION DE LA GACETA. Oposicióri.^zTercér colegio, 1396 votantes, Legentil 746 . Ministerio =Deca 0648 . Oposicion.ziCuarto colegio, 1083 votantes, Gannaroii 654* Ministerio.zzPepin Lehalleur 346. A N U N C IO S…</t>
  </si>
  <si>
    <t>Camacho, Pedro</t>
  </si>
  <si>
    <t>Pedro Camacho</t>
  </si>
  <si>
    <t>…el Barrio, por 42531 rs. y 22 mrs.: D. Manuel Sainz de la Maza, por 50 rs.: D. Juan Pedro de Ocejo, corazón la espina dei desconsuelo. Para mitigarlo y con ­ y en la destrucción de aquel refinado sensualismo. El es­ por 950: D. Pedro Camacho, por 1760: los herederos de Don solarnos en nuestro abandono, hicim os á la criatura ídolo mero en el estudio de la bella naturaleza, despojado de la Vicente Bustamante y su rouger Doña Joaquina de Bustaman- y p rin cipio, y deificamos el sensualismo. ¿ A quién debía­ rutina, y unido…</t>
  </si>
  <si>
    <t>Camaclio, Agustín Díaz</t>
  </si>
  <si>
    <t>Agustín Díaz Camaclio</t>
  </si>
  <si>
    <t>…es en la bolsa. h e tenido á bien nom brar Senadores: por la provincia de mente por el reino sin guia ni tornaguía. Albacete á D. losé M ana C alatrava; por la de Huelva á Y 2.° Que solo se someta á la form alidad de tales do­ D. Agustín Díaz Camaclio; por la de M adrid a D. Juan cumentos la moneda que se conduzca de un puerto á otro señalLadecuestión un de Oriente no ha llegado á ser la causa ó la cambio de Gabinete, como se ha dicho. Solo ha M nguiro c Irib arren y D. Eugenio L adrón de G uevara, de la P enínsula, y la q…</t>
  </si>
  <si>
    <t>CAMAL</t>
  </si>
  <si>
    <t>…consideración la adi­ d u c t o d e su p r o v i n c i a á l a c o r l e , s i n a c o r d a r s e s i ( ¡ m e r a quiero.” ción del Sr. Acebo. de que en estas p ro v i n ci a s estaba e l so ld a d o d esn u d o y s in El Sr. C A M A LEÑO contesta al Sr. preopinante , manifes­ Se puso á discusión el artículo, que dice : s o c a r r o s . E l i n t e n d e n t e a c a b a d e p u b l i c a r en Huesca u n a tando por últim o que 110 encuentra razón alguna la comisión A rt. 1 L Como administrador del pueblo corresponde al…</t>
  </si>
  <si>
    <t>CAMALENO</t>
  </si>
  <si>
    <t>…ino para la intervención que señalan los reglamento*. y que los contribuyenos fuesen elegidos por suerte. que toca al buen gobierno económico y adm inistrativo del El Sr. M A R T IN dijo que ya el Sr. Ruiz del Arbol había El Sr. C A M A L E N O : Señores , de muchos y distintos mo­ pueblo. manifestado las observaciones que creia hacer, por parecerle dos ha sido impugnado este artículo, pues veo con sorpresa que El Sr. V A L D E S : Dice el artículo que se discute (leyó.) Yo que estaba confuso el articulo. Que si se dice que…</t>
  </si>
  <si>
    <t>CAMALEÑO</t>
  </si>
  <si>
    <t>…ipal, sentativo se les privase de él, mucho mas cuando ningún per­ palabra recaudación. _ en número igual al de los concejales para decidirse á establecer juicio se sigue de que se conceda á esas corporaciones el derecho El Sr. C A M A L E Ñ O expresó que la comisión estaba con­ ó sostener algún litigio. De su resolución se dará parte al gefe de exponer los males de los pueblos, y los remedios que crean forme en que se dijese: "Los ayuntamientos desempeñan en el político, y cuando haya dos ó rnas que paguen igual cuota de…</t>
  </si>
  <si>
    <t>…ñalaría dia para su discusión del artículo. D . Policarpo Fernandez ofrece 5 6 4 0 ,0 0 0 rs. vn. un dictamen de la comisión encargada de inform ar acerca de si E l marques de V ilíavilvestre ofrece el 1 por 100 sobre el Et Sr. C A M A L E Ñ O d ijo que mediante á lo acordado por e I S r . Y illalva está en el caso de sujetársele á reelección. el Congreso debían quitarse del párrafo 1.° las palabras,siguien** importe de la mayor proposición que se h iciere, asi en Sevilla Se mandaron pasar á la comisión dos adiciones pres…</t>
  </si>
  <si>
    <t>…có que el artículo con la por requisición de caballos para el ejército, adición. v a ria c ió n hecha por la comiÚon estaba peor que a n te s, pues si inclusos los recibos pagados con este o b je to .. 7 2 9 ,5 5 8 . . 6 Kl Sr. C A M A L E Ñ O : El Sr. Acebo ha dicho que la comi­ al alcalde no se le prefijaba uu termino deutro del cual tuviese j p a ^ ú o á los recompensólas de salinas eu car- j</t>
  </si>
  <si>
    <t>…rá resolver el Con­ gue la discusión del dictámen entrar en otras cuestiones de la greso desechando el voto particular del Sr. Ovéjero. NOTICIAS EXTRANGERAS. mayor im portancia, y omitiendo la larga historia del canal de El Sr. C A M A L E Ñ O : L a m ayoría de la comisión á que Castilla desde que se comenzó hasta la época en que se hizo esa tengo el honor de pertenecer, no ha podido avenirse al dicta­ F R A N C IA . concesión á la em presa, solo voy a entrar en la cuestión pro­ men del Sr. O vejero; pero no crea el Cong…</t>
  </si>
  <si>
    <t>Camaleño</t>
  </si>
  <si>
    <t>…articular. El Sr. Puche extendió después mas la esfera de es­ los que se negaron á la conspiración • parece que con este aviso desgracia de Alhucemas, ¿cuál era la guarnición que habia en tas consideraciones, y por último el Sr. Camaleño, que es el el Gobierno de S. M. debe conocer que el gefe que allí manda­ la plaza de Melilla que contenia un material de guerra tan im ­ que me ha precedido en la palabra 9 ha creído de su deber aña­ ba debía haber tomado providencias. Yo debo decir que en el portante? Eran 2¿¡9 soldados d…</t>
  </si>
  <si>
    <t>…es. Sancho, Gómez Acebo, O íózaga, San M i ­ trar á im pugnar al Sr. Argiielles iba á contestar á algunas de Dijo también el Sr. Argiielles, hablando del reinado de guel y Muñoz Maldonado; en pro el Sr. Pidal. las razones del Sr. Camaleño , que mas bien que impugnación, J u an 11 , que no se establecieron en la guerra de Portugal estos El Sr. SANCHO dice que si consigue destruir el art. 1 .°, fueron disparos de metralla los que dirigió al proyecto, porque tribunales excepcionales. Efectivamente no se establecieron , por­ nec…</t>
  </si>
  <si>
    <t>…l Sr. Presidente causar p erjuicio; por lo tanto cree qute no h ay inconveniente los asuntos para mañana, levantó la sesión á las seis meaos DE LA GACETA. en que de estos acuerdos tenga ncticia el gefe político. cuarto. El Sr. C A M A L E Ñ O : El Sr. Polo y Monge ha manifesta­ M oka 10 d e Agost o d e 1858. Supongo qué y a sabrahi W . do las consideraciones que han movido á los individuos de la ERRATA. la victoria ganada por Ahmet bajá sobre los beduinos del ile g - minoría á presentar esta enmienda al artículo. Yo cr…</t>
  </si>
  <si>
    <t>Camba, Andrés García</t>
  </si>
  <si>
    <t>Andrés García Camba</t>
  </si>
  <si>
    <t>…del cua­ reclamadas. laga a D. José Balbiani, en reemplazo de D. Gaspar R e­ dro estaba reconocida por Mr. Gerad , de P aris, bien conocido 5.° Asegurar á la Francia las satisfacciones que ha pedido misa: por la de Valencia á D. Andrés García Camba , en de todo el mundo artista: en seguida fue también reconocida con la destitución de ciertos funcionarios civiles y m i l i t a r e s .de reemplazo de D. Juan Palarea : por la de Zaragoza á Don su autenticidad por todos nuestros inteligentes y aficionados. El quienes particular…</t>
  </si>
  <si>
    <t>Camba, García</t>
  </si>
  <si>
    <t>García Camba</t>
  </si>
  <si>
    <t>…de Agosto de 1859.=: Relación de los registros de minas D . Manuel Barragan, hacendado y vecino de la ciudad de marques del Buen-suceso. admitidos eo dicho mes. C arm ona, ha registrado una mina de piorno en término de la El Sr. García Camba quedó agregado á la segunda sección, Una mina de cobre, compuesta de cuatro pertenencias con­ Granja de Torreherraosa, en el sitio llamado el Esconchar, en y el Sr. marques del Buen-suceso á la tercera. tiguas, en el sitio llamado las Peñas M ascordas, á orilla del terreno baldío, á la…</t>
  </si>
  <si>
    <t>Camba, Miguel García</t>
  </si>
  <si>
    <t>Miguel García Camba</t>
  </si>
  <si>
    <t>…ta Madre la R ein a G oberna ­ que desempeña una de las fiscalías de la audiencia de Sevilla: en dicho mes á los mejores postores, según loa resultados di dora y la Serma. Sra. Infanta Doña María Luisa Fer­ para esta vacante á D. Miguel García Camba, fiscal de la de nanda, continúan en esta corte sin novedad en su im­ Valencia: en reemplazo de Camba á D. Andrés Ruiz Merque- anteriores, los remates, comprendiéndose también el total de los mesei cho, que sirve igual destino en la audieocia de Mallorca; y según está mandado. p…</t>
  </si>
  <si>
    <t>Cambell</t>
  </si>
  <si>
    <t>…ó La palabra turca sé hacia temer desordenes y peligros en su residencia ha­ que entonces se preteudia persuadir á los electores para que para deshacer una equivocación.) Si la equivocación fuese bitual. El agente ingles, coronel Cambell, ha recibido de su votasen por las personas designadas como capaces de llevar á que S. S. ha reclamado en su tiempo, yo le doy la enhorabue­ Gobierno la seguridad de que iban á emplearse medidas coerci­ cabo aquella empresa; la experiencia enseñó que esto no podia na, se habrá salvado á sí p…</t>
  </si>
  <si>
    <t>Cambray</t>
  </si>
  <si>
    <t>…ella y de Cárlos. En este extracto se hace mención de nombres históricos, de H esse-H om bourg, participándole la muerte del landgrave León. Se cree quedarán aun algunas representación en Palais- como los de Fenelon, arzobispo de Cambray , del obispo de L u is, su hermano y su propio advenimiento al trono. R oyal, en que ejecutarán muchos bailes nuevos y completa­ N i mes , de Luis xv &amp;c. Este documento ha sido entregado á Con motivo de esta m uerte, se vestirá el Rey de luto por mente desconocidos en Paris. (Debáis.) M r. A…</t>
  </si>
  <si>
    <t>Cambridge</t>
  </si>
  <si>
    <t>…Reina en el palacio de S. J a m e s , y ha estado bri­ sobre las canonizaciones futuras. 8. S. en una corta alocución ayuntam ientos cabezas de d istrito , publicándolas ademas llantísima la ceremonia. Por la mañana el duque de Cambridge, expuso las virtudes y acciones memorables del bienaventura­ en el Boletin oficial para conocimiento de los electores. el de W e llin g t o n y lord ITi 11, acompañados de un numeroso do L ig u o r i , y anuncio que se inclinaba á inscribirle en el n ú ­ 5.a Las elecciones prin cipiarán…</t>
  </si>
  <si>
    <t>…a-idos por el decreto de la Reina Regente de las Españas A rgel 17 de Noviembre. públicas el puesto de preferencia inmediatamente después de á renovar las Cortes disueltas, los electores españoles , que sin S. A. R. el duque de Cambridge; pero no le confiere ningún duda quieren disfrutar de los beneficios de la tranquilidad y Parece que quiere eternizarse la estación de las enfermedades, poder ni rango político, y no es probable siquiera que S. A. de la seguridad , y ejercer libremente su industria , tendrán su­ pues no c…</t>
  </si>
  <si>
    <t>…o de que en tod*0 suuir la tarifa del descuento á un 6 por 100 , es eviden­ Se lee en un periódico in gles: usase » *as representaciones se te que el íln que se han propuesto los directores se ha consegui­ | S. A. R. el duque de Cambridge asistió el sábado al teatro ^.Tauienie de este idioma. do completamente, y dudarnos que hubieran podido adoptai de Covent-Gurden. Con este motivo hemos tenido el placer de El Palatioo ha enterado á los Estados la Real voluntad en una medida que con tanta prontitud hubiera producido tar a…</t>
  </si>
  <si>
    <t>Cambronero</t>
  </si>
  <si>
    <t>…comisión compuesta de tres obispos, provistos de plenos pode­ están sirviendo en esta ciudad ; pero todas las reclamaciones ha­ Cádiz que apetecer en su cómoda y expedita comunicación por bían sido infructuosas, hasta que el Sr. Cambronero, digno res apostólicos aprobados por el Papa. Esta comiúon decidirá en agua. gefe de esta provincia , oyó las justas observaciones de perso­ ultima ape!&gt;:ion sobre las observaciones del obispo. Si las en­ cuentra infundadas, le mandará que proceda sin demora á la nas celosas del bien púb…</t>
  </si>
  <si>
    <t>…o rid ad de C a ta lu ñ a disposiciones contra la ley en tra r en ese exárnen , mediante la respuesta del Sr. M in istro. Sr. marques de M ontevírgen. v ig e n te , d i g a el Gobiern o: 1.° S i es cierto que se ha mandado El Sr. Cambronero se ha resbalado en el terreno de si h a ­ El Sr. M in istro de H A C I E N D A : Unicam ente he tomado la suspender la v enta de bienes nacio nales; qué medidas se han bia ó no facultad de parte del barón de Meer para a d o ptar p alab ra para deshacer una equivocación que ha cometido el…</t>
  </si>
  <si>
    <t>CAMBRONERO</t>
  </si>
  <si>
    <t>…terreno , no la sacará. trata m uy razonable. En este estado de cosas, se presentó C a­ lante dentro de los lím ites de la interpelación. l i e hecho esta sáis y Remisa , bajo otro nombre , haciendo proposiciones para * El Sr. C A M B R O N E R O : S r. Presidente , no voy á sepa­ narración para m anifestar á los señores que tienen pedida la los tres caminos desde Jaén á B ailen , de Granada á M o tril, y rarm e de lo que previenen los artículos del reglam ento: voy palabra , que no les perm itiré salir de los lím ites…</t>
  </si>
  <si>
    <t>…manera puede ejercer Sesión del dia 19 de Enero de 1839. el juzgar ni resolver en lo interior en el foodo del asunto; por las funciones judiciales. consiguiente no ha podido hacer mas que la exposición sencilla Ha dicho el Sr. Cambronero que esta petición no tenia objeto Se abrió á la una. del hecho, y proponer lo que únicamente podia. Pero el señ&lt;»r porque tal vez á estas horas sepan la resolución del Gobierno Lcida el acta de la anterior, quedó aprobada después de Salvato ha ido mas allá de lo que en estas cuestiones…</t>
  </si>
  <si>
    <t>Cambronero, José Gamarra</t>
  </si>
  <si>
    <t>José Gamarra Cambronero</t>
  </si>
  <si>
    <t>…oseidos por cia de Oviedo, que la ha solicitado, cruzándose en la expresa­ de valor y constancia , de amor á su Soberana y á las institu­ los felices acontecimientos de las provincias del Norte. da orden; y para la regencia á D. José Gamarra Cambronero, ciones que afianzan su trono; y las naciones extraogeras al con­ T a n extraordinario suceso, nuncio seguro de paz y de fiscal de la audiencia de esta corte, accediendo á sus deseos. v entura , es debido, Señora, á la maternal solicitud de V . M., templar nuestro desenlace…</t>
  </si>
  <si>
    <t>…9. d ie z c u a rto s. PARTE OFICIAL. so por hacerle merecedor de esta gr*cía sus recomendables an­ tecedentes. Para la plaza de fiscal de la audiencia de Madrid, vacante JUNTA DE VENTAS DE BIENES NACIONALES por salida de D. José Gamarra Cambronero á la regencia de la Agosto de 1859. de Oviedo, ha venido S. M. en nombrar á D. José María Huet Estado demostrativo de las (incas que ¡a junta ha adjudicadc S. M. la R e in a , su augusta Madre la R ein a G oberna ­ que desempeña una de las fiscalías de la audiencia de Sevil…</t>
  </si>
  <si>
    <t>Cambrottei, D. José María</t>
  </si>
  <si>
    <t>D. José María Cambrottei</t>
  </si>
  <si>
    <t>…D. Joié Miquel Polo. Sr. D. Eduardo Gahvey , electo. D. Evaristo Perez de Castro. Sr. D. Joaquin de Pedro, marques de Albaida , electo. Sr. D. Antonio Ros y Olano. V izcaya, Ciudad-Real. Murcia. »D . Pedro Allende Salazar. Sr. D. José María Cambrottei o. Sr. conde de Balazote. Sr. D. Juan Antonio Hidalgo. Sr. D. Manuel Marin Blazquez. Zamora. Sr. D. Manuel Moi.edero. Sr. D. José Antonio Ponzoa. wDuque de Castroterreño. Sr. D. Santiago Moreno M uñoz, electo. Sr. D. Miguel Puche y Bautista. »D . Ezequiel Diez de Tejeda. S…</t>
  </si>
  <si>
    <t>Cami</t>
  </si>
  <si>
    <t>…nto de las Diccionario en sus dificultades* 5.° La Filomela, segunda tanda de walses de Strauss fábricas de yesos y cinco barcos de trasporte pertenecien­ con decoración. 9 tes al canal de Manzanares, que la dirección general de Cami­ Condiciones. 6.° Acto segundo de la ópera La M uta di P ortici , del nos ha sacado á publica subasta por tiempo de dos años, y la maestro Auber ; por los señores U n á n u e , Calvet, Rodríguez cantidad menor admisible de 500 rs. en cada u n o , ha señalado La obra saldra por suscripción en do…</t>
  </si>
  <si>
    <t>Caminos</t>
  </si>
  <si>
    <t>…nTÍw -r.iinT&gt;iTa 'iw iwi iiiiiin i . 1 11 i t i t n u n w m m w w w tii " &gt; im ' n m ir tenido un consumo tan rápido y prodigioso, que én medio de Ndm . 45. D. Salvador Pajes, sargento i.° del extinguido La dirección general de Caminos ha acordado sacar á pú ­ la penuria y trastornos consiguientes á la guerra c iv il, nuestra regimiento infantería de la patria, 75 de línea, eo exposición blica subasta por tiempo de uq año el arrendamiento de los tercera edición no ha durado mas que treinta y tantos meses* dirigida á las Co…</t>
  </si>
  <si>
    <t>…ios, menes. pues fijados por la presente Real resolución los trámites Segunda secc¿on.=C¿rcular+ que deben observarse para la distribución de los premios S. M. la Reina Gobernadora se ha servido mandar re­ A dirección general de Caminos ha dispuesto sacará públi­ militares, todos los documentos que para la calificación de los méritos se juzgue conveniente que se tengan presentes, mita á V. S. para su conocimiento y efectos correspondien­ obraran en las capitanías generales de las provincias en tes en esas oficinas un ejempl…</t>
  </si>
  <si>
    <t>…as. Y. S. m uchos años. M adrid 2 de Abril de 1839.= H o m p a ­ serve, las solicitudes y documentos, excepto los de la agracia­ Art. z.0. Ademas de los públicos habrá exámenes de trunes— n e ra de C os.= S r. director general de Caminos. da, que quedarán con su solicitud unidos ai expediente del mi­ t ie , a los cuales solo podran concurrir las señoras de ¡a junta nisterio. de damas. A ellos, igualmente que á los generales, deberá asis-* Art. 9.° La directora cuidará de remitir á la Gaceta, para tir una comisión de la exp…</t>
  </si>
  <si>
    <t>…frido tales ó cuales pérdidas; pero ni se comprueban las exis­ respectivamente á la pagaduría del ministerio de la Gober­ MEJICO. tencias, ni tampoco el modo en que aquellas se han verificado. nación y á la dirección general de Caminos, y convenci­ Certificados de franceses, de particulares y de una que otra a u ­ da finalmente de que circunscrita ya la autoridad de esta Por la goleta W ater W itch , que salió de Veracruz el 8 de toridad subalterna , son los únicos comprobantes, y en ellos á tan estrechos, aunque indispe…</t>
  </si>
  <si>
    <t>…nido los cuerpos de esta divi­ y que habia sido comunicada en el propio dia á la dirección puedo clasificarla á punto fijo, pues por practicar el reconoci­ sión en la acción sostenida contra los rebeldes el dia 25 del general de Caminos, fijando las condiciones para el ajuste de la miento de Segura, no pudo verificarse el del campo ; pero por presente mes en las alturas de la Fuen de Muniesa. reparación y construcción de las obras de la carretera que me­ los muertos que se vieron en los parapetos, y en el terreno donde In…</t>
  </si>
  <si>
    <t>…esta villa que despacha Una temperatura alta ayudará á esta clarificación; y&lt; el Sr. D. Miguel María Duran por la escribanía del número de cuando esta esta comph-tada, se echa sobre los panes bar­ Por la dirección general de Caminos se ha acordado arren­ la misma de D. Santiago de la Granja , apercibidas que pasado ro de p ija diluido en agua a la consistencia de crem a, la dar en publica subasta por tiempo de tres años el portazgo del sin hacerlo las parará perjuicio. que corriendo por la superficie de los panes remu…</t>
  </si>
  <si>
    <t>…s, término a l de ahora. Por Lucena quedan solo algunos grupos in sign i­ de B erja, San Jo sé, alias C h ico ria, por D. Felipe Gallardo, ficantes, y Cabrera se mantiene en observación de O-Douel), en 25. La dirección general de Caminos ha acordado sacar á pii / á quien ha aprendido á respetar. (Id .) R egistros. blica subasta el arrendamiento del portazgo de Santa Cruz de Múdela por tiempo de tres años, y la cantidad menor adm isible Una mina plom iza, en sierra A lm agrera, barranco Jaroso, de 36,100 rs. en cada uno. Qu…</t>
  </si>
  <si>
    <t>…ula toda poesía. SUBASTAS. El editor no cree oportuno abrir suscripción at efecto, co­ mo es costumbre; porque juzga esto engañar la buena fe del Fedra, adúltera á incestuosa , nos interesa sin embargo JT A dirección general de Caminos ha acordado sacar á públi- público, á quien se le obliga á tomar, después de haberle sa­ «n Hacine: ¿por qué? Por sus remordimientos. El crimen ^ ca subasta por tiempo de tres años el arrendamiento del cado el dinero, piezas de ningún mérito literario, insignifi­ cometido siu resistencia de…</t>
  </si>
  <si>
    <t>…S E R I E . T O M O I . _ N U M . 2.° Ápreciable bálsamo para c u ra r toda ciase de dolores , llagas, h e rid a s , y cortar el vómito de s a n g r e , á 4 rs* Contiene los artículos sig u ie n te s: L A dirección general de Caminos ha acordado sacar á pública L íq u id o p ara q u ita r toda clase de manchas y grasa de los subasta por tiempo de tres años el arrendamiento de los por­ Biografía contemporánea.—Luis Felipe 1 , Rey de los f r a n ­ cuellos, á 2 rs. ceses. Verdadero líquido p ara q u it a r el dolor y flux…</t>
  </si>
  <si>
    <t>…ENIN SU LA* Azúcar, cajas^.. #. . . . . . i . •• 187,202 236,549 £ ] su voto para que esta guerra intestina y sacrílegí* tome un ca­ C afé, arrobas.. . . . . . . . . . . . . . . . . . . . f 238,577 200365; Dirección general de Caminos, Canales y Puertos..- Exce­ rácter mas formidable* Miel de purga, bocoyes.. . . . . . . . , . . . . . .. 46*715 52,210 | lentisimo Sr.: Acabo de recibir un oficio del director genera Después de algunas observaciones de lord Melbourné én voz de Presidios de fecha de ayer, en que rae dice que…</t>
  </si>
  <si>
    <t>12/12/1839</t>
  </si>
  <si>
    <t>Gaceta de Madrid n.º 1859</t>
  </si>
  <si>
    <t>…icidad á los que no batallón entero el que fue derrotado y hecho, pedazos por la cav- cansados de mortandad y desastres, ni aterrados aun á la es­ ballería árabe cerca del campamento de Óccad- LaUeg , y que Dirección general de Caminos, Canales y Puertos; Exce­ nuestra pérdida consistió en 150 muertos, en lugar de 105 que pantosa vista de ese inmenso lago de sangre que ya dejamos á lentísimo S r.: Los directores de la compañía del G uadalquivir * la espalda, pretenden aumentarlo todavia para conservar pot me han comunica…</t>
  </si>
  <si>
    <t>13/02/1839</t>
  </si>
  <si>
    <t>Gaceta de Madrid n.º 1551</t>
  </si>
  <si>
    <t>…Cabriel el de la Bélgica, y para verificar la Operación de trasferir los cin ­ m ovim iento de retirada que dicho cabecilla pronuncio hácia co millones de renta anual del debe del gran libro de los Pai* T A dirección general de Caminos ha acordado sacar á p ú b li- sus guaridas, continuó la marcha á R equena, á pesar de creer 3es Bajos al debe del gran libro de la Bélgica* ca subasta el apronto de 48OO cargos de g u ijo en diferen­ frustrado su proyecto. tes puntos de las dos primeras leguas de la carretera de la Mala.…</t>
  </si>
  <si>
    <t>…ESTADOS UNIDOS. no sé cuenta ninguna desgraciadlo que sí se teme es, que haya Nueva York 28 de Enero . causado muchas pérdidas en las costas, pues su dirección á New-York era del mar á tierra en derechura. Dirección general de Caminos.=:Excmo. Sr.: Con esta fecha Temporal horroroso.- El sábado (26) por la mañana cayó prevengo al ingeniero D. Elias Aquino, que luego que esten sobre esta ciudad una tempestad, que aunque no duró mucho, planteadas las obras y arreglados los confinados en la carretera fue roas terrible en su v…</t>
  </si>
  <si>
    <t>…que deben hacerse. A pesar de este proyecto de conciliación , las medidas mili­ El señor arzobispo ha añadido á las saltos que deben invocarse tares no se han amortiguado: la admisión del general Skrzy- T A dirección general de Caminos ha acordado sacar á pii- á San Dionisio, San Vicente de Paul y Sauta Genoveva/1 nezki está decidida: se le ha nombrado general de división, é blica subastador tiempo de 25 años el arrendamiento de - indudablemente en breve se sabrá que se le ha~&lt;&amp;uferido el los dos edificios contiguos á la…</t>
  </si>
  <si>
    <t>…e pasado les pa­ SECRETARIA DE ESTADO Y DEL DESPACHO DE LA GOBERNACION. Por sal. ........................ . . . . . . . . . . . . 5555810.. 24 rará entero perjuicio, y se acordará lo conveniente. Y á fin de Dirección general de Caminos, Canales y Puertos.- Por documentos papel sellado.. . . . .................... 4^26982.. 2 que llegue á su noticia, he mandado por auto de esta fecha Excmo. Sr.: Paso á V. E. el siguiente parte semanal con Por Por salitre, azufre de giro...................................... y pólvora ...…</t>
  </si>
  <si>
    <t>…s 15 pesos fuer­ demas obras del autor, y son: tes: los ayuntamientos y cabildos ó corporaciones eclesiásticas Nueva gramática latina , escrita con sencillez filosófica; sex­ 24 9 todos también anuales. La dirección general de Caminos ha acordado sacar á públi­ ta edición, en la que se ha facilitado extraordinariamente el 15. Todo el que suscribiere desde tres años para arriba en ca subasta el arrendamiento del portazgo de la Guardia por apreudizaje de la conjugación, y se ha puesto un apéndice pa­ cualquiera de los casos…</t>
  </si>
  <si>
    <t>…Ronda, á cuya instancia se ha acordado la providen­ pago de sus rentas. (G aceta d e Augs burgo.) cia que queda expresada. FRAN CIA. SUIZA. D irección g en era l d e Caminos. París 8 d e N oviem bre . La dirección general de Caminos ha señalado el dia 2 de D i­ Z urick 5 d e N oviem bre . Fondos públicos. Cinco por 1 0 0 , 110 fr. 90 c. ciembre próximo á las doce de la mañana en la sala de la mis­ Cuatro id. , 105. ma para el segundo y último remate del arrendamiento por ua Se ba tratado la cuestión acerca de si el c…</t>
  </si>
  <si>
    <t>…CION DE L A PENINSULA. completamente conciliatorio; mas el contralmirante B audin, Ciudadanos Representantes y Senadores: En el año anterior contesto que no le era posible retirarlas conforme á sus instruc­ Dirección general de Caminos , Canales y Puerto?, zz Exce­ la República ha sido teatro de grandes acontecimientos. Por ciones. El Gobierno, para evitar que la nación tomase sobre sí lentísimo S r . : En cumplimiento de la Real orden que V . E. se primera vez desde su gloriosa existencia como nación indepen­ la inmensa…</t>
  </si>
  <si>
    <t>…S ORDENES MILITARES Londres, á 90 dias, 38£ dio. Coruña, 1£ á 2 d. DE SAN FERNANDO París, 16-6. Granada, 1£ á 2 id. SUBASTAS. M álag a, f d 1 id. Santander, par din. Alicante, \ á £ d. Santiago, á 2 d. L A dirección general de Caminos ha acordado arrendar en Barcelona á ps. f s ., par dio. Bilbao, 1 papel, d. Cádiz, | id. Sevilla, § á f id. Valencia, par. Zaragoza, id. ^ pública subasta por tiempo de tres años el portazgo de Vafdemoro con la intervención de las Delicias , rematado en la cantidad de 5029 rs. anuales.…</t>
  </si>
  <si>
    <t>…nglaterra, que raso blanco, figurando una jarra con flores tan al vivo, que á ha prometido formalmente humillar al virey de E g ip to , a y u ­ los ojos mas perspicaces parecían naturales, trabajada con ex­ Dirección general de Caminos, Canales y Puertos.^E xce­ daráLaá Mahamud en el mar. traordinaria delicadeza por la alumua Doña Juana G a v i l á n , Turquía tiene necesidad de reposo; de consiguiente de­ por lo cual esta ilustre corporación no puede á nuestro juicio lentísimo S r.: En vista de la Real orden que Y. E. se…</t>
  </si>
  <si>
    <t>…anas de la caridad, y lógicamente SUBASTAS. á los empleados que no escaseasen cosa alguna de cuanto dis­ manifiesto enselaexige de tales obras, nos parece claro y presente, y el autor ha tenido bastante L a dirección general de Caminos ha acordado sacar á públi­ pusiesen aquellos, anticipándose , si era posible, á su buen cum­ plimiento: unos y otras se hallan animados del mayor celo, y destreza en dejar al bueno de D. Serapio en excelente pa­ ca subasta por tiempo de tres años el arrendamiento de los facultativos inter…</t>
  </si>
  <si>
    <t>…ue se p in ta : es necesa­ rio que la vea, que la o iga, que la ame ó la lema como Catálogo d e las m ejores estampas que se hallan de ven ta en ella fu e , con todas sus virtudes y defectos. Los sucesos y La dirección general de Caminos ha señalado el día 2 de la c a lc o g r a fía d e la Im prenta nacional . aventuras pueden ser fingidos; pero el espíritu de la épo­ Agosto próximo á las doce de ia mañana para el segundo y ca y sus ib r ni as exteriores deben describirse con suma último remate del arrendamiento de los porta…</t>
  </si>
  <si>
    <t>…i siíéncio sobre la importante car­ respondiente al jueves 7 del corriente], en cuya causa consta la retera de esta capital á Bailenr en su consecuencia debo decir á declaración siguiente: Y. E. que como la dirección general de Caminos nunca 'hasta ACTAS DEL GOBIERNO. En la villa de Madrid á 15 de Marzo de 1839 /reunidos el dia se ha entendido con el gobierno apolítico relati vamente á en el lugar de costumbre los jueces de hecho que suscriben, las disposiciones que da á suí subalternos para la ejecución de citados por…</t>
  </si>
  <si>
    <t>…ras de Andalucía,, la de Reinosa, y la de; Valladolid á presidios dé las órdenes convenientes para que se pongan á dis­ teos é incidencias del reemplazo. De Real orden lo com u­ O lm eda, se com u n icó á la dirección general de Caminos,' posición del ingeniero D. Elias Aguino de 1500 á 23 presi­ n ico á V»? E. para* feu conocimiento y electos correspon­ en 8 tlel presente m es, la Real orden siguiente : * diarios, y que V. E. se sirva también recomendar eficazmente dientes en el ministerio de su cargo. Dios guarde a V. E.…</t>
  </si>
  <si>
    <t>…ección general de rentas provinciales. Bombay 19 de Enero último, recibidas por tierra y por con­ de los trabajos de las carreteras peculiares de la dirección ducto de Falmouth. Estas noticias son mas sérias que creía­ general de Caminos, me parece justa la observación de Habiendo resuelto S. M. en Real orden de 18 del corriente mos. Las cartas de T atta, cuartel general de la división de Montesinos, y que en su consecuencia deben darse las ór­ que permanezca abierta la subasta para el arriendo en partici­ Bombay , en la exp…</t>
  </si>
  <si>
    <t>á completarle, será un triunfo del genio inglés y gloria de la señalado por la dirección general de Caminos para el segundo 2,844* • • • 500................. Barcelona. nación, ha resuelto asi tic á U c o m p a ñ í a con todos los medios y dll i tno remate el dia 9 del próximo Agosto á las doce de la 6 .1 0 9 .... 500................. Cádiz. necesarios para continuar la empresa; y «o teniendo el G…</t>
  </si>
  <si>
    <t>…pja los despachos del Presidente del m andar, de conformidad con el parecer de la dilección ella habia reconocido expresamente que no tenia derecho á des­ Consejo, esperaba aun el 27 la respuesta de la Puerta, y no ha­ general de Caminos, que en cumplimiento de lo preveni­ cargara del gravámen por un decreto. bia partido para el campo de Ilafiz-bajá: parece pues imposi­ do en la citada Leal orden de 9 de Marzo de 1827 no se Veremos después de la legislatura el efecto de las promesas ble que no se haya verificado una grao bat…</t>
  </si>
  <si>
    <t>…ificar la verdad. Si se establece el periódico de discusión ín ­ las funciones sanas y morbosas de la economía vital , todos los t e r v i v o s , lo declararé sin rodeos, no puede tener otra d isc u l- ! J A dirección general de Caminos ha señalado el dia 9 de conocimientos habidos y por h ab er, y que conciiie varios sis­ pa, el que no se pronuncie en pro ó en contra, que la indolen­ Setiembre próximo á las doce de la mañana en la sala de temas parciales como admisibles todos bajo el punto de con­ cia ó la temeridad de oo…</t>
  </si>
  <si>
    <t>…h or a lo h a n tapiado. La esc al er a q u e c o n ­ SUBASTA. cte si gu i e n do en una g ó n dol a el curso del g r a n c a n a l se ha d uc e a esta especie de i nf ie r no es estrecha y m u y oscura: T A Dirección general de Caminos ha acordado sacar á piíbit* gozado de la vista de los magní fi cos pal c . o s qu e b or de a n h a y qu e b a ja r con a n t o r c h a s , y la l ú g u b r e luz qu e de sp i ­ ca subasta por tiempo de tres a ñ o s , y la cantidad menor sus o r i l l a s , en los q u e la a r q u i t e c…</t>
  </si>
  <si>
    <t>…o. S r.: El coronel D. Martin Zurbano, que como dora y la Serma. Sra. Infanta Doña María Luisa Fernan­ den de 22 de Enero último, conferencié con el director participé á Y. E. había salido anoche con la columna, acaba general de Caminos acerca de los medios y modo de faci­ de regresar ahora , que es la una , con 4*2 prisioneros de la cla­ d a , continúan en esta corte sin novedad en su importante litar el número de presidiarios necesarios para las carre­ se de tropa y ademas un capitán y dos subalternos cogidos en salud. te…</t>
  </si>
  <si>
    <t>…Producto neto . . . .............................* «■ * 90 A o 5 SUBASTA. 2 .a Que tomando el numero de barcos naufragados y p erd i­ dos en cada uno de los dos periodos mencionados al valor j Irlanda* L A dirección general de Caminos ha acordado arrendar en de 59 libras esterlinas en promedio por cada barco y carga ­ pública subasta por tiempo de dos años y la cantidad m e n to , la pérdida de propiedad en los tres primeros anos mon­ Recibo total en e\ a ñ o , . . . . ...........* ............. 122b&gt;¿.0 menor admisible d…</t>
  </si>
  <si>
    <t>…dirigido á todos los habitantes de la provincia por ; El 19, dia de nuestra Pveina , después del besamanos que - - ■ . • • * " • K el mismo.. celebro el Sr. comandante general , la comitiva fue ¿^presen­ La dirección general de Caminos ha acordado sacar á pú-v ciar el acto de soltar el agua á una fuente*construida cerca del blica subasta la poda y limpia de las leñas existentes en el pri­ Misericordia Domitii , quia non sumus consumpti. Thren. 3 v. 22. extremo del muelle para hacer aguada los buques:, verificóse á mer tro…</t>
  </si>
  <si>
    <t>…e encuentran eo la mayor parte de las ca- nel ha llegado al H avre, y se ha embarcado para Inglaterra ciones bajo las que se ha de verificar la subasta. «n el buque el Fénix. (Id.) pítales de provincia. La dirección general de Caminos ha acordado sacará pú­ Lord Brougham se halla en P aris, y cuenta permanecer blica subasta , bajo las condiciones que se hallarán de manifies­ O R O SP E C T O de la obra titulada Museo universal de p intura aqui hasta el 15 de Euero. (Id.) to en su escribanía principal , el acopio de 152)…</t>
  </si>
  <si>
    <t>…l enlace y desenlace de la fabula.Cal ieron, Hojas y S U B A ST A S D. JOSE CAÑIZARES. Moreto presentaron cada uno un carácter de esta especie; pero Cañizares supo diversificar esta figura, y conservan­ L A dirección general de Caminos ha acordado sacar á pública ARTICULO I. do el fondo de sus cualidades aparentes, a saber, la ex­ ^ subasta la poda y limpia de las leñas existentes en el p ri­ travagancia del lenguaje y de las ideas, variar sus senti­ mer tmzo d el canal de Manzaoares desde su cabecera hasta la Este auto…</t>
  </si>
  <si>
    <t>Campbell</t>
  </si>
  <si>
    <t>…te el golfo Pérsico se halla á m uy gran distancia de 1 2 5 5 ), á Chibin en el Bajo Egipto. La carta está concebida en C a ir o , para que el bajá pueda prever ó impedir los aconte­ estos términos: cimientos. Ademas el coronel Campbell , cónsul general de In­ *'Por carta particular que se acaba de recibir de S. A. el ge­ glaterra , solicita con vivas instancias el permiso del bajá par: PARTE NO OFICIAL. neralísim o, se sabe que las tropas del Sultán habían avanzado que entren en el territorio egipcio 6 0 3 hombres de tr…</t>
  </si>
  <si>
    <t>…, y roas los del b* jo Aragón A a el caballero desconocido, que debía ser representado por antes de poco se f u n d i r á n en un mismo periódico el Tiempo y habiéndolos casualmente de los pueblos que dominan los fac­ el capitán Campbell, ha quedado fuera de combate ejercitán­ el Comercio. Sabido es que también una casa de comercio de ciosos; y hasta de Morella se encuentran aquí los arrieros ordi­ dose para el torneo. El Príncipe Lui s, que ha dormido en el Marsella (la misma , según se asegura), es la que ha comprado nari…</t>
  </si>
  <si>
    <t>…o leal y buen pueblo. De consi­ Tres por 100 portugués 25£. Una carta de Alejandría dirigida á la Gaceta de Leipsick , guiente es nuestra augusta voluntad que todas las funciones anuncia que el cónsul general ingles, el coronel Campbell, ha continúen sin interrupción en armonía coa los Recles mandatos, pedido á Mehemet-Alí que retire del Yemen las tropas egip­ y que todos los funcionarios nombrados ó confirmados por el Hoy á mediodía se ha reunido el tribunal de los Pares para cias, cuya presencia anima las tentativas de…</t>
  </si>
  <si>
    <t>Campillo, José</t>
  </si>
  <si>
    <t>José Campillo</t>
  </si>
  <si>
    <t>…de hacerlo saber en las cortes de Londres , París y Ma­ partida de Blanco por el denodado capitán deí provincial de canso inferior, y torciendo hacia la izquierda continuamos drid , para inteligencia de los interesados. Laredo D. José Campillo: en el acto quedó muerto el sobrino animosos nuestra marcha hacia el Righi-Culm. Mientras cami­ de este cabecilla y fueron capturados ocho individuos de su ca­ nábamos vimos salir la luna , llena y resplandeciente, por de­ nalla, logrando él escaparse por la velocidad de su caballo.…</t>
  </si>
  <si>
    <t>Campillo, Rafael</t>
  </si>
  <si>
    <t>Rafael Campillo</t>
  </si>
  <si>
    <t>…................ 154 22/2 , . 20,400 Potasa................................... 2,803 . , 24,551 y el comandante de la compañía de cazadores voluntarios de Id. H ungría. ' 4 1 38 675 Colores y droguerías.. . ,. . . 2560 Daroca D. Rafael Campillo consiguió aprehender el 22 del cor­ Id. Grecia.................................. 17,826 5 31 1.455,700 M adera de construcción. • • . . 137,525 riente en el pueblo de Pancrudo al cabecilla Gerbas con todo el Id. M oldavia.............................. 356 8 ,, 29,658 Botada de roble.…</t>
  </si>
  <si>
    <t>…ada y con­ hallaba el batallón de cazadores de Oporto compuesto de unas la caza que les dió hasta mas de una hora de distancia. tiene todos los pormenores con una verdad de que solo es capaz 400 plazas y la partida volante de D. Rafael Campillo con 16 la misma naturaleza. Este ensayo de la aplicación del nuevo caballos y 25 infantes, cuyos valientes á pesar de la superiori­ El Excmo. Sr. general Azpiroz con fecha de ayer anuncia instrumento, es quizá el primero que se haya hecho en España dad de los enemigos que se habian…</t>
  </si>
  <si>
    <t>Campillo, Salvador</t>
  </si>
  <si>
    <t>Salvador Campillo</t>
  </si>
  <si>
    <t>…ta que ha sufrido el m inisterio: aun mas: tra­ T eru el. ta de adivinar quiénes serán los hombres llamados á suceder á G erona. «D . Marcelino Oráa. los que salieron al poder el 15 de A bril de 1857. «D . José Antonio Rich. D. Salvador Campillo. {Constituí ionnel.) D. D. D. T oledo. Granada. « D . Sebastian García Ochoa. MADRID 2 DE E N E R O . «Conde de Almodóvar. «M arques de M alpica. «Conde de Santa Ana. «D . Dionisio Capaz. «D . José M aría Perez. V alencia. No habiéndose p ub licad o en la G aceta los nom bre…</t>
  </si>
  <si>
    <t>Campnzano</t>
  </si>
  <si>
    <t>…e todo señores , para hacer extensiva á todos los contribuyentes la car­ ciones. Sobre este punto ha callado hasta ahora el Gobierno , á en los tres dias que llevamos de esta discusión , que el Gobier­ ga de bagajes: otro del Sr. Campnzano, relativo si pago de a l­ pesar de que se ha fundado como comprobante por el Sr. Cor­ no no se h ay a presentado ahora á pedir la autorización p ara cabalas; y otro del Sr. Montoya , para que se adjudiquen ex­ tina , especialmente la famosa circular á los tribunales y jueces seguir cobrand…</t>
  </si>
  <si>
    <t>Campo</t>
  </si>
  <si>
    <t>…os, extracción de corcho á P o rtu g a l, á los Sres. Fernandez M ela, mitad en dinero y mitad en créditos, con lo cual necesariamen­ linea 5 .a, donde d ic e : artículo 1.°, debe leerse: artículo 2.° marques de Espeja, conde de Campo A lange, O ntiverosy Otazu. te iban á sufrir un perjuicio grave ; asi e s , que el proyecto pre-^ ■ P ara la que ha de d ar su dictám en sobre el proyecto re la ­ sentado por el Gobierno sufrió una gran modificación. tivo á las diócesis de Ja é n , á los Sres. obispo de Z am ora, obis­ Yo te…</t>
  </si>
  <si>
    <t>Campo-Alan</t>
  </si>
  <si>
    <t>…uu ramo de flores, al Sr. D. José An­ mana próxima: gel Zorrilla. Secretaria del supremo tribunal de Justicia . A toaI tiempo buena cara. 558. Un cuadro con un pájaro bordado, al Excmo. señor El marido dedos mugeres. conde de Campo-Alan ge. A virtud de providencia dé la sala segunda del supremo La honra de mi madre. 147. Un país bordado de pelo, al Sr, D. Felipe Reyes. tribunal de Justicia, se cita y emplaza á la viuda ó sucesores Sigue abierta la suscripción en la librería de Boix, calle de 7/|5. Un cuadro con una Ven…</t>
  </si>
  <si>
    <t>Campo-amor</t>
  </si>
  <si>
    <t>…batimiento é inmoralidad, y D. Genaro Villaamil, trabajaron en sus artes respectivas, P R O V ID E N C IA S JU D IC IA L E S . esta p ille ría , que nos parece la voz propia, no es de aquel mientras que ocupando la tribuna el Sr. Campo-amor , leyó siglo: pertenece á épocas posteriores; y correspondería una linda composición poética en su estilo fluido y dulce. P N virtud de providencia del Excrao. Sr. capitán general de mejor a vasallos y villanos de algún señor feudal de Fran­ Mientras tesmente los Sres. Castellanos, Prín…</t>
  </si>
  <si>
    <t>Campomanes</t>
  </si>
  <si>
    <t>…reinado; censuró la reducción de los juros al interés cida á esta sucedió en tiempos de Felipe v , prohibiéndoles este rios que la historia se complace en interpretar de mil maneras del 5 por 100 que á pesar de la opinión del Sr. Campomanes fue un verdadero golpe contra nuestro crédito; hizo notar que Monarca„el. privilegio llamado del asiento , que consistía en el en la política de Felipe v. lejos de disminuir Felipe v la deuda naciona l, la habia aum en­ derecho dé llevar negros á nuestras colonias, lo cual entre otras El…</t>
  </si>
  <si>
    <t>Campos</t>
  </si>
  <si>
    <t>…nde de tiem po disposiciones mas acertadas é im po rtam es para O rgaz; asi como el Sr. Cairon el del linchado portugués: las conseguir la term inación de la guerra. N ingún m inisterio Sras. T. L i M adrid y Llórente , y el Sr. Campos, nada deja­ se ha m anifestado hasta ah ora mas activo y mus celoso: ron que desear. Finalmente, hasta las partes secundarias contri­</t>
  </si>
  <si>
    <t>…bía ha te­ teatro nacional se constituya sobre bases sólidas y firmes. nido momentos felices; Salvoisy loco nos ha parecido mu­ El público dará siempre la preferencia á una obra origi­ cho mejor que Salvoisy enamorado; y el Sr. Campos habido nal, siquiera uo pase de mediana, sobre otra traducida, el excelente cómico de siempre.=R. de N. Sesión extraordinaria del 3 de Setiembre. aunque de superior mérito, tPero la sociedad dramática del Príncipe en este punto ha llevado una regla; que la Reunidos los Sres. Diputados, pr…</t>
  </si>
  <si>
    <t>…lauta por el Sr. Azua. Total 150,639 7 11 Total 74.097 1 25 En todas estas piezas arrancaron estrepitosos aplausos los Sedería. que las ejecutaron; especialmente el gran dúo compuesto por el Pesca. Sr. M artin, esposo de la Sra. Campos, prima donna del teatro Cintas............................................................... 9 528 1 9 de la C ruz, excitó un entusiasmo difícil de describir, debido A boques 10,732 5 17 M antillas......................................................... 1 666 7 no menos á la belleza de la m…</t>
  </si>
  <si>
    <t>…de conducirlos á su entrega CRUZ. A las ocho de la noche. Restablecida ya de su in­ los modales. Decir queia Sra. Llórente y el Sr. Fabiani han ó presentación ; y aun cuando asi no fuese, poco podrían resis­ disposición la Sra. Campos, se volverá á poner en escena la estado admirables nos parece excusado. La Sra. Bravo ha tir al numeroso, valiente y aguerrido ejército que está pronto aplaudida ópera bufa en dos actos, del maestro Ricci, titulada entendido y caracterizado muy bien el papel de la ba­ átalcargar sobre ellos…</t>
  </si>
  <si>
    <t>…de la insigne iglesia colegial de la villa COMPUESTO Sin embargo de haber sido arreglada en lo posible dicha de Bayona, en esta diócesis de Tuy , para que en el término de parte á la tassitura de su voz, no se atrevería la Sra. Campos oías, contados desde su publicación en este periódico #se presente a residir su parroquia, y por sí administrar el pasto es­ piritual á sus feligreses; y al propio tiempo queriendo defen­ por M iguel de Cervantes Saavedra,, á presentarse en esta ópera, si no contase con la especial bene­…</t>
  </si>
  <si>
    <t>…Lom - su arresto: ¿qué jurisprudencia nos rige hoy? ¿Q ué D ip u ta­ amigo el Sr. Ayala sin duda por no haberme oido bien. do podrá dormir tranquilo, cuando ve que se detiene á un ciu­ bía se ha encargado de la parte que la Sra. Campos habia de Es la primera haber dicho que la comisión propone que se dadano 10 ú 11 meses en prisión? ¿Asi se juega con la liber­ desempeñar. Creemos que el papel de Evelina en dicha ópera pida testimooio de la causa, y eso no es exacto. La comisian opi­ tad de los ciudadanos? Yo creo que para…</t>
  </si>
  <si>
    <t>…fensa de los dere­ nicer , también expresamente compuesta para esta función ; ser„á p ita l, haciéndolo por sí ó por medio de apoderado autorizado chos de la Reina Doña Isabel 11; pero se echaba de menos una ejecutada por la Sra. Campos. * competentemente, á las diez de la mañana; apercibido que de obra en que se presentase plenamente la cuestión de la sucesión 4.0 Fantasía de fagot.por Mr. V illent, desempeñada por el no hacerlo se dara el juicio por intentado, . é incurrirá en la á la corona Este objeto lo ha desempeñado s…</t>
  </si>
  <si>
    <t>…ién la pulga. nicer , también expresamente compuesta para esta fun ció n ; será B. L arva capitatae , ó sin cabeza d istin ta , como la mayor C E halla vacante la plaza de médico-cirujano titu lar del lugar ejecutada por la Sra. Campos. parte de los inbectos dípteros. ^ de Candelario, partido de Bejar , en la provincia de Sala­ 4.0 Fantasía de fagot por M r. V illen t, desempeñada por el Las cabczis de las larvas están generalmente cubiertas con manca , independiente de barba y san gría; su dotación es de joven profesor D…</t>
  </si>
  <si>
    <t>…función; será Títulos al portador del 5 por 100, 27£ con cupones al con­ tado : 2 7 } , £ , 28 , 27 ooce dieziseisavos, | , 2 8 | y 28* á v. f. supo trasladarla á nuestro idioma;desde luego podrá asegurar­ ejecutada por la Sra. Campos. ó vol. y firme: 2 8 | , 29* , -J , 28} y 29 á v. f. ó vol. á prima se que es una de las mas selectas y eruditas que posee la Im ­ 4.0 Fantasía de fagot por Mr. V illent, desempeñada por el prenta nacional. joven profesor D. Casimiro Mellier. L L a y f Por con cupones. Inscripciones en el…</t>
  </si>
  <si>
    <t>…. Alverá ha gunas nuevas partes para completar la compañía. Hemos oido grandes y en sus postigos se leen también trozos: en las del sa­ sido ú t i l , mucho mas cuando la escasez de buenos actores se hablar ^de que vendrá la Sra. Campos, tan conocida y aprecia­ jón de Embajada!ei por la parte interior hay al rededor un le­ deja sentir tanto en la actualidad. Los demas que ejecutaron da del público de Madrid, y que nos aseguran ha adelantado trero en caracteres góticos, en que se leen algunos versículos de arabas piezas son…</t>
  </si>
  <si>
    <t>…n ta, fran q u ead as, y con sobre á los edito­ nicer , tam bién expresamente compuesta p ara esta fu n c ió n ; será mo de su gloria y de su poder dictó el M iserere. M as adelante res de la 'F ierra Santa. ejecutada por la Sra. Campos. se ve una calle tortuosa , estrecha, mal em pedrada; pero cuan ­ 4.0 F antasía de fagot por M r. V ille n t , desempeñada por el do uno va á pisar un roto capitel sabe que está a llí para re ­ joven profesor D . C asim iro M ellier. cordar el sitio en que la Verónica vino á derram ar perfum…</t>
  </si>
  <si>
    <t>Campos, Antonia</t>
  </si>
  <si>
    <t>Antonia Campos</t>
  </si>
  <si>
    <t>…obispo de la misma &amp;c. miento por medio de su comisión de espectáculos, la prima don- Por U presente, que es la cuarta y última carta de edicto, llamamos, citamos y emplazamos al Dr. D. Manuel María del DE L A MANCHA, na Doña Antonia Campos se ha prestado á desempeñar la par­ te de L in ceo . corral, abad párroco de la insigne iglesia colegial de la villa COMPUESTO Sin embargo de haber sido arreglada en lo posible dicha de Bayona, en esta diócesis de Tuy , para que en el término de parte á la tassitura de su voz, no s…</t>
  </si>
  <si>
    <t>…era, que ha recaído en causa que se le ha desempeñar la parte de Sandrina la nueva prima donna de este • noche pasada en Huesa ó algún otro puntó inmediato. formado y á otros sobre robos; y no habiendo noticia de su teatro Doña Antonia Campos, acompañada del primer bajo paradero desde el mesvde Diciembre de 1835, que se fugó del D. Francisco Salas, encargado del papel de Tomasso. presidio de Málaga; en cumpliiniento de lo mandado para la notoriedad de esta coudena, libro la presente que firmó en He­ { 9 por la tarde, l…</t>
  </si>
  <si>
    <t>…y aun entre los cursantes de nues­ desempeñar la parte de Sandrina la nueva prima donna de este con vu gares y trillados encomios, como por no repetir punto tras universidades, muchos de los cuales conocen ya su obra. teatro Doña Antonia Campos, acompañada del primer bajo ÍJ»r punto los elogios que las personas de buen gusto hacen de Pero faltaba tenerla en buen lenguaje castellano que facilitase D. Francisco Salas, encargado del papel de Tomasso. á todos su estudio; faltaba ponerla al alcance de todas las for­ &lt;n!° Se ,Í…</t>
  </si>
  <si>
    <t>Campos, Antonio</t>
  </si>
  <si>
    <t>Antonio Campos</t>
  </si>
  <si>
    <t>…, por Esteban Baños, en 16. dolid, Pastor: Zaragoza, Yagiie. En la administración de lote­ Oirá id., id., cerro del M uerto, término de Benad ux, Coa­ rías de Pontevedra, y en las de correos de Huesca, Reu s, Bar­ lición, por D. Antonio Campos M a r in e e n 19. celona, C i u d a d - R e a l, Castellón , Valencia , Osuna , T u y , T o ­ Otra id., loma de la Fuente, término de H uercal, la Guer­ BIB LIO GR AFIA. ledo , G eron a, M urcia y Lu go, rera, por D. Felipe V icia na, en 19. Otra id., tas Hoyuelas, término de Dalia…</t>
  </si>
  <si>
    <t>…rvacio D. Pedro López. y reparo : uno de ellos fue el arquitecto Ju a n de Mijares, y an D. Luis Fabiani. Hemos asistido á algunas funciones de este teatro, y he­ tes de este Gaspar de la Vega, sobrino de Luis. Lo mismo suce D. Antonio Campos. mos salido bastante complacidos de ellas. La compañía que dia en Granada. En el reinado de Felipe m se construyó 1 D. José Perez Pió. tiene es bastante regular; la Sra. N a v a rro , dama joven; los que llaman apeadero , con columnas pareadas, y encima un salo D. José Casta ñon. Sr…</t>
  </si>
  <si>
    <t>Campos, José Ruiz</t>
  </si>
  <si>
    <t>José Ruiz Campos</t>
  </si>
  <si>
    <t>…fimas Calidades, ni mas propia de tan infames hé­ Otra id. id. , umbría de O rtiz, término de Almocita, San­ buitre percibe su presa por el poder extraordinario de su roes, ni mas expresiva de tan viles hazañas. ta Rita , por D. José Ruiz Campos , eu 9 id. id. vista; y la Vaillant explica la circunstancia sobre la mis­ Otra id. id. id. id. , Santa María , por id., en id. id. ma teoría, «Deseoso, dice este observador, de investigar Otra id. id. id. id. , Purísima de Laujar , por Francisca cómo se congregan en un instante…</t>
  </si>
  <si>
    <t>…zan: Algeciras, Oirá id. , id . , umbría de O rt is , término de A l m o c it a , San­ El dia 2 de Julio próximo inmediato se van á subastar en Grirnaldi : Almería, Santa M aría: A lcoy , Cabrera: Barbastro, ta M a r ía , por D. José Ruiz Campos, en 9. el mejor postor, á las once de la mañana, en la audiencia de Lafita: Burgos, A r n a iz: Bilbao, Definas: C á d iz , Hortal y Otra id., i d . , id., Sta. Rita , por id., en 9. dicho juzgado, dos casas sitas en la villa de Pinto y su calle ti­ compañía: Cartagena, Benedicto:…</t>
  </si>
  <si>
    <t>Campos, Nicolás</t>
  </si>
  <si>
    <t>Nicolás Campos</t>
  </si>
  <si>
    <t>…a y tiende al barítono: la cabeza es fá ­ Algebra y geometría.—Estas clases fueron examinadas po cil y bella, y la une con mucha maestría á la de pecho: su H an salido de esta á las cinco de la mañana el batallón el profesor D. Nicolás Campos, y operaron largamente á sa aspecto y presencia en la escena son interesantes; sus maneras Reina Gobernadora y caballería 4*° ligero á Torres-torres, á tisfaccion de los examinadores y de la comisión. El directo delicadas, entendidas y expresivas. La Gabussi se sobrepujó á esperar al…</t>
  </si>
  <si>
    <t>Camps, José</t>
  </si>
  <si>
    <t>José Camps</t>
  </si>
  <si>
    <t>…no de la Paz Graells, catedrático de zoología en aprovechando la incidencia de iguales materias tratadas por fi­ cordar las vibraciones del tubo vocal con las de la glotis; pero la academia de Ciencias naturales de Madrid , y D. José Camps, lósofos célebres, manifiesta la conformidad de sus opiniones, los como los diferentes grados de longitud del tubo no son sufi­ que lo es de química en el colegio de farmacia, también de esta puntos de disidencia y el criterio del compendiador. Se conoce cientes para hacerle capaz de ac…</t>
  </si>
  <si>
    <t>Campuzano</t>
  </si>
  <si>
    <t>…e sobre fueros; el Sr. conde de las Navas tiene la dencia para asegurarse de la fidelidad y constancia de su nombre de Tejas se ha hecho por Mr. Anderson. Se asegura, dice el mismo periódico, que Mr. de Montois palabra. {El Sr. Campuzano pidió la palabra en pro.) sustituto en el servicio; acreditándolo entre otros medios ha contribuido mucho al reconocimiento de Tejas. {Debuts,) El banco de los Sres. Ministros se hallaba ocupado por el por el precio de la obligación que con ellos hubiere con­ de Gracia y Justicia y el de…</t>
  </si>
  <si>
    <t>…ablar con­ atropellamientos cometidos contra su persona, habia nombrado E yharchet Jean , et Puissan G auderie, sont prévenus q u ’ils ont tra el primer artículo del proyecto que con todo celo , con todo por su presidente al Sr. Campuzano, y por secretario al señor été portes sur P état des conserits de la classe de 18 5 6 et 1857, patriotismo, ha presentado al Congreso la comisión, necesito la Iñigo. et qu* en conséquence ils sont tenus de rentrer inmédiatemeot indulgencia del Sr. Presidente, porque lo haré con aquella l…</t>
  </si>
  <si>
    <t>…y bien hablarse á la im a ­ sente porque está trabajando por el bien del pais. Respecto á lo su responsabilidad todas las disposiciones mientras se han ve­ gin ació n ; y como nada es mas vehemente que las comparacio­ que el Sr. Campuzano acaba de decir acerca de las Potencias rificado los gactdes acontecimientos que acaban de tener lu g a r ? nes qce se hacen con destreza, en comparando esta institución del N o r te , consignados están en documentos nuestra digaL- Si no hablan estos hechos hable á lo menos el raciocinio d…</t>
  </si>
  <si>
    <t>CAMPUZANO</t>
  </si>
  <si>
    <t>…e si el m i­ conserve el trono legítimo y la Constitución de España , como despotismo y libertad. nisterio actual habia dado esa misión á D. Francisco Zea Ber­ lo sabe bien el Sr. Calatrava , es la primera que ha encomiado El Sr. C A M P U Z A N O : Si el estado de nuestras relaciones mudez , sino si el Gobierno español , no solo este ministerio, esa memoria, la primera que la ha ap laudido, diciendo que nos diplomáticas no fuese tan interesante para nosotros en este mo­ habia dado esa misión : por consiguiente la contestaci…</t>
  </si>
  <si>
    <t>Campuzano, Joaquín Francisco</t>
  </si>
  <si>
    <t>Joaquín Francisco Campuzano</t>
  </si>
  <si>
    <t>…eñores de la comisión del Ateneo de Madrid D. José Es­ CAPITULO XI. Otro de la misma comisión , en que es de parecer se admi­ cario y D. Francisco López de Olavarrieta.zrMuy Señores míos: M is aversiones. ta en el Congreso á D. Joaquín Francisco Campuzano , electo He recibido con distinguido aprecio la comunicación que Diputado por la provincia de Sevilla. V. SS. han tenido la bondad de dirigirme , agradeciendo como Huia de los tontos, de los picaros, de las mugeres in­ Otro también de la misma, en que cree deben aprobar…</t>
  </si>
  <si>
    <t>…dad , Sres. censores y personas concurrentes, en reemplazo de D. Fausto de Otazu, y por la de Burgos a la ausencia del príncipe la duquesa de Orleaos visitará la sala y mas señaladamente los que se expresarán. Los de primera D. Joaquín Francisco Campuzano, en reemplazo del mar­ de asilo del camino del Sablonat , el de la calle L u lk n er y la clase: Alfonso Martines M o reo , Cándido F a u r e , Pedro B o n - ques de Falces. Tendréislo en ten did o, y lo comunicareis á escuela de enseñanza m u tu a dirig id a por M adam…</t>
  </si>
  <si>
    <t>Camuñas, Manuel</t>
  </si>
  <si>
    <t>Manuel Camuñas</t>
  </si>
  <si>
    <t>…de la Salud .............................................. 2 El escribano de Cámara D. Eusebio Nuñez.............. 3 terior y posterior al premio de 8d. 16 Id. D. Rafael de H ita, capellán del regimiento de El tasador general D. Manuel Camuñas................... 1 lanceros........................................................................... i El procurador D. José Saturnino Blanco................. 1 602 53000 Id. D. Martiniano Gómez, capellán del castillo El escribano de número D. Bartolomé N uñez.. . . 4 de Atarás…</t>
  </si>
  <si>
    <t>Can, Perfecto</t>
  </si>
  <si>
    <t>Perfecto Can</t>
  </si>
  <si>
    <t>…e estos. S. M. la Reina Gobernadora se ha servido nombrar para una plaza de fiscal de la audiencia de Sevilla , vacante por ha­ 10. Entretanto deberán observarse exactamente los re­ber sido nombrado ministro de la de Oviedo D. Perfecto Can­ glamentos vigentes con las variaciones que exige en, el cur­ darías, á D. José María Trillo, que obtiene la fiscalía de V a- S. M. la R ein a ., su augusta Madre la R ein a G obern a­ so de los negocios la circunstancia de haberse subrogado lladolid: para esta resulta á D. Mariano Ro…</t>
  </si>
  <si>
    <t>Canadá, Alto</t>
  </si>
  <si>
    <t>Alto Canadá</t>
  </si>
  <si>
    <t>01/06/1839</t>
  </si>
  <si>
    <t>Gaceta de Madrid n.º 1659</t>
  </si>
  <si>
    <t>…n 25 conciudadanos nuestros hechos prisioneros en Pres- bernador quiso vengarse de semejante desprecio de su auto ri­ y asimismo lo verificaron al comandante general de la línea de c o tt, á los cuales el teniente gobernador del Alto Canadá ha d ad , usaudo de un poder que le está conferido para circuns­ dado libertad. El coronel Macdonell hizo reunir los m agistra­ tancias extraordinarias, y prorogó el Parlamento por seis meses, Portugal otros dos acosados por nuestras tropas Que el gefe de la columna de Silleda en comb…</t>
  </si>
  <si>
    <t>Canalizo</t>
  </si>
  <si>
    <t>…ez. En Tampico seguían fortificándose los alzados contra el llevan esta señal « . Gobierno, pero venia por la parte de San Lnis el geueral Cos D. A gustín Díaz Camacho. SENADO. con 1500 hombres, y por la de Matamoros el general Canalizo H uesca. con otros 15 00 , ambos con resolución de aniquilar la revo­ « EXCELENTÍSIMOS SENOR.ES. « D . M ariano Torres y Solanot. lución. «D . Manuel Latre. P residen te. « D . M ariano Ricafort. Sabemos por cartas de Santiago de Cubá de 27 de Octubre D. José M aría Moscoso de A ltam ir…</t>
  </si>
  <si>
    <t>29/11/1839</t>
  </si>
  <si>
    <t>Gaceta de Madrid n.º 1846</t>
  </si>
  <si>
    <t>…blicarlo, a u n ­ PERU . Leou. que se Esticas u a poco su modestia. (Censor d e U eracruz.) El Callao sido ocupado por el ejército restaurador en v ir ­ tud de u n í capitulación. Con motivo de ella y á tiempo que el El general Canalizo ha pedido su relevo , por uo p erm itir­ ppfe de aquella plaza volvia de Lim a de celebrarla, la g u a r n i­ le su quebrantada salud coutinuM1eu el mando de la divisiou B U E N O S -A IR E S . c i ón se am o tin ó , quiso echarse sobre aquel acusándole de trai del Norte. dor ; pero él esca…</t>
  </si>
  <si>
    <t>Canapbell</t>
  </si>
  <si>
    <t>…, ixtoudir de la provincia de Scüankie. Se ha reemplazado Sehin—b e y , y se asegura que se han hecho otros actos de justicia en ios pueblos del Delta. La lista de los nuevos Pares está y a aprobada , siendo el m i­ El coronel Canapbell , cónsul general británico en Egipto, men) definitivo el de 16. Se dice que por causas que nada tie­ El periódico de Paris titulado E¿ A migo d e la R eligió n h a sido llamado á In glaterra; y si esto se verifica, denota á nen que ver coo la p o lític a, el Rey no ha podido firmarla h oy…</t>
  </si>
  <si>
    <t>CANEJ</t>
  </si>
  <si>
    <t>…el Senado por unirle relaciones muy anti­ NOTICIAS NACIONALES. g uas, terminó diciendo que sin embargo no podia menos de negar su voto á la aprobación del acta. Señora: El ayuntamiento constitucional con su Milicia na­ El Sr. C A N E JA empezó manifestando que S. S. mismo ha­ cional y el clero de la ciudad de Barbastro, con un júbilo que Zaragoza 11 de Octubre. bia confesado el motivo por qué la comisión no habia podido nunca bien podrá ponderarse , se dirige al trono de Y. M. menos de proponer la aprobación del acta, cu…</t>
  </si>
  <si>
    <t>…arte del mismo segundo cabo, fecha 25, se dice que era el que tenia que deliberar en el asunto. necesidad de haber de desempeñar la misión que la sección á que habiéndose presentado el faccioso Matías Sánchez la noche del El Sr. C A N E JA contestó á S. S. que la presentación de esos pertenezco me señaló nombrándome individuo de la comisioo. 20 en casa del alcalde Je Tornos , amenazándole con que iba á documentos incumbía í los señores que impugnaban el dictá- La altura en que se encuentra esta misma discusión me po­ mata…</t>
  </si>
  <si>
    <t>…sario para producir las defensas que reo el nombrar su defensor, elegirá al mejor letrado , cuyo ciean convenientes á su derecho. ejemplo acaso sea seguido por otros, de modo que el abogado PRESIDENCIA DEL SEÑOR ISTURIZ. El Sr. C A N E JA dice que no puede menos de estar de se excusará diciendo que ya lo ha sido de pobres, y defendido Sesión del día 28 de Enero . acuerdo con las ideas emitidas por el Sr. preopinante como un en su tiempo las causas que se le pasaron , y que por consi­ exordio de su discurso acerca de lo n…</t>
  </si>
  <si>
    <t>…espués de la pa­ no comparecer le podrá parar algún perjuicio. nuestros intereses. Es claro que un movimiento semejante, a y u ­ labra tribunal se añadiese pleno. dado ademas por la prensa severamente censurada, no es mas El Sr. C A N E JA repuso que era innecesaria la primera en­ que la consecuencia del proyecto de contestación de la Camara mienda del Sr. Ondovilla , pues tratándose solo en el reglamen­ de Diputados de Francia ; figuraos lo que sucedería si esta Po­ to de las causas crimiuales, era claro que á estas se r…</t>
  </si>
  <si>
    <t>…admisión en el Congreso de todo Sr. D ipu. pio de año para todos los casos que ocurrieran. relaciones de ambos cuerpos colegisladores entre sí y con el Go­ lado electo conforme á ella , que no tenga contra sí providencia El Sr. C A N E JA manifestó que lo mejor era dejar el artícu­ bierno, y sobre organización del Consejo de Estado. Anuncio de mo arresto ó prisión, ni otra circunstancia de las que señala co­ impedimento : no concurriendo ninguna en dicho interesa­ lo tal cual habia sido aprobado por el otro cuerpo legis…</t>
  </si>
  <si>
    <t>CANEJA</t>
  </si>
  <si>
    <t>…eso trato de censurarle ; yo siem­ en su vista saber si h ay ó no nulidad en las elecciones. fincas. H ay población pues que tiene muchos bienes; pero tam­ pre alabaré al ministerio que le dic tó ; hubo en él m u y buena El Sr. C A N E J A contestó que el Sr. Heros tenia razón en bién muchas deudas. f e , m uy buenos deseos. cuanto á que las actas de la provincia de Oviedo presentan la H ay o tras, y tal sucede con las pequeñas, que tienen un Entonces no se tuvo presente mas que el en tusiasm o , á lo mayor confusión , l…</t>
  </si>
  <si>
    <t>Caneja</t>
  </si>
  <si>
    <t>…roga. PRESIDENCIA DEL SEÑOR CALATRAVA. tenido es materia de una proposición, en la cual podrá hacerse También fue aprobada , prévia una breve impugnación del la calificación de los defectos de que adoleciere la ley vírenle, Sr. Caneja, fundada .eu una equivocación de S. S., cual era la Sesión del dia 20 de Setiembre. como también la indicación de las bases de la que se sustftuya. de suponer que en el discurso del trono no se hablaba del ar­ Ultimamente, en cuanto á las adiciones de los Sres. Gon­ reglo de aranceles, la a…</t>
  </si>
  <si>
    <t>…estado actu al, sino que tienen que pesar sobre cualesquiera otros que Jes suce- la unidad constitucional. Por consiguiente, siendo la voz téc­ en q u e , no digo un a r tíc u lo , sino títulos enteros esperan sus dao. (El Sr. Caneja pidió la pa la bra en contra.) n ic a , p recisa, exacta la de c o n fi r m a c i ó n , cuando se trata de leyes o rgánicas. Otro de los argumentos hechos hasta aqui ha sido si los la continuacioo de leyes especiales y privilegios , no puede fueros han sido ó no causa de la g u e r r a , y…</t>
  </si>
  <si>
    <t>…hecho ver que Calatrava tiene alguna vez aprobaba el Gobierno y no tocaba al Senado calificar. instrucción se concede un breve termino para entregar los títu­ razón', y que efectivamente aquella proposición era excusada, El Sr. C A N E J A : No esperaba la comisión una oposición los respectivos de la deuda anticip ada, la contestación del se­ pues lo mismo que se pedia en ella estaba y a mandado por el tan tenaz como la que se ha hecho al proyecto de mensaje que ñor Ministro debe ser á la mayor brevedad posible , advirtie…</t>
  </si>
  <si>
    <t>…uesto por el Sr. Secretario O ndovilla, y añadiendo respecto diesen varias de la provincia de Oviedo , eu que opinaba se pi­ actas de distritos. á Levante: otros aseguran que se propone apoyar las reclama­ á lo dicho por el Sr. Caneja, que no habiendo ninguna dispo­ Se leyó el dictámen de la misma, insistiendo en la nulidad ciones hechas al Emperador de Marruecos por el cónsul de Ñ a ­ sición legal para que las comisiones diesen ese aviso al Gobier­ de las elecciones de Huelva. póles; otros en fin creen que discurrirá po…</t>
  </si>
  <si>
    <t>…los actuales M inistros, y Entra después á hacerse cargo de los demas argumentos pre­ mas numerosa de lo que se dice cuando la autoridad militar, tenia razón para decirlo, porque todos son padres de familia, sentados por el Sr. Caneja acerca de si vista la conducta del al­ teniendo quizá noticia de su aproximación, estableció ayer honrados patriotas que tienen hijos, y que quieren que la p a­ calde de Albacete, había empeño en que no se hiciesen las elec­ fuerza armada en rededor de este recinto, y tomó tantas me­ tria sea…</t>
  </si>
  <si>
    <t>…ones de Huelva por la razón sencilla de que le falta­ mer lugar á lo que el Sr. González Alonso habia dicho; en se­ El brigadier segundo cabo de Valencia en comunicación de ban los dccumentos necesarios; pues lo dicho por el Sr. Caneja guida á lo que dijera el Sr. Alonso (D. Juan Bautista); y ha­ 22 del actual dice que el capitán de la partida franca, D. Mel­ de que á la comisión se le habia presentado un acta limpia y ciéndose cargo en tercero de lo que el Sr. López, corno indivi­ chor Clemente , sorprendió el dia 18 en…</t>
  </si>
  <si>
    <t>…ía la Constitución, ni la razón misma que se nombrase REDACCION DE LA GACETA. El Sr. Presidente concedió la palabra á la comisión de Ac­ á una persona determinada para ser juez de un negocio deter­ t a s , y su Secretario el Sr. Caneja ocupó la tribuna y leyó los minado también. Que esto quería decir que este juez no estaba dos dictámenes siguientes, que sin la menor discusión fueron determinado con anterioridad por la le y , y que por consiguien­ te afectaba á este caso la razón en que se funda el artículo aprobados. .…</t>
  </si>
  <si>
    <t>Caneja, Joaquín Diaz</t>
  </si>
  <si>
    <t>Joaquín Diaz Caneja</t>
  </si>
  <si>
    <t>…...............................Huesca. tico que esta a punto de sojuzgarnos y hacerse dueño de D. Pedro Antonio Acuña............................ .. Jaén. BIBLIOGRAFIA. Buestra voluntad. El espejo en que haya de reproducirse D. Joaquín Diaz Caneja........................................León, nu cambio político con todos su9 accidentes, debe ser en D. Epifa«io Fortun................................................. Lérida. r \ E L Rey abajo ninguno, y labrador más honrado, García extremo bruñido, terso é inmóvil; y la lit…</t>
  </si>
  <si>
    <t>Caneny, Antón Fábregas</t>
  </si>
  <si>
    <t>Antón Fábregas Caneny</t>
  </si>
  <si>
    <t>…de negros, y no dar Portugal pro­ bían presentado en la m atrícula , que es el siguiente: un f u s i l , un trabuco , una c arab in a, un sable , una bandolera, videncia alguna para llevar á efecto el decreto de 10 de D i ­ 1. D. Antón Fábregas Caneny. dos libras de pólvora y dos cananas. ciembre de 1 8 3 6 , están entrando en el Tajo navios de guerra 2. D. José Roca. Dice igualmente que se ha presentado á indulto el faccio­ portugueses, conduciendo apresados buques que encontraron em­ 5. D. José Calasaoz Casanovas. so de l…</t>
  </si>
  <si>
    <t>…la bola n ú ­ 'antes y caballos con..., piezas de artillería de calibre de.... y.... De menos de un año ....................... 5 09 r a r g a s de bagaje, entró en esta población á.... hora, viniendo de... mero 1 , retiróse D. Antón Fábregas Caneny , que le represen­ De 1 á 5 ................................................................................................... 158 ta por el tiempo que el alumno anteriormente sorteado estuvo Darte y saliendo en dirección de... pueblo, fecha y hora en que De 5 á 1 0 .........…</t>
  </si>
  <si>
    <t>Canga, Felipe</t>
  </si>
  <si>
    <t>Felipe Canga</t>
  </si>
  <si>
    <t>…ronto no podíamos resolvernos á dar crédito á los rumores p ú ­ D. M anuel N ieto, D. Andrés A qu il y O’Conell, D. José M a ­ M aría de Gispert. blicos que corrían sobre este acontecimiento: reflexionábamos en ría Secades , D. Felipe Canga A rguelles, D. Manuel Sierra y la gran distancia de los lugares y en la dificultad suma que D. R a m e a González, responsables de dicho im p reso : y á su experimentan nuestras comunicaciones con los católicos de aquel Escriben de la Coruña el 7 de Diciembre : consecuencia debia de m…</t>
  </si>
  <si>
    <t>Canlonga, Juan Gabriel</t>
  </si>
  <si>
    <t>Juan Gabriel Canlonga</t>
  </si>
  <si>
    <t>…ablecerán, quedando ea esta semana sobre la carretera de M o ­ Otra id. de grafito, sitio de la cuesta de Hierro , término itucion de los países conquistados. Esta suspensión no es nece­ tril 1 i 10 confinados. de íluelma, por D. Juan Gabriel Canlonga , en 2 i de Febrero. aría , porque la asamblea está pronta á votar los subsidios in- Encontrándome sin ollas, artículo tan indispensable, no Otra id. id., sitio del prado de la Bóveda, llamada la Cue- ispensables. Mas valdría recurrirá las vias de conciliación, cu- dando tiemp…</t>
  </si>
  <si>
    <t>Cano, Agustín</t>
  </si>
  <si>
    <t>Agustín Cano</t>
  </si>
  <si>
    <t>…la ó M artirio , por Ju an Parrón, en 24« llegado á Salas el de la misma clase D. Antonio del Riego con Otra id. en dicho térm ino, cerro del Poyo, Cuatro amigos, Otra id. en la cuesta del Cañarete, término de E n ix , Sao á D. Agustín Cano , en id. la cuarta compañía del provincial de Laredo y un piquete de M arcos, por Ventura L up iañ ez, en 24* guias conduciendo nueve prisioneros pertenecientes á una par­ Otra id. , Barranco del Rosillo, término de H uercal, Santo tida de 10 rebeldes, que procedentes de Aragón y del…</t>
  </si>
  <si>
    <t>Cano, Diego Fernandez</t>
  </si>
  <si>
    <t>Diego Fernandez Cano</t>
  </si>
  <si>
    <t>…n baile tenido en una habitación nacioual de esta villa, un dictámen de la comisión de Actas en que proponía se ad­ la gravedad del asunto. se demuestra la unáuime opinión y unión sin tacha que han sa­ mitiese en el Congreso á D. Diego Fernandez Cano, D iputado * Yo empiezo por decir que en esta materia se manifiesta que bido conservar todos estos vecinos en medio de seis años de guer­ electo por Badajoz. el derecho de petición no se ejerce con el pleno conocimiento. ra civil, cuya unión les ha libertado muchas veces de se…</t>
  </si>
  <si>
    <t>Cano, Fernandez</t>
  </si>
  <si>
    <t>Fernandez Cano</t>
  </si>
  <si>
    <t>…or eso ahora Por tanto espero que el Congreso aprobará el dictamen. ponsable. Por lo deuias, yo aseguro al Sr. conde que el G o ­ hace lo mismo el Gobierno, esto es, pedir informes á aquellas Entró á jurar y tomó asiento el Sr. Fernandez Cano , D i ­ bierno no necesitaba de esta excitación tan respetable para mi, autoridades. putado por Badajoz. y que si está pendiente esa solicitud , será en breve despachada, El Sr. F E L I U : Debo manifestar ante todo que no es mi El Sr. M A D O Z extraña que la comisión no hay a llama…</t>
  </si>
  <si>
    <t>Cano, Francisco</t>
  </si>
  <si>
    <t>Francisco Cano</t>
  </si>
  <si>
    <t>…balcones aparecieron de improviso cubiertos de ricas colga­ que la misma previene, tocó á los sugetos siguientes: D. José d u ras, las campanas se echaron á vuelo, en las plazas y paseos Cecilio Scgues, D. Santiago Izquierdo, D. Francisco Cano, Si para dar al público una idea de esta composición se dejara públicos se formaban bailes á estilo del p ais, corriéronse novi­ D. Basilio Carranza , D. José Ramón E g u ía , D. Rito G ar­ llevar la sociedad del juicio que ha formado acerca de ella , aca­ llos , encendiéronse fogat…</t>
  </si>
  <si>
    <t>Cano, José</t>
  </si>
  <si>
    <t>José Cano</t>
  </si>
  <si>
    <t>…. Dámaso Aparicio, á S. A. L el gran Duque heredero de R usia por el marques y procurador síndico del ayuntam iento constitucional de esta GRAN BRETAÑA. la marquesa de Londonderry en su magnífico palacio de P ark- M . II. V .; D. José Cano S ain z , del comercio de esta corte, y Lane. Todos los convidados iban de gran uniforme. El gran I ). José H iginio A rch e, contador general de la caja nacional L ondres 29 d e M ayo . Duque ocupaba el centro de la mesa, enfrente del retrato del de Am ortización, vocal secretario; y colo…</t>
  </si>
  <si>
    <t>Canse-, Casimiro Florez</t>
  </si>
  <si>
    <t>Casimiro Florez Canse-</t>
  </si>
  <si>
    <t>…u esería uo espectáculo nuevo, grandioso é interesan­ á que se ha añadido el texto griego , y aumentado en la tra ­ te. Eu efecto, La D egolla ció n d e los I n o ce n te s es un d r a ­ ducción castellana por el licenciado D. Casimiro Florez Canse- ma que reúne á un sabor b íblico , que no podrán menos de co. Dos tomos en 4.0 m arquilla, impresos en 1 7 8 1 , y adorna­ apreciar los inteligentes, un argumento rico en novedad en s i­ tuaciones complicadísimas y un extraordinario interés. Estas IM P RE NTAN ACIO NAL…</t>
  </si>
  <si>
    <t>Canterac</t>
  </si>
  <si>
    <t>…misma ley. esto con el dictámen del año pasado que firmó el Sr. Infante, tes, con los cuales arribaria al objeto que se propone, satisfa­ Dado el punto por suficientemente discutido, y puesto á en el cual á la viuda del general Canterac se la señalaban 123 rs., ciendo las obligaciones del Estado. votación el dictamen, quedo aprobado. á mas de los 83 de sus hijos, y la viudedad que la corres­ Como en mi opinión , en la época que hemos alcanzado to­ El Sr. PRESIDENTE anuncio que no habiendo ni ngu n pondiere por decretos v…</t>
  </si>
  <si>
    <t>Canterac, José</t>
  </si>
  <si>
    <t>José Canterac</t>
  </si>
  <si>
    <t>…tiva á Art. 2.° Teniendo también en consideración el trágico fin El Sr. IN FANTE dice que si el Congreso aprueba este ar­ la independencia de la caja , porque en su opinión no entiende y buenos servicios del teniente general D. José Canterac, capi­ tículo, puede prepararse todos los sábados para discusiones de cómo pueda concederse esa independencia , no conociéndose tán general que fue de Castilla la Nueva al tiempo de su muer­ recomendaciones, y que hay un decreto de las Cortes constitu­ otra mas que la del poder legisl…</t>
  </si>
  <si>
    <t>CANTERO</t>
  </si>
  <si>
    <t>…illones sobre la con­ Ministerio de la Gobernación al de Hacienda. los efectos que crea oportunos. tribución extraordinaria de guerra, y ha creido que debia pro­ El Sr. O L IV A N contestó manifestando que esa fuerza ar­ El Sr. C A N T E R O : Señores, esta petición envuelve una poner se distribuyese esta cantidad con arreglo al cupo total mada pertenece mas bien al orden civil que al militar, y que cuestión sumamente im portante, y en ella seria muy conve­ designado en la contribución extraordinaria de guerra entre to­…</t>
  </si>
  <si>
    <t>Cantero</t>
  </si>
  <si>
    <t>…las Cortes, principio sivas. D ijo S. S . : wEsta ley es la que va á establecer la base del se organice como se propone. De esta manera debió ver la que hace á las Cortes Gobierno. A l director, contador y tene­ crédito.” El Sr. Cantero manifestó que era la que iba á empe­ cuestión el Sr. Mon. dor del gran libro los nombra h o y , y los continuará nombran­ zar á fundar nuestro créd ito ; y el Sr. Gómez Acebo añadió Yo no he dicho que esta organización baste por sí sola para d o , el G obierno, con arreglo á este proyecto…</t>
  </si>
  <si>
    <t>…r que se propone. agradecido este le regala á Y. al público para quedar bieu con vil que llevamos, de una manera extraordinaria y que le honra. el público y con Y. Cree que seria un error el declarar que ninguna persona El Sr. CANTERO : Señores, debo contestar al Sr. M endi­ que ejerciese cargos pudiese ser removida sino por causa pro— zabal que el director del banco es el ejecutor de las operaciones De aqui resulta la mayor confusión. Acontece que tiene bada, y que esto se demuestra por la práctica admitida en In ­ mec…</t>
  </si>
  <si>
    <t>…..... .. . . . 20 le doy las gracias. Sin embargo,, el Sr. Gómez Acebo dijo que 110 puede reprobarse. A la r ú s t i c a ................................ 17 no estaba de acuerdo respecto á la consolidación; pero no es este El Sr. C A N T E R O dijo que nada tenia que añadir á lo E n papeí fin o ................................................. 20 el momento de en trar á rebatir lo dicho por los referidos se­ expuesto por el Sr, Ministro dé H acien d a, y que para aquietar E n idem c o m ú n . ........... ....................…</t>
  </si>
  <si>
    <t>…naciones por mayoría absolu­ pormenores que en la práctica son perjudiciales. están cometiendo. ta y aunque sean en beneficio del Estado, pueden perjudicar á Creo, señores , que la garantía que se establece en este artí­ El Sr. CANTERO: Honor hace al Sr. Sancho la oposi­ los particulares, y perjudicarlos con suma desventaja, y la ra­ culo de que solo las proposiciones de empréstito se hayan de ción que ha hecho á este artículo por creerlo inm oral; pero la zón es muy sencilla. Los particulares que juegan en las opera­ exa…</t>
  </si>
  <si>
    <t>…y antes de tomar posesión esa ju n ta, y que sin otra traba debia aprobarse el articuló. liabido tiempo para que ese señor tenga la noticia oficial ; y es-» separarlos, está en las facultades de la Corona 3 por consiguien­ El Sr. CANTERO: He pedido la palabra solamente para</t>
  </si>
  <si>
    <t>…quello que el esfuerzo humano puede buenamente coloca en mayor libertad para poder combatir el ar tica lo. m iento; en el concepto de q u e , asi como verá S. M. con cumplir. Con esto la alusión queda contestada*. Ha dicho el Sr. Cantero que puede suceder , aunque casi agrado el celo q u e Lodos despleguen en esta ocasión, te­ Por lo que toca á la historia de la coraisroo , la haré sucin­ parece imposible que suceda , el que una proposición sea igual niéndolo presente en tiem po o po rtu no , asi tam bién está tamente. El añ…</t>
  </si>
  <si>
    <t>…glaterra. gusto de ver desaparecer sus disposiciones. Cuando se discutió por donde salen nuestros frutos de Castilla, comercio pingüe Es cierto que en el año de 25 no se hizo el empréstito; pero el art. 15, después de oir al Sr. Cantero pedí la palabra en de harinas, como riqueza de aquellos países y provincias: hoy esto ¿en qué consistió? En que ya todo estaba perdido; pues contra, y sentí verdaderamente no me tocase el turno. el producto de los portazgos que median entre Herrera y San­ habiendo venido sobre nosotros 100…</t>
  </si>
  <si>
    <t>Cantero, D. Manuel</t>
  </si>
  <si>
    <t>D. Manuel Cantero</t>
  </si>
  <si>
    <t>…iquez, Secretario 2.° Sr. D. Francisco Javier Istdriz, Presidente. Sr. D. Agustín Arguelles. Sr. D. Félix Aliaga. Sr. D. Antonio Alcalá Galiano. Sr. D. Antonio Seoane. Sr. D. Francisco Carbonell. Sr. D. Juan Donoso Cortés. Sr. D. Manuel Cantero. &gt; Sr. D. Nicolás Esteban. Sr. D. Julián Villalva. Sr. D. Joaquin María López. Sr. D. Vicente Sancho. Sr. D. José María H uet, electo. Sr. D. José Landero. Sr. D. Paulino Jiménez. Canarias {islas). Sr. D. Dionisio Valdés. Sr. D. Pedro Calzada. Sr. D. Juan Alvarez y Mendizabal.…</t>
  </si>
  <si>
    <t>Cantero, José</t>
  </si>
  <si>
    <t>José Cantero</t>
  </si>
  <si>
    <t>…omo pre­ diencia de Burgos para la promotoria fiscal del juzgado de Mi­ diente propuesta de recompensas, y no se formarán estas senten los certificados de la comisión de requisición, y se randa de Ebro, vacante por cesación de D. José Cantero, á Dou sin que preceda la Real autorización. comprueben y hallen conformes con el registro que de Félix Santo Domingo. 3.a Si entre los individuos comprendidos en las pro­ la misma debe obrar en las contadurías de provincia, se puestas de recompensas hubiese algunos que dependiesen les…</t>
  </si>
  <si>
    <t>Cantorbery</t>
  </si>
  <si>
    <t>…ido aprobado el bilí relativo á la Jam áica, aunque suprimien­ principio de una tentativa, y en los que se encuentran, segua radas, que vienen ansiosos de afianzar ea este dia la gloria del do la primera cláusula. El arzobispo de Cantorbery ha hecho se dice, actas emanadas de un comité revolucionario instalado ejército y la salud de la República. una mocion para que se presea te á la Reina un mensaje contra eu Marsella. ( Debáis,) ¡ AtnigoH Yo me prometo que sereis dignos de vosotros. el empleo por el consejo privado de los…</t>
  </si>
  <si>
    <t>Cantorné, Reyes</t>
  </si>
  <si>
    <t>Reyes Cantorné</t>
  </si>
  <si>
    <t>…al cabo de una h o ra, adm irada de que no El comandante de la compañía franca de la diputación la hubiese aun llamado subió otra vez'y trató de entrar en el El mismo comandante m ilitar participa en oficio de hoy provincial D. Reyes Cantorné también se ha distinguido entre cuarto de Mr. D esurleau, pero estaba cerrada la puerta inte­ que la columna de la ribera se puso ayer en movimiento hácia los valientes, sin embargo de que por la imposibilidad de se­ riormente ; se inquietó con esta precaución no acostumbrada , y el…</t>
  </si>
  <si>
    <t>Cantóme, Reyes</t>
  </si>
  <si>
    <t>Reyes Cantóme</t>
  </si>
  <si>
    <t>…rgado de comuni­ las delaslasescuadras francesas recibiesen instrucciones conforme á inglesas, y que si ocurría un acontecimiento como el te á Adernur. carlo á la corona : era la vez primera que se obraba a s i , y esto Que D. Reyes Cantóme con 54 individuos de la compañía es mucho. Por lo demas, y sin querer leer todo el texto, declaro del bloqueo de Bilbao, 110 tuviésemos la humillación, y hum i­ llación digo porque lo fue para uno, de ver que los marinos in­ de cazadores de la provincia rescató en el molino de Juan C…</t>
  </si>
  <si>
    <t>Cantón, Nicolás</t>
  </si>
  <si>
    <t>Nicolás Cantón</t>
  </si>
  <si>
    <t>…fico en Lisboa , que fue trasladado después á C o im - en este periódico á la bella composición poética , alusiva á los bra con título de universidad. La política de este Príncipe t u ­ frutos de la primera enseñanza , obra de D. Nicolás Cantón, vo una influencia m uy feliz en la a g r ic u ltn r a , fáb ricas, co­ que recitó en su nombre D. José Posada Herrera , y que tanto Córdoba 26 d e N oviem bre . mercio y n avegació n , y la prosperidad de los pueblos levantó á contribuyó á realzar esta función verdaderamente patrióti…</t>
  </si>
  <si>
    <t>Capa-, Tadeo</t>
  </si>
  <si>
    <t>Tadeo Capa-</t>
  </si>
  <si>
    <t>…mbrado gefe político de Salamanca D. Francisco Javier res. No habiendo suficiente número de individuos en la Cáma­ por el comité central. Este fue el primer acto con que se a n u n ­ Carram olino, se ha dignado S. M. nombrar á D. Tadeo Capa- ra , se anula la votación. (Debats.) ció la presencia en nuestras calles y plazas públicas de las ban­ blanca , que sirve la de Valdepeñas: para esta á D. Juao José das de furiosos que pasaron del pillaje al atentado, del atenta­ H erv as, que desempeña la de Jerez: para este juzgado, á…</t>
  </si>
  <si>
    <t>Capaz</t>
  </si>
  <si>
    <t>…c ia para hacer una comunicación al Congreso. Por Zaragoza : Sr. duque de Zaragoza. El Sr. M inistro de Gracia y Justicia ocupó la t r ib u n a , y por tanto pido que se desapruebe el dictámen de la comisión. Por C á d iz : Sr. Capaz. leyó un proyecto de ley que S. M. la R.eina Gobernadora , con­ El Sr. S A N C H O : Señores, yo creia que se debia im p u gn ar Por V a le n c ia : Sr. Ciscar y Odriola. forme con el parecer del Consejo de M in istro s, le habia auto­ el d ictám en, diciendo: aqui está la ley. El Sr. Osea ha…</t>
  </si>
  <si>
    <t>Capaz, Dionisio</t>
  </si>
  <si>
    <t>Dionisio Capaz</t>
  </si>
  <si>
    <t>…as refiere un tilidades. vedra al marques de Santa Cruz de Rivadulla, reelegidos hecho singular, si efectivamente ha sido comprobado: 4 ° Arreglar el modo de composición de las comisiones mix­ por las mismas: por la de Cádiz á D. Dionisio Capaz, en Un viajero francés, Mr. Huguenet de Paris, ha comprado tas en favor de franceses, de mejicanos y de extra» ge ros que un cristo de V a n -D itk , puesto en venta por el precio de un serán llamados á decidir sobre el número de indemnizaciones reemplazo de D. José Fontagud Gargollo…</t>
  </si>
  <si>
    <t>…..................Sevifla. ha obtenido los mayores aplausos, titulada : y mesura que reinan en toda la novela, la serie de cua- D. Manuel de Pedro. . . ........................ Tarragona. Teruel. L ’ULTIMO GIORNO DE POMPEI. D. Dionisio Capaz.......................................... .. Toledo. (1) Por un olvido involuntario se dejó de insertar una D. Juan PaLrea. ................................................. Valencia. cuartilla de este artículo; corno de aqui resultase la consiguien­ D. José Ciscar y Oriola.........…</t>
  </si>
  <si>
    <t>Car</t>
  </si>
  <si>
    <t>…ES NINGUNA , de los lectores. No obstante, la literatura aun en medio de las graves convulsiones políticas que nos agitan , hace sentir su P U N T O S DE SU SCR IPCIO N * en el que desempeñarán la parte de protagonistas la Sra. Car­ gigantesca infiuencia , si no cual fuera de desear, al menos mas M adrid . lota Spuntoni, de edad de 10 años, y el Sr. Tomas Pío de 11. de lo que indican las probabilidades, si se atiende al estado de En el despacho del periódico, calle de la M ontera, n ú - fervescencia y agitación en que n…</t>
  </si>
  <si>
    <t>…randa.=Alejandro Lo pez.= Manuel de Yillota.=Dámaso Apa— tán en acecho, ni los románticos convertidos los que lle­ ricio.=Fernando Corradi.=José Gano Sainz.=José H. Arche. en el que desempeñarán la parte de protagonistas la Sra. Car­ nan hoy el teatro francés; es todo el mundo. ¿Y por qué? lota Spuntoni, de edad de 10 años, y el Sr. Tomas P ió ,d e 11. ¿Se acude allí á buscar emociones dramáticas? ¿Se va á saber de la manera que Augusto perdona; cómo Mitrída- CORRESPONDENCIA DE LA GACETA. NOTA. Se está ensayando ¿ para ej…</t>
  </si>
  <si>
    <t>…D E TRES N IN G U N A , Chantreau , obra del referido Alemany, contestando á las pre­ guntas que se le hicieron sobre los primeros elementos de la pro­ Varis 6 de Mayo • en el que desempeñarán la parte de protagonistas la Sra. Car­ nunciación francesa. Estas ligeras muestras que se presentaron lota Spuntoni, de edad de ¿0 años , y el Sr. Tomas.Pió,de 11# no tuvieron mas objeto que hacer ver y conocer las ventajas del Bolsa de hoy. Cinco por 100, 111 fr. 50 c. método de enseñanza que seguirá el instituto. Tres id ., 81…</t>
  </si>
  <si>
    <t>…enigma. El guarda-sellos podrá decir sin duda cómo.ha podido componerse el que estuviese á punto de ser nom­ calificación del jurado y sentencia, que una y otra son del te­ en el que desempeñarán la parte de protagonistas la Sra. Car­ nor siguiente: brado un ministerio formal cuando nadie se ocupaba de su d i­ lota Spuntoni, de edad de 10 años , y el Sr. Tomas P ió ,d e 11* Calificación del jurado.nReunidos los jueces de hecho que solución. abajo suscriben para conferenciar entre sí con arreglo al art. 61 N O T A . Se est…</t>
  </si>
  <si>
    <t>…an I V O habiendo tenido efecto la ju n ta de acreedores á los bie- y sucesiva mente maniíjeiton todos los beneficios que á tan ^ r«es de Rafael García L o z a n o , voz pública que fue en esta F &gt; A N O R A M A de la corte de D. Car lo s, ó un viaje de u n aug ust a Persona ha debido y debe la agradecida E p e ñ . ) . Y co rt e, que estaba señalada para el dom in go 21 del corriente, en virtud de providencia del Sr. D. Benito Serrano y Aliaga, faccioso á las provincias. Se describe con exactitud el esta­ ya en esta época n…</t>
  </si>
  <si>
    <t>Car, Juan Martin</t>
  </si>
  <si>
    <t>Juan Martin Car</t>
  </si>
  <si>
    <t>…bandona­ Vengo en nombrar Secretario de Estado y del Despacho camino real con la artillería, y echara abajo los parapetos cons­ ron los rebeldes en su fuga. La pérdida de nuestra colum na, de la Gobernación de la Península á D. Juan Martin Car­ truidos en el puente: halagado el enemigo con este movim iento dice su comandante, ha consistido solo en cinco heridos de las ram olino, fiscal de la audiencia de Valencia y Diputado á retrógrado , quiso cargar con sus masas y con la caballería á la clases de tropa. Cortes por la p…</t>
  </si>
  <si>
    <t>Car, Pedro</t>
  </si>
  <si>
    <t>Pedro Car</t>
  </si>
  <si>
    <t>…uestra pérdida ha consistido en un oficial he­ parte. La división de caballería acaba de hacer un nuevo mo­ bierno en las consultas que le d ir ija , porque no es fácil que en rido de gravedad , que lo es el teniente de navio D. Pedro Car­ vimiento hácia las frouteras, y toda la infantería disponible ha su número se encuentren personas que entiendan eu las mate­ vajal en un brazo, y un marinero con una pequeña contusión partido esta mañana de diferentes puntos hácia el Norte. rias que se versan en todos los m inisterios, c…</t>
  </si>
  <si>
    <t>Car, Ramón</t>
  </si>
  <si>
    <t>Ramón Car</t>
  </si>
  <si>
    <t>…N CIPE. A las siete de la noche. Se dará principio En el párrafo sigu ien te, línea 4 a, dopde d ice: la monar­ gunas bastante extensas, en las cuales se ventilan con la conve­ con la brillante sinfonía oriental * del maestro D. Ramón Car­ quía representativa, y una representación nacional, debe leer­ niente erudición puntos históricos que no carecen de ínteres. n icer, á completa orquesta. , j. se: la monarquía representativa y una p o lítica nacional. Para comodidad de las personas á quienes sean extraños los A continua…</t>
  </si>
  <si>
    <t>Cara</t>
  </si>
  <si>
    <t>…acción encargado de hacer la de 3.a Sres. Va Ilesa, Mala , F e r r e r , duque de Bailen , R u iz de las bases de organización de la sociedad , dió cuenta de su pro­ la V e g a , marques de Vallgnrnera , C h a c ó n , conde de Cara po legrin , secretario Ileros , Vicepresidente Entrena. 5.a Sres. Presidente, arzobispo electo de V alen cia, V ic e ­ ye cto , que discutido y m uy mejorado con las enmiendas y ob­ de A la n g e , marques de V ilu m a y Ochoa. servaciones que hicieron varios señores, quedó definitivamente…</t>
  </si>
  <si>
    <t>Carabantes</t>
  </si>
  <si>
    <t>…cu arto, y leída el acta de la anterior irá, que habia encontrado en el sitio llamado cerrillo de Pina- quedó aprobada. rejo, á espaldas de la sierra nombrada Crestellina, término de Se acordó constase en el acta el voto del Sr. Carabantes licha villa; el cual le fue admitido , y se halla y tiene boy eonforine con lo re¿uelto por el Congreso en ia sesión de an­ esta inspección por abandonado, mediante no haber pretendido teayer sobre el proyecto de fueros. d interesado la práctica deúas diligencias respectivas, ni la po­ E…</t>
  </si>
  <si>
    <t>Carande, Manuel</t>
  </si>
  <si>
    <t>Manuel Carande</t>
  </si>
  <si>
    <t>…ados de Abril. políticas. facciosos de la provincia de Palencia por el comaodante de ca­ De^pues de condolerse de la apatía que se observa en el Inútil seria trazar los hechos y las pruebas que tienen re­ rabineros de Hacienda D. Manuel Carande , se introdujo en las mundo político , continúa : lación con cada uno de los individuos comprometidos en el de León y Z am ora; y al aproximarse al pueblo de Villanueva "Si la prensa supiese su deber y tuviera aliento, podría, asunto de la pólvora de la calle de la Oursine. Basta reco…</t>
  </si>
  <si>
    <t>Carande, N.</t>
  </si>
  <si>
    <t>N. Carande</t>
  </si>
  <si>
    <t>…los prisioneros cangeados se encuentra el bizarro co­ m esura; en lo exterior, de .previsión y firmeza; lo creemos, y de los Ministros de 15 de A b ril, que después de haber perdido mandante de carabineros de hacienda pública D. N. Carande, debemos decirlo, sin que por esto se nos acuse de que ataca­ la mayoría , se obstinan en conservar el poder, en hacer dos al c u a l, según el estado de miseria en que se encuentra, estoy mos: al trOno. disoluciones en 15 meses. seguro de que por este digno intendente se le facilitarán…</t>
  </si>
  <si>
    <t>Caraode, Manuel</t>
  </si>
  <si>
    <t>Manuel Caraode</t>
  </si>
  <si>
    <t>…os los que cu­ rige, en la que participa que el comandante de carabineros de rana , y me encomiendo de gobernar sus destinos. bren su plaza con otro hombre, bien sea que este lo haga prendido elde 21aquella Hacienda provincia D. Manuel Caraode habia sor­ ¡Cuán diíiciles son estos tiempos! Ahora cosechamos los gratuitam ente, ó bien por gratificación, cambio de nú­ se rindieron, y enlos los Caraveos 18 facciosos, de los cuales 15 amargos tres restantes resultaron muertos en el cam ­ men de lafrutos de tantas revoluciones qu…</t>
  </si>
  <si>
    <t>Caravautes, D. Audres</t>
  </si>
  <si>
    <t>D. Audres Caravautes</t>
  </si>
  <si>
    <t>…la recibió por el la comisión de Actas, en el que se decia que no resultando na-» puerto que los que causen ó causaren los buques granadinos; y correo las faustas noticias de las provincias de N avarra y Vas­ da en contra del Sr. D. Audres Caravautes, Diputado electo las producciones o manufacturas de los dominios españoles á su congadas , precursoras de la paz, se anunciaron al público me­ por Ciudad Real, debia ser admitido, importación en los puertos de la Nueva Granada en buques es­ diante bando y repique de campanas y p…</t>
  </si>
  <si>
    <t>Carbajal, Juan Bautista</t>
  </si>
  <si>
    <t>Juan Bautista Carbajal</t>
  </si>
  <si>
    <t>…á su p adre: se ena­ Cupey....................................................................... 17 brera en persona, y se parapetaron en toda ella , de modo que m ora sucesivamente de dos mugeres que ve: resiste al cotí' Id. D. Juan Bautista Carbajal, teniente de cura apenas se les podia ofender hasta el momento de lanzarles de los de los Palacios.................................................. 17 s e jo : arroja al m ar desde un balcón uno de los consejeros, parapetos: estos empezaban desde la falda del monte y conclu…</t>
  </si>
  <si>
    <t>Carbajo, Miguel</t>
  </si>
  <si>
    <t>Miguel Carbajo</t>
  </si>
  <si>
    <t>…: D. Luis Bal- Otra en sierra Alhamilla,. cuesta de las Tejas, término de buena, D. Alejo Perez, D. Genaro Bayon, D. Pedro José de Viator, Virgen de los Doloros, por Luis Trujillo, en 3. Cea , D. Gabriel Alvarez de Alvarez , D. Miguel Carbajo, Don DIRECCION GENERAL DE PRESIDIOS DEL REINO. Otra en sierra de Gador, Balsanueva, término de Berja, Juan María Barte, D. Alejo Carro y D. Juan Bustamante; y El Boliche, por D, Francisco Sánchez, en 8. hallándose enfermo hace tiempo el D. Miguel Carbajo y ausen­ Excmo. Sr.: En Re…</t>
  </si>
  <si>
    <t>Carballeda</t>
  </si>
  <si>
    <t>…ofundas llagas que zó*: como igualmente lo fueron D. Joaquín Mosquera, alias en el mencionado pueblo, habiendo sido imposible averiguar estos le han dejado; la curación y remedio está en manos de sus Santan, sobrino del cura de Carballeda , y D. Fernando M e- con certeza los ejecutores del hecho, á causa de las rigurosas mismos naturales, y no se requiere para ejecutarla sino celo, ac­ déla, de Baldomar; habiendo sido herido gravemente el mismo órdenes de pena de la vida impuesta por el rebelde Ros de E ró­ tividad, energ…</t>
  </si>
  <si>
    <t>Carballedo</t>
  </si>
  <si>
    <t>…á n dirigirse á d ic h a im p ren ta Nacional abad de I\ousos 5 como igualmente lo fueron D. Joaquín Mos­ hasta el 10 de D iciem bre. guet, ocurrido en 51 de Octubre del año último, acudirán á quera deFunsio , sobrino del cura de Carballedo, y D, Fernan­ deducirle por el juzgado del Sr. D. Francisco Amoros y López, do Medela de Baldom ar, teniendo fundados motivos para creer magistrado honorario de la audiencia territorial de Albacete, y que pueda estar herido el mismo cabecilla Fernando Gómez, juez de primera instancia de e…</t>
  </si>
  <si>
    <t>Carballo, Mauricio</t>
  </si>
  <si>
    <t>Mauricio Carballo</t>
  </si>
  <si>
    <t>…ación d cuando se dice al pueblo que lo vió nacer, que interrumpió su Lugo 5 de Abril, la c la s e , habiéudose hecho notar el cuadro de cuerpo enter» canto en el teatro con repetidos aplausos, y que en el Liceo, copiado por D. Mauricio Carballo, tanto por lo acabado de él al oirle el A h ! perché non posso odiarti de la cavatina de la Comandancia general de Lugo. =r Noticia sobre muerte y como en atención al corto tiempo del aprendizaje del alumno Sonndmbula , no tuvo (como dice del teatro de Milán otro ar­ captura de va…</t>
  </si>
  <si>
    <t>Carbo</t>
  </si>
  <si>
    <t>…a, que en manos del al­ aspilleras, y guarnecido por un puñado de valientes francos y S. M. pudiera muy bien' designar desde luego el contin­ calde, y á presencia del cura p¿ roco mas antiguo y del Nacionales; pero que el general Carbo marchó rápidamente á gente con que cada~una de ellas debe contribuir para lle­ escribano ó fiel dé fechos que hí /a de librar el atestado, su socorro , y el enemigo sin esperarlo levantó el sitio con la nar este servicio, ó encomendar al éxito de un sorteo el prestará el fiel-almotacen, ó suge…</t>
  </si>
  <si>
    <t>Carbonell</t>
  </si>
  <si>
    <t>…endrá que arrepentirse de del Congreso desde el dia 2 del actual. suyo, (pie pocos, muy pocos, son capaces de salir airosos tío haber dado su voto para esta institución, yo le diréá S. S. que El Congreso concedió licencia al Sr. Carbonell por cuatro ella, como salió el Sr. Arrazola. S. S. solo se ciñó á los h e ­ aqui no sé lo que sucederá , poique en España los resultados no meses. chos, que por cierto en esta ocasión son mas elocuentes suelea ser conformes á los principios; pero como quiera que sea, Se lejó j mandó impr…</t>
  </si>
  <si>
    <t>Carbonell, Ramón</t>
  </si>
  <si>
    <t>Ramón Carbonell</t>
  </si>
  <si>
    <t>…e pidió se leyese por segunda vez el bilí relativo á la cabecilla Felipe Herrero, destacó en su seguimiento al ayudan­ 1.° Que lafael Ruiz Ordoñez. obligación de ios pueblos y contribuyentes te del segundo escuadrón franco D. Ramón Carbonell , quien suspensión de la Constitución de la Ja m a ic a , y que se aplace al pago de la mitad del resto del cupo de contribución los alcanzó en San Martin de la Fuente , haciendo prisioneros provisionalmente la discusión de este asunto. extraordinaria de g u e r r a , que pueden sat…</t>
  </si>
  <si>
    <t>Carbó</t>
  </si>
  <si>
    <t>…al 12 inclusive, quedaba para que en el término de 60 dias contados desde 15 del cor­ corresponden á la serie A : desde el 15 al 23 á la B : desde el al mandoesta mañana, y en Cervera pernoctó ayer la división riente del general Carbó que subió desde Igualada con un jo el perjuicio, Abril deduzcan las acciones que vieren convenirles , ba­ 25 al 33 y 55 y 56 á la C : desde el 37 al 42 y 44 á 48 á la D: crecido número de acémilas y escoltando algunos carros de co­ caso contrario, que haya lugar en derecho. desde el 49 al 53 y…</t>
  </si>
  <si>
    <t>Carbó, Jaime</t>
  </si>
  <si>
    <t>Jaime Carbó</t>
  </si>
  <si>
    <t>…brir á su tiempo dicha provincia, y acudir provincias lo siguiente:v Eritre Tafc medidas que S. M. la signación del ramo de g u erra; y S. M. , conforme con el adonde conviniese, previno entre otras cosas al mariscal de campo D. Jaime Carbó , comandante general de la primera di­ Reina Gobernadora ha mandado llevar á efecto por Real dictámen de V. S. y de la intervención general militar, visión, que se situase en Vich. Que efectivamente el conde de orden de* eáta fecha , con el fió ’defijar la” fuerza de infan­ ha venido en…</t>
  </si>
  <si>
    <t>Cardererá, Vicente</t>
  </si>
  <si>
    <t>Vicente Cardererá</t>
  </si>
  <si>
    <t>…Roca de T ogo - r e s ,d e la academia española; D. Basilio Sebastian Castellanos, Trompeta Real. anticuario de la biblioteca R e a l; D. M anuel Bretón de los Her­ Extensión de do á f a . reros, bibliotecario de la misma , y D. Vicente Cardererá , an­ ticuario y ¿Artista distinguido. PROVIDENCIAS JUDICIALES. MANO IZQUIERDA Y DERECHA. P OR el presente se cita y emplaza á todos los que se crean O ctav a................................................................................................. i d ern. con derecho á…</t>
  </si>
  <si>
    <t>Carear, Desde</t>
  </si>
  <si>
    <t>Desde Carear</t>
  </si>
  <si>
    <t>…puesta al p ie, y hecha pala­ camas. Uriz , O jer, el vicario de A yegui y el de S. Pedro de Estella. bra por palabra con el objeto de justificar la traducción en verso. Para tratar de ajuste se acudirá en Cádiz á su dueño Don Desde Carear con fecha 18 se confirma también el fusila­ De Tirteo esta es la única que h ay en castellano, y se ha hecho José M aría V in ie g ra , y en esta corte informarán en la calle de miento de G arcía, Carm ona, G uergué, Moreno y conde de N egri. con la misma detención y esmero que las de…</t>
  </si>
  <si>
    <t>Carfeonell</t>
  </si>
  <si>
    <t>ció n de V ilian uev a, siendo el rebultado caer en poder de las A petición del Sr. Carfeonell, se dió por reproducido un tro para ver si está conforme con la comisión* mismas el segundo de dicho cabecilla , cogiendo ademas varias proyecto de ley que quedó pendiente en la legislatura anterior El Sr. Ministro de G R A C I A Y .JU S T IC IA : En suma pa^ sobre ayuntam ientos. i rece…</t>
  </si>
  <si>
    <t>Caries, Blas</t>
  </si>
  <si>
    <t>Blas Caries</t>
  </si>
  <si>
    <t>02/12/1839</t>
  </si>
  <si>
    <t>Gaceta de Madrid n.º 1849</t>
  </si>
  <si>
    <t>…so que tene­ ñ a , la Rusia y la Prusia. Be-trata de materias d é l a m ayor en­ mos á nuestra vista , está consagrado á la memoria de los fee- tidad para todos los españoles , quienes verán coa gusto que nrme-itos patriotas D. Blas Caries, D. Mariano Manresa y don los derechos de la corona y de la nación han sido defendidos J se Campillo, individuos que fueron del escuadrón ligero de con el tesón y coa la dign id ad inseparables del verdadero c a ­ POESIAS M ih fia nacional , y de los carabineros de Hacienda D. José rác…</t>
  </si>
  <si>
    <t>Carl</t>
  </si>
  <si>
    <t>…da de toros que teni a acordada ra su o r g a n i za c i ón , de suerte que mas de un nuevo proyecto de Gr an d e es el ent us i as mo que rei na entre todos los buenos, t ant o del part i do de la R e i u a como del bando de D. Carl os, con el Exctno. a y unt a mi ent o como uno de los públicos festejos con una nueva ley, lo que se necesita es poner en ejecución lo y a l as noticias de un prouto acomodami ento. En el sembl ante de que h a n de celebrarse los úl t i mos resultados de la g u e r r a , á exi stente, mejor d i…</t>
  </si>
  <si>
    <t>Carlint, D. Juan</t>
  </si>
  <si>
    <t>D. Juan Carlint</t>
  </si>
  <si>
    <t>…litares, ora trasportan­ 407. Un tirador de campanilla bordado de sedas , d la se­ ñora Doña Antonia Carriaga. do tropas y municiones á los puntos donde se necesiten, Por 5342 billetes que se expendieron 572. Un cuadro, al Sr. D. Juan Carlint. ora oponiéndose con movimientos combinados de propósi­ en los dias que duró la exposición, á 519. Un cuadro, á la Excma. Sra. de Fernandez del Pino. to á los de los partidarios ó auxiliares de D. Garlos. dos reales ............................. • 6684 885. Una cartera de terciop…</t>
  </si>
  <si>
    <t>Carlitos</t>
  </si>
  <si>
    <t>…,400 .. 22 En el Músico por amor D. L ain, viendo á D. Cárlos, Mahon. 4,562 2 Pesos. Rs. Mrs. Mantas ó frezadas 1,931 7 hijo de su am igo, dice: Medias.............................................................. 11,462 5 Don Carlitos mió, Aceite de o liv o .. , v. . . 53,642 2 29 Muselinas 21,538 3 17 Aguardiente ;». .... 22,319 6 15 Oían 9,025 4 abrazadm e, apretujadm e, C e r v e z a .:.....,........ 10,560 1 oprim idm e, deshacedm e: C i d r a . . . . . . . . . . . . -----------. . . . . . . 557 4 Pañuelos 38,415…</t>
  </si>
  <si>
    <t>Carlo</t>
  </si>
  <si>
    <t>…sin interés, 5 nueve dieziseisavos al contado: 6 á 60 d. f. ó vol. á prima de £ por 100. B IB LIO G R A FIA . NORMA, Acciones del banco español de S. F ern a n d o , 00. en la que ejecutará el papel de Adalgisa la actriz Doña Carlo­ ta Yiiió. LA INJUSTICIA. CA M BIO S. Londres, á 90 dias, 58§ din. J C oruña, 1 á 1 i d. Paris, 16-6 id. Granada, í£ id. B U E N A -V IS T A . Se d ará principio con una brillante sin­ M álaga, par. PR O SPEC TO . fonía. En seguida se pondrá en escena la acreditada comedia en S a n ta n d…</t>
  </si>
  <si>
    <t>28/08/1839</t>
  </si>
  <si>
    <t>Gaceta de Madrid n.º 1749</t>
  </si>
  <si>
    <t>…á prima de §■ , T y 1 por 1 0 0 : 27 á 6 0 d. f. ó vol. antiguos con B IB L IO G R A F IA . sainete div ertido , que será desempeñado por las partes p rin c i­ cupones. pales de la compañía. ; P A N O R A M A de la corte de D. Carlo s, ó un viaje á las pro­ Inscripciones en el gran libro á 4 por i 0 0 , 0 0 . vincias al tiempo de las ejecuciones ea Estella por M a r o - t ít u l o s al portador del 4 p°r 1 0 0 , 2 4 , y 24 con cupo­ t o , por un faccioso arrepentido. Los billetes se despacharán en el saloncillo del pis…</t>
  </si>
  <si>
    <t>Carlos</t>
  </si>
  <si>
    <t>…s cos­ El comandante general de Cuenca da parte con fecha 24 de Gabinete: las ráfagas de esta gloria no eran indiferentes para tas de aquel pais el contrabando marítimo de arenas de guerra, porque por mar es por donde recibe D. Carlos socorros consi­ Abril de que hallándose los cabecillas Arévalo, Polo y Peinado el éxito que podría obtener en L opiaion pública la marcha derables. hostilizando al punto fortificado de Moya coa una fuerza de de los negocios. Pedí también auxilios de armas y municiones con la regu­ 20 infant…</t>
  </si>
  <si>
    <t>…ar no podia ser empleada con fruto en este dia ; sin em­ PARTE NO OFICIAL. sulta que todos los hombres influyentes que levantaron los p r i­ b argo, dos escuadrones siguieron de cerca los movimientos de meros el estandarte de D. Carlos, han muerto ó e-tan d este r­ la infantería. rados ó eu desgracia, mientras que bvs que mandan actualm en­ En esta clase de guerra se contrae por las tropas un mérito te el ejército , ó son forasteros en N a v a r r a , ó poseen allí m u y sin gular que no puede expresarse en un relato y q…</t>
  </si>
  <si>
    <t>…o como se recibió esta notic ia, los fuertes de la, día salir de aquí. viejas tradiciones del islamismo: la reforma no ha llegado ni plaza , corro también la encuadra que está cruzando á la vista ■A l separarse M ontenegro de D. Carlos ha d*dn orden in ­ aun al dintel de la puerta. De^de ahora prevemos uua reac­ del p u e rt o , h an celebrado la victoria con salvas de artillería, m ediatam ente para que n^die pueda en tr a r ea O ñ ate ni sa ir ción anti civilizadora, y si no estamos mal informados, ya p a ­ las cuales se…</t>
  </si>
  <si>
    <t>…que debía conducirles el siguiente día E L ASTROLOGO DE V A L L A D O L ID. pia de tao expresivo escrito, que tanto honor hace al que lo í Ager. produce, como á mí en poderte contestar; dando á V. S. las Los Sres. La torre (D. Carlos) y Guarnan (D. Antonio) se mas expresivas gracias, quedando enterado de cuanto V. S. tie­ Soria 50 de E n ero « Cuatro facciosos de infantería proce­ han encargado de los papeles respectivos en obsequio del inte­ ne la bondad de manifestar me. —Dios guarde á V. S. muchos dentes de Aragón ha…</t>
  </si>
  <si>
    <t>…emos tan en b re v e , como lo ansia mi Desde mi úíiitna son muy interesantes las noticias. El 19 Campillo, ha acordado la academia anunciar nuevo programa corazón, term inada la g u e r r a , consolidada la Constitución llegó D. Carlos á Villareal de Zumarraga. Maroto se presentó para la adjudicación de dos premios iguales de una medalla y afianzado el trono de mi Excelsa Hija la Reina Doña Isa­ poco después en la misma villa á la cabeza de una columna de oro, del valor de 320 rs. vn. cada una, al autor que mejor bastante…</t>
  </si>
  <si>
    <t>03/08/1839</t>
  </si>
  <si>
    <t>Gaceta de Madrid n.º 1723</t>
  </si>
  <si>
    <t>…zca. A fé que si se testos sucesos resulta que donde reinaba D. Carlos es hoy M aro­ En esta coyuntura debemos decir que el alm irante Roussin tratase de formar u a plan de campaña para derribar al m inis­ to el señor supremo. D. Carlos, para desembarazarse del yugo ha manifestado mucha im previsión: sus instrucciones se redu­ terio, la oposición no consentiría tan fácilmente que se cerraseií que le ab rum a, in trig a con todo su poder: y ¿en el momento cían á no perm itir bajo ningún pretesto que se moviese la flota las Cá…</t>
  </si>
  <si>
    <t>04/07/1839</t>
  </si>
  <si>
    <t>Gaceta de Madrid n.º 1692</t>
  </si>
  <si>
    <t>…tin a : h ay el principio constitucional y el principio carta que me han pedido d i r ija , y qi*e tengo el honor de remi­ amado pueblo. Esta circunstancia ha confirmado la justicia de absoluto; este último y representado por D. Carlos, Maroto y Me­ tir adjunta á Y. E. La carta está escrita por la diputación pro­ nuestra opinión p rim e ra, y hemos resuelto eu su vista en trar rin o , existe en e lla ; es fu e rte , se equilibra con vicisitudes d i­ vincial de Vizcaya , por el ayuntam iento y jun ta Real de Bil­ en la sen…</t>
  </si>
  <si>
    <t>…paña. No veo n in g un a razón para que no se á D. Cárlos, y se erigió en dictador. Desterró á todos los con­ del mismo modo, ¿habrían podido consentir la Francia y la In ­ h a y a adoptado esta propuesta. sejeros privadas de D. Carlos; nombró él mismo sus Ministros, glaterra en un Congreso en que debiesen ser apoyadas las pre­ (Después de extenderse sobre las reclamaciones de los indi y ha sido desde entonces Soberano de hecho en aquella parte tensiones de D. Cárlos al trono de España? Si estas pretensiones viduos de la…</t>
  </si>
  <si>
    <t>…s acreedores de España. También Goiri. Zabala, que es uno de los primeros que enarbolaron el buena opinión de los ingleses, y cuánto sienten él ver las equi­ ha dicho el noble vizconde de Melbourne, que aunque ambos pendón de D. Carlos, puede considerarse como en desgracia: vocadas ideas que se formen de ellos en Inglaterra; no he po­ partidos han cometido excesos contra la humanidad , los carlis­ cuando los desgraciados asesinatos cometidos en Estella, hizo di­ dido resistir al deseo de aprovechar la única oportunidad qu…</t>
  </si>
  <si>
    <t>…3 7 //....N entre los que se baila un magnífico carruaje de la uertenencia L o n g itu d .... 2 ° . . . 2 9 /....37//..,.E d e C á d i z . N O C I O N E S sobre la necesidad de o rganizar las dip utacio ­ del tx - in fa n te D. Carlos, Me faltan palabras con que expresar nes provinciales, los a y u n ta m ie n to s y la Milicia nacio­ la alegría de todo el pais y la cordialidad con que hemos sido nal según el espíritu de la C o nstitu ción de la m o n a r q u ía : u n recibidos en todas partes, á lo que ha contribuido en…</t>
  </si>
  <si>
    <t>…atención los dos que á continuación se expresan , uno de Ca­ m uy pronto á M a d rid , en donde tranquilo y libre de las an­ cas ganancias á los capitalistas que emplean sus caudales en la brera, y otro de Arias Teijeiro para D. Carlos* gustias que hoy afligen á su Real y piadoso corazón, pueda industria , es una fuente inapreciable de inmensos bienes al pú­ De ellos se deduce por sü simple lectura y por la forma en obrar con entera libertad y como Soberano. En el ínterin r u e - blico; porque de este modo no solo tienen oc…</t>
  </si>
  <si>
    <t>…les profesores , y no omitiendo nioguna Contiene; Manejos del barón de los Valles, agente del In ­ D oña María Purificación Ariñó. ....................... 4 diligencia para que surtan el mejor resultado posible. El p u ­ fante D. Carlos, venido de Portugal con el objeto de sublevar Doña Elisa A riñó....................................................................... A blico ha juzgado ya el éxito de sus esfuerzos, habiendo concur­ los cuerpos de voluntarios realistas. N . J. . ................................... 10 rido e…</t>
  </si>
  <si>
    <t>…ede haber revolución que al cabo de tres pe­ tiempos de Carlos v. nexos entre s i , pero que de ningún modo eran el objeto de la ríodos no deje un triste y lamentable cuadro de la división de interpelación. El reverendo obispo Carlos M auricio de Taillerand, cono­ opiniones que la divide. ¿ Y e*tan en ese caso nuestros herma­ cido con el nombre de Príncipe de Benevento, obtuvo c’e B o­ ¿ El Sr. Arguelles se propone probar según su discurso de h oy nos de A m érica? Ellos están en el primer período de su revo­ ma la dis…</t>
  </si>
  <si>
    <t>…rtador del 5 por 100, 20|- con cupones al con­ tos de rebelión en Cataluña. en los demas puntos siguientes: A licante, C arratalá: Alroerí. , tad o: 20£ , trece dieziseisavos, once dieziseisavos, y 2 0 f á v. Viaje del infante D. Carlos á Portugal. Santamaría: A n dujar, Belda: A v ila , Aguado: Badajoz, viuda f. ó vol. con cupones: 2 i , 2 0 |, 21^, £ , 2 0 | y 20 siete die­ Alborotos en M adrid y Avila. de Carrillo: Barbastro, Lafita: Burgos, A roaiz: Cáceres, Se­ ziseisavos á v. f. ó vol. á prima de f , £ y £ por 100 con…</t>
  </si>
  <si>
    <t>08/07/1839</t>
  </si>
  <si>
    <t>Gaceta de Madrid n.º 1696</t>
  </si>
  <si>
    <t>…rriente, hasta que el en lugar llamado Correspondencia reservada entre el Rey D . Fernando vir esta catarata forma un medio círculo, y algo seme­ L o s E s c a l o n e s N a t u r a l e s se precipita en una suce­ y el Infante D. Carlos. jante tá una herradura, no puede tener menos de 800 sión de cascadas de 10 ó 12 pies cada una. Comunicación notable del ex-conde de Españ a al Gobierno. varas en su concavidad. Según las mas exactas ob­ Es t as cascadas ó escalones se han formado gr a­ Escrito del obispo de L e o n .á S» M .…</t>
  </si>
  <si>
    <t>…paz tan deseada de todos los es- • guir coa respecto á España , reconociendo que valia infinita­ te, y nuestras bayonetas se veian relucir mas allá de la cumbre pañoles. {EL M ensagero.) mente mas que sucumbiese la causa de D. Carlos por las divi snones y las intrigas del partido absolutista , que bajo las ba del monte, debiendo confesar que mis 50 hombres se han por­ yonetas de un ejército francés. Mr. Thiers se ha penetrado d tado muy bien, sosteniendo bastante rato el fuego á menos d&lt; medio tiro de pistola , y esto…</t>
  </si>
  <si>
    <t>…a sido en España; á los milita - CO NGRESO DE D IP U T A D O S. de aquellas p ro vin cias; ese grito vino cuando llegó al ejército *es (no se oyó) 9 y á los abogados; porque, señores, á pesar de lo que se llamaba la corte de D. Carlos, que quiso hacer un s i­ pertenecer á esa profesión, 110 puedo menos de decir que en ella PRESIDENCIA DEL SEÑOR CALATRAVA. mulacro de Gobierno, cuando se establecieron trib u n a le s, se l a y muchos que no merecían ejercerla. Sesión d el dia 7 d e O ctubre, nombraron los individuos que ha…</t>
  </si>
  <si>
    <t>…arlos y el trono de Isabel ii están del p u n d o n o r , de la d i g n id a d y de la h o n r a d e z , para que no penderá esta discusión h a sta que el Gobierno se p o n g a de t a n e n k -z a d a s, que no puede ser mas. D. Carlos tiene muchos m arch a ra la discusión á ciegas. S i no se h u b ie ra leva n tad o , se le acuerdo. a m ig o s , no porque es D. C a rlo s , no por la ley sá lica, sino por­ h u b ie ra a c rim in a d o porque dejaba m a r c h a r sin g u i a la d isc u ­ El Sr. O L O Z A G A : S eria m u y…</t>
  </si>
  <si>
    <t>…eglo á la letra Abril y Peña, vecino que fue de esta corte, á fia de que den­ Contiene los artículos siguientes: y al espíritu de sus estatutos. tro de el se presenten á hacer sns reclamaciones, conforme á Proclama del infante D. Carlos para alarmar el país. derecho , por el juzgado de primera instancia de la misma, que Marcha del ejército de observación para Burgos. despacha dicho Señor y escribanía de número de D. Santiago Castilla Armamento de voluntarios realistas en varios pueblos de la Vieja limítrofes de Rioja. TRATA…</t>
  </si>
  <si>
    <t>…fuga del No son otros los ardientes y sinceros votos que con la mas Se ha firmado el dia 25 de este mes un tratado de amistad, ierna efusión de su alma tienen el honor de expresar estos fie- comercio mal aconsejado ex luíante D. Carlos; ellos consolidarán los acertados decretos de Y. M. y vincularán la unidad de senti­ es y reconocidos empleados que suplican á Y. M. se digne oír­ jas por el ypresidente navegación entre la Francia y la República de Te­ del Consejo de Ministros y el general H en- mientos de todos los español…</t>
  </si>
  <si>
    <t>…el pueblo Gobiernos anteriores , las Cortes anteriores y los Reyes que h u ­ partidos políticos quisieran aniquilarse de todo punto si español en m ateria de c ré d ito , dijo que la comisión desde que bo en España desde el Sr. Carlos m , se han ocupado de este pudieran. Esta diferencia consiste en que solo en Ingla­ se le presentó esta ley , la juzgó como necesaria para empezar negocio, y no han dejado de dar al crédito público , tal cual se terra es antigua la discusión, mieutras que ahora nace á fun dar el c réd ito ,…</t>
  </si>
  <si>
    <t>…M á l á g á , i b. L a iglesia de Á fócha con su im agén y banderas. cuatro de vuestros mas fieles y mejores generales del ejé rc ito S a n ta n d e r, í| d. E l coró dé cápuchinós^de ífóiná con toda su cfornuriídad.! * Real. D. Carlos, aprobando aquellos asesinatos con un.R eal de­ A lic a n te , i d. S a n t i a g o , 2 id. E u á ábierfo todos losMíás ^esdé’ fas diez dé íá^ m añana has­ creto, ha sancionado sus m andatos, que Maroto puso en eje ­ B arcelona, á ps. f s . , pár. Sevilla , ^ á f b. ta 1ás ciñeo ¡de lá tard e…</t>
  </si>
  <si>
    <t>…asas de banco de Paris que han entrado en d i­ Bokhara. El ejército ingles debía continuar su marcha sobra del 30 se halla un documento bastante curioso: es una orden de cha operación: Caboul, adonde debia llegar en 22 dias. D. Carlos dirigida á todas las autoridades civiles y militares MM. Hottinger y compañía: Delessert y cornp.: Baque- Esta feliz noticia ha sido recibida en Pichavor con gran re­ de las tres provincias. La orden es del tenor siguiente: nault y comp.: André y Cottier: Juan Cárlos Davilliers y com­ gocijo…</t>
  </si>
  <si>
    <t>…osé Lean de la Lastra , D. Marcelino Collado, menos de responder á ella de un modo seguro sino velando cons­ tre estas niñas hay 17 que estudian el catecismo de F l e u r y , y i). R uno González Pedroso , D. M ariano Lorente, D. Carlos tantemente eu cuanto interese al bienestar de la c iu d a d , y de­ han llegado unas hasta acabar la primera p a r t e , y las otras del Boseh y R o m a n a , D . Ju a n Diego M a rtín e z, D. Felipe dicando toda nuestra atención en realizarlo. hasta la lección 11 inclusive. Ruiz C ach u p ín…</t>
  </si>
  <si>
    <t>…onsolidados, 00. plaza á los que se crean con derecho á un censo de 600 duca­ se la señalan 2 rs. diarios , sin perjuicio de la retribución men­ Deuda negociable de 5 por 100 á p a p e l, 00. dos de p rin cip al, impuesto por D. Carlos V itoria y Doña sual que deben pagar las que no sean pobres, aunque de estas Idem sin interés, 5^ al contado: 5~ á 58 d. f. o vol.: 4 '&lt; ■ M anuela Coronel,- su m uger, hacia el año de 1 6 7 0 , sobre una se enseñará cierto número que marcará la comisión local y el 6 0 d. f. ó vol. nuevas. a…</t>
  </si>
  <si>
    <t>…MERCIO. Son cinco cuadernos en 8.° con 27 pliegos de lectura. Se No sé si afirme que tengo vende en las librerías de Cruz, frente á las Covachuelas, y de envidia.... BOLSA DE M ADRID. Sanz, calle de Carretas, á 10 rs. El conde Carlos, uno de los amantes de Vitoria, le en ­ Cotización del dia 12 á las tres de la tarde. vía un billete cuyo estilo, por ser sencillo, desagrada á la duquesa, lo que proporciona á Tirso una sátira contra el EFECTOS PÚBLICOS. LIBRO DE LOS NIÑOS. culteranismo que pone en boca de Vitoria. Por D. F…</t>
  </si>
  <si>
    <t>…dis­ licia. d ez, á D. Luis Almoina y Pardo; y para la de Calamocha, tribución de una rogativa de 40 dias, aprobada por el arzobis­ Estas proposiciones concebidas con la mira de conciliar las vacante también por renuncia de D. Carlos R ivera, á D. Félix po, la cual tiene por objeto rogar á Dios* por medio de la in­ opiniones y de llegar á una solución pacífica , no han reunido Rubio. tercesión de la Santa V irgen, la exaltación de la santa Iglesia, el voto unánime del Consejo; pues lejos de esto, la falta de con­ la con…</t>
  </si>
  <si>
    <t>CARLOS</t>
  </si>
  <si>
    <t>…n: ¿qué es lo que imitan la oda, el epigra­ m a , la elegía, el poema didáctico? Responderemos que todo . ¿Q ué es la oda, désele la forma que se quiera ó el nombre nuevas. Acciones del banco español de S. F ern an do, 00. D. CARLOS que se adopte? La expresión de un seulirniento, ya v iv o , im­ CAMBIOS. Y LA petuoso y movido por un objeto, com o era entre los antiguos; L on d res, á 9 0 d ia s , 58§ C o r u ñ a , lf&gt; d. ya causado por rellexiones filosóficas y morales; ya ardiente y desenfrenado; ya inas dulce y tranqu…</t>
  </si>
  <si>
    <t>…armadas y aterradas Times. Morning-Chroiiiéíefc «Breve será la venturosa historia por la mucha gente que se manda arrestar y expatriar de or­ Morning-herald. Galignani’s Messenger. de mi favor, que es breve la alegría den de D. Carlos ó Maroto, no solo de los llamados ojalateros, Court-journal. Satirist. que tiene algún lugar en mi memoria. sino también de personas y familias enteras, nativas. A Bayo­ Cuando del claro cielo se desvia na llegan en gran número, y entre ellos el obispo de León y Dichos periódicos se llevan…</t>
  </si>
  <si>
    <t>…or mo vi mi en t os efectuados á propósito Iós de de estos resultados á consecuencia de un examen demasi ado r á - cea prepar ati vos para derri bar una parte del declive de la p a ­ los part i dari os ó a u x i l i a re s de D. Carlos. ? #Ho, y del aprecio de ciertos gastos que se consi deraban como red con el objeto de a b r i r ventanas para que penetre la luz en Se añ ade que ve ndr á á la frontera un ejército de 5 9 3 h o m ­ necesarios; mas á vista de los auténti cos testimonios uni dos á la las cocinas que van á co…</t>
  </si>
  <si>
    <t>…ión de f ueros, se ha padecido la mentos para anonadar los despojos de la facción por un golpe J u lio d e 1839. equivocación de poner al Sr. G utiérrez d e Ceballos en vez del de maoo. Sr. Quinto. La deserción continúa , y á D. Carlos le acompañan en sus Estado demostrativo de las fincas que la junta ha adjudicado incursiones V illare al, Valdespina y el coronel Montenegro; en dicho mes á los mejores postores, según los resultados de pues de todos los demas ha sido abandonado. Se dice que está los remates , comprendiéndose…</t>
  </si>
  <si>
    <t>…u d a perjuicios p ara los iutereses del Estado. este m in isterio por haber excedido á las esperanzas que todos q u e h a y a presentado al Senado á fin de d ar á conocer que p er­ E n el año de 1 77 8 eu tiempo del Sr. R e y D. Carlos ii i se ten íam o s, y solamente me atrevo á hacer un a in d ic a c ió n al S e . siste en su tenor y co t ra ta de m o d ificarlos, ó que introduzca celebró un tratado con la R e in a D oña M a r ía por el q u e se ñor M in is tr o del r a m o , qu e creo que no ofenderá á S. S. Esta las var…</t>
  </si>
  <si>
    <t>…ire, sou entera­ Bilbao 9 de Marzo . Maroto con su gente marchó para mente románticos , en el seutido que hemos dado á esta pa­ Navarra. El 5 se imprimió en D urango una alocución del labra. mismo á sus titulados voluntarios. D. Carlos seguia en Tolosa. p b dia 5 de Marzo de este año llegó á Cádiz procedente de Poco nos costará probar lo mismo de los de Ham let, Lear, A Villareal le ha nombrado su primer ayudante de cam po; á Manila la famosa fragata española nombrada Colon , de Macbeth y otros muchos de Shakespeare. Este…</t>
  </si>
  <si>
    <t>…tración , perspicacia y práctica que deben tener los Sres. D ip u ­ tinuación del que declara la inviolabilidad de los Diputados no tados que componen la comisión, se les h ay a podido ocultar La ruptura de D. Sebastian con D. Carlos ha producido tiene mas objeto que asegurar esa misma inviolabilidad y po­ que el decreto de 22 de Marzo de 1822 , cu y a aplicación recla­ « n a viva sensación. Se asegura que aquel Principe ha escrito al nerla á cubierto con la égida constitucional de los ataques que m a n , la tenia solo en…</t>
  </si>
  <si>
    <t>…o evitar el gefe militar de aquel distrito. En esa conspira­ se han tomado las medidas necesarias, á fin de que 110 suceda á parar en que solo dicieodo que no. podía juzgarse la cuestión, ción se ha proclamado al Pretendiente D. Carlos, y la tropa lo que teme el Sr. Lujan. El Sr. Ministro de la Guerra dice la prejuzgábamos, y ese no ha sido nunca el ánimo de la co­ que estaba de guarn ició n , faltando á sus deberes, asesinó á su que se han tomado las providencias debidas, yo estoy satisfe­ m isió n , ni jamas podía serlo…</t>
  </si>
  <si>
    <t>…s grados á diferentes gustos y calidades, y en que el uso los destina para todos los oficiales. John H ay ha respondido que sí. los diferentes y variados objetos medicinales y artísticos en que El lord ha propuesto que acaso D. Carlos seria un obstácu­ se em plean: esto mismo sucede con los aceites y grasas, que si En La Prensa se lee lo que sigue: lo á Ir. pacificación ; pero ha contestado Maroto que por ese la­ en algún tiempo solo se extraían de la aceituna , hoy se sacan He aqui un ejemplo de firmeza constitucional q…</t>
  </si>
  <si>
    <t>…L. estos últimos dias el dichoso término de la mas cruel que el de su acrisolada lealtad. Yalladolid 15 de Setiembre guerra civil venciendo la obstinación del Pretendiente de 1859 —Señora.=A L. R. P. de Y. M —Jacinto Manrique, D. Carlos, y obligándole á ocultar su ignominia en pais presidente.=Esteban Sayró, intendente.rrManue! Martin Lozar, extrangero, es imposible dejar de ver la mano de la d i­ diputado.—Joié Antonio González , diputado.zrPelayo Cabeza de CORTES. vina Providencia que apiadada de los padecimientos de tari…</t>
  </si>
  <si>
    <t>…O tteló , del maestro R ossini, por los haya lugar. con imparcialidad y decoro. Se trascriben en ella con toda le­ Sres. Unanue y C alvet; con decoración y traje. ' .s ^ galidad diferentes escritos á favor de los derechos de D. Carlos, 6 .p Cavatina en la opera Roberto el Diablo , del máestro y se responde con moderación á las razones en que se fundan Mayerbeer , por la Sra. Villó y coristas ; con decoración y sus autores. Una cuestión curiosa y trascendental tratada con trajes* - VACANTE. dignidad y buena fe, no puede…</t>
  </si>
  <si>
    <t>…con la original que por opiniones exageradas, y otros por contrarios á la Reina; tilla, manifestó que yacía paralizado desde el reinado del se­ dirigen á S. M. ¿ por qué pues hablamos cuando toleramos estos excesos , hijos ñor D. Carlos n i, á pesar de haberse gastado en la construcción El Sr. SA L V A T O empieza manifestando que el reglamento de una inalá legislación? Se ha creado, señores , una legislación de 22 leguas de canal 52 años y 74 millones de reales, cuando previene si las peticiones sou ó no dignas de tomarse…</t>
  </si>
  <si>
    <t>…veniente á su cumplimiento.=Está rubricado Jo despuésmanifestarse con Espartero, se debe atribuir el movimiento que de la Real mano.=En Palacio á 19 de Agosto de 1839.= acabaLosdepartidarios entre los carlistas. exclusivos de D. Carlos, temiendo que M a­ da en El quinto batallón de Navarra estaba aun esta noche pasa­ A D. Evaristo Perez de Castro, Presidente del consejo de roto se aprovechase de las pretensiones de este Príncipe en su Vera, cuyo gobernador se habia fugado. Ministros. arreglo general, han querido apresurar l…</t>
  </si>
  <si>
    <t>…n i d a s ó a p r e s a d a s eo v i r t u d de Y a sabrán V Y . la sublevación o cu rrid a con a lg u n o s b a ta ­ o r den t x p e d i d a c o n f o r m e á lo di s p ue s t o en este b i l í , a d j u d i c a n ­ llones de D. Carlos. A n t e a y e r por la tarde D. J u a n B au tista El dulce lamentar d o los b u q u e s y c u a n t o s escl avos eu ellos se e n c o n t r a r e n del A g u i r r e , gefe de los sublevados del 5.° de N a v a r r a , y D. N. como Ui isaio modo y en c o n f o r m i d a d á las l eyes y r e…</t>
  </si>
  <si>
    <t>no tenía la comisión razones suficientes para v ariar de opinión trícula de doctores. 2.° Los catedráticos no doctores que en V iaje del infante D. Carlos á Portugal , y corresponden­ proponiendo la exclusión de unos votos que en su dictamen a n ­ el dia forman parte del cláustro de profesores de la u n iv e r si­ cia secreta con su augusto hermano y Rey el Sr. D. Fernan­ terior dijo que eran válidos. dad de M adrid. 5.° Los doctores sueltos…</t>
  </si>
  <si>
    <t>…la corte de luto por quince dias por la de ilegales las juntas que han tenido por objeto tratar de re­ que conste. muerte de la princesa de W urtemberg , hija de su augusto alia­ primir á los traidores y rebeldes que sirven á D. Carlos, no El Sr. H E R O S : Aunque he pedido la palabra no es para do el Rey de los franceses. rectificar ningún hecho de manera alguna. El Sr. duque de Se anunció que se repartirían los ejemplares que el Sr. M i­ se ha hecho mención de esta junta ilegal ? Bailen ha anunciadouna opinión suya....…</t>
  </si>
  <si>
    <t>…ncombe no han sido aprobadas. adhesión á D. Juan Echeverría, y aguardan sus órdenes en varra y de las Provincias.” los puntos que ocupan. El Rey ha rechazado constantemente las tentativas que se La entrevista de D. Ju an con D. Carlos ha durado dos han hecho de un modo indirecto para adoptar tan horrible pro­ T orneo d e E glinton. (Extracto del M orning-H erald.) horas y media. El resultado de dicha audiencia ha sido vol­ yecto , porque conocía sus funestas consecuencias, la prim era Sabemos que mas de 600 personas de l…</t>
  </si>
  <si>
    <t>…una serie de documentos tiguo Soberano, que pasar bajo la dominación del Rey de l l a n - satisfacción de asegurar á V. E. que han llegado sin novedad explicativos de la guerra que ha estallado en Oriente. Se hace nóver. El duque Carlos jamas ha renunciado á sus derechos: á los llanos de Alesege ó de D. J u a n M em bielle, una legua de mención en estos papeles de un agente ruso c u y a conducta pa­ si muriese su hermano, se encontraría la Dieta en una posición esta población, á la orden de D. J u a n D iaz A n a y a , delin…</t>
  </si>
  <si>
    <t>…illante del teatro nacional ruso. pudiese asistir al teatro. uuo tentado á creer fue,e el premio de los .sacrificios pecunia­ En la primera salida que hizo Dm itrewsky al teatro después rios hechos por la Holanda en favor de D. Carlos, si fuese da­ Bajo la dirección de Ottou F u r s t, sucesor de I lu n s t , se r e ­ de su vuelta de Paris le llamó la Emperatriz á su palco, y en do creer que la sabiduría de la Frusia pospusiese los intereses presentaron comedias y cperas alemanas. Los discípulos de este presencia del a…</t>
  </si>
  <si>
    <t>…entonces era Ministro. Este señor nos dijo que se habia he­ Este a c to , señores, y sus consecuencias serán im p ortan tísi- señores: aqui se han cambiado las ideas: aqui se ha usado hasta cho aili un empréstito en favor de D. Carlos: esto es escanda-' simas para la nación esp año la, cambiará su faz política , y ob­ de coacción, hasta de terror, para que no se diga la verdad. loso, señores; yo miro extraordinariamente arraigado el carlis­ tenerse medidas legislativas hasta cierto punto mas meditadas, En este mismo siti…</t>
  </si>
  <si>
    <t>…dar comisiones' | ¿ig n o ra la comisión que se remitían auxilios de armas y m u ­ | no gobierne como debe. Todos los que ha a hablado han equivo— dictar medidas que por ahora parecen ilegales, y que es necesarí niciones para D. Carlos ? | cado la cuestión, pues ningunas razones podrán h a c e r l e variar, ver justificadas. Yo no puedo menos de extrañar la manera con qu Algún individuo de la comisión sabe la. manera cómo el i no han pedido entrar su mi cerebro. se eligen los empleados de esas colonias; allí va quien quie…</t>
  </si>
  <si>
    <t>…cuyo resultado plicándole que si me equivoco rectifique, que ya no existen re­ esta idea se ha vertido con consentimiento ni á sabiendas del es destruir la fuerza ciudadana? ¿qué quiere decir, señores cursos exlrangeros hacia D. Carlos; creo que ha dicho, si no lo ministerio. ese proyecto de ayuntamientos, por medio del cual se destruye ha dicho , estamos fuera del paso. Que la única ley para todos es la Constitución de 1837, y un sentimiento de concepción de muchos siglos? Pues qué, ¿tan El Sr. L U J A N : El Sr. conde de…</t>
  </si>
  <si>
    <t>…. Ya , Se­ años que una parte de la Cámara pedia un ejército para inter­ genio Jiménez.—Manuel Yerro de Olavarria.zzFrancisco López ñora , serán los españoles todos vuestros hijos, y os amarán y venir entre la Reina Cristina y D. Carlos, y obtener por me­ Talaya.—Por acuerdo de la M. N. y M. L. ciudad de Burgos, bendecirán para siempre, porque vuestros desvelos van siempre dio de las bayonetas lo que se ha obtenido solamente por la Francisco M ariscal, secretario. dirigidos á la gloria y felicidad de ellos. Ya el ronco estam…</t>
  </si>
  <si>
    <t>…re­ IL bló también el Sr. conde ds las Navas de ios recursos e x ­ bia deuda ninguna para haber de pagarse á buena cuenta. chos de que gozan , aumentó el estímulo de defender estos de­ tranjeros diciendo si continuaban ó no á D. Carlos, S. S. se El cuarto cargo es el de la imprenta. El Gobierno ha toma­ rechos, y hubo de aumentarse el número de negocios, en tér­ refirió á cierto número de naves de una Potencia hasta ahora do una disposición que ha atacado esa ley de im p ren ta; y pres­ minos que la autoridad juzgó indisp…</t>
  </si>
  <si>
    <t>…ar. S. 8.? Yo quisiera que S. S. me dijese si cuando la juró hizo S. S. continuó manifestando que se decia que se trataba de alguna reserva , ó si la juró completamente. Esta es una expre­ ranquilizar á los españoles, haciendo D. Carlos su renuncia; PROVIDENCIAS JUDICIALES. sión para mí escandalosa. jue esto no puede tranquilizarnos, porque prescindiendo deque El Sr. P R E S ID E N T E : Ruego á Y. S. se contraiga á des­ íl que nada tiene nada puede renunciar , se podría decir que Supremo tribunal de justicia . 10 era váli…</t>
  </si>
  <si>
    <t>…s á la Francia, sea en Bélgica ó en España, por las relacio­ mejora de un año para otro; de suerte que en poco tiempo los tación en la población, mas nadie duda de la fuerza de las le­ nes bien conocidas del Rey Guillermo con D. Carlos, y que el Go­ productos serán considerables, y aun puede añadirse inmensos. yes en caso necesario. ( Standard .) bierno americano tome una aptitud hostil contra la Inglaterra, Las montañas que rodean á S. Antonio abundan en mine­ obligándose el Czar á reembolsar á los dos Gobiernos de ios g…</t>
  </si>
  <si>
    <t>…á oir curso inserto en la Gaceta de 6 ó 7 de Diciembre de 1856: alti mirab'e y digna de la mayor gratitud. el Congreso aun á costa de debilitar su mismo argumento. verá como lo que dijo fue únicamente que el Gobierno francés D. Carlos trataba de escaparse disfrazado, y las autorida­ "Esta Constitución dos veces promulgada y otras tantas se manifestaba dispuesto á cumplir aquel tratado. des francesas lo impidieron. Pesa demasiado tanta gente en destruida.” Concluyo pues por ahora repitiendo al Sr. Ministro de Es­ F rancia…</t>
  </si>
  <si>
    <t>28/01/1839</t>
  </si>
  <si>
    <t>Gaceta de Madrid n.º 1535</t>
  </si>
  <si>
    <t>…cuando el cabildo de la y de dejar en un absoluto abandono a los huérfanos de uno y m itente, inserta en el acta consistorial. catedral , que suplía á sus expensas todos los años el déficit,está " A l venerable hermano obispo Carlos príncipe Odescalchi. otro sexo, hijos de padres necesitados, y á los viejos inhábiles imposibilitado de continuar supliéndolo: cuando la junta de para ganar su sustento, será lo mismo que entregar á la per­ &gt;»Venerable hermano: salud y bendición apostólica. beneficencia, no obstante qne ha…</t>
  </si>
  <si>
    <t>…alizado los presagios del Excmo. a y u n t a ­ As i m i s mo h a veni do en nombr ar S. M . para la protnoto- mi ento de P u e b l a , y uni endo nuestros votos á los de la j un ta Nos escriben lo que sigue del campament o de D. Carlos: r í a fiscal dtl j uz g a do de íi i escas, vacant e por re nunci a del elec­ const i tuci onal de cquel departamento. Tolosa i 9 de J u l i o . “ Las noticias recibidas ay er de las pro­ to D. José M a r i a n o M a g d a l e n a , á D. Francisco Losada que la vi nci as son de la mas al ta…</t>
  </si>
  <si>
    <t>…otras épocas que las señaladas , se procederá de la misma político de la provincia, donde reunido el ayuntamiento puesto Art. 54- Cada batallón y escuadrón tendrá su bandera ó manera prevenida en los artículos anteriores. por D. Carlos juró en roanos de aquel fidelidad y obediencia estandarte. Art. 54* El oficial , sargento ó cabo que se ausentare y per­ á S. M. la Reina Doña Labe! ti , á la augusta Reina Goberna­ Art. 55. En las poblaciones grandes donde hubiere dos o maneciere mas de un año fuera de su pueblo , cesará en…</t>
  </si>
  <si>
    <t>…ud alegando que, según sus principios , no podia intere­ se en la necesidad de recurrir á una suscripción voluntaria. El sarse en semejantes empresas. Pero al mismo tiempo se supo en Parece que D. Miguel ha pegado un petardo á D. Carlos. ilustrado , el venerable obispo de esta diócesis habia ya m ani­ Colonia que el mismo Gobierno habia tomado un número con­ Los partidarios de estos dos Príncipes, es decir , del absolutis­ festado al Ser Supremo nuestro reconocimiento por tan señala­ siderable de acciones del camino de hierr…</t>
  </si>
  <si>
    <t>…isterio presente, no le queda oiaí conozco que ese Gabinete se esta portando con la España como 110 solo tesoro en que cobren todos. j remedio que retirarse ó disolver las Cortes. N o se habrán der­ nunca. Aqui se ha dicho que D. Carlos ha entrado en Francia Se ha hablado aqui también de los deportados; pero ¿en qué ramado tantos raudales de saogre para que después de los añoí con 140 hombres. Si esta nación estuviera indiferente, y h u ­ época lo fueron? ¿quién los deportó? N o fue ea verdad este que hemos pasado, de despot…</t>
  </si>
  <si>
    <t>Carlos, D.</t>
  </si>
  <si>
    <t>D. Carlos</t>
  </si>
  <si>
    <t>…gundo, tienen los alcaldes delegación del Gobierno en otros que la cornision ha estado en su lu g a r diciendo lo que prescri­ V uelta á leer Va enm ienda, y preguntándose al Congreso si asuntos. Tam bién siempre fue asi. El Sr. D. Carlos t t i , Monarca be el a r t íc u lo ; y añade S. S. que esas pasiones que pueden e n ­ la toma en consideración , resolvió afirm ativam ente. siempre respetable para nosotros, hablando de sí mismo en una cenderse con lo manifestado por el Sr. R u iz del A r b o l, mas bien Se leyó otra a…</t>
  </si>
  <si>
    <t>…quista subiun á 26 por 100 con nínsula hasta el año de 1787, es decir, el anterior al fa­ El Sr. Cabanillas d ijo , que al haber oid o en la últi­ las exacciones que se hacían del 5 .° de la plata y o ro , y llecim iento del Sr. D. Carlos 1 1 1 , en que se mandó formar ma sesión que las ciencias habían progresado durante el por lo que se pagaba por fu n d ición , ensaye y m arca, por una academia ó escuela de minas en Alm adén, sin que reinado del Sr. D. Carlos n i, tom ó la palabra para m ani­ señoreaje y amonedación. an…</t>
  </si>
  <si>
    <t>crvn r] cnartel Real: al llegar allí D. Carlos entra precipitare vor de! Sr. D. Carlos M aría Isidro de Borbon cuando me pro­ i CAMBIOS. en e( cuarto de la princesa y le dice: ¡ A cabalío\\\ á caballo"}. n u n c ié ; pero n in g u n o unas coovencido por la experiencia de L on dres, á 90 d ía s , 58$. C o r u ñ a , 1 | á 2 d. si no , vareos á ser entregados á los Cristi nos…</t>
  </si>
  <si>
    <t>…ha tenido á bien S. M. tro s del d ia 7 del co rriente, que p rin c ip ia : "E l 5 de Enero” , El Sr. O N D O V ILL A contestó á la prim era duda que no declarar que previniendo el art. 206 de la ley de 3 de y concluye: "d el Sr. D. Carlos” , denunciado por el promotor era cuestión del momento la responsabilidad de la persona que Mayo de 1830, que en la aplicación y distribución de los fiscal D. P atricio Jo aq u ín de A v ila como subversivo , la ley ejercía la tutela de S. M ., pues antes de tratarse de la presenta</t>
  </si>
  <si>
    <t>…a r n i c i ó n , compuesta de un destacamento de a r ­ lado N osotros de 7 del a c t u a l , núm. 2 8 9 , p rin c ip ia : " E l 5 de Él Sr. A R T E T A : Si el Sr. Presidente'h ubiese estado en el E n ero ,” y concluye "el Sr. D. Carlos ,” se procedió á celebrar interior de los D iputados que han firmado la proposición , h u ­ tille r ía d e m a rin a y de la colum na m óvil de Castelloif, á d e ­ el sorteo de los nueve jueces de hecho que con arreglo á la ley biera excusado hacernos un a historia pro lija del asunto de…</t>
  </si>
  <si>
    <t>…n presentado estos 10 ú 11 meses se han invertido justa y legalmente? en contra del dictamen , estaba en el caso de renunciar la pala­ Satisfechos en extremo hemos quedado de la ejecución de Una de las leyes recopiladas del Sr. D. Carlos n i , que sien­ la Ipermestra , pues parece imposible que con solos seis dias bra ; pero que no obstante haria algunas ligeras observaciones to no tener á m an o , dice expresamente que "al preso dentro del sobré el particular. Las hizo en efecto S. S. sobre el documento que han tenido l…</t>
  </si>
  <si>
    <t>…de poder trabajando actualmente en Por convenio expreso y terminante celebrado en juicio de Precios de suscripcioo : en Madrid 4 rs. al mes y 36 por un varios condados del Reino Unido de la Gran Bretaña* conciliación ante el Sr. D. Carlos M artin del Romeral, alcal­ año; y en las provincias 24 rs. por seis meses, franco de porte. de constitucional de esta heroica villa, se saca á pública subas­ Hay colecciones desde el principio de la segunda série. Inglaterra. ta una casa sita en esta corte, en la Corredera alta de San P…</t>
  </si>
  <si>
    <t>…ziseisavos y 51 á p O R providencia dictada por el Sr. D. Juan José Rodríguez por D. Juan Antonio Alvarez de Quiudos y Raen*. Un tomo v. f. ó rol. y firme con cupones: 3 2 , 5 l £ , 35 , 51^, 551» 31 en 4.0 con el retrato del Sr. D. Carlos iv, edición de 1804, * ^4 y 52¿ á v. f. ó vol. á prima de 1, i , f y \ por lüO con cu­ te, ante Valdeosera , juez togado de primera instancia de esta cor­ reales en rústica y 50 en pasta común. pones. el escribano de S. M., del colegio y juzgado D. Manuel En esta obra, que se halla dividi…</t>
  </si>
  <si>
    <t>Carlos, Rey D.</t>
  </si>
  <si>
    <t>Rey D. Carlos</t>
  </si>
  <si>
    <t>…, Loja , Valencia , Pontevedra , San R aque, Sau Sebastian, T eruel, Zamora y Motilla del Palancar, GALERÍA DRAMATICA. Id. 4.a Reflexión. C O L E C C IO N D E LAS M E JO R E S O B R A S Id. 5.a Igualdad. p O B IE R N O del Sr. Rey D. Carlos n i, ó instrucción reserva- Id. 6.a Libertad, zr Cap. i. Libertad légalo civil. Cap. ii. ^ da para dirección de la Junta de estado que creó este M o­ TEARO DEL Libertad de imprenta. narca ; dada á luz por D. Andrés Muriel. Aunque mil m onu­ Tomo segundo. mentos útiles y grandiosos an…</t>
  </si>
  <si>
    <t>Carlota</t>
  </si>
  <si>
    <t>…riadejamas esta venganza oculta por el velo de la re­ nal de 7 .9 50,000 pesos en pago de lo* intereses devengados has­ consentido; y es probable que si Feli­ ta 1.° de Abril 1851 , cuyo interés habia de comenzar en 1.° ta Doña Carlota con D. Juan, príncipe del Brasil, y del 1 pe lo hubiese imaginado, no hubiera mandado á su general de Abril siguiente ,'á cuyo período se puso eft circulación uná infante D. Gabriel con Doña Mariana de Portugal , tuvo pedir el tal perdoó. nueva suma de 5 .580,000 pesos. Resulta pues que L d…</t>
  </si>
  <si>
    <t>17/04/1839</t>
  </si>
  <si>
    <t>Gaceta de Madrid n.º 1614</t>
  </si>
  <si>
    <t>…staba de 10 caballos, como de- Juzgado de amortización. cia á V. S, en mi parte de ayer con referencia á las noticias que Por providencia del Sr. intendente de Rentas de esta pro­ en la cual desempeñará la parte de Adalgisa Doña Carlota recibía , sino de nueve incluso el cabecilla , se presentó ayer tar­ vincia, de a la entrada de esta villa, y estuvo cosa de hora y media que aparece se cita y emplaza á D . Félix Herrero, endosante V illó. tiroteándose con la guarnición, sin que por entonces haya ha­ ser de uu crédito de…</t>
  </si>
  <si>
    <t>Carlowitz</t>
  </si>
  <si>
    <t>…dos, un vo­ griega en H u n g ría, asi como de la de todo el imperio austría­ Todos los tres años hay lo que se llama restauración, ó elec­ to solamente. Pero aunque esta sea la teórica , no se sigue; no co , es el arzobispo de Carlowitz , que se le nombra por un con­ ción de magistrados y oficiales de condado , que sacan de un? se llega á votar. Cuando se discute una cuestión los delegados greso nacional compuesto de cien delegados, á quienes eligen lista de candidatos, dispuesta por el lord lugarteniente. E se manifiest…</t>
  </si>
  <si>
    <t>Carmelo</t>
  </si>
  <si>
    <t>…ar la artillería cuan­ tes, y mandar que ademas de la reserva que en ella se ha­ reos y caminos, son las siguientes: do se retiió el vapor para la plaza derS^ Sebastian , conducien­ ce en favor de Morote contra los capitanes D. Carmelo 1.a Los gefes políticos en sus respectivas provincias do presas las 10 lanchas referidas, quedando á saivo y en li­ Martínez y D. Manuel Bolívar, se imponga á estos manco- cuidarán de la observancia de las ordenanzas, reglamen­ elevo dlasconocimiento bertad demas mediante el auxilio de la f…</t>
  </si>
  <si>
    <t>Carmona</t>
  </si>
  <si>
    <t>…rvidor y am igo.nM . A. EFECTOS PÚBLICOS. Rey. Es el caso, Señor, que he mandado pasar por las armas á Documento que se cita. Inscripciones en el gran libro á 5 por 100 , 00. los generales G uergué, García , Sanz, al brigadier Carmona, al intendente U riz, y que estoy resuelto, por la comprobación Ejército de operaciones del Centro. = Secretaría de cam pa- tado:Títulos al portador del 5 por 1 0 0 , l 8 f con cupones al con­ de un atentado sedicioso, para hacer lo mismo con otros varios, ña.zzEn todas las comunicaciones…</t>
  </si>
  <si>
    <t>Carmona, Manuel Salvadoi</t>
  </si>
  <si>
    <t>Manuel Salvadoi Carmona</t>
  </si>
  <si>
    <t>…le dispensa : los Covachuelas; en la estampería de V alle, calle de Carretas, y demas celebran e-te suceso bebiendo y entregándose á la mayor en la redacción, calle de! Príncipe, núm. 1 5 , cuaito wiiUesue- aleg ¿a. Le grabó D. Manuel Salvadoi Carmona, con inteligen­</t>
  </si>
  <si>
    <t>Carnac</t>
  </si>
  <si>
    <t>…do los buques de ambas escuadras. brado por su secretario íntimo á M. Duiners. El capitán Lus- varias noticias sobre el origen de $u enemistad. * El dia 15 el capitan-bajá vino á visitar al virey, quien le hington y el teniente Carnac son sus ayudantes de campo. Mehemet-Alí empezó siendo inozo de café en Salónica, en recibió con muestras de respeto, y le hizo alojar en su mismo (Times.) la Macedonia,de donde es natural: fue marino, después pirata, palacio. Ayer todos los oficiales de la escuadra, entre los cuales lo cual…</t>
  </si>
  <si>
    <t>Carnaleño</t>
  </si>
  <si>
    <t>…ario llenaba todas las condiciones que debían apetecer­ la comisión creia necesaria. *■...* bía un medio hábil de obligar á quien correspondía á que re- se en esta dase de periódicos, ó si podría hacerse con otras mas Que el Sr. Carnaleño habia citado los reinados de Car­ rn 1 i.«cse esos do; u mentes. convenientes y ventajosas bajo todos aspectos, corno lasq u e los n i y i v , diciendo que entonces no se dió al poder militar El Sr. P R E S I D E N T E contestó que no creia que hubiese presentaba la Imprenta N acional, p…</t>
  </si>
  <si>
    <t>Carneo-</t>
  </si>
  <si>
    <t>…s instructivos, entre los cuales merece recordarse esp e­ Nuestra política no es la m ism a, y sobre esto acabais de español. Se im pedirá la introducción del contrabando por mar cialm ente el que fue redactado por su presidente Carneo- oir las explicaciones tan claras y positivas del Presidente del de armas de guerra. manes, y es conocido en España y fuera de ella con el titu­ Consejo. Nunca separaremos los intereses de España de los de M r . M athieu de la R ed o n te: Leed el comentario. lo de Educación p o p u la r, o…</t>
  </si>
  <si>
    <t>Carnicer, Ramón</t>
  </si>
  <si>
    <t>Ramón Carnicer</t>
  </si>
  <si>
    <t>…editadas; por la Sra. A ndujar y los. Sres. A guirre y Galan. de las doce en adelante las sesiones artísticas y literarias, en que por D. Ignacio Antonio de Soto y Araujo. Un tomo en 4*°&gt; 8.° Sinfonía patriótica , del maestro D. Ramón Carnicer. por acuerdo de la junta delegada de 28 de Agosto último de­ edición de 1794, á 21 rs. en pasta común. 9.° La Jota aragonesa , baile nacional ejecutado por las se­ ben tomar parte las cuatro primeras secciones, se previene á los Teniendo tanta influencia el agua en la salud del homb…</t>
  </si>
  <si>
    <t>…ey de libertad de imprenta. Coruña 29 de Noviembre de lugar. acreditadas; por la Sra. A ndujar y los. Sres. A guirre y Galan. 1859.rrBaltasar Menendez ^Francisco de Zuloaga.z=Juan A n to ­ 8.° Sinfonía patriótica , del maestro D. Ramón Carnicer. nio del Adalid.r:Andrés de Torres Moreno.—Mateo de Hernan- 9.° La Jota aragonesa , baile nacional ejecutado por las se­ dez.~José Rui Suarez —El conde de Priegne.—José María V i - Obras que se hallan de venta en el despacho y almacén ñoras A n d u ja r , Molina , Ruiz y M aladem , y…</t>
  </si>
  <si>
    <t>…las tropas inglesas que se dirigían á las Indias. Mas pruden­ Julio de 1859 por el presidente de dicha sección D. José M a­ acreditadas; por la Sra. A ndujar y los. Sres. Aguirre y Galan. 7.° Sinfonía patriótica, del maestro D. Ramón Carnicer. te que M a h a m u t, que consintió en que los rusos desembarca­ riano Vallejo, anotada y adicionada: 8.° La Jota aragonesa , baile nacional ejecutado por las se- sen en las orillas del Bosforo, Mehemet'Alí no ha permitido á 1.° Con el Tratado de las antiguas minas de España , ñor…</t>
  </si>
  <si>
    <t>Caro</t>
  </si>
  <si>
    <t>…á quienesse debe nombrar de justicia por su apro­ Cortina , presidente.mJuan Antonio Mendez, alcalde 2.°=Juan digo, que semejante guerra pueda ser justificada por las Sagra­ vechamiento, las señoritas Doña Dorotea Y aldésy Doña Caro­ Nepomuceno Escalante, alcalde 3°r=Francisco de Paula Pareja, das Escrituras, que en esta ocasión el Sr. articulista no ha cita­ lina Artigas. Una niña hperó con denominados hasta la división, alcalde 4 °= H ip ó lito de Silva, alcalde 5.°— Pedro J. Vázquez do. Esperando que dicho señor nos co…</t>
  </si>
  <si>
    <t>Caro, Isidro Sánchez</t>
  </si>
  <si>
    <t>Isidro Sánchez Caro</t>
  </si>
  <si>
    <t>…ón para que torne posesión del territo­ Regino Roales en 13 de dicho mes de Marzo: la ley absuelve sidad de Gotinga y de los magistrados de esta ciudad á proce­ rio confinante al Aroostook, sobre el que sir John Harvey re­ á D. Isidro Sánchez Caro, editor responsable del citado artí­ der á nuevas elecciones, ha producido una impresión bastante clama una jurisdicción exclusiva. Que se envie un encargado culo, y en su consecuencia mandó S. S. se le ponga inmedia­ desagradable en la corte. El colegio de la ciudad de Dannen-…</t>
  </si>
  <si>
    <t>…e no se usaba en el de A lonso O n ce­ quín María San Miguel en 10 del corriente, la ley absuelve al en el conservatorio desde su fundación, cuyo prólogo se da n o .^ A, L. ( E l Tiempo.) editor responsable de did io periódico D. Isidro Sánchez Caro; gratis en los referidos almacenes. y en su consecuencia mandó sea puesto inmediatamente en li­ bertad , sin que este procedimiento le cause perjuicio ni menos­ cabo en su buen nombre y reputación, dándosele testimonio si CORRESPONDENCIA DE LA GACETA. lo pidiere; álcese la re…</t>
  </si>
  <si>
    <t>…S 21 DE MARZO DE 1839. DIEZ c u a r t o s . S. M. la R e i n a , su augusta Madre la R e i n a G o b e r n a - del Sr. D. Tomas Pacheco y por mi testimonio se ha formado PARTE RECIBIDO EN LA SECRETARIA DE ESTADO causa contra D. Isidro Sánchez Caro , editor responsable del Y D E L DESPACHO DE * LA GOBERNACION D E LA- P E N IN S U L A . dora y laSjerma. Sra. Infanta Doña María Luisa F ern an ­ periódico titulado E l Guirigay, por denuncia hecha por el pfo- motor fiscal de los juzgados de primera instancia de esta corte Gobi…</t>
  </si>
  <si>
    <t>Caro, Mariano</t>
  </si>
  <si>
    <t>Mariano Caro</t>
  </si>
  <si>
    <t>…D. Bartolomé Cifra: Santan­ Santander, par din. cesarias. der , M artínez: Santiago, Rey y Romero? Segovia , Brea ; Se­ Alicante, ^ a i d . Santiago, \ l á 2 d. 4-° Promoverá y pondrá al corriente en las oficinas que villa, D. Mariano Caro: Soria , Peña : San Sebastian , Barrojas Barcelona, á ps. fs., pardio. Sevilla, f á £ id. pertenezca los suministros de los pueblos , ajustes de utensilios, Talavera de la Reina , Calvo: Toledo, Ferrer : Tarragona , Rer— Bilbao, i papel d. Valencia, par. tránsitos de tropas, liquidació…</t>
  </si>
  <si>
    <t>CARP</t>
  </si>
  <si>
    <t>…s no hayan podido cometer faltas; pero es preciso confesar tam ­ tamiento si a consultar á este sobre esta resolución. del tesoro público y de los empréstitos Sa­ bién que en la parte económica y municipal han sido siem­ El Sr. C A R P i A M O L l N O dijo que la comisiori en prueba fo,&lt;t, G av iria &amp; c ...................................................... 2 . 7 4 7 ,6 0 4 .. 32 pre guiados por uu espíritu de acierto y circunspección. En de su docilidad y condescendencia su p rim ía la últim a parte del Satisfecho por ga…</t>
  </si>
  <si>
    <t>Carra</t>
  </si>
  <si>
    <t>…e que se abolió la inqui­ Despees elle varías observaciones en contra del Sr. Rui* del Dcsicueiiito de tetras , i 6 por i 00 al ai®. sición, y par consiguiente cesó el tribuno!, de b fe , este es el A rbol, á que coatestó el Sr. Carra molino, como de la comisión, primer caso que .se presenta de tu* pirncediiiBÍento contra na y habiendo en sega id» i a» pu guiad o» tamiiíen el articulo el señor obispo. Y o ii» entraré á averiguar si ha 'habido otro obispo que Man toja (D * J u a a ) , se sus pendí ó la dlscusica,. C o tiz a…</t>
  </si>
  <si>
    <t>Carra-</t>
  </si>
  <si>
    <t>…or ser inamovible? Este es el espíritu de la Cons­ Ministros en que manifiesta haber acordado este hallarse pron­ greso de mucho respeto y veneración, no se han alegado razo­ titución, ¿cómo pues se interpreta de ese modo? El Sr. Carra- to á contestar á la interpelación del Sr. duque de Gor sobre la nes, no hay pues, motivos para que dejemos de interpretar el molino ha citado lo que dijo este señor y lo que dijo el otro; fuerza del ejército de Reserva y el número de raciones que sacó art. 45 de la Constitución, como lo hem…</t>
  </si>
  <si>
    <t>Carram, Juan Martin</t>
  </si>
  <si>
    <t>Juan Martin Carram</t>
  </si>
  <si>
    <t>…lecidas desde el reglamento provisio­ COLECCION DE LEYES, 55rs. 57rs. nal de 1855 inclusive hasta fin de Diciembre de 1858. Publí­ REALES DECRETOS, Cada función en un abono de 30 10 rs. 17 mrs. 10 rs. 14por 100. calo D. Juan Martin Carram olino, fiscal de la audiencia de Valencia, y D iputado en las Cortes de 1857 y 1858. dias. Cuaderno 1.°, que comprende todos los procedimientos en ORDENES Y REGLAM ENTOS D E L G O B IE R N O el grado de primera instancia. Esta obrita tiene por objeto recopilar en un tratado,…</t>
  </si>
  <si>
    <t>CARRAMOLI</t>
  </si>
  <si>
    <t>…ntereses de los pueblos , debia suponerse en todo lo conveniente al buen gobierno de los pueblos. Que de ningún modo podia convenir con que los ay u n ta­ ellos la suficiente confianza para que decidiesen por sí solos es­ El Sr. C A R R A M O L IN O : El Sr. Q uinto se ha opuesto al mientos fueran los que representasen la opinión del pueblo, y tos casos , y añadió que en la aplicación encontraba el artículo artículo, en primer lugar porque le supone vago, y en segun­ que nunca habian tenido estas corporaciones el derecho d…</t>
  </si>
  <si>
    <t>…f papelb. S ev illa, par din. d. ción se pondrá en escena el drama de m a g ia , n u e v o , original» tercero, ó están suspensos ó retirados por la comisión. B ilb a o, I f d . Y alen cia, i d. en cuatro actos, titulado El Sr. C A R R A M O L IN O manifiesta que el art, 12 no está C á d iz, f din. d. Zaragoza, l f id. suspenso por acuerdo del Congreso , pues está comenzada- su L A ESTRELLA D E ORO. discusión esi 15 de D iciem bre, que fue el últim o dia que se Descuento de letras, á 6 por 100 al año. trató de este asun…</t>
  </si>
  <si>
    <t>CARRAMOLINO</t>
  </si>
  <si>
    <t>…on en " e n taso de em paté él intendente tendrá voto en calidad.*’ cantidades pequeñas, resultará una ventaja á los especuladores, m i n a c i ó n de la g u e r r a , y p o r c o n s i g u ie n t e la s a lv a ció n d e El Sr. C A R R A M O L I N O som etió á la consideración del quienes puestos de acuerdo cou los empleados, cam biarán el d i ­ la lib erta d , del tr o n o y de la p a tria , consistía c u r e u n i r C on greso y particularm ente de la coin ision las tres observacio­ nero en papel, com o ya ha sucedido ma…</t>
  </si>
  <si>
    <t>Carramolino</t>
  </si>
  <si>
    <t>…ellana. módico el precio fijado. Cierto es que eií Arte se ha intentado mente la admiración; pero esta no puede llegar nunca En estos dos tomos hay dos comedias escritas con la llenar este vacío en la obrita publicada por el Sr. Carramolino, hasta el entusiasmo, porque cuando en alas de la idea intención de imitar las de capa y espada de nuestro tea­ mientos pero como indica su título solo comprende las leyes de procedi­ quiere volar nuestra fantasía hasta el Empíreo , una ex­ tro del siglo xvn. Sus argumentos son excelen…</t>
  </si>
  <si>
    <t>…del objeto de la pro­ á una cosa que la comisión no habia presentado (Pidió la pala* tivo, respecto á que dice que las leyes determinarán la organización posición, porque en ella se dice que se dé preferencia á la ley bra el Sr. Carramolino.), pues si bien existia, no con las mo­ de los ayuntamientos; por consiguiente, sin que hagamos estas de ayuntamientos antes que á otra que no sea la de presupues­ dificaciones que habia la comisiou indicado tener que hacer, leyes, queda incompleto el régimen administrativo de esta na­ t…</t>
  </si>
  <si>
    <t>…ribir entre sus filas el asesinato de los rendidos* imitándose en . ra mañana la discusión de la ley orgánica de ayuntamientos. 7 2 2 .... 500 M adrid. esta parte nuestra generosa conducta. Infinitos ejemplares p o ­ . El Sr. C A R R A M O L I N O : A la pregunta que se sirve ha­ 1 5 5 .* .. 500. Cádiz. dría citar á V . en corroboración de esta verdad ; mas lo haré * cer el Sr. Presidente, y o puedo decir que los artículos 12 y 14 7 ,1 5 4 * ..* 500 Barcelona. únicamente de tres recientes acontecimientos. . fueron re…</t>
  </si>
  <si>
    <t>…18 id. á prima de f , siete dieciseisavos, f , f y Santa * animada con el movim iento de la luna y nubes que se no debía dar paso. f por 100 con cupones. elevan sobre el horizonte á la salida del sol, y por la afluencia El Sr. C A R R A M O L I N O : Debo decir que los 12 y 14 del Inscripciones en el gran libro á 4 Por 1 0 0 , 00* de gentes y ganados que se ven andar por los caminos hacia el proyecto que presentó por primera vez la com isión, y des­ Títulos al portador del 4 Por 10 0» 00. portal de Beten* se ha dispuesto…</t>
  </si>
  <si>
    <t>Carramolino, Juan Martin</t>
  </si>
  <si>
    <t>Juan Martin Carramolino</t>
  </si>
  <si>
    <t>…arunas con que las per­ su cumplimiento.zzRubricado de la Real maoo.—Palacio 12 de En cuanto á definiciones, la mas notable es la relativa á pe­ sonas mal intencionadas fuera de este lugar pudieran herir á Setiembre de l859.nA D. Juan Martin Carramolino. riódicos y hojas sueltas. La circunstancia de imprimirse aque­ los dignos Diputados que hay sentados en estos bancos o á llos y estas en un solo pliego, la de expenderse á voces por las otros, á los cuales, como á estos, animase una misma intención A LAS CORTES. calles y su…</t>
  </si>
  <si>
    <t>Carranza, Basilio</t>
  </si>
  <si>
    <t>Basilio Carranza</t>
  </si>
  <si>
    <t>…echaron á vuelo, en las plazas y paseos Cecilio Scgues, D. Santiago Izquierdo, D. Francisco Cano, Si para dar al público una idea de esta composición se dejara públicos se formaban bailes á estilo del p ais, corriéronse novi­ D. Basilio Carranza , D. José Ramón E g u ía , D. Rito G ar­ llevar la sociedad del juicio que ha formado acerca de ella , aca­ llos , encendiéronse fogatas por la noche , y las casas se vieron rido , D. Fausto Rojo Pelaez, D. M auricio José de los M árti­ so parecerían exagerados sus elogios; mas pue…</t>
  </si>
  <si>
    <t>Carrasco</t>
  </si>
  <si>
    <t>…go que siempre se fije la vista ea Declarado el punto suficientemente discutido, y no acce­ fundándose para ello en que las funciones de los que es- el Gobierno que hoy ocupa estos bancos. diendo el Congreso á la petición del Sr. Carrasco (D. Ju an ) de tan destinados á recaudar las contribuciones, y las de los No culpo á los que me han precedido, sino digo que reci­ que se votase el dicta.meo por partes , se procedió á verificar bimos toda la amargura y ningún placer del bien ó mal que votación nominal, y resultó aprobad…</t>
  </si>
  <si>
    <t>…se aprobó el art. l.° que dice: ello un reparto, que como se deja conocer será bien insignifi­ Ministerio de la Gobernación. Art. 1.° Se concede al Gobierno el número de 1005 mu­ cante. Después de una breve observación del Sr. Carrasco (D. Juan), ías y 4 2 0 mulos que considera necesarios para el servició 'dé la Ahora bien , ¿qué base se habia de adoptar para este repar­ en que apoya el contenido de la solicitud referida, se poue á artillería. to? La cornision no tenia que dudar; habia encontrado una votación el dictame…</t>
  </si>
  <si>
    <t>…dia , favorecía sobremanera al Gobierno, solvió negativamente. dose de acuerdo con aquellas diputaciones provinciales, y apli­ pues estaba seguro que ningún Ministro se atrevería á dar la Se leyó otro artículo adicional del Sr. Carrasco (D. Juan), cando los productos de los portazgos, con lo cual se hubiera preferencia á un capitalista español sobre un extrangero sin que decía asi: podido concluir uu camino, cuyo coste hubiera ascendí o á estar autorizado para ello, por cuya razón aprobaba el artículo. Las cantidades que…</t>
  </si>
  <si>
    <t>CARRASCO</t>
  </si>
  <si>
    <t>…peor que la su advenimiento al poder. Al preguntar si se aprueba, piden varios señores la pala­ incertidumbre: discútalo el Congreso, y el Gobierno, bien lo bra $ y laida la lista por el Sr. Presidente, resulta que la han El Sr. CARRASCO (D. Juan), después de manifestar que al apruebe, ó bien lo retire ó lo modifique; pero tengamos una firmar la proposición no habia tenido el menor deseo de recon­ pedido en contra los Sres. in fa n te , Baeza, Burriel y Yaldes; cosa fija. y en pro los Sres. Carrasco (D , Juan) y Cambronero…</t>
  </si>
  <si>
    <t>Carrasco, José García</t>
  </si>
  <si>
    <t>José García Carrasco</t>
  </si>
  <si>
    <t>…arques de Cerralvo, Señora : Cuando los cuerpos colegisladores han cesado en de otros varios contribuyentes, y por m í , Manuel D iez.— Lo ­ sus tareas parlameniarias por consecuencia de la disolución que renzo Rubio.—Casa de D. José García Carrasco é hijos.=Eelipe Y . M. se ha servido decretar por razones de alta política que á Calzado Pedrilla. = Manuel Salas. —Tomas González y García.— NOTICIAS EXTRANGERAS. ello le han movido , y el ejército constitucional lucha todavía Nicolás Roldan. =:Urbano Saez García. =z Anselmo Ga…</t>
  </si>
  <si>
    <t>Carrascosa, Eleuterio</t>
  </si>
  <si>
    <t>Eleuterio Carrascosa</t>
  </si>
  <si>
    <t>…ivagan por aquel territorio. de minas admitidos en dicho mes, y de las demarcaciones da­ Otra id en dicha sierra y térm ino, cerro de las Cucharas, das en él. El comandante general de Búrgos da parte con fecha 29 M in erva, á D. Eleuterio Carrascosa , en id. del pasado, y refiriéndose al de Santander, que el brigadier Otra id ., Loma del Poyo, término de Huercal, antes A u­ D enuncios, gefe de la 2 .a brigada de la división de la izquierda marchó el rora , ahora Forzosa, á D. José Villarroel , en id. dia 23 hácia Arred…</t>
  </si>
  <si>
    <t>…para dar á conocer á nues­ Otra id. barranco del Algarrobo, término de Beoadux , La cena final; precisamente en donde otras cantatrices se han es­ tros lectores el fin laudable que se ha propuesto el Sr. Delgado Luchana , por D. Eleuterio Carrascosa , en 25. trellado. No sabemos qué admirar roas en ella en esta pieza , si "E l objeto de esta publicación es generalizar el conocimien­ Otra id. eo sierra de Acenacas, cerro del Algarrobo , tér­ la verdad en la acción, el sentimiento de la actriz, ó la perfec­ to de las obras dr…</t>
  </si>
  <si>
    <t>…9. cuento para ello con vuestros auxilios y decidida cooperacioo, Otra id ., barranco de id ., término de B enadux, La L ucha- PROVIDENCIAS JUDICIALES. con la de las autoridades provinciales y locales , y con el entu­ na , por D. Eleuterio Carrascosa, en 25 de Febrero de 839. siasmo que os inspira la inocente Reina Isabel con quien esta­ Otra id ., sierra de A cenacas, cerro del Algarrobo, término ü N virtud de providencia del Sr. D. M anuel L u c e ñ o , m a - mos unidos por un pacto indisoluble. Cuartel general de Cuen­ de…</t>
  </si>
  <si>
    <t>…sto solo Otra i d . , en lo alto de la cuesta del G ato, término de A l ­ nos faltaba” , y concluye "régimen constitucional” , y el segun­ Para el total de la publicación , que consta de ocho 6 nueve mería, las Cruzadas, por D. Eleuterio Carrascosa, en 5. do que empieza "Efectivamente” , y concluye "pérfidos secua­ números, una lámina de esmerado trabajo, y un drama im ­ Otra id ., barranco del P o y o , término de Iluercal , S. R a - ces” , se procedió á celebrar el sorteo de los nueve jueces de he­ preso al mes, 8 rs. m…</t>
  </si>
  <si>
    <t>…el tribunal , donde admitirán las que se hagan siendo arre­ Otra id., sierra Alhamilla , término de V iato r, cuesta de cedió á celebrar el sorteo de los nueve jueces de hecho que con gladas. las Tejas, Limpia y P u ra , por D. Eleuterio Carrascosa, en 17. arreglo á la ley debían componer el jurado; y habiéndose rea­ Otra id., rambla del Perionciilo , término de Dalias, V ir­ lizado con las formalidades que la misma previene , tocó á los gen del Carmen, por José Fernandez, en 18. sugetos siguientes: D. Juan Castelló y Ro…</t>
  </si>
  <si>
    <t>Carrascosa, Joaquin</t>
  </si>
  <si>
    <t>Joaquin Carrascosa</t>
  </si>
  <si>
    <t>…fi­ N o habiendo pedido la palabra en contra ningún Sr. D i­ expedido á D. Cárlos. (Moniteur parisién .) ca consignada en esta noticia los particulares siguientes: putado , se procedió á votarla nominaimente, resultando apro* D. Joaquin Carrascosa, catedrático de agricultura , por h bada por 99 votos contra tres. presentación de 66 trigos, 27 cebadas, 25 mahices, panizo El Sr. E G A Ñ A : Pido la palabra. En la Gaceta de correos de Francfort con fecha de 18 cristal mijos y alcandías , 15 alubias, 25 guisantes , una colmen…</t>
  </si>
  <si>
    <t>Carratalá, D. José</t>
  </si>
  <si>
    <t>D. José Carratalá</t>
  </si>
  <si>
    <t>…de nuestros dias. Semejante alcance de todos no intenta entrar por la via de las armas en ibsurdo solo ha' sido-patrimonio constante de los cómicos de la una lucha d esigu al; pero que protestando por otros medios El Excmo. Sr. D. José Carratalá se ha encargado del m an -, egua ; peroí^ñí uingun teartroj, siquiera regular, sabemos que efectivos contra toda violencia en caso de cualquiera invasión,do m ilitar de la provincia el domingo 24 J habiendo dirigido á a ignorancia^se haya llevado á tal extremo. declara también qu…</t>
  </si>
  <si>
    <t>Carratalá, José</t>
  </si>
  <si>
    <t>José Carratalá</t>
  </si>
  <si>
    <t>…mar un latable, y constituía un gran peligro. Aquellos tiempos han verdadero conocimiento del estado en que se encuentra la insti­ pasado; pero siempre lo e s, para que los que han procurado, Capitanía general de Andalucía.r=D. José Carratalá , tenien­ tución, y de las medidas que será conveniente adoptar para como nosotros, conservar ilesa la fe de sus padres rechacen con te general de los ejércitos nacionales, capitán geueral de A n ­ mejorarla y darle toda la latitud que le corresponde con arreglo vigor una denunciació…</t>
  </si>
  <si>
    <t>…a propuesto á los Gobiernos holandés teniendo en consideración el mérito y los servicios del te­ y belga un tratado definitivo de paz, fundado en otros conve­ lizadas estas divisiones. (G a cetle d'A ugsbourg.) niente general D. José Carratalá , vengo en nombrarle ca­ nios anteriores que ambas partes admitieron. Tengo la satisfac­ pitán general de Andalucía en reemplazo del mariscal de ción de informaros de que el Gobierno holandés ha m anifestado campo D. Serafín María de Soto, conde de Clonard, á y a á la Conferencia que…</t>
  </si>
  <si>
    <t>…e. I cance para impedir se perturbe el órdeu en las próximas elec­ I Números 15,701 á 15,752 I ciones. (Id.) Real decreto relevando del mando de capitán general de A nda­ Almenara 10 de Diciembre. lucía al teniente general D. José Carratalá. (Núm. 1858.) Ayer á las tres de la tarde entró la brigada de reserva en I _ relevando de la capitanía general de Granada al teniente El buque correo número 1.° de la empresa de los de la H a- I general D. Antonio María Alvarez. (Id.) M urviedro, en donde se hallaba preparado un co…</t>
  </si>
  <si>
    <t>…menor edad de mi excelsa Hija la Reina Doña Isa­ temente, justificado que sea cual corresponde este servicio; bel n , vengo en relevar del mando decapitan general de y S. M. conforme GRAN BRETAÑA. Andalucía al teniente general D. José Carratalá , decla­ resolver por puntocon el parecer de V. E. ha tenido á bien general, que en los casos y pueblos de rándole en cuartel con residencia en G ranada; y hallán­ que trata esta reclamación , deberán ser trasladados los pa­ Londres 9 de Noviembre. dome muy satisfecha del acierto y…</t>
  </si>
  <si>
    <t>Carratalá, Juan José</t>
  </si>
  <si>
    <t>Juan José Carratalá</t>
  </si>
  <si>
    <t>…acio­ predicador del Rey Luis xv. Es muy recomendable el mérito adonde se les hayan de remitir á su tiem po; y en las provincias nes de Buquena. de estos sermones por la pureza del lenguaje, por la fuerza y en las librerías de D. Juan José Carratalá , de Alicante.:::Don Unidad del estilo, por la vasta erudición vertida á proposito en Manuel Sauri, Barcelona.z=Viuda de Carrillo y sobrinos, B a- Bdrgos 20 de Marzo. En las provincias continúan las ellos, y por la libertad apostólica con que se anuncian las ver­ dajoz.nD. Man…</t>
  </si>
  <si>
    <t>Carreras, Manuel</t>
  </si>
  <si>
    <t>Manuel Carreras</t>
  </si>
  <si>
    <t>…elec­ gos.=3res. Hortal y compañía, Cádiz.=D. Manuel Sanz, G ra - en libertad los titulados generales Zariátegui, Elío y Gómez: ción de asuntos, que son los mas interesantes en las circunstan­ nada.nD. Cándido Paramio, Leon.=D. Manuel Carreras, M á­ el primero se hallaba en el fuerte de A rciniega, y los otros dos cias en que se halla la religión. Dos tomos en 4*° Se venden en laga.=D. Nicolás Longoria, O viedo.=D . Juan José Moran, Sala- en el del alto de Ulquiola, camino de Durango á Ochandiano; habiendo sido destinados…</t>
  </si>
  <si>
    <t>Carretas</t>
  </si>
  <si>
    <t>…se hallaba sobre su resultado. m asque artísticamente, son bellas? N o, será constante­ á caballo cerca mente nuestra respuesta. Jamas tendremos por bello lo de Madrid, delde inspector la Cibeles,y seguido del capitati general Carretas, y de Paz, frente á enlaslasCovachuelas Se suscribe al Semanario librerías de Jordán, calle de ; y en las provin­ que degrada y envilece la humanidad; lo que reduce al numeroso estado mayor, corrió general de infantería y de su cias en las administraciones de correos y principales librer…</t>
  </si>
  <si>
    <t>Carriaga, Antonia</t>
  </si>
  <si>
    <t>Antonia Carriaga</t>
  </si>
  <si>
    <t>…. Fran­ las comunicaciones de un puerto á o t r o , y para facilitar CARGO. cisco Javier Iztúriz. el éxito de nuestras operaciones militares, ora trasportan­ 407. Un tirador de campanilla bordado de sedas , d la se­ ñora Doña Antonia Carriaga. do tropas y municiones á los puntos donde se necesiten, Por 5342 billetes que se expendieron 572. Un cuadro, al Sr. D. Juan Carlint. ora oponiéndose con movimientos combinados de propósi­ en los dias que duró la exposición, á 519. Un cuadro, á la Excma. Sra. de Fernandez del Pi…</t>
  </si>
  <si>
    <t>Carriello, Antonio</t>
  </si>
  <si>
    <t>Antonio Carriello</t>
  </si>
  <si>
    <t>…temente que el cuerpo legislativo , á quien toca exclusiva­ Los principios que se han sostenido por la legación de Fran­ mente en los países libres la resolución en esta clase de materias, gado de T a m a rite , que desempeña D. Antonio Carriello, y cia sobre la obligación en que se halla todo Gobierno de indem­ encontrase los medios de conciliar todos los intereses, y de sa­ á este al expresado de F r a g a , accediendo á los deseos de estos nizar á los extrangeros las pérdidas que han sufrido á conse­ tisfacer en lo posib…</t>
  </si>
  <si>
    <t>Carrillo, Rafael</t>
  </si>
  <si>
    <t>Rafael Carrillo</t>
  </si>
  <si>
    <t>…de conocerle, te en la jornada han rivalizado en valor y decisión. Entre de y parte de la noche fuera. Entró á las nueve y algunos m i­ y que desean que el que le suceda en el primer mando nos com­ aquellos se han distinguido D. Rafael Carrillo , teniente de h ú ­ n utos, y fue al cuarto de su marido para desnudarse en él, pense la pérdida de Esteban, {id.) sares de la Princesa ; D. Sixto Berri , de igual graduación en como lo tenia de costumbre. el regimiento 2 ° ligeros; D. Vicente M en d ig u tia, del 6 ° de ¿Qué es lo…</t>
  </si>
  <si>
    <t>Carrion, Epifanio</t>
  </si>
  <si>
    <t>Epifanio Carrion</t>
  </si>
  <si>
    <t>…del artí­ gos , Logroño y Soria.=Excmo. S r.: A las siete de la tarde de Abierta á las doce y 57 m inu tos, el acta de la anterior fue culo 7.° y la presentación déla proposición que se.discute. » hoy ha eotrado en esta plaza D. Epifanio Carrion con el es­ leída y aprobada. Las actas de Huesca ofrecen aun mas dificultades para s a cuadrón de su mando , acompañado del coronel D. José M aría Se leyó por el Sr¿ Guillen y Roda un oficio del Sr, Secre­ aprobación que las que ha preseotado.la comisión. De ellas re— j Vasallo y de…</t>
  </si>
  <si>
    <t>…el teuieote gene­ razón Antonia Javiera de Peralta, marquesa de Legarda, por cuya ral Maroto. se cita, llama y emplaza á los que sean tales poseedores fuerzas. Por lo demas, la pieza, como ya hemos dicho , es in­ El coronel D. Epifanio Carrion (alias Villoldo) se halla ya citado juzgado mayorazgo, del enunciado y escribanía para que acudan inmediatamente al con los documentos competentes á teresante y está bien traducida: abundan en ella las situa­ en Herrera de Pisuerga esperando órdenes del comaudante ge­ acreditar…</t>
  </si>
  <si>
    <t>Carruana, Antonio</t>
  </si>
  <si>
    <t>Antonio Carruana</t>
  </si>
  <si>
    <t>…12 oficiales, 1 capellán, 2 cadetes y 1501 indivi­ lacio á 25 de A bril de 1839.== A D. A ntonio H o m p an era duos de las clases de tropa; y añade que el coronel comandante GRAN BRETAÑA. d e Cos. del cuerpo de estado mayor D. Antonio Carruana , encargado Londres 15 de Abril. de efectuar esta operación , manifiesta que el estado lastimoso en que se encuentran nuestros prisioneros, extenuados y exá­ c á m a r a d e los c o m u n e s . Sesión del dia 15 de Abril. PARTES RECIBIDOS EN LA SECRETARIA DE ESTADO Y DEL DESPACH…</t>
  </si>
  <si>
    <t>Carsi, Rarnon</t>
  </si>
  <si>
    <t>Rarnon Carsi</t>
  </si>
  <si>
    <t>…I del juzgado, á cargo de D. Jo^é Balduque, sita en otra vez” ; por unanimidad debía declarar y declaraba que la la calle del Lobo , núm. 8 , piso segundo, á pregar sus decla­ A N U N C IO S O F IC IA L E S . ley absuelve á D. Rarnon Carsi , responsable de dicho impreso, raciones en la causa que se. sigue sobre falsificación del insi­ y eó su consecuencia mandaba que sea puesto inmediatamente nuado créd ito; apercibidos que de no hacerlo les parará entero en libertad , sin que éste procedimiento le cause perjuicio ni pe…</t>
  </si>
  <si>
    <t>Carsí, Ramón</t>
  </si>
  <si>
    <t>Ramón Carsí</t>
  </si>
  <si>
    <t>…en que le partici­ 'cal D. Joaquín María San M iguel, como subversivo y sedicio­ Gobierno de que se le habia presentado una solicitud para pa que el cabeciPa Coba con el fin de apoderarse de aquel fuer­ so, la ley absuelve á D. Ramón Carsí , editor responsable de contraer matrimonio por medio de procurador apoyándola te logró ocupar la entrada dé lá casa horno; pero observando dicho impreso, y en su consecuencia mando que se le ponga en un poder otorgado en pais enem igo, y en un atestado los enemigos que la guardia de d…</t>
  </si>
  <si>
    <t>Carvajal</t>
  </si>
  <si>
    <t>…e mas y á la inquisición se la co ntuvo, que el clero permaneció com­ mas las noticias de la aproximación del enemigo, se presentó á do aque^ reinado; porque ¿en efecto, haber cuidado tanto de placiente y sumiso, y que el obispo Carvajal no tuvo imitado­ S. E. á las tres de la mañana en el campo de la brigada de re­ promover la instrucción , haber permitido que se discutiesen res. No puede negarse que hubo cierta holgura y ensanche en serva , acompañado de im para que todas sus órdenes se comu­ con bastante latitud materi…</t>
  </si>
  <si>
    <t>Carvajal, D. Mariano Jaén. Sr. D. Gonzalo</t>
  </si>
  <si>
    <t>D. Mariano Jaén. Sr. D. Gonzalo Carvajal</t>
  </si>
  <si>
    <t>…Sr. marques de Someruelos. Sr. D. Ramón de Santillan. Lugo. Toledo. Sr. D. Félix M artin. Cáceres. Sr. D. Antonio María M iranda, electo. Sr. D. Julián Iluelves. Sr. D. Antonio Perez Aloe. Sr. D , Manuel Vázquez Queipo; &gt; Sr. D. Mariano Jaén. Sr. D. Gonzalo Carvajal y IIIloa. Sr. D. Gregorio Quiroga y Frias. Sr. D. Juan José ligarte. Sr. D. Rufino García Carrasco. Sr. D. Vicente Vázquez Móscoso. Sr. I). Juan Pedro Quijana. Sr. D. Vicente Silva. Sr. D. José María Pardo Montenegro. Sr. D. Víctor Fernandez Alejo. Sr. D.…</t>
  </si>
  <si>
    <t>Carvajal, José González</t>
  </si>
  <si>
    <t>José González Carvajal</t>
  </si>
  <si>
    <t>drid , que vive calle del Florín, núm. 2 , cuarto 2.° (o con la correspondencia del Gobierno y del publico para Ca­ ’ ve días, contados desde la publicación del presente emplaza­ miento, á D. José González Carvajal, á fin de que se presen­ Se suscribe en Madrid en la librería extrangera, calle de la narias, Puerto-Rico é isla de Cuba. te en la escribanía principal del ramo , sita en la calle del Lo­ M ontera; y en las provincias en las comisiones de la agencia li­ Lo que se anuncia al p…</t>
  </si>
  <si>
    <t>Carvajal, Mariano</t>
  </si>
  <si>
    <t>Mariano Carvajal</t>
  </si>
  <si>
    <t>…edó y Valdivia , en 20. O tra id. en cerro de Q u in ta n a , término de C a nja yar, Sao quillo de Antonio D iaz, término de O r j i v a , San J o s é , por O tra de hierro en sierra Nevada , umbría de Caballones, José , por D. Mariano Carvajal, en 6. Rafael P av as, en 7. término de D ila r, Santa R ita, por Francisco Benitez, en 21. Otra id. en poyos del M adroñico, término de C u i s , San O tra id. en sitio de la C hanata, término de Bentarique, O tra id. en loma de la Fuente, término de Almería, Des­ J u d a s , por…</t>
  </si>
  <si>
    <t>Carvallo, C. José Antonio</t>
  </si>
  <si>
    <t>C. José Antonio Carvallo</t>
  </si>
  <si>
    <t>…del ejér­ los acreedores .P .. José Francisco y D, Ju a n Fxaocisco G arm en- 1 cito de operaciones' cópiá áel parte que el^sub gefe de estado día y D. José M aría Y erg a ra , para que en el térm ino de cuatro I mayor coronel C. José Antonio Carvallo dirigió al mismo ge­ é B 0 R el juzgado de primera instancia que desempeña en esta meses contadqf desde el día en que por última vez se repita este 11 neral sobre tos resultados qué eii él pueblo déChiquimulilla su - sST oveferie «L Sr¿ D ¿ Matruel L üceño; magistrado hono…</t>
  </si>
  <si>
    <t>Cas</t>
  </si>
  <si>
    <t>…s. ( Id .) gramente en este año y ulteriores á los objetos c o m ­ rante la hieríor edad de mi augusta Hija la Reina Doña p ren d id os en la ley de 30 de J u n io de 1838. lsabel i i , Vengo en relevar de la capitanía general de Cas­ P o r lo ta n to, los M in istros que suscriben tienen tilla la Ñueva al teniente general D. A ntonio Q u iroga; y Se lee en el Standar ti el h o n o r de p r o p o n e r á V . M . para su a proba ción n om bró pará que le reem place en d ich o cargo al maris­ En Rochdale y en sus cercanías co…</t>
  </si>
  <si>
    <t>CAS</t>
  </si>
  <si>
    <t>…ñe para fomentar posible el que se puedan encontrar allí rnulas. En esas provincias ciones. su riqueza, poder v iv ir, y contribuir á los gastos del Estado. se están sosteniendo continuamente porción de brigadas y acémi­ El Sr. C A STR O empezó expresando que se veia en la pre­ Por estas razones, y porque asi lo reclama el bien público, es­ las valoradas en 1 4 rs. cada uua, cuyo valor total en sola la cisión de manifestar las gravísimas equivocaciones que había pero que los señores de la comisión no tendrán reparo en adm…</t>
  </si>
  <si>
    <t>…o, no ha querido exponerse á presentarse. De- cuando llegó adonde fue nombrado , ocurrieron los sucesos der si un diá teniendo el crédito á 60 por 1Q0 se presenta el Minis­ consiguiente cree S. S. que no habiendo admitido el Sr. Cas­ Agosto, y fue nombrado en su lugar el Sr. Baezá. tro de Hacienda diciendo estar dispuesto á pagar los intereses de tro, ni estando comprendido en el art. 43 de la Constitución, El Sr. IZNARDI: No pensaba haber tomado parte en esta la deuda, puesto que hay una casa que se obliga á ello, nadie…</t>
  </si>
  <si>
    <t>…ria á A rciniega, y de O rduña á Bilbao. nteligencia h u m an a, toma el nombre de L ib e rta d , y excita ca testigo de las sangrientas escenas que se vieron en Francia A y er principiaron los trabajos , y hoy marchó el general Cas­ n los pechos generosos el noble entusiasmo que su misteriosa en 1 7 9 2 , y que después se han renovado en España en 1835, tañeda á A rciniega, de cuya im portante villa se apoderó sin ►alabra produce en todos los climas y puntos del globo. Si en u ltra jan d o , maltratando y sacrificando á l…</t>
  </si>
  <si>
    <t>Cas, Maximino</t>
  </si>
  <si>
    <t>Maximino Cas</t>
  </si>
  <si>
    <t>…egundo en una petaca de plata. Se extraerán de una caja dos en manos del Sr. alcalde decidir con imparcialidad y justicia tarjetas numeradas. Los premios se entregarán en el acto á las en vista del impreso y denuncia hecha por D. Maximino Cas­ Por providencia del Sr. intendente subdelegado de Rentas personas que presenteu billetes con iguales números. A este fia tillo, hijo de D. José, mayor de *25 años, acerca del publicado de esta provincia, se c ita , llama y emplaza á D. Ramón de se dara con el billete de cada localidad…</t>
  </si>
  <si>
    <t>Casa-</t>
  </si>
  <si>
    <t>…ro cuando hubo contes­ c ia s, y sobre todo los desgraciados que están á 500 leguas de En el ano de 50 ó principios de 51 hizo tam bién proposi­ la casa y fam ilia. tado á esta d ijo : «A q u i concluiría mi contestación al Sr. Casa- ciones D. Francisco N. para el camino de Granada á M otril: Iru jo ; pero habiéndose extendido á otros particulares, para lo El G AM RRO JVERO : Señores, voy á sacar esta cues- proposición ventajosa, y al mismo tiempo se presentó, otra para cual no vengo preparado , mal podré hablar sobre…</t>
  </si>
  <si>
    <t>Casa-Chaves</t>
  </si>
  <si>
    <t>…sionero y capturándoles varios caballos con otros efectos, y en­ do esto fue original en nuestros poetas del siglo xvi. empuñase la trompa é p ica , y emprendiese cantar las ha­ tre ellos algunas alhajas con la marca del conde Casa-Chaves; ¿ Por qué pues imitaron á los poetas latinos y griegos? zañas contemporáneas; pero para sacar falso á nuestro ar­ pero con el sentimiento de que en la refriega muriese de un Porque si no lo hubieran hecho, no tendriamos ni len­ tículo en todas sus partes, ninguna de nuestras epopeyas…</t>
  </si>
  <si>
    <t>Casablanca</t>
  </si>
  <si>
    <t>…a con facultad para impe­ al prender al Diputado Alvarez sin et permiso prévio del Con­ Barrio A yu so, marques de Someruelos, conde de Ayamans, d ir su lectura. greso. Yo repito que reconvengo al Gobierno por la inopor­ barón de Casablanca, Valterra , Zaforteza , Pardo Montenegro, El Sr. A R G U E L L E S indico que no había sido su ánimo tunidad con que se han leido esos documentos cuando se está Vázquez Moscoso , Sr. Presidente. inculpar á la mesa en lo mas mínimo. discutiendo una cuestión del mayor ínteres. Señores que…</t>
  </si>
  <si>
    <t>…i­ to , Huelves, conde de la Rosa , Quijana , A rteta, Martínez de cito á los confines de esta provincia con la de Santander, y el jese si con respecto á aquellas provincias que tenían anticipa­ la R osa , R i p o li, barón de Casablanca , S a lv a, M arín , Yalter— heber venido en su re le v o á Galdácano otras tres o cuatro com ­ das sus contribuciones se encargaba del cupo que les correspon­ r a , Zaforteza. pañías de las que se hallaban distribuidas en la costa. d ía , disponiendo que no le pagasen, en cu y o caso,…</t>
  </si>
  <si>
    <t>Casadevall, Ramón</t>
  </si>
  <si>
    <t>Ramón Casadevall</t>
  </si>
  <si>
    <t>…Agosto , el número to- Existencia para í.° de M a rz o .. . . chaban dando el mejor ejemplo sus comandantes D. Pedro A l­ 2 3 - 7 7 1 ,0 9 4 -1 6 tal de las inscripciones destinadas á la quema y el de paquetes cántara Rute y D. Ramón Casadevall , fue tomado y puesto que las contenían. La cual se halla en fuga aquel con grande p érd id a , el que fue cargado en ella Concluida la lectura, y colocados estos en su respectivo lu­ En metálico........................... 1 8 - 4 5 4 ,3 4 5 Por un escuadrón del 6.° ligero, mandad…</t>
  </si>
  <si>
    <t>Casado, Francisco Antero</t>
  </si>
  <si>
    <t>Francisco Antero Casado</t>
  </si>
  <si>
    <t>…00 escribano del número de la misma que despacha la vacante por de carbón de Otero de Roiles , tres pertenencias en términos de 10.................. d e . .......... 4O O .................... 4OOO fallecimiento de su compañero D. Francisco Antero Casado, se Turiellos de Langreo. 1 2 0 .................. d e . . 100.................... 12000 saca por tercera veza subasta las tres cuartas partes de la dehe­ En dicho dia el mismo , como apoderado de los Sres. C o- 150.................. de.. 8 0 ........... 12000 sa llamada el…</t>
  </si>
  <si>
    <t>…pasta. ciones inmolan m illa r e s de víctimas inocentes, y a lo sa b ía ­ del número de la misma, que despacha la vacante por falleci­ mos; que el ju e go es la senda del c rim en , tampoco es nuevo. miento de su compañero D. Francisco Antero Casado, se saca Despojada la obra de este ínteres moral , resta ex am in ar si C onservatorio d e Artes, de nueves á subasta las tres cuartas partes de la dehesa llamada p uede compensarse su falta con las bellezas de ejecución y de el Cuarto de S. M iguel de Cabeza de OIid , corr…</t>
  </si>
  <si>
    <t>Casado, Francisco Autero</t>
  </si>
  <si>
    <t>Francisco Autero Casado</t>
  </si>
  <si>
    <t>…ro encuentran en uuo y otro caso, y cómo se concillarían ambos tá al cargo del Sr. D. Juan José Rodríguez Valdeosera, por la Bellini, titulada por medio de uoa ley cuyo proyecto ha de acompañar á la escribanía del número de D. Francisco Autero Casado, hoy memoria. vacante, soiieitaudo que con su autoridad é intervención se NORM A, 3.° Igual premio al autor del mejor ensayo que se presente procediese á la venta en pública subasta de la dehesa de Cabe­ de una cartilla breve y sencilla , en que con aplicación al sueio, za…</t>
  </si>
  <si>
    <t>Casajus, Andrés</t>
  </si>
  <si>
    <t>Andrés Casajus</t>
  </si>
  <si>
    <t>…■. ■■■ riódico y los muchos materiales preparados para este dia, nos Ezrnir , quinto D. Custodio izquierdo, sexto D. Rudesindo Gea. PROVIDENCIAS JUDICIALES. impidan extendernos acerca de una producción que tanto hon­ Síndico: D. Andrés Casajus. ra á su autor y que tantos aplausos ha merecido del público de Huesca 12 de Diciembre. Sugetos honrados, ricos, labo­ Alcaldía constitucional.—Primera demarcación. esta capital. riosos , amantes de nuestras Reinas y afectos á las instituciones Baste á nuestro propósito el consignar…</t>
  </si>
  <si>
    <t>Casal</t>
  </si>
  <si>
    <t>…um entada con los dos batallones que h an re­ expresada corteza. forzado este ejército , salió ay e r de m añana con dirección á D ICCIO N A RI O de m edicina y de c iru g ía práctica.=:Entre- Añaden que cuando á la casa del Sr. Casal se le concedió V a le n c ia , porque, según se d e c ía , el grueso d e la facción se ga 11.a del tomo 2 .a= C ootinúa abierta la suscripción en licencia de exportarla salieron del reino 6 0 0 0 quintales y se h allaba sobre Luceoa. la botica de O lm edilla , calle de C a rre ta s, núm . 2 2…</t>
  </si>
  <si>
    <t>Casamayor, Luis</t>
  </si>
  <si>
    <t>Luis Casamayor</t>
  </si>
  <si>
    <t>…rta dq los de D. Andrés Behició, factor que fue de provisiones en la ciu­ Jáe 8 rs. que en lo*antiguo gravitaba sobre párte del terre- i Sevilla de la ciudad de Cádiz, para que en el término de 3Q dad de Segó vía ; a los de D. Luis Casamayor, comandante que jdq; que ahora ocupa la casa situada en la Red de San Luis* I d ias, -contadosúesde la publicación de eúe anuncio en la G a- fue de escuadrón ; a los de D . José P alanca, teniente retirado tQÚrn. 15 antiguo* jy 55 moderno, de la,manzana 343 * y kp*** j ceta', compa…</t>
  </si>
  <si>
    <t>Casanova, Francisca</t>
  </si>
  <si>
    <t>Francisca Casanova</t>
  </si>
  <si>
    <t>…os conocimientos en legislación y su cluido, cuya operación está ejecutada con inteligencia y gus­ Doña María Vierge. * gran práctica en los debates judiciales. to. Los andaraios para renovar los artesonados d.sl patio gran­ Doña Francisca Casanova. A ver por un olvido involuntario no hicimos mención del de estaban ya colocados, pero desgraciadamente hace años que Sr. (i&gt;c.d de S. M. , que en un corto discurso, dicen, se pro­ no ha vuelto á ponerse mano en obra tan ú t i l , que es in­ BAILARINAS. nunció como celoso é intel…</t>
  </si>
  <si>
    <t>Casanovas, José Calasanz</t>
  </si>
  <si>
    <t>José Calasanz Casanovas</t>
  </si>
  <si>
    <t>…a del des­ niírn. 4 representativa de D. Francisco de Asís P resas, este se Solteros................................................. .. 482 uido de las autoridades de los pueblos , particularmente abier- retiró, mientras que D. José Calasanz Casanovas leyó un elo­ Solteras.............................................................. 5 55 os, que olvidadas de las prevenciones de mis antecesores, y po- cuente discurso sobre el origen , sub lim idad, progresos y u t i li ­ Casados............................................…</t>
  </si>
  <si>
    <t>Casanovas, José Calasaoz</t>
  </si>
  <si>
    <t>José Calasaoz Casanovas</t>
  </si>
  <si>
    <t>…ólvora y dos cananas. ciembre de 1 8 3 6 , están entrando en el Tajo navios de guerra 2. D. José Roca. Dice igualmente que se ha presentado á indulto el faccio­ portugueses, conduciendo apresados buques que encontraron em­ 5. D. José Calasaoz Casanovas. so de la gav illa de R am o s, M anuel Seoane, vecino de San V i ­ pleados en tan nefando comercio. 4* D. Francisco de Asís Presas. cente de Arceo, eutregando un fusil ingles recortado. Hoy ha entrado en el Tajo la escuna de guerra F a y a l con 5. D. Rarnon Avellana.</t>
  </si>
  <si>
    <t>Casarrubios, Luis García</t>
  </si>
  <si>
    <t>Luis García Casarrubios</t>
  </si>
  <si>
    <t>…s yo pueda prestar mandarnos librar la presente. Dada en dicha ciudad de T uy á y compañía, M urcia: Benedicto: Palma de Mallorca ’ Guasn: para que todos los bienes pertenezcan á propiedad particular 2 de Octubre de í859.=:Dr. D. Luis García Casarrubios.—Por Salam anca, Blanco: San tiago, viuda deCompañel: Sevilla para que ninguna corporación los administre: vea el Sr. A r ­ mandado del Sr. proveedor interino, Blas José Troucosso. Hidalgo y compañía: Toledo, Hernández: Valencia, viuda de guelles mi opiniou. Monfort: V allado…</t>
  </si>
  <si>
    <t>Casas</t>
  </si>
  <si>
    <t>…hecho lo propio; pues de haber dejado 3.° Terceto bailable por las Sras. Diez y Siérra , y por el p o rq u e es la causa de la civilización; con todo , bueno sera la acción contemporánea nuestra, como está en el original, hu­ Sr. Casas. q u e estemos sobre aviso, y que imitemos á nuestros con­ biera tropezado necesariamente con mil dificultades nacidas de 4-° El divertido sainete titulado L A B O D A D E L TIO trarios en el conato que ponen en su organización y en la falta de exactitud que campean en todos los escritos de l…</t>
  </si>
  <si>
    <t>…e quie­ do el Aguila Blanca, ran interesarse en ella; en la inteligencia que para su primer ca , Después se ejecutará una alegoría mitológica-pantomími- exornada remate esta señalado el dia 10 de Diciembre de este año á la Sr. Casas, y titulada con el aparato correspondiente, compuesta por el hora de las once de la mañana en la indicada secretaría. CORRESPONDENCIA DE LA GACETA. ZEFIRO Y AURORA , P L remate anunciado en la Gaceta del 25 del corriente de las Orense 24 de Noviembre. En estos últimos úias se ha en­ ^ casa…</t>
  </si>
  <si>
    <t>…i e r r a , y por el otros socios varios datos sobre los criaderos que existen en Es­ brillantez de que es susceptible, y espera que lo conseguirá paña , y con especialidad en Asturias, donde ya se benefician muy en breve. Sr. Casas. con inteligencia y buen éxito. Por últim o, quiere la junta poner en noticia del Ateueo 4*° El divertido sainete titulado L A B O D A D E L TIO El secretario Collado leyó en una de las sesiones el análisis C A R C O M A , desempeñado por las partes principales. de una obra anunciada en Par…</t>
  </si>
  <si>
    <t>…orales que encierra en un estil c a , exornada con el aparato correspondiente, compuesta por el timo adiós en los campos de A b an óla, d o s demandaron su cons­ adoptado á su capacidad , sirve ademas para darles á conocer 1 Sr. Casas , y titulada tancia para sostener la libertad regada con su sangre, la ven­ necesidad en que están de dedicarse á otros estudios, particulai ganza y odio eterno á los déspotas y sus infames prosélitos. Les mente al de su propio idioma , tan descuidado en algún tiem ZEFIRO Y A U R O R A , ju…</t>
  </si>
  <si>
    <t>…0 0 . ca , exornada con el a p a ra to c o r re sp o n d ie n te , c o m p u esta por e l ’ La suma total de derechos percibidos en la a d ua n a de L i s ­ Idem sin in te ré s, 9 á 18 d. f. ó v o l.: 6£ á 5 9 d. f. ó v o l. Sr. Casas , y t it u l a d a boa montó en 1851 á la ca nt i da d de 1 . 0 6 5 , 0 0 0 pesos. á p rim a de 4 por 10 0 o uevas. A c cio n es del banco e sp añ o l de S . F e r n a n d o , 00» ZEFIRO Y A U R O R A , B arcos en trad os en Lisboa, CAMBIOS. b ailan d o u n lin do terceto la S ra. D i e z…</t>
  </si>
  <si>
    <t>…de riedád de metros. la traducóión._^.Sé vende en él despacho de la Imprenta N a­ 2.° Pas-de-deux indio, obligado de arpa, por la Sra. Diez A N U N C IO S* cional á '20 rs. en rústica.. Se darán dos ejemplares gratis y el Sr. Casas. 5.° Sinfonía¿ | 7 L Diablo suelto , periódico dedicado á instruir y divertir al é l que compre una docena. 4*° P L A N -P L A N , comedia nueva, dé gracioso , en dos público á costa de sus mismos vicios, Estas traducciones de Anacreonte y de Safo son las últi­ actos y en prosa, arreglada á…</t>
  </si>
  <si>
    <t>…ónigo Rom ea, y hechos los 2.° Pas-de-deux in d io , obligado de a rp a , por la Sra. Diez honores de la clase de capitán general, ias tropas de la guarn i­ Gran rem esa ademas d e la anterior anunciada . , recibida d el y el Sr. Casas. ción y la benemérita M ilicia que se hallarán formadas durante 5.° Sinfonía. ex trangero en el gran alm acén d e música d e C arrafa , 4.0 EL D IA M A S FELIZ DE L A V ID A , comedia m uy la función en la ribera del Ebro desfilarán por la plaza del Pi­ ca lle d el P rin cip e , núm . 15. lar…</t>
  </si>
  <si>
    <t>…himno de Riego. cada causa. 4-° El P as-de-deux, obligado de arpa , bailado por la seño­ En la plaza Mayor se dividieron las bandas de música to­ y cirujano; dotadas la primera con 5500 rs. anuales, y la segun­ ra Diez y el Sr. Casas. mando diferentes direcciones. N o sabemos si esta reunión de da con 50 , teniendo este ademas los partos, golpes de mano 5.° Un escogido sainete. vascongados y navarros prepara otro festejo; si es asi, daremos airada, males venéreos, y el estipendio de los que se afeitan en E n los intermed…</t>
  </si>
  <si>
    <t>…el que presenta diciendo, 4«° El Pas-de-deux , obligado de a r p a , bailado por la seño­ que hallándole aprobadas las actas de Alicante, Almería, Burgos, Londres, á 90 dias, 38¿. c a m b ioCs .oruña, 1 | á 2 d. ra Diez y el Sr. Casas. C ic e ro , Córd &gt;bra, Gerona, Granada, Guipúzcoa, Lérida, Lo­ P arís, I 6-4 á 3. 5 o Un escogido sainete. groño, M adrid, Málaga, Segovia, Sevilla, Tarragona , Valen­ G ran ada, I f id E n los intermedios se tocarán canciones patrióticas. cia y Zaragoza , y no resultando nada en contra de…</t>
  </si>
  <si>
    <t>…por la seño» servicios. Y esta ciencia , mas profunda de lo que parece, dista varros, y en casi todos los puutos de nuestra'linearse presentan tanto de la profesión del v eterinario, cuanto la facultad de c u ­ ra Diez y el Sr. Casas. continuamente algunos de e llo s, y hoy lo ha verificado en V i a - 5 o Ün escogido sainete. rarla e»tá lejana del profesor de equitación. .Continuamente en na el beueficiado de Alio. las obras magistrales sobre la guerra que están salie».do todos En los intermedios se tocarán canciones pa…</t>
  </si>
  <si>
    <t>…mpo que el periódico lleva de existen- Seguirá un Pas-de-d eu x, nuevo, bailado por la Sra. Diez al presente consignado en esos anales vivos de la civilización i a , prueban también evidentemente la benevolencia con que y el Sr. Casas, composición de este ú ltim o ; terminando la fun ­ moderna: en los periódicos. 1 público ha acogido nuestros trabajos : si seguirnos merecién- ción con un divertido sainete, no ejecutado hace muchos años, La política es la gran cuestión del d ia, y la que absorbe mas lola , nos considerare…</t>
  </si>
  <si>
    <t>…o, firma la junta por cuatriplicada la Seguirá un P as-de-deux, nuevo, bailado por la Sra. Diez espectadores, y produce escudos á millares. Esta es una re­ presente acta formal á los efectos y para los usos que el mismo y el Sr. Casas, composición de este ú ltim o; terminando la fun­ volución casi tan grande como inesperada. Querréis decir y la Real orden de 21 de Noviembre previenen, de que certi­ ción con un divertido sainete, no ejecutado hace muchos años, que los clásicos son los que se excitan unos á otros para fican…</t>
  </si>
  <si>
    <t>…se presentó D. Francisco Bolufer , discípulo de len­ Bonos de Indias , 44* Seguirá un Pas-de-deux, nuevo, bailado por la Sra. Diez gua francesa, que habiendo empezado á estudiar seis dias antes Acciones del banco, 197. y el Sr. Casas, composición de este último; terminando la fun­ de esta ceremonia, bajo el cargo del acreditado profesor D. Lo­ Fondo activo español, 19^. ción con un divertido sainete, no ejecutado hace muchos años, renzo de Alemany, leyó con bastante soltura y muy perfecta Cinco por 100 portugués, 36f. ti…</t>
  </si>
  <si>
    <t>…cenciado D. Rafael de Vargas y Uciés, abogado de los • j ír nacionales, juez de primera instancia de esta FASTOS ESPAÑOLES, DRES PARA UN A H IJA . Seguirá el pas-de-deux, obligado de harpa , y bailado por la Sra. Diez y el Sr. Casas. A conti­ nuación se volverá a poner en escena la graciosa comedia en un ciudad y su partido &amp;c. Hago saber como en mi juzgado y por ó EFEM ERIDES acto, titulada LA ESCALERA DE M A N O ; y termiuará la presencia del infrascrito están pendientes autos de testamentaría función con baile naciona…</t>
  </si>
  <si>
    <t>…de-deux, nuevo, bailado por la Sra. Diez do á muchos diputados que no tenia poderes algunos, y que no estando encargado de ninguna misión , no debía hacérsele querella seguida en dicho juzgado á instancia de D . Pablo de y el Sr. Casas, composición de este últim o; terminando la fun­ responsable bajo ningún concepto de los retardos de que la Cá­ Llanes, teniente de navio de la armada nacional, y D . José ción con un divertido saioete, no ejecutado hace muchos años, Nicasio Milá de la Roca, segundo piloto de Indias, contra e…</t>
  </si>
  <si>
    <t>…io celebrado por V . E. , el ayuntam iento de M adrid capitales que no presentaba ninguna tierra; y en ese mercado creería faltar á su deber de gratitud y á los sentimientos de en el que desempeña la parte de protagonista el Sr. Casas. E n ­ los caj Rales no fueron mas, ó por mejor decir, uo sirvieron estimación que V . E. le merece, si no le felicitara por la p ru ­ tre el primero y segundo acto habrá un intermedio de baile. mas que para el v ic io ; la historia de los censos lo manifiesta. dencia y constancia con que ha…</t>
  </si>
  <si>
    <t>…, tra­ casa fu e rte , reparado el antiguo castillo y fortificado el pueblo, ducida por D. V entura de la Vega. todo á expensas del vecindario. La comisión reconoce los servi­ Terceto de baile por las Sras. Diez y Sierra y el Sr. Casas; cios patrióticos de esta población; pero no estando en su mano term inando la función con la pieza en un acto , titulada el proponer una resolución definitiva, es de parecer que esta so­ ANUNCIOS. licitud se pase al Sr. M inistro de Hacienda. Q U IE R O SER COM ICO. i^\F IC IO parvo de nuest…</t>
  </si>
  <si>
    <t>…era instancia en esta villa , se cita á todas y cuales­ 7» Los facultativos estaran exentos de las contribuciones quiera personas que sean acreedores á la testamentaría de Doña en el que desempeña la parte de protagonista el Sr. Casas. E n ­ ordinarias y ex traordinarias, y solo pagarán las de tarifa. M aría Isabel G ran d e, para que en el término de 15 dias con­ tre el primero y segundo acto habrá un intermedio de baile. 8 .a La escritura de obligación tendrá la duración de tres tados desde la fecha de este a n u n c io…</t>
  </si>
  <si>
    <t>…icio; lo cual influirá mas de lo que parece eu la Tomada en consideración por la sociedad la proposición principio» económicu-admiiiistralivo», sino la clara nece­ riqueza pública, eu el aumento y perfección de tan pro* del Sr. Casas, se nombró una comisión para su examen sidad que nos aqueja. Esta ha llegado desgraciadamente cloaos animales, y eu la inclinación, esmero y cuidado* compuesta de los Síes. D. Antonio Sandalío de Arias, Don a demostrar que no es posible adq uirir los 63 caballos qüe que necesitan emplear los…</t>
  </si>
  <si>
    <t>…presión y armonía !..... 200 rigirá al piano. Algunos trozos de poesía, la mayor parte romances, 4.0 El baile pantomímico ZEFIRO Y AURORA, com­ ha intercalado en la novela el Sr. Martínez de la Rosa, 600 33000 puesto por el Sr. Casas, y que tanto agradó cuando se puso en cual ricas piedras en oro engastadas; sirve de complemen­ escena. to á la obra y la ilustran copiosas notas, que por sí solas Los 220 billetes estarán subdivididos en la clase de cuartos, 5.° Un gracioso y divertido sainete. revelaran la profunda instru…</t>
  </si>
  <si>
    <t>…de sus a u ­ ciertamente considerarse como el curso mas cora pisto de teolo­ tores. T e r m i n a r á la f u n c ió n con un lindo terceto com puesto gía moral y de las ciencias eclesiásticas, tu v o la desgracia de por el Sr. Casas. (1) L n tomo en 8.° prolongado que se halla de yenta en el empezarse dencia. Las á publicar poco antes de la guerra de la in d ep en ­ calamitosas turbulencias de aquellos fatales ti em ­ mismo despacho de D . Ignacio B ou. pos y de los que se siguieron no solo fueron causa de la in -</t>
  </si>
  <si>
    <t>…ón, y una multa de 100 á 10 rs., sin perjuicio de los demas para ilustrarse le d irija n los jueces de h ech o , y an un ciará que procedimientos á que hubiere lugar contra el c u lp a b le , cono­ PRIN C IPE. A fin de dar al Sr. Casas a lgú n descanso, se ctel jurado queda instruido.” ciendo de la causa los tribunales ordinarios. suspende por hoy la representación del Jocó ó el Qrang-utang» Art. 99. Después de la declaración del presidente los ju e ­ repitiéndose mañana domingo. ces de hecho se retirarán á una estancia in…</t>
  </si>
  <si>
    <t>…susau- TotaI......... 39 3,968 tiempo a hacer del pueblo holandés, si no un pueblo músico, tores. Term inará la función con un lindo terceto compuesto lo que me parece imposible atendida la frialdad del carácter na­ por el Sr. Casas. r (I) M r. Brugsma ha Pü b lÍ c a d ^ T T b ¡7 « p e c ¡T ¡¡A ¡7 7 , cional , por lo menos un pueblo pacífico y dichoso , resultado ■£Srr,/ ‘ ^ ?etítmeH&lt; feU m ed to d e la educación en las escu ela s prim arlas t H ori o v erz .gt van d e L eer d e r op voed in g d u o r h e t onderiiisV n…</t>
  </si>
  <si>
    <t>…de S. Ildefonso, de la de comitiva de S. M ., B O L E T IN DE C O M E R C IO . y de S. isidro de esta corte. Un cuaderno en 8.°, edición de 182 2 , 3.° á 5 rs. eo rústica. Las boleras del B ajelito, por la Señora Diez y el Sr. Casas» B O L S A DE M A D R I D . Contiene esta edición un largo prólogo que añadió su autor á la primera de 1 7 8 1 , en que presenta nuevos fundamentos de su arte , y contesta á varias objeciones que se le habían hecho, 4 *° Cotización d e l dia 2 8 á las t r e s d e la t a r d e . LA SO LTERO…</t>
  </si>
  <si>
    <t>…eñalar la hora de las dos de la tarde del domingo 1.° de Se­ ilustran, no debe envilecer las manos que la sirven.” tiembre próximo para la solemne apertura de las Cortes en el Las boleras del Bajelito, por la Señora Diez y el Sr. Casas. salón del Congreso de Sres. Diputados. En el apéndice núm. 2.° se da una breve noticia de El Senado quedó enterado. los principales sucesos de la vida de D’Alembert y de sus 4 -° Igualmente se leyó otro oficio del mismo Sr. Secretario del escritos. En este apéndice cita el Sr. González Alon…</t>
  </si>
  <si>
    <t>…ejecutará una alegoría mitológica-pantomími­ las comedias y tragedias francesas, pocas veces bien tra­ ca , exornada con el aparato correspondiente, compuesta por el ducidas. Por todas estas razones debe mirarse á Cañizares Sr. Casas, y titulada El buque correo de la empresa que como el último poeta cómico del teatro español que em­ respondeucia para Caoarias, Puerto-Rico y la Habana, saldrá ha de conducir la cor* pezó en Lope de Vega. ZEFIRO Y A U R O R A , de Cádiz el 9 del próximo Diciembre. Algunos quieren que se…</t>
  </si>
  <si>
    <t>Casas, Manuel</t>
  </si>
  <si>
    <t>Manuel Casas</t>
  </si>
  <si>
    <t>…igna, comparezcan en dicho juzgado y escribauía tos y dividido tú cuatro cuadros, compuesto y dirigido por Inspección de minas de la provincia de Málaga =Mes de á usar del que les asista ; apercibidos que de no hacerlo, pasa­ D. Manuel Casas* cuyo título es Junio de l859.=Retacioo de las minas denunciadas en di­ do que sea dicho término , sin roas citarles y emplazarles , les cho mes. parará el perjuicio que haya lugar. D. Cayetano Lengo, vecino de la ciudad de Málaga , como XAURENTÍNO TRIUNFANTE EN ROMA. apoderado de D…</t>
  </si>
  <si>
    <t>…eyes que hoy mismo BOLSA D E M A D R ID . setos, y dividido en cuatro cuadros, compuesto y dirigido por se redactan. En una de las conferencias anteriores, continuó el Sr. Valle, Cotización del dia 10 á las tres de la tarde. D. Manuel Casas, cuyo titulo es ofrecí hacer una reseña del modo con que se instituyó y ha EFECTOS PÚBLICOS. L A U R E N T IN O T R IU N F A N T E EN RO M A. progresado la sociedad económica de Madrid, si no la primera, la roas importante de todas las del reino. Inscripciones en el gran libro á 5 po…</t>
  </si>
  <si>
    <t>Casasola, Pedro</t>
  </si>
  <si>
    <t>Pedro Casasola</t>
  </si>
  <si>
    <t>…están muy unidas. de la sierra. Con el Sr. López Pinto y nuestro veterano subins­ jcisco Gi pré Ge non dé la Iglesia,, c ru z.sencij |*a;de Isabel dJúisau ^ N o se ve ningún blanco en la parte superior é inferior de las pector D. Pedro Casasola creo nada quedará que desear á los Regim iento de in g en iero s^ '&amp; ^ ien té Francisco Aj$man&gt;, págiuas; tiene dos márgenes laterales, de las cuales la de la d e­ buenos patriotas. {Id.) grado de capitán de infantería^; oí ^ ; v i t - k : o oc ^ recha es mas ancha que la de la izquie…</t>
  </si>
  <si>
    <t>…del ministerio de la Gobernación de la Península, que El brigadier segundo cabo comisionó entonces al coronel ra aceptar ios servicios de cualquier número de voluntarios, puse á vuestro cargo por mi Real decreto de 18 del cor­ D. Pedro Casasola para que declarase á los encerrados en el no pasar.do de 5(10, y del rnodo dispuesto en un acta titulada: riente, tengo á bien concederos, á nombre de mi augusta T emple, que si en el acto no se rendían haría cañonear aquel " A c ta que autoriza al presidente de los Estados Unidos par…</t>
  </si>
  <si>
    <t>Casei, Tomas</t>
  </si>
  <si>
    <t>Tomas Casei</t>
  </si>
  <si>
    <t>…o cuartillas, tasada en 175 rs. EFECTOS PUBLICOS. comparezcan en dicho juzgado ante el escribano interino del Otra id. id. de las Callejas, de cabida de tres fanegas, ta­ lascripelones en el gran libro a 5 por 100, 00. mismo D. Tomas Casei por sí ó persona autorizada con poder sada en 450 rs. bastante, pues pasado dipho término les parará el perjuicio á Otra id. en la jurisdicción del lugar del Gordo, titulada Títulos al portador.del 5 por 100, 32 con cupones al conta­ que haya lugar. H uerta-arm ella, de una fanega de c…</t>
  </si>
  <si>
    <t>Casimiro</t>
  </si>
  <si>
    <t>…terias interesantes en las circunstancias del dia , de D. M a­ nuel Sayz del C am p o , ha excitado á rehacer tres p lieg os, c u y a Sale jueves y domingos á las ocho de la mañana. — ■ nombrando para el anterior ministerio á D. Casimiro V i - go d e t, y encargando interinamente su despacho al teniente falta inutilizaba una gran porción de juegos, con lo que se han Los suscriptores reciben mensualmente una magnífica es» general actual Ministro de la Guerra D. Isidro Alaix. (Id.) podido surtir de nuevo las librerías de S…</t>
  </si>
  <si>
    <t>…a grabada. sayo en aquellas épocas y legislaciones los elementos y testi­ monios de la autoridad absoluta é ilimitada de los Monarcas Real decreto admitiendo la renuncia de la Secretaría del Des­ pacho de M arina, hecha por D. Casimiro V igodet, y nom­ MODERNO EXTRANJERO. de Castilla y León , y los encontró; y como luego para su se­ brando en su lugar á D . José Primo de Rivera. (Ndm. 1671.) Los suscriptores á dicha colección pueden pasar á recoger gunda obra Teoría de las Cortes le plugo hallar en esas m is­ Circular d…</t>
  </si>
  <si>
    <t>…ar , en la provincia de Sala­ 4.0 Fantasía de fagot por M r. V illen t, desempeñada por el Las cabczis de las larvas están generalmente cubiertas con manca , independiente de barba y san gría; su dotación es de joven profesor D. Casimiro M ellier. un casco cornoso, dividido frecuentemente por una línea de a r­ 83 rs. vn. anuales, cobrados y pagados por su ayuntam iento riba abajo por la mitad de la cara formando dos lobos laterales en tres tercios iguales: quedan á favor del facultativo los gol­ 5.° Dúo en la ópera Ottelo…</t>
  </si>
  <si>
    <t>Caspe</t>
  </si>
  <si>
    <t>…ados de la dados de Kent y Essex , á los dos lados del rio , se ha aum en ­ Capitanía general de Aragon.—Estado mayor.zrSeccion cen­ tado mucho , y los carros de trasporte están obligados á dar una tral.—El coronel gobernador de Caspe con fecha 19 del actual eterna sabiduría de que están llenas las paredes de la escuela. Con este acto ha quedado instalada la tercera escuela de p ár­ grande vuelta con pérdida de tiempo y trabajo de animales para dice : que noticioso de que ea los pueblos de Maella y Fabara pasar por el puen…</t>
  </si>
  <si>
    <t>Cass</t>
  </si>
  <si>
    <t>…n. Esperamos de un momento que quedaron en el campo. Mr. Penton, ministro de Francia en los Estados-Unidos, resi­ á otro la confirmación oficial de esta victoria para voltear las dente en la actualidad en P aris, y la del general Cass, minis­ campanas é iluminar el pueblo en celebridad de aquella. El comandante militar de Liria en comunicación de hoy tro de América cerca del Gobierno francés. (D. M . de F.) dice que Cabrera salió del Villar anteayer hácia Losa y luego á Chulilla. Que en Sot y Chera se mantenían como 100 in…</t>
  </si>
  <si>
    <t>Casta, José</t>
  </si>
  <si>
    <t>José Casta</t>
  </si>
  <si>
    <t>…llas. La compañía que dia en Granada. En el reinado de Felipe m se construyó 1 D. José Perez Pió. tiene es bastante regular; la Sra. N a v a rro , dama joven; los que llaman apeadero , con columnas pareadas, y encima un salo D. José Casta ñon. Sres. Olaso, primer g»lan, Robello, b arb a , S ierra, gracioso, destinado para armería. Fernando vr mandó construir las grar D. Ildefonso Zafra. y Fernandez, galan joven , son dignos de especial mención. A des oficinas que se levantan al costado izquierdo del antigno Al D. Antonio…</t>
  </si>
  <si>
    <t>Castañe</t>
  </si>
  <si>
    <t>…a s. Me maravilla retira P u r e n , y Gualconda abre la puerta á Pedrarias. Dícele una impaciencia tan grande; á este que dentro de poco vendrá su h e rm an a, se sentará como S an tan d er 16 dé M ayo . La división del general Castañe­ y si no argu y e malicia , siempre en el sepulcro, y hablará un rato. da hizo movimiento el dia anterior desde Soba Con dirección á las reflexiones que os hice Y cuando la pobre loca Ramales; la de A lc alá, que se hallaba en la Nestosa, hacia la a l­ persuadiros deberían. se quede por f…</t>
  </si>
  <si>
    <t>Castañe, Ramón</t>
  </si>
  <si>
    <t>Ramón Castañe</t>
  </si>
  <si>
    <t>…se conservarán archivados El general D. Leopoldo Ó d o n ell, gefe de estado mayor, cou los granaderos del mismo Vicente González, José Vázquez, en ella para Jos usos que convengan. dirigid el ataque de la derecha. El general D. Ramón Castañe­ Pablo Romariil y Manuel M ancha cargó á la bayoneta á u n Art. 8.° L o mismo y por el propio orden ejecu­ da el del centro. El general D. Francisco de Paula Alcalá el de grupo de 50 ó rnas facciosos que se habían parapetado tras de tarán las contadurías de las provincias donde los l…</t>
  </si>
  <si>
    <t>Castañeda</t>
  </si>
  <si>
    <t>La di vi.ion del general en gefe de este ejército con la b ri­ I P latería............................... 1 162,814 gada que manda el general Castañeda salió de esta ciudad el PROVIDENCIAS JUDICIALES. Instrumentos de música , m atem áti- mismo dia 20 en dirección de Alfarobra , adonde llegó por la cas &amp;c............................. 31,097 • •• • noche, y siguió su marcha á Perales en ia madrugada del 21. P OR el presenté se cita, llam…</t>
  </si>
  <si>
    <t>…nta María en la oficina de facciosos que se decia bajaban á la Cavada con ánimo de Londres, á 90 dias, 58y papel. C oru ñ a , 1 d. d é lo s vapores, y en Sanlucar y Sevilla á bordo del mismo distraer las operaciones del brigadier Castañeda , se dividieron Paris, 1 6 -5 id. G ranada, id. buque. en dos trozos: el uno atacó efectivamente á la Cavada, pero lo M á la ga , f id. rechazó la pequeña guarnición que defendía el punto fortifi­ Santander, 1¿ id. cado. La otra mitad marchó á los pueblos de Llerana, A v io n - A licante,…</t>
  </si>
  <si>
    <t>…consulta délos negocios arduos de público Ínteres, dres , y se unieron á los cuatro que se hallaban en dicho p u n ­ E ST A D O M ILITAR bien pudiera ser muy reducido; en cuerpos meramente consul­ to á las órdenes del brigadier Castañeda, marchando todos so­ tores parece inútil un crecido número de personas: pero debien­ bre Atnpuero , excepto Granada que no pasó la ria , y siguió PARA EL PRESENTE AÑO DE 1859. do ser proporcionado al cúmulo de obligaciones que á estas se su margen izquierda. Al llegar al puente de Atnpue…</t>
  </si>
  <si>
    <t>…y en este tiem­ aprobado. al que mandaba el conde de Belascoain , reúne una fuerza con­ po pudiera ser que se disolvieran las Cortes; pregunto yo aho­ Se leyó el dictámen de la misma que proponía la aproba­ siderable. El general Castañeda con siete batallones hizo movi­ ra á los Sres. D iputados, ¿ e l pueblo deberá pagar las contri­ ción de las segundas elecciones de Toledo , y tomó la palabra miento el 11 del que rige desde V itoria hácia la Borunda. buciones que no se han votado? La contestación es clara : n o , en contr…</t>
  </si>
  <si>
    <t>…honor de trascribir á Y. E. para que se m io de su decisión y arrojo. un soldado de nuestro ejército: á las diez de la mañana se pre­ sirva ponerlo en el conocimiento de S. M. y recaiga la resolución sentó la brigada con el Sr. Castañeda, y á consecuencia de la que fuere de su Real agrado, recomendándole ademas el particu­ conferencia que tuve con S. S. dispuse mi salida con el convoy lar mérito que han contraído el citado comandante teniente de sobre Treto, como se verificó. navio D. Eduardo Posse por su actividad , cel…</t>
  </si>
  <si>
    <t>…las operaciones practicadas mación y aviso á los dueños de dichas a l h a j a s , y han tenido el M A DR I D 2 1 DE E NE RO. tiempo necesario para realiz ar la saca y desempeño de las mismas. en combinación con las del brigadier Castañeda, y se ha servido resolver que se den gracias a V. E y á los oficia­ les y demas individuos de todas clases que concurrieron D i c t á m e n d e la c o m i s i ó n e n c a r g a d a d e i n f o r m a r s o b r e l a á ellas, sin perjuicio de atender oportunamente á los que p r o p o s i c i…</t>
  </si>
  <si>
    <t>26/05/1839</t>
  </si>
  <si>
    <t>Gaceta de Madrid n.º 1653</t>
  </si>
  <si>
    <t>…mpeñar una corta porción de ropas que en el formada una línea m ilitar hasta Bilbao. nes de O ctubre del año pasado de 18 5 7 dejó á D . Francisco Sáceres, vecino y com isionado de préstamos en esta c o r te , r e - E l general Castañeda permanecía el 17 del actual en C a r - ran za, protegiendo los trabajos de Ramales , G uardam ino y ibiendo por via de préstamo la cantidad de 2 5 0 rs. vn. PROSPECTO. Rasiues. Los Borbones de España y los de G oritz. Publicado en fran ­ Búrgoe 2 2 de Mayo. Hace pocos dias se hallaba en…</t>
  </si>
  <si>
    <t>…­ trangeras. El navio almirante Alahnioulic, de 150 cañones, ha caciones manifesté á Y . E. las prevenciones que h ab ia hecho al P aris 16 d e Agosto. entrado a q u i, y se ha visto precisado á quitar su artillería y su general Castañeda , comandante general de Y iz c a y a , y al con­ lastre. ¿ P o r qué no se adoptó 4O años há el mismo partido para de de Belascoain, para que obrasen activamente á fio de que Recibimos de Levante la siguiente carta que á nuestro pa­ el navio G ra n d e-O ru n te y el resto de la escuadra f…</t>
  </si>
  <si>
    <t>…ibrerías. rió la retlexion (vana si se quiere llamar asi) de tributar á mi tres dias , y á su cabeza el comandante gen eral, c uyas fuerzas patria la gloria de que ella fuese quien hiciera partícipe al m un­ con las del general Castañeda llevaban el proyecto de apode­ do de un descubrimiento tan útil como la vacuna. rarse del fuerte y fortificación de Sodupe, y se ignora hasta Por desgracia circunstancias políticas poco favorables á mi el dia el resultado de esta atrevida operación. TEATROS. nación y a habian condenado al…</t>
  </si>
  <si>
    <t>…y en el mismo lenidad que tan osados hizo á nuestros enemigos. Por esto las anticipé á V. E. el curso de las operaciones que en combina­ represalias con que enfrené su ferocidad. Por esto las expulsio­ ción con el digno general Castañeda teníamos acordadas sobre Y DEL DESPACHO DE LA G U E RR A. nes de las familias desafectas á pais donde sus hijos nos hacian Comandancia general de los ejércitos reanidos.=Secretaría los enemigos para hacernos dueños de la cordillera de Sta. L u ­ cruda guerra. Por esto la orden general d…</t>
  </si>
  <si>
    <t>…ón de los reductos y puen­ N uevas fuerzas se pusieron en m ovim iento desde R am ales, car de heroica en grado em inente la defensa de G uardam ino, te fortificado de Relascoain con su artillería y m uniciones. Los y el general Castañeda ,q u e se hallaba en las altu ras de las pe­ arrancando para la guarn ición , que no perm itió viese de cerca enemigos continuaban sobre R am ales, G uardam ino y valle de ñ as, tuvo orden de desembocar y de acometer la izquierda ene­ el p e lig ro , la nobleza p erso n al, el grado de sa…</t>
  </si>
  <si>
    <t>Castañeda, Manuel</t>
  </si>
  <si>
    <t>Manuel Castañeda</t>
  </si>
  <si>
    <t>…y 71.100.856 idólatras. Becquer, que expuso una bellísima vista original del patio de en virtud de las facultades concedidas, hemos se ñ a la d o 0 ui- Las fuerzas militares que la Inglaterra tiene en sus pose­ los naranjos: D. Manuel Castañeda , una copia de un Ecce- sieron ir á ganar las indulgencias, no espirituales, que n’os' he siones de Ultramar ascienden á 155,199 hombres. Hotno, y D. Manuel Otarola otra de un niño dormido. Fi­ mos también concedido. Las propiedades públicas y particulares que se encuentran nalment…</t>
  </si>
  <si>
    <t>Castañeda, Pedro</t>
  </si>
  <si>
    <t>Pedro Castañeda</t>
  </si>
  <si>
    <t>…varios contribu­ Ramón Galera. = José Antonio Gallardo. = Rafael Sebastian. portante salud. yentes, y por m í , J u a n Abalet.—Manuel Ulioa.rzCooso apode­ Cecilio Galera Maregosa , secretario. rado del conde de Cervellon, de D. Pedro Castañeda, de Don Francisco Grandallana , de varios otros contribuyentes, y por m í , Yicente Maestre.=Isidro Guija.=José Campon. = Fernando EXPOSICIONES A S. M. LA REINA GOBERNADORA. García Becerra. = Pedro de M ora.—José de Obando y Porres. =z PARTE NO OFICIAL. M anuel Martínez. = Como a…</t>
  </si>
  <si>
    <t>Castañeda, R.amon</t>
  </si>
  <si>
    <t>R.amon Castañeda</t>
  </si>
  <si>
    <t>…rresponsal d e H am burgo,) de las Indias orientales. ( D ebats .) El Sr. general en gefe de los ejércitos reunidos en comuni­ cación de 27 del actual desde Orduña , dice con referencia á parte que le ha dirigido el general D. R.amon Castañeda, que el dia 25 se presentaron al brigadier A leson, gefe de la 2 .a bri­ GRAN BRETAÑA. El Cantón R egister de 50 de Octubre contiene lo que sig u e: gada de la 4.a d iv isió n , 17 facciosos pertenecientes al primer batallón cántabro, del que se habian fugado la noche anterior L…</t>
  </si>
  <si>
    <t>Castañeda, Ramón</t>
  </si>
  <si>
    <t>Ramón Castañeda</t>
  </si>
  <si>
    <t>…ición, especialm ente'en las Rea­ Comandancia general de lo ejércitos reunidos.—Excmo. se­ ó a las siete cuartas menos un d e d o , y los de inutilidad les órdenes de 9 d e. Diciem bre últim o y 4 del actual. ñor.—El brigadier D. Ramón Castañeda , comandante general acreditada, inclusos los declarados inútiles en las dos úl­ S. M., que está muy persuadida del patriótico celo de di­ del cuerpo de operaciones de la izquierda, me dice con fecha 29 timas requisiciones, que continúen en el mismo estado de chas autoridades, de su…</t>
  </si>
  <si>
    <t>…determinación de las Potencias. dente el Sr. Fuente Herrero: Secretario el Sr. Estrada : V ic e ­ o peraciones y las sucesivas produzcan todo el efecto que se de­ secretario el Sr. Temprado. sea, ha determinado que el general D. Ramón Castañeda ven­ 7.a sección. Presidente el Sr. Sancho: Vicesecretario el se­ ga á Vitoria , á cuya plaza ha llegado esta tarde ; y que reunien­ Un incendio terrible ha estallado en Constantiñopla: I 4OO ñor Alcalá Z amora: Secretario el Sr. Ferro M ontaos: V icese­ do á los cinco batallones que…</t>
  </si>
  <si>
    <t>…raza la administra­ El Sr. conde de Luchana con fecha 15 del actual traslada exigirle aquellas oficinas la contribución de frutos civiles, ción están concluidas y á punto de dirigirlas por el in­ un parte del mariscal de campo D. Ramón Castañeda, coman­ respectiva áJqs años de 1834 á 37 inclusive, por el arbi- dante general del cuerpo de operaciones de la izquierda , en que irio que pencthe de la quima parte del producto dei ar­ mediato 2.a correo á la contaduría general. Los señores intendentes cuidaran de que se remi­ ma…</t>
  </si>
  <si>
    <t>…e estos pueblos. Dígnese do.z=Lorenzo Berdura.“ José M jría Romillo.—José Oñez de la rendido. V. M. acogerlos con su maternal solicitud, y admitir el home- Torre.“ Joaquin de G*ona “ Lorenzo Alvarez de Ron.^Vicente El general D. Ramón Castañeda , que con la 4*a división de nage de respeto y de fidelidad de esta diputación provincial. de Rentería.=Diego Sánchez, secretario. su maí do penetró por la Boiunda, se halla sobre Estella, cuya Valencia 16 de Setiembre de 1859. “ Señora. — A L. R. P. de pL*a caerá pronto en nuestro…</t>
  </si>
  <si>
    <t>Castañera, Mariano</t>
  </si>
  <si>
    <t>Mariano Castañera</t>
  </si>
  <si>
    <t>…ue de no hacerlo se primera producción, sin duda la mas aplaudida de cuantas se coctena. dará el juicio por intentado, é incurrirá en la multa de cuatro han representado, pues en el tercer acto cada escena lo era con Síadico : D. Mariano Castañera. ducados, parándole ademas el perjuicio que haya lugar. extraordinario entusiasmo. Reciba pues este pequeño tributo de gratitud artística y literaria. Créannos nuestros lectores, cuando tomamos la pluma no Acabamos de recibir periódicos de Paris del 9. En el Con?- pensábamos habla…</t>
  </si>
  <si>
    <t>Castañou, Manuel María</t>
  </si>
  <si>
    <t>Manuel María Castañou</t>
  </si>
  <si>
    <t>…frendada de D. Manuel Fernandez de Pazos, escribano de S. M., del juzgado de S. S., se c ita, llama y em­ E SC U EL A de canto del celebre García , obra tan recomenda- CRUZ. A las ocho y media de la noche. Se volverá á plaza á D. Manuel María Castañou, para que dentro del pre­ ble, que como dice el mismo au tor, por sí solo puede lle­ poner en escena la ópera nueva en dos actos del maestro D oa ciso término de nueve dias, contados desde el en que se publi­ gar á ser un gran cantante el que teniendo buena voz y oido Manuel Du…</t>
  </si>
  <si>
    <t>Castejoi, Isidoro Gil y D. Lucio</t>
  </si>
  <si>
    <t>Isidoro Gil y D. Lucio Castejoi</t>
  </si>
  <si>
    <t>…1.° de Octubre. Se ha cantado en la Santa igle­ comedia en dos actos y en prosa, traducida del francés por sión ó modificación de los fueros, serian un síntoma seguro sia catedral una misa y solemne T e Deum en acción de gra­ D. Isidoro Gil y D. Lucio Castejoi». Esta traducción es la que de su gravedad tantas cuestiones previas como estos dias se cias al Todopoderoso por los felices y prósperos sucesos acaeci­ se ha representado con general aplauso en el teatro del Prínci­ han suscitado antes de entrar en discusión: prescin…</t>
  </si>
  <si>
    <t>Castejon, José</t>
  </si>
  <si>
    <t>José Castejon</t>
  </si>
  <si>
    <t>…embocadura. (Id.) de Acebo , D. Joaquín de E ch ev arría, D. Ricardo L ó p ez, Don ras colgadas ju n to al techo. Los cuadros, por otra p arte, del m inisterio de G racia y Ju s tic ia para que se proceda A ntonio González , D. José Castejon , D. M iguel M arques y han de estar separados unos de otros, y no encajados unos en todas las provincias á la renovación y nombramiento de V ille g a s , D. Lorenzo M a r a c i, D. Andrés M a r t i, D . Ju a u G a- en otros, como sucede en casi todas las galerías de p in tu ­ los in…</t>
  </si>
  <si>
    <t>Castella, Basilio Sebastian</t>
  </si>
  <si>
    <t>Basilio Sebastian Castella</t>
  </si>
  <si>
    <t>…tonio P e r e z .......................................... 4Q Martes.zzDe siete á ocho , D. Saturnino Lozano, griego. su comodidad. El marques de Falces..................................... . . 200 Miércoles.nDe siete á ocho , D. Basilio Sebastian Castella­ f . f ................................................................................................................ 20 nos', numismática , aplicada á la legislación española. D . B. A rce. ........................................... Idem —De ocho á nueve , D. Francisco…</t>
  </si>
  <si>
    <t>Castellano</t>
  </si>
  <si>
    <t>…rnantes de la ilustración, y han edema* de la* que había existente* ál concluir el año anterior. vente, fugitivos en los montes de esta provincia, son persegui­ opuesto un dique firmísimo al torrente aselador que iba á su­ El Sr. Castellano* se encargó de la cátedra de arqueología; el dos en todas direcciones por las tropas leales y voluntarios N a ­ mirnos en la barbarie. Laudables son sus esfuerzos, y tanto oías Sr. Chinchilla ha enseñado la histeria de la medicina españo­ laudables cuanto que no permitiendo las circunstan…</t>
  </si>
  <si>
    <t>Castellano, Nicolás</t>
  </si>
  <si>
    <t>Nicolás Castellano</t>
  </si>
  <si>
    <t>…rosas que h a y a n llegado á predo­ Hubo nueve aproximados, que los fueron D. Reinaldo Pé­ la fe contra las asechanzas y violencias de tan encarnizados m inar en e lla s , no por sus servicios en favor del bien público, rez, D. Nicolás Castellano , IX Pablo P rie t o , O. Genaro C a­ enemigos. Los primitivos fieles se congregaban en secreto, no sino por ser mas audaces, mas astutos , mas diestros en preva­ ch o , D. Gabriel A z c árate, D. J u a n S u arez , D. M anuel Be­ para aspirar á la dominación , sino para libertars…</t>
  </si>
  <si>
    <t>Castellanos</t>
  </si>
  <si>
    <t>…ón de los negros esclavos, y dente , Sr. Seoane (O. Mateo). Secretario, Sr. Collado. Vice­ Por último, ha discutido ea varias ocasiones el estado de la tanto en aquel dia como en el siguiente, reinó en ella el ma­ secretario, Sr. Castellanos. cultura española eri el siglo x n r ; el de la literatura española yor desorden , presentándose desde entonces síntomas de des­ Tercera sección. —Presidente, Sr. Vallejo. Vicepresidente, en los siglos xtii, xiv y x v; y cuál de los siglos xvi ó xvri contento y del peligro que amenaza e…</t>
  </si>
  <si>
    <t>Castellanos, Basilio Sebastian</t>
  </si>
  <si>
    <t>Basilio Sebastian Castellanos</t>
  </si>
  <si>
    <t>…ació n mo­ de dicho término á la escribanía del número que despacha Don La entrada para las cátedras es por la calle de la Cruz. ral de la n iñ e z .~ A . L. Manuel M ate o s, que se adm itirán las que se hicieren siendo ar­ D. Basilio Sebastian Castellanos, catedrático de numismá­ regladas. tica aplicada á la legislación española, y D. Francisco Bermu- dez Sotomayor de A la b e , no dan principio á sus lecciones has­ Suscripción p a r a s o c o r r o d e las monjas . ta 1.° del mes próximo. Y se avisará al público cua…</t>
  </si>
  <si>
    <t>…scuento de letras , á 6 por 100 al año. Lleno de 2 por punto............................................................. Idem. les de aquel en España , á los Sres. D. M arian o Roca de T ogo - r e s ,d e la academia española; D. Basilio Sebastian Castellanos, Trompeta Real. anticuario de la biblioteca R e a l; D. M anuel Bretón de los Her­ Extensión de do á f a . reros, bibliotecario de la misma , y D. Vicente Cardererá , an­ ticuario y ¿Artista distinguido. PROVIDENCIAS JUDICIALES. MANO IZQUIERDA Y DERECHA. P OR el prese…</t>
  </si>
  <si>
    <t>…mos tal vez, aqui es donde aparece mejor y mas dignamen­ Numismática comercial, te desmostrada la exactitud de nuestro aserto. Las bacana­ EL MEDICO Y LA HUERFANA. les de la revolución francesa tuvieron su simulacro mas siete.D. Basilio Sebastian Castellanos, martes y viernes de seis á cumplido en la literatura; hollados los principios políticos, Ideología y gramática general. Intermedio de baile; terminando la función con la diverti- se hollaron también los literarios. Restaurada la monar­ tida comedia en un acto, original…</t>
  </si>
  <si>
    <t>Castellanos, Basiliq Sebastian</t>
  </si>
  <si>
    <t>Basiliq Sebastian Castellanos</t>
  </si>
  <si>
    <t>…a esto. Permane­ - 6 ,0 6 7 .... 8000 ps. fs .. Barcelona. La cátedra de arqueología de las bellas artes, á cargo del ced cerrados las tieiulús/ durante tres dias, y en. ellos se 15,557.-... - '5000. ...... Sevilla* profesor D. Basiliq Sebastian Castellanos, d^rá principio el lu­ %érifiéatt lasigrandes comidas en que abundan los vinos -- '24,537. .. • 3000. . . . w . Gádiz.* nes 4 de Marzo. • tftíB KMiV y d e GlVtHiípágtre; éste debe sucumbir necesaria­ ^ 21,391.... 400. . . . . . . &gt; Mo atoro.. La de historia, por D.…</t>
  </si>
  <si>
    <t>Castellanos, D. Basilio</t>
  </si>
  <si>
    <t>D. Basilio Castellanos</t>
  </si>
  <si>
    <t>…. Se volverá á poner en Sr. D. Eusebio María del Valle, director. escena la ópera nueva, dividida en tres partes, titulada Sr. marques del Socorro , subdirector. Sr. D. Francisco Hilarión Bravo , censor. I B R IG A N T I, Sr. D. Basilio Castellanos, vice-censor. PROVIDENCIAS JUDICIALES. Sr. D. Juan Antonio Seoane, secretario. poema de Crescini, cuyo asunto está tomado de la famosa tra­ Sr. D. Francisco Bertrand de N a rd , vice-secretario. T O D A S las personas que se crean con derecho á la dimisión gedia de Schiller,…</t>
  </si>
  <si>
    <t>Castellanos, Pedro Saiz</t>
  </si>
  <si>
    <t>Pedro Saiz Castellanos</t>
  </si>
  <si>
    <t>…ier Reiniqqe. P R IN C IP E . A las siete y media de la noche. Despue* de ‘ A consecuencia de la anterior providencia fue puesto en l i ­ una brillante sinfonía se pondrá en escenai el melodrama nue* bertad inmediatamente el D. Pedro Saiz Castellanos, según asi resulta de la expresada causa que existe en mi poder , de que LA M ARIPOSA, v °, de grande espectáculo, en cinco actos p titulada doy fe , y á que me remito. Y para que conste pongo el pre­ sente, que signo y firmo eu M adrid á 25 de Setiembre de 18 3 9 .= P E R IO…</t>
  </si>
  <si>
    <t>Castellón</t>
  </si>
  <si>
    <t>…erno.) (Extracto de partes recibidos en la capitanía general.) se condena por su respeto á los tratados y por su deferencia hacia los Gabinetes europeos. En efecto, mientras él permanece enca­ Idem 24 . El comandante general de Castellón con fecha de ayer á las denado en su puesto , el ejército otomano puede continuar des­ ocho de la tarde dice, que acababa de recibir comunicación plegándose sobre su flanco derecho á lo largo del Eufrates para H oy á las cinco de la tarde han pasado revista en el cam­ del general A z n a…</t>
  </si>
  <si>
    <t>…e del ejército del C entro , con fecha 10, tid ad de 9 3 rs., se ha señalado para su primer remate el dia 17, mientos. Esta era la situación verdadera cuando se presentó ésa trascribe u n parte que le da el com andante general de Castellón, para el segundo el 27 del corriente m es, y para el tercero y proposición, y se ro za, digám oslo a s i, y ataca hásta cierto p u p - últim o el d i a 6 de Febrero próxim o, previas las mejoras d e ins­ to las no llamaré p re ro g a tiv a s, sino el encargo que tengo. y este el qu e le d…</t>
  </si>
  <si>
    <t>…recibido én la acción de la Yesa. el tiempo presente , constituye nuestra seguridad por el por­ pasada , la libertad de nuestro porvenir. venir. Señores, en lo que pido y hago hoy d i a , nada hay de ex­ El comandante general de Castellón con referencia al mili­ ¿ Y sabéis, señores, quién tendría que sufrir mas en la traño ñi de nuevo para ral. Soy fiel, enteramente fiel á lo que tar de Lucena, dice-en parte del 7, que la facción dió orden reacción que produciría necesariaínente el decaimiento de nues­ he hecho y pedido e…</t>
  </si>
  <si>
    <t>…la capitanía general.) que sufrió el clero por la abolición del diezmo y de la mala parte. distribución y recaudación de los fondos públicos. El Sr. Senador ha contestado que en efecto se ocupa de ello El comandante general de Castellón con fecha 11 dice que El Sr. Ministro de la GOBERNACION , contestando á las mas no obstante, el Gobierno también está trabajando para en el día anterior por la mañana salió de aquella capital una par­ observaciones del Sr. Senador que acababa de hablar, manifes­ el case de que se retrasase…</t>
  </si>
  <si>
    <t>…a expedición tras tropas de los movimientos ni por palabra ni por escrito. en medio de tal cúmulo de circunstancias?... Medítenlas un po­ llegase á Cartagena menos uno de los buques que arribó al de es­ El comandante general de Castellón participa en comuni­ co y de buena fe viendo los resultados , y exclamarán con no­ ta plaza. ¿Y cuáles han sido los resultados? Apenas habían fon­ sotros cación de ayer haber sabido por sugeto fidedigno que Cabrera tonio María que los servicios del Excmo. Sr. capitán general D. A n ­ dead…</t>
  </si>
  <si>
    <t>Castilla</t>
  </si>
  <si>
    <t>…habia abandonado, y roborarlos I I fuan Pablo Maroto.—Yicente Espinosa.—J. el duque de Noble- volver á aquella ciudad santa fundada por el Altísimo, en la Sin em bargo, acordándonos de nuestro deber, y pensando as , mariscal de Castilla.—Manuel Hurtado de Mendoza. que únicamente puede hallarse salvación. Porque hácia el fin del siglo x v i, los obispos rusos que es­ que "C de lo alto se nos ha, dicho como en otro tiempo el profeta: lam ad, no os canséis, levantad la voz como una trompeta, | [ue Corresponde con sn orig…</t>
  </si>
  <si>
    <t>Castillo, Antonio</t>
  </si>
  <si>
    <t>Antonio Castillo</t>
  </si>
  <si>
    <t>…sta ciudad, era muy afecto á todo lo rela­ natural. Un indio de Coecula llevó á la casa tintos gobiernos, religión y costumbres: estos objetos y otros regalos: todo esto se ha debido al comercio: sí, á esta fuente del difunto D. Antonio Castillo una enorme muela qne se ha­ muchos que om ito, constituyen el curioso y divertido estudio inagotable de riquezas, cuyos beneficios y causas que le han fo­ lló en las playas de Zacoalco ; casualmente pasó el Sr. Ritchie de la geografía. mentado me propongo demostrar. á la sazón que s…</t>
  </si>
  <si>
    <t>CASTILLO, EL</t>
  </si>
  <si>
    <t>EL CASTILLO</t>
  </si>
  <si>
    <t>…onel Rodríguez sigan su pista y les dé pronto TR AD UC IDOS EN PROSA V VERSO. misma hora del dia 25 sufrieron igual pena en le plaza de Vigo alcance. Alejaudro de Castro, alias el Sedero, y otro de la propia ga­ POR DON JOSE D EL CASTILLO Y AYENSA. villa conocido por el Coello, sin que en la ejecución de dicha sentencia se notase la menor alteración del sosiego público en BOLETIN DE COMERCIO Un tomo en 8.° marquilla con el texto griego al frente de una ni otra parte. Los ocho restantes de tan criminal compa­ la traducc…</t>
  </si>
  <si>
    <t>…n la librería de la belde Maroto con un escuadrón y dos batallones, y que lleva­ viuda de P az , calle M a y o r, frente á las gradas de S. Felipe; y ba presos á dos generales, confirmándose por noticia posterior, POR DON JO SE D EL CASTILLO Y A Y E N SA . en las provincias, C an arias, Puerto-Rico y la H abana, en las no solo la prim era, sino que se habia prendido también al ca­ becilla G arcía, y que á las once y cuarto del dia siguiente ha­ Un tomo en 8.° m arquilla con el texto griego al frente de administraciones de c…</t>
  </si>
  <si>
    <t>…, Sonámbula , Bea- TRADUCIDOS EN PR0SA Y VERSO. «trice di Tenda , í purítani^ Norma , Mónteseos y Capeletes, AM ANTES Y CELOSOS, TODOS SON LO CO S. Straniera y P ira ta ; de Coccia.,Caterina de Guisa y otras va­ POR DON JOSE D EL CASTILLO Y AYENSA. rias.'Se advierte hay un gran surtido de piezas sueltas de estas Intermedio de baile ; terminando la función cor a un diver­ roperas y otras desconocidas para canto, piano solo, dos pia­ tido sainete. nos, piano y guitarra, piano y flauta y piano y violin, y vi- Un tomo en 8…</t>
  </si>
  <si>
    <t>Castillo, José</t>
  </si>
  <si>
    <t>José Castillo</t>
  </si>
  <si>
    <t>…tercer grado el impreso titulado '"Manifiesto que en defensa de su legal y justo proceder en la El regreso de Fernando. Himno patriótico por el autor de A las ocho de la noche. Se volverá á poner en escena la causa formada á D. José Castillo, su señora é hijas han dis­ la profecía del Pirineo D. Ju a n Bautista de Arriaza. Un cua­ ópera n u e v a , dividida en tres partes, titulada .4 puesto los doctores D. Juan Ramón de Barcia y D. Angel Hidal­ derno en 8.° impreso en I 8 I 4 , á 12 cuartos en rústica. go , en el que se…</t>
  </si>
  <si>
    <t>Castillo, José Maximino</t>
  </si>
  <si>
    <t>José Maximino Castillo</t>
  </si>
  <si>
    <t>…mana res­ Gramática de la lengua inglesa, que contiene reglas fáciles I B R IG A N T I, pectiva de aquellos, va precedido &amp;c.?” denunciado en 4 de J u ­ para su pronuuciacion , y aprenderla metódicamente , con nio último por D. José Maximino Castillo, la ley condena al muchas observaciones y notas críticas de los mas célebres auto­ poema de Crescini, cuyo asunto está tomado de la famosa tra­ doctor D. Juan Barcia, responsable de dicho impreso, en las res puramente ingleses, especialmente de L o w t h , Prietley y gedia de…</t>
  </si>
  <si>
    <t>Castillo, Luis López</t>
  </si>
  <si>
    <t>Luis López Castillo</t>
  </si>
  <si>
    <t>…ristiano en concepto del verificada por orden del R. obispo coadjutor de Toledo, resi­ obispo de Astorga ; en cuya demostración raciocina desde luego beneficencia, hospitales generales, asociación de carid ad dente en Madrid , D. Luis López Castillo. con doctrinas propias para tocar el corazón de los fieles. Con fugio, la del pecado m olartal, y casa de beneficencia, inclusa, la h e rm a n d a d del re ­ la asociación del B uen Pas­ El au tor, luego que vio coocluida la impresión, se apre­ este motivo habla de la correcci…</t>
  </si>
  <si>
    <t>Castillo, Mariano Alonso</t>
  </si>
  <si>
    <t>Mariano Alonso Castillo</t>
  </si>
  <si>
    <t>…LAS PROXIMAS CORTES. ra acuda al juzgado de dicho señor por la escribanía del citado Catálogo de las mejores estampas que se hallan de venta en M anrique; en inteligencia que no se admitirá nioguna que no Folleto publicado por D. Mariano Alonso Castillo, gefe d&lt; la calcografía de la Imprenta nacionaL cubra el valor de su tasación, y para su remate se ha señalado Hacienda que ha sido en diferentes provincias de España , é in­ el dia 22 del corriente y hora de once á doce de la mañana en dividuo de varias corporaciones científ…</t>
  </si>
  <si>
    <t>Castillo, Rita</t>
  </si>
  <si>
    <t>Rita Castillo</t>
  </si>
  <si>
    <t>…onál.zzPr imera demarcación. dinaria á beneficio del cuerpo de coristas de la compañía de hecho de un impreso que ha publicado el Dr. D. Ju a n Ramón ópera. Se distribuirá del modo siguiente: de Barcia, relativo á la vida de Doña Rita Castillo, hermana A virtud de providencia del Sr. alcalde D. Felipe Gómez 1.° Sinfonía característica española del maestro Mercadante. de aquel, cuyo expediente ha sido sustanciado por los trámites Acebo , y para celebrar juicio de conciliación, se cita por el 2.° E L E N G A Ñ A D O R E N G A…</t>
  </si>
  <si>
    <t>Casto</t>
  </si>
  <si>
    <t>…das de Villena. Por el presente se cita , llama y emplaza á D. Victorin o po rte *1'8™5 d6 ^ adrici-=::De la calesa * la galera.=Fraucas de M o r u l l a , comisario de gu e rra , y como apoderado de D . J u a n Sant J u s t a D Casto E s p i n a r , coronel mayor de infantería- Se suscribe al Semanario en las librerías de Jo rd án , calle de CRU Z. Hoy rio hay función, i D. -Francisco Nieto Sama niego , primer ayudante de plaza de Carretas, y de P a z , frente á las Covachuelas; y en las provin­ íi g u e r c S j D. Ju¿c R…</t>
  </si>
  <si>
    <t>Castrillon</t>
  </si>
  <si>
    <t>…de los graciosos los primeros que han sufrido el saqueo. A dem as, sabéis que se wn mugeres y Don Lucas del Cigarral . La primera , re­ ha encontrado un plano de la plaza Real, en el que se indican fundida con talento por el Sr. Castrillon , es muy semeja ti- de nuestras comedias de aquel siglo, porque libres de los las medidas estratégicas necesarias para la defensa , siendo de e al Amor al aso de Solís: porque tiene tres galanes que vicios de elocución, propios entonces del estilo remonta­ notar que el sistema de las barr…</t>
  </si>
  <si>
    <t>Castro</t>
  </si>
  <si>
    <t>…do perdido lo­ á que pertenecía; pero que no habiendo impugnado el dictamen, y téngase presente al votar la adición que no es justo que á una dos los ganados menores y mucha parte de los mayores, será im cedia la palabra al Sr. Castro que le contestaría á sus observa­ provincia se le quiten todos los medios que tiéñe para fomentar posible el que se puedan encontrar allí rnulas. En esas provincias ciones. su riqueza, poder v iv ir, y contribuir á los gastos del Estado. se están sosteniendo continuamente porción de brigadas…</t>
  </si>
  <si>
    <t>…ha ten ido, sino es que sinceramente siente dencia , se ha remontado hasta decir que seria quemado el se­ fue tan su frid o, todavía se ve com o conmina al Papa si persiste mi corazón el haber retardado la contestación del Sr. Castro. ñor O rtigosa, y que aun el fuego llegaria á las Secretarías del en la costumbre de no aprobar las bulas, y le amenaza hasta el El Sr. B U R R IE L : Y o hubiera renunciado la palabra si Despacho. Si se da rienda suelta á la interpelación, fácil es punto de hacerle responsable ante Dios d…</t>
  </si>
  <si>
    <t>…ar lal jautas de fe * so- Los billetes se despachan ea la librería de Tieso , cali® dfij anetaeiida «el cooncámiecita de estas causas i los diacesai»o&amp; Carretas, .en la Ibotlllería de 1» Red de SL Luis, num :*- S2, hasta £1 Sr. Castro pidió * leyese el a rt l . ;° par el que sel previe­ BOLETIN DE COMERCIO. tes dies de la noche, y en el «k m ® Jbcai Eli k1tete:p«BnmnaI-m ne que tas cansas de esta clase 5®su^auctaráii admitiendo ape- seis reates. lacioues* recursos de fuerza j otras;, BOLSA D E M A D R ID . A. petid aa d…</t>
  </si>
  <si>
    <t>…de Cornelia y de Zavala.^Entonces,' f á pesar varra y distrito de Viana. Misericordia, por Francisco Jiménez M artinez, en 12. de que la escena española aéahabrá de jftfeai* p o r uño d é sus 7.° Proponiendo la admisión del Sr. Castro por Orense. Otra i d ., id. , Ntra. Sra. de los Dolores, por Antonio G ó­ mas gloriosos períodos, la escasa in te lfg e h é iá d e l publico ^ Se procedió en seguida á la lectura autorizada por las sec­ mez García , en 12. pudó* ap lau d ir 1 fas tristes obras d e aqücTlós^ á“*qt\ífc’ñcj^Tff…</t>
  </si>
  <si>
    <t>…os que espera seráu cumplidos con el 5.° La del Sr. M ath e u , cuarto suplente por Barcelona. do y benignidad este pequeño testimonio de su constante y auxilio de la sensatez y conocido patriotismo de las Cortes. 4-° La d¿l Sr. Castro, Diputado por Orense. fiel adhesión á su excelsa Hija nuestra Reina Doña Isabel t i , Dígnese V. M. acogerlos como un testimonio del fuego sagra­ Leido el dictámen de la misma comisión en que proponía la y á la augusta persona de Y. M .. cuyas importantes vidas do que arde en sus corazones,…</t>
  </si>
  <si>
    <t>…diencia de S. S . , que la tiene en el piso bajo de la au ­ cuarta, el Sr. Lasaña á la quinta , el Sr. Abascal á la sexta, y diencia territorial, de los progresos de la astronomía y de las ciencias náuticas en á la séptima el Sr. Castro. I España.zzNaticia de esta obra recien publicada en Francia. El Sr. PRESIDENTE señala para mañana la discusión pen­ Isla Isabe!a.=Sobre el pretendido derecho de los portugueses diente , y si hubiese tiempo la de los dictámenes de la comisión á esta isla recien formada en la barra del Guadia…</t>
  </si>
  <si>
    <t>…ión sobre los se- NOTICIAS EXTRANGERAS. el art. 19 de la ley orgánica de la caja de Amortisacion, que ñórés Castro, Salamanca y López Vázquez. G RA N BRETA Ñ A. habia quedado pendiente en la anterior. Se leyó el relativo al Sr. Castro, que dice a s i: El Sr. G O M EZ A C E B O : El artículo que se discute con­ Al Sr. Castro por Real decreto de 6 de Setiembre último se Londres 1.° d e E nero. tiene una base , la- cual de ninguna manera puede ser desechada le concedió la cruz de la Real y distinguida orden de Carlos m , p…</t>
  </si>
  <si>
    <t>pero me obligan á ello sus últimas expresiones, por cuanto al toy persuadido de que ett cuanto losepa no querrá ni un soio te el Sr. Lope2 Vázquez quedó cesante desde el momento que tratarse de la reelección del Sr. Castro, dice que habiéndosele dia dejar de ser Diputado español por ponerse una condeco­ fue nombrado el Sr. Baeza. nombrado decano del tribunal especial de las Ordenes , no ha ración. El Sr. AYALA Y MOR LA dice que á pesar de !a exac­ sido comunicada la orden ni al interesado ni al tribunal. El Sr.…</t>
  </si>
  <si>
    <t>…as yo dominaba parte del batallón navarro que le defendía. dos morteros y un considerable balerío y efectos de parque. la llanada , vencía con vosotros aquellas formidables líneas, y Las instrucciones que tenia dadas al coronel Castro para Lo que traslado á V. E. para su superior conocimiento, atacaba con feliz éxito el t uerte y elevadas cimas de Urquiola, que coronase desde luego la altura de U n cizu r, en que estaban debiendo al mismo tiempo hacerle presente que por noticias coincidieron los brillantes triunfos sobre…</t>
  </si>
  <si>
    <t>CASTRO</t>
  </si>
  <si>
    <t>…nitiva pro­ centes se requieren cinco magistrados para ver y fallar en cual­ ha querido acertar. ' nunciada por él sobre delito de pena corporal, ia audiencia quiera instancia las causas que en el juzgado inferior se haya El Sr. C A S T R O , después de leer el art. 56 de la ley elec­ para determinar en vista ó revista oirá al fiscal en su caso, y impuesto ó pedido por el fiscal de S. M. la pena de extraña­ toral , dice que no hallándose comprendidos en el texto de la también á las demas partes ó sus defensores, si se pre…</t>
  </si>
  <si>
    <t>…y desgraciada, animándo­ ha formado otra división de reserva en T ulanciugo á las órde­ Sr. gefe superior político de la provincia para dar los primeros los con la esperanza de mejor trato si correspondían coa es­ nes del general Castro, y en breve serán los revoltosos estrecha­ golpes en su suelo y abrir el m anantial de su riqueza comercial, fuerzo en los trábajos que iban á emprender. dos á su única m adriguera, donde los dejarán comprometidos ue aumentando la territorial que n in g ú n otro pueblo como ella De este modo…</t>
  </si>
  <si>
    <t>Castro, Antonio</t>
  </si>
  <si>
    <t>Antonio Castro</t>
  </si>
  <si>
    <t>…plazo que la Real orden de 14 de Marzo señala: Galarza, D. José Tomé y Ondarreta, D. Feliciano Sancha, destrozo causado por la tormenta del sábado: poco sin embar­ pues excitado aquel ayuntamiento y junta de comercio inspiran D. Antonio Castro, D. Diego del Rio, D. Francisco Antero go podríamos añadir á lo publicado Casado , D. Custodio Moreno, D. José Alvarez Crespo y Don ayer sin contraernos á confianza, y la tienen también, como deben, en la de Reinosa Pantaleon Muntion y Alonso, quienes por unanimidad decla­ derribo d…</t>
  </si>
  <si>
    <t>Castro, Francisco</t>
  </si>
  <si>
    <t>Francisco Castro</t>
  </si>
  <si>
    <t>…que ejecuta sus maniobras , y sin qu&lt; proporciones se les propusieron, particularmente por el profesor queda vacante por el nombramiento del Sr. Tosti; sin embargo haya recibido mas deterioro que los que le ha causado el cañor D. Francisco Castro, que celebró el buen estado en qug |as ha* «Mu nombramiento no se ha anunciado todavía oficial mente. Si mejicano, cuyas señales forman las gloriosas cicatrices de si bia éncontrado. d k e por otra parlé que este internuncio será enviado á Suiza er casco. Concluyó el acto del dia 8…</t>
  </si>
  <si>
    <t>…rrillero Manuel Francis­ En las matemáticas, la clase de álgebra compuesta de 10 Gobierno superior pohddco.r: Administración principal de co Radiado que con sus atrocidades estaba vejando mucho tiem­ niños á cargo del profesor D. Francisco Castro, con arreglo al correos de Filipinas.zzTeniendo en consideración el estado de in­ po había el distrito de la subdivisión militar de Beja y demas tratado de Valiejo, resolvió con exactitud y presteza las m u­ seguridad en que se encuentran las comunicaciones de unos puntos por donde…</t>
  </si>
  <si>
    <t>Castro, Francisco de Paula</t>
  </si>
  <si>
    <t>Francisco de Paula Castro</t>
  </si>
  <si>
    <t>…de dad , no digo c u lta , sino semisáivaje , podria cousentir que t o - se ha servido ad m itir la renuncia, que ba hecho el Sr. D i p u t a ­ Oviedo. ; - ? dos los hombres condujeran ante los magistrados aí que c o m e ^ do D. Francisco de Paula Castro , de la cruz de Carlos n i y uso Lo que d ig o á V EE. &amp;c. M adrid 50 de Diciembre de 1858.” tiera un delito si no le estaba'cometiendo entonces? ¿ Q ue de placa que se le había conferido. , i Por este oficio,se ve que el M inistro de Gracia y Justicia d e n , qué poder en…</t>
  </si>
  <si>
    <t>Castro, José</t>
  </si>
  <si>
    <t>José Castro</t>
  </si>
  <si>
    <t>…en cada año.” ■Se leyó y -aprobó sin discusión mi dictamen de la comisión cuyo tiempo no puede menos de alabar la marcha que el Sr. He- El Sr. GARELLY contestó que con lo que la comisión in­ de I'clic ion es acerca de la de D. José Castro, vecino de Barce­ ros adoptó; pero que entonces no había bases sólidas para la tercalaba en el párrafo se llenaban los deseos del Sr. Rich. lona, solicitando se acuerde la publicación de la ley sobre vía- distribución, pues únicamente al buen juicio del Sr. Ministro Los Sres. Rich, Gare…</t>
  </si>
  <si>
    <t>Castro-</t>
  </si>
  <si>
    <t>…nicaciones de los cuerpos colegisladores, los licia nacional , desterrándole después á un pueblo distante seis felicitar á V. M. por los interesantes sucesos de la guerra en el Sres. O ndovilla, M edrano, Gómez Becerra, duque de Castro- leguas de aquella villa , en la que se hallaba emigrado h uyen ­ Norte de España , y a que apresuran el dia de la paz que ha de terreño y conde de Oñate. do de las persecuciones de los facciosos. u n ir á todos los pueblos en una sola familia. El célebre trata­ Para la que ha de examinar l…</t>
  </si>
  <si>
    <t>…ada cuerpo colegisllladoc. tengo á mi cargo. He .serali fio.' tanto, mas usar fia la. palabra el Senado sufrieren alguna alteración «¡pe aquel no ¡admite des- 1 Se .leyó el 95 que dice: cuanto be evitad.© proporcionar que el Sr. Castro- pediese haber púa*;, pj ¡ará á b sancioa Real te que tes; Di. píotodos aprobaren Art, 95, Los casos de exclusión é la sucesión de la corona usado de ella* Yo foí sincero cuando hablé de Ja Real orden, fiefteit i vaneóte, que comprende el a rt 54 de 1a Constitución ? se decidirán por porque…</t>
  </si>
  <si>
    <t>Castrotenreño</t>
  </si>
  <si>
    <t>…obtenido siquiera aquella nrbauidad y cortesanía que «s los Sres, P eros, conde de Ofelia , marques de Y al gomera „ Ca- ; fie un derecho fie mucha importancia y trascendencia, cual propia.' -ialravx* Rui» de la Yaga y duque de Castrotenreño, El córate- : era fie cas© fie declarar la incapacidad del Rey. E3 Sr, Peña Aguayo insistió en que el Sr- Ortigosa hablaba nido da dictaos urlíceles, según fnertun a probados, es el a i-; Después fie u o breve debate en este sentido entre los seño­ por mil vo*; por te mismo me veo obl…</t>
  </si>
  <si>
    <t>Castroterreno</t>
  </si>
  <si>
    <t>…ui está la ley. El Sr. Osea ha hecho Por Orense: Sr. Alvarez Pestaña. rizado para presentar á las Cortes, el c u a l , después de un breve la im pugnación diciendo que la ley no dice lo que debia decir: Por Zamora: Sr. duque de Castroterreno. preámbulo, comprendía los dos artículos siguien tes: no ha contado mas que la mitad de la historia del a r tíc u lo : yo Por Cáceres: Sr. Landero y Corchado. Artículo í.® Se confirman los fueros de las provincias V a s ­ contaré la otra mitad. Por Cuenca: Sr. Melgarejo. congadas y N…</t>
  </si>
  <si>
    <t>Castroterreño</t>
  </si>
  <si>
    <t>…nderán en un libro tar documentos que acreditan su aptitud legal. 2 , el Sr. Roldan 7 , el Sr. Alcon 1 , el Sr. Mascaró 1 , el se­ que al efecto llevará uno de los secretarios, resolverá cuanto Otra comunicación del Sr. duque de Castroterreño, Sena­ ñor Olózaga 1 , y el Sr. Viadera 1. Número total de votantes convenga al logro de los fines que se propone la sociedad. dor por la provincia de Z u n o r a , acompañando certificación del 1 0 0 : mayoría absoluta 51. 9 .a La junta general se reunirá el 1.° de Setiembre de cada a…</t>
  </si>
  <si>
    <t>…ejercido sus fu n ­ que las manifestaron han hecho alarde de e lla s , y han sido oí­ Se leyó una proposición de los Sr es. duque de Bailen , con­ ciones con libertad. das por unos y otros con atención. de de Y i g o , duque de Castroterreño, Isla Fernandez y conde Las medidas tomadas por m í han contrarestado á las de los Ocurrió un caso en el año anterior, no hablo del del señor de Ezpeleta, relativa á que cesasen las juntas de represalias; la an arquistas; y bien á mi pesar he prolongado el estado de M endizabal, alli s…</t>
  </si>
  <si>
    <t>…de aqui resultase la consiguien­ D. José Ciscar y Oriola........................................Idem. Será exornada con todo el aparato que exige su asunto. te falta de sectido y de exactitud en las ideas, asi como omi­ Duque de Castroterreño.........................................Zamora. siones de bastante consecuencia , lo reproducimos hoy íntegro Duque de Zaragoza.................................................Zaragoza. coa las necesarias correcciones. D. Juan Romeo y Tello.... ................... Idem.</t>
  </si>
  <si>
    <t>Castroverde, José de Lletor</t>
  </si>
  <si>
    <t>José de Lletor Castroverde</t>
  </si>
  <si>
    <t>…e los poemas humanitarios introducida en Francia y en A le­ cido al castellano, ilustrado con notas y precedido de un dis­ el exámen de los innumerables enfermos que asistían á su clínica: m ania. curso prelim inar por el Dr. D. José de Lletor Castroverde, dos temperamentos que constituyen un punto importante de etio - Vengamos ahora á la epopeya tal cual nosotros la entende­ tomos en 8.° á 52 rs. en pasta y 28 en rustica. 9 y cuy ° estudio se hace indispensable para conocer á p ri­ mos. La epopeya debe pintar una época c…</t>
  </si>
  <si>
    <t>Casy</t>
  </si>
  <si>
    <t>05/11/1839</t>
  </si>
  <si>
    <t>Gaceta de Madrid n.º 1822</t>
  </si>
  <si>
    <t>…sé sabe de un modo po­ Rochafért, de donde salió el 7 de este mes. sitivo cual ha podido ser el objeto del viajé de este ingles. (Id.) El tribunal marcial, reunido bajo la presidencia del contra­ Paris 28 de Octubre. almirante Casy , mayor general de la marina , ha condenado á la pena de muerte á un forzado que llegó últimamente de Brest, No hubo bolsa el dia anterior por ser domingo. por haber herido repetidas veces con un cuchillo á un gefe de El gran banquete de los prelados; católicos se ha celebrado en la direcció…</t>
  </si>
  <si>
    <t>Cata</t>
  </si>
  <si>
    <t>…Gaceta del Gobierno , á todos los que se crean con general de Rentas estancadas, certificaciones expresivas de las interesa el servicio público en el exacto cumplimiento de derecho á los bienes quedados por fallecimiento de Doña Cata­ entregas con referencia á los recibos que debe dar el contratista estas prevenciones, estará muy á la mira de que se lleven lina Sancho Terroba, vecina que fue de esta propia corte, para ó sus apoderados. á efecto con el celo que tiene derecho la Hacienda á exi­ que en dicho término se prese…</t>
  </si>
  <si>
    <t>Catalan, Blas</t>
  </si>
  <si>
    <t>Blas Catalan</t>
  </si>
  <si>
    <t>…zación. El Sr. G O M E Z ACEBO : La comisión no formará un em­ En el despacho de 29 de Diciembre último ha tenido á peño particular en que se sostenga el artículo tal corno se pre­ bien S. M. la Re i oa Gobernadora nombrar á D. Blas Catalan sen ta, y por lo tanto oirá gustosa á los Sres. Diputados que lo para una procura, vacante en Zaragoza por ascenso de Don p O R el presente, y providencia dictada por el Sr. D. Juan José im pugnen; y á consecuencia del resultado que ofrezca la discu­ Mariano Asensio; y para la promotorí…</t>
  </si>
  <si>
    <t>Catalina</t>
  </si>
  <si>
    <t>…roducido en escrupulosa ateocion la Biblia que perteneció á los gerónimos, 1833 excedió 15.000,000 de libras* y por las mejoras hechas varios. La lluvia es muy esencial para el crecimiento dé la el libro de horas de la Reina Doña Catalina , el mapa geográ­ en la extracción del jugo y en la cristalización se obtiene nueva planta, por lo qué és casi inútil hacer el plantío én fico de la Cartuja de Evora , el libro de las fortificaciones anti­ siete libras cíe azúcar refinado de cada 100 libras de raiz. tiempo secó. Si el tiemp…</t>
  </si>
  <si>
    <t>Cataluña</t>
  </si>
  <si>
    <t>…ciudad,, piadoso establecimiento; me es forzoso scudir á los amantes de y al capitán general de Castilla la Vieja. la humanidad, para que se sirvan remitir las ropas de desecho EFECTOS PUBLICOS. Atentado subversivo de un cura de Cataluña. que tengan propias para aquel objeto, á la secretaría de la ad­ ministración de dicho hospital, sito en la calle de Amaniel, Inscripciones en el gran libro á 5 por 100 , 00. núm. 11 nuevo, esquina á la plazuela del G ato, barrio de Títulos al portador del 5 por 1 0 0 , 20 nueve treintaidos…</t>
  </si>
  <si>
    <t>…chos años. M adrid 20 esto el Secretario de Estado del departamento del Interior, y el de Abril de 1859.—Excmo. Sr.=José A gustín de Larram endi.= Gobierno ha adoptado al efecto medidas de represión ? E l c a f l k i general de Cataluña dice en comunicación de 12 del actuairresde Biosca, que conviniendo á su objeto reconocer Exctno. Sr. ministro de la Gobernación de la Península. L ord Joh n R u ssell : Se ha entablado con este motivo una correspondencia con muchos lord-tenientes de los condados: al enemigo situado á su f…</t>
  </si>
  <si>
    <t>…s in sinu a­ años. Real de Durango 28 de M ayo de 1859. =: Montenegro. = berse disminuido este ejército de m3s de 12 batallones que nos ciones de que ese Sr. marques tiene sentimientos de caballero , y Sr. comandante general de Cataluña. sacrificaron, de 12 ó i 5 piezas de batalla que perdimos solo en que sus deseos é intenciones se d ir ig irá n á su bien, que es lo q u e tiempo del desgraciado Guergué (q. e. g. e . ) , y de los caballos siempre practicó este su am igo = J. J . Núm. 5.° que igualmente se nos llevó B alr…</t>
  </si>
  <si>
    <t>…l i­ Dios guarde á V. E. muchos años. Real de IJurango 2 de J u ­ gues), quien ha hecho hasta ahora una especie de papel en este Cotización del dia 26 á las tres de la tarde nio de l839.rrM ontenegro.^Sr. comandante general de Cataluña. pais. A la vuelta de su último viaje á Alem ania contó aquel EFECTOS PUBLICOS. que el príncipe M etternich, á quien se venera aqui como á un sem i-D ios, le había manifestado su admiración de que un jo ­ Inscripciones en el gran libro á 5 por 100 , 00. E xtracto d e las tres ca rta s esc…</t>
  </si>
  <si>
    <t>…Art. ÍG. Las atribuciones de las comisiones superio­ secretaría del mismo ayuntam iento que designare el se­ T DEL DESPACHO DE LA GUERRA. res de instrucción primaria son las que se expresan en los cretario. El capitan general de Cataluña, en comunicación de 20 párrafos l.°, 2.°, 3.°, 4.°, 5.°, 6.°, 7.°, 8.° y 9.° del art. 29 Art. 32. Las comisiones locales celebrarán una sesión del actual desde Biosca, dice que con aviso que tuvo de que del plan provisional. ordinaria mensual en dia señalado previam ente, y todas el fuerte…</t>
  </si>
  <si>
    <t>Catalá.rrEl</t>
  </si>
  <si>
    <t>…s, para la promotoría fiscal del juzgado de Fuen­ Amortización, Lorenzo María Cortijo.nSecretario , Francisco al mas puro regocijo, con la fundada esperanza de que m uy te Ovejuna D. José Pablo Olondriz , y para la de Guadix Don Catalá.rrEl asesor, Joaquín María Valcarcel.—El abogado fiscal, en breve, si no la persuasión , la fuerza destruirá estas ma­ Miguel de la Tubilla Ramirez. José Tomas Benjumea y Garboneil.zrEl contador interino de sas, y se pondrá térm ino á nuestras privaciones y fatigas. provincia, P. A. José Ma…</t>
  </si>
  <si>
    <t>Católico-Social, EL CRISTIANISMO. Revista</t>
  </si>
  <si>
    <t>EL CRISTIANISMO. Revista Católico-Social</t>
  </si>
  <si>
    <t>…convenientes ofrezca; pero desecharlos A N U N C IO S. am bos, es absolutamente im posible. Esto es lo que según Cotización del dia 28 á las tres de la tarde » nuestro m odo de ver no han reflexionado bastante los se­ L GENIO D EL CRISTIANISMO. Revista Católico-Social* ñores Diputados que atacan el dictam en d e la com isión E que comenzará á ver la luz pública el 15 de Febrero pró­ EFECTOS PÚBLICOS. Inscripciones en el gran libro á 5 por 100 , 00. como demasiado favorable á la extensión de la autoridad xim o, y cuyo d…</t>
  </si>
  <si>
    <t>Cautorné, Reyes</t>
  </si>
  <si>
    <t>Reyes Cautorné</t>
  </si>
  <si>
    <t>…mente por ha­ bienAunque !) hoy existen intereses comerciales de grande impor­ te general el entusiasmo de toda su columna, y recomienda con cer triunfar aquello por que habia combatido. El texto de la especialidad al capitán D. Reyes Cautorné é individuos que le cláusula es el siguiente: cc El nuevo ministerio, representando tancia que se discuten en M adrid, y que para discutirlos con utilidad para la Francia , no podernos presentarnos en una si­ acompañaron, por el nuevo é interesante servicio que han las opiniones del…</t>
  </si>
  <si>
    <t>Cavaaillas</t>
  </si>
  <si>
    <t>…énero de instrucción recomendada deben grandes mejoras, y es digna de la gratitud uacioaal. compuesta de dos casas y otras oficinas, tierras de pan llevar, para los eclesiásticos, y otros puntos muy interesantes, que des­ El Sr. Cavaaillas hizo algunas reflexiones, impugnando la viñas y olivos, tasado todo en el presente año con la expresión cubren bien claramente poseían aquellos ministros juntamente opinión emitida por los señores que le habían precedido sobre necesaria en 106,770 rs. 22 mrs. vn. á rebajar cargas, se ha…</t>
  </si>
  <si>
    <t>Caval</t>
  </si>
  <si>
    <t>…uegos la mientos en la Luisiana. Sus desconsolados amigos c ierian ven­ D EFENSA verbal de D. Vicente Diez Canseco y D. Juan ceniza de las malas yerbas fecundaba el terreno, y con este gar su m uerte; pero un misionero , el abad Caval 3r, su her­ Bautista Alonso , pronunciada per el último ante la au­ abono natural crecía una nueva yerba excelente para los gana­ mano , contuvo su brazo rogándoles dejasen a D íoí el cuidado diencia territorial de M adrid en los días 18 y 21 de Enero ú l­ dos. Para estrechar el círculo del…</t>
  </si>
  <si>
    <t>Cavanna, Autonio</t>
  </si>
  <si>
    <t>Autonio Cavanna</t>
  </si>
  <si>
    <t>…las lá- 4 .................. d e . . 4 OO..................... 1600 desde el primer d ia , y mucho mas desde que sufre el rigor de ninas, 10 .................. d e . . 200 ..................... 2000 un temporal tan deshecho. D. Autonio Cavanna. 2 4 ................. . d e .. 100 ..................... 2400 Habia ya abierta una brecha en una de las casas y dos en D. Antonio Gómez. 5 2 ............... .► d e . . 5 0 ..................... 2600 o t r a , ocupando nuestras guerrillas sus inmediaciones á tiro de 400 ...........…</t>
  </si>
  <si>
    <t>Cay.uela</t>
  </si>
  <si>
    <t>…an la atención del Sr. del El ladrón titulado Raposo (alias T rusgo), asesino del malo­ y era el encargado de recoger los frutos y haberes pertenecien­ V alle en sus claras y naturales explicaciones sobre economía grado coronel Cay.uela, á quien la facción habia premiado tes á los expatriados. p olítica, presentadas con la práctica y tino que ha adquirido nombrándolo teniente, y a no existe; la columna de Carres ter­ en su continuo ejercicio de profesor en diferentes establecimien­ minó con la carrera de sus crímenes , dá…</t>
  </si>
  <si>
    <t>Cayetano</t>
  </si>
  <si>
    <t>…o metal. (Id.) por Mr. Lallemand , catedrático de la facultad de medi­ sonalmente en el teatro debe admirar á los espectadores, porque Real decreto admitiendo á D. Domingo Jiménez la renuncia cina de Montpeller; traducido por D. Cayetano R a u l l , doctor su agilidad en los movimientos y la fácil naturalidad de sus del cargo de Secretario de Estado y del Despacho de Hacien­ en medicina y cirugía, socio de la Real academia de medicina aptitudes sorprenden y deleitan con la extrañeza de ver reu n i­ d a , nombrando para qu…</t>
  </si>
  <si>
    <t>…. , se entregaron al mas puro regoci­ CO NGRESO DE D IP U T A D O S. petición ndm. 46. jo por ios días de ventura que les ha preparado la sabiduría de PRESIDENCIA DEL SEÑOR C A L A T R A V A . Se leyó la del ndm. 4 6 , en que D. Cayetano M e n a , tenien­ V&gt; M . , la previsión del Cunsejo de Ministros y el valor y co­ te corone! retirado, exponia que experimentaba un atraso de 58 nocimientos del duque de la Victoria. Con sobrado fundamen­ Sesión del dia 30 de Setiembre. meses en sus p ag as, y pedia se le atendiese con la…</t>
  </si>
  <si>
    <t>04/11/1839</t>
  </si>
  <si>
    <t>Gaceta de Madrid n.º 1821</t>
  </si>
  <si>
    <t>…a lex es to. N o : p rim ero debe poco tiempo puesto en lib ertad. El 25 de Febrero de 1 8 2 0 se perecer todo el género h u m a n o , antes q u e u n inocente suba al p o r M r. R ossi : tra d u cid o a l ca stella n o p o r D. Cayetano puso al frente de un a c o n s p ira c ió n , c u y o objeto era asesinar á cadalso. U a juez in ic u o condenó á m uerte al santo de los s a n ­ los m inistros , que d ebían reunirse en casa de uno de ellos. L a tos proclamando la atroz m á x im a : c o n v i e n e que m u era uno V a ld…</t>
  </si>
  <si>
    <t>…de P a r i s , Corres­ el efecto dan las dos autoridades civ il y m ilitar. (Id.) ponsal de la sociedad académica de Marsella &amp;c. &amp; c .: tr a d u c i- Tribunal d e c o m e r c i o . 3o al castellano d? la segunda edición por D. Cayetano B alsei- ro , profesor de medicina. Dos tomos en 8.° de á 6 09 paginas. Por providencia del mismo y término de 50 dias se saca á Esta obra , cuya primera edición se ha consumido con r a p i- I d e m Í 4. oública subasta una hacienda sita en la villa de Hortaleza y su Jez en Francia en ra…</t>
  </si>
  <si>
    <t>…uesta de los señores El Senador M anuel Antonio Galvao, M inistro del Interior. delegados, se reserva examinar y discutir con ellos en otra pró­ D e las m erca d ería s d e v a lo r , cu ya d esin fecció n f u e r e .. El Senador Cayetano M aría López Gama, de Negocios ex­ xima junta la cuestioa relativa á los cordones sanitarios y á dificil. trangeros. las medidas locales de desinfección. El Senador M anuel Alves Bsanco, de H acienda. A rtículo adicional. Queda expresamente entendido qué los Por cada fardo que pese de 1 oq…</t>
  </si>
  <si>
    <t>…anuncio en la Gaceta á todos H IG U A M O T A , verdad: y si no dígaseme por qué en otras leyes, que pueden ser los acreedores ausentes, y hasta ahora ig norados, del difunto legalmente im pugnadas, no lia habido dificultad. D. Cayetano Q uirós, vecino que fue de esta co rte, para que D ram a en cinco cuadros, escrito en diversos metros por Don Me recuerda esto lo que ha dicho el Sr. M inistro de Gracia dentro de dicho térm ino se presenten por medio de procurador Patricio de la Escosura. Lleva al frente el retrato de su…</t>
  </si>
  <si>
    <t>Caylus</t>
  </si>
  <si>
    <t>…salada: á cada instante nos azotaban, y á los que notable de los efectos perniciosos del iluminismo en la persona hallamos en alta mar nos dieron los portugueses por primera eran mas revoltosos, los herían á palos. del conde de Caylus(i), quien no solo perdió el juicio, sino la vez carne. Oimos gritos, y nos acercamos para ver lo que pasa­ Las deposiciones de los demas testigos confirman tan horri­ vida. ba : vimos cortar la cabeza a u n hombre, y luego despedazar el bles hechos. Aun ignoramos cuáles han sido las consecu…</t>
  </si>
  <si>
    <t>…bado Federico Guillermo, permaneció en Verj de, la sabia por una de sus amigas, casada con el primer ayuda de policía urbana. dün hasta el 9 de Setiembre sin tomar resolución alguna , y an­ de cámara de Monsieur (1). El conde de Caylus trataba con la Lo que entonces sucedió puede servirnos para comprender mayor intimidad á Mr. y madama de Bonneuil; referia á esta de que modo los sacerdotes del paganismo dirigían á los pue­ yteslevantó de concluir el mes, concluyó un tratado con Dumouriez, el cuartel general situado en Ila…</t>
  </si>
  <si>
    <t>Cayuela, Joaquín</t>
  </si>
  <si>
    <t>Joaquín Cayuela</t>
  </si>
  <si>
    <t>…do de las rentas y Saturnino en numero de 150 caballos, tuvimos la desgracia dora y la Serma. Sra. Infanta Doña María Luisa Fernan­ vidarse y su administración, llegando el reprensible caso de ol­ de perder al valiente coronel D. Joaquín Cayuela , que fue de lo que sobre la materia está prevenido, y de muerto ea una de las diferentes cargas que se dieron á los re­ da, continúan en esta corte sin novedad en su importante los períodos marcados por Reales órdenes é instrucciones, beldes, los que tuvieron seis hombres muertos,…</t>
  </si>
  <si>
    <t>Cazes</t>
  </si>
  <si>
    <t>…tro in dividuos de tropa m uertos, 55 heridos y 1 4 extra­ la Francia recogerá el fruto, {id.) viados. 2 .a brigada.=Infante, 5.° de línea. = Primer batallón. — Un gefe herido. Idem 18. A yer mañana el canciller y el duque de Cazes se trasla­ U n oficial id. daron á la Conserjería para proceder á los iuterrogatorios. Sigue la misma languidez en los fondos. Siete individu os de tropa m uertos, 20 heridos y cinco ex­ Parece que la intención de los Pares comisionados es la de traviados. Los consolidados están á 95^ al c…</t>
  </si>
  <si>
    <t>Cañas, Francisco</t>
  </si>
  <si>
    <t>Francisco Cañas</t>
  </si>
  <si>
    <t>…s Diputados, pero cuya elección ea pañaron; pero hace particular mención del teniente del 1 .° de rela.—Manuel de Villota.=P. E. D .nJuan de Gumucio. = José ;favor de la oposición no es dudosa. ¿ Castilla. D. Luis González, de D. Francisco Cañas, alférez Cano Sainz.—Datnaso Aparicio.rrJo^quin de Fagoaga.=José TL ' Oposicion.ziPrimer colegio, 1334 votantes, 'Odiion Bar- del resguardo , y del auxiliar de dicho gobierno político Don Arche. rot 509. Juan Cordon. Ministerio.^:Jacqueminot 817. El capitán general de Castilla la Vi…</t>
  </si>
  <si>
    <t>CAÑAVATE</t>
  </si>
  <si>
    <t>…omoda. Se siendo este un asunto ya. term in ad o, no podia continuar S. Í5. me replicará que es porque la caballería no compra los potros en el uso de la palabra. castrados; y yo responderé que hay motivos mucho mas pode­ El Sr. C A Ñ A V A T E : Pues que el reglamento no me per­ rosos. Uno de ellos es que los criaderos, rnas aficionados por lo mite continuar en el uso de la palabra , cedo á la invitación MADRID 7 DE SETIEMBRE. regular á los caballos, y harto mas inteligentes en sus propios del señor Presidente , y me sient…</t>
  </si>
  <si>
    <t>Cañaveral, Rafael</t>
  </si>
  <si>
    <t>Rafael Cañaveral</t>
  </si>
  <si>
    <t>…osé de Castejon, D. Miguel M ar- p O R el presente y providencia dictada por el Sr. D. Juan qüés y Villegas, D , Lorenzo Marau , D. Andrés M artí, Don José Rodríguez Yaldeosera, caballero comendador de la Juan Garay y Casal, D. Rafael Cañaveral, D. Francisco Ja­ Real orden Acbericana de Isabel la Católica , juez togado de EL LIBRO DE LOS NIÑOS, vier Sánchez y D. Juan José G il, que aparecen endosantes de primera instancia de esta corte, refrendada de D. Manuel Fer­ varios créditos de deuda sin Ínteres contra el Estado, p…</t>
  </si>
  <si>
    <t>Cdt, Rey D.</t>
  </si>
  <si>
    <t>Rey D. Cdt</t>
  </si>
  <si>
    <t>…. ' Hé^ ^ q u fJ a íg ú n í s ^óíuaenores Bar bes delcarrüaje ,f u e trasladado á su destino, V ; r, de lo sucedido después del ¿ i a ^ S . de Jun io . .^Entonces Túé cuando Barbes supo que .su sentencia,.había Gobierno del Sr. Rey D. Cdt lós n f ^o instrucción re­ Hasta el dia 1.° de J u lio el Gobierno afectaba no haber re ­ a|dó conmutada en la de trabajos públicos perpetuo^ pero se cibido niñgunVnoticiade¡los&lt;ejércitos. Sin em b arg ó ^ J a in q u i e ­ servada para dirección de la ju n ta de E stado que creó es­ le…</t>
  </si>
  <si>
    <t>Ce, Rafael</t>
  </si>
  <si>
    <t>Rafael Ce</t>
  </si>
  <si>
    <t>…hos batallones por. escarpadísimos barrancos y de varios confidentes, los facciosos acusan de cobarde y tra i­ yendo á réühirse en la falda de la cordillera opuesta al abrigo in ue r té ¿desastrosa? de f te n ifente genera l D. Rafael Ce batios de otras dos masas que habián permanecido en reserva con su dor sobre á Forcadéll por el descalabro que sufrió en la ación del 5 Lucena ; y que de resultas de ella se han presentado á EsealeraV ge n era t en geíe interino del ejército d e o p e ra caballería. e nuestras filas un…</t>
  </si>
  <si>
    <t>Ceballos</t>
  </si>
  <si>
    <t>…iembre de 1859.—Señora.— en u n a notable e q u i v o c a c i ó n ....... de ayer, y he formado esta carpeta. Debajo de ella tenia todos A L. R. P. de V. M.rzEl P. Joaquin Berrueta.=:i\lanuel María El Sr. P R E S ID E N T E : Sr. Ceballos, á la cuestión. los expedientes; pero la mesa no tiene culpa de que varios se­ García.—Manuel María Marqueta.=:Cenon María Adaoa.i^José El Sr. C EB A LLO S: Estoy en ella. Yo no he sido contra­ ñores Diputados se los lleven y luego no parezcan. Esta es L Ordoyo.zrFrancisco Mancebo.=:Tomás D…</t>
  </si>
  <si>
    <t>Ceballos, Manuel María</t>
  </si>
  <si>
    <t>Manuel María Ceballos</t>
  </si>
  <si>
    <t>…riente desde Monterey , empren­ motoría fiscal del juzgado de Logroño, vacante por fallecimien­ llo á limpiar el antiguo reino de Aragón de los bandidos que dí mi marcha sobre los sublevados, y al tercer dia tuve noti­ to de D. Manuel María Ceballos, á D. Lorenzo María A guí- le infestan , y que solo se sostienen en la equivocada esperanza cia que todas las gavillas se habian pronunciado negándole la 11° i y para la de Olmedo, á D. Donato Gómez. de nuestra desunión. Pero la alta penetración de V. M. y la fir­ obediencia á…</t>
  </si>
  <si>
    <t>Cebrian, Antonio</t>
  </si>
  <si>
    <t>Antonio Cebrian</t>
  </si>
  <si>
    <t>…ránea.=Luis Felipe i , Rey de los fran­ los sugetos siguientes: D . Mariano Lorente, D, José María ceses. (Conclusión. Véase el número anterior.) Por G. G. diferencia que la que se halla en este lomo con el título M anglano, D. Antonio Cebrian G arcía, D. Joaquin González De la instrucción pública en España desde 1834.:=Por Don de: Lo que hace un manto en M a d r id , de Calderón. El Bustamante, D. Santiago Alonso Cordero, D. Alfonso Peralta, Antonio Gil y Zarate. anotado»* continúa: yo creo que es de R ojas. A mí no me D.…</t>
  </si>
  <si>
    <t>Cecilia</t>
  </si>
  <si>
    <t>…pooia de 22,60T Capitulación de Id píázá de Tampico. España: D euda a c tiv a , l9f&lt; individuos, habiendo tenido un aumento en freí meses de 1081 personas. D icha población se compone de 9708 franceses, 2535 En el paso de Doña Cecilia á los cuatro dias de! mes de J u ­ ingleses, 69*89 españoles, 2304 italianos, i 093 alertiantx, r o ­ nio de 1859, reunidos los Sres. priinei* ayudante del batallón . Se asegura qué acaban de hacerse proposiciones á los refu­ sos &lt;&amp;c.; I í ,8 l 5 hom bres, 4555 mugeres y 6257 niños. activo…</t>
  </si>
  <si>
    <t>Cedrón</t>
  </si>
  <si>
    <t>…abó de destruir á los rebeldes, los cuales de­ Pamplona Oreóse 2 23853 86000 jaron siete muertos dentro de las calles, siéndolo dos de estos 17 62881 62881 Según comunicación que acaba de recibirse del gefe por mano del capitán Cedrón, habiéndose aprehendido siete ar­ Palencia.. . . . . . . 159 60871..32 64506..1! político de Cádiz, fecha 1.° del corriente, se tiene por mas de fuego y algunas ropas. Sevilla. 37 5102771 ' 14259200 cierto en aquella plaza que han aparecido en ella ciertos Dice el capitán general que según…</t>
  </si>
  <si>
    <t>Celada, Pedro Marin y D. Domingo</t>
  </si>
  <si>
    <t>Pedro Marin y D. Domingo Celada</t>
  </si>
  <si>
    <t>…capitanes D. Francisco Javier N a - Recomienda el ardor y valor con que se condujeron las tro* tusiasmarse con la lectura de aquel divino poeta. Dígalo, si n o , Alejandro el G ra n d e, ardiendo en el amor de la glo­ neti , D. Pedro Marin y D. Domingo Celada , á quienes seña­ pasen general, y particularmente el referido capitán Montal— ló los puntos que debían ocupar, quedándose el comandante vo; el teniente graduado de capitán D. José Prieto ; el de igual ria aMuchos solo el nombre de Aquiies. Nalda con la primera colu…</t>
  </si>
  <si>
    <t>Celedonia</t>
  </si>
  <si>
    <t>…acilid ad N el pleito seguido á instancia de D. Manuel Jesús Díaz de permitan sus fuerzas las funciones, presenta al ilustrado públi­ y ven tura ha vencido el Sr. R uiz de la Vega los escollos Cosío en concepto de marido de Doña Celedonia G utiér­ co , que con tanta benevolencia y constancia la favorece, un e n que otro tal vez se h u b iera estrellad o , logrando dar á rez de C elis, vecinos del lugar de Sopeña, con D. Ju an M a­ espectaculoso cuya particular combinación nada se ha omitido sus versos dulzura, arm onía y e…</t>
  </si>
  <si>
    <t>Celedonio, Manuel Hurtado de Mendoza y D.</t>
  </si>
  <si>
    <t>Manuel Hurtado de Mendoza y D. Celedonio</t>
  </si>
  <si>
    <t>…a ; pero no es él el que ha creado la palabra , es D io s; y profesor D. Antonio B allano, por los doctores en m edici­ 5.a Catarata capsular anterior. nuestra epopeya, ya form ada, no necesita mas que presentarla na y cirugía D. Manuel Hurtado de Mendoza y D. Celedonio Los que gusten suscribirse lo harán en esta corte en la l i ­ en verso* para que encante los ánim os.nL uigi Cicconi. M artínez Caballero, socios de varias academias científicas. Esta brería de la viuda de Razóla, y en Cádiz en las de H ortal, obra, que es u…</t>
  </si>
  <si>
    <t>Cepero</t>
  </si>
  <si>
    <t>…las que operan en oración. cansan á poca distancia de la tribuna evangélica donde se pre­ los reioos de Valencia y M u rc ia , quedan nombrados co­ Pero antes de examinarla no podemos menos de observar que dicó el sermón. El Sr. Cepero ha llenado en él los deberes de mandantes generales de bloqueo para sus respectivos distritos, este sermón, no solo es un buen escrito, sino una buena acción. buen orador , buen español y buen sacerdote cristiano.=:A. L . los que subdividirán del modo que crean mas oportuno, para El nombre de…</t>
  </si>
  <si>
    <t>Cerbelló</t>
  </si>
  <si>
    <t>…aprobadas las actas de al de las segundas elecciones de la de Alicante, proponiendo la cada una ó en varias de sus publicaciones , siempre que se pre­ la provincia de Badajoz, y admitido como Diputado el Sr. Don admisión del Sr. Cerbelló, y al de las elecciones de G uadalajara. sente bajo la forma generalmente usada en los periódicos, in­ Joaquín Muñcz. Se dió cuenta de que la comisión encargada de examinar sertando noticias políticas y variedad de artículos. Se dió cuenta, y fue aprobado el dictamen acerca de la pro­ el…</t>
  </si>
  <si>
    <t>Cerde-</t>
  </si>
  <si>
    <t>…ro; el mismo dia estallo en Puno ; el 20 fue secundado el inmediatamente disipado. Ahora todo está perfectamente tran­ Por un corneta faccioso que se ha pasado en la tarde de pronunciamiento por las tropas que mandaba el general Cerde- quilo. hoy á las tropas, que al mando de un oficial de E. M. practi­ ña en Arequipa. Et batallón Guizco aII mando del coronel Pas­ Este despacho nos obliga á hacer tristes reflexiones. caban un reconocimiento sobre el pueblo de Pallejá, se ha sa­ tor Riva y del primer coma odiante Rafael Gar…</t>
  </si>
  <si>
    <t>Cerdeña</t>
  </si>
  <si>
    <t>…intervenga el Jorge á presencia del conde y de la condesa Sebastiani, del fecha 23 de Enero últim o , en contestación á la de 14 de M ar­ ejército holandés. Después del acto de la toma de posesión , se conde Polloz , ministro de Cerdeña, del general A lav a, lord' zo de i 8 5 8 , por la que les anunció que se le habia comunicado procederá á organizar la adm inistración m ilitar de las provin­ M elbourne, el canciller del Echiquier y otras personas distin ­ orden de firmar con SS. EE. los 24 artículo s, á lo cual fueron cias…</t>
  </si>
  <si>
    <t>Cerdá, D. José</t>
  </si>
  <si>
    <t>D. José Cerdá</t>
  </si>
  <si>
    <t>…acuerdo con la Inglater­ 5.° Sobre las segundas elecciones de Logroño. que ofrezca á los téjanos la paz ó la guerra, la indulgencia ó ra y la Francia , quemará la escuadra egipcia u obligará á 4*° Proponiendo la admisión del Sr. D. José Cerdá , D ip u ­ el castigo. (Diario de Méjico.) M ehemet-Alí á que restituya la escuadra turca. {Id.) tado de Tarragona, mediante á estar aprobada el acta y no re­ sultar nada en contra de su aptitud legal. 5.° Respecto á las primeras elecciones de Oviedo, en el que Bogotá 5 de Mayo. se…</t>
  </si>
  <si>
    <t>Cerezo, Angel</t>
  </si>
  <si>
    <t>Angel Cerezo</t>
  </si>
  <si>
    <t>…cree q u e P o r el tr ibuna l de la Rota de la n u n ci at u ra apostólica en ^ tellaoo por D. Arias Gonzalo de Mendoza y Fra ncia. constituye el mérito de este d r a m a , se atreve á esperar q ue la estos reinos se cita á D. Angel Cerezo, presbítero celador de Esta o b r a, que con justicia ha merecido siempre el aprecio aprobación del público il us tr a d o, á c u y o fallo le somete , no la santa iglesia de Sigiienza , para que si vie» e convenirle co m - y estimación de los hombres doctos y piadosos, y que puede dej…</t>
  </si>
  <si>
    <t>Cerezo, Juliau</t>
  </si>
  <si>
    <t>Juliau Cerezo</t>
  </si>
  <si>
    <t>…­ las órdenes de Olmos de Santa Eufem ia'por una partida de tropa á interesante en un acto, m uy aplaudido en todas sus represen­ claro traidor, como á cualquiera que despuesde esta declaración, Gómez, aliasdelCautora! sargento Juliau Cerezo, el latro-faccioso Julián taciones. , ocupándole caballo y arm as, el cual á que quiero se dé la mayor publicidad, le auxilie d obedezca! había sido pasado por las.armas 4-° Interm edio de baile. Los gefes ú autoridades de todas clases, cualquiera de vosotros crímenes, con lo cual q…</t>
  </si>
  <si>
    <t>Ceruti, Ramón</t>
  </si>
  <si>
    <t>Ramón Ceruti</t>
  </si>
  <si>
    <t>…men de la comisión sobre la petición núme­ determinaciones ro 24 de D. Antonio Resino y Estrada manifestando que sien­ se originaban. mas de la parcialidad , de la injusticia y de la tiranía de esas do gefe político de Badajoz D. Ramón Ceruti fue expulsado por fuerza á que se referia habia pasado á dicho pueblo á auxiliar labras P a z, sostenidas El Sr. Ministro de la G U E R R A contestó á S. S. que si la autoridades por el ministerio famoso de las tres pa ­ este de la Milicia nacional de Zafra , y pedia que el Congreso al…</t>
  </si>
  <si>
    <t>Cervantes, Agustín</t>
  </si>
  <si>
    <t>Agustín Cervantes</t>
  </si>
  <si>
    <t>…venido S. M. en nombrar para el juzgado de Real orden de 20 de Noviembre del año próximo pasado primera instancia de Guadix, de ascenso, en la provincia de las enseñanzas dependientes del conservatorio de Artes, G rauada, á D. Agustín Cervantes, que sirve el de Vera : para como parte importante de la instrucción pública, siendo JU N TA DE VENTAS DE BIENES NACIONALES. este, de igual clase, en la provincia de Almería , á D, Miguel de consiguiente necesario dar á este establecimiento la Navarro y Nieva, que desempeña el de…</t>
  </si>
  <si>
    <t>Cervellon</t>
  </si>
  <si>
    <t>…iente para contener á una ciudad tan tu r­ trada ha tenido visos de una pequeña ovación. S. E. se ha alo­ cumplido con la ley de reemplazos y motivos por que no ha sido bulenta como Datnaspo. jado en la casa palacio del conde de Cervellon , plaza de Santo Las últimas noticias recibidas de Alépo nos anuncian que comprendido en el alistam iento: 7.° el delito por el cual ha sido Domingo, y se asegura no tardará en volver á emprender con preso: 8.° el sitio donde lo cometió: 9.° qué castigo se le ha Jas municiones de guerra…</t>
  </si>
  <si>
    <t>…Noblejas y otros varios contribu­ Ramón Galera. = José Antonio Gallardo. = Rafael Sebastian. portante salud. yentes, y por m í , J u a n Abalet.—Manuel Ulioa.rzCooso apode­ Cecilio Galera Maregosa , secretario. rado del conde de Cervellon, de D. Pedro Castañeda, de Don Francisco Grandallana , de varios otros contribuyentes, y por m í , Yicente Maestre.=Isidro Guija.=José Campon. = Fernando EXPOSICIONES A S. M. LA REINA GOBERNADORA. García Becerra. = Pedro de M ora.—José de Obando y Porres. =z PARTE NO OFICIAL. M anuel M…</t>
  </si>
  <si>
    <t>Cervera</t>
  </si>
  <si>
    <t>…....................... 49 ipado y en gefe de su ejército con fecha 14 del actual en Reunidos en el salón preparado para la celebración de los Idem con v i u d a ........................................ 25 u cuartel general de Cervera se ha servido ordenar lo s i ­ exámenes la comisión de la junta de Comercio que debia presi­ dirlos , el profesor y los alumnos que debían sostenerlos, y me­ miente : T o ta l....................................................584 Faltos muchas veces los gefes de la fuerza armada que ope­ t…</t>
  </si>
  <si>
    <t>Cerón, Felipe Diez</t>
  </si>
  <si>
    <t>Felipe Diez Cerón</t>
  </si>
  <si>
    <t>…s dias. La juventud que N uestra Señora del Rosario 4 rs. hoy se prepara á renovar nuestras antiguas glorias literarias, tos de testamentaría de los bienes que han quedado por la de­ N uestra Sra. de A tocha, 4 rs. función de D. Felipe Diez Cerón , vecino y del comercio que no podrá leer con indiferencia estas páginas; y tan halagüeña N uestra Sra. de las A ngustias, 4 rs. esperanza es precisamente el principal móvil con que se han es­ fue del Real sitio de A ranjuez, en los cuales se ha mandado Nuestra Sra. del Sagrario ,…</t>
  </si>
  <si>
    <t>Cesáreo</t>
  </si>
  <si>
    <t>…é aqu i, venerables her­ de Ju lio de 1857 por D. Manuel José Franco , la ley absuelve pre prudentes, y justas mis resoluciones, porque la justicia es manos, lo que nos tiene en una penosa ansiedad: eso es lo que á los Sres. D. Cesáreo M aría Saenz , D. Diego López Balleste­ la primera necesidad de los pueblos; declarando, para que sirva aumenta la am argura que de todas partes nos aflige; y eso es ros , marques de Y iü a g a r c í a , D. José de San M ü la a , D. A u - de gobierno, que la energía ha de ser el carácter…</t>
  </si>
  <si>
    <t>Cezar</t>
  </si>
  <si>
    <t>…ento y recaudación de las contribuciones la parte que cidirá la suerte. rar este artículo redactándolo en términos que desapareciese esta prescriben ó prescribieran las leyes.” N o fue tomada en consideración una adición del Sr. Cezar, cortapisa que podría ser perjudicial. En estos términos fue aprobado por el Congreso. proponiendo que se intercalase entre los artículos 9.° y 10 uno, El Sr. A R M E N D A RIZ: Antes de contestar á las razones El Sr. Secretario M U R O : Señores, admitida ayer la en­ reducido á que en caso…</t>
  </si>
  <si>
    <t>CFózaga</t>
  </si>
  <si>
    <t>…ón no sirva de estorbo á esto. El Gobierno, con justicia, tra nosotros. pidiese la palabra por todos á la vez, para poder sentar los nom­ afecta desear que se lleve esta cuestión á su término ; y entonces Yo quisiera que el Sr. CFózaga dijera si ha habido un ejem­ bres por el órden con que se hubiese pedido. Algunos Sres. D i ­ digo yo que la discusión nó tendrá todo él fondo de ilustración plar eor.fto este desde que hay reglamento: yo he encontrado putados se acercan á la mesa. que necesita, ni el pueblo quedará enterame…</t>
  </si>
  <si>
    <t>CH, PU</t>
  </si>
  <si>
    <t>PU CH</t>
  </si>
  <si>
    <t>…nte ei objeto de la ley, en los términos que la comisión propone, resultarán 553 rea­ de presupuestos. estaba el Senado en el caso de desaprobar el dictamen. les; no es por esto decir que esta señora no sea muy acreedora; £1 Sr. PU CH E: Desde luego que se presentó este proyecto El Sr. M EDRANO observa que no presentando ei Sr. La- pero siendo mi opinión la de que no debe exceder la cantidad me propuse hacer presentes algunas observaciones que me ha­ borda mas que una escritura en que aseguran los interesados de 503 rs .,…</t>
  </si>
  <si>
    <t>…ón so­ troto de canal hecho hasta el dia es inservible. Yo no entraré Tendrán derecho á asistir y votar en ella los propietarios de bre el canal de Castilla. 20 acciones inscritas ó pasadas á su favor seis meses antes de El Sr. PU CH E dice que la circunstancia de haber perte­ para asegurar si el canal seporque en ia cuestión facultativa, no me incum be ni tengo datos halla inservible ó no. Pero es un celebrarse la sesión. necido en la anterior legislatura á la comisión cuyo dictamen hacho m uy notable el de que en un ca…</t>
  </si>
  <si>
    <t>Chacón</t>
  </si>
  <si>
    <t>…O dente el Sr. S ilv a : Secretario el Sr. Osea : Vicepresidente el se­ Y DEL DESPACHO DE L A GU E RR A . L a salida de Port-Yendres del Príncipe Real se ha fijado ñor Alfonso. para el 12 próximo. 5.a sección. Presidente el Sr. Chacón: Vicepresidente el S e ­ Comandancia general de la provincia de Alava.zzExcelentí- ñor L ab o rd a: Secretario el Sr. Fernandez: Vicesecretario el sirno Sr.: Según rae avisa el Excmo. Sr. general en gefe con fe­ Sr. Ramírez de AreMano. c h a de ayer desde su cuartel general de Tolosa, debe h…</t>
  </si>
  <si>
    <t>saícos, varios instrumentos de hierro, trozos de estatuas, entre versos agradaron , y los aplausos que recibió son I09 aplausos digno general Chacón por su acertada elección , y esperamos las que se distingue el medio cuerpo de una sacerdotisa de Dia­ que se dan al genio. ver con la mayor satisfacción que el expresado capitau coman­ na , de los bellos tiempos de Roma; también se ha encontrado Por lo que respecta al local, estuvo brillantí…</t>
  </si>
  <si>
    <t>…8, ropas , alnajas y efectos por mediación de L uc ia n a L i a r t e , pren­ M IN I S T E R I O DE M A R I N A , COMERCIO y GOBERNACION DE U L T R A M A R . dera calle de Bordadores , mím. 5 , se presenten á desempeñar­ El Sr. Chacón se encargó a y e r tarde del mando de esta c a ­ las dentro del preciso é ¡rnprcrogable término de ocho d i a s , que p itan ía general por disposición del Excmo. Sr. general en gefe. Al comandante general de las fuerzas navales de la por últim o se les s e ñ a la , desde la publicación de…</t>
  </si>
  <si>
    <t>Chacón, Ignacio</t>
  </si>
  <si>
    <t>Ignacio Chacón</t>
  </si>
  <si>
    <t>…amos nuestro juicio. Eso n o : el señor barón no es n in g ú n hombre oscuro ó extraño á nuestros negocios rona , por dos internos. MADRID 26 DE A B R I L . políticos; antes por el c o n trario , ha estado entregado á ellos en D. Ignacio Chacón, brigadier de los ejércitos nacionales, y todos tiempos. Ademas que el Sr. barón es demasiado conocido, gobernador m ilitar de la plaza de S. Fernando de Figueras y su no menos por sus variados escritos que por sus opiniones p ar­ d istrito, por tres internos. L eccio n es ele m e n t…</t>
  </si>
  <si>
    <t>Chacón, José María</t>
  </si>
  <si>
    <t>José María Chacón</t>
  </si>
  <si>
    <t>…tíici^ar ¿ ‘Tai re so lvien d o que hasta la presentación en esta corte dél muerto en gl icaaipo ^ L ^ p p o r^ , , í ^ rv » ¿;,j. . . '. 'n " f V• ' ¿■.iít.lfi í Í- ¿ • &lt;? Cortea ;r|Tv% su GiSngr^é-desDi^ gefe de escuadra D. José María Chacón se encargue de la sé* cretaría de. Estado y del. Despacho de Marina , Comercio y pó tados' Séf úál dk loé segundos' pliegos dél É c ü Gobernación de Ultramar/el Sr, Ministro de la Guerra Don B O L fe T IN D E e O I H E R C l O Í i::"',;’:;:i Isidro A la íx , (Id .) ^ ; » d e l C…</t>
  </si>
  <si>
    <t>Chacón, Pedro</t>
  </si>
  <si>
    <t>Pedro Chacón</t>
  </si>
  <si>
    <t>…de Solsona , si bien se presenta mas accesible , no dias 54,500 raciones de pienso. i • Valle. deja de tener sus inconvenientes, siendo el mas esencial el de Número 3.° Relación de los útiles, herramientas y demás M urcia. =e D. Pedro Chacón. que en caso de adoptarlo seria preciso establecer la base de ope­ efectos de parque de ingenieros que se consideran necesarios para Navarra. = Marques de Montesa. raciones en C ervera, 15 horas de Berga, en un pais pobre y las operaciones del sitio de Berga. Orense. = Conde de Puñonr…</t>
  </si>
  <si>
    <t>Cham-</t>
  </si>
  <si>
    <t>…ughara , lord y ladi W illiam Bentick , el conde funciones., si bien daríamos á los actores un mas completo y ban las cam panas; los cartistas huyeron en todas direcciones; de Mole y su esposa , el conde de Rayneval y el conde de Cham- cordial parabién si escogiesen piezas eminentemente mócales y los principales promovedores se refugiaron en una fábrica de piatreux han tenido la honra de comer hoy con el Rey. (id.) de buena versificación é Ínteres, puesto que tenemos tantas, con cerveza, que infaliblemente hubiese sido robad…</t>
  </si>
  <si>
    <t>Chan-</t>
  </si>
  <si>
    <t>…, ruego d Y. E. que tenga la bondad de significar mi tros fastos militares; y mientras que se conceden las debidas cias nacionales; y que asi él, como sus compañeros, estarían agradecimiento al Sr. conde de G ourdou, al capitán Chan- recompensas al mérito, he dado las gracias a nombré, de la na­ persuadidos que solo teniendo de su parte él tro n o , la nobleza chard , al teniente Tholer , d Jos Sres. Mallet, Cabaret y Guil- ción y del Excmo. Sr. Presideute al general en gefe, á los ge­ y el clero, podían apoyar sobre dura…</t>
  </si>
  <si>
    <t>Chanplatreux</t>
  </si>
  <si>
    <t>…a , Logroño, Islas Baleares y Canarias por no haberse recibido sus estados. Madrid 12 de Abril de l859.zní\amon Sanlillan. cedió la palabra al primero, quien habiendo ocupado la tribu­ 2.a MM. Hennessy , Presidente; el conde de Chanplatreux, PARTE NO OFICIAL. na leyó el decreto de apertura de las Cámaras. Secretario. Al anunciar el Presidente que la Cámara iba á retirarse á Adjuntos: Mr. Teste y Mr. Boudefc. las secciones para proceder á su organización, Mr. Fulchiron 3.a MM. Thiers , Presidente ; Billaut, Secretario.…</t>
  </si>
  <si>
    <t>Chardon, Carlos</t>
  </si>
  <si>
    <t>Carlos Chardon</t>
  </si>
  <si>
    <t>…iablo, del maestro Vales Reales no consolidados, '00. uso que ha hecho de ellos desde el tiempo de los apóstoles hasta Mayerbeer , por la Sra. Villó y coristas ; con decoración y el presente; escrita en francés por el R. P. D. Carlos Chardon, trajes. Deuda negociable de 5 por 100 á papel, 00. y traducida al castellano con adiciones y notas por los señores D. Fr. Aiberico Echandi y D. Juan de Campo y Oliva. Ocho tomos en 8.°, edición del año de 1799, á 124 rs. Pa*ta (í) Mr. Guisot. común.</t>
  </si>
  <si>
    <t>Charles, Ramón</t>
  </si>
  <si>
    <t>Ramón Charles</t>
  </si>
  <si>
    <t>…ne rectificadas, y que yo nos heridos, si bien tuvimos la desgracia de perder al sargento res o de esa naturaleza? Dejemos, señores, esa situación, deje­ creo que no son mas que copiadas con poca diferencia, que de Nacionales D. Ramón Charles. mos lo probable ó improbable. cuando nos retirásemos al hogar doméstico iríamos tranquilos Anoche pernoctó la división Borso en Cervera, y parece urador se ocupa en hacer varias reflexiones sobre la sus­ de que hemos hecho cuanto hemos podido por la felicidad del que se dirigirá hac…</t>
  </si>
  <si>
    <t>Chateaubriand</t>
  </si>
  <si>
    <t>…DE V E R O N A , guerra de E spaña, ne- Quéjense los periódicos de la coalición de esta pérdida de gociaciones, colonias españolas. Obra escrita por el viz­ tiem po, al paso que los que son devotos de Mr. Mole se es­ conde de Chateaubriand, y traducida al castellano con varias fuerzan en ponderar las dificultades que el ministerio encuen­ notas y observaciones por D. Cayetano Cortés. Tomo 1 .°, cua­ (i) Un cuaderno en 8.°á cuatro reales. Se hallará en las li­ tra para formarse, y aun algunos se atreven á indicar una de…</t>
  </si>
  <si>
    <t>Chaves, Lorenzo</t>
  </si>
  <si>
    <t>Lorenzo Chaves</t>
  </si>
  <si>
    <t>…lejandiía, que las que yo os diera por la dei Cairo. {Corresponsal de Hamburgo.) {Debats.) El capitán general de Castilla la Vieja con fecha 8 del ac­ Escriben del Havre con fecha 2 de Noviembre : tual dice que el presentado D. Lorenzo Chaves , comisionado Por noticias de los Erados-Unidos se sabe que el Gobierno por el comandante general de Avila para la persecución de 2 í C O N F E D E R A C IO N G E R M A N IC A . federal, instruido de las expediciones inglesas á la Nueva Zelan­ facciosos montados de la partida de Palil…</t>
  </si>
  <si>
    <t>Chelva</t>
  </si>
  <si>
    <t>…traslado á V. E. para su conocimiento y satisfacción. cias Vascongadas según tengan de fuero y costumbre, debien­ ñor Perez de Castro el del Sr. conde de Toreno. Parecería que Dios guarde á V. E. muchos años. Cuartel general de Chelva do tomar posesión de sus destinos los nuevamente nombrados en el M inisterio debería verse el agente de un sistema , cuyos "22 de Noviembre de l 8 5 9 .= J a v ie r Aspiro-z. ( D . M. d e F .) para el 1.° de Enero del año próximo de I 84O. Los nombra­ directores se encuentran detrás de la cor…</t>
  </si>
  <si>
    <t>…mandante militar de Chiva anuncia la muerte del fa­ mérito de los Gobiernos libres y el deber de los buenos ciudada­ ble; en todas partes volverá á nuestras instituciones la verdad moso cabecilla Papaceite, titulado gobernador de Chelva , y nos es combatir el mal desde que aparece , rechazarle antes que se y la energía., y en todas será la fuente de las mayorías parla­ célebre por sus violencias y atrocidades, de resultas de un ba­ agrave. Nuestra prontitud en inquietarnos, en prevenimos eu mentarias, dejándonos á todos el h…</t>
  </si>
  <si>
    <t>Cher</t>
  </si>
  <si>
    <t>…Cámara que se ausentan de la respecto á los matrimonios mistos las prescripciones de la igle­ apital, podemos citar á Mr. Duvergier de Hauranne. El bo- sia católica , íntimamente enlazados con esta doctrina. orable Diputado del Cher tomará esta noche la posta para El 15 de Setiembre del año siguí :nte nos vimos oLljgados olver á Saucerre. á levantar de nuevo en esta asamblea nuestra apostólica voz por S. M. la R e i n a , s u augusta Madre la R e i n a G o b e r n a ­ causa de otros sucesos ocurridos en el propio reino d…</t>
  </si>
  <si>
    <t>Chesney</t>
  </si>
  <si>
    <t>…o d esagua en el O c é a n o , y el otro ponen. La Ñor ¡na , la L u c r e c i a y la G e m m a d i F e r g i son el E g ip to quede em p ob recid o ; que la cuestión de sucesión o r i ­ en el M e d i t e r r á n e o , el coronel Chesney ha reconocido cerca de las óperas hasta ahora ejecutadas , y en las que todos han reci­ g in e mas tard e entre A b b as b ajá é I b r a h im b ajá u n a lucha de Alepo u n c a nal de com un icació n entre los dos r í o s , que e stu ­ bido inmensos y repetidos ap'ausos del pueblo s e v ill…</t>
  </si>
  <si>
    <t>Chesterfield</t>
  </si>
  <si>
    <t>…y de R odríguez, calle de C arretas, á 16 rs. en rú stic a, y de y hallándose prevenido que la subasta de este rarno se anuncie las provincias en las siguientes: H abana, calle de A g u iar, nú­ A R T A S PO STUM AS del conde de Chesterfield, traducidas con seis meses de anticipación, ha dispuesto que asi se verifi­ mero 59. Barcelona , Piferrer. Badajoz , viuda de Carrillo. B úr- ^ de la décima edición inglesa por D. Ramón V i lia riño. que por el tiempo de cuatro años, que darán principio á con­ gos, V illanueva C ád iz ,…</t>
  </si>
  <si>
    <t>Chi-, Josefa</t>
  </si>
  <si>
    <t>Josefa Chi-</t>
  </si>
  <si>
    <t>…que fugitivo de España servia de secretario al po­ NORMA, tentado estúpida El español se presenta i la duquesa. Es admirable la Ayuntamiento constitucional de Alcalá de Guadaira. en la que desempeñará la parte de Adalgisa Doña Josefa Chi- discreta malignidad de esta para arrancarle el secreto de meno. ser autor de los papeles que el necio escribía a Vitoria. Mas S. M. la Reina Gobernadora por Real órden de 16 de MayoNota. Se dispone una gran función extraordinaria, com­ ella misma se prende en sus mismos lazos; ignorante…</t>
  </si>
  <si>
    <t>Chicarro, Nicolás</t>
  </si>
  <si>
    <t>Nicolás Chicarro</t>
  </si>
  <si>
    <t>…o D. Pedro C arvajal, cuya un cierto período de tiempo, y al presidente del supremo tr ir herida me es sensible, D. Blas García de Quesada, alférez de CORTES. buual de Ju sticia, todos los cuales, por sus luces y conoci­ navio D. Nicolás Chicarro, primer piloto D. Manuel Abad, mientos en los diferentes ramos de la administración pública, SENADO. podrian ilustrar sobremanera al Gobierno en cuantas materias marineros Andrés Lage y Domingo Antonio Areuas y demas individuos de tropa y m arinería, tengo el honor de manifestar­ P…</t>
  </si>
  <si>
    <t>Chico</t>
  </si>
  <si>
    <t>…defenderla. s ig u ien te: En La circular de 0 de D iciem bre últim o tuvo tarios hechos par dos comisiones. Sin mas discusión quedó aprobado el art. 19 últimamente á bien S. M. m andar lo que estimó co nven iente para que El Sr. Chico quedó agregado á la 6.a sección. redactado. la actual requisición se lleve á pu ro y debido electo con Se leyó el dictamen de la comisión encargada de informar Se leyó y puso á discusión el art. 20. toda rapidez, autorizando á los capitanes generalas para sobre la exposición del Sr. Ramírez de…</t>
  </si>
  <si>
    <t>Chico, D. Pedro</t>
  </si>
  <si>
    <t>D. Pedro Chico</t>
  </si>
  <si>
    <t>…quede suprimido el art. 1 0 , reemplazándole el 11 en la atenta carta de A b r i l , que recibí con algún atraso , y persua­ forma que á continuación se expresa. dido 8. M. de los relevantes méritos-de ios brigadieres Forca- Sr. D. Pedro Chico.=rHoy 1.° de J u n io de 1859.:=Mi esti­ Art. ÍO. Quedan obligados á la exacta observancia de este deli y Lia agostera , asi como tener en su soberana consideración mado D.° , por mi última vería que le dije había recibido las tratado los gefes de las fuerzas que lo firm an, como to…</t>
  </si>
  <si>
    <t>Chimeneas, Pedro Allende Salazar.</t>
  </si>
  <si>
    <t>Pedro Allende Salazar. Chimeneas</t>
  </si>
  <si>
    <t>…ue admitirán en todo tiempo alumnos pensionis­ Vizcaya. z¡:D. Casimiro Loizaga , nombrado por muerte de terribles, y que ofrece en su curso un vado en el pueblo de las tas. Logroño 12 de Noviembre de 1839.:rEl director, Víctor D. Pedro Allende Salazar. Chimeneas, otro en Suria y el pueate de M alagariga, que pre­ Lana* Zaragoza. = D. Agustín Nogueras, nombrado por renuncia senta al enemigo mil ocasiones favorables de atacar nuestros de D. Miguel Laborda. convoyes, y entorpecer la marcha de las operaciones, á menos Idem 15.…</t>
  </si>
  <si>
    <t>Chinchilla</t>
  </si>
  <si>
    <t>…orrente aselador que iba á su­ El Sr. Castellano* se encargó de la cátedra de arqueología; el dos en todas direcciones por las tropas leales y voluntarios N a ­ mirnos en la barbarie. Laudables son sus esfuerzos, y tanto oías Sr. Chinchilla ha enseñado la histeria de la medicina españo­ laudables cuanto que no permitiendo las circunstancias hacer la | el Sr. Hi*ern ha dado lecciones de fisiología comparada ; el cionales» Han sido aprehendidos un oficial, un sargento y unos 10 ó 12 soldados rebeldes con unos 17 ó 18 caballos…</t>
  </si>
  <si>
    <t>Chinchilla, Anastasio</t>
  </si>
  <si>
    <t>Anastasio Chinchilla</t>
  </si>
  <si>
    <t>…embocan en é l , principalmente Refutación de las reflexiones llamadas histórico-flosófcas el Oural y Koura. Se valúa en 2003 el número calao excede algunas veces de 4 O libras, y hay rodaballos que total de los individuos de D. Anastasio Chinchilla sobre la reunión de la m edi­ pesan mucho mas. En lo general el pescado que se coge mas emplean 800 navios y ocupados en esta pesca, para lo cual se un crecidísimo número de barcos pe­ cina y cirugía en un solo profesor . cerca de frontera de la Noruega es el mejor. queños. S…</t>
  </si>
  <si>
    <t>Chiva</t>
  </si>
  <si>
    <t>…los jueces, parece indispensable que esta habiendo encontrado muchos en ellos suficiente m otivo- gran prorogativa esté contrabalanceada con restricciones para votar en contra del proyecto, ó cuando menos para El comandante de Chiva dice en oficio de ayer que el ene­ previsoras de la misma im portancia; y no pueden ser proponer reformas tales que le hubieran desnaturalizado, m igo se hada en Chelva y A ipuente, y un batallón entre Losa otras que la responsabilidad y las calidades precisas de los nos vemos en la precisión…</t>
  </si>
  <si>
    <t>Chlapowski</t>
  </si>
  <si>
    <t>…P a ­ ciencia. rece que estas disposiciones se renuevan en el d i a , y se han ma­ Esta señal de primera clase no es necesario repetirla fuera ¿E xiste en el hombre el sentimiento de la belleza y de la nifestado contra el general Chlapowski , quien sin embargo hí del partido en que se hace, pero debe avisarse por propio a los su b lim id ad ? ¿H ay en los objetos de la naturaleza, sometidos dado pruebas de patriotismo combatiendo contra la R u sia, aun pueblos confinantes. á nuestra contemplación, cualidades en virtud de las…</t>
  </si>
  <si>
    <t>Chocometi, Franco de Sena</t>
  </si>
  <si>
    <t>Franco de Sena Chocometi</t>
  </si>
  <si>
    <t>…pública de un modo p arti­ des de peras, cuatro de melocotones y cinco de uvas; del con­ El Sr. conde de las N A V A S anuncia al Sr. Ministro de cular. Se dice que el duque de Orleans se ha visto en la necesi­ de de Roto va, D. Franco de Sena Chocometi; D. Pedro M o­ M arina una interpelación acerca de la inversión de ciertos fon­ dad de que inmediatamente se abandonen muchos pequeños rales, D. Vicente Llopis, canónigo de e¿ta metropolitana , con­ dos de su ramo. r territorios en que los dos tercios de nuestros soldados…</t>
  </si>
  <si>
    <t>Choi-</t>
  </si>
  <si>
    <t>…sus conferencias con Napoleón, tuvo En los interva­ Este último se explica asi á propósito de la capitula­ frecuentes con­ ción de Ulm: «Hemos descargado nuestros cañones con­ ja política empezó bajo los auspicios del duque de Choi- versaciones sobre diversos asuntos de literatura, de filoso­ tra Strasburgo, como vos hicisteis; y el obispo entona un seul , falleció al mismo tiempo que dejó de existir el mi­ fía y de política interior. Te Deum.” Los asuntos adquirían cada vez mayor impor­ nisterio Polignac. En tanto que…</t>
  </si>
  <si>
    <t>Choiseu</t>
  </si>
  <si>
    <t>…a Francia y el Austria, se agitó en el Hauterive ha dejado retratos como los que se hacian El autor, comisionado por S. M. en 1835 para un viaje fa­ consejo la cuestión de las inmunidades diplomáticas: Na­ en tiempos del duque de Choiseu!. El duque Mathieu de cultativo por los poses de Europa mas adelantados en ciencias poleón, excitado por un ministro de policía que sentía Montinorency, el abate Muntesquieu, Talleirand, Mr. Pas- y artes, y habiendo dado cuenta de su principal misión en.dos verse privado de penetrar fácilmen…</t>
  </si>
  <si>
    <t>Choiseul</t>
  </si>
  <si>
    <t>…ra la guerra.” bién en el número de nuestros principados. A Dios, mi ca­ En este tiempo Mr. Mauricio dé Talleirand, amigo del De tiempo en tiempo sé encuentran expresiones que indi­ ro Hauterive; confiad en mi amistad.” duque de Choiseul, bajo el nombre de abate de Perigord, can reinar entre ambos la ma^or intimidad ; pero se reco­ Seis diás después todo Paris iba á felicitar al Empera­ ya conocido de Hauterive que le habia visto en Chante* ? noce con placer el genio alegre y picante de Talleirand. dor. «La diputación del S…</t>
  </si>
  <si>
    <t>Chopere-, Rafael</t>
  </si>
  <si>
    <t>Rafael Chopere-</t>
  </si>
  <si>
    <t>…s los que se crean con á uno de sus adversarios mas pronunciados; por otra parte, no D irección g en era l d e C orreos. se podría explicar de parte de Mr. Cunin-G ridaine una adhe­ derecho á los bienes dejados por muerte de D. Rafael Chopere- n a , vecino que fue de dicha ciud ad , para que en el término sión que no aprovecharía ni al partido que dejaba ni al que de 50 d ia s , contados desde la publicación de este anuncio en Él correo que salió de esta corte con la correspondencia pa­ adoptaba, ni á Mr. C unin-G ridain…</t>
  </si>
  <si>
    <t>CI, EN</t>
  </si>
  <si>
    <t>EN CI</t>
  </si>
  <si>
    <t>…nfrenadas, hace cesar los torrentes de sangre es­ C O N G R E SO D E D IP U T A D O S . El Sr. L O P E Z D E P E D R A J A S : Que se lea esa expo­ pañola abundantemente derramada en los sei.» años de desastro­ sición. P RE SI D EN CI A DEL SEÑOR CALATRAVA. E! Sr. P R E S ID E N T E : Es obligación el leerla. sa lucha, economiza gastos inmensos, y fija en lia el principio de vida á la agricultura, al comercio, á las artes y á tocias las Sesión del dia 13 de Setiembre, Leída, se preguntó al Congreso por indicación del Sr. Pr…</t>
  </si>
  <si>
    <t>CI, IS</t>
  </si>
  <si>
    <t>IS CI</t>
  </si>
  <si>
    <t>…l Gobierno con su dictáraen las propuestas pa­ los maestros de posta que viven fuera de poblado. ra los empleos de gefes y demas que fueren de Real nombra­ P R O YE C TO DE L E Y P A R A L A OR GAN IZ ACI ON, SE R V I C I O Y D IS CI ­ 10. Los criados de labranza y ganadería , los sirvientes do­ m iento, y comunicar á las autoridades civiles superiores de las P L I N A DE L A M I L I C I A NA CIO NA L D E L REINO. mésticos ó de la persona, y los jornaleros que no paguen al me­ provincias y subinspectores respectivos los…</t>
  </si>
  <si>
    <t>Cid, Genaro Fernandez</t>
  </si>
  <si>
    <t>Genaro Fernandez Cid</t>
  </si>
  <si>
    <t>….) turando sus armas y municiones. ris, otra de azafran y otra de sen ; cada una de las cuales con­ El 21 la columna de Mesía y M arinas, al mando del co­ tiene varios centenares de quintales. También se han puesto en mandante D. Genaro Fernandez Cid , dió alcance en las parro­ venta 80 quintales de nitro. quias dé Bruma y Bisoño á tres rebeldes, los que fueron muer­ Las buenas noticias escasean ; sin embargo, hoy podemos da­ Hoy hace 12 dias escrib íam os?*EI duque de Burdeos, que tos en el acto, dejando en nuestro poder s…</t>
  </si>
  <si>
    <t>Cienfuegos</t>
  </si>
  <si>
    <t>…, costa mbres.=: Modo ingenioso de des­ de redactor de la Gaceta , y después del Mercurio , el referido paste y suavidad que en las anteriores, sin duda porque los cubrir un ladrón , auécdota, y una Crónica con diferentes ar­ Sr. Cienfuegos, se encargó de la parte literaria , ó sea de su­ profesores extrangeros no conocen tan bien la manera, ó^ea el tículos. ministrar artículos para dichas muestras, y como por entrete­ carácter artístico de M urillo, como los nacionales. Tiene tL8 p- Se suscribe en Madrid en la librería de…</t>
  </si>
  <si>
    <t>Cifra, Bartolomé</t>
  </si>
  <si>
    <t>Bartolomé Cifra</t>
  </si>
  <si>
    <t>…se remitirán por los interesados los poderes á nom­ Rico, M olina: Reus , Sánchez: Ronda, Fernandez: Salamanca, M álaga, | á i id. bre del director con los demás documentos é instrucciones ne­ Blanco: Santa Cruz de Tenerife, D. Bartolomé Cifra: Santan­ Santander, par din. cesarias. der , M artínez: Santiago, Rey y Romero? Segovia , Brea ; Se­ Alicante, ^ a i d . Santiago, \ l á 2 d. 4-° Promoverá y pondrá al corriente en las oficinas que villa, D. Mariano Caro: Soria , Peña : San Sebastian , Barrojas Barcelona, á ps. fs.…</t>
  </si>
  <si>
    <t>Ciiment</t>
  </si>
  <si>
    <t>…espectáculo, titulado LA Confiamos que la nación favorecerá con su benevolencia de la Iglesia.................... 1 CONJURACION DE V E N E O A. nuestros conatos por su felicidad.=M. J. de V. Rocosach, re­ Retrato del limo. Sr. Ciiment; se vende suelto y puesto La empresa no ha perdonado dispendio alguno para pre­ presentante de la empresa. al principio de las pláticas de dicho Sr. obispo 2 sentarlo con todo el aparato que requiere. T R A T A D O teórico y práctico de la ligadura de las arterias BIB LIO TEC A de señorita…</t>
  </si>
  <si>
    <t>Ciireasi, Lia</t>
  </si>
  <si>
    <t>Lia Ciireasi</t>
  </si>
  <si>
    <t>15/08/1839</t>
  </si>
  <si>
    <t>Gaceta de Madrid n.º 1735</t>
  </si>
  <si>
    <t>…ra que com­ favor del Señor. "Todas las mugeres del harem imperial son de distraer á los lectores. Este inconveniente, sin em bar­ parezca en dicho juzgado dentro del término de nueve dias que esclavas , traídas por lo general de Lia Ciireasi» y de la go, podra al fin remediarse por medio de nuevas tentati­ por primero se le señala , haciéndolo en la escribanía principal Georgia, porque ninguna UMiger -libre ta r a , puede ser in ­ vas hasta que llegue á desaparecer enteram ente; y aun de amortización , calle del Lobo, núm.…</t>
  </si>
  <si>
    <t>Cinco</t>
  </si>
  <si>
    <t>…nglaterra para desafiar la cólera rusa. Es sor­ nortante salud. cisco Rodríguez Navamuel.zrEI presidente de Pesquera, M a - § prendente y dolorosa la incuria con que los representantes de las nueí Martínez Rubio. = Et alcalde de Cinco V illa s , Cosme G u - 1 decnas Potencias han manejado en este pais los intereses euro­ tierres.^El alcalde presidente de V aiderredib le, Vicente de 9 peos y la indiferencia con que han presenciado los triunfos m a ­ S. M. la R e in a G o b e r n a d o ra ha oido con p a r t i c u l a r Lu…</t>
  </si>
  <si>
    <t>…ierno político de esta provincia. - El b rig a d ie r com an­ A r o , a prisión en un castillo f u e ra de la p ro vin cia ín te rin no sentir, y seré inexorable para aplicarlo á c u a lq u ie ra q u e , o lv i­ dante general de Cinco villas me dice con fecha 2 2 del actual se pacifique esta y un año mas. A D . Jacobo S e ñ o r a o s , c u ra lo que s ig u e : dándose de sus sagrados deberes , traspase el lím ite de los m is­ dé O c a , y a D. Pedro O te r o , e s t u d i a n t e , á confinamiento en mos. C uando se calme e…</t>
  </si>
  <si>
    <t>Cinco, Pedro Sainz</t>
  </si>
  <si>
    <t>Pedro Sainz Cinco</t>
  </si>
  <si>
    <t>…o espero. Habiéndose denunciado ante el Sr. alcalde primero consti­ llaman la cabaña de G irim bao, apreciada en 800 rs. Por todas éstas razones me opongo al dictamen de la comisión, tucional D . Tomas Fernandez de Yallejo por D. Pedro Sainz Cinco tinajas de cabida de 80 arrobas cada u n a. tasadas y me siento convencido de que el Congreso no permitirá que de Baranda un artículo inserto en el periódico titulado el Cas­ en 1200 rs. en el templo de las leyes tenga entrada el que así ha mancillado tellano del viernes 16 de Agos…</t>
  </si>
  <si>
    <t>Circular, DE RENTAS.</t>
  </si>
  <si>
    <t>DE RENTAS. Circular</t>
  </si>
  <si>
    <t>N.° 1625. DOMINGO 28 DE ABRIL DE 1839. d ie z c u a rto s. PARTE OFICIAL. DIRECCION GENERAL DE RENTAS. Circular. mentó; pero no disfrutarán de este beneficio los que la hayan cumplido al tiempo de presentarse á exámen. Si en el intervalo que media entre la gracia y el exá­ Por el ministerio de Hacienda con fecha 9 del actual men hubiese dado el pretendiente alguna señal de mala S. M.…</t>
  </si>
  <si>
    <t>Cirios</t>
  </si>
  <si>
    <t>…s , son las escri­ ciando por lo bajo el cruel axioma: Cada uno para sí r Dios ó malestar de las clases pobres, y su mayor ó menor moralidad, tos por D. Paulino Ramírez de la Piscina, actual Ministro de para todos? Estado de D. Cirios, y van señaladas con los uúms. 1 .°, 5.°, 12 tiene la mayor influencia en la prosperidad de los Estados. Con Y vosotros, hermanos desgraciados y abandonados, que al el fin de lograr toda la utilidad de que en nuestra situación son .Y f^ , y la del núm. 7.° escrita por D. Juan José Marcó del…</t>
  </si>
  <si>
    <t>Ciríaco</t>
  </si>
  <si>
    <t>…ue no es de los principales ni mas intere­ ra que se confie a la t ie r r a , al paso que se suministra un em­ cicio mis paternales funciones, porque el preceptor ha llenado santes. Este mismo joven brilló en la ejecución de D. Ciríaco pleo ligero , fácil y provechoso á los n iñ o s, a n c ia n o s, enfer­ sus deberes en todos sentidos; porque los jóvenes, dóciles y h a­ én el tercero en discordia , arrancando anteriormente infinitos mos y otros individuos de la fam ilia que actualmente mas bien bituados á la palabra de…</t>
  </si>
  <si>
    <t>Ciudad-Rea</t>
  </si>
  <si>
    <t>…i habia habido futar las contestaciones que se dieron á lo que la comisión ex­ coacción, y si era cierto que 490 y tantos electores, según se puso al Congreso; pero antes de emprender este propósito, no El comandante general de Ciudad-Rea! y Toledo en otra decía, habían quedado excluidos de las listas, en las que recla­ puedo menos de decir algo respecto á dos puntos muy impor­ de igual fecha dice que se habían presentado á indulto en di­ maron ser comprendidos. tantes, de los cuales habló el Sr. González Alonso, y cuyas…</t>
  </si>
  <si>
    <t>Cla</t>
  </si>
  <si>
    <t>…gloriarse constantemente. Hasta aqui el álbum de Roma . mas se lleva un libro ó registro exacto, donde se anotan estos En el Correo Nacional del dia 22 hemos visto una magní­ Este elogio prueba dos cosas. Mucho mérito eo el Sr. Cla­ castigos, y las causas que los motivaron, y se presenta á los fica composición A los poetas , obra de nuestro amigo el joven ve, y verdadera idea de lo que son las bellas artes en el au­ inspectores en las visitas que hacen á la penitenciaria, en las escritor £). Gabriel García y Tassara. Aqu…</t>
  </si>
  <si>
    <t>Clam</t>
  </si>
  <si>
    <t>N.° 1825. VIERNES 8 DE NOVIEMBRE DE 1839. DIEZCUARTOS El conde de Kollowrath y el conde Clam han llegado á FRAN CIA. PARTE OFICIAL. Viena , en donde se aguardaba el 28 ai Príncipe de M etter­ nich. La corte saldrá de Schoenbrun el 29. P a ris 30 de Octubre. La señorita D unin ha llegado á Berlin para solicitar U au ­ torización de trasladarse á Cobery al lado del arzobispo. B olsa…</t>
  </si>
  <si>
    <t>Clarendon</t>
  </si>
  <si>
    <t>…disgusto sus instituciones, ni tampoco cuan­ tra influencié sobre los beligerantes. ios carlistas relativamente á las Encartaciones. Al principio de do asegura que los Ministros de S. M. han promovido los cam­ El noble conde de Clarendon ha argumentado cual si yo íe este año los carlistas se hallaban en posesión enteré y absoluta bios políticos en aquel pais, y afirma que nuestra política en instara para ello , diciendo que los Ministros no pueden tratar de aquel importante distrito; los recursos que de él se sacabari Es…</t>
  </si>
  <si>
    <t>Clau, Juan</t>
  </si>
  <si>
    <t>Juan Clau</t>
  </si>
  <si>
    <t>…largo y peligroso invernáderc analogía, sintaxis y prosodia que sobre un período que se les ^kcnlben -de Roma x de Méjico; ya de los habitantes de la llábana, que han podide puso en el encerado les propusieron los profesores D. Juan Clau­ apreciar á un mismo tiempo su modestia y su valor; después d&lt; dio Díaz , D. Juan Nepooiuceno Blasco, D. Esteban de N a - Mr. ée Jaoobis, laz'irista, nombrado prefecto apostólico d&lt; las pruebas de afecto que ha recibido en Brest y en todo él ca­ vea y D. Antonio García. U misión que se…</t>
  </si>
  <si>
    <t>Claudio</t>
  </si>
  <si>
    <t>…n tam ien to , los barrios ó cuar­ p áes públicos, se presente en la escribanía de número del D oc­ recientemente mandadas organizar. (D iario de Sevilla.) teles en que convenga d iv id ir la poblacioa coafarm e al nú me­ tor D. Claudio 3anz y Barea para oír la notificación de una ro de sus tenientes. sentencia inserta en un despacho rem itido por el Sr. juez de 3 .° C uidar de todo lo relativo á la policía urbana y rural prim era instancia del partido de M adridejos. CORTES. conforme á las leyes, reglamentos , disposicion…</t>
  </si>
  <si>
    <t>Claudio, Juan</t>
  </si>
  <si>
    <t>Juan Claudio</t>
  </si>
  <si>
    <t>…sen la admiración de los concurrentes todos como sucedió, de­ á cargo del citado profesor D. Francisco Castro, se compone de por el coronel D . José de Odriozola . Madrid, i 839. jando tan bien puesto el nombre del director D. Juan Claudio cinco alumnos. Estos dieron claras muestras de sus conocimien­ Diaz y el de sus dignos colaboradores. tos en los órdenes dórico, jónico, corintio y compuesto, trazan­ El Sr. Odriozola completa con esta obra, fruto de sus Las clases de religión , lectura, caligrafía española é ingle­ d…</t>
  </si>
  <si>
    <t>Clausel</t>
  </si>
  <si>
    <t>…e los ge- Hija del Em ir . fes y casi todos los oficiales están por Maroto y en contra de Los datos que el consejo ha recibido de diferentes partes del D. Carlos. Lo mismo, con leves excepciones, sucede con los sol­ El mariscal Clausel ha llegado estos últimos dias á Tolosa, pais, le han demostrado que el pueblo no estaba preparado á dados. y ha vuelto á partir inmediatamente para su dominio de Se- comenzar el mes sagrado desde el 12 de Agosto. Por otra parte Esta disposición, casi universal de los ánimos, procede del e…</t>
  </si>
  <si>
    <t>…robado después de un le v i* se com ponen, íntegra y sin ninguna reducción. caballería y á rtille riá de la G uardia Real y del ejército , y simo debate. para su celebración se ha señalado por el Sr. intendente gene­ El mariscal Clausel tomo acerca de él la p a la b ra , y d ijó j Art. 2.° En las provincias en que no se hubiesen he­ ral m ilita r él ’ día 1.° del próximo mes de Febrero á las doce No vengo á pédiros ni la intervención ni l l cooperdcion én cho asi los rep artim ien tos, las diputaciones provinciales los ad…</t>
  </si>
  <si>
    <t>Claussel</t>
  </si>
  <si>
    <t>…ia de varón en varón por el o r ­ funcionarios públicos han estado esta noche en las Tullerías. El anteriorm ente esparcidas bajo tantas denom inaciones dife­ den de prim ogen itu ra, y solo en el caso de una com pleta mariscal Claussel ha sido de los primeros. El Rey ha recibido rentes. Sin esta corona que las com prende todas dentro de extinción de la línea m asculina es cuando las h em b ras en audiencia particular á MM . Duchatel, Passy, Dufaure, Y i- su círcu lo , separadas unas de o tras, volviendo pór d ecir­ son l…</t>
  </si>
  <si>
    <t>Clauzel</t>
  </si>
  <si>
    <t>…, Presidente ; Albert , Secretario» parte MM. Laborde, Vivien , el general Bugeaud y Mr. Teste, Adj untos: Mr. de Sade y Mr. Galoz. París 4 de Abril. y habiéndose procedido á la votación quedó desaprobada la 6.a MM. el mariscal Clauzel, Presidente; V ivien, secre­ proposición por una inmensa mayoría. tario. Fondos 'públicos. Cinco por 100, 109 fr. 4O c. Retirada la Cámara á las secciones se procedió á la organi­ Adjuntos: Mr. de Debelleyme y Mr. Dalloz. Tres id., 80 f. 4O c. zación , después de lo cual concluyó la sesió…</t>
  </si>
  <si>
    <t>Clavcría</t>
  </si>
  <si>
    <t>…que es el lenguaje en que autoridad que el dia 18 llegó á aquella capital la columna del zón habia presentado ayer su proposición , que á haberse admi­ debe hablarse á legisladores. Presentaré bajo su verdadero punto brigadier Clavcría coa el geaeral ea gefe del ejército del Cea- tido, se hubiera evitado esta discusión. Que diciéndose en el ar­ de vista los argumentos de que se ha hecho uso, y las contes­ 1ro 9 y que la divisioo del general Hoyos se hallaba acanto­ tículo 29 de la Constitución que cada cuerpo colegislado…</t>
  </si>
  <si>
    <t>Clave-</t>
  </si>
  <si>
    <t>…ra y la an arq uía sucedan la p a z , el orden respeto y amor á su persona , felicitándole por tan justos reco- y la libertad legal , como medios de prosperidad y en g ra d e c i- Teruel 4 de Setiembre. L a división del brigadier Clave- uncí míen tos. Como gefe de esta fuerza ciudada na , me glorio iniento de la M adre España bajo el reinado de S. M . D o ñ a Isa­ ría se halla en C alam o ch a, en observación de Monreal , pueblo de ser el conducto por el cual se trasmite á Y . E. la presente bel i i de Borbon. que á toda cos…</t>
  </si>
  <si>
    <t>Clavería</t>
  </si>
  <si>
    <t>…ia en esta ciudad. solo unido por los cañones adaptados á dichos vasos, pasé á ma­ Manifestó en seguida varias propiedades fisico-quíraicas de nifestar cómo la absorción venosa se verifica al través de las ejercito, El brigadier Clavería, gefe de estado mayor general de este las sustancias principales que componen dichos colores; y no paredes de las venas , incorporándose inmediatamente las sus­ se ha puesto á la cabeza de la segunda división por h a ­ fiando en ellas para elegir un reactivo que distinguiese á los tancias…</t>
  </si>
  <si>
    <t>…letra, en la cual imitó la Zaragoza 15 de Agosto . biendo sufrido el ministerio ninguna modiíicaciou , es de creer firma de un rico banquero de Viena ; pero la rnala estrella del que prevaleció el voto de la mayoiía. El brigadier Clavería, gefe de E. M. G. y de la segunda conde hizo que en aquel mismo dia llegase á Gratz uno de lo; división, desde Cariñena con fecha de hoy dice á este señor se­ socios de la dicha casa de Viena , el cual avisó á los portadores gundo cabo que habiendo tenido noticia deque en Vilianueva C O…</t>
  </si>
  <si>
    <t>Clavijo, Joaquín</t>
  </si>
  <si>
    <t>Joaquín Clavijo</t>
  </si>
  <si>
    <t>…eshonra y el vilipendio de que van censo en la provincia de Logroño, vacante por fallecimiento en el Ecuador la conducta franca , liberal y desapasionada del acompañados en tales casos los usurpadores de los derechos de los de D. Joaquín Clavijo, se ha servido nombrar S. M. á D. Pe­ nuevo Presidente. Nosotros felicitamos á nuestra aliada, am i­ pueblos. dro José Abad y Escudero, juez que ha servido la de la A l- ga y vecina por tan hermosa perspectiva de dicha y felicidad, Gloria á Chile y su Gobierno , cuya energía y firmez…</t>
  </si>
  <si>
    <t>Clavé</t>
  </si>
  <si>
    <t>…bería decir que en los Estados-Unidos esté prescrito como una que el año último contaba 500 socios, y en el dia ha trañas. autorización sin excepción, cuando diariamente se ve irse mo­ Ateneoy Concluiremos diciendo que si el Sr. Clavé prosigue culti­ derando. En la penitenciaría de Boston, solo el guarda princi­ subido este número hasta el de 500. vando con el mismo ardor que hasta ahora el arte que profesa, pal (keeper) ó su segundo están autorizados á imponerle; pero llegará muy presto á ocupar un lugar distinguido entr…</t>
  </si>
  <si>
    <t>Clavé, Pelegrin</t>
  </si>
  <si>
    <t>Pelegrin Clavé</t>
  </si>
  <si>
    <t>…proporcione una pequeña suma, con la cual evitarían los con­ desgraciadamente casi todo está aun por hacer, y aates de adop­ flictos de una posición aventurada en los primeros dias en que E l pintor Clavé. El joven barcelonés D. Pelegrin Clavé, tar ua pía® curativo que de un modo uniforme y progresivo vuelven á la sociedad , sin relaciones ni conocimientos para ha­ ataque las fueotes del vicio y de la desmoralización á la vez, llar inmediatamente uoa ocupación? Yo creo que el beneficio conocido la^ noble ya en esta ciuda…</t>
  </si>
  <si>
    <t>Clemen</t>
  </si>
  <si>
    <t>…ecido ser escrito como los de C uvier, Lesson , V i- Ramón: Murcia, D. José Benedicto: O vied o, D. Gabriel Lon- rey y otros muchos, entre los de los médicos y naturalistas mas goria: Salamanca, D. Vicente Blanco! Santander , D. Clemen­ CAMBIOS. famosos que admira la Francia; cuando todas las academias y te María Riesgo: Santiago, D. Juan Rey Romero Alcocer: Londres, á 90 dias, 3 8 f papel. Coruña, 1¿ á 2 d. corporaciones científicas de una nación que marcha al frente de Segovia, D. Domingo Alejandro: Sevilla, Sres. José…</t>
  </si>
  <si>
    <t>Clemencin</t>
  </si>
  <si>
    <t>…afirmativas, como estas: mas locos Jueran que no éli aparecido ya el último tomo del Quijote publicado por y contra un Gobierno que los atormentaba de todos modos. con el miedo de no ser hallados: fa ltó poco para no sa- e¡ Sr. Clemencin, y se ha terminado la edición del sabio De aqui procedió la imposibilidad de incorporarse y con­ lirm e por las calles• En fin, muchas otras veces admite la y erudito comentario de nuestro ilustre coetáneo. O nos fundirse con los españoles: de aqui sus comunicaciones se­ negación en frase…</t>
  </si>
  <si>
    <t>Clemente, José</t>
  </si>
  <si>
    <t>José Clemente</t>
  </si>
  <si>
    <t>…rnanda es una m u ­ ta á la decisión del Congreso la misma duda manifestada en la comandante general de la división de vanguard ia el brigadier chacha que tiene por todo encanto su juventud graciosa y r o ­ pet ición anterior. D. José Clemente. s a d a ; en cuanto á su alma es casi im perceptible; es com o si no L a com is ión opin a que el Congreso se halla en el caso de Es de creer que m u y en breve se reciban mas pormenores de existiese. Asi es que sacrifica el corazón fiero y exaltado de su tomar igu al resolución m an…</t>
  </si>
  <si>
    <t>Clemente, Sinton de Rojas</t>
  </si>
  <si>
    <t>Sinton de Rojas Clemente</t>
  </si>
  <si>
    <t>…tar bien fundadas, acarrean la ma­ Juan Sales, Francisco Blanco, Francisco Salcedo, Domingo yor utilidad. Tales son por ejemplo las del segundo libro de Moreno, José Olmos, Juan Moreno, Manuel Alameda , Do­ Herrera debidas á D. Sinton de Rojas Clemente, tan ventajo­ mingo Salgado, Evaristo Carrera, Juan M aldonado, Esteban samente conocido en Europa por su escálente Tratado sobre la D uarte, Juan González, Dionisio D iaz, Francisco Dolf, Do­ mingo Moreno, sargento primero José Rodríguez, Manuel Conde, Juan García, Domi…</t>
  </si>
  <si>
    <t>Clennnrd</t>
  </si>
  <si>
    <t>…n pei nar como S. S. pu tados '^ l l e v a n d o m as alia las c o n s ec u en ci as ¿fue p o d r ía n se­ ocupars e de si el Co ng r e s o dari a ó no un voto de censura á otra por que 00 qui er an que recaiga sobre el conde de Clennnrd u o g u i r s e de : s em ejante s u s t i t u c i ó n . O t í ó á r g u m e f l í o ' sé fía Ahecho a u t o r i d a d que no fue^e el Mi n i s t e r i o mismo. ( E l Sr. Sancho voto de cens ur a: el Sr. Sancho no puede ser sospechoso: ha m a ­ en c o n t r a de la a p l i c a c i ó n del…</t>
  </si>
  <si>
    <t>Cleo</t>
  </si>
  <si>
    <t>…un salvoconducto para que pudiesen cometerse los mayo­ dabaN ounsécarácter si he oido que hubo un medio de transacción, y esto prerogativa para los Diputados el art. 42 de la Constitución. de gravedad á la conducta del conde de Cleo­ Respecto á lo que se ha manifestado sobre si hubo ó no tran­ res delitos. Por todas las razones expuestas cree S. S. que el a r­ nard. Por las comunicaciones ticulo 42 de la Constitución está term inante, y no admite no ha habido transacción, y que existen puedo asegurar que sacción , dice q…</t>
  </si>
  <si>
    <t>…ar de la menoría de la comisión, que eu el ultimo mes de N oviem bre, que es la época mas pró­ G R A N BAILE D E M ASCARAS, Cristina 9 núm, 4 , cuarto p rin c ip a l, casa porque de lo contrario mas bien que contra el conde de Cleo­ xima á que puede referirse el corresponsal del nard seria un voto de censura contra el Gobierno, y esto trae­ el tenor mismo de su artículo, no ha habido mas que un deser­ según calle ^uem d f e ue M d a e rta la extinguida inquisición , hoy 5 de E n e ro de ría fatales consecue…</t>
  </si>
  <si>
    <t>…sura no le doy porque no tengo conocimiento de de haberla donde hay arbitrariedad, y quiero que cese la acción ra á la parte dispositiva, con respecto á que continúe esta cau­ causa , y porque me merece buena opinión el conde de Cleo­ de esta, para que sobre sus ruinas se eleve el poder de la jus­ sa , en que está envuelto un D ip u ta d o , mi intención, mi re­ n a r d , y no puedo im agin ar que sea tan injusto que se estrelle ticia. solución y mi decisión consiste en lo siguiente; El Sr. Alvarez, contra un Dipusado.…</t>
  </si>
  <si>
    <t>Cleo-</t>
  </si>
  <si>
    <t>…cualquiera otro tercero que mejor le do se originarán algunos casos que ningún bieu pueden traer, tenga. 2.° One el repetido vínculo consiste en la mitad del h a ­ diputación. Se dió cuenta de una comunicación del Sr. conde de Cleo- renuncio ta palabra. ber adjudicado a IX Francisco Cornide en los términos que in­ Tocándole por turno el uso de la palabra al Sr. Valdés y nard al G&lt;*tó¿erno, por la que pone en su conocimiento la que dica la segunda ba&gt;e. 5.° Que se remitan ejemplares de esla no hallándose presente, la ob…</t>
  </si>
  <si>
    <t>Cleonard</t>
  </si>
  <si>
    <t>…que podemos culpaba á la autoridad deque abusaba de sus facultades , iba á lo que se intenta es el descrédito de la autoridad m ilita r, y no hallarnos en el mismo caso, del triste y miserable recurso que probar que el conde de Cleonard habia cumplido. por las personas que la ejercen , sino porque representan prin­ da la Constitución para que los Diputados no sean objeto de El estado de sitio, prosiguió, es en mi ju icio , para el cuer­ cipios de orden, y porque alli sostienen el orden y el sosiego una persecución encarni…</t>
  </si>
  <si>
    <t>…i que, vadir aquellas provincias. hacerse distinción de la amenaza, pues esta precisamente * soportar mas, escaparon con sus muías. La cuestión de guerra Añadid S. S., contestando á los argumentos de que en debe la del conde de Cleonard , no la del Gobierno; la comisión des , nacidasGobierno la mira el como la primera , y tiene esperanzas gran­ aquella ciudad no habia que temer enemigos exteriores, que sera no ha tenido por objeto atacar al Gobierno ; no es cuestión de de la confianza que le prestan los Sres. Diputados.…</t>
  </si>
  <si>
    <t>…porque debo decirlo en honor y para satisfacción de la prisión del Sr. Diputado A lvarez, lo cual no puede aprobar toria de E sp a ñ a , historia sagrada , geografía y gram ática la­ la provincia que represento, que el conde de Cleonard se ha por­ S. S. mientras que no se justifique que hubo motivos para se­ tina , dije entre m í: ^Tantos conocimientos en la primera en - &lt; tado en el mando con la mayor fidelidad, celo y lealtad. mejante procedimiento. señanza, y bien desempeñados, me parece un imposible .n Habiéndose not…</t>
  </si>
  <si>
    <t>…clase de amayorazgados lian sido objeto de este pre­ rio. (Esta ca rta se halla inserta en e l C orreo Nacional d e esto; cuando di mi voto al dictamen de laminoría , hice abs­ ayer.) tracción de las personas, tanto del conde de Cleonard corno del n dim ien to con arreglo á las bases y declaraciones que quedan Un oficio del Sr. conde de Cleonard , su fecha 8 de Diciem­ Diputado Alvarez. El Congreso sabe que si yo podia hablar hechas. Y por esta ini sentencia en definitiva asi lo proveo, b re, comunicado al gobernador m il…</t>
  </si>
  <si>
    <t>…usticia ordinaria , y si no he oido m a l, en la última parte I cuernos que la combino dice:: la cuestión de infraganti concepto creyendo la comisión , ó á lo menos el individuo que del párrafo del bando publicado por el conde de Cleonard se no es nuestra , 110 tenemos mved lad de entrar en ella : en este está hab lando, que debia tomarse lo mas favorable en un asun­ dice que los delitos de Sevilla de resultas de esa ultima sedi­ supuesto, señores, creo que lie demostrad &gt; que sin resolver la to que tan mal se presentaba, cr…</t>
  </si>
  <si>
    <t>Cleouard</t>
  </si>
  <si>
    <t>…timo la Real o rd en siguiente: Congreso el avLo que acababa de darle el capitán general de poco concitar pasiones: [hartos disgustos nos rodean inherentes «Al director general de R entas unidas dice con esta Andalucía, conde de Cleouard , del arresto del Sr. D. Francis­ á nuestro estado para que yo me proponga aumentarlos! pero fecha el Sr. Ministro de Hacienda lo que sigue: He dado co de Paula Alvarez, Diputado por la provincia de Huelva, creo con todo indispensable Calificar e*tos hechos tales como cuenta a S. M. la Rein…</t>
  </si>
  <si>
    <t>Cleto</t>
  </si>
  <si>
    <t>…onomizan­ cisco Antonio de P a n d o , D. Felipe López Yaldemoro, Don Se sabe que Mr. Detmod y el doctor Cristiaoi fueron inti­ do asi á la dirección general de Caminos los gastos de Manuel Labraña , D. Francisco de las Casas, D. Cleto E g u i- mados por dos jueces criminales á declarar si se consideraban trasporte, saber los puntos en que se establecen las en­ zabal, midad D. José Finat y D. Pedro Estrada, quienes por unani­ aun como declararon no haber lugar á la formación de causa, y diputados, y que se negaron á respon…</t>
  </si>
  <si>
    <t>Cleveland</t>
  </si>
  <si>
    <t>…ud res y la artillería de batir que tenían sobre dicho punto. de algún tiempo á esta parte parece una veleta política, por­ Se lee en el Morning-Post 1 que cualquiera otra política que siguiese pondría su existencia El duque de Cleveland fue ayer recibido caballero de la or­ en peligro: en este caso no le faltará el apoyo enérgico de la den de la Jarretiere. Sir Williarn, rey de armas, arrodillado, El capitán general de Galicia dice en comunicación del 26 Rusia ; y Mehemet Alí, á pesar de todas sus alianzas con las tenia…</t>
  </si>
  <si>
    <t>CLeñalde, Luis</t>
  </si>
  <si>
    <t>Luis CLeñalde</t>
  </si>
  <si>
    <t>…strar los rigores del clima abrasador de la Am érica del Sur y Habiéndose denunciado ante el Sr. alcalde constitucional el oficial quinto de administración m il it a r , M anuel Félix R o ­ los peligros de la fiebre amarilla? D. Luis CLeñalde por el promotor fiscal D. Ramón Alonso de las dríguez. Y cuando al lado de la cuestión de honor y de la de ínte­ lleras en concepto de subversivo la parte de cencerrada que em­ res se halla una cuestión de h u m a n id a d , ¿ no dejará la F ra n ­ pieza : *cLa anarquía r e in a ” , y…</t>
  </si>
  <si>
    <t>Climent, Antonia</t>
  </si>
  <si>
    <t>Antonia Climent</t>
  </si>
  <si>
    <t>…nstrucción. Su celo merece los mas distinguidos empeño elogios, asi como el del joven director de los niños Don Manuel se indica, un gefe de graduación,excede á la carga, que la suya de 7 0 0 , incluso, según Barber y el de Doña Antonia Climent, que lo es de las niñas, hay quien afirma ser Forcadell, quepasado por el bajo-vientre; fue conducido en una ca­ DIRECCION DE HIDROGRAFIA. por las muestras que unos y otras dieron de sus adelantamien­ milla por ocho hombres á Ayodar. Entre nuestros oficiales han tos. Los primeros en…</t>
  </si>
  <si>
    <t>Clo</t>
  </si>
  <si>
    <t>…ompetente permiso. Dios g u a rd e á V. E. muchos wExctr.p* 8r. s El Comandante de batallón D . José Saavedra y i rv a disponer la publicación en la Gaceta del Gobierno de esta años.=&gt;evi!la 25 de Diciembre de 18 &gt;8 =EI conde de Clo­ T e n o r io , a y u d a n te y secretario de cam p a ñ a del Exorno, señor comunicación y de todos los documentos que la acompañan y nard. = Excmo. Sr. D. Ramón M a ría N arvaez. = Es copia.= D . R nm on M a r ía N a r v a e z , al entregarm e el ad jun to pliego pa­ ustifican, incluyendo en e…</t>
  </si>
  <si>
    <t>…y mandó im prim ir el voto particular del Sr. Cal­ de dichos ministros; debiendo hallarse en el mió las indicadas derón Collantes al proyecto de ley sobre atraso de contri­ c os años. Sevilla 16 de Diciembre de 1858.—E1 conde de Clo­ proposiciones precisamente 12 ó 15 dias antes del referido re­ buciones.</t>
  </si>
  <si>
    <t>Clonard</t>
  </si>
  <si>
    <t>…anjeet-Suigh, su destino. Dios guarde á Y. E. muchos años. Sevilla 15 de hacer proposiciones en el indicado d ia , hallándose con antici­ Monarca del P un jab, y el Sultán Shooja-Ool-M ook , antiguo Diciembre de l838.=El conde de Clonard.^Excmo. Sr. D. R a­ pación en la secretaria de la misma intendencia el pliego de Soberano de Afghauistau. Este últim o, á la cabeza de tropas món María Narvaez.^Sanlucar de Barrameda. zz Es copia, z: condiciones, donde se manifestará. indias, sostenidas en caso de necesidad por las inglesas,…</t>
  </si>
  <si>
    <t>…e ca­ nios anteriores que ambas partes admitieron. Tengo la satisfac­ pitán general de Andalucía en reemplazo del mariscal de ción de informaros de que el Gobierno holandés ha m anifestado campo D. Serafín María de Soto, conde de Clonard, á y a á la Conferencia que acepta dicho tra ta d o , y confio que quien tengo á bien declarar el cuartel para el punto del GRAN BRETAÑA. una declaración ig u al por parte del Gobierno belga pondrá fin distrito que solicite. Tendréislo entendido y lo comunica­ á esa inquietud que necesariame…</t>
  </si>
  <si>
    <t>Clot, Ignacio Fernandez de la Somera.</t>
  </si>
  <si>
    <t>Ignacio Fernandez de la Somera. Clot</t>
  </si>
  <si>
    <t>…, D. José Gómez y D. José Garrido. E l uso de galeras para batallas navales parece que cesó Música. D. Jaime Santacaua , D. Fernando Gargollo, Eion después de la acción de L ep anto: pues vemos que el fa­ Salvador Viniegra y D. Ignacio Fernandez de la Somera. Clot bey, médico del virey de Egipto, ha tenido una au­ moso a rm a m e n to , llam ado la arm ad a invencible , q u e Baile. D. Juan Riquer , D. Guillermo Ghesio, D. Ma-nuel diencia del Santo Padre, en la cual le ha presentado libros re­ María Simó y D. Andrés Ang…</t>
  </si>
  <si>
    <t>Clérigo, José</t>
  </si>
  <si>
    <t>José Clérigo</t>
  </si>
  <si>
    <t>…pero no recordam os la asignación de seis reales diarios por viudedad eu correos co­ por la afluencia de las aguas, habiendo tenido que abandonarse que haya habido nadie que sostenga que en ninguna mo la disfruta la viuda de D. José Clérigo. muchos terrenos por la exposición de que se perdiesen sus fru­ ocasión y por ning ún tiempo debe declararse un p u n ­ La cornision siente no poder realizar sus deseos en favor de tos por esta causa, y despojándose á muchos propietarios de to en estado de guerra ó en estado de sitio.…</t>
  </si>
  <si>
    <t>Co-, Calderón</t>
  </si>
  <si>
    <t>Calderón Co-</t>
  </si>
  <si>
    <t>…r. Elipe pretenda persuadir que el ayuntam ien­ tes que están abocadas los representantes de la provincia de to tuvo presentes estas listas; pero la comisión está segura de TEATRO Huesca. Se hace cargo de la observación del Sr. Calderón Co- que en el acta no existe nada que pueda demostrarlo, y no sien­ Dantes de que el acta era siempre una misma, y en su contes­ do asi, siempre quedarán en pie las cuatro razones que han DEL PRINCIPE. tación hace presente que en la legislatura anterior ocurrió un movido á la comisión á p…</t>
  </si>
  <si>
    <t>…mero seguir un curso práctico de calabozos. (El Sr. Calde­ ejecutarlo quien debia puede comprometer el éxito de la del arresto se traslade el referido á la corte, sin perjuicio de rón Collantes pidió la palabra.) Para que el Sr. Calderón Co- función. que remitido testimonio de la causa, conforme al decreto de 21 llantes se extienda mas en su contestación , le diré por vía de de Marzo de 1857, en su vista el Congreso estime lo conve­ alusión que hay mucha diferencia de estar bajo un dosel fa­ niente. Aqui verá el Sr. Ayala…</t>
  </si>
  <si>
    <t>Coalm</t>
  </si>
  <si>
    <t>…echo proposiciones al nuevo Estado de reunirse á él. t precioso, digno únicamente de un gran capitán y de un cam­ conciliación, ahora repentinamente se abrazan á los leales con Se decia que D. Francisco V ed d u ri, gobernador de Coalm iia, peón todo español. toda la efusión del mas sincero afecto, sin reservas ni condi­ habia llegado á Honston con objeto de negociar esta unión en Una paz honrosa, propia del pundonor español, el trono de ciones. nombre de Nuevo León, T am aulipas , Cbilm aohua , Nuevo Isabel ii , escudado…</t>
  </si>
  <si>
    <t>Coaío</t>
  </si>
  <si>
    <t>…masiado reglamentarias contienen los nombramientos de varios Sres. Senadores por dis­ que pudieran embarazar la marcha de la sociedad. Cuarto in d ividuo el Sr. Cortina , por 8 2 votos, obtenien­ tintas provincias. do 20 el Sr. Coaío, y 1 los Sres. S il v a , O lózaga, conde de las Aprobadas estas bases se procedió á la instalación , nom­ El Senado quedó enterado de u n a comunicación del Sr. Se­ N a v a s , A rm e n d a riz , Gil y Quinto. Total de votantes 108: brándose en clase de interina la ju n ta d irec tiv a, que…</t>
  </si>
  <si>
    <t>Cobas</t>
  </si>
  <si>
    <t>…de com ­ por los discípulos mas distinguidos, pronuncia sobre todos los partimientos de color azul celeste; en otra de azul turquí casos de disciplina; y el hábito de considerar el lado moral de Se dice que el excelente actor Sr. Cobas ha muerta poco profundo: el color escarlata reina en otra, y en otras ei las acciones favorece mas de lo que se podría creer el desar­ bace en una provincia de Andalucía. Pérdida sensibilísima será carm esí, divididos estos compartimientos con labores de rollo de los sentimientos honrados y…</t>
  </si>
  <si>
    <t>Cobas, Antonio</t>
  </si>
  <si>
    <t>Antonio Cobas</t>
  </si>
  <si>
    <t>…r en escena gran nú­ baños que no debían pasar eo silencio, si no por el mérito ( i D. Joaquín Liedó. mero de novedades,y ajustar otra primera dama ademas de la ellos, que es n u lo , al menos por la persona de quien toman I D. Antonio Cobas, que tiene. nombre. Lo único que dicen dichos autores, que se conserví i D. C;h los EspuntOüi. Un dia de estos se va á estrenar en este teatro uu drama en lestos del autiguo palacio bastautes subter ráneos que mas p?r&lt; ■ I D, FiÜpe Re jes. tres actos U l u l a d o Deshonra por herenc…</t>
  </si>
  <si>
    <t>Codecido, José</t>
  </si>
  <si>
    <t>José Codecido</t>
  </si>
  <si>
    <t>…n a ; al , Sr. y á los de los correos Virgen del Carmen y Santa Neptuno D. Simón de Riera , por haber sido el mas constante gar en papel por la contribución extraordinaria de guer­ por los recursosintendente de esta provincia D. José Codecido, en el crucero; ra. De Real orden lo digo á V. S. para su inteligencia , y -gadier'gobernador de la plazahoras que á todas ha facilitado , y al Sr. bri- Dios guarde á V. E. muchos años. En las aguas de Meli­ D. Blas Requería por su activi­ lla á 25 de Marzo de í859.=rExcrao. Sr.nSan…</t>
  </si>
  <si>
    <t>Coello, Andrés</t>
  </si>
  <si>
    <t>Andrés Coello</t>
  </si>
  <si>
    <t>…el Ministro de la Gobernación á oir á la diputación ío - Ocurridos en dicho mes. bre las quejas emitidas por el mayordomo m a y o r, se mandaba Otra id. en siérra L u ja r,,, Pajaróte, térdupo de Ó rgiva, En 26 de Setiembre D. Andrés Coello, vecino de Oviedo, ^ en Real orden de 24 de Jun io último á las diputaciones p ro ­ Sta. R ita , por Juan Prieto , en 2 . , y apoderado de los Sres. D. José Safon , D. M ariano Barrio y vinciales y gefes políticos que no permitiesen apoderarse de los O tra id» en sierra G ad o r, col…</t>
  </si>
  <si>
    <t>Coetlogon</t>
  </si>
  <si>
    <t>…es en m om ento de su e n tra d a en nuestro territo rio al c a p itá n de c a ­ za. En dich a secretaría estarán de m anifiesto las dem ás c o a d i ­ los 20 primeios dias del inm ediato s ig u ie n te . (Id.) ballería conde de Coetlogon , al teniente D . J o a q u ín A v ilé s y ciones qu e se im ponen al q u e o btenga aqu ella. R eal orden expedida por el m in isterio cíe H a c ie n d a á los in te n ­ al capell&amp;n D. Ildefonso G arcía , corno tam b ié n a l paisano dentes de las p ro vin cias de B a r c e lo n a , G e…</t>
  </si>
  <si>
    <t>Cogolludo, Antonio Rufino</t>
  </si>
  <si>
    <t>Antonio Rufino Cogolludo</t>
  </si>
  <si>
    <t>…aña de un Repertorio que pueda dar á jes conocidos en la historia, como se ha hecho con María conocerá los lectores las obras encogidas y de un mérito rele­ de Inglaterra y con Fr. Luis de León: pues por desgra­ A solicitud de D. Antonio Rufino Cogolludo , de esta vecin- vante, que en varios países y particularmente en Francia , ven cia harto comunes son y han sido las maldades para que dad, se ha señalado para junta general extraordinaria de la luz en la escena, é impresas después forman el agradable sea uecesaria la calumn…</t>
  </si>
  <si>
    <t>Cohur, Fernando de Sajonia</t>
  </si>
  <si>
    <t>Fernando de Sajonia Cohur</t>
  </si>
  <si>
    <t>…lones del 5.° de ligeros en las corbetas T arn y A gathe. Bellinzona 6 de D iciem bre d las ocho d e la noche. — ■ - - i . . i_ (Idem.) A nteayer se d ijo que en C h ia o o , M endresio y Lugano se E l dom ingo últim o el duque Fernando de Sajonia Cohur­ habia plantado el árbol de la libertad. Esta noticia ha obrado go ha recibido de la R eina V icto ria la noticia oficial de que como una chispa eléctrica en el ánim o de los habitantes de S. M . se casará m uy pronto con su sobrino el P ríncip e A l­ P aris 14 de Diciem br…</t>
  </si>
  <si>
    <t>Coi, Juan</t>
  </si>
  <si>
    <t>Juan Coi</t>
  </si>
  <si>
    <t>…de la mañana del 7 y á su cabeza papel. Granada, 1$ id. cionado. el comandante general acompañado del auxiliar del Gobierno po­ Paris, 16-5. Málaga, 7$ á par b. Este libro se recomienda igualmente por la belleza de su lítico D. Juan Coi don. Santander, 1$ din. d. impresión, que es una de las mas esmeradas que se han hecho La brillante columna que constaba de dos escuadrones y Alicante, $ papel d. Santiago, 2 id. en la Imprenta nacional. tres compañías á cual mas valientes, hizo una marcha forzada Barcelona, á ps. fs., pa…</t>
  </si>
  <si>
    <t>Coiiantes, Antonio</t>
  </si>
  <si>
    <t>Antonio Coiiantes</t>
  </si>
  <si>
    <t>…aciones fueron satisfactorias, y las omito por la par­ Denuncios.=Una mina de carbón de piedra en el lugar de Brasileños, 78¿. te que pueda tocarme en la nueva organización y régimen in­ las Rozas, ayuntamiento de Y u so, por D. Antonio Coiiantes, Holandeses, 5 por í 00 , Í02-. terior , que en virtud de las órdenes de Y. S. he dado á estos en 2 de Diciembre de 1858. Idem: 2-| por 100, 56 (Sun.) establecimientos. Las autoridades superiores de la provincia, Registros.—Una mina de hierro en el lugar de Camargo, las locales…</t>
  </si>
  <si>
    <t>Coilantes, Calderón</t>
  </si>
  <si>
    <t>Calderón Coilantes</t>
  </si>
  <si>
    <t>…iendo ver la diferencia entre el caso en que se encuentran las cuerpo electoral. La comisión se hace cargo de esta circuostan- y Pacheco constaban, y estuvieron expuestos al público, y no elecciones de Murcia y Orense que el Sr. Calderón Coilantes 9 y procura desvirtuar su valor, fundándose en que debe se hizo reclamación, justo será que en parte paguen su descui­ habia considerado iguales. fijarse un término para esta clase de reclamaciones, trascurrido do : acerca del efecto legal poco diré. Pero quiero que por mis No h…</t>
  </si>
  <si>
    <t>Coimbra, Pedro Sarmiento.</t>
  </si>
  <si>
    <t>Pedro Sarmiento. Coimbra</t>
  </si>
  <si>
    <t>…lencia de sus escritos, servirá siempre de 4.0 Yariaciones de flauta de Mr. K alt-bek, por el joven fiúm. 1 e 157 , rúa do Ouro ntim. 4 &gt; © do Chiado. Em modelo á los escritores y estadistas; de Cicerón, en fin, padre profesor D. Pedro Sarmiento. Coimbra na-de Mesquita, rúas das Covas ; e na do Livreiro em de la elocuencia latina, el primer autor que nos ponen en las 5.° Cavatina en la ópera Semirdmide , del maestro Rossini, Elva* manos cuando empezamos los estudios; el que nos ha conserva­ por la Sra. Campos y coristas; co…</t>
  </si>
  <si>
    <t>Colantes, Calderón</t>
  </si>
  <si>
    <t>Calderón Colantes</t>
  </si>
  <si>
    <t>…e tal error? Se dice que el Congreso contestó en el documento que está en el expediente, y que el esa ley era aplicable á sediciones como la ocurrida en Sevilla, diga al Gobierno que de las ordenes necesarias para que á pe­ Sr. Calderón Colantes, d o ha visto ó ha visto inal, siendo esta y que por lo tanto no podia haber duda eu que según ella se mitido arresto sar del se traslade á esta corte, sin perjuicio de que re­ testimonio de la causa, y conforme á lo prevenido en el la causa de que haya incurrido en una equivocac…</t>
  </si>
  <si>
    <t>Colbert</t>
  </si>
  <si>
    <t>…da su 18.................. d e .. 100....... 1800 uso de los niños. La mandó escribir y publicó en el año de dotación; pero se advierte que solo una batería de 8 de ellos se 68 ________ d e . . 40 ........ 2720 1701 el IIrao. Sr. Colbert, obispo de Montpelier, para que fue­ halla con los machos para su conducción. 500.................. d e . . 2 0 ........ 6000 se adoptada exclusivamente en su diócesis, y desde aquella épo­ M uoiciones.zzGien bombas de á 14 pulgadas, á 20 quintales 4 0 0 . . . ........... d e .. 16........…</t>
  </si>
  <si>
    <t>Coliantes, Gerónimo</t>
  </si>
  <si>
    <t>Gerónimo Coliantes</t>
  </si>
  <si>
    <t>…sa, causador de aquella muerte, aunque no dudaba hubiera hijo de D. Manuel : los hijos de D. Juan Antonio Guardia: FUNCION DE BODA SIN BODA. &gt;ii\ ' hallado reo solo de homicidio involuntario, seria D. José González de Gomara : D. Gerónimo Coliantes, apode­ ¡ lénipre necesario estar en la cárcel por seis meses con rado de Doña María Manuela de Ribera: Doña Bárbara Gó­ dadaComedia en tres actos en verso , del célebre Picard , acomo­ giau perjuicio de sus labores , y siempre con mucho cui­ mez Talayera, viuda de D. Antonio Espi…</t>
  </si>
  <si>
    <t>Coll, José</t>
  </si>
  <si>
    <t>José Coll</t>
  </si>
  <si>
    <t>…. Con este m otivo, y á la distinción debida los de las rentas y ramos que se ad« D. Francisco Pavas, D. Juan Bautista de Llano, D. Juan M a ­ ademas de poder acudir al alivio de estos beneméritos militares, que nuel Muela y D. José Coll,, quienes por unanimidad declara­ de jas privaciones y fatigas que sufren , se encuentran m inistran por este m inisterio, aunque con independencia en el lecho del dolor, y confiado en los filantrópicos sentimien­ de la dirección general de R entas, á cuyo fin las respec­ ron haber lugar á…</t>
  </si>
  <si>
    <t>Collado</t>
  </si>
  <si>
    <t>…cialidad en Asturias, donde ya se benefician muy en breve. Sr. Casas. con inteligencia y buen éxito. Por últim o, quiere la junta poner en noticia del Ateueo 4*° El divertido sainete titulado L A B O D A D E L TIO El secretario Collado leyó en una de las sesiones el análisis C A R C O M A , desempeñado por las partes principales. de una obra anunciada en Paris con el título de Descripción metódica de la fam ilia de las gramíneas , por Mr. Kunt. El trabajo mas importante en que se ha ocupado la tercera año(1)último El in…</t>
  </si>
  <si>
    <t>Collado, Marcelino</t>
  </si>
  <si>
    <t>Marcelino Collado</t>
  </si>
  <si>
    <t>…foriua'idade'. que la misma previene, tocó á los sugetos si- nos da de su confianza y de adhesión hácia n o s , y no podemos igualmente de un modo satisfactorio hasta el Ave M aría. E n ­ guíente'.: D. José Lean de la Lastra , D. Marcelino Collado, menos de responder á ella de un modo seguro sino velando cons­ tre estas niñas hay 17 que estudian el catecismo de F l e u r y , y i). R uno González Pedroso , D. M ariano Lorente, D. Carlos tantemente eu cuanto interese al bienestar de la c iu d a d , y de­ han llegado unas hasta…</t>
  </si>
  <si>
    <t>COLLANTES, CALDERON</t>
  </si>
  <si>
    <t>CALDERON COLLANTES</t>
  </si>
  <si>
    <t>…la tribuna) después de cosa, respecto á las expresiones que hayan podido usarse en la Hollantes. empezar diciendo que hacia tiempo que habia pensado ea esta comunicación hecha al Gobierno, lo siguiente; El Sr. Puche, con El Sr. CALDERON COLLANTES : La cedo al Sr. Mon. interpelación porque ella encerraba un principio de justicia, y arreglo al reglamento, hizo en 2 i de Enero esta interpelación El Sr. M ON: El Congreso habrá notado la impaciencia se proponia evitar otro de injusticia , grave, gravísimo y de al Gobierno, y d…</t>
  </si>
  <si>
    <t>Collantes, Calderón</t>
  </si>
  <si>
    <t>Calderón Collantes</t>
  </si>
  <si>
    <t>…da acta de elecciooes de dicha provincia. a ñ o , y la directiva dará cuenta en una memoria de los traba­ Segundo individuo el Sr. Quinto por 81 votos , resultando Otra del Sr. marques de Falces, Senador por la provincia el Sr. Calderón Collantes con 1 9 ; con 1 los Sres. P asc u al, C a n ­ jos de la sociedad y de la inversión y estado de sus fondos. de J a e a , ea reemplazo del Sr. A c u ñ a , presentaodo su nombra­ tero, Barrio A yuso y O lózaga, y el Sr. Roda con 2. Total de 10. En las capitales de provincia y en los…</t>
  </si>
  <si>
    <t>…que tuviese pedida la El Sr. O L O Z A G A : Señores, si la comisión se hubiera puede menos de atenerse á la ley. palabra, se leyó el dictámen y fue aprobado. opuesto absolutamente á retirar el dictamen, la comisión ten­ El Sr. Calderón Collantes ha dicho que dirige una obser­ Se leyó el dictámen relativo á las actas de Orense, en el dría derecho á que se discutiese (Farios señores piden do vación á la comisión. Aro digo que no solo ha hecho una ob­ cual opinaba la comisión que se pidiese el acta del distrito de nuevo La p…</t>
  </si>
  <si>
    <t>…isión , sin em­ El Sr. M O N T O Y A (D. Diego) expuso que dirigiéndose el m oria habiéndose dado dinero para com prar 53 cab allos, solo bargo de que no deja de conocer estos n iales, se ha visto en la voto p articu lar del Sr. Calderón Collantes á que se suprim an pudieron comprarse 1 5 1 ; y el tercero y que mas produjo, pues precisión de ad m itir esta propuesta, porque el Gobierno se h a ­ los cuatro primeros a rtíc u lo s, le parecía oportuna se d iscutiera proporcionó 1100 cab allos, es de ad m itir estos para libr…</t>
  </si>
  <si>
    <t>…artidos nos Manuel María García.—Geoon María de Adana.—Manuel M ar- de las actas de la Coruña , por la cual tengo el honor de ser quela.—Francisco Mancebo.—Tomas Delgado, secretario.—Exce- elegido D ip utado , y puesto que el Sr. Calderón Collantes ha mantiene. Yoy á hacerme cargo de lo expuesto por el Sr. Madoz lenlístuao Sr. capitán general de los ejércitos nacionales y en indicado que pensaba hablar sobre ellas, yo suplicaría al señor acerca de que se habia falseado la elección de la provincia de gefe del del Norte.—Está…</t>
  </si>
  <si>
    <t>…rtara el distrito de Lumbier. ^presentación. Se leyó, y no fue tomada en consideración una adición del Otro punto señala la comisión , el cual no puedo menos de El Sr. P R .E S ID E N T E : N o habiendo ningún otro Sr. D i - Sr. Calderón Collantes, reducida á que para resolver acertada­ im p ug nar , y es acerca de que se revisen aqui la,s actas. En mi utado que tenga pedida la palabra en contra , se va á pregun- mente sobre el acta de elecciones de la Coruña , se sirva el Con­ opiuion estas deben verificarse donde se hicie…</t>
  </si>
  <si>
    <t>…te individuos que tuvo la menor p arte, se previno que no tánieo , y desapruebo la tercera. Ahora el Sr. Sancho se ha acogido al terreno del buen sen­ se examinasen sus cualidades mientras no hicieran gestión. A peticiou del Sr. Calderón Collantes se leyó el art. 11 de tido de las C o rtes, y dice que cómo se comprende que un cuer­ La otra equivocación se refiere al art. 54 que ha citado la ley electoral ; y concluida su lectura , dijo: po colegislador h ay a de declarar mal arrestado á un in dividuo S. S.: tiene 58 artíc…</t>
  </si>
  <si>
    <t>Collantes, D. Fernando Calderón</t>
  </si>
  <si>
    <t>D. Fernando Calderón Collantes</t>
  </si>
  <si>
    <t>…se en probar la necesidad de que he visto en el C o r r e o N a c i o n a l un artículo de un hermano com isión, y se han expuesto razones que pueden in ducir á se adopte esta idea ; y después de hacerse cargo de algun as del Sr. D. Fernando Calderón Collantes que habla de esta in ­ creer que h ay mas electores en unos distritos que en otros. T o ­ otras observaciones, termina expouiendo que no obstante todo dicación, y creo de doble necesidad, aunque brevemente, ma­ dos son hechos importantes para que el Congreso los tenga…</t>
  </si>
  <si>
    <t>Collantes, Fernando Calderón</t>
  </si>
  <si>
    <t>Fernando Calderón Collantes</t>
  </si>
  <si>
    <t>…aré presente la reba­ Se ha d ic h o , y el Congreso lo ha oido, que el juez de pri­ La comisión conf esa que el aumento de electores es excesivo, ja que de ese número debe hacerse de las viudas sin hijos , los mera instancia D. Fernando Calderón Collantes al presentarse y parece, señores, increible que la parte del norte se pueda menores de edad y otros vecinos que no tienen derecho electo­ eu el salón del escrutinio, habia anunciado que tomaba parte comparar en riqueza con la del mediodía. Confiesa también que ral. A la v…</t>
  </si>
  <si>
    <t>…muchos graves ne­ biera sido desaprobada. Pero no hay t a l : yo conozco al juez de prestado y prestan en ambos m ares, y que sigue inalterable la gocios anteriormente enunciados, como igualmente á la de los primera instancia D. Fernando Calderón Collantes, y se que es buena armonía con las demas naciones am igas, en tanto que se códigos civ il, criminal y de procedimientos con sus apéndices incapaz de haber tomado esa parte que se supone en favor del prepara la renovación de estipulaciones comerciales con la su­ de arancel…</t>
  </si>
  <si>
    <t>Collautes</t>
  </si>
  <si>
    <t>…referida. El Lloyd austríaco publica, bajo rúbrica de Constantino- El Sr. CORTINA contesta diciendo que ya el Congreso ha MINISTERIO DE LA GUERRA. pla, una noticia que si llegase á realizarse, seria de muy gra­ visto que el Sr. Collautes no ha impugnado el dictamen de h C ircula r á lo s ca p ita n es gen era les. ve importancia. com isión, y que esta habia creído que no habia roas arbitrio Dicho periódico pretende que la escuadra anglo francesa que tom aren ese asunto que el propouer se archivase e&gt;a ex­ debía salir de…</t>
  </si>
  <si>
    <t>Collautes, Calderón</t>
  </si>
  <si>
    <t>Calderón Collautes</t>
  </si>
  <si>
    <t>…cación de la palabra arresto. Unos la con­ timonio necesario. de impedir aqui la entrada á un D iputado, ¿con qué razón se sideran jurídico m ilitar, y que no tiene su significación pro­ El Sr. C O R T IN A : Celebro que el Sr. Calderón Collautes le quiere impedir á D. Francisco de Paula Alvarez? Si se ha pia en este lenguaje: otros la suponen civil con la gravísima me haya dado ocasioo para defender el dictamen de la comi­ de respetar la ley , si se ha de cumplir lo que ordena , es indis­ autoridad de la Constitución de…</t>
  </si>
  <si>
    <t>Colomer</t>
  </si>
  <si>
    <t>…lel Sr. Sr. Alonso. B E N A V ID E S : La duda que se presenta es una duda dichosa en que pudieran realizarse tan grandes beneficios, la ve ileina de España.” adelantarse por una especie de prodigio que eternizará la glo­ El Sr. Colomer: " A l Presidente del Consejo de Ministros de de ley electoral acerca de lo prevenido en el art. 4»° y 56 de la riosa memoria de la regencia de V. M. La paz brota como es­ Francia, al ilustre mariscal Soult.” misma. pontáneamente del seno mismo de la g u erra; el capitán inven­ Otros brindi…</t>
  </si>
  <si>
    <t>Colomer, Narciso Pascual</t>
  </si>
  <si>
    <t>Narciso Pascual Colomer</t>
  </si>
  <si>
    <t>…isdicción que S. M. la Reina Gobernado­ de Cervellon y Sr. D. .luán Pedro Ayegui. Las personas particulares que deseen hacer alguna rec­ ra tiene concedidas en estos casos por sus Reales ordenanzas á Secretarios generalesmSr. D. Narciso Pascual Colomer, y tificación, podrán dirigirse a dicha imprenta Nacional los oficiales de su ejército; por el presente llamo, cito y empla­ Sr. D. Leopoldo Augusto de Cueto. hasta el 10 de Diciembre. zo al Excmo. Sr. teniente general D. Luis Fernandez de Córdo­ Depositario ±:Sr. D. Pablo C…</t>
  </si>
  <si>
    <t>Colonia</t>
  </si>
  <si>
    <t>…bajador ó encargado de ratado de Méjico ; y como el proyecto de ley relativo á este negocios. Confiábamos que cediendo el Rey á mejor consejo sunto habia sido votado por la Cámara antes de la llegada, permitiría al arzobispo de Colonia regresar á su iglesia, y que NOTICIAS EXTRANGERAS. astante tardía, de Mr. M auguin, ha pasado por medio de lo mismo que el arzobispo de Gnesen y Posen, y los demas ina transición muy mal manejada, de los fondos de suscrip- obispos católicos de aquel reino, podría ejercer libremente bajo E…</t>
  </si>
  <si>
    <t>…ablecer el orden bajo público se halla en un estado el mas satisfactorio, y la contri­ bases durables en sus diócesis. bución pedida per el Gobierno para atender á los gastos de la El Rey acaba de conceder á M . el arzobispo de Colonia per­ defensa se ha realizado con la mayor prontitud. Se cree que el S. M. la R e i n a , su augusta Madre la R e i n a G o b e r n a ­ miso para volver á los dominios de su fam ilia situados en el lenguaje moderado que últimamente usa el Estado del M ain e d o r a y la Serma. Sra. Infanta…</t>
  </si>
  <si>
    <t>…bación del gran Consejo. alejado si no separado de la corte de Roma. La Prusia persigue prófugo del mismo ó de otro pueblo, cesa desde el mo­ 5.° Para dar al pueblo la garantía necesaria sobre la or­ alMediterráneo, arzobispo de Colonia : la Rusia , cuyas escuadras cubren el expulsa á los obispos, y de su propia autori­ mento en que dicho mozo sea filiado en el cuerpo á que todoxia católica , se reunirá la escuela superior, según la prác­ se le hubiese destinado. tica de nuestros antepasados, á la sociedad de Jesús: los…</t>
  </si>
  <si>
    <t>…ta tor Busch, y del doctor J a h n , ciru jan o de estado m ayo r, y en En la del P adul se ha veriñcado un desmonte en piedra de Sede en perjuicio de los del Soberano , y de hacer mas y mas el cual se dice que el arzobispo de Colonia se h allaba g rav e ­ 75 varas cúb icas, 5 54 en tierra y un terraplén de 9 0 ; reco­ profunda la deplorable excisión entre el Estado y la Iglesia. mente enferm o, y que para recobrar la salud era menester que giéndose 2 7 0 cargos de piedra , y construyéndose 52 varas cú ­ D espués, el Gob…</t>
  </si>
  <si>
    <t>…jo sobre la base de azul de U ltra m a r , y otros con rectán g ulos volverá á entablar las negociaciones hasta después de operada inscritos dentro de los mencionados círculos. Tres órdenes de la reintegración del arzobispo de Colonia. L a in v ita c ió n d i r i ­ Gobierno político de la p ro v in c ia de S e v illa, Excmo. se- g u a r d i l la s ó fra n ja s rodean la pieza por todos c uatro lados en g id a al arzobispo de Posen de trasladarse á Berlín se ha c on si­ u o r : A com paño á V . E. copia de la relación d…</t>
  </si>
  <si>
    <t>…escena á Pedrarias ea Una carta que ha llegado ayer de la W e stfa lia nos anuncia zas con los hombres y las facciones á quienes se ha estado com­ una isla del Golfo de M éjico , con la hermosa Gualconda que que el arzobispo de Colonia se halla peligrosamente enfermo. batiendo por espacio de seis años, que todo esto en fio no podía le tiene oculto en un bosque, y le dice (Correspondent de H am bourg.) menos de hacer revivir en el seno de los partidos enemigos de la ¡Que nunca , esposo, he de ver Constitución pasiones,esp…</t>
  </si>
  <si>
    <t>Colono, Angel</t>
  </si>
  <si>
    <t>Angel Colono</t>
  </si>
  <si>
    <t>…ido hablar de poca delicadeza tiembre de 1839.—A L. R. P. de V. M.—El preaiieute, á nom­ , y se lee el ruíoa. 55 que dice : respecto á m í, y quisiera que el Sr. Gonzilez Alonso explicase bre del A. C., Juan Sainz de Medina, D. Angel Colono, vecino de la ciudad de Sevilla, recorre bien esta palabra , si S. S. la entiende como yo y en sentido g e­ al Congreso, exponiendo que á consecuencia de la ley de 27 de nuino. Yo diré que no solo tengo delicadeza , sino que la tengo Setiembre de 1820 y la disposición testamentaria de…</t>
  </si>
  <si>
    <t>Colotpa, Santa</t>
  </si>
  <si>
    <t>Santa Colotpa</t>
  </si>
  <si>
    <t>…ovincias de Lérida, Tarragona, 2,500. cia de D. Ignacio Truyols. construido únicamente con el objeto de ocupar esta coliua y Para cubrir á G erona, Vich y demas pais de la derecha, 20. Barcelona. = El reemplazo del Sr. conde de Santa Colotpa. formar á su abrigo un campo atrincherado. Fortificación de Caserras, 500. Fortificación de la derecha de Búrgos. z=D. Gaspar de Ondovilla. Entre las muchas avenidas que de los diferentes puntos del la sierra V iu re, 1,200. Porreig ó Viver, 1,200. Columna para Cáceres.= D. Pedro Ont…</t>
  </si>
  <si>
    <t>Comercio</t>
  </si>
  <si>
    <t>…núará durante sido ibas bien recibida por la Cámara ha sido la respectiva á Príncipe * que mandó á Pamplona con el objeto de mantener li­ la sesión; mas és indispensable terminar el otro* relativo á los los linos. El ministro de Comercio ha declarado que el Gobier­ bres las comunicaciones de aquella plaza, salieron de ella con la poderes conferidos por el acta dé! Parlamento al gobernador y no estaba dispuesto á presentar un proyecto de ley sobre tari­ columna provisional, reforzada con una compañía de preferen­ al consej…</t>
  </si>
  <si>
    <t>…os que ha hecho y cami nos se ha suprimido). su f re nt e , y estar pronta á socorrer la capi t al caso dé ser a me ­ nazada. estos di as para entorpecer la combinación p r o y e c t a d a ; que opo­ M r . Sauze t , Ministro de Comercio. niéndose la reuni ón de los 2 2 i á que M r . C u n i n - G r i d a i n e M r . el mariscal Maison , Mi n i s t r o de Gu er r a. aceptase el mi nisteri o con que se le habí a b r i nd a d o , afectando M r . el a l mi rante Duperré , de M a r i n a . presentarse desde ahora y por todos…</t>
  </si>
  <si>
    <t>…cia , en la cual presentó á S. A. al conde de Lu rde, renuncie el proyecto que parece tenia de no volver á A le ja n ­ primer secretario de embajada , en calidad de encargado de dría. Fiel á su política ordinaria , el ministro de Comercio na­ negocios; á M r. Eduardo Gadalvene, director de postas fran­ Escriben de V iena coa fecha 26 de O ctub re: da halda dicho acerca de las intenciones de S. A . , y ha dicho cesas, que vuelve á Francia en virtud de licencia que ha obte­ á los cónsules que Meheaiet- Alt no tardaría en regr…</t>
  </si>
  <si>
    <t>…les pertenece de derecho , asi como á los periódicos efe respondientes, firmo este extracto en M adrid á 1.° de Julio de l859.=rEl tenedor de lib ro s, R a­ Burdeos. fael Piuiz Ordoñez. Paris 9 de Julio de 1859 ,=El Ministro de Comercio al prefecto de la Gir onda. Nota . No se han comprendido en este extracto los ingresos y pagos de la adm inistración de Podéis afirmar que el Gobierno no abandona los intereses Palma de Mallorca por no haberse recibido sus cuentas. de los puertos de ma r , y persiste en sus convicciones.…</t>
  </si>
  <si>
    <t>…se desenvuelven las observa­ extendido en su favor el conveniente di pierna firmado por el con la influencia de su venerable carácter, de su d o ctrina, y ciones mas luminosas y útiles acerca de las guerras de conve­ Ministro de Comercio, Cunin Grujaine.rzF. principalmente de su ejemplo, á cimentar en los pueblos el es­ niencia , de in terven ción , de conquistas, de o p in ió n , naciona­ píritu de obediencia á ias leyes y á las autoridades, de amor á les, civiles y religiosas; cuyas ideas tan en armonía con nues­ nuestr…</t>
  </si>
  <si>
    <t>…unjeet-Simgh. ria, contándose mas de 500 entre artistas, fabricantes y m a - Comandancia general de los ejércitos reunidos. = Secretaría mfactureros. de cam paña.r: Excmo. Sr. = El Excaio. Sr. conde de Belascoain, El ministro de Comercio, el intendente general de la lista virey en cargos de N avarra , con fecha 15 del actual desde Los iv il, Mr. Rambuteau , el barón Thenard, presidente del júra­ Arcos me dice lo que sigue: Cartas de Atenas de 29 del mes último , dirigidas al Timesb lo central de admisión, han honrado con su…</t>
  </si>
  <si>
    <t>Comes</t>
  </si>
  <si>
    <t>…resentado tres hermosísimos cactos; ei Sr. Moroder , el han socorrido...................................................................... 145 #7 Sigue asegurándose la muerte de A rriam banda; pero como Sr. Santa María , el Sr. Comes, el Sr. Carruana y el Sr. Ferrer, los montañeses evitan darnos las noticias que nos son favora­ ambos del comercio, y el Sr. D u p u y , que ha presentado capu­ Total data 101904.. 7 bles, nunca puede decirse como cosa positiva. Sin embargo, llos blancos de semilla de la China que le proporcio…</t>
  </si>
  <si>
    <t>Comital</t>
  </si>
  <si>
    <t>…sus órdenes, esperando tiones políticas que deben interesar en el extrangero. por ellas se sacrifique la ciuded de A rgel. A s i, p u es, los cam ­ que se le acaben de reunir los contingentes de todas las tribus E l diputado del Comital, de Bichao ha hecho una m ocion pamentos serán sucesivamente abandonados, y los árabes se para caer sobre A rg el: su campamento se descubre desde B o u f- para que la Polonia sea colocada en el rango de las naciones; apresurarán indudablemente á d estru irlo s: los campamentos mas farick.…</t>
  </si>
  <si>
    <t>Compl, Campos.</t>
  </si>
  <si>
    <t>Campos. Compl</t>
  </si>
  <si>
    <t>…ad la i nt el i genci a y cri teri o de! públi co madril eño. f i gur a y adorno. C R O N I C A DE T E A T R O S . L a ejecución Hoja y descui dada a l gu n a vez, ha sido b ue na T e r c e r año . si empre por parte de la Sra. Campos. Compl acémonos en reco­ T e a t r o d e l L iceo _ Cuantas v e o tantas quiero ---- nocer ios adelantos de esta j oven y l i ndí si ma c a nt at ri z , y j u z ­ Apl icaciones de la geometrí a de sc ri pt i va á la a rq u i t e c t u r a . Me c á ni c a racional. El A m an te p re sta d…</t>
  </si>
  <si>
    <t>Comprende, DE LOTERIAS NACIONALES.</t>
  </si>
  <si>
    <t>DE LOTERIAS NACIONALES. Comprende</t>
  </si>
  <si>
    <t>…banía nume­ Se halla á 3 rs. tanto en rama como en rústica en el raria de Clemente Gómez Pavón expediente de concur­ despacho de dicha Imprenta. so de acreedores á los bienes relictos de D. Pedro de U rm ela, DIRECCION GENERAL DE LOTERIAS NACIONALES. Comprende varios decretos, órdenes y circulares de vecino que fue de esta v illa , y del lugar de C arale gas, de este partido , donde falleció abintestato, he acordado por auto del Gobierno y de las direcciones generales. Noticia d e los pueblos y adm inistraciones donde…</t>
  </si>
  <si>
    <t>Comprende, Ramón</t>
  </si>
  <si>
    <t>Ramón Comprende</t>
  </si>
  <si>
    <t>…antemente reputada por ¿re tiro : D. Niceto M oñiao, teniente de infantería ilimitado: despacho de dicha Imprenta. clásica en su ramo, y con justa razón, por cuanto Herrera no í&gt;. Francisco Segura, subteniente de infantería: D. Ramón Comprende varios decretos, órdenes y circulares del solo compiló lo mejor que hasta su tiempo hábia escrito en la Halliday, subteniente del regimiento provincial de Chinchilla: Gobierno y de las direcciones generales. m ateria, ¿ino que á veces impugnó á otros , fundado en la ex­ 1). Tomas A…</t>
  </si>
  <si>
    <t>Compárese</t>
  </si>
  <si>
    <t>…contra la integridad na­ Se hallaban presentes los Sres. Ministros de la Guerra y cional; cómo, [cuando se ha visto en 1607, tratándose de la ñores, cómo se hallaba antes Barcelenade, yMeer. lla Cataluña bajo el mando del barón Compárese, se­ cómo se halla ahora, Gobernación. Poco después entro el de Marina. repartición de la monarquía española, aplicarse la Cataluña a véase en todas sus partes, en su industria , en su comercio. N o­ Quedó enterado el Senado de la Real orden que comunica­ la1807, F rancia, insistir en l…</t>
  </si>
  <si>
    <t>Con</t>
  </si>
  <si>
    <t>…acional que h a y a n de c u ­ encontró un navio france; en dirección del Oriente^E! agente pues la senda de la virtud por donde encamina la sabiduría b r ir la carrera. , de Negocios extrangeros en Marsella al Sr. Presidente del Con­ verdadera; procurad ahora que se os facilita ser ilustrados pa­ Art. 4.° Por ei de la Gobernación se ex p e d irá n las sejo. ra vencer las pasiones que arrastran á los iguorautes á ser i n ­ correspondientes para que se adornen las casas del tr&amp;nsi- Este despacho telegráfico lo ha traído á M…</t>
  </si>
  <si>
    <t>Con, Benito María Sierra.</t>
  </si>
  <si>
    <t>Benito María Sierra. Con</t>
  </si>
  <si>
    <t>…o del mando de esta fuerza al benemérito coronel del ble' carácter de director del banco español de San Fernando , é Satisfecho á partícipes de todas clases.............. 2 .4 8 8 ,7 0 4 - 2 2 regimiento provincia, de Burgos D. Benito María Sierra. Con individuo de la junta de enageuacion de bienes nacionales; y Id. á libranzas de la dirección general de el resto de la brigada siguió adelante á llevar á cabo su objeto, D . José Cano Sainz, del comercio de esta corte, y D. José Iligi- rentas..............................…</t>
  </si>
  <si>
    <t>Con, Casa-Puente.</t>
  </si>
  <si>
    <t>Casa-Puente. Con</t>
  </si>
  <si>
    <t>…la Plana • D. « D . Diego Medrano. Salam anca. D. Bernardo Falcó. « D . José Cafranga. FR A N C IA . Marques de Espeja. C iudad-R eal. Santander. Paris 25 de D iciem bre. Conde de Luchana. «M arques de Santa Crnz. «Conde de Casa-Puente. Con motivo de ser domingo no há habido bolsa ni han ce- «M arques dé Miraflores. « D . José de Isla Fernandez. lebrado sesión las Cámaras. S egovia. Córdoba. « D . Cayetano Melendez. «M arques de Guádalcázar. «D . Ignacio de la Pezuela. Las ultim as noticias de Italia anuncian qóe…</t>
  </si>
  <si>
    <t>Con, CurtiW.</t>
  </si>
  <si>
    <t>CurtiW. Con</t>
  </si>
  <si>
    <t>…la, no se proponen de struir lo ya edificado y es­ vez favoreció el Liceo la señorita Doña Manuela I m b re c h t, eje­ tablecido , que es el error sugerido por el amor propio á al­ cutan do un dúo de piano y violin con el Sr. CurtiW. Con pe r- gunos reformadores , sino de co nstruir cou los elementos d on del d istinguido profesor, á quien tanto debe el L iceo , por su condescendencia, á su linda acompañadora dedicaremos el Idem 9. existentes una nueva creación, asi como ella forma del ras­ trero gusano y la informe…</t>
  </si>
  <si>
    <t>Con, Interior Duchatel.</t>
  </si>
  <si>
    <t>Interior Duchatel. Con</t>
  </si>
  <si>
    <t>…on.rs El matrimonio de la gran duquesa María con el duque de cas y en el de la Guerra.—Firmado =-Lwis Felip.e.== Por el Rey, Kosrew. . Leuchtemberg, que se verificó el 14 de J u lio , ha sido celebra­ el ministro secretario del Interior Duchatel. Con motivo de la precedente carta del gran visir, M ehe^ d o , dice una carta de Petersburgo del 2 0 , con una potnpa ex­ La Cámara extiende el acta de la comunicación que acaba m et-A lí ha pasado á los cónsules generales de las cuatro gran­ traordinaria. La princesa estaba m u…</t>
  </si>
  <si>
    <t>Concirso, Isidro</t>
  </si>
  <si>
    <t>Isidro Concirso</t>
  </si>
  <si>
    <t>…o tiene Voila ce qu’on d it, nando hoy mismo de regreso por la carretera de Durango. acreditado en los anteriores viajes: admite alguna carga; su Ha sido últimamente arrestado el comandante del primer, consignatario en Cádiz D. Isidro Concirso. que con tan inimitable donaire cauta la Colon Leplus, engu­ batallón de Vizcaya Ürréjola. Se han hecho también algunas -, i . , . » . . mu......... lle cada &lt;qurque los sabrosos manjares de los restaurants del otras prisiones de personas poco notables, y se asegura que pa­ Palaci…</t>
  </si>
  <si>
    <t>Conde</t>
  </si>
  <si>
    <t>…peraciones se­ mias exceden en m ucho, en época , eo constancia , y en otras rán determinadas circunstanciadamente en sesión plena de ta Se abrió á la u n a , y leída el acta de la an terio r, quedó circunstancias en que el Sr. Conde me ha dado el pan. Cerca dirección por m ayoría absoluta. J aprobada. de dos años he acudido á su generosidad en mi pobreza; y he El Sr. SANCHO expuso que aun con esta redacción no Se acordó pasase á las secciones un oficio del juez de p ri­ hallado en el un caballero, un patriota, un amigo…</t>
  </si>
  <si>
    <t>Conde, Antonio Ocejo</t>
  </si>
  <si>
    <t>Antonio Ocejo Conde</t>
  </si>
  <si>
    <t>…sen sin desmayar , heroís­ según las noticias adquiridas debian existir los restos del bati­ mo que ha producido no pocas bajas al hospital de esta plaza. do escuadrón, como sucedió en efecto, pues una sección de El práctico D. Antonio Ocejo Conde no ha descansado en * siete caballos y 24 infantes, que dicho comandante m ilitar fío PARTE RECIBIDO EN LA SECRETARIA DE ESTADO Santoña ni de dia ni de noche, procurándome toda clase de al mando del bizarro teniente D . Camilo San R om án, consi­ Y DEL DESPACHO DE MARINA* auxili…</t>
  </si>
  <si>
    <t>Conde, Carlos. El</t>
  </si>
  <si>
    <t>Carlos. El Conde</t>
  </si>
  <si>
    <t>…del ejército carlista, está arrinconado, no teniendo otro forma , y dando vida á una institución que sola puede anim ar visto bastante apurado para contestar á las vehementes recon­ destino que el de ay u d an te de Campo de D. Carlos. El Conde con un soplo regenerador esas petrificaciones del crim en , y col­ venciones que el duque de W e llin g to n le ha d irigid o acerca de de N e g ri, el hombre mas ambicioso de todo el ejército , in triga mar por medio de la caridad el inmenso vacío que el aislamien­ la inacción y…</t>
  </si>
  <si>
    <t>Conde, García</t>
  </si>
  <si>
    <t>García Conde</t>
  </si>
  <si>
    <t>N.° 1682. LUNES 24 DE JUNIO DE 1839. d ie z c u a r to s. ados por los que pelean por solo intereses personales, son víc- 1 pie habían incurrido. Lo relativo al Sr. García Conde lo dejo PARTE OFICIAL. imas de su ignorante temeridad. Los pronunciados de M o n - I í la resolución del Excmo. Sr. Presidente. lova , tomando por pretexto el que el Excmo. Sr. D. Francis- B Los enemigos sufrieron la pérdida de 17 m uertos, 58 h e ­ 0 García C onde, quien también sal…</t>
  </si>
  <si>
    <t>Conejero, Fernando</t>
  </si>
  <si>
    <t>Fernando Conejero</t>
  </si>
  <si>
    <t>…l de Castilla la Nueva lo que cias que poniendo los hechos en toda su claridad, pudie­ cha : los oradores, que lo fueron en la primera el presbítero sigue: sen al mismo tiempo indicar los medios de prevenir en lo secularizado D. Fernando Conejero, y en la segunda su bene­ mérito cura D, Andrés García, cumplieron exactamente su He dado cuenta á la Reina Gobernadora de un expe­ posible los perjuicios consiguientes a su repetición. diente instruido a consecuencia de lo manifestado por V. E. misiou , infundiendo y haciendo de…</t>
  </si>
  <si>
    <t>Conferencia</t>
  </si>
  <si>
    <t>…s que era en Onda , y según otros de Segorbe. abandonar á unos hermanos; pero tened presente, señores, que la deliberación de la Cámara un tratado fatal que hiere el ho­ El domingo pasado entró en la Valí de Uxó u n . sargento la Conferencia no nos ha pedido este sacrificio, nos le ha im ­ nor , la dignidad y los roas caros intereses del pais. Si el minis­ con cuatro facciosos mas que se entretuvieron bebiendo algún puesto; y e n la posición en que se encuentra la Bélgica, sin terio no teuia intenciones de defender la indepe…</t>
  </si>
  <si>
    <t>Confiamos, John ITarvey.</t>
  </si>
  <si>
    <t>John ITarvey. Confiamos</t>
  </si>
  <si>
    <t>…las provincias b ritán icas, ha puesto cinco r e g i- j cia era y a grande á eso de las ocho, y a no se adm itía después S. M. la R e i n a , s u augusta Madre la R e i n a G o b e r n a ­ mientos de línea á disposición del Sr. John ITarvey. Confiamos i á ninguna persona por menos de un chelín (5 rs.), lo que ha que la recomendación del Presidente y del Ministro británico, j producido una gruesa suma en favor de la asociación. A las d o ray la Serma. Sra. Infanta Doña María Luisa Fernan­ después de un poco de reflexión, c…</t>
  </si>
  <si>
    <t>Congreso, Alvarez. El</t>
  </si>
  <si>
    <t>Alvarez. El Congreso</t>
  </si>
  <si>
    <t>…e laminoría , hice abs­ ayer.) tracción de las personas, tanto del conde de Cleonard corno del n dim ien to con arreglo á las bases y declaraciones que quedan Un oficio del Sr. conde de Cleonard , su fecha 8 de Diciem­ Diputado Alvarez. El Congreso sabe que si yo podia hablar hechas. Y por esta ini sentencia en definitiva asi lo proveo, b re, comunicado al gobernador m ilitar de S a n lú c a r , en el cual aqui de simpatías, sin duda eran en favor del conde de C'eo- mando y firmo.—í3enito Gadelles Moana, C uya sentencia f…</t>
  </si>
  <si>
    <t>Congreso, Don</t>
  </si>
  <si>
    <t>Don Congreso</t>
  </si>
  <si>
    <t>14/10/1839</t>
  </si>
  <si>
    <t>Gaceta de Madrid n.º 1800</t>
  </si>
  <si>
    <t>…, y un tanto descuidado el lenguaje.” Al día 'teímenes d e la comisión d e P eticiones aprobados en e l tas filas ín te rin no se le forme la competente s u m a r ia de las siguiente de esto se lee en dos ó tres diarios: «El Sr. Don Congreso d e Diputados en d i fe r e n te s sesiones. causas que h a y a n m otivado tan bochornosa a f re n ta . F u l a n o de tal, que escribe en el periódico... es un pedan­ L a comisión entiende que debe pasar esta exposición al se­ 'fuñí. 17. D. M.-irtin Pe l a e z, eri exposición de 51 d…</t>
  </si>
  <si>
    <t>Conmedio</t>
  </si>
  <si>
    <t>…mante.r:El p re si- j la reforma concillará á la T urquía las simpatías de la Europa. dente del M arquesado, Manuel Rodríguez de Bedoya, rr El al­ Pero los obstáculos que los ministros eacuentran al paso son calde presidente de Conmedio , Felipe López Mantilla.=:£l pre­ m uchos, en gran parte suscitados por las intrigas de la Rusia. sidente de Santa M aría , Ramón Fernandez. — El alcalde presi­ S. M. la R e i n a , s u augusta Madre la R e i n a G o b e r n a ­ dente de Rioseco , Pablo Sainz de Quevedo.=jSl presidente de…</t>
  </si>
  <si>
    <t>CONS</t>
  </si>
  <si>
    <t>…e sentida, ha sido solo m ani­ de aquel tiempo como á los turcos. Porque han de saberse nues­ festar que la opinión publica no es favorable ah ora á las tros lectores, que los hidalgos mesurados, graves y galantea­ L A V IR T U D C O N SISTE E N M E D I O ; discusiones acaloradas sobre principios políticos. El p ue­ dores de aquella época se explican con la misma ligereza , fri­ PRÓDIGO Y RICO AVARIENTO. blo sabe, y los hom bres ilustrados saben m ejor que el pue­ volidad y donaire, y sou de tan buen tono y tan amenos, que I…</t>
  </si>
  <si>
    <t>Conse</t>
  </si>
  <si>
    <t>…dos á 15 y á Carballo.—Julio Gómez de Silva Sánchez. que, según se asegura, ha manifestado el Príncipe Real inten­ siete años de deportación, stgua la gravedad de los hechos de Concluida la lectura prosiguió el Sr. Presidente del Conse­ ciones de tomar parte. {Id.) que se han reconocido culpables. Los hombres condenados á 15 jo de Ministros^</t>
  </si>
  <si>
    <t>Consej</t>
  </si>
  <si>
    <t>…da idea el i nf o r me. Es t e ya está c o n c l u i do , y se r educe á qu e se r e m i ­ el que se lia establecido el F anal tres millas y mecha al de renovar las precauciones contra escaseces por el medio tan al Presidente del Consej o las petici ones que solo pider N. 5 o E. de la Boca del Medio sobre ia isla de Ferros. de hacer acopios mas ó menos cuantiosos por cuenta y a d ­ la r euni ón de la s e gu nda lista dei j u r a d o , y el deposi to de la ministración de la autoridad municipal ; y como para ello demás eo la…</t>
  </si>
  <si>
    <t>Consejo, Pió</t>
  </si>
  <si>
    <t>Pió Consejo</t>
  </si>
  <si>
    <t>…endréislo entendido para su cumplimiento.—Rubricado de la Sr. Calatrava lo sabe. S. S. quiere llamar también asesor al los presentes son m ucho mas de lo que s u e n a n , a causa Real mano.—En Palacio á 25 de huero de 1859.—Á D. Pió Consejo, y si se cree que esto ha de rebajar la dignidad del de la interpelación del Sr. Arguelles, que creyó su honor Pita Pizarro. que ha de pedir el consejo , no se llame asi. Sabe ademas A LAS CORTES. em peñ ado en volver por el obispo electo de Malaga Don S. S. que en el projecto se consig…</t>
  </si>
  <si>
    <t>Constantino</t>
  </si>
  <si>
    <t>…ba de desposarse coa la hija del inufti de M a ­ Escriben de Yarsovia con fecha 22 de O ctubre: pan ha subido un doble de precio. Mas de qOO mugeres espera­ rasch , y con este motivo ha dado una fiesta que ha durado El Gran duque Constantino no veadra' á esta. Tres jóvenes ron á su paso al S u ltá n , y le manife&gt;tarou en términos mu y por espacio de ocho dias. enviados á la universidad de Petersburgo por orden del Gobier­ a crgicos sus temores de que h ay a qub hambre. Inmediatamen­ no deben ser conducidos aqui por la genda…</t>
  </si>
  <si>
    <t>Consuegra, Isidro Alaix. D. Antonio María</t>
  </si>
  <si>
    <t>Isidro Alaix. D. Antonio María Consuegra</t>
  </si>
  <si>
    <t>…Palacio á 8 de Enero de 1839.= de San Gregorio de franciscos descalzos en las islas Filipinas á Constitución y al art. 56 alde sentido podia menos de atenerse literal y terminante de la la ley electoral, en donde se pre­ A D. Isidro Alaix. D. Antonio María Consuegra, se halla autorizado para admi­ tir a todos los sacerdotes y coristas que fueron de la referida vienen las calidades que han de concurrir en los Senadores para poder desempeñar su encargo, y que el documento que orden que quieran pasar á dichas islas, pudi…</t>
  </si>
  <si>
    <t>Contaduría, DE RENTAS PROVINCIALES.</t>
  </si>
  <si>
    <t>DE RENTAS PROVINCIALES. Contaduría</t>
  </si>
  <si>
    <t>…O. ANUNCIOS OFICIALES. D. Tornas Fernandez de Vallejo por el promotor fiscal D. Re- gino Rosales el párrafo tercero del artículo que con el epígrafe de Cencerrada contiene el Guirigay del dia 7 del corriente, DIRECCION GENERAL DE RENTAS PROVINCIALES. Contaduría general de Valores.—Mes de Enero de 1839. núm. 57, en concepto de sedicioso en primer grado, el cual em­ Tercera sección.— Circular. Estado demostrativo de los caudales que han ingresado en las pieza: "á"Las Cortes no representan la opinión pública” , y con­ caja…</t>
  </si>
  <si>
    <t>Contrayéndome</t>
  </si>
  <si>
    <t>…cupan de levantar algunos edificios dentro del recinto. El porque no ha habido proposiciones regularmente admisibles. les ejem plar................... . ............ 3280 *cabecilla Organista acaba de ser nombrado gobernador de Contrayéndome pues al artículo, y ciñendo la cuestión A liaga, cuya guarnición se compone en el dia de solos uno» todo |o(tposible, digo que el Gobierno np tiene empeño ningu- Menos coste por la Imprenta Nacional 24OO 50 hombres del titulado cuarto batallón, aunque ademas hay no en sostener el art…</t>
  </si>
  <si>
    <t>Conviene, Boix</t>
  </si>
  <si>
    <t>Boix Conviene</t>
  </si>
  <si>
    <t>…ha sido muy sangrienta , pues que el ejército existencia será próspera y duradera. Aum enta esta con­ estas aguas. otomano ha perdido una séptima parte de la fuerca efectiva de vicción en nosotros el saber que el nuevo editor Sr. Boix Conviene mucho aclarar un hecho en el estado á que han que se componía. La pérdida de la acción puede atribuirse á nada descuida para hacer am ena é interesante su p u bli­ llegado las discusiones de la prensa, y es, que el ataque,el dia tres cosas: cación. de la batalla, procedió de parte de…</t>
  </si>
  <si>
    <t>Cor</t>
  </si>
  <si>
    <t>…iendo obteuido el Sr. Zumalacarregui 2/4 mejor que yo ; pero comprometido á dar un voto en este asun­ estado prim itivo que tuvieran las provincias hasta esta época. votos, el Sr. Barrio A y uso 12, el Sr. Arguelles 5 , y el Sr. Cor­ t o , y llenar todos los deberes de Diputado en una ocasión tan Piogaria al Congreso que si lo tomaba en consideración resol­ tina 1. solemne é im p ortante, no puedo prescindir de hacerlo, por si viese. Se procedió á la elección de primer Vic epresidente, y h e ­ las observaciones que presen…</t>
  </si>
  <si>
    <t>…ancisco pasado la mayor parte de su discurso. claró el Coogreso en la legislatura anterior, cuando queriéndose de Paula Alvarez estaba arrestado entonces, arrestado se encuen­ En la cuestión electoral no tengo que recordar al Sr. Cor­ tratar de la admisión del Sr. Silvela, que estaba de gefe político tra hoy , no ha recaído pues auto de prisión; porque entonces tina si ha habido ó no contrariedades é ilegalidades, solo sí decía el capitán general que estaba preso, no arrestado, pala­ que el Gobierno no ha hecho ínas que cum…</t>
  </si>
  <si>
    <t>COR</t>
  </si>
  <si>
    <t>…cuestión es muy sencilla, y no h a y cuestiones de principios; cuanto mas evidentes son estos, mas que decir que se invalidan los poderes, porque ei poder del difícil es su demostración. El Sr. Sancho con la maestría que El Sr. C O RT IN A manifestó que el capitán general hizo Congreso debe considerarse hasta donde alcance. A o estoy en trata siempre las cuestiones de principios ha d ic h o , y con ra ­ aquella comunicación como juez de la causa. que debe sentarse esta doctrina , á pesar de que respecto del se­ zón, que lo…</t>
  </si>
  <si>
    <t>…punto ha callado hasta ahora el Gobierno , á en los tres dias que llevamos de esta discusión , que el Gobier­ ga de bagajes: otro del Sr. Campnzano, relativo si pago de a l­ pesar de que se ha fundado como comprobante por el Sr. Cor­ no no se h ay a presentado ahora á pedir la autorización p ara cabalas; y otro del Sr. Montoya , para que se adjudiquen ex­ tina , especialmente la famosa circular á los tribunales y jueces seguir cobrando las contribuciones corrientes. clusivamente los bienes nacionales al psgo de los réditos…</t>
  </si>
  <si>
    <t>Cor, Hernán</t>
  </si>
  <si>
    <t>Hernán Cor</t>
  </si>
  <si>
    <t>…de toda especie............................. 1. . 4 fum ar tabaco; y probablemente también el primer europeo que á revivir el fumar cigarro , y ahora está muy extendida la prác­ fumó. Dos ó tres años después, el célebre general Hernán Cor­ tica , pero al aire ab ierto , no siendo permitido el fumar en casa P r e cio s d e los tabacos en ram a (sin d e r e c h o s ) en la plaza d e tés mandó tabaco entre otros presentes al Emperador Carlos v, alguna , en fonda , ea clubs, -ni aun en cafés respetables. La L on d res en 5 d…</t>
  </si>
  <si>
    <t>Cor-</t>
  </si>
  <si>
    <t>…ervancia de la ley. Si se me presentan ra­ hombre interesado por la causa de la libertad?¿Se hubiera atre­ sen parte semanal al ministerio del resultado de las elecciones- zones mas fuertes yo cederé, porque aprecio mucho al Sr. Cor- vido ninguno de los comprometidos á pasar de Valcarlos á y ¿que idea se podrá formar del objeto de ella cuando ofrece tazar; lo sabe é l, y celebraré tenerle por compañero; pero quie­ Pamplona? ¿ Ignoraba la diputación que el bando que se habia como recompensa que se considerarán como meritor…</t>
  </si>
  <si>
    <t>Corbalan, TEATROS. Antonio María</t>
  </si>
  <si>
    <t>TEATROS. Antonio María Corbalan</t>
  </si>
  <si>
    <t>…abiéndose realizado con las formalida­ neral la fausta y agradable nueva de los recientes triunfos al­ canzados por el tjercito del Norte en los campos de Elizondo y des que la misma previene, tocó á los sugetos siguientes: Don TEATROS. Antonio María Corbalan , D. Aotonio Redondo, D. Gabriel U rdax; y para solemnizarla de un modo conforme á su alta importancia, el ayuntamiento de esta capital acordó se cele­ de la Calle M a c ía , D. Ju lián Ja v ie r , D. José María Vildosola, PRINCIPE. A las siete y media de la noche.…</t>
  </si>
  <si>
    <t>Cordero, Santiago Alonso</t>
  </si>
  <si>
    <t>Santiago Alonso Cordero</t>
  </si>
  <si>
    <t>…que se halla en este lomo con el título M anglano, D. Antonio Cebrian G arcía, D. Joaquin González De la instrucción pública en España desde 1834.:=Por Don de: Lo que hace un manto en M a d r id , de Calderón. El Bustamante, D. Santiago Alonso Cordero, D. Alfonso Peralta, Antonio Gil y Zarate. anotado»* continúa: yo creo que es de R ojas. A mí no me D. Hermenegildo Mezquia, D. Manuel de Gaviria y D. M a­ La historia considerada como ciencia de los hechos.^:(Con­ lo parece: porque Hojas no podia escribir dos páginas nuel M…</t>
  </si>
  <si>
    <t>…lasificación , y tendrán derecho al abono de la tonio Fuentetaja , D. Manuel Mosquera, D. Ramón Naranjo, satisfacerse á los cesantes y jubilados que esten encausa­ otra mitad si fuesen absueltos plenamente. D. Manuel Quintana, D. Santiago Alonso Cordero, D, Ro­ dos igualmente; y con presencia de lo que acerca del par­ 10. Los jubilados á quienes se forme causa continua­ mán López y D. Mariano de la Paz García , quienes por una­ ticular han expuesto la contaduría general de Valores, la rán percibiendo íntegramente el haber…</t>
  </si>
  <si>
    <t>Cornejo, Francisco Verea</t>
  </si>
  <si>
    <t>Francisco Verea Cornejo</t>
  </si>
  <si>
    <t>…na tenaz resistencia. y presupuestando 1250 para las eventualidades, será el núm e­ Jaén. := D. José Manuel Vadillo., El de Vich participa de los mismos inconvenientes de mal ro total de pan y etapa un millón. * w- ’ León. — D. Francisco Verea Cornejo. piso, de su longitud, que es el de 12 horas, y de tener que Suponiendo como queda dicho el número de caballos de ba­ Lérida.z=D. Ramón Sisear y Agramunt. atravesar algunos desfiladeros y barrancos, teoiendo ademas el talla 500: el de acémilas para las baterías de obuses I 4…</t>
  </si>
  <si>
    <t>Cornelias, José</t>
  </si>
  <si>
    <t>José Cornelias</t>
  </si>
  <si>
    <t>…er sido aprehendido en T am a- la maestría en la dirección, cedida con galantería y justicia por este oficial superior. yo el cabecilla Palencia de la destruida partida de Jumilla , el el Sr. de^ Espinosa al consumado profesor D. José Cornelias, y cual venia con instrucciones de Cabrera para organizar nuevas desempeñada por este con el tino y lucimiento que le son pe­ artesLaagrícolas comisión de la sociedad de ciencias físicas, químicas y é industriales, en la relación hecha por Mr. J u ­ facciones en el reino de Murcia ;…</t>
  </si>
  <si>
    <t>Cornide, Francisca</t>
  </si>
  <si>
    <t>Francisca Cornide</t>
  </si>
  <si>
    <t>…GRESO DE DIPUTAD O S. que se ocupa ei Congreso de este negocio. En los dos anterio­ mo grado civil de parentesco: 2 ° Que en la adjudicación p eri­ res el Congreso es buen testigo de cómo se ha extraviado esta ta I hecha á Doña Francisca Cornide, madre del difunto Can­ P R E SID E N C IA DEL SEÑOR IST U R T Z . cuestión, de cuyo extravío han participado ambos lados. Si el d o , con fecha 26 de Agosto de 1 7 8 0 , folio qtr vuelto, se de­ Congreso cree que es conveniente para el pais el continuar esta termina suficientem…</t>
  </si>
  <si>
    <t>Cornp</t>
  </si>
  <si>
    <t>…iz y Flores, Sr. marques de Cerralbo, D. Antonio risdicción Real ordinaria. Por D. J u a n M artin Carrarnolioo. am iga y vecina á que se halla ligada por los vínculos mas Conde González, D. Antonio Esteban, D. A gustín Seco, Don Cornp¡ende la sustanciacion de todas las instancias y demas re­ santos y los mas solemnes tratados, y sobre todo cuando la Rafael del Rio y D. J u a n U trilla , quienes declararon no cursos ordinarios y extraordinarios de que conocen las au d ie n ­ inerte de miles de franceses está unida al reposo…</t>
  </si>
  <si>
    <t>Corradi</t>
  </si>
  <si>
    <t>…üya posesión se hallan les compradores en virtud de los A T E N E O D E M A D RID. que ni esta ni otra consideración de igual especie podría hacer­ decretos de 3 de Setiembre de 1835 y 25 de Enero de 1837. le convenir con el Sr. Corradi ? en que se escogiese para asunto Conocida es generalmente la historia dé este importante ne­ SECCION D E LITERA TU RA . de las novelas modernas la historia de la edad inedia ; porqué gocio ; pero con todo no considero impertinente hacer uná li­ entiende que todos los siglos deben estar ab…</t>
  </si>
  <si>
    <t>…cción de algunas poesías. Este fondo de sensibilidad y esta de sostenerle, siquiera de aceptarle. Es menester que yo parta.... vides contar fielmente y con la claridad que le per el: ite su cas­ esmerada erudición con que el Sr. Corradi precura amenizar y partiré.... no hablemos mas. tizo y correcto lenguaje , los hechos, deteniéndose en ios mas sus lecciones le hacen recomendable como literato; pero no po­ Llegado Nourrit á Italia sin un plan de conducta bien principales que caracterizan las diferentes épocas que describ…</t>
  </si>
  <si>
    <t>…rimentó el rústico, d ijo que se ha prom ovido eu nuestros dias entre el romanticismo y Continuando la conferencia pendiente acerca de las unida~ ser una ilusión bastarda. fel clasicismo. y des dramáticas torró la palabra el Sr. Corradi , y antes de Para que esta fuese, añ ad ió, tan completa com o se pretende, 1.a El teatro griego solo presentaba el hombre de las pasio­ tratar de la unidad de acción á que pensaba lim itarse, protestó seria preciso que el espectador creyera hallarse realmente en el nes y del destino, y el h…</t>
  </si>
  <si>
    <t>Corradi, D. Fernando</t>
  </si>
  <si>
    <t>D. Fernando Corradi</t>
  </si>
  <si>
    <t>…u última lección de geología el dificultad de su posición; y ha sabido, sin amenguar la grande­ Sr. D . Manuel López Santaella á la propia hora. DEL TEATRO za del héroe, satisfacer al espectador; y esto, lo decimos con ! Y el Sr. D. Fernando Corradi dará también su última lec­ convicción, es un esfuerzo del arte. N i la consideración de que ción de literatura extrangera á la propia hora. ANTIGUO Y MODERNO ESPAÑOL, va á lanzarse tras una muerte segura é in ú t il, ni las súplicas, ni las lágrimas, ni las palabras mas tiernas…</t>
  </si>
  <si>
    <t>…as adopten che se ; lo que se pone en conocimiento de los Sres. socios para que sirvan asistirá , c ña situado á la entrada de la calle de la Alameda, junto á la poco á poco las personas mas influyentes de las fracciones El Sr. D. Fernando Corradi, profesor de literatura extran- fábrica platería de M artínez, en el que se ve por ahora: políticas que nos d ividen, habrem os ganado m ucho, y nos gera, ha suspendido por ahora sus lecciones por razón de sús El suntuoso monasterio del Escorial. felicitaremos á nosotros mismos…</t>
  </si>
  <si>
    <t>Corradi, Fernando</t>
  </si>
  <si>
    <t>Fernando Corradi</t>
  </si>
  <si>
    <t>…é Gelabert ........................ 8 economía política. música de D. Basilio Basili, titulada IL C A R R O Z Z IN O D A Sra. coiídesa de la Vega del Pozo...................................... 40 Sábado.izDe siete á ocho, D. Fernando Corradi, literatura 100 extrangera. VENDERE. Sr. D. Francisco Martínez de la Rosa.............................. 160 Segunda parte, D . Francisco Hilarión B rabo. .................................. 20 Idem.~De ocho á nueve, D. Mauuel Santaella, filosofía D. Francisco Cotoner.............…</t>
  </si>
  <si>
    <t>…Eugenio Scribe , biografía contemporánea. periencias; pero sí quiere que se conserve su gramática, verriague y Blanco, director de la caja nacional de Amortiza­ Un casamiento ch in o, costumbres. ción ; D , Damaso Aparicio y D. Fernando Corradi , procura­ Soneto de D. José Zorrilla. su prosodia y los admirables modelos que han sentado su dores síndicos de ayuntamiento constitucional de esta muy he­ Origen de la sonámbula. poder universal en una base indestructible. roica villa; D. Manuel Villota y D. José Cano Sainz, del…</t>
  </si>
  <si>
    <t>Corre, Croke.</t>
  </si>
  <si>
    <t>Croke. Corre</t>
  </si>
  <si>
    <t>…y se dice go. Quisíera saber si el almirantazgo ha recibido alguna com u­ los es una resistencia sin esperanza, es la ruina de nuestra pros­ haberse invitado á los M inistros para que asistan para adquirir nicación dél teniente Croke. Corre fuera de aqui urta opinión, nuevas noticias acerca de la situación del país. peridad , es el pago arbitrario de los ejércitos que las Poten­ y es también la rhia, de que el oficial que m audaba’el paquebo­ Se cree que ésta reunión será la últim a ; pero como M r. cias hubieran hecho mar…</t>
  </si>
  <si>
    <t>Corre, Hacienda.</t>
  </si>
  <si>
    <t>Hacienda. Corre</t>
  </si>
  <si>
    <t>…s D ip u ­ El Sr. Oi&gt;CA: Anuncio al Gobierno de S. M . una interpe­ Núm. 8.° D. José M aría de M u e l a , n atural de Jerez de la tados que quieran hacer uoa proposición, conseguirán el que lación. M e dirijo al Sr. ministro de Hacienda. Corre por M a ­ se les informe en esta ó en aquella parte de la administración. Frontera, dice que desde hace 10 meses se ve injustam ente per­ drid la noticia m u y funesta para el crédito de la n ación , de seguido con uoa causa criminal , en la que el juez es al mismo El Sr. M EN D E…</t>
  </si>
  <si>
    <t>Correa, Francisco de A.</t>
  </si>
  <si>
    <t>Francisco de A. Correa</t>
  </si>
  <si>
    <t>…e se les en­ seña, con particularidad los que se hallan en la clase del ingles, nuestros filiales deseos de que sean siempre felices en la tierra, dolorosos recuerdos, recordándola las am arguras porque ha te­ la cual dirige D. Francisco de A. Correa; estando todas las de­ y coronados de gloria en el cielo. nido que pasar; las transacciones á que ha debido suscribir, y Y concluido se le dió las gracias como á la directora y J e ­ cuando en fin se la ha anunciado que su antiguo Soberano ha mas al del propietario; y la comi…</t>
  </si>
  <si>
    <t>…nas tan adelantadas, ña , con particularidad los que se hallan en la clase del ingles, VV. SS. á quienes suplicamos se dignen presentarles nuestros la perfección respectivamente en los pues todas contestaron á la cual dirige D. Francisco de A. Correa , estando todas las de­ filiales deseos de que sean siempre felices en la tierra , y coro­ examinaron , y parte de ello lo prueba las plaoas ramos diferentes que que sg presen­ mas al del propietario; y la comisión no puede menos de ha­ nados de gloria en el cielo. taron y…</t>
  </si>
  <si>
    <t>Correa, Josefa</t>
  </si>
  <si>
    <t>Josefa Correa</t>
  </si>
  <si>
    <t>…Echegaray : D. Vicente Rodrí­ mado como sospechoso de haber causado la muerte. Que guez, en representación de Doña Serafina González: D. Ma­ habiendo acabado de pasar la visita de juez en aquel con­ nuel Ribera , heredero de Doña Josefa Correa: Doña María GALERÍA DRAMÁTICA. dado (l), si él se hubiera entregado al magistrado como Leocadia Salgado, hija de D. Mateo: D. Ramón Ortigosa, causador de aquella muerte, aunque no dudaba hubiera hijo de D. Manuel : los hijos de D. Juan Antonio Guardia: FUNCION DE BODA SIN BODA. &gt;ii\ '…</t>
  </si>
  <si>
    <t>Correos</t>
  </si>
  <si>
    <t>…er tentativa imparta el auxilio de la fuerza mi­ an tec ed e a la o b r a , y q u e nos ha parecido uno de los m e­ por Medina del Campo y Valladolid el 50 de Setiembre de es­ litar. (Núm. 1695.) te año, la dirección general de Correos ha acordado que el ser­ jores trozos qu e se h ay a n escrito de filosofía histórica. El del mismo ministerio suspendiendo la publicación del pe­ a u t o r describe con fid elid ad , pero red u c id o , el cuad ro d el vicio de dicha conducción en la expresada línea, que compren­ riódico…</t>
  </si>
  <si>
    <t>…s pax, nos, y logrado fugarse el mayor sin arma alguna, dejando todo el equipo. Con lo que queda tranquilo el pais, por ser estos los E N rola 17, librería extrangera sita en la calle de Jardines, núme­ La dirección general de Correos, en cumplimiento de lo que se llevaban las gavillas facciosas á ejercer sus atrocidades establecido encuarto la principal, y en el colegio de Humanidades calle de Carretas, núm. 5 , cuarto principal mandado por S. M. la Reino Gobernadora en 26 del corrieote, eu aquel término. de la derech…</t>
  </si>
  <si>
    <t>…Clemente Zamorano. Terminando la función con la graciosa comedia en un acto, que tanta aceptación mereció, y que hace tiempo no se ejecuta, BIBLIOGRAFÍA. nominada LO S G U A N T E S A M A R I L L O S . La direccioo general de Correos, en cumplimiento de lo mandado por S. M. la Reina Gobernadora en 26 del corriente, ha señalado los dias i . ° y 20 de Enero próximo, á las doce de SEMANARIO su mañana, en lá sala de ia misma, para la celebración del p ri— CRUZ. Hoy no h a y función. M añ ana martes se vol­ trero y'segund…</t>
  </si>
  <si>
    <t>los españoles 25}9 de Lo pase. Desde esta iglesia se reunió con sus carruajes que lo La dirección general de Correos, en cumplimiento de lo mañana habia salido de aquella ciudad el duque de Orleans Egipto y el Sultán , de acuerdo con las cinco Potencias. Esta cen^, con referencia á los de León , que el 22 á las diez de la Los periódicos ingleses anuncian que la Reina ha declarado ha señalado los dias 1.°…</t>
  </si>
  <si>
    <t>…2 4 17 B aja, núm. 4 2 , cuarto p rincipal; prevenidos que al que uo Máquinas é instrumentos de labranza. . . 75,104 7 asista le parará entero perjuicio. Mármoles y lozas 5,515 4 .. M edicinas. 20,156 1 7 L a dirección general de Correos, en cumplimiento de lo M ercería.. 51,077 4 5 mandado por S. M. la Reina Gobernadora en 26 del corriente, M u e b le s... 24,465 .. 28 ha señalado los dias i.° y 20 de Enero próximo, á las doce de Obras de barro Papel blanco 5,095 8,955 5 25 .. .. su m añana, en la sala de la tnisma, pa…</t>
  </si>
  <si>
    <t>5B. Utia sai tita de cinco repisas ( co n so les ) de varios ta­ Salud pú blica . La dirección general de Correos, en cumplimiento de lo m años, que sirven para formar las escalas am orosianas , según mandado por S. M. la Reina Gobernadora en 26 del corriente, la edad de los discípulos que deben ejercitarse eo ellas. Han seguido mostrándose durante la semana muchos casos ha señalado los dias 1.° y 20 de…</t>
  </si>
  <si>
    <t>…s á sostener la tranquilidad p ú - drama ha sido tan brillante como era de esperar, atendido el sin la cual no pueden ser felices los pueblos. bello talento de su autor. Reservámocos para otra vez el juz­ La dirección general de Correos , en cumplimiento de Io Gaditanos: Continuad dando pruebas de vuestra sensatez, y garle con mas detenimiento, haciéndonos cargo de las doctri­ mandado por S. M. la Reina Gobernadora en 26 del corriente» acreditad con vuestras virtudes que sois dignos de la faoia que nas literarias que le s…</t>
  </si>
  <si>
    <t>…Inocentes , año nuevo y dia de los Santos Reyes. tación de este nombre, por D. Antonio Martínez. gulación. Se hallará á real en la librería de Cuesta , frente á S. Feli­ pe el R eal: puede ir en carta. La dirección general de Correos, en cumplimiento de lo U N profesor de francés, natural de P a ris , enseña á leer, es­ mandado por S. M. la Reina Gobernadora en 26 del corriente, cribir y hablar con pureza dicho idioma por un método ha señalado los dias 1.° y 20 de Enero próximo, á las doce de -su m añana,en la sala de la…</t>
  </si>
  <si>
    <t>…y , i n ­ sisten cu que Gaus es el verdadero inventor de las máquinas de I le r o n d e A lejandría. Este celebrado mecánico floreció por v a p o r , solo por esta bola, que solo puede servir de juguete L a dirección general de Correos, en cumplimiento de lo los años 120 antes de C risto , y sabemos que excitó la adm ira­ para muchachos , una eolípida indiferente, cuándo la mas po­ mandado por S, M. la Reina Gobernadora en 26 del corriente, ción de sus contemporáneos con sus autóm atas: que escribió derosa eolípida seria…</t>
  </si>
  <si>
    <t>…n en esta corte en la librería de caba á todos los trabajos del entendimiento humano no revestí- j la viuda de R azila , y en Barcelona en la de Oliveros y C a ­ dos de las formas matemáticas. j var ro. La dirección general de Correos , en cumplimiento de lo La primera obro de Say, eo la cual presentó con orden mandado por S. M. la Reina Gobernadora en ¿G ele 1 corriente, claridad v concisión las iáe-»s mas avanzadas de los economistas, ! ha señalado los dias i.° y 20 de Enero próximo , á las doce de a?»uló de un solo gol…</t>
  </si>
  <si>
    <t>…Estado; apercibidos que de no compare­ ha puesto todo su conato en desentrañar las causas mas verosí­ cer les parará el perjuicio que haya lugar. miles del trájico suceso que puso término al famoso cerco de dirección general de Correos, en cumplimiento de lo Zam ora, sobre las cuales apenas dan luz nuestras crónicas, y e/i mandado por S. M . la Reina Gobernadora en 26 del corriente, atribuir á los personajes que intervienen en el drama el carác-, ha señalado los dias i.° y 20 de Enero próxim o, á las doce de ter y las pas…</t>
  </si>
  <si>
    <t>…un sobre sellado que se entregará lejos tan admirable ciudad, resucitada después de tamas por la administración. La idea, según él mismo, no es nueva. revoluciones y tempestades, olvidé en el mismo instante Dirección general de Correos . Nihil tiovi sub solé. La sociedad de Bibliopolas nos ha probado cuanto sabia ya de la Italia. El gran nombre de Florencia que ya habia Omnibus en tiempo de Luis xiv. produce en mi alma mucha mas sensación, que el de Rotua, ptrte diario que salió de esta corte el vieron 7 del ac­ En 1653…</t>
  </si>
  <si>
    <t>…ber llas con aumento de un 50 por 100. De esta disposición doy de los últimos exámenes, se hace notorio.—Esteban M oris, vice-» escrito unos en latin con destreza y propiedad todo lo que se conocimiento á la dirección general de Correos , con recomen­ secretario. les dictó en castellano, tradujeron otros algunos trozos de las dación de que proponga al Gobiern® lo que le parezca conve­ cartas del mismo Cicerón , de las fábulas de Fedro y de Come­ n ir, á fin de acordar definitivamente con la Francia é Ingla­ Sres. preside…</t>
  </si>
  <si>
    <t>á la distancia de 20, 50 y aun 100 varas; y sin em bargo, otra com unes, corr o por el nervio y rotundidad en que de cierto la | La dirección general de Correos, en cumplimiento de lo persona situada entre las dos que hablan no oye nada. Siendo a v e n ta ja , si bien le cede la primacía en otras dotes. Y a algunos ■j mandado por S. M. la Reina Gobernadora en 2 6 del corriente, este un asunto perteneciente á la acústica, nos ha parecido opor­ escrit…</t>
  </si>
  <si>
    <t>…crueldades que de la nieve. No es animal fuerte para carga; pero extremamen­ | han sufrido de ios españoles, y motivado la declaración de su te ligero para tirar ua trineo con su amo y provisiones á ra­ La dirección general de Correos , en cumplimiento de lo edición independencia, por un aiuericano del Sur. Un cuaderno en 8.° zón de 20 leguas cada dia , y algunas veces hasta /jX), Para 1° mandado por S. M. la Reina Gobernadora en 26 del corriente, de 1818, á 6 rs. en rústica. que se necesita un esfuerzo extraordinario.…</t>
  </si>
  <si>
    <t>…on ejemplo de los que q u ie re n b rilla r á fuerza de las arterías Manuel Bretón de los Herreros, representado con aplauso en el q u e les sugiere la sabiduría p u ra m e n te c a r n a l, q u e la r e ­ La dirección general de Correos, en cumplimiento de lo teatro del Príncipe. Véndese i 8 rs. en las librerías de Escanti­ ligión sola es la que formó alma tan desapasionada y tan mandado por S. M. la Reina Gobernadora en 26 del corriente, lla , calle de C arretas; y de Cuesta, frente á las Covachuelas, a s id uam ente consa…</t>
  </si>
  <si>
    <t>…oria: en Palma del canal. Dirigióse pues con este objeto unas 10 leguas hácia en la de G uasp: en Pamplona en la de Erasun y Rada : en Sa­ el Noroesteen el O u ad y -T o u m j lad, donde volvió á encontrar La dirección general de Correos, en cumplimiento de lo lamanca en la de Moran : en S, Sebastian eu la de B¿raja : en los rastros del canal en muchas leguas de extensión. Precisado en mandado por S. M. la Reina Gobernadora en 26 del corriente, Santander en la de Riesgo: en Santiago en la de Rey Romero: aquel momento á dar l…</t>
  </si>
  <si>
    <t>…iódicos de la corte negocios públicos. Sabidas son ciertamente las m ias, hijas de al que ó los que se consideren con derecho al buque y su car­ un.? íntima convicción; supongo la misma en los que piensan L a dirección general de Correos, en cumplimiento de lo ga , ó á cualquiera de estas dos cosas, para que en el término de diferente modo y la respeto ; y asi por grande que fuese mi mandado por S. M . la Reina Gobernadora en 26 del corriente, de seis meses, contados desde esta fecha , acudan á deducirle si cü’ieo de ve!- al…</t>
  </si>
  <si>
    <t>…de Alco- Nueva al mariscal de campo D. Alejandro Gouzalez Villalo­ ra y otros puotos, á quienes intimada la orden, solo se les ha dado lugar de una hora para tomar el cam ino, apoderándose I bos. (Id.) La dirección general de Correos, en cumplimiento de lo concediendo el uso de media firma al Sr. Ministro de Ma­ los facciosos de las llaves de las casas, sin permitirles extraer I mandado por S. M. la Reina Gobernadora en 26 del corriente, rina y Gobernación de Ultramar. (Id.) cosa alguna, y luego, después que salian, l…</t>
  </si>
  <si>
    <t>…Nos apresura­ mos á desmentir esta aserción, pues Cabrera jamás salió de A consecuencia de Real orden comunicada en 14 de Ju lio ú l - Tortosa ó sus cercanías hasta el momento ea que se despidió ^ timo á la dirección general de Correos, se saca á pública para unirse á los insurgentes de Morella.</t>
  </si>
  <si>
    <t>…la in­ I" " " 1 '==^ = : = = = S = = a = = = * '' — ’í'11..I1... S5BB5SBSSBHEM comunicación con los otros criminales, incomunicación en to­ do su rig o r, y que por lo tanto debe entenderse de todos los La dirección general de Correos, en cumplimiento de lo medios que ofrecen los cuatro sentidos de relación social; la voz, mandado por S. M. la Reina Gobernadora en 26 del corriente, TEATROS. la vista , el oido y el tacto. ha señalado los dias 1.° y 20 de Enero próximo , á las doce de su m añana, en la sala de la misma,…</t>
  </si>
  <si>
    <t>…Art. 2.° P o r consecuencia de la anterior disposición ¿entas percibidas, y al abono de cualquier desperfecto que tin ad» al "régfmieftto in fa n té r ía d e ta Corona , 8;° de* ligeroq quedan suprimidas la tesorería general de Correos, Cami­ se hubiere Causado en lás fincas. - Juan López G uie, soldado retirado en Murcia , y á Simón R o ­ nos y Canales, y las contadurías, intervenciones, tesore­ Art. 4.° Los débitos que igualmente aparezcan por el drígu ez, pífano dél regimiento provincial dé Segovia, para que rías y depo…</t>
  </si>
  <si>
    <t>…s clasificaciones por sin oficio hagan un aprendizaje largo Tan urgente es la ne*- moralidad: hubiera sido el eje del departamento de distinción cesidad de trabajo donde hay separación! y tanta aptitud da La dirección general de Correos], en cumplimiento de lo el admonitor en gefe de la clase de los elegidos: hubiera hecho para satisfacer esta necesidad su misma urgencia!.... Lo propio mandado por S. M. la Reina Gobernadora en 26 del corriente, prodigios en medio de aquella turba escogida, doode hallara su sucede ea la pe…</t>
  </si>
  <si>
    <t>…clara edición con I4 roinuido en dos tercios, no exportándose ahora mas que por estampas finas. Se hallará en la librería de O r e a , calle de la 509 rublos por año. En las fronteras de los kirgises ha toma­ Dirección general de Correos• M o n te ra , á 12 rs. en pasta c o m ú n , 18 en pasta fina , y 52 en do este género bastante aumento, pues las poblaciones de aque­ tafilete. llas vastas comarcas compran por valor de 6009 rublos. Los El dia 7 del próximo mes de Marzo saldrá del puerto de tueros encarnados se buscan todav…</t>
  </si>
  <si>
    <t>…publicados tres cuadernos á escalera conducía á la plataforma sobre la cual se elevaban 8 rs. cada u n o , y el 4«° y último se publicará en el mes pró­ dos torres. El interior de aquellos monumentos, que no Dirección general de Correos. ximo. eran mas que una masa de barro revestida con una capa de fabrica, servia de sepultura á los principales de la na­ El buque correo de la empresa de la Habana saldrá del puer­ to ción: alli se celebraban también aquellos ritos misteriosos respondencia de Cádiz el dia 5 del próximo raes…</t>
  </si>
  <si>
    <t>…andioso é interesan­ profundas en el Parlamento francés. Oradores distinguidos, cu te. En efecto, L a Degollación de los Inocentes es un d r a ­ nombre es europeo, han cooperado con sus luces, coa su ir L a dirección general de Correos, en cumplimiento de lo ma que reúne á un sabor bíblico , que no podrán menos de truccion y con su genio , y la experiencia vino después á tn mandado por S. M. la Reina Gobernadora en 2 6 del corriente, apreciar los inteligentes, uú argumento rico en novedad, en s i­ nifestar las imperfecci…</t>
  </si>
  <si>
    <t>…anta Sede, sin ser cho á la iglesia católica. Pero como ocupamos en la tierra el violentados o engañados artificiosamente, sin dejarse arrastrar puesto del que es rico en misericordia , que tiene designios La dirección general de Correos, en cumplimiento de lo de ligereza de pensamiento, ni seducir por ventajas temporales, de paz y no de ajliccion , y que vino á buscar y salvar lo mandado por S. M. la Reina Gobernadora en 26 del corriente, que pereda , lejos de despojarnos de la candad apostólica para ha señalado los dias í…</t>
  </si>
  <si>
    <t>…la en la comedia de Moliere y de Delavigne, una nueva bandera, empuñada por un brazo fuerte y vi­ como en el drama de Duinas y de Hugo; asi empuña el goroso que pudiera sostenerla; que fuera templada para La dirección general de Correos, en cumplimiento de lo fúnebre plectro de Melpómene, como guiado de su propia que no la repudiasen los moralistas teatrales; que fuera mandado inspiración, sin reglas, sin preceptos , crea una escuela brillante para que no pareciese pálida al lado de la que ha señaladoporlosS.dias M. la Re…</t>
  </si>
  <si>
    <t>…producimos estos rumores bajo la fe del perió­ gefe político cumplo con cuanto tne previene la Real orden dico que los menciona. {Id.) circular de 5 del corriente: como presidente de la diputación mandado La dirección general de Correos, en cumplimiento de lo provincial intervengo en todos sus actos relativos á elecciones. ha señaladoporlosS. dias M. la Reina Gobernadora ea 26 del corriente, Las noticias de Oriente que hoy da la Gaceta de Augs- Ato de vosotros os toca lo dem as; y si faltáis al solemne llamamien­ su m aña…</t>
  </si>
  <si>
    <t>Corres, D. Ramón</t>
  </si>
  <si>
    <t>D. Ramón Corres</t>
  </si>
  <si>
    <t>…habiendo dejado una parte de ellas, en En la madrugada del dia 17 del corriente salió de la plaza los lenguas, y en virtud de los progresos de la ci­ observación de los puntos que ocupan nuestras tropas, y pa­ le Via na el Sr. D. Ramón Corres, su gobernador, con una pe­ cieron distinguieron los diferentes géneros en que sado Goñi con dos batallones á situarse en la llanada de Alava. queña columna, compuesta de media compañía de Mallorca, el ingenio sehumano vilización puede ejercitarse, se abstuvo el hom ­ sedaLala art…</t>
  </si>
  <si>
    <t>Corres, Ramón</t>
  </si>
  <si>
    <t>Ramón Corres</t>
  </si>
  <si>
    <t>….......... 147000' bayoneta calada por vuestros pechos guerreros y leales al man­ hombres valientes, urbanos y celosos. Y ¿n o lo eran nues­ Canela de i d . ................................... 20009 do del valiente gobernador D. Ramón Corres, fueron rechaza­ tros caballeros de aquel período? Cascos vacíos.............................................................. 13000 dos con la mayor ignominia y pérdida considerable, sin nin- Cualquiera que lea con atención nuestro teatro anti­ Carbón..................................…</t>
  </si>
  <si>
    <t>CORT</t>
  </si>
  <si>
    <t>…que se considerarán como meritorios en las re que antes que todo se respeten los principios. dado sobre el bloqueo de las líneas habia exacerbado los ánimos? hofas de servicio los que se hayan prestado en las elecciones? El Sr. C O R TIN A : La comisión habia presentado su dic- ¿que estaba la guerra mas cruel que en 55 y 57? Pero si fal­ señores, quiero atribuir este paso á imprudencia mas bien que á malicia; pero,, si esta acta se aprueba, ¿qué dirán los tám en, viendo que no habia reclamaciones; pero puesto que las tar…</t>
  </si>
  <si>
    <t>Corta, Benito</t>
  </si>
  <si>
    <t>Benito Corta</t>
  </si>
  <si>
    <t>…o G uinea, D. José Sandoval , D. Francisco Arra tia, D. Juan pues basta fijar la consideración en que el abono á cualquier de Iluercal , S. Nicolás, por D Francisco Salmerón , en 8. Pedro A y e g u i, D. Fermín Diez Hernández, D. Benito Corta - gabinete de lectura , que nuestros suscriptores tienen gratis, Otra i d . , sierra Almagrera, barranco Jaroso, término de zar , D . Basilio Ramos, D . Antonio Prieto; quienes declararon cuesta 20 rs. al menos mensualmente. Cuevas, las Animas, por D. Miguel Soler, en 8. no haber lugar…</t>
  </si>
  <si>
    <t>CORTAZAR</t>
  </si>
  <si>
    <t>…as Bagares para que sean puestos en libertad CORTES. 1 b k ° S ^ r6S ^ 0nza^ez Alonso 9 Benavides y otros piden la p a - los hijos de aquel y la h.ja del general enemigo Segarra que se C O N G R E SO D E D IPU T A D O S . E1 Sr. C O R T A Z A R haciendo una breve historia de lo que mandaron arrestar por vía de represalia para obligarle á veri- paso en aquellas elecciones y en la constitución de ía mesa co­ ncar la devolución de dichos 12 niños PRESIDENCIA DEL SR. ZU MALACARREGUI. mo también de los hechos que dieron lugar…</t>
  </si>
  <si>
    <t>…uenas y agradab les, todo aduanas. En tiempos en que los vascongados han disfrutado de discusión. el mundo tiene voluntad de hacer mas de lo que puede. Aqui sus fueros, han estado en las costas y en los Pirineos; y si en El Sr. C O R T A Z A R : Yo no s é , señores, si es este el mo­ encuentro y o , señores, las palabras en que está convencido el este particular ha habido algunas variaciones , no fue para ata­ mento de poder hacer uso de la palabra que se me acaba de convenio: en ese convenio mismo el general Espartero ha…</t>
  </si>
  <si>
    <t>…oreros y administradores de ren­ ciertos hombres dominen sin respetar las leyes, y haciendo ilu­ CORTES. tas de las provincias en las que tienen su residencia. soria la voluntad de la provincia, creo que el Congreso debe El Sr. CORTAZAR manifestó que lo alegado por el señor anularlas; porque ú se consintiera á la diputación que todo lo CONGRESO DE DIPUTADOS. Mendez Vigo no era un óbice para que dejase de admitirse pudiera invadir é infringir, entonces debíamos considerarlas al que hablaba como Diputado por la provincia d…</t>
  </si>
  <si>
    <t>…desearía que el Sr. Ministro de Gra­ «tediante al acuerdo hecho ayer por el Congreso. cación.) Es la voluntad de S. M . que la presente resolución se cia y Ju s t ic ia concurriese á la sesión porque veo enlazados has­ E l Sr. C O R T A Z A R : Señ ores, deber uno es ante todas co­ comunique por medio de circulares á los jueces de primera ins­ ta no mas los cargos que resultan de la circular contra uno y sas manifestar a! Congreso mi gratitud por el acuerdo que tu­ tancia por conducto de los regentes de las audie ncias,…</t>
  </si>
  <si>
    <t>…d a t o , es la protesta que tengo Verificada esta , quedó desechada por 44 votos contra 27. vocaciones los Srés. Dip utados que ayer tomaron la palabra , y eo ja m^no acompañada de a n a carta que d ic e : (S. S. lee una El Sr. C O R T A Z A R : El Sr. López, entre otras cosas, ha acto continuo pasase á la votación del dictámen acerca de la carta del juez de primera instancia al alcalde de un pueblo de querido suponer que yo me hallo en este recinto por haber obe­ admisión del Sr. Cortázar. ¿ Y se ha hecho esto? N o : por…</t>
  </si>
  <si>
    <t>…energía): Tiene V. S. la palabra, de 1839. ._______________ _ Sr. Cortázar. O rden, Sr. Barrio Ayuso: sírvase V. S. guardar órdeti , y estar sentado. El Sr. BARRIO AYUSO (coo cólera): Estoy sentado. BOLETIN DE COMERCIO» El Sr. CORTAZAR: Señores, yo he visto esa circular que VACANTES. se cita , y su principal fundamento estriba exclusivamente en BO LSA D E M A D R ID . querer saber el Gobierno por conducto del ministerio, que es el que por medio de los tribunales está encargado de reprimir Cotización del dia 12 á las tres…</t>
  </si>
  <si>
    <t>…­ anterior que la coacción es m u y diíicil de p ro b ar, no por esc cencia leida por el Sr. Quinto era del mismo que compareció. deja de tener pruebas. A qu i se dice que fueron mandados cor Liceo artístico y literario . El Sr. C O R T A Z A R reprodujo los argumentos dei Sr. A y a - el objeto de in ílu ir eo las elecciones; pero no se prueba que esc la , añadiendo que no¿hacia honor al pueblo español, en quien objeto fuese cumplido; y mientras eso no se h aga, podrá decir­ El viernes 27 á las siete de la noche se reúne Ja…</t>
  </si>
  <si>
    <t>Cortes, Arguelles</t>
  </si>
  <si>
    <t>Arguelles Cortes</t>
  </si>
  <si>
    <t>…Sevilla,, 4 b. dir de tomar la defensa de dichos señores. Pero descargado en esta den señalar la m archa política, que se lia de seg u ir, las B ilbao# i l d. V alencia, par. parte de esa gravísima obligación, por lo que el Sr. Arguelles Cortes son absolutam ente inútiles,, porque para eso es para Cádiz, par á 4 d. Zaragoza,, 1 \ d„. se ha referida al expediente, declaro que es exacto cuanto ha lo que principalm ente se reú n en . Descuento de letras, á 6 por IDO al año. citad o; pero como no lo ha citado todo , creo de…</t>
  </si>
  <si>
    <t>CORTES, CAYETANO</t>
  </si>
  <si>
    <t>CAYETANO CORTES</t>
  </si>
  <si>
    <t>…n su riqueza y en su libertad, oyó esta voz que ha­ marmol ó de bronce, desgarrando la seda y el terciopelo, bla, vox clamantis , la voz de Dante que la revelaba á la amontonando en una pira republicana los escudos de ar­ POR D. CAYETANO CORTES. vez lo pasado, lo presente y lo futuro i mas, las obras cinceladas, los libros de los poetas, y en Asi pues, la ciudad pertenece a un tiempo á la antigüe­ fin, toda la pompa regia con que el Magnífico habia so­ Si es cierto que el tiempo y los adelantos de la civilización dad por…</t>
  </si>
  <si>
    <t>Cortes, Cayetano</t>
  </si>
  <si>
    <t>Cayetano Cortes</t>
  </si>
  <si>
    <t>…tres internos. L eccio n es ele m e n ta le s d e A stronom ía , por Mr. A rago , lamentarias. Asi q u e, el Sr. barón no carece de precedentes, pero D. José P orret, juez jubilado de S. E. la audiencia de este traducidas por D. Cayetano Cortes. M adrid , 1839. el espíritu de su programa es sin duda de tal naturaleza que El autor de e.,tas lecciones, explicadas en el Real observa­ obliga á todo hombre sensato á esperar á que se desarrolle á torio de P a r is ,e s uno de los hombres mas merecidamente céle­ fin de valuar con…</t>
  </si>
  <si>
    <t>CORTI</t>
  </si>
  <si>
    <t>…acete misma será quien conteste. Presente está un escandaloso que se ha hecho por su ministerio. A h o r a , si el Sr. Alonso se concreta á disputar las ventajas alto empleado de hacienda pública , á quien yo he rogado en El Sr. C O R T IN A dice que aun cuando es cierto que á los é inconvenientes del principio , no estaremos los dos m uy dis­ cierta ocasión adelantase una paga á la audiencia de Albacete tribunales en cuerpo no les toca entender en la recaudación de tantes. Como principio no convendré en que sean conmutab…</t>
  </si>
  <si>
    <t>…E R O N C O L L A N T E S : El Sr. Pascual dice El Sr. Calderón Collantes hace algunas aclaraciones. A continuación se leyó el dictámen de la misma comisión, que no se ha hecho la reclamación en el término prevenido por El, Sr. C O R T IN A apoya el dictámen , manifestando que proponiendo que se aprobase el acta de elecciones de Murcia. la ley: yo pido que se lea la parte que comprende la protesta. para ello encuentra razones poderosas aun en la misma im pug­ Él Sr. C A L D E R O N C O L L A N T E S : Dos son las objecio…</t>
  </si>
  <si>
    <t>…nen. tan concedidos para los dos estados, porque ya se ha indicado cumplimiento de su obligación.) Se dice que si hubieran de hacerse quintas; se harían en antes que este negocio tiene dos estados: tiene el que va á cau­ El Sr. C O R T IN A : El Sr. Ministro de la Guerra se hí la fórmula que tuviesen roas conveniente. ¿Y para ésto se ne­ sarse por efecto de la ley que estamos haciendo, y el que se fija equivocado. cesita que les detnos una ley? ¿ No tenemos una que coace­ en todo el proyecto para después de formado el pr…</t>
  </si>
  <si>
    <t>…agnt — samente de designarse los que han de entrar en segunda vota­ tenga á bien no aprobarle. fie a comida de 90 cubiertos en cehbridad de los faustas acon­ c i ó n y el Congreso aprueba el acta respecto de unos y no de El Sr. C O R T IN A : Señores, la cornision ha examinado el tecimientos que han tenido lugar últimamente en las provin­ otros-, la provincia recibirá un gran dañ o , puesto que no se acta de esta elección con el mayor detenimiento y cuidado, y cias del N o rte ; y el dia U dará otra cou el mismo plausible…</t>
  </si>
  <si>
    <t>El Sr. C O R T IN A puso en conocimiento del Congreso que casa sanos y robustos, cuando siempre se ha procurado pre­ , cipios de la utilidad general; y si esta aconsejara á h s Corte S. M. oyó con su agrado acostumbrado la manifestación que m iar á los heridos é inutilizados; pero aqui por una singula­ ¡…</t>
  </si>
  <si>
    <t>…ngreso se penetrara de la especie de de­ de la Guerra, donde no se puede hacer el juicio comparativo. Nos atrevemos á asegurar que ninguna resistencia presenta­ beres cívicos que desempeñaron estos beneméritos ciudadanos. El Sr. C O R T IN A , después de hacer honorífica mención de rá, ó en caso será débil , como lo ha sido la que han ofrecido Eo circunstancias de esta naturaleza no habia esperanzas para los distinguidos servicios prestados por los individuos de U los batallones navarros disidentes, que al fin sucumbieron.…</t>
  </si>
  <si>
    <t>…estas observaciones, aunque hasta cierto punto de todos reconocida? He aqui la conformi­ rado. yo le aconsejo que consulte con su/am igo y mi amigo el señor dad del Gobierno; pero en los detalles y en las particularida­ El Sr. C O R T IN A : La comisión no ha encontrado en las Arteta respecto á las observaciones que hizo sobre los mutilados, des de la ley , queda siempre franca su acción para exponer lo actas ni fuera de ellas reclamación ni reparo alguno contra la porque debe saber que estos tienen su premio en el cuart…</t>
  </si>
  <si>
    <t>…aso se pue­ inexacto de la significación de la palabra arresto. Unos la con­ timonio necesario. de impedir aqui la entrada á un D iputado, ¿con qué razón se sideran jurídico m ilitar, y que no tiene su significación pro­ El Sr. C O R T IN A : Celebro que el Sr. Calderón Collautes le quiere impedir á D. Francisco de Paula Alvarez? Si se ha pia en este lenguaje: otros la suponen civil con la gravísima me haya dado ocasioo para defender el dictamen de la comi­ de respetar la ley , si se ha de cumplir lo que ordena , es indis…</t>
  </si>
  <si>
    <t>Corti</t>
  </si>
  <si>
    <t>…artin de aquella ca­ Congreso, faltaría como he dicho á la Constitución , y violaría que para algo está allí. pital. Parece que dicho V an-A m burgh acababa de entrar á en gran parte las facultades del poder judicial. ( EL Sr. Corti­ El Sr. Alvarez puede y debe venir aqui ; y digo mas , si presencia del público en la primera jaula de sus peligrosos na pide la palabra,) Espero que el Sr. Cortina que ha pedido después de haber tomado asiento en el Congreso se le considera­ discípulos, y habia comenzado apenas á excitarlos…</t>
  </si>
  <si>
    <t>…ebia principiar por resta­ cómo yo me aprovecho de una expresión m uy feliz de su d ic ­ bajos. blecerlos absolutamente sin restricción todos los que aquellas támen particular, que me serviria para rebatirle, si no temiera El Sr. C O R T IN A manifestó que esta comisión tiene bas­ provincias han tenido y gozado por muchos añ o s, fijando la abusar de la paciencia del Senado. tante adelantados sus trabajos, y Que no ha menester para con­ época de la muerte del Rey D. Fernando v n ; otros reservando Dice S. S. que se concederá…</t>
  </si>
  <si>
    <t>…orman parte del cláustro de profesores de la u n iv e r si­ cia secreta con su augusto hermano y Rey el Sr. D. Fernan­ terior dijo que eran válidos. dad de M adrid. 5.° Los doctores sueltos en número igu a l á la do vir. £1 Sr. C O R T IN A manifestó que cuando la comisión ex­ tercera parte del que resulte de las dos clases anterio res, a d m i­ V arias invectivas y otros documentos anónimos contra el tendió el dictamen á que ha aludido el Sr. L u j a n , no habia te tiéndolos por órdeo de antigüedad. Gobierno de S. M. y…</t>
  </si>
  <si>
    <t>…n de contribución con el n ú ­ se bastante tiempo. Esto por sí no presenta grande nulidad, siempre padecían en estos choques. mero de electores; y continuó i ) aunque si no habia imprentas, podíase m uy buen haberse pre­ El Sr. C O R T IN A manifestó que no siendo otro el objeto Véase si h ay razón algun a para que siendo válidos estos visto de antemano para que no se retrasase la operación, Pero de los señores firmantes de la proposición sino que se supiese cálculos no aprovechen á los otros pueblos aprovechando á los po…</t>
  </si>
  <si>
    <t>…ac tu alm e n te , tanto la de la Imprenta Nacional como la otra, bierno con esta excitación. nadie. no "presentan la legislación que compilan con método alg u ­ El Sr. H E R O S apoyó la enmienda propuesta por el señor El Sr. C O R T IN A manifestó que la comisión no habia po­ no , bueno ni malo.*’ González, manifestando que de ninguna manera podía ser ofen­ dido menos de reproducir su dictámen proponiendo la a d m i­ El método que se observa en la colección que publica la siva la excitación que se hiciese al Gobierno…</t>
  </si>
  <si>
    <t>…oico, atendido el funesto estado de esta v i l l a , en­ se expresase libremente su voluntad. Puso, por ejem plo, la provincia de C á d iz ; dijo que ni es­ terneció á los circunstantes. L a alegría se vió pintada en los El Sr. C O R T IN A dijo que oo puede asegurarse que ha ta c iu d a d , ni Puerto R e a l , ni la Isla tenían esas tie rras, y que semblantes de todos: se oyeron repetidos vivas de unión y re­ habido esos amaños por parte de los agentes del poder, cuando poseyéndolas Jerez , no era justo que cargase con l…</t>
  </si>
  <si>
    <t>…ueniigas, situadas en po­ Que la comisión ha visto que no aparecían reclamaciones El Sr. L O PE Z renunció la palabra en favor del Sr. Cortina siciones formidables. ningunas contra dichas actas, y por lo tanto no ha podido El Sr. C O R T IN A : El Congreso advertirá, señores, coa Que el conde de Bclascoain, adelantándose con un escuadrón menos de dar su dictamen aprobándolas, y concluye pidiendo cuanta desventaja entro en esta discusión , poco acostumbrado i . y una compañía de tiradores de caballería á reconocer el cantón…</t>
  </si>
  <si>
    <t>…incurrir en aauella equivocación. U rdax, que ha producido la expatriación del Pretendiente. Quiera el cielo, Señora, que á tan prósperos acontecimien­ Octubre época de 1823 nulos los actos del Gobierno constitucional de Ei Sr. C O R T IN A defiende el dictamen de la cornision d i­ , y expedídose la Real cédula de 1 1 de Marzo ciendo que hay una gran necesidad eo que se presente un pro­ tos siga en breves días la unión general de vuestra gran fam i­ aquella lia , para que V. M. pueda dedicar su maternal solicitud en la de…</t>
  </si>
  <si>
    <t>…pachase pronto su dictámen sobre las de 1857, y en las reformas mucha p a u s a m u c h a moderación, teniente general D. Isidro Alaix, y nombrar para que le mucha templanza , verificándolo con cuidado &amp; c. Seo., sin que El Sr. C O R T IN A contesto que hacia pocos reemplace interinamente al capitán general de esta pro­ bían pasado esas actas á la comisión; pero que sin embargo las dremos dias que se ha­ yo pueda figurarme que haya otra idea. En el otro lado pon­ vincia D. Francisco Narvaez; y hallándose encargado tam­ t…</t>
  </si>
  <si>
    <t>Cortina</t>
  </si>
  <si>
    <t>…é Gracia y Si se quisiese que cada delito tuviese la pena señalada , por que el uno hace cargo al Ministro de Gracia y Ju stic ia de la Justicia habia dicho que se habían centralizado en el ministe­ masque la ilustración del Sr. Cortina quisiese formar un c ó lt - miseria en que se liallan las dependencias de su ram ó , y otro rio de Hacienda los fondos de penas de Cámara , y qué después g o ^ o s e r i a a s i , porque ninguna legislación puede estar al ataca uno de los medios adoptados para * en él modo posible, habian…</t>
  </si>
  <si>
    <t>…, del total de 104 votantes. c indir enteramente de disposiciones demasiado reglamentarias contienen los nombramientos de varios Sres. Senadores por dis­ que pudieran embarazar la marcha de la sociedad. Cuarto in d ividuo el Sr. Cortina , por 8 2 votos, obtenien­ tintas provincias. do 20 el Sr. Coaío, y 1 los Sres. S il v a , O lózaga, conde de las Aprobadas estas bases se procedió á la instalación , nom­ El Senado quedó enterado de u n a comunicación del Sr. Se­ N a v a s , A rm e n d a riz , Gil y Quinto. Total de votan…</t>
  </si>
  <si>
    <t>…nto se contienen” &amp;c. ra 5 , y uno los Sres. Cosío, Laborda, y Sancho. no se opongan á los derechos políticos que sus habitantes tie­ . Esa simple modificación bastaba para alejar á l.ar^a dis- Para cuarto Vicepresidente el Sr. Cortina por 6 6 votos, h a­ nen en común con el resto de los españoles, conforme á la Cons­ tancia lo que tanta impresión ha hecho al Sr. Argiielies. biendo tenido los Sres. Ferraz 7 , Cosío 5 , Pinto 5 , L u z u r ia - titución de la monarquía de 1857.” Si lograse yo que mi a r t í ­ L a cornision…</t>
  </si>
  <si>
    <t>CORTINA</t>
  </si>
  <si>
    <t>…amente para satisfacción resultar reclamación alguna contra la aptitud legal de dicho de todos los aragoneses interesados en el triunfo de nuestra cau­ señor. sa y terminación de esta guerra fratricida. Zaragoza 2 de Se­ El Sr. CORTINA dijo que la comisión había examinado tiembre de 1859.=E1 gefe político, Antonio Rafael de Oviedo las cualidades personales del Sr. R o d a, y había propuesto que En la sesión de la Cámara de los Lores de! 2 6 , respon­ y Portal. ( E. d e A.) fuese admitido como D iputado ; pero que no se h…</t>
  </si>
  <si>
    <t>…iene al Congreso en espectativa , al menos ha hecho esa pequeña indicación, para que quede vindicada la conducta de los que han presentado la exposición referida. El Lloyd austríaco publica, bajo rúbrica de Constantino- El Sr. CORTINA contesta diciendo que ya el Congreso ha MINISTERIO DE LA GUERRA. pla, una noticia que si llegase á realizarse, seria de muy gra­ visto que el Sr. Collautes no ha impugnado el dictamen de h C ircula r á lo s ca p ita n es gen era les. ve importancia. com isión, y que esta habia creído que n…</t>
  </si>
  <si>
    <t>…bre las palabras ^uniéndonos por medio de los f u e ­ ne mas objeto ni otra mira que la de que se conserve ese p r i n ­ M u y maestramente ha tratado aye r el br. L u z u r ia g a esta ros cou el trono constitucional.” (Z£/ Sr. Cortina pidió La p a ­ cipio , que se conserve la Constitución. N o se proponen otra cuestión en su discurso; este ha derramado un sin número de labra.) cosa sus autores, y están prontos á adm iti r todas las adiciones luces, y los representantes de la nación no pueden quejarse ya Señores, y o tam…</t>
  </si>
  <si>
    <t>…Constitución, se podría se diga que quiere arrancar una resolución momentánea y for­ confirman en su parte municipal y económica; aqui, señores, demostrar que mas de u n o , si bien no son de los que interesan zosa. Dijo el Sr. Cortina que venia aqui c¡ Gobierno por com­ no Lny diferencia mas que en las palabras. Con decir en el ar­ á los mas, y no producen el efecto con que aqui se nos quiere promiso. El Gobierno viene aqui por cumplir coa su deber, por tículo siguiente que el Gobierno presentará á las Cortes á la asust…</t>
  </si>
  <si>
    <t>…oues en salirle relucientes, ondeadas y hermosas, toman el aspecto de aprobación se proponía. e^tos momentos. [Increíble parece que á una sociedad ilustrada estopa sin rastrillar; y por último , el mayor iucreisento ó an­ ^1 Sr. C O R T I N A : Habiendo recibido la comisión después hay a ocurrido anatema de destrucción semejan ; y lo que es chura que adquiere el animal en la grupa, acaba de caracteri­ de redactado su dictamen nuevas reclamad :s¿*couaa las mas singula r, el empeño que j u a ni fiesta en llevarle adelante con…</t>
  </si>
  <si>
    <t>PDF p. 7</t>
  </si>
  <si>
    <t>…cios, Sr. Diputado las ha reproducido esta mañana; y todavía re­ que no existían por contrarios á la .Constitución, y por eso no son menos grandes los resultados que se consiguen con ver suenan en mi oido las expresiones del Sr. Cortina: «se reserva los dice incompatibles con ellos; y para que tenga efecto lo consolidados el trono legítim o de vuestra excelsa H ija, la re­ para otro dia esa gu erra que ha y a empezado á que se dice en ese a rtículo, se añade que el Gobierno vendrá asomar, y pa­ gencia que con tanta digni…</t>
  </si>
  <si>
    <t>…ta 8 , Leal i , Barrio Ayuso 1. Total de vo ta n ­ s t a d o las actas por los comisionados, y principalmente la re­ radiccioa manifiesta? ¿C uál vale ma s, que no se presenten al tes 74. Mayoría absoluta 38. Quedó electo el Sr. Cortina. solución de la diputación provincial con respecto á Lerin , res­ úblico en ninguno de los cinco días de votación, ó que se p u - Para primer Secretario obtuvieron votos los Sres. Caballe­ pecto del cual hace breves observaciones, y concluye haciendo licasen, autorizadas solo por el presid…</t>
  </si>
  <si>
    <t>…la sesión del 5 de J u l i o , página 5 0 , columna 2 .a, al fin jueces de primera instancia. manifestó la inteligencia que la comisión habia dado á la parte dícese en una proposición: ccNo pueden ser D iputados los m a­ El Sr. C O R T I N A (como de la comisión): L a comisión cree del párrafo de que trató el Sr. Sánchez Lafuente. gistrados y fiscales de las audiencias en las provincias donde se que esta cuestión depende de confundir lo que ya existe a pro­ El Sr. Q U I N T O , después de leído el art. 6 .° del reglamen­…</t>
  </si>
  <si>
    <t>…al dictámen por hostilizar á compañeros que tanto pronto; y la paz, como en las del N orte, será el fruto de una facultad para proponer otra cosa, no siéndole desconocidos los aprecio; pero me alegro que me haya precedido el Sr. Cortina lucha tan heroica. ( EL Desengaño.) servicios que prestó aquella M ilicia en la época referida, y con en el uso de la palabra , pues ocupaodo un lugar tan distin­ tanta mayor razón, cuanto que el individuo que tenia el ho­ guido en esta cuestión, y con cuya opinión estoy acorde, ale­ (Extr…</t>
  </si>
  <si>
    <t>…s demas Sres. D i ­ ral en atenció n á que lo he creído de sum a im p ortan cia. El Sr. P R E S I D E N T E : C o n tin ú a la d iscusión pen dien te putados, que no h a y semejante d ivisió n de D ip u ta d o s suplentes El Sr. C O R T I N A : E! Sr. Benavides ha dado p rin c ip io á sobre los dictám enes de la comisión de A ctas. y D ip utados p ro p ie tario s, sino que en la significación de D i ­ su discurso haciendo una inculp ación á la comisión * y ha p ro ­ So leyó ei correspondiente á la p ro vin c ia de M u r c…</t>
  </si>
  <si>
    <t>…ir que era in consecuente, he dicho que me Lejos de creer y o como S. S. que la proposición ha hecho ta el dia de la fecha. A m b as listas pasaron a la comisión de Pe­ a trevía á rogar á la comisión fu era consecuente. E l Sr. C O R T I N A : Poco d i r é , señores ; pero tengo que h a ­ da ñ o, estoy persuadido de que ha hecho mucho b ien, pues que ticiones. Se leyó la proposición de los Sres. P as cu al, L a c a lle , B e lin - cer u o a observación á lo que h a / dicho el Sr. Benavides. Es tal vez h a y a dado motivo…</t>
  </si>
  <si>
    <t>…n El Sr. Secretario del Despacho de G R A C IA Y J U S T I C I A : El Sr. Secretario del despacho de G R A C I A Y J U S T IC IA : una fracion del reino. Tratándose de las elecciones de Galicia y de la p ro v in cia, creo, El Sr. Cortina ha contestado á un articulo del C o r r e o , mo­ Este fenómeno se encuentra en una provincia que por m u­ señores, que para nada tenia que nombrarse al Gobierno; pero viéndole acaso á ello la indicación que yo hice de que la co-</t>
  </si>
  <si>
    <t>…justo es y urgentísimo salir de ella cuanto antes , prove­ de quedar completamente satitecho. tad y esfuerzos de las Cortes afirmarán el trono legítimo contra yendo competentemente á tan sagrada necesidad, que la Consti­ El Sr. Cortina rectificó un hecho. toda clase de enemigos. El Senado , Señora , no perdonará fa­ tución ha reconocido del modo mas explícito. El dia en que se Hicieron varias aclaraciones los Sres. Cortina y M inistro tiga ni esquivará peligro alguno para contribuir dentro del cír­ cumpla este unánime vot…</t>
  </si>
  <si>
    <t>…a, por el bienestar de CAPITULO X III. aquellas provincias, por el buen nombre del duque de la Vic­ toria , por la libertad, y por la felicidad de toda la nación. MEMORIAS DEL CONDE BOSTOPTCHINE Recompensas del cielo. . El Sr. CORTINA: La comisión de Contestación al discurso ESCRITAS EN DIEZ MINUTOS. (1 ) Mi mayor felicidad se cifra en vivir independiente de «Se la corona, que se ha visto interpelada amistosamente por el los tres personajes que gobiernan la Europa. Como soy señor preopinante, no puede menos de manifestar…</t>
  </si>
  <si>
    <t>…rnos acreditado que no hubo mas En primer lugar, señores, en la rectificación que acaba de no ha lugar á deliberar sobre este dictam en, y esperar á que el en su origen que arresto, que este continúa: pues si no hay hacer el Sr. Cortina ha manifestado lo vago , lo imperfecto , lo Sr. Alvarez haga la reclamación conveniente y remitido el tes­ auto de prisión, y según la ley electoral solo en este caso se pue­ inexacto de la significación de la palabra arresto. Unos la con­ timonio necesario. de impedir aqui la entrada á un…</t>
  </si>
  <si>
    <t>Ha focado ofra gravísima cuestión el Sr. Cortina sobre la de 1812 , quedaremos a merced si se quiero ds u a juez de p ri­ situación social que tenían antes de ser nombrados Diputados. competencia del tribunal que h a y a de entender en la causa del mera m s t a n .1.4, si este quiere procesar á co nq uiera que sea El Sr. Alvarez no era Dip…</t>
  </si>
  <si>
    <t>…rar á en gran parte las facultades del poder judicial. ( EL Sr. Corti­ El Sr. Alvarez puede y debe venir aqui ; y digo mas , si presencia del público en la primera jaula de sus peligrosos na pide la palabra,) Espero que el Sr. Cortina que ha pedido después de haber tomado asiento en el Congreso se le considera­ discípulos, y habia comenzado apenas á excitarlos, cuando la palabra deshará esta equivocación, que me alegraré mucho se delincuente hasta el punto de merecer la pena de muerte, haber padecido; y ya que estoy en e…</t>
  </si>
  <si>
    <t>…a cuan d o se t ra ta de con­ j u ra m e n to los Sres. Bresca y Colomer y L a H era. que se p reven ía se procediese á form ar nuevas listas electorales; se rvar la arm o n ía que debe re in a r entre los dos poderes del El Sr. C O R T I N A : L a comisión de A ctas se h a visto en un porque á su entender debían considerarse con las cualidades n e ­ Estado. g r a v e Conflicto al t r a t a r de este asunto. El Congreso recordará cesarias los in d iv id u o s contenidos en las prim eras listas cuando El Sr. M i n is t r o…</t>
  </si>
  <si>
    <t>…obrar Londres, á 90 dias, 3 8 |. C oruña, 1 d. Sale todos los domingos por la mañana, S ü precio en M a­ de otra manera. Paris, 16-5. G ranada, I f á 1 id. &lt;drid llevado á casa de los suscriptores es el de 2 reales al mes El Sr. CORTINA manifestó que la comisión no podía me­ M álaga, $ b. y 10 por un trimestre, franco de porte, en las provincias. nos de insistir en su dictamen , mientras d o se presentase una Santander, par din. d. La entrega 24? correspondiente al domingo 15 de Setiem­ reclamación formalizada contra la ap…</t>
  </si>
  <si>
    <t>…did a por ser ig u a le s los casos qu e se presen­ ple l e c t u r a , de la justificación que obra en el expediente. cacísim am ente al Gobierno. tan. Asi pues cree que la j u n ta de E sc ru tin io gen eral c u m p lió El Sr. C O R T I N A : L a p ro v in c ia á qu e he hecho alusión El Sr. P E R E Z D E R I V A S : El Sr. preop inan te no h a com­ y no hizo mas que atenerse al contenido de la ley . c u an do he hablado del precedente es la de S oria. T en go presen­ batido el dictám en de la c o m is ió n , y ún icam e…</t>
  </si>
  <si>
    <t>…n que fue eje­ caredo. Se procedió á la orden del dia. cutada á la vista de pequeñas fuerzas eueniigas, situadas en po­ Que la comisión ha visto que no aparecían reclamaciones El Sr. L O PE Z renunció la palabra en favor del Sr. Cortina siciones formidables. ningunas contra dichas actas, y por lo tanto no ha podido El Sr. C O R T IN A : El Congreso advertirá, señores, coa Que el conde de Bclascoain, adelantándose con un escuadrón menos de dar su dictamen aprobándolas, y concluye pidiendo cuanta desventaja entro en esta dis…</t>
  </si>
  <si>
    <t>…l Sr. G O N Z A L E Z A L O N S O dice que está en su lugar pietario del pueblo de S. Gervasio del Llano de Barcelona , y quépase esta exposición al Sr. Ministro de la Gobernación; pero cierto lo que acababa de manifestar el Sr. Cortina, la comisión capitán no podia extenderse á mas en su dictámen porque no aparecía comandante de su única compañía de la Milicia nacio­ que debe pasar también ¿T Sr. Ministro de Gracia y Justicia. nal , dirigía justificado con documentos; que no está en las atribuciones del gastos de exacción…</t>
  </si>
  <si>
    <t>…os electores de aquella provincia que acreditan que mismo dia , en e! mismo acto, y en el mismo número del pe­ ción, que administra 9 0 y tantos millones ; y de este modo seria ha habido coacción de parte de la autoridod , ei Sr. Cortina riódico oficial en que se anunció la disolución de las Cortes, se fácil coger los presupuestos é ir analizando infinidad de dis­ manifestó que la comisión retiraba el dictamen. restableció el diezmo. posiciones que han hecho las Cortes, y que no se ha tenido por El Sr. V ICEPRESIDENTE anunc…</t>
  </si>
  <si>
    <t>á los que se crean ofendidos de los delitos cometidos durante lo que quieren esas Corteses que volvamos al tiempo del testa­ se habian hecho dos nombramientos. El Sr. Cortina reconocerá la"guerra, dijo S. S. que se trataba de los delitos que eran me­ mento de Fernando, y que lo que ha pasado por medio se borre. una teoría: cuando se trata de cargos , ¿habia de hablar de un dios de guerra. N os habló el Sr. M inistro de Estado en térm inos generales nombre augusto…</t>
  </si>
  <si>
    <t>…pod ían a n u l a r la ele c ció n , si h u b ie ra c u y a opinión estaba conforme. en que la com isión propone que á pesar de haberse escrito a l ­ u n a ley g en eral en m a te ria de elecciones, d eberían ser c a sti­ El Sr. C O R T I N A expuso que la comisión se h a lla b a en el g u n a s papeletas fuera del distrito e le c to ra l; respetando la d e c i­ gados porque de hecho h a n d e lin q u id o . ¿ P o r qu é pues las caso de m an ifestar las razones que le h a b ía n movido para p edir sión que h a y hecha ,…</t>
  </si>
  <si>
    <t>Cortina, D. Manuel</t>
  </si>
  <si>
    <t>D. Manuel Cortina</t>
  </si>
  <si>
    <t>…an distinguidos escritores dram áticos tu­ «Estos tres que pintan la época de los Gésares: Seguidamente dos Sres. diputados con varas y el estandarte. vo en el siglo de oro de su lit e r a tu r a , no p u e d e gloriarse El Sr. D. Manuel Cortina , teniente-hermano m ay or, con las de h a b e r p r o d u cid o poetas líricos de u n m é rito tan ave n­ Quisiera en su locura corporaciones y personas convidadas irán con velas encendidas tajado. Podem os p r o n u n c ia r con o rgullo los n o m b res de esa progenie im p u ra…</t>
  </si>
  <si>
    <t>Cortioa</t>
  </si>
  <si>
    <t>…n la mo­ Joaquín ) por 52 votos, habiendo obtenido el Sr. Calderón C o - se ei expresado convenio de V e rgara.” E f artículo í.° de la n arquía” , se dijese " p a r a el arreglo délas cuatro provincias que llantes 1 0 , el Sr. Cortioa 1 5 , el Sr. Olózaga 2 , el Sr. L a h e - minoría dice lo mismo que el Gobierno, y añade " en cuanto se contienen” &amp;c. ra 5 , y uno los Sres. Cosío, Laborda, y Sancho. no se opongan á los derechos políticos que sus habitantes tie­ . Esa simple modificación bastaba para alejar á l.ar^a dis-…</t>
  </si>
  <si>
    <t>Cortázar</t>
  </si>
  <si>
    <t>…tra del dia 27 del miseno del nión de (Jatos y noticias necesarias para conseguir su filantró­ Quinto in d ivid uo el Sr. Gil por 77 votos, resultando con 20 Sr. D. José María Calatrava eo que manifiesta renuncia el car­ el Sr. Cortázar, con 5 el Sr. López (D. Jo a q u ín M aría), y con 1 pico objeto, y se hicieron los nombramientos siguientes: go de Senador para el que ha sido nombrado por la provincia los Sres. M o n t o y a , Silvela , Laborda , Arteta y Romero. T o­ El Sr. marques viudo de Pontejos, presidente.=Los se…</t>
  </si>
  <si>
    <t>…ais. Este programa fue aprobado por la a u ­ las comunicaciones del regente del Consejo Real de Pamplona, Espero, pues, que el Sr. Mendizabal m irará esta formal gusta Persona á quien tanto debemos, y todas las provincias el Sr. Cortázar, en ninguna de las cuales se encuentra que hu­ declaración como de compañeros, y se persuadirá de que en se reunieron alrededor del trono. ¿ Dejaron de hacerlo la parte biese allí la menor oposición al establecimiento de las audien­ nada disminuye mi afecto hácia S. S ., ni el m érito, gra…</t>
  </si>
  <si>
    <t>…e leyó el dictámen respectivo á las elecciones de Zamora, con la lectura del mismo dictámen. Se ha querido dar un dic­ nuestra Coso con aquella visión y 8 ó 109 almas suspensas y en el que la comisión proponía la admisión del Sr. Cortázar, támen medio, cuando los documentos justificativos dan de sí celebrando la idea. Si no la hubiesen visto tantas veces en la electo Diputado por dicha provincia. suficientes razones para pedir la nulidad completa de las elec­ Tata de Cabra , casi hubiesen creído que hasta al infierno ha­ El…</t>
  </si>
  <si>
    <t>…que por las mismas dad y á la conciencia de cada uno. S. M. ha recibido á la comisión con su acostumbrada afabili­ razones que se habían excluido del voto pasivo á las autorida­ Y o no diré coico se ha hecho la elección del Sr. Cortázar; d a d ; ha quedado muy satisfecha de los sentimientos m anifesta­ des , se excluyese igualmente á los arzobispos y obispos. pero sí haré presente una circunstancia, que no ha tenido nin­ dos por el Congreso, y ha contestado que cuenta con ellos para El Sr. S A N C H O : Por lo pronto ya…</t>
  </si>
  <si>
    <t>…ocaciones 6 para algu n a alusión bado. están persuadidos de que soy una persooa honrada , de carác­ S R u e g o por lo mismo á V . S. qua se concrete á esta „„ Perso“il. E l Sr. P R E S I D E N T E : Hallándose presente el Sr. Cortázar ter conciliador , que no defenderé principios suprem os, y que i E l Sr. P A S C U A L : Pues la equivocación en que se va á leer la resolución acordada ayer por el Congreso acerca me someteré á las circu n stan cias; estos amigos son los que han rido el Sr. Cortázar ha sido el suponer que…</t>
  </si>
  <si>
    <t>…z, entre otras cosas, ha acto continuo pasase á la votación del dictámen acerca de la carta del juez de primera instancia al alcalde de un pueblo de querido suponer que yo me hallo en este recinto por haber obe­ admisión del Sr. Cortázar. ¿ Y se ha hecho esto? N o : porque su distrito , en la que le encarga que procure la elección de los decido una circular del Gobierno con una obediencia pasiva; deSpues de haber hablado el Sr. P ascual, habló en seguida el candidatos que le manifiesta , calificando de locos y ambiciosos…</t>
  </si>
  <si>
    <t>…a tiene calle de Bordadores, núme­ deje hablar todo...... ber lugar á la formación de causa. Madrid 9 de Setiembre ro 1 2 , cuarto segundo. El Sr. PRESIDENTE (con energía): Tiene V. S. la palabra, de 1839. ._______________ _ Sr. Cortázar. O rden, Sr. Barrio Ayuso: sírvase V. S. guardar órdeti , y estar sentado. El Sr. BARRIO AYUSO (coo cólera): Estoy sentado. BOLETIN DE COMERCIO» El Sr. CORTAZAR: Señores, yo he visto esa circular que VACANTES. se cita , y su principal fundamento estriba exclusivamente en BO LSA D E M A D…</t>
  </si>
  <si>
    <t>…z h a y a dado motivo á que no se complete el m ayor de los sacrificios que debe ser sensible para todo hombre honrado. La chon , G i l , López de Pedrajas y otros v a r io s , de que se dió m u y distinto lo ocurrido con el Sr. Cortázar a lo que ahora se propoúcion no pudo tener ni tuvo otro objeto que el de que cuenta en la sesión de a y e r , acerca de que el Congreso nombre dice. Entonces el Sr. Mendez V i g o hizo una reclamación fo r­ cuando entremos en esta cuestión y hayam os examinado el ex ­ «na comisión de M il…</t>
  </si>
  <si>
    <t>Cortés</t>
  </si>
  <si>
    <t>…ueremos ni podernos extendernos en las consideraciones á C hateaubriand, y traducirlo bien, les es dado á m uy pocos; Las sesiones de competencia son siempre brillantes y con­ que excita en nosotros la frase arriba citada. el Sr. Cortés ha sido de estos últimos, y tanto esta vez como curridísimas. La del jueves último ha estado muy animada; Pero si la temporada ha comenzado bajo malos auspicios pa­ coa los Cuentos de Ifoffman que tan admirablemente ha verti­ leyeron entre otros los Sres. Zorrilla , Elipe y Bretón ; se cantó…</t>
  </si>
  <si>
    <t>Cortés, Cayetano</t>
  </si>
  <si>
    <t>Cayetano Cortés</t>
  </si>
  <si>
    <t>…as, de los que del Congreso de Veronade Chateaubriand ha hecho con ella en D. Ventura de la V ega, asi como el de los demas indi­ Maiquez , de los Garrick , se la consideraba como una leve dis­ tanto acierto como inteligencia D. Cayetano Cortés, quien se viduos de la junta gubernativa , nos hace esperar mucho para tracción ; porque hoy es el teatro en todos los p ises cultos una ha dado á conocer con ella de una manera honorífica. El leo- en adelante de esta seccion,que contribuirá poderosamente á necesidad y una consecuenc…</t>
  </si>
  <si>
    <t>…o tienen citaremos entre los últimos a G oldoni y Regnard. En sen­ E1L Colonias Congreso de Verona. Guerra de España. Negociaciones. españolas. Obra escrita por el vizconde de Cha­ teaubriand, y traducida al castellano por D. Cayetano Cortés. un cierto sabor a Morado, que al momento se peicibe. INo tir del Sr. Galiano, Picard es quien mas se acerca al m é ­ Ocioso seria encarecer el interés é importancia de una obra como lian (altado con todo críticos de cuenta, que ieconociendo rito del escritor que analizamos. Tal…</t>
  </si>
  <si>
    <t>…uestros encarnizados Títulos al portador del 4 Por 1 00,00. teaubriand: traducida al castellano con varias notas y observa­ enem igos, si antes no unimos nuestras manos con cordia*» Yales Reales no consolidados, 00. ciones por D. Cayetano Cortés: tomo 1 .°: cuaderno 1 .° El sumo lidad sacrificando todos nuestras pasiones en el altar de Deuda negociable de 5 por 100 á papel, 00. Ínteres que ofrece esta obra á todos los españoles por los im­ la patria. Idem sin ínteres, * v* f* ú v°l*: 5 id. 4 prima de ¿ portantísimos secretos…</t>
  </si>
  <si>
    <t>…sidad de París, y de economía política en el colegio de tudios: Gaspar, Encantes frente la Lonja: Sierra y Martí, pla­ con1.decoración. Los Homenajes, cuarta tanda de walses de Strauss, Francia: traducido al idioma español por D. Cayetano Cortés. za de San Jaim e: B a rra l, frente las escaleras de la catedral: Redacción del Guardia Nacional, calle Ancha. j2:°&gt; Cavatina nueva en la ópera Roberto el Diablo , del maestro Alicante, C arratalá: Algeciras, Guerra de Contillo: A v i­ ción y trajes. Mayerbeer; por la Sra. Villó…</t>
  </si>
  <si>
    <t>…sticia para que se ex­ ciencia al alcance de todas las personas. Traducidas y aum enta­ p erió d ico en e l m es a n terior . cuse en adelante exigir el juramento á los abogados que ya das con notas físicas y astronómicas por D. Cayetano Cortés. lo hubiesen prestado al tiempo de la apertura del tribunal o Para que la astronomía adquiriese la popularidad que me­ C ircular del ministerio de la Gobernación de la Península para rece por la certidumbre de sus resultados y lo curioso de sus que con arreglo á lo mandado en los a…</t>
  </si>
  <si>
    <t>…n la doctrina que acabamos de d a r, á sa­ te de otra que simultáneamente se está publicando en 8.° por quisición de 63 caballos; la relativa a la ejecución de la ber , que todo lo sublime es bello, aunque no todo lo bello sea D. Cayetano Cortés. contribución extraordinaria de guerra, y la instrucción sublime. La frase en que se quiere encerrar un pensamiento su­ del Gobierno para la ejecución de esta ley. b lim e, ha de ser, dicen, sencilla, concisa; ha de contener las L EN TREACTO , periódico de teatro s, literatu ra y…</t>
  </si>
  <si>
    <t>Cortés, José María</t>
  </si>
  <si>
    <t>José María Cortés</t>
  </si>
  <si>
    <t>….................................................... 4 El Sr. auditor de guerra honorario, juez letrado, Premios. Pesos. Id. D. Pedro Ignacio de Acosta . . ................... 4 .2 D, Benigno Orbegoso. .................. 4 íd. D. José María Cortés, capellán con cura de al* El relator D. Andrés Avelino M ena. .............. 5 mas en Regla 4 .. 2 El abogado t). Juan de Rojas............................ 5 1................ * d e .. 8000 ps. f s .. . , 8000 Id. D. Anastasio José C uadra, teniente de cura El licenciado D. José B…</t>
  </si>
  <si>
    <t>Cortés, Juan Donoso</t>
  </si>
  <si>
    <t>Juan Donoso Cortés</t>
  </si>
  <si>
    <t>…eu el término de cuatro meses al director ge­ En ésta.; hora, que son las doce y media de la noche, sé me há Gon fecha 20 del corriente se han repetido órdenes para neral de estancadas. presentado el teniente rey de la plaza D. Juan Donoso Cortés, activar las obras comenzadas y formar el presupuesto de lasque 8.a Serán de cuenta del contratista todos los gastos que se gn cuya casa dice se ha hospedado desde el día de antes de ayer resta hacer. ocasionen en envases, acarreo , almacenaje y embarque * después el Éxcmó. Sr.…</t>
  </si>
  <si>
    <t>CORÍIÑA</t>
  </si>
  <si>
    <t>…a llegado este caso, pero no es el de la cuestión mi alcance otra cosa que el lamentarme de ellos corno S. S. viera dinero. que yo espero sin temor iii recelo. Hé a q u i , señores * eri una misma discusión dos Diputados El Sr. C O R Í I Ñ A observó que el Sr. M inistro dé Gracia y Si se quisiese que cada delito tuviese la pena señalada , por que el uno hace cargo al Ministro de Gracia y Ju stic ia de la Justicia habia dicho que se habían centralizado en el ministe­ masque la ilustración del Sr. Cortina quisiese formar un…</t>
  </si>
  <si>
    <t>Cos-</t>
  </si>
  <si>
    <t>…embarcado á bordo de la gran p o rta n te salud. temerario empeño, haciéndole retroceder hacia las sierras decanoa del brick Real para ir á reunirse al V eloz. En el mo­ Yaldespino, después de quedar muerto el titulado teniente Cos- mento de embarcarse fueron saludados el Rey y la Reina por mo López, natural de Fuente del Fresno, y cuatro heridos, la artillería de todos los navios que se hallaban en la rada. REAL DECRETO. de los que posteriormente ha fallecido uno. A las nueve y media, habiendo aparejado el V elo z se p…</t>
  </si>
  <si>
    <t>COSIO</t>
  </si>
  <si>
    <t>…y es un caso práctico. El mismo proposición es indisputable; pero si la proposición es una ley, ga esta y con este rédito. dinistro de Hacienda, sentado en esos bancos , ¿qué ley pre- debe seguir los trámites de toda ley. El Sr. COSIO; Después de lo que se ha hablado en esta entó ? Présenlo una ley en que pedia para la contribución ex- El Sr. PRESIDENTE: Pasará á las secciones. Se procede á materia parece que estaba ya agotada , y que Diputado alguno raordinaria de guerra 1 4 ? millones sin hacer deducciones de la interpela…</t>
  </si>
  <si>
    <t>…la discusión del dictamen sobre la caja de no explican mas que buenos deseos, pero son estériles. haya llegado á un estado tan lamentable. Todo esto debe con­ Amortización , se pasa á la del dictamen sobre pensiones á Jas El Sr. COSIO: El Gobierno de S.VM. ha hecho esa reco­ ducirnos á examinar cuál es la causa de este atraso, y ver los viudas de los generales. mendación, y la ha adoptado la comisión ; quiso que no fuese fondos, porque son los reguladores del crédito y de la confianza Se leyó el dictámen que dice asi: est…</t>
  </si>
  <si>
    <t>Cosme</t>
  </si>
  <si>
    <t>…............ 5,885 1 15 como un talego le lave. Total 7,207 2 27 Total.............. 40,806 5 15 En Yo me entiendo y Dios me entiende entran de no ­ che el Rey D. Pedro y su confidente D. Alvaro en casa de Frutas. Lencería. D. Cosme a enam orar á su futura esposa. D. Cosme en­ Alemanisco 810 6 17 cuentra con ellos á oscuras, y les oye h ab lar, sin cono­ A c e itu n a s ...... .................... 1,897 5 Arabias 942 ' cerlos, de un risco y de un mármol que no pueden ablan­ Almendras............................. 1,954 5 B…</t>
  </si>
  <si>
    <t>Costa</t>
  </si>
  <si>
    <t>…te tiroteo en­ después de una resistencia heroica por un puñado de hombres C ircular del ministerio de H acienda para que en las causas de tre vascongados y castellanos, á consecuencia de lo cual el se­ al mando del bravo coronel Costa. fraude en que no h aya reos, ó que habiéndolos sean insol­ ñor conde de Luchana ha salido inmediatamente con parte de ventes , se sigan las rl%Tas establecidas en la Real orden de 20 sus edecanes y escolta en dirección de Lodosa, sin que hasta de Ju lio de 1833. (Id.) ahora se note movimien…</t>
  </si>
  <si>
    <t>…gorbe, Una nueva adm in istració n, compuesta de las personas que cismo y acabe por las pruebas de las verdades mas elevadas: la y de alli se dirigía á V illafam és, amenazado por Cabrera: d i­ a y e r nombrarnos (excepto el Sr. Costa C arvallo ), preside hoy á lectura correcta de prosa y verso: el arte de escribir el carácter chas tropas, que operaban á las órdenes del general A yerv e, han los negpcios públicos. Muchas veces hemos dicho que era impo­ español, ingles y el de adorno: la gram ática castellana , la la ­ sido…</t>
  </si>
  <si>
    <t>Costa, José María</t>
  </si>
  <si>
    <t>José María Costa</t>
  </si>
  <si>
    <t>…y u - ñoles, ó traducidos del Jaranees so, por carbón: Alfonso G utiérrez, por pan: D. Francisco Es­ BOLETIN DE COMERCIO. teban Oyarzabal, por aceite: Manuel Aragón y Juan Cansegre, SIN O B L IG A R A SUSCRIBIRSE, por leña: D. José María Costa, por letras, y el administrador F O N D O S P U B L IC O S . del canal, para que en el dicho término comparezcan por sí y a la mitad del precio que los publicados hasta el dia, hacen ó persona legítimamente autorizada á percibir sus láminas res­ esperar á su editor la buena acogid…</t>
  </si>
  <si>
    <t>…sma fuerza que e.stuvó prisionera momentánea mente, y reti­ teban O yarzabal, por aceite: Manuel Aragón y Ju a n Cansegre, Eustasio Amilibia. y ? &lt; -' y rándose á Sara, bajo cierta ^capitulación que se celebró, y*ea por leña: D. José María Costa, por letras, y el administrador la que se estipuló que los ¡m.uñagorristas que caigan en poder del canal , para que en el dicho térmipó compáre'¿cáá por sí L érid a 25 de M ayo. La mayor parte de das fuerzas re­ de los carlistas gozarán del beneficio de cuartel corno ^prisione­ bel…</t>
  </si>
  <si>
    <t>COSTO</t>
  </si>
  <si>
    <t>…derá ahora será lo que que el Sr. Laborda trataba de subrogar esta circunstancia, y de viudedad. acontece en las mudanzas, que ninguna ventaja reporta la na­ siendo procedente de bienes ágenos, creia se estaba en el caso El Sr. COSTO: La comisión no ha entendido comprendida ción , y se aumenta la suma de jubilados y cesantes, que ya de no acceder á su solicitud. la pensión de viudedad, pues la pensión de viudedad es un asciende á 95.780,151 rs. Después de hacer otras ligeras obser­ El Sr. CALATRAYA, contestando al Sr. Sa…</t>
  </si>
  <si>
    <t>Cosío</t>
  </si>
  <si>
    <t>…U I J A N A : Pido que se lea lo que se dijo en la se­ El Sr. PRESIDENTE: Orden, Sr. M o n , o rd e n ; yo no Sr. Ministro de Hacienda, salvas las protestas anteriores , ha re­ sión de 12 de Ju n io sobre ei particular por el Sr. Cosío. puedo remediar que el reglamento esté terminante; esta es la suelto un caso del mayor in terés, cual es que los propietarios Se leyó por el Sr. Secretario. cuestión que se reproduce todos los dias; V . S. puede presentar que tengan dadas sus tierras en arrendamiento , y a en especie, El Sr.…</t>
  </si>
  <si>
    <t>…icultades, se dejó el abono á la aprobación de esta ley. ficación que se habia hecho en los aranceles respecto á los dere­ ra, pagan el diezmo, ¿y de donde? de las paneras. En este es­ ín este estado llegó la discusión, y el Sr. Cosío rae sorprendió chos de introducción del ganado por la frontera de Francia, tado , y por eso digo que he de traer la cuestión á un terreno :on una acusación, y una acusación amistosa, diciendo que influían en la pérdida de nuestra riqueza y destruía la industria. mas práctico que el Sr. Acebo…</t>
  </si>
  <si>
    <t>…tenderse en otras observaciones re­ reglamento del monte pió militar. tamiento fue malo, no hay ni puede haber causa. ducidas á probar que se habían sacrificado estas provincias á la Después de unas ligeras observaciones del Sr. Cosío propo­ En 25 de Marzo me dijo el juez de primera instancia de prosperidad de Cataluña , que tenia mucho corcho y no podia niendo que en vez de las palabras, "muerto alevosa meo te es­ Córdoba que habiendo recibido una orden de la audiencia de Se­ elaborarte todo, concluyó manifestando que sen…</t>
  </si>
  <si>
    <t>Cosío, D. Marcos Marin. Sr. D. Miguel</t>
  </si>
  <si>
    <t>D. Marcos Marin. Sr. D. Miguel Cosío</t>
  </si>
  <si>
    <t>…los Rios. Sr. D. Juan Martin Carramolino. Sr. D. Francisco de Paula Alvarez. Sr. D. Vicente Trueba Cosío. Sr. D. Agustín Mela. Sr. D. Angel Iznardi., Segovia. Badajoz• Sr. D. Joaquin Garrido. Huesca. Sr. D. José Balsera. Sr. D. Marcos Marin. Sr. D. Miguel Cosío. Sr. D. Francisco de Lujan. Sr. D. José Queraltó. Sr. D. Francisco Bartolomé y Colorao. Sr. D. Juan José García Carrasco. Sr. D. Antonio Puicerciís. Sr. D. Facundo Infante. Sr. D. José Perez de Rivas. Sevilla. Sr. D. Manuel Perez Hernández. Sr. D. Alejandro O…</t>
  </si>
  <si>
    <t>Cotización, Antonio</t>
  </si>
  <si>
    <t>Antonio Cotización</t>
  </si>
  <si>
    <t>…ales. El Dichoso, por Francisco García, en 4* Otra id. , sierra Almagrera, barranco Jaroso, término de BOLSA DE M A D RID . Cuevas, S. José, por D. Andrés Brabo Martínez, en 4» Otra id ., id ., id., Santísima Trinidad, por D. Antonio Cotización d e l día 11 á las tr e s d e la ta rd e. Catálogo d é las m ejo res estam pas que s o hallan d e ven ta en Marques , en 4» la ca lco g r a fía d e la Im prenta nacional . 1 EFECTOS P U BLICO S. Otra id ., id ., id., id ,, Esperanza, por D. Anastasio Mar­ ques , en 4 . Idem el…</t>
  </si>
  <si>
    <t>Cotoner</t>
  </si>
  <si>
    <t>…gresiva, pero menos pronuncia­ la Reioa que vinieron ayer tarde de aquel punto escoltando al riva se pone en acción, y la soltura con que produce toda es­ d a , y q u e y a acompañada ds otras circunstancias. El tubo vo­ coronel Cotoner con un convoy de dinero para varios cuerpos. pecie de sonidos no permiten formar idea ni de la complica­ cal del hombre toma incremento en su totalidad : el de la m u - El cuartel general del ejército del Centro sigue en Fortane- ción del aparato, ni de los misterios que rodean el fenómeno.…</t>
  </si>
  <si>
    <t>Cotoner, Francisco</t>
  </si>
  <si>
    <t>Francisco Cotoner</t>
  </si>
  <si>
    <t>…gera. VENDERE. Sr. D. Francisco Martínez de la Rosa.............................. 160 Segunda parte, D . Francisco Hilarión B rabo. .................................. 20 Idem.~De ocho á nueve, D. Mauuel Santaella, filosofía D. Francisco Cotoner.............................................................. 20 del derecho. 1.° Cavatina de Dulcamara en la ópera L ’Elissir d*Amo- El Sr. conde de M iranda............................................ 80 Advertencias, r e , del maestro Donizetti; por el Sr. Salas y coristas, con…</t>
  </si>
  <si>
    <t>Cotton</t>
  </si>
  <si>
    <t>…brada por su virtud como por su P. D. Son las dos. Una canoa procedente de Fuerte-Real grandeza. Bruselas 18 de Febrero. ha manifestado que se han encontrado ya mas de 800 personas Habiendo presentado á Runjeet el mayor general Cotton muertas ó heridas. el retrato en uu marco de oro macizo, en tanto que la artille­ Acaba de publicarse en Amberes un folleto sobre la cuestión ría hacia la salva, el Marajah hizo una profunda reverencia, política, en el cual su au to r, Mr. Edmond Yerbrouck , se pro­ Otra carta también de la…</t>
  </si>
  <si>
    <t>Couceiro, Isidro</t>
  </si>
  <si>
    <t>Isidro Couceiro</t>
  </si>
  <si>
    <t>…a que en ros para los que tiene excelentes comodidades, quienes podrán lo pasado por no haberlo conocido; y cam inarán á ciegas por el Vergonzoso en 1\dacio y en otras comedias del mismo dirigirse en Cádiz á su consignatario D. Isidro Couceiro, y en la nueva senda adoptada sin inteligencia y solo por via de im i­ tación. ¡Q ué porvenir! autor. esta corte á D. Manuel Escolar, calle de Atocha, esquina á El carácter de Margarita es, en nuestro entender, una la de la Concepción Gerónima, tienda de comercio. de las mejores c…</t>
  </si>
  <si>
    <t>Covachuelas, Félix Janer. Un</t>
  </si>
  <si>
    <t>Félix Janer. Un Covachuelas</t>
  </si>
  <si>
    <t>…erada impresión , y se halla de venta en la librería de Don Tratado del tifo , por el Dr. Francisco Hildendoxand, tra­ Juan Sanz, calle de Carretas; Sra. viuda de C ru z, frente las ducido al castellano con notas por el mismo D. Félix Janer. Un Covachuelas, y eo el depósito de libros de primera educación, tomito que puede ir por el correo, su precio á 5 rs. en rústica. BOLETIN DE COMERCIO. calle de Carretas, núm. 14 &gt; casa de Filipinas, á 20 rs. rústica y 24 eu pasta. Elementos de moral médica , del mismo autor, ó tratad…</t>
  </si>
  <si>
    <t>Cozzer, Juan Bautista</t>
  </si>
  <si>
    <t>Juan Bautista Cozzer</t>
  </si>
  <si>
    <t>…menos de las ciencias, Ramón Carnicer; y los bailes inventados y dirigidos por Don Paris para que sin pérdida de tiempo formalizase enérgicamen­ de las letras y de las artes, y servir de este modo de modesta y Antonio Cairon y D. Juan Bautista Cozzer. te dicha reclamación. Lo hizo asi el 28, y en 7 de Diciembre cómoda biblioteca, á donde todas las familias pueden adquirir ya te contestó el Gobierno francés del modo mas satisfactorio, á poca costa una suma de conocimientos interesantes y de ame­ asegurándole que desde Junio e…</t>
  </si>
  <si>
    <t>…cual sacrifican con continuos respondientes láminas. Ramón Carnicer; y los bailes inventados y dirigidos por Don pedidos de todas clases, rehenes de personas de ambos sexos y Biografía española: Lope de Vega. Antonio Cairon y D. Juan Bautista Cozzer. repetidos asesinatos de hombres indefensos que encuentran ela­ España árabe: el palacio de Azahara. borando sus campos, como sucedió el 31 de Diciembre en los Juegos de fuerza. pueblos de Sonaja y Sot, que fueron inmolados 10 infelices Artes y oficios: talleres modelos. tra…</t>
  </si>
  <si>
    <t>…s dé instrucción pública? fondo pío beneficial 150 rs. anuales, y 120 que la producía al Será á la verdad un mal que bajo el im perio benéfico de año común de un quinquenio la tercera parte del arcedianato A n ton io Cairon y D. Juan Bautista Cozzer. instituciones libres se disminuya el número de estos estableci­ de Córdoba que le estaba concedida. Sin embargo de esto , ha m ientos, ó que se haya de reducir en ellos á términos mas es­ tenido un déficit anual que de algunos años á esta parte ha sido trechos la enseñanza,…</t>
  </si>
  <si>
    <t>Cre-, Alvarez.</t>
  </si>
  <si>
    <t>Alvarez. Cre-</t>
  </si>
  <si>
    <t>…antes de ser nombrados Diputados. competencia del tribunal que h a y a de entender en la causa del mera m s t a n .1.4, si este quiere procesar á co nq uiera que sea El Sr. Alvarez no era Diputado en las Corles actuales, pues Sr. Alvarez. Cre- 8. S. que no se decidió arregladam ente, so- ( nombrado D.putado „ y de este modo el Con/jreso puede estar muchos meses anfes hacia que estaba sufriendo el arresto. m e t i e n d o el cococi miento de esa causa a! tribunal militar , sino impedido ríe ¡legarse á formar. Aunque el ait. 4…</t>
  </si>
  <si>
    <t>Creante</t>
  </si>
  <si>
    <t>…$ prendidas en las clasificaciones que preceden..................... 214,459.. 7 Valores de exportación........................ 20.471,102. .41 15.544,599..! Del Eco de Aragón copiamos lo siguiente: Arcos y de Tenorio , conde Creante , por sí ó por medio de Arenzana ; para que por sí ó por medio de apoderado compa­ Dar oca 7 de Noviembre á las nueve y inedia de la maña apoderado se servirá presentar en la administración de reatas rezcan á deducirlo deotro del término de 30 dias contados des­ 7f0.= \ l amanecer del dia d…</t>
  </si>
  <si>
    <t>Cree</t>
  </si>
  <si>
    <t>…sus destinos de perseguidos por el segundo escuadrón navarro hasta la Sánchez Tom é, titulado: "Contestación al papel que acaba de que trata la fegla anterior, que según la misma ley de fueron vista de* la plaza, cuyo gobernador Cree que haya dado lugar d a r á luz D. Inocencio María Riesco Legrand, elogiando la presupuestos no tengan derecho al haber de cesante^ por á ésta‘deserción el haber sido llamados á los Arcos por T a rra - virginidad de las moujas,” el que fue presidido por el señor no contar los años de servicio…</t>
  </si>
  <si>
    <t>Cremona</t>
  </si>
  <si>
    <t>…ara el arzobispado de Cesárea , in partibus , á Cárlos Manuel la conducta que he seguido en estos últimos tiempes; la prueba sotros no roe lo hubierais aconsejado, señores. ¿Q u é digo?.... Sardana de Holstein , antiguo obispo de Cremona; para el obis­ de nue he juzgado y obrado bien. Nunca me ló hubierais perdonado, porque estáis vigilantes por pado de Lesina en Dalmacia á Felipe Domingo Bordini, tras­ Y no creáis, señores, que me haya conducido con ligereza, la seguridad del gobierno de Julio ; porque sois celosos del ho­…</t>
  </si>
  <si>
    <t>Creo</t>
  </si>
  <si>
    <t>…lativa al ejercicio del El conde de M ontalivet queda nombrado intendente gene­ Unidos de América. poder ejecutivo en Irlanda. Las observaciones de muchos hono­ ral administrador de la lista c i v i l , en reemplazo del conde de Creo que no seria satisfactorio para el p a is ; voy mas lejos, rables individuos sobre los incoo venientes que podria tener para Bondy , que ha hecho dimisión y nombrado intendente general creo que seria inconveniente dejar pasar las vacaciones de Pas­ ellos la necesidad de hallarse presentes el 1…</t>
  </si>
  <si>
    <t>Crespo, Eugenio</t>
  </si>
  <si>
    <t>Eugenio Crespo</t>
  </si>
  <si>
    <t>…se hiciere en perso­ Setiembre de 1839.—José apercibida de perjuicio. González Redondo.=Por su mandado, Tomas de Pereda. TEATROS. Por providencia del Sr. intendente de Rentas de esta pro­ vincia se cita, llama y emplaza á D. Eugenio Crespo, para que en el preciso término de nueve dias se presente en la escribanía principal de Amortización, calle del Lobo, ndm. 8 , piso se­ PORD.mera providencia del Sr; D. Manuel Luceño, juez de pri­ instancia en esta corte, se cita , llama y emplaza á PRINCIPE. A las siete y media…</t>
  </si>
  <si>
    <t>Crespo, José Alvarez</t>
  </si>
  <si>
    <t>José Alvarez Crespo</t>
  </si>
  <si>
    <t>…las formalidades que la misma previene, á los sugetos siguientes: D. José López de Silva, D. José con que cada una de ellas debe contribuir para llenar teligencia que trascurrido dicho término sin cumplir coa este La serna, D. José Alvarez Crespo, D. José Sagiista, este servicio, ó encomendar al éxito de un sorteo el seña­ llamamiento, se le conducirá á esta capital en calidad de preso Moyana, D.Martínez D. Tomas Domingo Ibarra, D. Joaquín Alcalde, D. Basilio del Rio y D. Manuel Labraña , quienes lamiento de los indi…</t>
  </si>
  <si>
    <t>Crespo, Pedro</t>
  </si>
  <si>
    <t>Pedro Crespo</t>
  </si>
  <si>
    <t>…rcados. (Ar. d e A . Af.) pitán de la G uardia Real de infantería , ilimitado eu Castilla la V i e j a , y comandante que fue del depósito de quintos de Juzgado de primera instancia de la ciudad de Vigo. ^ E x ­ C uen ca; á D. Pedro Crespo , capitán del regimiento infantería M EJICO . celentísimo S r.: Por mi comunicación de 19 del corriente se de A m é rica , 14 de línea ; D. Joaquín M on toliu , teniente ; Don ^erviria V. E. reconocer las importantes ventajas qu e, sin otro Niceto M o ñ in o , teniente de infantería ili…</t>
  </si>
  <si>
    <t>Crespo, Pedro Martínez</t>
  </si>
  <si>
    <t>Pedro Martínez Crespo</t>
  </si>
  <si>
    <t>…finalizando en fin de Junio de este año la jos y grabados originales. Usos y trajes provinciales: los montañeses de León. Historia de España. número del crimen D. José López Arias, se cita , llama y em­ actual contrata con D. Pedro Martínez Crespo, por la cual, se Geografía y viajes; la Islandia. plaza por segun do anuncio y termino de seis dias , a D. José halla á su cargo la subsistencia , asistencia y curación de los en­ España pintoresca; descripción de la Batuecas, segundo ar­ Soriano, dueño que parece es de parte d…</t>
  </si>
  <si>
    <t>…A Q U IN T A D E P A L U Z Z I ron el jurado los siguientes: D. Alejandro Barrantes, D. Ma­ be r: Que finalizando en fio de Junio de este año la actual ó nuel Segura, D. Francisco Bargas Perez, D. Benito Lagarza, contrata con D. Pedro Martínez Crespo, por la cual se halla á D. Manuel Bartolomé M iranda, D. Manuel Lindo, D. Pedro su cargo la subsistencia, asistencia y curación de los enfermos LOS ASESINOS D E FL O R E N C IA . Martínez Crespo, D. Pedro O rd u ñ a, D. Pedro Yarte. Y para del ejército que ocurren en el hospita…</t>
  </si>
  <si>
    <t>Creta</t>
  </si>
  <si>
    <t>…s ca­ Acto continuo fue introducido en la sala consistorial mon­ sas m orada, á 2 t de Noviembre de 1858.=:Cárlos, cardenal c ie , correspondiente á cada uno; del precio señalado á la u n i­ señor Ignacio C adolini, arzobispo de Creta, secretario de la sa­ dad según el reputado corriente en los mercados inm ediatos, y Odescalchi, obispo de Sabina.” cra congregación de la Propaganda y procurador del dimiten- Leido este poder, el abogado consistorial continuó su ora­ del total valor á que asciendan las especies contenidas en…</t>
  </si>
  <si>
    <t>Cris, Doña</t>
  </si>
  <si>
    <t>Doña Cris</t>
  </si>
  <si>
    <t>…l Presidente y con los deinas adoptar desde luego, porque parezca leve, cualquiera mejora que concejales electos no hay que temer que en esta ciudad se ata­ sea realizable. que la ley, el trono , la Regencia de la inmortal Sra. Doña Cris­ Idem 26. 5.a La sociedad procurará extenderse á todas las provincias tina , oi se turbe el orden y tranquilidad. de la monarquía española. Bi-lbilitanos: Me habéis honrado con vuestra confianza , y El 24 hizo movimiento el coronel Zurbano hasta Palomar, 4.a Podrán ser socios todos los…</t>
  </si>
  <si>
    <t>Cris, María</t>
  </si>
  <si>
    <t>María Cris</t>
  </si>
  <si>
    <t>…o, á no ser en el caso de ha­ ción de la monarquía española Reina de las Españas, y pletarse el número decretado en esta ley, llarse completos todos los existentes, y resultar suficiente durante su menor edad la Reina Viuda Doña María Cris­ Art. 4.° Quedan encargados de la ejecución de esta re­ número de reemplazos que convenga utilizar. tina de Borbon, su augusta Madre, Reina Regente y Go­ quisición los capitanes generales de los distritos militares, Por tanto mandamos á todos los tribunales, justicias, bernadora del Rei…</t>
  </si>
  <si>
    <t>…no , alcalde ción de la monarquía española Reina de las Españas, de V . M. dilatados años para bien y felicidad de la monar­ primero.^Matias R u iz, alcalde segundo.rzBartolomé Sánchez, y durante su menor edad la Reina viuda Doña María Cris­ quía. Chinchilla 22 de Octubre de i839.=Señora.=A L. R. P. regidor primero.zzRamon L óp e z, regidor scgundo.=Francisco de V . M.rzFernando de Rosales.=:El secretario, Ignacio Gato García, regidor tercero. zzMatias V a i d c s , síndico primero. 3 tina de Rorbon, su augusta Madre, como…</t>
  </si>
  <si>
    <t>…onsidera com o ción de la monarquía española Reina de las Españas, y secular, respecto á que perteneciendo ya ai Estado por la una prueba de que la inlluencia inglesa ha debido ceder ante durante su menor edad la Reina Yiuda Doña María Cris­ ley de 29 de Julio de 1837, están comprendidos en la la inlluencia rusa. Una carta de lord Ponsomby, dirigida al c o ­ tina de Borbon, su augusta Madre, como Gobernadora del disposición del art. 5.° de la de 30 de Junio próximo pa­ mercio ingles de Sm irna, da, según se d ic e , á entend…</t>
  </si>
  <si>
    <t>Cristiani</t>
  </si>
  <si>
    <t>…aun como declararon no haber lugar á la formación de causa, y diputados, y que se negaron á responder acerca de fermerías, V convenir también la conducción de enfermos el Sr. presidente publicó la votación. este puoto. El doctor Cristiani fue á ver á Mr. Schele para graves á los respectivos hospitales; preliminares indispen­ exigirle explicaciones sobre el particular ; pero el ministro se sables que deben preceder a la salida de estos desgracia­ exaltó hasta tal extremo que calificó al doctor de demagogo y de dos. Dicho Sr.…</t>
  </si>
  <si>
    <t>Cristiaoi</t>
  </si>
  <si>
    <t>…y demas útiles que guientes: D. Juan R u iz , D. José Figuer y Cubero, D. Fran­ los penados pueden y deben llevar consigo, economizan­ cisco Antonio de P a n d o , D. Felipe López Yaldemoro, Don Se sabe que Mr. Detmod y el doctor Cristiaoi fueron inti­ do asi á la dirección general de Caminos los gastos de Manuel Labraña , D. Francisco de las Casas, D. Cleto E g u i- mados por dos jueces criminales á declarar si se consideraban trasporte, saber los puntos en que se establecen las en­ zabal, midad D. José Finat y D. Pedro Es…</t>
  </si>
  <si>
    <t>Cristina, María</t>
  </si>
  <si>
    <t>María Cristina</t>
  </si>
  <si>
    <t>…. Engracia y plaza de la Consti­ SS. AA. los Sermos. Sres. Duque de Orleans, Príncipe de titud de mi preposición sin necesidad de acudir á una tución no cabían de pies. Cuando aqui se han oido las salvas Joinville y Princesa Doña María Cristina (1). explicación mas extensa. de las balerías, se ha notado un movimiento general de ale­ Si las indicaciones que me he tomado la libertad de gría imposible de pintar; mas cuando ya ha pasado la puerta Muy pocos eran los libros buenos que tenían los pro­ y se le ha visto, se han alzad…</t>
  </si>
  <si>
    <t>{ante lata de trabajos legislativa preparados de que *e han de ; de S. M. la iU'ina Doña María Cristina. mandó-que constase en el acta el voto del Sr. PeJrajas ocupar las actuales Cortes ; y si bien no se ha hablado de !a ley Seutado este preliminar, necesario para vindicar á mis ami­ conforme con el de la mayoría que desechó en la sesión el dic­ de estados excepcionales, cabalmente en…</t>
  </si>
  <si>
    <t>…tellana de preso en la del Boletín con fecha 24 del referido mes de Marzo SS. A A. RR. los Sermos. Sres. duques de Orleans, príncipe de leídas las leyes y órdenes que hablan de esta materia, después d&lt; Joinville y princesa Doña María Cristina; rector que fue del una detenida conferencia, se pasó á la votación , y de ella re­ seminario conciliar de San Fulgencio de M urcia, y Diputado MINISTERIO DE HACIENDA. sultó declarado por unanimidad : Que ha lugar á la formación á Cortes en las de los años de 1822 y 1825. de causa.…</t>
  </si>
  <si>
    <t>Fijaste «1 asiento; resuena tu voz: cumplido 15 años de edad: 2.° información de buena vida y Joinville y princesa Doña María Cristina ; rector que fue del Y ai eco temblando la intriga y el dolo costumbres: 5.° certificación de saber leer, escribir , las cuatro seminario conciliar de San Fulgencio de M urcia, y Diputado A! crimen horrendo le arrastran en pos. primeras reglas de aritmética y la gramática castellana…</t>
  </si>
  <si>
    <t>Cristó</t>
  </si>
  <si>
    <t>…ca , D. M anuel Gómez, D. J u a n S eg a le r v a , D. M anuel B er- do asiduamente su ciencia favorita. para determinar la línea del rum b o , demostrando los p rin c i­ l a n g a , D. M anuel Soubiron , D. Gerónimo C ortés, D. Cristó­ Desde esta época se introdujo la práctica de construir ob­ pios en que está fundada la construcción de las cartas esféricas, bal Alarcon y D. Francisco R u iz , y el señor presidente les co­ servatorios en los parajes mas oportunos junto á las capitales, y resolvió todos ios problemas que le…</t>
  </si>
  <si>
    <t>…n tes S a a v e d ra , escrita é ilu s­ gado y oficio del presente escribano á usar de su derecho á la trad a con varias noticias y d o cu m en to s in é d ito s p e rte n e ­ zuces ion del vínculo aqui fundado por el referido D. Cristó­ cien tes á la historia y lite ra tu ra d e su tiem po. U n tom o 8 .° ORDENES Y REGLAMENTOS DEL GOBIERNO bal, titulado de Fueoteguilleu, en í.° d e Abril del año de 1679, m ay o r d e 644 p á g in a s, con el re tra to d e C erv an tes S aave­ apercibidos de que en otro caso les parará el p…</t>
  </si>
  <si>
    <t>Cristóbal</t>
  </si>
  <si>
    <t>…gnos com­ tas sobre la de elecciones de M á l a g a , en que opinaba que debia hubieran podido oponérsele; desacreditó luego á D. Cárlos en pañeros como yo hemos reconocido la mas perfecta legalidad en aprobarse y admitirse á D. Cristóbal P a s c u a l, Diputado elec­ el extrangero; hále quitado el respeto y el afecto del ejército y sus actas , y que no habiendo otra n ing un a dificultad debía­ to por dicha p ro v in cia, por no resultar nada contra su ap ti­ el pueblo, y corrompido y desmoralizado las tropas. mos presen…</t>
  </si>
  <si>
    <t>…) el Sigilo, por D. Rafael Godoy, en 20. gura Sánchez, en 15. Otra id. en Cerro de Q u in ta n a, término de C aojayar, La O tra id. en llano de Flores, término de dicha ciudad , la DIRECCION GENERAL DE M IN AS. G rande, por D. Cristóbal C a n e t, en 21. Traslación , por D. Manuel Pagan , en 15. Otra id. en Sierra A lham illa, cerro de Culatabí, término Otra id. al final de dicho lla^o , y en el propio térm ino, la Inspección de minas de las provincias de Granada y A l­ de Tabernas, San Eugenio, por Jua n Diego Moreno F…</t>
  </si>
  <si>
    <t>Cro-</t>
  </si>
  <si>
    <t>…l* E x p r e s s , cuyo comandaote se halla se­ cer frente á los acontecimientos, y la Cám ara siempre estará La discusión no se term inará probablemente aquella tarde. guramente en una situaciou bastante penosa. Si el teniente Cro- dispuesta á acordar medidas necesarias en tircunstaucias aflic­ Se cree que los debates ocuparán muchas sesiones. Es voz gene­ ke ha entregado sin resistencia al piloto m ejicano, su conduc­ tivas, pero que en la actualidad no pueden preverse. Entre las ral de que la mocion de M r. W illie rs…</t>
  </si>
  <si>
    <t>Croke</t>
  </si>
  <si>
    <t>…le individuo pregunta si en la secretaría del al­ pie solo 16 personas han sufrido la pena de muerte en el bajo La sección central se ha reunido ayer tard e, y esta mañana m irantazgo se han recibido algunos pliegos del teniente Croke, Canadá, y 17 en el alto. Todas ellas fueron condenadas por los ha vuelto á reunirse. Ha estado en sesión desde las once hasta comandante del paquebote /’E xpress, en M éjico, relativamen­ crímenes mas atroces. Siento como el primero que haya sido ne- las c u a tro ; los Ministros de Negocios…</t>
  </si>
  <si>
    <t>…l G a - - Lord Ingestríe: ¿ H ay algún inconveniente en presentar especie de transacción ; si obráis como hombres de 1859, os ha­ bioete del que era individuo ; y cuyo Gabinete presidia Mr. Laf- á la Cámara la carta del teniente Croke? en el caso de aceptarla. Asi pues debeis buscar los elemen­ fitte , y era Ministro el mariscal Maison. El Gobierno francés I M r. C fVood: Yo me opondría á la producción de todo lláis tos de vuestra convicción , bien en los recuerdos de 1850, ó en ha creido que desde 1815 el Luxemburgo tenia…</t>
  </si>
  <si>
    <t>…nues­ facción al Gobierno francés. ( A ten ción !) El Mirtistro refiere con extensión todo lo que ha pasado en tra posición tratando de dividirnos. Si el ministerio no pensa­ E l co n d e d e M into x He manifestado al teniente Croke, la Conferencia, asi como las gestiones hechas por el Gabinete ba rechazar con energía los tratados , no se necesitaba que obra­ comandante del E x p ress , el deseo de recibir los detalles mas holandés que redamaba todo el L im burgo, excepto ios distritos sen del modo que lo han hecho. Guand…</t>
  </si>
  <si>
    <t>…itos nume­ participaros mi llegada al golfo de Méjico &amp;c. Os trasmito la en lo sucesivo lay fuerza bierno francés, espera con confianza que nada podrá turbar rosos : Al orden !) adjunta copia de una carta escrita por el teniente Croke , co­ este momento entre los dosde países. la unión que felizmente existe en E l Presidente : Insisto en que los honorables individuos mandante del paquebote de S. M. Express , quejándose de la Tengo el honor, &amp;c. Palmerston. de la Cámara comprendan bien la necesidad de conformarse conducta d…</t>
  </si>
  <si>
    <t>Crozat, José</t>
  </si>
  <si>
    <t>José Crozat</t>
  </si>
  <si>
    <t>…es ros , marques de Y iü a g a r c í a , D. José de San M ü la a , D. A u - de gobierno, que la energía ha de ser el carácter distin tivo de lo que mas bien pide lágrimas que palabras. Lo confesamos: al reliano de Beruete , D. José Crozat, D. Antonio del Alcázar, mi interino mando. Barcelona 2 9 de Noviembre de 1859.= José pronto no podíamos resolvernos á dar crédito á los rumores p ú ­ D. M anuel N ieto, D. Andrés A qu il y O’Conell, D. José M a ­ M aría de Gispert. blicos que corrían sobre este acontecimiento: refle…</t>
  </si>
  <si>
    <t>Cruces', Francisco</t>
  </si>
  <si>
    <t>Francisco Cruces'</t>
  </si>
  <si>
    <t>…cualquie­ secto á su madurez, algunos de estos segmentos se convierten ra concepto se consideren con derecho á los bienes que queda­ eu órganos interiores , ó se alteran mucho con respecto á la ex­ ron por fallecimiento de D. Francisco Cruces' B ueno, correo tensión del individuo. Todo el objeto de la existencia del an i­ que fue de gabinete, para que acudan á deducirlo en su ju z ­ TEATROS. mal , en el estado de larva , consiste en su capacidad de alimen­ gado y citada escribanía en el término de ocho d ias; apercib…</t>
  </si>
  <si>
    <t>Cruz</t>
  </si>
  <si>
    <t>…provincia. Se acordó llamar al su­ Senorat El ayuntamiento de la ciudad de G an d ía, poseído a reconciliación estrecha de todos los españoles.” plente. del júbilo en que rebosan sus habitantes por los felices cuanto El general Cruz: "A l duque de la Victoria.” El Sr. P R E S ID E N T E : Orden del dia: Discusión sobre los inesperados acontecimientos de las provincias del Norte, une su El Sr. Anglona: "A l ejército español.” dictámenes de la cornision de Actas electorales. voz á la de todos los buenos españoles para felici…</t>
  </si>
  <si>
    <t>CRUZ, Andrés</t>
  </si>
  <si>
    <t>Andrés CRUZ</t>
  </si>
  <si>
    <t>…colegio de sordo-mudos, ateneo científico y litera­ Amoros y López, juez de primera instancia de esta villa y es­ rio , colecturía general del fundo pió beneíicial, ju n ta de cribanía vacaute de D. Julián García H uerta, por D. Andrés CRUZ. A las siete de la noche. Se volverá i po­ beneficencia, hospitales generales, asociación de caridad de Iza, maestro ebanista y vecino de esta corte, ha señalado ner en escena la aploudida ópera en dos actos, del inaestro y casa de beneficencia, la inclusa, la he rm a n d a d del re- d…</t>
  </si>
  <si>
    <t>Cruz, Gabriel Santa</t>
  </si>
  <si>
    <t>Gabriel Santa Cruz</t>
  </si>
  <si>
    <t>…D u ra n , juez de primera instancia de esta capi­ Habiéndose denunciado ante el Sr. alcalde primero constitu­ tal, que la tiene donde fue repeso de corte frente la fuente de cional de e*U M. II. villa, D. Luis Oseñalds, por D. Gabriel Santa Cruz por la escribanía de número del crimen de D. M a ­ (1) El Sr. Am at publicó su Biblia á sus expeusas, y no con Valbuena , vecino deda ciudad de León, y residente al presente nuel López Pintado, a fin de hacerla saber una providencia en la circunstancia 'que refieren los autores d…</t>
  </si>
  <si>
    <t>CRUZ, José Maximino</t>
  </si>
  <si>
    <t>José Maximino CRUZ</t>
  </si>
  <si>
    <t>…ro interino en la misma y su parti­ do &amp;c. Certifico: Que en el juzgado de primera instancia de esta ciud ad, y por la escribanía de número interino de mi cargo PROVIDENCIAS JUDICIALES. pende expediente formado á solicitud de D. José Maximino CRUZ. A las cuatro de la tarde. Gran función extraor­ Castillo, vecino de la villa del Ferrol, sobre la denuncia que ha Alcaldía constitucionál.zzPr imera demarcación. dinaria á beneficio del cuerpo de coristas de la compañía de hecho de un impreso que ha publicado el Dr. D. Ju a n Ram…</t>
  </si>
  <si>
    <t>CRUZ, José Merelo</t>
  </si>
  <si>
    <t>José Merelo CRUZ</t>
  </si>
  <si>
    <t>…........................................................ 10000 metros. ejecutado, les parará perjuicio. PRINCIPE. Hoy no hay función. M edida de c a p a c id a d p a r a líquidos . T)OR el presente se cita, llama y emplaza á D. José Merelo CRUZ. A las ocho y media de la noche. Se pondrá L itro . E^ta es la unidad en las medidas cúbicas para A y su esposa Doña Casilda Calvo , hija esta de D. Manuel Antonio Calvo, agente fiscal que fue del Consejo de las Orde­ en escena la muy acreditada ópera en dos actos del maestro Ric-…</t>
  </si>
  <si>
    <t>Cruz, Santa</t>
  </si>
  <si>
    <t>Santa Cruz</t>
  </si>
  <si>
    <t>…utu­ En los dos años anteriores 1857 y 1858 ha habido 22 explo- G ueibor, el cual habia sido antes indultado: haberse hecho ra del pais.” dos prisioneros, uno de ellos espía y confidente del canónigo Por otro decretó el general Santa Cruz anula la presidencia sionesyde cuyas resultas han perdido la vida 157 personas. {Id.) Reza, llamado José1Vázquez* haberse presentado á indulto nue­ de la Bolivia, y en una alocución que dirige al pueblo dice: ve facciosos y cuatro desertores; y últimamente haber quedado Bolivianos, no e…</t>
  </si>
  <si>
    <t>…a con­ CONVENIO. la insurrección del 12 de M ayo , el secretario ha manifestado federación, y en la cual estas últim as fueron derrotadas com­ los cargos particulares dirigidos contra los inculpados * cuya pletamente. El general Santa Cruz habia atravesado Lim a al­ En el nombre de la Santísima Trinidad. acusación se ha presentado al tribunal. gunos dias después de la partida del H udson , y habia dejado El Presidente de la República mejicana y S. M. el Rey de Diez y nueve son los acusados, de los cuales 15 se hallan trop…</t>
  </si>
  <si>
    <t>Cruza</t>
  </si>
  <si>
    <t>…S 7 03 3..23 ¡ 5042085- 8 5456797-27 4 7 4 9 4 8 2 -2 8 15248365..29 2 5 0 8 6 6 7 ..2 8 Id. del subsidió eclesiástico id. i d . . . . 1 9 80 00 9 8 00 0 I 90 373000 •• 21 9 0 0 0 592000 49 40 00 Id. de la comisaría general de Cruza­ da id. i d ..................................... .............. 1 •0 •• 90000 90000 90000 Id. de espolins y vacantes id. id ...........| •• ! ! 12000 12000 12000 Banco español de S. Fernando por 0 " 18823682- 5 1 9 3 7 4 0 5 3 -2 5 cuenta de sus convenios y entregas " á sus comisionad…</t>
  </si>
  <si>
    <t>Cruzada</t>
  </si>
  <si>
    <t>…e«;o»r £aj-.~ Com isaria g en era l de C ru zada . que no ha de alterarse la práctica observada hoy dia en S ev illa rasco (D . J u a n ) , Toral , C h ic o , Som eruetos, Moréis^Ife^erez db* El Excmo. Sr. comisario general de Cruzada ha recibido de de adm itirse ios billetes del tesoro ó cualquiera otro papel del R iv a s , G ali , A looso C o rd e ro , C astro , Á y a m a o »^ . la primera secretaría de Estado con oficio de 25 de Enero de^ Estado por solo la mitad' del derecho de puertas, porque la otra M ontoya (D . D…</t>
  </si>
  <si>
    <t>…ta de bienes nacionales.................................................................................................. 28772003-23 38326*135..10 9554131..21 85275..19 169895..26 84620.. &gt; •* Remesas de la com isaría-general de Cruzada.................................................................. •• 87599-31 555712.. 8 468112-11 # 205209.. 4 156132-22 • Anticipaciones por los comisionados.................................................................... .. *# # * •* 3Q076 10 w \J* - i L9 Total de ingresos.........…</t>
  </si>
  <si>
    <t>…42917520. 26 4 0 8 2 5 7 S 8 ..J4 13026 53 87 -2 03 6 0 2 5 0 2 8 9 - 3 1 1 6 8 5 5 5 8 2 - 2 Comisión del subúdio eclesiástico. . . 6 4 0 3 8 2 7 4 - 2 2 ■2 4 1 144145-.27. : i l o S 78 7?8.. 7 5800 58oO ! Comisaría general de Cruzada............. 73 30 73 ..2 9 73 3 6 7 3 -2 9 * 727873-29 210000o 5 2 0 00 0 0 830 00 00 1 504200 Dirección de loterías..................... .. 5 8 9 1 2 6 ..U 1 0 9 3 3 2 6 -1 ll 72(6673-23 20 00 00 1400000 15uü000 3100 00 0 1 115000 418766- 2 Casas de moneda................................…</t>
  </si>
  <si>
    <t>…n e r a l de Cruzada . han sido mas activas ni prósperas que en este momento: tan seguridad de no romper ningún escobajo ni semilla. II acer y deshacer el pie: esto es, e! acto de amontonar la El Excmo. Sr. comisario general de Cruzada ha recibido de cierto es que los sufrimientos reales del pueblo no son los que la primera secretaría de Estado con oficio de 15 del corriente las mas veces les arrastran á la violencia de las leyes. He aqui uva pisada al rededor del h u s illo , y formar con la empleita el mes de Noviembre…</t>
  </si>
  <si>
    <t>…ongreso............................................ 50000 I DATA. A la dirección general de Rentas por libranzas faltas de pago \ . 1150500 I Por satisfecho al tesoro publico á cuenta de diferentes li­ A la comisaría general de Cruzada por id. id. id................. 90000 I branzas ............................................................................................................................... 829975.. 5 \ A la comisión del subsidio eclesiástico por id. id. id.......... 219000 [ Librado á favor de la direcc…</t>
  </si>
  <si>
    <t>Cruzado, Francisco</t>
  </si>
  <si>
    <t>Francisco Cruzado</t>
  </si>
  <si>
    <t>…r falsificación de una lámina de deuda sin ínteres contra el Estado; apercibidos que de no comparecer les parará La corte «anta del Padre Nicolás C ansino, traducida del el perjuicio que haya lugar. francés al castellano por D. Francisco Cruzado, nuevamente BOLETIN DE COMERCIO. corregida por el Dr. D. Benito Francisco de Castro y Barbei- to. Son cuatro tomos en 4 o &gt; edición de 1795 y 96 á 75 rs. en Asimismo se c ita , llama y emplaza á D. Angel Morales y pergamino y 85 en pasta común. BOLSA D E M A D R ID . Esta o b r…</t>
  </si>
  <si>
    <t>Cslonge</t>
  </si>
  <si>
    <t>…ala Niobidia hasta resultados positivos. nía con sus facultades de cantante y de actor. Por último , el ia R o m a n a , llamada asi por contener eslátua 9 y obras del Habiendo la naturaleza organizado al hombre para obrar, Sr. Cslonge, con alguna meaos exageración, hubiera sido un arte de Roma. Esta última es la sala mas espaciosa del i n ­ para juzgar y para sentir al propio tiempo, el sistema del fun­ D. Bsrtolo perfecto. terior, formando una galería igual á todo el ángulo inte­ dador de la gimnástica en Francia y en Es…</t>
  </si>
  <si>
    <t>Csmpuzano</t>
  </si>
  <si>
    <t>…es; des­ se me crea , puedo añadir que esta carta de la manera que á para ilustrar al Congreso; pero para esto h ay una persona de pacho, escribo y pienso m u c h o ; yo no sé cómo ha d|cho S. S. mi, fue presentada también al Sr. Csmpuzano que se htflla pre­ confianza que hace esos tra b a jo s, que está acostumbrado á ellos, que uo tengo tiempo para uada. Gasto mas tiempo que el que</t>
  </si>
  <si>
    <t>Ctarendo</t>
  </si>
  <si>
    <t>…pendientes, es un hecho que los noruegos reconocen y colocan dea de. tan 'clara y saludable fuente, $e halla hoy marchando en el primer grado de los servicios que y oles he prest ado. Los El M brning-H erald dice qua el conde de Ctarendo» (Mr. por la senda que tos pueblos modernos han trazado para en­ godos, antecesores d é lo s escandinavos d e jo s siglos. vi ir y ix, Yillieis) ha renunciado la embajada de Madrid y se ha esta­ contrar la mayor suma de felicidad-. Nada puede oponerse á ¿u* blecido en uno da los hermosos…</t>
  </si>
  <si>
    <t>Cualquiera</t>
  </si>
  <si>
    <t>…de Pinofiel y Garelly. ^ esta p ro v in cia, se ha señalado para junta general de acree­ obtenido su objeto. Se leyó y anunció que se imprimiría y quedaria sobre la dores á los bienes quedados por fallecimiento del mariscal de Cualquiera que sea la utilidad de adoptar los pensamientos mesa un dictámen de la comisión de Actas sobre una petición campo de los ejércitos nacionales D . Jorge D ’F l i n t e r , e l do­ del proponente en los diversos puntos de administración á que del Sr. Senador Laborda y G aliud o , reclamand…</t>
  </si>
  <si>
    <t>Cuando, Baudin.</t>
  </si>
  <si>
    <t>Baudin. Cuando</t>
  </si>
  <si>
    <t>…mbio de las ratificaciones, con el Casi nada puede añadirse respecto del art. 2 ° del proyecto tener conexión alguna con bases ó estipulaciones que regulasen objeto de que si la ligera modificación hecha en el tratado im­ del Sr. Baudin. Cuando todas las dificultades enunciadas no se las relaciooes entre los dos paises, y estas solo debían fijarse por pedia al Gobierno francés aceptarlo, se ratificara por él la con­ concretaran en él y en mucho mayor grado, me habria basta­ un tratado posterior que emanara del mútuo acuerdo…</t>
  </si>
  <si>
    <t>Cuantas, Pou.</t>
  </si>
  <si>
    <t>Pou. Cuantas</t>
  </si>
  <si>
    <t>…íveres , habien­ y promete otros mas felices, atendida la inteligencia del posee­ trabaron un combate reñido que duró cinco horas, logrando do dejado en Chelva al coronel Villalonga con cuatro batallo­ dor del aparato, el doctor Pou. Cuantas personas han visto la lanzarles del pueblo á la bayoneta matándoles mucho número nes , dos escuadrones y una sección de obuses , y dispuesto que lámina han reconocido la exactitud del traslado y se han asombra­ y quedando en nuestro poder 200 prisioneros, no sin alguna un batallón de…</t>
  </si>
  <si>
    <t>Cuarta, Tacón.</t>
  </si>
  <si>
    <t>Tacón. Cuarta</t>
  </si>
  <si>
    <t>…aprobaron lo q u e tengo manifestado. dignado adm itir la renuncia que del cargo de Senador hace el Cáceres, Fuente A n drés, L a c a lle , M u r g a , Caballero. A u n h a y mas. En la sesión de 20 de J u n io de 1857 el se­ Sr. Tacón. Cuarta secciou.=Sres. Y i l a , O sc a ,V ia d e ra , González Alon­ ñor Sancho dijo que no podían ser Senadores ni Diputados los Igualmente se leyó y quedó enterado del Real decreto de so , A lf a r o , López ( D . J o a q u í n ) , A r t e t a , M i l a g r o , A lvaro, capitanes generales…</t>
  </si>
  <si>
    <t>Cuatro, Cárlos.</t>
  </si>
  <si>
    <t>Cárlos. Cuatro</t>
  </si>
  <si>
    <t>…ance tos; no serán estos tan auténticos como los otros, pero lo bas­ la paz, y concluyó manifestando que el Gabinete francés no rales que con pasaportes y recomendaciones suponían viajar para Francia y lo hacían al cuartel de D. Cárlos. Cuatro mil tante para que vea S. S. que cuando los Diputados niegan su mudaría de conducta con respecto á nosotros aunque cayera el prisioneros encerraba Cádiz, y apenas habia soldados para su­ confianza al Gobierno, tienen motivos para ello: y que las de­ ministerio. jetarlos, y sobre ellos…</t>
  </si>
  <si>
    <t>Cuatro, Juan Bautista Gonji.</t>
  </si>
  <si>
    <t>Juan Bautista Gonji. Cuatro</t>
  </si>
  <si>
    <t>…residentes en M adrid . CAMBIOS. Colección de poesías castellanas traducidas en verso toscano, Anoche á las ocho se reunieron en casa de D. Nazario C a r­ Londres, á 90 dias, 58^. C oruña, 1J á 2 d. é ilustradas por el conde D. Juan Bautista Gonji. Cuatro to­ riquin gran número de individuos naturales de las provincias París, 16 -4 a 5. G ranada, id. mos en 8.° marquilla, edición de 1782, á 50 reales en pasta Vascongada'» y Navarra ; y de allí, interpolados con las bandas M álag a, par á ¿ b. común. de música , se dirigier…</t>
  </si>
  <si>
    <t>Cuatro, L.</t>
  </si>
  <si>
    <t>L. Cuatro</t>
  </si>
  <si>
    <t>…la educación de su tier­ uon , adornada con cuatro láminas finas y aumentada con notas Frae, Mateo Ortoneda, Isidro Ju liá n , M artin Berches, Fran­ na H ija, pudiera presentarla en su mayor edad una nación li­ ior Se el doctor L. Cuatro tomos en 24»° hallan á 26 rs. en rústica en la librería de Cuesta. cisco Carbonell, Antonio Velasco, José Llurba. bre, virtuosa y feliz y un trono sólido y estable por medio de Tercer batallón. Primera compañía.—Cabo segundo: Fran­ esta y otras asociaciones benéficas! cisco Bermudez. Sol…</t>
  </si>
  <si>
    <t>Cuba</t>
  </si>
  <si>
    <t>…A L. R. P. de Y . M.= Huesca y su leal vecindario , que ruega por la dilatada vida de Los habitantes de esta villa , decididos en masa á sostener á cos­ sus R einas: si V. M. lo acepta con una prueba de sinceridad, El conde de Cuba.—M ariano Ricafort.izJosé Antonio Ponzoa.= ta de sus intereses y existencia el precioso pabellón con que nc habránse cumplido sus deseos. Consistorio de Huesca 7 de Se­ Francisco de Entrambasaguas. =: Bernardo de la Torre R o jas.r há mucho le distinguió la munificencia de Y. M ., han a g o ta…</t>
  </si>
  <si>
    <t>Cubieres</t>
  </si>
  <si>
    <t>…la to tali­ pues no nos queda ninguna duda de que el comercio se pres­ mours. dad de su capital de 12.500,000 ps. por sus compromisos de tará gustoso, según hemos oido y sabido de la mayor parte de En seguida el teniente general Cubieres, el de igual g ra ­ cualquiera clase que sean , contraídos en su carácter de adm i­ los señores que ejercen esta profesión: podemos decir lo mismo duación de Fanclons, y los generales de brigada, se apartaron nistradores; en testimonio de lo cual acompañan á S. E. para de muchos señores hac…</t>
  </si>
  <si>
    <t>Cubieres, Despans</t>
  </si>
  <si>
    <t>Despans Cubieres</t>
  </si>
  <si>
    <t>…Para M inistro de la Guerra al teniente general Schoneider, esa resistencia á toda opinión m oderna; esa vulgar y bárbara afilaron los puñales para clavarlos cobardemente en el seno de la por cuyo nombramiento el teniente general Despans Cubieres, preocupación contra los extrangeros; esa fria indiferencia por patria. Empero pronto se convenció de la imposibilidad de com­ que lo desempeñaba interinam ente, volverá á ejercer su desti­ todo lo que eleva el alm a, y es noble, grande y genéroso; y esa probar una conspiración , cu…</t>
  </si>
  <si>
    <t>Cuchi, José</t>
  </si>
  <si>
    <t>José Cuchi</t>
  </si>
  <si>
    <t>…................................... .. 4- 2 El juez letrado Meliton Balanzategui.. . . . . . . . . . 6 tes, inclusas las dos aproximaciones, en la forma siguiente: Presbítero D. Pedro José O’Campo, cura párroco El juez letrado D. José Cuchi . . . ¿ 10 de Santiago................................................................... 4 El Sr. auditor de guerra honorario, juez letrado, Premios. Pesos. Id. D. Pedro Ignacio de Acosta . . ................... 4 .2 D, Benigno Orbegoso. .................. 4 íd. D. José María Cortés, ca…</t>
  </si>
  <si>
    <t>Cuen</t>
  </si>
  <si>
    <t>…nspira la inocente Reina Isabel con quien esta­ Otra id ., sierra de A cenacas, cerro del Algarrobo, término ü N virtud de providencia del Sr. D. M anuel L u c e ñ o , m a - mos unidos por un pacto indisoluble. Cuartel general de Cuen­ de P u lp i, San A ntonio, por Francisco Morales Ponce, en idem gistrado honorario de la audiencia territorial de V allad o - ca 29 de Ju lio de 1859.:=E1 brigadier comandante general. idem. lid y juez de primera instancia del juzgado de A vap iesde esta M an uel Crespo. ( B . O.) o &gt; Otra i d…</t>
  </si>
  <si>
    <t>Cuen, Diputado D. Juan Jiménez</t>
  </si>
  <si>
    <t>Diputado D. Juan Jiménez Cuen</t>
  </si>
  <si>
    <t>…lumna de la Ribera, en que tnariifiesta que el enemigo, I con dirección á la villa dw* Fernanuuñez, habiéndosenos agre­ PARTE NO OFICIAL. que en la larde del 8 .habia ocupado el pueblo de Marines coa gado voluntariamente el Sr. Diputado D. Juan Jiménez Cuen­ tres batallones y 200 caballos, lo habia evacuado en la noche ca, marchando por el camino que en concepto del ingeniero NOTICIAS EXTRANGERAS. del mismo dia con dirección á Alcublas, y que enviadas en su D. Valentín Alaría del Rio debe habilitarse con preferencia ai…</t>
  </si>
  <si>
    <t>Cuen, Juan Jiménez</t>
  </si>
  <si>
    <t>Juan Jiménez Cuen</t>
  </si>
  <si>
    <t>…Ribera, en que tnariifiesta que el enemigo, I con dirección á la villa dw* Fernanuuñez, habiéndosenos agre­ PARTE NO OFICIAL. que en la larde del 8 .habia ocupado el pueblo de Marines coa gado voluntariamente el Sr. Diputado D. Juan Jiménez Cuen­ tres batallones y 200 caballos, lo habia evacuado en la noche ca, marchando por el camino que en concepto del ingeniero NOTICIAS EXTRANGERAS. del mismo dia con dirección á Alcublas, y que enviadas en su D. Valentín Alaría del Rio debe habilitarse con preferencia ai persecución…</t>
  </si>
  <si>
    <t>Cuenca</t>
  </si>
  <si>
    <t>…rmosa palma que ves, pedí que la Francia hiciese al menos por la España lo que debia cubrir con sus ramas á los individuos que formasen el hace hoy dia la Inglaterra, esto es, que reprimiese en las cos­ El comandante general de Cuenca da parte con fecha 24 de Gabinete: las ráfagas de esta gloria no eran indiferentes para tas de aquel pais el contrabando marítimo de arenas de guerra, porque por mar es por donde recibe D. Carlos socorros consi­ Abril de que hallándose los cabecillas Arévalo, Polo y Peinado el éxito que pod…</t>
  </si>
  <si>
    <t>…de hecho. Es preciso que acción grande, interesante, m aravillosa, caracteres bien gocemos los mismos derechos, los mismos privilegios que los in­ contrastados, costumbres y usos de una época determina­ El comandante general de Cuenca, con fecha 1.° del actual, ygleses, que no que la unión entre los dos pueblos sea real y efectiva, da , y que haga todo esto en buen estilo y correcta versifi­ exista solamente en los pergamiaos. La alta probidad dice desde Moya , que habiendo reunido los útiles y efectos ne­ del noble lo…</t>
  </si>
  <si>
    <t>…de estrellas de color de oro. El El capitán genéral de Castilla la N uevá trascribe un parte te á su ruina. (Impreso suelto de Tampico .) árbol de fuego despedía una luz magnífica, y todos loi alrede­ del com andante general de Cuenca én que manifiesta que el ca­ dores se veiati tan claros como con el sol de medio día. pitán D. Reyes C antóm e con su compañía franca y las p a rti­ Después de la revolución de Julio no se ha gozado en l§ das del ejército qué se le confiaron, sorprendió, á beneficio de una fiesta de la noche…</t>
  </si>
  <si>
    <t>…verificado , habiendo sido obligada á retroceder á parte de Aitoua el cabecilla José J o v e r, alias el hijo del cie­ saria la teocracia , porque^ los bárbaros no pueden recibir otro Chelva , ocupándole el comandante general de Cuenca á las in ­ go, con unos ocho facciosos, y que se dirigía á los Monegros, yugo político que el de la religión. Guando los pueblos llega­ mediaciones de Utíel 1500 cabezas de ganado lanar, y rescata­ por lo que de acuerdo con dicho comandante de armas y el de ron á poderse gobernar por sí mis…</t>
  </si>
  <si>
    <t>…mitir la propuesta de paz á toda costa. La nota dirigida á la Bélgica contiene íá las recompensas á que cada uno se hizo acreedor en la mencio­ misma invitación acompañada de la amenaza de que los cinco El comandante general de Cuenca con fecha 6 del actual da nada jornada del 6 del actual. Gobiernos, caso de negativa por pai te del Rey Leopoldo, harán parte que al llegar al puente Pajazo sobre el C abriel, recibid Relación de los efectos de guerra recogidos al enemigo en cuanto crean útil á la defensa de los derechos de…</t>
  </si>
  <si>
    <t>16/02/1839</t>
  </si>
  <si>
    <t>Gaceta de Madrid n.º 1554</t>
  </si>
  <si>
    <t>…e , p a r. S a n ti a g o , 2 id. del Excmo. é limo. Sr. obispo de C alahorra.=:O tra del Ilu strí— se promovieren sobre interpretación de los tratados. Barcelona, á ps. f s . , i á p ar b. Sevilla , i á l £ b. simo Sr. obispo de Cuenca. 1= B ibliografía.zzC arta 3.a de A t i - Tal es el parecer de la comisión , que somete eu cum plim ien­ B ilbao, d. Y a le n c ia , par. co.zzYariedades.nSobre la pastoral del Excmo. é limo. Sr. obis­ to de su deber, á la superior censura del Senado. Y con arreglo C á d iz , | b. Z a r a g…</t>
  </si>
  <si>
    <t>…irculan por e! ejecutó en Valencia ep iBOi. por él impresor, O rg a , á expensas cursos, los exámenes y ejercicios literarios, y la organización pais, y para ello me he dirigido á S. Lorenzo de Fustanes en del limo. Sr. obispo de Cuenca, bajo la corrección del Excelen­ gubernativa y económica de los establecim ientos, se determi­ dos m itades, la una al mando del subteniente de la pro­ tísimo Si*, actual com isario dé Cruzada'. A la bejIg dedicatoria narán por reglamentos especiales con arreglo á las bases prefija­ pia compa…</t>
  </si>
  <si>
    <t>…d - que se ejecuto en Valencia en 1801 por el impresor O r g a , á ex­ por los sobacos, y da otro em pujón hacia arriba , de modo que mo: donde dice que palaios significa le tr a , léase antiguo : y pensas del Ilmo. Sr. obispo de Cuenca , bajo la corrección del soportando el cuerp o unás veces con los brazos, otras con la ro­ donde dic e, el archivo de F ele z¡ léase Uclés, Excmo. Sr. actual comisario de Cruzada. A la bella dedicatoria d i l l a , y siempre apoyándose con la soga, va trepando como por que puso este s e ñ o r…</t>
  </si>
  <si>
    <t>Cuenca, D. Andrés García Camba.</t>
  </si>
  <si>
    <t>D. Andrés García Camba. Cuenca</t>
  </si>
  <si>
    <t>…orona­ * A d ra 4 de Setiembre d e 1859.=Pedrb Máífé Zubiagsu - Ayerve. do; Canteras altas, y Carrascalejo , con el nombre de M ina- Valencia.^Hallándose las actas aprobadas, la comisión pro­ Carrillo. pone sea admitido el Sr. D. Andrés García Camba. Cuenca 29 de Agosto de 1859.=:Escosura y Ilevia. Inspección de minas del distrito de Riotinto.- Relacion de A petición del Sr. Iíeros quedaron sobre la mesa las respec­ los registros y denuncias de minas y oficinas de beneficio ad­ tivas á las provincias de Pontevedra y Ovi…</t>
  </si>
  <si>
    <t>Cuenca, José</t>
  </si>
  <si>
    <t>José Cuenca</t>
  </si>
  <si>
    <t>…Octubre 20 de los de cinco años ro Gabinete. Se conoce que se trata de cuestiones de cosas, y la arriba , cumplidos en estas yerbas, sean cerriles ó domados, y gravedad de los intereses que se discuten explica el retraso de D. José Cuenca, juez segundo de primera instancia por los otros 20 restantes al terminar el período y a designado para una solución. S. M . (Q. D. G .) de esta ciudad y su partido. la totalidad. Se adm itirá el ganado bajo las cualidades siguien­ Es necesario ademas no olvidar que M r. Humann y M r.…</t>
  </si>
  <si>
    <t>Cuenca, Juan Jiménez</t>
  </si>
  <si>
    <t>Juan Jiménez Cuenca</t>
  </si>
  <si>
    <t>…que fueron convidados para examinadores reis en cuanto vuestros alcances os lo permitan seguir el ejern- asistieron los Sres. D. José Melchor P r a t, gefe superior políti­ La primera división ha entrado hoy ea Muryiedro. co; D. Juan Jiménez Cuenca, diputado provincial por L uce-</t>
  </si>
  <si>
    <t>Cuesta, Francisco</t>
  </si>
  <si>
    <t>Francisco Cuesta</t>
  </si>
  <si>
    <t>…gran pelotón de oficiales han depuesto las armas colegio de la misma, para qqe en el término de 50 dias si­ 5.a Boleras á ocho. en vanos puotos. guientes al de la publicación de este anuncio en la Gaceta se »E] extraordinario D. Francisco Cuesta , Nacional de la 1 * presenten en dicho juzgado á deducirlo en legal form a; aper­ 6.° LOS BUTIBAMBAS , sainete divertido. compañía del 2. escuadrón de la Milicia nacional de esta cor­ cibidos que pasado el termino sin haberlo realizado, les parará t e , refiere el entusiasmo con qu…</t>
  </si>
  <si>
    <t>Cuesta, León</t>
  </si>
  <si>
    <t>León Cuesta</t>
  </si>
  <si>
    <t>…medios de vencerlos. D urante este ataque las fuerzas del gene­ pez y D. José Tiller. te día al amanecer formaron á la salida de aquel pueblo, y ral Hoyos habian avanzado al fre n te , y notando que sus com­ C ir u ja n o , D. León Cuesta. me d ir ig í á hacer un reconocimiento sobre Tales. Cuatro bata­ pañeros ganaban mucho terreno por la izquierda enemiga , cor­ Sargentos, 6. llones enemigos ocupaban las alturas inmediatas. La columna rieron con generosa rivalidad á unírseles, despejando el frente C ab o s, 8. de c…</t>
  </si>
  <si>
    <t>Cueto</t>
  </si>
  <si>
    <t>…o m ed ia s, pero que la c rític a no puede nosotros lo h a y a m o s r i d i c u li z a d o ; otro f o íle t h ó C i «.preciable, el una v t h v u l a , á c ada cambio que se verifique en la velocidad de acep tar como tales. Sr. Cueto , ha clam ado la rabien coa Ira semej a -¿‘a ' v io la d o », de ía m á q u in a . L es sistemas políticos siempre h an menester un p ensam ien­ los derechos de la crítica , manifestando todo lo que tien e de L a d ista n c ia ve rtic a l entre el p unto de suspensión y ei p l a ­ t o ; los m…</t>
  </si>
  <si>
    <t>…o cuartel general pasó de C a n t a v ie ja remitir á la imprenta Nacional , dentro de la fecha expre­ be le ha q u e;id o su stituir. sada, los estados que en los años anteriores se ha acos­ Ocupó después la trib u n a el Sr. Cueto; y accediendo á la in ú 14 un coronel de los rebeldes que á la v u e lta fue escoltado por nuestros caballos. tumbrado insertar en la Guia de Forasteros, pues en ello v itaciou d tl Sr. Príncipe, que su plicó á los concurrentes se sir vienen hacer las observaciones que estimasen oportunas so…</t>
  </si>
  <si>
    <t>CUETOS</t>
  </si>
  <si>
    <t>…, y completándose el número con­ de Gobierno, y otras Reales disposiciones. na que uo ha lugar á deliberar. forme á !o prevenido en la disposición anterior. Libelos subversivos introducidos de F r a n c ia , y circulados El Sr. C U E T O S, creyendo que el dictamen de la comisioo 6 .a Para las repeticiones públicas y para los grados de doc­ subrepticiamente. era que pasase la solicitud al Gobierno, le im pugeo manifes­ toras serán convocados todos los catedráticos en propiedad , los Decretos, proclamas y otros documentos…</t>
  </si>
  <si>
    <t>Cuevas, Luis Gonzaga</t>
  </si>
  <si>
    <t>Luis Gonzaga Cuevas</t>
  </si>
  <si>
    <t>…vencido de todo esto,, Continúa la exposición del ex-Ministro de Relaciones ex­ domelo al presidente y al resto del ministerio á nombrarme; y habién­ y de las ventajas de ceder sin reserva en el punto indicado, con­ tcriores Don Luis Gonzaga Cuevas , sobre las diferen~ me á prestar hecho saber, me dijo igualmente que no debia resistir­ vine desde luego en que el Gobierno entregaría la suma de cias entre Méjico y Francia . este servicio. La imperiosa necesidad de que el 6003&gt; pesos, haciendo presente que aunque no era justa…</t>
  </si>
  <si>
    <t>…s e x ­ El tribunal modificó con excesiva benignidad la sentencia; merced á este aviso importante que obligó á redoblar la v igi­ lancia del comandante del destacamento, dicha facción habia entre Méjico y Francia. , teriores D. Luis Gonzaga Cuevas sobre las diferencias y el reo, presentado en el ultimátum como víctima de malo* tra—1 tamientos , ha desmentido de la-matrera mas voluntaria aqué-' desaparecido de las inmediaciones del pueblo, en las que se ha­ Ha acusación, según consta del certificado del secretario del llab…</t>
  </si>
  <si>
    <t>Cuevas, Luis Gonzága</t>
  </si>
  <si>
    <t>Luis Gonzága Cuevas</t>
  </si>
  <si>
    <t>…in novedad en su importante El ministerio habia sostenido, es verdad, que la República «alud. Concluye la exposición del ex Ministro de Relaciones ex - no era responsable de las pérdidas causadas por la guerra civil, teriores D. Luis Gonzága Cuevas , sobre las diferencias y que e.taba conforme con los principios que habían profesado S. M. la Reina Gobernadora se ha servido trasladar á Don entre Méjico y Francia . en este punto las administraciones anteriores; pero deseaba ar­ Manuel A sensi, juez de primera instancia de F…</t>
  </si>
  <si>
    <t>Cuevas, Ramón Orosco</t>
  </si>
  <si>
    <t>Ramón Orosco Cuevas</t>
  </si>
  <si>
    <t>…cisco Daza M árquez, en 22. V I A , publicada por el Consejo del Emperador y Rey Otra id., sierra Almagrera, barranco Jaroso, término de Carlos v en Marzo de 1525 , y reimpresa, para perpetuarla, Cuevas , la Observación , por D. Ramón Orosco Cuevas, en 25. Otra id , sierra de Gador , loma de la Fuente, térinioo de conforme al ejemplar que posee el e d itor , ciudadano amante de LA ESPERANZA, las glorias de su patria. Almería, Valenciano de María, por D . José Prats Blanco, Todavía al través de 51 4 años la tradición es v…</t>
  </si>
  <si>
    <t>Cuevillas, Ignacio Alonso</t>
  </si>
  <si>
    <t>Ignacio Alonso Cuevillas</t>
  </si>
  <si>
    <t>…iciembre Por el presente se c i t a , llama y emplaza al coronel que fue ha quedado enteramente aniquilada la insurrección, habiendo de 1858.=Excmo. Sr.=El juez de primera instancia , Fernando de caballería retirado en Sevilla D. Ignacio Alonso Cuevillas; sido derrotados los llamados patriotas, y particularmente en Calderón Collantes.=Excmo. Sr. Secretario de Estado y del al coronel D. J u a n de B earaurguía; al teniente coronel mayor Prescott, donde apenas escapó uno. Los ingleses hicieron como Despacho universal de Gracia…</t>
  </si>
  <si>
    <t>Cumbres</t>
  </si>
  <si>
    <t>01/04/1839</t>
  </si>
  <si>
    <t>Gaceta de Madrid n.º 1598</t>
  </si>
  <si>
    <t>…IAS EXTRANGERAS. nuestros tirad o res, los cuales, si bien cejaron por un momento nor sigu ie n te : hasta encontrarse cerca de la rnitad de reserva que mandaba En virtud de providencia dictada ante mí por el tribunal el conde de Cumbres A lt a s , volvieron sobre ellos con una i n ­ GRAN BRETAÑA. de comercio de esta plaza con fecha 8 del corriente en los a u ­ trepidez ad m irab le, y atacando á la v ez , se mezclaron con el tos del concurso de D. M artin de Ira z o q u i, se cita y emplaza á e n em igo , ahuyentándolo con…</t>
  </si>
  <si>
    <t>Cune</t>
  </si>
  <si>
    <t>…o,bar el dic- S. M. , el día y hará «que desaguare. Art. 70* Guando 8 . M, ¡ » pudiere recibir estas di patacto* Sesion del día 5 de Febrero. timen «de lia comisión, porque de lo contrario, como, había d í- cho muy bien el Sr. Cune ja., serta faltar á I© que el artícolo ues, el Presidien,te del Señado- (ó del -Congreso) remitirá, el yací© «de ley con mu oficio «al Presidente del Consejo de Miu*« Se abrio á te une y coarto» y leide el acta de la nterior, eoosti tocí ooa 1 previene» Los Sres. Caktravu, Carne}® y R om de…</t>
  </si>
  <si>
    <t>Curad, Francisco</t>
  </si>
  <si>
    <t>Francisco Curad</t>
  </si>
  <si>
    <t>…o distinto. 5.° Propo ni end o la aprobación de las segundas elecciones de bien los beneficios que de accederse á la solicitud del a y u n t a ­ P o r lo demas el Gobierno ha hecho todo lo que ha podido Jaén y la admisión de D. Francisco Curad o. m iento resultarían al tesoro y á los co n tri buy ent es, a h o r r á n d o ­ para que las instrucciones tenga n aplicación; y la prueba de Se leyeron las siguientes proposiciones de l e y , autorizadas seles asi el pag ar dos veces, como habia sucedido á la m ay o r p a r ­ que…</t>
  </si>
  <si>
    <t>Curioso, Consejo.</t>
  </si>
  <si>
    <t>Consejo. Curioso</t>
  </si>
  <si>
    <t>…sa abnegación que el orador habia hecho bante septentrional. de su opinión acerca del asunto de Ancona, habia determina­ GRAN BRETAÑA. En vista de lo que pasa de algunos dias á esta parte á po­ do la elección del Presidente del Consejo. Curioso será ver al ca distancia de nuestras frouteras, el Gobierno, como lo ha he­ honorable orador proponer para la dirección de la enseñanza L ond res 11 d e E n ero . cho observar m uy bien un individuo de la segunda Cámara, pública sus opiniones medio absolutistas y medio radicales.…</t>
  </si>
  <si>
    <t>CURIOSO, OCUM EN TO</t>
  </si>
  <si>
    <t>OCUM EN TO CURIOSO</t>
  </si>
  <si>
    <t>D OCUM EN TO CURIOSO. se puso el dia l i en camino para Aragón desde Francia don­ que sin mas citarles ni em plazarles, su falta de asistencia de se hallaba. parará el perjuicio que h aya lugar. Un corresponsal nos asegura que entre los papeles de Antes de a y e r por la tarde han entrado en este pu…</t>
  </si>
  <si>
    <t>Curschid, Arabia.</t>
  </si>
  <si>
    <t>Arabia. Curschid</t>
  </si>
  <si>
    <t>…ericano, v ig ilan la costa del golfo Pérsico. Se Las armas de los egipcios han conseguido un triun fo en la los cereales probaban que la ley no habia producido el resul­ dice también que el Shah de Persia ha expulsado al coronel Arabia. Curschid bajá se ha apoderado de Derraich , capital tado que se esperaba. Stodart y al teniente Pottinger de H e r a t, y que ha hecho de­ del Nedschid : el Soberano y toda su f a m ilia , que cayeron en po­ Lord Radnor ha hablado en la misma sesión ; ha pretendi­ capitar á aquellos de sus…</t>
  </si>
  <si>
    <t>Curtoy, José</t>
  </si>
  <si>
    <t>José Curtoy</t>
  </si>
  <si>
    <t>…51 de Marzo de i859.=Pedro Chacón, go los insultaba, siendo digna igualmente de recuerdo la mi­ D. Rafael León N avarrete, contuso, y su caballo muerto. tad de zapadores, mandada por su capitán D . Juan Campuza- El teniente D. José Curtoy, su caballo herido. n o ,q u e con su actividad é instrucción facilitó cuanto le fue El alterez D. Federico B eruug, contuso. posible la marcha de la artillería. Totales, í gete herido: 1 oficial m uerto, 12 idem heridos: PARTE RECIBIDO EN LA SECRETARIA DE ESTADO El enemigo, acechando…</t>
  </si>
  <si>
    <t>Cus, Domingo García y D. Francisco</t>
  </si>
  <si>
    <t>Domingo García y D. Francisco Cus</t>
  </si>
  <si>
    <t>…que empezará en los primeros dias de Octubre. Los que to, alcalde constitucional que fue de la ciudad de Ecija, á los Madrid artístico. quieran seguir la carrera de veterinaria, sea en la clase de alum­ libelos publicados por D. Domingo García y D. Francisco Cus­ por Capilla D. F. de S. Isidro en la iglesia parroquial de S. Andrés,, Fabre. nos externos, ó bien en la de internos pensionistas, se presentarán todio ha recaído por el jurado el fallo del tenor siguiente: á matricularse en la secretaría de la junta consultiva ,…</t>
  </si>
  <si>
    <t>Custodio</t>
  </si>
  <si>
    <t>…ndo D. Tadeo Sentimos sobremanera que los cortos límites de nuestro pe­ López Rebolledo, tercero D. Santos Sanz, cuarto D. Manuel ! ■■«■"I.' ■. ■■■ riódico y los muchos materiales preparados para este dia, nos Ezrnir , quinto D. Custodio izquierdo, sexto D. Rudesindo Gea. PROVIDENCIAS JUDICIALES. impidan extendernos acerca de una producción que tanto hon­ Síndico: D. Andrés Casajus. ra á su autor y que tantos aplausos ha merecido del público de Huesca 12 de Diciembre. Sugetos honrados, ricos, labo­ Alcaldía constitucional.—…</t>
  </si>
  <si>
    <t>Custodio, Francisco</t>
  </si>
  <si>
    <t>Francisco Custodio</t>
  </si>
  <si>
    <t>…entrega del domingo 1.° de Setiembre contiene los i r - , Escuela nacional de veterinaria P lO Y fe yo el infrascrito escribano que en la denuncia pro- ticulos siguieotss adornados con dibujos y grabados origi- ^ puesta por D. Francisco Custodio, vecino de la ciudad tules. Con arreglo á lo que previene el reglamento vigente de este de Ecija , al folleto de D. Juan Bautista Armesto, del mismo Costumbres provinciales. establecimiento se halla abierta la matrícula para el próximo vecindario, titulado “ Contestación de D. Ju…</t>
  </si>
  <si>
    <t>Cuyo</t>
  </si>
  <si>
    <t>…plantas, y abrevadero al pastor y al ganado donde respondientes. Dios guarde á V. S. muchos años. Santiago 10 mitigasen su sed. Pero esta halagüeña idea no es la del poeta de Marzo de 1859.—Laureano Sanz,—Sr. comandante general Cuyo sentido es que los misterios terribles de la f e no re­ cristiano. Para él aquel objeto tan gracioso, tan apacible, n&amp;</t>
  </si>
  <si>
    <t>Cáceres, Francisco</t>
  </si>
  <si>
    <t>Francisco Cáceres</t>
  </si>
  <si>
    <t>…una corta porción fino se dedique á estudiar á fondo en ella, como lo acredita la de ropa que en el mes de Octubre del año pasado de 1837 dejó experiencia en cuantos lo han puesto en práctica. GABRIELA D I VERGY. en poder de D. Francisco Cáceres, vecino y comisionado de Se hallará á 70 rs., y á 16 cada cuaderno, en los almace­ prestamos en esta corte, recibiendo por ellas en via de présta­ nes de Lodre y M integui, carrera de San Gerónimo; y en el mo la cantidad de 230 rs.; bien entendido que pasado este se­ de Hermoso ,…</t>
  </si>
  <si>
    <t>…e ropas oue 155544* * 1 5 0 . . . . . . . Id. en el mes de Octubre del año pasado de 1857 dejó en poder de N oticia d e lo s p u eb los y a d m in istra cion es d o n d e han ca b id o 1 5 5 4 8 7 .; 1 50 ................ Id. D. Francisco Cáceres, vecino y comisionado de préstamos en lo s 14 p rem io s m a y o res d e Los 2 5 0 0 q u e co m p r en d e e l so r ­ 1 5 7 4 5 5 .. 1 5 0 ................ Id. esta corte, recibiendo por ellos en via de préstamo la cantidad te o d e l día 26. 1 5 7 7 7 5 .. • 1 5 0 . . . . . . .…</t>
  </si>
  <si>
    <t>Cáelos</t>
  </si>
  <si>
    <t>…primeras c a m p a - porte , al secretario del ayuntam iento constitucional de dicha 147605 150 ps. l .° de Setiembre de 1808. ñas de N av arra , extractadas de las que escribió un oficial v illa. 152461 id. id. al servicio de D Cáelos. I 624 O8 id. id. El cuaderno 1.° contiene: primeros levantamientos en las 165751 id. id. provincias.^Gefes y motores de la insurrección.—D. Santos L a ­ 175509 id. id . drón.—Primera acción de los Arcos y su muerte.—Presentación REM ATES. 181242 id. id. de D. Tomas Z um alacarregui á lo…</t>
  </si>
  <si>
    <t>Cáilos</t>
  </si>
  <si>
    <t>…, y en efecto el texto li­ teral de la ley ha dado orígea á ello; pero como en el art. 4*° MADRID 4 DE SETIEM BRE . biéndose hecho algunas señas los comandantes y Maroto , des­ filaron los soldados hacia Durango. A dvirtió D. Cáilos algunos i— - ............. — ■- ......................, i’J ’S J i r .''." .— " ff-jrB T » de la misma ley se dice que h a y a de nombrarse un número de movimientos sospechosos, y volviéndose á su escolta le gritó : ¡ 4¿ 'Diputados suplentes igual á la tercera parte de los Senadores A las t…</t>
  </si>
  <si>
    <t>Cámara</t>
  </si>
  <si>
    <t>…or el precio drés de Segó vía , D. Antonio Saenz de Vizrnanos (fiscal), y medio de su escribano de Cámara D. Manuel de Carranza del que se anunció en el prospecto, pero únicamente en los siguien­ t). Manuel Caballer, escribano de Cámara. pueblo ea que actualmente se halle ó h aya fijado su residencia. tes puntos. M adrid, casa referida de la viuda de Cruz: Barce­ 2.a Informe de la Real chanciilería de Valladolid sobre las lona, D. Juan Francisco Piferrer: Coruña, D. José María Pé­ Causas de estupro. rez: Granada, D. Manuel…</t>
  </si>
  <si>
    <t>Cán, José</t>
  </si>
  <si>
    <t>José Cán</t>
  </si>
  <si>
    <t>…publicada en español, extractada esta provincia al mando de sus comandantes D . Félix G u s an o del original italiano, se ha impreso en francés y dedicado P R I N C I P E . A las o c h o y media de la noche. L a sociedad y D. José Cán dido del Riego alcanzaron en u na paridera que al ilustre coronel Aneorós, fu n d a d o r y director de ios gimnasios dram át ic a ha dispuesto ejecutar h o y el d r a m a n ue vo o rig in al está en el término de íruecha , partido de M e d i n a c e ti , en la franceses, por ser la nataci…</t>
  </si>
  <si>
    <t>Cándido</t>
  </si>
  <si>
    <t>…or las adjuntas copias del parte del juez naval é internacional. Que en otro encuentro que tuvo con la facción el com an­ de paz deí prim er distrito de San Jo s é , y del cuerpo del delito El abajo firmado ruega á S. E. el Sr. Cándido B autista de d ante de la colum na de Á rzua fueron muertos el rebelde cura según las deposiciones de los facultativos. O liveira se digne aceptar la seguridad de su alta estim ación y D . A ngel Abelenda , n atu ral de S an tiag o , J u a n M ontero, asis­ Este escandaloso hecho, después…</t>
  </si>
  <si>
    <t>…n estos gol­ calde de Santa Cruz á que pertenecían; habiendo tenido por desentendiéndose de esta protesta , continuó la marcha que se pes de estado ó populares, que sirven uaas bien para saciar las nuestra parte herido el cabo D. Cándido R in c ó n , y dos caba­ habia propuesto, y sus delegados partieron para el V a l é s , á fin pasiones de la muchedumbre que para favorecer los verdade­ llos muertos* de presidir la apertura de la constituyente. A esta apertura, ros intereses del pueblo. que tuvo lu gar el 29 de J u l i o ,…</t>
  </si>
  <si>
    <t>…lor de 22$ billetes á dos duros cada Por providencia del Sr. intendente de rentas de esta pro­ ¡ontiene los artículos siguientes: uno, de cuyo capital se distribuirán en 600 premios 33$ pesos vincia, se cita, llama y emplaza á D. Cándido A bril, Don El diablo enano: conclusión. fuertes , en la forma siguiente: Manuel Ruiz López y D. Antonio López, para que en el tér­ Bodas entre los griegos: costumbres. mino de nueve días, que por segundo se les señala, comparez­ El dystonne. Premios. Pésos. can en la escribanía principal…</t>
  </si>
  <si>
    <t>CÁNEJA</t>
  </si>
  <si>
    <t>…ritorio q fuerzas navales alli reunidas en la forma siguiente: esolver sin pedir algunas explicaciones. mandaba; y para que no se dude de esta verdad, no hay ¿ 7 Buques ingteses.—Princesa C arlota , 144 cañones: R odney , El Sr. C Á N E J A sostuvo el dictamen haciendo ver la inexac- que leer el art. 7.’ del tratado. Lo úiico que se hizo fue reser 92: P o w er-fu l , 8 4 : Ganges , 84 : Asia , 8 4 : V a n g a rt , 80: itud de los cálculos en que S. S. habia fundado su im pugna- var esa facultad á los individuos que no hubie…</t>
  </si>
  <si>
    <t>Cár</t>
  </si>
  <si>
    <t>…los buenos españoles amantes del trono constitu­ á los españoles. ySusel preciosos y la esclavitud despotismo no volverán jamás á encadenar é inviolables derechos que han.re­ Ayer á las once y tres cuartos de la mañana llegó D. Cár­ cional de vuestra excelsa Hija, y el ayuntamiento deVifiarubia cobrado por el luminoso Gobierno de Y. M. serán sostenidos los á la barrera de Moulin-d\Ars. de los Ojos , que tiene la honra de contarse en ese núm ero, ha firmemente, y la ignorancia y la estolidez no los harán ya mas La comitiva…</t>
  </si>
  <si>
    <t>Cár-</t>
  </si>
  <si>
    <t>…tos con las hordas de los bandidos que se se por el hecho de que los españoles están haciendo la guerra, sea establecer relaciones comerciales beneficiosas con ese amigo. levantan por todas partes y que reciben autorización de D. Cár- precisamente del mismo modo que están acostumbrados á hacer­ Seria ademas una política muy poco previsora , porque todo los para llevar la devastación á todo el p a is , saquear á los h a ­ la , y que ha revelado á todos nosotros en sus escritos el noble arreglo comercial solo puede ser permane…</t>
  </si>
  <si>
    <t>…tales. este verano, y se practiquen los reconocimientos de los Por la anticipación de los 200 millones 288025. • 5 juez dera ,primera magistrado honorario de la audiencia de Zaragoza y instancia en esta corte, refrendada de D. Cár- 254972. .20 los Rodiguez de Moya, escribano de este número, se cita , lla­ demas trozos de aquella carretera que hasta ahora han Por id. de caballos requisados ............. 71007. • 6 impedido en gran parte la estación y los facciosos, á fin Por la contribución extraordinaria de guerra. 106…</t>
  </si>
  <si>
    <t>…s: la de D. Pedro Sauz y Sanz, calle de las Carretas; y en en Cádiz, en la de Hortah en Barcelona, en la para proporcionar vendajes é hilas, se dedicó con todo el afan drid solemnizó la feliz exaltación al trono de los Sres. D. Cár- que exigía esta necesidad á repararla , y se nombraron comisio­ los iv y Doña Luisa de Borbon , su augusta Esposa , y la jura dePiferrer: en Zaragoza, en la de Yagúes en Valencia , en la nes de ciudadanos para hacer en esta capital una cuesta de corno Príncipe de Asturias del Sr. D. Fernando vn…</t>
  </si>
  <si>
    <t>Cárl</t>
  </si>
  <si>
    <t>…a ­ c ida s i e m p r e , g r a b a r á en su perpet ua me mori a la acción de binete de D. Cárlos. Ac a j et e y los nombres de los generales S an t an a , Torrtel y . V a ­ T A M PICO. Hoy se ha hecho correr la voz de q*¿e D. Cárl os h a e n v i a ­ l encia , asi como el de los demas gefes , oficiales y soldados do la orden á los refugiados en F r a n c i a , tales cctno el obispo q u e tanto se h a n d i s t i n g u i d o en ella. En supr ema orden de l . ° del corriente que se me comun i c ó de L e ó n , D. J u a n E…</t>
  </si>
  <si>
    <t>Cárloi</t>
  </si>
  <si>
    <t>…ola bajo diverso punto de vista del que yo la sin embargo de haberlo ad v en id o , uo había embajador británi­ deber duraule el bloqueo era el de vigilar para que los buques miro. Todos sus votos se dirigen por el triunfo de D. Cárloi: co en Méjico. ingleses, por consecuencia del bloqueo, no sufrieseu lo mas yo deseo el de la Reioa Isabel y el del Gobierno constitucional. L ord P a lm erston : Había un agente inglés en esta capital. mínimo. (E strepitosos aplausos.) Yo no puedo estar de acuerdo cou Sir ñ. Pe e l : No qu…</t>
  </si>
  <si>
    <t>Cárlos</t>
  </si>
  <si>
    <t>…? presa de la l e v : se ha enterado también de que por los Sea lo que q u ie ra de todas estas cuestiones que son v e r d a ­ arts. 9 y 18 de la misma se manda terminantemente que deras e x ig e n c ia s , lo cierto es que D. Cárlos ha abandonado las la cantidad señalada a la riqueza territorial se reparta a PARTE NO OFICIAL. cercanías de V e r a , y se ha a c e r c a d o , á pesar s u y o , v o lu n t a ­ riam en te á M aro to , qu ie n á la cabeza de 8 o IOS) hombres qu e los pueblos y contribuyentes por la base de…</t>
  </si>
  <si>
    <t>…ión ésta proposición, El periódico titulado el Comercio dice que han sido visados otros frutos que han llamado la atención pública en los año; y se discutía sin pasar á las seccioiieá, se acordó por la afir­ los pasaportes de D. Cárlos para Salzburgo. Esta noticia carece 1858 y 1859. mativa. absolutamente de fundam ento, pues ningunos pasaportes se han Al mismo tiempo ha creído merecer una mención honorífi­ N o habiendo pedido la palabra en contra ningún Sr. D i­ expedido á D. Cárlos. (Moniteur parisién .) ca consignada en…</t>
  </si>
  <si>
    <t>…tillo del ciónparadero de los créditos de deuda sin ínteres que á continua­ guoCuatroo rs., yestampas modernode6.devoción, por Carmona , precio anti­ se expresan y fueron extraviados en la mensajería de Sala­ Retrato del Rey D. Cárlos iv , por Selma, precio A rs. mismo nombre, y la ronda de la derecha hasta la puerta de manca que salió de esta corte el dia 50 de Junio últim o, á fin Segovia. Comprende los barrios de San Andrés, la Latina , S. Fran­ de que comparezca en el juzgado á dar razón de ellos, en la in­ por Un D.…</t>
  </si>
  <si>
    <t>…nombre se p e lea, y bajo el q u e , Yo lo r ía , de paso, según decía, para ir á ahogar la insurrección de espero con la mas segura confianza, se vencerá. los batallones sobre la frontera; pero después de una entrevista con D. Cárlos volvió Maroto á su cuartel general. Al dia si­ P rim er punto . guiente marchó D. Cárlos á Alzasua en la Borunda (Navarra). PARTE NO OFICIAL. Ahora se dice , pero esto no pasa de un rum or, que al otro dia se trasladó á Elorrio (Vizcaya). "Describir la puntual y exacta observación de una…</t>
  </si>
  <si>
    <t>…nos distinguidos por su ar­ mostrando en todas ocasiones el mayor valor y serenidad. A te todos los meses un estado detallado de los ingresos y gastos dor bélico contra fuerzas triples enemigas. los Sr es. D . Lorenzo Medina y D. Cárlos G il, al D. Francisco del tesoro. Tenemos á la vista las Gacetas de M adrid de los Y otras y otras operaciones de campaña, en las que sin g o­ A b ella , por haber quedado sin piern a, después de haberse sa­ dias 16 y 17 de M arzo, 5 y 13 de A b r il, en las que se halla zar descanso un solo…</t>
  </si>
  <si>
    <t>…lasica, lo la oscuridad y el desorden: compara los gastos de la recau— que debe admitir el siglo xix. La superioridad de_ efectos y cuando falto de una literatura acomodada á nuestra época, lacion en principios del reinado de D. Cárlos iv con los a c tu a - no solo nos parece unida a' que la presentación de Doña Leo­ á nuestras costumbres y necesidades actuales, amenazábale la es, y el número respectivo de empleados en ambas épocas , y nor de Guzn.an en la escena y el heroísmo de sus sentimientos misma esterilidad y postr…</t>
  </si>
  <si>
    <t>…conocido á la R e in a ? ¿ Y tendrían derecho en insistir das en E sp añ a, lo han sido por los carlistas; pero yo espero posición en que D. Cárlos debe encontrarse actualmente. para que se presentase al Congreso un agente de D. Cárlos, que el Gobierno reconocerá que en aquel pais h a y otros mons­ Maroto fusiló sin formación de causa , y aun sin acusación cuando tampoco han reconocido á este? Pero el noble marques truos ademas de aquellos. El Gobierno se ha dirigid o á las de­ ni sentencia fo rm a l, á seis de sus compañ…</t>
  </si>
  <si>
    <t>…ina manifestaron el deseo del noble marques acerca del pronto aumento que pronosticó de mucho mas sólida que la que tenia en la época en que por su (de cüya sinceridad han dado repetidas pruebas) de que la guer­ las fuerzas de D. Cárlos, sino pidiendo á S. S. que recuerde que desgracia descubrieron las Américas, y perdieron sus habitan­ ra se hiciese conforme á los usos de las naciones civilizadas. toda Galicia, Asturias, León, Extrem adura, Andalucía , el al­ tes todo estímulo hacia el trabajo. Aqui debo decir, Milores, en…</t>
  </si>
  <si>
    <t>…y grados; los ministros de dos meses á esta par­ la situación de estas Potencias y los Gabinetes de Fraucia é In ­ importancia. La Vizcaya fue la primera que en 1855 levantó te solo se ocupan en darlos á sus partidarios; y si D. Cárlos ó glaterra que la que nace de las estipulaciones del tratado de la el estandarte de D. Carlos. Zumalacarregui y otros valientes alguno dé sus ministros se negase á ello , las peticiones van al cuádruple alianza. N o me extenderé respecto á las atrocidades generales extendieron el dominio dé D…</t>
  </si>
  <si>
    <t>…jos, tierras baldías, término de la ciudad de Anteque- el fin de activar la remisión de convoyes. los^seres mas útiles é interesante^. Por manera que el agricul­ r » , lindante con tierras que llaman de la Calderona, otras de D. Cárlos se ha dirigido con cuatro batallones, según unos, tor encontrará noticias de que podfá aprovecharse, ya para no la Lagunilla y otras de los bancales, el cual le fue admitido á Lecumberri , y segun otros* á? Tolosa, Carrion con un escua­ sembrar al lado unas de otras plantas que tengan entre…</t>
  </si>
  <si>
    <t>…n las únicas en que llevamos veutaja á los otomanos; historia , por D. José Maria Gutiérrez de la Peña; y un escri­ pero que las de positivo Ínteres social, las que conducen á este, to clásico del Sr. conde de Floridablaoca á D. Cárlos m , que A v ila 31 de Julio. Cerca del pueblo de Naval peral, en á la moralidad y al bienestar del género h u m a n o , son mejor contiene lo acaecido durante su Ministerio. el sitio llamado el Despoblado de ¿aIbelIido y Dehesa de las conocidas, eotendidas y practicadas en el pais que consid…</t>
  </si>
  <si>
    <t>…a­ to por dicha p ro v in cia, por no resultar nada contra su ap ti­ el pueblo, y corrompido y desmoralizado las tropas. mos presentarlas al Congreso para su aprobación. tud legal. Llegados sus planes á sazón, ofició el 2 4 á D. Cárlos para El Sr. B E N A V ID E S dijo estaba completamente satisfecho; Igualmente fue aprobado el de la misma co m isió n , en que que fuese el 2 5 á Elorrio á presidir una jun ta de generales que pero que le parecía oportuno se hiciese una aclaración sobre se proponía la aprobación de las acta…</t>
  </si>
  <si>
    <t>…se asustara VIVERES. Linóes............................................................... 1,789 6 de cajas ni de trom petas £fc. Listados 39,009 7 11 Caldos. Madapolam 15,400 .. 22 En el Músico por amor D. L ain, viendo á D. Cárlos, Mahon. 4,562 2 Pesos. Rs. Mrs. Mantas ó frezadas 1,931 7 hijo de su am igo, dice: Medias.............................................................. 11,462 5 Don Carlitos mió, Aceite de o liv o .. , v. . . 53,642 2 29 Muselinas 21,538 3 17 Aguardiente ;». .... 22,319 6 15 Oían 9,025 4…</t>
  </si>
  <si>
    <t>…lo com unico á V. E. para Las Potencias europeas han estado de acuerdo para la expul­ to de varias comisiones. su inteligencia y p u n tu a l cum plim iento. Dios g u ard e á sión de un Pretendiente en la Suiza , y sostienen á D. Cárlos, El Sr. D iputado Larriva dirige una solicitud al Congreso, V. E. m uchos años. M adrid 4 d e E n ero de 1 8 3 9 ~ A la i x .= Pretendiente mucho mas peligroso. Si la causa de este Príncipe haciendo ver la imposibilidad en que se encuentra para poder S r. ca p ila n g en e ral d e...... tai u…</t>
  </si>
  <si>
    <t>…nsumos los derechos de puertas , y to esto creyese otra cosa. La ida de Arias Tejieiro de orden de prolongado gustoso por unos dias, para que el coronel D .M a ­ con sus trabajos el g i r o , y en consecuencia los productos de D. Cárlos, á pesar de su aparente destierro, lo convence; y lo nuel Ibañez, uno de los mejores servidores que Y. M. cuenta aduan as; proporcionando asi medios con que hacer frente en lo convence m as, el que las cartas dirigidas á D. Cárlos no lo son, en el ejército, pudiese sobre la victoria de las Pi…</t>
  </si>
  <si>
    <t>…ado ya el éxito de sus esfuerzos, habiendo concur­ los cuerpos de voluntarios realistas. N . J. . ................................... 10 rido en los años anteriores a las lecciones de varios socios. La Contestación del Infante D. Cárlos al M inistro plenipoten­ D . V. P. P ................. 100 historia , la literatura , las ciencias políticas y morales, la físi­ ciario de S. M. en P o rtu g al, á la intimación de este de Real or­ Doña Nicolasa Ruiz de la T o r r e ................... 100 ca , idiomas y otros varios ramos de…</t>
  </si>
  <si>
    <t>…a á quien esta cuestión y D. Juan de A u stria , y últim am ente La Popularidad, aum entar su nom bradía. se dirija. ¿ Aplaudiríanse hoy dramas de la estructura de comedia representada tres meses há en el teatro francés de El Sr. Cárlos L atorre, que tanto brillaba en la trage­ Lucrecia Sargia ó de M aría Tudor?... ¿Ha obtenido el Paris, y recibida con entusiasmo. Y com parando el éxito dia cuando era dignam ente secundado, estaba como ais­ P a ria un éxito favorable y significativo?... En cuanto á que en igual época del a…</t>
  </si>
  <si>
    <t>…hos que no merecían ejercerla. Sesión d el dia 7 d e O ctubre, nombraron los individuos que habian de componer el cousejo Debemos ademas considerar que los fueros de las provincias Real de N a v a r r a , y cuan do , en fin, D. Cárlos tuvo un minis­ Vascongadas son una herencia de siglos, un vínculo que viene Se abrió á la una menos c u a r t o , y leída el acta de la ap te - terio. Entonces fue cuando D. Cárlos en una manifestación le generaciones tan remotas; y yo quisiera se me dijese en qué .rior fue aprobada. ofreció…</t>
  </si>
  <si>
    <t>…ari­ dades siguientes: DIRECCION GENERAL DE RENTAS Y ARBITRIOS DE AMORTIZACION. güera , sostenida con el mas cruel encarnizamiento y ahuyen­ 1.a El papel es algo menos blanco y limpio. tando del suelo español al Pretendiente D. Cárlos á pesar de su 2.a El sello estampado en el papel con el busto de S. M. Agosto de 1839. tenaz obstinación. La paz, Señora, será el resultado de este fe­ no tiene la limpieza y brillantez que en los legítimos. Su re­ Estado demostrativo de los capitales de foros, enfitéusis ó ar­ liz suceso,y…</t>
  </si>
  <si>
    <t>…á años.Arévalo Octubre 2 de 1839.=Señora.=A L. R. P .d e V . M.— leales corazones, si al ver renacer la paz, y con ella la abun­ también en nuestro suelo el árbol hermoso de la libertad á tan­ ta costa plantado; y la fuga de D. Cárlos con parte de sus sa­ sé Antonio Rodríguez Sobrino.=:El juez de primera instancia Jo­ dancia en el desventurado suelo español, no se congratularan télites á Francia, le ha hecho ver claro el venturoso día en que Jiménez Cisneros.—Gerónimo Muñoz. — Eusebio Sanz Guer­ con V. M. ...............…</t>
  </si>
  <si>
    <t>…stado , cuyo gura nuestro corresponsal, que parece muy bien informado de producto se entregará cada tres años al autor que mas so­ Habiendo trascurrido ya un año desde la promulga­ lo que pasa en el campo carlista , se halla D. Cárlos arrrestado bresalga en la composición de una obra, sea sobre el reino a n i­ ción de la ley sobre instrucción prim aria, y estando pu­ en su propio palacio, es verosímil que no tenga ningún cono­ mal ó sobre la geología. Por muerte de Mr. Paer ha quedado blicados los principales reglamentos q…</t>
  </si>
  <si>
    <t>…n eva­ para formarse una verdadera idea de la religiosidad de esos sa- tonces principió un encarnizado combate con los batallones ene­ cuaron los enemigos, alcanzando aun un obús de á 4 J dos crílego-simoniacos, partidarios de D. Cárlos. migos , que en posición protegían la defensa; pero el triunfo quintos, y apoderándonos de municiones y cuanto existia en MEs costumbre muy antigua en todos los países católicos re­ fue coronado con su derrota, por las brillantes cargas á la ba­ el fuerte, que está ya reunido á las piezas de…</t>
  </si>
  <si>
    <t>…salida del mensajero, de que iban á derribarla horca. tortosin á todas sus hordas. ¿Q uerrá oponerse á los victoriosos amigos contra amigos, parientes contra parientes, hermano: Se hacia creer á los carlistas y al pueblo que D. Cárlos ha­ y valientes del Norte y del Centro? ¡Ojalá lo intentase, espe- contra hermanos y padres contra hijos. ¡Noche funesta! qu&lt; bía mandado llamar al ex-conde para entrar luego con él acom­ rasey no corriese, que allí se daria fin á todo lo mas malo que consumió vidas , honras y fortunas. N o e…</t>
  </si>
  <si>
    <t>…costumbres, los trajes, la expresión están caracterizados las deponéis, os cumpliré mis promesas, como no lo h arán j a ­ con la vérdad , con la inimitable gracia que én lós demás* del mas los ambiciosos de que habla Maroto ú D. Cárlos que qu ie­ autor.:, p a r a dar. á conocer todos sus pormenores seria preciso ren m edrar á costa de vuestra ruin a y la de la patria que les D E L PR IN C IPIO D E L A I M I T A C I O N . . escribir u n artículo. D ig n o discípulo s u y o , y brillante espe­ dióiebsétv C uartel generalI…</t>
  </si>
  <si>
    <t>…citado se cite, lia- Continuación de la correspondencia secreta entre el Rey tasados el primero ea 29,34^ rs., y el segundo en 125,104 rs. me y emplace, como lo ejecuto, á todas las personas que por D. Fernando vn y el Infante D. Cárlos. por los agrimensores aprobados D. Félix. Nuñez y Trenas y créditos ú otras causas se crean con derecho á dichos bienes, Jura de la Serma. Infanta primogénita. D. José Martin Almagro, y la casilla, pozos y norias en para que ea el improrogable término de 80 dias, contados des­ Pasquines y pro…</t>
  </si>
  <si>
    <t>…l dia siguiente de realizarse el sorteo se darán al público con las listas impresas de los números que hayan conseguido pre­ uso almuchas formulas de varios preparados, que no estaban en clásico del Sr conde de Floridablanca á D. Cárlos n i que con­ salir la ultima edición francesa, y se emplean por dife­ tiene lo acaecido durante su ministerio. m io , y por ellas, y no por ningún otro documento, se satis­ rentes farán las ganancias en las mismas administraciones donde h u ­ cionalesprácticos del arte de curar , tanto estra…</t>
  </si>
  <si>
    <t>…usilado. reales v n .; la segunda en 17 4,509 , y la últim a en 9 0 ,1 1 0 ; se­ Albacete....................... 13 180572..20 2464 OO ñalándose para el remate la hora de las doce del dia 4 de Oc­ Los batallones que siguen á D. Cárlos apenas llega nin gu­ Badajoz......................... 40 162829 357685 no á 550 hombres, y la deserción aumenta d iariam en te; este tubre próximo en el despacho de la intendencia, admitiéndose Cáceres 25 197768 467371 posturas en metálico que cubran las dos terceras partes de di­ cálculo de…</t>
  </si>
  <si>
    <t>…in dificultad de la corte de los obispos y frailes , M iram bel, por mientos que habia ciedad , parece ser el espíritu dominante del siglo. Dejando las las tropas leales, cuyo puntóse fortifica provisionalmente, ocu­ salida de D. Cárlos producido del el convenio de Yergara , y de la territorio español, dispuso solemnizar naciones tranquilas y prósperas con los dones de la paz, y de­ pando al mismo tiempo á Moriroyo, el Horcajo y todas las po­ en aquella corte un hecho tan venturoso y notable , en el dia teniéndose solo en…</t>
  </si>
  <si>
    <t>…misión de esta naturaleza á una persona que en su para dar á mis discursos una versioa perniciosa á la causa pú­ ción ha sido mucho mas difícil, porque habiéndose recargado á manifiesto se podia decir que hacia la apología de D. Cárlos, y blica. N o , el cuidado de poner las cosas en claro es mió, el bien los administradoresé interventores de correos en trabajos distin­ no pudieodo nunca aprobar que el Gobierno se hubiese valido de la patria lo exige; pero ese cuidado no será llevado al exceso tos á mas de los que ejercía…</t>
  </si>
  <si>
    <t>…prontuario de la legislación adm inistrativa vigente historia , por D. José M aría Gutiérrez de la Peña; y un escri­ por orden de materias y cronológico; una lista bibliográfica, y to clásico del Sr. conde de Floridablanca á D. Cárlos m , que un índice muy circunstanciado de materias. Dominicas, ferias y fiestas movibles del año cristiano de contiene lo acaecido durante su ministerio. España, por D. Joaquín Lorenzo V illauueva. Seis tomos e n 8.° Nota. Esta obra se escribió contando con que vería la luz Los Sres suscript…</t>
  </si>
  <si>
    <t>…ra M a ro to , y ha ocupado á Yera. Zariátegui ha marchado y para no hacer demasiado difuso este informe , se omitirán de mi obligación declarar que el sistema ssi recomendado está allá para reducirlo al o rd e n , y el mismo D. Cárlos salió de las muchas reílexiones que oportunamente se produjeron en la Tolosa con si mismo objeto. discusión, unas en pro y otras en contra de los principios i n ­ en oposición directa con mi sistema habitual y el de todos los culcados en la Memoria , mediante á que reasumiendo los a u ­ p…</t>
  </si>
  <si>
    <t>…didas por el obispo de Elío marcha de Tolosa contra ellos con tres batallones: el 12 Minisierio de Hacienda é inserta en la Gaceta deí sába­ León en G uetaria, donde reside aquel prelado (á dos leguas de con él. (Id)Lesaca con D. Cárlos, á quien ha obligado á venir estaba en do 17, número 1737, sobre los trasbordos de los carga­ Bayona),.han partido emisarios para la frontera donde están mentos de bacalao, procedentes de Terranova, que lleguen oidos, según se dice, á cuyo au n, y para N avarra, comandante carlista Elío ha…</t>
  </si>
  <si>
    <t>…, por D. José M aría Gutiérrez de la P eñ a; y un escrito te al cuidado de los huevos y educación de los hijuelos, espe­ bablemente el husillo para h ilar, compuesto de varios tobillos clásico del Sr. conde de Floridablanca á D. Cárlos m , que con­ cialmente aquellas que viven en sociedad. Llegado el período de longitudinales , y terminando en un solo orificio, por el que el tiene lo acaecido durante su M inisterio. la fomeotacioo completa del huevo, rompe la larva su prisión ó gusano arroja los hilos de seda , los que , au…</t>
  </si>
  <si>
    <t>…entos de antiguo 50 rs., y moderno 4 O. la audiencia de Sevilla, y decisión del supremo tribunal de Justicia en el recurso de queja deducido por el mismo. T R AsosT ASres. D O de paz y amistad entre los muy altos y podero­ D. Cárlos iv , Rey de España, y D . Juan, Prín­ Noticia del recurso de nulidad interpuesto por D . Francisco cipe Regente de Portugal y de los Algarbes, firmado en Bada­ E l descendimiento de la cruz. P u ig , y decisión del supremo tribunal de Justicia. joz á 6 de Junio de 1801. Un cuaderno en 4*° ma…</t>
  </si>
  <si>
    <t>…para el en sesión el Consejo. El fraile, oida esta respuesta , regresó adonde estaba Elú*: juzgado de primera instancia de Burgos, vacante por trasla­ Se asegura que los cinco ministros M M . Passy, Teste , V i- poco después D. Cárlos salió de Lesaca pera Goizueta escoltado ción de D. Faustino Arranz , á D. Lorenzo Cobo de la Torre llemain , Dufaure y el alm irante Duperré se han declarado en por Elio con cuatro compañías del 7.° y una parte del 11.° ba­ que desempeña el de Logroño; para esta judicatura á D. Pele- favor…</t>
  </si>
  <si>
    <t>…xplicaciones acerca de apresuraría á tornar posesión de los Estados de su pariente, d e ­ en que se ejecute por contrata , remita las noticias que se la la conducta del agente ruso de que acaba de hablarse, y estas jando al duque Cárlos que hiciese valer sus derechos como ju z ­ p i d e n , me ha pasado la ad jun ta comunicación. A l elevarla á explicaciones han sido m u y satisfactorias. Yo esperaba que las gase conveniente. V . E. no puedo menos de manifestar que la diputación jamas piezas se h allarían en estado de ser so…</t>
  </si>
  <si>
    <t>…rzas y recursos que sido licenciados; pero si se considera que puestos en las filas re*- á esta hora se halle el general Aspiroz próximo á dicho punto, no existían, y que avanzara la reacción, que en la absoluta in ­ beides de D. Cárlos podian optar á la misma gracia , porque la en cuyo socorro ha marchado á las cuatro de la mañana en el comunicación en que se hallaban los sublevados de toda noticia guerra civil tiene estas anomalías, y que economizando el tras­ momento de haber reunido sus tropas. (Id.) é ignorancia de la s…</t>
  </si>
  <si>
    <t>…. Es preciso, señores, hablar alto S. S. ha dicho que habia desaparecido de España el Go­ que se llama libertad, con contribuciones no votadas por la na­ como debe hablar un pueblo; hablar alto como debe hablar una bierno de D. Cárlos, pero S. S. ha olvidado que no es asi en ción dignamente representada, y que asi es como se la va acos­ nación; hablar alto como lo exige la justicia de un pueblo tris­ Aragón, Valencia y Cataluña ; y es necesario conocer que está tumbrando al despotismo. temente sacrificado; hablar alto com…</t>
  </si>
  <si>
    <t>…idos mas agu- mente que los personajes indiciados de intrigantes políticos que porque con su Real aprobación ha dado un consuelo á este pue­ d(K , la tensión de los ligamentos vocales se aumentaba , aunque se hallaban junto á D. Cárlos han sido separados de su lado. blo afligido y casi reducido á la miseria! ligeramente, y que la mayor tensión posible era insuficiente pa­ ' _______________ (Idem .) ra producir los sonidos agudos, cuando estos ligamentos se ha­ llaban en toda su longitud. Aunque se ha demostrado que la g…</t>
  </si>
  <si>
    <t>…án gozar tranquilamente ción de la guerra española mas que con la silla de posta que Señora: Los faustos acontecimientos últimamente ocurridos los días que el cielo los mantenga sobre la faz de la tierra. La ha suministrado á D. Cárlos. (Courrier de Bordeaux .) en las provincias del Norte han llenado de un extraordinario sagrada libertad está á punto de consolidarse perpetuamente, júbilo á todos los buenos españoles amantes del trono constitu­ á los españoles. ySusel preciosos y la esclavitud despotismo no volverán jamás…</t>
  </si>
  <si>
    <t>…upones. El segando cargo que S. S. ha hecho al ministerio es que D igo á la segunda cuestión que el proyecto de ley no com­ Vales Reales no consolidados, 00. disolvió unas Cortes por moderadas , y no marcha con otras prende á D. Cárlos ni á su f a m ilia , porque están privados del Deuda negociable de 5 por 100 á p a p e l, 00. por exaltadas. Era menester, señores, entrar aqui en las razo­ derecho á la corona por una ley especial. Idem sin in terés, á 12 d. f. ó vol. nuevas. nes que movieron al Gabinete á aconsejar a S. M…</t>
  </si>
  <si>
    <t>…Enero 9 de 1839.—V i- lo s; cada cual tiene las su yas: unos en favor de la R e in a, otros Art. 6.° La mitad en metálico á que se refiere el ar­ cente Sessé y Calvet.=Por mandado de S. S . , V icente Gon­ quizás en favor de D. Cárlos. (M urm ullos n ega tiv o s .) tículo an te rio r, se pagará por partes iguales en once men­ zález M ella. E l P resid en te d el C onsejo : No lo creáis. sualidades subsiguientes á la prim era designada en el a r­ E l m a risca l C lausel : No quiero explicarme tao explícita­ tículo 4.° m e…</t>
  </si>
  <si>
    <t>…e recibido sus muerte de Fernando v n , manifestando al mismo tiempo los nerales , á que asistieron S. A. R. el Príncipe de Astúrias y el dos estimadas cartas de 20 y 25 del despedido. Con la primera medios que el partido de D. Cárlos tiene organizados para Sermo. Sr. Infante D. Sebastian , y en que se dispuso el plan de me remite una del Sr. príncipe Lichonovirhe, á quien se servirá combatir la causa de la Reina Doña Isabel n , y las medidas que operaciones mas adaptado á nuestras circunstancias actuales. EL poner en sus…</t>
  </si>
  <si>
    <t>…PARTE NO OFICIAL. Se asegura que nuestro cónsul M r. Cochelet ha sido desti­ t u id o , y que le reemplaza M r. Fernando B a rr o t, hermano del sus fuerzas. La defección de Cárlos Alberto es un nuevo golpe para la causa de D. Cárlos, y viene á equivaler al que sufrió célebre D ip u tad o : también se habla de la destitución deFcó n - la causa constitucional en 1825 en el Trocadero. sul general de A u s tr ia . Una carta de Viena fecha de 18 de Noviembre , dirigid a a NOTICIAS EXTRANGERAS. la G aceta universal d e Leip…</t>
  </si>
  <si>
    <t>…ria que se propone escribir , y versa particularmente sobre hacerlo, pues he querido y quiero á V. de corazón, y no soy de un tal Monsieur M eyer en Burdeos, aparece escrita de entera­ la ignorancia supina de los oficiales de D. Cárlos, sus malos Jos españoles jóvenes como Y. solía decir, sino délos rancios que mente distinta le tra, y debe ser también de otro sugeto que la modales, la malísima educación que se da al pueblo, su fa ­ nunca olvidan á sus amigos. Mis intenciones han sido y son las anterior. Empieza el que esc…</t>
  </si>
  <si>
    <t>…an ido sucesivamente á Saint-Cloud. MINISTERIO DE HACIENDA El Centinela de los Pirineos asegura que el brigadier Var­ el ministro El conde de Montalivet, el encargado de negocios de Rusia, eas, que habia seguido á Bourges á D. Cárlos, ha prestado de Dinamarca, la condesa Duchatel y un gran nú­ Real orden. juramento á la Constitución. (Id.) mero de personas se han sucedido durante la noche en los sa­ lones del Rey. Éxcmo. Sr.: Por Real orden de 7 de Octubre de 1834 La Reina se retiró á las diez y media. (Debats.) se ha…</t>
  </si>
  <si>
    <t>…spués de haber atravesado la Ca t a l uñ a , pidió i nm e d i at ame n ­ cursos y la mejor acogi da del v e c i nd a r i o, á qu i e n de un gol pe le ha c a l ma do la ansi edad y a m a r g u r a de que estaba poseído, te á D. Cárlos que firmase una orden d i r i g i d a á Cabrera i n ­ M éjico 5 de M ayo. ti mándol e la de expulsar á Ar i a s Tei jei ro de A r a g ó n y C a t a ­ pues confia eó que la sola presencia de V . E. ac oba rda r á al ene­ m i g o , y ella será bastante pará t er mi na r u n a g u e r r a que…</t>
  </si>
  <si>
    <t>…por destinado, según se decía, para la T u r ­ haberse adelantado hasta sufrir muy de cerca el fuego de sus El conde de’Lages, senador, ha sido nombrado por decrete ha incendiado quía, pero que en realidad conducia armas para D. Cárlos, se primeros parapetos. La total pérdida en el dia en todas las a r­ de 16 de M ayo Ministro de la Guerra del Brasil, en reemplazo en la rada de Porfsmouth , salvándose como unos m a s, no excederá de cinco muertos y 74 heridos de la clase de de M r. de Regó B arros, que ha hecho dimisión.…</t>
  </si>
  <si>
    <t>…tar en la ráp id a á que contribuirá no poco el último memorable acaecimiento principiarse la función solemne que previene la Real orden. y uniforme organización é instrucción de fuerza tan nume­ de la huida del pretendiente D. Cárlos al territorio francés. M adrid 2 4 de Setiembre de í8 59.= P edro obispo, arzobispo rosa, sin menoscabar, empero, las atribuciones de los alcaldes y ¡ Loor eterno al invicto y prudente gen eral, y á su valiente y electo de Toledo, gobernador s e d e vacante.~&amp;\ secretario de ayuntam ientos ,…</t>
  </si>
  <si>
    <t>…ado para justificar la legitimidad de los derechos el G abin ete, quedo satisfecho ínterin no se renueve el ataque tan pronto como se ilustró én varios establecimientos y univer­ de la Reina en contraposición á los que alegaba D. Cárlos han ó se suscite nuevo motivo de duda. sidades la opinión contraria que antes teniau fo rm ad a, cesaron sido dados por el patriotismo y la leal voluntad de ese persona­ El Sr. C A L A T R A V A (D. José M a r ía ) : Y a que tengo la los socorros que aquellas potencias mandaban á D. C árlos,…</t>
  </si>
  <si>
    <t>…contrato se habia hecho entre el Go­ personal. merecen sus autoridades. bierno de una parte y D. Luis Sartorio, de otra. Dice asi. El Sr. Vicepresidente Z U M A L A C A R R E G U I: V. S. no ha Interceptada la comunicación de D. Cárlos se veia en ella {Leyó.) hablado. que los confidentes le decian que por desgracia esta habia abor­ El orador continuó contestando á varias observaciones he­ El Sr. B A A R IO A Y U S O : Tengo la desgracia de no po­ tado antes que hubiesen correspondido las demas provincias. En chas ayer por…</t>
  </si>
  <si>
    <t>Cárlos, D.</t>
  </si>
  <si>
    <t>D. Cárlos</t>
  </si>
  <si>
    <t>…pero carecen tro izquierdo.) do este vacío publicarem os las actas que tienen relación de claridad: por manera que podréis encontrar en la Cámara M r . M athieu de la R edonte: No puedo dejar de felicitar­ con el reinado del Sr. D. Cárlos 111, que es la parte mas dos especies de apoyos fundados en motivos absolutamente d i­ me por haber llamado á esta tribuna al ministro de Trabajos interesante en nuestro concepto de la importante cuestión versos. públicos: confieso que no esperaba menos de su lealtad, y tam­ Señores, es…</t>
  </si>
  <si>
    <t>…n el Boletín oficial de esta provincia bre de bien, en que ha muerto. Fue nombrado por S. ML alabanza de un personaje que en otras mas expuestas ocu­ p a ra conocimiento de sus h a b ita n te s , los cuales sabrán a p re­ el Sr. D. Cárlos iv gentilhombre de Cámara con ejercicio paciones supo conservar su buen nombre en medio de las ciar sin duda este testimonio de benevolencia que les da el E x ­ en 4 de Febrero de 1802; y en esta pacífica ocupación, borrascas en que han naufragado casi todos los hombres celentísimo Sr. c…</t>
  </si>
  <si>
    <t>Cáríos</t>
  </si>
  <si>
    <t>…opiedad , los Decretos, proclamas y otros documentos im portantes, ex­ tando entre otras razones que esta instancia carecía de datos y interinos con Real nombramiento y ios doctores que esten m a­ pedidos á nombre del Infante D. Cáríos; comunicaciones del fundamento en que apoyarse; pero desengañado después S. S.. triculados. mismo á la Reina Gobernadora , y órdenes al Consejo Real y puso fin á su discurso haciendo presente su equivocación. 7.a Los doctores no catedráticos, que desde luego aspiren á Secretarios de Estado…</t>
  </si>
  <si>
    <t>Césa</t>
  </si>
  <si>
    <t>…odas las señales de la 2.° O pinan do por la admisión de los suplentes por G ra n a ­ y repetidos servicios ? ¿Seria prudente separarlos gra dualmen- debilidad y la flaqueza que ha de conservar luego toda su vida. da y Gerona D. Césa reo María Saenz y D. José Feliu M i r a - menle, según propone la sociedad, para irlos castrando, esto El cuello se le adelgaza; los músculos pierden aquellas formas Hes, por renuncia de los Diputados propietarios electos por es, para ir haciendo malos á los buenos, exponerse á perder cuadradas…</t>
  </si>
  <si>
    <t>Cór</t>
  </si>
  <si>
    <t>…Cleonard que llegó después á Sevilla. Ha leído tado por S. Í5. sobre la independencia de los jueces, y dice que dad de Cádiz. Que las provincias de Córdoba, Huelva y Sevi­ también el Sr. Huet un documento en que dice el general Cór­ no duda que tanto los individuos de la audiencia de Sevilla co­ lla no se declararon entonces en estado de sitio, sino con fecha doba , que convencida de que la autoridad tenia miras conci­ mo de las demas de la Península, tienen en su corazón la li­ m uy posterior, y no por el conde de Cleo…</t>
  </si>
  <si>
    <t>…D. José María R eig........................ ........ ............. Alicante. restantes D. Manuel Ramos, D. Froilan García Sánchez y Don caciones, que la huella que dejan es transitoria, y es me­ Juan José Bonel y Orbe* obispo de Cór­ Bernardo Mallo, publicándose en seguida por el Sr. presidente doba........................................................... nester criterio harto fino y ejercitado para deducir de D. Antonio Solís................ ............. .. ................... Avila. Almería. la votación. ellos la ver…</t>
  </si>
  <si>
    <t>Córdoba</t>
  </si>
  <si>
    <t>…sino que también en­ falta de transacción. Dice el general Sanjuanena que entró á to­ lión y de rebelión abierta , por mi parte no hubiera tenido d i­ traba en la interpelación del Sr. Iznardi. . mar el mando {leyó.) El general Córdoba, que entregó el mando, ficultad ninguna en entrar en este exámen. { E l Sr. A lc a lá El Sr. P R E S ID E N T E observó que habia habido seis inter­ se expresa de este modo {leyó.) Pues si uno y otro están con­ G alian o p íd e la p a la b ra en contra.) El suceso de Sevilla que el pelacio…</t>
  </si>
  <si>
    <t>…7 de Octubre D. José M aría Moscoso de A ltam ira. Ja én . que habían llegado allí dos bombardas de Vapor francesas de paso para Veracruz. {(ti.) V icepresidente. « D . José M anuel Vadillo. D. Juan José Bonel y Orbe , obispo de Córdoba. « D . Pedro Antonio A cuña. D. José M aría de Ezpeleta , conde de Ezpeleta. « D . Luis Balanzat. SUECÍA. León. S ecreta rios. « D . Francisco Verea Cornejo. Stokolmo 1 d e D iciem bre. «M arques de Falces. «D . Joaquín D íaz Caneja. «D . José de Isla Fernandez. D. A yer á las cinco d…</t>
  </si>
  <si>
    <t>…s. Dios guarde á V . S. muchos años. M ontilla 18 de J u n io crítica posición en que se encuentran. Parece que por ahora habia dirigido á los Sres. duques de F r ia s , F ern an -N uñ ez y de 1 8 5 9 .= Ju an J o s é , obispo de Córdoba.=Sr. gefe superior vendrá á esta el batallón de m arin a; pero suponemos que esta Medinaceli pidiéndoles socorros c ar ita tiv o s, y ha tenido la g r a ­ político de esta provincia. (B .O .) será una medida para cubrir por de pronto este punto y Peñís- ta satisfacción que el primero h a y a…</t>
  </si>
  <si>
    <t>…pel que le pertenecen1 Diego Antonio de Liria Sánchez, en reemplazo de D. Juan único caso en que deberá ir acompañada de la correspon­ en esta grande cuestión. El Gabinete se había dividido al prin­ José Buriel y O rbe, obispo de Córdoba: por la de G rana­ diente guia. De Real orden lo digo a Y. S. para su inteli­ cipio acerca del modo de adoptar aquellos medios ; pero ahora da á D. Miguel E spinar, en reemplczo de D. Manuel de gencia y efectos oportunos. Dios guarde á V- S. muchos existe en el seoo del Consejo la mayor unan…</t>
  </si>
  <si>
    <t>…apitán general de Andalucía con fecha 11 del actual, de l859^=Excrao. Sr ~EI presidente, Francisco Muñoz y A ñ ­ titud que rinde la villa de Manzanares por la aparición del iris y refiriéndose á un parte del comandante general de Córdoba, il rade.—Francisco María Montoro.—Por acuerdo de la d ip u ta ­ pacificador: asi rendidamente lo suplica la municipalidad repre­ dice que en fuerza de la viva persecución hecha á la facción ción provincial, Miteo Candalija.ziExcmo. Sr. Ministro de la sentante, mientras por la importante vid…</t>
  </si>
  <si>
    <t>…iende , ippcimiento del público há llegado á noticia dél Gobierno de tísimo Sr.: Paso á V. E. el siguiente parte semanal, según V» E. el arriendo en los tres primeros meses del inmediato. X M* la inesperada evasión del general Córdoba al vecino me lo tiene prevenido por Real orden. 5.a Los tabacos inútiles, objeto de esta subasta, son los reino de Portugal, w Camino de Olmedo d Valladolid. que produzcan las fábricas en sus elaboraciones, los que proce­ dan de comisos, si no se pudiesen aprovechar en aquellas, y Número…</t>
  </si>
  <si>
    <t>…zgar los actos del Go~ mente contraria á este acuerdo. hubiera creído mas oportuno dirigirnos á la Madre del pueblo, bierno no se debe ó no es menester atender á los resultados. Se­ Se dió también otra orden para que el general Córdoba pa­ á la que siempre ha atendido sus justos clamores con un res­ ñores, sase por esa causa á ser juzgado en Yalladolid. El Congreso ha petuoso mensaje, y esa hubiera sido tal vez mejor contestación. cuando yosiempre creo que cuando el hombre es todo circunstancias' obra uaa especie de nece…</t>
  </si>
  <si>
    <t>Córreos</t>
  </si>
  <si>
    <t>…samente conocidos , y te al criminal en Filadelíia. Pero este círculo, por árido y este dirigido por D. Manuel Gasas. Se presentarán reformadas severo que parezca , dista menos del sistema ordinario de la La dirección general de Córreos, en cumplimiento de lo y restauradas todas las decoraciones de los cuatro primeros ac­ vida de muchas clases de aquella población original de lo que mandado por S. M. la Reina Gobernadora en 26 del corriente, tos, y nueva la del últim o, pintada por el acreditado profesor á primera vista pa…</t>
  </si>
  <si>
    <t>D, Ceuta</t>
  </si>
  <si>
    <t>Ceuta D</t>
  </si>
  <si>
    <t>…s griegas; señaladamente el d ríg u e z , de V illarrub ia, cogiendo sus armas y caballo. En Ilereucia se ha presentado á indulto Vicente García prim ero es m uy feliz en describir la insustancialidad inge­ El 16 el teniente de Ceuta D., Francisco de Paula Mooaste- Mastaraque. niosa de los atenienses del siglo de Pericles. Pero n in gu­ &lt;rio con 30 infantes de su cuerpo por una marcha nocturna de Bajas del enemigo , 9 muertos , 1 7 prisioneros y un indul­ na de estas obras puede compararse ni en el estilo, ni en la «¿ete l…</t>
  </si>
  <si>
    <t>D, Cuenca</t>
  </si>
  <si>
    <t>Cuenca D</t>
  </si>
  <si>
    <t>…án al año con el interés que agen­ Y D E L D ESPACH O DE L A G U E R R A . da el accionista una cantidad que multiplicada con constancia e convertirá en ayuda estimable de una fam ilia menesterosa; que El comandante general de Cuenca D. M a rtin José Iriarte al vez se verá libertada por e*ta conducta previsora del rem ur- desde Cardenete el 5 del actual manifiesta el movimiento que DEL limiento y el dolor, compañeros inseparables del primer delito practicó con las fuerzas de su mando, conduciendo un convoy :ometido ge…</t>
  </si>
  <si>
    <t>D, D. Francisco Bartolomé y Colorao. Sr.</t>
  </si>
  <si>
    <t>D. Francisco Bartolomé y Colorao. Sr. D</t>
  </si>
  <si>
    <t>…Trueba Cosío. Sr. D. Agustín Mela. Sr. D. Angel Iznardi., Segovia. Badajoz• Sr. D. Joaquin Garrido. Huesca. Sr. D. José Balsera. Sr. D. Marcos Marin. Sr. D. Miguel Cosío. Sr. D. Francisco de Lujan. Sr. D. José Queraltó. Sr. D. Francisco Bartolomé y Colorao. Sr. D. Juan José García Carrasco. Sr. D. Antonio Puicerciís. Sr. D. Facundo Infante. Sr. D. José Perez de Rivas. Sevilla. Sr. D. Manuel Perez Hernández. Sr. D. Alejandro Olivan. Sr. D. Francisco Olavarrieta. Sr. Jaén. Sr. D. Rarnon María Narvaez. Baleares {isla…</t>
  </si>
  <si>
    <t>D, D. Francisco Olavarrieta. Sr. Jaén. Sr.</t>
  </si>
  <si>
    <t>D. Francisco Olavarrieta. Sr. Jaén. Sr. D</t>
  </si>
  <si>
    <t>…raltó. Sr. D. Francisco Bartolomé y Colorao. Sr. D. Juan José García Carrasco. Sr. D. Antonio Puicerciís. Sr. D. Facundo Infante. Sr. D. José Perez de Rivas. Sevilla. Sr. D. Manuel Perez Hernández. Sr. D. Alejandro Olivan. Sr. D. Francisco Olavarrieta. Sr. Jaén. Sr. D. Rarnon María Narvaez. Baleares {islas). Sr. D. Joaquin Francisco Pacheco. Sr. D. Bartolomé Marin y Tauste. Sr. D. Juan Morales Cortina. Sr. conde de Ayamans. Sr. D. Antonio Benavides. Sr. marques de la Motilla. Sr. D. Pedro Juan Morell. Sr. D. Francisc…</t>
  </si>
  <si>
    <t>D, D. Gregorio Quiroga y Frias. Sr.</t>
  </si>
  <si>
    <t>D. Gregorio Quiroga y Frias. Sr. D</t>
  </si>
  <si>
    <t>…ugo. Toledo. Sr. D. Félix M artin. Cáceres. Sr. D. Antonio María M iranda, electo. Sr. D. Julián Iluelves. Sr. D. Antonio Perez Aloe. Sr. D , Manuel Vázquez Queipo; &gt; Sr. D. Mariano Jaén. Sr. D. Gonzalo Carvajal y IIIloa. Sr. D. Gregorio Quiroga y Frias. Sr. D. Juan José ligarte. Sr. D. Rufino García Carrasco. Sr. D. Vicente Vázquez Móscoso. Sr. I). Juan Pedro Quijana. Sr. D. Vicente Silva. Sr. D. José María Pardo Montenegro. Sr. D. Víctor Fernandez Alejo. Sr. D. Miguel García Cornejo. Sr. marques viudo de Valladares…</t>
  </si>
  <si>
    <t>D, D. José Guillen y Gras. Sr.</t>
  </si>
  <si>
    <t>D. José Guillen y Gras. Sr. D</t>
  </si>
  <si>
    <t>…electo. Sr. D. Juan José Cadaval. Sr. D. Jorge Gisbert. Sr. D. Francisco de Paula Castro. Sr. marques de Villagarcía. Sr. D . Manuel Franco, electo. Sr. D. Manuel de Seijas Lozano. Sr. D. Pedro María Fernandez Villaverde. Sr. D. José Guillen y Gras. Sr. D. Juan José Fonseca. Sr. D. Ramón López Vázquez. Sr. D. Vicente Santón ja. Sr. Guadalcjara. Salamanca. Almería. Sr. D. José Muñoz Maldonado. Sr. D. Joaquin de Vilches. Sr. D. Santos López Pelegrin. Sr. D. Manuel José Perez. Sr. D. José Salamanca. Sr. D. Manuel Hidal…</t>
  </si>
  <si>
    <t>D, D. Juan Alvarez y Mendizabal. Sr.</t>
  </si>
  <si>
    <t>D. Juan Alvarez y Mendizabal. Sr. D</t>
  </si>
  <si>
    <t>…ban. Sr. D. Julián Villalva. Sr. D. Joaquin María López. Sr. D. Vicente Sancho. Sr. D. José María H uet, electo. Sr. D. José Landero. Sr. D. Paulino Jiménez. Canarias {islas). Sr. D. Dionisio Valdés. Sr. D. Pedro Calzada. Sr. D. Juan Alvarez y Mendizabal. Sr. D. Andrés Alcon. Sr.) gr’&gt;C No está aprobada el acta de elección. Sr Málaga. Valladolid. Sr.) Sr. D. Antonio de los Rios y Rosas , electo. Sr. D. Mariano Miguel de Reinoso , Secretario 1.° Castellón de la Plana. Sr. marques de Casa-Iru jo. Sr. D. Luis Rodríguez…</t>
  </si>
  <si>
    <t>D, D. Juan Burguez Zaforteza. Sr. Sr.</t>
  </si>
  <si>
    <t>D. Juan Burguez Zaforteza. Sr. Sr. D</t>
  </si>
  <si>
    <t>…Benavides. Sr. marques de la Motilla. Sr. D. Pedro Juan Morell. Sr. D. Francisco Curado y Fajardo. Sr. D. Juan Bravo Murillo. Sr. D. Miguel Salvá y Cardell. Sr. D. Pablo Ayala y Moría. Sr. D, Francisco Armero y Peñaranda. Sr. D. Juan Burguez Zaforteza. Sr. Sr. D. Nicolás Rípoli. León. Soria. . Barcelona. Sr. D. And rés Leal. Sr. D. Segundo Sierra y Pambley. Sr. D Manuel Barrio-Ay uso. Sr. D. Joaquin Rey, Vicepresidente 5.° Sr. D. Pascual Fernandez Baeza. Sr. D. José Antonio Flaquer. Sr. D. León Ilerques. 7 1arragona…</t>
  </si>
  <si>
    <t>D, D. Juan de Posada Arguelles. Sr.</t>
  </si>
  <si>
    <t>D. Juan de Posada Arguelles. Sr. D</t>
  </si>
  <si>
    <t>…Agustín Armendariz. Sr. D. Jacobo Florez, electo. Sr. D. Alvaro Florez Estrada. Secretarios. Cuenca. Sr. conde de Toreno. Sr. D. J osé María Navia Osorio. Sr. D. Mariano Miguel de Reinoso. Sr. D. Andrés Martinez del Peral. Sr. D. Juan de Posada Arguelles. Sr. D. Luis Mayans y Enriquez. Sr. D. Fermin Caballero. Sr. D. Wenceslao Toral» Sr. D. José Gispert. Sr. D. Juan López Pelegrin. Sr. D. Francisco Posada Fernandez de Córdoba. Sr. D. José Fermín Muro. Sr. D. Juaa Alfonso Montoya. Sr. D. Alejandro Mon. Alava . Sr. D. P…</t>
  </si>
  <si>
    <t>D, D. Manuel de la Rivaherrera. Sr.</t>
  </si>
  <si>
    <t>D. Manuel de la Rivaherrera. Sr. D</t>
  </si>
  <si>
    <t>…ares. Sr. D. Nicolás Fernandez Bolado. Sr. D. Mauricio García. Sr. D. Francisco Javier Istdriz. Sr. D. Ricardo Henry. Sr. D. Manuel Feijóo y Rio. Vicepresidentes. Sr. D. Nicolás de la Riva. Sr. D. Tomas de Prada , electo. Sr. D. Manuel de la Rivaherrera. Sr. D. José Fermin Muro , Secretario 4»° Oviedo. Sr. duque de Gor. Sr. D. Ramón de la Sagra.¡ Sr. D. Joaquin Rey. Sr. D. Antonio Loriga. Sr. D. Pablo Mata Vigil. Sr. D. Agustín Armendariz. Sr. D. Jacobo Florez, electo. Sr. D. Alvaro Florez Estrada. Secretarios. Cuenc…</t>
  </si>
  <si>
    <t>D, D. Manuel de Seijas Lozano. Sr.</t>
  </si>
  <si>
    <t>D. Manuel de Seijas Lozano. Sr. D</t>
  </si>
  <si>
    <t>…sa* Sr. D. Domingo Fontan. Sr. D. Antonio Sereix. Sr. D. Francisco Egaña, electo. Sr. D. Juan José Cadaval. Sr. D. Jorge Gisbert. Sr. D. Francisco de Paula Castro. Sr. marques de Villagarcía. Sr. D . Manuel Franco, electo. Sr. D. Manuel de Seijas Lozano. Sr. D. Pedro María Fernandez Villaverde. Sr. D. José Guillen y Gras. Sr. D. Juan José Fonseca. Sr. D. Ramón López Vázquez. Sr. D. Vicente Santón ja. Sr. Guadalcjara. Salamanca. Almería. Sr. D. José Muñoz Maldonado. Sr. D. Joaquin de Vilches. Sr. D. Santos López Peleg…</t>
  </si>
  <si>
    <t>D, D. Mariano Miguel de Reinoso. Sr.</t>
  </si>
  <si>
    <t>D. Mariano Miguel de Reinoso. Sr. D</t>
  </si>
  <si>
    <t>…oaquin Rey. Sr. D. Antonio Loriga. Sr. D. Pablo Mata Vigil. Sr. D. Agustín Armendariz. Sr. D. Jacobo Florez, electo. Sr. D. Alvaro Florez Estrada. Secretarios. Cuenca. Sr. conde de Toreno. Sr. D. J osé María Navia Osorio. Sr. D. Mariano Miguel de Reinoso. Sr. D. Andrés Martinez del Peral. Sr. D. Juan de Posada Arguelles. Sr. D. Luis Mayans y Enriquez. Sr. D. Fermin Caballero. Sr. D. Wenceslao Toral» Sr. D. José Gispert. Sr. D. Juan López Pelegrin. Sr. D. Francisco Posada Fernandez de Córdoba. Sr. D. José Fermín Muro.…</t>
  </si>
  <si>
    <t>D, D. Nicolás de la Riva. Sr.</t>
  </si>
  <si>
    <t>D. Nicolás de la Riva. Sr. D</t>
  </si>
  <si>
    <t>…e. Sr. D. Francisco Javier Ferro Montaos. Sr. D. José Valladares. Sr. D. Nicolás Fernandez Bolado. Sr. D. Mauricio García. Sr. D. Francisco Javier Istdriz. Sr. D. Ricardo Henry. Sr. D. Manuel Feijóo y Rio. Vicepresidentes. Sr. D. Nicolás de la Riva. Sr. D. Tomas de Prada , electo. Sr. D. Manuel de la Rivaherrera. Sr. D. José Fermin Muro , Secretario 4»° Oviedo. Sr. duque de Gor. Sr. D. Ramón de la Sagra.¡ Sr. D. Joaquin Rey. Sr. D. Antonio Loriga. Sr. D. Pablo Mata Vigil. Sr. D. Agustín Armendariz. Sr. D. Jacobo Flore…</t>
  </si>
  <si>
    <t>D, D. Ramón Pretel de Cozar. Sr.</t>
  </si>
  <si>
    <t>D. Ramón Pretel de Cozar. Sr. D</t>
  </si>
  <si>
    <t>…ya. Sr. D. Alejandro Mon. Alava . Sr. D. Pedro José Pidal. Sr. D. Blas López. Gerona. Valencia. Albacete • Sr. D. José Antonio Pastell, electo. Sr. D. Juan Cano Manuel. Sr. D. Juan Pou. Sr. D. Antonio Ilom panera de Cos. Sr. D. Ramón Pretel de Cozar. Sr. D. Pedro Camps y Ros , electo. Sr. D. Román Ovejero. Sr. D. Diego Montoya. Sr. Sr. D. Bartolomé Amor , electo. Sr. D. Francisco Javier Rodríguez de Vera* Granada. Pontevedra. Alicante • Sr. D. Miguel de Roda. Sr. D. José Guillen. Sr. D. Diego López Ballesteros. Sr.…</t>
  </si>
  <si>
    <t>D, Toreno. Sr.</t>
  </si>
  <si>
    <t>Toreno. Sr. D</t>
  </si>
  <si>
    <t>…ue de Gor. Sr. D. Ramón de la Sagra.¡ Sr. D. Joaquin Rey. Sr. D. Antonio Loriga. Sr. D. Pablo Mata Vigil. Sr. D. Agustín Armendariz. Sr. D. Jacobo Florez, electo. Sr. D. Alvaro Florez Estrada. Secretarios. Cuenca. Sr. conde de Toreno. Sr. D. J osé María Navia Osorio. Sr. D. Mariano Miguel de Reinoso. Sr. D. Andrés Martinez del Peral. Sr. D. Juan de Posada Arguelles. Sr. D. Luis Mayans y Enriquez. Sr. D. Fermin Caballero. Sr. D. Wenceslao Toral» Sr. D. José Gispert. Sr. D. Juan López Pelegrin. Sr. D. Francisco Posada F…</t>
  </si>
  <si>
    <t>Da, Manuel</t>
  </si>
  <si>
    <t>Manuel Da</t>
  </si>
  <si>
    <t>…s Lérida 20 de Abril . Creo que el 17 por la tarde entró el por 72 bolas señaladas con los números desde el 1 al 72. convoy en Solsona desapareciendo á la vista del general en gefe p O R el presente se cita, llama y emplaza á D. Manuel Da­ ■ En el primer sorteo celebrado en 1858 salieron premiados de este ejército con sus tropas todo el grueso de la facción que mián y Madrid , pagador que fue de caminos, para que los documentos representados por las bolas siguientes 2 en formidables posiciones habian manifestado impedir e…</t>
  </si>
  <si>
    <t>Dallo</t>
  </si>
  <si>
    <t>…yos marinos están mas dispuestos á quejarse que á feli­ citarse de su estado, porque el suelo egipcio no tiene compara­ esperanzas , aunque no muy seguras. Se dice que el Príncipe ha fico, me dice en la mañana de hoy que el cura Dallo ha pues­ recibido y a los sacramentos. to á disposición de nuestras tropas el fuerte de la Población. ción con las hermosas campiñas de Turquía. El excesivo calor que reina de algún tiempo á esta p arte, unido á la abundancia En medio de sus conjeturas el público agita la cuestión de Todo lo…</t>
  </si>
  <si>
    <t>Dalm</t>
  </si>
  <si>
    <t>…diatamente al mariscal mucha incredulidad. Sevilla 27 de M arzo . Soult á palacio , quien se presento en el a las tres de la tarde. Los D iputados de la izquierda deben reunirse esta noche en Se asegura que el mariscal duque de Dalm ácia ha rehusado ac­ casa de Mr. Odilon Barrot. ceder á los deseos de S. M. A las ocho de la noche. En el momento en que entra nues­ ANTIGÜEDADES. Esperamos con todo que esta negativa no sea absoluta, y tro número en prensa , sabemos que nada se ha determinado po­ que el mariscal no persisti…</t>
  </si>
  <si>
    <t>…para los propios m i t i d o , para facilitar al Gobierno de Y . M . cuantiosos fondos, tan difícil de encontrar. Una cosa sin embargo disgusta mucho fines. y con acertada oportunidad en ios momentos mismos de cele­ al duque de Dalm acia, y es que mientras sueña esta nueva pal­ Dios guarde á V. S. muchos años. Madrid 14 de Octu­ brarse el convenio de Y e r g a r a , para socorro del invicto e jé r­ m a, se habla seriamente de un viaje del Duque de Nemours á bre de 1839.=José María Lopez.=Sr. intendente de... cito; uniend…</t>
  </si>
  <si>
    <t>Dalmacia</t>
  </si>
  <si>
    <t>…ral, satisfacer al pueblo de los tres El Rey ha querido hoy dar un paso en este sentido cerca El gobernador capitán general de Puerto Rico participa en reinos, y hacer que todos tuviesen confianza en el Gobierno. No del duque de Dalmacia. 15 de Febrero del presente año al ministerio de M arina, de habiéndose llenado este objeto, pido á la Cámara se sirva adop­ Se espera la respuesta del mariscal. Comercio y Gobernación de U ltram ar, que continúa sin la tar el principio de la franquicia del terrateniente en un todo menor no…</t>
  </si>
  <si>
    <t>…ñolas que mandaba el marques de honor de ser, señores, vuestro humilde y m uy obediente ser­ de los efectos de su diferente organización. Pescara se aproximaban ; pero el valor y constancia de L e y - v id o r^ Mariscal duque de Dalmacia.—Paris 22 de J u n io de En la segunda sección aplica estos principios á ta" can­ va frustró los esfuerzos de los franceses. Llegado el ejército 1859.= A los Sres. miembros que componen la diputación pro­ tidad de tralaajo de las diferentes potencias que se usan en español se diÓ aquella…</t>
  </si>
  <si>
    <t>…el duque de B ro glie, ha tormado en el foado de la sociedad, jes sigu ien tes: propietarios y de nuestros hombres públicos. Ellos son en gene­ allá en el círculo de esas groseras y violentas pasiones, que no El mariscal duque de Dalmacia M inistro de Negocios ex­ r a l , pues no hay regla sin excepción , oscu ran tistas por edu­ saben ni soportar ni comprender el orden, una m ilicia de hom­ trangeros, en reemplazo del duque de Montebello , cu ya d im i­ cación, por usos y hábitos arraigados, por carencia de conoci­ bres bár…</t>
  </si>
  <si>
    <t>Dalman</t>
  </si>
  <si>
    <t>…sus burlaos de los infames provectos de vuestros enemigos. Los car­ y 52 pares de muías. derechos y privilegios, amenazados por el bilí de reforma de tistas de Londres están ya libres, y nada teoeis que temer con Que el coronel Dalman con la tercera columna arrolló el las corporaciones municipales de la Irlanda. La diputaciou que respecto á vuestros amigos Brown y Fussell si 110 comprometéis 22 diferentes grupos de infantería enemiga en las alturas de ha presentado esta petición dirigida por el muy honorable lord vuestra c…</t>
  </si>
  <si>
    <t>Dalp, Doña Ramona</t>
  </si>
  <si>
    <t>Doña Ramona Dalp</t>
  </si>
  <si>
    <t>…de gro bordado de felpillas, nando. ................................. .. 60 al Sr. D. Juan Azua. Cuenta del producto y gastos del concierto celebrado en la Úna señora que fue á la exposición.. .. 40 5 4 1 . Un dibujo, á la Sra. Doña Ramona Dalp. noche del 18 de Mayo último en el palacio de Villa­ La Sra. esposa del Excmo. Sr. D. Pió 859. Un almohadón bordado de recortes de terciopelo, oro hermosa á benefició de la Inclusa de esa corte . Pita Pizarro. ..................... .. 4• 140 y perlas , al Sr. D. José Rodríguez Cal…</t>
  </si>
  <si>
    <t>Damaso</t>
  </si>
  <si>
    <t>…retón, y que la censura solo debe usarse coa novel, con el que da sus pr;meros pasos por esa larga Para el lunes próximo se prepara el Felipe ii ó Isabel de ¡ I riague y Blanco, director de la caja nacional de Amortización; D. Damaso A paricio, procurador síndico del ayuntam iento y espinosa senda que se llama la carrera dramática. V alois , del Sr. Figueroa , como ya auuncié á usted. El pdbli- |¡ constitucional de esta M. H. villa; D. Joaquin de Fagoaga, con N i se d o s replique con la sabida expresión de Lope de Vega c…</t>
  </si>
  <si>
    <t>Daoiz, Villalon</t>
  </si>
  <si>
    <t>Villalon Daoiz</t>
  </si>
  <si>
    <t>…de Astorga y los de Se tomó en consideración, y pasó á las secciones, la si­ destinos se bagan el patrimonio de las familias de los gober­ sus agregadas a ldeas, han visto con la emoción mas tierna el guiente proposición del Sr. Villalon Daoiz: nantes? Pues esto podria suceder, esto tal vez sucede; no se desenlace de los acontecimientos políticos del N orte ; ese dia Pido al Congreso que se sirva reclamar del ministerio de examina la idoneidad ni los méritos y servicios de la persona grandioso en que dos generales enemigo…</t>
  </si>
  <si>
    <t>Darien</t>
  </si>
  <si>
    <t>…n bebida. Pedrarias aleja de allí á Gualconda , y se queda con Te- go por Tegualda , se separó de su co m pañ ía, y tomó el hábito duda merecido los aplausos que el publico sabe dispensar siem­ gualda ; llega después el obispo de Darien á llevársela para cum ­ en aquel convento , adonde trajo el obispo á su hermana : que pre á las piezas que están escritas con el ínteres y talento que plir el encargo que le dejó Balboa : mas Pedrarias le manifiesta después ha fingido enamorarse de un joven r ic o , pariente de P e d ra ria s…</t>
  </si>
  <si>
    <t>Daro-</t>
  </si>
  <si>
    <t>…decidió á prenderlo, y ayudado de los vecinos lo nien, á fin de apoyar con ellos sus objeciones, y probar que ne en el caso de contestar, puesto que asi lo exige el mismo verificó asi , poniéndolo á disposición del gobernador de Daro- dichas elecciones adolecían de los vicios que se le achacaban, orden, a lo que el Sr. Mioistro de Gracia y Justicia dijo ayer, ca. Y añade que se habían presentado á indulto en esta plaza puesto que la comisión no encontraba en el acta cosa alguoa respondiendo al Sr. López. Procuraré hacerlo…</t>
  </si>
  <si>
    <t>Daroca</t>
  </si>
  <si>
    <t>…que continuar la discu­ há que los dignos sucesores de Pelayo sacrificaban su vida por sión de un proyecto , ya concluido en otra legislatura y en otro reconquistar su libertad , que arrebatar querían una porción El gobernador de Daroca con fecha del 25 da parte al se­ cuerpo , era imponer á los Diputados y Senadores la voluntad de ilusos, que teniendo á su cabeza un desnaturalizado Prín­ ñor general segundo cabo de que el comandante de ia partida de los quc los habían antecedido, y corno generalmente en ca­ cip e, han asola…</t>
  </si>
  <si>
    <t>Daver-</t>
  </si>
  <si>
    <t>…e tomarse en cuenta al­ Estado general. vita á los ciudadanos á inscribirse para tomar parte en una gunos delitos á causa de la ocupación del pais por los ene­ Habitantes. conspiración. El autor de este escrito, que es el conde Daver- migos, su presencia por otra parte les aumenta. Ademas, ------------- son , sobrino del marques de Orbin-des-Issarts, Par de Carlos x, para atenuar la guerra de esa excepción no se toma en Una causa de muerte por cada 5972 ha sido preso, como igualmente Mr. de Salvados, consejero cuenta el…</t>
  </si>
  <si>
    <t>David, Nicólasa</t>
  </si>
  <si>
    <t>Nicólasa David</t>
  </si>
  <si>
    <t>…ueda pasear á pie. {Id.) Al terminar el examen en el que habia una numerosa con­ Academia de Santa Cecilia, costeada por la Real sociedad currencia, se presentó la niña Doña Luisa de Castro, y pro­ patriótica , que regentea Doña Nicólasa David, cuyo nuncio con bastante desembarazo el discurso que á la letra es exámen se verificó la mañana del 23 del repetido. como sigue: Idem i.° de Febrero. Señores presidente y vocales: El delicado órgano de una in­ Consta esta de 25 niñas, las 15 por la Real sociedad, y seis fantil vi…</t>
  </si>
  <si>
    <t>Daza, Francisco</t>
  </si>
  <si>
    <t>Francisco Daza</t>
  </si>
  <si>
    <t>…santa iglesia de S a la ­ rera , por D. Felipe V iciana , en 20. I ñ i g o , secretario. Uoa fábrica de fundición plomiza , Jo y u elas, término de manca remiten un tanto de una exposición que á S. M. d f i i - D alias, por D. Francisco Daza , en 24 . gio sobre la Rea! orden de 19 de J u n io último para llevar á Num. 56. D. M anuel José de la P ila , maestro de primeras efecto la ley de 2 9 de J u lio de 1857, que trata de la venta de Una mina plom iza, en barranco Jaroso, término de Cue­ letras en la ciudad de S e v i…</t>
  </si>
  <si>
    <t>…Guer­ BIB LIO GR AFIA. ledo , G eron a, M urcia y Lu go, rera, por D. Felipe V icia na, en 19. Otra id., tas Hoyuelas, término de Dalias, fábrica de fu n ­ R ELA CIO N A U TE N TIC A DE L A B A T A L L A DE P A - dición , por D. Francisco Daza M árquez, en 22. V I A , publicada por el Consejo del Emperador y Rey Otra id., sierra Almagrera, barranco Jaroso, término de Carlos v en Marzo de 1525 , y reimpresa, para perpetuarla, Cuevas , la Observación , por D. Ramón Orosco Cuevas, en 25. Otra id , sierra de Gador , loma de l…</t>
  </si>
  <si>
    <t>Dcffaudis</t>
  </si>
  <si>
    <t>…en Francia sobre que exigen la moralidad de sus principios y el decoro de la na­ V IG E S IM A S E G U N D A Q U E M A . este punto comprueban de la manera mas clara que no es un ción, ha manifestado el infrascrito al Sr. barón Dcffaudis, que principio general el que se ha defendido, y que los esfuerzos siendo él punto de indemnizaciones propio del poder legislati­ Reunida en la plaza de la Constitución á las once de de los Gobiernos ilustrados para suavizar ó reparar los perjui­ v o , se sujetará á su deliberación , sin…</t>
  </si>
  <si>
    <t>Dcomedia, ALa</t>
  </si>
  <si>
    <t>ALa Dcomedia</t>
  </si>
  <si>
    <t>…hay este número , es mayor el aumento de ra­ Fue tomada en consideración y pasó á las secciones. ciones, pues según el Sr. duque de Gor ha indicado , son 63 y Se pasó á la discusiou del dictámen de la comisión encarga­ G U No D ALa Dcomedia 2 A M A D nueva, en tres actos, titulada L A SE ­ UENDE. tantas las que se pagan, y en mi entender, á pesar de que se da de examinar el proyecto de ley presentado por el Sr. M i­ 5.° Boleras á seis. incluyen los oficiales y soldados de estos 14 escuadrones, el es­ nistro de la Gue…</t>
  </si>
  <si>
    <t>de Acebo, José</t>
  </si>
  <si>
    <t>José de Acebo</t>
  </si>
  <si>
    <t>…la Por providencia del Sr. intendente de rentas de esta pro­ tiene en la plazuela de S. M iguel, ndm. 6 , á las diez de di­ vincia se cita , llotna y emplaza á Ú, Pedro Torreas y M iral- cho dia. B IB L IO G R A F ÍA . da , D. José de Acebo, D. Clemente Bernaídez, D. José Arau- jo y Alcaide, D. Joaquín de Echavarría , D. Ricardo López, D. Antonio González , D. José de Castejon, D. Miguel M ar- p O R el presente y providencia dictada por el Sr. D. Juan qüés y Villegas, D , Lorenzo Marau , D. Andrés M artí, Don José Rodr…</t>
  </si>
  <si>
    <t>de Acevo, José</t>
  </si>
  <si>
    <t>José de Acevo</t>
  </si>
  <si>
    <t>…° con láminas, r ú stic a , á 6 rs. chos siglos desolaron los pueblos , y el de dar a) mismo tiempo vincia se cita, llama y emplaza á D. Pablo Torrens y Miralda, á luz en nuestro idioma una obra de esta clase , tan instructi­ D. José de Acevo, D. Clemente Bernaldez, D. Joaquín de Tratado histórico práctico de la vacuna, por D. Vicente va como agradable para todas las de la sociedad , nos decidie­ Echavarría, D. Ricardo López, D. Antonio González, D. J o ­ Martínez: un tomo en 8 .° rústica , á 2 rs. ron á ocuparnos de este…</t>
  </si>
  <si>
    <t>de Acosta, Pedro Ignacio</t>
  </si>
  <si>
    <t>Pedro Ignacio de Acosta</t>
  </si>
  <si>
    <t>…Pedro José O’Campo, cura párroco El juez letrado D. José Cuchi . . . ¿ 10 de Santiago................................................................... 4 El Sr. auditor de guerra honorario, juez letrado, Premios. Pesos. Id. D. Pedro Ignacio de Acosta . . ................... 4 .2 D, Benigno Orbegoso. .................. 4 íd. D. José María Cortés, capellán con cura de al* El relator D. Andrés Avelino M ena. .............. 5 mas en Regla 4 .. 2 El abogado t). Juan de Rojas............................ 5 1................ * d…</t>
  </si>
  <si>
    <t>de Actas, Pinoíiel. Para la de Examen</t>
  </si>
  <si>
    <t>Pinoíiel. Para la de Examen de Actas</t>
  </si>
  <si>
    <t>…5 .a Sres. Oráa , Taroncon , Perez , marques de Guadalcazar, n o , á los Sres. Ondovilla , G arelly, R u iz de la V ega , duque Fernandez del C a s t i l l o , Quiroga , a r z o b i s p o electo de Valencia, de R iv as y conde de Pinoíiel. Para la de Examen de Actas electorales á los Sres. Lleopart, 1.a Se establece una sociedad filantrópica coa el objeto ex­ tonde de Oñate , Bulanzat y conde de P i n o í i e l . clusivo de mejorar el sistema carcelario , correccional y penal Concluido el sorteo el Sr. Presidente manifest…</t>
  </si>
  <si>
    <t>DE ADUANAS</t>
  </si>
  <si>
    <t>…locado recientemente en aquella embocadura. nuel Benito Y iv a n c o . — Antonio G u ille r m o M oreno. = M a n u e l La Puerta se reserva la facultad de aumentar este de­ G onzález A l le n d e , secretario. DIRECCION GENERAL DE ADUANAS Y RESGUARDOS» recho en lo sucesivo, si con el tiempo exigiesen dichos faros alguna reparación ó m ejora, aunque siempre po­ Circulares. niéndose de antemano de acuerdo con las legaciones ex- PARTE RECIBIDO EN LA SECRETARIA DE ESTADO trangeras; y en cuanto al cobro de la suma fijada por…</t>
  </si>
  <si>
    <t>de Aguir-, Félix</t>
  </si>
  <si>
    <t>Félix de Aguir-</t>
  </si>
  <si>
    <t>…u nuestra literatura el género de W alter Scott. I n m agnís la misma especie, y siempre que hay pugna de partidos. irribo;y *irá el pudiendo llevar algunos pasageros de cámara, se diri—' que quiera aprovechar esta ocasión á D. Félix de Aguir- voluisse sal est. El primero condenó sus novelas por clasicas, y el segun­ e, del comercio de Santander, consignatario de dicho buque. Este género tiene dos condiciones esenciales: la ver­ do por románticas. La verdad es que una y otra expresión dad en los hechos históricos y en la…</t>
  </si>
  <si>
    <t>de Ahumada, D. Antonio María Salvago</t>
  </si>
  <si>
    <t>D. Antonio María Salvago de Ahumada</t>
  </si>
  <si>
    <t>…en la escribanía* Y para su único remate está señalado el do­ meses: su autor D. Alfonso Gómez de Zapata. Sexta edición. mingo 24 del próximo Noviembre y hora de las doce de su ma­ Un tomo en 8 .°, á 10 rs. en pergamino. El Sr. D. Antonio María Salvago de Ahumada , vizcond 6 ñana en las casas consistoriales de dicho pueblo. de la T orre -L u zon, ó la persona que le represente en esta cor­ Tesoro de los niños: obra útil para su cristiana y civil edu­ le , se servirá personarse en esta intendencia para asuntos con­ cación ,…</t>
  </si>
  <si>
    <t>de Al, Ramón Alonso</t>
  </si>
  <si>
    <t>Ramón Alonso de Al</t>
  </si>
  <si>
    <t>…icornio. Si el artista ha pasado el Ecuador . no hay otro medio para hacerle que dé la v e l a , que ir le Habiéndose denunciado ante el Sr. alcaide constitucional a ilarnar por tierra. D. Luis Oseñalde por el promotor fiscal D. Ramón Alonso de Al pie de la casita de Isabey está situado el puerto de au escuadrilla. Una docena de estacas p un tiagud as, clava­ las lle ra s, en concepto de incitador á la desobediencia, el artí­ culo que con el título de cencerrada se estampa en el mím. 101 DRAMATICO R I O T P E da…</t>
  </si>
  <si>
    <t>de Alarcón, Juan</t>
  </si>
  <si>
    <t>Juan de Alarcón</t>
  </si>
  <si>
    <t>…da clase de Ínteres de que se compone la di - escena la comedia del teatro antiguo español, escrita en verso memoria de Merlin. Después de haber hecho sabias inves­ reccion. Nunca le repugnara dejar esta dirección toda en­ por D. Juan de Alarcón, y refundida en cinco actos, titulada: tigaciones para establecer la necesidad de las inmunida- tera al que tenga el gusto, la voluntad y el raro talento de es eclesiásticas, repitió diversos argumento^ que habia encargarse de ella.” EN BOCA D EL EMBUSTERO LA V E R D A D empleado ya…</t>
  </si>
  <si>
    <t>de Albornoz, Mariano Carrillo</t>
  </si>
  <si>
    <t>Mariano Carrillo de Albornoz</t>
  </si>
  <si>
    <t>…admitirlos sin un decreto del ayuntamiento. TUR A T A D O de topografía y agrimensura , por el brigadier oue una parte del miércoles, habiendo llovido en este mismo El número de los niños admisibles será el que la sala desti­ D. Mariano Carrillo de Albornoz, director del cuerpo de dia, en el domingo, y mas que todo en el sábado. En los demás nada á este efecto permita con comodidad. ingenieros de ejército. dias ha estado continuamente cubierto, ya con niebla, ya con La dotación de este magisterio será la de 53 rs. anuales p…</t>
  </si>
  <si>
    <t>de Alcántara, Pedro</t>
  </si>
  <si>
    <t>Pedro de Alcántara</t>
  </si>
  <si>
    <t>…Tres por 100 i d . , 8 l fr. 5 es. los negocios públicos, como acreedor bajo de todos aspectos á Entre tanto sabemos que el Sr. M inistro español en W a s ­ Fondos españoles, deuda activa 2 6 J . la gratitud nacional. hington D. Pedro de Alcántara A rgaiz está haciendo todo es­ Pasiva 6|. Dígoese V M . acoger benignamente esta felicitación y el fuerzo con el gobierno general para que se cumplan los trata­ D iferida antigua 7. tributo del mas sincero reconocimiento de estos leales h ab itan ­ dos y quede bien puesto el hono…</t>
  </si>
  <si>
    <t>…e últim amente aprobada la El Congreso únicamente, según el artículo constitucional , tie­ H o y, feliz aniversario del nacimiento de S. A . R. el P rín ­ ne facultad de hacerlo , formalizando la acusación. proposición. cipe D. Pedro de Alcántara , han tenido lu g ar las demostracio­ Se dice por la comisión que la petición debe tenerse presen­ Procediéndose á la orden del d i a , l o fue igualm ente sin dis­ nes de público regocijo, con que se acostumbran á celebrar los te en tiempo oportuno; ¿es esto decir que sé a r c h…</t>
  </si>
  <si>
    <t>de Aldama, Juan Amonio</t>
  </si>
  <si>
    <t>Juan Amonio de Aldama</t>
  </si>
  <si>
    <t>…me­ generales de Rentas.” nor edad de mi augusta Hija la Reina Doña Isabel ii , y Y la dirección lo traslada á V. S. para su inteligencia atendiendo al mérito, servicios y circunstancias del te­ y cumplimiento. niente general D. Juan Amonio de Aldama, vengo en Varque d e artillería . Dioi guarde á V. S. muchos años. Madrid 28 de Ene­ nombrarle capitán general de las islas Baleares, en reem­ ro de l839.=Manuel González Brabo.«=-Sr. intendente de.... plazo del de la misma clase D. Pedro Villacampa, á quien En el dia 11 del a…</t>
  </si>
  <si>
    <t>de Alegría, D. Matías Ruiz</t>
  </si>
  <si>
    <t>D. Matías Ruiz de Alegría</t>
  </si>
  <si>
    <t>…s navales francesas, Cuenta del producto y gastos de la exposición de los objetos 797. &gt; Una cartera de terciopelo verde bordado de oro , al cuando la ocasión lo exija, queden á disposición de mies- tifiados en el concierto. Sr. D. Matías Ruiz de Alegría. . tras autoridades en los pueblos marítimos para asegurar 134* Un cuadro pintado al óleo, al Excmo. Sr. D. Fran­ las comunicaciones de un puerto á o t r o , y para facilitar CARGO. cisco Javier Iztúriz. el éxito de nuestras operaciones militares, ora trasportan­ 407. Un…</t>
  </si>
  <si>
    <t>de Alemany, L.</t>
  </si>
  <si>
    <t>L. de Alemany</t>
  </si>
  <si>
    <t>…ical. su derecho , y evacuar el traslado que les está conferido en di­ Alicante 26 de Octubre. En esta ciudad se han celebrado chos autos por el de 22 del corriente; bajo apercibimiento que Estando para regresar á esta corte D. L. de Alemany, autor los venturosos sucesos que presagian la próxima pacificación del pasado sin hacerlo, Ies parará el perjuicio que haya lugar. de las gramáticas castellana, francesa y latioa,que con tanta Reino con varios y lucidos festejos públicos, dispuestos por el aceptación se han reimpreso…</t>
  </si>
  <si>
    <t>de Alernany, L.</t>
  </si>
  <si>
    <t>L. de Alernany</t>
  </si>
  <si>
    <t>…L E M E N T O S de gramática latin a, dispuestos para la mas de O liv a, y en Cádiz en la de Ilo rtai, y á los demás puntos se admitirán proposiciones al mismo, concluido el acto del re­ breve instrucción dé la juventud, por D. L. de Alernany. donde se hayan suscrito , en donde sigue abierta la suscripción mate, pues que todas las que sé h a g an , deberán someterse á la Dedicado desde mi primera adolescencia á cultivar este ramo al precio de 22 rs. cada tomo, inclusos los retratos. pública concurrencia. tan interesante,…</t>
  </si>
  <si>
    <t>de Alfa, José Vinuesa López</t>
  </si>
  <si>
    <t>José Vinuesa López de Alfa</t>
  </si>
  <si>
    <t>…tículo, y en su do , é ignorándose ea esta corte las habitaciones del Sr. conde A 90 rs. va. Se vende en el gabioete librería de M onier, consecuencia mando que inmediatamente se le alce la fianza de Castilnovo y su apoderado D. José Vinuesa López de Alfa­ Puerta del Sol, en donde se acaba de recibir igualmente ua que tiene prestada, sin que este procedimiento le cause perjui­ ro f de orden del Sr. intendente subdelegado de Rentas, juez de cio ni menoscabo en su buen nombre y reputación. Sea por Amortización de esta provi…</t>
  </si>
  <si>
    <t>DE ALTA, Ondovilla. PRESIDENCIA DEL SEÑOR MOSCOSO</t>
  </si>
  <si>
    <t>Ondovilla. PRESIDENCIA DEL SEÑOR MOSCOSO DE ALTA</t>
  </si>
  <si>
    <t>…entro del término preciso y perentorio de seis d ia s , contados desde este, comparezca en el SENADO. Tampoco se tomó en consideración esta última enmienda del juzgado de S. S . , sito piso bajo de la audiencia territorial de Sr. Ondovilla. PRESIDENCIA DEL SEÑOR MOSCOSO DE ALTA M IRA * Puesta á discusión la disposición cuarta, esta corte, de doce á dos de la tard e ; bien entendido que de El Sr. GOMEZ B EC E RRA dijo que á su parecer las pala­ no comparecer le parará el perjuicio que h a y a lugar, en las d i­ Sesión d e l…</t>
  </si>
  <si>
    <t>de Altamira, Moscoso</t>
  </si>
  <si>
    <t>Moscoso de Altamira</t>
  </si>
  <si>
    <t>…, bien enten­ te el Sr. Presidente nombrado por S. M ., rogaba á S. S. tuviese dido y exacto de aquel grandioso monumento. á bien pasar á ocupar su asieoto. TEATROS. Sigue á este extracto un apéndice 1.° en que se dan El Sr. Moscoso de Altamira, como Presidente nombrado «detalles sobre el origen de las sociedades, ciencias y ar­ PRINCIPE. A las ocho de la noohe. Se ejecutará la fun­ por S. M ., ocupó la silla de la presidencia. tes, y la filosofía de la discusión sobre la influencia social ción siguiente: Acto continu…</t>
  </si>
  <si>
    <t>de Altuna, Joaquín María</t>
  </si>
  <si>
    <t>Joaquín María de Altuna</t>
  </si>
  <si>
    <t>…tándose al Paduí, de Parbayon , jurisdicción del valle de Piélagos , titulándola le la Jamaica, contra el bilí destinado á suspender por espacio reconoció los cuarteles y ranchos, previno lo que creyó opor­ Damas negras , por D. Joaquín María de Altuna. le cinco años la Constitución en aquella colonia. El orador ha tuno á la justicia, gefes y subalternos del presidio que quedó Santander 21 de Abril de 1859.—Rafael de Hereño. ostenido que dicho bilí anularía enteramente la Constitución allí: sigue sin novedad y dió ayer pr…</t>
  </si>
  <si>
    <t>de Alvarez, Gabriel Alvarez</t>
  </si>
  <si>
    <t>Gabriel Alvarez de Alvarez</t>
  </si>
  <si>
    <t>…jurado, y tocó á los siguientes: D. Luis Bal- Otra en sierra Alhamilla,. cuesta de las Tejas, término de buena, D. Alejo Perez, D. Genaro Bayon, D. Pedro José de Viator, Virgen de los Doloros, por Luis Trujillo, en 3. Cea , D. Gabriel Alvarez de Alvarez , D. Miguel Carbajo, Don DIRECCION GENERAL DE PRESIDIOS DEL REINO. Otra en sierra de Gador, Balsanueva, término de Berja, Juan María Barte, D. Alejo Carro y D. Juan Bustamante; y El Boliche, por D, Francisco Sánchez, en 8. hallándose enfermo hace tiempo el D. Miguel Car…</t>
  </si>
  <si>
    <t>de Ameza-, Francisco Antonio</t>
  </si>
  <si>
    <t>Francisco Antonio de Ameza-</t>
  </si>
  <si>
    <t>…entaría Nueva floresta ó colección de chistes, agudezas, pasajes gra­ ciosos , chanzas ligeras y singulares; rasgos históricos para re­ Hasta 50 del corriente Octubre inclusive se hallará abierta causada por fallecimiento de D. Francisco Antonio de Ameza- creo del espíritu y adorno del entendim iento, sacado de varios la matrícula de las enseñanzas de aritmética, geometría y me­ g a , vecino que fue de la misma, se llama á todos los que en autores é idiomas, por D. Bernardo María de Calzada , un to­ cánica de las artes,…</t>
  </si>
  <si>
    <t>de Andrade, Lorenzo Gallego</t>
  </si>
  <si>
    <t>Lorenzo Gallego de Andrade</t>
  </si>
  <si>
    <t>…Total de coches empleados en los correos del Ueino Por otra del mismo Sr. juez se cita , llama y emplaza á 181 8 ....................... 409 1855 , ............. 5 ¿ 4- Unido, 94 coches de a cuatro caballos, y 58 de á dos. ^ D. Lorenzo Gallego de Andrade , capitán retirado y tesorero Hay ademas cu Irlanda 97 carros para la conducción jubilado de Rentas , c uya habitación y paradero se ig n o ra, 1114 1575 de cartas en ios caminos de travesía. para que tan luego como llegue á su noticia este an u n cio , se sirva compare…</t>
  </si>
  <si>
    <t>de Andrade.zrEl, José Perez</t>
  </si>
  <si>
    <t>José Perez de Andrade.zrEl</t>
  </si>
  <si>
    <t>…R. P. de V . M . = E 1 De Real orden lo digo á V. S. para su inteligencia, alcalde sorteo, será la que deberá cesar en fin de este año. Si el la de la diputación y pueblos de esa provincia, encargán­ segundo primero presidente José Perez de Andrade.zrEl alcalde núm ero de los diputados actuales fuese impar, cesará la dole su cumplimiento; dándome aviso de quedar en eje­ R iv e r a .—Pedro F. Lopez.r:Am brosio R u iz Sánchez.—T o rcua to mayoría absoluta de diputados. Antonio Hernández Liñ an — Melchor Sa mpardo.—D o ­…</t>
  </si>
  <si>
    <t>de Angtona, Príncipe</t>
  </si>
  <si>
    <t>Príncipe de Angtona</t>
  </si>
  <si>
    <t>…s establecimientos en la costa d&lt; Descubre á vuestros ojos: Habana la fragata de guerra Isabel 11 , conduciendo á su bordo Guinea. Los reinados de Eduardo y de Alfonso v f u e r o n m e ­ N o : que pintadas flores al Excmo. Sr. Príncipe de Angtona , capitán general nombrado nos brillantes; pero á estos sucedió J u a n ir , que eclipsó la glo ­ La esmaltan á porfía , para la isla de C u b a : ademas lleva dicho buque varios oficiales ria de todos sus antecesores. Este fue el Pvey rnas hábil qu e ja ­ Y el que una vez en e…</t>
  </si>
  <si>
    <t>de Anzures, Cosme</t>
  </si>
  <si>
    <t>Cosme de Anzures</t>
  </si>
  <si>
    <t>…pedan­ ble de 4500 rs. vn. Quien quisiere hacer postura acuda á la ex­ presada dirección por su escribanía principal, donde estarán de glo xvin , sin que hayamos podido deducir ni de sus co­ te, infatuado de su nobleza; pero D. Cosme de Anzures manifiesto las condiciones bajo las que se ha de celebrar la su­ medias, ni de alguna otra noticia histórica, la época fija de Yo me entiendo y D ios me entiende encierra bajo ex­ basta ; en inteligencia de que para su único remate está seña­ en que empezó y acabó de escribir. Solo…</t>
  </si>
  <si>
    <t>de Aragón, María</t>
  </si>
  <si>
    <t>María de Aragón</t>
  </si>
  <si>
    <t>…a, salió de ella á las cinco de la tardedel mas abajo de la aduana y diques sin im pedir la n avegación, día anterior con 150 infantes y 50 caballos de los Nacionales cuarta en la calle de M iraelrio , o amero 6 , barrio de Doña María de Aragón. fue sugerido por algunos emprendedores el abrir un cañón por movilizados para ver si podia sorprenderlas; y dirigiéndose por debajo del T ám esis, llamado por los ingleses T un nel (nombre el camino de I1abara , á las tres horas de marcha descubrió una El 4 de Agosto se celebrará la…</t>
  </si>
  <si>
    <t>de Aragón, Rurriel</t>
  </si>
  <si>
    <t>Rurriel de Aragón</t>
  </si>
  <si>
    <t>…ulos de la Consti­ ayuntamientos las atribuciones que hoy tenían en esta parte, sin sentó. tución en que se dice que todos los españoles pueden dirigir perjuicio de que en lo sucesivo se arreglasen a lo que pudiese Habla el Sr. Rurriel de Aragón , en donde en otros tiempos peticiones por escrito á las Cortes y al Rey como determinen disponer una ley de Hacienda. Notó ademas que abrazando dos hubo muchas libertades municipales; pero el Sr. Rurriel sabe I las leves. ¿ Y cuál es el objeto con que la Constitución ha pues­ op…</t>
  </si>
  <si>
    <t>de Arce, Pedro Alcántara</t>
  </si>
  <si>
    <t>Pedro Alcántara de Arce</t>
  </si>
  <si>
    <t>…M EJORES OBRAS sa Elhtuar de Martínez. O O R providencia del Sr. D, Benito Serrano y Aliaga , juez 12. Un ejemplar del espíritu del siglo y otras obras, al se­ * de primera instancia de esta villa, refrendada de D. Ja­ ñor D. Pedro Alcántara de Arce. cinto Gaona y Loeches, escribano de S. M. y del número de DEL TEATRO 56. Un tirador de cata panilla pintado al oriental,, a la Ex­ la misma, se ha mandado sacar á pública subasta una casa sita celentísima Sra. marquesa de Casteldurrius. en ia calle del Gártoen, esquina á l…</t>
  </si>
  <si>
    <t>de Arechavala, Agustín</t>
  </si>
  <si>
    <t>Agustín de Arechavala</t>
  </si>
  <si>
    <t>…6 de Octubre vedís; apercibido que de no hacerlo se sustanciará en los estra­ Por el presente cito, llamo y emplazo por único pregón y contiene los artículos siguientes: dos en su rebeldía, parándola entero perjuicio. edicto á D. Agustín de Arechavala , vecino que fue de esta Un baile de candil, conclusión. villa, y cuyo paradero se ignora, contra el cual estoy proce­ Arquitectura gótica. diendo criminalmente por poca delicadeza en el desempeño de Poesía. Por providencia del Sr. intendente de rentas de esta pro­ su oficio…</t>
  </si>
  <si>
    <t>de Arellano, Antonio Ramírez</t>
  </si>
  <si>
    <t>Antonio Ramírez de Arellano</t>
  </si>
  <si>
    <t>…que escandalizaba la exorbitancia dar dictámen sobre la exposición fecha 15 de Noviembre último to , y mientras no resultase hada 110 podia ser culpable ni per­ del derecho impuesto al corcho en su extracción, y que asi sin de D. Antonio Ramírez de Arellano , Diputado electo por la seguírseme. ponerse en contradicción coa el dictámen de la comisión, desea­ provincia de Córdoba, en que solicita que en atención á hallar­ Continuando en la narración de este asunto, dice e! señor ba que se redujese el cuatro tanto del derecho…</t>
  </si>
  <si>
    <t>de Arellano, Autoido Ramírez</t>
  </si>
  <si>
    <t>Autoido Ramírez de Arellano</t>
  </si>
  <si>
    <t>…o varias refle­ que todos están sujetos á las leyes naturales, excepto cuando xiones sobre la utilidad y conveniencia deque haya en esta junta La comisión encargada de informar sobre la exposición d i­ rigida al Congreso por D. Autoido Ramírez de Arellano con sublevan ó hacen arm as; yo creo, señores, que la sustancia- un fiscal, que como deja sentado, mire por los intereses de la cion de los consejos de guerra está lejos de dar el rebultado que. Hacienda pública. Añade que no dará de ninguna manera su fecha de 15 de Nov…</t>
  </si>
  <si>
    <t>de Arellano, R.arnirez</t>
  </si>
  <si>
    <t>R.arnirez de Arellano</t>
  </si>
  <si>
    <t>…ó méritos que puedan derse dicha discusión. Con fecha de 16 de A b ril, continuó, volvió á insistir el presentarse hagan admisible la entrada de dicho señor; véase El Sr. P R E S ID E N T E : Mediante á la inculpación que ha Sr. R.arnirez de Arellano para que se le diese asie 0 en estos es­ pues como ha estado prudente la comisión. hecho el Sr. Salamanca á la mesa , es invitado por el Presiden­ caños. Debo hacer presente, y me alegro que me oiga el Sr. in ­ Respecto á lo que ha dicho S. S. sobre que encuentra nove­ te para…</t>
  </si>
  <si>
    <t>de Arellano, Ramicez</t>
  </si>
  <si>
    <t>Ramicez de Arellano</t>
  </si>
  <si>
    <t>…verificarlo; tercero, que se ex­ Variar en su consecuencia los acuerdos dados poj- el Congreso. tículo 55 y 11 de la ley electoral, y dijo que no estaba com­ pondría el mismo Congreso á falsear la verdadera opinión de su El Sr. Ramicez de Arellano acaba de leer un documento en prendido el Sr. Arellano en las cláusulas señaladas en el artícu ­ mayoría , y como la razón en que apoya el Sr. M uro su pro­ su apoyo. Y o tengo en la inano el mismo documento que es lo 1 1 , en las que se expresa los que están inhabilitados de eje…</t>
  </si>
  <si>
    <t>de Arellano, Ramírez</t>
  </si>
  <si>
    <t>Ramírez de Arellano</t>
  </si>
  <si>
    <t>…alli había y a , se­ El Sr. PRESIDENTE: Orden del dia : dictamen de la ca­ Otro punto en el que no estoy conforme, es el del orden ñores, leyes arraigadas en la costumbre , trono con p restigia m isón sobre la exposición del Sr. Ramírez de Arellano^ judicial que se ha de seguir. Confiero que es un escolio, y ya aristocracia corta: alli podían valerse de ciertas medidas exce p-</t>
  </si>
  <si>
    <t>…que sujetan Señalando el Sr. Presidente para el orden del dia de maña­ D iputados continúan ó no mereciendo de la confianza para re­ á reelección al D ipu tad o, no se dan si no las pide. na los dictámenes sobre admisión del Sr. Ramírez de Arellano, presentarlos en el Congreso. El art. 45 es uua garantía que la Después de defender él término señalado por la comisión, concesión de una ppnsion y reforma de varios artículos del re­ Constitución da á los pueblos para asegurar la independencia por creerle suficiente, concluyó ro…</t>
  </si>
  <si>
    <t>…las provincias, que los propietarios que dimiento ofrece mas bien méritos ventajosos que adversos al Eti cuanto á esa designación no es constante la práctica que tenían derecho á disponer de todo ó parte del medio diezmo, se Sr. Ramírez de Arellano, y que por lo tanto no debía haber ha citado el Sr. Ondovilia, sino que en unas audiencias se hace encontrarán ahora embarazados , como también el Gobierno dificultad en que fuese admitido. á principios de año, y en otras se espera á cada caso, y reuni­ para la cobranza de la con…</t>
  </si>
  <si>
    <t>…cuando mar parte en esta discusión , haciéndolo únicamente por la pre­ tenido una óque mas estaban pendientes: en este caso la comisión ha conferencias con el G obierno, y ha resultado dio los acuerdos de la no admisión del Sr. Ramírez de Arellano. cisión de manifestar las razones que ha habido para presentar que esta ley debe suspenderse hasta tanto que se discuta la de Que llegadas las actas de las segundas elecciones de la pro­ el dictámen contrario al voto particular. Y o , señores, me en­ atribuciones. En este mom en…</t>
  </si>
  <si>
    <t>de AreMano, Ramírez</t>
  </si>
  <si>
    <t>Ramírez de AreMano</t>
  </si>
  <si>
    <t>…l Sr. Chacón: Vicepresidente el S e ­ Comandancia general de la provincia de Alava.zzExcelentí- ñor L ab o rd a: Secretario el Sr. Fernandez: Vicesecretario el sirno Sr.: Según rae avisa el Excmo. Sr. general en gefe con fe­ Sr. Ramírez de AreMano. c h a de ayer desde su cuartel general de Tolosa, debe haberse Una carta de Alejandría asegura que M ehem et-A lí ha sen­ 6.a sección. Presidente el Sr. Z u m a la c a rre g u i: V icepresi­ d irig id o hoy S. E. sobre L ecum berri; y con el fin de que estas tido vivamente la det…</t>
  </si>
  <si>
    <t>de Arganda, Ganeja</t>
  </si>
  <si>
    <t>Ganeja de Arganda</t>
  </si>
  <si>
    <t>…abiendo en la provincia de Albacete 5794 electores , han la mayor parte de los habitantes de Madrid , que en el pueblo Gabinete una tendencia manifiesta á derribar por su base la tomado parte en la elección 2405 &gt; de donde el Sr. Ganeja de Arganda , tan inmediato á esta corte, como todos los seño­ Constitución del Estado. sostiene que han votado el mayor número de electores, lo cu&amp;l res Diputados saben, ha habido una alarma á la una de la no­ El Sr. Ministro de la G U E R R A : Ha dicho el Sr. Alonso no es exacto, porque la…</t>
  </si>
  <si>
    <t>de Arias, Antonio Sandalio</t>
  </si>
  <si>
    <t>Antonio Sandalio de Arias</t>
  </si>
  <si>
    <t>…, como si su presencia en París d o tu­ cimientos variados y su acendrado patriotismo. la gracia d iv in a ; de la cual y de ella sola debe esperar el viese otro objeto que ilustrar con sus noticias y conferenciar El nombre de D. Antonio Sandalio de Arias vivirá eterna­ orador el fruto abundante y saludable de sus tareas. coa el Gabinete. Triste artificio que á nadie ha eogañado. mente entre los españoles: ¡pueda esta lisonjera recompersa, E n las homilías ya citadas casi siempre era dado el porque se sabe perfectamente que…</t>
  </si>
  <si>
    <t>de Arias, Antonio Sandalío</t>
  </si>
  <si>
    <t>Antonio Sandalío de Arias</t>
  </si>
  <si>
    <t>…u el aumento y perfección de tan pro* del Sr. Casas, se nombró una comisión para su examen sidad que nos aqueja. Esta ha llegado desgraciadamente cloaos animales, y eu la inclinación, esmero y cuidado* compuesta de los Síes. D. Antonio Sandalío de Arias, Don a demostrar que no es posible adq uirir los 63 caballos qüe que necesitan emplear los criadores para sostener y «lle­ José Antonio Ponzoa y el referido D. Nicolás Casas. Esta se necesitan en el dia para cubrir las bajas y reforzar la var adelante una grangería tan poc…</t>
  </si>
  <si>
    <t>de Arias, D. Sandalio</t>
  </si>
  <si>
    <t>D. Sandalio de Arias</t>
  </si>
  <si>
    <t>…tinieblas de la edad media se conservó el toda la corporación que representan , acompañando á V. S. en cristianismo y con él la civilización. L os oradores sagra­ NOTICIAS NACIONALES. tan justo sentimiento. L a viuda del Sr. D. Sandalio de Arias, en medio del amargo dos recordaron sin cesar á pueblos feroces é ignorantes dolor que le afectaba, contestó al señor presidente manifestán­ lo que debían á Dios y á sus prójimos. Esta voz no se Alcañiz 28 de Noviembre. cansó de clamar en el caos in telec tu a l, moral y polít…</t>
  </si>
  <si>
    <t>de Arias, Felipe Fernandez</t>
  </si>
  <si>
    <t>Felipe Fernandez de Arias</t>
  </si>
  <si>
    <t>…os Cerdas, desposeida de minar la denuncia hecha por el Sr. intendente militar del ejér- 20| á v. f. ó vol. á prima de i §&gt; y i Por 100 con cupones la co ro n a , y García de una de las primeras casas de Cas­ ! cito de Aragón D. Felipe Fernandez de Arias, de un artículo Inscripciones en el gran libro á 4 por 100, 00. tilla , viviendo ocultos por temor á la indignación del Rey. Títulos al portador del 5 por 1 0 0 , 00. inserto en el número 202 del Eco de Aragón del viernes 51 Semejante historia, por cierto muy mal hilada ,…</t>
  </si>
  <si>
    <t>de Arias, Ignacio</t>
  </si>
  <si>
    <t>Ignacio de Arias</t>
  </si>
  <si>
    <t>…ntece­ con esta fecha al director general de caminos lo siguiente; términos siguientes: dentes que obraban en la capitanía general en descargo La empresa del canal de Castilla ha recurrido de nue­ WEI comandante de infantería D. Ignacio de Arias, encar­ del presunto reo, negando indebidamente por una parte vo á este ministerio quejándose de los excesos que come­ gado de la defensa de la costa de este señorío, con fecha de ayer testimonios que eran necesarios para su defensa, y por otra ten los pueblos colindantes con ios…</t>
  </si>
  <si>
    <t>de Arias, Santa Antonio Saodalio</t>
  </si>
  <si>
    <t>Santa Antonio Saodalio de Arias</t>
  </si>
  <si>
    <t>…ad , habiéndose de hacer locales para es­ Abrió la sesión el Presidente de la junta directiva Sr. d u ­ González, y que para reemplazarlos proponía á los Sres. Do* cuelas. que de G or, teniendo á sus lados á los Sres. marqués de Santa Antonio Saodalio de Arias, D. Gerónimo del Campo, D. Euge­ Lo expendido en las obras hechas para preparar las cuatro Cruz y D. Manuel José Quintana , y el Sr. secretario general nio Perez González, cura párroco de S. Ginés (reelegidos), Don existentes asciende á '18,946 rs. Por arrendamiento…</t>
  </si>
  <si>
    <t>de Aristizabal, Domingo</t>
  </si>
  <si>
    <t>Domingo de Aristizabal</t>
  </si>
  <si>
    <t>…es T o led o 2 3 d e M arzo. Enemigos de fuera de la provincia se acercan en fuerzas de mas común y general de lo que se cree. Existen m uy pocos consideración. hombres que no hayan sentido nunca hervir en su pecho el fue­ D. Domingo de Aristizabal , comandante general en gefe A rt. 7.° Las señales de segunda y tercera clase se repetirán go de la inspiración. Cuando algún afecto poderoso se apodera de las provincias y fuerzas de C iudad -Real y Toledo. y harán correr con propios por toda la extensión de las dos del a lm…</t>
  </si>
  <si>
    <t>de Arizaga, José Manuel</t>
  </si>
  <si>
    <t>José Manuel de Arizaga</t>
  </si>
  <si>
    <t>…de las M u s a s , secretario. puede leerse del modo siguiente: Quintus H erennius Auli Li- bertus Salutiy y que su traducción mas fiel, según he consul­ tado con profundos conocedores, puede ser: "Q uinto Herennio Señora: D. José Manuel de Arizaga , M inistro togado del NOTICIAS EXTRANGERAS. Liberto de Aulo á la Salud. " A pesar de todo, como la piedra supremo consejo de la Guerra y antiguo comendador de la sea de una materia tan h u m ild e , se supone estuviese dedicada Real orden americana de Isabel la C atólica, p…</t>
  </si>
  <si>
    <t>de Armas, Calixto Alfonso</t>
  </si>
  <si>
    <t>Calixto Alfonso de Armas</t>
  </si>
  <si>
    <t>…melitas producido cantidad liquida 112 pesos: los suscriptores han 8 ,4 5 5 .... 5 0 0 ....... Sevilla. Descalzas 8.. 4 contribuido en la proporciona siguiente s 7 ,5 2 5 .... 5 0 0 ....... Jerez dé la Frontera. El presbítero D. Calixto Alfonso de Armas, tenien­ 3 ,5 8 1 .... 500.............. Madrid. te de cura de la Puerta del Golpe.......................... 8 Sr. regente D. Juan Ramón Oses.. . . . . . . . . . . ; . . 20 5 ,414 * • • • 5 0 0 /...... Idem. Id. D. Pedro Bajado Villate. ................. 4 Sr. ministro D. J…</t>
  </si>
  <si>
    <t>de Armas, Francisco</t>
  </si>
  <si>
    <t>Francisco de Armas</t>
  </si>
  <si>
    <t>…adas á la Milicia nacional de esta corte y á los españoles, en los términos siguientes : D. José Cadaval................................................................... 51 teo del dia 30. 1.° Una noche de alarma en Madrid. D. Francisco de Armas.................................................... 51 Marques de San Felipe . ................................. 51 NÚMEROS. PREMIOS. ADMINISTRACIONES. 2.° El marido desengañado. D. Joaquin de A rríela................................................... 51 3.° El Pretendiente, Maro…</t>
  </si>
  <si>
    <t>de Aso, Vitcoria</t>
  </si>
  <si>
    <t>Vitcoria de Aso</t>
  </si>
  <si>
    <t>…de España acudi- ^ rán á recoger los cuadernos 4*^ hasta el 9.°, ambos inclu­ DE LAS ORDENES MILITARES sive , á la librería de Sanz , calle de Carretas, donde se adm i­ DE SAN FERNANDO IG N O R A N D O S E el paradero de Doña Vitcoria de Aso, v iu - tirán suscripciones desde el núm. 2.° en adelante. * da de D. Mariano de A s o , se la cita por el presente anun­ cio para que en el termino de 15 dias acuda á la sala primera de la audiencia territorial de esta capital, y escribanía de Cá­ mara del cargo de D„ Justo M orayta…</t>
  </si>
  <si>
    <t>de Asís, Francisco</t>
  </si>
  <si>
    <t>Francisco de Asís</t>
  </si>
  <si>
    <t>…bieran lograrse como fruto de sus penalidades y deseos ; y D efu n cion es . bola de las cinco que contenia; y habiendo salido la signada onvencido de que esta falta depende en gran manera del des­ niírn. 4 representativa de D. Francisco de Asís P resas, este se Solteros................................................. .. 482 uido de las autoridades de los pueblos , particularmente abier- retiró, mientras que D. José Calasanz Casanovas leyó un elo­ Solteras.............................................................. 5 5…</t>
  </si>
  <si>
    <t>de Ayala, Josefa Coello y Doña Granada</t>
  </si>
  <si>
    <t>Josefa Coello y Doña Granada de Ayala</t>
  </si>
  <si>
    <t>…ye extrajudicialmente, resul­ sucesivamente sus talentos las señoritas Doña Josefa de Castro, con motivo de queja propuesta por D . José R o y e s, manifiesta ta ser el testaferro el distinguido. Por parte de la plaza se re­ Doña Josefa Coello y Doña Granada de Ayala : la primera lució que el poder judicial invade las atribuciones gubernativas; y forzó innrediatamente con una compañía el Hacho, y con otra en las dos piezas que tuvo la condescendencia decantar su her­ sin embargo de haber resuelto la audiencia territorial que…</t>
  </si>
  <si>
    <t>de Azara, D. José Nicolás</t>
  </si>
  <si>
    <t>D. José Nicolás de Azara</t>
  </si>
  <si>
    <t>…tivo. Oxalá que a nossa litteratura gles por Conyers M iddleton, y traducida al castellano por el sini, á completa orquesta , exornada con una magnífica deco­ gozasse de una traducgao de D. Quixote de la Mancha tao a Excmo. Sr. D. José Nicolás de Azara, segunda edición año ración de país nevado, con claro de luna. p a rd a lougania do estilo de Cervantes, como disfruta a do de 1804* Cuatro tomos en 4*°&gt; adornados de estampas, á 154 2.° Introducción en la ópera Elena é M alvina , del maes­ Quixote de Sinheriz , que -hade…</t>
  </si>
  <si>
    <t>de Azcuénaga, Josefa Vargas</t>
  </si>
  <si>
    <t>Josefa Vargas de Azcuénaga</t>
  </si>
  <si>
    <t>…Ribera debió de haber llegado á Chelva el Ntra. Señora de los Dolores, á cargo y dirección de la señora 22. L a facción que se hallaba en dicho punto al movimiento honrados, no puede dejar correr especies de funesta tras­ Doña Josefa Vargas de Azcuénaga, tenemos la satisfacción de de nuestras fuerzas se subió á la sierra, despidiendo á todos cendencia para todos, y muy particularmente para los dar cuenta á V. S. del resultado de nuestra comisión. los mozos que habían sacado de los pueblos. Esta disposición de que no han…</t>
  </si>
  <si>
    <t>de Azofra, Manuel María</t>
  </si>
  <si>
    <t>Manuel María de Azofra</t>
  </si>
  <si>
    <t>…an que se nos presente la ocasión de derri­ proyecto de sorprender al Príncipe y hacerle prisionero. bar la potencia que habíamos cometido el desacuerdo de fo­ Un hecho notable, y que puede hacer juzgar del género de mentar. D. Manuel María de Azofra , catedrático de mecánica apli­ combates que tendremos que sostener , ha señalado estas prim e­ No es ahora ocasión, de sacar á plaza todas las faltas del cada á las artes en la ciudad de Vetencia , ha publicado una ras hostilidades. Una turba de árabes que cargaba á uno de…</t>
  </si>
  <si>
    <t>de AéfráBart, Nicolás</t>
  </si>
  <si>
    <t>Nicolás de AéfráBart</t>
  </si>
  <si>
    <t>…ia en esta v illa, re - fó- tiétte calle de Relatores, número 7 , ciiafto segundo; en la Tttfefigéncia dé qué lós planos de la expresada división de casa de Castilla la Nueva. [ frendada del escribano del número de Ja misma D. Nicolás de AéfráBart én la escribanía principal dé sú juzgado, Postigo de O rtiz , se ha mandado citar y emplazar, como por el presente Por el presenté se c ita , llama y emplaza por el presente y S in - M a itiú , húmero 7 , piso b a jo , donde se manifestarán. I anuncio se cita y emplaza á D .…</t>
  </si>
  <si>
    <t>de Baeza, Juan Díaz</t>
  </si>
  <si>
    <t>Juan Díaz de Baeza</t>
  </si>
  <si>
    <t>…ro se ignora, para que comparezca en la audiencia de dicho se­ contestación á las razones en que se apoyan sus autores. Por el vet , Salas y Reguer. ñor , sita en la plaza de la Constitución, repeso que fue de V i­ presbítero D. Juan Díaz de Baeza, catedrático interino de fi­ 5.° Canción española titulada La Criada ; poesía de D on lla , en el término de 15 dias, contados desde el en que se in ­ losofía moral en los estudios de 8. Isidro de Madrid. Manuel Bretón de los H erreros, música del mismo maestro Car­ serte este anu…</t>
  </si>
  <si>
    <t>de Baldomar, Fernando Medela</t>
  </si>
  <si>
    <t>Fernando Medela de Baldomar</t>
  </si>
  <si>
    <t>…l art. 26 de la Constitución, 1 el segundo de dicho Ebanista, D. Manuel Quíntela, D. Joaquín a riesgo de su existencia presentarán ilesa á las Cortes. ha tenido á Li e n, c onfor má ndose con el parecer de Mosquera de Funsin y D. Fernando Medela de Baldomar, que­ Por lo tanto someten á la aprobación de Y. M. el si­ s u Co nse jo de M i n i s t r o s , disolver el Congr es o d é l o s dando en poder suyo los cioco caballos que montaban, con sus guiente proyecto de decreto. Madrid Noviembre 18 de D i p u t a d o s , y m a n d…</t>
  </si>
  <si>
    <t>de Balrnaseda, Fermín Martin</t>
  </si>
  <si>
    <t>Fermín Martin de Balrnaseda</t>
  </si>
  <si>
    <t>…la mañana. Su precio en Ma­ drid, llevado á casa délos suscriptores, es el de 2 rs. al mes, Decretos del Rey nuestro Sr. D. Fernando v ir, recopilados y 10 por un trimestre, franco de porte, en las provincias. por los Sres. D. Fermín Martin de Balrnaseda , y D. José Ma­ La entrega 54 correspondiente al 24 de Noviembre contie­ ría de Nieva, desde 4 de Mayo de Í 8 I 4 hasta 51 de Diciem­ GUIA DE FORASTEROS. ne los artículos siguientes: bre de 1852. Son 18 tomos en 4.0 á 4 OO rs. eu rústica , y 484 Luis Ariosto, biografía…</t>
  </si>
  <si>
    <t>DE BARBES, Evaristo Perez de LLEGADA</t>
  </si>
  <si>
    <t>Evaristo Perez de LLEGADA DE BARBES</t>
  </si>
  <si>
    <t>…recipitado regreso. Hemos creído debíamos pasar en silen­ d e 1859. cio estos hechos que se dejan traslucir en los procedimientos c r i­ para su cumplimiento.=Está rubricado déla Real mano.= ‘Palacio 25 de Junio de 1839. = A D. Evaristo Perez de LLEGADA DE BARBES k PARIS. m in ales, y que se trata de poner en claro. Castro, Presidente del Consejo de Ministros* El año de 1859 fue el elegido para intentar el nuevo golpe Carta dirigida á Marechal. de mano del partido. Pertenecía a las circunstancias la elección PARTE RECIB…</t>
  </si>
  <si>
    <t>de Barreneche, Juan Prudencio</t>
  </si>
  <si>
    <t>Juan Prudencio de Barreneche</t>
  </si>
  <si>
    <t>…singular, y que podia haber tenido gra­ N O T IC IA S N A C IO N A L E S * tel, que linda á Oriente con otra de herederos de Isabel García, bes consecuencias. Se les ocurrió á algunos jóvenes la idea de al Norte con tierra de D. Juan Prudencio de Barreneche, y á [ue 110 debiau ser ellos los únicos que se descubriesen en la igle- Poniente con vereda de dicho nombre: tasada en venta al res­ i a , y que tenian un derecho para obligar á que hiciesen lo Sevilla I 4 de Febrero. pecto de 5 rs. cada cepa en 9200 r s ., y ea venta e…</t>
  </si>
  <si>
    <t>de Bazan, Alvaro</t>
  </si>
  <si>
    <t>Alvaro de Bazan</t>
  </si>
  <si>
    <t>…forman un cuaderno en Noticia biográfica del m arques 'de la E n sen ad a, 2 rs. Ayer llegaron á esta capital 266 caballos de Borbon. cuartilla de marca mayor del viaje de Constantinopla. Las Id. del célebre general deúüarióá D. Alvaro de Bazan, veinte y una son vistas de varias mezquitas , fuertes y planos, p rim e r m arques de Sanra-C ruz, 2 Ts. Trillo 3 de Agosto. En esta tarde han entrado los 70 sal­ con inclusión de una carta geográfica en medio pliego "de Id. dél general D. Blas de Lezo-, un real. vaguardias de amb…</t>
  </si>
  <si>
    <t>…interés, 6 al contado: 4 ú 50 d, f. ó vol. á prima de £ por 100 nuevas. Noticia biográfica del m arques de la E nsenada, 2 rs. Gloucestershire. Acciones del banco español de S. Fernando, 00. Id. del célebre general de m arina D. Alvaro de Bazan, De lana...................................................................... 545 CAMBIOS. prim er marques de Sarita-Cruz, 2 rs. Id. del general D. Blas de Lezo, un real. Cumberland. Londres, á 90 dias, 38§. Coruña, á 2 d. Id. del alm irante D. Antonio de Gaztañeta, un real. De…</t>
  </si>
  <si>
    <t>…rescribe la ley, TJOR providencia del Sr. D. Juan José Rodríguez Valdeosera, Noticia biográfica del marques de la Ensenada, 2 rs. ha resultado del escrutinio nueve votos en favor de la absolu­ Id. del célebre general de marina D. Alvaro de Bazan, ción del escrito denunciado por D. Jaime Vicente Gómez y bel laCaballero comendador de la Real orden americana de Isa­ primer marques de Santa-Cruz, 2 rs. suscrito por D. Matías Seco , y tres por la condenación; y en goza yCatólica, magistrado honorario de la audiencia de Zara­ Id.…</t>
  </si>
  <si>
    <t>de Be, Francisco C.</t>
  </si>
  <si>
    <t>Francisco C. de Be</t>
  </si>
  <si>
    <t>…emas, excep­ todo trance la felicidad sabias , sus común miras fueron las de conseguir á á los habitantes de la Antilla: casi destruida y sin surtir de agua á aquella población existia tuando la de idiomas que está á la de D. Francisco C. de Be­ su primer asunto fúe el mas grandioso, el de mas vital impor­ allí anteriormente. tancourt, que enseña con tal maestría, cual no es fácil explicar, tancia, ó lo que es lo mismo, lá instrucción pública. Y por mu­ Esta hermosa fuente se compone de un precioso vaso circu­ y de cuy…</t>
  </si>
  <si>
    <t>de Becar, Juan</t>
  </si>
  <si>
    <t>Juan de Becar</t>
  </si>
  <si>
    <t>…. 2,841 ha avanzado un batallón y cuatro escuadrones en dirección á Ju an Eugenio Hartzeoibuch. Esta interesante producción que M aiz..................................... 53,419 , , , . 550,690 Monreal del Campo. El brigadier D. Juan de Becar , coman­ ha sido extraordinariamente aplaudida en sus representaciones, Lentejas........... .............. 107 #. . # 745 danta general de la sierra de A lbarracin, salió ayer mañana se vende á 8 rs. en las librerías de Escam illa, calle de Carretas, V arios............................…</t>
  </si>
  <si>
    <t>de Becquer, José</t>
  </si>
  <si>
    <t>José de Becquer</t>
  </si>
  <si>
    <t>…. En tai estado mani­ del ilustre artista. Digno de dividir con él los laureles se mos­ tes cuantos se glorían de obedecer en Sevilla á sus inspiracio­ fiesta al Congreso con fecha 7 de Diciembre próximo pasado, tró su amigo D. José de Becquer , que sobresaliendo como siem­ nes. Esperamos que su recuerdo servirá de estímulo á los ar­ que el Sr. Ministro de Hacienda le ofreció verbalmente pre­ pre por la inimitable gracia de sus escenas de costumbres, pre­ tistas para no desfallecer en la empresa, y á la buena sociedad sen…</t>
  </si>
  <si>
    <t>de Belmonte, D. Tomas Ballester</t>
  </si>
  <si>
    <t>D. Tomas Ballester de Belmonte</t>
  </si>
  <si>
    <t>…olegio de distinguidos, y en ella se chos años. Valencia 22 de Abril de 1839.—Joaquin Fer- antiguos con cupones. Inscripciones en el gran libro á 4 por 1 0 0 , 00. explicarán únicamente las materias que se requieren para ri.—Sr. D. Tomas Ballester de Belmonte, profesor de ins­ Títulos al portador del 5 por 100. el examen de admisión. trucción primáfia.. Vales Reales no consolidados, 00. Los hijos de viuda no pudientes, solo satisfarán la mi­ Deuda negociable de 5 por 100 á papel , 00. ad de los houorarios asignados para c…</t>
  </si>
  <si>
    <t>de Boissy, Octavio</t>
  </si>
  <si>
    <t>Octavio de Boissy</t>
  </si>
  <si>
    <t>…irmas. M r. A u b e r t , antiguo D iputado. sorbidos por transacciones que debían ser representados en oro. ( G aceta d e B ale . ) M r. Beranger (de la D ro m e), Diputado consejero en el t r i ­ bunal de Casación. El conde Octavio de Boissy, del consejo general del depar­ Con fecha 28 de Octubre escribe» lo que sigue de Lisboa al tamento del Cher. BELGICA. M ornin g-H erald . El vizconde Boreíli, teniente general. El Gobierno portugués va á enviar á todos loa ministros ex­ B ruselas 6 d e N oviem bre. El vizconde…</t>
  </si>
  <si>
    <t>de Borbon, Luis</t>
  </si>
  <si>
    <t>Luis de Borbon</t>
  </si>
  <si>
    <t>…eis existido clérigo.” dios que S. S. ha d ic h o ? ¿Se está en el caso de adoptar el G o ­ La America está para terminar so primer período: el clero bierno un camino contrario al de la corte de Roma? Si no quiere El Infante D. Luis de Borbon , hijo de Felipe v y herma­ de España no manifestó abiertamente la resistencia á las re- S. S. esto, no sé qué objeto tiene la interpelación. ¿Q u é quie­ no de Carlos it i , sin tener la edad obtuvo el capelo de cardenal, formás políticas hasta tanto que Bonaparte no fue derrotado…</t>
  </si>
  <si>
    <t>de Borbon, Luisa</t>
  </si>
  <si>
    <t>Luisa de Borbon</t>
  </si>
  <si>
    <t>…tah en Barcelona, en la para proporcionar vendajes é hilas, se dedicó con todo el afan drid solemnizó la feliz exaltación al trono de los Sres. D. Cár- que exigía esta necesidad á repararla , y se nombraron comisio­ los iv y Doña Luisa de Borbon , su augusta Esposa , y la jura dePiferrer: en Zaragoza, en la de Yagúes en Valencia , en la nes de ciudadanos para hacer en esta capital una cuesta de corno Príncipe de Asturias del Sr. D. Fernando vn , adornada de Mallen: en Sevilla , en la de Hidalgo. aquellos efectos, que produjo…</t>
  </si>
  <si>
    <t>de Borbon, María Amalia</t>
  </si>
  <si>
    <t>María Amalia de Borbon</t>
  </si>
  <si>
    <t>…ste hecho no habrá contribuido mucho á inspirar á los pue­ partir el botin con los carlistas. del apóstol: Dillgite vos &amp;c., exhortaba á sus ovejas á depo­ blos del Rhin mejor voluntad con respecto al Gobierno de La Princesa Doña María Amalia de Borbon, esposa del ner todo afecto de odio y de rencor: á que se tratasen como B, rlia. Infante D. Sebastian, llegó el 11 á Vicencia , de donde salió el hermanos que eran: en una palabra, á que repitiesen entre sí Desde que en Inglaterra se piensa seriamente en no extraer dia sigui…</t>
  </si>
  <si>
    <t>de Borbon, María Cristina</t>
  </si>
  <si>
    <t>María Cristina de Borbon</t>
  </si>
  <si>
    <t>…lajara. contratas. ........................... 545 ción de la monarquía española Reina de las Españas, y G u ipú zcoa................................... 357 12. Los potros cerriles que no hayan llegado en las en su nombre Doña María Cristina de Borbon, Reina Re­ Huelva ............ últimas yerbas á los euatro años. 4^4 gente y Gobernadora del Reino, á todos los que las pre­ Huesca.. ............................. 733 13. Los caballos padres que al tiempo de publicarse sentes vieren y entendieren, sabed: Que las Cortes h…</t>
  </si>
  <si>
    <t>…antemente; sus actos acababan de tución de la monarquía española Reina de las Españas, lo es, en 43644 rs« vn. á deducir cargas, cuyas tres casas son recibir una sanción solemne. La Corona, defendida por ellos y en su nombre Doña María Cristina de Borbon, Reina propias de D. Leandro Martínez, y se venden para hacer pago hasta el fin, escuchaba de parte de las Cámaras un lenguaje Regente y Gobernadora del reino, á todos los que las pre­ á sus acreedores. Lo que se anuncia para que quien quisiere leal y digno. Esperaban que su…</t>
  </si>
  <si>
    <t>…racia de Dioá y póf la Constitu­ FRANCIA. Entre tanto se ha reunido una multitud considerable de ción de la monarquía española Reina de las Éspañás, gentes alrededor del coche de S. M ., dando muestras del mas y en su nombre Doña María Cristina de Borbon, Reina Paris 19 de Octubre. respetuoso Ínteres: en el momento de partir SS. MM. han sido Regente y Gobernadora del reinó, á todos los que las saludadas con las mas vivas aclamaciones. presentes vieren y entendieren, sabed: Que las Cortas Bolsa de ayer. Cinco por 100 consoli…</t>
  </si>
  <si>
    <t>de Borunda, Higinio García</t>
  </si>
  <si>
    <t>Higinio García de Borunda</t>
  </si>
  <si>
    <t>…de V e r - de su presidente D. Marcelo de Ondarza , de los ministros D on española, nos ostenta ya la faz risueña de una paz venturosa. gara , acogido con entusiasmo sin igual por los pueblos de esta A nto nio José Godinez y D. Higinio García de Borunda, y del O jalá, Señora, veamos pronto cumplidas nuestras halagüe­ provincia, será célebre en los fastos de la historia, y su cele­ secretado D. Rafael D íaz de R iv e ra ; verificándolo el presiden­ ñas esperanzas; y do quier que antes en el suelo regado con san­ bridad ser…</t>
  </si>
  <si>
    <t>de Boucham, Mr.</t>
  </si>
  <si>
    <t>Mr. de Boucham</t>
  </si>
  <si>
    <t>…despertó el toque de do y con premeditación uno de los autores del homicidio vo­ A l comandante de la columna de Carres se le han presenta­ generala. A las tres el primer batallón del 15 ligero, bajo las órdenes de su coronel Mr. de Boucham p, y con la música á la luntario cometido en la persona del Sr. D ro u in ea u , teniente do á indulto el 28 dos facciosos. del 21 regimiento de línea: A l del destacamento de M ontouto lo verificó igualm ente cabeza , marchaba hacia A rneguy. No hemos tardado en oir una viva fusil…</t>
  </si>
  <si>
    <t>de Bra-, Doña María Isabel</t>
  </si>
  <si>
    <t>Doña María Isabel de Bra-</t>
  </si>
  <si>
    <t>…bierno , cargos sejo de G obierno, consejero de Estado jubilado , Senador rillos. que se vió obligado á desempeñar el Sr. marques con g ra n po r la provincia de la M ancha, miembro de varias corpo­ E n vida de la augusta Sra. Doña María Isabel de Bra- sentimiento en Octubre de 1833. En tan delicadas funcio­ raciones nacionales y extrangerás $c. #c. ganza, tan amante de las nobles artes , concibió la idea nes y en las de Procer y Senador fue siempre fiel á su vo­ Nació ei* esta muy heroica villa el 18 de Marzo de que ad…</t>
  </si>
  <si>
    <t>de Bur, Javier</t>
  </si>
  <si>
    <t>Javier de Bur</t>
  </si>
  <si>
    <t>…e ley, y la comisión al dar sobre él su dictamen, presa. Que con este motivo el Ministro Ballesteros reunió en su libraban. La dificultad está sin embargo, en que en la corte despacho al Sr. Premisa , director del tesoro , á D. Javier de Bur­ se han entregado algunos socorros pecuniarios, que se llaman difíciles han tenido que resolver son sin duda ninguna de las gos y al que tenia el honor de dirigir la palabra al Congreso, dos pagas , y no ha podido realizar lo mismo en los departa­ que pueden presentarse á la meditació…</t>
  </si>
  <si>
    <t>de Bur-, Tomé</t>
  </si>
  <si>
    <t>Tomé de Bur-</t>
  </si>
  <si>
    <t>…y no en empleo ó destiao político m i­ f * i » % y | Por 10 ) nuevas Tomo 10 de la colección á 8 rs. en rústica. litar. (Ndrn. 1725.) Acciones del banco español de S. F ern an d o , 00* 8.° Rimas humanas y divinas del licenciado Tomé de Bur- - del mismo ministerio prohibiendo la extracción de sangui­ guillos. Tomo 11 de la misma, edición de 1792, á 8 rs. en CAMBIOS. juelas de la Península para el extraogero. (Num. 1727.) rústica. — del propio mioisterio para que los electos Diputados y Se­ 9.° Obras de Cristóbal de Casti…</t>
  </si>
  <si>
    <t>de Burgos, Miguel</t>
  </si>
  <si>
    <t>Miguel de Burgos</t>
  </si>
  <si>
    <t>…Crónica militar del mes de Mayo. dotado a Moralin. Las producciones de los poetas del si­ glo de Luis xiv se consideraban entonces en España por enlace desde las primeras escenas, razón por la que no Se vende en la imprenta de D. Miguel de Burgos, calle de los literatos de nota como el non plus ultra de la perfec­ excita gran interés en el espectador, y solo se sostiene Toledo , frente á S. Isidro. ción , y con seguir sus huellas debían contentarse cuantos por las graciosísimas, características y bien versificadas es­ escrit…</t>
  </si>
  <si>
    <t>…rrera Constará de un pliego de papel, cuya calidad, tamaño y for­ Crónica militar del mes de Mareo. de Sao Gerónimo, núm. 26 (antes 13.) ma será igual al del prospecto, y de los artículos siguientes: Se vende en la imprenta de D. Miguel de Burgos 9 calle de 1.° Noticias. 2.° Actos del Gobierno y legislación. 3.° Defensa Toledo, frente á S. Isidro. de los derechos del pueblo. 4*° Ciencias y amena literatura, RECTIFICACIONES. 5.° Ultramar. T&gt;OR muerte de la viuda de Quiroga, en cuya librería, calle Al marcar el dia , según su…</t>
  </si>
  <si>
    <t>…pado por frutos ^ de propiedad , por D. Alvaro Florez Estrada. Se vende en subasta por término de 10 dias una casa sita en la calle de la del presente año , á saber: en los dias 29 y 50 los correspon­ Madrid en la imprenta de D. Miguel de Burgos, calle de To­ Justa , señalada con el número 2 nuevo, con vuelta á las calles dientes á las parroquias que comprenden las vicarías de A m - ledo , frente á San Isidro; su precio 2 rs. de la Estrella y Cueva, por las que está marcada con los- nú­ puero, Balmaseda, Carranza, Castro-U…</t>
  </si>
  <si>
    <t>de Busque, López Ja.facción</t>
  </si>
  <si>
    <t>López Ja.facción de Busque</t>
  </si>
  <si>
    <t>…cticas parlamentarias por una parte, y después del bri­ .de Calanda f donde debía pernoctar, alcanzó la retaguardia de Rectifican varios hechos los Sres. Garelly y Lleopart. llantísimo y elocuente discurso que mi compañero el Sr. López Ja.facción de Busque compuesta de 550 infantes y 4 O caballos, El Sr. H ER O S impugnó el dictamen, manifestando que no pronunció ayer, y que no pudo menos de arrebatar la atención á la que les causó aiguuos muertos, é hizo 10 prisioneros. bastaba que la comisión hubiese examinado extrajudici…</t>
  </si>
  <si>
    <t>de Buzan, Alvaro</t>
  </si>
  <si>
    <t>Alvaro de Buzan</t>
  </si>
  <si>
    <t>…24 del mismo . Noticia biográfica del marques de la Ensenada , 2 rs. . que los jueces de primera instancia de esta corte expusiesen so­ Trillo 30 de Julio. La columna destinada á la seguridad Id. del célebre general de marina D. Alvaro de Buzan, ¿ bre el contenido de la Real orden de 7 de N oviem bre últim o de este establecimiento de aguas m inerales, compuesta de )17Q lo que tuviesen por conveniente. En su virtud dijeron en 28 primer marques de Sama-Cruz, 2 rs. hombres del provincial de Sevilla y de 70 salvaguardias de d…</t>
  </si>
  <si>
    <t>…y de 2 6 desvalidos del se gundo no se DE LA GUERRA CIVIL Saavedra y D. José Pat ino. 4»° D, A nt on io A g u s tí n , D. Sancho D áv il a , D J u a n de h a n desgraciado mas que cuatro. DESDE OCT UBRE DE 1832. A u s tr ia , D. Alvaro de Buzan, A n t o n i o de Nebri ja y Pedro M e ­ riendes Aviles. C U A D E R N O X I. 5 ° D . J u a n de Aus tr ia , Fr. L ui s de G r a n a d a , M a r t i n de Azpilcueta , Pedro Chacón , D . Ber nar dino de Rebolledo y D e n CORRESPONDENCIA DE LA GACETA, Contiene: Juic io sobre las ci…</t>
  </si>
  <si>
    <t>de Calonge, Eusebio</t>
  </si>
  <si>
    <t>Eusebio de Calonge</t>
  </si>
  <si>
    <t>…uno por el comandante graduado gefe del E. M. ! de 1859 —Excmo, Sr.—Joaquín Ayerbe.=£xcmo. Sr. general en gefe de este ejército.—Es copia.—Nogueras. Doña Isabel n , y la Regencia de su augusta Madre, so­ | de la 1.a brigada D. Eusebio de Calonge , y subteniente a u x i - lemnemente sancionada por las Cortes llamadas a fijar la ¡ liar D. Aniceto M uñoz, hasta la cúspide de la peña , de donde suerte de la nación, consolidando su sistema político, son ¡ un fuego espantoso no fue suficiente á separarlo. No solo las El mism…</t>
  </si>
  <si>
    <t>de Calzada, Bernardo María</t>
  </si>
  <si>
    <t>Bernardo María de Calzada</t>
  </si>
  <si>
    <t>…nio de Ameza- creo del espíritu y adorno del entendim iento, sacado de varios la matrícula de las enseñanzas de aritmética, geometría y me­ g a , vecino que fue de la misma, se llama á todos los que en autores é idiomas, por D. Bernardo María de Calzada , un to­ cánica de las artes, y de delineacion. Los que gusten matricu­ concepto de acreedores tengan derecho á sus bienes, para que mo en 8 .° m arquilla, á 10 rs. en rústica y 12 en pasta. larse podrán verificarlo de diez á dos de la mañana en la se­ acudan á deducirlo e…</t>
  </si>
  <si>
    <t>DE CAMINOS</t>
  </si>
  <si>
    <t>…y demas autoridades, asi civiles como vacantes de sargentos mayores de dichos cuerpos en lugar militares y eclesiásticas, de cualquiera clase y dignidad, de la tercera parte que hasta ahora les estaba señalada. DIRECCION GENERAL DE CAMINOS, CANALES Y PUERTOS. que guarden y hagan guardar, cumplir y ejecutar la pre­ Art. 4.° &gt;Los sargentos primeros de los enunciados re­ sente ley en todas sus partes. Tendréislo entendido para su gimientos provinciales que cuenten dos años á lo menos Excmo. Sr.: El ingeniero D. José Julián C…</t>
  </si>
  <si>
    <t>…á sus obligaciones. 3.° Que reclame también el pago de lo que deben las Londres 14 de Febrero. tesorerías de rentas de las expresadas provincias por el arbitrio de dos reales en fanega de sal hasta al afio de DIRECCION GENERAL DE CAMINOS, CANALES Y PUERTOS. Los consolidados están á 9 2 } , f al contado. Í836, como igualmente el de los atrasos de los pueblos Excmo. S r.: Desde el último parte que tuve el honor Fondo español 19} á demanda hasta fin de mes. por el arbitrio de ocho maravedís en arroba de vino f y de dar á…</t>
  </si>
  <si>
    <t>…o el que ha secuestrado salud. Noviembre de 1858. 1612 con............ 545540 los buques holandeses. Diciembre de idem. 586470 1609 idem.......... Debemos dar gracias, continuó el orador , al gefe de la Igle­ DIRECCION GENERAL DE CAMINOS, CANALES Y PUERTOS. Enero de 1859......... 1655 idem.......... 595200 sia por haber desaprobado las tentativas de los católicos: ha Febrero de idem..... 1655 idem.......... 485650 querido que la misión del catolicismo continuase siendo una Excmo. Sr.: En cumplimiento de lo que V. E. me…</t>
  </si>
  <si>
    <t>de Campos, Rarnon Martínez</t>
  </si>
  <si>
    <t>Rarnon Martínez de Campos</t>
  </si>
  <si>
    <t>…Vicente Espinosa , mere­ Cuerpo de estado mayor, rzCoronel de infantería teniente en el hondo, que sin duda se desató por la fuerza de la cor­ cedor de los aplausos que le tributó la concurrencia por la no­ coronel del cuerpo, D. Rarnon Martínez de Campos, propuesto riente. Los de Coll de Nargó dieron parte á los facciosos de vedad de los pensamientos y la riqueza de su arm onía, y feliz­ para comendador de la orden de Isabel la Católica. Orgañá, y fue enterrado durante la noche, y sigue entre ellos mente ejecutado por las s…</t>
  </si>
  <si>
    <t>de Camps, Francisco</t>
  </si>
  <si>
    <t>Francisco de Camps</t>
  </si>
  <si>
    <t>…l dentro y fuera de la Cámara , y deseamos, En O lo t, D. José Rexach. culta, haciéndoles ver su alcance y dom inio, y el estado de decirnos, que asi suced a, porque esa será un a muestra irrefra­ En Torroella de M o n tg r i, D. Francisco de Camps* perfección á que ha llegado en el dia. Asi que, no h ay que e s ­ gable de que las medidas adoptadas por la adm in istració n, son En la B isbal, D. Benito de C lurana. perar en este libro el aparato de cálculos, y a algeb raico s, y a las que deseamos que se adopten, es decir ,…</t>
  </si>
  <si>
    <t>de Carranza, Basilio</t>
  </si>
  <si>
    <t>Basilio de Carranza</t>
  </si>
  <si>
    <t>…siendo manifestar la causa de esa extrañeza. Michaus , D . Manuel Biale , D . Juan José Ortiz y López, arregladas (advirtiéndose que á la viña y tierra se halla hecha El Sr. PR E SID E N T E : N o puedo concederla sino en uno D. Basilio de Carranza, D . Antonio Tabernilla, D. Antonino postura en 1200 rs.), y para su remate se ha señalado el dia ú otro sentido. de U riarte, D. Adriano de las Bárcenas, D . Valentín Sigüen- 13 del corriente y hora de once á doce de la mañana en la casa El Sr. BARRIO AY USO : N o es justo que…</t>
  </si>
  <si>
    <t>de Carrasco, Alejandro</t>
  </si>
  <si>
    <t>Alejandro de Carrasco</t>
  </si>
  <si>
    <t>…ión dijo que cuando primero se corte, refrendada de D. M anuel Fernandez dé Pazos, escriba­ no de S. M ., del número del crim en, se c i t a , llama y emplaza hablaba de sala y después de trib un al, cualquiera conuceria que á D. Alejandro de Carrasco, vecino y escribano del lugar de se hablaba de tribunal pleno, y de consiguiente era inútil y V argas , provincia de Toledo , residente en esta corte, cuya CORTES. una redundancia; pero que sin embargo la comisión no tenia inconveniente en ad m itirla , porque esta era su idea…</t>
  </si>
  <si>
    <t>de Cas, Evaristo Perez</t>
  </si>
  <si>
    <t>Evaristo Perez de Cas</t>
  </si>
  <si>
    <t>…y dis­ m iento.= Está rubricado de la Real mano.—En Palacio por los faustos acontecimientos de las provincias del N orte, trito municipal de V i l l a n u e v a de L o r en z an a, en la p r o v i n ­ á 18 de Octubre de 1839—A D. Evaristo Perez de Cas­ que restableciendo la p a c t a n deseada, han de proporcionar cia de L u g o , faltaría al mas sagrado de sus deberes si hoy tro, Presidente del Consejo de Ministros. á la nación su dicha y su ventura. postrado A L. R. P. de V . M. y lleno de un in explicable go­ Seis años d…</t>
  </si>
  <si>
    <t>…ESO DE DIPUTADOS. creo que no puede atribuirse á su ilustración tai suposición, plimiento.=Está rubricado de la Real mano.=En Palacio sino que querría decir un ministerio que fuera producto de lu á 30 de Octubre de 1839. = A D. Evaristo Perez de Cas­ PRESIDENCIA DEL SEÑOR VICEPRESIDENTE ZLMALACARREGUI. voluntad de la nación , y que gobernase sin tener presentes afec­ tro , Presidente del Consejo de Ministros. ciones particulares. También yo le quisiera asi, señores; también Sesión del dia 50 de Octubre• quisiera yo que h…</t>
  </si>
  <si>
    <t>de Cas, José María González</t>
  </si>
  <si>
    <t>José María González de Cas</t>
  </si>
  <si>
    <t>…1.a La contrata de los tabacos inútiles se entenderá para las JL j, ga , juez togado de primera instancia en esta corte, refren­ existencias que hay actualmente en las fábricas, y las que pro­ dada del escribano del número D. José María González de Cas­ duzcan en el término de dos años, contados desde la fecha en tro , se c ita , llama y emplaza á los que como herederos y Y O el infrascrito escribano de S. M*, del colegio de esta cor- que recaiga la Real aprobación. acreedores se consideren con derecho á los bienes que…</t>
  </si>
  <si>
    <t>de Castejon, D. Francisco María</t>
  </si>
  <si>
    <t>D. Francisco María de Castejon</t>
  </si>
  <si>
    <t>…dar tres con­ D. M atías Seco, ay u d an te de campó del geoeral Ayer b e , pen­ " L o s P ersas,” dice Sir J . M alcolm en su Historia de Persia, sejos m u y saludables al que le habia cogido. Este consintió, diente ante el Sr. D. Francisco María de Castejon, ministro</t>
  </si>
  <si>
    <t>de Castejon, José</t>
  </si>
  <si>
    <t>José de Castejon</t>
  </si>
  <si>
    <t>…ta , llotna y emplaza á Ú, Pedro Torreas y M iral- cho dia. B IB L IO G R A F ÍA . da , D. José de Acebo, D. Clemente Bernaídez, D. José Arau- jo y Alcaide, D. Joaquín de Echavarría , D. Ricardo López, D. Antonio González , D. José de Castejon, D. Miguel M ar- p O R el presente y providencia dictada por el Sr. D. Juan qüés y Villegas, D , Lorenzo Marau , D. Andrés M artí, Don José Rodríguez Yaldeosera, caballero comendador de la Juan Garay y Casal, D. Rafael Cañaveral, D. Francisco Ja­ Real orden Acbericana de Isabel la…</t>
  </si>
  <si>
    <t>de Castejoo, D. Francisco María</t>
  </si>
  <si>
    <t>D. Francisco María de Castejoo</t>
  </si>
  <si>
    <t>…e presentación redacción de la Caceta de Madrid para los efectos que en di­ podrá causarles perjuicio. \ cho artículo se previene Asi lo proveyd, mandó y firmó el Obras que se hallan de venta en el despacho y almacén M. I. Sr. D. Francisco María de Castejoo, ministro honora­ de la Imprenta NacionaL rio de la audiencia territorial de Barcelona, y juez primero de primera instancia de Zaragoza, en ella á 16 de Agosto de 1839.—Francisco María de Castejoo.—Ante roí José García. Asi resulta del expediente al principio nombr…</t>
  </si>
  <si>
    <t>de Castilla, Pedro. El Rey</t>
  </si>
  <si>
    <t>Pedro. El Rey de Castilla</t>
  </si>
  <si>
    <t>…s Reinas y el invicto dnque de la V ic ­ les indujo á proclamar como Rey de Portugal al bravo D. J u a n , Y á la espantosa lucha fratricida toria con su brillante ejército llevan á su térm in o ; cuyo feliz hijo n atu ral de D. Pedro. El Rey de Castilla quiso defender D ias de amor y paz han reemplazado. desenlace parece tratan de contrariar aquellos, poniendo todos los derechos de su muger , B eatriz, pero derrotado completa­ Llegad , venid , pimpollos delicados, los medios para que les falten los recursos , y desistan…</t>
  </si>
  <si>
    <t>de Castro, Evaristo Perez</t>
  </si>
  <si>
    <t>Evaristo Perez de Castro</t>
  </si>
  <si>
    <t>…M u ñ a g o r ^ cado de la Real m an o.= E n Palacio á 30 de Agosto de a y e r tard e en Oñate coa las tropas de su in m ed ia to mando. r i , qu ie n tam b ién pretendía estar a p oyad o por el Gobierno i n ­ 1 8 3 9 . = A D. Evaristo Perez de Castro, Presidente del Que se ocupa en recoger varios efectos y pertrechos de a r t ille ­ g l e s , no ha producido n in g un os resultados , y por otra se pre­ Consejo de Ministros. ría , en d e stru ir las fá bricas de fu n d ic ió n y otras disposiciones g u n ta en qu é consi…</t>
  </si>
  <si>
    <t>…pueda corresponder, á fin de que Estado demostrativo de las fincas vendidas en las provincias do. =: YO LA REINA GOBERNADORA. = En Palacio á 8 desplegando cada uno por su parte toda la energía de que de Febrero de 1859. m A D. Evaristo Perez de Castro , Fresi- es capaz el mas acreditado celo y puro patriotismo, se ve­ en por el mes de Diciembre último por haber sido adjudicadas la junta á los mejores postores, seguí» los resultados de los rifique la requisición con la mayor escrupulosidad y pron­ remates que se han cel…</t>
  </si>
  <si>
    <t>…nuestra ópera italiana ha tenido desde que se rubricado de lia Real mano.=PaIacio 10 de Mayo pueblo de Pintas: haber apreheudido la columna de Cruces al dió principio á sus representaciones vacada dia en aumento, de de Í839.=A D. Evaristo Perez de Castro, Presiden­ faccioso José Rodríguez: haber dado muerte la columna de lo que es una prueba el que el salón siempre está lleno de gen­ te del Consejo de Ministros. Cabruy al faccioso , procedente de la gavilla de Saturnino, te, aunque se ha triplicado el número de representacio…</t>
  </si>
  <si>
    <t>…, por un sentimiento de humanidad y de verdadero cado de la Real mano. Palacio 12 de Junio de 1839. =^~A ó el Gobierno debe obtener el poder que le es necesario por la patriotismo, utilizar este inmenso caudal en beneficio de D. Evaristo Perez de Castro, Presidente del Consejo de victoria que ha conseguido la oligarquía sobre el principio re*, la educación publica, y de los progresos que reclaman los Ministros. presentativo, ó debe obtenerle por el triunfo del principio re­ establecimientos de caridad , las cárceles, y dema…</t>
  </si>
  <si>
    <t>…ir el movimiento que de la Real mano.=En Palacio á 19 de Agosto de 1839.= acabaLosdepartidarios entre los carlistas. exclusivos de D. Carlos, temiendo que M a­ da en El quinto batallón de Navarra estaba aun esta noche pasa­ A D. Evaristo Perez de Castro, Presidente del consejo de roto se aprovechase de las pretensiones de este Príncipe en su Vera, cuyo gobernador se habia fugado. Ministros. arreglo general, han querido apresurar la explosión del levan­ listas, El cura Echevarría y el coronel Aguirre , desterrados car­ tami…</t>
  </si>
  <si>
    <t>…y a l a , Ginés Biyonas, A ntonio Mena, y J u a n José Meca; Por la tarde 8. A R.. h on rará con su presencia la represen­ y los de la tercera, Cristóbal Sicilia, J u a n Sicilia , Pedro Sici­ a 28 de Agosto de 1 8 3 9 . = A D. Evaristo Perez de Castro, tación de la ópera L 'E lísir de A m ore, ejecutada por la tropa li a , A n to n io G a r r e , J u a n Bautista G i r r e , Alfonso C atnpoy, Presidente del Consejo de Ministros. italiana. D o m ing o A lv arrac in , Alfonso J im é n e z , y Jo.é Pintor. Con­ cluido el…</t>
  </si>
  <si>
    <t>de Castro, Josefa</t>
  </si>
  <si>
    <t>Josefa de Castro</t>
  </si>
  <si>
    <t>…sica lucharon para cautivar su atención. En esta ostentaron mismo juez y el exponente, corno presidente del ayuntamiento averiguación de la que según se oye extrajudicialmente, resul­ sucesivamente sus talentos las señoritas Doña Josefa de Castro, con motivo de queja propuesta por D . José R o y e s, manifiesta ta ser el testaferro el distinguido. Por parte de la plaza se re­ Doña Josefa Coello y Doña Granada de Ayala : la primera lució que el poder judicial invade las atribuciones gubernativas; y forzó innrediatamente con u…</t>
  </si>
  <si>
    <t>de Castro, José Bermudez</t>
  </si>
  <si>
    <t>José Bermudez de Castro</t>
  </si>
  <si>
    <t>…se en este teatro, sabemos que la Sra. L io - mas García Luna. francos: 5 5.66 5 ,7 52 id. en 1856. De forma que en siete años -e tte ha escogido para su beneficio la comedia titulada U n a v i e -&gt; L a Hechicera: novela por D. José Bermudez de Castro. áan aumentado los productos 8 .5 5 9 ,7 7 9 francos. En lo que al... original del mismo autor del B ellido DolfuS. Una série de novelas históricas, a rtístic as, fantásticas y de va del presente año de 1859 se han distribuido 79 millones de En el de la C r u z , ademas del…</t>
  </si>
  <si>
    <t>de Castro, José Bertnudez</t>
  </si>
  <si>
    <t>José Bertnudez de Castro</t>
  </si>
  <si>
    <t>…nte graduado alférez Don que se sirvan de sus armas contra la policía; pero sí les reco­ Marques de Castropinos: por fallecimiento en el año de 1744 Joaquín M iralle s, y al alférez D. J u a n V a lt e r r a , ambos de la de D. José Bertnudez de Castro , sucedió trasversalmente Doña miendo que lleven consigo ¿iempre un grueso palo emplomado compañía de tirad o res; al teniente graduado alférez D. S a lv a ­ M aría Ignacia Tellez Girón , su m u g e r, y el título se concedió en uno de sus extremos, para que si algunos sold…</t>
  </si>
  <si>
    <t>de Castro, José María González</t>
  </si>
  <si>
    <t>José María González de Castro</t>
  </si>
  <si>
    <t>…a audien­ REPERTORIO Los redactores de la M arip o sa , periódico de literatu­ cia de Cáceres, juez de primera instancia en esta corte, refren­ ra y modas, nos han remitido la siguiente nota: dado por el escribano del número D. José María González de Castro, en cuyo juzgado y escribanía se halla radicado el in ­ Habiéndose concluido todos los figurines que se habían gra­ dicado concurso , en cuyo cumplimiento se cita con dicho ob­ bado, y siendo considerable el número de suscriptores que nue^ jeto á los acreedores que no…</t>
  </si>
  <si>
    <t>de Castro, Luisa</t>
  </si>
  <si>
    <t>Luisa de Castro</t>
  </si>
  <si>
    <t>…a de uuo próximo á ella, que se acompañan. — donde se pueda pasear á pie. {Id.) Al terminar el examen en el que habia una numerosa con­ Academia de Santa Cecilia, costeada por la Real sociedad currencia, se presentó la niña Doña Luisa de Castro, y pro­ patriótica , que regentea Doña Nicólasa David, cuyo nuncio con bastante desembarazo el discurso que á la letra es exámen se verificó la mañana del 23 del repetido. como sigue: Idem i.° de Febrero. Señores presidente y vocales: El delicado órgano de una in­ Consta esta de 2…</t>
  </si>
  <si>
    <t>de Castro, Perez</t>
  </si>
  <si>
    <t>Perez de Castro</t>
  </si>
  <si>
    <t>…o uoico fin. tías á todas las opiniones verdaderamente liberales. Al frente de la comedia ele su n o m b r e , dice ¿ D. E n r i q u e , su am igo y Todos los pueblos de la tierra aspiran á ese grande objeto ella se halla el Sr. Perez de Castro, decano de la diplomacia conocido antiguo: por su propia y natural tendencia, y tanto mas se acercan á española, hombre respetable y apreciado hasta de sus mismos esa línea , cuanto mas amantes se muestran de su íntima unión Y o en la montaña adversarios: todos los partidos hacen…</t>
  </si>
  <si>
    <t>la geografía, no ha sido salí,factoría con respecto á L p.flú ía Sr. Perez de Castro, después de tomar las órdenes de lo , y de generalizar un cultivo tan útil acaso como el Jel del Gobierno: su píofeúon á la verdad no era adaptada para l a ‘R eina R egente, y consultar la opinión personal del c a ­ trigo y las patatas. entrar en examen político, ó quizás temerían…</t>
  </si>
  <si>
    <t>de Castroterreño, Estado</t>
  </si>
  <si>
    <t>Estado de Castroterreño</t>
  </si>
  <si>
    <t>…e debiau ser con sid era d os, al menos provision al­ y oportuna la proposición de los Sres. duque de Bailen , du que pueblo de Alcaudele. El parte que elevé al Gobierno de mente , com o los verdaderos elegidos. El secretario de Estado de Castroterreño , conde de V i g o , conde Ezpeleta , y D . José Y. M. se halla inserto en la Gaceta del dia 8 de Diciem­ de Pensilvanía, que habia denunciado altamente los fraudes c o ­ Isla Fernandez acerca de que se eleve un mensaje á S. M . para bre siguiente, y la simple lectura de es…</t>
  </si>
  <si>
    <t>de Castró, José Yelasco</t>
  </si>
  <si>
    <t>José Yelasco de Castró</t>
  </si>
  <si>
    <t>…L A G O B E R N A C IO N D E L A P E N Í N S U L A . cante por fallecimiento de D. Mariano García Bajo, á D. José Poveda, electo de Santiago ; y para el de M álaga, también v a­ Segunda sección.—Circular. cante por muerte de D. José Yelasco de Castró, á D. Faustino NO TIC IAS E X TR A N G ER A S. A rranz, que sirve el de Burgos. P o r el rninisterio: de la G uerra en 7 de este mes se ha Para el juzgado de Líllo , en la proviocía Je Toledo, v a­ FR A N C IA . co m unicado al de la G o bernación dé la P en ínsula la Real c…</t>
  </si>
  <si>
    <t>de Cataluña, España</t>
  </si>
  <si>
    <t>España de Cataluña</t>
  </si>
  <si>
    <t>…s vencido Cabrera y arrojado como virse útilmente con lo que la Francia ha hecho , con lo que ha A España g l o r i a , y á tu sien laureles!! intentado en varias ocasiones, con lo que ha sufrido para e v i­ ha sido el conde de España de Cataluña , no quede obstácu­ j. j. b u e n o . lo ninguno para que se termine la guerra civil que ha devo­ tar en muchas cosas el mal y para realizar el bieo. rado nuestras poblaciones, y para que disfrutemos los in n u ­ En lugar de la m ultitud infinita de le y es, decretos y edic­ me…</t>
  </si>
  <si>
    <t>de Caucio, José Diaz</t>
  </si>
  <si>
    <t>José Diaz de Caucio</t>
  </si>
  <si>
    <t>…uel Abascal , D. Mariano Oso- ballero, en id. te de una parte: Andrés Diaz Pardo y mas testamentarios de rio de Moscoso, D. Ramón Gerboles, D. Manuel Fernandez Otra id. en dicho s itio , la Solera . á D. José G arc ía, en id. D. José Diaz de Caucio, vecino que ha sido de Riveras de A u -</t>
  </si>
  <si>
    <t>de Cdvios, Muriei Gobierno</t>
  </si>
  <si>
    <t>Muriei Gobierno de Cdvios</t>
  </si>
  <si>
    <t>…ces se p r o p a g a ro n , y que en nuestros dias ha p ro c u ra ­ ción publica. La ju n ta iue creada el añ o de 1787. Con ra- do r en o v a r una novela del g é n e ro de las histó ric as; tales m n pues la in titu la el Sr. Muriei Gobierno de Cdvios n i , como la influencia de la Compañía en las sediciones de PROV IDENC IAS JUDICIALES. siendo com o es el resultado de todas las ideas a d q u irid a s Madrid contra el m inistro S q u ilac e, los levantam ientos que d u r a n te el período en q u e reinó , y la expresió…</t>
  </si>
  <si>
    <t>de Cevallos, Gutiérrez</t>
  </si>
  <si>
    <t>Gutiérrez de Cevallos</t>
  </si>
  <si>
    <t>…n toda la ra­ m isión, se preguntó si se adm itía como D iputado por la pro­ la Inglaterra ambicionaría la conquista de E gip to , y dice que pidez posible sucesos tan agradables como los que contiene, me vincia de Granada al Sr. Gutiérrez de Cevallos, mediante 00 no piensa en ello siquiera. hago un deber de publicarlos inmediatamente para satisfacción resultar reclamación alguna contra la aptitud legal de dicho de todos los aragoneses interesados en el triunfo de nuestra cau­ señor. sa y terminación de esta guerra fratric…</t>
  </si>
  <si>
    <t>de Cheueys, Russell</t>
  </si>
  <si>
    <t>Russell de Cheueys</t>
  </si>
  <si>
    <t>…ticia con arreglo á la instrucción lejado 10 hijos. El difunto duque era duque y conde de Bed­ los remates, comprendiéndose también el total de los meses vigente. anteriores, según está mandado. ford, marques de Tavistock; barón Russell de Cheueys, barón Por último dice el mismo capitán general que en diferentes Russell de Thorhangh y barón de Howland, de Streatham, tí­ puntos de aquel distrito se han presentado á indulto siete re­ tulos todos al que va anejo el de Par de la Gran Bretaña. S. G. Número beldes, y han muerto…</t>
  </si>
  <si>
    <t>de Chiva, AJ- El</t>
  </si>
  <si>
    <t>AJ- El de Chiva</t>
  </si>
  <si>
    <t>…sin la mas ligera desgra­ lugar á que pudiéramos recobrarnos de impresión ta« íatima protección especial un establecimiento digno de una gran na­ cia por nuestra parte. y tan deliciosa: baste decir que la artista profesora Doña AJ- El de Chiva da cuenta de la atrocidad cometida por el ca­ merioda M anzochi, y la artista aficionada doña Antonia B de ción, y cuya utilidad y ventajas son incontestables. Manifes­ tar el deseo de que los padres y todos los encargados de la ed u­ becilla Chaleco y su asistente, asesinando un…</t>
  </si>
  <si>
    <t>DE CHRISTANTES, MANUEL VICTOR</t>
  </si>
  <si>
    <t>MANUEL VICTOR DE CHRISTANTES</t>
  </si>
  <si>
    <t>…CIO Y A LAS OFICINAS DEL ESTADO Daimiel 4 de N oviembre. Comandancia general de las provincias de C iu d ad -R eal y Toledo.—Manchegos y toledanos: CAMBIOS. Cuando cesan las causas tienen que desaparecer los efectos. Bajo POR D. MANUEL VICTOR DE CHRISTANTES , Londres, á 90 dias, 58|. Coruña, l f d. de este p rin c ip io , y estando y a casi pulverizada la facción del ladrón y asesino Palillos, y este huyendo espantado de estas París, 16-6. Granada, id. id. g e f e d e secció n que f u e d e l m inisterio d e H acienda • p…</t>
  </si>
  <si>
    <t>DE COMERCIO, Carlota BOLETIN</t>
  </si>
  <si>
    <t>Carlota BOLETIN DE COMERCIO</t>
  </si>
  <si>
    <t>…C rib e, del consejo y cámara de S. M. &amp;c. &amp;c. tulada Ua tomo en 8.° á 14 rs. en pasta y 12 en rústica. NORMA, El filósofo solitario: obra in stru ctiv a, curiosa y filosófica, en la cual desempeñará la parte de A dalgisa Doña Carlota BOLETIN DE COMERCIO. compuesta por el célebre P, D. Teodoro de A lm eid a, traduci­ Y illó. da y aumentada con varias notas críticas, históricas y filosó­ BOLSA DE M AD RID . ficas: dos tomos en 8.° á 16 rs. en pasta y 12 en rústica. Se venden en la librería de Sánchez, calle de la Conce…</t>
  </si>
  <si>
    <t>DE COMERCIO, José Zorrilla. BOLETIN</t>
  </si>
  <si>
    <t>José Zorrilla. BOLETIN DE COMERCIO</t>
  </si>
  <si>
    <t>Badajoz el dia 22 de Marzo últim o, para que en el término Creer ó velar, poesía de D. José Zorrilla. BOLETIN DE COMERCIO. preciso de 50 dias, contados deMe la publicación del presente, Pamplona, topografía. N u ev o modo de hacer albóndigas, y una Crónica de dife­ comparezcan á dar razón de ellas en la escribanía de la renta, calle del Lobo, número 8 , piso segundo, en la intelig…</t>
  </si>
  <si>
    <t>de Coya, Andrea Solas</t>
  </si>
  <si>
    <t>Andrea Solas de Coya</t>
  </si>
  <si>
    <t>…o de 1859, ó relación de las operaciones y progre­ lición del derecho llamado de visita de boticas. haya privado de la percepción de las rentas pertenecientes al sos de la sociedad durante el primer año de su estable­ 192. Doña Andrea Solas de Coya , viuda del brigadier Dor ¡ establecimiento titulado de la Convalecencia. José de Cora, en solicitud de pensión. 255. Doña María Josefa Cid y Carincero, viuda de Doncimiento. 195. D. Manuel Rodríguez, familiar jubilado en el colegiey] Luis Correa; de Silva , en solicitud á pen…</t>
  </si>
  <si>
    <t>de Cruz, Luis</t>
  </si>
  <si>
    <t>Luis de Cruz</t>
  </si>
  <si>
    <t>…s ñanza^ y D. José Buzo, joven de 15 años, manifestará un re­ establecimiento, y verá que mas de 50 jóvenes hablan el fran­ mejoras en sus instituciones políticas; esa mano protectora de trato que ha aecho bajo la dirección de D. Luis de Cruz, pin­ cés; 10 ó 12 el francés é ingles; y que tan adelantados se h a ­ los Gobiernos, que lejos de obstruir esta fuente de riqueza, r e ­ tor de cámara de S. M. llan en este ramo de instrucción, como en los demás. Hace cua­ mueve escrupulosamente todos aquellos obstáculos que pueden tr…</t>
  </si>
  <si>
    <t>de Cueto, D. Leopoldo Augusto</t>
  </si>
  <si>
    <t>D. Leopoldo Augusto de Cueto</t>
  </si>
  <si>
    <t>…das en estos casos por sus Reales ordenanzas á Secretarios generalesmSr. D. Narciso Pascual Colomer, y tificación, podrán dirigirse a dicha imprenta Nacional los oficiales de su ejército; por el presente llamo, cito y empla­ Sr. D. Leopoldo Augusto de Cueto. hasta el 10 de Diciembre. zo al Excmo. Sr. teniente general D. Luis Fernandez de Córdo­ Depositario ±:Sr. D. Pablo Cabrero. ba, advirtiéndose que es el primer edicto al efecto de su presen­ Confador.—Sr. D. Manuel Gatalá de Vaferíola. tación, señalándole para ella la…</t>
  </si>
  <si>
    <t>de Córdo, Luis Fernandez</t>
  </si>
  <si>
    <t>Luis Fernandez de Córdo</t>
  </si>
  <si>
    <t>…. 6.a Los tabacos que reciba el contratista se depositarán por ñera! , se enterará Y. E. de la evasión que ha hecho de la pla­ cuenta de este en almacenes fuera de las fábricas, embarricadoa za de Badajoz el teniente general D. Luis Fernandez de Córdo­ reconocimiento y cálculo que en el año de 1826 hizo D. Fran­ ó enserados, teniendo una llave de ellos los gefes de' dichos es­ ba , presentándose en la de Yejves, en el vecino reino,* según cisco Javier Barra, he mandado al ingeniero Mascoartú en 21 tablecimientos. comunic…</t>
  </si>
  <si>
    <t>…Colomer, y tificación, podrán dirigirse a dicha imprenta Nacional los oficiales de su ejército; por el presente llamo, cito y empla­ Sr. D. Leopoldo Augusto de Cueto. hasta el 10 de Diciembre. zo al Excmo. Sr. teniente general D. Luis Fernandez de Córdo­ Depositario ±:Sr. D. Pablo Cabrero. ba, advirtiéndose que es el primer edicto al efecto de su presen­ Confador.—Sr. D. Manuel Gatalá de Vaferíola. tación, señalándole para ella la casa palacio habitación del Ex­ Bibliotecario ízSr. D. Aotonio María Segovia. celentísimo Sr…</t>
  </si>
  <si>
    <t>de Córdoba, Cristóbal</t>
  </si>
  <si>
    <t>Cristóbal de Córdoba</t>
  </si>
  <si>
    <t>…asallo, que operaron sobre la izquierda enemiga, acre­ sus caballos muertos. Pa z ? y que no la anarquía y los crímenes sean los actos que se ditaron su decisión y valor. Para proteger la mitad de tirado­ El de la misma clase D. Cristóbal de Córdoba, el suyo he­ vean entre nosotros, sino el suave imperio de la Constitución, res de lanceros mandada por el alférez D. Federico Berriz, que rido. y el impasible de la ley* he venido en publicar él siguiente se hallaba avanzada con las guerrillas , fueron destinadas tres Estado…</t>
  </si>
  <si>
    <t>de Córdoba, Doña Josefa Fernandez</t>
  </si>
  <si>
    <t>Doña Josefa Fernandez de Córdoba</t>
  </si>
  <si>
    <t>…Por providencia del Sr. intendente subdelegado de Rentas, , 4^2 pos cucuruchos de terciopelo bordados de oro, á la juez de Amortización de esta provincia , y para dar cumpli­ DICCIONARIO D E M EDICINA Y CIRUGIA PRACTICAS. Sra. Doña Josefa Fernandez de Córdoba. miento á un despacho del Sr. intendente de la provincia de Sevi­ 594. Un cuadro con ao dechado, á la Sra. Doña Beatriz lla, se cita, llama y emplaza á D. Pedro María Tremens y Entrega 17 del tomo 2.* Dele de Cabañil las. D. Antonio María Bonomo , cuyas habitacione…</t>
  </si>
  <si>
    <t>de Córdoba, Luis Fernandez</t>
  </si>
  <si>
    <t>Luis Fernandez de Córdoba</t>
  </si>
  <si>
    <t>…án de cuenta del contratista todos los gastos que se gn cuya casa dice se ha hospedado desde el día de antes de ayer resta hacer. ocasionen en envases, acarreo , almacenaje y embarque * después el Éxcmó. Sr. teniente general D. Luis Fernandez de Córdoba, Camino de Jaén d Bailen. de verificado su peso en las fábricas. manifestándome que habiendo salido desde esta tarde dicho ge­ 9.a Lo serán igualmente los de U escritura pública que ha neral á paseo, no habiendo vuelto a hora tan avanzada, y no Siguen las obras con activi…</t>
  </si>
  <si>
    <t>de de la, Celestino</t>
  </si>
  <si>
    <t>Celestino de de la</t>
  </si>
  <si>
    <t>…, coronel que fue dei representando la inmensidad del deseo en la inmensidad todos los buenos artistas del siglo. regimiento de Lusitania, por 110 rs.: la testamentaría del Ex­ celentísimo Sr. duque de A rion , por 5700 rs.: D. Celestino de de la forma. El materialismo m oderno llavaba ademas en Los jóvenes Madrazo y Ribera han conseguido un triun­ la Encina, comandante del regimiento de Mallorca, por 2500 su seno un gérrnen enteramente n u e v o , la filantropía y la fo com pleto com o lo manifiesta palpablem ente la h…</t>
  </si>
  <si>
    <t>de de la, Ministro</t>
  </si>
  <si>
    <t>Ministro de de la</t>
  </si>
  <si>
    <t>…El Sr. Oiózuga fue el primero que fue á abrazar al señor el Gobierno consignó su modo de pensar. Después el Sr. con­ tener la confianza del Gabinete; no he dicho yo eso: lo que Artera y este al Sr. Sancho , juntamente que al Sr. Ministro de de las Navas llegóse á este banco, y preguntó si admitiría he manifestado es que para votar esa ley en las circunstan­ de Gracia y Justicia. Yo d:cia.* feliz momento en que vamos el Gobierno una enmienda ó adición que pensaba hacer, redu­ cias en que nos hallamos, necesitaba el Gobierno…</t>
  </si>
  <si>
    <t>de de, Consejo de Ministros</t>
  </si>
  <si>
    <t>Consejo de Ministros de de</t>
  </si>
  <si>
    <t>…ID E S : La duda que se presenta es una duda dichosa en que pudieran realizarse tan grandes beneficios, la ve ileina de España.” adelantarse por una especie de prodigio que eternizará la glo­ El Sr. Colomer: " A l Presidente del Consejo de Ministros de de ley electoral acerca de lo prevenido en el art. 4»° y 56 de la riosa memoria de la regencia de V. M. La paz brota como es­ Francia, al ilustre mariscal Soult.” misma. pontáneamente del seno mismo de la g u erra; el capitán inven­ Otros brindis se pronunciaron par los Sres…</t>
  </si>
  <si>
    <t>de de, Diputado</t>
  </si>
  <si>
    <t>Diputado de de</t>
  </si>
  <si>
    <t>…servido en lo sucesivo ban dote: ninguna entraba sin.darle: todas sacrificaban á sus dia anterior al tratarse de esta misma petición se habló por un en comisión. familias para tomar ese estado; y sus familias, luego que ha­ Sr. Diputado de devolución de bienes, y el ministerio no con­ Art. 2.° Esta no dará opcion por consiguiente á mas haber cían profesión , creían ya colocada una hija. testó á esta idea, que debia abrir una brecha en el crédito, para por jubilación , cesantía ó monte pió , que el que correspondie­ Véase…</t>
  </si>
  <si>
    <t>de de, Francisco G.</t>
  </si>
  <si>
    <t>Francisco G. de de</t>
  </si>
  <si>
    <t>…tá á cargo del acreditado profesor D. José María Ro­ del idioma contestando hasta el pronombre: tradujeron varios períodos del castellano al ingles los de la primera sección, y le­ dríguez, y la de los idiomas que esta al de D. Francisco G. de de costuras, y los hay también en la parte literaria; bien que no puede ser de otra manora, pues que siendo, llevaríamos con Betancourt, en la cual se hizo por uno de sus alumnos un dis­ toda yeron y tradujeron en el traductor ingles los de la segunda* curso en ingles, que también…</t>
  </si>
  <si>
    <t>de de, Miguel</t>
  </si>
  <si>
    <t>Miguel de de</t>
  </si>
  <si>
    <t>…en la presente campaña pro­ vuestro general.—Espartero. Com andancia general de los ejércitos reunidos. — Secretaría dujese ventajas positivas. Vuestra ciega confianza en mi buen de cam paña.—Excmo. Sr.: El mariscal de campo D. Miguel de deseo, las virtudes que os disting u en , el conocimiento exacto Arechavaia , comandante general de V izcay a, me dice con fe­ del terreno, el estudio de esta guerra y otras seguridades me El comandante general de las provincias Vascongadas con cha de ayer lo que sigue: hicieron esperar…</t>
  </si>
  <si>
    <t>de de, Perez</t>
  </si>
  <si>
    <t>Perez de de</t>
  </si>
  <si>
    <t>…si bien el encargo puede haber ido de otra parte. rio y de la interpretación de le n g u as; certifico: que la antece­ uque Alejandro y de las razones que pueden haberla determi- i En el papel francés, al poner, la firma del Sr. Perez de dente traducción está bien y fielmente hecha en castellano de nado. Pero confirman la noticia de que todas las clases del pue- ! Castro, se dice « P r es i d e n te del Consejo y de N e g o ci o s ex - ejemplar latino que de órdea del Excmo. Sr. comisario genera o en £&gt;. Petersburgo, sin…</t>
  </si>
  <si>
    <t>DE DISTRIBUCION</t>
  </si>
  <si>
    <t>…Toledo, donde tiene sus guaridas. tan en el asilo. / Huérfanas de J y menores de 8 . / . 3 .a f padre y m adre/ \ Mayores de 8 \ Ly menores de 1 2 . / D IR E C C IO N G E N E R A L D E L TESO R O PUBLICO Y CONTADURIA GENERAL DE DISTRIBUCION. , Mayores de 4 \ * 1 Huérfanas de I y menores de 8 . / .,5 .a Nota de las cantidades que la dirección general d el Tesoro público ha entregado y puesto á disposición del M inis­ Que disfrutan ó \ P adre 7 madre- | Mayores de 81 terio de la Guerra en este mes. tienen opcion j Ly…</t>
  </si>
  <si>
    <t>…7 1855790 Cantabria. ................... 136.. 24 156.. 24 Castellón de la P lana.. . ; 85211. . 19 2054400 ,. 2117611.. 19 Ciudad-Real...................... 168279. . 55 1489186. .51 3526.. 25 1660995.. 19_ CONTADURIA GENERAL DE DISTRIBUCION. M e¿ de M arzo de 1859. Córdoba. ........................... . 61572. .52 5705.. 22 67278.. 20 Coruña................................ 1475461.. 24 75576..27 1548858..17 Cuenca................................ 1794618.. 18 51907. .25 1826526.. 7 Estado general de las cantidades que…</t>
  </si>
  <si>
    <t>de Dunin, Posen Mr.</t>
  </si>
  <si>
    <t>Posen Mr. de Dunin</t>
  </si>
  <si>
    <t>…n pro­ entre la Iglesia y el Estado. Es probable que desde mañana diga ger las comunicaciones. Según los movimientos de los batallo­ Dios guarde á V. E. muchos años. Jaén 17 de Abril de misa en la iglesia católica el arzobispo de Posen Mr. de Dunin: nes facciosos es de presumir que Maroto trate de defender con 1859.=rExcmo. Sr.—Francisco Muñoz y Andrade. =: Excmo. Se­ quizás dé también la confirmación. empeño los puntos fortificados. ñor Secretario del Despacho de la Gobernación de la Penín­ sula. Los habitantes de nuestras…</t>
  </si>
  <si>
    <t>de e, Arteta.</t>
  </si>
  <si>
    <t>Arteta. de e</t>
  </si>
  <si>
    <t>…e de protagonista D . Joaquín brado por su Presidente al Sr. Arguelles, y por su Secretario ricana de Isabel la Católica, juez togado de primera instancia González , que sin llegar su talla á cinco pies, pesa 18 arrobas. al Sr. Arteta. de esta capital , refrendada del escribano del número D . Mar­ También se dió cuenta de varios documentos cuya lectura tin Santin y Vázquez, se cita y emplaza á los que en concepto no pudimos percibir. de acreedores se consideren con derecho á los bienes que queda­ El Sr. PRESIDENTE señal…</t>
  </si>
  <si>
    <t>de e, Bofarull</t>
  </si>
  <si>
    <t>Bofarull de e</t>
  </si>
  <si>
    <t>…re­ cumentos públicos por los años del reinado de los Reyes cuatro batallones castellanos: en Orozco dos guipuzcoanos, y adernatf nom bre Cabeza de estopa, llamado asi á causa de &amp;u rubia franceses. La comparación que hace el Sr. Bofarull de esta ocurre compañías; novedad y en Oquendo dos batallones alaveses. No particular por la parte de Balmaseda y las En­ cabellera. Hemos hecho de estas dos cuestiones capítulo suputación á la de la era de César, no nos parece exacta. cartaciones, á no ser el haber sido entregada á las l…</t>
  </si>
  <si>
    <t>de e, Buenavista. D.</t>
  </si>
  <si>
    <t>Buenavista. D. de e</t>
  </si>
  <si>
    <t>…Cuenca. tante de lo que á primera vista parece ; pues el mismo perió­ «D . Antonio Juan Foxá. «D . Eusebio de B ardají y Azará. « D . Ju an de la Dehesa. dico que dos dias há se gloriaba del resultado de las elecciones Conde de Buenavista. D. de ecretarirs en la Cámara de D iputados, hoy ya desmaya y D. confiesa la derrota que ha sufrido el m inisterio: aun mas: tra­ T eru el. ta de adivinar quiénes serán los hombres llamados á suceder á G erona. «D . Marcelino Oráa. los que salieron al poder el 15 de A bril de 1857. «D…</t>
  </si>
  <si>
    <t>de e, Carlos Amortización</t>
  </si>
  <si>
    <t>Carlos Amortización de e</t>
  </si>
  <si>
    <t>…s que habia de su predisposición á sublevarse. TEATROS. En seguida se dirigió aquel á Yera , donde prorumpió en vivas p O R providencia del Sr. intendente de Rentas , juez de por su Rey y muera Maroto. El l i salió de Tolosa D. Carlos Amortización de esta provincia, y para dar cum plim ien­ PRINCIPE. Hoy no h ay función. en dirección al Bastan ; se ignora con qué fin: el dia anterior to á un despacho librado por el Sr. intendente de la de Sevi­ llegó el eonde de Negri al cuartel R ea l; seis compañías de pre­ lla , se ci…</t>
  </si>
  <si>
    <t>de e, Casas.</t>
  </si>
  <si>
    <t>Casas. de e</t>
  </si>
  <si>
    <t>…Empero el servicio prestado por el valiente Picado , en que tores. Terminará la función con «a lindo terceto compuesto tanta parte tuvieron también los cabos de la caballería franca NUMEROS. PREMIOS» ADMINISTRACIONES. por el Sr. Casas. de esta ciudad Angel Simón y Eleuterio Blanco, no es de tan poca wouta ; pues desmontados y sin armas estos vándalos, ha­ 5.497. . . . 25000 ps. fs .. Madrid. biéndoles ya cogido en sus guaridas , con las persecuciones cons­ 4,439. . . . 1 2 0 0 0 . . . . . . . Cádiz. CRUZ. A las ocho y me…</t>
  </si>
  <si>
    <t>de e, D. Antonio</t>
  </si>
  <si>
    <t>D. Antonio de e</t>
  </si>
  <si>
    <t>…ndariz, que tantas pruebas tiene dadas de moderación Real decreto de 15 de Marzo de 1857 é instrucciones posterió- tores que según la ley debían serlo. Esta segunda parte se divi­ res, compuesta de su vicepresidente el Excmo. Sr. D. Antonio de en oo haber admitido á los emigrados en Valcarlos, y en no y respeto á sus compañeros. Ha tratado de prevenir al Congreso contra la comisión di­ Barata , consejero de Estado, y de los Sr es. vocales D. Braulio haber admitido á otros de valles leales ocupados por los faccio­ ciendo que…</t>
  </si>
  <si>
    <t>de e, DE LOTERIAS NACIONALES. Cualidades</t>
  </si>
  <si>
    <t>DE LOTERIAS NACIONALES. Cualidades de e</t>
  </si>
  <si>
    <t>…morialista: precioso diálogo entre este y un la­ Art. 2.° Los compradores que en el término prefijado en el cayo que va á encargarle una doncella. artículo anterior, no anticiparen la totalidad de los referidos DIRECCION GENERAL DE LOTERIAS NACIONALES. Cualidades de esta para dar gusto á todos. plazos, quedan obligados á hacerlo á sus respectivos vencimien­ Hasta los cuernos: descripción de la estampa que acompaña tos , del modo que sigue : Noticia de los pueblos y administraciones donde han cabido á este número , la que…</t>
  </si>
  <si>
    <t>de e, DE LOTERIAS NACIONALES. de Rentas</t>
  </si>
  <si>
    <t>DE LOTERIAS NACIONALES. de Rentas de e</t>
  </si>
  <si>
    <t>…e orden de la dirección general de Rentas, y hermosura , que de la vana pompa y grandeza del trono.” en virtud de providencia del Sr. intendente subdelegado Aqui debiéramos poner fin a este artículo, porque al DIRECCION GENERAL DE LOTERIAS NACIONALES. de Rentas de esta provincia, se publica por término de nueve lado de los armoniosos párrafos que acabamos de copiar, dias la subasta del arriendo de los derechos sobre los géneros ha de aparecer nuestro lenguaje tosco y desaliñado, como Noticia de los pueblos y administraci…</t>
  </si>
  <si>
    <t>de e, Dimaso</t>
  </si>
  <si>
    <t>Dimaso de e</t>
  </si>
  <si>
    <t>…s con rado de Doña María Manuela de Ribera: Doña Bárbara Gó­ dadaComedia en tres actos en verso , del célebre Picard , acomo­ giau perjuicio de sus labores , y siempre con mucho cui­ mez Talayera, viuda de D. Antonio Espinóla: D. Dimaso de en lasal librerías teatro español por D. Bautista Calleja. Véndele á 6 rs. de Escamilla, calle de Carretas, y de Cuesta dado por no tener te tigos que probaran su declaración. Rueda y Tejada , apoderado de D. Manuel Ventura Irure: frente á Ls Covachuelas. Que entia cada día mas que aquel…</t>
  </si>
  <si>
    <t>de e, Francisco</t>
  </si>
  <si>
    <t>Francisco de e</t>
  </si>
  <si>
    <t>…insistiendo en lo anteriormente manifestado, indicó que po­ Constitución de 1857 , ¿cómo es posible que haya de remitirse pliendo con su deber, recurrió al Congreso pidiendo autoriza­ dia muy bien haber auto de prisión contra D. Francisco de el testimonio que se pide para ninguno de los dos efectos de ción para que se continuara el procedimiento incoado. Pasó Paula Alvarez, que podia por enfermedad ú otro oiotivo ha­ que habla el art. 7.°? este á una comisión, y esta dió su dictámen accediendo á la berse convertido en arr…</t>
  </si>
  <si>
    <t>de e, Francisco Verea</t>
  </si>
  <si>
    <t>Francisco Verea de e</t>
  </si>
  <si>
    <t>…D. Rafael Caamaño y P ardo , D. Joaquín M aría Ferrer , Don tes acontecimientos de su capital tienen aun viva la sensación pormenores. De resultas de haber entrado en esta investigación Jo-íé Antonio Rich , marques de Espeja y D. Francisco Verea de esta excisión , y sus habitantes no disfrutan todavía la cal­ de hechos, negaron al Gobierno la autorización que se pedia Cornejo. ina necesaria ; luego que desaparezcan los síntomas y se conclu­ por el juez de Zamora. Véase pues como la doctrina constitu­ El Sr, P RE SID E N TE…</t>
  </si>
  <si>
    <t>de e, Guillen y Roda.</t>
  </si>
  <si>
    <t>Guillen y Roda. de e</t>
  </si>
  <si>
    <t>…primer lugar porque es género propio; este dia habia nombrado por su Presidente al Sr. Gil y por se­ Bien pudiéramos dispensarnos á la verdad del análisis y en segundo , porque suelen estar desempeñados por ac­ cretario al Sr. Guillen y Roda. de esta pieza, que ha pasado por entre las concurridas re­ tores de justa nombradla, para los que se escriben expre­ Se acordó quedasen sobre la mesa los siguientes dictámenes presentaciones del Hombro gordo, casi ignorada y ver­ samente. Ademáis, el publico que agiste a sus represe…</t>
  </si>
  <si>
    <t>de e, Juan Bautista Cozzer.</t>
  </si>
  <si>
    <t>Juan Bautista Cozzer. de e</t>
  </si>
  <si>
    <t>…e la existencia que resultó de la anterior, el producto del re­ partimiento de un octavo por m il, el del un cuarto por razón COLECCION DE LEYES, Ramón C arnicer; y los bailes inventados y dirigidos por D on Antonio Cairon y D. Juan Bautista Cozzer. de entrada de los nuevos socios, y de las lápidas y papel se­ REALES DECRETOS, llado de las pólizas: el cargo importa la cantidad de 158,098 Mañana sábado 19 de Enero de 1859 á las once de la noche reales y 27 mrs.: la data 88,665 con 2 7 , por lo que aparece de ORDENES Y REGLA…</t>
  </si>
  <si>
    <t>de e, Lemus</t>
  </si>
  <si>
    <t>Lemus de e</t>
  </si>
  <si>
    <t>…á los oyentes la sa­ de la revolución no hay Jos grados de entusiasmo que se dice. hecho á esta diputación provincial su comisión encargada es­ grada ceremonia animando con sus palabras á los encadenados Desde que partió el Sr. Lemus de esta capital , comenzó á pecialmente de presenciar los trabajos de la nueva carretera de y ^consolándolos en su desgracia y adversidad ; se dan tos p ri­ sentir los efectos de su atrevimiento. En la Misión lo abundo-» ésta ciudad á la de M álaga , á su regreso de inspeccionar cuan- meros…</t>
  </si>
  <si>
    <t>de e, Manuel Pita</t>
  </si>
  <si>
    <t>Manuel Pita de e</t>
  </si>
  <si>
    <t>…imo venidero de Í 84O, sobre la propues­ ta de 270 rs. vn, al primero y 2800 al últim o , hecha á S. M . T&gt; EPRESENTACION d irig id a á las Cortes del año de 1839, por pn verdadero español. CORRESPONDENCIA DE LA GACETA. por D. Manuel Pita de esta vecindad, la cual ha sido aproba­ Se hallará de venta en la librería de C uesta, calle M ayo r, d a ; y para su remate se señala el sábado 31 del corriente de frente á las gradas de San F elip e; su precio 2 rs. S a n ta n d er 17 d e A gosto. Se ha asegurado por diferentes d…</t>
  </si>
  <si>
    <t>de e, Ministro</t>
  </si>
  <si>
    <t>Ministro de e</t>
  </si>
  <si>
    <t>…caba á Cataluña , sino de su pais. acta de la anterior. íes intereses de las provincias, criadoras de este ganado , porque Señores, todo el argumento del Sr. Baeza sobre la conve­ Pasó a la comisión respectiva un oficio del Sr. Ministro de es principio de oconomu política que m meuti adose el tuerca- niencia ó no conveniencia de la reforma de aranceles en la la Gobernación, acompañando una comunicación del gefe po­ dío9 baja., el precio; y este debía rebajar mucho en aquellas pro-J Real orden de 6 de Diciembre, se reduce á…</t>
  </si>
  <si>
    <t>…producir en ella, y acaso también en el extrangero. Asi no3 queda espacio para ello; pero lo haremos mas adelante. tereses perjudicados por falta de cumplimiento de la empresa, pues rogaría al Sr. Presidente que anunciara al Sr. Ministro de es por lo que yo he tenido necesidad de formar este voto par­ la Guerra esta interpelación , manifestándole que se sirva seña­ ticular. Parecería que esta era la ocasión de entrar de lleno en lar el dia en que tenga á bien contestar. Id cuestión; pero yo no entraré, y me ceñiré á habl…</t>
  </si>
  <si>
    <t>…habilitados para desempeñar cer una inutilidad tan ostensible como bien comprobada, en lo sucesivo comisiones de esta especie. sin incurrir en la responsabilidad de los perjuicios que de De orden de S. M., comunicada por el Sr. Ministro de ello resultan al ejército con la pérdida de sus reemplazos; la Gobernación , lo traslado á Y. S. para su inteligencia, S. M. la R e i n a , su augusta Madre la R e in a G o b e r n a ­ oido el tribunal supremo de G uerra y Marina, y confor­ la de esa diputación y efectos consiguientes,…</t>
  </si>
  <si>
    <t>de e, Olo'zaga.</t>
  </si>
  <si>
    <t>Olo'zaga. de e</t>
  </si>
  <si>
    <t>…, aunque carezca de los requisitos indispensa­ Por Lér ida: Sres. Viadera y Madoz. con el gran libro de la naturaleza á la vista y las opiniones bles.” M u y fácil me fuera producir los estados de !«s existen­ Por Logroño : Sr. Olo'zaga. de escritores verdaderamente sabios en la materia , ensayaré de cias de caballos y yeguas, remitidos por las justicias y subdelega­ Por M ad rid: Sres. Arguelles, Cantero, Calatrava (D. José), presentar á los gefes de caballería españoles y los oficiales dos de los pueblos, que tengo á la…</t>
  </si>
  <si>
    <t>de e, Parlamento</t>
  </si>
  <si>
    <t>Parlamento de e</t>
  </si>
  <si>
    <t>…rialdad del hombre y de la m ug er, por Antonio H o t- fen sa s en lo civil y crim inal del fo ro fra n cés , ingles y Causa 1.a Proceso seguido contra el Rey de Francia L uisxvi rnan, célebre jurisconsulto y abogado general del Parlamento de español . por la convención nacional. Paris en tiempo de la liga. 2.a ¿El nial venéreo es causa suficiente para divorcio? 6.a Tratado segundo de la disolución del matrimonio por Los redactores de esta obra que á pesar de las dificultades 5.a La concubina donataria. impotencia y fria…</t>
  </si>
  <si>
    <t>de e, Pedro Miranda. Ademas</t>
  </si>
  <si>
    <t>Pedro Miranda. Ademas de e</t>
  </si>
  <si>
    <t>…tados en un banco de ahor­ Sr. D. Federico Vitoria de Lecea. próxima sesión, una ei mismo Sr. presidente, otra el secretario ros de Paris, y se trasladarán al de esta capital tan luego como Zam ora, Barinaga, y otra el socio D. Pedro Miranda. Ademas de estas se halle establecido. el mismo secretario Barinaga leyó en una sesión posterior otras Los trabajos del presente año no desmerecen ni en objeto Sr. D. Antonio Samaniego. tres remitidas desde Sevilla por D. Fernando de la Puente á ni en resultados á los de los años ant…</t>
  </si>
  <si>
    <t>de e, Secretario</t>
  </si>
  <si>
    <t>Secretario de e</t>
  </si>
  <si>
    <t>…r­ retera de Jaén. fijado su residencia por ahora. Dios guarde á Y. E. muchos años. Madrid 5 de Mayo de L ondres 25 de A bril. Antes de salir de esta ciudad comieron el primer rancho, l859.=Excmo. Sr.:rZenon Asuero. Excmo. Sr. Secretario de en cuyo acto se presentó en el cuartel el Sr. gefe político, lo Estado y del Despacho de la Gobernación de la Península. Consolidados, 95£ á cuenta. Se hacen pocas operaciones. examinó y presenció la salida , que se efectuó con el mayor ór~ Bonos del Echiquier, en baja , aunque liger…</t>
  </si>
  <si>
    <t>…esario, pues ya pesan muchas circunstancias sobre Excmo. Sr.—El presidente, José Melchor Prat.zrP. A . D. L. D., señalado por el ingeniero con iguales demostraciones de júbilo y Antonio de T o r r e s , vicesecretario.^Excmo. Sr. Secretario de entusiasmo; y regrésando todos á la ciudad dadas las nueve, este puerto para que ceda irremisiblemente. Estado y del Despacho de la Gobernación. El supremo Gobierno ha tomado medidas lar* enérgicas qué recibieron de su vecindario nuevas pruebas de distinción y está en marcha para Tuxp…</t>
  </si>
  <si>
    <t>de e, Tomas Fernandez</t>
  </si>
  <si>
    <t>Tomas Fernandez de e</t>
  </si>
  <si>
    <t>…tan luego T T A B IE N D O S E denunciado ante el Sr. alcalde primero cons- como lleguen á aquella capital los rematados procedentes Los magistrados y los presidentes del colegio del estado lla­ titucional de esta M. H. villa D. Tomas Fernandez de esta los organice en brigadas y entregue al comisiona­ Vallejo , por D. Luis Cases en calidad de apoderado de Don la elección sido de no habían intimados por un Real rescripto á proceder á do por la dirección general de Caminos. de un diputado de la Dieta que acaba de ser pro- El…</t>
  </si>
  <si>
    <t>de e, Valle</t>
  </si>
  <si>
    <t>Valle de e</t>
  </si>
  <si>
    <t>…o de los españoles, Estas reflexiones, añadió, conducen á probar que la influén- nideras. algunos por esta causa, aunque muchos otros por intrigas y cia del reinado de Felipe v sobre nuestros tiempos, lejos de ser Partió el Sr. Valle de estas indicaciones para hacer men­ ambiciones particulares. ventajosa , ‘fue perjudicial. Dócil y sumiso este Monarca á las ción del ruinoso sistema de los juros, algunos de los cuales as­ Pasó luego á considerar tos continuos cambios que Felipe v indicaciones de Luis xiv, comenzó á introd…</t>
  </si>
  <si>
    <t>de Echavarría, Joaquín</t>
  </si>
  <si>
    <t>Joaquín de Echavarría</t>
  </si>
  <si>
    <t>…la plazuela de S. M iguel, ndm. 6 , á las diez de di­ vincia se cita , llotna y emplaza á Ú, Pedro Torreas y M iral- cho dia. B IB L IO G R A F ÍA . da , D. José de Acebo, D. Clemente Bernaídez, D. José Arau- jo y Alcaide, D. Joaquín de Echavarría , D. Ricardo López, D. Antonio González , D. José de Castejon, D. Miguel M ar- p O R el presente y providencia dictada por el Sr. D. Juan qüés y Villegas, D , Lorenzo Marau , D. Andrés M artí, Don José Rodríguez Yaldeosera, caballero comendador de la Juan Garay y Casal, D. R…</t>
  </si>
  <si>
    <t>de Eixala, Ramón Martí y</t>
  </si>
  <si>
    <t>Ramón Martí y de Eixala</t>
  </si>
  <si>
    <t>…oniendo que esta obra sea lo mas disparatado que se ha escri­ Tratado elemental del derecho civil romano y español, por el Vales Reales no consolidados, 00. to , ¿ no vemos todos los dias que, por ínfimo que sea un libro, Dr. D. Ramón Martí y de Eixala, profesor de derecho español Deuda negociable de 5 por 100 á papel, 00. contiene sin embargo alguna cosa útil? Paréceme pues haber en los estudios generales de la ciudad de Barcelona , y ahora Idem sin interés, 6 | á v. f. ó vol. á prima de i por 100 probado que merece la l…</t>
  </si>
  <si>
    <t>de Eixalá, Ramón Marti</t>
  </si>
  <si>
    <t>Ramón Marti de Eixalá</t>
  </si>
  <si>
    <t>…as que nunca la consideraban necesaria, y dibujo, siguiendo al mismo tiempo su respectiva carrera de prometiéndoles quitar de las filas á todos los traidores que to­ T RATADO elemental del derecho civil romano y español, por D. Ramón Marti de Eixalá, profesor de derecho es­ arte ó fábrica, y presenten obra acreedora al premio , ofrece la davía existen encubiertos; y últimamente prometiendo un as­ pañol de los estudios generales de la ciudad de Barcelona, y sociedad cuatro de medalla de plata á los alumnos mas sobresa­ ce…</t>
  </si>
  <si>
    <t>de Eixalá, Ramón Martí</t>
  </si>
  <si>
    <t>Ramón Martí de Eixalá</t>
  </si>
  <si>
    <t>…literaria celebrada por la academia de buenas en ios remotos siglos é idiomas orientales en que se escri­ letras de esta ciudad en el dia 21 de Marzo último el socio bieron los libros de la Biblia. Ademas de que la respetuo­ D. Ramón Martí de Eixalá leyó una memoria cuyo objeto fue sa devoción con que eran escuchados Moisés y los profetas NOTICIAS EXTRANGERAS. el exámen de la obra de Mr. Guizot, intitulada: "Historia ge­ en la antigua ley , y nuestro divino Maestro Jesucristo y neral de la civilización europea desde la c…</t>
  </si>
  <si>
    <t>DE EJER, EN TE</t>
  </si>
  <si>
    <t>EN TE DE EJER</t>
  </si>
  <si>
    <t>…ntero á quien no sepa CORRESPONDIENTE AL ANO DE 1838 , FORMADA DE ORDEN DEL Blanquin.......................................................... 15,182 1 18 que es m uger tan recatada, SEÑOR DON ANTONIO MARÍA DEL V A LLE, IN TEN D EN TE DE EJER­ Cor Ion............................................................... 5,754 4 17 tan m irada, tan aten ta, CITO Y PROVINCIA DE LA MISMA. Bretañas........................ 2,876 2 tan noble y tan tarantan.... Carranclanes 9,441 4 /?. Enrique. ¿Q ué es tarantan? D. L ucas.^ Es discre…</t>
  </si>
  <si>
    <t>de Es, Ministro</t>
  </si>
  <si>
    <t>Ministro de Es</t>
  </si>
  <si>
    <t>…autorida­ "Esta Constitución dos veces promulgada y otras tantas se manifestaba dispuesto á cumplir aquel tratado. des francesas lo impidieron. Pesa demasiado tanta gente en destruida.” Concluyo pues por ahora repitiendo al Sr. Ministro de Es­ F rancia, y losufre por amor á la causa de S. M. Falta á la verdad, no ha sido promulgada dod veces, ha tado mi súplica para que se sirva contestar si es cierto ó no Se ha dicho.que se ha dadp pasaporte á D. Sebastian. Este sido tres: dos veces destruida, pero la tercera vez fue pr…</t>
  </si>
  <si>
    <t>de Es, Secretario</t>
  </si>
  <si>
    <t>Secretario de Es</t>
  </si>
  <si>
    <t>…o fraude, quedan­ Dios guarde á V. E. muchos años. Madrid 13 de Julio Huesca.............................................. o4. 3000 do los infractores sujetos á las penas que la ley impone á de 1839. = José Primo de Ribera. = Sr. Secretario de Es­ Jaén. ............................. .. ................ 0 3000 los defraudadores. tado y del Despacho de.... León........................ .. ....................... 2 5000 6. La importación de los citados granos y harinas en Lérida.............................................. 1 1…</t>
  </si>
  <si>
    <t>de Espron-, José</t>
  </si>
  <si>
    <t>José de Espron-</t>
  </si>
  <si>
    <t>…Seguirá una alegoría nueva ,mitológica-pantom)mica , exor­ ñolas. . r No es extraño pues que ninguna de las obras de Bentham nada con el aparato correspondiente, compuesta por el Sr. Ca­ Tlace mucho tiempo que las poesías de D. José de Espron- sirva de texto en las universidades y establecimientos científicos sas, y titulada ceda son el objeto, no solo de la predilección de los entendidos, del extrangero, y que todos sus jurisconsultos hayan dejado ya sino lambieu del gusto de todos por algunos ensayos publica­ de estudiar…</t>
  </si>
  <si>
    <t>de Espronceda.rrProspecto.r, José</t>
  </si>
  <si>
    <t>José de Espronceda.rrProspecto.r</t>
  </si>
  <si>
    <t>…e la legislación; pero TEATROS. reconociendo el famoso principio de la utilidad por único mó­ PRINCIPE. A las ocho y media de la noche. Se ejecuta­ vil de las acciones hum anas, ha mutilado al hombre, descono­ jpO ESf AS de D. José de Espronceda.rrProspecto.r^Entre las di­ ciendo los hechos morales que ofrece á cada paso, digan lo que rá la interesante comedia en dos actos, titulada versas obra* que á despecho de los trastornos de la época quieran los excépticos y los partidarios del egoísmo y del iute- actual alumbran y…</t>
  </si>
  <si>
    <t>de Esta, Secretario</t>
  </si>
  <si>
    <t>Secretario de Esta</t>
  </si>
  <si>
    <t>…Centro guarde á V. E. muchos años. Santander 5 i de Marzo de 1859.= ña y el aposentador de la división D. Joaquín Morales Reyes y brigada del del Norte que concurrieron á esta acción, y es­ Excmo. Sr.=Rafael de Hereño.=Excmo. Sr. Secretario de Esta­ ejecutaron y comunicaron mis órdenes con la actividad y celo pera las propuestas que ofrece remitir el general en gefe en fa­ do y del Despacho de la Gobernación de la Península. mas recomendable: 'debiendo marcar en igualdad á estos vor de los que mas se distinguieron, para acor…</t>
  </si>
  <si>
    <t>…i­ tirá medio pera vencer cuantas dificultades puedan ofrecerse hasta la conclusión de una obra tan interesante a! país. Dios guarde á Y. E. muchos años. Logroño 1.° de Mayo de 1859.=^ Excmo. Sr.—Joaquín Berrueta zzExcmo. Sr. Secretario de Esta­ do y del Despacho de la Gobernación de la Península. Gobierno político de la provincia de Falencia.=:Excrao. se­ ñor: Me cabe l a satisfacción de participar á V. E. que él ilus­ tre ayuntamiento de esta ciudad , no obstante la penuria y es­ casez de fondos en que se encuentr…</t>
  </si>
  <si>
    <t>de Estado, Despacho</t>
  </si>
  <si>
    <t>Despacho de Estado</t>
  </si>
  <si>
    <t>…Península , hecha las clases en la administración de justicié. (Id.) ' por.el marques de Valgoroera. (Id.) * • ! : x / r ,- ^ a d m itié n d o le la dimisión de los cargos dé Presidente dé! Consejo de Ministros y Secretario del Despacho de Estado al T \ ECURSOS qúé l l lícebciádó Patricib de O lávafría ha d e- i L O B E R I A P I U M I ^ i y A W A C I0 3 &gt; U L . t duque de Friás y de Uceda : nombrando pára que le reemplaT ducido eD el tribunaV^upréq^o de justicia y : a.nte el trono, ce en «ambos cargos á D. Evaristo P^…</t>
  </si>
  <si>
    <t>de Estado, Ministro</t>
  </si>
  <si>
    <t>Ministro de Estado</t>
  </si>
  <si>
    <t>…r Mayacen por el valor con que se sar los originales al Gobierno para que disponga lo demas mostró en los puntos de mayor riesgo. Primera sección. — Real orden. que en los casos respectivos pueda tener lugar; y que esta El Sr. Ministro de Estado ha dirigido al de Hacienda disposición en ía se entienda sin perjuicio de lo que se resolvió circular de este Ministerio de Í1 de Noviembre úl­ El general en gefe de los ejércitos reunidos, consiguiente en 22 del actual la comunicación que sigue: al parte que transcribió del c…</t>
  </si>
  <si>
    <t>…dó aprobada. Pujol, secretario. na , trasportada del mismo gozo y entuhiasmo que sus demas Se dió cuenta y el Congreso quedó enterado de una comu­ compañeros de la nación , se apresura á presentarse ante el tro­ nicación del Sr. Ministro de Estado , en que participaba que no de su Reina para felicitarla cordialmente por unos hechos, S. M. se habia servido señalar la hora de las tres de la tarde de Señora: El ayuntamiento constitucional de la villa de Bornos que afianzando para siempre los derechos de Isabel y de sus le­ e…</t>
  </si>
  <si>
    <t>…El Sr. MUÑOZ MALDONADO: Contrayéndose pues Se lee el oficio comunicado por la comisión del Congreso ai cienda en sú departamento tiene también otro pliego cerradq, al dictamen diré que la comisión ha padecido una equivoca­ Sr. Ministro de Estado sobre las gracias concedidas á varios en qué sé é^présa el mínimum de las condiciones, y no se ción , por cuanto sienta que el nombramiento de decano del tri­ Sres. Diputados. mité á ningún'lidiador sin que haya depositado en el banco bunal especial de las Ordenes no ha sido com…</t>
  </si>
  <si>
    <t>…stilla , por tanto tiempo engañados habia en nuestras relaciones con algunos Estados de América. g u ard ar la circunspección á que me obliga mi posición. en sus esperanzas, y y a para adelantar un paso que f ac ilítasela El Sr. Ministro de Estado con el peso que da la edad , su larga No entraré en la historia de los varios proyectos que se han navegación. y benemérita carrera llena de servicios, y su an tigu a práctica formado eu diferentes épocas sobre la utilidad para la Penínsu­ El Gobierno, que ofreció su apoyó á este…</t>
  </si>
  <si>
    <t>…personas á quien comprometen 110 seria d iv u l­ Primera seccion.—Circülar. m onturas: y que se han presentado á indulto u n oficial y 15 gado. (Id.) facciosos. E n otro parte del 10 dice que las columnas de N ey ra , El Sr. Ministro de Estado , con fecha 21 del mes pró­ M ellid , Sobrado y A rzua han muerto cuatro rebeldes, y que se ximo pasado, dice al de la Gobernación de la Península lo que sigue: han presentado á indulto un oficial y 10 hombres armados. NOTICIAS NACIONALES. Tengo la satisfacción de poner en noti…</t>
  </si>
  <si>
    <t>…l Senado de la Real orden que comunica­ la1807, F rancia, insistir en lo mismo Napoleón en el tratado de sotros, con las mismas pretensiones el duque de A n­ bierno; con encargo de nuestros comitentes, acudimos al Go­ ba el Sr. Ministro de Estado , por la que la Reina Gobernado­ gulemay envolver los sucesos posteriores; cómo, cuando se califican to, porque quiero por consiguiente be creido de mi deber manifestar es­ ra ha dispuesto se vista la corte de luto por quince dias por la de ilegales las juntas que han tenido por…</t>
  </si>
  <si>
    <t>…itivamente instalada en esta corte la escuela 1828, pues los nombrados por los gefes de Hacienda pú­ normal-seminario de maestros, ha dispuesto la Excma. direc­ blica solo pueden disfrutar los sueldos de los destinos por El Sr. Ministro de Estado me dijo de Real orden en 11 ción general de estudios, competentemente autorizada al efecto, el tiempo que los sirven, de Enero último lo siguiente: que se admitan en aquel establecimiento , en clase de alumnos 2.a. Para fijar el sueldo que baya de abonarse á dichos Habiendo dete…</t>
  </si>
  <si>
    <t>…m ultas, y sin respeto á la hay uno, sé cómo cumple los deberes que tiene sobre sí, y sien­ Despacho ; pero que los hechos revelan que no sin razón temen ley se dice que cuando quiera el Gobierno puede suprimir por to que el Sr. Ministro de Estado no esté en su puesto, pues allí los hombres de bien que la Constitución desaparezca. un determinado tiempo todos los periódicos? ¿Qué quiere decir en esa corte se adula el poder por los agentes con detrimento de Que era absolutamente falsa la idea que se habia vertido en este pro…</t>
  </si>
  <si>
    <t>…nes es menester esperar que hablaría con toda franqueza y que sentía no se hallase pre­ nester que sienta esos elogios que derraman ignominia sobre su á que las cuestiones vengan en su dia. ¿S e rá el primer proyec­ sente el Sr. Ministro de Estado. to que sufra modificaciones en la comisión ? Pero rae dirá el se­ D ijo que para las Potencias extrangeras absolutistas cual­ frente. ¡Cómo se presenta el general Alaix á la opinión después de esos elogios! Que lo juzgue el Congreso. Si se le precisa á ñor López: yo no entro a…</t>
  </si>
  <si>
    <t>de ESTADO, Ministro</t>
  </si>
  <si>
    <t>Ministro de ESTADO</t>
  </si>
  <si>
    <t>…y me consta de una manera quiso aclimatar en España la píaota extrangera del despotismo píritu público. positiva , y tanto que es público y notorio en toda Europa ilustrado. En el penúltimo párrafo de su memoria dice así: El Sr. Ministro de ESTADO contestando al Sr. Arguelles: que el Gobierno constitucional español ha dado una mi sioa á "Hombres monárquicos, súbditos fieles, defensores escru­ Suplico la indulgencia deí Congreso. Un catarro tenaz dismi­ un personaje español, que creo no habia jurado ni reconocido pulosos de…</t>
  </si>
  <si>
    <t>…mo se habían de firmar si no 500 6 i d documentos Alonso que participaba no poder asistir á la sesión por su que* Z e a B erm u dez .) en un d i a ? ¿Q u ié n no sabe esto? El que lo dude que venga á brantada salud. Dice el Sr. Ministro de Estado, y esta es otra equivocación, ser Ministro una hora si tiene valor para ello. ¿Cóm o era po­ Se leyó y pasó á la comisión encargada de examinar el pro­ que ha visto una memoria, y que en ella no habia los dos sible que se ocupase un Ministro de todos los pormenores, s u ­ yecto…</t>
  </si>
  <si>
    <t>de Estado, Secretario</t>
  </si>
  <si>
    <t>Secretario de Estado</t>
  </si>
  <si>
    <t>…¿4‘ Sed ió cuenta de un oficio del Sr. Secretaria del Despacho Cleonard , en que le manifiesta , refiriéndose á una comunica­ e« el áncora del Gobierno representativo, es la libertad misma. de la G uerra, insertando otro del Sr. Secretario de Estado, ma­ ción que ha recibido del comandante de batallón D. José Saave­ H ay algunos que creen que de los dos casos que se compren­ nifestando que S. M. la Reina Gobernadora accediendo á la ins­ dra y Tenorio, que el general Narvaez le habia dirigido una den en el art. ¿fi no h ay m…</t>
  </si>
  <si>
    <t>…como la que se halla unida al trono, porque no puede separarlos. El legítima y á la patria enferma.rrFrancisco de Zea Bermudez.” Constitución de i857. Gobierno está dispuesto á sacrificarlo todo al cumplimiento de Ruego al Sr. Secretario de Estado se sirva decir si tenia co­ "Conocíamos que el poder no podia debilitarse sin riesgo” ... su deber, y por consecuencia á no permitir que se lacere e! nocimiento de esta memoria. El riesgo en que él lo puso con el manifiesto de 4 de Octu­ Real patronato. Este español que ocupó…</t>
  </si>
  <si>
    <t>de Ezpeleta, D. Joaquin</t>
  </si>
  <si>
    <t>D. Joaquin de Ezpeleta</t>
  </si>
  <si>
    <t>…7 i reales administraciones de loterías nacionales, por cuyo medio po­ en la proporción siguiente 1 La Milicia nacional de la provincia de Santander lia drán interesarse por entero, mitad ó cuarta parte, según aco­ El Excmo. Sr. D. Joaquin de Ezpeleta.. . .............. 150 entregado en reales vellón las cantidades siguientes: modase á los jugadores. Al dia siguiente de realizarse el sorteo se darán al público El teniente de Rey de la plaza por sí, loa gefes y Rs. mrs. las listas impresas de los números que hayan conseguid…</t>
  </si>
  <si>
    <t>de Ezpeleta, Joaquín</t>
  </si>
  <si>
    <t>Joaquín de Ezpeleta</t>
  </si>
  <si>
    <t>…rnanda ) á las ocho de la mañana comenzó á correr la fuen­ en las diferentes clases bastantemente instruidos: la de aritmé­ cicio de tan sagrado ministerio; y ellas en fin oran por vuestra te que el Excmo. Sr. capitán general D. Joaquín de Ezpeleta ha tica está á cargo de D. Roque J. V aldés/y la segunda al de conservación. Con esto no hacemos otra cosa que cumplir con construido frente al fondo de la nueva cárcel en la última glo­ D. José María García: la de gramática ai de D¿ Manuel A n- ciedad económicaimpone los deber…</t>
  </si>
  <si>
    <t>de Ezpeleta, José María</t>
  </si>
  <si>
    <t>José María de Ezpeleta</t>
  </si>
  <si>
    <t>…za de detalles dibujó la mano de marques de Almenara. =iPor mandado de S. S ., Florencio Sán­ para Vicepresidentes á los Sres. D. Manuel Joaquín Tarancon D’Alembert. Guando la Enciclopedia, como obra de cir­ chez Rastrollo. y D. José María de Ezpeleta, Senadores el primero por la pro­ cunstancias , descansa en paz entre el polvo de las biblio­ vincia de Soria , y el segundo por la de Navarra. tecas, ha querido salvar y conservarnos el autor de este E! Sr. PRESIDENTE interino dijo que hallándose presen­ a preciable folleto…</t>
  </si>
  <si>
    <t>de F, M.</t>
  </si>
  <si>
    <t>M. de F</t>
  </si>
  <si>
    <t>…an órdenes á todos los establecimientos ó corporaciones. CRUZ. H oy no hay función. de la montaña , y desde Morella á esta ignoramos haya fac­ Las que particularmente están comprendidas en esta dis­ ciones ni tropas nuestras. {D. M. de F.) posición son las siguientes: ayuntamiento de Madrid fa­</t>
  </si>
  <si>
    <t>de Fagoaga, Joaquin</t>
  </si>
  <si>
    <t>Joaquin de Fagoaga</t>
  </si>
  <si>
    <t>…mortización; D. Damaso A paricio, procurador síndico del ayuntam iento y espinosa senda que se llama la carrera dramática. V alois , del Sr. Figueroa , como ya auuncié á usted. El pdbli- |¡ constitucional de esta M. H. villa; D. Joaquin de Fagoaga, con N i se d o s replique con la sabida expresión de Lope de Vega co espera ver una cosa buena , porque tiene esta idea del talen­ acerca del gusto del público , mucho menos cuando él mismo de to y de la juiciosa calma del Sr, Figueroa. Muchos inconve­ el doble carácter de direc…</t>
  </si>
  <si>
    <t>de Fagoaga, Joaquín</t>
  </si>
  <si>
    <t>Joaquín de Fagoaga</t>
  </si>
  <si>
    <t>…l último parapeto, refor­ A paricio, procurador síndico del ayuntamiento constitucio­ Devoluciones de todas clases, inclusa la a n ti­ zando después esta columna con la de cazadores del 4.0 ligeros, nal de esta M. H. villa; D. Joaquín de Fagoaga , con el do­ cipación de la extraordinaria de g u e r r a . .. 4 8 - 2 1 4 , 7 7 7 - 2 9 encargando del mando de esta fuerza al benemérito coronel del ble' carácter de director del banco español de San Fernando , é Satisfecho á partícipes de todas clases.............. 2 .4 8 8…</t>
  </si>
  <si>
    <t>…te dé di­ maso Aparicio, procurador síndico del ayuntamiento constitu­ hablan sucesivamente. La discusión no estaba terminada á la. cho documento,: en ej puaI el,secretario expone todo lo «ocurri­ cional de esta M. H. villa; D. Joaquín de Fagoaga , con el do­ salida dél correó; pero se creia generalmente que la m pejonde do en el seno de cada.una de las secciones y analizá la obje-« ble carácter de director del bauco español de S. Fernando, é in­ lord MorpetU seria adoptada. cion de inconstitucionglidad promovida ppr Mr.…</t>
  </si>
  <si>
    <t>de Falencia, AI.</t>
  </si>
  <si>
    <t>AI. de Falencia</t>
  </si>
  <si>
    <t>…dirigidas por el digno gefe de la brigada , escapándo­ •niti va salieron para íslay # adonde llegaron el 21: fueron á re­ complot, cuyo objeto según se asegura era introducir el desor­ se por un flanco del batallón de Ceuta. {D. AI. de Falencia.) fugiarse en la casa del cónsul ingles: allí los atacaron los amo­ den esta noche en el seno de la capital. Se han tomado todas las tinados: el comandante de la corbeta de S. M. B. la Samarán medidas necesarias para asegurar la tranquilidad pública, que huo desembarcar 70 hombres pa…</t>
  </si>
  <si>
    <t>DE FORASTEROS, GUIA</t>
  </si>
  <si>
    <t>GUIA DE FORASTEROS</t>
  </si>
  <si>
    <t>…osiciones al número y calidades de los individuos que hayan de componerle , á la categoría y preeminencias que estos in­ C O R R E SP O N D E N C IA D E LA G AC ETA . dividuos hayan de obtener , y al señalamiento en general de GUIA DE FORASTEROS, las atribuciones que les competan. Laredo 50 de Diciembre . Los tres batallones que se h a­ Y En cuanto al número de los individuos, si se les atribuyera llaban en este punto salieron el 28 por la mañana para Colin- solamente la consulta délos negocios arduos de público Íntere…</t>
  </si>
  <si>
    <t>de Fuentes, Doña Josefa de la Peña</t>
  </si>
  <si>
    <t>Doña Josefa de la Peña de Fuentes</t>
  </si>
  <si>
    <t>…Montefuerte. núm. 11 contiene dos elegantes figurines, el uno de una seño­ 284. Una pantalla para chimenea bordada de recortes, á la Juzgado de Amortización . r a , y el otro de un caballero, y el otro de una éscalera de Sra. Doña Josefa de la Peña de Fuentes. manga para que puedan bajar .y salvarse las gentes de cualquie­ 669. Uu ejemplar del tratado de las aguas, al Sr. D. Juan Por providencia del Sr. intendente subdelegado de Rentas, ra casa que se halle incendiada, inventada por D. Félix Perez, de Acebedo. 641» Un…</t>
  </si>
  <si>
    <t>de Gabiedes, Toribio Gutiérrez</t>
  </si>
  <si>
    <t>Toribio Gutiérrez de Gabiedes</t>
  </si>
  <si>
    <t>…retha y pila iume— una .plaza de ministro de la audiencia d e Canarias, vacante por : El expresado comandante, general salió de Salas ef 14 hácta ’diáta hasta/ enrasar con lá séptima ya sentada en el de la iz­ fallecimiento de D. Toribio Gutiérrez de Gabiedes, a! fiscal de Pineda de la Sierra, en cuya dirección suponía haber marcha­ quierda y pila también inmediata. la misma D. Manuel Hermida y Cambironero; y para esta va­ do el enemigo; pero corno las señales del camino no confirma­ Se abren los cimientos y se allegan los m…</t>
  </si>
  <si>
    <t>de Garamendi, José María</t>
  </si>
  <si>
    <t>José María de Garamendi</t>
  </si>
  <si>
    <t>…juez de Circular d los diocesanos. la jtutoría, si son de menor ed ad /' cuyos expedientes me •*- primera instancia en esta capital, dada por la escribanía remitirá Y. S. con cualquier observación suya que creí del número de D. José María de Garamendi, se ha señalado el Enterada la augusta Reina Gobernadora de lo expues­ conveniente; adviniendo en el anuncio que a dichas des domingo 10 del corriente á las diez de su mañana en la au­ to por varios ordenados de menores que siguieron su car­ graciadas no se las exige derech…</t>
  </si>
  <si>
    <t>de Garameodi, José María</t>
  </si>
  <si>
    <t>José María de Garameodi</t>
  </si>
  <si>
    <t>…guel María D uran, juez de cho tal como en su concepto sucedió, sin recurrir para ello a primera instancia de esta capital, dada por la escribanía invenciones gratuitas , sino antes bien valiéndose de los datos del número de D. José María de Garameodi, se cita, llama y que le ha suministrado la misma historia y aun la tradición. BIBLIOGRAFIA. Por consiguiente, el fin moral de este drama es altamente pa­ emplaza á los que se crean con derecho á los bienes quedados triótico, puesto que su objeto es vindicar el nombre españ…</t>
  </si>
  <si>
    <t>de García, Gabriel García</t>
  </si>
  <si>
    <t>Gabriel García de García</t>
  </si>
  <si>
    <t>…y de H a ­ causa que se le sometió por decreto R eal del 4 de M ayo mon Martinez Arenzana, á D. José Poveda, que sirve el de ) cienda han presentado diversos proyectos de ley ya adoptados de 1839. Molina de Aragón: para este á D. Gabriel García de García I por la Cámara de los Diputados. El marques de Laplace ha Caballero, juez de Navalcarnero; y para esta resulta á D. Jua n ] presentado su informe acerca de la ley relativa á la quinta de ROBO DE LAS T IE N D A S DE LOS ARM EROS» Antonio Beojumea , electo de Alpueote. 1 803…</t>
  </si>
  <si>
    <t>de Gaztaíieta, Antonio</t>
  </si>
  <si>
    <t>Antonio de Gaztaíieta</t>
  </si>
  <si>
    <t>…ndo de su comandante D . Manuel Lesaca, Id. del general D. Blas de Lezo, un real. Los jueces de primera instancia de esta capital que suscri­ ha regresado h o y , después de haber recorrido todos los pueblos Id. del almirante D. Antonio de Gaztaíieta, un real. ben, después de haber conferenciado detenidamente para eva­ de la orilla izquierda- del T ajo hasta los baños de la Isabela, Noticia biográfica y literaria del cosmógrafo Alonso de cuar el ioform e que V . E. se ha servido pedirles con objeto de donde pernoctó anteano…</t>
  </si>
  <si>
    <t>de Gaztañeta, Antonio</t>
  </si>
  <si>
    <t>Antonio de Gaztañeta</t>
  </si>
  <si>
    <t>…............................................................ 545 CAMBIOS. prim er marques de Sarita-Cruz, 2 rs. Id. del general D. Blas de Lezo, un real. Cumberland. Londres, á 90 dias, 38§. Coruña, á 2 d. Id. del alm irante D. Antonio de Gaztañeta, un real. De algodón................................................................. 186 París, Í6 -6 á 5. Granada, 1£ á 2 id. Noticia biográfica y literaria del cosmógrafo Alonso de M álaga, f á £ id. Santa C ru z , 2 rs. Northumberland. Santander, par din. Noticia histórica…</t>
  </si>
  <si>
    <t>…neral D. Blas de Lezo, un real. su vista el jurado lo declara absuelio. Rafael Urries, Manuel escribanojuezdeldenúmero primera instancia en esta corte, refrendada del D. Garlos Rodríguez de M oya, se cita, Id. del almirante D. Antonio de Gaztañeta, un real. Lorente , Pablo Ascaso , Ignacio Paño de Sesé, José de la Cruz, llama y emplaza á cualquiera persooa que se conceptúe con de­ Noticia biográfica y literaria del cosmógrafo Alonso de Juan de Maritorena , por D. Bernabé Andrés que no sabe fir­ recho á los bienes quedad…</t>
  </si>
  <si>
    <t>de Gibraltar, Campo</t>
  </si>
  <si>
    <t>Campo de Gibraltar</t>
  </si>
  <si>
    <t>…ral D. Fernando Gómez duciendo la que en 15 del anterior pasó al mismo el minis­ de Butrón. (Núm. 1845.) MADRID 18 DE D ICIEM BRE. I terio de la G uerra, acerca de los que se mutilen voluntaria­ nombrando comandante general del Campo de Gibraltar al teniente general D. Luis Carondelet y Castaños. (Id.) mente para sustraerse al servicio de las armas. (Id.) ■ del ministerio de Gracia y Justicia, determinando que Circular del ministerio de la Gobernación de la Península in ­ sertando una Real orden del de la G uerra, en q…</t>
  </si>
  <si>
    <t>de Gironella, Antonio</t>
  </si>
  <si>
    <t>Antonio de Gironella</t>
  </si>
  <si>
    <t>…á diversas cortes de Europa lona el dia 16 de Enero de Í 84 O el sorteo de la posesión pro­ to , no perteneciendo á la mayoría del Congreso ; y dice el se­ lara predicar la legitimidad de la Señora Doña Isabel 1 1 ; el pia de D. Antonio de Gironella, sita en el término de San V i­ ñor Lonez que debería haberse retirado por no pertenecer al ¡«cargado deesa misión, dicen los papeles extrangerns, es un cente de Sarriá, y conocida por la Torre de Gironella ; pre­ progreso; pero el Gabinete ha progresado en la pacificación, y pe…</t>
  </si>
  <si>
    <t>de Gobierno, Diego Medrano.</t>
  </si>
  <si>
    <t>Diego Medrano. de Gobierno</t>
  </si>
  <si>
    <t>…alces. «D . Joaquín D íaz Caneja. «D . José de Isla Fernandez. D. A yer á las cinco de la tarde partió S. M. el R.éV para Sue­ «Conde de V igo. Lérida. cia o&lt;cideutal y la N o r u e g a , después de haber fijado el sistema « D. Diego Medrano. de Gobierno que deberá seguirse durante su ausencia. El Rey A lava. «D . Ramón Sisear y A gram unt. recomienda especialmente en el decreto expedido con este objetó « D . Fausto de Otazu. D. Epifanio Fortun. la observancia de la ley fundamental y de las ordenanzas. A lbacete. L ogroño.…</t>
  </si>
  <si>
    <t>de Gomara, José González</t>
  </si>
  <si>
    <t>José González de Gomara</t>
  </si>
  <si>
    <t>…de D. Mateo: D. Ramón Ortigosa, causador de aquella muerte, aunque no dudaba hubiera hijo de D. Manuel : los hijos de D. Juan Antonio Guardia: FUNCION DE BODA SIN BODA. &gt;ii\ ' hallado reo solo de homicidio involuntario, seria D. José González de Gomara : D. Gerónimo Coliantes, apode­ ¡ lénipre necesario estar en la cárcel por seis meses con rado de Doña María Manuela de Ribera: Doña Bárbara Gó­ dadaComedia en tres actos en verso , del célebre Picard , acomo­ giau perjuicio de sus labores , y siempre con mucho cui­ mez Talay…</t>
  </si>
  <si>
    <t>de Goros-, Manuel Eduardo</t>
  </si>
  <si>
    <t>Manuel Eduardo de Goros-</t>
  </si>
  <si>
    <t>…lan presentes son : Barbés, abogado , herido; del Sud. (C ou rrier .) nipotenciarios respectivos, á saber: S. E. el Presidente de la R ondil, paragüero; M ialon , de edad de 56 años, jornalero República de Méjico á los Sres. D. Manuel Eduardo de Goros- condenado á reclusión y cumplida su condena; Lemierre (Luis tiz a, Ministro de Negocios extrangeros, y D. Guadalupe V ic­ José); Philippet; Detrade , tornero , herido ; G uilberto, de edad . c á m a r a d e lo s l o r e s S esión d e l 11 d e Junio. toria , general de div…</t>
  </si>
  <si>
    <t>de Gra, Ministro</t>
  </si>
  <si>
    <t>Ministro de Gra</t>
  </si>
  <si>
    <t>…guerr a , en la que coasignán- Pasó en seguida á hacerse cargo de las observaciones expues­ tículo de una ley que pende en el Congreso. H e dich o que el ty 6 e abonarse á los pueblos y particulares las sumas que tas por él Sr. Ministro de Gra cia y J us tic ia , m an if estan do que artículo de esa ley, citado por mí, versa sobre que se abone á lo; íesen adelantadas por diezmo solo, se les descontó en p ro- la cuestión que debía ventilarse era la de que habiendo satisfecho pueblos la diferencia que puede haber entr e la…</t>
  </si>
  <si>
    <t>…s elecciones con cuantas sino de un hecho particular. 9 El Sr. P R E S I D E N T E : E l Sr. Cortázar tiene la palabra noticias hubiere. (El Sr. Pascual vuelve á hacer la misma in d i­ D ij e al principio que desearía que el Sr. Ministro de Gra­ «tediante al acuerdo hecho ayer por el Congreso. cación.) Es la voluntad de S. M . que la presente resolución se cia y Ju s t ic ia concurriese á la sesión porque veo enlazados has­ E l Sr. C O R T A Z A R : Señ ores, deber uno es ante todas co­ comunique por medio de circulares á…</t>
  </si>
  <si>
    <t>…legislador exa­ taciones dadas respecto á cada uno de ellos. nada en Sarriod, cuya fortificación se estaba concluyendo. mina la legalidad de las elecciones y la calidad de los individuos Los Sres. Diputados recordarán que el Sr. Ministro de Gra­ que le componen , el Senado no podia examinar la legalidad de cia y Justicia dió principio á su discurso respondiendo en pri­ las elecciones de Huelva por la razón sencilla de que le falta­ mer lugar á lo que el Sr. González Alonso habia dicho; en se­ El brigadier segundo cabo de…</t>
  </si>
  <si>
    <t>de GRACI, Ministro</t>
  </si>
  <si>
    <t>Ministro de GRACI</t>
  </si>
  <si>
    <t>…nsti­ ra. Véase como el Congreso no se ha descuidado en nada. Dice el conde tución. Yo voy á probar que semejante infracción no existe. relativamente al arresto del Diputado de Cleonard en sus contestaciones al Gobierno, El Sr. Ministro de GRACI \ Y JUSTICIA: Lo que he d i­ Dice el artículo: {Lo leyó.) Alvarez: « L a rebelión cho en mi discurso no ha sido de ninguna manera para hacer El sr. Diputado Alvarez fue hallado infraganti , luego continúa v iv a , aun después de haberse reasumido 1a autori­ dad. Quiere decir que…</t>
  </si>
  <si>
    <t>de GRACIA, Despacho</t>
  </si>
  <si>
    <t>Despacho de GRACIA</t>
  </si>
  <si>
    <t>…zones que parece que manifiestan yecto por útil, oportuno y conveniente. y otra de á 8 para, batir o ñas débiles tapias, en lias cuates abrie­ que es incouveniente, y el Gobierno cuando la dictó tuvo otras El Sr* Secretario del Despacho de GRACIA Y JUSTICIA ron muchas brechas con 25G descargas, pero no se atrevieron ú machasque le convencía de que era útil. Ha dicho ademas S 8 manifiesta que no obsta'.nte estar ei:"Gobierno conforme con la asaltarlas por cubrirlas con sos pechos ios sitiados. Añade que que debía consultar…</t>
  </si>
  <si>
    <t>de GRACIA, Ministro</t>
  </si>
  <si>
    <t>Ministro de GRACIA</t>
  </si>
  <si>
    <t>…e mmconstundo que el se- ' actas de sos juntas, y tanto el uno como el otro cuerpo proce­ ñor Mosoeno de Altomiira hubiese admitido, no ®e ustabu cu e l ' derán á nombrar ©tras cinco iodiiidnos para que formen k 00- . CWr El Sr. Ministro de GRACIA Y JUSTJOA; SeSores, tttre caso.' ále sa jetársele i reelección. i misan t cesando ks primer©* ma este, eacargob ayer el honor de decir si Congreso, y hoy r e p e t ir é $u.e «• El Sr», GONZALEZ expone que 1© mus aeurtndo seria que I -Si Umjmoe IhuMere amyoria cmlie loa i® ¡mUridu…</t>
  </si>
  <si>
    <t>…noría? Yo espero que el Sr. Ministro, dan­ contribuciones sin haber autorización para cobrarlas...... bres de buena fé. Esto ha sido , señores , lo que me ha hecho* do una prueba de patriotismo y generosidad, haga esa ex­ El Sr. Ministro de GRACIA Y JUSTICIA : Me parece que pedir la palabra, y ha hecho expresarme en los términos que plicación. no es esa la cuestión que nos ocupa. De fueros se trata hoy. el Congreso ha oido. La causa constitucional nadie puede El Sr. Ministro de GRACIA Y JUSTICIA: El Sr. Quinto El Sr. OLOZ…</t>
  </si>
  <si>
    <t>…si no hubiera sido por el deseo ria atacada , y podría muy bien sostenerse esta con los fueros. dicho al Sr. Sancho: "ahora no se puede formular el principio; que Eltodos teníamos de ver terminada felizmente esta cuestión. Sr. Ministro de GRACIA Y JUSTICIA : El Sr. con­ H oy, hoy, hoy cuando mi buena fe ha sido sorprendida, pero se consignará á su tiempo, cuando entremos en la discu­ de de las Navas no ha entendido, como creia , mi discurso : en h &gt;y cuando después de las alegres emanaciones de ese placer sión del proye…</t>
  </si>
  <si>
    <t>…a decir la opinión que tuve, puesto que cho. Yo dudé ayer de si el Sr. Zea, después de lo que oí al se­ titución.... yo no sé si hubo unanimidad en la comisión. ñor ministro de Estado, habia tenido ó no misión en el viaje El Sr. Ministro de GRACIA Y JUSTICIA: Pido la pala­ El Sr. ministro de GRACIA Y JUSTICIA : Lo que yo di­ que ha hecho á Alemania. S. S. ha insistido en una negativa bra para una aclaración. je en aquella sesión, eu el punto relativo á la oportunidad para completa; y yo, concediendo esa negativa que hizo a…</t>
  </si>
  <si>
    <t>…o le ha favorecido tanto, pero tampoco le El Sr. O LOZAG A: Con mucho gusto: me siento para eso. que debe impedir la expendiclon del periódico, y está sometido ha faltado del todo. Todo el mundo sabe cómo queda la guerra, El Sr. Ministro de GRACIA Y JU ST IC IA : La falta del para examinar si será ó no perjudicial al orden público, y en­ hasta dónde se ha adelantado, cuando los individuos del Ga­ Sr. A laix ; se ha dicho. Ha asistido , corno ha visto el Congre­ tonces está facultada pór la ley para retenerlo. Llámese eso…</t>
  </si>
  <si>
    <t>de Gresen, Pzoghuski</t>
  </si>
  <si>
    <t>Pzoghuski de Gresen</t>
  </si>
  <si>
    <t>…dido. B e rlín 24 de N oviem bre . El navio A lg e s ira s va á servir de depósito para la t r i p u ­ Cuartel general de Argel 28 de Noviembre de 1859. lación del navio M aren go, En este momento se completan las El canónigo Pzoghuski de Gresen ha tenido recientemente El mariscal comandante en gefe se apresura á participar al cuatro compañías que deben trip ular aquel navio. Se habla de una conferencia con el arzobispo de Posen en Colberg , á quien ejército U carta que el Rey acaba de d irig irle con motivo de desarma…</t>
  </si>
  <si>
    <t>de Guas, Leonor</t>
  </si>
  <si>
    <t>Leonor de Guas</t>
  </si>
  <si>
    <t>…ónica. es en nuestro juicio el principal mérito de su drama. El premio de 2 50 0 rs. vn. concedidos en cada extracción á Se suscribe en M ad rid en la librería de Cuesta , frente á las Con respecto á los caracteres, los de Doña Leonor de Guas­ las huérfanas de m ilitares, Guardias nacionales y patriotas que Covachuelas; en la estampería de Valle , calle de Carretas , y m a n , D. Enrique y Doña Ju an a de M anuel su esposa, y sobre murieron en la guerra de la independencia , y en la gloriosa »n la redacción, calle del Prí…</t>
  </si>
  <si>
    <t>DE GUERRA, EL DESPACHO</t>
  </si>
  <si>
    <t>EL DESPACHO DE GUERRA</t>
  </si>
  <si>
    <t>…cia del Sr. D. Francisco Amorós y L ó­ Correo nacional, porque deseo que la publique y sepa todo el pez, juez de primera instancia de esta c a p ita l, refrenda­ m undo las causas que me separan de España: llevando el dolor Y D EL DESPACHO DE GUERRA. da del escribano del número de la misma D. Dom ingo Bande, en mi corazón por tanta ingratitud como he recibido. se cita , llama y emplaza á todos los que se crean con derecho Queda de V. siempre amigo y afectísimo Q. S. M. B.~Ra- El capitán general de Cataluña en 24 del próx…</t>
  </si>
  <si>
    <t>de Guerra, Estado</t>
  </si>
  <si>
    <t>Estado de Guerra</t>
  </si>
  <si>
    <t>…to. Le pregunté por He tenido á bien, nombrar para desempeñar el cargo de M i­ bierno, y miraré como igualmente imposible que este ministe­ segunda vez si estaba bien seguro de que tales fuesen sus instruc­ nistro y Secretario de Estado de Guerra al brigadier graduado rio conserve la dirección de los negocios sin tener la certidum­ ciones, y si me comprendía bien. Me respondió que me enten­ barón de Ribeira de Sabrosa. El vizconde &amp;c. bre de poseer la confianza de la Cámara. {Aplausos.) día perfectamente, que era portador de…</t>
  </si>
  <si>
    <t>de Guerra, Ministro</t>
  </si>
  <si>
    <t>Ministro de Guerra</t>
  </si>
  <si>
    <t>…hasta con el Gobier­ El Sr. L U JA N : Empiezo por manifestar que es sensible no extraviados españoles, de las provincias del Norte, le han re­ no mismo que á la vez supieron hacer sacrificios sin cuentos se halle presente el Sr. Ministro de Guerra , para que dijese conocido de corazón , cuyas impregnaciones son debidas á V. M. para obtener la salvación de la patria. qué razones habia habido para negar á este interesado lo q ue al valor de nuestras tropas, y al de su ilustre caudillo el ge­ El cielo prospere la vida de V. M.…</t>
  </si>
  <si>
    <t>de Guevara, Eugenio Ladrón</t>
  </si>
  <si>
    <t>Eugenio Ladrón de Guevara</t>
  </si>
  <si>
    <t>…........... Idem. Se hallará á 3 rs. en la librería de Cuesta, frente á S. Fe­ D. Juan M u g u iro .............................................. .. Madrid. lipe el Real. Con el objeto de evitar semejante escollo, se ha pro- D. Eugenio Ladrón de Guevara................... Idem. puestacl Sr. Tapia examinar la regeneración política ac­ D. Gaspar Remisa........................................... .... Málaga. tual subordinando la pasión á la imparcial severidad de Vizconde de Huerta. .................................Murcia.…</t>
  </si>
  <si>
    <t>de Guevara, Luis Yelez</t>
  </si>
  <si>
    <t>Luis Yelez de Guevara</t>
  </si>
  <si>
    <t>…s, viendo acercar­ non dirán los castellanos g a cio n es y la D uquesa d e S a jon ia , algo mejor ordenado que en oprobio de mis canas se á la quinta donde mora la comitiva del Rey , determinado la primera , y cuyo autor es D. Luis Yelez de Guevara , que y a á m atarla, dice estos versos, que son de otro romance an ti­ que vos debo é non vos pago: creemos que es el mismo que con el mismo nombre sin don apa­ guo al mismo asunto: nin las dueñas de C astilla, rece en las dem as, porque el estilo y la versificación son pare…</t>
  </si>
  <si>
    <t>de Guz-, J. M. Yaca</t>
  </si>
  <si>
    <t>J. M. Yaca de Guz-</t>
  </si>
  <si>
    <t>…N T O S plomático, dormía este profundamente , dando esto alguna es­ otro el fa csím ile de sus firmas. Antecede a la obra el su­ peranza á los médicos; mirábase sin embargo su sueño como una mario cronológico de Cataluña de D. J. M. Yaca de Guz- consecuencia necesaria de la fatiga que algunos momentos antes m an, escrito en verso, aunque rectificados algunos erro­ DEL PRINCIPE DE TALLEIRAND, habia producido la última escena del drama tan variado de su vida: quiero hablar de su retractación , acto que después de h a­ res…</t>
  </si>
  <si>
    <t>de Guzman, Leonor</t>
  </si>
  <si>
    <t>Leonor de Guzman</t>
  </si>
  <si>
    <t>…ces escogita un medio que demuestra el conocimiento del detectáis la deshonrosa iuíiuencia de la esclavitud, y que daríais suministrar subsidios á la prensa ninguna parte de los fondos arte por el poeta ; la presentación de Doña Leonor de Guzman, a todo hombre, sean los que quieran su color ó su fe, el man­ secretos. Sea en buen hora, y yo en cierto modo seria del dic- presa en el alcázar de estado. En la tercera escena D. Pedro to protector de la libertad. Venid todos los que creeis en la pa­ támen de Mr. Dessauret y de…</t>
  </si>
  <si>
    <t>…adonde se d ir ig irá n las reclamaciones y las c a r t a s , francas, interesante Andrómaca de Hacine no ofrece analogía ni seme­ bel n y las libertades de la n a c ió n , h a cabido en suerte con el l e porte. janza con Doña Leonor de Guzman; la respuesta de la prime­ primer extracto de la de este dia á Doña Leona Saavedra , h ija ra á Pirro de D. A ntonio, sargeuto segundo de la M ilicia nacional ae II m ourra d o n e ; il n’a p o u r sa d e f e h s e , Santa Cruz de M ú d e la , muerto en el campo del honor. Que le…</t>
  </si>
  <si>
    <t>de Ha, Despacho</t>
  </si>
  <si>
    <t>Despacho de Ha</t>
  </si>
  <si>
    <t>…antes que el Gobierno señores , es tan asustadizo, que la sola sospecha le mata. nación española en aquellos casos en que no se pueden aumentar la noticia de la victoria de W aterloo. Dijo pues con acierto el Sr. secretario del Despacho de Ha­ los impuestos, y en que están cegadas las fuentes de la riqueza Asi pues yo me opongo con toda mi alma á esta disposi­ cienda que las operaciones serian para amortizar. En este con­ p ública, por lo mismo debemos ser mas circunspectos para que ció n , y pido que se haga en este pun…</t>
  </si>
  <si>
    <t>de Ha, Ministro</t>
  </si>
  <si>
    <t>Ministro de Ha</t>
  </si>
  <si>
    <t>…que se dice en esa exposición,en la cual ese ministerio de su cargo.” ministerio de la Guerra , con entrada en el Gabinete. los firmantes de ella están revestidos de razón para pedir contra De Real orden, comunicada por el Sr. Ministro de Ha­ Se habla también de lord Clarendon (Mr. C. Villiers), an­ los que les han imputado cargos, que de ningún modo tei.iin cienda, lo traslado á V. S. para los efectos convenientes. tiguo embajador en Madrid , como próximo á formar parte en merecido, pues no se puede presentar un acto qu…</t>
  </si>
  <si>
    <t>…ue presentada con claridad y extensión, debo leer los pagarán lo que no deben pagar. Evidentemente pues es incon­ ro valor de la ley, esta será cuestión de las Cortes, esto es, una artículos 59 y 40 de la instrucción. Dice el Sr. Ministro de Ha­ testable que los propietarios saleo no solo no beneficiados, sino interpretación de ley. El Gobierno ha estado muy lejos de in ­ cienda en el art. 5 9 : **EI impuesto del medio diezmo impuesto expresamente perjudicados, y que la resolución bajo todos terpretarla ; su intención ha sid…</t>
  </si>
  <si>
    <t>…e su patria , si en el momento i«o elevase á sus El Senado quedó enterado. Y para la que ha de infornnr acerca del proyecto de ley R. P. con tanto respeto y veneración como alegiíi los mas Lo quedó igualmente de un oficio del Sr. Ministro de Ha­ orgánica desanidad, á los Sres. Mugutro é Iribarren , marques afectuosos y siuceros parabienes, con motivo de los extraordi­ cienda, por el cual remitía al Senado un ejemplar del acta de viudo de Pontejos, marques de Vallgornera , Ileros y marques narios sucesos ocurridos en el nor…</t>
  </si>
  <si>
    <t>…a el reo indefenso, por lo Leida el acta de la anterior, quedó aprobada. de castigarlos, y que para ello seria bueno el establecer una cual deseaba que la comisión le aclarase esta duda. Se dio cuenta de una comunicación del Sr. Ministro de Ha­ buena educación , con lo que se conseguiría la mejora de cos­ El Sr. SAN M IGUEL contesta que el abogado está en ple­ tum bres, pero que nos hallábamos en un estado que antes de na libertad de eximirse de la defensa que le encargue un reo cienda , por la cual ha tenido á bien S. M.…</t>
  </si>
  <si>
    <t>de Hacien, Ministre'</t>
  </si>
  <si>
    <t>Ministre' de Hacien</t>
  </si>
  <si>
    <t>…idos, los dos. anto lamente necesaria , y qoe valia «¡aa para coeaegair el ob­ El Sr. Ministro de HACIENDA dijo que el Ministro que El Sr* Ministro de HACIENDA "hito© presente qoe no po­ jete que en ella se babia propuesto d Sr. Ministre' de Hacien­ tenia el honor de dirigir la palabra al Senado y qoe 'había pre­ día darse interpretación al sentido dél!. ártica I© » pues ea et cor­ da mmr de' les medios legales expeditos y que conectan todos, sentado esta ley , #o pedia, menos de estar sumamente compla­ te de cuentas dad'#…</t>
  </si>
  <si>
    <t>de Hacien, Ministro</t>
  </si>
  <si>
    <t>Ministro de Hacien</t>
  </si>
  <si>
    <t>…aquella cuestión porque era imposible adoptar una regla esta parte era solo correspondiente á la agricultura. La ley de anticipar esta acusación á la venida del Sr. conde, y espero que que comprendiese todos los casos, y el Sr. Ministro de Hacien­ 15 de Setiembre en su art. 6 .° dice : {leyó.) Aqui se ve bien ex­ el Congreso, convencido de la indispensable necesidad en que da en el artículo 59 de la instrucción ha decidido un caso que plícitamente mandado por la ley, que solo la clase de labrado­ me he hallado de acusar…</t>
  </si>
  <si>
    <t>…que no podía el Gobierno dar por sí, y que por lo tan­ á sus valientes defensores. En el nlimero de aquellos debe con­ directo, pues sollo trató de favorecer á'Cataluña , á quien se be- to se ha excedido desús facultades. El Sr. Ministro de Hacien­ tarse á la villa de Gerri en la provincia de Lérida, cuyos ha­ neficiaba con esta Introduccion, en cuyo caso ta mbien. debía da ha manifestado ya que la cuestión de la utilidad ó ir utili­ bita ules compartieron con su corta guarnición y Milicia nació- tenerse en cuenta que se…</t>
  </si>
  <si>
    <t>…idad le re­ con la que remitía el acta de segundas elecciones de Salamanca. Murbella 2 de Setiembre de 1839. =: Francisco de Sales sulte de la representación de melodramas como el que vamos A la de Presupuestos un oficio del Sr. Ministro de Hacien­ García. á juzgar ahora. La casualidad y el fatalism o, bases sobre da , acompañando una adición al artículo 2.°, segunda sección, que reposan casi exclusivamente esta clase de obras , no son capítulo 2 .°, título 6 .° del presupuesto general de gastos del defectos ni preocupacion…</t>
  </si>
  <si>
    <t>de Hacienda, Despacho</t>
  </si>
  <si>
    <t>Despacho de Hacienda</t>
  </si>
  <si>
    <t>…or 100 consolidado, 112 fr. 70 c. rno feliz á sus infortunios. este pais y poner un término tan impensado co­ Ministros coa el que acompañaba el decreto por el que S. M. Tres id. 80 fr. 85 c. se ha servido nombrar Secretario del Despacho de Hacienda á Deuda activa española, sigue siempre en favor, y está la Europa Este suceso español, y puramente español, va á pasmar á D . José S. Millan , director general de Rentas. á 2 l |. entera, al mismo tiempo que nos tiene á todos en un El Senado quedó enterado. Pasiva, no es tan s…</t>
  </si>
  <si>
    <t>…ado en que se hallen los diversos ra­ nación les diesen leyes fundamentales para sostenerlas después mos de la administración pública , precisamente en el mes de con vigor y eoergía. MEJICO. Enero, exceptuando al Secretario del Despacho de Hacienda, Los juramentos del ejército se han cumplido; y si los sol­ quien debe verificarlo en el de Julio. dados han desenvainado la espada para corregir los extravíos Por la goleta de guerra W arren se ha recibido en Nuévá Parece que es mi destino ser llamado á lds negocios dé la de…</t>
  </si>
  <si>
    <t>…serván­ dose el reglamento vigente. (Id.) en 1823. 6,954 . . . 4^00.............. M adrid. Se venden á I 4 rs. en la librería de Sojo, calle de C ar­ 9 .0 0 9 .... 4OOO.. . . e . . Lucena. Real decreto nombrando Secretario del Despacho de Hacienda á D . José San M illan. (Núm. 1757.) retas. 7,725 . . . 4 0 0 0 ............. M adrid. - concediendo al mismo Sr. M inistro de Hacienda el uso 5 .9 9 5 .. .. 500............. Yalladolid. de media firma. (Núm . 1760.) 1 . 8 1 8 .. .. 500............. Cádiz. 5 . 5 5 7 .. ..…</t>
  </si>
  <si>
    <t>…redacción dada al artículo, y no ha­ REDACCION DE LA GACETA. c o , electos el primero por la provincia de L ugo, y el segundo por la de M urcia, los cuales fueron aprobados sin discusión. llándose presente el Sr. Secretario del Despacho de Hacienda, Entraron á jurar y tomaron asiento dos Sres. Diputados. el Sr. Presidente suspendió esta discusión, procediéndose á la Procediéndose al orden del dia continuó la discusión sobre d^l dictamen de la comisión de Casos de reelección sobre los se- NOTICIAS EXTRANGERAS. el art. 19…</t>
  </si>
  <si>
    <t>…de Estado? Después de varias aclaraciones que hicieron los Sres. A r­ caminos referidos, y ha seguido la dirección cobrando los artí­ N o ciertamente. ¿ Y por qué no recurrieron a los extrangeros guelles, Sancho y Secretario del Despacho de Hacienda, se dió culos impuestos en Málaga. Resulta por una nota que obra en mi poder, que en el período de cinco ó seis años se le han d a­ para cubrir sus atenciones? Porque conocieron que la Euro­ el punto por suficientemente discutido. pa entonces, como ahora , estaba empeñada en…</t>
  </si>
  <si>
    <t>…últim am en- hacer electiva la contribución extraordinaria de guerra que re­ mar la doctrina perniciosa y antisocial de que la conveniencia te? ¿ Y las víctimas de Zumalacarregui? ¿ Y las víctimas de mitía el Sr. Secretario del Despacho de Hacienda. propia es la única regla de lo justo y de lo bueno? Herrera? ¿ \ las víctimas de Buñol, y de otra multitud de Se d ió cuenta de los nombramientos de presidentes y secre­ Señores, si nuestros enemigos continúan con sus atrocida­ puntos de que no puedo acordarme? Pero no se c…</t>
  </si>
  <si>
    <t>DE HACIENDA, MINISTERIO</t>
  </si>
  <si>
    <t>MINISTERIO DE HACIENDA</t>
  </si>
  <si>
    <t>…asi eclesiásticos como civiles y demás auto­ gia el observado por los individuos de tropas y Nacionales, ridades a cuyo poder llegasen documentos de aquella cla­ con especialidad el de los alcaldes constitucionales, secretario MINISTERIO DE HACIENDA. se, deben considerarlos como absolutamente nulos, y pa­ del ayuntamiento y regidor Mayacen por el valor con que se sar los originales al Gobierno para que disponga lo demas mostró en los puntos de mayor riesgo. Primera sección. — Real orden. que en los casos respectivos pue…</t>
  </si>
  <si>
    <t>…nes que hablan de esta materia, después d&lt; Joinville y princesa Doña María Cristina; rector que fue del una detenida conferencia, se pasó á la votación , y de ella re­ seminario conciliar de San Fulgencio de M urcia, y Diputado MINISTERIO DE HACIENDA. sultó declarado por unanimidad : Que ha lugar á la formación á Cortes en las de los años de 1822 y 1825. de causa. Y lo firman los Sres. jueces: Dionisio Saenz Rome- Según noticias oficiales recibidas en este m inisterio ro.z=Diego Florindo.—Isidoro Marquez.=Juan Aldana.idP…</t>
  </si>
  <si>
    <t>de Hacienda, Ministro</t>
  </si>
  <si>
    <t>Ministro de Hacienda</t>
  </si>
  <si>
    <t>…[hartos disgustos nos rodean inherentes «Al director general de R entas unidas dice con esta Andalucía, conde de Cleouard , del arresto del Sr. D. Francis­ á nuestro estado para que yo me proponga aumentarlos! pero fecha el Sr. Ministro de Hacienda lo que sigue: He dado co de Paula Alvarez, Diputado por la provincia de Huelva, creo con todo indispensable Calificar e*tos hechos tales como cuenta a S. M. la Reina G o b ern ad o ra de la exposición de creyó ante todo necesario reclamar con urgencia del mismo Go- son , porque…</t>
  </si>
  <si>
    <t>…tá m an iob ran d o a c tiv a m e n te , y hace m an iob rar en N a v a r r a rem itirse á la plaza.de V i t o r ia , y á este fin me m a n d a o cu p ar á su teniente D . D iego L e ó n : de forma que da motivo á creer El Sr. Ministro de Hacienda me dice en 31 de Ju lio con las fuerzas de mi m ando las posiciones de A r la b a n y desfi­ qu e tra ta de estrechar viv am e n te á los c a rlistas, ó por lo menos próximo pasado, que con aquella fecha comunica al di­ ladero del boquete de S alin as. ence rarlos en un círculo…</t>
  </si>
  <si>
    <t>…la palabra diré algo Se lee y pasa á la comisión de Actas: por sí, ni prohijar, ni dar curso á exposiciones sobre negocios sobre lo principal, por si puede tener término la cuestión que sobre 1.° Un testimonio que remite el Sr. Ministro de Hacienda políticos, ni acordar medidas, ni otorgar peticiones algunas en ¿e agita. cierta causa en que entiende el intendente de León, á fin semejantes materias, bajo su responsabilidad. de tenerle presente al tratar de las actas de elecciones de D ip u ­ El Sr. Ministro de la Goberna…</t>
  </si>
  <si>
    <t>…as certificaciones del quinquenio que con­ mas de justificarse legal y competentemente, resulten de guiente: cluyó con el año de 1832, cuyo término medio ha de ser la inspección que los administradores é interventores de «El Sr. Ministro de Hacienda dice con esta fecha al de la base de las subastas. La dirección y contaduría general rentas habrán de practicar en las primeras 24 horas que la Gobernación de la Península lo que sigue: S. M. la esperan que unos documentos tan esenciales para que no medien desde que los buques h…</t>
  </si>
  <si>
    <t>…enado quedó enterado y acdrdó que se archivase una co­ ción al voto de los Diputados. serta c o m u n ic a c i ó n para q ue le sirva de g o b i e r n o , y le Añadió que á pesar de eso no veia ninguna razón ni de pia que el Sr. Ministro de Hacienda remitía del Real decreto p re v e n g a al propio t i e m p o , com o de sü R e a l o rd e n lo v e ­ por el que se comete á lá dirección general de rentas provincia- decoro del Senado, ni de conveniencia pública , ni de seguri­ r i f i c o , q u e d e p e n d i e n d o , según…</t>
  </si>
  <si>
    <t>…licas. Si tuvieren que de­ mino fie 50 días para k presentación de los 'Diputados electos, btteion em las 50# utaitarae», Pues snpoufjaun», señares, que se liberar pira adoptar alguna resolución común ,, lo harán sepa­ ' El Sr. Ministro de Hacienda remite de Real orden copia: .de[ fa ra a esta mnisioA mista, y ■»» se conforma ai con los 4.-0H ra di meo-te, y juntos despues darán su voto tes Senadores J decreto fie S. M. , por el cuiai se somete á la dirección fie ren­ mi coa los 50# milloaes, y propone 5tl0 ó 45(1 Este…</t>
  </si>
  <si>
    <t>…s que penetraron en Tejas acaba­ asi con fecha 3 descorriente, con la de 14 del mismo m&lt; gado por sus crímenes. Que en un choque que tuvieron el 25 ban de formarse, y este fue el principio de nuestras desventu­ participa el Sr. Ministro de Hacienda haber comunicad! los celadores de la parroquia de Meilan con un grupo de re­ ras en un teatro que debió ser todo de gloria. Un soldado viejo la órdén oportuna á la dirección general de Aduanas pan beldes resultó muerto el faccioso presbítero D. Ramón Gon­ es un tesoro, porque es…</t>
  </si>
  <si>
    <t>…n un grupo de facciosos, guientes é este anuncio , se presenten en dicho juzgado y por la Sección centraL —C ircular. y dieron muerte á dos de ellos. escribanía de José M iranda á exponer de su derecho ; con aper­ El Excmo. Sr. Ministro de Hacienda con fecha 24 del Que en el mismo d ia fueron batidos 22 facciosos de caba­ cibim iento que pasado , les parará entero perjuicio y procederá actual comunica á la dirección la Real orden siguiente: llería por el subteniente de tiradores de C astilla D. Fernando á lo que h a y a lu…</t>
  </si>
  <si>
    <t>…ria de guerra, ha de ser abonable á los propietarios ó á los a r ­ una observación al Congreso; y es que asi , en los término, que de mi obligación llenar el deber que habia contraido conmigo rendatarios, es d e c ir, que el Sr. Ministro de Hacienda ha re­ he leido, seria una verdadera acusación, y una acusación no m ism o, y en 15 de Noviembre, siete dias después de abiertas, suelto que debe ser solo abonable á los arrendatarios; y en con­ es una interpelación. El Gobierno entiende que interpelar es dije lo que el Congreso…</t>
  </si>
  <si>
    <t>…a interpelación. Acer­ ción extraordinaria de guerra , y me persuadí lo mismo que ha también que las resoluciones mias citadas por el Sr. Ministro ca de las palabras mas ó menos fuertes que se hallan en ese ofi­ explicado el Sr. Ministro de Hacienda, que habia una especie de Hacienda para ponerme en contradicción con lo que ha di* cio , nada puedo decir, porque las lia oido el Congreso, y no de redundancia en este articulo, y que era supéríluo. Después cho y cou aquella ley , no tienen aplicación ninguna al caso creo que…</t>
  </si>
  <si>
    <t>…ndió esta discusión para continuarla mañana , con El Sr. FERNANDEZ BAEZA: No hallándose presente el asi como el de que estoy conforme con S. S. en el principio Ib cual el Sr. Presidente levantó la sesión á las cuatro y media, Sr. Ministro de Hacienda,, regaría al Sr. Presidente-que se sus­ constitucional de que el ministerio por sí ni podo ni debió señalando d siguiente pendiese hasta que diicho Sr. Ministro se presente. hacer esta reforma. Pero con todo f de ninguna manera hu­ El Sr, PRESIDENTE: Pues continúa la discusión…</t>
  </si>
  <si>
    <t>…desgracia, y p¿ra Quinta sección.—Circular. aprovechar una coyuntura favorable si se presentaba. En Buenos Aires hubo grandes regocijos ¿iluminaciones por noche, La sección salió de aqui el misrno dia 6 á las diez de la El Sr. Ministro de Hacienda comunica al de la Gober­ la derrota y ayer 7 me dice desde Jalacingo Estéves á las diez de nación de la Península con fecha de 17 de Julio próximo chilenos. Sedelhabían protector 'anta Cruz en el Perú á manos de los la mañana que llegó á las cinco de la madrugada sin novedad, h…</t>
  </si>
  <si>
    <t>…l Ministro. cesiones; y para evitar el haber tenido que tomar la palabra Se han presentado tres leyes: en la primera se propuso el PRESIDENCIA DEL SEÑOR I STURIZ. de los artículos anteriores, eu este que tengo proporción lo Sr. Ministro de Hacienda que la contribución extraordinaria de digo. guerra que antes tenia sus descuentos por la ley de 50 de Ju ­ Sesión del día 9 de Enero. El Sr. GUÍLLEN Y GRAS quiere que se exprese que las nio , se hiciese efectiva hasta la cantidad de 500 millones. El pensiones que disfrutan lo…</t>
  </si>
  <si>
    <t>…en lo que ha mucho mas encontrándome solo a h o ra , me obliga i tomar la S. S. se ha contraido á los agentes que pudiera haber tenido el expuesto el Sr. Iñigo. palabra y decir los fundamentos que el Sr. Iñigo ha tenido pa­ Sr. Ministro de Hacienda ; por consiguiente la alusión está des­ Ei Sr. C A L D E R O N C O L L A N T E S : Señores, yo he to­ ra intentar que debe suspenderse la aprobación de las actas de truida, Pero el Sr, conde ha dicho que el que tiene el honor de mado la palabra en pro de la proposición , porque…</t>
  </si>
  <si>
    <t>…a que contestar al ANUNCIOS. París del 2 de ¡Enero. Poco adelantan en noticias á las que ya Sr. Arguelles largamente, y juzgaba muy conveniente la pre- sabíamos, pues aun no se habia reunido la Cámara de los D i­ sencia del Sr. Ministro de Hacienda, que podia ilustrar la m a- R e v i s t a d e M A D R ID .=E nero de 1859.=Tom o 2.°= N u - putados para la lectura de la adresse , y la situación del pais teiia. m ero 8 .°:=Contiene este número los artículos siguientes: era la misma : el ministerio preparándose para el debat…</t>
  </si>
  <si>
    <t>…nte La comisión cree muy digna de tomarse en consideración el edificio de la reforma? ¿Sabe S. S. que si se seotase ese pre­ ayer, y si hubiere tiempo el dictámen de la comisión de Actas esta petición , y propone se pase al Sr. Ministro de Hacienda. cedente, los religiosos exclaustrados vendrían alegando derechos que ha quedado sobre la mesa. Se levanta la sesión. El Sr. ESTEBA.N : Bien veo que mi débil voz poco podrá de propiedad , porque creo que lo que poseian era por legítimo Eran las tres y media. in fluir en benefi…</t>
  </si>
  <si>
    <t>…N ERAL DE R E N T A S PR O V IN C IA LE S. Gacela. Dios guarde á V. S. m uchos áños. Madrid 12 de Cuarta sección. Marzo de 1839.=H om panera de C os.= S r. gefe p olítico de MINISTERIO DE HACIENDA. Alm ería. *" El Excmo. Sr. Ministro de Hacienda con fecha 28 de La alocución que se cita en la anterior Real orden es la Febrero próxim o pasado ha com unicado á esta direcciou Tercera sección. — Real orden. siguiente: la Real orden siguiente: He ciado cuenta á S. M. la Réina ^Gobernadora del ex­ Diputación provincial de A…</t>
  </si>
  <si>
    <t>…ación, acompañando una colección de las circulares y ór­ formalidad se conserve, mucho mas no hallándose presente el D irección g en eral d e Rentas provinciales . denes expedidas por su ministerio en el mes de Diciembre úl­ Sr. Ministro de Hacienda, autor de la ley , y por lo mismo yo timo. rogaría al Congreso se suspendiese la discusión de este artículo Estado de las provincias en que se han celebrado repartimien­ Igualmente se leyó otra comunicación del mismo Sr. Secre­ hasta que se presentase el Sr. Ministro de Hacie…</t>
  </si>
  <si>
    <t>…s invitaciones; y á los infelices que han sido él crédito. y a n s, secretario iuterino. El Sr; P R E S ID E N T E : Se suspende esta discusión: tiene la conducidos á Benifasar se remitirán también 50 pantalones y palabra el Sr. Ministro de Hacienda. 50 chaquetas con unos 300 pares de pantalones que el coman­ dante del batallón que guarnece esta plaza ha facilitado de de­ El Sr. Ministro de H A C IE N D A ocupó Ja tribuna y leyó dos proyectos de ley que S. M. la Reina Gobernadora, con­ Dictámenes de la comisión de Peticio…</t>
  </si>
  <si>
    <t>…tribunal con Real orden de 24 del próximo an­ comprensión de sus distritos respectivos, no solo para ex­ terior* informe y proponga el mismo á S. M. la medida citar y sostener con aquel objeto el celo patriótico que las El Sr. Ministro de Hacienda, en 23 de Diciembre úl­ que mas convenga para que el reemplazo de los cuerpos distingue, sino también para allanar con el auxilio de la tim o, me dice de Real orden lo que sigue: peninsulares de Ultramar por enganches y recluta volun­ fuerza m ilitar los obstáculos que se opon…</t>
  </si>
  <si>
    <t>…aría diciendo , la conveniencia pú­ El Sr. coude de las N A Y A S anunció una interpelación al fluencia material y moral la casa de Rotschild, y en los mezqui­ blica exigía que obrase de esta manera; los artículos están aqui, Sr. Ministro de Hacienda sobre fondos de juros para pago de nos que puede tener una casa española por fuerte que sea, la pero los he quebrantado, porque en circunstancias extraordi­ lanzas. proposición de Rotschild había de ser ventajosamente admitida; narias es meuester resolución para gobernar ó dejar…</t>
  </si>
  <si>
    <t>…ra durante la Tercera sección.— Circular • gociantes que falten á las obligaciones que se les impo­ menor edad de mi augusta Hija la Reina Doña Isabel n lo n en, lo serán igualmente como culpables de contrabando siguiente: El Sr. Ministro de Hacienda con fecha 23 del actual de primer grado, y con arreglo á lo dispuesto por la ley Art. l.° Se establece en Tudela un instituto elemental dice al director general de Rentas provinciales lo que penal de 3 de Mayo de 1830; y los que, abusando en una de segunda enseñanza. sigue: esc…</t>
  </si>
  <si>
    <t>…strechos límites; si no hubiera una discu­ raciones y probarlo con hechos. Este es el primer escrúpulo , y desearía que por la mism?. sión acerca de las causas que ponen á los peticionarios en el caso El Sr. A Y L L O N : El Sr. Ministro de Hacienda ha tratado razón de ser un asunto de muchísima gravedad é importancia, de molestar á las Cortes; si no hubiera, d ig o , está discusión, en de combatir lo que yo he manifestado al Congreso sobre que que puede traer perjuicio de tercero, el Congreso resolviese que que se ponen…</t>
  </si>
  <si>
    <t>…ue han ingresado en las pieza: "á"Las Cortes no representan la opinión pública” , y con­ cajas de totales en las tesorerías y depositarías del reino en el cluye los mandatos de los actuales Ministros,” se procedió El Excmo. Sr. Ministro de Hacienda ha comunicado á indicado mes , y de la distribución que de ellos se ha ejecutado áglocelebrar á la el sorteo de los nueve jueces de hecho que con arre­ ley debian componer el jurado, y habiéndose realizado esta dirección con fecha 7 del actual la Reál orden si- con arreglo á…</t>
  </si>
  <si>
    <t>…erdo en confesar la junta diocesana d* Cartagena. La comisión es de parecer que estas condiciones, fueron los pueblos atropellados, no se les lo prim ero: que en tiem po de guerras civiles y de discor­ esta solicitud pase al Sr. Ministro de Hacienda á los efectos oyó, ni se tuvo presente , como he dicho antes, la Real cédula. dias interiores, son m uchas veces necesarios los estados de convenientes. E n esta se dice que se tengan presentes las delincaciones ante­ guerra y de sitio para robustecer en u n caso de ap u ro á…</t>
  </si>
  <si>
    <t>…ecer en Sevilla á sus inspiracio­ fiesta al Congreso con fecha 7 de Diciembre próximo pasado, tró su amigo D. José de Becquer , que sobresaliendo como siem­ nes. Esperamos que su recuerdo servirá de estímulo á los ar­ que el Sr. Ministro de Hacienda le ofreció verbalmente pre­ pre por la inimitable gracia de sus escenas de costumbres, pre­ tistas para no desfallecer en la empresa, y á la buena sociedad sentar un proyecto de ley en favor suyo , y concluye pidiendo sentó un bautizo de gracioso efecto y admirable verdad que l…</t>
  </si>
  <si>
    <t>…dictámenes de miende eso. Juró y tomó asiento en el Congreso el Sr. Campuzaoo. la mi sipa comisión relativos á las provincias de Sevilla, Lcort El Sr. G A R E L L Y contestó brevemente á S. S. manifes­ Se leyó un oficio del Sr. Ministro de Hacienda participando y Badajoz , quedando por consiguiente admitidos como Sena­ tando que la idea de la comisión había sido abrazar los dos ex­ que se apresuraría el Gobierno á presentar al Congreso el con­ dores los Síes. D. Narciso Loptz, D. Juan Diaz Carreja y Don tremos; pero que…</t>
  </si>
  <si>
    <t>….— - Circular. menor omisión en este punto, los Sres. intendentes darán hacia el Burgo de Osma por Vadillo, contiuuando nuestias aviso circunstanciado á ia contaduría general de Valores columnas en su persecución. El Excmo. Sr. Ministro de Hacienda con fecha 9 del de haber quedado cumplimentada esta orden en el prefi­ actual ha comunicado á esta dirección general la Real or­ jado término de los 15 dias, acusando desde luego su re­ den siguiente: cibo, y comunicándola sin demora á los gefes a quienes PARTE RECIBIDO EN LA SE…</t>
  </si>
  <si>
    <t>…resistible Por lo tanto anuncio una interpelación para que cuando lo se hallaba siempre á cooperar á cuanto pudiese contribuir al fuerza de la opinión y la imperiosa ley de la necesidad , y que tenga por conveniente venga el Sr. Ministro de Hacienda á dar bien público. aunque no lo fuese se trataba de generales cuya conducta las explicaciones que sean del caso ; y mediante á que en dicha El resultado ha hecho ver que Calatrava tiene alguna vez aprobaba el Gobierno y no tocaba al Senado calificar. instrucción se concede un…</t>
  </si>
  <si>
    <t>…ue-correo que llegue de la H a b an a, ú otro en su ca­ Los Diputados de la provincia de Salamanca han tenido ya en el caso de aprobarla. so, saldrá del puerto de la Coruña el dia 6 del próximo mes de una conferencia con el Sr. Ministro de Hacienda sobre este mis­ El Sr. ESTEB AN dijo que con el artículo que se discute des­ Noviembre con la correspondencia del Gobierno y de particu­ mo asunto, para manifestar á S. S. que no habia en esto nin­ aparece la oferta que en el primero se haceá ios soldados, porque lares para Can…</t>
  </si>
  <si>
    <t>iqu« no habien do ellos q u e r id o tom ar parte con el bando rebelde | Igualm ente de otra del Sr. Ministro de Hacienda , relativa esta digresión vuelvo á mi primer propósito. M i objeto es i m ­ a pésar de las excitaciones qne les hizo la facción , que no cons­ d que las oficinas del Gobierno sean colocadas en los conveutos p u g n a r por otro camino el dictámen de la comisión. t a b a entonc…</t>
  </si>
  <si>
    <t>…sta doctrina parece fundada en buenos principios; Leida el acta de la an terio r, quedó aprobada. Yo quisiera que los estados excepcionales, no fuera la au ­ pero desgraciadamente se puede decir que lo que alcanza á sal­ El Sr. Ministro de Hacienda remite al Congreso 250 ejem­ toridad m ilitar quien solo los declarase, siuo que seiia m uy var el principio civil de Inglaterra , no es aplicable á E s p a ñ a : plares del proyecto de ley relativo a) diezmo. conveniente que la autoridad m ilitar oyese á la autoridad c i­ esta…</t>
  </si>
  <si>
    <t>…saria para que las debía desecharse. primera que este proyecto formaba una parte del plan , que el disposiciones de los artículos no se extendiesen á las -causas in ­ Leídos ¡por acuerdo ddl Sr, Presidente tos artículos "97 j Sr. Ministro de Hacienda había concebido» para mejorar el coadas; y segundo» la declaración respecto i. los segundos con­ 101 del reglamento, él Senado decidió' que habla, lugar i dé-' vasto ramo que tenia á su cargo, y que así desde luego que le■ tribuyentes. En cuanto á lo primero dijo que ya la comis…</t>
  </si>
  <si>
    <t>…dad , como se voy á deshacer que son correspondientes á alusiones que se han Gobierno en consideración , ver que ese príncipe ahí no está detalla en los prospectos que se han fijado en distintas partes hecho á mi discurso: El Sr. Ministro de Hacienda ha dicho que fien, y que es un instrumento d eq u e puede valerse parte de de esta ciudad. no hay preferencia en los pagos, ni en favor de personas, ni en a Europa para darnos la ley, y arrebatarnos el triunfo que he­ El despacho de billetes debidamente sellados y rubricados, fa…</t>
  </si>
  <si>
    <t>…signación de jueces quede excluida to­ que es de la competencia del Congreso. Van pasados ocho dias Congreso la admisión de este Sr. Diputado. Que todo lo que da arbitrariedad, si es que hablando de tribunales colegiados y el Sr. Ministro de Hacienda no ha contestado ni ha indicado resultaba del voluminoso expediente que se habia tenido á la como estos, podernos permitirnos semejante presunción; pero el dia que podría venir á hacerse cargo de esta interpelación. vista era que habia un procedimiento contra el Sr. Ptamirez sea…</t>
  </si>
  <si>
    <t>…e i n a , s u augusta Madre la R e i n a G o b e r n a ­ Prim era sección.-—Circular dora y la Serma. Sra. Infanta Doña María Luisa Fernán, REDACCION DE LA GACETA. da, continúan en esta corte sin novedad en su importante El Sr. Ministro de Hacienda comunicó á este ministe­ salud. rio en 6 de Diciembre último la Real orden siguiente: «Habiendo dado cuenta á S. M. la Reina Gobernadora de una consulta que en 6 de Noviembre último hizo la N O T IC IA S EXTRAN GERAS. junta principal de diezmos, manifestando con referencia A…</t>
  </si>
  <si>
    <t>de Hacienda, Mioistro</t>
  </si>
  <si>
    <t>Mioistro de Hacienda</t>
  </si>
  <si>
    <t>…CIENDA: Lo único que tengo que El Sr. GOMEZ ACEBO: Yo no creo que las observacio­ iendo Ministro de Hacienda con acuerdo de S. M. Señores, contestar al Sr. conde de las Navas, que no me ha interpelado nes presentadas por el Sr. Mioistro de Hacienda sean suficien­ as resoluciones que se han citado, son resoluciones que recaían por actos de mi ministerio, sino anteriores, es que es una ver­ tes para fijar las dudas que pueden suscitarse por los arts. 59 obre el expediente del cobroá la buena cuenta, en el cual no dad que exi…</t>
  </si>
  <si>
    <t>de Hacieoda, Despacho</t>
  </si>
  <si>
    <t>Despacho de Hacieoda</t>
  </si>
  <si>
    <t>…gando la lealtad y respeto.” creto por el cual S. M. la Reina Gobernadora se ha servido ocasión de tratar del suplente, entonces se ventilará esa cues­ S. M. se dignó contestar en los términos siguientes: nombrar Secretario del Despacho de Hacieoda al Sr. D. José tión g r a v e , q u e , aunque lo parece, en mi concepto no es de Acepto con sumo placer y gratitud la felicitación que me San M illan. gravedad , porque á serlo, la culpa estaría en el Gobierno, que presenta el Senado en ocasión en que se halla mi corazou Heno…</t>
  </si>
  <si>
    <t>de HAGIE.TNDA, Ministro</t>
  </si>
  <si>
    <t>Ministro de HAGIE.TNDA</t>
  </si>
  <si>
    <t>…a tal .liquidar expuso qoe se contenía en el .artículo porque la junta cuerpos leg i sila i i v os. que diese o na justa compensación entre un acreedor y un deu­ adonde iban liquidados los documentos debía hacer una nueva El Sr. Ministro de HAGIE.TNDA cotí testó que las jo utas o® dor eo ambos casos, desembarazar la acción del Gobierno eli­ liquidación del último resaltado. Que ademas ao se hablaba de Hqnidarian créditos' si»© débitos, y que no podíab entender e», minando estas partidas que se embrollaban,, poner término…</t>
  </si>
  <si>
    <t>de Heras, Josefa</t>
  </si>
  <si>
    <t>Josefa de Heras</t>
  </si>
  <si>
    <t>…om inación reales: D. José Ordovás, por 84OO rs.: los herederos de D. A n ­ cuestión queda resuelta con solo no em peñarnos en cerrar moral de la creencia. D os bellísimos án g eles, en cu yo tonio Brugada, por 21900 rs.: Doña Josefa de Heras ó sus los ojos. La religión y la justicia son sinónim os en el sen­ semblantes brillaba todo el candor y la pureza que el herederos, por 7335 rs. 19 mrs.: el Sr. D. Baltasar Pallete, ppr tido bíblico que nos las representa com o la m ayor perfec­ hom bre puede prestar á un espíritu…</t>
  </si>
  <si>
    <t>de Herrera, D. Manuel</t>
  </si>
  <si>
    <t>D. Manuel de Herrera</t>
  </si>
  <si>
    <t>…su voz es extensa y de muy buena calidad: acaso en el L i­ BOLSA D E M A D R I D . p a ra justificar n u e s tra o p in ió n ; p ero se hallan con harta ceo comprendimos todo lo que puede hacer en el teatro. El znismo con el Sr. D. Manuel de Herrera cantó perfectamente frecuencia en las comedias de este poeta otros vestigios se- Cotización del día 13 d las tres de la tarde. un dúo de la L u c ía , y este con los señores Lej y Maggioroti jn e ja n te s del pésimo gusto de la sociedad para la cual es­ EFECTOS PUBLICOS. un ter…</t>
  </si>
  <si>
    <t>de Historia, IO</t>
  </si>
  <si>
    <t>IO de Historia</t>
  </si>
  <si>
    <t>…os y principales librerías. Entretanto, para distraerse, se propone el bajá hacer un nuevo viaje hasta el Cairo. Mr. Cochelu tiene todas las noches una larga entrevista con el bajá, que le manifiesta mucha amistad. /CO M PEN D IO de Historia natural, por el doctor D. Lucas MADRID 16 DE DICIEMBRE. El Diario de los Debates , con referencia á otra carta de Alejandría de la misma fecha, dice que la ciudad de Aden, ^normalde deTornos, catedrático de esta asignatura en la escuela instrucción primaria establecida en Madrid ,…</t>
  </si>
  <si>
    <t>de Hormaeche, D. Francisco</t>
  </si>
  <si>
    <t>D. Francisco de Hormaeche</t>
  </si>
  <si>
    <t>…sé Mariano Vallejo. Habiendo este que el acto de beneficencia que esta corporación hizo en favor propuesto á los socios que trabajasen para hallar una demostra­ de la niña Isabel de Diego , ciega de nacimiento , produjo js) Sr. D. Francisco de Hormaeche. ción general de dicho teorema , presentaron tres distintas en la reales de vellón, los cuales están depositados en un banco de ahor­ Sr. D. Federico Vitoria de Lecea. próxima sesión, una ei mismo Sr. presidente, otra el secretario ros de Paris, y se trasladarán al de esta…</t>
  </si>
  <si>
    <t>de Hoyos, Isidoro</t>
  </si>
  <si>
    <t>Isidoro de Hoyos</t>
  </si>
  <si>
    <t>…adores la llevó á sioneros que existen en esta plaza , procedentes del fuerte de cisco J a v ie r A zp iro z, de la provisional del cargo del de igual ocupar una posición mas avanzada de lo que yo deseaba. Asi Tales. clase D. Isidoro de Hoyos, y de 800 caballos. Ademas me se­ quedó cumplida con rapidez y feliz éxito la parte esencial que Quinto batallón de V ale n c ia .^ C a p ita n , D. Antonio Teles g u ía una batería r o d a d a , otra de á lomo y una compañía y había confiado al general Azpiroz. Es verdad que este…</t>
  </si>
  <si>
    <t>de Ih, Francisco</t>
  </si>
  <si>
    <t>Francisco de Ih</t>
  </si>
  <si>
    <t>…Sellir. La caballería núm. 5 que estaba en San M a r ­ mente duro para los sirios y principalmente para la población m e d io d ía nuestra altura m eridiana, una roca que gradualm en­ tin de las Amoreiras al mando del teniente Francisco de Ih ito turca , no porque su régimen sea cruelmente tirá n ic o , sino por te iba elevándose á nuestra vista. Guando llegó á cierta altura, Castro y Mello, que hacia un movimiento por orden cnia so- el orden a d m in istrativ o , la re gu larid a d , y sobre todo por la fis­ la roca…</t>
  </si>
  <si>
    <t>de Ilar-, Gerónimo</t>
  </si>
  <si>
    <t>Gerónimo de Ilar-</t>
  </si>
  <si>
    <t>…pelo, á la Ex­ Limosnas que entregaron varias personas. celentísima Sra. marquesa de Campo-Real. tudes que pueda tener la española , es de las mas notables La Excma. Sra. condesa de Campo- 872. Dos cuadros bordados, al Sjr. D. Gerónimo de Ilar- agradecer los beneficios;( y que reconocemos y reconoce­ '~tAla¡nge. v ••♦. . . . . . . . . . . . . . . . . . ... 320 duya. remos siempre los que recibamos de nuestros aliados. La Excma. Sra. duquesa de San Fer­ 299. Un tirador de campanilla de gro bordado de felpillas, nando.…</t>
  </si>
  <si>
    <t>de Iloyos, Antonio</t>
  </si>
  <si>
    <t>Antonio de Iloyos</t>
  </si>
  <si>
    <t>…idiendo acia* nifestando la imposibilidad en que se ve de satisfacer los re­ las armas á un hijo suyo. raciones sobre varios puntos relativos á la última quinta. petidos pedidos que se la imponen en ciase de subsidio de 219. D. Antonio de Iloyos C h o ro t, haciendo una relación 257. Doña Piosalía Jo y a, e n ‘solicitud de penúon. préstamo, y de contribuciones extraordinarias. de lo actuado en un pleito que sigue, y pidiendo ¿e suspenda 258. D. Antonio Jiménez, solicitando se restablezca la M i­ 177. D. José Olivan , pre…</t>
  </si>
  <si>
    <t>de Ima, Yentura</t>
  </si>
  <si>
    <t>Yentura de Ima</t>
  </si>
  <si>
    <t>…on des­ por el Gobierno, logrará en adelante un completo desarrollo. tribunal de comercio de esta plaza con fecha 15 del corriente confianza. {Debuts.) {M ercurio d e F ra n co n ie .) en los autos de concurso de acreedores de D. Yentura de Ima­ na , se cita y emplaza á los que no hayan comparecido á per­ cibir el por 100 del segundo reparto decretado en 18 de M ayo de 1 8 5 5 , para que en el término de un año que como TURQUIA. GRAN BRETAÑA. perentorio y preciso se señala á los que residan en América , y C onstantinopla 26…</t>
  </si>
  <si>
    <t>de Iriarte, Tomas</t>
  </si>
  <si>
    <t>Tomas de Iriarte</t>
  </si>
  <si>
    <t>…e conducirse de dos modos: mamente á propósito para las composiciones musicales; y el la­ mero y segundo remate del servicio de la conducción de la cor­ por repetida* reflexiones de uaa superficie curva en la dirección borioso D. Tomas de Iriarte , juez m u y competente en la mate­ respondencia desde esta corte á Búrgos por M edina del Campo de los lado* de un polígono, ó donde el que secretea está en el r i a , lo indicó también apoyándolo en muchas y convincentes y V a lla d o lid , por el tiempo y precio que consta del pl…</t>
  </si>
  <si>
    <t>…sta común. ción titulada ¡Pobre ciego l que sabemos ha sido inspirada por dido que de no comparecer le parará el perjuicio que haya la triste nueva de haber perdido la vista el apreciable artista lugar. . La M dúca , poema por D. Tomas de Iriarte, tercera edi­ Esquive!. La letra, del Sr Peral , está llena de ternura y de ex­ ción, ano de 17S ). Un cuaderno e„ 4 .0, adornado con seis es- presión: su sola lectura produce una amarga compasión; u n i­ tampas linas, a 56 rs. en pasta coiuuo. da á una música análoga á los versos,…</t>
  </si>
  <si>
    <t>de Iriarte, Tornas</t>
  </si>
  <si>
    <t>Tornas de Iriarte</t>
  </si>
  <si>
    <t>…e s m o en el I E C C í O N E S instructivas de historia y geografía. Obra pos­ triunfo de la causa nacional. Valencia 14 de Enéro de 1 8 5 9 .— S en a d o . P e ro no so m os tan ilu sos q u e n o s a t re v a m o s a tuma de D. Tornas de Iriarte, dirigida á la enseñanza de E l brigadier gefe del estado mayor del ejército , segundo cabo con liar en q u e s e r á c u m p l id a nuestra esperanza. No som os los niños. Edición de Diciembre 1 8 5 8 , buen papel y hermosa interin o, Pedro Chacón. Lan ilusos q u e desconozcam os…</t>
  </si>
  <si>
    <t>de Isla, Francisco</t>
  </si>
  <si>
    <t>Francisco de Isla</t>
  </si>
  <si>
    <t>…odo el candor y la pureza que el herederos, por 7335 rs. 19 mrs.: el Sr. D. Baltasar Pallete, ppr tido bíblico que nos las representa com o la m ayor perfec­ hom bre puede prestar á un espíritu in corp óreo revesti­ 4500 rs.: D. Francisco de Isla, vecino de C ádiz, por 2735 ción en la criatura: ambas comienzan á resplandecer en do de humanas form as, habían fascinado la mirada ar­ reales, y la Sra. condesa viuda de AUamira , por 270 rs. la sociedad m oderna: escritas están en m onumentos in­ diente del piadoso caudillo. S…</t>
  </si>
  <si>
    <t>de Isla, José</t>
  </si>
  <si>
    <t>José de Isla</t>
  </si>
  <si>
    <t>…178 Sra. Doña Rosario Serrano. rerla por dos veces, examinándola muy detenidamente. El Por el refresco para los señores que 1 1 0 . Una banqueta de terciopelo bordado, al Excmo. señor cantaron en el concierto. .......... 586 D. José de Isla, Senador por la provincia de Santander. Sr. Ministro de la Guerra iba al estribo derecho, y el se­ 577. Un cajoncito bordado de cañamazo, á la Sra. Doña ñor inspector de infantería al izquierdo. Al retirarse S. M. Por 11 varas de cotonía á 11 rs., 4 Asunción de Rodas. se colocó su c…</t>
  </si>
  <si>
    <t>de Jas, Estado</t>
  </si>
  <si>
    <t>Estado de Jas</t>
  </si>
  <si>
    <t>…mo pues la libertad de suplicaros que no hagais reales, y en renta de 57. sufrir el rigor de las leyes á esos pobres jóvenes. Una reprensión * Otra de doce fanegas y cuartilla en donde nominan G ara- Lord Glenelg, secretario de Estado de Jas colonias en el paternal del Sr. presidente seria, á mi entender, todo lo que ruelo, que linda por Oriente con tierras de Pedro Guadalix, ministerio de lord Melbourne, ha presentado su dimisión, dan­ convendría para que en adelante fuesen mas circunspectos. Na- por Mediodía con otra d…</t>
  </si>
  <si>
    <t>de Jesu, José</t>
  </si>
  <si>
    <t>José de Jesu</t>
  </si>
  <si>
    <t>…Montevideo que alcanzan hasta ral i ) . Antonio de L eó n , y comandante principal de las M is - esperanzas bastante fundadas de proporcionar uu socorro con- el 22 de Agosto. La escuadra francesa, compuesta de 45 b u ­ tecas D. José de Jesu$ M aidou ado , para que dicho señor se sirva sickráble á los católicos de la ciudad de A ac ira, ques de todos ta m a ñ o s, continuaba manteniendo con el m ayor</t>
  </si>
  <si>
    <t>de Jesús, Manuel</t>
  </si>
  <si>
    <t>Manuel de Jesús</t>
  </si>
  <si>
    <t>…n la p rim e ra , Segismundo bacoa.................................................................. 17 temano se apoderaron de una eminencia llamada la Fuen de no es mas que el hom bre fisiológico. Tiene p o d er, y quie­ Id. D. Manuel de Jesús V idó, cura párroco de M uñía, con siete batallones y 400 caballos mandados por Ca­ re em plearlo en la venganza: insulta á su p adre: se ena­ Cupey....................................................................... 17 brera en persona, y se parapetaron en toda ella , de modo que…</t>
  </si>
  <si>
    <t>de Jo, Antonio</t>
  </si>
  <si>
    <t>Antonio de Jo</t>
  </si>
  <si>
    <t>…y absuelve á D. Manuel del Pozo, D. Fernando García de N ieva, procurador de este número, á responsable á dicho impreso; y en su consecuencia mando t que Tercera seccio n. — Circular. nombre y en virtud de poder de los bres. D. Antonio de Jo r­ sea puesto inmediatamente en entera libertad , alzándose la cau­ res y Chacón, ministro togado, cesante de la Excma. audien­ sa y fianza que tiene prestada, sin que este procedimiento le He dado cuenta á S. M. la Reina G obernadora de un cia de Yalladolid , y el licenciado D. Vice…</t>
  </si>
  <si>
    <t>de Jovellanos, D. Gaspar Melchor</t>
  </si>
  <si>
    <t>D. Gaspar Melchor de Jovellanos</t>
  </si>
  <si>
    <t>…rimero que no habien­ Las masas que por seis años han derramado lastimosamente su do mediado para la reclamación del comisionado de Peñíscola sangre , se han abrazado en los campos de Vergara , jurando man­ /"ABRAS del Excmo. Sr. D. Gaspar Melchor de Jovellanos, documento alguno, y resultando que 3un en el caso de rebajar­ comunarse para conseguir la prosperidad de su patria. N o es arregladas é ilustradas por D. Wenceslao de Linares y se l^s votos de que hace mención , sun quedaban con mayoría posible pintaros tan hermoso…</t>
  </si>
  <si>
    <t>…y reducido, que en el ción , calle del Lobo, núm. 8 , piso segundo, á efecto de ha­ estado de larva se asemejan mucho á sus padres , y sin mas d i­ cerle entender cierta providencia del mismo Sr. intendente; O BRAS del Excmo. Sr. D. Gaspar Melchor de Jovellanos, ferencia que carecer de alas. Esta variación comprende dos d i­ bien entendido que de no comparecer le parará el perjuicio que ilustradas con numerosas notas dispuestas por orden de visiones principales; la primera tiene una metamorfosis comple­ h aya lugar* m ater…</t>
  </si>
  <si>
    <t>de Jovellanos, Melchor Gaspar</t>
  </si>
  <si>
    <t>Melchor Gaspar de Jovellanos</t>
  </si>
  <si>
    <t>…onstitucional de Salineron, expresivo de que en consejo de Castilla sobre indultos generales, extendido por el ia noche anterior habían pasado por Valdeolivas 150 facciosos poema épico por D. Domingo María Ruiz de la Vega. Sr. D. Melchor Gaspar de Jovellanos, individuo de aquel tri- de ambas armas con dirección á la Isabela. Inmediatamente se buoal. reunió la columna y emprendió la marcha en busca del enemi­ Hácese la publicación del primer tomo, que se ira* repartien­ 13. Muerte violenta de Doña María del Rosario Nargane&lt;¡…</t>
  </si>
  <si>
    <t>de Jáuregui, Blas</t>
  </si>
  <si>
    <t>Blas de Jáuregui</t>
  </si>
  <si>
    <t>…iatos (.E . de A.) ventajas á mis discípulos: en prueba de esta verdad, y de A n gel, esquina á la calle de Atocha. D. Matías Angulo, tienda de fierro en Puertacerrada. los felices resultados que he conseguido no dudaria un D. Blas de Jáuregui, plazuela de San Ildefonso, lonja. momento en recomendarle á mis comprofesores. Y en la confitería plazuela de Antón Martin. CORTES. También he visto con particular satisfacción el libro SE NA DO . que tiene por título: Traducción del francés sin maestro . Los ejercicios interli…</t>
  </si>
  <si>
    <t>de la Asamblea, Presidente</t>
  </si>
  <si>
    <t>Presidente de la Asamblea</t>
  </si>
  <si>
    <t>…ón ordinaria del año de 1859 de las Cortes generales D IEZ Y FLORENCIO ROM EA. El círculo de que he hablado es muy útil para enseñar la de la nación portuguesa. formación de las palabras: hay escritas en su circunferencia El Sr. Presidente de la Asamblea dijo en seguida: Costado derecho t gran cantidad de sílabas simples y dobles: cuando se le hace gi­ Está cerrada la sesión. OTELO. OSCAR. CA IN . HIJOS D fí EDIPO . rar sobre su centro presenta á los niños la sílaba pedida, traza­ Con lo, c u a l se retiraron los Sres.. S…</t>
  </si>
  <si>
    <t>de la Barca, Calderón</t>
  </si>
  <si>
    <t>Calderón de la Barca</t>
  </si>
  <si>
    <t>…yes. Espero que el Congreso reconozca que no hubo variación traron en el salón y ocuparon sus respectivos asientos al p rin­ támenes de la comisión de A c ta s, y admitidos como Senado­ en el artículo , porque la adición del Sr. Calderón de la Barca cipio del sorteo: concluido este acto, dijo res los individuos que en ella se expresan. El Sr. P R E S ID E N T E : Tiene la palabra el Sr. M inistro de no era con objeto de que se extendiese esa garan tía , sino m u y Por M a d rid : Sres. M u g u iro y Ladrón de Guevara. al…</t>
  </si>
  <si>
    <t>…ción de todos los esp.añ des. habido cuatro adiciones que se han leido: no es una sola. Esa gente de la audiencia: lo que esto quiere decir lo dejo al buen El Sr. P R E S I D E N T E : El Congreso ha oido con ia m ayor del Sr. Calderón de la Barca, que comprende todo, fue desecha­ juicio de los Sres. Diputados. Por lo que i mí toca, tengo un satisfacción la manifestación que hace su Presidente. d a , y en seguida hicieron otras varios Sres. D ip u t a d o s , las convencimiento íntimo de que estas elecciones no son el e…</t>
  </si>
  <si>
    <t>de la Brunswich, Despacha de la Gobernación</t>
  </si>
  <si>
    <t>Despacha de la Gobernación de la Brunswich</t>
  </si>
  <si>
    <t>…sponsabilidad de la colisión A b ril de l839.:=Excmo. S r .n Francisco Muñoz y Andrade.“= desmotado 188 pies cúbicos de piedra en roca muy dura. que últimamente ha habido entre los habitantes de la nueva Exemó. Sr. Secretario del Despacha de la Gobernación de la Brunswich y los ciudadanos del Estado del M aine. Por eso se Peinusula. Idem en la construcción d el ex p resa do puente. censura á los w ighs de no haber concluido en el espacio de Se han sentado 300 pies cúbicos de cantería en el machón cinco años una contestaci…</t>
  </si>
  <si>
    <t>de la Calle, Juan</t>
  </si>
  <si>
    <t>Juan de la Calle</t>
  </si>
  <si>
    <t>…tamiento constitucional de la villa de Igue- con varios nacionales, y entre ellos el promotor fiscal de aquel ruela , en la provincia de Albacete, se apresura á hacer mani­ B U E N O S -A IR E S Y M O N T E V ID E O . jozg do, D. Juan de la Calle, y el procurador D. Vicente A p a ­ fiesta su gratitud á V. M. por el decreto de 18 de los corrien­ ricio, practicó el 23 de Noviembre ultimo, habiendo consegui­ tes, cuya disposición en la crisis en que se hallaba la nación Todas las noticias recibidas de Montevideo con fecha del d…</t>
  </si>
  <si>
    <t>de la Cañavete, Ministro</t>
  </si>
  <si>
    <t>Ministro de la Cañavete</t>
  </si>
  <si>
    <t>…rec­ nuestras armas, á quien toda la nación aclamará como su pacifi­ M adoz, López de Pedrajas, Vicens, A yala, Royo, Vargas, cionados dijo que aquella plaza no levantaría otra bandera cador, y de ello cabe una gran parte al Sr. Ministro de la Cañavete,D iaz Gil, Mendizabal, Arguelles, Quinto, Huclves, que no fuese la española, el G o b iern o , digo, rescató aquellas Guerra, que con un celo incansable se ha ocupado de aprestar Paz G arcía, A lejo, García (D. Lucas), Ruiz del A rbol, E li- plazas sublevadas, los estados d…</t>
  </si>
  <si>
    <t>de la Cor, Ivo</t>
  </si>
  <si>
    <t>Ivo de la Cor</t>
  </si>
  <si>
    <t>^ tiere el honor do renovar sus sentimientos de adhesión y el oficial tercero 2.° de este gobierno político D. Ivo de la Cor­ D e plata. Jvaltad al t r o no , con motivo tan satisfactorio y digno de! g r a n ­ tina , perteneciente al mes de Agosto. Una de T r a ja n o , m u y bien conservada en todas sus partes. de objeto, ó ídolo á que se co n sagra: gracias sean d ad as, Se­ l e m p l o que s e s u p o n e…</t>
  </si>
  <si>
    <t>de la Cortina, Ivo</t>
  </si>
  <si>
    <t>Ivo de la Cortina</t>
  </si>
  <si>
    <t>…rincipiados en el sitio muerta para las dos Potencias, y ambas intervendrán con los tualidad? mismos títulos que la Rusia. D ia 14 llegó á Constantinopla el paquete francés Papin elseñalado; párroco y de acuerdo el director D. Ivo de la Cortina con de Santiponce D. José Toro P alm a, ioterventor de Parece que Mehemet-Alí ha remitido su ultimátum al D i- conduciendo despachos para M r. Cochelet y algunos pliegos la escavaciones, se han dirigido estas hácia otros parajes, ha­ van por medio de un enviado que se embarco en…</t>
  </si>
  <si>
    <t>de la Cruz, Juan</t>
  </si>
  <si>
    <t>Juan de la Cruz</t>
  </si>
  <si>
    <t>…ripción: en Madrid 4 rs* al mes y 36 por un ciudad de Guadalajara y pago titulado del Ganóte, propia de Sres. súscritores á esta obra acudirán, á, recoger él to­ año. En las provincias 24 rs. por seis meses, franco de porte# D. Juan de la Cruz, heredero de su madre Antonia Polo, ve­ mo Los vii en Madrid , librería de Cuesta: Barcelona ep Ía,de Oli­ Hay coleccione? desde principio de la segunda série. cina que fue de la misma ciudad , de caber dos fanegas y me­ dia de tierra , y en ella 600 cepas y 88 tallones grandes y p…</t>
  </si>
  <si>
    <t>de la Cuadra, ON Juan</t>
  </si>
  <si>
    <t>ON Juan de la Cuadra</t>
  </si>
  <si>
    <t>…plimiento.^Está rubricado de la Real fecha de este anuncio, se presenten en dicho juzgado y escri­ m ana En Palacio á 22 de Febrero de 1839.= A D. Pie banía á deducirle, bajo ae apercibimiento, que pasado dicho Pita Pizarra D ON Juan de la Cuadra, intendente de esta provincia y sub­ término se procederá á lo que haya lugar. Dado en Chinchón delegado de Rentas de este partido &amp;c.=Por «1 presente á 19 de Febrero de 1839.=Antonio de Valenzuela.=Teresiano cito,llamo y emplazo á D. José Jimenez de Molina, oficial queLópez.…</t>
  </si>
  <si>
    <t>de la Cue, Manuel Mayoral</t>
  </si>
  <si>
    <t>Manuel Mayoral de la Cue</t>
  </si>
  <si>
    <t>…l año. entrega de la novela titulada: Una conspiración en tiempo de titulada Luis xiii. LUCRECIA B O R G IA , Intendencia de la provincia de Madrid. adornada de todo el aparato que la corresponde. Ignorándose el paradero de D. Manuel Mayoral de la Cue­ jQlCGIONARlO de medicina y de cirugía prácticas. Entre­ ga 5,* del tomo 3.° Continúa abierta la suscripción en la 1</t>
  </si>
  <si>
    <t>de la Cám, José</t>
  </si>
  <si>
    <t>José de la Cám</t>
  </si>
  <si>
    <t>…de vestuario y equipo , ademas del que Empezará á publicarse la G alería para el d ia 15 de Enero les entra construido de Francia. c o rrien te, no con período fijo , pero sin que por n ingún caso 47. D . R afael de Tsasi y D. José de la Cám ara por sí y á Su principal conato se d irige á in stru ir y organizar escua­ trascurra mas de un mes de una á otra entrega. nombre de los fabricantes de curtidos de la ciudad de M á la g a , drones de cab allería, que piensan poner hasta el número de 20 El número de retratos depende…</t>
  </si>
  <si>
    <t>de la e, Francisco Feliu</t>
  </si>
  <si>
    <t>Francisco Feliu de la e</t>
  </si>
  <si>
    <t>…laza pitán de fragata D. Santiago Soroa , y al coronel de infantería Parte telegráfico. El de M urviedro dice á las nueve de seria entregada en el mismo estado ó con las existencias en que secretario de esta capitanía general D. Francisco Feliu de la esta mañana. se encontraba eu el acto de su pronunciamiento: que estaban Peña, por la tan decidida cooperación que han prestado á comprendidos El enemigo levantó ayer el sitio de Villafamés, y se ha habia en Oran enviados en el propio convenio los individuos carlistas que nu…</t>
  </si>
  <si>
    <t>de la e, Garro y</t>
  </si>
  <si>
    <t>Garro y de la e</t>
  </si>
  <si>
    <t>…oticia , que merece confirmación , que la Rusia Luis Gonzaga Cuevas , sobre las diferencias entre M é­ países. quiere aproximarse al teatro de los acontecimientos que se pre­ jico y Francia. Sin embargo del nombramiento del Sr. Garro y de la espe­ paran en Asia, para hallarse pronta á todo acontecimiento. ranza de que su misión tuviera los resultados que se deseaban, Esta noticia no ha causado ningún efecto en la bolsa, porque * Aunque el voto de la nación ha estado en perfecta confor­ ?1 Gobierno hacia aqui cuanto estab…</t>
  </si>
  <si>
    <t>de la e, Manuel Bretón</t>
  </si>
  <si>
    <t>Manuel Bretón de la e</t>
  </si>
  <si>
    <t>…aer­ últimas Córtes por el ministerio de Diciembre.=:Por D. Juan le desvelado: hasta los chistes del gracioso son suyos. Donoso Cortés. Si las investigaciones eruditas que pueden hacerse en El genio. Los genios.r=Romance. Por D. Manuel Bretón de la escogida colección del Sr. Duran justifican esta opi­ Intendencia m ilitar de Castilla la N ueva . los Herreros. nión nuestra, creemos muy justo restituirle á nuestro T ir­ Imitación de la poesía y coplas del siglo xv. Por D. Agustín so una composición algo mas reg u lar, aunque…</t>
  </si>
  <si>
    <t>de la e, Sánchez</t>
  </si>
  <si>
    <t>Sánchez de la e</t>
  </si>
  <si>
    <t>…estadística, y asi caminamos á ciegas en putados y Senadores, había nombrado para su presidente al S. Pedor y otros: y concluyó por último indicando que siendo este punto.” Sr. conde de las N a v a s , y para secretario al Sr. Sánchez de la en su opinión impracticable é inaplicable el artículo, conven­ Mas de una vez he indicado ya en esta discusión que el Fuente. dría mas el diferir esas recompensas para cuando la nación Gobierno en diversos documentos públicos ha manifestado al Procediéndose al orden del dia se puso á…</t>
  </si>
  <si>
    <t>de la Encina, Pedro</t>
  </si>
  <si>
    <t>Pedro de la Encina</t>
  </si>
  <si>
    <t>…señor Sr'es. D . Federico M artínez de T o ro , D . K oriqne A racil, D o n á la arm onía general de sus cuadros, que suele ser verdosa y fría Palinaroli. El copiante nada ha puesto de estilo p ro p io , no F austino P asto r, D. Pedro de la Encina , D . Rafael A g u irr e , en vez de argentina ó dorada; como que estas dos son mas co n ­ puede ser mas fiel, tanto que casi parece el orig inal reducido D. M a nu el Carrascosa, D. Francisco S e rr a , D. Isidro González, formes al origen de la luz que procede del sol. En el cua…</t>
  </si>
  <si>
    <t>de la Es, Gerónimo</t>
  </si>
  <si>
    <t>Gerónimo de la Es</t>
  </si>
  <si>
    <t>…de si lo habrá ó no realizado. ción son: mo método, sencillez y claridad que respectivamente he em­ María Remond , por D. Juan dei Peral. pleado en las Gramáticas francesa y castellana. El fastidio , ó el conde B erfort, por D. Gerónimo de la Es­ Una empresa tan arriesgada no es fácil que á primera roa­ cosura. no salga completa: los inteligentes están bien convencidos de Dirección general de Presidios del reino A mal tiempo buena cara , por idem. esta imposibilidad, y por lo mismo solo atenderé á los conse­ El marido d…</t>
  </si>
  <si>
    <t>de la Es-, Gerónimo</t>
  </si>
  <si>
    <t>Gerónimo de la Es-</t>
  </si>
  <si>
    <t>…diciéndoie que si le era indispensable un aumento de fuerzas de las clases primera y segunda los elementos de geografía, europeas , nos apresuraríamos á enviárselas. NOTICIAS NACIONALES. historia de España por el compendio de D. Gerónimo de la Es- L ord P a l m e r ston , en respuesta á una interpelación de sir cosura , dib ujo , las cuatro reglas de la aritmética aplicadas á R. ln g l i s , anuncia que las negociaciones entabladas con Por­ T ortosa 10 d e Marzo. los números quebrados y mistos , y la primera parte del m a…</t>
  </si>
  <si>
    <t>de la Escalera, Eusebio Ruiz</t>
  </si>
  <si>
    <t>Eusebio Ruiz de la Escalera</t>
  </si>
  <si>
    <t>…del término señalado para la admisión de créditos en volución de un vínculo que renunció al hacer su profesión. la necesidad de reducir el número de empleados públicos. ?ago de la contribución extraordinaria de guerra. 175. D. Eusebio Ruiz de la Escalera, pidiendo se declare 217. Varias viudas pensionistas de guerra, vecinas de la 255. , D. Eloy Velez, solicitando que el Congreso resuelva si está comprendido en el decreto de las Cortes de 23 de Julio ciudad de Salamanca , sobre el atraso que sufren ea el pago de ]ue los…</t>
  </si>
  <si>
    <t>de la Escosura, M.</t>
  </si>
  <si>
    <t>M. de la Escosura</t>
  </si>
  <si>
    <t>…n dos actos, titulada E L M E D IC O Y L A con algunas notas. poleón y Robespierre, las conversaciones de Caaova y notas re­ H U E R F A N A . El precio de los 11 tomos es el de 198 rs. en rústica y 220 lativas á España, por D. M. de la Escosura. 2.° Intermedio de baile nacional. en pasta. Se hallarán en la librería de Orea , calle de la M onte­ Manual del encuadernador. 3.° La linda comedia en un acto, original de D. Manuel ra , frente á S. Luis. Historia general de la civilización en Europa , ó curso d&lt; Bretón de los H…</t>
  </si>
  <si>
    <t>de la Escosura, Narciso</t>
  </si>
  <si>
    <t>Narciso de la Escosura</t>
  </si>
  <si>
    <t>…dad, y por lo mismo solo atenderé á los conse­ El marido de dos mugeres. jos de aquellos para irla perfeccionando , desentendiéodome ab­ Existiendo en la caja del presidio de Málaga la cantidad El marido de la favorita , por D. Narciso de la Escosura. solutamente de los chillidos de la denostacion y de la m alig­ de 155 rs. procedentes de alcances que á su favor tenia en el L a honra de mi madre , por idem. nidad. regimiento infantería de Galicia, residente en la Habana, M i­ Se admiten suscripciones á 12 rs. tomo en mi li…</t>
  </si>
  <si>
    <t>de la Escosura, Patricio</t>
  </si>
  <si>
    <t>Patricio de la Escosura</t>
  </si>
  <si>
    <t>…rentes el perjuicio que hubiese l u g a r , y en su v i r ­ Bretón de los Herreros. pués de doce siglos existe todavía como un monumento mages- tud se señaló nuevamente para la jun ta el 17 de Marzo pró­ La Aurora de Colon, de D. Patricio de la Escosura. tuoso de su fama. ximo pasado, insertándose la citación con dicha calidad en el El editor de la Galería Dramática anuncia que solo en su S m ta S o fía, hasta el siglo xxv, podia contarse como la p ri­ Diario de 14 del repetido Marzo. colección del Teatro moderno español s…</t>
  </si>
  <si>
    <t>…quellas; anadian que en todo D. J uan Eugenio Hartzembusch. aquel día quedarían dichas casas de Ramales en nuestro poder, D. Ventura de la Vega. Premios. Pesos. pero que serian solo sus escombros, porque los rebeldes las re­ D. Patricio de la Escosura. ducirían á cenizas antes de abandonarlas; sin embargo que con D. Juan del Peral. 1............ . . d e . . 12000 ps. fs___ 12000 aquel paso conseguirían nuestras tropas las posiciones de ata­ D. J osé Zorrilla. 1 ............... . de. . 3000 ................... 5000 que p…</t>
  </si>
  <si>
    <t>de la Fondos, Despacho</t>
  </si>
  <si>
    <t>Despacho de la Fondos</t>
  </si>
  <si>
    <t>…utos de Guadiel, y com­ Londres 6 de Abril, chos años. Jaén 10 de Abril de l859.z:Excmo. Sr.ssFrancisco pra de yeso................... ....................................... 1 , 547 . . 9 Muñoz A ndrade—Excmo. Sr. Secretario del Despacho de la Fondos públicos. Consolidados, 92f. Gobernación de la Península. Alcantarilla del Regajo grande . Bonos del tesoro, 38. Idem de las Indias, 4 O. Gobierno político de la provincia de Jaén.^Carretera de peones Por 655J jornales de los sacadores de piedra, Acciones de banco , í97 f. Gr…</t>
  </si>
  <si>
    <t>de la Fuen, Sánchez</t>
  </si>
  <si>
    <t>Sánchez de la Fuen</t>
  </si>
  <si>
    <t>…caciones , y señalar el dia en que ha de venir á hacerlo. de ellas que no se les daba nada á los soldados con repartirles murieron en la guerra de la independencia , y en la gloriosa lu­ El Sr. P 11ESI D E N T E manifestó al Sr. Sánchez de la Fuen­ aquellos , antes por el contrario se imponía á los pueblos una cha que sostenemos por los legítimos derechos de Doña Isabel ir te que tenia que poner por escrito su interpelación para que contribución ; y concluyó rogando á la comisión admitiese una y las libertades de la nación…</t>
  </si>
  <si>
    <t>…. la C onstitución y abrogarse atribuciones que esta no le d a . El Sr. Perez de R iv a s ha c itad o el art. 2 2 de la l e y ; pero Se p r o c e d iú ú la discusión de los d ictám en es de la comisión Habiendo renunciado el Sr. Sánchez de la Fuen te la p a la b r a , el Congreso h a b rá visto que a llí se h abla ú n ic a m e n te del n om ­ de Peticiones. el Sr. conde de las N a va s hizo unas ligeras observaciones c on ­ bramiento de la m e s a , mas no de la votación. L eid o el correspondiente á la petición n ú m . 1…</t>
  </si>
  <si>
    <t>de la Fuente, Rafael</t>
  </si>
  <si>
    <t>Rafael de la Fuente</t>
  </si>
  <si>
    <t>…grabados por un célebre artista, y sacados de los modelos mas idem. Bilbao, l j d. 1 Valencia, f d. exactos que se conocen. Otra id. en cañada de Cijamos, término de Albuñuelas, Cádiz, i b. á par. Zaragoza, par. Cijamos, por D. Rafael de la Fuente , en id. Materias que contiene el tomo primero. Otra de hierro en sierra Nevada, hoya del Espino, térm i­ Descuento de letras , á 6 por 100 al año. no de Dilar , San Lucas, por D. Lucas Ascutia, en id. Después de una noticia de la vida y escritos del Padre Juan Otra plomiza en…</t>
  </si>
  <si>
    <t>DE LA FUENTE, SANCHEZ</t>
  </si>
  <si>
    <t>SANCHEZ DE LA FUENTE</t>
  </si>
  <si>
    <t>…iesen estado de guerra, debiendo cesar desde luego las que hu­ sueldo por los destinos que obtengan en el tiempo que esteu se­ desertado. biese establecidas , y observarse estrictamente aquel de­ parados de sus destinos. El Sr. SANCHEZ DE LA FUENTE: Señores, seré bien Dictada la indicada Real orden por aquel respeto á los creto como ley vigente eii los casos que en él se expresan. principios de justicia que S. M. quiere imprimir en todas 2.° Que cesen igualmente en las provincias que se en­ grave breve, porque el Congres…</t>
  </si>
  <si>
    <t>de la Fuente, Sánchez</t>
  </si>
  <si>
    <t>Sánchez de la Fuente</t>
  </si>
  <si>
    <t>…Se concedió licencia para ausentarse al Sr. Diputado Don to la consideraba mas desgraciada. M iguel Córdoba con el objeto.de mejorar su salud. A l aceptar la comandancia general de esta p ro v in cia, con Se anunció que el Sr. Sánchez de la Fuente no podia asistir NOTICIAS n acio n aLES á la sesión por el estado de su salud. que S. M. me ha honrado, no he tenido por consiguiente mas M u r v i e d r o 25 d e E n e r o . ambición ni interés que el de ver si logro contribuir al alivio Se acordó que se im p rim iría un di…</t>
  </si>
  <si>
    <t>…Arguelles , esperando que sentase su pecho á las bayonetas, asi de los enemigos declarados el Gobierno tome parte en la cuestión. de la libertad como de los enemigos encubiertos. Los estados de MADRID 4 DE ENERO. Ha dicho el Sr. Sánchez de la Fuente que se debía conceder sitio prolongados no llevan otra tendencia. Hoy un punto, y al Gobierno la autorización que pide. No es el Gobierno actual mañana otro, toda la Península se verá en estado de sitio ; y Una de las m edidas mas acertadas que han podido to­ el que ha pedido la…</t>
  </si>
  <si>
    <t>…o s , quedand o Igualm ente se leyó y fu e tom ada en consideración una e n ­ oespues responsables ios empleados públicos de la manera pres­ entran á com pon er esa co m is ió n ? N in g u n o . Él que no es em ­ mienda del Sr. Sánchez de la Fuente concebida en estos térm i­ crita en el artículo anterior. pleado antes de eutrar en ella , no lo es después, y el que es ce­ n os: "P a ra el pago de las con tribu ciones posteriores al año de Se dió cuenta de un oficio del Sr. Secretario interino del sante no reporta n in gu…</t>
  </si>
  <si>
    <t>…yo. El Sr. S A L A M A N C A reclama el uso de la palabra , y el que solo producen 6580 rs. Pues bien, yo digo que con esa su­ Continúa el orador: Estas cuentas y otras cosas dieron mar­ Sr. Presidente le contesta, que es al Sr. Sánchez de la Fuente á ma bien empleada habia lo muy suficiente, no solo para la con­ gen á la historia que S S. ha manifestado; yo cuando marco quien corresponde , y que en virtud de lo que previene el re­ servación del camino, sino para mejorarlo notablemente , sien­ los abusos es porque estoy b…</t>
  </si>
  <si>
    <t>…veces, que tenga yo conocimiento, ocasión de dis­ ñor A d a o a , y á la sexta el Sr. López Berrio. Asi pues, una vez que los señores de la comisión no retiran turbios en aquel p a is, asi como lo ha sido también eu otras El Sr Sánchez de la Fuente suplicó al Sr. Secretario de la su proem io, y no dejan qué el Senado vote el proyecto del Con­ muchas; porque sabido es que siempre que el Gobierno hacia comisión de Presupuestos tuviese á bien decirle en qué estado se greso en los términos que ofrecen sus palabras tomadas en…</t>
  </si>
  <si>
    <t>de la Fueute, Sánchez</t>
  </si>
  <si>
    <t>Sánchez de la Fueute</t>
  </si>
  <si>
    <t>…osib le s h a c e i n o s tan s u p e i l o ­ m ad o el Sr. Q u ija n a con e lla , retiró su enm ienda. blico. res a los faccio s o s p o r nuestra c a b a l l e r í a , q u e l l e g u e n a A s im ism o se leyó otra del Sr. Sánchez de la Fueute para que antes d e la palabra "a d m itir á ” , se pusiese lo siguiente: " y L os Sres. Peña A g u a y o y Secretario del D espach o de H a­ p e r d e r hasta la esperanza de i g u a la r n o s a lg u n a v e z a cienda Lacen varias aclaraciones. fuerza d e c o n s t a n c i a…</t>
  </si>
  <si>
    <t>DE LA GACETA, EN CIA</t>
  </si>
  <si>
    <t>EN CIA DE LA GACETA</t>
  </si>
  <si>
    <t>…razón. .No digo yo lo contrario. Pero vengamos ahora al poeta melancólico. Este está desen­ Comisión central.rzHabiéndose celebrado junta general de gañado de todos los placeres de la vida; gime siempre; siempre C O RR ESPO N D EN CIA DE LA GACETA. socios el dia 30 de Marzo anterior, se publicó en ella el divi— está bañado en lágrimas tan gordas como avellanas, y sus so­ dendo correspondiente al segundo semestre de 1 8 3 8 , que fina- llozos parecen al rugido del león cuando siente la calentura. San Sebastian 7 de Abril. E…</t>
  </si>
  <si>
    <t>…eriores son los pocos que compuso en Le Charivari. Le Messager des Chambres* otra línea. Pero nunca son ridículos, pues á lo menos LTndicateur. Le Voleur. i siempre hay que aprender en ellos la pureza y corrección CO RRESPON D EN CIA DE LA GACETA* Le Phare. L ’ Artiste. del estilo y el uso de las voces y giros poéticos. Ademas, Le Journal de Toulouse» La Sentínelle. tiene muchos trozos en los cuales nada puede encontrar L ’Echo franqais. La Quotidienne. que reprender ni aun el autor del artículo que impugna­ Bilbao 5 de M…</t>
  </si>
  <si>
    <t>de la Gloria, María</t>
  </si>
  <si>
    <t>María de la Gloria</t>
  </si>
  <si>
    <t>…ípulos. D. Pedro muy liberal en política , renunció la corona de Por­ aviarios con pájaros m uy curiosos, y el parque Real 5 termi­ El jóven Príncipe D, Sebastian fue imbuido desde su juventud tugal á favor de su hija mayor Doña María de la Gloria, con­ nando todo con la Torre de Belem y sus baterías. en que su gloria en este y en el otro mundo consistía en des­ tinuando con el título ¡de Rey durante la minoridad de esta, El interior de la ciudad forma un contraste con el exterior, tru ir los moros de A frica; y este fana…</t>
  </si>
  <si>
    <t>de la Go, Despacho</t>
  </si>
  <si>
    <t>Despacho de la Go</t>
  </si>
  <si>
    <t>…el acta de la anterior, quedó casa extrangera con combinaciones y cálculos, no puede quedar aprobada. sujeta á los momentos acalorados de una subasta. A N U N C IO S O F I C I A L E S . Se leyó un oficio del Sr. Secretario del Despacho de la Go­ La comisión , como he dicho, no tiene empeño en que esa bernación, acompañando una colección de las circulares y ór­ formalidad se conserve, mucho mas no hallándose presente el D irección g en eral d e Rentas provinciales . denes expedidas por su ministerio en el mes de Diciembr…</t>
  </si>
  <si>
    <t>de la Go, Ministro</t>
  </si>
  <si>
    <t>Ministro de la Go</t>
  </si>
  <si>
    <t>…stos acontecimientos que los límites que prescribe el reglamento ; pero se trata de pagar Ministerio de la Gobernación. celebramos. una deuda de gratitud que pesa sobre mi corazón , pues los El Sr. conde de las N A Y A S: El Sr. Ministro de la Go­ Las fuerzas enemigas del Norte que por un error han sos­ servicios que los peticionarios han prestado en la época á que bernación ha atacado á la comisión equivocadamente ; á S. S. tenido durante seis años la injusta y ridicula pretensión de se refieren, no son bien conocidos de…</t>
  </si>
  <si>
    <t>…yo mayor parte de los pueblos están interesado.? en que se discuta El Sr. CA RRA M O LIN O : rTengo que decir en nombre de quien quiere provocar cuestiones que puedan embarazar la mar­ la comisión, como su secretario, que el Sr. Ministro de la Go­ fsta ley , porque en ella se fija su suerte, y desean que si algu­ cha del Gobierno. Mi ínteres está cifrado en que esta causa siga bernación no ha dicho que necesita ponerse de acuerdo con la na vea se levantan los Diputados á hablar , sea para ocuparse adelante y se consolide cu…</t>
  </si>
  <si>
    <t>de la Gober, Despacho</t>
  </si>
  <si>
    <t>Despacho de la Gober</t>
  </si>
  <si>
    <t>…chos años. Granada 18 de M a y o de i839.=Excmo. Sr.—Alfon- han sido todos elegidos por la mayoría de los electores. Se sa­ c u y a construcción preseució el príncipe Alejandro de R u sia so Escalante.—Excmo. Sr. Secretario del Despacho de la Gober­ be que el Gobierno ha desistido de prevalerse de los nombra­ cuando visitó el arsenal de W o lv ich. El gran duque y su co­ nación de la Península. mientos hechos por la menoría. (Gazette d* Hambourg.) m itiva quedaron asombrados del prodigioso efecto de aquellos proyectile…</t>
  </si>
  <si>
    <t>de la Gober, Ministro</t>
  </si>
  <si>
    <t>Ministro de la Gober</t>
  </si>
  <si>
    <t>…onoció eu su contrario al h e r m a n o , y los ajes de la muerte se Dios guarde á V. E. muchos años. Cáceres 21 de Setiembre trocaron en cánticos de paz: paz que estrechó eu dulces lazos á de l839.z=Nicolás Roldan.—E xcuiü. Sr. Ministro de la Gober­ El segundo cabo de Valencia en su parte periódico de n o ­ españoles que tan opuestos principios habian sostenido: paz que nación de la Península. vedades, fecha 21 del actual, dice que en la noche del 17 se in - voló rápidamente por toda la península, y llenó de alegres es­…</t>
  </si>
  <si>
    <t>de la Goberna, Despacho</t>
  </si>
  <si>
    <t>Despacho de la Goberna</t>
  </si>
  <si>
    <t>…mayoría absoluta 54» donde sea conveniente se establecerán secciones auxiliares de la m ar asiento en el Senado. ju n ta directiva. Tercer individ uo de la comisión el Sr. Roda por 81 votos, Siete oficios del Sr. Secretario del Despacho de la Goberna­ teniendo 20 el Sr. A r t e t a , y 1 los Sres. Lab o rda, B arrio A y u ­ El objeto principal que los socios se propusieron fue pres­ ción de la P en ín sula, respectivos á otros tantos decretos que so y Elipe, del total de 104 votantes. c indir enteramente de disposiciones d…</t>
  </si>
  <si>
    <t>de la Goberna, Ministro</t>
  </si>
  <si>
    <t>Ministro de la Goberna</t>
  </si>
  <si>
    <t>…do la m agistratura cuanto es dado respetarla en las de la anterior. tuviese presente para una canongía d otra prebenda eclesiásti­ circunstancias presentes; pero en cuanto á la miseria de los Se dió cuenta de un oficio del Sr. Ministro de la Goberna­ c a ; y no habiéndola podido obtener por haberse suspendido su jueces no puedo hacer mas que lamentarme como el Sr. Pascual, ción , fecha 21 del corriente, en el que manifestaba que S. M . provisión, suplica al Coogreso que mientras se realiza el arre­ porque h a y una ley q…</t>
  </si>
  <si>
    <t>…continuaba la afirmativa y pasó á la comisión. Se abrió á las doce y m edia, y leida el acta de la anterior, la discusión. Se leyó una enmienda del Sr. Landero reducida á que se fue aprobada. Se dió cuenta de un oficio del Sr. Ministro de la Goberna­ supriman las palabras, wy al conílicto de los tribunales” , y en El Sr. Ministro de E S T A D O leyó una comunicación. (Véa­ ción acompañando un decreto por el cual S. M. la Reina G o­ su lugar se pongan por via de enmienda después de la palabra se la Gaceta extraordinaria.)…</t>
  </si>
  <si>
    <t>…apitán cooperación, que no necesitaba el que se le diera fuerzas, creo Descendió después á combatir lo dicho por el Sr. Calatrava general. Que también se habia censurado mucho que la empre­ que estas fueron las palabras del Sr. Ministro de la Goberna­ sobre que no habia habido juntas ilegales, indicando que cuan­ sa tuviese un juez privativo , añadiéndose que este juez era ción, porque el Gobierno se consideraba con toda la fuerza do el Gobierno las habia mandado cesar, por precisión exis­ nombrado y pagado por la empresa…</t>
  </si>
  <si>
    <t>de la GOBERNACIO, Ministro</t>
  </si>
  <si>
    <t>Ministro de la GOBERNACIO</t>
  </si>
  <si>
    <t>…eria, rogando á los señores de la co­ ñor Pascual, siempre que el objeto fuese llegar al fin deseado. el premio mayor y el mayor honor que puede envanecer á un misión le tuviesen presente á su tiempo y le diesen su apoyo. El Sr. Ministro de la GOBERNACIO N: Tengo que hacer patriota. El Sr. ALCON expuso las razones que habia tenido la co­ una observación á la comisión en cuanto á la dirección que El Sr. ALCO N , haciéndose cargo de lo expuesto por el misión para dar su anterior dictámen y Jas que la habían mo­ quiere dar á…</t>
  </si>
  <si>
    <t>de la GOBERNACION, Ministro</t>
  </si>
  <si>
    <t>Ministro de la GOBERNACION</t>
  </si>
  <si>
    <t>…roga á los modo alguno acudir á las Cortes. dito es el asegurar los capitales y pagar los intereses. fondos que tiene depositados en el banco una renta que en rea­ El Sr. IN FAN TE: No sé si la comisión ha tenido presente El Sr. Ministro de la GOBERNACION contesta que no lidad es propia , porque le pertenece en virtud de un contrato, una circunstancia que voy á manifestar, para que puedan vo­ formará empeño en hacer gran defensa de este proyecto, por­ y que aunque se diga que no procede de bienes propios, debe tar los señ…</t>
  </si>
  <si>
    <t>…o no los reales, y está grabado con tres censos,el uno perpetuo y los otros h aya pedido. m in is trativ a , histórica y anecdótica, al fomento de las d i­ dos redimibles , cuyos capitales reunidos ascienden á 22,894 rs, El Sr. Ministro de la GOBERNACION: El Congreso ha 14 mrs.: una huerta nombrada la Quinta del Angel, ó de Don versas in dustrias que de ella dependen , con cuadros de oido la comunicación que pasó la mesa ai Gobierno, y ha oido Matías, situada en la inmediación de Macharaviaya, al partido costumbres y escen…</t>
  </si>
  <si>
    <t>…para mí poniendo las razones tan poderosas que te obligaban á aplazar y la hubiera sacado de este estado de incertidumbre. desconocida , dirigiré dos palabras. esta discusión, el Congreso se hubiera hecho cargo de ellas y Ei Sr. Ministro de la GOBERNACION; El Congreso co* No se qué inconveniente pueda haber en los partidos polí­ la hubiera aplazado. Pero á mí se ine figuraba que de manera oocerá que yo no he hecho ningún cargo á la comisión: yo he ticos , partidos necesarios en esta clase de Gobierno , en que se ninguna po…</t>
  </si>
  <si>
    <t>…ue antecede: "las tor­ la Constitución exige. Los Sres. Alvaro y Ayllon hacen varias rectificaciones. m entas lim pian la atmósfera de vapores pestilen ciales, y Señores, es muy particular mi posición: ¡ qué papel tan di­ El Sr. Ministro de la GOBERNACION dijo, que median­ á veces producen la benéfica llu via , con que se refresca el ferente ! El Sr. Lujan , á quien se le apellida del progreso, quie­ te á n&lt;&gt; haberse puesto todavía de acuerdo la comisión acerca de am biente y se fertiliza la tierra.” re que sean válidos los…</t>
  </si>
  <si>
    <t>…o oído que el Gobierno se ocupaba de un punto tan impor­ adición filantrópica del Sr. Tarancon , porque no quería que ei tante , desde luego la creía inútil. Senado recibiese un nuevo desaire sobre los que ya otras veces El Sr. Ministro de la GOBERNACION: El Gobierno, con había recibido, recomendando este asunto con ínteres al Go­ efecto, habia pensado en preparar los materiales necesarios para bierno , que si o hacer caso de recomendaciones , tenia en des­ un proyecto de ley electoral en vista de los abusos que se han…</t>
  </si>
  <si>
    <t>de la Gobernación, Despacho</t>
  </si>
  <si>
    <t>Despacho de la Gobernación</t>
  </si>
  <si>
    <t>…E OCTUBRE DE 1839. las palabras de los Sres. Ministros, y á pesar de los hechos que cho que estoy de acuerdo en esto, y en las expresiones conteni­ Antes de la sesioti se reunirán las secciones para nombrar el Sr. Secretario del Despacho de la Gobernación ha indicado. das en el convenio de V ergara, que dice asi: (leyó. ) Se dice que el tratado de Vergara ha sido un suceso contra Pues ahora bien, si todos estamos de acuerdo en que la pro­ labado comisión que ha de informar sobre el proyecto de ley apro­ por el Congreso a…</t>
  </si>
  <si>
    <t>…es sus respectivos asientos, el se­ celente ces bosquejo de la ciencia según el estado que enton­ tenia, trazado con suma inteligencia, con muy buen SUBASTA. ñor secretario Torres Solanot leyó un oficio del Sr. secretario del Despacho de la Gobernación , remitido con fecha 29 del juicio y con imparcialidad, y en que se aprecian en su r v O N Juan Pablo Martínez de Hervás, marques de Almenara, corriente, trasladando el del Sr. Presidente del Consejo de M i­ justo valor las doctrinas de los primeros maestros de la intenden…</t>
  </si>
  <si>
    <t>de la Gobernación, Ministro</t>
  </si>
  <si>
    <t>Ministro de la Gobernación</t>
  </si>
  <si>
    <t>…obre el criadero de car­ rin resuelva el Gobierno ó las Cortes, Por lo cual se queja la Otra id. en sierra Gador , Colorado?, término Presidio, San bón mineral de la Tejera , situado en el cerro de Santofinne, diputación del Sr. Ministro de la Gobernación por haber in ­ V icg o t^ por Ju an L lu c , ep 9. al este de la Concesión del A g u il a , términos de Lugo y V illar- fringido abiertamente la citada ley de las Cortes generales y Otra, ild* en sierra id ., loma del Sueno , termino de L&amp;.ujar, debeyo, en el concejo de…</t>
  </si>
  <si>
    <t>…ina Regente; á S. M. el Pasó á la comisión de Actas las de algunos distritos de la Benito de Castro, síndico primero.—Eduardo Santos, síndico üey de los franceses, y á S. M. la Reina de Inglaterra , cuyo Coruña que remitía el Sr. Ministro de la Gobernación. aegundo.irP. I. D . S.=Francisco R ip am o n tty , S. I. ‘xcelente espíritu y buenos oficios han contribuido eficazmente Igualmente pasó un oficio del Sr. Jimeoez (D , D .), en que í la salud de España y á su situación actual.” decia que habiendo sido electo D iputado po…</t>
  </si>
  <si>
    <t>…ter­ trimonio ínterin resuelva el Gobierno ó las Cortes. Por lo cual se pues como yo he creido que estábamos en el caso, por el ar­ venido, sino dirigido las elecciones; y aludiéndose en esto indu­ se queja la diputación del Sr. Ministro de la Gobernación por tículo 56, de aprobar la admisión del cuarto suplente. dablemente al Gobierno, y siendo yo el Ministro de la Gober­ haber infringido abiertamente la citada ley de las Cortes gene­ Hay mas, señores: este art. 36 que se refiere al 4*° ¿le te nación, parece que debo man…</t>
  </si>
  <si>
    <t>…a urbana y rural. llen y G ras, esto es, que los pueblos se declararon libres de este maba. 2.° Sobre las obras de utilidad pública que tengan obliga­ impuesto. Ya he contestado que no son los pueblos los que de­ Yo daré al Sr. Ministro de la Gobernación una copia de ción ó facultad de costear los fondos del común. ben declararse libres de estas obligaciones, sino la autoridad de todo lo que hay sobre el particular, y espero que tomará una 3.° Sobre las mejoras materiales de que sea susceptible el la provincia que es á q…</t>
  </si>
  <si>
    <t>…no son muchos los casos para atender á la guerra. ha hecho el Sr. Saatillan de la cruz de Carlos m . f en que se muere defendiendo el orden público y las leyes. La tercera ley ha sido sobre la organización de la caja de El Sr. Ministro de la Gobernación, comunica al Congreso El Sr. OVEJERO: No he impugnado el dictamen porque Amortización. Resulta pues que las Cortes tienen que limitarse la reelección del Sr. marques de Vallgornera Senador por Tar­ no se creyese que hacia impugnación á Jas personas ; he espe­ á los result…</t>
  </si>
  <si>
    <t>…s mismos títulos, ellos solamente y no otros de­ nominal por 58 señores que se hallaban presentes. Sr. Arguelles au n q u e involuntariam ente llevó la cues­ bían reemplazarla. Esta disposición 110 ha producido queja al­ El Sr. Ministro de la Gobernación comunica al Congreso tión á ese terreno árido y escabroso, y fue necesario se­ guna de parte de los censatarios; pero ha sucedido lo contrario que el gefe político de Orense había publicado la resolución del</t>
  </si>
  <si>
    <t>…iento natural. Hija. Ana Valderrama, natural de Algeciras, y de estado viuda, Se mandaron pasar á la comisión de Actas: NOTICIAS NACIONALES. falleció en la ciudad de San Roque en el segundo trimestre de Una comunicación del Sr. Ministro de la Gobernación, m a­ este año , á los ciento cumplidos de su edad. De su matrimonio nifestando que S. M. se ha dignado admitir la renuncia que Cádiz 28 de Setiembre* tuvo cinco hijos, cuatro varones, que han muerto, y una hem­ del cargo de Senador por Almería hace el Sr. D. Diego de b…</t>
  </si>
  <si>
    <t>…labra. Se dió cuenta , y el Congreso quedó enterado, de una co­ Salvador Ramos, Mateo de Mesa y Pedro A lm agro, ná­ frales y vecinos de esta ciudad , en 29 de Agosto último han D E L P R I N ERTAOC I P E . municación del Sr. Ministro de la Gobernación, participando •egistrado un criadero de plomo, que han descubierto en Sierra .La Berlina del Emigrado, m e l o d r a m a en que S. M. se habia servido señalar la hora de la una de la tar­ úanca, de este térm ino, pecho del R om eral, al sol saliente y e i n c No a c t o s…</t>
  </si>
  <si>
    <t>…ino que aun buscan con ansia cualquier secuencia que el Congreso decrete lo conveniente para que esta ra que asi este dará su voto al artículo. tenga efecto. aprendiz que con el buril y el lápiz trasmita su fama á la pos­ Al Sr. Ministro de la Gobernación compete conocer la jus­ Varios Sres. Diputados pidieron que se votara por partes t erid ad , hay en cambio otros á quienes desagrada esto alta­ ticia de la queja que se hace contra la diputación provincial el a r tíc u lo , y se decidió que por 67 señores sentados contra…</t>
  </si>
  <si>
    <t>…se dice que las diputaciones El Sr. A R G U E L L E S , rectificando varias equivocaciones, El Sr. LA C O ST A dijo que en el año 22 concedieron las provinciales propongan medios para que esta ley tenga cum pli­ dijo: Que el Sr. Ministro de la Gobernación habia reconocido Cortes igual gracia que la de que se trata á los m ilitares que en do efecto, es lo mismo que proponer la formación de 2500 ex- que consideraba como propiedad de los pueblos sus bienes pro­ aquella época defendieron la causa de la p a tria , adjudicándol…</t>
  </si>
  <si>
    <t>…Se suspende esta discusión. pez, se venden las fincas siguieutes: Un lagar nombrado de L i­ Se leen varios documentos sobre las elecciones de Avila que nares, al partido de Campanillas, término de la villa de A l­ remite el Sr. Ministro de la Gobernación, y que pidió el Con­ mejía , provincia de M á la g a , retasado en 153,520 r s ., y se L A ESPAÑA MARÍTIMA. greso á solicitud del Sr. conde de las Navas. halla afecto á cinco capitales de censos importantes 9,584 rs» El Sr. conde de las N A Y A S manifiesta que no son eso…</t>
  </si>
  <si>
    <t>…iles, pues co­ yor ridiculez era mauteuerse en incertidumbre ; y que respecto han hecho proposiciones para que tas Cortes se ocupen en dar mo ha dicho muy bien el Sr. Infante, ponen en ridículo á los á lo manifestado por el Sr. Ministro de la Gobernación sobre preferencia á algunos asuntos. Pero hay que ver, señores, que que las aprueban , porque el Congreso acuerda hoy que se dé que el Gobierno podia presentar un proyecto mas importante, tanto en el reglamento de entonces como eu el de ahora están preferencia á un asu…</t>
  </si>
  <si>
    <t>…s, y 298 olivos me­ tasada en 34O rs. GUIA DE FORASTEROS. dianos, tasado en 87,284 Una era , parte de ella empedrada, su cabida 6 celemines, Otra titulada la M ediana, su cabida 11 fanegas y 9 valuada en 450 rs. De orden del Sr. Ministro de la Gobernación se pre­ celemines, con 2,252 cepas vivas y 255 marras, tasada en viene á las corporaciones, establecimientos dependientes 14,594 rs. Fincas en Rejas y su término* de su m inisterio, cuyos gefes y demas empleados de Real Otra denominada la Chopea; su cabida 5 fanegas y 5…</t>
  </si>
  <si>
    <t>…consumido inútilmente. creo que en esto convendrá conmigo el Sr. L arram endi, y en al Ministerio , hemos tenido que ir á él sacrificando nuestros Que se celebró un convenio coi&gt; Portugal para llevar á caso necesario apelo al Sr. Ministro de la Gobernación, que, intereses en favor de esas provincias. Yoy ahora á entraren L Oporto los frutos españoles, y se proyectó construir un cami­ como de aquella provincia, sabe bien lo que hay en el parti­ alusión personal, y manifestaré la historia de los Sres. D ip u ­ no al efecto des…</t>
  </si>
  <si>
    <t>…los estados de guerra y de sitio de provincia de Santander siempre habían hallado favorable aco­ El Sr. PR E SID EN T E: Se suspende esta discusión. Habien­ algunas provincias, sin que de ellas haya resultado hasta gida en el Sr. Ministro de la Gobernación, por lo que espera­ do asuntos pendientes en las secciones, se va á preguntar al ahora bien n ing uno para el pais, sino antes bien grandes ban que se diese curso á sus reclamaciones, y que de no ser asi Congreso si se reunirán e.tas al concluir la sesión. escándalos y mal…</t>
  </si>
  <si>
    <t>…nsamiento, for­ p arlam en taria, le contestó de un modo satisfactorio. Se d irigió la de hacer libre la navegación de los rios, que naciendo en Es­ muló un proyecto de ley ap o yán do le; le presentó á las Cortes; después al Sr. Ministro de la Gobernación , y le aconsejó á que p a ñ a , desaguan en el Océano en Portugal. Solo diré que el la comisión que se nombró informó pronto y favorablemente; fuese f u e r te , porque S. S. quiere un ministerio fuerte. mismo usurpador D. M igu e l celebró un tratado con España pero el pa…</t>
  </si>
  <si>
    <t>…el sobré el particular. Las hizo en efecto S. S. sobre el documento que han tenido los cantantes españoles que la han ejecutado para término de 24 horas se le interrogará y dirá la causa por qué de que habia hecho mención el Sr. Ministro de la Gobernación, estudiarla, y dos dias la orquesta, saliese tan cabal como está detenido:” esto decían los legisladores de aquella época; cuando se estrenó en el mismo coliseo de la Cruz por la Com­ lamentándose ademas de las persecuciones que habían sufrido hombres que no estaban cont…</t>
  </si>
  <si>
    <t>…, cansado, sufrido, que se va desplo­ Igualmente pasó alas secciones un proyecto de ley que leyó ia diputar on provincial de Barcelona, reclamando la nulidad mando , en fin chochez-, ¿ y esta es de muchachos? N o , es de el Sr. Ministro de la Gobernación relativo á estados excepcio­ de las el e c c i one s de aquella provincia. los que se- van marchauüw ya; asi pues, yo ruego que se en­ nales. fuero?» ¿probados sin ninguna discusión los dictámenes de miende eso. Juró y tomó asiento en el Congreso el Sr. Campuzaoo. la mi…</t>
  </si>
  <si>
    <t>…de letras , á 6 por 100 al año. ma. Se dice que su viaje ha sido motivado por la presencia del intante D. bebastiao en la primera de aquellas ciudades. {Id.) GUIA DE FORASTEROS. TEATROS. NOTICIAS NACIONALES. De orden del Sr. Ministro de la Gobernación se pre­ Vinaroz 7 de Noviembre. viene á las corporaciones, establecimientos dependientes ^ PR IN C IPE . A las sietedela noche. Después de una brillante de su ministerio, cuyos gefes y demas empleados de Real sinfonía, de m se dará la 26.a representación de la comedia…</t>
  </si>
  <si>
    <t>…iembre. negocios de S. M. la Reina nuestra Señora. Diferida , líf . A l brigadier Z urbano se h an presentado 14 facciosos y u n Lo que traslado á V. S. de Real orden, comunicada Tres por 100 portugués, 25y. por el expresado Sr. Ministro de la Gobernación, para su conocimiento y efectos correspondientes. Dios guarde á (1) Se lee en el Correo in g le s: V. S. muchos años. Madrid 12 de Diciembre de 1839.= Despacho telegráfico. El subsecretario Juan Felipe Martínez. = S r. gefe políti­ El Príncipe L uis N apoleón, que habitaba…</t>
  </si>
  <si>
    <t>…que se hizo en las sesiones anteriores sobre que Verificada su lectura, el Senado lo halló conforme. tas las varias adiciones que se han pasado á su examen por por el ministerio de Gobernación se asignaban cantidades para Ei Sr. Ministro de la Gobernación ocupó eo seguida la tri­ acuerdo del Senado, y teniendo ademas en consideración algu­ sostener periódicos* dice S. S. que lo rechaza solemnemente, buna , y leyó un proyecto de ley orgánica de sanidad, que se nas observaciones hechas en el progreso de la discusión, tiene…</t>
  </si>
  <si>
    <t>…dia ser alta­ El Sr. PRESID E N TE : Se suspende por un momento esta mente injusta esta calificación comprendiendo , como compren­ vincia de Málaga , ya aprobadas, con motivo de la gestión he­ discusión. Tiene la palabra el Sr. Ministro de la Gobernación d í a , apersonas m uy beneméritas que acaso en eso mismo, que cha por el Sr. D . Antonio de los Rios, Diputado electo por para hacer una comunicación al Senado. según los autores de la proposición parecía un delito , habían aquella provincia , solicitando ser admitido e…</t>
  </si>
  <si>
    <t>…M. Asi lo repiten ahora los em­ :ho ministerio al Sr. Ministro de la Guerra. úo con todos los países extrangeros. A q u i, señores, se encuen- pleados de esta gefatura política. Felicitamos á V. M. por la Asimismo de otro del Sr. Ministro de la Gobernación, en ra una disposición que pone á aquellos habitantes en una po- coiisolidacion del trono y de las libertades patrias, por la paz que remitía la colección de circulares expedidas por su minis­ icion ventajosísima á todas las restantes del reino. El art. 6.° que ya vemos ce…</t>
  </si>
  <si>
    <t>….a representación de la comedia nueva res cuadros de atrocidades gratuitas; pues las de Abenjuc de magia, en cuatro actos, en prosa y verso, que lleva por están suficientemente fundadas en la venganza del honor De orden del Sr. Ministro de la Gobernación se pre­ título y en la barbarie del fanatismo. Tampoco nos ha afligido viene á las corporaciones, establecimientos dependientes LA REDOM A EN CA NTAD A. con el espectáculo degradante del hombre moral, vencido de su ministerio, cuyos gefes y demas empleados de Real siemp…</t>
  </si>
  <si>
    <t>…mejorar estos establecimien­ sin distraer mas la atención del Congreso, yo concluyo rogan­ qué no se haya celebrado con festejos públicos las noticias sa­ tos, poniéndolos al nivel de los que existen en las naciones mas do al Sr. Ministro de la Gobernación, que ínterin no puedan tisfactorias del Norte , rebosando en júbilo todos sus habitantes adelantadas. construirse edificios á propósito para este objeto , provea por por la próxima paz. El Sr. O L O Z A G A : Señores, yo renunciaría la palabra des­ medios artificiales, po…</t>
  </si>
  <si>
    <t>…lo yo de la circular que ha citado S. S : á la que yo he hecho en el pueblo donde no h a y a una compañía de M ilic ia nacional este es un asunto que está juzgado y a en las Cortes: no se pu&lt; - | referencia es á la orden del Sr. Ministro de la Gobernación pa~ no esten armados sus in d ivid u o s: que precisamente en los pue­ de hacer cargo de ello al Gobierno: las Cortes al examinar es e ra que dos horas antes de la expedición de un periódico se iie- blos pequeños es donde mas se necesitan las arm as para defen­ negocio c…</t>
  </si>
  <si>
    <t>…«stam- Su autor D. Juan Eugenio Hartzembusch. pas en negro, á 5 rs. en rústica. GUIA DE FORASTEROS. Iluminadas, á Ó id. Número 4 0 Descripción de varias carretillas. Id. de uti car­ CRUZ. Hoy no hay función. De orden del Sr. Ministro de la Gobernación se p re­ cilla. Untrasportar ro para cuaderno tierra. Id. de una máquina para hacer tren­ cou siete láminas á 14 rs. en rústica. viene á las corporaciones, establecimientos dependientes de su ministerio, cuyos yefes y demas empleados de Real Descripción geog nóstica de…</t>
  </si>
  <si>
    <t>…ía de Nieva, desde 4 de Mayo de Í 8 I 4 hasta 51 de Diciem­ GUIA DE FORASTEROS. ne los artículos siguientes: bre de 1852. Son 18 tomos en 4.0 á 4 OO rs. eu rústica , y 484 Luis Ariosto, biografía. pasta común. De orden del Sr. Ministro de la Gobernación se pre­ Cosme de Médicis, conclusión. Esta colección está dividida por años, en cada uno de los viene á las corporaciones, establecimientos dependientes Hombres artificiales. cuales se publica un tomo que comprende todas las Reales ór­ de su ministerio, cuyos gefes y dem…</t>
  </si>
  <si>
    <t>…ien pudiera ser Se leyó la petición núm. 27 que D. Manuel T o m as, p ro ­ El Sr. G O N Z A L E Z A L O N S O dice que está en su lugar pietario del pueblo de S. Gervasio del Llano de Barcelona , y quépase esta exposición al Sr. Ministro de la Gobernación; pero cierto lo que acababa de manifestar el Sr. Cortina, la comisión capitán no podia extenderse á mas en su dictámen porque no aparecía comandante de su única compañía de la Milicia nacio­ que debe pasar también ¿T Sr. Ministro de Gracia y Justicia. nal , dirigía justif…</t>
  </si>
  <si>
    <t>…en en el juzgado dichas unidas de la misma, cuando resultó el alcance, é ignorándose láminas con calidad de devolución , con objeto de practicar cier­ la residencia de dicha viuda Doña Elena San Martin y here­ De ó rden del Sr. Ministro de la Gobernación se pre­ tas diligencias en causa criminal que se sigue en el mismo so­ deros, se les cita en forma, para que en el término de 50 dias viene á las corporaciones, establecimientos dependientes dos falsificación bre de varios créditos contra el Estado; apercibi­ se presente…</t>
  </si>
  <si>
    <t>…l rig o r de la estación puede im p e d ir a v a o z a r á lista electoral el que justifique tener 500 rs. vn. de renta propia l u s t r o s v a lie n te s , g u a r d a n sus l ín e a s , replegándose en el mo­ De orden del Sr. Ministro de la Gobernación se pre­ y p a g a r 2 3 de a rr e n d a m ie n t o ; y asi en los demas casos. mento que ven a l g ú n m o vim ien to ofensivo para no em p eñ ar Lo que se a n u n cia al público para su in te lig e n c ia , en la de ita q u e a lgu n o . viene á las corporaciones, estab…</t>
  </si>
  <si>
    <t>…que GUIA DE FORASTEROS. que tanta aceptación mereció, y que hace tiempo no se ejecuta mejor pudieran llamarse caricaturas. Nosotros no lo cree­ nominada mos asi, y tenemos á Cañizares por calderoniano puro. Su De orden del Sr. Ministro de la Gobernación se pre­ LOS GUANTES AMARILLOS. Dom ine Lucas, su D. Lain de los Hechizos de am or, su viene á las corporaciones, establecimientos dependientes D. Lorenzo del M as bobo sabe mas no tienen sus tipos en de su ministerio, cuyos gefes y demas empleados de Real el teatro fran…</t>
  </si>
  <si>
    <t>de la Gra, D. Juan</t>
  </si>
  <si>
    <t>D. Juan de la Gra</t>
  </si>
  <si>
    <t>…del ramo de la ganadería, cuyo proyecto tuve a bien en­ mado y digno de todo crédito, cuyo ter.or es el siguiente: no pudiera apelar á los documentos que corren im pre­ cargar á la asociación general de ganaderos por mi Real Sr. D. Juan de la Gra nja.^Estim ado amigo: Hace dos ho­ sos , francés y á otros muchos del ministerio de Relaciones exteriore-. orden de 24 de Febrero último, esperando de su celo y ras fondeó en este puerto la corbeta de guerra inglesa Satélite Un , ga haber ha pedido la indemnización de las pérdida…</t>
  </si>
  <si>
    <t>de la Granja, Santiago</t>
  </si>
  <si>
    <t>Santiago de la Granja</t>
  </si>
  <si>
    <t>…a ayudará á esta clarificación; y&lt; el Sr. D. Miguel María Duran por la escribanía del número de cuando esta esta comph-tada, se echa sobre los panes bar­ Por la dirección general de Caminos se ha acordado arren­ la misma de D. Santiago de la Granja , apercibidas que pasado ro de p ija diluido en agua a la consistencia de crem a, la dar en publica subasta por tiempo de tres años el portazgo del sin hacerlo las parará perjuicio. que corriendo por la superficie de los panes remueve to­ Corral de Alrnaguer con la intervenci…</t>
  </si>
  <si>
    <t>de la Guer, Despacho</t>
  </si>
  <si>
    <t>Despacho de la Guer</t>
  </si>
  <si>
    <t>…ticiones , y son aprobados sin ella los ndms. 56 y 57; en el culares que tenga , y aqui no es posible que un M inistro sea primero propone que se pase al Sr. Secretario de Estado y del un ar c h iv o , ni el mismo Secretario del Despacho de la Guer­ Despacho de la Gobernación una exposición de D. Manuel José ra sabría si h a y verdad en ese relato, ó n o , aunque yo la su­ de la P i l a , maestro de primeras letras en la ciudad de Sevilla, pongo. PARTE NO OFICIAL. que recurre al Coogreso exponiendo que la comisión de esc…</t>
  </si>
  <si>
    <t>de la Guerra, Despacho</t>
  </si>
  <si>
    <t>Despacho de la Guerra</t>
  </si>
  <si>
    <t>…e obtener que se envie inmediatamente un agente fran­ recobrar su antigua fama sino el ser pacíficamente regida por cés , y que se establezca una estación marítima en aquellos para­ Real orden que sigue: «El Sr. Secretario del Despacho de la Guerra dice con la augusta mano de Y. M ., que aun en medio de las convul­ jes. Los gefes de las principales casas de comercio de aquella esta fecha al capilan general de Galicia lo siguiente: He elsiones políticas que nos han circundado, ha sabido adquirirse ciudad han firmado la pe…</t>
  </si>
  <si>
    <t>…orden que sigue: el capitán bajá, intimando á este último que entrase en el canal; debe ir también. M M . Barlhe y M artin (del N o rte), van i pero Achmet respondió que tenia derecho de navegar sobre el «El Sr. Secretario del Despacho de la Guerra dice con Plombiere-., donde y a están M M. Mole y Montaiivet. Mr. Thier M editerráneo, y que ademas sus órdenes eran precisas. esta fecha al capitán general de Galicia lo siguiente: se encuentra en Cantcrets; Madama Duchatel en B a g n e r e s ;M r El almirante Lalande volvió…</t>
  </si>
  <si>
    <t>…y efectos consiguientes. Dios guarde á V. E. muchos años. Madrid 28 de Setiembre de P R E S ID E N C IA DEL SEÑOR CALATRAVA. Reales órdenes. 1839.=E1 subsecretario de Guerra. Sesión del dia 6 de Octubre. El Sr. Secretario del Despacho de la Guerra dice con Se abrió á las doce y media. esta fecha al de la Gobernación de la Península lo si­ Excmo. S r.: Como á pesar de lo expresamente manda­ Leida el acta de la anterior quedó aprobada. guiente : do en la Real orden de 12 de Enero de 1837 observara Se dió cuenta de varios o…</t>
  </si>
  <si>
    <t>…e la le gitim id ad , son debidos frutos tan copio­ cos 11 de Setiembre de l859.zzExcmo. Sr.=zEI duque de la Y ic - PARTE NO OFICIAL. sos y precursores de otros igualmente satisfactorios; y la d ip u ­ toria.zzSr. Secretario del Despacho de la Guerra. tación de esta p ro v in cia, intérprete de los sentimientos de sus fieles habitantes, llena el deber mas grato á los suyos ofreciendo á V. M. los de su eterno agradecim iento, dándose cumplido pa­ CORTES. rabién al felicitar á V. M. por desenlaces tan honrosos y extraor­ Capi…</t>
  </si>
  <si>
    <t>…providencia del Sr. intendente subdelegado de Rentas de Pastoral del obispo de Avila á 5 rs. Por Real orden que roe ha sido comunicada esta provincia se cita y emplaza á cualquiera persona que sepa lentísimo Sr. Secretario del Despacho de la Guerra con esta por el Exce­ Todos tres se encuentran en dichas librerías. del paradero de los créditos de la deuda del Estado, que se di­ misma fecha , se ha servido S. M. resolver que desde luego se rán , para que en el preciso término de 50 dias se presente á formalice una contra…</t>
  </si>
  <si>
    <t>…a que siguiendo fir­ de Agosto de 1859 =Excrno. Sr.—El duque de la Victoria.— ñacerrada obtuvisteis ua triunfo que preparó la anarquía y la mes la senda que os ha trazado daréis la Suspirada paz, afir­ Excmo. Sr. Secretario del Despacho de la Guerra. división del potente bando rebelde. m ando el orden , consolidando nuestras instituciones y el trono Ceñido el enemigo á la defensiva , era necesario un plan de nuestra inocente Reina , que son los objetos exclusivos de bien entendido y meditado que en la presente campaña pr…</t>
  </si>
  <si>
    <t>DE LA GUERRA, EL DESPACHO</t>
  </si>
  <si>
    <t>EL DESPACHO DE LA GUERRA</t>
  </si>
  <si>
    <t>…esta providencia el auxilio necesario á la autori­ PARTE RECIBIDO EN LA SECRETARIA DE ESTADO wExcmo. S r . : Decidido el Excrno. Sr. Presidente á sacrifi­ dad m i l i t a r , 000 cuyo objeto se hacen hoy las comunicaciones Y D EL DESPACHO DE LA GUERRA. car el resto de su quebrantada salud , y aun su misma exis­ convenientes á las comandancias generales. tencia si fuere necesario, para corresponder á la confianza y Dios y libertad. M éjico Abril 8 de 1 8 5 9 . = P o r e n f e r m e ­ E l comandante general de las provinc…</t>
  </si>
  <si>
    <t>…ovincias de Ciud ad -Real y ciales , para que yo quiera separarme de e.^tos principios. A quí Toledo refiere en su parte periódico de 2 5 del actual las venta­ debe callar todo sentimiento personal, pues la Cámara y el pais Y D EL DESPACHO DE LA GUERRA. jas que desde el anterior han conseguido nuestras tropas sobre entero reclaman explicaciones dadas con toda franqueza eu ple­ los rebeldes , que en resumen son : haber muerto seis en la per­ no Parlamento. {Aplausos.) Comandancia general de los ejércitos reunidos.- Secre…</t>
  </si>
  <si>
    <t>de la Guerra, Lujan. El Sr. Ministro</t>
  </si>
  <si>
    <t>Lujan. El Sr. Ministro de la Guerra</t>
  </si>
  <si>
    <t>…rito. En esa conspira­ se han tomado las medidas necesarias, á fin de que 110 suceda á parar en que solo dicieodo que no. podía juzgarse la cuestión, ción se ha proclamado al Pretendiente D. Carlos, y la tropa lo que teme el Sr. Lujan. El Sr. Ministro de la Guerra dice la prejuzgábamos, y ese no ha sido nunca el ánimo de la co­ que estaba de guarn ició n , faltando á sus deberes, asesinó á su que se han tomado las providencias debidas, yo estoy satisfe­ m isió n , ni jamas podía serlo. gobernador , el que murió cumpliendo…</t>
  </si>
  <si>
    <t>de la Guerra, Ministro</t>
  </si>
  <si>
    <t>Ministro de la Guerra</t>
  </si>
  <si>
    <t>…ada mas reimpresiones del antiguo Chantréau , sin enmiendas ni re­ La comisión opina se tenga presente en tiempo oportuno, y dirección. formas de im p o rta n cia )so n los poderosos motivos que nos fyan se pase una copia al Sr. Ministro de la Guerra. movido á hacer desaparecer en esta cuarta edición un titulo que, £2$ á tales vicisitudes ha dado lugar ; pues ha llegado el casó de des- 1 Ndm. 48. El teniente coronel retirado D. Cayetano Mena, pachar á nuestros propios discípulos un libro por o tr o , sin que- ' en exposic…</t>
  </si>
  <si>
    <t>…ue se están dando ción en su objeto ó en su espíritu , el Sr. Valladares no debe en el distrito de Castilla la Nueva es exactamente el mismo que quedar sujeto á reelección. Para mí seria indiferente que el ha dicho S. S. El Sr. Ministro de la Guerra acaso ignorará en Congreso lo 'acordara de este ó del otro modo ; pero no puede BOLETIN DE COMERCIO. dónde está el mal. S. S. ha dicho la causa por que es menester ser para la provincia de Orense que le ha elegido cuando era que en Madrid se suministren raciones; pero también…</t>
  </si>
  <si>
    <t>…ue desde luego le dará su aproba­ 8 cubos herrados, algunos azadones, picos y Zapapicos, hacer una comunicación al Senado. ción, manifestando asi al duque de la Victoria la efusión de que recogió el cuerpo de ingenieros. El Sr. Ministro de la Guerra ocupa la tribuna, y después nuestros sentimientos. Cuartel general de Onda 15 de Agosto de 1859.^.Ei B. G. de manifestar que no lo había verificado ayer por no estar reu­ El Sr. PR E SID E N T E: El Sr. González ha entendido mal interiuo del estado mayor g e n e ra l.±Juan de…</t>
  </si>
  <si>
    <t>…de la d ip u ta ció n , tuvo el honor mentar á S. M. por tan fausto motivo como el de que ha dado ner á la.s elecciones de M ad rid ; pero quisiera que no se d e ja ­ de d ir ig ir á S. M. la alocución siguiente: cuenta el Sr. Ministro de la Guerra , ha tenido el honor de ran pendientes de una condición, porque es claro que si la w Señora : El Senado por medio de su diputación se pre e n - cumplir su encargo: S. M . la ha recibido con la mayor bene­ úrcui stancia de haber nombrado un suplente mas se reputase ta á V. M. á…</t>
  </si>
  <si>
    <t>…conviene que no cubierto y evitarle quedase expuesto á las tropelías de los ene­ prueba que no es tan fácil hallar la solución del problema , eso pierdan las Cortes su prestigio, porque disminuyéndose este, es- migos. Si el Sr. Ministro de la Guerra se toma el trabajo de prueba la gran dificultad de resolverle. Pero ademas hay otra tan á punto de perecer las instituciones que sostiene. examinar los documentos de aquella época, no podrá menos de observación muy importante , que cualquiera que haya sido e l He a q u i, señ…</t>
  </si>
  <si>
    <t>…era sección.—Circular. ¡ manifestado por V. E. en 17 de Mayo últim o al i n f irm ar siguiente: sobre una com unicación que por el m inisterio de la G u e r ­ ccEn las diligencias formadas en este juzgado sobre desapari­ El Sr. Ministro de la Guerra me dice con fecha 18 grau nsetandirigió al de mi cargo en 29 del mes an terio r p re ­ ción de Doña Tomasa Olive con su hija menor de la casa de d o si los cuerpos de la Milicia nacional tienen alg u­ su esposo D. Pedro María Delgado, habiendo resultado en las del actual lo si…</t>
  </si>
  <si>
    <t>…ara los dos estados, porque ya se ha indicado cumplimiento de su obligación.) Se dice que si hubieran de hacerse quintas; se harían en antes que este negocio tiene dos estados: tiene el que va á cau­ El Sr. C O R T IN A : El Sr. Ministro de la Guerra se hí la fórmula que tuviesen roas conveniente. ¿Y para ésto se ne­ sarse por efecto de la ley que estamos haciendo, y el que se fija equivocado. cesita que les detnos una ley? ¿ No tenemos una que coace­ en todo el proyecto para después de formado el proyecto por El Sr. M in…</t>
  </si>
  <si>
    <t>…ejército se hallaba y no íne lo achaque á mí. Pero yo soy tan imparcial, que quie­ bado el proyecto por ta3 Sres. Diputados presentes, habien­ con 19® y tantas bajas; los escuadrones sin caballos; la ar­ ro hacer justicia al Sr. Ministro de la Guerra: no corresponde al do tomado parte en ella los Sres. Caballero, R oda, Moya, tillería sin atelajes, los recursos del pais m uy agotados. En resto del ministerio las muchas satisfacciones que nos ha pro­ E eliu, Arrazola, conde de las Navas, Roldan, M. Maldona- esa disposición…</t>
  </si>
  <si>
    <t>…do en su po­ el siguiente Real decreto: {Véase el articulo de oficio.) d e r , disminuyendo los réditos en proporción á las entregas que dos; y en segundo lugar porque a u n q u e existieran, los Concluida su lectura por el Sr. Ministro de la Guerra, que verificasen hasta el total pago del capital redimido; fundándo­ atropellam ientos de u n tribunal 110 los repara el G obier­ se para ello el Gobierno en que si después del gran benéíicio manifestó desempeñar este encargo por indisposición del Señor no ni puede r ep a ra…</t>
  </si>
  <si>
    <t>…acción que les competa, El Sr. M O U R E : Sr. Presidente, tengo que hacer una in­ puesto que esta ley deberá sufrir ciertas modificaciones en el pues de lo contrario se dará á los autos formados sobre declara­ terpelación al Sr. Ministro de la Guerra con respecto á la con­ trascurso de ios tiempos por la posición mas ventajosa en que ción de heredero el curso que corresponda, parándoles entero tinuación de la prisión en la cárcel de Orense del cabecilla podemos colocarnos, retirasen e*te artículo, como que lejos de perjuici…</t>
  </si>
  <si>
    <t>…serven uni­ para que acudan á efectuar sus proposiciones, que serán ad­ Segunda sección. C- ircular. das al expediente que se haya formado, ó á los anteceden­ mitidas siendo arregladas, y ninguna después de verificado el El Sr. Ministro de la Guerra dice al de la Goberna­ tes del mismo asunto que obren en esta Secretaría del remate. Despacho. ción de la Península con fecha 29 de Enero próximo pa­ 7.a Las presentes reglas no alteran las establecidas y sado lo siguiente: Dirección general de rentas provinciales. «Deseosa S…</t>
  </si>
  <si>
    <t>…que sea preciso para subrogar el de oficio y de la discusión del proyecto de tratado. puesto al frente del ataque dirigido contra el orden, contra la común que se hubiese empleado en las tasaciones de las Tiene la palabra el Sr. Ministro de la Guerra. monarquía, y contra sus mismos principios. El Sr. M inistro, después fincas, testimonios, diligencias de rem ate, y demas consi­ exordio la conducta del M inisterio, y declarado que ha dado de haber justificado en un corto Los vemos hoy ardientes, implacables en su oposición…</t>
  </si>
  <si>
    <t>…que estamos en el año de 1 8 3 9 , y han para evitar uu mal de tanta trascendencia ; mi objeto es que cuanto esté á nuestro alcance de manifestar los remedios. trascurrido ocho años, y la única obra que ha dado concluida el Sr. Ministro de la Guerra manifieste lo que h ay sobre el par­ Empiezo por decir que no doy á esta cuestión el nombre de la empresa ha sido una parte m uy pequeña de lo que se obligó ticular , y de este modo los Sres. Diputados conocerán la cua­ cuestión política , aun cuando el hecho sea lamentable po…</t>
  </si>
  <si>
    <t>…nándola muy detenidamente. El Por el refresco para los señores que 1 1 0 . Una banqueta de terciopelo bordado, al Excmo. señor cantaron en el concierto. .......... 586 D. José de Isla, Senador por la provincia de Santander. Sr. Ministro de la Guerra iba al estribo derecho, y el se­ 577. Un cajoncito bordado de cañamazo, á la Sra. Doña ñor inspector de infantería al izquierdo. Al retirarse S. M. Por 11 varas de cotonía á 11 rs., 4 Asunción de Rodas. se colocó su carruaje junto á la inspección de milicias, y de colonia az…</t>
  </si>
  <si>
    <t>…acompañados de respeto, le M arina, nombrando para que desempeñe interinamente di- ener aduanas’ en las fronteras; es decir, el ser de libre comer- amor y entusiasmo hacia Y. M. Asi lo repiten ahora los em­ :ho ministerio al Sr. Ministro de la Guerra. úo con todos los países extrangeros. A q u i, señores, se encuen- pleados de esta gefatura política. Felicitamos á V. M. por la Asimismo de otro del Sr. Ministro de la Gobernación, en ra una disposición que pone á aquellos habitantes en una po- coiisolidacion del trono y de la…</t>
  </si>
  <si>
    <t>…parte del comandante general, y que asi tados debían estar tranquilos con las explicaciones dadas por el parece que se presenta mas naturalmente en el orden cronoló­ se entendía que aquellos electores habían renunciado á sus Sr. Ministro de la Guerra ; pues el Gobierno no habia tratado de g ico, el primer cargo que todo hombre imparcial y verdadero derechos. hacer alarde m ilitar, ni tenia motivo para hacerlo, cuando no liberal debe hacer al ministerio actual, es la posición anómala Se aprobo en seguida el dictamen&gt;, y fu…</t>
  </si>
  <si>
    <t>…os mas á sonas sino de cosas, y del Gabinete como entidad m oral; pero cualquier D ip utado? propósito para efectuar nuestra regeneración política. Las Po­ es muy cierto que después de circunscribir sus manifestaciones al Sr. Ministro de la Guerra dijo : wias personas de sus com pa- Pero añadió el Sr. López que en el citado proyecto de a y u n ­ tencias extrangeras en el dia mas ocupadas de los negocios de pañeros” ó ?tlos demás Ministros” , y esto me parece que es tamientos se marca las cargos de alcaides como de nombr…</t>
  </si>
  <si>
    <t>…; pero h a ­ Señores: ya que estoy en el uso de la palabra , me atreveré forme previene la ordenanza en la materia , debia haber acu­ bría deseado S. S. que la comisión hubiese hecho una excita­ á manifestar al Congreso y al Sr. Ministro de la Guerra que está dido al ayuntamiento y á la diputación provincial en su caso, ción al Gobierno llamando su atención sobre la paralización presente, que sin embargo de que en la provincia de Barcelona que es donde esto debe fenecer, sin ulterior recurso; y cuanto al que observa en reso…</t>
  </si>
  <si>
    <t>de la Guerra, Ovejero. Sr. Ministro</t>
  </si>
  <si>
    <t>Ovejero. Sr. Ministro de la Guerra</t>
  </si>
  <si>
    <t>…l tamen de la comisión sobre el canal de Castilla. hacerlas, me veo en la dolorosa precisión de anunciar una al que riódico á exam inarle con detenim iento y con calma : por­ Se leyó dicho dictamen, y el voto particular del Sr. Ovejero. Sr. Ministro de la Guerra sobre los sucesos que acaban de ocur­ en cosas de tan grave trascendencia, no solo es bueno Puesto á discusión dicho voto particular, dijo rir en Melilla , pues estoa, como todos los Diputados saben, y conveniente, sino tam bién necesario, que la discusión El Sr.…</t>
  </si>
  <si>
    <t>de la Gándara, Manuel</t>
  </si>
  <si>
    <t>Manuel de la Gándara</t>
  </si>
  <si>
    <t>…para no dores de Betanzos D. M anuel Rilo con su com pañía; al coman­ Por el presente, y en virtud de providencia del trib un al dejarnos sorprender, porque nodudaba serian infructuosas Guan­ dante de francos de Entrambasaguas D. Manuel de la Gándara, supremo de Ju stic ia , se cita , llama y emplaza al R. obispo de tas tentativas probaran á viva fuerza: con este motivo se d i­ que con un tercio de su partida y una compañía franca de So­ Orihuela D. Félix Herrero V alv erde, cuyo paradero se ignora, vidió el recinto en uue…</t>
  </si>
  <si>
    <t>de la GÜER.RA, Ministro</t>
  </si>
  <si>
    <t>Ministro de la GÜER.RA</t>
  </si>
  <si>
    <t>…fundamento poderoso que hemos tenido los siete firmantes á lo que previene el reglamento. birra confirmado los fueros, ¿el Gobierno, el Congreso, la n a ­ pira establecer el art. i.° por el que se conceden aquellos fueros El Sr. Ministro de la GÜER.RA: Bien, si me he equivoca­ ción hubiera dicho que se habia excedido en sus atribuciones? que caben dentro de los límites de la Constitución. do , yo dejo ésta contestación á los discursos contenidos en los No d.iré yo la contestación, pero sí suplicaré á cada uno exa­ Fijado y…</t>
  </si>
  <si>
    <t>de la Hacienda, Secretario</t>
  </si>
  <si>
    <t>Secretario de la Hacienda</t>
  </si>
  <si>
    <t>…sus órdenes no han Y DEL DESPACHO DE LA GOBERNACION DE LA PENÍNSULA. Dios guarde á V. E. muchos años. Madrid 10 de Abril de «ido cumplidas, ni sus miras auxiliadas por los gefes de 1839. = Excm o. Sr— Cenon Asuero. =E xcm o. Sr. Secretario de la Hacienda pública en las provincias, de la manera y con Dirección general de Presidios.= Excmo. Sr.: El visitador Estado y del Despacho de la Gobernación de la Península.</t>
  </si>
  <si>
    <t>de la Hera, José Santos</t>
  </si>
  <si>
    <t>José Santos de la Hera</t>
  </si>
  <si>
    <t>…de Ministros, ñon.zzEI síndico se g u n d o , Domingo Castiñeiras.—P. A . D. A . , he tenido á bien nombrar Senador por la provincia de To­ EXPOSICIONES A S. M. LA R E IN A GOBERNADORA. V ic e n t e R i o , secretario. ledo á D. José Santos de la Hera , en reemplazo de D. Dio­ nisio Capaz. Tendréislo entendido y lo comunicareis ¿quien S e ñ o ra: E l vice-recto r y claustro de la universidad l i t e ­ corresponda para los efectos convenientes á su cum plí- raria de Toledo felicitan a Y . M . con jú b ilo in ex p lica ble Se…</t>
  </si>
  <si>
    <t>de la Huerta, Gutiérrez</t>
  </si>
  <si>
    <t>Gutiérrez de la Huerta</t>
  </si>
  <si>
    <t>…i­ Hectárea=27 fanegas de Madrid. 100 areas. ORDENES Y REGLAMENTOS DEL GOBIERNO cados. M edidas p a r a só lid o s . 4.a Causa de conspiración. Y DE L A S DIRECCIONES Y A U T O R ID A D E S SUPERIORES. 5 a Informe fLcal del Sr. Gutiérrez de la Huerta sobre el Decisterio................................... ..................... de metro cúbico. modo de proceder en las causas criminales de los delitos atroces Esterio, medida usual.............................. 1 metro cúbico. E n t r e g a d e JUNIO d e 1839. de los eclesiást…</t>
  </si>
  <si>
    <t>de la Ju, Santos</t>
  </si>
  <si>
    <t>Santos de la Ju</t>
  </si>
  <si>
    <t>…OVIDENCIAS JUDICIALES. fuera contrastada con la solidez de las alas que proyectan que componen dichas audiencias. (íd.) á los dos lados. Tan rico , casto y bien trazado está el to­ Re*! decreto uombrando Senador por Toledo á D. Santos de la Ju zgado d e am ortización . do, y tan sorprendente a la vista en toda su extensión, H era. (N úm . 1805.) que no puede uno .dejar de ad m irar la Pinacoteca como C ircu lar expedida por el m inisterio de la G uerra declarando T )O R providencia del Sr. intendente de rentas de esta p…</t>
  </si>
  <si>
    <t>de la Lama, Agustín</t>
  </si>
  <si>
    <t>Agustín de la Lama</t>
  </si>
  <si>
    <t>…spectivo á la cuarta, que Que en cuanto á coacción, estaba probada con eí hecho que uan Escribano: D . Joaquín Rubio: D. José María Ruiz de dice asi confesó el Sr. Benavides en el dia eo que se trató de e^e nego­ *U á L rcz: D. Agustín de la Lama. (E l Tiempo.) 4*a v Los proyectos de ley que traen su origen del Gobier­ cio , de haber entrado fuerza arcada eu el distrito de Palmad y</t>
  </si>
  <si>
    <t>de la Lama, Justo</t>
  </si>
  <si>
    <t>Justo de la Lama</t>
  </si>
  <si>
    <t>…comiúon de comandante militar de Potes, que el benemérito sargento de son de un Ínteres mucho mas del momento. Esta es la razón por averiguación, encargada de informar sobre el estado de Irlanda, Nacionales de aquella villa D. Justo de la Lama ha aprehen­ qué el ejército ruso del Mediodía emprenderá la campaña á la no habia sido invitada por el ministerio á remontarse á una dido en aquellos dias ocho facciosos ó ladrones de los que re­ primera seña!; pues la guerra con los circasianos no puede h a ­ época anterior á la a…</t>
  </si>
  <si>
    <t>de la Lastra, José Lean</t>
  </si>
  <si>
    <t>José Lean de la Lastra</t>
  </si>
  <si>
    <t>…nda de 11, que respondieron foriua'idade'. que la misma previene, tocó á los sugetos si- nos da de su confianza y de adhesión hácia n o s , y no podemos igualmente de un modo satisfactorio hasta el Ave M aría. E n ­ guíente'.: D. José Lean de la Lastra , D. Marcelino Collado, menos de responder á ella de un modo seguro sino velando cons­ tre estas niñas hay 17 que estudian el catecismo de F l e u r y , y i). R uno González Pedroso , D. M ariano Lorente, D. Carlos tantemente eu cuanto interese al bienestar de la c iu d a d ,…</t>
  </si>
  <si>
    <t>de la Lla, Santiago López</t>
  </si>
  <si>
    <t>Santiago López de la Lla</t>
  </si>
  <si>
    <t>…uno de sus mismos gefes lla­ , y esta dará su dictáinen. mado D. A ntonio Morales. El Sr. M A D O Z: Me alegro mucho que se haya puesto en Señora: El gefe político, secretario y demas empleados Y finalmente, que el capitán- D. Santiago López de la Lla­ armonía el Sr. Quinto con mis deseos, porque en un principio dependientes dt?l ministerio de la Gobernación de la Penínsu­ ve batió á los cabecillas Chaves y Pinchorras que se habían estaba opuesto á las doctrinas de S. S. Tengo á la vista el artí­ la en la provincia de A v…</t>
  </si>
  <si>
    <t>de la Llave, López</t>
  </si>
  <si>
    <t>López de la Llave</t>
  </si>
  <si>
    <t>…añana alcan­ artesanos sobre los límites de sus respectivas artes, y cuidó de D . Santiago romper las trabas que Jas encadenaban: aunque no prohibió ex­ reunida de Chaves el cerro del Guijo y garganta de las Torres el capitán López de la Llave con su columna á la facción REALES DECRETOS, presamente las corporaciones gremiales, las debilitó , disminu­ caballería á pesar dely vivo M orales, la que fue acuchillada por la fuego que aquella les hacia , el que ORDENES Y R EG LAM EN TO S D E L G O B IE R N O yendo su importa…</t>
  </si>
  <si>
    <t>de la los, Sánchez</t>
  </si>
  <si>
    <t>Sánchez de la los</t>
  </si>
  <si>
    <t>…en el pais. La disciplina del ejército constitucio­ dicción. nentes de su noble iostituto; gracias á la bravura y pericia de nal continúa siendo ejemplar, y presenta un cuadro muy no­ Apoyado brevemente este proyecto por el Sr. Sánchez de la los caudillos que los condujeron al combate para la victoria; table comparado con los excesos que cometen los navarros que F uente, se tomó en consideración, y pasó á las secciones. gracias en fin , al tino exquisito con que el vencedor de Lucha- aun no se han sometido. Ultimamente s…</t>
  </si>
  <si>
    <t>de la Mancha, Qaixote</t>
  </si>
  <si>
    <t>Qaixote de la Mancha</t>
  </si>
  <si>
    <t>…ndo, 00. que neste seculo tero apparecido na Península. Nella parece ter revivido com igu al louqania , e superior vantagem ó grande dependencia con que está escrita , y las dos litografías que la CAMBIOS. genio do author do D. Qaixote de la Mancha , ó i inmortal Cer­ ado rnan, ejecutadas por el distinguido artista D. Antonio Gó­ vantes. Esta dirige-se a patentear, re fu ta r , e convencer c lara­ mez , la hacen ocupar el rango de una de las obras de roas Londres, á 90 dias, 38| papel. Coruña, 1 d. mente os erros da falsa…</t>
  </si>
  <si>
    <t>de la Mancha, Quijote</t>
  </si>
  <si>
    <t>Quijote de la Mancha</t>
  </si>
  <si>
    <t>…e Jesús. Cuatro tomos en 8 0 mayor , adornados con sie­ morosa portada y 59 láminas, á 59 rs. en pasta común. compuestas de las siguientes: te estampas con las que sirven de portadas. En estos cuatro to­ El ingenioso hidalgo D. Quijote de la Mancha ocupa los mos se comprenden A esta edición , que es sumamente elegante y correcta, están cuatro primeros, y tienen 24 estampas con el retrato del autor. pro y en cootra de también varias piezas que se escribieron en unidas las vidas de ambos autores. Las novelas serias y jocos…</t>
  </si>
  <si>
    <t>de la Mancha, Quixote</t>
  </si>
  <si>
    <t>Quixote de la Mancha</t>
  </si>
  <si>
    <t>…aestro Ros- incidentes e assaz instructivo. Oxalá que a nossa litteratura gles por Conyers M iddleton, y traducida al castellano por el sini, á completa orquesta , exornada con una magnífica deco­ gozasse de una traducgao de D. Quixote de la Mancha tao a Excmo. Sr. D. José Nicolás de Azara, segunda edición año ración de país nevado, con claro de luna. p a rd a lougania do estilo de Cervantes, como disfruta a do de 1804* Cuatro tomos en 4*°&gt; adornados de estampas, á 154 2.° Introducción en la ópera Elena é M alvina , del…</t>
  </si>
  <si>
    <t>de la Marcela, Amadeo</t>
  </si>
  <si>
    <t>Amadeo de la Marcela</t>
  </si>
  <si>
    <t>…óciles y h a­ én el tercero en discordia , arrancando anteriormente infinitos mos y otros individuos de la fam ilia que actualmente mas bien bituados á la palabra del h o n o r, supieron escucharme siempre aplausos eo el de D. Amadeo de la Marcela , que no estaba en son para ella un gravámen que un alivio. De todos modos , el que les hablé. su cuerda. Infinitas personas presagiaban que no hubiese teni­ cultivo de la seda es asunto de mucha importancia para los do un éxito feliz en la ejecución de aquel papel, según le…</t>
  </si>
  <si>
    <t>de la Maza, Francisco</t>
  </si>
  <si>
    <t>Francisco de la Maza</t>
  </si>
  <si>
    <t>…rincipio del siglo xvr, en que se publicó por pri­ M iJa, gobernador del castillo de Porto-Petro en Mallorca: Se halla á 3 rs. tanto en rama como en rústica en el mera vez esta obra de orden y á expensas del célebre cardenal D. Francisco de la Maza, capitán de caballería en espectacion Cisneros, fue mirada y ha sido constantemente reputada por ¿re tiro : D. Niceto M oñiao, teniente de infantería ilimitado: despacho de dicha Imprenta. clásica en su ramo, y con justa razón, por cuanto Herrera no í&gt;. Francisco Segura, subte…</t>
  </si>
  <si>
    <t>de la Maza, Manuel Sainz</t>
  </si>
  <si>
    <t>Manuel Sainz de la Maza</t>
  </si>
  <si>
    <t>…r en un amaneramiento m on óton o, cu yo correctivo solo po­ sobre nosotros la claridad de la cien cia, clavó en nuestro día encontrarse en la consunción del sistema de escuela , Ildefonso del Barrio, por 42531 rs. y 22 mrs.: D. Manuel Sainz de la Maza, por 50 rs.: D. Juan Pedro de Ocejo, corazón la espina dei desconsuelo. Para mitigarlo y con ­ y en la destrucción de aquel refinado sensualismo. El es­ por 950: D. Pedro Camacho, por 1760: los herederos de Don solarnos en nuestro abandono, hicim os á la criatura ídolo mer…</t>
  </si>
  <si>
    <t>de la Merced, María</t>
  </si>
  <si>
    <t>María de la Merced</t>
  </si>
  <si>
    <t>…IDAL contesta diciendo que si el Sr. Infante hu­ terminen las leyes. mas condiciones que en el artículo anterior se expresan. biera leído con atención el preámbulo, hubiera visto ¿que'Ja co­ Art. 5.° Seconcede igualmente á Doña María de la Merced misión se ha propuesto dos objetos: i.° honrar la memoria de do: Después de hacer otras varias aclaraciones, continúa, dicien-* Albear, viuda del brigadier D. Juan Sanjust, comandante ge­ los que han muerto defendiendo el orden y, las leyes, y 2.° re­ caciones ; peroqueinsisto Y…</t>
  </si>
  <si>
    <t>de la Moreoa, Luis</t>
  </si>
  <si>
    <t>Luis de la Moreoa</t>
  </si>
  <si>
    <t>…es­ ra producir los de una descripción los medios aplicados por Mr. Daguerre pa­ admirables efectos del diorama ; y^ por último, en xinco attps, que tantos aplausos ha merecido en todas ana cribanía de número de la misma de D. Luis de la Moreoa , á seis láminas explicativas. ^ representaciones, titulado . evacuar el traslado que les está conferido por providencia de Un tomo en 8.° m ayor, precio 10 rs. Se vendé en las libre­ dicho señor juez á instancia del referido Viilamit sobre alza­ de Cuesta, frente á las gradas de…</t>
  </si>
  <si>
    <t>de la Orden, Teresa Romeroso y María</t>
  </si>
  <si>
    <t>Teresa Romeroso y María de la Orden</t>
  </si>
  <si>
    <t>…la m e­ y término de nueve dias á D. Fernando Iglesias, D. Andrés bar que en los debates había sido el agresor Pió vn. Hé moria en él bolsillo, buscó con la vísta al hombre que le Gutiérrez, D. Manuel D. Manuel Domioguez, Doña Teresa Romeroso y María de la Orden para que comparezcan én la es­ aqui algunos fragmentos de aquellas: «El Papa permane­ enseñaba tan bien que la autoridad de un Soberano no cerá siendo obispo de Kqma y cabeza de la Iglesia.—Si en se extiende mas allá de sus fronteras, y le miró con mal cribanía…</t>
  </si>
  <si>
    <t>de la Pe, Despacho de la Gobernación</t>
  </si>
  <si>
    <t>Despacho de la Gobernación de la Pe</t>
  </si>
  <si>
    <t>…la de los siete. El Sr. Secretario Ondovilla ocupó la tribuna , y leyó un ofi­ sado este período se renovará por mitad cada dos años, nom­ Los Sres. M inistros de la Gobernación y de Gracia y J u s ­ cio del Sr. Secretario del Despacho de la Gobernación de la Pe­ ticia entraron en el salón y ocuparon sus respectivos asientos. brándose por la jun ta general anual á p luralidad absoluta de n ín s u la , acompañando ejemplares del discurso leiao por S. M . votos, y por votación secreta, con facultad de reelegir. En Llamados…</t>
  </si>
  <si>
    <t>…ncia de A v ila , en la cu al El Congreso quedó enterado de varios decretos remitidos observaba la comisión que se decía vaga é indeterminadamente trangeros.0 ^ P°MÍ °Peraciones SQbre demas fondos ex - por el Sr. Secretario del Despacho de la Gobernación de la Pe­ que se habia anulado é invalidado una porción de votos sin que n ín su la, expedidos en el raes anterior, relativos al nombra­ constase la razou de n u lid ad , y para que en m ateria tan g ra­ miento de Senadores por varias provincias. ve no se procediese en c…</t>
  </si>
  <si>
    <t>…alidad les obligase á dejar sus Por el ministerio de la Guerra se dice con esta fecha al ligencia de la junta y demas fines convenientes. Dios guar­ puestos á hombres de principios exagerados eu el momento e» S f. Secretario del Despacho de la Gobernación de la Pe­ de á V. S. muchos años. Madrid 13 de Diciembre de que brilla la aurora de la paz que tanto se hizo esperar. nínsula lo que sigue: í839.c=ÍVIoiues de Oca.=Sr. Secretario de la junta de A l­ E! ayuntamiento ruega humildemente á Y. M. se digne lie dado cuenta á la…</t>
  </si>
  <si>
    <t>de la Pe, José María Gutiérrez</t>
  </si>
  <si>
    <t>José María Gutiérrez de la Pe</t>
  </si>
  <si>
    <t>…erra A lham illa, tér­ sucesos mas notables, sumamente necesario para metodizar el ^ caballeros grandes cruces de la referida orden, trabajado mino de Viator, La Confianza, á D. Manuel Pagan , en 6. estudio de la historia, por D. José María Gutiérrez de la Pe­ con el mejor gusto y brillantez, siendo de notar que no se ha Otra id. en el cerro de las Mmillas , término de E nix, Santa ña, y un escrito clásico del Sr. conde de Floridablanca á Don estrenado. Calle de S. A n tó n , núm. 9 , cuarto segundo interior Teresa , á Nico…</t>
  </si>
  <si>
    <t>de la Pe, Ministro de la Gobernación</t>
  </si>
  <si>
    <t>Ministro de la Gobernación de la Pe</t>
  </si>
  <si>
    <t>…el ilustre general duque de la plimiento, en la inteligencia de que con esta misma fecha costando torrentes de sangre española y el aniquilamiento de Victoria, mandando alzar los secuestros y embargos practi­ lo participo al Sr. Ministro de la Gobernación de la Pe­ muchas fortunas y de no pocas familias, han sido hasta aquí cados en virtud de las determinaciones del Gobierno y de nínsula para que se sirva expedir las órdenes oportunas á objeto de satisfacción para los buenos y causa de felicitaciones los gefes militares; co…</t>
  </si>
  <si>
    <t>de la Penín, Despacho de la Gobernación</t>
  </si>
  <si>
    <t>Despacho de la Gobernación de la Penín</t>
  </si>
  <si>
    <t>…no presente los aranceles generales al exámen y fe de un regimiento provincial. años. Madrid 1.° de Marzo de 1839.=lsidro Alaix.=Señor aprobación de las Cortes. Art. 3.° Los capitanes de estos regimientos que sean Secretario del Despacho de la Gobernación de la Penín­ Por tanto mandamos á todos los tribunales, justicias, vivos y efectivos de infantería, optarán á la mitad de las sula. gefes, gobernadores y demas autoridades, asi civiles como vacantes de sargentos mayores de dichos cuerpos en lugar militares y eclesiástic…</t>
  </si>
  <si>
    <t>…de Posen Mr. de Dunin: nes facciosos es de presumir que Maroto trate de defender con 1859.=rExcmo. Sr.—Francisco Muñoz y Andrade. =: Excmo. Se­ quizás dé también la confirmación. empeño los puntos fortificados. ñor Secretario del Despacho de la Gobernación de la Penín­ sula. Los habitantes de nuestras provincias orientales se lamentan El brigadier segundo cabo de Valencia participa con fecha Gobierno político de la provincia de Jaén. 3 Carretera de en los términos mas amargos del sistema prohibitivo que el Go­ 20 del actua…</t>
  </si>
  <si>
    <t>de la Península, Ballesteros. de la Gobernación</t>
  </si>
  <si>
    <t>Ballesteros. de la Gobernación de la Península</t>
  </si>
  <si>
    <t>…ramos del mayor Ínteres cuanto atañe á esta clase de re­ Veiificada la votación resultaron elegidos los siguientes: Se dió cuenta de un oficio del Sr. Secretario del Despacho formas. Olózaga por 78 voto s, obteniendo 19 el Sr. Ballesteros. de la Gobernación de la Península , acompañando las actas y Ferro Montaos por 79, habiendo obtenido 18 el Sr. H u a - escrutinios generales correspondientes á las provincias que ex­ g o o , y 2 el Sr. Silvela. DE LOS SENTIMIENTOS HUMANOS. presa en una nota ad ju n ta, y son: A la v a…</t>
  </si>
  <si>
    <t>de la Península, Despacho de la Gobernación</t>
  </si>
  <si>
    <t>Despacho de la Gobernación de la Península</t>
  </si>
  <si>
    <t>…objeto, y una comedia nueva en tres actos y de Cruz frente á las C ovachuelas, donde se continúan v en ­ al menos. Las láminas publicadas hasta ahora son el retrato del — . admitiendo la dimisión que del cargo de Secretario del Despacho de la Gobernación de la Península hace D. A n ­ diendo al mismo equitativo precio de 10 rs. el juego de los cin ­ Sr. García Luna según sale en ei Arte de conspirar, y el de co cuadernos sin embargo del recargo que han sufrido con d i­ Doñá Bárbara Laroadrid en los Amantes de Teruel• toni…</t>
  </si>
  <si>
    <t>…tados á presidio y cum pliendo su condena en cualquiera tiembre de i839.= E xcm o. Sr.—Henrique de Vedia.=:Excmo. Se­ Art. 9.° Los jueces de prim era instancia rem itirán sin de los peninsulares y de Africa: ñor Secretario del Despacho de la Gobernación de la Península. dilación ¿ las respectivas audiencias las causas de aquellos 1.® Los reos de infidencia á quienes no se h u biere im­ presos á quienes después de oir al prom otor fiscal estim en Señora: Con la mas viva sensación de jú b ilo, con la satis­ puesto ó no d…</t>
  </si>
  <si>
    <t>22/05/1839</t>
  </si>
  <si>
    <t>Gaceta de Madrid n.º 1649</t>
  </si>
  <si>
    <t>…én 19 de M ay o de Muñoz y Andrade. por las tropas de lín e a, han sido abaudonados por estas, e v a - , 1 8 3 9 .= Ex coi o. Sr.=Fraricisco de Muñoz y Andrade.=Excmo. Se­ cuando también las casas que ocupaban. ñor Secretario del Despacho de la Gobernación de la Península. Entonces los ociosos entraron en ellas, y examinaron á to­ El gobernador capitán general de la isla de Cuba con fecha do su placer las localidades: después algunos in d iv id u o s, apro­ Carretera de Granada á Bailen.rzGastos de Abril de 1859.= de 51 de…</t>
  </si>
  <si>
    <t>…dad que sue­ Ó EL ENAMORADO DE UNA REINA : El Sr. Secretario TORRES SOLANOT leyó un oficio del le darse á las segundas respecto de las primeras. Pero nues­ comedia nueva , en dos actos, original de Mr. Scribe. Sr. Secretario del Despacho de la Gobernación de la Península, tro autor, con muy buena filosofía, reconoce «que la socie­ manifestando que S. M. la Reina Gobernadora se habia servido dad , respetando con justicia los grandes genios que la 3.° señalar la hora de las dos de la tarde del domingo 1.° de Se­ ilustran, no…</t>
  </si>
  <si>
    <t>de la Península, Ministro de la Gobernación</t>
  </si>
  <si>
    <t>Ministro de la Gobernación de la Península</t>
  </si>
  <si>
    <t>…ome con lo que me habéis e x - brero de 1839,ss?Antonio Hompanera de Cos.s=Sr. Ministra S L O de 1839,c=Excmo. Sr.t=José Agustin de Larram endi.= puesto por acuerdo del Consejo de Ministros, y en vista de la Guerra, i Ekémo. Sr. Ministro de la Gobernación de la Península.</t>
  </si>
  <si>
    <t>…r. Bory de S a in t-Y in - Entraron á jurar y tomaron asiento los Sres. Madoz y deza y dignidad con que las ha conducido, y excitan para con ceut. Cortázar. el segundo, en cuantos se interesan por el bien de su patria los El Sr. Ministro de la Gobernación de la Península dirigió sentimientos mas sinceros de gratitud y reconocimiento. A ca­ al Congreso un oficio, al que acompañaba la exposición hecha tándose respetuosamente en este célebre documento la ley f u n ­ por el Gobierno de S. M. acerca de ios motivos que hubo para…</t>
  </si>
  <si>
    <t>…ección Circular . den de 8 de Enero de 183-8.» mercio y del consumo de buena fe, se ha servido adoptar, 3.° De *3) rs, vi», de fondos municipales que ofrece dar de conformidad con el dictamen de esa dirección y la de con El Sr. Ministro de la Gobernación de la Península dice esta fecha al de la Guerra lo que sigue: el ayuntamiento para un preceptor de latinidad. Aduanas, las medidas siguientes: 4.° De las memorias, obras pins y fundaciones que des­ Enterada S. M. la Reina Gobernadora de lo manifes­ 1.a El plomo y salit…</t>
  </si>
  <si>
    <t>…Fuentes. da, continúan en esta corte sin novedad en su importante Dios guarde á V. E. muchos años. Madrid 16 de Mar­ salud. zo de 1839.=Excmo. Sr.=José Agustín de Larramendi.=: Ayuntamiento constitucional de Madrid. Excmo. Sr. Ministro de la Gobernación de la Península. Habiéndose denunciado ante el Sr. alcalde constitucional ACTAS DEL GOBIERNO. ANUNCIOS OFICIALES. D. Tornas Fernandez de Vallejo por el promotor fiscal D. Re- gino Rosales el párrafo tercero del artículo que con el epígrafe de Cencerrada contiene el Gui…</t>
  </si>
  <si>
    <t>…. Es incuestionable que M é ­ de l 8 5 9 .—Excmo. Sr.=José A gustín de Larram en d i. Excelen- Cuando Méjico se colocó en el lugar que le pertenecía entre jico , lejos de oponerse á los medios de conciliación, los ha tísimo Sr. Ministro de la Gobernación de la Península. las naciones libres * proclamó solemnemente los principios mas procurado sin mengua .de su&amp; derechos ; y las memorables con­ CaminoS. Habiéndose dignado S. M . la Reina Goberna­ benévolos y generosos para c r e a r , fomentar y conservar relacio­ ferencia…</t>
  </si>
  <si>
    <t>…años. Madrid 23 de Marzo Algunos han censurado al padre de nuestra comedia Mata Chapuzet.=Es copia. clásica, de que toda su fuerza cómica está en el lenguaje de 1839.=Exctno. Sr.=José Agustín de Larramendi.=Excelea- tísimo Sr. Ministro de la Gobernación de la Península, y no en los pensamientos: todas sus gracias, dicen , consis* PARTES RECIBIDOS EN LA SECRETARIA DE ESTADO ten en los oiga! pues y a , y-....y otras expresiones familia* Y DEL DESPACHO DE LA GOBERNACION DE LA PENÍNSULA. res, de que están llenas sus comedi…</t>
  </si>
  <si>
    <t>20 en la secretaría, calle ancha de Majaderitos, núm. 12, El Excmo. Sr. Ministro de la Gobernación de la Península Asimismo se cita y emplaza á D. Manuel G aviña, Dou cuarto segundo de la derecha , cualquier dia de una á tres con fecha 5 del corriente mes ha comunicado á esta dirección Rafael de Aragón y D. Miguel López, para que en el término de su tarde, á recoger los…</t>
  </si>
  <si>
    <t>…s , riiím. í8(&gt;, con admirable inexactitud y y motivó el improcedente é ilegal fa llo que se pronun­ maña para persuadir á aquellos siempre ilusos y nunca desen­ ció contra Morote ; y el tercero por la dirección tortuosa El Sr. Ministro de la Gobernación de la Península dice gañados habitantes que el Gobierno francés les protege , en loa que dió á este negocio, por no haber unido los antece­ con esta fecha al director general de caminos lo siguiente; términos siguientes: dentes que obraban en la capitanía general en desc…</t>
  </si>
  <si>
    <t>de la Pezuela, Ignacio</t>
  </si>
  <si>
    <t>Ignacio de la Pezuela</t>
  </si>
  <si>
    <t>…e ciertas gentes, de ningún modo se Conde de Casa Puente..................................... .. Santander. cena la grande ópera seria en dos actos, música del maestro llega mas derechamente a este fin que presentando las co­ D. Ignacio de la Pezuela.......................... Segovia. Paccini , que hace ya ocho años no se ejecuta, y que siempre D. Juan sas y las personas en su desnudez y verdad. La templanza D. Juan de la Dehesa Aldama......................................................Sevifla. ha obtenido los mayores a…</t>
  </si>
  <si>
    <t>de la Peña, Francisco Feliu</t>
  </si>
  <si>
    <t>Francisco Feliu de la Peña</t>
  </si>
  <si>
    <t>…suministros hechos á las tropas, que referido bloqueo , al secretario de esta capitanía general el coro- porque con sus consejos y actividad me ha sido muy útil para le hayan sobrado ó vaya liquidando sucesivamente, desde nel D. Francisco Feliu de la Peña, á los comandantes de los bu­ apoderarnos de la plaza, y á los segundos por su constancia en que tenga satisfecha por completo la cantidad q u e, según ques guardacostas Soberano, Isabel ir9 Cristina , Proserpina , el trabajo. Igualmente debo particularizar al capitán del…</t>
  </si>
  <si>
    <t>de la Peña, José</t>
  </si>
  <si>
    <t>José de la Peña</t>
  </si>
  <si>
    <t>tn intestado de Doña María Calabnig, viuda en secundas nup­ la á recoger el cuaderno segundo del mismo tratado con las lá­ ; rán los tomos en entregas de 40 paginas cada UDa , en cuarto cias de D. José de la Peña , y vecinos que fueron do la misma, minas que le corresponden. Sigue abierta la suscripción. mayor prolongado á dos columnas. para que dentro del término de 50 dias contados desde este Por ahora solo se publicará una entrega mensual, pues los anuncio comparezcan á justificar su derec…</t>
  </si>
  <si>
    <t>…do lu e ar pro­ furiosos, dictados por la ira contra el inicuo pretor. P ro vin cia d e L ugo. bablemente. Pero en la prosa debe usarse con mucha sobriedad de este adorno, que es por su naturaleza muy, brillante y fá­ Lugo,==D. José de la Peña , interino por Real orden de 10 cil de conocer. La armonía im itativa, que siempre es una de Marzo de 1 8 3 6 , en dicha ciu d a d : desde 15 de J u n io á fin BOLETIN DE COMERCIO. de Setiembre. belleza en poesía cuando puede lograrse, seria, muy con­ P r e cio s co rrien tes en la…</t>
  </si>
  <si>
    <t>de la Peña, José Maria Gutiérrez</t>
  </si>
  <si>
    <t>José Maria Gutiérrez de la Peña</t>
  </si>
  <si>
    <t>…on de esmero en los paises que gratuitamente quieren llamarse civili­ notables, sumamente necesario para metodizar el estudio de L regreso á Azpeitia. zados son las únicas en que llevamos veutaja á los otomanos; historia , por D. José Maria Gutiérrez de la Peña; y un escri­ pero que las de positivo Ínteres social, las que conducen á este, to clásico del Sr. conde de Floridablaoca á D. Cárlos m , que A v ila 31 de Julio. Cerca del pueblo de Naval peral, en á la moralidad y al bienestar del género h u m a n o , son mejor con…</t>
  </si>
  <si>
    <t>de la Peña, José María Gutiérrez</t>
  </si>
  <si>
    <t>José María Gutiérrez de la Peña</t>
  </si>
  <si>
    <t>…capotes, Sa admiten suscripciones eu la librería de Boix, calle de do el v n , con un resúuien cronológico de los sucesos roas no­ é igual nlimero de pantalones de paño, todo para la infantería C añetas, núm. 8. tables ; por D. José María Gutiérrez de la Peña: adornada con del ejército ; y para su celebración se ha señalado el dia 11 del varios retratos de Emperadores , Reyes y personajes célebres. presente mes á las doce de su mañana en dichos estrados, en Los señores suscriptores á esta obra acudirán á recoger el tomo…</t>
  </si>
  <si>
    <t>de la Peña, Santiago</t>
  </si>
  <si>
    <t>Santiago de la Peña</t>
  </si>
  <si>
    <t>…pone de varias habita­ Cotización del dia 27 d las tres de la tarde. blica de nuevo la subasta de una hacienda sita en Hortaleza, ciones que por tnenor constan en la tasación y medición que de correspondiente á la quiebra de D. Santiago de la Peña, cuya ella ha hecho el arquitecto de la academia nacional de S. Fer­ EFECTOS PÚBLICOS. hacienda se ha dividido en las porciones siguientes: nando D. Juan de Blas Molinero, que la ha dado el valor de 1 .a La casa con jardín, noria, nuevo granero y bodega, ta­ 104,022 rs. 28 m rs…</t>
  </si>
  <si>
    <t>de la Piscina, Paulino Ramírez</t>
  </si>
  <si>
    <t>Paulino Ramírez de la Piscina</t>
  </si>
  <si>
    <t>…tancia su m a, pues el bien confesiones que en ellas se escapan á.sus autores , son las escri­ ciando por lo bajo el cruel axioma: Cada uno para sí r Dios ó malestar de las clases pobres, y su mayor ó menor moralidad, tos por D. Paulino Ramírez de la Piscina, actual Ministro de para todos? Estado de D. Cirios, y van señaladas con los uúms. 1 .°, 5.°, 12 tiene la mayor influencia en la prosperidad de los Estados. Con Y vosotros, hermanos desgraciados y abandonados, que al el fin de lograr toda la utilidad de que en nuestr…</t>
  </si>
  <si>
    <t>de la Piscina, Rainirez</t>
  </si>
  <si>
    <t>Rainirez de la Piscina</t>
  </si>
  <si>
    <t>…a de Iturriaga , Saroa , Ofesia , Altam ira, M arquina y Gil de la El Sr. M E N D IZ A B A L añadió que se reservaba para ma­ la administración podrá dar el eficaz impulso que anhela Y. M. Torre con sus cuatro hijos. El ministro Rainirez de la Piscina ñana el derecho de fundar su proposición. á la agricultura, á las artes y al comercio, dispensándoles la se ha dirigido á Tours. El P. G il, superior del convento de Quedó sobre la mesa el nuevo dictamen de la comisión de Ac­ protección que tan justamente reclaman y que la g…</t>
  </si>
  <si>
    <t>de la Plaza, José</t>
  </si>
  <si>
    <t>José de la Plaza</t>
  </si>
  <si>
    <t>…hum anidad de que estoy cientes al arm a , entregados en el fuerte de G uardam ino por el destruida se ocupasen de batir el frente de la otra. A las dos anim ado propuse ay e r al gobernador del fuerte de G uardam ino teniente D. José de la Plaza al c ap itau de ingenieros D . F er­ y media de la tarde cuando la prim era estaba casi reducida á que lo rindiese bajo las condiciones que Y . me in d ica en su ofi­ nando de Y a b a r. escombros, y la segunda bastante resen tid a, las compañías de cio que acabo de recibir. Por los…</t>
  </si>
  <si>
    <t>de la Prada, D. Manuel Ruiz</t>
  </si>
  <si>
    <t>D. Manuel Ruiz de la Prada</t>
  </si>
  <si>
    <t>…o, ción de realizar á la mayor brevedad el referido repartimiento. nio Ladrón de Guevara. donde hay un almacén de calzado , por el que se entra á la ha­ Para lograrlo dispuso el Sr. contador todo lo conveniente á la Contador.=Sr. D. Manuel Ruiz de la Prada. bitación de dicho profesor. asignación de las cuotas respectivas y extensión de los recibos Tesorero.=Sr. D. Eusebio Morenas de Tejada. Ilumina todo género de estampas , á la española y france­ ó cartas de pago; y habiéndose procedido á la cobranza, tiene Secretario.=Sr.…</t>
  </si>
  <si>
    <t>de la Puente, Fernando</t>
  </si>
  <si>
    <t>Fernando de la Puente</t>
  </si>
  <si>
    <t>…randa. Ademas de estas se halle establecido. el mismo secretario Barinaga leyó en una sesión posterior otras Los trabajos del presente año no desmerecen ni en objeto Sr. D. Antonio Samaniego. tres remitidas desde Sevilla por D. Fernando de la Puente á ni en resultados á los de los años anteriores. Los socios á porfía Sr. D. Francisco Ruiz del Arbol. los redactores del Correo Nacional . se han ofrecido á servir las cátedras, y aunque esta especie de Sr. duque de Veraguas. En otras diferentes sesiones ha tratado también la…</t>
  </si>
  <si>
    <t>de la Que, Despacho de la Gobernación</t>
  </si>
  <si>
    <t>Despacho de la Gobernación de la Que</t>
  </si>
  <si>
    <t>…ucía, resultó muerto un faccioso, y eu nuestro sar las inquietudes y arreglar todos los puntos en litigio. Se acordó pasar á la comisión de revisión de Actas un ofi­ poder su caballo, sable y carabina. cio del Sr. Secretario del Despacho de la Gobernación de la Que en otro encuentro que tuvo la partida de los Chornos Península acompañando la renuucia que hace D. Antonio At- al mando de su comandante Rodríguez, fueron muertos eo el meller, Diputado electo por la provincia de Gerona. campo dos facciosos y hechos tres prision…</t>
  </si>
  <si>
    <t>de la Re, José</t>
  </si>
  <si>
    <t>José de la Re</t>
  </si>
  <si>
    <t>…aquella misma noche habia tratado en su explica­ límites sin fijarse en el interesante punto que debia ser dilucidado. •para que pudiesen ejecutar los pagos prevenidos aquellos que ción el catedrático de literatura española D. José de la Re villa, Extendiendo con este motivo sus observaciones á las que acababan quisiesen aprovecharse de los efectos de la gracia j y entrar en quien con su exquisito criterio, erudición y buen gusto acababa de hacerse, dijo: que las antiguas novelas caballerescas carecían, la posesión de…</t>
  </si>
  <si>
    <t>de la República, Presidente</t>
  </si>
  <si>
    <t>Presidente de la República</t>
  </si>
  <si>
    <t>…para la reform» mota) de los Lo expuesto espero se sirva V. E. ponerlo ea conocimiento tas inglesa* han dicho que el di* de la salida de la escuadra el presos. El número de todoi estos establecimientos es de 2078, del Excmo Sr. Presidente de la República como el resultado de Multan padecía mucho, y estaba sostenido por tres hombres. La todos co«»unaíe*, excepto cuatro. E*tos últim os, cuyo objeto las f a t i g a s de la división que tengo el honor de inandtr. carta publicada por la Gaceta de Augsburgo es como sigue: es ma…</t>
  </si>
  <si>
    <t>de la Revilla, José</t>
  </si>
  <si>
    <t>José de la Revilla</t>
  </si>
  <si>
    <t>…de EL DELATOR, D . Manuel Joaquín Tarancon............................................. 120 entrada. Ó LA BERLINA DEL EMIGRADO. D . Félix D ’Olaberriague y Blanco.................................... 40 Lunes.—De siete á ocho, D. José de la Revilla, literatura A. G .................................................................... 100 española. Terminará la función con baile nacional. A. R ....................;•'••••_ ........................... ±2 M artes.=De siete á ocho, D. Joaquín Francisco Pacheco, D . Ramón Ortiz…</t>
  </si>
  <si>
    <t>de la Riva, Francisco Jimeno</t>
  </si>
  <si>
    <t>Francisco Jimeno de la Riva</t>
  </si>
  <si>
    <t>…nuevas.—La autoridad Real, según Márquez de la Plata , hijas de D. Rodrigo: Doña las leyes divinas y naturales y la Constitución : obra nue­ caus?, teniendo cuidado entre tanto de haber mantenido se­ Antonia García , viuda de D. Francisco Jimeno de la Riva? va de lo mejor, por Laserve, 10. cretamente al prisionero y á su familia con todo lo que po­ y Doña María Teresa Lasala , viuda de D. José Ramos. Facultades de los jurados, aumentado con la parte legisla­ dían necesitar. Que habiendo llegado esta visita de justicia, tiva…</t>
  </si>
  <si>
    <t>de la Riva, Ignacio</t>
  </si>
  <si>
    <t>Ignacio de la Riva</t>
  </si>
  <si>
    <t>…ovidencia del Sr. juez de primera instancia D. Benito Serrauo y Aliaga , se saca nuevamente á p ú ­ mente para el l.° de Diciembre próxim o, pues ai paso que D. Antonio , del D. Juan Laraña, D. Andrés Mendez y Pareja, R io, D. Ignacio de la Riva, D. Blas Mena y blica subasta la mitad de una casa situada en esta corte y su por este medio se espera conseguir mayor ex actitu d , no O liver, D. Gerónimo Diaguez, D. Isidoro Fernandez de A n­ calle ancha de S. Bernardo, señalada con el núm. 3 antiguo perm ite tampoco lo adelant…</t>
  </si>
  <si>
    <t>de la Ro, Martínez</t>
  </si>
  <si>
    <t>Martínez de la Ro</t>
  </si>
  <si>
    <t>tthera en su esencia , y J ifie limen le liar* concesiones. tas comedias á los cuadros de Fóscoro que deslumbrar BIBLIOGRAFÍA. .. Colocado el Sr. Martínez de la Ro&lt;á c iu r e a m b o s, pero por su colorido, pero que bien examinados sin hacer case mas ladeado al segundo, se ie ve ceder no sin un tanto de este realce, se nota la incorrección del dibujo y mil de N UE VO método teórico-práctico para aprender á tocar la de . repugnancia a los p…</t>
  </si>
  <si>
    <t>…misión de un delito? N o , señores. Las justas causas pueden ser el Sr. M inistro en la comisión , reconocí en el pensamiento del Pero dice la comisión que no podrán ser removidos estos las mismas, los mismos motivos que el Sr. Martínez de la Ro­ Gobierno un peusamiento f e liz , porque previ que el M inistro empleados sino en virtud de justa causa y con prueba legal. sa nos presenta. Ineptitud , falta de inteligencia , desidia , falta que habia concebido esta idea habia tenido presente la prome­ S in embargo yo creo que…</t>
  </si>
  <si>
    <t>de la Roca, José</t>
  </si>
  <si>
    <t>José de la Roca</t>
  </si>
  <si>
    <t>…con menos di li cul tades, y esta admi rabl e concepción de un j Por la af i r mat i va D. Ma r i a n o Be l mo n t e, D. Francisco Sol ano •patriotismo poderoso, se sacarán con el tiempo mar avi l l os as \ de la T o r r e , D. José de la Roca , D. José Severo Gar cí a , Don En cel ebridad del d i a estará el teatro i l u m i n a d o . ! ventaj as de esas ciases tan mi serabl es, tan g r a v o s a s, doble pl a­ Mar cos P e ñ a , D. José de B u r g o s , D. M a n u e l de L u n a . — Por g a r e las sociedades modernas,…</t>
  </si>
  <si>
    <t>de la Roca, José Nicasio Milá</t>
  </si>
  <si>
    <t>José Nicasio Milá de la Roca</t>
  </si>
  <si>
    <t>…informada de que en algunas partes de nues­ tar definitivamente compuesto el ministerio. ( M essager .) en 9 de Setiembre de dicho año 1857 por D. Pablo de Llanes y tro reino se han reunido ilegalmente un gran número de per­ D. José Nicasio Milá de la Roca, la ley condena á Antonio sonas para entregarse á ejercicios, movimientos y evoluciones Carinés, álias Capa, responsable del citado artículo, á la pena militares; en atención á que semejantes reuniones y actos de de dos meses de prisión en la ciudadela de esta plaza ,…</t>
  </si>
  <si>
    <t>de la Rocha, José</t>
  </si>
  <si>
    <t>José de la Rocha</t>
  </si>
  <si>
    <t>…. . d e.. 50................... 5500 D. José Mariano Ramírez y Notario , eclesiástico Licenciado D. José de Jesús Fernandez. ........... 5 114 d e.. 24................... 2756 de la vicaria de Piñal del Rio 4 .. 2 Licenciado D. José de la Rocha................................ 5 40 x ............ d e .. 16. . . . • • • . • 6448 Presbítero D. José Ramón Alfonso, teniente de Licenciado D. José de Silva y Suarez...................... 5 2 aproximaciones d e ... 8 para el an­ cura de la Salud ...................................…</t>
  </si>
  <si>
    <t>de la Rosa, D. Francisco Martines</t>
  </si>
  <si>
    <t>D. Francisco Martines de la Rosa</t>
  </si>
  <si>
    <t>…ente, Sr. Gil Zarate. Secretario, Sr. Revilla. Vicese­ ocupado todas ellas de un pensamiento de nuestro digno presi­ celo ó fanatismo de los predicadores metodistas y anabatistas cretario, Sr. Bretón de los Herreros. dente el Sr. D. Francisco Martines de la Rosa, propuesto en la Un individuo de estas sectas llamado Kiubb comenzó un movi­ junta de gobierno en Febrero últim o, y aprobado después por miento sedicioso, recorrió varias haciendas y convocó los ne­ Memoria leida por el Sr. Secretario . el Ateneo, reducido á que p…</t>
  </si>
  <si>
    <t>de la Rosa, D. Francisco Martinez</t>
  </si>
  <si>
    <t>D. Francisco Martinez de la Rosa</t>
  </si>
  <si>
    <t>…Montoya. Sr. Sr. D. Bartolomé Amor , electo. Sr. D. Francisco Javier Rodríguez de Vera* Granada. Pontevedra. Alicante • Sr. D. Miguel de Roda. Sr. D. José Guillen. Sr. D. Diego López Ballesteros. Sr. D. Ignacio Puigmoltó. Sr. D. Francisco Martinez de la Rosa* Sr. D. Domingo Fontan. Sr. D. Antonio Sereix. Sr. D. Francisco Egaña, electo. Sr. D. Juan José Cadaval. Sr. D. Jorge Gisbert. Sr. D. Francisco de Paula Castro. Sr. marques de Villagarcía. Sr. D . Manuel Franco, electo. Sr. D. Manuel de Seijas Lozano. Sr. D. Pedro…</t>
  </si>
  <si>
    <t>de la Rosa, D. Francisco Martínez</t>
  </si>
  <si>
    <t>D. Francisco Martínez de la Rosa</t>
  </si>
  <si>
    <t>…úsica de D. Basilio Basili, titulada IL C A R R O Z Z IN O D A Sra. coiídesa de la Vega del Pozo...................................... 40 Sábado.izDe siete á ocho, D. Fernando Corradi, literatura 100 extrangera. VENDERE. Sr. D. Francisco Martínez de la Rosa.............................. 160 Segunda parte, D . Francisco Hilarión B rabo. .................................. 20 Idem.~De ocho á nueve, D. Mauuel Santaella, filosofía D. Francisco Cotoner.............................................................. 20 del der…</t>
  </si>
  <si>
    <t>de la Rosa, Francisco Martínez</t>
  </si>
  <si>
    <t>Francisco Martínez de la Rosa</t>
  </si>
  <si>
    <t>…á las tres de la tarde. vía un billete cuyo estilo, por ser sencillo, desagrada á la duquesa, lo que proporciona á Tirso una sátira contra el EFECTOS PÚBLICOS. LIBRO DE LOS NIÑOS. culteranismo que pone en boca de Vitoria. Por D. Francisco Martínez de la Rosa . Inscripciones en el gran libro á 5 por 100, 00. ¿Quisieras tu que empezara Títulos al portador al 5 por 100, 21 un treindosavo, 2 0 | Un folleto en 8.° con láminas y viñetas. Véndese á 2 rs. ea como otro que me escribió; y 21 á v. f. ó vol. y firme: 21 un dieziseis…</t>
  </si>
  <si>
    <t>…venerable cabildo una brillante sinfonía se pondrá en escena el drama histórico de esta santa iglesia catedral al público,” impreso en la del Bo­ Otro cuadro de los mas estimados de este sobresaliente pin­ eu cinco actos , de D. Francisco Martínez de la Rosa , titulado letín con fecha 24 de dicho mes de Marzo: admitida la denun- un tor representa á Nuestra Señora con el niño D ios, llevados en c*a por^dicbo Sr. alcalde en 4 del actual, y sorteados los jue- trono de nubes, y rodeados de la gerarquía celestial que se LA CON…</t>
  </si>
  <si>
    <t>…n su milicia concegil, acos­ rera. Hablaron sobre este punto los Sres. Segovia, D. Juan audiencia del Sr. auditor de guerra, que la tiene calle de Re­ tumbrada á pelear diariamente con los moros, debia con­ Nicasio Gallego, y D. Francisco Martínez de la Rosa; exten­ latores, núm. 7, cuarto segundo. tener en su seno una población valiente , laboriosa , mo­ diéndose este ultimo á contradecir aquella sospecha , y proban­ rigerada , y poco dependiente de la nobleza. Es pintura do con curiosas reflexiones y citas que el autor de…</t>
  </si>
  <si>
    <t>de la Rosa, Martinez</t>
  </si>
  <si>
    <t>Martinez de la Rosa</t>
  </si>
  <si>
    <t>…blar con franqueza, puro orgullo, loca filial, como antes se atacaba el despotismo paterno. Por E l Parecido en la Corte de nuestro antiguo teatro, y vanidad , y en el fondo pasiones indomables, que de mie­ eso la comedia del Sr. Martinez de la Rosa, objeto de este la Rosmunáa, drama nuevo del Sr. Gil y Zárate, serán do de ser reprimidas por una autoridad demasiado gran­ artículo, no está ajustada á esto» principios, ni es su obje­ las primeras funciones que ejecutará la sección dramática de, atacan á la autoridad de la ley…</t>
  </si>
  <si>
    <t>…edicarán á su organización form a enteramente, en la cuestión ya explicada , con el dic-* bordados, entre muchas piezas del vestido del hombre y la m u - y reforma con especial ahinco, teniendo por norma las dispo­ támen del Sr. Martinez de la Rosa. N o tenemos motivo para ger. Nosotros hicimos presentar ai numeroso concurso de seño­ siciones de la ley , y cuidando tanto de que los ciudadanos lla­ quejarnos de esta preferencia. Añade que en su opinión nues­ ras estos trabajos como á jueces legítimos, con lo que concluyó m…</t>
  </si>
  <si>
    <t>de la Rosa, Martínez</t>
  </si>
  <si>
    <t>Martínez de la Rosa</t>
  </si>
  <si>
    <t>…de poder decir que las leyes de la Inglaterra , leyes que de esperar, favorable al poeta, fue el discurso con que Pesth 15 de Mayo. han llevado á tan alto grado la civilización y la prosperidad del term inó la discusión el Sr. Martínez de la Rosa. pueblo, han excitado sobremanera mi aprecio y estimación.” Estos literatos volvieron á ocupar sus antiguas posicio­ El comité de la Dieta acaba de ponerse en pugna abierta S. A. I. concluyó su discurso hacieodo votos sinceros por nes, que por lo visto no están dispuestos á ab…</t>
  </si>
  <si>
    <t>…mientras que hasta ahora lo con ­ KiSr. PEÑA. A G U A Y O , haciéndose cargo déla impugna­ Cotización del dia 12 d las tres de la tarde. tencioso administrativo ha estado á cargo de agentes su­ ción hecha al artículo por el Sr. Martínez de la Rosa , se limi­ balternos, y generalmente poco á propósito para ejercer EFECTO S PU BLICO S. to á probar que las precauciones que en él se establecían eran del todo indispensables para evitar que se siguiesen engaños, y estas funciones, estará ya á cargo del gran Consejo á quien Ins…</t>
  </si>
  <si>
    <t>…efectos oportunos. Comparando esas novelas antiguas con las modernas , juzgó de mágia. Siendo por su naturaleza este asunto de conocida utilidad á estas muy superiores á aquellas, tanto por el mayor estudio, El Sr. Presidente Martínez de la Rosa comenzó por negar la para el Estado y sus acreedores, en razón á que se debe am orti­ mejor gusto y mas ingenio de sus autores, como por haber con­ posibilidad de hacer un paralelo exacto entre las novelas a n ti­ zar una cantidad de d eud a, que no existiera ya si se hubiese…</t>
  </si>
  <si>
    <t>…distribuida' del modo siguiente: 7600 rs. en oiga sobre el asuntp á la dirección de la ceja. lós 200 pares dé pantalones contratados á 58 rs. el par ; 500 reclamar inmensos perjuicios sobre el pafticular, puesta que la El Sr. Martínez de la Rosa no impugnó la base, antes bien vr¿áles páira él jfomentó«de la M ilicia de esta capital, y los 9 0 0 ! España es causa para nuestras comarcas de resultado^ no menos desastrosos que inmediatos. convino en que és^qpprtuna, y en que se oiga á la caja para fresta rites, con 100 ma…</t>
  </si>
  <si>
    <t>…ión del 12 de Diciembre. las razones por que creo deber oponerme á esa publicidad. Leido dicho dictamen, continuó S. S. diciendo: que se tra­ Insiste S. S. en que se discuta el voto del Sr. M artin, en el Dijo el otro dia el Sr. Martínez de la Rosa que la nación ta de un hecho aplicable al art. 43 de la Constitución, en el cual se manifiesta que debe sujetarse á reelección el Sr. López tenia rentas muy saneadas é hipotecas muy sólidas: ésto es una cual se expresa que para sujetarse á reelección, es necesario que Vázquez p…</t>
  </si>
  <si>
    <t>…a de Bairam se hace un saludo de cañonazos en todos mosura de los animales, ya por ios ricos caparazones con los castillos y barcos de guerra en Constantinopla, los que van enjaezados con una elegancia sin igual. A estos El Sr. Martínez de la Rosa acaba de publicar con el na tambores suenan en lodos los cuarteles, y la ciudad se lle­ siguen ios pajes del Sultán primorosamente vestidos con de alegría. casacas bordadas y abotonadas ajustadamente al cuerpo, título de E l Libro de los Niños uno dedicado exclusiva­ Los sembla…</t>
  </si>
  <si>
    <t>…servarse tratar de ella cuando se discutiese el ar­ ficio de Isaac están muy bien escritas, y sus asuntos bien vestida de todas las formalidades precisas según se halla consig­ tículo 5.° dél mismo proyecto. elegidos; pero el Sr. Martínez de la Rosa conocerá fácil­ nado en la Constitución. El Sr. L U JA N contestó que la comisión estaba conforme El Sr. L U JA N : He repetido varias veces en mi discurso con lo que proponía el Sr. Ministro. m ente que fallan otras para com pletar el libro délos niños : que no creia que el Sr…</t>
  </si>
  <si>
    <t>…eca* del metal, se mos comprometidos á decir algo á nuestros lectores. mo desposorio del R e y , cuando no faltó quien llevase la seguirán convulsiones muy v iy a s ; y si los miembros están dies­ Sucédenos con las obras del Sr. Martínez de la Rosa nueva á los oidos de Aixa, la cual al principio se negó á tramente dispuestos en copas cónicas angostas , es probable que lo que suceder suele cuando encapotado y nebuloso el cie­ darle crédito por lo mucho que costaba a su altivez y or­ salten ruera de la copa á alguna distancia…</t>
  </si>
  <si>
    <t>…fonía del niño D. Ignacio Ovejero, quien la di­ presión y armonía !..... 200 rigirá al piano. Algunos trozos de poesía, la mayor parte romances, 4.0 El baile pantomímico ZEFIRO Y AURORA, com­ ha intercalado en la novela el Sr. Martínez de la Rosa, 600 33000 puesto por el Sr. Casas, y que tanto agradó cuando se puso en cual ricas piedras en oro engastadas; sirve de complemen­ escena. to á la obra y la ilustran copiosas notas, que por sí solas Los 220 billetes estarán subdivididos en la clase de cuartos, 5.° Un gracioso y…</t>
  </si>
  <si>
    <t>…r la exac­ T raída esta cuestión al terreno en que y a está , y habién­ La música ha sido expresamente compuesta por el maestro Don ta y profunda impugnación del Sr. Pida!. Desde luego que vi dole dado una nueva fisonomía el Sr. Martínez de la Rosa , ne­ Ramón C arnicer; y los bailes inventados y dirigidos por Don este proyecto , rae asaltó la idea de que parecía un proyecto cesario es que yo cambie de rumbo; y puesto que S. S., hon­ Antonio Cairon y D. Ju an Bautista Cozzer. presentado á una asamblea enteramente extraña…</t>
  </si>
  <si>
    <t>…dos sino por si no tuviera que deshacer alguna equ iv oc ar on que en esta m a ­ silado en el acto de ser habido, precedida una información ver* tribunales competentes, que marquen las leyes anteriores al de­ teria padeció el Sr. Martínez de la Rosa. C ua ndo habló de la bil, de la que cu e x t r a c t o so dará cuenta después de ejecutada la bito ^ h a n creído que 110 había mas requisito sino que los tribu ­ entciczi de la dignidad con que un tribunal de Francia supo sentencia. (E l Sr. A ír n d iz n b a l j'iAc la p alabr…</t>
  </si>
  <si>
    <t>…ve desde Da roca pidió raciones los mismos dias explica el señor Benavides sobre la historia de á Calainocha , donde probablemente pernoctaría anoche. España , el profesor hará cada noche una reseña numismática, fames. El Sr. Martínez de la Rosa lo ha dicho: cuando esos La situación de nuestros desgraciados prisioneros ert^ Can- describiendo las medallas y monedas españolas pertenecientes al estados excepcionales no se establecen legalm ente por la tavieja y Morella continúa siendo la misma. Para mejorarla reinado ó rei…</t>
  </si>
  <si>
    <t>de la Rosa, Presidente Martínez</t>
  </si>
  <si>
    <t>Presidente Martínez de la Rosa</t>
  </si>
  <si>
    <t>…as comedias efectos oportunos. Comparando esas novelas antiguas con las modernas , juzgó de mágia. Siendo por su naturaleza este asunto de conocida utilidad á estas muy superiores á aquellas, tanto por el mayor estudio, El Sr. Presidente Martínez de la Rosa comenzó por negar la para el Estado y sus acreedores, en razón á que se debe am orti­ mejor gusto y mas ingenio de sus autores, como por haber con­ posibilidad de hacer un paralelo exacto entre las novelas a n ti­ zar una cantidad de d eud a, que no existiera ya si…</t>
  </si>
  <si>
    <t>de la Sagra, D. Ramón</t>
  </si>
  <si>
    <t>D. Ramón de la Sagra</t>
  </si>
  <si>
    <t>…D. Ricardo Henry. Sr. D. Manuel Feijóo y Rio. Vicepresidentes. Sr. D. Nicolás de la Riva. Sr. D. Tomas de Prada , electo. Sr. D. Manuel de la Rivaherrera. Sr. D. José Fermin Muro , Secretario 4»° Oviedo. Sr. duque de Gor. Sr. D. Ramón de la Sagra.¡ Sr. D. Joaquin Rey. Sr. D. Antonio Loriga. Sr. D. Pablo Mata Vigil. Sr. D. Agustín Armendariz. Sr. D. Jacobo Florez, electo. Sr. D. Alvaro Florez Estrada. Secretarios. Cuenca. Sr. conde de Toreno. Sr. D. J osé María Navia Osorio. Sr. D. Mariano Miguel de Reinoso. Sr. D. A…</t>
  </si>
  <si>
    <t>…se enteraba de la fundación y vi­ cisitudes de este establecimiento , estudiaba su reglamento y examinaba detenidamente el estado de su imprenta y GRAN BRETAÑA. taller de encuadernación. Aqui no podemos negar el 'tri­ El Sr. D. Ramón de la Sagra, Diputado que ha sido buto de nuestra alabanza al director de este colegio Don Lóndres 1.° de Junio, de las últimas Cortes, acaba de publicaren Paris una obra Juan Manuel Ballesteros , que bajo los auspicios de la so­ titulada V taje á H olanda y B élgica en la parte relativa…</t>
  </si>
  <si>
    <t>…estra , á mi modo de ver, también lo absurdo del régi­ corazón por medio de la palabra, que la naturaleza de la edad men y de la disciplina á que en aquellos lugares se les sujeta, hace precisas é inevitables (2). Carta del Sr. D. Ramón de la Sagra al director de la Re­ puesto que lejos de modificar y de suavizar los rasgos y relie­ Estas reflexiones van dirigidas á demostrar que la regla de! vista británica sobre las penitenciarias de los Estados- ves del vicio y del crim en, parece que por él contrario los au­ silencio…</t>
  </si>
  <si>
    <t>de la Sagra, D. Raraoa</t>
  </si>
  <si>
    <t>D. Raraoa de la Sagra</t>
  </si>
  <si>
    <t>…u a n un socorro ab un d an ­ (Sacado del viaje á Bélgica y Holanda que publicó en francés sará á Segorbe á relevar al de C iu d a d -R e a l, que con el de San­ te para todos de pan blanco y carne , contribuyendo asi á la el Sr. D. Raraoa de la Sagra.) tiago y León han de operar en este distrito al mando del v a­ empresa no solo con sus palablas y su presencia, sino con me­ liente coronel D. José Ortiz. dios reales y positivos. Casa d e c i e g o s d e A m s ter d a m . Ayer el Sr. comandante de este fuerte mandó ocho pais…</t>
  </si>
  <si>
    <t>de la Sagra, Gor. Sr. D. Ramón</t>
  </si>
  <si>
    <t>Gor. Sr. D. Ramón de la Sagra</t>
  </si>
  <si>
    <t>…driz. Sr. D. Ricardo Henry. Sr. D. Manuel Feijóo y Rio. Vicepresidentes. Sr. D. Nicolás de la Riva. Sr. D. Tomas de Prada , electo. Sr. D. Manuel de la Rivaherrera. Sr. D. José Fermin Muro , Secretario 4»° Oviedo. Sr. duque de Gor. Sr. D. Ramón de la Sagra.¡ Sr. D. Joaquin Rey. Sr. D. Antonio Loriga. Sr. D. Pablo Mata Vigil. Sr. D. Agustín Armendariz. Sr. D. Jacobo Florez, electo. Sr. D. Alvaro Florez Estrada. Secretarios. Cuenca. Sr. conde de Toreno. Sr. D. J osé María Navia Osorio. Sr. D. Mariano Miguel de Reinoso.…</t>
  </si>
  <si>
    <t>de la Sagra, Ramón</t>
  </si>
  <si>
    <t>Ramón de la Sagra</t>
  </si>
  <si>
    <t>…ba un faccioso, el cual se ha­ guiente: 22 por 100 al contado; 55 por 100 el 15 de Enero, é brá indultado ayer probablemente. igual cantidad el 15 de Febrero. Las columnas de Meliid, Sobrado y Arzua operaron ayer Carta del Sr, D. Ramón de la Sagra al director de la Re­ Habiendo subido los fondos cerca de un 5 después de veri­ :ombinadamente, teuiendo por resultado la muerte de tres re­ vista británica sobre las penitenciarías de los Estados- ficado el contrato, no admite duda en que el empréstito ten­ beldes, únicos que se…</t>
  </si>
  <si>
    <t>de la Sierra, Pineda</t>
  </si>
  <si>
    <t>Pineda de la Sierra</t>
  </si>
  <si>
    <t>…la audiencia d e Canarias, vacante por : El expresado comandante, general salió de Salas ef 14 hácta ’diáta hasta/ enrasar con lá séptima ya sentada en el de la iz­ fallecimiento de D. Toribio Gutiérrez de Gabiedes, a! fiscal de Pineda de la Sierra, en cuya dirección suponía haber marcha­ quierda y pila también inmediata. la misma D. Manuel Hermida y Cambironero; y para esta va­ do el enemigo; pero corno las señales del camino no confirma­ Se abren los cimientos y se allegan los materiales para la cante á D. Toma A Huet y A…</t>
  </si>
  <si>
    <t>DE LA SOCIEDAD, So- BASES DE ORGANIZACION</t>
  </si>
  <si>
    <t>So- BASES DE ORGANIZACION DE LA SOCIEDAD</t>
  </si>
  <si>
    <t>…des: D. José Varela , abogado: D. Manuel Peña, id. lazarooi de 19 años. {Id.) sión de la instalación de la sociedad. Regidores: D. Juan Patricio Sebastian, comerciaste: Don Juan de Mata Escolar, hacendado: D» Casimiro Calle: D. So- BASES DE ORGANIZACION DE LA SOCIEDAD. tero Sabaaz», comerciante: D. Francisco Gómez, carpintero, capitalista: D. Simo» R u iz , comerciante. NOTICIAS n a c i o n a l e s . 1.a Se establece una sociedad filantrópica con el objeto ex­ Procurador síndico: D. Simeón A guirre, hacendado y co­ clu…</t>
  </si>
  <si>
    <t>de la Torre, Benito</t>
  </si>
  <si>
    <t>Benito de la Torre</t>
  </si>
  <si>
    <t>…n dinero electivo de esta cap ital D. Benito Serrano y A l i a g a , se llam a á sobre las cuentas, habia hecho por esta causa hostilid ad al Go­ de la contribución extraordinaria de guerra, se aplicará D. R am ó n Red on do , D. Benito de la Torre , D. M a n u e l G a r ­ bierno. inmediata y exclusivamente al pago y manutención de los cía y D. Gregorio R e v e n g a , que en 15 de J u n i o del año p a ­ N ada diré sobre la ir re g u la rid a d de este proceder: solo h aré ejércitos en actividad , sin que por ningún título…</t>
  </si>
  <si>
    <t>de la Torre, Francisco López</t>
  </si>
  <si>
    <t>Francisco López de la Torre</t>
  </si>
  <si>
    <t>…continuar dispuso salir inmediatamente con 22 Nacionales, en compañía ópera jocosa , en dos actos, música del maestro Donizetti, que satisfaciendo la parte alicuota del censo ó carga hasta que con­ del alcalde de aquel pueblo D. Francisco López de la Torre, tantos aplausos ha obtenido ea todas sus representaciones, t i ­ c luyan el pago del c a p ita l, á la manera que lo dispuso el subteniente de la misma compañía , y siete Nacionales m ovili­ tulada Gobierno eu Real orden de 24 de Febrero de 1857. zados de caballería de…</t>
  </si>
  <si>
    <t>de la Torre, Lorenzo Cobo</t>
  </si>
  <si>
    <t>Lorenzo Cobo de la Torre</t>
  </si>
  <si>
    <t>…aba Elú*: juzgado de primera instancia de Burgos, vacante por trasla­ Se asegura que los cinco ministros M M . Passy, Teste , V i- poco después D. Cárlos salió de Lesaca pera Goizueta escoltado ción de D. Faustino Arranz , á D. Lorenzo Cobo de la Torre llemain , Dufaure y el alm irante Duperré se han declarado en por Elio con cuatro compañías del 7.° y una parte del 11.° ba­ que desempeña el de Logroño; para esta judicatura á D. Pele- favor de que se adopten medidas prontas y enérgicas ; los otros tallón. grin José Saave…</t>
  </si>
  <si>
    <t>de la Torre, Nicolás López</t>
  </si>
  <si>
    <t>Nicolás López de la Torre</t>
  </si>
  <si>
    <t>…e Polibio Megalopolitano , traducida del griego cualidades son bastantes por sí para recomendar una obra dra­ por D. Ambrosio Rui-Bamba. Tres tomos en 4*V edición mática; pero la presente reúne ademas á estas dotes la magni­ D. Nicolás López de la Torre , vecino y del comercio de la de 1788, á 40 rs* en rústica, y 57 en pasta común. Habana, poseído del mas puro amor á su‘patria y de adhesión ficencia del aparato, para lo que no ha omitido U sociedad nin­ No escribió Polibio para ostentar su talento sino para d iri­ á nues…</t>
  </si>
  <si>
    <t>de la Vega, Carlos</t>
  </si>
  <si>
    <t>Carlos de la Vega</t>
  </si>
  <si>
    <t>…..... 2.674,287..5£ blicación de este anuncio en la Gaceta, á todos los que se crean E n tre g a de SETIEMBRE de 1839. -------------------- 20.471,102..4I acreedores á los bienes quedados por fallecimiento de D. Gre­ gorio y D. Carlos de la Vega, vecinos que fueron de esta corte, Se halla á 3 rs. tanto en rama como en rústica en el Diferencia entre la importación y exporta­ para que dentro del referido término acudan á deducir sus re­ ción. Ps. fs................................................................ 4-^58,775..…</t>
  </si>
  <si>
    <t>de la Vega, Ventura</t>
  </si>
  <si>
    <t>Ventura de la Vega</t>
  </si>
  <si>
    <t>…n corta diferencia lo que es La ópera í Piirilani ed i Cavalieri. La concurrencia fue nu ­ segunda dama duende, elegante y acertadamente acomo­ merosísima y brillante, y tuvo motivo para no salir des­ dada a nuestra escena por D. Ventura de la Vega, á Le Po­ contenta del conjunto total de aquella. El Sr. Ramos gustó BUENA-VISTA. A las ocho y media de ht noche. Des­ int no note; en ambas se han conservado la intriga y la mucho en el cuarteto de salida, que cantó con exquisi­ pués de una brillante sinfonía se pondrá en escena…</t>
  </si>
  <si>
    <t>…a d o ra, á la P o r su R eina á Isabel alzando en ellos. aplauso en el teatro del Príncipe. Constitución de la m onarquía española: que esta sea u n a v er­ da d , y se desenvuelvan sus benéficas consecuencias con legali­ De D. Ventura de la Vega* , dad y con justicia. Siguiendo el ejemplo dado por el Presidente, se propusie­ Pues cesaron los horrores E n momento inesperado, SEMANARIO ron por los señores que á continuación expresamos los sig u ien ­ Y allá se abraza el soldado, Im itémosle, Señores! PINTORESCO ESPAÑOL…</t>
  </si>
  <si>
    <t>…n , Andrés G o ­ Barcelona, á ps. f s . ,i papel d. Sevilla, i d. Los redactores del E ntreacto son: D . Juan Eugenio H a r t - do &gt; fa lias Once), por D. Francisco G o d o y , en 24» Bilbao, \ á £ d. Valencia, \ d. zerobusch.—D. Ventura de la Vega.—D. José María D ia z .n D o u Otra id.,cañ*d« de la Sinelva, término del Presidio, el En­ Cádiz, ¿ id. Zaragoza, par. Patricio de la Escosura.^D. Juan d-el Peral.zzD. José Zorrilla.ra gaño, po. Antonio Cuesta , en 27. D . Ramón de Navarrete.—D. Antonio García Gutiérrez.r=Lo? De…</t>
  </si>
  <si>
    <t>…rones y dos obuses de Portugueses, 5'45** montaña , dos morteretes de á siete pulgadas, y otras tres ó Belgas, 102. Compúsose este de una comedia en tres actos traducida de) cuatro piezas pequeñas de artillería. frauces por D. Ventura de la Vega con el título de Un alma Dicho dia sábado se adelantó hasta Zornoza con solo el sé­ Brasileños, 81. de Artista , y de una zarzuela del Sr. Bretón de los Herreros, quito que habitualmente le acompaña, compuesto de unos 40 Colombianos , 2 9 f. titulada El Novio y el Concierto, á 5…</t>
  </si>
  <si>
    <t>…ejecutará ciendo también preso á un eclesiástico vicario de la Pobleta. No la comedia en tres actos, no representada hace seis años, arre­ hubo ninguna desgracia en ambos eucueutros de parte de d i­ glada á nuestro teatro por D. Ventura de la Vega , titulada chas secciones, (ü . M . de V .) BOLETIN DE COMERCIO. A C E R T A R E R R A N D O t&gt; EL CA M B IO D E D IL IG E N C IA . BOLSA D E M A D R ID . V a lenda 2 l de M ayo . Intermedio de baile nacional; terminando la función con Cotización del dia 28 d las tres de la ta…</t>
  </si>
  <si>
    <t>de la Veldad, Juan</t>
  </si>
  <si>
    <t>Juan de la Veldad</t>
  </si>
  <si>
    <t>…je al ex- bre sin haber cometido el mas pequeño exceso. do por ellos, fueron arrollados, quedando en el campo muertos trangero. (G aceta d e Augsburgo.) A l anochecer los magistrados habían decretado el arresto los cabecillas D. Juan de la Veldad, de Miguelturra , famoso de cuatro de los gefes, y á las doce y media MM. Boulton y por sus crímenes, el Andaluz y otro mas: habiéndose distin­ Clive, constables de la ciudad, Mr. G. Piedfern, gefe de la po­ guido mucho en este actó el cazador del escuadrón de lá M a n ­ licía, y…</t>
  </si>
  <si>
    <t>de la Viésca, José</t>
  </si>
  <si>
    <t>José de la Viésca</t>
  </si>
  <si>
    <t>…o llegado á noticia de aquellos electores su atabal: IX Pedro Martínez:. D. Matías Oiave; D. Manuel latura anterior en igual caso. expulsión hasta el 21 , no pudieron hacer valer su derecho ha­ d ar*A?: ^08&lt;l u*0 U rtetegui: D. José de la Viésca: D. A n- . Aprobado sin discusión. llándose disuelta la diputaciou provincial. es varez: D . Manuel Leiras: D. Pedro Pascual Vela: Don Igualmente lo fue el siguiente respectivo á la cuarta, que Que en cuanto á coacción, estaba probada con eí hecho que uan Escribano: D . Joaquín R…</t>
  </si>
  <si>
    <t>de la Yega, Ruiz</t>
  </si>
  <si>
    <t>Ruiz de la Yega</t>
  </si>
  <si>
    <t>…art. 51. El Sr. Ondovilla hizo unas ligeras observaciones en apoyo Entrando S. S. á manifestar que los jueces de primera ins­ Si pasado el término del emplazamiento hecho en el juzga­ de la enmienda , á las que satisfizo el Sr. Ruiz de la Yega , y tancia están en distinto caso que los auditores de guerra , hace do inferior, no hubiesen comparecido las partes, se les nom­ preguntado si se tomaba en consideración , se acordó que uo. ver que se han leído varias leyes en las que se prueba que los brará de oficio defensor y p…</t>
  </si>
  <si>
    <t>…nda del Sr. marques de Valígornera, se contestó que sí y monumento que S. M. el Emperador ha hecho erigir á J e r - pajó á las secciones, anunciándose después de breves observa­ mack , conquistador de la Siberia. ciones del Sr. Ruiz de la Yega sobre el mismo particular, que CONGRESO DE DIPUTADOS. en su consecuencia se suspendía la votación del art. 5.° Fue aprobado sin discusión el dictamen de la misma comi­ PRESIDENCIA DEL SEÑOR VICE PRE SID E N TE ZU M R LACAR RE G U I. sión sobre la segunda parte del art. 7 .° y el a…</t>
  </si>
  <si>
    <t>de la, Acerca</t>
  </si>
  <si>
    <t>Acerca de la</t>
  </si>
  <si>
    <t>…idad mandó esa fuerza á un p un to , donde creia provincia no se publicaron esas listas el dia 8. que las elecciones no le eran favorables, y no solo ha obrado el Bilbao 12 d e S etiem b re . Anoche vino á esta villa el general Acerca de la distribución de los distritos electorales doy por D. Simón la Torre. El pueblo está lleno de oficiales y soldados gefe político de esa manera , sino que ha usado de su autori­ supuesto que h a y a sido para que la diputación provincial f a ­ procedentes de los batallones vizcaínos. C on…</t>
  </si>
  <si>
    <t>de la, Adriano</t>
  </si>
  <si>
    <t>Adriano de la</t>
  </si>
  <si>
    <t>…a se halla hecha El Sr. PR E SID E N T E : N o puedo concederla sino en uno D. Basilio de Carranza, D . Antonio Tabernilla, D. Antonino postura en 1200 rs.), y para su remate se ha señalado el dia ú otro sentido. de U riarte, D. Adriano de las Bárcenas, D . Valentín Sigüen- 13 del corriente y hora de once á doce de la mañana en la casa El Sr. BARRIO AY USO : N o es justo que á unos se les za y D . Luis B ion, quienes declararon por unanimidad no ha­ posada de dicho señor que la tiene calle de Bordadores, núme­ deje hablar…</t>
  </si>
  <si>
    <t>de la, Alvear. Después</t>
  </si>
  <si>
    <t>Alvear. Después de la</t>
  </si>
  <si>
    <t>…acteriza buques, cuya llegada se está esperando hace mucho tiempo. las señoras de la ciudad , en cuyo número se hallaba la esposa los sentimientos de que se halla poseído al observar el estado (L iverp ool Standar d.) del general Alvear. Después de las señoras, las autoridades se de la nación. uncieron al carro como animales de tiro , como también los ge­ Que el convenio de Vergara , Señora, h aya dado y dé tan­ nerales. Ha hecho proclamar por príncipe á uno de sus sobrinos. tos días de alegría á los buenos españoles; que e…</t>
  </si>
  <si>
    <t>de la, Antonio</t>
  </si>
  <si>
    <t>Antonio de la</t>
  </si>
  <si>
    <t>…del L ouvre y á una larga distancia los Sres. viuda y herederos de D . Juan Sainz de Santa yana, vilegio que con el estruendo de las armas y estremecimien­ todo el efecto de la verdad misma. El paladín cristia­ por 5500 rs.: D. Antonio de la T orre, por lJfOO: D. Gaspar to del orbe entero empezó el coloso de la revolu ción fran­ no arrodillado sobre la cum bre del m onte sagrado mos­ de Manuz y Baldor, vecino de Santander , por 50532 rs.: D on cesa, y a esta la tolerancia religio a que un ciudadano ir­ traba en su n ob l…</t>
  </si>
  <si>
    <t>…ro con tim idez; reprim e sus pasiones, que quie­ Id. D. Manuel E chavarría. .................... 8.. 4 neta armada y con el arma á discreción subían por todos los ren sublevarse otra vez, y hace buen uso de la felicidad^ Id. D. Antonio de las Torres...................... * 8.. 4</t>
  </si>
  <si>
    <t>de la, Baudin. Tiene</t>
  </si>
  <si>
    <t>Baudin. Tiene de la</t>
  </si>
  <si>
    <t>…DEL CARRO FUNEBRE. confiaba en nosotros, y porque estaba seguro de que nosotros portancia de la que merece, y que el comandante de la Criolla nos mostraríamos dignos de nuestra misión. habia obrado según las órdenes del almirante Baudin. Tiene de largo 50 pies y 17 de a lt u r a , formando tres cuer­ Entrando el orador á tratar de las diferentes combinacio­ En seguida se levanta la sesión sin citar para día fijo, pre­ pos en figura p ir a m id a l, visto por su frente. En el primer nes que ha h ab id o , dice que habia apro…</t>
  </si>
  <si>
    <t>de la, Calderón</t>
  </si>
  <si>
    <t>Calderón de la</t>
  </si>
  <si>
    <t>…10 he encontrado esa adición. He visto que todas ellas estaban es innecesaria, y ha de entenderse por necesidad, respecto á las En combinación con el fanal giratorio del islote Hirs- decretadas en el sentido mismo que la del Sr. Calderón de la categorías que tienen provincias d i v e r s a s , que no son mas que holmen , y para dirección de los buques que atraviesen el B a rc a , y no recuerdo si habia tiempo determinado para pre­ los capitanes generales, y si se quiere los magistrados de la | u - canal al O de la isla Lae…</t>
  </si>
  <si>
    <t>de la, Carlos</t>
  </si>
  <si>
    <t>Carlos de la</t>
  </si>
  <si>
    <t>…reedores de q u e , cabiendo en menor número de pliegos, pueda expen­ á los bienes quedados por fallecimiento de D. Gregorio y E n t r e g a d e JULIO d e 1839. derse con mayor conveniencia en beneficio del público. El retra­ D. Carlos de la \ e g a , vecinos que fueron de esta co rte, para to que acompaña está hermosamente grabado, y de su semejan­ que dentro de dicho término acudan á deducir sus reclamacio­ za con el original dan fe algunos sugetos que le conocen per­ Se halla á 3 rs. taríto en rama como en rústica en e…</t>
  </si>
  <si>
    <t>de la, Clara</t>
  </si>
  <si>
    <t>Clara de la</t>
  </si>
  <si>
    <t>…or 100, 55 en títulos de 100 rs.i de Moratin , es el tipo del embaucador y truan de profe­ voluntad con otra voluntad mas fuerte; el argumento del 51 \ con cupones al contado: 52, * , 51J, 52 cinco díeziseisa- sión : en fin, Doña Clara de la M o jig a ta lo es de la hi­ deber con otro argumento mas lógico, el de la razón. Si vos, 5 l f , 52|-, 51f y 51£ á v. f. ólvol. y firme: 52, 55, pocresía en la muger, comoTartuife de la hipocresía en antes el poeta demostró los inconvenientes del matrimonio 52 f , | y 55* á v. f. ó vol.…</t>
  </si>
  <si>
    <t>de la, Cobo</t>
  </si>
  <si>
    <t>Cobo de la</t>
  </si>
  <si>
    <t>…alamanca , Segovia , Se v illa, Sres. E strad a, Puigmoltó y J a c o . Una (le las mas espléndidas demostraciones de la exis­ V ale n cia, V i z c a y a , Zamora y Z ír a g o z t. jI Estrada por 7 0 , habiendo obtenido 14 el Sr. Cobo de la tencia de Dio» e» la admirable correspondencia que se</t>
  </si>
  <si>
    <t>de la, Cortina</t>
  </si>
  <si>
    <t>Cortina de la</t>
  </si>
  <si>
    <t>…credo político del Gobierno, de su manifestación de fé po­ profanarle, como dijo el Sr. Olózaga? en cuaoto á que no lo pondría desde luego eo práctica, ó no lo lítica , que la habia hecho en los documentos oficiales. Habló el Sr. Cortina de la causa del Sr. Ortigosa : algo d i­ sancionaría, ine parece que ha sido demasiado aventurar S. S., Señores, quisiera que no hubiera tanto credo escrito: bueno jo sobre esto el Sr. Arguelles; y todo viene á recaer en cargos porque ni es infalible , ni es eterno en ese puesto ; y no sabe…</t>
  </si>
  <si>
    <t>de la, Cortés. Respecto</t>
  </si>
  <si>
    <t>Cortés. Respecto de la</t>
  </si>
  <si>
    <t>…hateaubriand de manera que la tras instituciones, porque solo de esa m anera pueden ro­ Descuento de letras 9 á 6 por 100 al año. traducción no desdiga del original, conceptuamos de tanto mas bustecerse. mérito el trabajo del Sr. Cortés. Respecto de la obra original ya Sin em bargo, nosotros no somos de aquellos que se hemos manifestado nuestra opinión en los tres artículos que in­ alim entan con ilusiones, prescindiendo de los hechos: por sertamos del Correo de Burdeos. La impresión nos parece asea­ esta razón no tenemos i…</t>
  </si>
  <si>
    <t>de la, Cárlos María</t>
  </si>
  <si>
    <t>Cárlos María de la</t>
  </si>
  <si>
    <t>…tos, 44 idem heridos, rando; y ha recaído el nombramiento en los Diputados D. Jo­ visión D. Genaro M orata, el teniente coronel graduado coman­ Dcho idem contusos. sé Ortiz de la Torre y D. Cornelio Escalante. dante del mismo D. Cárlos María de la T o rre , que aguardan­ Tercero id. id. id.=Dos oficiales heridos: cuatro individuos Sin perjuicio délo demas que acuerde la comisión m ixta, do ocasión de incorporarse al cuartel general de este ejército, de tropa muertos, 55 idem heridos, 10 idem contusos. se han redactado algun…</t>
  </si>
  <si>
    <t>de la, D. Francisco Amorós y Arte</t>
  </si>
  <si>
    <t>D. Francisco Amorós y Arte de la</t>
  </si>
  <si>
    <t>…omo eu 4 °, adornado de varias estampas, que se prometió, y el hombre le hizo la siguiente relación. vende á 20 rs. rústica y 26 pasta común. Que el difunto habia sido diezmero en su parroquia, 17 N virtud de providencia del Sr. D. Francisco Amorós y Arte de la cria del gusano de la seda , por D. Juan Lanés y que siendo él labrador habia venido á cobrar el diezmo; ^ López, juez de primera instancia de esta villa , refrenda­ y D uval, edición de 1787. Un tomo en 8.° á 8 rs. en pasta que habia tomado mas de lo que d eb ia, y…</t>
  </si>
  <si>
    <t>de la, D. José Gómez</t>
  </si>
  <si>
    <t>D. José Gómez de la</t>
  </si>
  <si>
    <t>…mediado entre los dos Gobiernos con motivo de la vigilan cia que ha debido ejer­ El Excmo. Sr. presidente ha nombrado para el ministerio cerse en las fronteras del Estado de M ain e , y dónde están las de Hacienda al Excmo. Sr. D. José Gómez de la C o rtin a, quien negociaciones que ccn este motivo se hayan entablado. acaba de prestar el juramento de estilo. Igualmente lo ha pres­ SUIZ A. 7.° Si ha habido alguna correspondencia reciente entre los tado, como encargado interinamente del despacho del ministe­ dos Gobiernos co…</t>
  </si>
  <si>
    <t>DE LA, D. Juan José LOS PADRES</t>
  </si>
  <si>
    <t>D. Juan José LOS PADRES DE LA</t>
  </si>
  <si>
    <t>…el sello de la originalidad y diestramente delinea­ también sostenidos con la maestría que acostumbra del francés, titulado el autor de Catalina Howard y de Teresa. Sin embargo, el T?N virtud de providencia dictada por el Sr. D. Juan José LOS PADRES DE LA N OVIA. público juzgará , y solo su fallo favorable puede recompensar Rodríguez Valdeosera, caballero comendador de la Real los esfuerzos de la sociedad. orden de Isabel la Católica , juez togado de primera instancia de esta corte, refrendada de D. Manuel Fernandez de…</t>
  </si>
  <si>
    <t>de la, DE REN TAS ESTANCADAS.</t>
  </si>
  <si>
    <t>DE REN TAS ESTANCADAS. de la</t>
  </si>
  <si>
    <t>…a bajo ia presidencia del M in is ­ Y esta existe también y es consecuencia de los vicios tro. Esta sesión preparatoria no ha tenido otro objeto que el de arreglar el orden de los trabajos. (Moniteur Parisién.) DIRECCION GENERAL DE REN TAS ESTANCADAS. de la parcialidad. Si la crítica bastarda 110 e x i s t i e r a , se acatarían todos los fallos de los escritores; respeta ríanse Debiendo procederse en virtud de Real orden á la compra las o p inion es, m u cho inas cuando se ex p lican lógica y en pública subasta de 1560…</t>
  </si>
  <si>
    <t>de la, Despacho</t>
  </si>
  <si>
    <t>Despacho de la</t>
  </si>
  <si>
    <t>…a V e g a , Senador por la provincia de Sevilla. cimientos que han manifestado los Sres. de la ju n ta directiva. el Sr. L e a l, 8 el Sr. V iadera, 2 el Sr. S an ch o , y á 1 los seño­ Se leyó un oficio del Sr . Secretario del Despacho de la G uer­ res O lózaga, Aillon , La C a lle , G uillen Roda y Sánchez T o s- Pronto comenzarán sus trabajos y á sentirse las ventajas de tan ra al que acompañaba 150 ejemplares impresos del decreto de 1.° cano. Total de votantes 106. ú til corporación en el alivio de los infelices encar…</t>
  </si>
  <si>
    <t>…sidad que hay de conceder al Gobiernb éste ‘ impusiese inmediatamente el castigo. menino, que yo creo que no se limita solo al número de 200, recurso ; y añade que por el método que establece la comisioii' El Sr. Secretario del Despacho de la G U E R R A : A dos ob­ sino que pasa al de 4OO ó 600. Estas bajas, señores, que resul­ se originarán menos perjuicios que de cualquier otro modoY * f jetos se reduce la interpelación del Sr. duque de G o r : primero ta n , son bajas físicas y morales, y e s una injusticia que estos…</t>
  </si>
  <si>
    <t>…a su conoci­ nanda, continúan en esta corte sin novedad en su im­ cargo. miento y efectos correspondientes en el ministerio de su portante salud. Y de la misma Real orden , comunicada por el referi­ CORTES. do Sr. Secretario del Despacho de la G uerra, lo traslado CONGRESO DE DIPUTADOS. M INISTERIO DE LA GUERRA. á V. E. para su conocimiento y efectos consiguientes. Dios guarde á V. E. muchos años. Madrid 28 de Setiembre de P R E S ID E N C IA DEL SEÑOR CALATRAVA. Reales órdenes. 1839.=E1 subsecretario de Guerra. Sesión…</t>
  </si>
  <si>
    <t>…os é inconvenientes que produciría sin ninguna utilidad, rias aclaraciones. han percibido. Palacio del Congreso 15 de Diciembre de 1858.=: pues la stm ic h asq u e para todo ex i s lia n q w r-s e r* ^ ^ l El Sr. Secretario del Despacho de la G U ER R A : Creo que Pascual Fernandez Baeza.^M . Zumalaharregui.^zFrancisco C u - día no daban ,ni;&gt;gun resultado , y no por falta de celp^en sus está reducido el proyecto en cuestión al modo de regularizar la rado.~Gov antes.—Berta vides, secretarlo. individuos ,s h io porque tal…</t>
  </si>
  <si>
    <t>…el año 1854 Navarra se ha regido por leyes excep­ distrito de Alarcon en la provincia de Cuenca, reclamada por el quienes ninguna objeción se opuso por esta circunstancia, y cionales. Coogreso, y que remitía el Sr. Secretario del Despacho de la hasta se declaró con respecto al último,cuando obtuvo el nom­ daba (leyóEl); art. y eso 7.° de la ley electoral que regia entonces man­ que estaban expeditas las comunicaciones, y Gobernacioo. bramiento de magistrado, que ni aun estaba sujeto á reelección. no habia llegado la guerra…</t>
  </si>
  <si>
    <t>…podamos eateadernos. sa de la causa de la libertad y de la Reiu a Doña Labe! 1 1 ; esa que el Sr. Mendez V i g o . M ilic ia que tautas pruebas tiene dadas de su patriotismo , y Quedó retirado el dictámen. E l Sr. Secretario del Despacho de la G U E R R A : Contestan­ que ha sido el sosten de la tranquilidad y seguridad de los ciu ­ Se dió cuenta en seguida del dictamen acerca del acta de do á las observaciones del Sr. C ala tra v a (D. R a m ó n ), diré en dad an o s; esa M ilicia , señores, se encuentra en algunos pueblos…</t>
  </si>
  <si>
    <t>…al fre n ­ su asistencia en el C o n g re so , y podrían re tirarse á sus casas. Pues veamos ahora cómo se afirma el crédito del M i n is tr o ; te de las banderas nacio nales, ó perecer eu la contienda. El Sr. Secretario del Despacho de la G u erra dijo que el G o ­ afírm ase en razón á que los contratos que efectúe y las o b lig a ­ N o lo dudam os ; el tig re que por espacio de cioco años co­ bierno no se negaba á traer el expedieote al C o n g re so ; pero ciones que c o n t r a ig a , esten en relación directa coa…</t>
  </si>
  <si>
    <t>…nuestros que han tenido la desgracia de sufrir igual . El Sr. P R E S ID E N T E : Esa no es la cuestión. 8 .4 1 5 .... 5 0 0 ....... M adrid. suerte lo han sido de sus ropas hasta con ofeusa del pudor. El Sr. Secretario del Despacho de la G O B E R N A C IO N : A o « E l 2.° fue la torna por asalto del castillo de Ullizarra* don­ no crcia que se podría poner en duda la facultad que tiene el de mis virtuosos soldados concedieron el cuartel a sus bizarros La dirección general ha dispuesto que el sorteo que h a de Gobie…</t>
  </si>
  <si>
    <t>…s, trajes; y costumbres d e todas; Ibs nació-; de tiradores de la Pa t ri a de esta pro v i n c i a por disposición del nes , t r a d u c id a ¡ibrémooté d e l francés* por D . M." J . ; d e ; M . Un* Excuio. Sr. Secretario del Despacho de la G u e r r a , asi como el B IBLIO G R A FIA . tomo en 8.° apaisado. Esta obra,; que antes se v e n d í a e » 5Q r dar publi cidad á este generoso desprendi mi ent o de D . V ic en te h a lla r á eñ la lib re ría de la v i u d a de R azó la, á 4 0 rs. en rú s t ic a .' J u a n Perez…</t>
  </si>
  <si>
    <t>…en en el momento. Conozco que rectifican varios .hechos. del S e n a d o ; y asi ruego al Sr. Presidente que m ande p re g u n ­ a q u i se habla de Y a l e n c i a , qu e pocos d ía s an tes se h a lla b a El Sr. Secretario del Despacho de la G O B E R N A C I O N : t a r al Senado si estamos en situación de en tra r á t r a t a r de m a ­ en estado excepcional , y se cree q u e no podrá gobernarse sin H e tenido el disgusto de haber llegado cua n d o y a el Sr. Gon­ t e r ia tan importante. este m e d i o ; véase como p…</t>
  </si>
  <si>
    <t>…ner con decoro y de­ rio 13 de Ju n io de 1839.—EI duque de la Yictoria.rsExcmo. Se­ &gt;as* N uroa Pompilio levantó en Roma un templo á la pro­ cencia, con respecto á sus in stitu to s, y sobre lo que velará la ñor Secretario del Despacho de la G uerra. hijad , y estableció el culto de Jú p iter. Los americanos del Ñ o r- autoridad civil. ,e, por medio de la tolerancia religiosa, han entrelazado dies­ Que se restablezca , como se ha hecho en Venezuela y la S. M . se ha enterado con satisfacción. tramente el cri tianiswo al…</t>
  </si>
  <si>
    <t>…scolta correspondien­ m uchos años: Madrid T8 de Febrero de 183!). = Isidro que esa dirección general dé cada och o dias parte a este te de los 250 soldados , ó todavía seria mejor que el gefe polí­ A la ix.= S r. Secretario del Despacho de la G obernación ministerio de las disposiciones que se han tom ado y se va­ tico y la diputación provincial movilizasen con este objeto de la Península. yan tornando para activar la construcción de las carrete­ 500 Nacionales; siendo de su cuenta el habef que bajo todos ras de Jaén á…</t>
  </si>
  <si>
    <t>de la, Despacho de la Gobernación</t>
  </si>
  <si>
    <t>Despacho de la Gobernación de la</t>
  </si>
  <si>
    <t>…copiándose con sepa­ de Mayo de 18 &gt;9.—Excmo. Sr.—Francisco Muñoz y Andrade.— 22 caballerías, se han construido los cimientos de dicha alcan­ ración 63 cargos de piedra, colocándolos en paraje próximo y Excmo. Sr. Secretario del Despacho de la Gobernación de la tarilla , que contienen 3148 pies cúbicos de manipostería con cómodo para emplearlos cuando se eche el fírme. A pesar de las Península. buena mezcla , y conducido piedra para unas 43 varas cúbicas continuadas lluvias que han hecho perder algunos dias en los de la m…</t>
  </si>
  <si>
    <t>…s hará nuevos adelantos sobre algunas accio­ sobre este punto. nes industriales. (C. Belga.) Por el ministerio de la Guerra se dice con esta fecha En Montreal los habitantes habían resuelto recibir favora­ al Sr. Secretario del Despacho de la Gobernación de la blemente al gobernador general y ver venir las cosas. El comer­ Península lo siguiente: cio estaba algo paralizado en ambas provincias; la venta de los ITALIA. He dado cuenta ¿ la Reina Gobernadora de lo expues­ artículos de importación era muy lenta y se hacia á pr…</t>
  </si>
  <si>
    <t>de la, Domingo María Ruiz</t>
  </si>
  <si>
    <t>Domingo María Ruiz de la</t>
  </si>
  <si>
    <t>…ibros y papeles del archivo, y nada se ha encontrado. La úni­ D e hermosa g rey pastor muy mas hermoso. ca circunstancia que hay en este asunto, es que un vecino de ¿ P o r qué se perm ite á los poetas la trasposición que Por D. Domingo María Ruiz de la V ega . Triana tenia la devoción de rezar delante del altar con alguna frecuencia, y dice que habrá dos años que estando en su ora­ en prosa sería justamente censurada? P orq u e si esta figura Bajo este título se anuncia, y por primera vez se ofrece, la ción se llego á él…</t>
  </si>
  <si>
    <t>DE LA, EL DESPACHO DE LA GOBERNACION</t>
  </si>
  <si>
    <t>EL DESPACHO DE LA GOBERNACION DE LA</t>
  </si>
  <si>
    <t>…ue doy cuenta detallada á la dirección de Presidios. Dios guarde á PARTES RECIBIDOS EN LA SECRETARIA DE ESTADO A p e rtu ra d e cam ino en tre G uadiel y B ailen• V. E. muchos años. Granada 1 .° de Mayo de l859.^:Exceien- Y D EL DESPACHO DE LA GOBERNACION DE LA PEN ÍNSU LA. tíúmo Sr.—Alfonso Escalante.rrExcioo. Sr. Secretario de Estado y del Despacho de la Gobernación de la Península. Se han invertido en esta obra 75 trabajadores, y e x p la n a d o 158 varas lineales en relleno de 4O pies de ancho y cuatro, pies Gobi…</t>
  </si>
  <si>
    <t>…tercera columna al mando de D. José P á ­ Fuente de Almaraz. ramo se han quemado al enemigo dos campamentos, salvando PARTE RECIBIDO EN LA SECRETARIA DE ESTADO á uua muger que tenían prisionera en uno de ellos, y cogiendo V D EL DESPACHO DE LA GOBERNACION DE LA PEN IN SU LA . Con fecha de ayer he prevenido al ayudante honorario de algunas armas, víveres y otros efectos. Dirección general de cam inos, canales y puertos.:=Exce- caminos D. Mariano Martínez, encargado de la conservación lentísirno Sr.: Paso á rnauos de Y.…</t>
  </si>
  <si>
    <t>…igas que amenazan por todas partes sin embargo que no somos peritos en esta materia, podemos PARTES RECIBIDOS EN LA SECRETARIA DE ESTADO al trono de los CLinaulis. asegurar que un gran número de señoras inteligentes que las Y D EL DESPACHO DE LA GOBERNACION DE LA PENINSULA. El honorable representante del Rey de Francia, animado revisaron, se sorprendieron al ver unas obras que no parecían Direjpcion general de Presidios del reino. = Exorno. S r .: El de la confianza que inspira su nación, se presentó ayer al Gran ser elab…</t>
  </si>
  <si>
    <t>DE LA, EN CIA</t>
  </si>
  <si>
    <t>EN CIA DE LA</t>
  </si>
  <si>
    <t>…del dia 8 á las tres de la tarde, cl. — :r v:sr,i=j.:r .:.^ :^ rra ssas8gag&amp;Bssss habiéntfosé auirientadó é l número de aquellas labores con qtFas v i rías ofrecidas con igual fin piadoso,voÍV era á estar abierta CO R RESPO N D EN CIA DE LA G A C E T A. EFECTOS PUBLICOS. 1: dicha eoepodeion por solo pl termino de dos (íiasl que ser|n el Ü y 12 dél eón ien te; por cuantc) en el sábado inmediato ha D e un pueblo del interior de la provincia de Guipúzcoa es­ Inscripciones en el gran libro á 5 por lhO , 0 0 . de celebrarse…</t>
  </si>
  <si>
    <t>de la, Encargado</t>
  </si>
  <si>
    <t>Encargado de la</t>
  </si>
  <si>
    <t>…ido al ejército desorganizado é indisciplinado que nos dejaro n , ha sido Número 10. Primera secretaría de Estado y del Despacho.^Coa esta fe­ la causa de irlo reparando poco á poco ; pero no ha habido tiem­ cha comunico al Sr. Encargado de la secretaría de Estado y del po, pues Espartero,co.no d ig o , viendo que ahora tiene que Confidencial. = Excmo. S r . : M u y Sr. m ío : Fie recibido la Despacho de Hacienda la Real orden siguiente: "Enterado el emplear la fuerza ; y esta , siendo tan superior á la nuestra, no confide…</t>
  </si>
  <si>
    <t>de la, Eugenio de CON Juzgado</t>
  </si>
  <si>
    <t>Eugenio de CON Juzgado de la</t>
  </si>
  <si>
    <t>…con la jurisprudencia mercantil con arreglo al código de comercio quv? compreude los dos tomos de suplemento: 12 tomos eo 4.0 - EDICION MAGNÍFICA PROVIDENCIAS J ü p iC lÁ L E S . Elementos de jurisprudencia mercantil. Por D. Eugenio de CON Juzgado de la capitanía genéral de Castilla la Nueva . T a p ia ; nueva edición considerablemente aum entada y refu n ­ dida con arreglo al código de comercio: dos tornos en 4.0 Es­ Se sacá á publica subasta la casa, cálle dé San A ntón de esta tas dos obras $é hallarán de venta e…</t>
  </si>
  <si>
    <t>de la, Francisco</t>
  </si>
  <si>
    <t>Francisco de la</t>
  </si>
  <si>
    <t>…­ LES AVENTURES apéndice se piensa insertar, con los Reales decretos de funda­ so 2i°, á dar razón del paradero de una lám ina de deuda sin ción de la nueva audiencia, la R eal instrucción de regentes de interés que ie negoció D. Francisco de las Herrerías y el Arco, DE las de A m érica, anotadas las reformas ocurridas en algunos de señalada con el núm, 61696, de rs. vn. 2 1 6 4 5 1 , bajo de aper­ sus artículos. Para el preciso costo de copias,, extractos, impresión y pa­ cibimiento, Escribanía d e cám ara d e l tribunal…</t>
  </si>
  <si>
    <t>…y deben llevar consigo, economizan­ cisco Antonio de P a n d o , D. Felipe López Yaldemoro, Don Se sabe que Mr. Detmod y el doctor Cristiaoi fueron inti­ do asi á la dirección general de Caminos los gastos de Manuel Labraña , D. Francisco de las Casas, D. Cleto E g u i- mados por dos jueces criminales á declarar si se consideraban trasporte, saber los puntos en que se establecen las en­ zabal, midad D. José Finat y D. Pedro Estrada, quienes por unani­ aun como declararon no haber lugar á la formación de causa, y diputados…</t>
  </si>
  <si>
    <t>de la, Francisco Martínez</t>
  </si>
  <si>
    <t>Francisco Martínez de la</t>
  </si>
  <si>
    <t>…an obtenido cada uno de lo» Diputados presuntos. El Sr. C A B A L L E R O reproduce lo expuesto en contesta­ B O L SA D E M A D R ID . ción al Sr. Perez de Rivas ; y añade, que aunque la comisión l^L Libro de los N iñ os, por D. Francisco Martínez de la cree ju to el dictamen que ha presentado, no tiene sin embargo Cotización del dia 6 á las tres de la tarde* Rosa. Se halla venal en el establecimiento de obras de pri­ empeño eo llevarle adelante si el Congreso se opone á él. EFECTOS PUBLICOS. mera educación, calle de Carret…</t>
  </si>
  <si>
    <t>de la, Galiano</t>
  </si>
  <si>
    <t>Galiano de la</t>
  </si>
  <si>
    <t>…creer que S. S. d irig ía una gran parte de su discurso á m í, Se leyó el art. 15 que quedó ayer pendiente, redactado en PRESIDENCIA DEL SEÑOR ISTURIZ. porque fijaba la vista en mí. estos términos. Todo cuanto ha dicho el Sr. Galiano de las relaciones de Puede la ley hacer operaciones extraordinarias de amortiza­ Sesión d e l día 12 d e E n ero d e 1859. amistad que le pueden unir con el Sr. conde de Toreno , las ción para sostenimiento del crédito. Pero estas operaciones se­ mias exceden en m ucho, en época , eo const…</t>
  </si>
  <si>
    <t>de la, Gil</t>
  </si>
  <si>
    <t>Gil de la</t>
  </si>
  <si>
    <t>…ntada dentro del |preciso término El que se anuncia contiene las tres comedias tituladas cura del papel y el realce de las 8 0 0 lám in as, que han requeri­ de 59 d ia s, contados desde este a n u n c io , en la secretaría del D. Gil de las calzas verdes. do desembolsos de consideración. tribunal pleno de la expresada audiencia. El celoso prudente. Concluida que esté la o b r a , se venderá á 2 00 rs. vn. V en tura te dé D io s , hijo. La primera entrega se publicará en Barcelona el dia i . ° de Noviembre. Se suscribe en…</t>
  </si>
  <si>
    <t>de la, Hacienda</t>
  </si>
  <si>
    <t>Hacienda de la</t>
  </si>
  <si>
    <t>…de y siete y me­ Conde de Feroandioa......................................................... 51 8.275.. .. 1000.................. Madrid. dia de la noche; media hora antes tocará la música en el balcón El iutendente general de Hacienda de la isla de 3 6 7 .... 600.............. Valladolid. del establecimiento: el despacho de billetes en el mismo local. Cuba remite por segunda vez, procedente de los 9 .4 1 1 .... 600.............. Madrid. gefes y empleados en Hacienda de la ciudad de 2 .9 0 8 .... 600.............. Barce…</t>
  </si>
  <si>
    <t>de la, IA Secretaría</t>
  </si>
  <si>
    <t>IA Secretaría de la</t>
  </si>
  <si>
    <t>…de Antón Martin. CORTES. También he visto con particular satisfacción el libro SE NA DO . que tiene por título: Traducción del francés sin maestro . Los ejercicios interlineales que contiene para hacer couo- O R D E N D E L D IA Secretaría de la obra pia de Jerusalen . PARA LA SESION DEL MIERCOLES 9 OCTUBRE DE 1839. El Sr. director general ha señalado para el remate de las Lectura del proyecto de ley aprobado por el Congreso de (1) Se venden las expresadas obras del Sr. Sotos en la li­ obras que han de hacerse en el c…</t>
  </si>
  <si>
    <t>de la, Ignacio</t>
  </si>
  <si>
    <t>Ignacio de la</t>
  </si>
  <si>
    <t>…teriores. (Id.) Gorocochea, D. Ju a n L «rañ a , D. A ndrés M eodez y P areja, y otras p ara la italiana El ancho de estas salas es de L e y señalando á la v iu d a de D . F ro ilan Mendez V i*o , m uer­ D. Antonio del R io , D. Ignacio de la R iv a , D . Blas M ena y 43 p ies, 54 de altu ra , y de 54 á 87 de larg o ; el pavim en­ to en defensa del orden p úb lico , una pensión de 2 0 $ reales. O liv e r, D. Gerónimo D íaguez , D . Isidoro Fernandez de A n ­ to de argamasa finísim a; las jam bas y dinteles de las p u er­…</t>
  </si>
  <si>
    <t>…a, D. J u a n L a r a ñ a , D. Andrés IMeodez y P a re ja , ó muchos a u t o r e s ; y por consiguiente d a r á conocer el v alo r Felipe: en las p rovincias, C a n a ria s, P u erto-R ico y la Habana, I ). Antonio det R i o , D. Ignacio de la R i v a , D. R a s M e o a y a c tu al y a n t i g u o de cada expresión del v o cabulario m éd ico ; en las administraciones de correos; en Paris en casa de Mes- O liver, D. Gerónimo D ia g u e z , D. Isidoro F ern andez de A n g u l o , señalar con cuid ad o los muchos é im p ortan t…</t>
  </si>
  <si>
    <t>de la, Iluiz</t>
  </si>
  <si>
    <t>Iluiz de la</t>
  </si>
  <si>
    <t>…o de votos. marques de Malpica , en que participa al mismo para los efec­ Hecho el escrutinio, obtuvo el Sr. Ida Fernandez 32 votos; tos conducentes que en últimos de J u n io S. M . se sirvió nom­ el Sr. Ondovilla 2 9 , el Sr. Iluiz de la V ega 23 y el Sr. Tor­ brarle caballerizo mayor de su Real Casa. MADRID 2 DE SETIEMBRE. res Solanot 1 6; quedando por consiguiente electos Secretarios Se maudó pasar á la comisión de Actas dos exposiciones do­ los Sres. Isla Fernandez y Ondovilla. cumentadas de D. Ramón Perez y D. Pedr…</t>
  </si>
  <si>
    <t>de la, IO</t>
  </si>
  <si>
    <t>IO de la</t>
  </si>
  <si>
    <t>…am as académ icas para gobierno de los estudios de d i b u ­ DE AD M IN ISTRA CIO N . j o , sociedad económica m atritense, junta de dam as unida á esta, colegio de s o r d o m u d o s , ateneo científico y litera C O M P E N D IO de la historia de la medicina, por los profe­ sores médico-cirujanos D. Antonio Codorniu y D . José M aría de la Rubia. Por D. Francisco Agustin Silvela • rio , colecturía general del fondo pió beneficial, junta de D I V I D E S E LA OBRA EN C U A T R O P A R T E S ! beneficencia, hospitales…</t>
  </si>
  <si>
    <t>de la, Isidoro García</t>
  </si>
  <si>
    <t>Isidoro García de la</t>
  </si>
  <si>
    <t>…ECRETO. ciembre de l838.=Relacion del denuncio de mina presentado y admitido en esta inspección en el mes de la fecha. A virtud de providencia del Sr. intendente subdelegado de Como Regente y Gobernadora del reino durante la D. Isidoro García de la M a ta , vecino y del comercio de la rentas de esta provincia, se cita y emplaza por término de menor edad de mi augusta Hija la Reina Doña Isabel n, ciudad de S e v illa , en nombre y como director suplente, socio tercero dia preciso Á D. Joaquín V illagarc ía, á fin d eque se…</t>
  </si>
  <si>
    <t>de la, Ivo</t>
  </si>
  <si>
    <t>Ivo de la</t>
  </si>
  <si>
    <t>…s­ cio He d a d o cu enta á S. M. la R eina G o b ern ad o ra del ofi­ de Y. S. de 5 del ac tu al, m anifestando haber accedi­ su resultado. pital central, en cuyo tránsito espiró el López. Se dice que un do á la petición de D. Ivo de la C o rtin a, oficial te rc e ro - Mr. Dreux-Brezé apoya la interpelación de Mr. Pelet (de hermano dei difunto hizo frente al muchacho matador con una la Lozere), fundándose en U conveniencia de entrar en una a5uj *5 pero este le dió otro golpe de navaja; los disputantes s e g u n d o de e…</t>
  </si>
  <si>
    <t>…asta la fecha con la brigada de digna de la atención europea que ha despertado y promovido la 60 hombres pertenecientes al peninsular de esta capital. Una lucerna fam iliar de dicha materia. aplicación del mencionado oficial D. Ivo de la C o rtin a, pre­ Un puchero de idem. Exten­ L ati­ Pro­ sentando resultados tan felices, no dudo merecerá la atención sión. tud. fundi­ de S. M . para prestarle todo el fomento que sea compatible^ en M onedas. dad. las presentes circunstancias. Dios guarde á Y . E. muchos anos. Sevil…</t>
  </si>
  <si>
    <t>…edan adoptar desde luego con arreglo á las las excavaciones efectuadas el próximo pasado mes de Mayo por tornasolado de rojo y amarillo hasta su saao que le forma un leyes. el oficial tercero segundo de este gobierno político D. Ivo de la boton de color de oro y negro: partes de las extremidades de 4.° Los estudios de este Instituto se dividirán en estu­ ortina, para que si lo tiene á bien la eleve á conocimiento de tos C las licinias del cáliz se intercalan á la corola ; todos estos obje­ S. M. En ella se da un testimon…</t>
  </si>
  <si>
    <t>…s clases po­ Ies coloca en clase de aprendices en los ta lle r es, bajo la tutela b res, bien p ronto se co n ven cerían de esta v en taja y la p ro ­ de la fcomísion. L a s m uch achas mas adelantadas én e d a d , pasan D e D. Ivo de la C o r t i n a , que con ta n to celo está d e d i­ c u ra ría n y a en tre s í , ó y a asociándose á los otro s p a ra dis­ á la escuela de L costura , en donde tra ba ja n para beneficio de c a d o al d e scu b rim ien to de las ru in a s de Itálic a , d ice ti» f r u ta r la . su fa m i…</t>
  </si>
  <si>
    <t>De la, Joaquin González</t>
  </si>
  <si>
    <t>Joaquin González De la</t>
  </si>
  <si>
    <t>…e los fran­ los sugetos siguientes: D . Mariano Lorente, D, José María ceses. (Conclusión. Véase el número anterior.) Por G. G. diferencia que la que se halla en este lomo con el título M anglano, D. Antonio Cebrian G arcía, D. Joaquin González De la instrucción pública en España desde 1834.:=Por Don de: Lo que hace un manto en M a d r id , de Calderón. El Bustamante, D. Santiago Alonso Cordero, D. Alfonso Peralta, Antonio Gil y Zarate. anotado»* continúa: yo creo que es de R ojas. A mí no me D. Hermenegildo Mezquia, D. Ma…</t>
  </si>
  <si>
    <t>de la, José María Gutiérrez</t>
  </si>
  <si>
    <t>José María Gutiérrez de la</t>
  </si>
  <si>
    <t>…ucesos mas S. Cottereau y L. Delamortiere , doctores notables, sumamente necesario para metodizar el estudio de la nistraciones de Loterías Nacionales. en medicina de la Facultad de Paris. Traducido y aumentado historia : por D. José María Gutiérrez de la P eñ a; y un escrito Al dia siguiente de realizarse el sorteo se darán al público con las listas impresas de los números que hayan conseguido pre­ uso almuchas formulas de varios preparados, que no estaban en clásico del Sr conde de Floridablanca á D. Cárlos n i que con­…</t>
  </si>
  <si>
    <t>de la, José Santos</t>
  </si>
  <si>
    <t>José Santos de la</t>
  </si>
  <si>
    <t>…irec­ t o . = J u a n A lfon so S e r r a n o , secretario. trasladaba el nombramiento de Senador por la provincia de To­ ción del canal, Ignacio de Inza.=El escribiente del canal, B e­ ledo , que S. M. se ha servido hacer en D. José Santos de la nito U c h a u .^ E l escribiente del canal, Pedro M orales.^E l in­ Hera. geniero de caminos del distrito, J u liá n N o g u e r a .^ E l celador de caminos, Juan de Elordi. PARTE NO OFICIAL. Dióse asimismo cuenta y se anunció que pasaria á las sec­ ciones para los fines cons…</t>
  </si>
  <si>
    <t>de la, Juan Berdegal</t>
  </si>
  <si>
    <t>Juan Berdegal de la</t>
  </si>
  <si>
    <t>…s, cuyos cantos y órgano se oirán también en la iglesia Bonos de echiquier, 67. del Escorial. C A R T IL L A práctica de m inería: segunda edición aumenta­ La entrada á 8 rs. y 4 los niños. da con un apéndice j escrita por D. Juan Berdegal de la P arís 2 de F ebrero . Cuesta, antiguo minero en Nueva España. 1 8 3 9 : un tomito, en 8.° m arquilla, 5 rs. TEATROS. Bolsa de hoy. Cinco por 100 consolidados 110 fr. 50 c. De los conocim eutos y noticias que presenta esta cartilla, Idem 5 por 1 0 0 , 79 fr. 50. pueden sac…</t>
  </si>
  <si>
    <t>de la, Juan Echevarría.</t>
  </si>
  <si>
    <t>Juan Echevarría. de la</t>
  </si>
  <si>
    <t>…o de verifi­ mitido en las líneas: los gefes de Guipúzcoa se han puesto de en la academia , que manden copiar sus escritos de maoo a gen a, carse aquellas h*ce ya algún tiempo en el verdadero sentido acuerdo inmediatamente con D. Juan Echevarría. de la palabra; y siendo cie«to que las Potencias están de acuer­ El general D. Basilio García ha tomado el mando d é la s observando las formalidades de ocultar su nombre en cubierta tropas insurgentes. cerrada y demas estilo académico, y quedando excluidos dé do sobre el principio…</t>
  </si>
  <si>
    <t>de la, Juan Valdés</t>
  </si>
  <si>
    <t>Juan Valdés de la</t>
  </si>
  <si>
    <t>…li­ Murcia, y por la escribanía mayor del mismo que ejerzo, está da la comedia tocará igualmente el indicado Sr. Lasala otras cano Silvestre. A este sucedió el cardador de lana Lando, pendiente la testamentaría del presbítero D. Juan Valdés de la variaciones compuestas por su maestro Mr. Baillot, que lo es hombre de genio y alentado, salido de la última clase del Barrera, plaza ; y capellán que fue agregado ai estado mayor de esta del conservatorio de Paris, y á continuación LA MARAVI­ por decreto recaído en el dia 27 d…</t>
  </si>
  <si>
    <t>de la, Luis</t>
  </si>
  <si>
    <t>Luis de la</t>
  </si>
  <si>
    <t>…ia del Sr. D. Manuel Luceño, juez servación de preciosas pinturas que estaban, ó perdidas, ó er de primera instancia en esta capital, dada por la escriba­ disposición de deteriorarse , si no de oscurecerse para siempre, nía de D. Luis de la M orena, está señalado el dia 16 del cor­ cosa sensible por cierto, que la sociedad se promete no volverá riente á las once de su mañana en la audiencia de S. S ., que la á suceder, al paso que espera se concluirá el depósito en su es­ tiene calle de Bordadores, niítn. 1 2 , cuarto segu…</t>
  </si>
  <si>
    <t>de la, López</t>
  </si>
  <si>
    <t>López de la</t>
  </si>
  <si>
    <t>…iscutieron los presu­ didos en el indulto general , y sobre si habrá ó no que amnis­ puestos del año de 1857 : fueron los de 1858. tia rlos, se ha consultado al tribunal de ju s t ic ia ; es menester TEATR OS. Ha hablado el Sr. López de la cuestión del medio diezmo: que se sepa cuáles son los delitos de esos hombres: este es el h a ­ ber proclamado la Constitución de I 8 i 2 cuando se proclamaba PRIN C IPE. H oy no h a y función. también es cuestión sometida por separado al juicio de las Cortes. No quiero decir por eso…</t>
  </si>
  <si>
    <t>de la, Manuel</t>
  </si>
  <si>
    <t>Manuel de la</t>
  </si>
  <si>
    <t>…tropas que hoy han entrado en esta éiudad componen que he seguido en la enseñanza de la lengua francesa, oúm. 21. unos hombres; y otras han ido hácia Epila y pueblos in­ facilitándome m ucho trabajo y proporcionando infinitas D. Manuel de las Heras, lonja del Almidón, plazuela del mediatos (.E . de A.) ventajas á mis discípulos: en prueba de esta verdad, y de A n gel, esquina á la calle de Atocha. D. Matías Angulo, tienda de fierro en Puertacerrada. los felices resultados que he conseguido no dudaria un D. Blas de Jáure…</t>
  </si>
  <si>
    <t>de La, Manuel García</t>
  </si>
  <si>
    <t>Manuel García de La</t>
  </si>
  <si>
    <t>…sobrinos, presos ea el castillo de Gobierno la colocación de su hijo D. J. Antonio. ditos que posee. G ibraltar, en exposición dirigida al Congreso insertan la que 262. La diputación provincial de la C oruña, exponiendo 183. D. Manuel García de La M ad rid , maestro de prime­ elevan al tribunal supremo de guerra y m arina, pidiendo la la consideración del Congreso varias observaciones d fin de qu ras letras en esta corte, sobre abono de los sueldos que dejó de inmediata prisión y embargo de bienes del general Paiarea y se…</t>
  </si>
  <si>
    <t>de la, Manuel Jesús Diaz de Cosío</t>
  </si>
  <si>
    <t>Manuel Jesús Diaz de Cosío de la</t>
  </si>
  <si>
    <t>…ue lia limitado gó en 14 de Febrero de 18 55 ; visto el recurso de nulidad in ­ la duración del espectáculo á las dimensiones que exije lo r i­ be la plum a del crítico ser escasa y parca en la cen su ra, y terpuesto por el D. Manuel Jesús Diaz de Cosío de la senten­ goroso del calor y que U experiencia recomienda ; de tal suerte, •dejarla correr lib rem en te p ara el elogio. cia de revista dictada por la audiencia de Burgos en 9 de Abril que en tres horas se ejecuten catorce piezas de música vocal é Hay después del poe…</t>
  </si>
  <si>
    <t>DE LA, MARTINEZ</t>
  </si>
  <si>
    <t>MARTINEZ DE LA</t>
  </si>
  <si>
    <t>…e el papel está lidad fomentando el juego. La caja puede hacer operaciones con labra. al 1 6 , y que esto significa !a r u i n a , ó por mejor decir, la se­ seguridad de g a n a r, y se quiere, señores, poner á prueba la El Sr. MARTINEZ DE LA R O SA : No habia pensado to­ pultura de una porción de familias. virtud de 11 hombres, suponiendo que no han de querer ganar mar tan pronto la palabra acerca de e&gt;te artículo, tanto mas, En seguida y precedidas algunas rectificaciones , se puso á tin poco de dinero de una manera ta…</t>
  </si>
  <si>
    <t>de la, Martínez</t>
  </si>
  <si>
    <t>Martínez de la</t>
  </si>
  <si>
    <t>…ara impedir á A rn au , cuya fac­ Hespues de hacer otras ligeras observaciones contestando al ción ha recibido refuerzo de Cabrera , que pasara el citado rio , torciilos, cuyos cautos y órgano se oirán también en la, iglesia Sr. Martínez de la R osa, dice que está conforme con S. S. en y en cotnbiuacion cou este hiciera alguu movimiento para in ­ del Escorial. la necesidad de llamar la atención del Gobierno sobre la v ig i- La entrada á 8 rs. y 4 ios niños. terceptar el citado convoy. Se ha observado efectivamente que lan…</t>
  </si>
  <si>
    <t>…unque sea interinam ente, in divi­ conozca a s i, y contesto de esta manera á alguna parte del dis­ f- Inscripciones en el gran libro á 4 por 1 0 0 , 00. duos de ayuntamieutos y diputaciones provinciales, cuando la curso del Sr. Martínez de la R osa, reservándome el hacer lo Títulos al portador del 4 por 1 0 0 , 00. necesidad las haya forzado á suspender estas corporaciones. Esta mismo respecto de otros puntos. Es decir que los dos artículos Vales Reales no consolidados, 00 facultad no debe nunca concederse, pues esas aut…</t>
  </si>
  <si>
    <t>…tiva , porque militares por delitos comunes á los ciudadanos. quietud le causaba , eran las comisiones militares que por este se mataba en el acto á los reos , ó bien el señor feudal manda­ Impugna la doctrina aplicada por el Sr. Martínez de la proyecto se establecían, diciendo entre otras cosas que en las ba arrojar por la ventana á los que habia hecho prisioneros: Rosa al art, 9.° de Ja Constitución , porque entiende S. S. que épocas pasadas l o s individuos que caian bajo la jurisdicción de no habia fuerza armada permanen…</t>
  </si>
  <si>
    <t>de la, María</t>
  </si>
  <si>
    <t>María de la</t>
  </si>
  <si>
    <t>…que ción del extinguido primer batallón de Guadalajara. go de sus haberes. levan el nombre de dicho pueblo. 171. D. Víctor Manuel Arévalo, sobre simultaneidad de 214. Francisca Jorge Boisson, natural de Francia, soli­ 252. Doña María de la O N águens, pidiendo se adopten años escolásticos. citando carta de naturaleza. carias medidas relativas al crédito público. ' 172. D. Juan Antonio Recarey, sobre validez de una dona­ 215. Rafael de AlbareSloz y Domingo Ramírez, pidiendo 255. D. Juan Crisóstomo Alonso, reproduciendo la…</t>
  </si>
  <si>
    <t>…tos y cabos de la compañía de veteranos, ?1600 r n n áCUl° ’ !°asnCÍert° ahorrándose el gasto de 55,600 rs. vn. al año , según el estado das y la buena entonación que sabe darles. Discípulos de los anteriores son la señora Doña María de las Nieves Valdés de p erson ú m eroGSque (*ue excede se llen°mucho el ediricio coa mas en­ á las mayores de demostrativo que acompaña. tradas de los años anteriores. La com isión, que no tiene datos suficientes para formar jui­ Figueroa , que si por su sexo merece el honor de ser ant…</t>
  </si>
  <si>
    <t>de la, Mas</t>
  </si>
  <si>
    <t>Mas de la</t>
  </si>
  <si>
    <t>…roducir la discordia en nuestra patria , y por consi­ medidas que con este fin hubiesen dictado. guiente trastornar la paz política , imagen del orden moral del N O T I C I A S N A C IO N A L E S . Dado en el cuartel general de Mas de las M atas á 24 de universo. El pensamiento del trastorno del orden fisico , si hu­ Diciembre de 1839.=El duque de la V ictoria. bieran trascendido á él los efectos funestos del pecado, es m ag­ L érida 21 d e D iciem bre . nífico; y aunque no nuevo, está presentado con novedad, in ­ trodu…</t>
  </si>
  <si>
    <t>de la, Mauuel</t>
  </si>
  <si>
    <t>Mauuel de la</t>
  </si>
  <si>
    <t>…...................................................................................... 520 20 das partidas de bandidos que recorrían el norte de ella* La Exorna. Sra. duquesa de G o r......................................... D. Mauuel de las lleras. ....................................................... 520 100 Perseguidas activamente aquellas por los destacamentos y Sra. Doña M aiij Patrocinio Chacón............................... El C. F. P. P ...........................................................................…</t>
  </si>
  <si>
    <t>de la, Mencía</t>
  </si>
  <si>
    <t>Mencía de la</t>
  </si>
  <si>
    <t>…encía acriminando á su hermana! [Qué senti­ dad y gracia la relación y el modo con que la hace Cha­ •quellas que juzguemos deban ser traducidas á nuestro idioma, miento respiran las palabras de esta hablando de su pa­ cón á Doña Mencía de la fuga de D. Gonzalo, asi como y dando la preferencia á las que ya lo esten , como Paul Jo ­ sión con la dueña!... [Qué bien expresada está la senci­ la escena de aquella con este en el primer acto. nes de Alejandro Dmnas, de la que hablaremos á la mayor lla coquetería de su corazón, y…</t>
  </si>
  <si>
    <t>de la, Mfrustro</t>
  </si>
  <si>
    <t>Mfrustro de la</t>
  </si>
  <si>
    <t>…er hacer la guerra á nuestro enemigo cooiurt. Lo traslado á V. S. de R eal o r d e n , com unicada p o r el La comisión, ea vista del contexto de dicho documento, y Por eso diré que el movimiento de Sevilla fue una rebelión, Sr. Mfrustro de la G o b ern ació n de la P enínsula , para su después de la oportuna discusión, ha convenido por unanimidad fue un crimen. Seamos francos y explícitos. Repito que no es inteligencia y efectos consiguientes. Dios g u a rd e a Y. S. eu que el hecho de haber formado parte el Sr. Diputado D…</t>
  </si>
  <si>
    <t>de la, Ministro</t>
  </si>
  <si>
    <t>Ministro de la</t>
  </si>
  <si>
    <t>…, canónigo de e¿ta metropolitana , con­ dos de su ramo. r territorios en que los dos tercios de nuestros soldados se halla­ des de Parcent, de Casal y de Castellá, Isidro Comes , barón dt El Sr. S E R R A N O anuncia otra al Sr. Ministro de la G uer­ ban enfermos, y donde carecían las tropas de los objetos de Andilla, y D. Viceute Ferrer, por diferentes artículos ó varie­ ra para que manifieste las medidas que ha tomado para refor­ primera necesidad y de las medicinas necesarias. Ha llamado dades de frutos especiales que…</t>
  </si>
  <si>
    <t>…a­ nombrado Diputados y suplentes con arreglo al estado que paro en la admisión del cuarto suplente. les, propusieron el derecho de pesos y medidas como un arb i­ acompañaba á la ley electoral. ¿ Y podremos decir que se ha El Sr. Ministro de la G O B E R N A C IO N : No pienso tomar trio nuevo destinadoá aquel objeto. Pero que habiéndose limi­ faltado á la ley nombrando los que se han nombrado? Hubo parte en la cuestión de la legalidad ó ilegalidad de la elección tado hasta de ahora el Ministro de la Gobernación á oir la d i…</t>
  </si>
  <si>
    <t>…o la del art. 1 .° tión. A rt. 2.° Es privativo de los ayuntamientos: de la ley de 19 de Julio de 1853. El Sr. Ayllon ha dicho m uy bien que estas cuestiones se 1.° Adm itir bajo las condiciones prescritas en las leyes y El Sr. Ministro de la G O B E R N A C IO N : Yo no he dicho ventilan judicialmente. Si los iuteresados conocian que podían reglamentos, los facultativos de medicina, cirugía, farmacia que los pueblos se hayan apropiado como arbitrios los dere­ litigar con sus acciooes , ¿por qué no han usado de su dere­ y…</t>
  </si>
  <si>
    <t>…zas. Esta analogía es mas perceptible entre la hie­ cinco menos cuarto para oir una comunicación del Gobierno. En ninguna profesión, en ninguna carrera, ni aun los na, adive y otros individuos de la clase de mamalias, con El Sr. Ministro de la G U E R R A ocupó la tribuna, y leyó genios privilegiados, jamas han sido en sus primeras pro­ los buitres, cuervos y otros individuos carnívoros de la una comunicación (Vease el parte de Guerra , articulo de ducciones comparables siquiera a las últimas. Cervantes región aérea. Estas…</t>
  </si>
  <si>
    <t>…JNarvaez halda sacado cada día mediante á que esta autoridad es responsable al Gobierno. la contribución extraordinaria de guerra. Ignora á qué base h á - ’ sobre 503 raciones; y siendo notorio que e^ta división no cons­ El Sr. Ministro de la G U E R R A : E.os abusos que se han brá que atenerse porque en la extraordinaria de guerra hay tres taba de tanta fuerza, concibió el designio de hacer una inter­ mauifestado los sabe el Gobierno y ha adoptado las medidas bases, la territorial, la industrial y la de consumos; y cree…</t>
  </si>
  <si>
    <t>…ran hecho innumerables ediciones de sus obras, andado en debia ser , el que cargase cou la responsabilidad. dan al soldado que pasa como en tiempos ordinarios. manos de todos, popularizádose , y échose objeto de estudio y El Sr. Ministro de la G O B E R N A C IO N contestó que no Nuestra reconciliación es sincera porque es justa. Defen­ de admiración aun para los mismos sabios. Ingenio vasto como había sido el objeto del Gobierno rehuir la responsabilidad á díais vuestros fueros ; pues bien , el duque de la Victoria inter­…</t>
  </si>
  <si>
    <t>…0d á las Cortes para que deliberasen sobre este particular lo j siese á la Constitución. vocatoria de Cortes en Navarra ; pero ni aun esto créo que p u ­ que fuese mas ju5to. Y habiendo este precedente, e a te ^ rin c i- ’ El Sr. Ministro de la G U E R R A : Señores, parece que el diera ser de una gran exigencia para el pais. pió establecido y sancionado, yo pregunto: ¿es posihie que ; proyecto de la comisión ha sido traído aqui como una especie Bajo otro aspecto quiero decir que he buscado la im portan­ nadie que sea justo…</t>
  </si>
  <si>
    <t>…ropia reputación. Al llegar la carretela de SS. MM. á la calle de Alcalá, Marzo, y 17observaciones desde el de Febrero, dia de su apertura, hasta el 31 de Pero se nos preguntará: ¿estas obras, consideradas no se adelantó el Sr. Ministro de la G uerra, que se hallaba sobre su resultado. m asque artísticamente, son bellas? N o, será constante­ á caballo cerca mente nuestra respuesta. Jamas tendremos por bello lo de Madrid, delde inspector la Cibeles,y seguido del capitati general Carretas, y de Paz, frente á enlaslasCovach…</t>
  </si>
  <si>
    <t>…te de loa que es el suyo, pero que allí lo hará, y lo ha expresado asi. que levanta en los Sres. Ministros. negocios. Si la merecen, que se sepa por qué; y si no*, que se El Sr. OLOZAGA (Un número considerable de señores El Sr. Ministro de la G U E R R A : Si se me permitiera decir diga francamente. Diputados entra precipitadamente en el salón): Señores, por dos palabras.... No se crea que á la nacion por,su buen juicio se la pue­ expertenfciá sabía yó que vendría á parar á este punto la cues­ El Sr. OLOZAGA: Estoy en mi…</t>
  </si>
  <si>
    <t>…o , C u­ de hombres y una requisición de caballos; los pueblos se pres­ salido de mis labios.... rado, González Alonso, M iranda, Jaén , Alfaro, Joyel*, San­ taron también á los sacrificios que se les indicaba serian pof El Sr. Ministro de la G U ER RA: N o , pero ha sido efecto tón ja, Gutiérrez fie Ceballos, Rodríguez V era, Puigmoltó, últim a vez; el G obierno pidió una autorización para un em ­ de tanto cargo, que no parecía sino que el ministerio debia ir á Fernandez, Villalobos, Fuente Andrés , Fuente Herrero, prés…</t>
  </si>
  <si>
    <t>…engo motivos para cree r que ser el mas reciente; y refiriéndose el Sr. Olózaga á una in­ Excmo. Sr.: Tengo el honor de pasar á manos de V . E. la no lo preten derán , sino que ellas allanarán las dificultades. dicación del Sr. Ministro de la G u e r r a , dijo que el gefe adjunta exposición, que en mi nombre y en el de todos los em­ U ltim a m en te, fueros políticos: Si se toman por los eminen­ pleados dependientes de este gobierno político, he acordado ele­ tes derechos políticos de que goza todo c iu d a d a n o ,…</t>
  </si>
  <si>
    <t>…e tales atrope- 18 5 7 , mandando que los referidos censatarios continuasen abo­ del Gobierno de S. M. llamientos no existen, como resulta de la prolongada dis­ nando á la Amortización interinamente, y hasta que otra cosa El Sr. Ministro de la G U E R R A ocupó la tribuna j lejó cusión que sobre este grave asunto hemos presenciado to­ se dispusiese, la parte equivalente al capital retenido en su po­ el siguiente Real decreto: {Véase el articulo de oficio.) d e r , disminuyendo los réditos en proporción á las entregas que d…</t>
  </si>
  <si>
    <t>…lausible motivo del Era de oficio panadero, y tan bien morigerado, que jamás se le cumpleaños de su augusta Hija Doña Isabel tt. conoció ningún vicio, ni aun el de fumar. Padre sumamente Asimismo lo quedó de otro oficio del Sr. Ministro de la G o ­ PARTE NO OFICIAL. cariñoso , llegó al extremo de quedar perecieudo por atender á bernación, participando que S. M. habia tenido á bien se ñ,; lar sus hijos. Diez años antes de morir perdió la vista , y vivía de la hora de la una de la tarde del dia de mañana para el besa­ lim…</t>
  </si>
  <si>
    <t>taclla con la esperanza de la im punidad, muéstrase mas feroz si distintivos militares que cada uno usaba en su respectiva arma, El Sr. Ministro de la G OBERNACION: He propuesto los cabe. En las ciudades cántanse himnos de paz; celébrase la fe­ siendo la comisión de dictámen que para alentar y fomentar el dos extremos, bien que haya la ley ó que n o , porque en este liz consecución de este incomparable beneficio; y nosotros mien­ e…</t>
  </si>
  <si>
    <t>…o á las guerra sobre el sueldo que goza en el monte pío. los grandes sucesos que celebra : la paz , la reconciliación de to­ diez de su mañana en dicho A ranjuez, con la prevención que lia comisión es de dictamen que pase al Sr. Ministro de la dos los españoles, la seguridad del trono legítimo, y la Cons­ al que no lo hiciere le parará el perjuicio que haya lugar. C hin­ Guerra. titución del Estado y un testimonio de pública gratitud al hé­ chón 10 de Octubre de 1859.—El juez de primera instancia, roe español, son objetos…</t>
  </si>
  <si>
    <t>…18120 rs. al acreedores los ciudadanoa^spañoles por sus servicios; y asi opi^ cho antes de ahora. El Gobierno se presenta como atándose las mes, y sale á 4 I 5: rs* cada ejemplar. na la comisión que se pase «sta instancia al Sr. Ministro de la roanos y poniéndose trabas , y aparece mas popular y liberal La Imprenta Nacional se obliga á hacer la impresión del Gobernación* que los mismos Diputados que le im pugnan; pero contestaré á D iario bajo las condiciones siguientes: esto con una sola palahra. Cualesquiera que sean l…</t>
  </si>
  <si>
    <t>…político de...... de los pueblos y las personas esta contribución tan penosa. S. M. recomienda á ios esfuerzos de los capitanes generales, diputaciones provinciales, y mas autoridades constituidas, ACTAS DEL GOBIERNO. El Sr. Ministro de la G uerra en 29 de Diciembre úl­ la mas pronta ejecución de cuanto respectivamente les timo dice al de la Gobernación de la Península lo que queda prevenido, prometiéndose de su actividad, celo é sigue: interés por el triunfo de la causa nacional, la mas pron­ «En 7 de Agosto último…</t>
  </si>
  <si>
    <t>…esto, señores, á qué volver á meterse en la borrasca, borrasca que me atrevo á temerla. mos ¿se cree que no podría el Gobierno presentar un proyecto la mandaba. que tuera de mayor importancia que este? Y si se presenta­ El Sr. Ministro de la G O BERN A CIO N : Yo he creído de­ (Los Sres. Benavides, Pacheco, Carrasco y Armendariz pi­ ra con un proyecto de ley para la ratificación g algua trata­ ber descartar una porción de cuestiones que se han tocado al den la palabra en p ro ; y los Sres. Madoz y Lujan en contra.) do…</t>
  </si>
  <si>
    <t>…e.—Francisco María Montoro.—Por acuerdo de la d ip u ta ­ pacificador: asi rendidamente lo suplica la municipalidad repre­ dice que en fuerza de la viva persecución hecha á la facción ción provincial, Miteo Candalija.ziExcmo. Sr. Ministro de la sentante, mientras por la importante vida de V. M . eleva sú­ que se hallaba en la sierra del Hoyo por el teniente del escua­ Gobernación de la Península. plicas al Todopoderoso. Manzanares 11 de Setiembre de 1859.— drón franco D. Antonio Mena , se ha conseguido la total der­ Señora.…</t>
  </si>
  <si>
    <t>…la sociedad española estuviese en tal estado! El Sr. G O N Z A L E Z hizo algunas aclaraciones. aunque celosísimo partidario de ella, deseria si fuera posible Pero desgraciadamente solo un cargo material puede hacer que El Sr. Ministro de la G U E R R A : El Sr. González poco ha que existiese hasta sin ley; sin embargo si se le convencía de la cada uno entre en la línea de su deber. tenido que decir respecto á la guerra, y no podía menos de ser necesidad de hacer modificaciones en ella , no seria él quien ne­ Uno de los…</t>
  </si>
  <si>
    <t>tos de esa nación han sido tan grandes en cuanto á esta indus­ El Sr. Ministro de la G O B E R N A C IO N : A mí me admira CORTES. tria , que puede decirse que lia llegado al último grado de per­ que el Sr. Mendizabal haya extrañado que el Gobierno tolere C O N G R E SO D E D IP U T A D O S . fección , á pesar de haber tenido que vencer los obstáculos que en silenci…</t>
  </si>
  <si>
    <t>…l suficiente para que pudieran casarse ó vivir en com­ qué dijo este Sr. Ministro que no iba mal. permanente, la milicia provincial y la m a rin a , como se ex­ pañía de sus padres ancianos ó de otra persona, de modo que El Sr. Ministro de la G O B E R N A C IO N : M i memoria me plica en uno de los artículos de la ley, y me queda la duda de fuera el apoyo de ella y pudiera vivir coa algún desahogo sin será infiel, y siento que lo sea en este momento sobre un asun­ si en esa voz ejército se comprenden los cuerpos francos…</t>
  </si>
  <si>
    <t>…elación está re­ mi espada es de tres cuartas, y la de S. S. es de seis, porque ninguna parte tiene. ducida á dos hechos que envuelven dos cargos: 1.° Que desde yo peleo con los datos que puede tener un D iputado, que son El Sr. Ministro de la G O B E R N A C IO N : Cuando el señor los que los amigos y parientes me proporcionan, y S. S. con da­ marques de Casa-Irujo interpeló al Ministro , manifestó que elpuesto año de 1797 se paga en las provincias de Andalucía un im­ sobre el vino , aguardiente y la correspondencia ; y q…</t>
  </si>
  <si>
    <t>…cuentra ble equivocación al creer que podia haber habido esa conversión. provincia no concurren, ó no las presentanlos, elDiputados de una Congreso no pue­ todavía arrestado, en igual posición y circunstancias que se eu- El Sr. Ministro de la G O B E R N A C IO N : El Sr. Cortina de juzgar de su validez. contraba en Noviembre de 1858: y yo pregunto al Sr. Calde­ ha tocado dos cuestiones: una propiamente electoral, otra ju- Por consiguiente, es inútil que se pida el testimonio para rón Collantes, que es perito en la mater…</t>
  </si>
  <si>
    <t>…ndo crimen, que es lo que autoriza á seguir­ art. 54 9 que se citó tam bién , es de la que rige. mí y por sugetos que no pueden de n ingún modo ser sospe­ lo, se llamase aqui al D ip u ta d o , substrayéndole de su juez. El Sr. Ministro de la G O B E R N A C IO N : Pido que se lea chosos al Congreso, sentamos principios de independencia del Yeogo ahora á la cuestión del d i a , únicamente bajo el pun­ el decreto de 50 de Agosto de 1856 restableciendo la ley de 17 poder judicial. El m a y o r , el primer interés de la n ac…</t>
  </si>
  <si>
    <t>…lugar el dictámeu debia aprobarse. nueva muestra del incansable celo de su distinguido autor, haya causas muy poderosas que lo justifiquen.” Esto decia , co­ que ha dirigido los ensayos. Asi es que el público inteligente El Sr. Ministro de la G O BERN AC IO N : Voy á decir dos mo he manifestado, el Sr. D. Carlos 111 ; prueba clara de que y sensato acogió con repetidos aplausos la representación de palabras solamente porque conozco lo cansado que está el Con­ ni la Constitución del año 12 ni la del 57 innovaron nada , y la…</t>
  </si>
  <si>
    <t>…de negar. Concluye diciendo que respecto al arbitrio del impuesto en perdamos ahora el cerrojo. Todos los raciocinios del Sr. Puche podrán tener valor á Palencia, es arbitrio y a an tig u o , y q ue la empresa no ha teni­ El Sr. Ministro de la G U E R R A : Señores, desde el mo*- ■sff5 ojos, á los «nios no, porque yo he visto que la empresa se do empeño en é l , sin embargo de que le fue cedido, pues la era mento en que el Gobierno tomó el mando se ocupó de todo, y 4yomprometió á concluir en siete años el canal con sus tr…</t>
  </si>
  <si>
    <t>…calmar la ansiedad de las fam ilias, y evitar el con- y acordado asi, fue aprobada por unanimidad. Se aprobó sin discusión un dictamen de la comisión de Pe­ íiieto de los tribunales, en que ciertamente se verían de dejar El Sr. Ministro de la G U E R R A leyó dos proyectos, que pa­ ticiones acerca de la presentada por el obispo y cabildo eclesiás­ correr las expresiones sentadas en el discurso de contestación á saron á las secciones: uno concediendo al duque de la Victoria tico de Salamanca pidiendo la suspensión de la l…</t>
  </si>
  <si>
    <t>…ntra co á V. E. para su inteligencia y efectos correspondientes. estas palabras de Jesucristo á los apóstoles: wDad al César lo el R ey de H olanda, solo puede concebirse por la completa ig ­ De la de S. M. comunicada por el Sr. Ministro de la que es del C ésar, y á Dios lo que es de D ios.” “ Antes debemos norancia en que se halJa a.cerca de la cuestión que por tanto» Gobernación lo traslado á Y. S. para su inteligencia y obedecer á Dios que a los hombres.” Podría decir con S. H ila ­ tiémpo ha ocupado la atención de la Co…</t>
  </si>
  <si>
    <t>…erse de acuerdo sobre los artículos pones al contado 1 7 f , f » tres dieziseisavos , siete dieziseisavos ANUNCIOS. que hay suspensos para poderlos presentar. y 17| á v. f. ó vol.: 17|, f , 18, 17| y 1 7 f id. á prima de El Sr. Ministro de la G O B E R N A C IO N : El Gobierno dijo § , nueve dieziseisavos y f por 100 con cupones. ¥ A acreditada corbeta paquete español, nombrada Grande el otro dia que 110 se encontraba en disposición de entrar en la Inscripciones en el gran libro á 4 p °r 1 0 0 , 00. Antilla, al mando de s…</t>
  </si>
  <si>
    <t>…iento que de no verificarlo serán excluidos de TEATROS. G U IA D E FO R A ST E R O S. la liquidación y clasificación de créditos que se practique, pa­ PR IN C IPE. A las cuatro de la tarde. Se volverá á poner De orden del Sr. Ministro de la G o bernación se pre­ rándoles el perjuicio que haya lugar. en escena la acreditada comedia en tres actos y en verso origi­ viene á las corporaciones, establecim ientos dependientes nal de D. José Zorrilla , titulada * de su m inisterio, cuyos gefes y dem as em pleados de Real nom…</t>
  </si>
  <si>
    <t>…g lo , y acomodarlas á otros objetos preferentes de la beneficen­ grande el concurso, y sin que el mas leve disgusto turbase el sarias para corregirlos. cia pública. júbilo de que se hallan poseídos todós los corazones. El Sr. Ministro de la G O B E R N A C IO N hizo presente que Tantas cofradías y hermandades, tantos establecimientos de En los pueblos inmediatos ha sido recibida con iguales habiendo sido testigo ocular de los abusos de que se lamenta­ piedad, tantos fondos en fin comoen ellos h a y , muchos de ellos tra…</t>
  </si>
  <si>
    <t>…a dirigir una interpeheioo al Gobierno. manos peligra la libertad de la patria , y que exceptuando al se el dictamen de la mayoría de la comisión, en e! cual se dice El Sr. PA Z G A R C IA : fía ¡legado á mi noticia y á la de Sr. Ministro de la G uerra, se ve en los demas miembros del que habiendo en la provincia de Albacete 5794 electores , han la mayor parte de los habitantes de Madrid , que en el pueblo Gabinete una tendencia manifiesta á derribar por su base la tomado parte en la elección 2405 &gt; de donde el Sr. Ganeja de…</t>
  </si>
  <si>
    <t>…| El Sr. Alonso tocó el punto de contribuciones, haciendo c a r - ce una censura previa. para las dos. Sus demostraciones , que pueden verse en el expe- s qo al Gobierno sobre si las habia ó no cobrado coa auto riza- ! El Sr. Ministro de la G u e rra, valiéndose de la ventaja diente, han convencido hasta cierto p un to ; y por e^tas consi­ | cion; pero como el Sr. López ha tocado esto mismo, me reser- que podría darle cierto género de discusión contestando al se­ deraciones se determinó el establecimiento de una audienc…</t>
  </si>
  <si>
    <t>…situ a­ traidoras? que los alcaldes han de tener atribuciones jurisdiccionales, no ción tan completa. Señores, puede culparse al Gabinete de incapacidad , pero puede creerse que la corona no participe de su nombramiento. El Sr. Ministro de la G U E R R A : He pedido la palabra pa­ no de malas intenciones. ¿N o habla el hecho de haber causa­ El proyecto de M ilicia nacional es otro de los que se ha ra manifestar que el Sr. Ministro de Estado no se halla pre­ do al Pretendiente mas mal que todos? ¿N o han tomado bajo hecho…</t>
  </si>
  <si>
    <t>…: á D . José Motezuma y Rojas, vecino de la ciudad de Y. S. y á los Sres. Diputados rne perdonen. Se leyeron dos oficios del Sr. Ministro de Gracia y Justicia, Ronda , ó á las personas que representen el derecho de esto9, El Sr. Ministro de la G U E R R A : Ha dicho el Sr. conde 1 los que acompañaba dos leyes sancionadas por S. M . : una como á cualquiera que lo tenga en el pleito que quedó pendien­ de las Navas que no estaban pagados los retirados ni los hos­ -e!ativa á la concesión de la pensión de 200 rs. á la viuda del…</t>
  </si>
  <si>
    <t>…o Señor prospere y di­ La comisión, dócil como siempre, ha dicho que cree que se late la preciosa Real vida de Y. M. para la felicidad de esta El comandante militar del fuerte de Jérica participa habér­ debería pasar copia al Sr. Ministro de la G uerra, para que des­ venturosa nación. Torrenueva 16 de Setiembre de l859.z=Seño- sele presentado con armamento y municiones , acogiéndose al pués de las justas reconvenciones que hicieran los Diputados ra.—A L. R. P. de Y. M.zzPaulioo Rodero.zzRoman Carrasco y indulto, 15 faccioso…</t>
  </si>
  <si>
    <t>…naban. mas de la parcialidad , de la injusticia y de la tiranía de esas do gefe político de Badajoz D. Ramón Ceruti fue expulsado por fuerza á que se referia habia pasado á dicho pueblo á auxiliar labras P a z, sostenidas El Sr. Ministro de la G U E R R A contestó á S. S. que si la autoridades por el ministerio famoso de las tres pa ­ este de la Milicia nacional de Zafra , y pedia que el Congreso al comisionado de cobrar la contribución, era contra lo que el al sicerarme, no ha sido Justicia. Orden y Por consiguiente, mi ob…</t>
  </si>
  <si>
    <t>…s oficiales y los diarios de avisos podía menos de aprovechar la ocasión de hallarse presente un ciones que los art. 2.° y 3.° imponen á los impresores, y en el siempre que se limiten á los asuntos que declaran sus títulos’ j Sr. Ministro de la corona para llamar su atención sobre el asun­ caso de infracción sufrirán las mismas penas , excepto la de como igualmente los periódicos que no traten de materias po-’ to, á fin de que el Gobierno remediase en lo posible las desgra­ perdimiento de su librería. líticas ni religiosas.…</t>
  </si>
  <si>
    <t>…l texto y el espíri­ muchos años. Madrid 30 de Marzo de i 83 9.=^ Excmo. S r.= caudales en el m o n te, que ninguna persona que tenga alguna tu de Ja Constitución para oponerse al tratado. José Agustín de Larramendi.=Excmo. Sr. Ministro de la alhaja que poder empeñar se verá en la triste necesidad de su­ M r. Gendebien (para una alusión personal): Señores: el Gobernación de la Península. jetarse á duras condiciones de avaros especuladores; ventaja primer orador que ha tomado la palabra, ha nombrado á mi que recompensará…</t>
  </si>
  <si>
    <t>…tidas; no eran expresión de otra cosa las represalias tan deseadas co- deseadas porque se habia acabado el¡ sufrimiento; esos individuos están cobrando privilegiadamente y corriente, rido en Madrid , y de que hizo alusión el Sr. Ministro de la sentidas porque siempre era sangre española la que se vertía. mientras el soldado padece y las demas clases también. Guerra no há muchos discusiones. Yo creia que este segundo Los estados de sitio ¿cuánto no se clamó contra ellos aqui y fue­ Nos dijo S. S. que nada tenia que ver con…</t>
  </si>
  <si>
    <t>de la, Música</t>
  </si>
  <si>
    <t>Música de la</t>
  </si>
  <si>
    <t>…ero comendador de la Real orden americana de Isa­ y 9 p. y 8 1. de ancho: precio antiguo 16 rs., y moderno 10. bel la Católica , juez togado de primera instancia de Madrid, refrendada de D. Manuel Fernandez de Pazos, escribano de Música de la ópera Lucrecia Borgia de Donizetti S. M. y del juzgado de S. S., se cita , llama y emplaza á Don Saturnino Robles, vecino que parece ser de esta corte, cuya BIBLIOGRAFIA. Vara piano . Streta en la introducción del primer acto á 5 habitación se ignora , á fin de que comparezca inmediatam…</t>
  </si>
  <si>
    <t>de la, Nemours y</t>
  </si>
  <si>
    <t>Nemours y de la</t>
  </si>
  <si>
    <t>…amper al com ún cuerpo municipal señales de aceptación y de reconocim iento; y de Huesa. La tercera y cuarta sobre Daroca. venida la mañana del 1 0 , acompañado del gefe y oficiales de Los proyectos de matrimonio del duque de Nemours y de la M ilicia nacional, empleados á sueldo de los propios y de otras El general O -D o n n e ll debía hallarse hácia Teruel con to­ Reina V ictoria no son los únicos que ocupan la pública curio­ personas, pasó á la iglesia, en que con previo aviso y acuerdo das las fuerzas. sidad. Tráta…</t>
  </si>
  <si>
    <t>de la, Nicolasa Ruiz</t>
  </si>
  <si>
    <t>Nicolasa Ruiz de la</t>
  </si>
  <si>
    <t>…ción del Infante D. Cárlos al M inistro plenipoten­ D . V. P. P ................. 100 historia , la literatura , las ciencias políticas y morales, la físi­ ciario de S. M. en P o rtu g al, á la intimación de este de Real or­ Doña Nicolasa Ruiz de la T o r r e ................... 100 ca , idiomas y otros varios ramos del saber humano han sido den para que S. A. se alejase de la frontera y cumpliese con las D oña Enriqueta de la T o rre .. . . ............ 80 aplicados muchos de ellos con notable maestría^ Los asistentes órden…</t>
  </si>
  <si>
    <t>de la, Nicolás Sánchez</t>
  </si>
  <si>
    <t>Nicolás Sánchez de la</t>
  </si>
  <si>
    <t>…es­ Tabaco labrado según su calidad , 6 á 25 millar. de 15 de J u n io á 15 de Setiembre. • Cambios. P ro vin cia d e M u rcia . D irecció n g e n e r a l d e E studios. Sobre Londres, de 9 á 10 por 100 premio. Archéna. —D. Nicolás Sánchez de las M a ta s , en M u rcia: N oticia de las temporadas en que se hallan abiertos los es­ Id. P a r i s , 4 á 4 i descuento. primera temporada desde 1.° de Abril á 25 de J u n i o : segunda Id. E s p a ñ a , según el puuto, 7 á 9 premio. tablecimientos de aguas y baños minerales…</t>
  </si>
  <si>
    <t>de la, Nicolás Tejero y</t>
  </si>
  <si>
    <t>Nicolás Tejero y de la</t>
  </si>
  <si>
    <t>…el orig inal reducido D. M a nu el Carrascosa, D. Francisco S e rr a , D. Isidro González, formes al origen de la luz que procede del sol. En el cuadro á pequeñas dimensiones. D. Federico P iz a rro , D . Francisco R e c io , D. Nicolás Tejero y de la F i r g en ofende la vista aquel fondo tan crudo por el a b u ­ E! retrato de E íb o, de u n niño sentado sobre un banco de D . Francisco San M i lian. so del veide azulado de las ojas del á rb o l, color que domina en piedra en un j a r d i n , y como en actitud de querer ech…</t>
  </si>
  <si>
    <t>de la, Orleans y</t>
  </si>
  <si>
    <t>Orleans y de la</t>
  </si>
  <si>
    <t>…ellas; y se ha cuidado m uy par­ pintores que adornan las galerías de V ersalles, del palacio del dicho partido, y los herederos de D. Domingo Calzón, ad­ ticularmente de que este tratad o , no solo sea á propósito para duque de Orleans y de las T ullerías. Baratura y lujo es lo ministrador del propio partido, en los que por sentencia del servir de introducción al estudio de los roas célebres que sobre que se ha procurado herm anar para popularizar la historia extinguido supremo consejo de Hacienda de 2 de M ayo de 1828,…</t>
  </si>
  <si>
    <t>de la, Otra</t>
  </si>
  <si>
    <t>Otra de la</t>
  </si>
  <si>
    <t>…cidos y a del público por sus producciones y apreciado’ iluminación general y otros festejos públicos. como escritores acreditados en varios ramos de la literatura * ¡P|ON Bernardo Latorre , benemérito de la p a tr ia , ministro Otra de las ventajas que ofrece el periódico desde el mes V a le n c ia 24 d e S e t ie m b r e . Por el vapor que llegó al puer­ togado honorario de la audiencia de Cáceres , juez de p r i­ entrante será la de dar adjuntos dos cuadernos ó folletos: uno to del Grao en el dia 22 del corriente, proc…</t>
  </si>
  <si>
    <t>de la, Patriarca</t>
  </si>
  <si>
    <t>Patriarca de la</t>
  </si>
  <si>
    <t>…uniesa , Plou , Cortes , Mallen y Blesa.—Segu? — la Serma. Sra. Iafanta Doña Luisa Fernanda por mano del lítico de la misma felicitamos á V. M. por los asombrosos da división en Guesa, Monebo y Moyuela.~Tercera idem en Excmo. Sr. Patriarca de las Indias, con asistencia de S. M. la acontecimientos la Providencia tenia reservados para co­ Calamocha.—Cuarta ídem en Monreal.—Segunda división del Reina Gobernadora , gefes de Palacio y servidumbre de guar­ locar el trono dequevuestra excelsa Hija nuestra amada Reina ejército del C…</t>
  </si>
  <si>
    <t>de la, Pedro Calderón</t>
  </si>
  <si>
    <t>Pedro Calderón de la</t>
  </si>
  <si>
    <t>…e Ferreras. enfermería de mngeres por el profesor D. Rafael José de G u a r ­ ó EFEM ERIDES 5.° I-Iernan C or té s, Garciiaso de la V e g j , D, Alonso de dia , y en la ds hombres por D. A nt oui no Saes, ha sido tan Ercilla , D. Pedro Calderón de la B a r c a , Mi g u el de Cerva nt es feliz, que de dolientes que del primer sexo se h a n presentado han salido curadas 2 1 , y de 2 6 desvalidos del se gundo no se DE LA GUERRA CIVIL Saavedra y D. José Pat ino. 4»° D, A nt on io A g u s tí n , D. Sancho D áv il a , D J u a n d…</t>
  </si>
  <si>
    <t>de la, Petrona</t>
  </si>
  <si>
    <t>Petrona de la</t>
  </si>
  <si>
    <t>…jos prepara­ que tiene á su cargo, y las de bordado y costura, que lo están cia , y faltado el objeto de la expedición á este pais. Porque torios, cuya continuación se ha diferido hasta mañana. Las al de la directora y al de Doña Petrona de la T orre: todas es- ¿ qué operaciones emprenderán careciendo de los apoyos que ha­ discusiones han sido vivas por un lado , y dignas por otro. tan ejecutadas con esmero y delicadeza, y muestran la inteli­ cían entrar en sus cálculos* privados de un refuerzo de 83 hom­ Los hombres de mas…</t>
  </si>
  <si>
    <t>de la, Quijote</t>
  </si>
  <si>
    <t>Quijote de la</t>
  </si>
  <si>
    <t>…r reuni­ so al Sr. Secretario del Despacho de Gracia y Justicia; y habién­ das en su asombrosa persona unas cualidades al parecer iucom- dose acercado el Sr. Presidente del Consejo de Ministros, y reci­ J 7 L ingenioso hidalgo D. Quijote de la M ancha, compuesto patibles. bido la orden de S. M. la Reina Gobernadora, dijo en alta voz: por M iguel dé Cervantes Saavedra, y comentado por 5.° Boleras á ocho. WS. M. la Reina Gobernadora ote ordena declarar que se ha­ D . Diego Clemeiício. 6 .° LOS BUTIBAM BAS , sainete divertido.…</t>
  </si>
  <si>
    <t>…ce el principio de que en , y señaladamente la segunda, son de los trozos mas filoso- fíeos y ai mismo tiempo mas elocuentes que han salido de nuestro idioma, dos negaciones, en lugar de afirmar, con­ E l ingenioso hidalgo Don Quijote de la M ancha com­ la pluma del Sr. Clemencin. Atribuye con mucha razón al firman la negación, y lo prueba con numerosos ejemplos puesto por M iguel de Cervantes f Saavcdra, y comen­ ilotismo político y civil a que se sometieron los moros con­ de Cervantes y de otros escritores y con la aut…</t>
  </si>
  <si>
    <t>de la, Ramón</t>
  </si>
  <si>
    <t>Ramón de la</t>
  </si>
  <si>
    <t>…del talento de de la academia ocho ejemplares de mármoles procedentes de unas esquivase su objeto, y que tranquila entre el estruendo Schiller son cien veces mas peligrosas. canteras que existen cerca de Engassa por el socio D. Ramón de las pasiones conmovidas, siguiese su marcha sin des­ Cuando una nación esta débil é indecisa, menester es de Casanovas, y otros cinco procedentes de América, y todavía viarse hacia lado alguno. sobre todo fortalecerla y fijar sus creencias; entonces el no determinados. El resultado de est…</t>
  </si>
  <si>
    <t>…P E N IT E N C IA R IO . sido ahorcados en 29 de Setiembre. en el Mediterráneo , cuando se trataba de hacer respetar su cua­ lidad de neutra, seiian bastantes á explicar la indigna venganza Carta de M r. M orcau-Christophe á D. Ramón de la que sir Horoe-Pophain tomó mas adelante en nombre de su pa­ Sagra. Mr. Lerminier , profesor en el colegio de Francia , acaba de tria. publicar un folleto que en las actuales circunstancias no puede Antes de esta época , que es un hecho capital en e! reinado París 20 de Diciembre de 185…</t>
  </si>
  <si>
    <t>de la, Ramón Alonso</t>
  </si>
  <si>
    <t>Ramón Alonso de la</t>
  </si>
  <si>
    <t>…la Am érica del Sur y Habiéndose denunciado ante el Sr. alcalde constitucional el oficial quinto de administración m il it a r , M anuel Félix R o ­ los peligros de la fiebre amarilla? D. Luis CLeñalde por el promotor fiscal D. Ramón Alonso de las dríguez. Y cuando al lado de la cuestión de honor y de la de ínte­ lleras en concepto de subversivo la parte de cencerrada que em­ res se halla una cuestión de h u m a n id a d , ¿ no dejará la F ra n ­ pieza : *cLa anarquía r e in a ” , y co ncluye: " á D. J u a n S ev illa­ ci…</t>
  </si>
  <si>
    <t>…rrero, á D. José M aría Guerrero, en 5. H ABIENDOSE denunciado ante el Sr. alcalde primero cons- Otra id. en dicha sierra y paraje, el Arañon , al mismo, A titucional D. Manuel R uiz de Ogarrio por el promotor en id. fiscal D. Ramón Alonso de las Heras el folleto titulado: ccLa Otra id. en dicha sierra y térm ino, pecho de Lastras, San F RANCISCO Antonio Ferreiros y Saavedra , escribano de fuga del P. C ir ilo , encubierta por el Gobierno de 8 . M .” en P ascual, á D. Pedro Romero, en 15. ^ S. M . , y uno de los del poyo…</t>
  </si>
  <si>
    <t>…cribe en esta corte en la librería de la viuda de Ra_ Doy fe: qne en el juicio de denuncia hecha por el promo­ zola, calle de la Concepción Gerónima; en Barcelona en la de Y DE A P L IC A R EN SU CASO tor fiscal , licenciado D. Ramón Alonso de las Heras, ante el D. José Torner, calle del R eg o w ir, y en k de la viuda de Sr. alcaide constitucional D. Luis Oseñalde, de la cencerrada del núm. 101 del periódico titulado El G irigay , correspondien­ LA PENA CAPITAL, D. Antonio B ru si, calle de la Libretería. te al sábado 27…</t>
  </si>
  <si>
    <t>…á la española. Debajo de una coposa ceiba fronteriza á la marina hacen g a y del sábado 27 de Abril último, núm. lOí , denunciado aus primeras ceremonias de religión, y presentes los hijos de por el promotor fiscal licenciado D. Ramón Alonso de las He- En estos trozos se hallará una apología de la literatura españo­ Guaicanaina y Guanacaje juran obediencia al brillante pendón ras, y observadas todas las formalidades prescritas por la ley, la, tanto mas notable, cuanto no sale de los términos de la mo­ de'Castilla. Los naita…</t>
  </si>
  <si>
    <t>de la, Ritchie</t>
  </si>
  <si>
    <t>Ritchie de la</t>
  </si>
  <si>
    <t>…. Antonio Castillo una enorme muela qne se ha­ muchos que om ito, constituyen el curioso y divertido estudio inagotable de riquezas, cuyos beneficios y causas que le han fo­ lló en las playas de Zacoalco ; casualmente pasó el Sr. Ritchie de la geografía. mentado me propongo demostrar. á la sazón que se estaba viendo y que los espectadores se entre­ Todos serán examinados de la geografía de España, y los Si el hombre pudiese vivir aislado, abandonado á sí mismo gaban á mil conjeturas, y desde luego pensó muy fundadamen­ mas…</t>
  </si>
  <si>
    <t>de la, Roda.</t>
  </si>
  <si>
    <t>Roda. de la</t>
  </si>
  <si>
    <t>…ribirse, es el Diccionario catalan, castellano, 2.° La escala. latino-francés, italiano: este constará de dos abultados tomos 3.° Muerta para el mundo. en 4,° mayor prqlongado á dos columnas, y es independiente 4*° El obispo de Roda. de las otras dos partes; de modo que se venderá también por 5.° Una orjia. U N profesor de francés, natural de P a r ís , enseña á leer , es- separado atendida la necesidad que tienen de él hasta las clases 6.° La campana de Huesca. ^ cribir y hablar con pureza dicho idioma por un método pr…</t>
  </si>
  <si>
    <t>de la, Ruiz</t>
  </si>
  <si>
    <t>Ruiz de la</t>
  </si>
  <si>
    <t>…dién­ bel i i , gloria y gratitud á su augusta Madre la Reina Gober­ ñor G arelly,delyTrono Gloria eterna pues al tronío de la inocente Reina Doña Isa­ al discurso por habia nombrado por su presidente al Se­ secretario al Sr. Ruiz de la V ega, y que dola al propio tiempo expedir un writ á Fortsmouth para la nadora, y gloria al caudillo excelso que ha sabido unir á la la de Exámen de Actas habia nombrado elección de nuevo diputado, pues Mr. Baring lo es de aquella constancia y valor en los combates tanto tino y prudenci…</t>
  </si>
  <si>
    <t>…sea la de un documento que estaba en secretaría; y sin que se ac­ ción , y el segundo á la 4-a cediese á su reclamación , se mandaron leer por orden del señor ha dicho que no , y que no fue eso lo que aprobaron las Cor­ El Sr. Ruiz de la V e g a,c o m o Secretario de la comisión e n ­ tes. No sé por qué se hace esa ofensa; porque decir que la ley Presidente los artículos del reglamento desde el 8 4 hasta el 92 cargada de redactar el proyecto de contestación al discurso del no dice lo que ha manifestado el Sr. Osea , no…</t>
  </si>
  <si>
    <t>…resentada por el m inistro, como T uvim os ocasión, com o hem os dicho, de a p u n ta r aq u i Su ejecución fue suspendida por los sucesos de I 8 l 5 , y no ha NOTICIAS NACIONALES. mismo nuestras ideas acerca de 'la .obra del Sr. Ruiz de la obtenido rehabilitación posterior, el tesoro no puede apoyarse V ega, y m anifestam os entonces lo que pensaba mus.-¿Vi ge­ •o el artículo 9.° de dicho tratado. Almenara 8 de Agosto . neral de e lla , y lo q ue ag uardáb am os del trlevado taieti- 5.a En todo caso el tratado en cuanto á…</t>
  </si>
  <si>
    <t>de la, S. M.</t>
  </si>
  <si>
    <t>S. M. de la</t>
  </si>
  <si>
    <t>…mera clase, y un sargento y dos soldados | A N T O N I O Palacio, oficial de la benemérita Milicia nació-. el balcón por donde habia entrado; pero aunque seguro de la segunda. !^ nal de la isietnpre heroica Zaragoza, escribano de S. M. de la inocencia de su esposa, se propone darle la muerte Cuando regresaba á esta ciudad el dia 8 del corriente, el i la Reina , notario público del colegio de dicha ciudad, certifi­ por 3ai va r su honor. Huye la in feliz, y busca asilo en casa comandante Páramo con la columna de su mando tuvo…</t>
  </si>
  <si>
    <t>de la, S. Salvador</t>
  </si>
  <si>
    <t>S. Salvador de la</t>
  </si>
  <si>
    <t>…ento; pero este movimiento, ejecutado con irresolución, tue se entre ellos los cabecillas D. Do mingo Agrias Castro Y ila r , el mas fuoesto todavía: squelta tropa fue enteramente deshecha, titulado Saco y su hermano el cura de S. Salvador de las Cortes. dejando íQ5 muertos entre oficiales y soldados. A yer salió el mariscal gobernador con ':oda la artillería Que en un encuentro murieron D. José Aívarez y D o n j El campamento de Ou ad -L al le g rompió el fuego con las pie­ disponible. José G arcía , también cabecillas,…</t>
  </si>
  <si>
    <t>de la, Saatillan</t>
  </si>
  <si>
    <t>Saatillan de la</t>
  </si>
  <si>
    <t>…con­ qué puntó puede contar el Gobierno con esos medios efectivos Se leyó otro del mismo señor, relativo á la renuncia que ceder esta clase de pensiones , porque no son muchos los casos para atender á la guerra. ha hecho el Sr. Saatillan de la cruz de Carlos m . f en que se muere defendiendo el orden público y las leyes. La tercera ley ha sido sobre la organización de la caja de El Sr. Ministro de la Gobernación, comunica al Congreso El Sr. OVEJERO: No he impugnado el dictamen porque Amortización. Resulta pues que las Cor…</t>
  </si>
  <si>
    <t>de la, Santiago</t>
  </si>
  <si>
    <t>Santiago de la</t>
  </si>
  <si>
    <t>…e esta villa que mas dos secretarios, de los cuales el khodj* Ahmed acompañó neral , Orive. despacha el Sr. D. Miguel María D uran por la escribanía de á los franceses en la primera y segunda expedición de Constan- número de D. Santiago de la G ranja, á deducir su derecho, lina , no obstante que toda su familia estaba entonces en la ciu­ apercibidos que en otro caso les parará el perjuicio que haya dad en poder del cruel Iledji Admed bey. lugar. Mr. Alix Desgranges, en cuya compañía iban los extran- MADRID 1 7 DE MAYO.…</t>
  </si>
  <si>
    <t>…te año. Un tomo á 20 rs. tes/d ijo S. S.,que si el Gobierno nocreiá oportuno este momen­ a villa el Sr. D. Miguel M aría D u ran por la escribanía del to para manifestar tas causas que le habían movido á ello, pro­ número de D. Santiago de la G ra n ja ; apercibidos que pasado Aventuras del caballero andante Amadis de G au la, ador­ bablemente no las diría nunca, porque nunca se le podia pre­ in hacerlo les parará el pevjuicio que haya lugar. nadas con mas de 60 láminas litografiadas. Cuatro tomos en /l.° sentar mejor oc…</t>
  </si>
  <si>
    <t>de la, Saotiago</t>
  </si>
  <si>
    <t>Saotiago de la</t>
  </si>
  <si>
    <t>…a clase será puramente de perfección j Juzgado de Amortización. tancia de esta villa, que despacha el Sr. D. Miguel María D u­ propiedad del idioma, traducción de los clásicos, explicacior ran, por la escribanía del número de D. Saotiago de la G ran­ de los sintaxis, composición y ejercicios de locución. Los alum­ Por providencia del Sr. intendente subdelegado de rentas ja ; apercibidos que en otro caso les parará el perjuicio que nos para ser admitidos en ella han de ser mayores de 15 año* de esta provincia , juez de Amo…</t>
  </si>
  <si>
    <t>de la, Saturnino Calderón Collantes</t>
  </si>
  <si>
    <t>Saturnino Calderón Collantes de la</t>
  </si>
  <si>
    <t>…del los subsidios que ellos no repararon en cobrar sin la sancioo ESTADOS M EJICANOS. pías» de ministro de la audiencia de Valladolid , vacante por Congreso, y sin un objeto tan perentorio y beneficioso. El haberse encargado D. Saturnino Calderón Collantes de la secre­ del dia , Señora , tiende al preciso sustento de los soldados de la Ministerio de Guerra y M arina.^División del Norte.=Ge- taría del Despacho de la Gobernación de la Península, á Don patria , quienes después de haber cortado la cabeza á la hidra neral en g…</t>
  </si>
  <si>
    <t>de la, Secretario</t>
  </si>
  <si>
    <t>Secretario de la</t>
  </si>
  <si>
    <t>…el momento e» S f. Secretario del Despacho de la Gobernación de la Pe­ de á V. S. muchos años. Madrid 13 de Diciembre de que brilla la aurora de la paz que tanto se hizo esperar. nínsula lo que sigue: í839.c=ÍVIoiues de Oca.=Sr. Secretario de la junta de A l­ E! ayuntamiento ruega humildemente á Y. M. se digne lie dado cuenta á la Reina Gobernadora de lo expues­ mirantazgo. aceptar la expresión de sus sentimientos, y la seguridad desu inalterable adhesión al trono de la excelsa H ija de V. M. y á to por la diputación prov…</t>
  </si>
  <si>
    <t>…casión de dis­ ñor A d a o a , y á la sexta el Sr. López Berrio. Asi pues, una vez que los señores de la comisión no retiran turbios en aquel p a is, asi como lo ha sido también eu otras El Sr Sánchez de la Fuente suplicó al Sr. Secretario de la su proem io, y no dejan qué el Senado vote el proyecto del Con­ muchas; porque sabido es que siempre que el Gobierno hacia comisión de Presupuestos tuviese á bien decirle en qué estado se greso en los términos que ofrecen sus palabras tomadas en su algún pedido ó imponía algún pré…</t>
  </si>
  <si>
    <t>de la, Sotos</t>
  </si>
  <si>
    <t>Sotos de la</t>
  </si>
  <si>
    <t>…en su noble ocu­ donde habia un gran gentío, y estaba la escolta de S. E. des­ por defender la patria. pación. de poco después de medio dia. «Quedo obligado á contribuir mensualmente con 12 rs., los El tomito en que trata el Sr. Sotos de la pronuncia­ Venia el general sobre cubierta acompañado de algunos cuales librará al establecimiento cada trimestre su seguro servi­ ción francesa es sumamente a preciable y en él se halla la Sres. oficiales generales y otros distinguidos personajes, reci- dor , quien desea no se dé publi…</t>
  </si>
  <si>
    <t>de la, Sánchez</t>
  </si>
  <si>
    <t>Sánchez de la</t>
  </si>
  <si>
    <t>El Sr. Q U I J A N A , defen dien do e! a rtícu lo , trató de m ani­ T a m p oco lo fue la del Sr. Perez de R iv a s , en que pedia que festar que no habia m otivo para in clu ir en una censura general mienda del Sr. Sánchez de la F u ente, y quedó aprobada , com o al hnal del artículo se pusiera lo siguiente: "se exceptúan de igualm ente el artículo. ! y poner en rid ícu lo á todas las ju nta;,, com o habia hecho el se­ esta ultima disposición los débitos á la Hacienda pública pos­ ñor Benavides, cu a n do…</t>
  </si>
  <si>
    <t>…lg u n a s a c t a s , y creo que u n a de ellas es El Sr. G O N Z A L E Z A L O N S O rep ro dujo los a rg u m en to s a h o ra creo que no lo h a y . la de Soria , aparece que se h ab ia n escrito papeletas fu era del del Sr. Sánchez de la F u e n t e , añ ad ie n d o qu e un D ip u t a d o solo El Sr. S A N C H O : Todo Sr. D ip u t a d o tiene facultades d e local electoral: sin e m b a r g o , el Congreso aprobó las c itad a s ha obtenido 4-0 votos de m a y o r í a , y q u e las papeletas qu e se proponer enm iendas…</t>
  </si>
  <si>
    <t>…ha tenido razones poderosas para Córdoba 19 d e S etiem bre . El Sr. T E M P R a D O dijo que no creia que este asunto era hacerlo. tan despreciable para que la comisión hubiese dado el d ic ta ­ A pesar de lo dicho por él Sr. Sánchez de la F u e n t e , todos El colegio nacional de humanidades de Nuestra Señora de men que presenta , pues sabido es el grave perjuicio que se si­ los Sres. Diputados sabrán que estos asuntos tienen ambos ín ­ la Asunción de esta ciudad ha celebrado en los dias 5 , 6 y 7 gue á los labradores…</t>
  </si>
  <si>
    <t>de la, Ventura</t>
  </si>
  <si>
    <t>Ventura de la</t>
  </si>
  <si>
    <t>…ambién ha quedado terminada la traducción noche del 1.° de Abril. El nombramiento de presidente de ya el tiempo en que á la noble profesión de los Taim as, de los que del Congreso de Veronade Chateaubriand ha hecho con ella en D. Ventura de la V ega, asi como el de los demas indi­ Maiquez , de los Garrick , se la consideraba como una leve dis­ tanto acierto como inteligencia D. Cayetano Cortés, quien se viduos de la junta gubernativa , nos hace esperar mucho para tracción ; porque hoy es el teatro en todos los p ises cultos…</t>
  </si>
  <si>
    <t>de la, Viceute</t>
  </si>
  <si>
    <t>Viceute de la</t>
  </si>
  <si>
    <t>…créditos al estudio del i Se suscribe en esta corte en la librería de la viuda de R a­ yrespectivos señorío. Obra formada por las relaciones originales de los intendentes del reino , á quienes se pidieron de Real Licenciado D. Viceute de las Barreras y Perez , que le tiene il zola , y en Cádiz en la redacción de la Revista de medicina y calle del Lazo, nú ai. 5 , cuarto segundo; apercibidos de que ¡ cirugía , plaza de la Constitución } niim. 15 , y en la librería orden: con un nomenclátor ó diccionario de todos los puebl…</t>
  </si>
  <si>
    <t>de La-Madrid, Juan García</t>
  </si>
  <si>
    <t>Juan García de La-Madrid</t>
  </si>
  <si>
    <t>…lo tos de física y química , que han de abrirse en los institutos de hacer postura á dicha mitad de casa acuda al juzgado de S. S. Tudela y Cáceres, se presentarán en la secretaría de la direc­ por la escribanía numeraria de D. Juan García de La-Madrid, ción el dia 14 del corriente de doce á una de la tarde ¿ re­ que se le admitirá siendo arreglada , y su remate se celebrará LA REDOMA ENCANTADA. coger la nota expresiva del programa que deberán someter al nuevamente el jueves 14 del corriente mes á las doce de su ma­ exa…</t>
  </si>
  <si>
    <t>de Laesoe, Olózaga.</t>
  </si>
  <si>
    <t>Olózaga. de Laesoe</t>
  </si>
  <si>
    <t>…de su bue­ convencerse de esto, bastará ver lo que decia la comisión siendo cuarto al NO 5o N (de la aguja) del extrem o occidental na ó mala interpretación puedan resultar, reconociendo la sa- el órgano de sus principios el Sr. Olózaga. de Laesoe, una percha con altura de 16,8 pies y tres ha­ bid uría del que la d á , principio que enteramente se contradice (S. S. lee un párrafo, del que resultaba que dicho señor h a ­ ces en 6 ¿ brazas de agua. admitiendo lo expuesto por el Sr. Sancho. bia manifestado que la diferencia en…</t>
  </si>
  <si>
    <t>de Lafita, José</t>
  </si>
  <si>
    <t>José de Lafita</t>
  </si>
  <si>
    <t>…terra el régimen de correos, parecen haber fijado la atención del onortunidad para hacer cargar al escuadrón de cazadores de la Gobierno ruso, que piensa también en introducir algunas mejo­ Guardia mandado por su comandante D. José de Lafita, que ras en este ramo. Es de esperar que el sistema de correos de lo verificó con el mayor arrojo sobre un batallón enemigo que Alemania, cuya organización cuenta desde la edad media, siga dispersó y acuchilló, haciendo prisionera bastante fuerza ; pero cargado aquel de flanco por…</t>
  </si>
  <si>
    <t>de Lama, José</t>
  </si>
  <si>
    <t>José de Lama</t>
  </si>
  <si>
    <t>…da sección.— Circular. Atendiendo á tan graves consideraciones, y trascurri­ de la que resultó muerto un faccioso de caballería. Que el ca­ do con exceso el plazo que por Real orden de 17 de Mayo pitán de Nacionales de Nocedo D. José de Lama , en combina­ Por el ministerio de Hacienda se traslada al Sr. Minis­ siesenañoenanterior del sus se concedió para que las oficinas se pu­ ción con el comandante militar de Ginzo de Lirnia, aprehen­ trabajos al corriente, ia dirección y conta­ dió el 24 del pasado á dos desertores…</t>
  </si>
  <si>
    <t>de Lamadrid, Juan García</t>
  </si>
  <si>
    <t>Juan García de Lamadrid</t>
  </si>
  <si>
    <t>…nticismo poético , y de insensatas Contiene este número los artículos siguientes : este llamamiento, comparezca en el juzgado de S. S. y escriba­ simpatías hacia las repúblicas que han hecho clásicas los ora­ nía numeraria de D. Juan García de Lamadrid por medio de dores, historiadores y poetas, y que hace muchos siglos se ha­ Crónica judicial. Recursos de nulidad y de injusticia no­ procurador con poder bastante á usar de su derecho en los autos llan convertidas en cuevas de Caco, como ya lo dijo nuestro toria. Pleito se…</t>
  </si>
  <si>
    <t>de Landa, Matías</t>
  </si>
  <si>
    <t>Matías de Landa</t>
  </si>
  <si>
    <t>…0 Colombianos , 2 9 f. titulada El Novio y el Concierto, á 50 montados entre E. M. y escolta. Hace tiempo que reside M ejicanos, 24£* Ambas han tenido un éxito favorable, si bien el de la úl­ alii retirado y sin mando un tal D. Matías de Landa , bien Holandeses, 103|. tima fue mas bien debido á los trozos de música que contiene conocido en esta villa por haber sido comandante de uno de Bonos del tesoro, 64 , 86. que.no á su mérito literario. los batallones de la titulada Guardia de H onor, ó sea Volun­ Acciones del banco…</t>
  </si>
  <si>
    <t>de Lara, Joaquín</t>
  </si>
  <si>
    <t>Joaquín de Lara</t>
  </si>
  <si>
    <t>…la razón natural, y con cuánta facilidad se extravía si no va guiado de la revelación. Descuento de letras, á 6 por 100 al año. Nos compadeceremos de ver envueltos en tinieblas hombres Igualmente se cita, llama y emplaza á D. Joaquín de Lara, tan aprovechados en materias hum anas, y veneraremos I03 eternos é inescrutables juicios que asi lo ordenaron, reservando | T — •t m b im I I I 1 1 —i — ■— — &gt;in w i - n n n u w w i ' V T i w i i M W — m tá para que en el término de tercero dia , que por segundo se le para nosotro…</t>
  </si>
  <si>
    <t>de Lasagra, D. Ramón</t>
  </si>
  <si>
    <t>D. Ramón de Lasagra</t>
  </si>
  <si>
    <t>…landa que ha publicado cios moderados. que en ambos conceptos ha excedido con mucho también Cada sección tiene un secretario general y otro particular. nuestras esperanzas. Las señoritas de Peñafiel y Gallardo en francés el Sr. D. Ramón de Lasagra.) Los materiales destinados para el trabajo de los pobres, asi co­ estuvieron acertadas y felicísimas en sus respectivos papeles, mo el dinero, los recibe el primer secretario, quien los distribu­ asi como los Sres. Yega, Argüelles, Alvarez, Marques de Bajo el aspecto de organiza…</t>
  </si>
  <si>
    <t>…villa y su territorio, ha (Sacado del viaje de Bélgica y Holanda que ha publicado educación elemental y religiosa, y en este último caso tener en añadido haber destinado á Martorell un gefe de su coafianza, el en Jrances. et Sr. D. Ramón de Lasagra.) consideración las creeocias individuales de los presos , creencias Sr. coronel D. Joaquín Manresa, para que se ocupe inmediata­ que la sociedad debia respetar ¡ fueran las que quisiesen. mente de poner en un estado respetable el edificio que fue con­ Esta sociedad tuvo su orige…</t>
  </si>
  <si>
    <t>de Lasagra, Ramón</t>
  </si>
  <si>
    <t>Ramón de Lasagra</t>
  </si>
  <si>
    <t>…del mismo be­ henibres que como el distinguido patriota y apreciable neficio que el que reside en Marsella. Hay también que adver­ las2.° Las de 50 á 100 grammas, en los mismos términos que anteriores , dos décimos. ciudadano D. Ramón de Lasagra consagran sus nobles ta­ tir que el pobre jornalero paga el mismo precio por una carta 5.° Las de menos de 15 grammas , dos décimos. reas y vigilias al bien de la humanidad. que el mas rico banquero. El habitante del Ariege, cuyo hijo 4.0 Las de 15 á 100 grammas, un franco. reside…</t>
  </si>
  <si>
    <t>de Latre, Manuel</t>
  </si>
  <si>
    <t>Manuel de Latre</t>
  </si>
  <si>
    <t>…doba, cu vo nombramiento le está hecho por el y casa de beneficencia, la inclusa, la hermandad del re­ Excmo. Sr. capitán general de este distrito, el teniente general fugio, la del pecado mortal, la asociación del Buen Pas­ D. Manuel de Latre, y con aprobación superior de S. M. la Liceo artístico y literario de Madrid, tor, el monte de piedad, el asilo de mendicidad de San Reina Gobernadora (Q. D. G.), de la que es secretario nombra - Bernardino, la administración de correos de esta corte, y do con las mismas circunstan…</t>
  </si>
  <si>
    <t>de Lecea, D. Federico Vitoria</t>
  </si>
  <si>
    <t>D. Federico Vitoria de Lecea</t>
  </si>
  <si>
    <t>…la niña Isabel de Diego , ciega de nacimiento , produjo js) Sr. D. Francisco de Hormaeche. ción general de dicho teorema , presentaron tres distintas en la reales de vellón, los cuales están depositados en un banco de ahor­ Sr. D. Federico Vitoria de Lecea. próxima sesión, una ei mismo Sr. presidente, otra el secretario ros de Paris, y se trasladarán al de esta capital tan luego como Zam ora, Barinaga, y otra el socio D. Pedro Miranda. Ademas de estas se halle establecido. el mismo secretario Barinaga leyó en una sesión…</t>
  </si>
  <si>
    <t>de Lecea, Victoria</t>
  </si>
  <si>
    <t>Victoria de Lecea</t>
  </si>
  <si>
    <t>…compa­ no debe te roer ni ngu na dificultad en aproba r!o. acordando que pasase a las secciones. ñeros los Diputados;, de. lias cuatro provincias de Cataluña, si Los Sres. Heros y Secretario de Gracia y Justicia hacen al­ El Sr. Victoria de Lecea fu* agregado i la, cuarta sección, se redujese á que jamas se haga, ni aun"por via de .ensayo, la­ gunas aclaraciones. y el Sr. llompanera de Cas ¡i la quinta.. mas pequeña reforma de aranceles sin venir á las Cortes, pues Después de unas ligeras observaciones del Sr. marques de E…</t>
  </si>
  <si>
    <t>de Lelu, Francisca Rodríguez</t>
  </si>
  <si>
    <t>Francisca Rodríguez de Lelu</t>
  </si>
  <si>
    <t>…en dar con la calcografía de la Imprenta nacional. la mano derecha unas yerbecillas á un cordero; y en la izquier­ d a , levantado el brazo , tiene una caña en forma de cruz. El P OR el presente se cita , llama y emplaza á Doña Francisca Rodríguez de Lelu , viuda de D. Federico Lelu , y cuyo La coronación de María Santísima. grabado fue ejecutado en Paris por Hcnriquez (B. L.) con em­ paste y brio de buril. Tiene 15 p. y 5 l. de alto, y 16 p. y 4 paradero &gt;e ignora , para que dentro de 10 dias primeros si­ Obra del pin…</t>
  </si>
  <si>
    <t>de Les, Carmen</t>
  </si>
  <si>
    <t>Carmen de Les</t>
  </si>
  <si>
    <t>…guel Serralde. Un cuader­ bel II y las libertades de la nación, ha cabido en suerte con el no en 8.° marquilla. Se hallará á 4 rSa en Ia librería de Cues­ ta , frente á S. Felipe el Real. primer extracto de la de este dia á Doña Carmen de Les, D IO R A M A . hija de D. Salvador, teniente coronel del regimiento de Gua- L A STIM O SO via-crucis de la tropa, ó sean décimas descrip- dalajara, muerto en el campo del honor. ^ tivas sobre las inimitables virtudes de nuestros sufridos Establecimiento de un género enteramente nuev…</t>
  </si>
  <si>
    <t>de Leuchtemberg, Maximiliano</t>
  </si>
  <si>
    <t>Maximiliano de Leuchtemberg</t>
  </si>
  <si>
    <t>…ríncipes extrangeros, un archiduque también la citada sección de contabilidad por otro Real de A ustria, un prusiano, un holandés, un wurtembergués, y decreto de 18 del corriente, S. M. ha tenido á bien re­ sobre todo del duque Maximiliano de Leuchtemberg, su yerno, nos Élde Excmo. la Santa Sr. capitán general, á ruegos de los Sres. herma­ Caridad , ha mandado suspender la ejecución solver que la titulada de Ultramar en dicho ministerio que decididamente parece haberse hecho ruso. (Temps.) de los reos Sergio Olmos, Sant…</t>
  </si>
  <si>
    <t>de Leyba, José</t>
  </si>
  <si>
    <t>José de Leyba</t>
  </si>
  <si>
    <t>…ientes á la testamentaría de la ideal de la ternura mugeril. Pero aun en esta comedia se difunta Doña María Teresa Gauche y M onroy, viuda que fue ARTICULO PRIMERO. conoce el genio maligno del autor. Por una muger que nos de D. José de Leyba, que tuvieron principio en el año 1810; pinta excelente, amable y heroica, nos regala dos necias, ymásestando que pendiente la distribución de la cuarta parte y de­ resulte corresponder á sus parientes pobres, y habién­ Este ingenioso poeta, tan ameno com o fecundo, flore­ interesa…</t>
  </si>
  <si>
    <t>DE LEYES, Casas. COLECCION</t>
  </si>
  <si>
    <t>Casas. COLECCION DE LEYES</t>
  </si>
  <si>
    <t>…egundo acto se bailarán catalan-castellano-latino, aumentado el primero de estos dos boleras á seis; y concluida la comedia un Pas-de-deux por la con todas las voces del de la academia española , y el segundo Sra. Diez y el Sr. Casas. COLECCION DE LEYES, con todas las de los mejores diccionarios publicados en Fran­ cia ; los señores que se suscriban á esta colección tendrán á la Terminando ¡a función con el sainete titulado REALES DECRETOS, vez, no solo el diccionario de Belvitges notablemente aumen­ tado , un diccion…</t>
  </si>
  <si>
    <t>DE LEYES, Juan COLECCION</t>
  </si>
  <si>
    <t>Juan COLECCION DE LEYES</t>
  </si>
  <si>
    <t>….. Cádiz. este anuncio en la Gaceta del Gobierno , comparezca ante el ex­ 5 .6 8 1 .... 2 .4 5 7 .... 2000................ Madrid. 2000............... Aranda de Duero. presado Sr. juez y escribanía de su número que ejerce D. Juan COLECCION DE LEYES, R a y a , para hacerle saber una providencia : en inteligencia que 1 6 .2 3 5 .... 2000............... Madrid. pasado dicho término sin verificarlo le parará el perjuicio que 1 6 .1 1 0 .... 500................ Cádiz. haya lugar. REALES DECRETOS, 1 4 .5 2 2 ... • 500...…</t>
  </si>
  <si>
    <t>de Leyva, Antonio</t>
  </si>
  <si>
    <t>Antonio de Leyva</t>
  </si>
  <si>
    <t>…los geómetras á perfeccionar pocos , y solo por el nombre que sagó de su casa antes de entrar cuando mas, el límite del cual no pueden bajar las fuer­ los métodos analíticos, y se convencerán de este gran prin­ en el servicio D. Antonio de Leyva. zas que deben emplearse : pero si se ha de producir cier­ cipio: n i n g u n a v e r d a d hay que ademas del p l a c e r i n t e le c­ Su actividad y talento en el trance dé una batalla no cono­ ta cantidad de movimiento, son necesarias condiciones y tual y sublime que p r o du c…</t>
  </si>
  <si>
    <t>de Leza, Manuel</t>
  </si>
  <si>
    <t>Manuel de Leza</t>
  </si>
  <si>
    <t>…le conceda y á los arbitrios solo con el cinco. jeretaría del gobierno militar de la misma provincia. la recaudación de la cuota de la contribución extraordinaria 210. D. Estébao González , por sí y á nombre de los demas 249. D. Manuel de Leza, solicitándose le declare exento de de guerra sobre consumos. licenciados del ejército que se hallan sirviendo en la Milicia 1 quinta de 403 hombres, sancionada por S. M. en 27 d e F e - 168. D. Sebastian de Souto , confesor que fue del semina­ nacional, solicitando se les exima de…</t>
  </si>
  <si>
    <t>de Lezo, Blas</t>
  </si>
  <si>
    <t>Blas de Lezo</t>
  </si>
  <si>
    <t>…nte. En su virtud dijeron en 28 primer marques de Sama-Cruz, 2 rs. hombres del provincial de Sevilla y de 70 salvaguardias de de Febrero lo sigu ien te: ambas armas al mando de su comandante D . Manuel Lesaca, Id. del general D. Blas de Lezo, un real. Los jueces de primera instancia de esta capital que suscri­ ha regresado h o y , después de haber recorrido todos los pueblos Id. del almirante D. Antonio de Gaztaíieta, un real. ben, después de haber conferenciado detenidamente para eva­ de la orilla izquierda- del T ajo has…</t>
  </si>
  <si>
    <t>…ñol de S. Fernando, 00. Id. del célebre general de m arina D. Alvaro de Bazan, De lana...................................................................... 545 CAMBIOS. prim er marques de Sarita-Cruz, 2 rs. Id. del general D. Blas de Lezo, un real. Cumberland. Londres, á 90 dias, 38§. Coruña, á 2 d. Id. del alm irante D. Antonio de Gaztañeta, un real. De algodón................................................................. 186 París, Í6 -6 á 5. Granada, 1£ á 2 id. Noticia biográfica y literaria del cosmógrafo Alonso…</t>
  </si>
  <si>
    <t>…lero comendador de la Real orden americana de Isa­ primer marques de Santa-Cruz, 2 rs. suscrito por D. Matías Seco , y tres por la condenación; y en goza yCatólica, magistrado honorario de la audiencia de Zara­ Id. del general D. Blas de Lezo, un real. su vista el jurado lo declara absuelio. Rafael Urries, Manuel escribanojuezdeldenúmero primera instancia en esta corte, refrendada del D. Garlos Rodríguez de M oya, se cita, Id. del almirante D. Antonio de Gaztañeta, un real. Lorente , Pablo Ascaso , Ignacio Paño de Sesé,…</t>
  </si>
  <si>
    <t>de Lezo-, Blas</t>
  </si>
  <si>
    <t>Blas de Lezo-</t>
  </si>
  <si>
    <t>…a son vistas de varias mezquitas , fuertes y planos, p rim e r m arques de Sanra-C ruz, 2 Ts. Trillo 3 de Agosto. En esta tarde han entrado los 70 sal­ con inclusión de una carta geográfica en medio pliego "de Id. dél general D. Blas de Lezo-, un real. vaguardias de ambas armás , correspondientes á la columna en­ mairca mayor, que representa el viaje que hizo la escuadra es­ Id. del alm irante D. A ntónió'ác G aztañeta, un real. cargada de la custodia y seguridad del establecimiento de aguas pañola* en 1784 y 85 desde Carta…</t>
  </si>
  <si>
    <t>de León, Domingo</t>
  </si>
  <si>
    <t>Domingo de León</t>
  </si>
  <si>
    <t>…a castellana cargo de la directora, á quienes les dió las gracias por la exac­ titud y método de enseñanza, presentándose en seguida la niña creído deber examinar una cuestión p erjudicial, que ha sido que dirige el bachiller D. Domingo de León, á cuyo buen ma­ debatida en la Cám ara de los representantes. Se ha preguntado nejo es debido tal adelanto, y la de escritura que regentea Don Doña Luz de Meza, y pronunció el discurso que sigu e: Antonio R odríguez, siendo el mejor comprobante las planas Señores: Exponer al públic…</t>
  </si>
  <si>
    <t>…caste­ método de enseñanza, presentándose en seguida la niña Doñay tración paternal, le granjeó la estimación de Jqs honrados ha­ bitantes de est^ pái^ y aquel .oorto: ^papia.de)nostró hasta la llana que dirige el bachiller D. Domingo de León, á cuyo buen Luz de..Meza y,prQnuncia..eLijiscurso-que sigues «*.,• \ evidencia que Ias autoridades prudentes^ Jas que Renán el cir­ manejo es debido tal adelanto, y la de escritura, que regentea Señores: Exponer al público las medras de la educación pri-i D. Antonio Rodríguez ; si…</t>
  </si>
  <si>
    <t>de León, Ignacio Crespo y Pones</t>
  </si>
  <si>
    <t>Ignacio Crespo y Pones de León</t>
  </si>
  <si>
    <t>…emérito capitán general el Excmo, Sr. Don VACANTES. n ava le s,.sin perjudicar los derechos neutros. Joaquín de Ezpeleta , la ilustrada y diligente consulta del se­ En casos urgentes, y cuando el Gobierno de la Reina m a­ ñor D. Ignacio Crespo y Pones de León , asesor general primero S E halla vaneante el partido de médico de la v illa de B arao- nifieste la necesidad de un socorro directo para el trasporte de de gobierno, y el empeño de los empleados subalternos de po­ ^ na , distante cuatro leguas de Sigúenza , con la dot…</t>
  </si>
  <si>
    <t>de Lie, John Cockerill</t>
  </si>
  <si>
    <t>John Cockerill de Lie</t>
  </si>
  <si>
    <t>…icable el primero en un pais tiques les plus usités dans touts les pays. falto de leyes penalej, ó cuya legislación criminal se creyese Les sujets graves répreseutens des teignes d ’enfans, de dar- Liquidación de la casa del Sr. John Cockerill de Lie ja , en m uy mala. tres cougeantes aux tnains, aux pieds, au sein, et touts Ies Pero si parte de la legislación es bu en a, seria un desatino la Bélgica . symptómes priacipaux de la sy p h ilis, de dartier et des sero- derribar lo que existe, lo que ya está identificado con…</t>
  </si>
  <si>
    <t>de Linares, D. Fermín Gil</t>
  </si>
  <si>
    <t>D. Fermín Gil de Linares</t>
  </si>
  <si>
    <t>…utos, se difunden avisos, se reunieron en la sala de acuerdo y primera de justicia la iuauguracion de su Gobierno republicano, y con la nivela­ por Paris. A eso de las dos se hace notar su insólito movimien­ el Excmo, é Ilmo. Sr. D. Fermín Gil de Linares, ministro hono­ ción de las fortunas, prometía una revolución política y social to en las calles de S. M artin, S. Dionisio y demas adyacentes. rario del tribunal supremo de Justicia, decano que ha sido de á la vez. ¿N os admiraremos después de esto de que para dar á Numeros…</t>
  </si>
  <si>
    <t>de Liona, D. Juan Antonio</t>
  </si>
  <si>
    <t>D. Juan Antonio de Liona</t>
  </si>
  <si>
    <t>…........ 22 727965..27 2003507 que se contemplen con derecho á los bienes quedados por falle­ Se ha-repartido á los Sres. suscriptores la octava ‘entrega de M allorca.. . . . . . . 158666..22 ! 490510 cimiento abintestato del Sr. D. Juan Antonio de Liona , briga­ la-colección de novelas. La Muger y los dos Amigos , novela 2 Oviedo................. í 164700 ' 441500 dier que fue de caballería , para que los que sean acudan á de­ de costumbres, de Paul de Cok, traducida por D. Gregorio Palencia.. . . . . .. 5 531722 : 1190526…</t>
  </si>
  <si>
    <t>de Llamas, Enrique</t>
  </si>
  <si>
    <t>Enrique de Llamas</t>
  </si>
  <si>
    <t>…Vara canto. Scena y romanza de tiple, á 8. Duetto de ti­ para componer los licores arriba expresados, y hacer los que se contralto en elá 15. y tenor, Id. de tenor y contralto, á 14* Barcarolade brindis, á 5. T7L licenciado D. Enrique de Llamas, juez de primera ins­ llaman ratafias, de conserva y hacer toda clase de aguardientes Se hallará con todas lasdemas piezas sueltas y las óperas tancia de esta ciudad y su partido, que de ser asi el in­ con frutas. E l arte de perfumista contiene el modo de preparar reunidas para c…</t>
  </si>
  <si>
    <t>de Llano, José Queipo</t>
  </si>
  <si>
    <t>José Queipo de Llano</t>
  </si>
  <si>
    <t>…a m uy term in a n te , m uy claro. greso se sirviese declarar haber lu g a r á poner en ju icio al se- El Sr. EGEA contestó que en el artículo de n ingun a m a­ Respecto á los segundos contribuyentes nada tenia que con­ tñor D. José Queipo de Llano * conde de T oren o , ex-m inistró se ra se im ponía obligación de ad m itir tos cargos que se expre­ testar la com isión, puesto que el Sr. conde h ab ia confesado de H acienda , por m alversación en el ejercicio de sus funciones, saban , pues si no creían que podían desempeñar…</t>
  </si>
  <si>
    <t>de Llano, Juan Bautista</t>
  </si>
  <si>
    <t>Juan Bautista de Llano</t>
  </si>
  <si>
    <t>…se com prendan con José García M artínez, D. Julián Alonso, D. José Quintana, fin los muchos heridos que en ellos se hallan. Con este m otivo, y á la distinción debida los de las rentas y ramos que se ad« D. Francisco Pavas, D. Juan Bautista de Llano, D. Juan M a ­ ademas de poder acudir al alivio de estos beneméritos militares, que nuel Muela y D. José Coll,, quienes por unanimidad declara­ de jas privaciones y fatigas que sufren , se encuentran m inistran por este m inisterio, aunque con independencia en el lecho del do…</t>
  </si>
  <si>
    <t>DE LO</t>
  </si>
  <si>
    <t>…do á re. parte de e l l a , se la ha dado el curso correspondiente. competan en los autos de abintestato de dicho presbítero; aper­ cibidos que de no hacerlo les parará el perjuicio que h ay a lugar. TEATROS. DIRECCION GENERAL DE LO T E RIA S NACIONALES. P RIN C IP E. A las ocho de la noche. Se pondrá en esce­ REMATE. Noticia d e los pueblos y adm inistraciones don d e han cabido na el acreditado dram a en cinco ac to s, traducido por D. M a ­ los 20 prem ios m a yores d e los 4 OO que com p ren d e e l sor­ D irección…</t>
  </si>
  <si>
    <t>de Loizaga, Casimiro</t>
  </si>
  <si>
    <t>Casimiro de Loizaga</t>
  </si>
  <si>
    <t>…la de Cáceres á D. José Landero mercio y la navegación esta campaña de guerra y de paz , con y Corchado, en reemplazo del conde de Adanero; y por una visita á Tejas, pais fértil y nuevo, limítrofe Je Méjico , y ía de Vizcaya á D. Casimiro de Loizaga, en reemplazo de Escriben de H ungría: que en lo sucesivo parece llamado á brillantes destinos ; y des­ D. Pedro Allende Salazar. Tendréislo entendido, y lo co­ El Emperador de Auitria ha dirigido á los Estados de H u n ­ pués con un reconocimiento del establecimiento naval de lo…</t>
  </si>
  <si>
    <t>de los Cue, Olegario</t>
  </si>
  <si>
    <t>Olegario de los Cue</t>
  </si>
  <si>
    <t>…las provincias? vincia de Toledo, y otro sobre las elecciones de C á d iz , en que cia y la naturaleza del asunto lo permita. El Sr. O C H O A : Es que se dice en el p árrafo : "reuaciendo propone sean aprobadas, y admitidos D. Olegario de los Cue­ Refiriéndose el Sr. Heros al párrafo que trata de las Poten­ por lo tanto la tranquilidad de los pueblos” , y .... tos, D. Aotonio Fajardo y otro Sr. Diputado electo por la cias del N orte, nombró S. S. á una persona por nombre pro­ El Sr. P R E S ID E N T E : Sr. O choa, yo no…</t>
  </si>
  <si>
    <t>de los Dolores, Doña María</t>
  </si>
  <si>
    <t>Doña María de los Dolores</t>
  </si>
  <si>
    <t>…nio expresivo de las sucesiones lineales soberana disposición ceso desde este dia en los cargos de gefe ó trasversales ocurridas en dicho marquesado desde la referida político y comandante general que he tenido la honra de Sra. Doña María de los Dolores; en inteligencia que de 00 ve­ ejercer. rificarlo, les parará el perjuicio á que haya lugar en la supre­ Anoche se estrenó en el Liceo, conforme teníamos anuncia­ j' 1 separarme de tan leal provincia llevo conmigo los mas do, la Rosmunda , del Sr. Gil y Z árate, en prese…</t>
  </si>
  <si>
    <t>de los e, Juan</t>
  </si>
  <si>
    <t>Juan de los e</t>
  </si>
  <si>
    <t>…el drama que se anuncia en el teatro de La Gaité de Pa­ TVUEVO sistema de modulación , ó sea estudio práctico de ar­ rís, donde se estrenó el 12 de Noviembre últim o; y en vista m onía, para gu ita rra , puesto en cifra por D. Juan de los elogios que de él hacían los periódicos de aquella capi­ Francisco López, profesor de música en esta corte. tal , procuró su adquisición , porque desde luego concibió la PROVIDENCIAS JUDICIALES* La grande aceptación que han tenido entre los aficionados idea de que seria un espectáculo…</t>
  </si>
  <si>
    <t>de los Her, D. Manuel Bretón</t>
  </si>
  <si>
    <t>D. Manuel Bretón de los Her</t>
  </si>
  <si>
    <t>…ficionada la señorita Doña; cidentes de la atmósfera se reproducen maravillosamente en aquellos cuadros maravillosos que cualquiera creería ejército de sabios y de artistas. En las mas simples y mas Antonia Montenegro por el Sr. D. Manuel Bretón de los Her­ ejecutadas bajo ei influjo de los genios aéreos. dulces pasiones de k vida tendrá su lutiiidad el D ague­ reros, y puesta en música por el profesor D. Basilio Bassili. Es­ Asi es como en una serie de cuadros creados por el rrotipo^ y reproducirá al instante todas las co…</t>
  </si>
  <si>
    <t>de los Herrero, Manuel Bretón</t>
  </si>
  <si>
    <t>Manuel Bretón de los Herrero</t>
  </si>
  <si>
    <t>…ma en cuatro actos en verso por j de k necesidad de su modificación cu and o ae tra ta de aplicar- propios con frecuencia por el concepto y la expresión. La | lo». Asi desaparece la distinción de los dos si stem as, de A u - D. Manuel Bretón de los Herrero. =E l artículo 960, pie- acción prevúu desde el principio, se arrastra débil y va­ I burn y de Filadelfia, nombres c u y a ad opción caracter iza V za en un acto. cilante á favor de diálogos inútiles, difusos y pesados. Los con justicia de f a t a l , porque realmente…</t>
  </si>
  <si>
    <t>de los Herreros, Bretón</t>
  </si>
  <si>
    <t>Bretón de los Herreros</t>
  </si>
  <si>
    <t>Debemos callar los rumores contradictorios que hoy circu­ anuncia ya el Bellido Del fu s, del Sr. Bretón de los Herreros, lan acerca de las causas de estas prisiones: todo lo que pode­ Alocución que ha dirigide d los andaluces el capitán gene - drama destinado al beneficio de la Sra. Baus. mos decir es qus tienen relación , según parece, con un asunto raí D . Francisco Sanjuanean, político que p…</t>
  </si>
  <si>
    <t>…os traducida de) cuatro piezas pequeñas de artillería. frauces por D. Ventura de la Vega con el título de Un alma Dicho dia sábado se adelantó hasta Zornoza con solo el sé­ Brasileños, 81. de Artista , y de una zarzuela del Sr. Bretón de los Herreros, quito que habitualmente le acompaña, compuesto de unos 40 Colombianos , 2 9 f. titulada El Novio y el Concierto, á 50 montados entre E. M. y escolta. Hace tiempo que reside M ejicanos, 24£* Ambas han tenido un éxito favorable, si bien el de la úl­ alii retirado y sin mando…</t>
  </si>
  <si>
    <t>de los Herreros, Manuel Bretón</t>
  </si>
  <si>
    <t>Manuel Bretón de los Herreros</t>
  </si>
  <si>
    <t>…uto da sus rapiñas, dispuso cortasen los Leemos en un periódico de la mañana : puentes de Benagel ir y Talayuelas ¿obre el rio Bianco , cuya Noche de! 1.° de Diciembre. 'JJna F ie ja l comedia eti cuatro actos, eo verso, por D. Manuel Bretón de los Herreros. A la noticia de los acontecimientos de A rgel, el mariscal operación, confiada al capitán de la compañía franca D. Mel­ No es tan fácil como creerse pudiera , hacer ía crítica de la Soult ofreció al Rey dimitir el cargo de M inistro de Negocios chor Clemente, fue dese…</t>
  </si>
  <si>
    <t>…y Panorama matritense, cuadros de costumbres de la capital a nuestros hermanos ríe América nos es forzoso estudiarle. La por un curioso parlante, 5 tomos. publicación que anunciamos abraza entrambos objetos, y con Poesías de D. Manuel Bretón de los Herreros, un tomo. ella creen os hacer un servicio á nuestro país y á la literatura. TPR ATADO de derecho penal, por Mr. Rossi, profesor de Poesías de D. José de Zorrilla, 6 tomos. El teatro «scogido de fray Gabriel Tellez (el maestro Tirso derecho político y constitucional en…</t>
  </si>
  <si>
    <t>de los Monteros, José Espinosa</t>
  </si>
  <si>
    <t>José Espinosa de los Monteros</t>
  </si>
  <si>
    <t>…a castellana, doctrina cristiana y catecismo político, fueron he tenido á bien nombrar Senadores: por la provincia de Burdeos 22 d é Agosto, in te rro g a d o s, contestando con la m ayor p ro n titu d ’ y despfjo, Córdoba á D. José Espinosa de los Monteros, y por la de no solo en la parte teórica de las materias referidas, sino en la Orense á D. José María Alvarex Pestaña, reelegidos por El d uq u e de O r le a n s h a regresado á Burdeos a l a s diez. practica, mereciendo todos ellos una general aceptación de eita las…</t>
  </si>
  <si>
    <t>de los Paises-Bajos, Hacienda</t>
  </si>
  <si>
    <t>Hacienda de los Paises-Bajos</t>
  </si>
  <si>
    <t>…cretario. hermoso joven: tiene ojos azules: cabello y vigote un poco ru ­ Según el proyecto de presupuestos presentado á los Estados bios , y de aventajada estatura. Es m uy jo v ia l, y no se obser­ generales por el Ministro de Hacienda de los Paises-Bajos, los va ninguna afectación en sus maneras. Habla bien el ingles, gastos del establecimiento de una legación en Bélgica ascieaden Señora: Desde que se ha anunciado el iris de paz en esta aunque con un poco de acento. (Sun.) á 283 florines. No se pide ningún crédito para…</t>
  </si>
  <si>
    <t>de los Prínci, Mortier</t>
  </si>
  <si>
    <t>Mortier de los Prínci</t>
  </si>
  <si>
    <t>…l género de guerra que nos hace el enemigo, cual­ los Países-Bajos. niñas manifestaron un verdadero conocimiento de lo que decían: quier medio tendremos por bueno que nos lleve al fin principal El mismo dia se despidió el barón Mortier de los Prínci­ sin tener ningún texto, sin haber cansado su memoria, han lle­ que es destruirlo y aniquilarlo. Decimos esto porque es para no­ pes. Su sucesor el barón de Bois-le-Comte ha sido recibido hoy gado á instruirse del arte de bien hablar á viva voz del precep- sotros y creemos l…</t>
  </si>
  <si>
    <t>de los Reyes, Próspero</t>
  </si>
  <si>
    <t>Próspero de los Reyes</t>
  </si>
  <si>
    <t>…e re­ nealogía de los Reyes de E sp a ñ a , considerados como írian las costumbres feudales. Tales son: la confirmación unieron en Zornoza por un lado el Pretendiente, que vino des­ Soberanos independientes de su marca. p or D. Próspero de los Reyes que en algunos casos necesitaban para su va­ de Durango , y por otro Maroto, que se trasladó allá d^de fáf de Bofarull y Mascará. Dos tomos en 8.° mayor. Barce­ lidez las actas de los condes: la donación que hizo Cárlos carretera de Orduña en compañía de Simón Torre y Zariáte-…</t>
  </si>
  <si>
    <t>de los Ríos, D. Juan Miguel</t>
  </si>
  <si>
    <t>D. Juan Miguel de los Ríos</t>
  </si>
  <si>
    <t>…4 , cuarto segundo; en la inteligencia que ei que no lo tessitura hubiera sido de lo contrario un obstáculo para poner verifique en el término de quince dias, le parará el perjuicio en escena espectáculo tan i u teses* ate. Sr. D. Juan Miguel de los Ríos, presidente. que haya lugar. Sr. D. Eduardo Rodríguez, secretario. Nota. Gran función extraordinaria para el domingo 15 de Diciembre de 1859, á las cuatro de la tarde, á beneficio del Sección de comercio. U N los autos que siguen el Excmo. Sr. conde de la Puebla del cue…</t>
  </si>
  <si>
    <t>de los Ríos, Santiago</t>
  </si>
  <si>
    <t>Santiago de los Ríos</t>
  </si>
  <si>
    <t>…toral; debiendo verificarse el escrutinio ge­ una plaza de ministro de la audiencia de Valladolid , vacante Escriben de Túnez con fecha de 3 i de Octubre: neral en la capital de la provincia el 31 del mismo mes. por muerte de D. Santiago de los Ríos, á D. Joan María Riec, El Bey de esta regencia ha quedado muy satisfecho de los 6* Los comisionados, que según dispone el art. 34 de fiscal de la propia audiencia ; y para esta vacante á D. Anto­ pliegos que le ha dirigido el enviado del joven Sultán , Irscid nio Caro Muñoz, a…</t>
  </si>
  <si>
    <t>de los Sres, Seoane. Uno</t>
  </si>
  <si>
    <t>Seoane. Uno de los Sres</t>
  </si>
  <si>
    <t>…e ­ có esto. Ea esta legislatura se han hecho iguales insinuaciones, proposiciones iguales en el fondo del proyecto de empréstito, ner e l m e n o r disim ulo en esta p a rte , especialm ente cuan­ una de ellas por el Sr. general Seoane. Uno de los Sres. miem­ iguales en las ganancias , é iguales en los fondos de que se pu­ do esta próxim a á publicarse la ley de requisición a p ro ­ bros de la comisión dió palabra de que dentro de cuatro días se diese disponer , entonces sé dice que los nacionales sean prefe­ bada ya por el…</t>
  </si>
  <si>
    <t>DE LOS TEATROS, Martin López Sala-</t>
  </si>
  <si>
    <t>Martin López Sala- DE LOS TEATROS</t>
  </si>
  <si>
    <t>…oa está en lizado con las formalidades que la misma previene, tocó á los Santo Domingo el cúter está anclado en la lín ea el seno de esta navegación en m in iatu ra es donde Isabey En sugetos siguientes: D. Nicolás Mélida, D. Martin López Sala- DE LOS TEATROS zar, D. Eduardo Arenas, D. Cayetano de Dilio y Rubio, Don forma esos preciosos dibu jos, esos a preciables cu ad riles con Rauion Guerra, D. Román Matute , D Bernardina Eraña , Don MODERNO ESPAÑOL Y EXTRANGERO. que se enriquecen todas las colecciones de los parti…</t>
  </si>
  <si>
    <t>de los, Cárlos y la</t>
  </si>
  <si>
    <t>Cárlos y la de los</t>
  </si>
  <si>
    <t>…fuerzo de la asisteucia de F ra n c ia , y enton­ ie Bilbao han creído de su obligación ofrecer á S. M. el R ey hemos recibido con un placer sincero, lo mismo que las segu­ ces, yo os d i r i a : h a y en España otra cosa que D. Cárlos y la de los franceses la expresión de su profunda gratitud en una ridades de la fidelidad y del amor inalterable de nuestro m uy Reina C r is tin a : h ay el principio constitucional y el principio carta que me han pedido d i r ija , y qi*e tengo el honor de remi­ amado pueblo. Esta circuns…</t>
  </si>
  <si>
    <t>de los, D. Diego Solo.</t>
  </si>
  <si>
    <t>D. Diego Solo. de los</t>
  </si>
  <si>
    <t>…la Sra. Deña sula, acaba de determinar que se aumenten considerable-^ Vicenta Ceballos. mente sus fuerzas ¿navales, y que óé de á los comandantas! Por 39 tarjetas para contraseña de los 859. Un abanico para la chimenea, al Sr. D. Diego Solo. de los buqués nuevas y mas amplias iústrilaciones. Estás! músicos. » . . * « . . . * ? . '► .■■i *■*' 7.« 6 521. Un cogin de terciopelo bordado, al Sr. D. Miguel tendrán por objeto impedir en nuestras costas desembar­ González del Valle. cos hostiles y contrarios á los intereses…</t>
  </si>
  <si>
    <t>de los, Diputado</t>
  </si>
  <si>
    <t>Diputado de los</t>
  </si>
  <si>
    <t>misión, 6 el del mismo Gobierno con una modificación , se que salga de sus labios. Esa consideración hemos tenido los * que pensaba poner el Sr. conde de las Navas sobre la mesa adopte por unanimidad. Algún Sr. Diputado de los mas avan­ que representamos, y esa misma consideración ha debido te- j y que se anticipa á ello el Sr. Benavides? Luego no ha sido zados en esta cuestión contra la enmienda, me dijo: todos ner el Ministro. Por consiguiente, cuando un Gobierno que &lt; el principio, ni las expresiones,…</t>
  </si>
  <si>
    <t>de Los, Francisco</t>
  </si>
  <si>
    <t>Francisco de Los</t>
  </si>
  <si>
    <t>…ban, que afortu­ la Guardia Real y dos del regimiento de León , 2.° de ligeros, El teniente D. Cipriano Ramos, herido. nadamente se alcanzaron á evitar, exigen una pronta repara­ á las órdenes del coronel comandante de aquel D. Francisco de Los alféreces D. Victoriano Ramos y D. Jacinto María, ción : la habrá, valencianos; y para conseguirlo, asegurar la Paula Vasallo, que operaron sobre la izquierda enemiga, acre­ sus caballos muertos. Pa z ? y que no la anarquía y los crímenes sean los actos que se ditaron su decisión…</t>
  </si>
  <si>
    <t>de los, González Alonso</t>
  </si>
  <si>
    <t>González Alonso de los</t>
  </si>
  <si>
    <t>…removido desde la última ideas , y hacerlo del modo que se crea mas conveniente. los extrangeros: alto allá ; dia llegará en que vean nuestra con­ legislatura ninguno de los embarazos de la corte de Roma , no H a hablado el Sr. González Alonso de los proyectos de le ducta , aunque perezcamos, s í, aunque perezcamos; pero será puedo pasarlo en silencio , y yo no sé como el Sr. M i n i s t r o de cjue h an sido presentados por el Gobierno. S. S. conocerá qu con honra, ¿ Por qué este punto no se habia de tocar en la con­ Gra…</t>
  </si>
  <si>
    <t>de los, IO</t>
  </si>
  <si>
    <t>IO de los</t>
  </si>
  <si>
    <t>…libertad y de la cultura. Se suscribe á esta obra en los puntos siguientes: Madrid, ANUNCIOS. Su historia es de la mayor importancia, no tan solo porque librería de la viuda de Razóla, calle de la Concepción Geróni- O M P E N D IO de los tratados de legislación civil y penal, I élla anarquía fue el término de la revolución , y el que cerró el abismo de tua ; en Barcelona , en la de S a u ri, calle A n c h a , y en las p rin­ C de Jeremías Bentham, con notas, por D. Joaquín Es- I los tronos absolutos, criche. Segunda edici…</t>
  </si>
  <si>
    <t>de los, Iradier.</t>
  </si>
  <si>
    <t>Iradier. de los</t>
  </si>
  <si>
    <t>…en­ B IB L IO G R A FIA . ofrece una idea de los elementos del arte , reduciéndolos á dos gan noticia de esta publicación debemos decirles que el com­ principios, sonido y tiempo: el segundo trsta de U expresión positor es el Sr. Iradier. de los varios afectos, dando reglas particulares para el acierto Acompaña á la canción una preciosa estampa alusiva, in­ ventada y litografiada por el joven artista D. Juan Perez Y i- lltacnil, y estampada por el Sr. Bachiller. Si continúa como ha LA ESPERANZA, en ella ; y en el tercero ,…</t>
  </si>
  <si>
    <t>de los, José Morales</t>
  </si>
  <si>
    <t>José Morales de los</t>
  </si>
  <si>
    <t>…comandante de la poseían. tel general para evitar un choque; roas no ha sido asi. estación de las costas septentrionales de España , Airne M a - Hé aqui el resumen de las relaciones oficiales que ha recibi­ thieu.=:Sr. almirante José Morales de los R io s, comandante T E JA S . do el Gobierno, y que se han comunicado á los cónsules gene­ general de las fuerzas navales del Norte. rales. El Gobierno teja no hace con actividad preparativos para Los dos grandes cuerpos del ejército estaban m uy próximos establecer un bloqueo…</t>
  </si>
  <si>
    <t>de los, José Ramos. Facultades</t>
  </si>
  <si>
    <t>José Ramos. Facultades de los</t>
  </si>
  <si>
    <t>…do entre tanto de haber mantenido se­ Antonia García , viuda de D. Francisco Jimeno de la Riva? va de lo mejor, por Laserve, 10. cretamente al prisionero y á su familia con todo lo que po­ y Doña María Teresa Lasala , viuda de D. José Ramos. Facultades de los jurados, aumentado con la parte legisla­ dían necesitar. Que habiendo llegado esta visita de justicia, tiva y práctica sobre este asunto: obra nueva del dia, 12. imagino que ei mejor expediente para librar al prisionero Centón epistolario, obra de mérito, añadida con la…</t>
  </si>
  <si>
    <t>de los, Juan Miguel</t>
  </si>
  <si>
    <t>Juan Miguel de los</t>
  </si>
  <si>
    <t>…rvidumbre y opresión para el Los suscriptores á la historia del Emperador Cárlos v , por pueblo, que conocemos con el nombre de feudal, y que tanta Robertson , pasarán, á la librería de Razóla á recoger los seis por el doctor D. Juan Miguel de los R io s, auditor honorario sangre ha costado á la humanidad el reformar. Las naciones cuadernos de que se compone el tomo primero de la referida de departamento y catedrático de la universidad matritense.— que entonces se formaron no se comunicaban sino para destruir­ obra. Tomo i.…</t>
  </si>
  <si>
    <t>de los, León</t>
  </si>
  <si>
    <t>León de los</t>
  </si>
  <si>
    <t>…También se recibió por extraordinario el parte telegráfico de ha­ sobre la prim era posición en em iga, se trabó el combate. nar con sus falsos é inconsecuentes partes. El ha querido c a lifi­ berse apoderado el bizarro general León de los reductos y puen­ N uevas fuerzas se pusieron en m ovim iento desde R am ales, car de heroica en grado em inente la defensa de G uardam ino, te fortificado de Relascoain con su artillería y m uniciones. Los y el general Castañeda ,q u e se hallaba en las altu ras de las pe­ arrancando pa…</t>
  </si>
  <si>
    <t>de los, Manuel Bretón</t>
  </si>
  <si>
    <t>Manuel Bretón de los</t>
  </si>
  <si>
    <t>…La última representación de la comedia también en u n na han salido ciertas. El extraordinario llegado ha traido su * ra instancia de esta corte, refrendada del escribano de su confirmación segura y completa. acto original de D. Manuel Bretón de los H erreros, cuyo título es número D. Gervasio de Q u in ta s , se cita , llama y emplaza á «Diez y ocho batallones vascongados y castellanos, parte todos los que se crean con derecho á los bienes quedados al fa ­ E L HOMBRE GORDO. T , de otro, tres escuadrones, unas compañías d…</t>
  </si>
  <si>
    <t>…o Atnorós y do con espadas, dos luchando y otros dos muertos en el suelo. López, juez de primera instancia de esta muy heroica Varios sacerdotes con hachas encendidas ponen fuego á la pira, comedia en dos actos, traducida por D. Manuel Bretón de los villa de M adrid, se saca á pública subasta por término de 50 la cual está rodeada de multitud de pueblo que asiste á la ce­ Herreros. dias la casa sita en la calle del Avemaria de esta corte, núme­ remonia. La composición del cuadro es magestuosa, y el pin­ A continuación las b…</t>
  </si>
  <si>
    <t>…ratura; hollados los principios políticos, Ideología y gramática general. Intermedio de baile; terminando la función con la diverti- se hollaron también los literarios. Restaurada la monar­ tida comedia en un acto, original de D. Manuel Bretón de los quía, recobró la regularidad de sus formas la poesía. Cu­ D. Angel María Terradillos, id. id. de siete á ocho. Herreros, cuyo título es rioso es examinar asi á la luz de la filosofía las causas que Taquigrafía. MEDIDAS EXTRAORDINARIAS, han producido entre nosotros la escuela dr…</t>
  </si>
  <si>
    <t>…pren­ Intermedio de baile; terminando la función con la d iver­ do á rodar la cahíz i de un Monarca ; á Luis xiv combatiendo didos para publicarla. En España costará casi la m ita d , por­ tida comedia en un acto, original de D. Manuel Bretón de los á la vez con la Europa entera ; y por fin al genio de nuestro que el objeto principal de los editores al hacer desembolsos de Herreros, cuyo título es siglo, á ese hombre que murió en un desierto peñasco, en me- ¡ consideración ha sido ser útiles á su p a tr ia , teniendo la g…</t>
  </si>
  <si>
    <t>de los, Ministro Otro</t>
  </si>
  <si>
    <t>Ministro Otro de los</t>
  </si>
  <si>
    <t>…a Consejo de Ministros , en que manifiesta que S. M. se habia vincias en una posición ventajosa respecto á las demás. manifestado desde el 7 de Setiembre por las íelices ocurren­ Jignado admitir la dimisión que habia hecho el Sr. Ministro Otro de los privilegios de estas provincias consiste en no cias del ejercito del Norte han ido acompañados de respeto, le M arina, nombrando para que desempeñe interinamente di- ener aduanas’ en las fronteras; es decir, el ser de libre comer- amor y entusiasmo hacia Y. M. Asi lo repiten aho…</t>
  </si>
  <si>
    <t>de los, Otro</t>
  </si>
  <si>
    <t>Otro de los</t>
  </si>
  <si>
    <t>…de Ministros , en que manifiesta que S. M. se habia vincias en una posición ventajosa respecto á las demás. manifestado desde el 7 de Setiembre por las íelices ocurren­ Jignado admitir la dimisión que habia hecho el Sr. Ministro Otro de los privilegios de estas provincias consiste en no cias del ejercito del Norte han ido acompañados de respeto, le M arina, nombrando para que desempeñe interinamente di- ener aduanas’ en las fronteras; es decir, el ser de libre comer- amor y entusiasmo hacia Y. M. Asi lo repiten ahora los em…</t>
  </si>
  <si>
    <t>de los, Senador.</t>
  </si>
  <si>
    <t>Senador. de los</t>
  </si>
  <si>
    <t>…considerarse como eu estado de serv icio , ni hacerse en su favor cum plim iento con los deberes sociales, pues observo que los mas sidades de la caballería , y se asegurarán unos caballos que se­ la excepción que deseaba el Sr. Senador. de los débitos en favor del erario proceden de estos últim os años, rán de mejor condición , de mejor serv icio , y por consiguiente El Sr. PRESID E N TE anunció que se procedía á la v o ta - es d e c ir, desde que la guerra se ha encrudecido en nuestro pais. mas económicos, aunque costase…</t>
  </si>
  <si>
    <t>de Losas, Luis</t>
  </si>
  <si>
    <t>Luis de Losas</t>
  </si>
  <si>
    <t>…e fuerzo*; que hizo el diezmero para recobrar guen ignorancia los que se hallen en este caso, se txpresan á su horquilla, recibió las heridas que ocasionaron su muer­ continuación: Doña María del Carmen Aymes de Circunregui: D. Luis de Losas, hijo de D. Juan José: Doña Jacinta Alva- BIBLIOGRAFIA. te. Que él habia quedado extremamente pesaroso de lo su­ rez, cedido, y mucho mas cuando el prisionero habia sido to­ de D.hija de D. Tomas Onofre: Doña Tomasa Almarza , viuda Miguel de Vidarreta y Echegaray : D. Vicente Rodrí­ m…</t>
  </si>
  <si>
    <t>de Luna, Alvaro</t>
  </si>
  <si>
    <t>Alvaro de Luna</t>
  </si>
  <si>
    <t>…s de Mompeller, es­ A los pocog dias se ejecutará también en el mismo coliseo , y á nistraciones de correos y principales librerías. crita por el abate D. José T oaldo, traducida é ilustrada con beneficio del Sr. Garci* Luna , D. Alvaro de Luna , drama en vanas notas por el capitán D. Vicente Alcalá Galiauo. Un to­ cinco actos y ea verso ; tenemos muy buenas noticias de esta mo en 4 .0, edición de 1 7 8 6 , á 15 rs. ea pasta común. obra, que se atribuye al autor de Carlos u y de Rosmunda, SEMANARIO Los diez libros de arquit…</t>
  </si>
  <si>
    <t>de Luna, Nicolás</t>
  </si>
  <si>
    <t>Nicolás de Luna</t>
  </si>
  <si>
    <t>…la muerte del duque de Bed­ ford, cabeza de la ilustre casa de Russell, verificada el domin­ El capitán general de Galicia dice con la misma fecha que go último á la una del dia en sus posesiones de Escocia. Tenia el coronel D. Nicolás de Luna con su columna dio alcance á 74 años, y nació el 6 de Julio de 1766. Entró en el goce de MADRID 1 .° DE NOVIEMBRE. los facciosos á la inmediación de Feas , siendo el resultado ha- los títulos y bienes de la familia á la muerte de su hermano ber muerto cuatro rebeldes, cogido 15 prisi…</t>
  </si>
  <si>
    <t>de M, F.</t>
  </si>
  <si>
    <t>F. de M</t>
  </si>
  <si>
    <t>…ción. Escrita en francés por tratado. U n tomo en 4«° &gt; impreso en 1 76 5, á 6 rs. rústica. un abono de 90 30por 100. Cada función en 8 rs. 17 mrs. 8 rs. N. H. Cellier. Traducida y precedida de un discurso preliminar por D. F. de M. dias. Prospecto.i=Una de las profesiones mas esenciales en el or­ n-**-r R ABritánica, T A D O definitivo de paz concluido entre SS. M M . C. y firmado en Versalles á 5 de Setiembre de 1785, den social es la del notario y escribano público; empero nuestra con legislación, la toleranci…</t>
  </si>
  <si>
    <t>de Ma, Ministro</t>
  </si>
  <si>
    <t>Ministro de Ma</t>
  </si>
  <si>
    <t>…y otros puotos, á quienes intimada la orden, solo se les ha dado lugar de una hora para tomar el cam ino, apoderándose I bos. (Id.) La dirección general de Correos, en cumplimiento de lo concediendo el uso de media firma al Sr. Ministro de Ma­ los facciosos de las llaves de las casas, sin permitirles extraer I mandado por S. M. la Reina Gobernadora en 26 del corriente, rina y Gobernación de Ultramar. (Id.) cosa alguna, y luego, después que salian, las saqueaban, po­ I ha señalado los dias 1.° y 20 de Enero próximo, á la…</t>
  </si>
  <si>
    <t>de Madrazo, José</t>
  </si>
  <si>
    <t>José de Madrazo</t>
  </si>
  <si>
    <t>…ctor pudo dar á la San F ernan d o, estudiando la com posición y colorid o bajo por cuenta de sus descubiertos, y lo verifiquen precisamente al criatura humana el polvo de la tumba por única esperan- la dirección del profesor D. José de Madrazo, dign o dis­ depositario nombrado que lo es D. Francisco Brdogas y T *ran- ' aa, y ¿ la historia de las naciones la ciega casualidad por cíp u lo del célebre David. La escuela de este genio francés c o , de este dom icilio, que habita calle de la Concepción G eró- único principio.…</t>
  </si>
  <si>
    <t>DE MADRID, Francisco Luis REVISTA</t>
  </si>
  <si>
    <t>Francisco Luis REVISTA DE MADRID</t>
  </si>
  <si>
    <t>…raUdo de infelices, de hombres seducidos, de mise­ se compone toda ella de 5810 pies cuadrados superficiales, y vale rables, por quienes nadie abogaba, entonces habéis creído v i­ 478,917 rs. según tasación que acaba de hacer D. Francisco Luis REVISTA DE MADRID. gente la ley constitucional; les habéis condenado; les habéis im ­ H ernández, arquitecto de la academia nacional de S. Fernan­ puesto la peoa ca p ita l: cuando se ha tratado de la distribución do: produce esta finca 503 rs. anuales: está libre de farol y O C T U…</t>
  </si>
  <si>
    <t>de Manuel, Juana</t>
  </si>
  <si>
    <t>Juana de Manuel</t>
  </si>
  <si>
    <t>…ngar sangre inocente vertida; Prepara también esta respuesta la ardiente pasión que des­ Vos, señora, sabéis que soy el dueño que esta sangre es noble, es Real. La sospecha mas cruel viene pués observamos en D. Pedro hacia Doña Juana de Manuel. Y solo Rey del pueblo castellano. a despedazar el corazón del conde de Trastamara : él pide á Car­ Samuel le anuncia entonces que Castilla tiene mugeres de mas Y que debo oponer forzuda mano ranza con vehemencia descubra el nombre de la víctima: C ar­ valía, y le nombra esta; y el…</t>
  </si>
  <si>
    <t>de Manuel, Pedro y Doña Juana</t>
  </si>
  <si>
    <t>Pedro y Doña Juana de Manuel</t>
  </si>
  <si>
    <t>…por el Sr. intendente de rentas de la provincia de Sevilla, fuerza y verdad de su cuadro el golpe mas feliz. La entrevista apercibido que de no hacerlo le parará el perjuicio que haya’ P I N T O R E S C O ESPAÑOL. lugar. de D. Pedro y Doña Juana de Manuel aumenta la crueldad y barbarie de sentimientos propios del carácter del primero, y da E N T R E G A 19 DE L A SEGU N DA S E R IE , nuevo realce al heroísmo de Doña Juana por la fiera nobleza con que rechaza su arnor. Cuando este, viéndose despreciado por g N virtud de…</t>
  </si>
  <si>
    <t>de Marcilla, Andrés Garcés</t>
  </si>
  <si>
    <t>Andrés Garcés de Marcilla</t>
  </si>
  <si>
    <t>…bos están de acuerdo en que la en­ giera el celo de sus individuos, llevar la reforma y perfeccio­ te la alocución que nuestro alcalde electo para el año próximo namiento de la parte material y moral de las cárceles, casas de D. Andrés Garcés de Marcilla ¿tiene dispuesta para después de fermedad de Cabrera es grave. Lo demas sigue por aquí el mis­ corrección mo estado. (E. de A .) y presidios al rnayor grado posible, sin que deje de tomar posesión de su cargo. Con tal Presidente y con los deinas adoptar desde luego, porq…</t>
  </si>
  <si>
    <t>de Marcoartu, Agustín</t>
  </si>
  <si>
    <t>Agustín de Marcoartu</t>
  </si>
  <si>
    <t>…os, y ¿queréis hoy desgarrarlo? Resúmen de préstamos Recuerda el orador lo que ocurrió en la Cámara en 1852, Camino de Olmedo á Valladolid . 5^9 ^4 y 56 para demostrar que se considera siempre el-trata­ El ingeniero segundo D. Agustín de Marcoartu, des­ Préstamos en el nuevo sistema. 1810660 do corno subsistente. Lo mismo ocurrió en el Senado. Dice: ¿Qué pués de haber verificado los reconocimientos y operacio­ Idem en el autiguo sin Ínteres. 494050 variación ha ocurrido desde 1856? N inguna. Hay ademas la nes prácticas en…</t>
  </si>
  <si>
    <t>de Marcoartú, Agustin</t>
  </si>
  <si>
    <t>Agustin de Marcoartú</t>
  </si>
  <si>
    <t>…72. '■» Respecto al camino de Olmedo á Valladolid, con fecha 9 del ordenanza vigente les corresponda, y cubrir plazas por los Otra en donde dicen la Veguilla , de fanega y m e d ia , linda eorfieute he, nombrado al ¿ugeuiero D. Agustin de Marcoartú cupos de los mismos aquellos a quienes toque la suerte. á Oriente con una de Alej andro G u íñ a les , y á M ed io d ía con</t>
  </si>
  <si>
    <t>de Marina, Ministro</t>
  </si>
  <si>
    <t>Ministro de Marina</t>
  </si>
  <si>
    <t>…este decreto, que solo tiene valor por un ano ya perseguido. guiente copia, que el comandante general de las fuerzas nava­ solamente, sea prorogado para lo sucesivo si son los resultados les de Cantabria trascribe al Excmo. Sr. Ministro de Marina. veutajosos para los derechos de aduana. A bordo de la Hermione en Pasages á 20 de Julio de 1859.— U n segundo despacho de Alejandría del 6 de Julio confir­ Sr. almirante: lie recibido la carta que Y. rae ha dirigido en ma esta misma derrota: el combate ha durado dos horas: todo…</t>
  </si>
  <si>
    <t>de Marina, Secretario de Estado</t>
  </si>
  <si>
    <t>Secretario de Estado de Marina</t>
  </si>
  <si>
    <t>…y con el camino viejo de Madrid : su María de Orleans , capitán de corbeta. una crasa ignorancia de la diferencia que debe haber entre los valor en venta , según la tasación, 1550 r s ., y en renta 4O. Art. 2.° Nuestro Ministro Secretario de Estado de Marina hombres y las mugeres en el modo de manifestar el respeto de Otra en la Cruz del Rayo, de dos fanegas y cuartillo, lin­ y de las Colonias está encargado de la ejecución del presente que uno se halla penetrado. lié a q u i, señores, todo el delito. da por Oriente con…</t>
  </si>
  <si>
    <t>de Massa, D. Fernando</t>
  </si>
  <si>
    <t>D. Fernando de Massa</t>
  </si>
  <si>
    <t>…los que han tenido necesidad de buscar y exam inar La de mi h jo querido. alguna de nuestras le y e s, se han convencido de que no es e m ­ El pueblo luego encontró Un cadáver mutilado: UN virtud de exhorto librado por el Sr. D. Fernando de Massa presa tan fácil como parece á primera vista y como debiera ser para que su conocimiento (sin el cual no pueden ser observadas L aso , juez de primera instancia de la ciudad de Valencia, No sé quién fue el desgraciado.... y cumplidas) se difunda en todas las clases de la socie…</t>
  </si>
  <si>
    <t>de Meer, Ramón</t>
  </si>
  <si>
    <t>Ramón de Meer</t>
  </si>
  <si>
    <t>…p o r sí no puede im pon er gravámenes de ninguna es­ m ando en gefe del ejército de Cataluña al teniente gen e­ ma saldrá también mañana de W oolw ich . (&lt;Globe.) p ecie sin el con cu rso y a proba ción de las C ortes, la ral D. Ramón de Meer, barón de M e e r; y n om bro para m edida á que recurra n o puede tener otr o carácter que le reem place en ambos cargos al de la misma clase q u e el de p rovisional. Y siendo cierto que aquellas D. G erón im o V aldés, en consideración a su m érito y cir­ La elección de Hertford ha…</t>
  </si>
  <si>
    <t>de Mejía, Gonzalo</t>
  </si>
  <si>
    <t>Gonzalo de Mejía</t>
  </si>
  <si>
    <t>…ado esta con la muerte de a q u e l, y Doña Leonor le dice Puede una madre arriesgar? llegada de D. Enrique. Aparece este, nublada la frente por el con el pesar de una alma profundamente abatida. Mejor se querrá abrasar dolor; D. Gonzalo de Mejía, López de Ayala , Fernán Sán­ En las llamas del infierno. chez, todos los ricos hombres y caballeros le ofrecen sus brazos Lo sé , m uy bien lo s é , ¿ mas por veotura Mas á vos saber no os toca y espadas, y le proclaman Rey. El profundo dolor de D. E n ­ N o fui víctima ya de e…</t>
  </si>
  <si>
    <t>…D . Pedro , que muere D e algún rebelde infanzón? acusándole de bastardo y maldiciendo su raza. Abraza D . E n ­ D. Enrique* . ¿ Y bien ? á vos que sois R ey , D . Pedro . . . Sosiega tu latido violento! rique á su esposa, y D. Gonzalo de Mejía pronuncia la muerte Que el infierno co ro n o ; Sosiega, corazón! no crias tormento. del opresor de España y el reinado de D . Enrique y Doña J u a ­ A vos que Castilla a c a ta , Después de quince años de am argura na, y el espectador se ha gozado en la muerte de Pedro el Cruel,…</t>
  </si>
  <si>
    <t>de Mesa, Francisco Perez</t>
  </si>
  <si>
    <t>Francisco Perez de Mesa</t>
  </si>
  <si>
    <t>…D . Vitoriano Nadales, juez de primera instancia del j| cios que la ley de 51 de Mayo de 1857 ocasiona á la adininis- eticion núm. 148 . partido de Almendralejo, quejándose de los abusos y excesos II tracion de justicia. 247. D. Francisco Perez de Mesa , comandante de artillería que dice cometidos por el capitán general de Badajoz y el co­ 208. Doña Felipa Finestra , viuda del teniente graduado n la plaza de Alicante , somete á la calificación del Congreso mandante de aquel cantón , marques de Monsalud. D. Juan Flores M u…</t>
  </si>
  <si>
    <t>de Mesa, José</t>
  </si>
  <si>
    <t>José de Mesa</t>
  </si>
  <si>
    <t>…misma previene , tocó á los gen del Carmen, por José Fernandez, en 18. sugetos siguientes: D. Juan Castelló y Roca , D Antonio Gó­ Otra id . , sierra de L u ja r, loma del Cordero, término de mez y Paran, D. Manuel Guinea , D. José de Mesa, D. A n­ Velez , S. Antonio , por Nicolás Cabrera , en 22. tonio Marte! y Nuñez, D. Francisco Gómez Acebo, D. Pedro Otra i d . , calar de Guejar Sierra , término de i d . , S. T r i- Ibañez, D. Ventura Martínez Remoa y D. Francisco Astiz, IM P R E N T A N A C IO N A L baldo, por D. J…</t>
  </si>
  <si>
    <t>de Meza, Doña Luz</t>
  </si>
  <si>
    <t>Doña Luz de Meza</t>
  </si>
  <si>
    <t>…nar una cuestión p erjudicial, que ha sido que dirige el bachiller D. Domingo de León, á cuyo buen ma­ debatida en la Cám ara de los representantes. Se ha preguntado nejo es debido tal adelanto, y la de escritura que regentea Don Doña Luz de Meza, y pronunció el discurso que sigu e: Antonio R odríguez, siendo el mejor comprobante las planas Señores: Exponer al público las medras de la educación pri­ si á vista de las disposiciones de nuestro pacto fundamental la legislación ordioaria es competente para fallar sobre un tra­…</t>
  </si>
  <si>
    <t>de Mi, Consejo</t>
  </si>
  <si>
    <t>Consejo de Mi</t>
  </si>
  <si>
    <t>…rs o que dejara de co n m overse y derramara a b u n ­ glaterra. . necesario la unanimidad de los 12, según la ley, que estu­ dantes lágrimas. D i ó también gracias en su n om bre y eri el de El duque de B roglie, Presidente del Consejo de Mi­ viesen encerrados toda la noche,.sin luz ni luego, sin c o ­ sus alu m nos á esta corp ora ció n por los favores que le s-dis pe u - nistros, replicó con un largo discurso, concluyendo con mer ni beber hasta que todo* estuviesen de acuerdo. Alar­ saba , y el presidente contestó asegur…</t>
  </si>
  <si>
    <t>…A Don Barcelona en solicitud de que lo dispuesto en Real orden sobre los obstáculos de la cuestión; no se ha atrevido, o pór mejor decir, no ha querido indicar los medios que le parecie­ Evaristo Perez de Castro, Presidente del Consejo de Mi­ de 7 de Abril de 1827 , que establece el adeudo de l por ren mas propios para resolver ias dificultades; no ha querido nistros 100 en cualquier pabellón sobre el valor de factura para las máquinas de vapor construidas en el extrangero, se asumir medios ninguna responsabilidad perso…</t>
  </si>
  <si>
    <t>DE MINAS</t>
  </si>
  <si>
    <t>…da, á D. José d o r a y la Serma. Sra. Infanta Doña María Luisa Fernan­ Lozano , en id. da, continúan en esta corte sin novedad en su importante Berja y Diciembre l.° de 1858.=:P. A. D. S. I ., el primer salud. DIRECCION GENERAL DE MINAS. ayudante Bernabé Sánchez Dalp. Inspección de minas del distrito de Riotinto. - Mes de D i ­ J u z g a d o d e A m ortización . REAL DECRETO. ciembre de l838.=Relacion del denuncio de mina presentado y admitido en esta inspección en el mes de la fecha. A virtud de providencia del Sr. int…</t>
  </si>
  <si>
    <t>04/03/1839</t>
  </si>
  <si>
    <t>Gaceta de Madrid n.º 1570</t>
  </si>
  <si>
    <t>…asgow, Leed, N otting- aunque no desnudas de fundam ento, ignorándose si el Gabine­ bam , M anchéster, L iverpool, Birm ingham , W olverhoinpton, te de H aya se prestaría pura y simplemente á las proposiciones DIRECCION GENERAL DE MINAS. D erby y Renda 1. de 25 de Enero. Asi q u e, el Gabinete creyó de su deber so­ Las industrias á que perjudican estas leyes son él algodón meter una nueva proposición á la Conferencia. la la n a , la lencería y la quincalla. El algodón ocupa 1.500,00( En 1.° de Febrero nuestro ministro en…</t>
  </si>
  <si>
    <t>…Casti­ fuerza centrífuga. llas y Extremadura (yo formé parte, dice el a u to r, de la des­ Para completo conocimiento de la teoría de las fuentes as­ tinada i Castilla la Nueva; para obtener algún conocimiento DIRECCION GENERAL DE MINAS cendentes se ocupa el autor en probar con hechos la existencia geognóstico del terreno; y aunque ambas brigadas cumplieron Inspección de minas del distrito de R io -T in to .» Mes de de grandes corrientes y depósitos de agua en los terrenos estra­ en lo posible con su cometido, remitiendo…</t>
  </si>
  <si>
    <t>DE MINAS, Gerónimo DIRECCION GENERAL</t>
  </si>
  <si>
    <t>Gerónimo DIRECCION GENERAL DE MINAS</t>
  </si>
  <si>
    <t>…de Julio. MADRID 1 0 DE JULIO. está junto á vos, os ha hecho otra seña para impedir quecon- tinpáseis señalando á Mr. Barbés. E l Presidente: Testigo, habéis visto la señal déLgen-% Parece que el Excmo. Sr. capitán general D. Gerónimo DIRECCION GENERAL DE MINAS. darme? Valdés va á salir cuanto antes á ponerse al frente del ejército E l testigo; Si señor ; pero ya antés había conocido á Mr. para dirigir personalmente las operaciones de la guerra. Todo Inspección de minas de la provincia de Málag*.=Mes dé Barbés. nos ha…</t>
  </si>
  <si>
    <t>de Minis, Consejo</t>
  </si>
  <si>
    <t>Consejo de Minis</t>
  </si>
  <si>
    <t>…unto. d o r a s En Palacio á 31 de Octubre de 18 3 9 .= A D. E va­ criminales y feroces huyen despavoridos con su capitán P a l i ­ En vista de esto es llegado el tiempo de procederá las mo­ risto Perez de C astro, Presidente del Consejo de Minis­ llo , buscando en otras tierras una guarida en donde ocultar su dificaciones de la ley fundam ental, tan necesarias por la sepa­ tros. infame reputación. Todo esto prueba cuan numerosa era la ración de la Neerlanda y Bélgica. A l efecto se presentará una fuerza de facciosos, que a…</t>
  </si>
  <si>
    <t>de Ministro, Consejo</t>
  </si>
  <si>
    <t>Consejo de Ministro</t>
  </si>
  <si>
    <t>…amaban el gobier­ E n el Diario de los Debates del 9 se lee lo siguiente: sufre en ella? Porque los hombres son inconsecuentes, y por­ no republicano y aborrecían el monárquico. N o es de extrañar El conde M olé, Presidente del Consejo de Ministro* y M i­ que la moda es la reina del mundo. pues que sus poetas inculcasen aquel funesto principio y pin­ nistro de Negocios extrangeros ; el conde de M ontalivet, M i­ Pero 1a moda pasará, y entonces será muy fácil conocer que nistro de lo Interior ; Mr. Barthe, Ministro de la J…</t>
  </si>
  <si>
    <t>de Ministros, Consejo</t>
  </si>
  <si>
    <t>Consejo de Ministros</t>
  </si>
  <si>
    <t>…éreádó el papél de él hombre gor­ gefes de Palacio y dama $ y á los lados los Ministros. Cristina de Suecia en Fontainebleau ; los dos Rivales do; por lo que espera qúe el público íe favorecerá con su in ­ El Sr. Presidente del Consejo de Ministros tuvo la honra de ambas de Federico Soulié , y la Muger y los dos Amigos , no­ dulgencia ¿ y la sociedad ha creído oportuno acompañar á loa besar la mano á S. M. la augusta Reina Gobernadora, y dé velas ya publicadas, se veoden en la librería extrangera , calle carteles de anunc…</t>
  </si>
  <si>
    <t>…e la autorización; el Sr. D ip u­ El Congreso quedó enterado de un oficio dirigido por el demandante D. Ju a n Quintana se le debe de dar y de la po­ tado vSeoane tiene la palabra en contra de este dictamen. Sr. Presidente del Consejo de Ministros, por el cual S. M. se sesión interina del vinculo reclamado con los frutos y rentas El Sr. S E O A N E : Habia pedido 1a palabra , no para opo­ ha servido señalar la hora de las tres de la tarde del dia 6 del producidas ó que debió producir de:de el fallecimiento del ul­ nerm…</t>
  </si>
  <si>
    <t>…austo m o tivo , tiene el honor El Congreso quedó enterado de una comunicación del señor siguiente cuando llegue el caso se resolverá. Los Diputados de de renovar á L. R. P. de V. M . el homenaje de su invariable Presidente del Consejo de Ministros acompañando el Real d e­ M ad rid están elegidos en la primera elección : en llegando la lealtad y respeto.” creto por el cual S. M. la Reina Gobernadora se ha servido ocasión de tratar del suplente, entonces se ventilará esa cues­ S. M. se dignó contestar en los términos sigui…</t>
  </si>
  <si>
    <t>…espe­ á los resultados que produzcan para el erario estos tres proyec­ ragona. rado al artículo que habla de todo, para decirlo de una vez. tos de ley. Este tercer proyecto merece ser discutido en un Con­ El Sr. Presidente del Consejo de Ministros dirige un oficio Se pone á votación el artículo , y e? aprobado. greso, y mucho mas en el de una nación en que por desgraciad por el cual ha tenido á bien S. M. nombrar Senador por la pro­ Se leyó el 6.° crédito ha llegado á un extremo inconcebible. No soy yo de los vincia de O…</t>
  </si>
  <si>
    <t>…ación deposi­ Habiéndola obtenido, ocupó la tribuna, y leyó un Real E nero de este añ o , sobre varios puntos concernientes á taría de estos hechos j doctrinas le diga en la materia que se decreto comunicado al Sr. Presidente del Consejo de Ministros cré d ito público. la encomiende, en un projecto de le j, por ejemplo: H a j esto fecha 8 del corriente, por el cual S. M . , atendiendo á las gra­ y esto de mas atrás, y lo otro y lo de mas allá ? ves atenciones del Gobierno y á la interesante asistencia en las PRIMER PRO YEC T…</t>
  </si>
  <si>
    <t>…a El Sr. 0 3 C A : señores, la ley está term in an te , el espíritu «probada. instancia de Boltaña , relativo á elecciones de la provincia de de ella reprueba que el que se halle en el caso del Sr. Cortázar El Sr. Presidente del Consejo de Ministros ocupó la trib u ­ Huesca, que remitía el Sr. M inistro de Gracia y Justicia. pueda ser nombrado Diputado por la provincia donde ejerce na y presentó un proyecto de ley sobre creación, de un consejo Por estar y a aprobadas las actas de Lérida se decidió que su autoridad. La histo…</t>
  </si>
  <si>
    <t>…de la Real mano. = En Palacio Real orden lo digo a V. S. para lus efectos correspondien­ litiga. it 16 de Agosto de I839.=:A D, Evaristo Perez de Castro, tes, y que prevenga á las autoridades de Hacienda a quie­ Presidente del Consejo de Ministros. nes competa cuiden de que la introducción de las expre­ La libertad del comercio ha dado márgen á una viva dis­ sadas piezas se verifique por los dueños de las maquina?, cusión en el Parlameoto británico en la sesión de los Cornunea y asegurándose antes de que realm ente son…</t>
  </si>
  <si>
    <t>…a resuelto se den las gracias al com an­ m ano.=Palacio á 18 de Mayo de 1839.^A D. Evaristo Pé­ estos los únicos para que los soldados de la Reina cogieran el dante é individuos de la citada columna. rez de Castro, Presidente del Consejo de Ministros. fruto de sus desvelos. D iv id í la infantería en dos m itades; y colocado á la cabeza de la caballería que marchaba por el cen­ t r o , protegida por gruesas guerrillas, se dio el grito eléctrico PARTES RECIBIDOS EN LA SECRETARIA DE ESTADO de viva Isabel ; y cargando á dere…</t>
  </si>
  <si>
    <t>…en z an a, en la p r o v i n ­ á 18 de Octubre de 1839—A D. Evaristo Perez de Cas­ que restableciendo la p a c t a n deseada, han de proporcionar cia de L u g o , faltaría al mas sagrado de sus deberes si hoy tro, Presidente del Consejo de Ministros. á la nación su dicha y su ventura. postrado A L. R. P. de V . M. y lleno de un in explicable go­ Seis años de intestina y cruda gu erra de un ca rácter sin z o , dejase de f e li c it a r le , como lo hace con toda la efusión de i g u a l , en la que se ha derramado con profu…</t>
  </si>
  <si>
    <t>…plazo del conde Raday, la Nereida pudiese pasar la barra que existe á la entrada de, contra quien se está procediendo criminalmente. este solo puerto de todo el golfo de Méjico , donde los grandes Perez de Castro, Presidente del Consejo de Ministros. navios hallan un abrigo seguro. La cuestión está ahora resuel­ ta : la fragata, calando 29 pies y 4 O pulgadas, ha pasado la barra cou extremada facilidad, entrando y saliendo de ella. Hay PARTE RECIBIDO EN LA SECRETARIA DE ESTADO La Gaceta de Augsburgo del 8 del corriente i…</t>
  </si>
  <si>
    <t>…as de una y otra isla , y Soult se levanta y pide la palabra. proporcionalmente la de los jornales y mercaderías; desapare­ que para promover sus respectivos intereses se necesita estudiar­ P r esid e n te: El Sr. Presidente del Consejo de Ministros tie­ cieron nuestras fá b ric a s, y quedaron los españoles pobres con los con cuidado. Pero las dos islas prosperan á la p a r : las dea ne la palabra. su oro y su plata á discreción de los fabricantes extrangeros. son joyas preciosas de la corona de España. E l duque d e D al…</t>
  </si>
  <si>
    <t>…veinticinco minutos. nencia de las anteriores no se encuentra ajustada al reglamento, secretario. Leída el acta de la anterior, quedó aprobada. aunque pudiera ser útil para la mejor expedición de los nego­ El Sr. Presidente del Consejo de Ministros participa al Se­ cios y defensa ^le los dictámenes emitidos. nado que S. M. la Reina Gobernadora ha tenido á bien seña­ Se dió cueota de que las secciones habían nombrado para Señora: El ayuntamiento constitucional de! Campo de Crip­ lar la hora de las tres de la tarde de hoy…</t>
  </si>
  <si>
    <t>…ber cio», y conservándole los honores de la misma secretaría. El viz­ Lord John Russell se levanta y dice: N o tengo necesidad pasado por delante de la corbeta francesa Criolla , mandada conde de Sa da B m d eira, presidente del Consejo de Ministros, sin duda de demostrar la importancia de la mocion que aca­ por el príncipe de Joinviile, distinguí el pabellón ingles {Union Ministro Secretario de Estado y de Negocios extrangeros, lo bo de someter á la Cámara, ni de decir el eco que debe tener Jack) que ondeaba eo el palo de…</t>
  </si>
  <si>
    <t>…s procedimientos c r i­ para su cumplimiento.=Está rubricado déla Real mano.= ‘Palacio 25 de Junio de 1839. = A D. Evaristo Perez de LLEGADA DE BARBES k PARIS. m in ales, y que se trata de poner en claro. Castro, Presidente del Consejo de Ministros* El año de 1859 fue el elegido para intentar el nuevo golpe Carta dirigida á Marechal. de mano del partido. Pertenecía a las circunstancias la elección PARTE RECIBIDO EN LA SECRETARIA DE ESTADO del momento ; pero á fin de que estas no fuesen superiores á los Entre las personas…</t>
  </si>
  <si>
    <t>…ue llega á be leyó el 15 que diée: Si la sesión1tiene por objeto cerrar ¿pesar de prevenir eí 'fegTáménto‘ que la sesión del sábado" se ;ser m anía, y porque no quieren que los españoles desmientan las Corles, el Presidente del Consejo de Ministros ó su vicege­ focupe en discutir JosM ictám enés'de Ja comisión do Peticiones. el concepto en que se les tiene de ignorantes é indignos de ser ren te, d .ra en voz alta: "Sres. ¡Senadores y D iputados: el R ey' | .. . 'E| j ¿í^'A^RGXJ;ELLE ó : Cuando en el dia de ayer el C o n g…</t>
  </si>
  <si>
    <t>…o Sici­ a 28 de Agosto de 1 8 3 9 . = A D. Evaristo Perez de Castro, tación de la ópera L 'E lísir de A m ore, ejecutada por la tropa li a , A n to n io G a r r e , J u a n Bautista G i r r e , Alfonso C atnpoy, Presidente del Consejo de Ministros. italiana. D o m ing o A lv arrac in , Alfonso J im é n e z , y Jo.é Pintor. Con­ cluido el acto en cuanto á la parte del examen , todos los seño­ res concurrentes acordaron premiar el singular mérito y aplica­ Como Regente y Gobernadora, á nombre de mi au­ A y e r á las och…</t>
  </si>
  <si>
    <t>…isterio que fuera producto de lu á 30 de Octubre de 1839. = A D. Evaristo Perez de Cas­ PRESIDENCIA DEL SEÑOR VICEPRESIDENTE ZLMALACARREGUI. voluntad de la nación , y que gobernase sin tener presentes afec­ tro , Presidente del Consejo de Ministros. ciones particulares. También yo le quisiera asi, señores; también Sesión del dia 50 de Octubre• quisiera yo que hubiera un ministerio que no pensara mas qu en los intereses públicos y se separara de las afecciones de partidoe Se abrió á la una menos cuarto; y leída el acta d…</t>
  </si>
  <si>
    <t>de Miu, Consejo</t>
  </si>
  <si>
    <t>Consejo de Miu</t>
  </si>
  <si>
    <t>…a comisión, porque de lo contrario, como, había d í- cho muy bien el Sr. Cune ja., serta faltar á I© que el artícolo ues, el Presidien,te del Señado- (ó del -Congreso) remitirá, el yací© «de ley con mu oficio «al Presidente del Consejo de Miu*« Se abrio á te une y coarto» y leide el acta de la nterior, eoosti tocí ooa 1 previene» Los Sres. Caktravu, Carne}® y R om de la Yegu hacen al- tros, á fi® de qne le presente á S* M. quejó aprobada* ArL 71. El Rey concede la macano «coa, k fórmula sigüfen- El Senado smenteró «de…</t>
  </si>
  <si>
    <t>de Miuislros, Consejo</t>
  </si>
  <si>
    <t>Consejo de Miuislros</t>
  </si>
  <si>
    <t>…eal m a n o . = En Palacio dientes de una cinta azul: los de segunda clase con la misma a 28 de Agosto de 1 8 3 9 . = A D. Evaristo Perez de Castro, medalla y cinta encarnada ; y los de tercera con solo una cin ta Presidente del Consejo de Miuislros. U n a indisposición , sin d ud a producida por el cansancio, verde con el sello y armas de esta c i u d a d , y con él lema C&lt;A ha im pedido á la duquesa de O rleans acompañar á Lisboa al la aplicación.” Lo cual mandaron dichos señores se acreditase Príncipe Real su esposo. a…</t>
  </si>
  <si>
    <t>de Mo, Rosalía</t>
  </si>
  <si>
    <t>Rosalía de Mo</t>
  </si>
  <si>
    <t>…rante la sesión, á las casas de gobierno, y á nombre del pue­ La de Mellid fusiló á un rebelde de infantería, cogiendo servir de eterna lección , para uniros intimamente y no separa­ blo cubano haga presente á la Sra. viuda Doña Rosalía de Mo­ un fusil., una carabina, un sable, un caballo y la cartera con ros jamás del legítimo trono de Isabsl n. Bajo la egida de su lina el dolor y la pena que le caben en tamaña desgracia, ofre­ papeles del rebelde fraile Saturnino. maternal corazón y de su alto poder, gozareis de la paz a…</t>
  </si>
  <si>
    <t>de Molina, José García Malo</t>
  </si>
  <si>
    <t>José García Malo de Molina</t>
  </si>
  <si>
    <t>…á las esperanzas de los hombres vincia de Ajmería, pase ai de Montefrio, de la misma clase, que dad, desinterés y firmeza couque ha acometido la benéfica em­ liberales de América ! ¡ Honra al patriotismo de los peruanos, sirve D. José García Malo de Molina , y este al referido juz­ presa de conciliar los ánimos, extinguir los odios, y refundir que hau prestádole su apoyo y cooperación! Quiera el cielo re­ gado de Sorbas. en un solo interés nacional tantos intereses nacidos de la dis­ compensar los esfuerzos de todos, derrama…</t>
  </si>
  <si>
    <t>de Molina, José Jimenez</t>
  </si>
  <si>
    <t>José Jimenez de Molina</t>
  </si>
  <si>
    <t>…ente de esta provincia y sub­ término se procederá á lo que haya lugar. Dado en Chinchón delegado de Rentas de este partido &amp;c.=Por «1 presente á 19 de Febrero de 1839.=Antonio de Valenzuela.=Teresiano cito,llamo y emplazo á D. José Jimenez de Molina, oficial queLópez. MINISTERIO DE LA GUERRA. fue de la contaduría de la extinguida comisión régia de pobla­ Circular. ción de este reino , para que en el preciso y perentorio término de 15 dias contados desde el en que se inserte en Ja Gaceta del TTABíENDOSE deounciado ante…</t>
  </si>
  <si>
    <t>de Molline-, José</t>
  </si>
  <si>
    <t>José de Molline-</t>
  </si>
  <si>
    <t>…y entre las disposiciones acordadas lo es que ninguna da, continúan en esta corte sin novedad en su importante persona le haga pagos ni entregas de ninguna especie, ni á per­ salud. sona que le represente, y sí al depositario D. José de Molline- do y Cariga, del comercio de paños, que vive calle Imperial, CORTES. mím. 5, pena de no quedar descargadas de las obligaciones que tengan pendientes en favor de la masa , y que todas aquellas SENADO. ACTAS DEL GORIERNO. en cuyo poder existan pertenencias del fallido hagan manife…</t>
  </si>
  <si>
    <t>de Montalvo, Nacionales</t>
  </si>
  <si>
    <t>Nacionales de Montalvo</t>
  </si>
  <si>
    <t>…cen los vecinos, se oyó un ruido semejante á la detonación de que requerían las circunstancias. una arma de fuego; pasados tres cuartos de hora se repitió el E xtracto de partes recibidos en la capitanía general. El comandante de Nacionales de Montalvo merece figurar mismo ruido. Sin embargo no se hizo ninguna diligencia para en el número de aquellos. averiguar la causa y verdadero carácter de él, y se pasó la no ­ El comandante militar de Liria en parte de ayer dice que El capitán D. Juan Bautista Pozas, si no logró hallar…</t>
  </si>
  <si>
    <t>de Montebello, Serra Caprioia. Mr.</t>
  </si>
  <si>
    <t>Serra Caprioia. Mr. de Montebello</t>
  </si>
  <si>
    <t>…ios f que forman con el eje de 1$ Se dice que veremos presentarse un embajador de Nápoles, nes correspondientes al Sr. gefe político para que por su parte tráquea un ángulo divergente de cerca de 15 grados. La capa­ al duque de Serra Caprioia. Mr. de Montebello, embajador de reuniese el número de bagajes que fuese posible , ha hecho sa­ cidad de los bronquios es colectivamente mayor que la de U Francia cerca de S. M. siciliana, se dispone á dejar á París lir partidas de fuerza armada á recorrer ios pueblos y oficiado tráq…</t>
  </si>
  <si>
    <t>de Montes, Soutelo</t>
  </si>
  <si>
    <t>Soutelo de Montes</t>
  </si>
  <si>
    <t>…quiere que se repartan los individuos de un taller guientes: en í^azon de sus fuerzas físicas y de su aptitud; los jóvenes con dores de ellos. los jóvenes; los ancianos con los ancianos; los incapaces con los Del comandante de Soutelo de Montes imploraron la gra­ En tiempos antiguos se decía vagamente que los celi- que se les parecen: por este medio se simplifica la dirección, es cia de indulto, que se les concedió, dos facciosos; y al coman­ batarios vivían menos que los casados. Hufeland y Depar- mas segura la vigilanci…</t>
  </si>
  <si>
    <t>de Montesinos, Manuel</t>
  </si>
  <si>
    <t>Manuel de Montesinos</t>
  </si>
  <si>
    <t>N.º 16 10. SABADO 13 DE ABRIL DE 1839. d ie z c u a r t o s . PARTE OFICIAL. la eficacia que su deber les impone y las circunstancias le presidios D. Manuel de Montesinos me dice desde Granada decisivas del Estado exigen; ó que los productos de dicha 2n 1.° del actual lo siguiente: contribución han sido distraídos á objetos distintos de ^En el dia de hoy ha pagado revista de comisario este pre­ S . M. la R e in a , su augusta Madre la R e in a…</t>
  </si>
  <si>
    <t>…aplén, y han dejado al pie de la obra hallaban atacados de sarna. Los demas se están organizando en voco, que haciendo imposible el abuso de aquella excep­ la mayor parte de la arena para las mezclas. brigadas por el visitador D. Manuel de Montesinos par* de­ ción otorgada á una clase tan digna de este beneficio, jarlas á disposición del ingeniero luego que esten provistas ds ponga á las demas del Estado contribuyentes al servicio Obras de conservación. hierros y de los utensilios que les faltan , que se están constru­ perso…</t>
  </si>
  <si>
    <t>de Montmorency, Raúl</t>
  </si>
  <si>
    <t>Raúl de Montmorency</t>
  </si>
  <si>
    <t>…cha caja. No es hacer progresar la civilización de un pais calcándo­ el honor de comer con SS. MM. Unicamente ha creído la junta necesario consignar en el re­ la servilmente en una civilización extrangera. Mahamud no ha El barón Raúl de Montmorency se halla én la actualidad glamento una variación que cree de todo punto indispensable, tenido en cuenta la naturaleza turca, el destino original de la eo Bruselas. y consiste en que S. M. se digne nombrar doce individuos que nación no , y ha creido que la civilización era una…</t>
  </si>
  <si>
    <t>de Montpalau, Antonio de Capmani y</t>
  </si>
  <si>
    <t>Antonio de Capmani y de Montpalau</t>
  </si>
  <si>
    <t>…o r de sentenciado ya al destructor cuchillo del cocinero. En Londres los registros originales del Real y general archivo de la corona un mócente. se habría anunciado en los papeles públicos la fonda doude se de Aragón ; por D. Antonio de Capmani y de Montpalau; El gran juslicia meditó en calma aquella noche la obs- habia deservir aquel plato favorito, y en Paris se fijarían car­ vertidos fiel y literalmente del idioma antiguo lemosino al cas­ tinaciou del presidente del jurado y la moderación del teles en las ventanas de…</t>
  </si>
  <si>
    <t>de Mora, Fernando</t>
  </si>
  <si>
    <t>Fernando de Mora</t>
  </si>
  <si>
    <t>…sidente de dicho ilustre a y u n ta m ie n t o ; D. M a r ­ tin José de Ríaya , D. Jacinto Belda , D. A n ton io de Z ? fra , nanda, continúan en esta corte sin novedad en su im ­ D. francisco Sastre, D . Nicolás F a u re , D. Fernando de Mora portante salud. y González, regidores; y D. J o í q u in Román M ercader, procu­ PARTE NO OFICIAL. rador síndico prim ero; y los censores nombrados al efecto los Sres. D. Domingo Sardio y Pinto, abad de ta insigne igle-ia co ­ legial de S. Patricio de esta dicha ciudad ; D. D o…</t>
  </si>
  <si>
    <t>de Morales, Juan José Muñoz</t>
  </si>
  <si>
    <t>Juan José Muñoz de Morales</t>
  </si>
  <si>
    <t>Nosotros damos la enhorabuena á los Srcs. Tamayo y M ai- Sarasa, quinto D. Juan José Muñoz de Morales, sexto D. Ma*v CAMBIOS. quez , y séanos permitido esperar que con la ayuda de sus ami­ nuel García Melgar. Lóndres, á 90 dias, 38. Coruña, 1} d. gos y de facultativos inteligentes, recobrará el Sr. Esquivel la Síndico: D. Mauuel López Mencha. Paris, 16-5. Granada, 2 | á £…</t>
  </si>
  <si>
    <t>de Moratin, Irene</t>
  </si>
  <si>
    <t>Irene de Moratin</t>
  </si>
  <si>
    <t>…ilbao, par. Valencia, { din. b. pre se han contemplado con respeto, y que eternamente poco pueden parecer nuevos; asi es; la marquesa es la Cádiz, 1 d. Zaragoza, par. se admirarán, aunque haya pasado el gusto de la arquitec­ Doña Irene de Moratin; el coronel es el D. Diego del mis­ Descuento de letras, á 6 pop 100 al año. tura de entonces , porque el mérito no tiene época, y la mo : Luisa es Paquita con toda su humildad, con todo su belleza es de todas. amor, con todo su desconsuelo , con toda su debilidad en Sentado y reco…</t>
  </si>
  <si>
    <t>de Moreda, Manuel</t>
  </si>
  <si>
    <t>Manuel de Moreda</t>
  </si>
  <si>
    <t>…con­ E ntrega de AGOSTO de 1839. Excmo. Sr. duque que fue de Osuna, D. Pedro Alcántara Te- currentes. llez Girón, con el citado D. Francisco y los síndicos del con­ Se halla á 3 rs. tanto en rama como en rústica en el curso de D. Manuel de Moreda, sobre pago de réditos de un despacho de dicha Imprenta. censo que se dice impuesto sobre una casa en esta corte y su T&gt;OR providencia del Sr. D. Tomas Pacheco, juez de prim e- calle de la Escuadra; apercibidos que de uo hacerlo les parará ra instancia , refrendada del escribano del…</t>
  </si>
  <si>
    <t>de Mornay, Cárlos</t>
  </si>
  <si>
    <t>Cárlos de Mornay</t>
  </si>
  <si>
    <t>…consagrado ya como útil y conveniente; No pretendemos ciertamente que fuese Mahamud un hom­ , por consecuencia dicho reglamento no contiene alteración al­ bre común; pero erá á la verdad un talento incompleto, sin kolmo, El conde Cárlos de Mornay, mioistro de Francia en Sto- guna sobre la práctica seguida desde el principio del estable­ originalidad , todo de imitación. ha pasado por Bruselas estos dias últimos , y ha tenido cimiento de dicha caja. No es hacer progresar la civilización de un pais calcándo­ el honor de come…</t>
  </si>
  <si>
    <t>de Morogues, Bigot</t>
  </si>
  <si>
    <t>Bigot de Morogues</t>
  </si>
  <si>
    <t>…i d e r d e concesiones generosas que v yectos de ley que no han dado lugar á ninguna discusión. El El M ercu rio d e Suevfa publica una carta de la frontera se hicieron con la mejor voluntad. En aquellas conferencias no | barón Bigot de Morogues ha prouunciado un largo discurso de la Prusia oriental , su fecha 10 de Ju n io , que anuncia que se desconoció oinguon Je los preliminares que se sostuvieron de acerca del proyecto relativo á las pensiones acordadas á las fa­ el 20 de Mayo fue arrestado en Memel el mayor polaco U…</t>
  </si>
  <si>
    <t>de Moya, Cárlos Rodríguez</t>
  </si>
  <si>
    <t>Cárlos Rodríguez de Moya</t>
  </si>
  <si>
    <t>…do á cobrar el diezmo; ^ López, juez de primera instancia de esta villa , refrenda­ y D uval, edición de 1787. Un tomo en 8.° á 8 rs. en pasta que habia tomado mas de lo que d eb ia, y que varias ve- da del escribano de número D. Cárlos Rodríguez de Moya que común. ce* le habia hecho esta injusticia, obrando ademas de un despacha la escribanía vacante de D. Julián García Huerta, cita, llama y emplaza á los interesados en el monte pío de seda,Siendo tan preciosa para la España la cria del gusano de la modo muy arbitrario. Qu…</t>
  </si>
  <si>
    <t>de Nassau, Adolfo</t>
  </si>
  <si>
    <t>Adolfo de Nassau</t>
  </si>
  <si>
    <t>…sustraerse á la obli­ PARTE RECIBIDO EN LA SECRETARIA DE ESTADO de campo dei Emperador, ha llegado á Biberich, y ha entre­ gación del servicio militar, deben ser penados por la ju­ Y DEL DESPACHO DE LA GUERRA. gado al gran duque Adolfo de Nassau una carta autógrafa risdicción dei fuero que tenian cuando se mutilaron; pero muy lisonjera del Czar , como también la orden de S. Andrés y nunca por las diputaciones provinciales.” El brigadier 2.° cabo de Aragón con fecha 1.° del actual las otras órdenes rusas con que el difunto…</t>
  </si>
  <si>
    <t>de Navarrete, Martin Fernandez</t>
  </si>
  <si>
    <t>Martin Fernandez de Navarrete</t>
  </si>
  <si>
    <t>…en los es­ , ,, se hallan de venta los siguientes opúsculos impresos años TVestmoreland. trados de la intendencia general bajo el nes aprobado para este servicio. Lo que se anuncia al público pliego de , . condicio­ hd de D Martin Fernandez de Navarrete director del depósito Hidrográfico y de la academia de la Historia. De lana...................................................... 8 para que las personas que gusten hacer proposiciones puedan Devonshire. verificarlo por sí mismas ó por medio de sus apoderados; en la E…</t>
  </si>
  <si>
    <t>de Navarrete, Ramón</t>
  </si>
  <si>
    <t>Ramón de Navarrete</t>
  </si>
  <si>
    <t>…. Juan del Peral. 1............ . . d e . . 12000 ps. fs___ 12000 aquel paso conseguirían nuestras tropas las posiciones de ata­ D. J osé Zorrilla. 1 ............... . de. . 3000 ................... 5000 que para Guardamino. D. Ramón de Navarrete. 4 ................. . d e . . 6 0 0 . .................. 2400 Cuesta mucho á nuestros gefes contener el ardor de sus sol­ D. Antonio García Gutiérrez. 4 ............... ... d e . . 500..................... 2000 dados, por cuyos deseos se hubieran asaltado todos los fuertes Los…</t>
  </si>
  <si>
    <t>de Necochea, José Perez</t>
  </si>
  <si>
    <t>José Perez de Necochea</t>
  </si>
  <si>
    <t>…eem plazo de D. Maria­ timonio de nuestro acendrado amor á vuestra excelsa Hija y n o R icafort; y por la de N avarra á D. Jo aq u ín Bayona, nuestra Reina Doña Isabel i e , á vuestra augusta persona y á la e n reem plazo de D. José Perez de Necochea, obispo elec­ libertad de la nación. Jaén 7 de Setiembre í859.=Señora,— C O N G R E SO D E D IPU TA D O S. to de Oviedo. T endréislo en ten d id o , y lo com unicareis á Vuestros mas fieles empleados.=:P. A L. R. P. D. V. M.zzEl P R E S I D E N C I A DEL SEÑOR CALATRAVA. qu…</t>
  </si>
  <si>
    <t>de Necoechea, José Perez</t>
  </si>
  <si>
    <t>José Perez de Necoechea</t>
  </si>
  <si>
    <t>…................................... .... Málaga. tual subordinando la pasión á la imparcial severidad de Vizconde de Huerta. .................................Murcia. una crítica desapasionada y racional. Verdad es que de es­ D. José Perez de Necoechea..................................Navarra. te modo se nota algo de palidez en esta producción, como D. J osé Alvarez Pestaña........................................Orense. TEATROS. que falta aquel tono vigoroso que im prim en las fisono­ D. Manuel María Acevedo..............…</t>
  </si>
  <si>
    <t>de Newport, Francisco Narvaez. NOTICIAS EXTRANGERAS. Escriben</t>
  </si>
  <si>
    <t>Francisco Narvaez. NOTICIAS EXTRANGERAS. Escriben de Newport</t>
  </si>
  <si>
    <t>…icareis á quien corresponda.t=Está ru ­ PARTE NO OFICIAL. que tiene aun mas de lo que puede creerse los medios para cum­ plir con todos sus empeños. (GLobe.) bricado de la Real mano.==En Palacio á 19 de Noviembre de 1839.=A D. Francisco Narvaez. NOTICIAS EXTRANGERAS. Escriben de Newport al Courier : Los cartistas han renunciado á hacer nuevas manifestacio­ Atendiendo al relevante mérito, leales servicios y dis­ PRUSIA. nes. La autoridad ha tomado sus medidas para rechazar toda tinguidas circunstancias del mariscal de…</t>
  </si>
  <si>
    <t>de Oca, Francisco</t>
  </si>
  <si>
    <t>Francisco de Oca</t>
  </si>
  <si>
    <t>…tria , y de que sola esta N el juzgado de primera instancia de Tabeiros, y por la es­ hechos, en el círculo de nuestra actividad constitucional, con Potencia debe tener toda la responsabilidad. El plenipotencia­ E cribanía de D. Francisco de Oca , penden autos de oficio nuestro amor á V. M. y nuestra confianza en e lla , que el tro­ rio austríaco es quien ha pedido la inserción de e lla , y esta es­ sobre la herencia del licenciado D. Ju an Antonio de la V ega, no de W u rtem b erg, fundado sobre la Constitución, es un san­…</t>
  </si>
  <si>
    <t>de Oca, Manuel Montes</t>
  </si>
  <si>
    <t>Manuel Montes de Oca</t>
  </si>
  <si>
    <t>…rcito francés, que nombrando en propiedad Secretario de Estado y del Des­ pacho de M arina, Comercio y Gobernado» de Ultramar á viaja actualmente por Alemania. (Id.) fueron aplaudidos con eutusiasmo , se disolvió la reunión. D. Manuel Montes de Oca, cesando en el Despacho interino de dicho ministerio el teniente general D. Francisco N ar­ vaez. (Núm. 1854.) nombrando en propiedad Secretario de Estado y del Des* I Los periódicos ingleses , cuyos nombres citamos á continua­ pacho de la Gobernación de la Península á D. Sa…</t>
  </si>
  <si>
    <t>de Oca, Montes</t>
  </si>
  <si>
    <t>Montes de Oca</t>
  </si>
  <si>
    <t>…ado infraganti el Diputado confianza que llegue el momento debido. una población nueva en la que hay un gobernador m ilitar, una Alvarez; en este caso , ¿ este amenazado voto de censura contra Continúa diciendo: lia dicho el Sr. Montes de Oca, que guarnición, y goza de un clima sumamente sano y apacible. Entremos en el voto particular , continuó. Se dice en él que elha conde de Cleonard , qué es lo que infunde al Gobierno? Se que no particular el voto puede es un voto de censura de tal naturaleza^, del resultar otra co…</t>
  </si>
  <si>
    <t>…gnificante com­ poso , su du l c e p ’ Z actual y su ventura estriban en su propia dependiente. parada con la dificultad de la empresa y la utilidad que debe voluntad, en decidirse por su propio Ínteres á mantener cons­ « E l Sr. Montes de Oca , aunque joven todavía, ha figurado» reportar á la conservación de este importante punto. tantes el don precioso de la unión que el cielo acaba de dis­ también en las asambleas parlamentarias. Está reputado por El comandante de estado mayor D. Francisco Rodríguez pensarles , unión que…</t>
  </si>
  <si>
    <t>de Ocejo, Juan Pedro</t>
  </si>
  <si>
    <t>Juan Pedro de Ocejo</t>
  </si>
  <si>
    <t>…correctivo solo po­ sobre nosotros la claridad de la cien cia, clavó en nuestro día encontrarse en la consunción del sistema de escuela , Ildefonso del Barrio, por 42531 rs. y 22 mrs.: D. Manuel Sainz de la Maza, por 50 rs.: D. Juan Pedro de Ocejo, corazón la espina dei desconsuelo. Para mitigarlo y con ­ y en la destrucción de aquel refinado sensualismo. El es­ por 950: D. Pedro Camacho, por 1760: los herederos de Don solarnos en nuestro abandono, hicim os á la criatura ídolo mero en el estudio de la bella naturaleza, d…</t>
  </si>
  <si>
    <t>de Ochoa, Eugenio</t>
  </si>
  <si>
    <t>Eugenio de Ochoa</t>
  </si>
  <si>
    <t>…el abrazo de Y erg ara, que ha dado nombre Mr. Daguerre, publicada por él mismo, y porvenir , venturoso para el trono de Isabel 11 , y de gran poder reconciliando á los españoles todos debe proporcionar la paz y traducida por D. Eugenio de Ochoa, y gloria para el Gobierno regenerador de la España, regida por ventura de esta nación, afirmando su libertad é independencia. Acompaña á esta explicación el proyecto de ley que señala su augusta Madre y bienhechora, á quien todos acatan , ben­ Sírvase Y. S. y todos los señores em…</t>
  </si>
  <si>
    <t>de Odriozola, José</t>
  </si>
  <si>
    <t>José de Odriozola</t>
  </si>
  <si>
    <t>…ICA aplicada á las máquinas operando, ó tratado apoyaban esta memoria. Napoleón renunció á su proyecto; teórico y experimental del trabajo de las fuerzas, por el pero hé aqui una tentativa aun mas atrevida. A propósito Coronel D. José de Odriozola, teniente coronel de artillería. oe un tratado entre la Francia y el Austria, se agitó en el Hauterive ha dejado retratos como los que se hacian El autor, comisionado por S. M. en 1835 para un viaje fa­ consejo la cuestión de las inmunidades diplomáticas: Na­ en tiempos del duque d…</t>
  </si>
  <si>
    <t>de Ol, Francisco López</t>
  </si>
  <si>
    <t>Francisco López de Ol</t>
  </si>
  <si>
    <t>…n a u f r a g a n t int as empresas periodísticas d i gn a s de encomio y español es, a u n c ua n d o era t a mb i é n su á n i mo extenderse á h a ­ al abanza por su civi l izador obj eto, y que mueren vírgenes de El socio D. Francisco López de Ol a v a r r i e t a en 18 de J u l i o blar de alfabetos a n t i gu o s y ext rangeros. toda c u l p a , á no ser la de no p a r t i c i pa r , dado que culpa sea, d e 1 8 5 8 hizo la proposición s i g u i en t e á la sección de comercio Los d i p l o m a s, que tomaron este nomb…</t>
  </si>
  <si>
    <t>de Olavarrieta, D. Francisco López</t>
  </si>
  <si>
    <t>D. Francisco López de Olavarrieta</t>
  </si>
  <si>
    <t>…rcadante, ya ventajosamente conocido y justamente apre­ Sr. D. José Perez Morales, vice-contador. natural de Castro, parroquia de Bodenaya, concejo de Salas, en ciado del público de Madrid. Este spartito, estrenado en Paris Sr. D. Francisco López de Olavarrieta, tesorero* Astúrias, de esta vecindad, en el juzgado del Sr. D. Francisco en el teatro de la ópera italiana en 1856, fue recibido cou Araorós y López, ministro honorario de la audiencia territo­ aplauso singular. La empresa al presentarlo no ha omitido nin­ Secció…</t>
  </si>
  <si>
    <t>de Olavarrieta, Francisco</t>
  </si>
  <si>
    <t>Francisco de Olavarrieta</t>
  </si>
  <si>
    <t>…os de reci­ ridades que la misma causa nos obliga á reservar para otro he admirado al Sr. Sotos Ochando, y se ha lisonjeado no bir las limosnas son los siguientes: número. poco mi amor propio al ver adoptado el mismo sistema D. Francisco de Olavarrieta, plazuela de Santo Dom ingo, Las tropas que hoy han entrado en esta éiudad componen que he seguido en la enseñanza de la lengua francesa, oúm. 21. unos hombres; y otras han ido hácia Epila y pueblos in­ facilitándome m ucho trabajo y proporcionando infinitas D. Manuel de l…</t>
  </si>
  <si>
    <t>de Olavarrieta, Francisco López</t>
  </si>
  <si>
    <t>Francisco López de Olavarrieta</t>
  </si>
  <si>
    <t>La* nobítá Óc preclaro biaben é ¡lustre cuna no quisieron asoma la aurora venturosa de paz, brillante como el sol D. Francisco López de Olavarrieta , plazuela de Saato Domin­ rendir líolúénaje al afortunado guerrero de Auslerliz; la detrás de densos y espesos nubarrones!.,.=R. de N. go , lonja núm. 21. cofre de Luis \vi se desdeñó de ser la del'emperador ; y abandonado este de la antigua nobleza, quiso creai* o…</t>
  </si>
  <si>
    <t>de Olañeta, D. José Antonio</t>
  </si>
  <si>
    <t>D. José Antonio de Olañeta</t>
  </si>
  <si>
    <t>…omento suenan las dos gistrados y fiscal nombrados para esta de la Habana, no ha­ amenazaba desde 1854* ¿ s una reminiscencia de los tiempos de y media : el complot ha llegado á su térm ino, y va á comenzar biendo asistido el Sr. D. José Antonio de Olañeta , por hallar­ Fieschi; es un acto semejante á aquella proclama manuscrita la revolución. se gravemente enfermo; y asi juntos y reunidos pasaron, prece­ de Barbés, que ha querido hacer admitir en otra época como Los primeros hechos materiales que ia señalan tienen una didos…</t>
  </si>
  <si>
    <t>de Oliva, Manuel Perea</t>
  </si>
  <si>
    <t>Manuel Perea de Oliva</t>
  </si>
  <si>
    <t>…pezaban desde la falda del monte y concluían Id. D. Domingo Aguirre.............................. .. 17 en la cúspide con uno redondo que parecía una ciudadela ; pero y quiere d ar m uerte al otro: no hay razón, no hay ho­ Id. D. Manuel Perea de Oliva, cura rector del Sa­ no pasaron en ellos mas tiempo que el que se necesitó para tre­ n o r, no hay respeto que le atajen: solo la adulación, solo grario. ................................................................ 8..4 parlos , y á esto debemos la poca pérdida sufrida po…</t>
  </si>
  <si>
    <t>de Olózaga, Salustiano</t>
  </si>
  <si>
    <t>Salustiano de Olózaga</t>
  </si>
  <si>
    <t>…e gratis todo un de rentas, juez de amortización en esta provincia, se cita , lla­ año el periódico y las novelas. Cumplido el primer trimestre ha ma y emplaza por tercero y ultimo edicto con término de nue- cabido la suerte á D. Salustiano de Olózaga, suscriptor de Ma­</t>
  </si>
  <si>
    <t>de Ondarza, Marcelo</t>
  </si>
  <si>
    <t>Marcelo de Ondarza</t>
  </si>
  <si>
    <t>…por espacio de t e s , una diputación del tribunal mayor de cuentas, compuesta héroe esforzado , que atajando los furiosos torrentes de sangre seis años asóla á e¿ta nación magnánima. El convenio de V e r - de su presidente D. Marcelo de Ondarza , de los ministros D on española, nos ostenta ya la faz risueña de una paz venturosa. gara , acogido con entusiasmo sin igual por los pueblos de esta A nto nio José Godinez y D. Higinio García de Borunda, y del O jalá, Señora, veamos pronto cumplidas nuestras halagüe­ provincia,…</t>
  </si>
  <si>
    <t>de Onliveros, Vicenta Serrano</t>
  </si>
  <si>
    <t>Vicenta Serrano de Onliveros</t>
  </si>
  <si>
    <t>…...... D .P .O 20 ................................................................. 8 manaua á las dos de su tarde al Excmo. Sr. duque de la Vic­ L i Sra. marquesa de Povar................................................... Doña Vicenta Serrano de Onliveros................................. 4^ 10 toria. J. Bohorques................................................................................. D. A. de O ..................... ........................................................... 100 20 U a in c ó g n ito .........…</t>
  </si>
  <si>
    <t>de Ordoñez.r, Jimena</t>
  </si>
  <si>
    <t>Jimena de Ordoñez.r</t>
  </si>
  <si>
    <t>…igar para: morir.crEÍ Bastar­ do.^ Amor venga sus agravios.rsFlaquezasministeriaies.rsEI En- D ios y las de los hombres. Y téngase también en cuenta casa que encierra á nuestra querida. Haremos nosotros tremetido.—Macías.—Doña Jimena de Ordoñez.r:¿ El qué dirán? que esta reproducción esta muy lejos de ser una y uni­ mismos la copia de un lindo retrato de Mr. Yugres, d i­ ¿y el qué se me da á mí? = Doña Mencía.=Una r a u g e r genero^ form e, como podra creerse. Al contrario, ni uno de esos ciendo: ¿qué importa ahora que…</t>
  </si>
  <si>
    <t>de Oreóse, Francisco Molina</t>
  </si>
  <si>
    <t>Francisco Molina de Oreóse</t>
  </si>
  <si>
    <t>…e C er- légrafos, se comunica de un horizonte a otro la noticia de d io , Sau id.Francisco, id., collado de los Valientes , término del Presi­ nego, alcaldía de Villamaitin en Valdeorras, de la provincia autes E m ilia, por D. Francisco Molina de Oreóse , pidieron una pertenencia sobre el criadero de hier­ la res muerta." Pela)o , en 25. ro de Fonte das Burras, descubierto por los mismos en término lista teoría de Le Vaillant parece la mas satisfacloi ia Otra id. i d . , loma del Sueño, término de Berja, San C a­ llamad…</t>
  </si>
  <si>
    <t>de Ortiz, Demetrio</t>
  </si>
  <si>
    <t>Demetrio de Ortiz</t>
  </si>
  <si>
    <t>…ración y traje. Sentim os una gran satisfacción al tr ib u ta r n uestras a la ­ món Mac i a L!eopart.=sD. M anuel Antonio Caballero.nD . Die­ 5.° La F ilom ela y segunda tanda de walses de Strauss, go M artin de Villodres.=:D. Demetrio de Ortiz. con decoración. banzas al S r. R uiz de la Vega , alabanzas lau to mas im ­ Publicacion.=:Leida y publicada fue esta sentencia por el 6.° Acto segundo de la ópera La Muta d i P o r tici , del p arciales y desinteresadas, puesto qoe n i de vista leñem os limo. Sr. D. Ramón Macia L…</t>
  </si>
  <si>
    <t>de Ortiz, Nicolás</t>
  </si>
  <si>
    <t>Nicolás de Ortiz</t>
  </si>
  <si>
    <t>…ina titulada Campana, Alicante, par papel. Santiago, 2 d. de primera instancia en esta m uy heroica villa, refrendada del por Mateo de Mesa, en 10. Barcelona, á ps. fs. , per. Sevilla , 1£ id. escribano del número de la misma D. Nicolás de Ortiz , se ha Otra id ., en sierra Blanca , de este término . por cima de Bilbao, id. V alencia, p a r.' mandado convocar á ju n ta general de acreedores á la dimisión la chorrera que baja de la cañada de las Encinas, por Pedro Cádiz, 1¿ d. Zaragoza, ¿ b. de bienes hecha por D. Miguel de…</t>
  </si>
  <si>
    <t>de Oseñalde, Luis</t>
  </si>
  <si>
    <t>Luis de Oseñalde</t>
  </si>
  <si>
    <t>…as en francés A cta . En la villa de Madrid á 5 de Mayo de 1859, re­ unidos en las Casas consistoriales los señores jueces de hecho POR MANIFIESTO que suscriben á virtud de convocación hecha por el Sr. alcalde constitucional D. Luis de Oseñalde, para decidir acerca de la DEL M A RISCA L DE CAMPO DON FRANCISCO AGUSTIN SILVELA, denuncia hecha por el promotor fiscal, licenciado D. Ramón Alonso de las lleras, en un artículo que con título de cencerra­ g o b ern a d o r c i v i l que f u e d e la p r o v i n c i a d e A v i la…</t>
  </si>
  <si>
    <t>de Otazu, Fausto</t>
  </si>
  <si>
    <t>Fausto de Otazu</t>
  </si>
  <si>
    <t>…general aceptación de eita las mismas: por la de Alava a D. Iñigo Ortés de Velasco, 8. A. R. saldrá mañana temprano para la Teste. D u r a n t e ilustre municipalidad , Sres. censores y personas concurrentes, en reemplazo de D. Fausto de Otazu, y por la de Burgos a la ausencia del príncipe la duquesa de Orleaos visitará la sala y mas señaladamente los que se expresarán. Los de primera D. Joaquín Francisco Campuzano, en reemplazo del mar­ de asilo del camino del Sablonat , el de la calle L u lk n er y la clase: Alfonso Mar…</t>
  </si>
  <si>
    <t>de Ozcoydi, Manuel</t>
  </si>
  <si>
    <t>Manuel de Ozcoydi</t>
  </si>
  <si>
    <t>…l resultó el señor Real y Toledo, fecha del 4 , manifiesta que al regresar el capi­ Laborda acreedor de 2039 rs., habiendo convenido en ceder Don tán del 5.° ligero de caballería, D. Ramón María Figueroa, de Miguel Galindo y D. Manuel de Ozcoydi con su muger Doña escoltar á Manzanares los caballos requisados, tuvo aviso de ON Vicente Sessé y Calvet, comisario ordenador, ministro Margarita Galindo por tiempo de ocho años á contar dede i.° D hallarse una partida de facciosos robando ¿ unos carreteros en principal de Marin…</t>
  </si>
  <si>
    <t>de Padilla, María</t>
  </si>
  <si>
    <t>María de Padilla</t>
  </si>
  <si>
    <t>…as han concurrido á animar la musa tas ordenadas por el Rey. Samuel dice á D. Pedro que puede Y yo os llamaba mi encanto. del poeta en la pintura heroica de D. Ju3n de M anuel; pero el concitar á la venganza los parciales de Doña María de Padilla ¿ N o os acordáis? yo me acuerdo, autor del drama no ha querido que el espectador gozase m u ­ contra los héroes de Doña Blanca , y no podemos negarnos al Y os ruego no me matéis; cho tiempo de la felicidad de sus héroes , y D. Enrique m ani­ placer de citar su respuesta por la cade…</t>
  </si>
  <si>
    <t>de Palacios, Fernando</t>
  </si>
  <si>
    <t>Fernando de Palacios</t>
  </si>
  <si>
    <t>…S DECRETOS, Jo mismo con respecto al juicio (1). Y no se diga que en los Es­ Pedro Cengotita, D. Luis Barrios, D. Manuel Angel Indo, tados-Unidos los dementes se hallan en las prisiones bajo la de­ D. Francisco del Herrero , D. Fernando de Palacios, D. Ma­ O RD EN ES Y REGLAM ENTOS D E L GOBIERNO nominación de criminales, cuya aserción es tan inexacta , cuan­ nuel Castresana y D. Francisco González M ontes, resultando do menos, como esta otra del mismo Dr. Julius, expresada en por ocho votos contra uno haber lugar á la f…</t>
  </si>
  <si>
    <t>de Palafox, D. Vicente María</t>
  </si>
  <si>
    <t>D. Vicente María de Palafox</t>
  </si>
  <si>
    <t>…e la prensa , que es el A solicitud de varios acreedores á la testamentaría del di­ gaño, y tal es por otra parte la necesidad de paz, la necesidad poder público, el mayor de los poderes, la censura que los pue­ funto Excmo. Sr. D. Vicente María de Palafox , marques de de justicia , la necesidad de libertad al mismo tiempo, que na­ blos ejercen sobre los que no cumplen con sus obligaciones. Ariza y Estepa, se ha señalado para junta general de los mis­ da debe perdonarse, que todo debe decirse, que se debe decir to­ Pues b…</t>
  </si>
  <si>
    <t>de Pando, José María</t>
  </si>
  <si>
    <t>José María de Pando</t>
  </si>
  <si>
    <t>…quete celebrado en Marsella por una reunión nu­ jpEN SA M IEN TO S y apuntes sobre moral y política, por merosa de españoles para solemnizar los sucesos de la guerra de 8 gDEAS napoleónicas, por el príncipe Napoleón Luis Bona- D. José María de Pando, ministro de Estado que fue la Península, después de varios brindis, el Sr. Arjona, ex- 8 parte, traducida del francés por D. Manuel de la Escosu- en 1823. ^ asistente de Sevilla, que suscribió y asistió al banquete, brindó 8 *a. Un toraoea 8.° con retrato de Napoleón. 8e venden…</t>
  </si>
  <si>
    <t>de Pau, Francisco</t>
  </si>
  <si>
    <t>Francisco de Pau</t>
  </si>
  <si>
    <t>…poderes de los Diputados para ser reconocidos no ne­ se aprobó: de modo que lo que fue aprobado fue uoica y ex­ nocía mas que detención , que arresto no era palabra forense, cesitan clusivamente que se podia proceder contra D. Francisco de Pau­ sino militar, y que detención podia haber; pero que solo po­ no tieneremitirse otro por el Gobierno ; la razón es clara: el Congreso medio de conocer de la legalidad ó ilegalidad de la Alvarez, y no que su prisión fuese bien ó mal hecha. Esta dia durar 24 horas, pasadas las cual…</t>
  </si>
  <si>
    <t>de Paula, Francisco</t>
  </si>
  <si>
    <t>Francisco de Paula</t>
  </si>
  <si>
    <t>…con traslada una comunicación del comandante de la columna m ó­ navides, Ilúelves , Ferraz, F uentes, G uillen y G ra s , L in d e ro , «gusto mío, que quedáse para h oy - la coú t i nu ación Ide liúT, d is- vil del alto Ebro D. Francisco de Paula M u ñ o z , quien desde M artin , Mendizabal. v ' I c u r s o ; conoció el Congreso sin duda que en materia tan Cervera le participa , que habieudo seguido desde A gu ilar los Sexta sección: Sres. Ferro M o n ta o s, Ri poli , Carrasco y despuéísr de lóS discursos qúe: sé h a b ía…</t>
  </si>
  <si>
    <t>…tica cuando us pañaban á S. M. ei duque de JV"o»tpensier . en traje de a r ti­ E! Emperador de Rusia ha vuelto del caaipo de Borodino á ; esta parcial é interesada, bien en pro d en contra de eual- llero, y S. A. R. el Infante D. Francisco de Paula , con el Moscou el 5 de Setiembre. (Id.) ’ quier objeto; el rencor es a veces poderoso im p u lso, d a ­ uniforme de capitán general español. Componían la comitiva ñoso móvil en los juicios del hom bre; la mal entendida del Rey el mariscal S o u lt , el M inistro de la Guerra, e!…</t>
  </si>
  <si>
    <t>…id donde ante­ gún consuelo , acogiéndome para su médico el Sermo. Sr. I n ­ tacto contagioso porque ese es inevitable , sino neutralizarlo an ­ riormente se habian negado á los ensayos, ofrecía los mismos in ­ fante de España D. Francisco de Paula que á la sazón se halla­ tes que produzca el mal á fin de no necesitar de la curación ni convenientes. ¿Q ué hacer pues, viéndome comprometido y cer­ ba en Paris. Aprovecho esta ocasión de publica^ mi agradecí-» que se propague. Lo que conduce pues á este nuestro tema es cado de o…</t>
  </si>
  <si>
    <t>de Paulá, Francisca</t>
  </si>
  <si>
    <t>Francisca de Paulá</t>
  </si>
  <si>
    <t>…fringido las leyes en sus procedimientos contra la te, pidiendo se le ponga en libertad, mediante á haber sido ab- efectiva la contribución extraordinaria de guerra. peticionarias. sueíto por la audiencia territorial. 225. Doña Francisca de Paulá P an iagua, viuda del coro­ 261. D. Juan José R uiz, solicitaodoque en considerador 182. D. José G ram as, en solicitud de que se tengan pre­ nel D. Ju an Dooiez, en solicitud á pensión. á sus sacrificios por la causa de la libertad , se recomiende a sentes á la discusión del ar…</t>
  </si>
  <si>
    <t>de Pazos, Manuel Fernandez</t>
  </si>
  <si>
    <t>Manuel Fernandez de Pazos</t>
  </si>
  <si>
    <t>…­ puede piolarse con colores bastante vivos el arrebato de alegría te , refrendada del escribano del número del crimen de su juz­ L U C R E Z IA B O R G IA , que se ha difundido entre los individuos de todas las opinio- gado D. Manuel Fernandez de Pazos, se cita , llama y emplaza visa’da'16 ” reU" eQ ®4U Urde *“ una comida ¡a*pro- á Doña Petra H ernández, viuda de D. Andrés R am os, mayor adornada con el aparato correspondiente. de plaza que fue en la villa del F erro l, cuya habitación se ig ­ «L a puerta del Sol se hal…</t>
  </si>
  <si>
    <t>…Otro cuadro del inmortal Urbino (Rafael) que representa lo y por ante el escribano del número del crimen siguiente. Cuando el Señor era conducido al Calvario con la en Montalvan. Por la noche llegó el provincial de Burgos con D. Manuel Fernandez de Pazos; entendido que de no verificar cruz á cuestas cae en el suelo rendido con el peso: acude Simón unos 60 caballos, y esta mañana ha salido conduciendo muni­ su presentación, le parará el perjuicio que haya lugar. Cirineo á socorrerle para que pueda levantarse: la Santa Vir­ c…</t>
  </si>
  <si>
    <t>…raslación de D. Bernardo Placer Feijóo territorial de Zaragoza , y juez de primera instancia de esta cor­ consideren indispensables. Sin embargo no se persuada el Con­ que la desempeñaba, á D. Tomas Teijeiro. te, refrendada de D. Manuel Fernandez de Pazos, escribano de greso, ni crean los Sres. D iputados, que deje de tener la comi­ S. M. y del número del crimen, se cita , llama y emplaza por sión razones , asi corno las ha tenido el Gobierno para proponer término de tercero dia á D. Antonio Zamora, para que tan este artíc…</t>
  </si>
  <si>
    <t>…l Poyo, término de Huercal, S. Es­ bel la Católica, juez togado de primera iustancia de esta corte, teban, por Antonio Catorla , en 5 de Agosto de 1857. Otra id ., cerro del Muerto, término de Benadux, Fé 2.a, refrendada de D. Manuel Fernandez de Pazos, escribano de S. M. Inspección de minas de las provincias de Granada y Alme­ del número del crim en, se c it a , llama y emplaza á Gabriel por D. José Prats Blanco, en tí de Noviembre de 1858. ría.—Mes de Mayo de 1839 —Relación de los deuuncios y re­ ternandez de la Cuest…</t>
  </si>
  <si>
    <t>…or. Tiene 12 p. y 6. 1. de alto, caballero comendador de la Real orden americana de Isa­ y 9 p. y 8 1. de ancho: precio antiguo 16 rs., y moderno 10. bel la Católica , juez togado de primera instancia de Madrid, refrendada de D. Manuel Fernandez de Pazos, escribano de Música de la ópera Lucrecia Borgia de Donizetti S. M. y del juzgado de S. S., se cita , llama y emplaza á Don Saturnino Robles, vecino que parece ser de esta corte, cuya BIBLIOGRAFIA. Vara piano . Streta en la introducción del primer acto á 5 habitación se ign…</t>
  </si>
  <si>
    <t>…gundo que en el primero. mera instancia de esta corte , refrendada del escribano de S. M. didos los pocos bandidos que todavía no han depuesto las D. Justo y la V iuda andaluza, especiales adornos de esta del número del crimen D. Manuel Fernandez de Pazos, se cita, armas. llama y emplaza á Francisco Mas y Guerrero, conocido vul­ Por la comunicación del coronel Fontoura, inserta en este segunda parte, son creaciones bastante afortunadas y ver­ garmente por Maset, vecino del pueblo de Torrente , vendedor periódico, se ve el…</t>
  </si>
  <si>
    <t>…DE 1839. DIEZ CUARTOS. S. M. la R e i n a , s u augusta Madre la R e i n a G o b e r n a ­ instancia de esta corte, refrendada del escribano de S. M. y de Se asegura haberse dirigido á la Dieta germánica una pro­ su juzgado D. Manuel Fernandez de Pazos, se hace saber á to­ testa firmada por 29 individuos. Se habla hoy de una próxima d o r a y la Serma. Sra. Infanta Doña María Luisa Fernan­ das las personas que hayan empeñado desde Julio de 1857 disolución de la segunda Cámara de los Estados. Con efecto, da, continúan en…</t>
  </si>
  <si>
    <t>…ue se hallaban Valdeosera, juez togado de primera instancia de esta cor­ hasta la evidencia de lá verdad de un llamamiento celestial, he presentes, los citó como testigos con estas palabras: s e d testigo s. te, refrendada de D. Manuel Fernandez de Pazos, escribano de resuelto resignarme á su voz. D ilatarlo por mas tiempo solo Hecha y admitida asi la instancia, salieron del consistorio, S. M ., del número del crim en, se c ita , llama y emplaza á los serviría para producir en mi alma amarguras sin cuento , que que como se…</t>
  </si>
  <si>
    <t>…148260. . 150. . . . . . Id. ricana de Isabel la Católica, juez togado de primera instancia cion de Polo y M a rc o n e ll, que marchaba hácia Albarracin. 1 4 8 6 6 3 .. 1 5 0 ................ Id. de esta corte, refrendada de D. Manuel Fernandez de Pazos , es­ 1 4 9 7 6 9 .. 1 5 0 ....... Id. cribano de S. M ,. del juzgado de S. S. , se cita, llama y em p la­ 149944. . 150 . Id. za á D. Manuel M aría Castañon , para que dentro del preciso 1 50 477.* 1 5 0 .. . Id. é iroprorogable término dé nueve dias que por tercero y ú…</t>
  </si>
  <si>
    <t>…videncia, dictada por el Sr. D. Juan José tículos siguientes adornados con dibujos y grabados origi­ M álaga, id. id. Rodríguez Valdeo¿era, juez togado de primera instancia nales. Santander, par. de esta corte, refrendada de D. Manuel Fernandez de Pazos, Biografía Española.=D. Antonio Agustín. Alicante, * á f b. Santiago, 2 d. escribano de S. M. del número del crimen; se cita, llama y em­ Antigüedades de Méjico.=Conclusion. Barcelona á p s.fs.,p ar. Sevilla, 1 * á 1 id. plaza á D. Manuel Rasilla, cuya habitación se ignora,…</t>
  </si>
  <si>
    <t>…rates son útiles sobre­ 5.° Dúo de la opera I Capuleti ed i M ontcchi, del raaei- de esta corte, refrendada del escribano de S. M., del número del manera, ya por la alta dignidad de sus asuntos, ya también tro Bellini. crimen, D. Manuel Fernandez de Pazos, se cita, llama y em­ porque son el mas excelente modelo de la elocuencia moderada 6 .° L A O POSICION D E S A C R IST A N E S , sainete diver­ plaza por primer edicto y término de nueve dias á D. Pedro y apacible que debe reinar en los escritos, y de que nosotros tido inte…</t>
  </si>
  <si>
    <t>de Pedrajas, López</t>
  </si>
  <si>
    <t>López de Pedrajas</t>
  </si>
  <si>
    <t>…etario el Sr. Pascual: Vicesecretario el se­ reconocimiento. ñor Sánchez Tosca no. S. M. la R e i n a , s u augusta Madre l a R e i n a G o b e rn a ­ A. T h ie r s, Diputado del distrito de Aix. 2 .a sección. Presidente el Sr. López de Pedrajas: Vicepre­ dora y la Serma. Sra. Infanta Doña María Luisa Fer­ sidente el Sr. Luzuriaga : Secretario el Sr. A y aía y Mi rla: nanda, continúan en esta corte sin novedad en su im­ El ministerio sé h alla distribuido del modo siguiente: con Vicesecretario el Sr. Guillen y Roda. 5 a…</t>
  </si>
  <si>
    <t>de Pedro, Manuel</t>
  </si>
  <si>
    <t>Manuel de Pedro</t>
  </si>
  <si>
    <t>…su desnudez y verdad. La templanza D. Juan de la Dehesa Aldama......................................................Sevifla. ha obtenido los mayores aplausos, titulada : y mesura que reinan en toda la novela, la serie de cua- D. Manuel de Pedro. . . ........................ Tarragona. Teruel. L ’ULTIMO GIORNO DE POMPEI. D. Dionisio Capaz.......................................... .. Toledo. (1) Por un olvido involuntario se dejó de insertar una D. Juan PaLrea. ................................................. Valencia. c…</t>
  </si>
  <si>
    <t>de Peralta, Luis</t>
  </si>
  <si>
    <t>Luis de Peralta</t>
  </si>
  <si>
    <t>…aveses, dos escuadrones, una compañía de correspondientes derechos en favor del mayorazgo fundado por tros vecinos de allende ei Pirineo quieren dar a sus obras; artillería y otra de zapadores acaban de presentarse y adherirse D. Luis de Peralta, que en el año de 1761 poseía la Sra. Doña designio que nosotros repudiamos con todas nuestras al convenio del Sr. duque de ia Victoria con el teuieote gene­ razón Antonia Javiera de Peralta, marquesa de Legarda, por cuya ral Maroto. se cita, llama y emplaza á los que sean tales pos…</t>
  </si>
  <si>
    <t>de Perez, D. Francisco Perez</t>
  </si>
  <si>
    <t>D. Francisco Perez de Perez</t>
  </si>
  <si>
    <t>…. bien á sus conciudadanos aun cuando solo les ofreciesen una blico del colegio de la ciudad de Zaragoza. Certifico: Que ante Alicante, \ á f b. Santiago, á 2 d. mera reimpresión; pero no se limita á esto la edición que al el Sr. D. Francisco Perez de Perez, alcalde primero constitucio­ Barcelona, á ps. f s . , ¿ á § d. Sevilla, i á id. presente an uncian, porque en ella los lectores, ademas de en­ nal de esta capital, y por mi testimonio, se ha formado expe­ Bilbao, par. V alencia, \ din. b. contrar todas las doctrinas con…</t>
  </si>
  <si>
    <t>de Petersburgo, Roussin. Escriben</t>
  </si>
  <si>
    <t>Roussin. Escriben de Petersburgo</t>
  </si>
  <si>
    <t>…o, uo sentimiento de estimación, del que os ruego seáis fieles intér­ i a sido el único ¿sopedimento para su sahda. pretes para con él. EHan muy leja* de duiparse las inquietudes que nos causa Recibid señores &amp;c.z:Firmado —Barón Roussin. Escriben de Petersburgo con fecha 15 de Octubre que casi la permanencia de la caen ^dra otomana eu nuestro puerto. Aleu­ A. S. E. el barón Roussin , vice almirante , Par de Francia, puede asegurarse como cierto que la duquesa de Leuchtemberg dados los árabes á vista úe-la impunidad que goz…</t>
  </si>
  <si>
    <t>de PiothschiJd, James</t>
  </si>
  <si>
    <t>James de PiothschiJd</t>
  </si>
  <si>
    <t>…rdin a­ En virtud de una mocion de lord Chanceller se ha proroga- do la Cámara de los Lores hasta el 11 de A b ril. Escriben de Roma con fecha 9 de M arzo : r ias, podria la Cámara abandonar hasta cierto punto la cues­ El barón James de PiothschiJd ha sido presentado á S. S. tión á la discreción dé los coosejeros de la corona. Pero lo que en su últim a estancia en esta ciudad. Sabido es que la com uni­ vemos que se ha hecho de algunos años á esta parte no es para dad israelita v ivia aqui desde la edad media bajo un yu g…</t>
  </si>
  <si>
    <t>de POI, Secretario</t>
  </si>
  <si>
    <t>Secretario de POI</t>
  </si>
  <si>
    <t>…ros han cumplido con su de á Y. E. muchos años. Granada 24 de Abril de 1859. = Ex­ Fuerte \ la P e­ A. extrao-jjI TO TA L. deber; prevendrán á estos, fijándoles tarea determi­ 40 celentísimo Sr.“ Alfonso Escalante.^-Excmo. Sr. Secretario de POI nada, las recomposiciones y recorridas que tienen Estado y del Despacho de la Gobernación de la Península. que hacer en el camino hasta su visita inmediata, 1 __ I bajo su responsabilidad ; y darán parte de lo que h a­ 6225f- yan observado y disposiciones que hayan dado al ~ in…</t>
  </si>
  <si>
    <t>de Popleí, Federico</t>
  </si>
  <si>
    <t>Federico de Popleí</t>
  </si>
  <si>
    <t>…s han consentido y a , no se sabe: no se 2 .u El traidor honrado , en que él primer personaje es el venes de ambos sexos, y mas de una vez auxilió á los escrito­ sabe tampoco si este tratado necesitará ser aprobado por los duque Federico de Popleí. res dramáticos con sus consejos y con su bolsillo. L a academia Congresos eu los Estados constitucionales: en el ínterin ,«e dice Í.° D. Ped ro , el caballero atoado, y su hija Amarilis. i m p e r ia l, en cuyo seno se le habia recibido solemnemente como que aun falta el consent…</t>
  </si>
  <si>
    <t>de Portugal, Alonso</t>
  </si>
  <si>
    <t>Alonso de Portugal</t>
  </si>
  <si>
    <t>espinales de aquel siglo. El Rey D. Alonso de Portugal quiere con luz tan desalumbrado * ho n ras, dineros , favores: casar á su hijo el Príncipe D. Pcuro co&amp; Doña B iü ica , infanta y ocioso el desnudo acero? de su general, peligros; de N a v a rra , que á este efecto habia ya llegado á Coimbra; y de su honor, ocasiones. pero D. Pedr…</t>
  </si>
  <si>
    <t>de Portugal, Mariana</t>
  </si>
  <si>
    <t>Mariana de Portugal</t>
  </si>
  <si>
    <t>…a de comenzar en 1.° ta Doña Carlota con D. Juan, príncipe del Brasil, y del 1 pe lo hubiese imaginado, no hubiera mandado á su general de Abril siguiente ,'á cuyo período se puso eft circulación uná infante D. Gabriel con Doña Mariana de Portugal , tuvo pedir el tal perdoó. nueva suma de 5 .580,000 pesos. Resulta pues que L d^uda rx- ya Carlos m pensamiento de que se reuniesen un dia los La rebelión de losPaises Bajos empezó á manifestarse en 1560. trangera de Méjico montará en 1.° de Abril de Í 856 á 4 O m illo­ dos re…</t>
  </si>
  <si>
    <t>de Portugal, Miguel</t>
  </si>
  <si>
    <t>Miguel de Portugal</t>
  </si>
  <si>
    <t>…etín oficial de la provincia, á fin de que produzca sus repticiamente en otros puntos. ñía de los ya reconocidos, á voluntad y mutuo couvenio en­ efectos legales. Dado en Ecija á 4 de Julio de l839.:=Rafael de Proclama del Rey D. Miguel de Portugal á sus pueblos y tre el establecimiento y los licitadores, é igualmente y bajo Vargas y Ucíés=Por mandado de su merced, José Diaz y ejército. los mismos términos en créditos corrientes contra el Estado, se­ Gómez. . Comunicaciones notables de varias autoridades militares de gún los…</t>
  </si>
  <si>
    <t>de Posen, Alonso Holgado y Gnesen y</t>
  </si>
  <si>
    <t>Alonso Holgado y Gnesen y de Posen</t>
  </si>
  <si>
    <t>…p rin cip al; en cuyo estado quedó hasta que en el dia ha salido el Gobierno ha declarado á los individuos de los capítulos de de pasar mucho tiempo antes que puedan formarse otras, y á este juicio , promoviéndole como parte D. Alonso Holgado y Gnesen y de Posen que si insistían considerando sus funciones basta que esto se verique, no se emprenderá ningún negocio. Motezuma Ovalle y Loaisa , caballero maestrante y vecino de la como suspensas por M r. D u n io , se les suspendería también el ciudad de Ronda, á cuya instanc…</t>
  </si>
  <si>
    <t>de Prado, José María</t>
  </si>
  <si>
    <t>José María de Prado</t>
  </si>
  <si>
    <t>…a y la Serma. Sra. Infanta Doña María Luisa Fernan­ ciones dadas en él. Habiéndose denunciado ante el alcalde segundo constitucio­ da, continúan en esta corte sin novedad en su importante Denuncios. nal de esta capital por D. José María de Prado, vecino del salud. pueblo de Santiago de Millas en esta provincia , en concepto de Una mina plomiza en la Solana del Rio, término del Fon- libelo infamatorio, un impreso que empieza “ D. José María don, titulada Señor de la Misericordia , por Julián Alonso, de Prado, secretari…</t>
  </si>
  <si>
    <t>de Prio, Juana Gutiérrez</t>
  </si>
  <si>
    <t>Juana Gutiérrez de Prio</t>
  </si>
  <si>
    <t>…n concienzudo esm e­ audiencias: que considerando no ser opuesta la cláusula cuarta ciertos de la calle de S. Honorato, y cuya nombradía es y a r o , con tantos datos y n o ticias, con tal conocim iento del del testamento de Doña Juana Gutiérrez de Prio á las leyes europea. asum o , que bien in d ican las vigilias, los largos dias de es­ primera , décima y undécima del título décimo de la partida DISTRIBUCION. tu d io y m editación que h ab rá necesitado em p lear. Y si se quin ta, ni á las undécima, titulo cuarto , partida…</t>
  </si>
  <si>
    <t>de Prusia, Austria y</t>
  </si>
  <si>
    <t>Austria y de Prusia</t>
  </si>
  <si>
    <t>…e había depositado en ellos, y después de haber 5.° La Dieta manifiesta su reconocimiento á las cortes de marques de Norm anby , los M inistros pueden hacer esta expe­ dado una cuenta exacta de su en cargo , propuso el presidente Austria y de Prusia por sus constantes esfuerzos en m irar por riencia : entonces verán como estrechamos nuestras filas para se procediera á la adopción de lo resuelto en vista de la declara- los intereses de la Dieta durante las negociaciones relativas á combatirlos con energía , y el país no tarda…</t>
  </si>
  <si>
    <t>de Puertas, D. Juan Antonio</t>
  </si>
  <si>
    <t>D. Juan Antonio de Puertas</t>
  </si>
  <si>
    <t>…estado próspero de nues­ G uijarro.—Tomas M ansilla.—Cirilo Añoz Arceo.^ tras rentas. En esto reconocemos, ademas de las bendiciones de prendo enteramente el artículo 4*° de este tratado. En él se di­ A uto,-Seguidam ente el Sr. D. Juan Antonio de Puertas, ce que los buques ingleses con sus cargamentos se hallarán bajo la paz, los felices resultados de una administración arreglada, y juez de primera instancia de esta ciudad, por ante mí el in ­ el mismo pie que los navios austríacos en los puertos del Danu- protegida por…</t>
  </si>
  <si>
    <t>de Puertas, Juan Antonio</t>
  </si>
  <si>
    <t>Juan Antonio de Puertas</t>
  </si>
  <si>
    <t>…or T a rra - virginidad de las moujas,” el que fue presidido por el señor no contar los años de servicio necesarios al efecto, se les gual todas las partidas, y puesto preso al titulado general G ar­ juez de primera instancia D. Juan Antonio de Puertas; y des­ continuará el abono de la cuarta parte determinada en el cía, protector de la del Rayo. pués de haber oido la acusación y defensa , y conferenciado párrafo 2,Qde la regla 2.a desde el día en que su sucesor Juan Mateo , comandante; ' ' .^ entre s í, se procedió á la…</t>
  </si>
  <si>
    <t>de Puertas, Manuel Antonio</t>
  </si>
  <si>
    <t>Manuel Antonio de Puertas</t>
  </si>
  <si>
    <t>…nstitucional de esta ciudad en la sala capi­ de primera instancia de esta ciudad de Salamanca y su partido instancia en las causas de contrabando y defraudación , y tular del ilustre ayuntamiento de la misma, y el tenor de la D. Manuel Antonio de Puertas, coronel graduado de infante­ que de sus fallos se apela para ante las audiencias territo­ calificación y sentencia proveida en su consecuencia en un mis­ ría , ministro honorario de la audiencia de Sevilla , en dicha riales; ha tenido á bien m andar S. M. que unos y otro…</t>
  </si>
  <si>
    <t>de Purgitall, Hammér</t>
  </si>
  <si>
    <t>Hammér de Purgitall</t>
  </si>
  <si>
    <t>…ribo m uy de prie­ tengáis á bien insertar en vuestro periódico esta carta tengo el 15 y 16 h an recibido orden de llamar á sus reservas de guer­ sa porque S. Pedro se halla en la mayor desolación. Esta ma­ honor &amp;c.z=EI barón de Hammér de Purgitall.=:Viena 28 de ra : lo cual quiere decir que deben organizarse bajo el pie de ñana á las cinco y tres cuartos hemos tenido un temblor de Diciembre de 1858. guerra cuatro regimientos del ejército del Rhin. Las reservas de tierra terrible qye ha durado cerca de dos minutos. La cuart…</t>
  </si>
  <si>
    <t>de Pvoda, D. Simón</t>
  </si>
  <si>
    <t>D. Simón de Pvoda</t>
  </si>
  <si>
    <t>…plear todo su ingenio en buscar retruécanos chis­ Sevilla 4 de Diciembre . MADRID í 0 DE DICIEMBRE. tosos y gracias no de buen tono muchas veces ? Lo diremos: porque mira mas bien al número de sus obras que á la calidad El Sr. D. Simón de Pvoda , nuevo gefe político, llegó ano­ — ------- de estas; porque prefiere que se diga "Bretón ha escrito este che á esta ciudad en el correo. Los buenos antecedentes que de año doce comedias” á "Bretón ha escrito este año una excelente este señor tenemos nos hacen esperar buenos frutos…</t>
  </si>
  <si>
    <t>de Qlararrieta, D. Francisco López</t>
  </si>
  <si>
    <t>D. Francisco López de Qlararrieta</t>
  </si>
  <si>
    <t>…ntajas guiados únicamen­ nocer la probabilidad del éxito de los trabajos, que de Sr. D . Antonio Dutari. te por sus luces naturales, ¿á qué grado podrán llegar nuestros otro m odo se hacen á la ventura , com o lo prueban esas Sr. D. Francisco López de Qlararrieta. jovenes por poco que observen las reglas del Manual del en­ m ism as Alpujarras en donde se duda todavía, calculando Lo que se anuncia al público para su conocim iento, ad­ cuadernador? Dejárnos la solución á ellos mismos. Bajo estas ra­ las minas productivas con l…</t>
  </si>
  <si>
    <t>de Quesada, Agustín</t>
  </si>
  <si>
    <t>Agustín de Quesada</t>
  </si>
  <si>
    <t>…o de partes recibidos en la capitanía general.) ron en Belorado y Pradoluengo. Todos los dias se conducen á esta plaza prisioneros facciosos Y CIRCULARES El comandante interino de la brigada de la Ribera, tenien­ te coronel D. Agustín de Quesada , con fecha 9 del actual des­ de los fugados de este depósito, habiéndolo sido en la tarde de ayer cinco, aprehendidos por una partida provincial de Lare- DEL RAMO DE POSITOS, do: el dia antes lo fueron tres, dos de ellos de la facción de de Liria participa que el eiiemigo, que…</t>
  </si>
  <si>
    <t>de Quesada, Blas García</t>
  </si>
  <si>
    <t>Blas García de Quesada</t>
  </si>
  <si>
    <t>…del apostadero Don á los que hubiesen sido capitanes generales en la isla de Cuba Joaquín Mozo , tenientes de navio D. Pedro C arvajal, cuya un cierto período de tiempo, y al presidente del supremo tr ir herida me es sensible, D. Blas García de Quesada, alférez de CORTES. buual de Ju sticia, todos los cuales, por sus luces y conoci­ navio D. Nicolás Chicarro, primer piloto D. Manuel Abad, mientos en los diferentes ramos de la administración pública, SENADO. podrian ilustrar sobremanera al Gobierno en cuantas materias marine…</t>
  </si>
  <si>
    <t>de Quevedo, Agustín</t>
  </si>
  <si>
    <t>Agustín de Quevedo</t>
  </si>
  <si>
    <t>…er segundo cabo de Valencia trascribe con fecha provincial, y de dar á V. E. un conocimiento de ellas, de cuyo 11 del actual un parte que le dirigió con la del 9 el teniente deber no me creo dispensado. coronel de infantería D. Agustín de Quevedo, gefe interino de En la mañana del dia 4 del corriente salimos de esta ciudad la columna de la Ribera, en que tnariifiesta que el enemigo, I con dirección á la villa dw* Fernanuuñez, habiéndosenos agre­ PARTE NO OFICIAL. que en la larde del 8 .habia ocupado el pueblo de Marines…</t>
  </si>
  <si>
    <t>de Quin, Felipe Justo</t>
  </si>
  <si>
    <t>Felipe Justo de Quin</t>
  </si>
  <si>
    <t>…itecto de la to» Asi* yo digo á La comisícn que segregue de este proyecto eo un Gobierno como el de Austria ó como el de Consta ati­ pía. Alli podrán consentirse ciertos pensamientos inmuta­ academia nacional de 8. Fernando , D. Felipe Justo de Quin­ todo lo que por el mismo se deja á leyes posteriores. (E l señor no bles en política hasta cierta ponto. Pero ¿aqui se gobierna tana , era la cantidad de 261,,055 rs* y 5 mrs.; lo que se anun­ Ministro de Gracia y Justicia entró en este momento.) Por cora arreglo á. esas tradic…</t>
  </si>
  <si>
    <t>de Quintas, Gervasio</t>
  </si>
  <si>
    <t>Gervasio de Quintas</t>
  </si>
  <si>
    <t>…e hemos tenido el gusto de oir redactadas en un estilo no Para hacer á todos ver instancia de esta corte, refrendada del escribano de núme­ muy común, algunas proposiciones bastante luminosas, á fio No nos falta la alegría. ro D. Gervasio de Quintas, se cita y emplaza á Doña Dorotea de fomentar por todos los medios posibles la instrucción públi­ Gracias á 1a autoridad, Alabau por el término de 50 dias siguientes á la publicación ca , libertándola de las trabas con que ha estado circunscrita Que de tanto bien celosa, de este…</t>
  </si>
  <si>
    <t>de Raday, Gedeon</t>
  </si>
  <si>
    <t>Gedeon de Raday</t>
  </si>
  <si>
    <t>…de Oxford , vol­ putación. Ayer se dio lectura ante el primero de un rescripto en em peñando cada uno el papel que había escogido en las viendo á ocupar su asiento al ruido de los aplausos y de los el cual se dice que el conde Gedeon de Raday no puede ser re­ noches anteriores, y guardando consecuencia con sus res­ vivas de todos los convidados. cibido como Diputado en la Dieta, en atención á hallarse pro­ El vicecanciller propuso en seguida un brindis á la salud pectivas doctrinas. cesado por el ministerio público. D…</t>
  </si>
  <si>
    <t>de Raineval, Alfonso</t>
  </si>
  <si>
    <t>Alfonso de Raineval</t>
  </si>
  <si>
    <t>…ancisco Feliú de la Peña. (B. O.) tiones que excitan los celos de nuestros am igos, y aumentan rio cuenta con una mayoría de 14 votos por lo menos. (Debáis.j las esperauzas de nuestros enemigos* Zaragoza 24 de Marzo. El conde Alfonso de Raineval, gefe de sección del ministe­ rio de Negocios extrangeros, ha sido nombrado primer secreta­ A los habitantes de la leal provincia de Huesca. Se lee en el Morning-Clironicle : rio de embajada en Rom a, ea reemplazo de Mr. Delurde, á Tenemos á la vista cartas escritas por person…</t>
  </si>
  <si>
    <t>De Real, Francisco</t>
  </si>
  <si>
    <t>Francisco De Real</t>
  </si>
  <si>
    <t>…al 50 por 100, la pérdida que de ello resultará se­ á quien corresponda.=Está rubricado de la Real m an o .= minación. rá de cerca de 4 millones de dollars. Los valores americanos qué En Palacio á 19 de Noviembre de 1839.=A D. Francisco De Real orden lo comunico á V. S. para su inteligen­ aquí tenían mas curso eran los fondos públicos de los Estados- Narvaez. ______ cia y efectos correspondientes, debiendo avisar á su debi­ Unidos, los cuales no tendrán ningún deterioro ni baja por la do tiempo de quedar cumplida en la…</t>
  </si>
  <si>
    <t>de Regla, María</t>
  </si>
  <si>
    <t>María de Regla</t>
  </si>
  <si>
    <t>…iles maestras, siendo tales progresos debidos á la pericia, de Granada en 1.° del que rige, que en el mismo dia habia pa­ horas. Aunque estas conferencias no están por lo regular al al­ trato dulce y amable de la preceptora Doña María de Regla sado revista de comisario aquel presidio, organizado ya con cance del publico , con todo hay personas que pretenden estar Yaldés , y á las felices disposiciones de sus educand.is. arreglo á la ordenanza gei.era! del ram o; con fecha del 3 me bien enteradas de que el embajador ha demos…</t>
  </si>
  <si>
    <t>de Reinoso, D. Mariano Miguel</t>
  </si>
  <si>
    <t>D. Mariano Miguel de Reinoso</t>
  </si>
  <si>
    <t>…. D. Dionisio Valdés. Sr. D. Pedro Calzada. Sr. D. Juan Alvarez y Mendizabal. Sr. D. Andrés Alcon. Sr.) gr’&gt;C No está aprobada el acta de elección. Sr Málaga. Valladolid. Sr.) Sr. D. Antonio de los Rios y Rosas , electo. Sr. D. Mariano Miguel de Reinoso , Secretario 1.° Castellón de la Plana. Sr. marques de Casa-Iru jo. Sr. D. Luis Rodríguez Camaleño. Sr. D. Diego María López, electo. Sr. D. Lorenzo Arrazola. Sr. D. José María Valterra. Sr. D. Andrés Borrego, electo. Sr. D. Millan Alonso.</t>
  </si>
  <si>
    <t>de Rementería, Mariano</t>
  </si>
  <si>
    <t>Mariano de Rementería</t>
  </si>
  <si>
    <t>BALANZA GENERAL DE LA ISLA DE PUERTO-RICO D. Mariano de Rementería , á 20 rs. rúdica y 24 rs. en pasta. Preciosa muestra de letra bastarda española, tamaño del de 1838. cursivo de cartas, por el calígrafo D. José María de A usuatt- g u i, á un real. (Introducido á consumo ¿............................ .. 3.305,160.. 6.. 20) ; i/o &lt;0 Im po…</t>
  </si>
  <si>
    <t>DE RENTAS</t>
  </si>
  <si>
    <t>DIRECCION GENERAL DE RENTAS Y ARBITRIOS DE AMORTIZACION. Estado comparativo de los ingresos y salidas del primer trimestre de este año y del anterior. PAPEL. M ETALICO . INGRESOS. i Recaudado en Id.en 1839. Mas en 1839. Menos en id. 1 Recaudado en j Id. en 1839. Mas en 1839. ■: Menos en id. | 1838. 9 1838. • 1…</t>
  </si>
  <si>
    <t>…especificado, tim o, habia 52 niños aquel día, y hoy llegan ya á 62. La ju n ­ 51.055 rs. 24 m rs., quedan de consiguiente en tesorería 1607 rs. ta directiva cree que en las tres escuelas establecidas podrán re­ DIRECCION GENERAL DE RENTAS Y ARBITRIOS DE AMORTIZACION. y 2 1 mrs. cantidad. cibir su educación de 550 á 4 OO niños, y 80 en la de Cham­ El Sr. secretario, después de explayar curiosamente estos da­ berí; resultado muy superior á las esperanzas que pudieran Junio de 1859. tos, termina su escrito con estas palabras…</t>
  </si>
  <si>
    <t>…el secreto, que hubiera quedado Admiro la tenacidad de los facciosos de estos reinos en sub­ mucho tiempo sin descubrirse, á no ser por la circunstancia de sistir rebeldes en las filas del inicuo sacritan. {Id,) DIRECCION GENERAL DE RENTAS Y ARBITRIOS DE AMORTIZACION. q u e , ora fuese por no haber atado bien la piedra que le pusie­ Octubre de 1839. ron al cuello, ó por la rapidez de las aguas del rio , el cadáver se desprendió y fue á parar á una orilla cerca del puente de Calanda 30 de Noviembre, Estado demostrativo de los…</t>
  </si>
  <si>
    <t>…s. de la Península ha premiado los maternales esfuerzos y desvelos de Y. M. poniendo término á los seis años de una desoladora tienen por falsos, y en ellos se han observado las particulari­ dades siguientes: DIRECCION GENERAL DE RENTAS Y ARBITRIOS DE AMORTIZACION. güera , sostenida con el mas cruel encarnizamiento y ahuyen­ 1.a El papel es algo menos blanco y limpio. tando del suelo español al Pretendiente D. Cárlos á pesar de su 2.a El sello estampado en el papel con el busto de S. M. Agosto de 1839. tenaz obstinación…</t>
  </si>
  <si>
    <t>…sioo á la fueres, cuan­ á las de los whig», y vice versa, sin que su Constitución haya do un ejército enemigo viniese á obligaros; considerarlo bien: sido alterada en lo mas mínimo, ni su grandeza se haya mé- DIRECCION GENERAL DE RENTAS. ceder asi seria para el ejército deponer las arnia« en el momen­ noscabadoi Peroi vosotcos ha beta cansado «na** proftmd adherid a Sección central .— Circular. to de servirse de ellas; seria acudir á una cita de desafio para en la moralidad de nuestras instituciones: habéis jugado indig-…</t>
  </si>
  <si>
    <t>…o próspera , á lo menos ventajosa respecto de lo moderno tendrá el encargo de bibliotecario. que habria debido esperarse en el curso ordinario de las cosas. 7.° El gabinete, biblioteca, taller y demas dependen­ DIRECCION GENERAL DE RENTAS Y ARBITRIOS DE AMORTIZACION, Indica da sobre esto la existencia de una fuerte opioion general forma­ los principios de nuestra organización política , y un cias del conservatorio se franquearán al público, y segui­ deseo igualmente general y activo de procurar el bienestar in­ rán presta…</t>
  </si>
  <si>
    <t>…descuida la bue­ que forzase tanto la marcha, y confusión, porque no esperaron ni ni que lo fuesen con tanta rapi­ na conservación del tabaco y la ejecución de las medidas dez aquellas formidables posiciones. DIRECCION GENERAL DE RENTAS Y CONTADURIA GENERAD que para asegurarla están dictadas por punto general. Go­ El campo quedó con bastantes armas que arrojaron los re­ DE VALORES. mo también si se descuida el preparar favorablemente la beldes para escapar mas fácilmente, con algunos muertos, y Circular. opinión de los…</t>
  </si>
  <si>
    <t>…ente , cumpliendo con lo mandado, ponen forman una obra que puede intitularse: el Incrédulo que signo y firmo en Badajoz á 15 de Marzo de 1859 —Enmen­ conducido á la f e por la razón . La ventaja de aprender á DIRECCION GENERAL DE RENTAS E8T ANCA DAS, dado :z:Ante.= Alca Ide.^Yale.zzJuan de la Fuente y Sánchez. traducir sin otro auxilio es tan sensible , que basta ojear el li­ Por Real orden de 18 del corriente se ha servido resolver bro para reconocerla. Un tomo en 8.a mayor, precio 29 rs. S. M. que no pudiendo tener lug…</t>
  </si>
  <si>
    <t>N.° 1627. MARTES 30 DE ABRIL DE 1839. DIEZ CUAr t o s . DIRECCION GENERAL DE RENTAS Y ARBITRIOS Papel. MetáÜCO. Total. PARTE OFICIAL. DE AMORTIZACION. J^s yn S. M. la R e i n a . , s u augusta Madre la R e i n a G o b e r n a d o r a , y la Serm a. Sra. Infanta Existencia en 28 de Febrero ú ltim o .. . 11541818 52156/,4.. 3 14 5 57462.. Doña María Luisa F e rn a n d a…</t>
  </si>
  <si>
    <t>de Requesens, Luis</t>
  </si>
  <si>
    <t>Luis de Requesens</t>
  </si>
  <si>
    <t>…s partidas re­ E;t.ído de C a t a l u ñ a , según deducciones de la corresponden­ do y D. Alvar o N a v i a Oso rio. beldes , dispuso el dia 19 por la tarde la salida de 150 i u f a n - j cia de las autoridades superiores. 7.° D. Luis de Requesens, D. B ir tol orré Leonardo de A r - tes y 25 caballos délos Nacionales movilizados, los cuales avis­ Partes comunicados al Gobie rno sobre conspiraciones por el gensola , D Ju.in de Palafox y M e n J o z a , D . Francisco Valles, taron en el camino que conduce al segundo pueblo l/¡…</t>
  </si>
  <si>
    <t>de Ribera, Francisco</t>
  </si>
  <si>
    <t>Francisco de Ribera</t>
  </si>
  <si>
    <t>…are­ que á sus maridos fidalgos cidos. dejé en el campo defuntos, Por los campos del Mondego La comedia del V aliente to led a n o está consagrada á cele­ caballeros vi asom ar, é salgo vivo del campo. brar las hazañas de D. Francisco de Ribera , valiente marino del Menos causa tuvo Eneas; y según he reparado tiempo de Felipe m . Por tanto puede inferirse que Luis de se van acercando acá. pues cuando fizo otro tanto, Guevara escribió comedias hasta los principios del reinado de tan solo salvó á su padre; Armada gent…</t>
  </si>
  <si>
    <t>de Ribera, María Manuela</t>
  </si>
  <si>
    <t>María Manuela de Ribera</t>
  </si>
  <si>
    <t>…Antonio Guardia: FUNCION DE BODA SIN BODA. &gt;ii\ ' hallado reo solo de homicidio involuntario, seria D. José González de Gomara : D. Gerónimo Coliantes, apode­ ¡ lénipre necesario estar en la cárcel por seis meses con rado de Doña María Manuela de Ribera: Doña Bárbara Gó­ dadaComedia en tres actos en verso , del célebre Picard , acomo­ giau perjuicio de sus labores , y siempre con mucho cui­ mez Talayera, viuda de D. Antonio Espinóla: D. Dimaso de en lasal librerías teatro español por D. Bautista Calleja. Véndele á 6 rs. de…</t>
  </si>
  <si>
    <t>de Riera, Simón</t>
  </si>
  <si>
    <t>Simón de Riera</t>
  </si>
  <si>
    <t>…ina , Proserpina , el trabajo. Igualmente debo particularizar al capitán del falucho Neptuno la ley é instrucción ele 16 de Enero último, puede entre­ A n a ; al , Sr. y á los de los correos Virgen del Carmen y Santa Neptuno D. Simón de Riera , por haber sido el mas constante gar en papel por la contribución extraordinaria de guer­ por los recursosintendente de esta provincia D. José Codecido, en el crucero; ra. De Real orden lo digo á V. S. para su inteligencia , y -gadier'gobernador de la plazahoras que á todas ha fac…</t>
  </si>
  <si>
    <t>de Rivas, Perez</t>
  </si>
  <si>
    <t>Perez de Rivas</t>
  </si>
  <si>
    <t>…BO LETIN DE COM ERCIO» Cerrada la suscripción se aumentará el precio de la obra. han obtenido cada uno de lo» Diputados presuntos. El Sr. C A B A L L E R O reproduce lo expuesto en contesta­ B O L SA D E M A D R ID . ción al Sr. Perez de Rivas ; y añade, que aunque la comisión l^L Libro de los N iñ os, por D. Francisco Martínez de la cree ju to el dictamen que ha presentado, no tiene sin embargo Cotización del dia 6 á las tres de la tarde* Rosa. Se halla venal en el establecimiento de obras de pri­ empeño eo llevarle adelan…</t>
  </si>
  <si>
    <t>…ultades graves en e*tas discusiones, El Sr, conde de la. N-va* hizo un* aclaración en favor d?l men de si esto e&gt;tá justificado ó n o , no es de un incumbencia; se aplacen para cuantío se halli constituido el Congreso.” Pero Sr. Perez de Rivas. U «ícamente diré que hay reclamaciones, y que hasta tanto que yo pregunto: ¿las ddicultades que ha expuesto S. S. son apli* El Sr. B E N A V ID E S ; Son tan fuertes los argumentos que e»to se ponga en claro , tenemos probabilidad para creer que cables á los cuatro Diputados cuya a…</t>
  </si>
  <si>
    <t>…naria de guerra, El Sr. G U IL L E N Y G R AS dijo que á ser cierto lo que do el tribunal pleno para arreglar las salas, es cuando se cal­ que ó bien dejará de cobrarse, ó si la fuerza de la autoridad acababa de manifestar el Sr. Perez de Rivas se desmentía en cula el numero de jueces que falta, y entonces viendo la nece­ ejecutiva se empeña en realizarla podrá cometer muchos abu&lt;- cierto modo lo que la mayoría de la comisión exponía en su sidad, es cuando se dice qué abogados están vacantes y pueden sos y arbitrariedades. d…</t>
  </si>
  <si>
    <t>de Rive, José Primo</t>
  </si>
  <si>
    <t>José Primo de Rive</t>
  </si>
  <si>
    <t>…emand, conocido ya en toda Europa por un exce­ patibles. lente profesor de medicina, y que á una vasta instrucción 5.° Boleras á ocho. para que se encargue el actual Ministro de Marina , Co­ mercio y Gobernación de Ultramar D. José Primo de Rive­ reúne las cualidades de profundo observador, acaba de dar la 6.° LOS BUTIBAMBAS , sainete divertido. ra del ministerio de Hacienda por no permitir el estado de mayor prueba de su constante aplicación en favor de la h u ­ su salud á D. José Ferraz eocargarse de dicho ministerio…</t>
  </si>
  <si>
    <t>de Rivera, D. José Primo</t>
  </si>
  <si>
    <t>D. José Primo de Rivera</t>
  </si>
  <si>
    <t>…, 1,200. Porreig ó Viver, 1,200. Columna para Cáceres.= D. Pedro Ontiveros. Principado conducen á la plaza de Berga, son las mas practica­ asegurar la comunicación de Balsareny á Caserras, 10 . Iuem Cádiz.zzEl reemplazo del Sr. D. José Primo de Rivera. bles por el E. la de Ripoll, por el S. las de Vich y Manresa, de Caserras á Berga, 13. Para reforzar la columna de la Cerde- Canarias (islas). = D. Antonio de la Rocha y Lugo. y por O. las de Solsona y Cardona. ñ a , 1,500. Para reforzar la columna del Segre, 1,500. Total…</t>
  </si>
  <si>
    <t>de Rivera, José Primo</t>
  </si>
  <si>
    <t>José Primo de Rivera</t>
  </si>
  <si>
    <t>…ortantes que no se creyó términos el actual Ministro de M arina, Comercio y Go­ Bajos en Bruselas. Sabido es que Mr. Falek ha desempeñado su­ conveniente hacer públicos. Estos convenios tienen por objeto: bernación de Ultramar D. José Primo de Rivera = T e n - cesivamente el ministerio de Estado, el de las Colonias, el de 1 .° Determinar la porción de la artillería de la fortaleza de dréido entendido, y lo comunicareis á quien corresponda la Industria, el de Instrucción pública y Bellas artes, y últi­ Ulúa para su c u m p li…</t>
  </si>
  <si>
    <t>de Rivera, Manuel Estevez</t>
  </si>
  <si>
    <t>Manuel Estevez de Rivera</t>
  </si>
  <si>
    <t>…uir mayor ex actitu d , no O liver, D. Gerónimo Diaguez, D. Isidoro Fernandez de A n­ calle ancha de S. Bernardo, señalada con el núm. 3 antiguo perm ite tampoco lo adelantado del tiempo que se extien­ gulo. D. Manuel Aguilar, D. Manuel Estevez de Rivera, Don y 4 I nuevo , de la manz. 449, que se compone toda ella de 5,810 dan órdenes á todos los establecimientos ó corporaciones. Juan José Espinosa, D. Juan José Anguila Mateo Perez, Don pies cuadrados superficiales, vale 478,917 rs. en venta, en ren­ Las que particularm ent…</t>
  </si>
  <si>
    <t>de Robles, José</t>
  </si>
  <si>
    <t>José de Robles</t>
  </si>
  <si>
    <t>…ville de reunirse con su fam ilia, se puso en camino para V. S. para asistir á los exámenes del instituto de educación , que París. Los duques de Orleans y de Nemours, acompañados del con el título de la Divina Pastora dirige D. José de Robles , en Escriben de Bruselas con fecha 1.° de M arzo: duque d'Aumale, salieron el jueves siguiente al encuentro d&lt; el barrio de Jesús M aría, ponen en conocimiento de V. S. que La sesión de ayer de la Cámara de Representantes no hs su hermano; habiéndose avistado el viernes á algunas l…</t>
  </si>
  <si>
    <t>de Roda, D. Simón</t>
  </si>
  <si>
    <t>D. Simón de Roda</t>
  </si>
  <si>
    <t>…e- ro.rzJoié Novillo , Regidor. —Juan Díaz y A n a y a , regidor. =z Tenemos una satisfacción en poder anunciar que cuando han Y . M. Joaquín Lecirgue, regidor.—Mariuel Rafael de V argas, regi­ pasado á felicitar al ilustre Sr. D. Simón de Roda , gefe supe­ El bien general, Señora, es suficieote motivo para que la dor .—SaIvador P lo t, regidor.z:Diego Rodríguez, regidor.—D ie ­ rior político de esta provincia, los gefes y oficiales de la Milicia fiel provincia de Cádiz olvide gustosa sus inmensos sacrificios; go Utrera,…</t>
  </si>
  <si>
    <t>de Rojas, Fraocisco</t>
  </si>
  <si>
    <t>Fraocisco de Rojas</t>
  </si>
  <si>
    <t>…pre­ D. Pedro González Vallejo, arzobispo electo de del Castañar. Comedia en tres actos según la escribió su sión de una sociedad removida y oscilante , mal puede Toledo....................... . . . . . . . . . Logroño. autor D. Fraocisco de Rojas. ofrecer en general el lustre y la fijeza que se requieren Marques viudo de Valladares.......................... . . L u g o . para representarla fielmente. Conde de Ofalia.............................................. Idem. Se hallará á 3 rs. en la librería de Cuesta, frente á…</t>
  </si>
  <si>
    <t>de Rom, Joaquín</t>
  </si>
  <si>
    <t>Joaquín de Rom</t>
  </si>
  <si>
    <t>…de P rieg o , por José Linares C ojayar , en 5. Otra de id ., en la inmediación del P uig del T rull , térm i­ Otra i d ., i d . , i d . , id ., id ., S. A ntonio, por Antonio M u ­ no de Surro ca, del mismo p artid o , por D. Joaquín de Rom á, ñoz R odríguez, en 5. en 5. C astellón 30 d e Ju lio . Otra id ., id ., pecho de las L astras, término de Berja , L u - Otra de id ., compuesta de dos pertenencias, en la inm edia­ piona 2 .a, por Santiago L arío s, en 7. ción del manso Pinté ,en el mismo térm ino, por el propio…</t>
  </si>
  <si>
    <t>de Roma, Tirso Escriben</t>
  </si>
  <si>
    <t>Tirso Escriben de Roma</t>
  </si>
  <si>
    <t>…ías, y cogidas muchas armas, habiendo sido levemente herido por nuestra parte el sargento dora y la Serma. Sra. Infanta Doña María Luisa Fernan­ de la Guardia Lorenzo Ruiz. Dice que se distinguió en este encuentro el capitán D. Tirso Escriben de Roma con fecha 1.° de M ay o : da, continúan en esta corte siii, novedad en su importante Guindulain , alférez de lanceros, y que merecen particular men­ A yer S. M. el Rey de Baviera se presentó en el Vaticano salud. ción el teniente de artillería de marina D. Antonio Lasaga y con…</t>
  </si>
  <si>
    <t>de Rozas, Antonio Sainz</t>
  </si>
  <si>
    <t>Antonio Sainz de Rozas</t>
  </si>
  <si>
    <t>…entimiento que la pro­ vincia del bajo Canadá ha vuelto á verse perturbada por la in ­ ^aí nz R °zas9 n atural y vecino que fue de esta corte, y los asientos que ocupan ordinariam ente cubiertos de señoras h ijo legítim o de D. Antonio Sainz de Rozas , que lo fue del en traje de corte. surrección, y que en el alto Canadá se han hecho incursiones lu g ar de Sangrices en Y iz cay a, y de Doña Ju a n a González, de hostiles por ciertos vandidos, habitantes de los Estados U n i­ Habiendo ocupado el trono S. M . , y ordenado a…</t>
  </si>
  <si>
    <t>de Rozas, Isidro Sainz</t>
  </si>
  <si>
    <t>Isidro Sainz de Rozas</t>
  </si>
  <si>
    <t>…las primeras á 5,905¿; Se estrenarán ocho decoraciones, ejecutadas al intento por los segundos á 1019.585.572 rs. v n ., y los terceros á 4 »856 . el profesor de maquinaria y de pintura D. Francisco Lucí ni. El Sr. tesorero D. Isidro Sainz de Rozas ha presentado su La música ha sido expresamente compuesta por el maestro Don cuenta, comprensiva del citado año de 1858. E 11 ella se contie­ ne la existencia que resultó de la anterior, el producto del re­ partimiento de un octavo por m il, el del un cuarto por razón COLECCIO…</t>
  </si>
  <si>
    <t>de Rusia, Alejandro</t>
  </si>
  <si>
    <t>Alejandro de Rusia</t>
  </si>
  <si>
    <t>…o de 1839.=S. M. la Reina Gobernadora Lóndres 23 de M ayo . se ha servido aprobar esta Instruccion.zzEi Ministro de Ha­ El asunto de la diócesis de N a n cy, que estaba mucho tiem­ cienda, Domingo Ximenez. S. A . I. el Gran Duque Alejandro de Rusia, y el Príncipe po há suspenso , va á tener por fin una solución favorable. El Guillermo Henrique de los Países Bajos, acompañados de sus ministerio ha sido de parecer que no podía prolongarse mas respectivas comitivas, salieron ayer mañana á las cinco en cua­ un estado de cosas…</t>
  </si>
  <si>
    <t>…, y La capilla de Nassau, erigida en 1 5 4 6 , y que desde su su­ sobre todo en Irlanda. Es indudable que presentan grandes d i­ presión á fines del último s ig lo , se habia destinado para alma­ El sábado últim o el gran duque Alejandro de Rusia pasó cén , va á tener un destino mas noble. Este oratorio del palacio ficultades los negocios políticos de los citados paises; pero nc al arsenal de W o lv ic h . S. A . I. iba acompañado del Príncipe de los Nassau y de los gobernadores generales de Jos Paises~B&gt;- puedo concebi…</t>
  </si>
  <si>
    <t>de S, E.</t>
  </si>
  <si>
    <t>E. de S</t>
  </si>
  <si>
    <t>…m inistración p úb lica, obra escrita en francés por Bourbon- Habiendo salido de Zaragoza, según las últim as noticias nueve dias á D. Fernando Iglesias, D. Andrés G utiérrez, Don L e b la n c ,y trad u cid »al castellano por D. E. de S. P .: segunda que tengo de aquella ciudad, porción de prisioneros facciosos Manuel Domínguez, Doña Teresa Romeroso, y D. M anuel edición española, á 10 rs. en rústica. para ser cangeados por igual número de nuestros valientes que M aría de la Orden , endosantes que aparecen ser de un crédito…</t>
  </si>
  <si>
    <t>de S, Estado</t>
  </si>
  <si>
    <t>Estado de S</t>
  </si>
  <si>
    <t>…orden de su corte para d ir ig ir á S. E. el vizconde P a l- altu ra es de 100 á 500 le g u a s, siendo la regular y mas frecuen ­ constituyen el delito. Su prin cip io fundam ental es este: " l a m erston, prim er secretario de Estado de S. M . B. en e l ^ p a r ­ te de 200. ju sticia hum ana no p ued e.castigar sino cuando infiera con c e r-’ lam ento de Negocios extrangeros, una protesta fu n d a d a , no Eu el d ia tenemos nuevas, descripciones de este m etéoro, que tidum bre m oral de los actos exteriores la resolució…</t>
  </si>
  <si>
    <t>de Sabrosa, Piibeira</t>
  </si>
  <si>
    <t>Piibeira de Sabrosa</t>
  </si>
  <si>
    <t>…la In ­ rillas son debidamente apreciados por S. M. Palacio de las N e­ D. Juan Nepomuceno Blasco, compuesta de ocho discípulos, glaterra y Francia tienen establecidas desde Europa á Bombay cesidades 5 de Julio de 1859.—Barón de Piibeira de Sabrosa. manifestó los buenos conocimientos generales que tiene de esta por el istmo de Suez, y deseoso de hacer extensivo tan benéfi­ Secretaría general.rrPrirnera sección. ciencia, y expuso á satisfacción de los asistentes las teorías de co sistema á estas nuestras islas, daspues de h…</t>
  </si>
  <si>
    <t>de Sabrosa, Ribeira</t>
  </si>
  <si>
    <t>Ribeira de Sabrosa</t>
  </si>
  <si>
    <t>…as en el puerto de Ancona, y sa­ Cuartel general á 1.° de Julio de l859.=:lImo. y Excmo. se­ licencia absoluta por quien corresp on d a , com o vcom pren- lieron para el Norte sin esperar el combate. Cuando desembar­ ñor barón de Ribeira de Sabrosa.=:Sr. da Costa Pesoa , brigadier d id o en el beneficio de la presenté declaración, y que des­ caron en H uacho, se les reunieron algunos descontentos y se co­ graduado comandante de la octava división militar. de luego sea reclam ádo y entregado para servir su plaza locaron entre…</t>
  </si>
  <si>
    <t>…cuidará la ad­ la Guerra 5 de Julio de 1859 irdlmo. y Excmo. Sr. Julio Gó­ toda clase de ejemplos, demostrando ademas en la pizarra sus ministración de correos de Marsella, conforme á las prevencio­ mez de Silva Sánchez, barón de Ribeira de Sabrosa. conocimientos en la partida doble. nes que se le hagan por el citado cónsul francés, y bajo el cré­ * (Diario do Governo.) En las clases de idiomas no fue menos el placer de la comi­ dito que al intento he de abrirle en una de las plazas de comer­ sión al ver el adelanto de los…</t>
  </si>
  <si>
    <t>…M a y °- alarmantes \D^ meS dederecibido « o brado entre la Rusia y la Puerta» Ib r a h im , victorioso , se ve libres de un azote tan asolador. Palacio de las Necesidades á 1 2 la Siriael cvo rdel de Ju n io de 1859.—Barón de Ribeira de Sabrosa. E g ip t o , las cuales alcanzan h a íta el 15 de M ayo. El seraskier fuertemente contenido por una tan grave consideración. En el H a fiz -b a ja , contando con una sublevación general en S iria ha dia no está armado para co nquistar, sino únicamente para con­ {Diario d o G o ve…</t>
  </si>
  <si>
    <t>…podido muy Sánchez. Tendréislo entendido &amp;c. Palacio de las Necesidades á al Parlamento le pondrán en situación de pronunciarse con co­ bien tener la bondad de decirme que deseaba tener mi piloto 18 de Abril de 1859.—Al barón de Ribeira de Sabrosa. nocimiento de causa sobre el sistema adoptado con respecto á cuando pasé cerca de la corbeta; á lo que me contestó el oficial las colonias. Si era á la política exterior adonde se dirigían los que no habia hecho la señal el navio almirante hasta después Fie tenido á bien nombrar…</t>
  </si>
  <si>
    <t>de Sabrosa, Ribera</t>
  </si>
  <si>
    <t>Ribera de Sabrosa</t>
  </si>
  <si>
    <t>Atcndíc -do á lo &lt;méritos y cualidades que concurren en el modo la adm in istració n, cómo no ha de obtener la aprob.cion p rin cipado, y auditor de guerra honorario, por un interno. barón de Ribera de Sabrosa, que por mi decreto de este día ha general. D. Vicente Pont, por idem. .sido nominado M inistro y Secretario de Estado de la G uerra, Por lo que dejamos expuesto se demuestra claramente que D. José E strad a, por idern. y encargado interinamente de las secretarías de Negocios extra…</t>
  </si>
  <si>
    <t>de Sabroza, Ribeira</t>
  </si>
  <si>
    <t>Ribeira de Sabroza</t>
  </si>
  <si>
    <t>…alto en Aintab como es y Secretarios de Estado asi lo tendrán entendido y lo ejecuta­ tos del emir, que traía de extender su poder aun sobre las tri­ probable. Las Potencias están interesadas en que las cosas no rán: el barón de Ribeira de Sabroza, del mi Consejo y Presi- bus de quienes no era conocido pocos años há. dente del de M inistros, leerá este decreto al principiarse la se­ El mariscal trata de abatir esa supremacía que quiere arro­ vayan mas lejos. sión , remitiéndose copia de ella á una y otra Cámara para que ga…</t>
  </si>
  <si>
    <t>de Sagredo, José Gil</t>
  </si>
  <si>
    <t>José Gil de Sagredo</t>
  </si>
  <si>
    <t>…recibir digna­ que en sus muchas representaciones ha merecido del público La exportación d ism in uirá, al paso que la importación se man­ mente los santos Sacramentos de la Penitencia y Eucaristía. Traducido nuevamente por D. José Gil de Sagredo, arcipreste unánimes y repetidos aplausos. tendrá á una misma altura. En breve el comercio de la R usia A continuación se tocará á completa orquesta la gran sin­ con el Asia deberá ceñirse á sus propios artículos, por los cua­ de la santa iglesia de Alcaráz: sexta edición, ado…</t>
  </si>
  <si>
    <t>de Sajo, Bernardo</t>
  </si>
  <si>
    <t>Bernardo de Sajo</t>
  </si>
  <si>
    <t>…uir para un objeto tan ú til y nece­ M r. T h ie rs, M inistro de Negocios extrangeros. modidades que les causa el mal tiempo. sario , no puede haber motivo razonable que impida el M r. G uizot, M inistro de lo Interior. El duque Bernardo de Sajo n ia-W eiro ar se halla en este h acerlo ; sin perjuicio de qué si' algunas tuviesen escasez M r. V ille m a in , M inistro de Instrucción7pública. m om ento, según rae aseguran , en Eyndhoven con el hijo ma­ ..M r . Odilon B arro t,,M in istro de Ju stic ia y Presidente del yo r ú…</t>
  </si>
  <si>
    <t>de Salas, D. Jaime María</t>
  </si>
  <si>
    <t>D. Jaime María de Salas</t>
  </si>
  <si>
    <t>…y condi­ la Real audiencia de Madrid : el Sr. D. José María Sierra , que su obra de destrucción una significación completa haya tenido ciones, se encuentran, se hablan, y parecen unirse los unos á lo ha sido de la Coruña: el Sr. D. Jaime María de Salas, deca­ el pensamiento de adjudicarse por medio de la mentira la in­ los otros por la intimidad de una comunicación secreta. R e ú - no de la de P uerto-R ico: el Ilmo. Sr. D. Manuel Remon Zarco fluencia de esas situaciones conocidas, cuya presencia es una nense luego en los a…</t>
  </si>
  <si>
    <t>de Sam, Manuel Francisco</t>
  </si>
  <si>
    <t>Manuel Francisco de Sam</t>
  </si>
  <si>
    <t>…asta el dia 22 in clu siv e , de A solicitud de los síndicos de la testamentaría concursada de y el teatro además no es bastante fuerte para co rregir los e x ­ nueve á doce por las m añ an as, en la habitación del profesor, D. Manuel Francisco de Sam pelayo , y en virtud de pro­ cesos de las revueltas c iv ile s : el segundo lo han tratado su ­ cuarto 2 .° de la misma casa, en la c u a l , y en las librerías de videncia del 8 r. D. J u a n José Rodríguez Valdeosera, magis­ periormente en diferente género Ile g n ard y D…</t>
  </si>
  <si>
    <t>de Samos, Antonio Castro</t>
  </si>
  <si>
    <t>Antonio Castro de Samos</t>
  </si>
  <si>
    <t>…ciudadanos y como hombres libres. Ayer se presentaron en Sáfria para disfrutar de la gracia Descuento de letras , á 6 por 100 al año. Se dedica á la nación , ó sea lo que antes se Uamó la plebe, de indulto el titulado espitan D. Antonio Castro de Samos, para la que exclusivamente se ha escrito. * el subteniente D. Antonio Agujar y 15 individuos de tropa. Por un ciudadano, liberal verdadero, sin color ni partido Eo Esqueiron lo efectuaron igualmente Domingo Losada, mas que la patria y la verdad. Dos tomos en 8 .°, 16 rs. rú…</t>
  </si>
  <si>
    <t>de Samovilla, Juan José</t>
  </si>
  <si>
    <t>Juan José de Samovilla</t>
  </si>
  <si>
    <t>…an libro á 4 Por 100 , 00. Igualmente se c ita , llama y emplaza á D. José Latorre, Don práctico. Demuestra el daño que hacen á las costumbres la in­ Títulos al portador del 4 Por 100, 22-£: 22 J á 50 d. f. o' Diego Paredes y D. Juan José de Samovilla, para que en el constancia , la hipocresía , el tiempo mal empleado, la libertad vol. con cupones. término de nueve dias , que por tercero y último se les señala, en el lenguage, la falta de sufrimiento &amp; c .; y á fin de in d u ­ Vales Reales no consolidados, 00. se presenten…</t>
  </si>
  <si>
    <t>de Sampelayo, D. Manuel Francisco</t>
  </si>
  <si>
    <t>D. Manuel Francisco de Sampelayo</t>
  </si>
  <si>
    <t>…os. Sres. Raveneau, Soigni y Gousillon, de Paris, tomó posesión de A solicitud de los síndicos de la testamentaría concursada del las dos minas de carbón siguientes: 1 ................... d e . . 52000 ps. f s . . . . 52000 Sr. D. Manuel Francisco de Sampelayo, y en virtud de Los Perales, en Riscallena, cuatro pertenencias ; la Presa, 1................... d e ......15000..................... 15000 providencia del Sr. D. Juan José Rodríguez Valdeosera , caba­ en Riscallena, cuatro pertenencias, ambas en términos de T u - 1…</t>
  </si>
  <si>
    <t>de San, José</t>
  </si>
  <si>
    <t>José de San</t>
  </si>
  <si>
    <t>…es lanch as q u e se portante salud. 27 de Ju lio último. Tendréislo entendido, y dispondréis h a lla b a n a rm a d a s en Bermeo. su cumplimiento.=Rubricado de la Real mano.=En Pa­ lacio á 13 de Setiembre de 1 8 3 9 . = A D. José de San R E A L E S DECRETOS. Millan. MINISTERIO DE 1 A GOBERNACION DE LA PEN IN SULA. En nom bre de mi augusta Hija la Reina Doña Isa­ bel n vengo en m andar se encargue de la dirección ge­ En atención á la economía y esmero con que ha pro­ D ip u t a c ió n p ro v in c ial de C iu d a d - R…</t>
  </si>
  <si>
    <t>…los Sres. D. Cesáreo M aría Saenz , D. Diego López Balleste­ la primera necesidad de los pueblos; declarando, para que sirva aumenta la am argura que de todas partes nos aflige; y eso es ros , marques de Y iü a g a r c í a , D. José de San M ü la a , D. A u - de gobierno, que la energía ha de ser el carácter distin tivo de lo que mas bien pide lágrimas que palabras. Lo confesamos: al reliano de Beruete , D. José Crozat, D. Antonio del Alcázar, mi interino mando. Barcelona 2 9 de Noviembre de 1859.= José pronto no podía…</t>
  </si>
  <si>
    <t>…da, s e ­ para su cumplimiento. Rubricado de la Real m ano.=En empezada bajo tan lisonjeros auspicios, y qué e l acento con­ guirán bien pronto útiles y meditadas reformas en todos los Palacio á Í8 de Octubre de 1 8 3 9 .= A D. José de San solador de paz y lib er tad resonará en b re v e por todos los ramos de la administración p ú b l i c a ; se obtendrán las m e j o ­ Millan. ángulos de la monarquía. ras que son de esperar de un G obierno tan ilustrado y celoso T ie r n a y d ulce ha sido la encantadora escena de V e r…</t>
  </si>
  <si>
    <t>de San, Rosé</t>
  </si>
  <si>
    <t>Rosé de San</t>
  </si>
  <si>
    <t>…la revolución y arrojaron á los fredooios á es­ mas de una bandera al parecer de la misma nación , se encuen­ EL BUEN TONO, tablecer su Fredonia en otra cualquier parte fuera de la Confe­ tran un conocimiento dado por el capitán Rosé de San L unai- deración. La religión católica romana es la religión de estado re para conducir desde San Malo en su buque llamado la Barth P E R IO D IC O D E M O D A S , A R T E S Y OFICIOS. en Tejas; y antiguamente, e^to es, al principio de la indepen­ á Burdeos 51120 quilogramos de avena;…</t>
  </si>
  <si>
    <t>de Sancha, Justo</t>
  </si>
  <si>
    <t>Justo de Sancha</t>
  </si>
  <si>
    <t>…aisladamente un asunto juez de primera instancia en esta ca p ita l, refrendada del E l apostolado, colección de 28 estampas con la Sacra Fa­ cuya dilucidación completa debe form ar el mas im portante ca­ escribano de número D. Justo de Sancha, se cita , llama y em­ milia , los evangelistas y los doctores de la iglesia. Cada estam­ pítulo de la historia literaria de España , y de la general de plaza á todos los que se crean con derecho á los bienes queda­ pa 4 rs. la civizalacion europea. Pero há mucho tiempo esperamos en…</t>
  </si>
  <si>
    <t>de Santa, Antonio López</t>
  </si>
  <si>
    <t>Antonio López de Santa</t>
  </si>
  <si>
    <t>…tar físicamen­ ocultaba sin embargo que la nueva forma que tornaban las di­ PARTE OFICIAL. te impedido el del consejo, se encargue del Gobierno supremo ferencias coa Francia podría ser precursora de un rompimiento el general D. Antonio López de Santa A n a .” Dado en Méjico inm ediato; pero habiéndose anunciado el contralmirante como á 28 de Enero de 1859.—Melchor M u z q u iz , presidente.—Carlos negociador de paz en sus primeras comunicaciones al Gobierno; S. M. l a R e i n a , s u augusta Madre la R e i n a G o b e r…</t>
  </si>
  <si>
    <t>de Santana.’, Antonio López</t>
  </si>
  <si>
    <t>Antonio López de Santana.’</t>
  </si>
  <si>
    <t>…jos que han ejecutado. físicamente impedido el del Consejo, se encargue del Gobierno mino á las ansiedades del país, y constituir, usando de su pre- &lt;QS?Í0S S uarde á V - E* «nuchos años. Jaén 8 de M ayo de supremo el general D. Antonio López de Santana.’* ro gativ a, un ministerio efectivo y no provisional. 1839.= Excmo. Sr. = Francisco Muñoz. = Excmo. Sr. Secretario Dado en Méjico á 25 de Enero de l859.:rM eIchor Muzquiz, Desea igualmente que la Cámara co-isigne en esta petición del Despacho de la Gobernación de la Peníns…</t>
  </si>
  <si>
    <t>de Santelices, José Angel</t>
  </si>
  <si>
    <t>José Angel de Santelices</t>
  </si>
  <si>
    <t>…efa Blasa Santelices y Huyarra, Noticia histórica sobre los progresos que hizo en Espa­ gallón, por D. Joaquín Marco que no sabe escribir, y é su ruego, Rafael U rries, Manuel C autín, Eusebio Sebastian. hijas y herederas de D. José Angel de Santelices, para que en ña e-1 arte de navegar, 2 rs. Resumen de las observaciones de Mr. Fleurieu sobre el término de 15 dias contados desde la fecha del presente Leída en público por el Sr. presidente de los jueces de hecho, cio comparezcan ante dicho señor juez y citada escribaní…</t>
  </si>
  <si>
    <t>de Santibañez, D. Manuel Gil</t>
  </si>
  <si>
    <t>D. Manuel Gil de Santibañez</t>
  </si>
  <si>
    <t>…artas de pago; y habiéndose procedido á la cobranza, tiene Secretario.=Sr. D. Luis Vidal. sa; copia y adorna eseudos de armas y árboles genealógicos que el gusto la dirección de manifestar que se verificó completa­ Archivero.=Sr. D. Manuel Gil de Santibañez. se le confien, seguros de hallar en su trabajo la mayor per­ mente sin necesidad de valerse de las medidas que expresa el fección y equidad posible ; mas para satisfacer la curiosidad de artículo 20 del reglamento , si bien empleó con los que no con­ los que no conozcan…</t>
  </si>
  <si>
    <t>de Saú, José</t>
  </si>
  <si>
    <t>José de Saú</t>
  </si>
  <si>
    <t>…dose de ellos las competentes noticias; sien­ do de la d ip u ta c ió n p r o v in c ia l , M ateo C a n d a l i s a , secretario. su cuinplimiento.=Está rubricado de la Real m ano.=En Palacio á 17 de Diciembre de 1 8 3 9 .= A D. José de Saú do al propio tiempo la voluntad dé S. M. que V. S. exci­ Millan. te el celo de la diputación para que cumpla con el de­ ber que la impone el art. 108 de la expresada ley. De S e ñ o ra : El a y u n ta m ie n to c onstitucional de vue stra v illa de Real órden lo digo á V. S. para los e…</t>
  </si>
  <si>
    <t>de Se, Consejo</t>
  </si>
  <si>
    <t>Consejo de Se</t>
  </si>
  <si>
    <t>…ado ba oido con la mayor complacencia la comuni­ párrafos del proyecto de contestación al discurso de la Corona. se ofrece presentar entre otros proyectos de ley los de respon­ cación que se ha servido leer el Sr. Presidente del Consejo de Se leyó el art 7.° sabilidad é inamovilidad de los jueces y arreglo general de es­ M inistros, por la cual se manifiesta el completo triunfo del I El Sr. R A M O N E T hizo algunas observaciones al párrafo cribanos , y en la contestación que corresponde á este párrafo trono. acerca de l…</t>
  </si>
  <si>
    <t>de Se, S. M. y</t>
  </si>
  <si>
    <t>S. M. y de Se</t>
  </si>
  <si>
    <t>N.° 1591. LUNES 25 DE MARZO DE 1839. DIEZ CUARTOS. S. M. la R e i n a , s u augusta Madre la R e i n a G o b e r n a ­ instancia de esta corte, refrendada del escribano de S. M. y de Se asegura haberse dirigido á la Dieta germánica una pro­ su juzgado D. Manuel Fernandez de Pazos, se hace saber á to­ testa firmada por 29 individuos. Se habla hoy de una próxima d o r a y la Serma. Sra. Infanta Doña María Luisa Fernan­ das las personas que hayan empeñado desde Julio de…</t>
  </si>
  <si>
    <t>de Sil, Julio Gómez</t>
  </si>
  <si>
    <t>Julio Gómez de Sil</t>
  </si>
  <si>
    <t>…estoy expresamente secretaría de M arina y de Ultram ar al brigadier graduado ba­ Escriben de Leipúck (Sajonia ) el 10 de Agosto: encargado por el Rey , mi aino, de manifestar al Gobierno rón de Ribera de Sabrosa. = El consejero Julio Gómez de Sil­ La ciudad de W ciuheioi, situada en e* gran ducado de británico el profundo pesar que experimeuta M . por la ex­ va Sec.</t>
  </si>
  <si>
    <t>de Silva, Diego</t>
  </si>
  <si>
    <t>Diego de Silva</t>
  </si>
  <si>
    <t>…interesantes escenas de Una de ellas es la sigu ien te: si ha muerto alguien de la fam ilia. nuestro teatro. En el segundo acto el general conde de F u en tes, que ve al Dando luz Jacinta al dia , Tu honor ha m uerto, maese D. Diego de Silva tratando de amores con una aldeana, preso con su mano hermosa en una cesta curiosa le responde uno de ellos, y le cuenta como un hombre desco­ le reprende asi: Si a q u i, donde estáis temblando un pajarillo traia. nocido entra todas las noches en el jardin de su Casa , donde le la…</t>
  </si>
  <si>
    <t>de Silva, José López</t>
  </si>
  <si>
    <t>José López de Silva</t>
  </si>
  <si>
    <t>…inta de 405 hombres por el ayuntamiento de la villa de Alhendin por mano de Ma­ ue con arreglo á la ley debían componer el jurado; y habiéu* ose realizado con las formalidades que la misma previene, á los sugetos siguientes: D. José López de Silva, D. José con que cada una de ellas debe contribuir para llenar teligencia que trascurrido dicho término sin cumplir coa este La serna, D. José Alvarez Crespo, D. José Sagiista, este servicio, ó encomendar al éxito de un sorteo el seña­ llamamiento, se le conducirá á esta capita…</t>
  </si>
  <si>
    <t>de Simón, Antonio Llóreos</t>
  </si>
  <si>
    <t>Antonio Llóreos de Simón</t>
  </si>
  <si>
    <t>…niza­ todo procedimiento contra su persona. i licia nacional de Jerez al estado ea que se hallaba anterior­ ción de varios escuadrones de caballería. 220. Los curtidores y zurradores de la villa de O ío t, en so­ mente. 178. D. Antonio Llóreos de Simón, guardaalmacen ce­ licitud de que no se permita la introducción de curtidos del 259. El ayuntamiento de A lm agro, solicitando se le re!ev&lt; sante de provisiones del primer ejército, pidiendo su repo­ extrarjgero. del pago de 125 libras de pólvora distribuidas á los Naciona­…</t>
  </si>
  <si>
    <t>de Solís, Isabel</t>
  </si>
  <si>
    <t>Isabel de Solís</t>
  </si>
  <si>
    <t>…savos y i por 100 con cupones. guientes obras del mismo autor: el cielo hiperbolizo Inscripciones en el gran libro á 4 Por 100, 00. Espíritu del sigTo, 4 tomos. amagos de su luz clara Títulos al portador del 4 por 100, 00. Doña Isabel de Solís, Reina de Granada, primera y segun­ en vuestros de mi amor ojos; Vales Reales no consolidados, 00. da parte, dos tomos. animado sol el uno , Deuda negociable de 5 por 100 á papel, 00. Hernán Perez del Pulgar, el de las hazañas, un tomo. norte ti otro, á quien Nepluno Idem sin inte…</t>
  </si>
  <si>
    <t>…bajo diferentes aspectos. á las cuerdas nerviosas descritas arriba, la otra prominencia &lt; géneros de novela posible ; la histórica , y á este género " L a ignorancia de la naturaleza de la acción eléctrica, d i­ pertenece Doña Isabel de Solís, y la de costumbres. Esta boton debe estar firmemente comprimida contra el costado d( ce Mr. Phillip s, ha inducido a los escritoresá expresar su sor- la persona, inmediatamente bajo el cartílago de la costilla sé­ ultima es poco menos que desconocida entre nosotros: á presa de q…</t>
  </si>
  <si>
    <t>de Soria, León</t>
  </si>
  <si>
    <t>León de Soria</t>
  </si>
  <si>
    <t>…cediese á lo que dicho señor pretendía. efectos robados. Hechas algu nas rectificaciones por los Sres. M o ure y M u r o , ción de esta le y , fijando á cada pueblo el total que deba Que el porta-estan darte del 2.° de línea D. León de Soria se preguntó si la exposición pasaría á la com isió n, y se resol­ correspondería, con proporción al señalado por la ley ya alcanzó el d ia 13 en las inmediaciones de Picón á tres faccio­ vió por la afirmativa. citada de 30 de Junio. Se dio cuenta de un oficio del Sr. Secretario del De…</t>
  </si>
  <si>
    <t>de Soria, Manuel</t>
  </si>
  <si>
    <t>Manuel de Soria</t>
  </si>
  <si>
    <t>…gio de parcialidad; porque examinada la cosa de esta D. Antonio Lasauca.......................................... Gerona. Cuenca. rá siendo arreglada á instrucción. fuerte, es preciso emplear los medios, ya de la pasión, ya D. Manuel de Soria....................................... Granada. del ridículo, que mezclados á la efervescencia general de D. Agustín Diaz Camacho...................................Huelva. los mismos, ejercen casi siempre no sé qué poder magné­ D. Mariano Ricafort...................................…</t>
  </si>
  <si>
    <t>de Soroa, Santiago</t>
  </si>
  <si>
    <t>Santiago de Soroa</t>
  </si>
  <si>
    <t>…amente á cada pueblo en pedición, y muy eficazmente para que se sirva hacerlo á S. M. dase particularmente al teniente de navio D. Calixto Paredes, pago de sus contribuciones ordinarias el importe de los al capitán de fragata D. Santiago de Soroa , comandante del comandante del Soberano, y toda la tripulación; al primero recibos liquidados de suministros hechos á las tropas, que referido bloqueo , al secretario de esta capitanía general el coro- porque con sus consejos y actividad me ha sido muy útil para le hayan sobrado…</t>
  </si>
  <si>
    <t>de Soto, Ignacio Perez</t>
  </si>
  <si>
    <t>Ignacio Perez de Soto</t>
  </si>
  <si>
    <t>…ades que la misma previene, tocó á los sugetos ben observarse para la distribución de los premios milita­ siguientes: D . Cosme de Mora, D. Francisco de Paula García, res, todos los documentos que para la calificación de los D. Ignacio Perez de Soto, Exctno. Sr. conde de Sástago, Don méritos sé juzgue conveniente que se tengan presentes, Mariano A stiz, D. Angel Polo, D. Juan Escorial y G il, Don RUSIA E ING LATERRA . obrarán en las capitanías generales de las provincias en José López y D . Andrés Fernandez, quienes por…</t>
  </si>
  <si>
    <t>de Soto, Serafín María</t>
  </si>
  <si>
    <t>Serafín María de Soto</t>
  </si>
  <si>
    <t>…sé Carratalá , vengo en nombrarle ca­ nios anteriores que ambas partes admitieron. Tengo la satisfac­ pitán general de Andalucía en reemplazo del mariscal de ción de informaros de que el Gobierno holandés ha m anifestado campo D. Serafín María de Soto, conde de Clonard, á y a á la Conferencia que acepta dicho tra ta d o , y confio que quien tengo á bien declarar el cuartel para el punto del GRAN BRETAÑA. una declaración ig u al por parte del Gobierno belga pondrá fin distrito que solicite. Tendréislo entendido y lo comunica­…</t>
  </si>
  <si>
    <t>de Sotomayor, D. Ignacio</t>
  </si>
  <si>
    <t>D. Ignacio de Sotomayor</t>
  </si>
  <si>
    <t>…annnrio. piso bajo del tribunal territorial, local que antes fue repeso de corte. CRUZ. Hoy no hay función. Intendencia de la provincia de Madrid. p O R el presente se citan , llaman y emplazan á todos los que El Excmo. Sr. D. Ignacio de Sotomayor, Nin , Masones de se crean con derecho á participar de los bienes del patro­ Limia, duque de Sotomayor , grande de España , marques de los nato fundado en esta ciudad por D. Francisco Camacho de v</t>
  </si>
  <si>
    <t>de Sou, Juan Pinto</t>
  </si>
  <si>
    <t>Juan Pinto de Sou</t>
  </si>
  <si>
    <t>…urco de Orfa. Desde aquí obser­ O urique ; la segunda columna de operaciones , al mando del estas masas de montecillos. A mi entender, la mas alta podrá te­ va ib.ahirn a cualquier cuerpo de ejército que quiera atravesar capitán Juan Pinto de Sou¿a Montenegro, de cazadores del 4 .0, ner una elevación de 4OO pies sobre la superficie del m a r .” el la u r o por LSo.tao (camino de Sivas y de K aisarieh ), y al fue á pernoctar á Sellir j y la tercera columna pernoctó en el Otra carta añade á estos singulares detalles dados…</t>
  </si>
  <si>
    <t>de Souto, Sebastian</t>
  </si>
  <si>
    <t>Sebastian de Souto</t>
  </si>
  <si>
    <t>…los demas 249. D. Manuel de Leza, solicitándose le declare exento de de guerra sobre consumos. licenciados del ejército que se hallan sirviendo en la Milicia 1 quinta de 403 hombres, sancionada por S. M. en 27 d e F e - 168. D. Sebastian de Souto , confesor que fue del semina­ nacional, solicitando se les exima de este servicio. rero último, á su hijo Joaquin. rio de Santiago, condenado á cuatro años deservicio en uno 211. Varios vecinos de Cádiz, quejándose de los perjuicios I 250. D. José Menchaca y D. Joaquin Fernandez…</t>
  </si>
  <si>
    <t>de Souza, Miguel Apolinario Fernandez</t>
  </si>
  <si>
    <t>Miguel Apolinario Fernandez de Souza</t>
  </si>
  <si>
    <t>…CION DE LA PENÍNSULA. debieron salir el día anterior para la venta de Elizalds, en la ciras y de su comercio , por sí y á nombre del teniente corone! que deben acuartelarse , no pudieron efectuarlo á causa de ha­ de ejército D. Miguel Apolinario Fernandez de Souza , natu­ Direccion general de presidios del reino. = Excmo. Sr.=En gadober recibido aquel gefe político un oficio del ingeniero encar­ ra! de Córdoba, en el dia 26 de Marzo registró una mir.a de virtud de lo dispuesto en Real orden que se sirvió Y. E. comu­ cio…</t>
  </si>
  <si>
    <t>de StrogonoíF, Alexis</t>
  </si>
  <si>
    <t>Alexis de StrogonoíF</t>
  </si>
  <si>
    <t>…del conde de OrloíF y de lord Torrington , ch am ­ cho gusto en consideración la declaración que sobre este p arti­ belán de S. M . , llegó á las once, y ^ u e recibido por M M . de cular nos fuese presentada. Kisselef, el conde Alexis de StrogonoíF, el conde Carlos Pozzo V ista la importancia de este asu n to , y sabiendo cuán equi­ di Borgo y M r. de Berg. SS. A A . RR. el Duque y la D uque­ E xtracto d e la sesión d e la Cámara d e Diputados d e l dia vocados están ciertos colegios electorales acerca de nuestras i n ­ s…</t>
  </si>
  <si>
    <t>de Taboada, Felipe Gil</t>
  </si>
  <si>
    <t>Felipe Gil de Taboada</t>
  </si>
  <si>
    <t>…................... 15 1 85 5 ......................... 58 Cano, Fr. Melchor Cano , el P. Alfonso Salm eró n, D. Bernar­ 1 8 1 7 ........................ 19 1 8 5 4 ............... 24 BOLETIN DE COM ERCIO do de V alb u e n a, D. Felipe Gil de Taboada. 181 8 __________ 15 1 85 5 ......................... 19 19. D. Diego de A lav a y B eau m on t, el conde de Gondo- mar , Pedro de Rivadeneira , el obispo de Orense, el conde de B O L SA DE M A D R I D . Campomanes, el conde de Floridablanca. 49 81 Cada cuaderno de seis re…</t>
  </si>
  <si>
    <t>de Taboada, José Leciares</t>
  </si>
  <si>
    <t>José Leciares de Taboada</t>
  </si>
  <si>
    <t>…abandonadas en esta ins­ tres noches, la asistencia de la Milicia nacional y de una par­ pección en todo el mes próximo pasado. tida del regimiento caballería de la A lbuera, 5 .° de ligeros, PRESIDENCIA DEL SEÑOR CALATRAVA. D. José Leciares de Taboada , teniente coronel retirado en sin que haya ocurrido la menor disenison , á pesar de la n u ­ 5at» Roque, vecino de Casares, en el dia 27 de Abril del cor- merosa concurrencia de les vecinos de dicho pueblo y de ios Sesión del dia 9 de Octubre. úente año registró un criade…</t>
  </si>
  <si>
    <t>de Taboada, José Linares</t>
  </si>
  <si>
    <t>José Linares de Taboada</t>
  </si>
  <si>
    <t>…souas se Una consideraciou de la que el autor, persona de luces y videncia del siguiente dia 22. ha triplicado;el de las cartas no se ha duplicado, y sin embargo de gran erudición, no ha parecido ocuparse, es la siguiente: el D. José Linares de Taboada, natural de la villa de Casa­ la conducción de una carta es mas fácil que la de una persona. desenvolvimiento intelectual y moral qqe resultaría de un siste­ res, teniente coronel retirado en la ciudad de San Roque, en En 1836 el número de cartas conducidas por el correo as­…</t>
  </si>
  <si>
    <t>de Tapia, Eugenio</t>
  </si>
  <si>
    <t>Eugenio de Tapia</t>
  </si>
  <si>
    <t>…res años, y la cantidad menor admisible en cada uno de 500 Los Cortesanos y la Revolución. rs. vn. Quien quisiere hacer postura acuda á la expresada direc­ El bergantín goleta correo de los marítimos de Novela original, por D. Eugenio de Tapia.= Juguetes saldrá del puerto de Cádiz eí dia 4 del próximo mes de Julio, cal , donde la Habana ción por la escribanía principal del ramo, sita en el. mismo lo­ satíricos eu prosa y verso por el mi*mo autor. estarán de manifiesto el arancel y pliego de condi­ con la correspondencia…</t>
  </si>
  <si>
    <t>…y la Revolución. (í) principio menos estéril y reducido. Dos id. de 16 arrobas en 96 rs. ; Excusado nos parece detenernos á elogiar el desempe­ Y finalmente , tres id. como de cinco arrobas cada una , en Novela original por D. Eugenio de Tapia .^Ju g u etes ño de ¿os Cortesanos y la Revolución, porque hace m u­ 60 reales. satíricos en prosa y verso por ei miamo autor. chos años que el público ha hecho justicia á la pureza de Quien quisiera hacer postura á dichas fincas y tinajas jun­ Acaba do ver la luz publica el segund…</t>
  </si>
  <si>
    <t>de Taranco, D. Manuel Ortiz</t>
  </si>
  <si>
    <t>D. Manuel Ortiz de Taranco</t>
  </si>
  <si>
    <t>…cias y de las ic a , tiene la de 17 de J u lio , y en la cabeza la del 50. ¿C u ál ida muchos años. Madrid í 6 de Setiembre de l859.r:Palafox) artes, y que el nombre de su autor será tan duradero como ellas uque de Zaragoza.^Sr. D. Manuel Ortiz de Taranco , inteu- mismas. Mucho consiguió Porta al descubrir la cámara oscura, de estas es la verdadera? . Se incluyen algunas Reales órdenes que, no siendo de inte­ ente de esta provincia. pues con paso tan gigantesco en la óptica, y al ver aquellas mi­ rés general, solo serviría…</t>
  </si>
  <si>
    <t>de Te, Diez</t>
  </si>
  <si>
    <t>Diez de Te</t>
  </si>
  <si>
    <t>…edido la palabra en contra han convenido en dar su voto at coude de Toreno ha hecho igual pretensión, y se le ha recono­ aqui mismo cuando subió á esa tribuna para reclamar contra proyecto convencidos de la necesidad: que el Sr. Diez de Te— cido su títu lo ; pero ha sido después de haberlo él solicitado, un papel en que se suponía que el Sr. preopinante calumniaba jeda , llevado de su celo, se ha extendido en una porción de y después de una declaración solemne de un tribunal: de con­ al conde de Toreno: si d irig í mis ojo…</t>
  </si>
  <si>
    <t>de Teieda, Diez</t>
  </si>
  <si>
    <t>Diez de Teieda</t>
  </si>
  <si>
    <t>…ición del Sr. Senador Caam año P a rd o , habia nom ­ y estoy conforme en aprobar los dem as; pero en el 5 .° tengo nasen en los pueblos de Lim pias y A m p uero , donde permanez­ brado Presidente al Sr. Egea y secretario al Sr. Diez de Teieda. que hacer algun as aclaraciones. El verdadero fundamento de co hoy, obligado por el regio temporal que con m ayor furia El Sr. P R E S ID E N T E : Y a á ju ra r el Sr. m arques de V a l - las observaciones que tengo que hacer contra este artículo le iré continúa , y el que ha priva…</t>
  </si>
  <si>
    <t>de Tejada, Francisco Diez</t>
  </si>
  <si>
    <t>Francisco Diez de Tejada</t>
  </si>
  <si>
    <t>…ideren El destacamento de Malvecinos persiguió otro grupo de re­ con derecho á los bienes quedados por su fin y muerte intesta­ Ó LOS INCENDIARIOS DE PARIS. beldes, matándoles un caballo, é hiriendo gravemente á un re­ da de D. Francisco Diez de Tejada , ayudante segundo que fue NOTA. Se está ensayando, para ejecutarse á la mayor belde. de la brigada de artillería á caballo de la Guardia Real, acaeci­ También se ha presentado á indulto con su caballo el fac­ da en el mes de Agosto del año pasado de 1856 en la acción de b…</t>
  </si>
  <si>
    <t>de Tejeda, Diez</t>
  </si>
  <si>
    <t>Diez de Tejeda</t>
  </si>
  <si>
    <t>…el saleo por espacio 5 maria habia nombrado por su Presidente al Sr. Tarancon, y solo haré una pequeña observación sobre uns cláusula de este de a’gun tiempo, que no se dej iba entender lo que decia el se­ por Secretario al Sr. Diez de Tejeda. mismo párrafo, sometiéndola enteramente á la superior ilustra­ ñor Presidente, el cual en un momento de calma dijo: Procedicndose al orden del dia, continuó la discusión por ción de los señores de la comisión. En el discurso de la corona El Senado ba oido con la mayor complacencia…</t>
  </si>
  <si>
    <t>DE TEJEDA, DIEZ</t>
  </si>
  <si>
    <t>DIEZ DE TEJEDA</t>
  </si>
  <si>
    <t>…ndo empeño en sostener su adición, desde lue­ ei oficial primero, Benito Tilve.=El tesorero, Carlos Santomé. Leído el párrafo 10 con la adición del Sr, Taraucon, go la retiraba, y con tanta mayor razón, cuanto que habien­ Ei Sr. DIEZ DE TEJEDA dijo que solo se oponía á la do oído que el Gobierno se ocupaba de un punto tan impor­ adición filantrópica del Sr. Tarancon , porque no quería que ei tante , desde luego la creía inútil. Senado recibiese un nuevo desaire sobre los que ya otras veces El Sr. Ministro de la GOBERNACIO…</t>
  </si>
  <si>
    <t>…ficos, se cesidad de castigar los excesos cometidos por los facciosos. merecido contestación. El Gobierno hace pocos dias estaba dis­ han d is tin g u id o por su v a lo r, asi como todos los in d ivid u os de A petición del Sr. Diez de Tejeda se pregunta si está el puesto á contestar á cuanto se le preguntara ; hoy cree que h a ­ sus p a r t i d a s , sin que un solo hecho hable contra su conducta punto suficientemente d is c u tid o , y habiendo d u d a en la vota­ bría peligro; una razón de conveniencia le hace cerrar l…</t>
  </si>
  <si>
    <t>de Toledo, Armildez</t>
  </si>
  <si>
    <t>Armildez de Toledo</t>
  </si>
  <si>
    <t>…l dictámen so­ provincias exentas y Rioja. tado : 5 4 , un dieziseisavo , 5 5 | , f &gt; 544 &gt; 5 5 * , 544 , 5 5 | , f bre la del número 57. ~ y 34 á v. f. vol. y firm e: 5'44 * f , 3 5 4 , 5 5 , 54* 9 f , t , 56, M archa de) conde Armildez de Toledo con su división de Se suspendió la discusión de la señalada con el número 58 la Guardia á BdrgGs. 4 0 y 58 á v. f. ó vol. á prima de 1 , f , 5 dieziseisavos, | y hasta que se halle presente el Gobierno por haber manifestado Nombramiento del general Sardsfield para el mando de la…</t>
  </si>
  <si>
    <t>de Toledo, Fernando Alvarez</t>
  </si>
  <si>
    <t>Fernando Alvarez de Toledo</t>
  </si>
  <si>
    <t>…sienten con mas poder , y de - parse con mas beneficio á ellos y á la patria. Los otros ramos de bellare siiperbos es exasperarlos porque se creen tiranizados. rentas son los usuales de papel sellado , casa de m oned a, cor­ D. Fernando Alvarez de Toledo, Consumado político é in ­ El duque de Alba siguió el último medio, al que le inclinaba reos &amp; c., produciendo todo medio m illón de pesos poco mas ó comparable general en su siglo, nació en 1508. Fue hijo de su genio inflexible, y con su rigor mantuvo su autoridad. D u ­…</t>
  </si>
  <si>
    <t>de Torres, Eugenio</t>
  </si>
  <si>
    <t>Eugenio de Torres</t>
  </si>
  <si>
    <t>…culo participación de los derechos de puertas del puerto de Vigo, Art. 44* Si por consecuencia de la diferente costumbre con anterior se expedirán sin detención alguna, y sin exigir ningu­ se ha adjudicado como mejor postor á D. Eugenio de Torres que fueren exigidos y pagados los diezmos, no constase de los na especie de remuneración; y con ellas se presentarán los en­ M oreno, por la cantidad anual de 246,115 rs. 18 mrs. vn. que recibos dados por los colectores el número , peso ó medida de cargados de los ayuntamientos á l…</t>
  </si>
  <si>
    <t>de Torres, Ildefonso</t>
  </si>
  <si>
    <t>Ildefonso de Torres</t>
  </si>
  <si>
    <t>…y sub­ media clásica ; pero antes de él solo vivía el teatro español de [EL 'Tiempo.) delegado de R.entas de este partido. Por el presente cito, llamo traducciones del francés, entre las cuales hay muy pocas bue­ y emplazo á D. Ildefonso de Torres, capitán que ha sido de Ca­ nas, y de composiciones de una nueva especie, qus trataremos rabineros de Hacienda pública de esta provincia, al cabo del de caracterizar si es posible. mismo cuerpo D. José dei A g uila, y á los individuos de idetn Tales son los dramas de Cornelia…</t>
  </si>
  <si>
    <t>de Torres, Miguel</t>
  </si>
  <si>
    <t>Miguel de Torres</t>
  </si>
  <si>
    <t>…te término . por cima de Bilbao, id. V alencia, p a r.' mandado convocar á ju n ta general de acreedores á la dimisión la chorrera que baja de la cañada de las Encinas, por Pedro Cádiz, 1¿ d. Zaragoza, ¿ b. de bienes hecha por D. Miguel de Torres, vecino de esta cor­ A lm agro, Mateo de Mesa y Francisco Cervera, en 26. te, señalándose al efecto el sábado 21 del corriente, á las doce Descuento de letrea , é 6 por 100 al año. del medio d ia , en la audiencia de S. S ., que la tiene en el pi­ Abandono . so bajo de la territo…</t>
  </si>
  <si>
    <t>…la caja mas cercana de Abril denunciaron la mina de piorno nombrada Constancia, por esta razón en 1816 fue de 19.825,000 f r .; el de 1856 el su residencia , de modo que la tasa rural gravita sobre los po­ que habia abandonado D. Miguel de Torres, de este domicilio, de 35.600,000 á pesar del establecimiento del servicio diario y bres cultivadores, los jornaleros y dueños de cortas posesiones. sita en Sierra-blanca, de este término. Les fue admitida en pro­ de las factorías rurales. El precio de trasporte de las persouas se U…</t>
  </si>
  <si>
    <t>de Tratado, Joaquín</t>
  </si>
  <si>
    <t>Joaquín de Tratado</t>
  </si>
  <si>
    <t>…siglos desolaron los pueblos , y el de dar a) mismo tiempo vincia se cita, llama y emplaza á D. Pablo Torrens y Miralda, á luz en nuestro idioma una obra de esta clase , tan instructi­ D. José de Acevo, D. Clemente Bernaldez, D. Joaquín de Tratado histórico práctico de la vacuna, por D. Vicente va como agradable para todas las de la sociedad , nos decidie­ Echavarría, D. Ricardo López, D. Antonio González, D. J o ­ Martínez: un tomo en 8 .° rústica , á 2 rs. ron á ocuparnos de este trabajo que no nos toca calificar. Bas­ s…</t>
  </si>
  <si>
    <t>de Túnez, Rey</t>
  </si>
  <si>
    <t>Rey de Túnez</t>
  </si>
  <si>
    <t>…los olivares de Dicastillo por el bien dirigido fuego de las dos que se quejan del bloqueo establecido por la Rusia en el mar baterías rodadas, española é inglesa, cuyos comandantes M ag- Negro. El caballero R apho, ministro del Rey de Túnez, llegó el niton y Cizur llenaron bien el objeto , situando mis tropas en 17 á Lyon seguido de una numerosa comitiva. El dia i9 la forma que consideré oportuna para el incendio de todas las rolvió á marchar en un barco de vapor con dirección i M ar­ wieses, que se realizó sin que los…</t>
  </si>
  <si>
    <t>de Uceda, Friás y</t>
  </si>
  <si>
    <t>Friás y de Uceda</t>
  </si>
  <si>
    <t>…dimisión de los cargos dé Presidente dé! Consejo de Ministros y Secretario del Despacho de Estado al T \ ECURSOS qúé l l lícebciádó Patricib de O lávafría ha d e- i L O B E R I A P I U M I ^ i y A W A C I0 3 &gt; U L . t duque de Friás y de Uceda : nombrando pára que le reemplaT ducido eD el tribunaV^upréq^o de justicia y : a.nte el trono, ce en «ambos cargos á D. Evaristo P^rez de Castró: man­ « . E n , Ja ex tra cc ió n celeb rad a e a el d ia 14 K a n s a lid o A g r a ­ sobre; que no;se de obIígue á úombrar5prbciiirad…</t>
  </si>
  <si>
    <t>de Una, Secretario</t>
  </si>
  <si>
    <t>Secretario de Una</t>
  </si>
  <si>
    <t>…i­ cisco M aría Montoro.=Por acuerdo de la diputación provin­ los grandiosos acontecimientos de Y ergara y Urdax. nistrador de decimales , Manuel de Palra.=El de loterías , Juan c ia l, Mateo C ao dalija, secretario.zsExcmo. Sr. Secretario de Una guerra devastadora y fratricida asolaba de seis años á Manuel Perez.zrEI comandante de carabineros, José Serrano.= Estado y del Despacho de la Gobernación de la Península. esta parte las provincias mas industriosas de España. Un Prín­ El secretario de la intendencia, José M aría d…</t>
  </si>
  <si>
    <t>de Uribarri, Valentín</t>
  </si>
  <si>
    <t>Valentín de Uribarri</t>
  </si>
  <si>
    <t>…s horas cada dia no feriado por 1 1 .7 9 7 .... 4 OO Sevilla. el término de diez meses al año. Bilbao 2 de Setiembre de 1859.zz DICCIONARIO RAZONADO 4 . 7 5 2 . . .. 4 ^ 0 .............. Idem. De orden de la junta su secretario Valentín de Uribarri. 1 1 .6 7 6 .... 4OO.............. Madrid. D E L E G IS L A C IO N Y J U R IS P R U D E N C I A , 4 ^ 2 ....... 4 OO................ Idem. por D. Joaquín Escriche, abogado de los tribunales del Reino. 8 .7 7 4 .... 490.............. Idem. B IB L IO G R A FIA . Segunda edición…</t>
  </si>
  <si>
    <t>de Urquijo, Seraíia</t>
  </si>
  <si>
    <t>Seraíia de Urquijo</t>
  </si>
  <si>
    <t>…ieros militares y civiles, I09 arquitectos y agrimenso­ sus primeros períodos. de Diciembre de 1859.—De orden del ay untamiento de esta ilus­ res, que ejecutan frecuentemente sobre el terreao operaciones tre villa, su secretario Seraíia de Urquijo. conocidas por practicas o de geometría práctica ; y es m uy útil á los empleados en la administración civil de las provin­ BOLETIN DE COMERCIO cias y los pueblos, á los encargados de la formación de la es­ B IB L IO G R A F IA . tadística, a los empresarios de varias industria…</t>
  </si>
  <si>
    <t>de Urruela, Pedro</t>
  </si>
  <si>
    <t>Pedro de Urruela</t>
  </si>
  <si>
    <t>…ia de Clemente Gómez Pavón expediente de concur­ sexos, idólatra siempre del valor y del honor , pero que no creia han dado los actores (sin ser vanos) á conocer que solo su destreza so de acreedores á los bienes relictos de D. Pedro de Urruela, ya ofendidos ni uno ni otro por las vicisitudes de las pasiones vecino que fue de esta villa, y del lugar de Cazalegas , de este amorosas. dará acción é ínteres á cuaiauier pieza. partido , donde falleció abintestato, he acordado por auto del Hemos dicho esto, porque no se crea…</t>
  </si>
  <si>
    <t>de V, G.</t>
  </si>
  <si>
    <t>G. de V</t>
  </si>
  <si>
    <t>…mos: ni las obras del inm ortal Ha­ mos notado son todos de descuido; y los citamos porque hacernos ilusiones: hoy estamos mas que nunca expuestos cine ni del gran Corneille podrían ser hoy aplaudidas en con personas como el Sr. G. de V. se debe ser siem pre se* á «sacrisis tem ible para el arte en general: si no existe nuestra escena: carecemos de dos elementos poderosos pa­ yeros, pues á ello da derecho su claro entendim iento, su prtfteccaon y apoyo para el talen to ; si desoyendo rencillas ra que gustasen: prim ero, q…</t>
  </si>
  <si>
    <t>de V, J.</t>
  </si>
  <si>
    <t>J. de V</t>
  </si>
  <si>
    <t>…Siñeriz tiene tomadas El dia 6 ocupoban nuestras tropas los mismos puntos de BOLSA DE MADRID-. »$ definiciones de las leyes de Partida, al pie de la letra ; en Bordon, Luco, Laa Porras y el Mas de las Matas. Forcadeü sí a de D. J. de V. se h&amp;Ha trasladado al lenguage moderno ( á hallaba á su freote con tres batallones. Cabrera ha mand&amp;d( Cotización del dia 11 d las tres de la tarde♦ roitgeiosí de los Sres. Tapia, Alvarez y Escriche ) el sentido de fortificar el castillo y la iglesia Ares del Maestre, que distí fichas leyes…</t>
  </si>
  <si>
    <t>de Vaferíola, D. Manuel Gatalá</t>
  </si>
  <si>
    <t>D. Manuel Gatalá de Vaferíola</t>
  </si>
  <si>
    <t>…poldo Augusto de Cueto. hasta el 10 de Diciembre. zo al Excmo. Sr. teniente general D. Luis Fernandez de Córdo­ Depositario ±:Sr. D. Pablo Cabrero. ba, advirtiéndose que es el primer edicto al efecto de su presen­ Confador.—Sr. D. Manuel Gatalá de Vaferíola. tación, señalándole para ella la casa palacio habitación del Ex­ Bibliotecario ízSr. D. Aotonio María Segovia. celentísimo Sr. capitán general de este distrito, donde deberá Suplentes.srSr. D. Antonio Gil y Zarate, para consiliario. Sr. D. Francisco de Paula Mellado,…</t>
  </si>
  <si>
    <t>de Vaiverde, Carlos Pares</t>
  </si>
  <si>
    <t>Carlos Pares de Vaiverde</t>
  </si>
  <si>
    <t>…ta a h o ­ El C abal! e ro de i n d u s tr i a . I la primera ¡unta de aquellos el dia 20 del actual en la au dien ­ ra han poseído los españoles para aprender el in g lé s, n in g u n a G a n a r perdiendo. cia del Sr. D r. D. Carlos Pares de Vaiverde , juez de primera ha llenado t a n cum plidam ente su objeto. El C alíg u la. instancia de) citado G etafe y su p a r t i d o , lo que asi está m a n ­ El Sr. Fábregas, conocido ya ventajosamente del público por La C u ñ a d a . dado en su pro videncia, refrendada del escr…</t>
  </si>
  <si>
    <t>de Val, M.</t>
  </si>
  <si>
    <t>M. de Val</t>
  </si>
  <si>
    <t>…niendo lo que debe observarse en las elecciones de D iputa­ dos á Cortes. (Id.) resentimientos y venganzas bajo este pretexto. I Números 127,101 á 127,200 I Real orden dirigida por el mismo ministerio á los gefes políti­ ( D. M. de Val.) I 127,251 á 127,540 I cos para que empleen los medios legales que estén á su alcao- I Cuarta série. I cance para impedir se perturbe el órdeu en las próximas elec­ I Números 15,701 á 15,752 I ciones. (Id.) Real decreto relevando del mando de capitán general de A nda­ Almenara 10 de D…</t>
  </si>
  <si>
    <t>de Valencia, M.</t>
  </si>
  <si>
    <t>M. de Valencia</t>
  </si>
  <si>
    <t>…ejarle hacer todo. Nuestra adhesiot facción de Iturralde, compuesta de 100 infantes y 12 caballos. tivos de raí disidencia con el Gabinete. Como tenia el honor de no debe ser una adhesión pasiva, ineficaz, una adhesión de es {D. M. de Valencia.) deciros poco h á , no se me ocultan las dificultades desemejante pectadores. El Rey no puede nada sin el pais; su firmeza há situación. No me lisonjeaba de que fuese comprendida al instan­ menester de nuestra firmeza; su prudencia engendra nuestra pru­ te, y universalraeute aprob…</t>
  </si>
  <si>
    <t>…logre aquel objeto , pues si se prolongase aun ponga á disposición suya 1200 r s . ; avisándolo en una carta después, no podríamos menos de clamar contra ella. tan atenta y expresiva , que merece se le dé lugar algún dia en (D. M. de Valencia.) el Boletín para manifestar á S. E de un a manera pública la MADRID 1 6 DE JULIO. gratitud y aprecio con que ha sido recibido su donativo y su aviso. Igual lugar se dará á otra del Excmo, é Ilmo, prelado eo L iria 8 d e Ju lio . contestación á la invitación que le hizo el gefe pol…</t>
  </si>
  <si>
    <t>de Vallejo, Tomas Fernandez</t>
  </si>
  <si>
    <t>Tomas Fernandez de Vallejo</t>
  </si>
  <si>
    <t>…ntalvan en fuerza de 9 á 10 batallones: el 10 (.B. O.) se creia serian atacadas en sus posiciones. TT ABIENDOSE denunciado ante el Sr. alcalde primero cons- Montalvan se ha defendido heroicamente: ha jugado la ar­ titucional D. Tomas Fernandez de Vallejo por el promo­ tillería contra la iglesia, y nada ha conseguido. La noche del tor fiscal D. Joaquín María San Miguel eo concepto de sedi­ 8 pegarou fuego á una mina debajo de la torre, y no produjo cioso é incitador á la desobediencia en primer grado, el artícu­ Valencia…</t>
  </si>
  <si>
    <t>…eldo determinado en la regla 5.a, por las mismas cajas y fondos sobre que gravitaban los H ABIENDOSE denunciado ante el Sr, alcalde primero cons­ haberes, si sus destinos hubiesen sido servidos en comi­ tor fiscal titucional D. Tomas Fernandez de Vallejo por el promo­ sión; mas si hubiesen sido provistos en propiedad, el periódico titulado D. Joaquín María S. Miguel el artículo inserto en el complemento de las citadas tres cuartas partes se ejecutará principia; "siempreeí hemos Guirigay del miércoles 50 de Enero, que M…</t>
  </si>
  <si>
    <t>de Vallejo, Tornas Fernandez</t>
  </si>
  <si>
    <t>Tornas Fernandez de Vallejo</t>
  </si>
  <si>
    <t>…r.=José Agustín de Larramendi.=: Ayuntamiento constitucional de Madrid. Excmo. Sr. Ministro de la Gobernación de la Península. Habiéndose denunciado ante el Sr. alcalde constitucional ACTAS DEL GOBIERNO. ANUNCIOS OFICIALES. D. Tornas Fernandez de Vallejo por el promotor fiscal D. Re- gino Rosales el párrafo tercero del artículo que con el epígrafe de Cencerrada contiene el Guirigay del dia 7 del corriente, DIRECCION GENERAL DE RENTAS PROVINCIALES. Contaduría general de Valores.—Mes de Enero de 1839. núm. 57, en concept…</t>
  </si>
  <si>
    <t>…V O -M U N D O T E A T R O S PR IN C IPE ; H o y lunes no h a y f unció n . 7 ^ Habi éndose denunci ado ante el Sr. al cal de pri mero consti ­ Corno en él descub rim ien to de las A m éric a s las ú n ic a s qu e tucional D. Tornas Fernandez de Vallejo por el promotor fiscal merecen el nombré de conquistas son las de M é jic o , P e rú y F lo ­ D. Regi no Piñales en concepto de i nci tador á la desobediencia r i d a , pues los demas países estaban com pletam ente i n c u l t o s y en C R U Z . A las ocho y m e d ia de…</t>
  </si>
  <si>
    <t>de Vega, Antonio</t>
  </si>
  <si>
    <t>Antonio de Vega</t>
  </si>
  <si>
    <t>…o como la de la H e r ­ sado , Ju a n Santos, Antón García de la Parrilla , D ie go L o ­ gos de este mismo papel ¡ tamaño é impresión” , debe enten­ r a d u r a , sino sobre grupos de r o c a s , sobre las que bero Castilla y D. Antonio de Vega R a m o s , para que en el derse que se hace relación al prospecto que se da en la librería se estrella formando un océano de espuma, y cor­ término de 50 dias se personen en los autos promovidos en de R o d rígu e z , calle de C arretas, y en las demás anunciadas. riendo después con…</t>
  </si>
  <si>
    <t>de Vega, JOSE GARCIA DE VILLALTA.</t>
  </si>
  <si>
    <t>JOSE GARCIA DE VILLALTA. de Vega</t>
  </si>
  <si>
    <t>…IGIDA A S. A. EL PRINCIPE DE METTERNICH mitiesen por el público aquellas formas. Asi es que Lope ha logrado alcanzar la canalla en la Peraleda , cerca de Azuaga, habiendo quedado en su poder de resultas de este choque va­ POR D. JOSE GARCIA DE VILLALTA. de Vega iundó la verdadera escuela dramática española; esto es, la que era verdaderamente acomodada al gusto rios prisioneros, caballos, yeguas, mnlas, armas y capas; y nacional. causádoles la pérdida de 13 muertos. Véndese en Madrid en casa de Escamilla, calle de Ni faltó…</t>
  </si>
  <si>
    <t>de Velas-, Doña María Joaquina Jiménez</t>
  </si>
  <si>
    <t>Doña María Joaquina Jiménez de Velas-</t>
  </si>
  <si>
    <t>…anos adictos á Jos mismos. de primera instancia de esta capital, que conoce de la tes­ cia, c igualmente sobre los resultados que haya obtenido, y el Colonia forzada de Omoierskans ; 848 mendigos , 76 en la tamentaría de la Sra. Doña María Joaquina Jiménez de Velas- cxito tle sus esfuerzos. Cuando sab de París el mes de Mayo sección correccional, y 171 libres y veteranos. co, condesa viuda que fue de Maulé , pe* la escribanía de n ú ­ último, oí hablar con mucha variedad sobre la importancia de Colonias de Veen-huizen: Pri…</t>
  </si>
  <si>
    <t>de Velasco, Francisco Gil</t>
  </si>
  <si>
    <t>Francisco Gil de Velasco</t>
  </si>
  <si>
    <t>…i­ E N virtud de providencia del Sr. juez de primera instancia dias de algunos fuertes Estados. de esta capital D. Benito Serrano y A lia g a , dictada á ins­ Estos mismos, la Europa entera empieza á probar los re­ tancia de D. Francisco Gil de Velasco, se c i ta , llama y em­ sultados, sintiendo ahora y culpando todo el peso del desacier­ CR ÓN ICA JU R Í D I C A . plaza á D. José María V argas, administrador que fue de Ren­ to que cometió en el malhadado combate de N a v a rin o , y en tas de la ciudad de Jerez de los C…</t>
  </si>
  <si>
    <t>de Velasco, Iñigo Ortés</t>
  </si>
  <si>
    <t>Iñigo Ortés de Velasco</t>
  </si>
  <si>
    <t>…ino en la Orense á D. José María Alvarex Pestaña, reelegidos por El d uq u e de O r le a n s h a regresado á Burdeos a l a s diez. practica, mereciendo todos ellos una general aceptación de eita las mismas: por la de Alava a D. Iñigo Ortés de Velasco, 8. A. R. saldrá mañana temprano para la Teste. D u r a n t e ilustre municipalidad , Sres. censores y personas concurrentes, en reemplazo de D. Fausto de Otazu, y por la de Burgos a la ausencia del príncipe la duquesa de Orleaos visitará la sala y mas señaladamente los que s…</t>
  </si>
  <si>
    <t>de Velasco, J.</t>
  </si>
  <si>
    <t>J. de Velasco</t>
  </si>
  <si>
    <t>…ontri­ cruz 9 de Marzo de 1859.—Carlos Baudin.zrG. Victoria.zzCs con el lord corregidor para adoptar las medidas convenientes buiría al brillo y á la consideración de las instituciones á que copia de su original que certifico.=D. J. de Velasco, vice­ para mantener la tranquilidad pública. Anoche cerca de las la gran mayoría de ciudadanos presta fielmente su adhesión, cónsul. diez, estando aun sentado en esta C ám ara, tuve aviso oficial establece una notable distinción entre las leyes esenciales y las Lo que hago saber al p…</t>
  </si>
  <si>
    <t>de Vera, D. Francisco Javier Rodríguez</t>
  </si>
  <si>
    <t>D. Francisco Javier Rodríguez de Vera</t>
  </si>
  <si>
    <t>…Sr. D. Juan Cano Manuel. Sr. D. Juan Pou. Sr. D. Antonio Ilom panera de Cos. Sr. D. Ramón Pretel de Cozar. Sr. D. Pedro Camps y Ros , electo. Sr. D. Román Ovejero. Sr. D. Diego Montoya. Sr. Sr. D. Bartolomé Amor , electo. Sr. D. Francisco Javier Rodríguez de Vera* Granada. Pontevedra. Alicante • Sr. D. Miguel de Roda. Sr. D. José Guillen. Sr. D. Diego López Ballesteros. Sr. D. Ignacio Puigmoltó. Sr. D. Francisco Martinez de la Rosa* Sr. D. Domingo Fontan. Sr. D. Antonio Sereix. Sr. D. Francisco Egaña, electo. Sr. D.…</t>
  </si>
  <si>
    <t>de Vetasco, Francisco Gil</t>
  </si>
  <si>
    <t>Francisco Gil de Vetasco</t>
  </si>
  <si>
    <t>…un TEATROS. quivias, para satisfacer con su importe los créditos contra él r e ­ cuaderno en 8 .° rústica, á 4 rs. PRIN C IPE . Hoy no hay función. clamados por el Excmo. Sr. marques de Mortara , en cüyas ac­ ciones ha entrado D. Francisco Gil de Vetasco; bien entendido Análisis de las aguas minerales de Gavá en el principado de Cataluña: un cuaderno en 8.° rústica, á 5 rs. CRUZ. A las siete y media de la noche. Se volverá á po­ que pasado dicho término se dará á ios autos el curso que cor­ ner en escena la aplaudida ópera…</t>
  </si>
  <si>
    <t>de Vi, M.</t>
  </si>
  <si>
    <t>M. de Vi</t>
  </si>
  <si>
    <t>…V a- resultado. Mas hoy puedo decir que aquel puñado de valientes leocia. Elogios mil merece el gefe que inventó tal proyecto y á las órdenes de su alférez Amador mostró tal valor y sereni­ LA MARIPOSA, lo puso en ejecución. {D. M. de Vi) dad que supo rechazar muchas veces ai enemigo en las diver­ sas cargas que le d ió , matándole uno, é hiriéndole tres y tres PERIODICO DE LITERATURA Y MODAS. caballos: sin que por su parte tuviese el valiente alférez ni Valencia 29 de Marzo . ninguno de los que mandaba la mas ligera des…</t>
  </si>
  <si>
    <t>de Viator, Pedro José</t>
  </si>
  <si>
    <t>Pedro José de Viator</t>
  </si>
  <si>
    <t>…procedió al sorteo de los nueve Sres. jueces de hecho que de­ bían componer el jurado, y tocó á los siguientes: D. Luis Bal- Otra en sierra Alhamilla,. cuesta de las Tejas, término de buena, D. Alejo Perez, D. Genaro Bayon, D. Pedro José de Viator, Virgen de los Doloros, por Luis Trujillo, en 3. Cea , D. Gabriel Alvarez de Alvarez , D. Miguel Carbajo, Don DIRECCION GENERAL DE PRESIDIOS DEL REINO. Otra en sierra de Gador, Balsanueva, término de Berja, Juan María Barte, D. Alejo Carro y D. Juan Bustamante; y El Boliche,…</t>
  </si>
  <si>
    <t>de Viezmi, D. Diego</t>
  </si>
  <si>
    <t>D. Diego de Viezmi</t>
  </si>
  <si>
    <t>…o, número 8 , cuarto segundo, á rendir declaración; bien entendido que su falta de comparecencia Se suscribe enesta corteen la librería de Cruz, frente San Felipe, á 6 rs. al raes para M adrid, y 8 para fuera franco de al Sr. D. Diego de Viezmi. 517. Un bolsillo de linón bordado de sedas, á U Excelen­ le causará perjuicio. porte , y cn&gt; todas las administraciones de correos de las pro­ vincias. tísima Sra. condesa de Girald^li. . . . . . . . 580. Un cuadro con un canastillo con flores de papel de arroz, á la Sra. co…</t>
  </si>
  <si>
    <t>de Viilavieja, D. Gregorio Sana</t>
  </si>
  <si>
    <t>D. Gregorio Sana de Viilavieja</t>
  </si>
  <si>
    <t>…o. greso, y mucho mas en el de una nación en que por desgraciad por el cual ha tenido á bien S. M. nombrar Senador por la pro­ Se leyó el 6.° crédito ha llegado á un extremo inconcebible. No soy yo de los vincia de Orense al Sr. D. Gregorio Sana de Viilavieja, en El Sr. QUIJANA es de parecer que lo que se propone en que creen que se halla la nación en un estado de abyección y reemplazo del Sr. D. Gabriel José García. este artículo no es privativo de las Cortes, porque en su opi­ óiiseria que es consiguiente á la bajq de nu…</t>
  </si>
  <si>
    <t>de Villaamil, D. Genaro Perez</t>
  </si>
  <si>
    <t>D. Genaro Perez de Villaamil</t>
  </si>
  <si>
    <t>…orcionarse fuera de su pais un libro por tantos títulos re­ 1*11 las tragedias de Corneille: se nos dirá asimismo que los fran­ ciones españolas. comendable. ceses 110 acieitan á encontrar una docena de versos buenos se­ El Sr. D. Genaro Perez de Villaamil, artista de los mas Esta obra constará de dos tomos en 8.° mayor de mas de guidos en el Atiln ni en el Agesilao , cuando en algún drama distinguidos en pintura, ha desempeñado una de las inspiracio­ 600 páginas de lectura , impresos en papel superior y buen ca­ de Tirs…</t>
  </si>
  <si>
    <t>de Villalta, Don José García</t>
  </si>
  <si>
    <t>Don José García de Villalta</t>
  </si>
  <si>
    <t>…a calle de Carretas, y de Cuesta frente á las Covachuelas. y de gozo lloraremos mientras se alcancen á ver. El lunes 8 del presente mes se abrirá á las ocho de la no- 'che la cátedra de derecho político desempeñada por el Sr. Don José García de Villalta. rp L M arino: drama en cinco actos, escrito en francés por Ale- Huye (B oabdil ), y si al pasar huyendo tu camino te embaraza jandro Dumas, y traducido al castellano por D. Narciso en torvo tropel tu raza de la Escosura. Esta producción dramática, la última de su au­…</t>
  </si>
  <si>
    <t>DE VILLALTA, JOSE GARCIA</t>
  </si>
  <si>
    <t>JOSE GARCIA DE VILLALTA</t>
  </si>
  <si>
    <t>…ÍP E D E M E T T E R N IC H — L o mismo decimos del poema didáctico. ¿Q u ién lee á C o - Juwela sino los que quieren estudiar la historia del arte precio­ E L concierto en que han de rifarse las labores y objetos p ri­ POR D. JOSE GARCIA DE VILLALTA. so de la agricultura , y conocer el estado en que se hallaba entre morosos, cedidos en beneficio de los niños expósitos, se ve­ los rom anos? Pero las Geórgicas de V irg ilio serán eternamente rificará en el salón del palacio de Villahermosa el sábado 16 V én d ese en M adr…</t>
  </si>
  <si>
    <t>…. EL PRINCIPE DE METTERNICH nes , ni aun la misma perfección de las combinaciones dramá­ pais; y á pesar de sus esfuerzos por sincerarse creo firmemente ticas. que no podrá couseguirlo , y que tarde ó temprano tendrá que POR D. JOSE GARCIA DE VILLALTA. - Volviendo á nuestro propósito, no debe extrañarse que h a ­ reveutar la mina sobre que se ha colocado. Véndese en Madrid en casa de Escamilla, calle de yamos reunido en una sola clase á autores que la moda del dia coloca en dos muy diferentes. Corneille tomó de Guillen…</t>
  </si>
  <si>
    <t>de Villalta, José García</t>
  </si>
  <si>
    <t>José García de Villalta</t>
  </si>
  <si>
    <t>…e han mandado preparar 20 catnas para su séquito. Por XJ'L Astrólogo de Valladolid, comedia histórica en cinco ac- ahora, según voces de la facción , ,no se trata de expedición. F O N D O S P U B L IC O S . tos y en verso, por D. José García de Villalta , represen­ Hay desavenencias entre ellos. tada con aplauso en el teatro del Príncipe. Véudese á 8 rs. en El pienso para la caballería escasea. Tienen bastante abun­ Londres 5 de Febrero . las librerías de Escamilla, calle de Carretas; y de Cuesta, fren­ dancia de trigo. te…</t>
  </si>
  <si>
    <t>de Villanueva, Ramón</t>
  </si>
  <si>
    <t>Ramón de Villanueva</t>
  </si>
  <si>
    <t>…otánica y de fisiología vegetal, por A guado: Badajoz, Sra. viuda de Carrillo: Barcelona, D. Juan Títulos al portador del 4 P°r 1 0 0 , 00. A . Richard, adornados de I 64 figuras intercaladas en el Francisco Piferrer: Búrgos, D. Ramón de Villanueva: Cádiz, Vales Reales no consolidados, 00. texto. Traducidos de la quinta edición francesa, por D. Fran­ Sres. Hortal y compañía: Cartagena, D . Vicente Benedicto: Deuda negociable de 5 por 100 á papel, 00. cisco Oliveres y M orera, profesor de medicina y cirugía. Córdoba , D. A…</t>
  </si>
  <si>
    <t>de Villarragut, José Martin</t>
  </si>
  <si>
    <t>José Martin de Villarragut</t>
  </si>
  <si>
    <t>…ltades físicas é intelectuales. Al llegar á este punto, caro lector, estoy tentado de des­ tapermitir que un solo faccioso siente su osada é inmunda plan­ tetierra hace medianería con otra de D. Felipe Rubio; mediodía coa de D. José Martin de Villarragut, y saliente con un so­ pedirme de tí. Asi como asi, tú también debes estar cansado en aquel asilo de los libres. lar titulado la Casa del C u ra; la cual tiene de sitio 9457 pies Para proteger el sitio el cabecilla Forcadell tiene un bata­ dé seguirme en mi narración, y y…</t>
  </si>
  <si>
    <t>de Villavieja, Gregorio Sanz</t>
  </si>
  <si>
    <t>Gregorio Sanz de Villavieja</t>
  </si>
  <si>
    <t>…incia ha entrado bajo un régim en de terror. Bajo el títu lo de rep ú ­ la m erece, que son nuestros e n em igos, quien tan tra id o ra u ie o - te las fom en ta n , y los que faltando á los principios de h um a­ de Orense á D. Gregorio Sanz de Villavieja , obispo elec­ b lic a , p o habrá mas que un G obierno despótico som etido á to ­ nidad los prestan auxilios: que sobre ellos debe recaer la c e n ­ to de Yw?b* dicha; provincia en reemplazo de dos los caprichos de una dictadura p o p u la r, y los Estados Uni-* sura;…</t>
  </si>
  <si>
    <t>de Villena, Enrique</t>
  </si>
  <si>
    <t>Enrique de Villena</t>
  </si>
  <si>
    <t>…gún dice loffró poder señalar el v u lg o , tuvo la humorada de meterse hecho pepitoria el bue­ á Tas estrellas el curso do uo incremento de 25,119 toneladas. El exceso en las entradas de buques extrangeros fue de 91, no de D. Enrique de Villena. Y si os viene ea voluntad de que en el cielo han de llevar. mandar al que hace las veces de corormta quién era ese tal , os Amor es el bien mayor con porte de 15,266£ toneladas ; y el de las salidas de 130 bu­ dirá que fue uo famoso marques, gran encantador , que asi lla­ que…</t>
  </si>
  <si>
    <t>de Villeveque, Laisne</t>
  </si>
  <si>
    <t>Laisne de Villeveque</t>
  </si>
  <si>
    <t>…funciones según Segtm se ha dicho anoche en el portal, Mejía ha desem­ MINISTERIO DE LA GUERRA. el tenor de la comunicación que por este ministerio se dirigió barcado sus tropas en Tecoluta, unas 40 leguas de aquí: que al Sr. Laisne de Villeveque, y corre inserta en el Diario ofi­ habia mandado una lancha i Toxpan ea solicitud de parque; Real orden. cial de 11 de Enero último. H o y , que felizmente se ha resta­ y que Zenteno se hallaba coa 500 hombres en Papantla. Excm o. S r.: He dado cuenta á la R eina G obern ador…</t>
  </si>
  <si>
    <t>de Vizcaya, DE RENTAS</t>
  </si>
  <si>
    <t>DE RENTAS de Vizcaya</t>
  </si>
  <si>
    <t>…campo tres ó cuatro, entre ellos su gefe el Sillero, trajo prisio­ neros á su vuelta a y e r, no solamente á los ind,Viduos restan es PARTES. de ella, sino también á otros roas, peitenecientes al batallón 4 , DILECCION GENERAL DE RENTAS de Vizcaya, en todo 3 2 , incluso un oficial, cou sus armas y Y CONTADURIA GENERAL DE VALORES. PARTES RECIBIDOS EN LA SECRETARIA DE ESTADO otros despojos, aprehensión que fue efectuada a la orilla del y DEL DESPACHO DE LA GUERRA» mar entré Guecho y Sopelana, después de una corta resiste…</t>
  </si>
  <si>
    <t>de Vizrnanos, Antonio Saenz</t>
  </si>
  <si>
    <t>Antonio Saenz de Vizrnanos</t>
  </si>
  <si>
    <t>…tomo ó tomos siguientes. D. Francisco Gutiérrez Soss-a, D. Francisco !&gt;ala, D. Juan A n­ ra , de que inmediatamente le dé el correspondiente aviso por Continúa aquella abierta en los términos y por el precio drés de Segó vía , D. Antonio Saenz de Vizrnanos (fiscal), y medio de su escribano de Cámara D. Manuel de Carranza del que se anunció en el prospecto, pero únicamente en los siguien­ t). Manuel Caballer, escribano de Cámara. pueblo ea que actualmente se halle ó h aya fijado su residencia. tes puntos. M adrid, casa referi…</t>
  </si>
  <si>
    <t>de Wur-, Alejandro</t>
  </si>
  <si>
    <t>Alejandro de Wur-</t>
  </si>
  <si>
    <t>…n­ las Tullerías. El Rey , la Reina, Madamas la princesa Adelai­ tura , á cargo del Br. D. Cárlos Rusca, y los niños que la cuentra un constante apoyo en las disposiciones personales de da , la princesa Cleinentina y Mr. el duque Alejandro de Wur- componen escribieron á presencia de los concurrentes con toda presidente de la Cámara Mr. Raiken. Debiéndose perrnitide temberg recibieron ál príncipe al tiempo de apearse del coche limpieza y gallardía en las formas española é inglesa; quedando ai Mr, Duinortier ai sostener la mo…</t>
  </si>
  <si>
    <t>de y e, Tornas</t>
  </si>
  <si>
    <t>Tornas de y e</t>
  </si>
  <si>
    <t>…, mientras él se dirigía hácia U tiel, acom­ El mismo con fecha i.° del actual da parte de que el co­ pañado por el Diputado suplente de Valencia D. Felipe Calza, DE LA EPOPEYA. mandante de la columna de operaciones de Alava, D. Tornas de y el teniente coronel D. Luis Saavedra lo hacia igualmente con ¿Es este género tan contrario al espíritu y al gusto N alda, con noticias que tuvo el 24 del anterior de que el ca­ dos mitades del escuadrón de su mando , y el oficial de estado del siglo actual como afectan creer algunos? Tal…</t>
  </si>
  <si>
    <t>de Y, J.</t>
  </si>
  <si>
    <t>J. de Y</t>
  </si>
  <si>
    <t>…La exactitud con que estaa traducidas se puede ver Inscripciones en el gran libro á 5 por 100, 00. oor la primera definición de la justicia que dice en la obra de Títulos al portador del 5 por 100, 51$ , nueve dieziseisavos, D. J. de Y. | j f # i f 51 y 50$ á v. f. ó vol. y firma con cupones: 52$, 55, La justicia considerada como virtud es uoa constante y C O R R E S P O N D E N C IA D E LA G A C E T A . # / i , £, 51§, 52f y 52$, ¿ v. f. ó vol. á prima de i , perpetua voluntad de dar á cada uno lo que es suyo , y la ley…</t>
  </si>
  <si>
    <t>de Y, M.</t>
  </si>
  <si>
    <t>M. de Y</t>
  </si>
  <si>
    <t>…embargo, llos blancos de semilla de la China que le proporcionó el señor parece que la de Chambonet no tiene d u d a, pues varios dicen profesor de agricultura de la remitida de París por el celoso va­ haberle-visto enterrar. (D. M. de Y.) lenciano Sr, conde de R ótova, y que ha criado en el cortísimo Resiímen, termino de 24 dias (desde el 2 al 26 de Abril). Lo vario y frió de la estación, retardando la florecencia de Las rosas y de los claveles, ha quitado á la exposición su m a­ Cargo....................................…</t>
  </si>
  <si>
    <t>de Yaliejo, Pedro González</t>
  </si>
  <si>
    <t>Pedro González de Yaliejo</t>
  </si>
  <si>
    <t>…a P enínsula e l dia I4 d e ai c l e r o y f i e l e s d e su diócesis. llagas: que los acontecimientos pasados han abierto en nuestra S etiem b re d e 1859. patria. Que nuestras lágrimas de una inocente alegría purifi­ Nos D. Pedro González de Yaliejo , antiguo obispo de M a ­ quen nuestros corazones y sirvan para confirmar delante de los R E A L DECRETO. llorca y arzobispo electo de Toledo, caballero g*au ciuz de la aliares nuestra nueva y dichosa alianza. Todo lo habíamos Real y distin guida orden española de Carlos…</t>
  </si>
  <si>
    <t>de Yallejo, Tornas Fernandez</t>
  </si>
  <si>
    <t>Tornas Fernandez de Yallejo</t>
  </si>
  <si>
    <t>…beral y para el bajo Valais. ra , á fin de quü sirva de gobierno al resolverse por este ministerio las propuestas que por el mismo hecho se pue­ Habiéndose denunciado ante el Sr. alcalde primero consti­ dan formar. tucional D. Tornas Fernandez de Yallejo por el promotor fis~ PO LO NIA. 4.a Los partes que los gefes de la Milicia nacional pue­ cal D. Joaquín María San M iguel, en concepto de subversivo Se lee en la Gaceta de Presburgo: dan d a r, asi como los que dirijan los gefes políticos , in­ y sedicioso en primer gra…</t>
  </si>
  <si>
    <t>de Yera, José Rodríguez</t>
  </si>
  <si>
    <t>José Rodríguez de Yera</t>
  </si>
  <si>
    <t>….—Zacarías G iria, regidor sex­ V. M —Por el estado mayor de la plaza el gobernador y co­ júe imponerle quisieran los tiranos, y últimamente al valor de to. — Casto Corso, regidor octavo.—José Revuelto, síndico.n mandante general José Rodríguez de Yera.—Por el estado ecle­ ?se ejército de héroes, que tantos laureles ha conquistado á las Juau Francisco Mochales, secretario. siástico, el gobernador de la mitra Juan Francisco Cid.—Por la órdenes de su caudillo. ¡ Loor eterno, Señora, a las causas de hacienda militar, el intende…</t>
  </si>
  <si>
    <t>de Zarate, Antonio Gil</t>
  </si>
  <si>
    <t>Antonio Gil de Zarate</t>
  </si>
  <si>
    <t>…bres , usos y conoci­ nuación lás yá Establecidas, y que son: ^v ^ a c io n .tio rp e rin itó ^ a id á s ,U a d a s :y gcadiosas neet feudesas, mientos , acompañado de la mas completa indiferencia por nues­ De Historia , por D. Antonio Gil de Zarate. v “ ' " tra religión. De crítica , por D . Eugenio Moreno, , ’ Tal es el horroroso resultado que por lo general lam enta- De arqueología, por D . Basilio Sebastian Castellanos, ' cultivan sobre la orula derecha uel Elba, Loa grandes ne- m o reu lafs educaciones extrangeras…</t>
  </si>
  <si>
    <t>…randes comidas en que abundan los vinos -- '24,537. .. • 3000. . . . w . Gádiz.* nes 4 de Marzo. • tftíB KMiV y d e GlVtHiípágtre; éste debe sucumbir necesaria­ ^ 21,391.... 400. . . . . . . &gt; Mo atoro.. La de historia, por D. Antonio Gil de Zarate, se traslada mente al 1adeí ^tlé1 qtiél cjué sé préseína ;tódéado dé •hié-í 14,865...'. ; 400 . r • Grabada. ; á los martes. lo. T K i r a n t e d í a s , Hamburgo ordinafíahieiñé tan 19,008.... 4 OO. ............ Logroño. La Je declamación, por D . Ventura de la V eg a , c…</t>
  </si>
  <si>
    <t>…victo general Espartero y bizarro d rid 5 de Setiembre de 1859,—Excmo. Sr.—Siguen las firmas. ejército , llamando p a rticu larm en te la atención las dos im p ro ­ {,Mensajero) visaciones siguientes B IB L IO G R A FIA . Dé D. Antonio Gil de Zarate. F 0 9 negros, ó efectos de la tiran ía , d ram a trágico en tres Banquete del Casino. actos, por D. W enceslao A y g u a ls de Izco. SONETO. Se hallará en la librería de Boix, calle de C a r r e t a s , á 6 rea­ Lo* socios del Casino de la calle del Príncipe han celebra­ le…</t>
  </si>
  <si>
    <t>de Zayas, María</t>
  </si>
  <si>
    <t>María de Zayas</t>
  </si>
  <si>
    <t>…e la provincia. como lo prueba su Persíles y Segismunda. Aparecieron en­ le agobia. Donde quiera que me encuentre tendré mi vista siempre fija Dios guarde á V. S. muchos años. C iudad-R eal 30 dé J u ­ tonces las novelas de Doña María de Zayas, el Escudero* sobre vosotros, y si como espero emprendéis nuevos hechos de nio de 1859. = El gefe de estado mayor interino , Pedro Ortiz M a rco s d e O b r e g o n , el D iablo c o j a c l o , la P íca ra J a s i ¿na armas, encontrareis un celoso defensor de los premios á que os de P…</t>
  </si>
  <si>
    <t>de Zorrilla, José</t>
  </si>
  <si>
    <t>José de Zorrilla</t>
  </si>
  <si>
    <t>…unciamos abraza entrambos objetos, y con Poesías de D. Manuel Bretón de los Herreros, un tomo. ella creen os hacer un servicio á nuestro país y á la literatura. TPR ATADO de derecho penal, por Mr. Rossi, profesor de Poesías de D. José de Zorrilla, 6 tomos. El teatro «scogido de fray Gabriel Tellez (el maestro Tirso derecho político y constitucional en la universidad de Respuesta de un cristiano á las palabras de un creyente, dr&gt; Molina ) se publicará por tomos en rústica , de los cuales Paris, y de economía política en el c…</t>
  </si>
  <si>
    <t>de Zuloaga, Francisco</t>
  </si>
  <si>
    <t>Francisco de Zuloaga</t>
  </si>
  <si>
    <t>…cuerdo de los jueces de hecho.r:Señores D. Baltasar M e - este anuncio en la Gaceta y Diario de avisos de esta capital, ha­ O r í , por las Sras. A udujar, y Molina, vestida esta de hombre. Ttendez, D. Juan Antonio del Adalid, D. Francisco de Zuloaga, ciéndolo por sí ó por medio de apoderado autorizado competen­ 4*° D ú o de tiples en la ópera I Capuleti ed i Monteccki , D , Andrés Torres Moreno, Sr. conde de P rie g n e , D. Mateo temente , á las diez de la mañana; apercibido que de no hacerlo se por las Sras. Feijas y Antú…</t>
  </si>
  <si>
    <t>de Ñapóles, Francisca y Renta</t>
  </si>
  <si>
    <t>Francisca y Renta de Ñapóles</t>
  </si>
  <si>
    <t>…engañado con respecto á las fuer, he mandado conferir traslado á los interesados en aquellos, y Acciooesdel banco 2615 . zas de que disponía el general mejicano. M il soldados es todo para que lo puedan evacuar los ausentes Doña Francisca y Renta de Ñapóles 99 c. 20 . lo que Rincón ha podido tener. El ejército total de Méjico no Doña Ana Perez, mediante á que se ignora su paradero , que Cinco por 100 del Estado romano 101. asciende á mas de 8 ó 103 hombres repartidos en 700 leguas se llaman por medio de nota que se estampe…</t>
  </si>
  <si>
    <t>de, A.</t>
  </si>
  <si>
    <t>A. de</t>
  </si>
  <si>
    <t>…................................................... Doña Vicenta Serrano de Onliveros................................. 4^ 10 toria. J. Bohorques................................................................................. D. A. de O ..................... ........................................................... 100 20 U a in c ó g n ito ............... . ................ D. G. de O ........................... 80 4 D. Alejandro Olivan. . . . . . . ............................................. D. V. de P ............…</t>
  </si>
  <si>
    <t>DE, AC CION</t>
  </si>
  <si>
    <t>AC CION DE</t>
  </si>
  <si>
    <t>…s para lo sucesivo, con un punto de vista m ili­ plaza para Londres en los primeros dias de este mes. tar , bien puede uno fiar en sus palabras. (Diario d e Sevilla.) Trabóse en seguida un debate en algún modo estratégico R E D AC CION DE L A GACETA. acerca del valor de la posición que acabamos de abandonar. M M . L a rn y , L a ra b it, Bugeaud , Bertin de B au x , han usado sucesivamente de la palabra. Pero lo que ha llamado mas v iv a ­ Z aragoza 18 d e Enero, mente la atención de la C ám ara, han sido las luminosas…</t>
  </si>
  <si>
    <t>de, Acabado</t>
  </si>
  <si>
    <t>Acabado de</t>
  </si>
  <si>
    <t>…mún de marea alta. za, donde se hallaba destinado. Consiguiente á esto se trato ción de la Península. Muchas casas han sufrido averías, siendo destechadas va­ con el Sr. gefe político de Granada acerca de la existencia de P. D. Acabado de firmar éste parte he recibido la Real rias en fábrica y algunas viejas; y lo que dará una idea del los padres ó parientes mas cercanos de Rodríguez , por ser na­ orden que con fecha de ayer se ha servido Y. E. comuni­ ímpetu de este ventarrón es que derribó porción de chimeneas, tural d…</t>
  </si>
  <si>
    <t>de, Acabo</t>
  </si>
  <si>
    <t>Acabo de</t>
  </si>
  <si>
    <t>…Dió una reseña del origen que reconocen encomendado; si finalmente, el premio conseguido por ¡Ma­ sus colas, y de la luz que les acompaña , abrazando la doctrina drazo en la exposición de este año es superior al que en la P. D. Acabo de leer con toda atención su reservada del 29, y merece que la tome en consideración el consejo del Rey. Doy de N ew tou, que este fenómeno dimana de los vapores que con­ misma ha obtenido R ib e ra; circunstancias son estas que á V. gracias por las uoticias que en ella me d a , y responder…</t>
  </si>
  <si>
    <t>de, Acciones</t>
  </si>
  <si>
    <t>Acciones de</t>
  </si>
  <si>
    <t>…a , 52. n al dispuso en su consecuencia tocar g e n e ra la ; y para dar tiem ­ Fondo indiano , 2 5 6|. po hasta conseguir la reunión en el fuerte de los p atrio tas y S. M . h a resuelto se den las gracias al com andante general Acciones del banco sin negociar. pepsonás com prom etidas, destacó un a fuerza de 20 in d ivid u o s a de la provincia de A v ila y á los oficiales y tropa que le acom ­ D euda española activa con tendencia á la baja , 19. las órdenes de D. V icente L lo p is , para que ocupara la en trada pañaron e…</t>
  </si>
  <si>
    <t>de, Acebo.</t>
  </si>
  <si>
    <t>Acebo. de</t>
  </si>
  <si>
    <t>…lcalde dirá "O igo al ayuntam iento, pero hago lo que Consultado el Congreso, no se tomó en consideración la adi­ d u c t o d e su p r o v i n c i a á l a c o r l e , s i n a c o r d a r s e s i ( ¡ m e r a quiero.” ción del Sr. Acebo. de que en estas p ro v i n ci a s estaba e l so ld a d o d esn u d o y s in El Sr. C A M A LEÑO contesta al Sr. preopinante , manifes­ Se puso á discusión el artículo, que dice : s o c a r r o s . E l i n t e n d e n t e a c a b a d e p u b l i c a r en Huesca u n a tando por últim o que 11…</t>
  </si>
  <si>
    <t>de, Agustio Nogueras. Por</t>
  </si>
  <si>
    <t>Agustio Nogueras. Por de</t>
  </si>
  <si>
    <t>…apresurado hacia la grande esca­ caoipo del Sepulcro el Exorno. Sr. general en gefe del ejército obra, sin copiar pliegos enteros. Contentarémonos pues lera que tantas veces había subido yo con el alma henchida de del Centro D. Agustio Nogueras. Por demas es decir que se ha con dar una noticia de los principales descubrimientos de­ sentimientos bien diferentes de los que me oprimían á la sazón. presentado nuestra Milicia brillantísima y respetable, y que el bidos en esta parte tan interesante de nuestra historia á su La an…</t>
  </si>
  <si>
    <t>de, Agustín Yañez</t>
  </si>
  <si>
    <t>Agustín Yañez de</t>
  </si>
  <si>
    <t>…he mismo; y siendo el primero hecho científicamente se valió para la resolución de estos problemas. ciencias que tanto han de contribuir á su futura felicidad y al y por tan celebrado observador, haremos una descripción par­ D. Agustín Yañez demostró la figura elíptica de la tierra, progreso de las artes que respectivamente desempeñen, y al ver ticular de este edificio. operaciones geodésicas que se practicaron para determinar la ex­ los felices resultados del establecimiento de una cátedra con tan ­ Habiendo experimentad…</t>
  </si>
  <si>
    <t>de, AL.</t>
  </si>
  <si>
    <t>AL. de</t>
  </si>
  <si>
    <t>…dominado por el enemigo , llegaron anoche dos mugeres apunto, como en mi concepto seria muy conveniente y acerta­ de V illafranca, las cuales aseguraron lo siguiente: CAMBIOS. do. Valencia 5 de Marzo de l839.= P ed ro Chacón. (D. AL. de V .) Cuando el 25 de Febrero se recibió en Villafranca la noti­ cia de la llegada de Maroto á Tolosa , verificada en el mismo Londres, á 9 0 d ia s , 5 8 f. Coruña, 1| á f d. d ia , los personages que componían la corte del Pretendiente se P aris, 1 6 -4 á 5. G ranad a, 1 * id. pusieron en…</t>
  </si>
  <si>
    <t>de, Alava</t>
  </si>
  <si>
    <t>Alava de</t>
  </si>
  <si>
    <t>…d el ojo d e l o b s e r v a d o r a b o r d o , salió el c a p it á n Comandancia general de ambas R¡ojas.=El Excrao. Sr. co­ d el p u e r t o c o n el b u q u e d e v a p o r Ma%epat y se d e s a tra c ó m an da nte general de Alava desde Salinas de Lenix me dice con d e la co sta á r u m b o d i r e c t o , m i d i e n d o e s c r u p u l o s a m e n t e SUBASTAS* fecha de ayer lo siguiente: la d is ta n c i a n a v e g a d a hasta p e r d e r d e vista la lu z d e sd e las Desde mi comunicación de ayer do he vuelto á r…</t>
  </si>
  <si>
    <t>de, Alba</t>
  </si>
  <si>
    <t>Alba de</t>
  </si>
  <si>
    <t>…oduciendo todo medio m illón de pesos poco mas ó comparable general en su siglo, nació en 1508. Fue hijo de su genio inflexible, y con su rigor mantuvo su autoridad. D u ­ menos. D. García y nieto de D. Federico, primer duque de Alba de rante el Gobierno suave de Margarita de Partna, regente por Tal es el estado ruinoso de hacienda pública á que han re­ Tormes, y primo hermano del Rey Fernando el Católico. Su Felipe en los Paises Bajos, comenzó la sublevación ; el duque de ducido aquel rico pais los inconsiderados y exorbit…</t>
  </si>
  <si>
    <t>de, Albareal</t>
  </si>
  <si>
    <t>Albareal de</t>
  </si>
  <si>
    <t>…ulos al portador de! 4 por 1 0 0 , 00. l ite r a t u r a francesa, el tea tro f r a n c é s ¡ han creído menos e x ­ se crean con derecho á los bienes quedados por fallecimiento Vales Reales no consolidados, 00. del Sr. conde de Albareal de T ajo, para que en dicho término puesto descender á los teatros del b ó u le v a r d , que son los que D euda negociable de 5 por 100 á p a p e l, 00. se presenten por sí ó por procurador competentemente au to ri­ antes hemos citado. Con i ¿i mue.rte de V íc to r Ducange, bas­ Idem s…</t>
  </si>
  <si>
    <t>…n que en am on­ dos los y Doña Mariana Vega y Verdugo , herederos nombra­ periódico semanal de literatura, ciencias y arles Cá­ tonando diversidad de versos, y en quebrantando las for­ jo, áenfiniguales partes por el Sr. conde de Albareal de T a ­ diz, 1839. mas teatrales, y sobre todo en no nombrando á Marte, á ñ o , juez de que se presenten ante el Sr. D . Manuel L u c e - Belona ni á M inerva, ya pertenecen á la nueva escuela. número dede Dprimera instancia de esta corte, y escribanía del . Jacinto R evillo, á deducir…</t>
  </si>
  <si>
    <t>de, Alejandro</t>
  </si>
  <si>
    <t>Alejandro de</t>
  </si>
  <si>
    <t>…cebir la esperanza de ta , la mas brillante que se ha dado en Ashóurnhara-IIouse. á quien va á aconsejar en los justos límites de su derecho cons­ que las dos Cámaras nos prestarían su concurrencia para por S. A. I. el Gran Duque Alejandro de R u s ia , acompañado titucional. Creemos que á esta hora la corona esté dispuesta á medio de una deliberación tranquila y r e g u la r , concertar de de S. A. R. el Principe Guillermo Enrique , de los Países- anticiparse á esta manifestación. (Id.) conformidad lo ú til y beneficioso al…</t>
  </si>
  <si>
    <t>de, Alejandro Llórente. Muchos</t>
  </si>
  <si>
    <t>Alejandro Llórente. Muchos de</t>
  </si>
  <si>
    <t>…e nocemos, también se halla allí ajustado por una temporada. Ensayo histórico sobre la terminación de algunas r e v o l u c i o — O ctubre: El 2 4 del pasado se ejecutó en Zaragoza un drama nuevo, n es e u r o p e a s , por D. Alejandro Llórente. Muchos de nuestros conciudadanos ignoran que en Metz, titulado D. P e d r o e l C ru el , obra del Sr. D. José I í u i c i , hijo V iñ as y bodegas, por D. A. U. entre el puente del arsenal y el puente co lgante, en la confluen­ de aquella heroica c iu d a d , y ha tenido el éxi…</t>
  </si>
  <si>
    <t>de, Alfonso</t>
  </si>
  <si>
    <t>Alfonso de</t>
  </si>
  <si>
    <t>…e r ­ Oviedo 26 de Octubre de 1839.=Señora.=A L. R. P. de origen á tanta alegría, ¿cuál no fue ella cuando llegó la espe­ ra q ue he tenido á bien encargaros interinam ente» he Y. M.zzEl gefe político José Caveda.rzEl secretario Alfonso de rada y siempre tardía para este patriota vecindario, de la sali­ venido en concederos como Reina G o b e rn a d o ra del re i­ Linares.züEl oficial primero Joaquín Badué y Morajas.=:El ofi­ da del pretendiente del territorio español? Baste decir á Y. M* n o , á n o m b re de nii augusta H…</t>
  </si>
  <si>
    <t>de, Alonso</t>
  </si>
  <si>
    <t>Alonso de</t>
  </si>
  <si>
    <t>…ene el grave inconveniente de que en la utTiá electoral* traordinarias de 19 de Julio de 1815 por el de 29 de Enero su relato no está de acuerdo con el estado adjunto de la ley; Reprodujo varias observaciones expuestas por el Sr. Alonso de 1857, vieron los pueblos consignada en él la abolición de los y por mas que se diga que el art. 6 &gt;°, yo no dudo en que han réspecto á la inteligencia de la ley electoral, y después de ma­ derechos de pesos y medidas con otros que se habia apropiado podido entender que el estado estaba vig…</t>
  </si>
  <si>
    <t>…7© en un fundo, y por con­ no á todos?. Tomó la clase con sobrado Ínteres la comunicación que le ducto del secretario se remitió á la ciudad de Santa María de En nuestro e n te n d e r , esta disputa no procede sino del hizo D. Alonso del diestro oficial tercero del ministerio de Ma­ Puerto-Príncipe á D . Juan Tomas O -R eilly regular porción diverso aspecto bajo el cual ha considerado esta m ateria rina , e«» que anunciaba haber dispuesto el Gobierno por Real de semilla del gusano de seda, que con franca rnauo le cedió d…</t>
  </si>
  <si>
    <t>…Sr. B E N A V ID E S: Yo tuve, señores, un gran senti­ promesa tan sagrada como la de la viuda que reclame su viu­ El Sr. S urrá, que tomó la palabra en diverso sentido, dijo miento dias anteriores cuando vi que al hablar el Sr. Alonso dedad , y el jubilado lo que le corresponde por sus años de en defensa de la ley que tanto mas la creia conveniente , y que mezcló S. S. la política con esta cuestión. N ada tiene que ver servicio. el Congreso debería aprobarla, cuanto que el Gobierno habia con ella; demasiado envenena toda…</t>
  </si>
  <si>
    <t>de, Alvarez. Este Sr. Diputado</t>
  </si>
  <si>
    <t>Alvarez. Este Sr. Diputado de</t>
  </si>
  <si>
    <t>…ía de haber dado el to mas odioso cuanto que en ese tribunal se dejaba á españoles las Cortes cuando se procedió á la prisión del Sr. D ip utado voto que di. El dictámen de la comisión dice en su parte dis­ tan dignos como el Sr. Alvarez. Este Sr. Diputado desaforado, A lv a r e z ? positiva , pues á este y no á su preámbulo hay que atender como se le desafora en el hecho de conceder que la autoridad Otro caso previene el artícu lo, y es, cuando haya sido h a ­ (Leyó). Esta es la resolución, esto lo que el Congreso tendrá á…</t>
  </si>
  <si>
    <t>de, Alvaro</t>
  </si>
  <si>
    <t>Alvaro de</t>
  </si>
  <si>
    <t>…las 50 que se sujetaron á su El Sr. A L O N S O (D. J u a n Bautista): Señores, tengo pre­ CONGRESO DE D IP U T A D O S. examen; pero las otras 15 sufrieron diferentes impugnaciones sente todavía el discurso que pronunció el Sr. Alvaro delante y protestas. PRESIDENCIA DEL SEKOR C A L A T R A V A . del Congreso y la impresión que me hizo algun a de sus refle­ L a comisión no cree que debe molestar al Senado con la xiones ; pero como S. S. ha dicho solo que tiene defectos el d i c ­ minuciosa relación de aquellas im pugnacio…</t>
  </si>
  <si>
    <t>…de, porque si antes se han ejecutado ac­ inmarcesibles. labra para apoyar el dictamen se habia propuesto hacer una tos contra los que ahora se reclaman, ¿n o se les podrá presen­ Hay m as, y aqui quisiera yo que mi amigo el Sr. Alvaro defensa completa del ministerio. tar sus razones contra sus razones mismas? Este es el argu­ estuviera presente para que viera que lo que ayer atacó se ha Que el Sr. Alvaro habia dicho que el ministerio solo debía mento que parece que tiene mas fuerza. Pero no es esa la razón visto en todos…</t>
  </si>
  <si>
    <t>de, Andrés</t>
  </si>
  <si>
    <t>Andrés de</t>
  </si>
  <si>
    <t>…e, D. Jo a q u ín I d em 2 1. preciar nuestros agricultores ni tampoco el Gobierno, cu y a G utié rre z, D. Nicolás R u iz y G allego , D. J u a n de Igualado, suerte será inseparable de la de aquellos por todo el tiempo que D. Andrés de Z a y a s , D. Andrés García , D. Francisco J a v ie r Gusanos d e sed a y rem o la ch a d e az úcar . la industria fabril permanezca entre nosotros tan atrasada res­ A n g u lo , D. Luciano V id al , D. M anuel R a m íre z , D. M anuel pecto de las otras naciones. Por él vemos que los n…</t>
  </si>
  <si>
    <t>de, Andrés Cecilio</t>
  </si>
  <si>
    <t>Andrés Cecilio de</t>
  </si>
  <si>
    <t>…considerable de valores, no con­ O irá id ., sierra de G ador, Balsa n ueva, término del Fon- Otra de id ., en i d ., por D. Francisco O liveras , en 5. tando mas que con 10 pueblos que son los fortificados. don, Fortuna , por D. Andrés Cecilio de M oya , en i.° Otra de id ., eu el término de O gassa, del nombrado p a rti­ (Z&gt;. M. d e V.) Otra id ., i d . , collado del A gua , término de Berja , Cruz do y proviocia , por D. Buenaventura Sau van y, en 5. de P rieg o , por José Linares C ojayar , en 5. Otra de id ., en la in…</t>
  </si>
  <si>
    <t>de, Antonio</t>
  </si>
  <si>
    <t>Antonio de</t>
  </si>
  <si>
    <t>…el G u ijo , término de gos tenían ocultas en las cuevas de S. Leonardo; y que habia nela de Santiago, á D. Manuel Pagan , en id. B erja, Santa Tecla ó M artirio , por Ju an Parrón, en 24« llegado á Salas el de la misma clase D. Antonio del Riego con Otra id. en dicho térm ino, cerro del Poyo, Cuatro amigos, Otra id. en la cuesta del Cañarete, término de E n ix , Sao á D. Agustín Cano , en id. la cuarta compañía del provincial de Laredo y un piquete de M arcos, por Ventura L up iañ ez, en 24* guias conduciendo nueve prisi…</t>
  </si>
  <si>
    <t>…ras Reales órdenes posteriores. (Id.) Gorocochea, D. Ju a n L «rañ a , D. A ndrés M eodez y P areja, y otras p ara la italiana El ancho de estas salas es de L e y señalando á la v iu d a de D . F ro ilan Mendez V i*o , m uer­ D. Antonio del R io , D. Ignacio de la R iv a , D . Blas M ena y 43 p ies, 54 de altu ra , y de 54 á 87 de larg o ; el pavim en­ to en defensa del orden p úb lico , una pensión de 2 0 $ reales. O liv e r, D. Gerónimo D íaguez , D . Isidoro Fernandez de A n ­ to de argamasa finísim a; las jam bas y di…</t>
  </si>
  <si>
    <t>…calles adonde ha sido reprimida, sequillo el comandante del escuadrón franco de aquella pro­ que hacer mas que rechazar el tratado pura y simplemente , y se ha refugiado y atrincherado en el corazón del Estado,en don­ vincia D. Antonio del Solar, manifestando la persecución he­ oponer una resistencia de inercia, como lo hizo la Holanda de como en lugar seguro inquieta al Gobierno, trata de envi­ lecerle y le opone obstáculos á. su marcha. r v r--n- cha á 50 cabal'os del cabecilla Palillos que logró avistar á las durante…</t>
  </si>
  <si>
    <t>…acienda en la pro­ de Y. M .~G . P. I ., Jose M aría de S. M illan.ziSerafin del sesión El mismo oyó con agrado la felicitación por la memorable vincia de Granada. R io, secretario interino. =: Mariano Guervos, oficial segundo D. Antonio de 7 del corriente de D. Matías Bonilla y Contreras y primero. = Mariano Ignacio de V e rg ara, oficial segundo se­ dirigen la diputación Resino y Estrada ; y la que con igual motivo le gundo.—Gefe de contabilidad, Marcos Escario.=Bernabe M or­ el ayuntamiento de Bilbao. provincial y ayunt…</t>
  </si>
  <si>
    <t>…s de Y iü a g a r c í a , D. José de San M ü la a , D. A u - de gobierno, que la energía ha de ser el carácter distin tivo de lo que mas bien pide lágrimas que palabras. Lo confesamos: al reliano de Beruete , D. José Crozat, D. Antonio del Alcázar, mi interino mando. Barcelona 2 9 de Noviembre de 1859.= José pronto no podíamos resolvernos á dar crédito á los rumores p ú ­ D. M anuel N ieto, D. Andrés A qu il y O’Conell, D. José M a ­ M aría de Gispert. blicos que corrían sobre este acontecimiento: reflexionábamos en rí…</t>
  </si>
  <si>
    <t>de, Antonio Aguiar.</t>
  </si>
  <si>
    <t>Antonio Aguiar. de</t>
  </si>
  <si>
    <t>…do á indulto el comandante de la infantería de la facción del cabecilla muerto Souto, con 15 de Francisco N a rv a e z .= Jo sé de San M illan.= Saturn ino C al­ te de los S en ad or es . su partida y el titulado subteniente D. Antonio Aguiar. derón C ollatites.=M anuel Montes de Oca. E s t a d is pos ici ón , que entre otras causas hacia Y concluye diciendo el expresado capitán general que G a­ necesaria el venturoso cambio o cur ri do en el estado licia gozará muy en breve de la paz y tranquilidad que ya R E A L DECRE…</t>
  </si>
  <si>
    <t>de, Antonio Cotización</t>
  </si>
  <si>
    <t>Antonio Cotización de</t>
  </si>
  <si>
    <t>…con las for­ bre la facción misma. malidades que la misma previene, tocó á los sugetos siguientes: BOLSA DE M ADRID. N o puedo dar detalles sobre esta victoria ; pero todos los D. Manuel Abascal, D. José Tomé y O o d arreta, D. Antonio Cotización del día 24 d las tres de la tarde • militares que haw llegado á esta ciudad después de haber teni­ Sánchez Ocaña, D. Antonio M altrana, D. Ezequiel Martin y do parte en ella , la cuentan coino un hecho glorioso de armase Alonso, D. Manuel Regidor, D. Manuel Bretón, D. Juan EFECT…</t>
  </si>
  <si>
    <t>de, Antonio de Torres y Chacón</t>
  </si>
  <si>
    <t>Antonio de Torres y Chacón de</t>
  </si>
  <si>
    <t>…ue en el juzgado de primera instancia de esta ciudad ye: “ y sus tramas para su confusión;” denunciado en 15 de MINISTERIO DE HACIENDA. de Salamanca y su partido se ha seguido causa en virtud de Setiembre último por los Sres. D. Antonio de Torres y Chacón denuncia sobre exceso de libertad de imprenta, interpuesta por y D. Vicente Hernández ,1a ley absuelve á D. Manuel del Pozo, D. Fernando García de N ieva, procurador de este número, á responsable á dicho impreso; y en su consecuencia mando t que Tercera seccio n. — Circ…</t>
  </si>
  <si>
    <t>de, Antonio Ramírez</t>
  </si>
  <si>
    <t>Antonio Ramírez de</t>
  </si>
  <si>
    <t>…aba la ley electoral. ' Se dio cuenta de la siguiente proposición suscrita por los á dar por separado el suyo. Que vista la resolución del Congreso había pedido una cer­ Sres. Ferrer y González. N o es esta la primera vez que D. Antonio Ramírez de A re- tificación del acuerdo del mismo, la cual habia dirigido á Se­ Pedimos al Senado que se permita extraer el corcho de las llano ha ocupado la superior atención y justificación del villa para presentarla por medio de procurador, pidiendo ade­ provincias de Salamanca, Extremad…</t>
  </si>
  <si>
    <t>de, Antonio Sandalio</t>
  </si>
  <si>
    <t>Antonio Sandalio de</t>
  </si>
  <si>
    <t>…tirse en abuso este acto de equidad. Si Dictamen de una comisión especial compuesta de los socios proveerse de ellas en esta provincia, sino también porque no se las cláusulas de reversión explícita que hasta ahora se han des­ D. Antonio Sandalio de A ria s ; D. Ensebio María del perdían tantas al conducirlas, á pesar de ser mucho mas con ­ cubierto son escasas en num ero, y de poca entidad el valor de V a lie ; D. Luis Alonso Floreza D. Nicolás Casas y Don siderable la distancia. N o fue difícil encontrar la causa de este l…</t>
  </si>
  <si>
    <t>de, Antonio Silva</t>
  </si>
  <si>
    <t>Antonio Silva de</t>
  </si>
  <si>
    <t>…on con bastante regularidad, y tradujeron bien ( La Crónica. ) seis meses que hace entraron aíli. Y si bien es cierto que el an­ algunos párrafos del Telérsaco. tiguo inspector en la visita privada que hizo sin previo an un­ D. Antonio Silva desempeña el magisterio de la de ingles, cio al colegio á mediados de Diciembre último encontró por el dividida en dos secciones. Los de la primera analizaron algunos estado de los niños que á su presencia fueron preguntados en temas de la gramática deYJrcuilu, y tradujeron muy bien…</t>
  </si>
  <si>
    <t>de, Arellano. Prescinde</t>
  </si>
  <si>
    <t>Arellano. Prescinde de</t>
  </si>
  <si>
    <t>…te puedo decirla dia menos, teniendo presente el texto de la ley, de dar su voto constare mas que de una sola parte ó artículo , se entenderá des­ que con la brevedad posible continúe la sustanciado» de la j á la admisión del Sr. Arellano. Prescinde de si es criminal ó de luego aprobado sin necesidad de nueva discusión ni votación. causa. inocente; pero cree que no habiendo auto de prisión , no hay Consta esta adición de dos partes, la primera determina la A vista de esta resolución del tribunal mas sabio de la n a - ¡ por…</t>
  </si>
  <si>
    <t>de, Arenas</t>
  </si>
  <si>
    <t>Arenas de</t>
  </si>
  <si>
    <t>…miento siervos. ta n te, no debían pesar sobre estos, sino sobre el G obierno, que y traducción de los fueros tanto políticos, económ icos, adrni- los habia puesto en el compromiso presente. D igno nos parece el discurso del Sr. Arenas del ob ­ twstrativos y judiciales. Y concluyó llamando la atención del Congreso sobre las si­ jeto que lo ha m otiv ad o, y del sitio en que se pronun­ Toda la tendencia de su discurso ha sido para hacer ver guientes palabras que deseaba quedasen consignadas com o su c io ; enlázanse en él l…</t>
  </si>
  <si>
    <t>de, Argiielles</t>
  </si>
  <si>
    <t>Argiielles de</t>
  </si>
  <si>
    <t>…ar á la cqestion: asi digo y repito que esta cuestión es grave, graví­ denuncia, y motivos hay para creer que el Gobierno se propu­ Contestaré á la indicación del Sr. A rguelles, sobre si duda­ sima. Habló con este motivo el Sr. Argiielles del obispo de O ri- ba el Gobierno de la facultad que tenia. No lo duda el Go­ so aqui dos objetos: primero , no negar el auxilio que le pedia huela, que hace una iufinidad de cosas; pero ¿dónde las hace? bierno , ha hecho cuanto puede; pero téngase en cuenta que ¿1 gobernador de la metró…</t>
  </si>
  <si>
    <t>…ficio. comisión se hacían en el dictámen. capitanes generales. Eu cuanto á la recomendación que hizo el Concluye diciendo que mediante á las observaciones que ha S. S. explica las dos clases de juzgados militares que se co­ Sr. Argiielles de que sean vigilados los carlistas observa que con hecho, ruega á la comisión retire «I artículo. nocen, diciendo que el uno se establece por la ordenanza, y el solo la observancia 110 se evita el que conspiren los carlistas, y El Sr. B RAVO M U R I L L O : El Sr. Sancho no ha im p u g­…</t>
  </si>
  <si>
    <t>de, Arguelles</t>
  </si>
  <si>
    <t>Arguelles de</t>
  </si>
  <si>
    <t>…de rendirnos ai Príncipe rebelde. te vió que el metropolitano habia padecido una equivocación, por no ser él el responsable en este asunto, era perfectamente pues solo se trataba de un edicto de esos generales que prohibía El Sr. Arguelles debe saber, como igualmente todos los se­ im parcial, habia reconocido que era gravísimo el asunto , y ñores Diputados, el pueblo que me escucha , y el pais en masa, ciertos libros, y no resultaba que hubiese obtenido pase. Y el grave la calificación , lo que debía haber sido suficiente m…</t>
  </si>
  <si>
    <t>…pantosa agonía, y salvad nues­ en cuanto á la segunda también será indispensable requisito la tro comercio. publicación,' y sobre esto creo que tampoco puede haber cues­ PARTES. tión fundada. En cuanto á los argumentos del Sr. Arguelles debo contes­ E l capitán general, de Granada en comunicación de 9 del CORTES. tar á S. S. que no conozco las prácticas parlamentarias de otros; pero á la comisión le parece conveniente en que la admisión de actual participa al Gobierno que en consecuencia de la recla- macion qne hizo a…</t>
  </si>
  <si>
    <t>de, Armildez</t>
  </si>
  <si>
    <t>Armildez de</t>
  </si>
  <si>
    <t>…on la mayor parte de ellas; y sin embargo,con arregío el Gobierno, y nombramiento de una división al mando del al reglamento se decia si eran dignas ó no de tomarse en con­ BOLETIN DE COMERCIO* general D. Santiago W a l l , conde Armildez de T oledo, é ins­ sideración. trucciones que se le cometen para la pacificación del pais suble­ El Sr. Y I L L A L O N elogió la conducta de D. J u a n M a r ­ B O L S A DE M A D R I D . vado de las provincias exentas.. tin Arnedo; y dijo que creia ser esto una intriga de los con­ Comunic…</t>
  </si>
  <si>
    <t>de, Aspiroz Inspección</t>
  </si>
  <si>
    <t>Aspiroz Inspección de</t>
  </si>
  <si>
    <t>…dro M aría Zubiaga.=:Es copia. M añana se ejecutará el drama nuevo en dos actos, trad u ­ vimiento descendieron para picar la retaguardia amenazando cido del fran cés, titulado envolver la izquierda de nuestras tropas. El general Aspiroz Inspección de minas del distrito de Aragón y C atalu ñ a.?: contuvo a los rebeldes haciéndoles retroceder. Añade que las Mes de Ju n io de 1839.=sRelacion de las minas registradas eu él. E L ABUELO. tropas campan á la vista de Tales protegiendo los trabajos que Una mina de carbón de p iedra,…</t>
  </si>
  <si>
    <t>de, Aylloo</t>
  </si>
  <si>
    <t>Aylloo de</t>
  </si>
  <si>
    <t>…antece­ y sus adquisiciones, redención de censos, préstamos y transac­ nuevo. dentes para que yo decida esta cuestión con el tino debido. Yo ciones de cualquiera especie que tuviere que hacer el común por Se ha admirado el Sr. Aylloo de que yo como letrado á se lo agradeceré á S. S. y procederé en este asunto con toda la necesidad ó conveniencia. quien ha honrado rúas de lo que merezco, haya dicho que el atención que me sea dable, resolviéndolo si se debe en favor de 9.° Sobre el establecimiento , supresión ó traslación…</t>
  </si>
  <si>
    <t>de, Aznar.</t>
  </si>
  <si>
    <t>Aznar. de</t>
  </si>
  <si>
    <t>…contribución extraordinaria de guerra ; pero necidos: V ed ahí el brazo y la espada de nuestro bravo igualdad de armas, y dirigido por Cabrera en persona, hace restan sin embargo 118.159,941 rs., com o producto ordinario coronel Aznar. de tanto mas grado la defensa de estos bravos m ilitares, que de las contribuciones directas ó indirectas durante los dos cita­ Dígnese Y . E. admitir benévolo nuestra felicitación y el no tengo reparo de suplicar á V . S. recomiende á todos á S. M .; dos meses , en los cuales están comprend…</t>
  </si>
  <si>
    <t>de, Azpiroz Puente</t>
  </si>
  <si>
    <t>Azpiroz Puente de</t>
  </si>
  <si>
    <t>…Sr. capitán general de Galicia. los barrenos.. . ............................................................. 4,867.. 6 parteEldebrigadier segundo cabo de Valencia con fecha del 13 da que habiendo salido de Onda el 8 el general Azpiroz Puente del Guadalhullon. con dirección á los pueblos de Tales y Suera, ocupados por los rebeldes, logró arrojarlos á la bayoneta de las ventajosas posi­ S. M. la Reina Gobernadora se ha servido nombrar para Por 1,210 jornales de varios precios pagados ciones que ocupaban en aquella línea,…</t>
  </si>
  <si>
    <t>de, Baeza</t>
  </si>
  <si>
    <t>Baeza de</t>
  </si>
  <si>
    <t>…tículo de la Constitución, ciñéndonos á su letra sin los Diputados tengan dependencia del Gobierno; y 2 .° evitar dos mas ilustrados en la materia no hayan pedido la palabra interpretación, sin rodeos y sin circunloquios, el Sr. Baeza de­ el afecto ó el agradecimiento que debe contraer el Diputado con be quedar sujeto á reelección. un Gobierno que le agracia. Yo creo que el Sr. Baeza ha ad­ en contra de un dictámen de comisión, que á rni modó de ver Pero^hay mas, señores,el Sr. Baeza pasando al tribunal de quirido gracia…</t>
  </si>
  <si>
    <t>…Sr. Pelegrin dice que el Diputado de que se trata no debidos, ¿cuánto mejor será aprovechar la circunstañcia 3 el putado ausente, si no contestase á las varias equivocaciones que quedó cesante, porque se nombró en su lugar al Sr. Baeza de valor en que han venido á&gt;parar estos para interesar á loá acree­ se han cometido; porque se trata de personas, y se ha confun­ resultas de lós sucesos de la Granja. dores extrangeros y nacionales, á fin de que cubran estás obli­ dido el caso del Sr. Castro con el del Sr. L asagra, sugeto q…</t>
  </si>
  <si>
    <t>de, Bajo</t>
  </si>
  <si>
    <t>Bajo de</t>
  </si>
  <si>
    <t>…Cabo.” error consisiia únicamente en el recuerdo del nombre.” DATO QUINTO. Ninguno de los datos antiguos y modernos fija la si­ DIRECCION DE HIDROGRAFIA. tuación En la carta de las costas de España y Portugal del ta general del Bajo de un modo satisfactorio, y para la Car­ AVISO A LOS NAVEGANTES. año de 1751, publicada por el Depósito de Paris, se halla el promediodede1837los se adopto en el Depósito Hidrográfico datos conocidos hasta ese año. Poste­ la siguiente nota. «Muchas cartas manifiestan una piedra ó riormente…</t>
  </si>
  <si>
    <t>de, Baltasar</t>
  </si>
  <si>
    <t>Baltasar de</t>
  </si>
  <si>
    <t>…es que corrían , vincia de C astilla la N u e .a , é ignorándose en esta corte nor edad de mi excelsa hija la Reina Doña Isabel n , y en las orillas del rio Fresneda, y después de una penosa m ar­ la habitación del Sr. coronel D. Baltasar de Y illa lv a , se le da atendiendo al mérito, servicios y circunstancias del ma­ cha logró aprehender á cuatro y un espía , un caballo y una este aviso para que se presente en la escribanía principal del riscal de campo D. Laureano Sanz, comandante general y e g u a , tres retacos y tres…</t>
  </si>
  <si>
    <t>de, Basilio</t>
  </si>
  <si>
    <t>Basilio de</t>
  </si>
  <si>
    <t>…sé Alvarez Crespo, D. José Sagiista, este servicio, ó encomendar al éxito de un sorteo el seña­ llamamiento, se le conducirá á esta capital en calidad de preso Moyana, D.Martínez D. Tomas Domingo Ibarra, D. Joaquín Alcalde, D. Basilio del Rio y D. Manuel Labraña , quienes lamiento de los individuos que han de componer dicho de justicia en justicia por su inobediencia á los preceptos judi­ por unanimidad declararon no haber lugar á la formación de batallón, ha preferido sin embargo el medio de explorar ciales. Granada 1…</t>
  </si>
  <si>
    <t>de, Baudin</t>
  </si>
  <si>
    <t>Baudin de</t>
  </si>
  <si>
    <t>…ñón m a s , á que respondió negativamente. Que en Ja inteligencia se debidamente sino presentadas en términos m u y diversos de de pistola. de W a l c h , Philippet y los que llevaban redingotes eran los los que ha copiado el Sr. Baudin de algún documento que le ha Otro jornalero del Sr. P i h e t , llamado Metinier, de ejercicio gefes. Que en se g u id a, y yendo al frente P h ilip p e t , se d irig ió pa&gt; ecido oficial. Los principios mas sanos pueden presentarse tornero, que no se habia presentado en el taller desde 1 L d…</t>
  </si>
  <si>
    <t>de, Baus</t>
  </si>
  <si>
    <t>Baus de</t>
  </si>
  <si>
    <t>…ar. 5. ° Las boleras, á doce, llamadas del Marioerito. Alicante, ¿ d. Santiago, 2 d. 4.0 La comedia nueva , en un acto, qae lleva por título E L Barcelona, á ps. f s ., par. Sevilla , id. A R T IC U LO 9 6 0 , en la que la Sra. Baus desempeñará un pa­ Bilbao, id. Valencia , par. pel de hom bre, y D. José García Luna uoo característico. SOCIEDAD ECONOMICA M A T R ITE N SE. Cádiz, 1¿ d. Zaragoza, id. Elecciones de oficios para el próximo año de 184O. Descuento de letras , á 6 por 100 al año. CRUZ. A las siete de la noche.…</t>
  </si>
  <si>
    <t>…., par. Sevilla, id. 5.° Lax boleras, á doce, llamadas del Marinerito. Bilbao, id. Valencia, par. 4.0 La comedia nueva , en un acto, q«e lleva por título E L Cádiz, i | d. Z aragoza, id. A R T IC U L O 9 6 0 , en la que la Sra. Baus desempeñará un pa­ D. Salvador María Perez, escribano de S. M . , del colegio Descuento de letras , á 6 por 100 al año. pel de hom bre, y D. José García L u n a uno característico. de esta ciudad y de ndtnero interino en la misma y su parti­ do &amp;c. Certifico: Que en el juzgado de primera ins…</t>
  </si>
  <si>
    <t>…l pavo. tantas circunstancias imperiosas que le han obligado á suspen­ Antigüedades españolas.—Descubrimiento de Baena, artícu­ A R T IC ULaL Ocomedia 4«° 9 6 0 , nueva , en un acto, qae lleva por título E L en la que la Sra. Baus desempeñará un pa­ de- la creación de un canal de reunión que trasmitiese á la pos­ lo tercero y último. pel de hom bre, y D. José García L una uno característico. teridad la mas remota la gloria de su ilustre fundador. Poesía.^Impresiones de la noche, por D. J. de Zorrilla. La dificultad ma…</t>
  </si>
  <si>
    <t>de, Becerra</t>
  </si>
  <si>
    <t>Becerra de</t>
  </si>
  <si>
    <t>…ués qoe- no se trataba de establecer una justa sido insuficientes para el caso? El Sr. marques de FALCES hizo la siguiente pregunta al 6 comisión de liquidación que usar ¡pase cm cierta manera sus Con testó á lo dicho por el Sr. Becerra de que ¡es. el proyec­ Sr. Ministro. ¿Estas, ¡antas ó comisiones que van i formarse, •tribocioittes i las contad artas» sino de una junta que solo ha­ to no se expresaba con claridad si lias causas pendientes de los ' van i liquidar créditos ó no? Pues si Iban i liquidarlos, uo bía de ente…</t>
  </si>
  <si>
    <t>de, Benavides</t>
  </si>
  <si>
    <t>Benavides de</t>
  </si>
  <si>
    <t>…e á mala administración........ El Sr. P R E SID E N T E : Para satisfacer los escrúpulos del este temor m ió, y casi hubiera renunciado la palabra si no con­ El Sr. P R E S ID E N T E : Sr. A y llo n , cantráigase Y; S.* á Sr. Benavides debo decir que hace ocho ó diez dias que por pri­ siderase este asunto de la mayor importancia. Señores, si hay deshacer equivocaciones. mera vez señalé expresamente este asunto , al verificarlo también una petición que obliga á los Diputados á entrar en el exámen El Sr. A Y L L O N : He…</t>
  </si>
  <si>
    <t>…cluidos ciertos i n ­ d iv id u o s, y presentó razones: el ayuntam ie nto dijo por el con­ BOLSA DE M A D R ID . político se creyese autorizado para imponer uoa ley tao t ir á n i ­ ca , apoyada en una base contra la que el Sr. Benavides decla­ trario que s í , y las presentó también á su v e z , de manera que Cotización del dia 2 0 d las tres de la tarde. mó dias pasados. S. S. dijo : que todo reglamento tiene por ob­ se presenta un caso dudoso, y por solo un caso dudoso ¿se de­ ben reprobar unas elecciones? EFECTOS PUBL…</t>
  </si>
  <si>
    <t>de, Benito</t>
  </si>
  <si>
    <t>Benito de</t>
  </si>
  <si>
    <t>…0 rs. , y 870 y 10 sociedad celebrada en 15 de Julio del año anterior, la cual fue Onofre Mozo Nevares, cura párroco de S. Ildefonso, marque* maravedís por los gastos precisos para amueblar las escuelas. aprobada. de Falces y D. Benito del Collado y Ardanui. Estos nombra­ El sueldo de los maestros ha ascendido á 5500 rs., resultando El mismo Sr. secretario general leyó una extensa y per­ mientos fueron todos aprobados por la sociedad, como igual­ de consiguiente que los gastos de la primera c’ase ascienden á fectamente esc…</t>
  </si>
  <si>
    <t>…será un a muestra irrefra­ En Torroella de M o n tg r i, D. Francisco de Camps* perfección á que ha llegado en el dia. Asi que, no h ay que e s ­ gable de que las medidas adoptadas por la adm in istració n, son En la B isbal, D. Benito de C lurana. perar en este libro el aparato de cálculos, y a algeb raico s, y a las que deseamos que se adopten, es decir , medidas que asegu­ En Oadaqués, D. Ramón Basart. numéricos, que son necesarios para resolver el gran problema ren la libertad legal y la prosperidad pública. Si obrase d…</t>
  </si>
  <si>
    <t>de, Bernardo</t>
  </si>
  <si>
    <t>Bernardo de</t>
  </si>
  <si>
    <t>…rcaciones dadas . El domingo 7 del presente roes dará principio á las siete y Una mina plomiza en Cabo de Gata , término de Ni ja r, La SUSCRIPCION. media de la noche la cátedra de geografía desempeñada por el Casualidad , á D. Bernardo de C am po, en 7. Sr. D. Juan de la Cruz Tirado. Otra idí. en sierra de G ador, cerro de la M onterilla, tér­ H IST O R IA G E N E R A L D E E S P A Ñ A , compuesta, en­ La de principios de literatura, desempeñada por el Sr. D on mino de Benadux, nuestra Señora del M a r , á Antonio Esqui­…</t>
  </si>
  <si>
    <t>de, Beuito</t>
  </si>
  <si>
    <t>Beuito de</t>
  </si>
  <si>
    <t>…aré sin embargo que todos los Sres. generales, gefes, A U ST R IA . nito Eraso, muerto de enferm edad: D. Gmóstomo Bidaondo, ; oficiales y tropas llenaron sus deberes de una manera que les vocal de la ju n ta , en desgracia : D. Beuito del R i o , id. id. r Don honra. El mariscal de campo D. Bartolomé Arnor estuvo cons­ El archiduque palatino ha llegado aq u í para solicitar una J o a q u ia M a rc h a la r , id. id : general S ig a s lib e lz a , muerto ei* tantemente á mi lado, y me dio á conocer sus buenos deseos y med…</t>
  </si>
  <si>
    <t>de, Blas</t>
  </si>
  <si>
    <t>Blas de</t>
  </si>
  <si>
    <t>…e, 1 á J d. Santiago, á 2 id. cer, Vallecas, Palencia, Madrid &amp;c. Otra, En las mismas librerías se hallarán las demas obras Barcelona, á ps. fs., ¿ papel d. Sevilla, par á i d. Antecedentes muy notables del ex-confesor dei Rey D. Blas del autor , á saber: Bilbao, | á J d. Valencia, \ d. Ostolaza , y del Lri^adier Ft. Bartolomé T alar», preso aquel Gramática francesa , tercera edición. Cádiz, o, id. [Zaragoza , par. en Cartagena, y expulsado este de la corte de Real orden. Elementos de gramática castellana, segunda edición.…</t>
  </si>
  <si>
    <t>…co. E n tr e g a de MAYO de 1839. Id. d el cé le b re g en eral de m a rin a D. A lvaro d e Bazan, p rim e r m a rq u es de S a n ta -C ru z , 2 rs. Se halla a 3 rs. tanto en rama como en rústica en el Id. d el g e n e ra l D. Blas de L ezo , u n real. p O R el^ presente c ito , llamo y emplazo á los herederos de despacho de dicha Imprenta. Id. del a lm ira n te D. A ntonio d e G aztañ eta, u n real. ? ° ^ a ^ anue^a M artínez A lcázar, vecina que fue de la Comprende varios decretos, órdenes y circulares de N oticia biog…</t>
  </si>
  <si>
    <t>de, Bofarull</t>
  </si>
  <si>
    <t>Bofarull de</t>
  </si>
  <si>
    <t>…rada hasta ahora , de Suniefre- de poderse informar con mas prontitud de los progresos de 1* d o, conde de Urgel, hijo de Wifredo i el Velloso, y de­ enfermedad. D e todos los hombres, ninguno como el príncipe ducida por el Sr. Bofarull del cotejo de signos , firmas y de Talleirand ha sabido quizás concillarse tanto, sin el menor M A D R ID 5 DE JU N IO . rúbricas. esfuerzo en la apariencia , el afecto de sus subordinados. Los 2.° La de Mirón i, conde de Barcelona, hijo y sucesor que le rodeaban en sus últimos momentos h…</t>
  </si>
  <si>
    <t>de, BOSTOPTCHINE Recompensas</t>
  </si>
  <si>
    <t>BOSTOPTCHINE Recompensas de</t>
  </si>
  <si>
    <t>…x. gocio á que se debe atender con preferencia, por el bienestar de CAPITULO X III. aquellas provincias, por el buen nombre del duque de la Vic­ toria , por la libertad, y por la felicidad de toda la nación. MEMORIAS DEL CONDE BOSTOPTCHINE Recompensas del cielo. . El Sr. CORTINA: La comisión de Contestación al discurso ESCRITAS EN DIEZ MINUTOS. (1 ) Mi mayor felicidad se cifra en vivir independiente de «Se la corona, que se ha visto interpelada amistosamente por el los tres personajes que gobiernan la Europa. Como soy s…</t>
  </si>
  <si>
    <t>de, Bravo Ateneo</t>
  </si>
  <si>
    <t>Bravo Ateneo de</t>
  </si>
  <si>
    <t>…da en esta cuestión el Congreso, tra justa causa. * cal del baile. asi obrara el Gobierno, aunque nunca consentirá voto de cen­ sura por actos en los que no ha tenido parte. Entrando en la cuestión , continuó , ha dicho el Sr. Bravo Ateneo de M a d rid , “ r illo , y eu esto creo que hace un segundo cargo ai G o b e r­ Desde mañana viernes se continúan las cátedras.</t>
  </si>
  <si>
    <t>de, Bretón</t>
  </si>
  <si>
    <t>Bretón de</t>
  </si>
  <si>
    <t>…nstrucción , exci­ gresos del arte dramático sobre todo. de 15 rebeldes, habiendo muerto seis, y capturado 15 armas y tó el Sr. vicepresidente á los expectadores á que tomasen ejem­ Nada de su vigor ha perdido el talento del Sr. Bretón des­ cuatro caballos: entre los muertos se cuentan á D. José Torre y plares del suplemento á la Gaceta de 29 de Julio último que de que tan felizmente se dió á conocer con Los dos sobrinos ; D. Antonio Prado y M endez, aprehendido con otros tres mas estaban sobre la mesa, invitándolos á que…</t>
  </si>
  <si>
    <t>de, Bretón de los Herreros.</t>
  </si>
  <si>
    <t>Bretón de los Herreros. de</t>
  </si>
  <si>
    <t>…stiene y alienta el exaltado cepresidente, Sr. Gil Zarate. Secretario, Sr. Revilla. Vicese­ ocupado todas ellas de un pensamiento de nuestro digno presi­ celo ó fanatismo de los predicadores metodistas y anabatistas cretario, Sr. Bretón de los Herreros. dente el Sr. D. Francisco Martines de la Rosa, propuesto en la Un individuo de estas sectas llamado Kiubb comenzó un movi­ junta de gobierno en Febrero últim o, y aprobado después por miento sedicioso, recorrió varias haciendas y convocó los ne­ Memoria leida por el Sr. Sec…</t>
  </si>
  <si>
    <t>de, Burdeos</t>
  </si>
  <si>
    <t>Burdeos de</t>
  </si>
  <si>
    <t>…e su propio tiempo los derechos tradicionales del poder político. Por se han abstenido de hacerle la corte. Se asegura en los salones cargo. medio de esta resolución la proposición ha sido desechada, es políticos que el duque de Burdeos debe entrar al servicio de Dios guarde á V. E. muchos años. Madrid 1.° de Di­ verdad ; pero' tal vez sus expresioáes han tenido ya eco en el Rusia, lo cual seria un nuevo insulto para la corte de Roma ciembre de 1839— Francisco Narvaez. corazón del pueblo, el cual quizá manifestará su opin…</t>
  </si>
  <si>
    <t>De, Ca-</t>
  </si>
  <si>
    <t>Ca- De</t>
  </si>
  <si>
    <t>….................................. 249 adición el Sr, marques de G asa-Iru jo, la que fue retirada por De medio lujo á.............................................. 120 su autor en vista de una breve explicación dada por el Sr. Ca- De tafilete ó plancha á................. 46 raaleño como individuo de la comisión. De pasta fina con retratos á....................... 28 El Sr. P R E S ID E N T E : Se suspende esta discusión por un BOLETIN DE COMERCIO. De idem común sin ellos.. . . . . . . . . . . . . . 20 momento para hace…</t>
  </si>
  <si>
    <t>de, Caballero</t>
  </si>
  <si>
    <t>Caballero de</t>
  </si>
  <si>
    <t>…e? p o lic ía; que en 1 8 5 6 , cuando y a regia la Constitucioo de mayorazgos. Dice asi la c irc u la r : ( Leyó.) Señores, ¿se les indica aqui 1 8 1 2 , sobre lo que llamaba la atención del Congreso, se pasó Ha hablado el Sr. Caballero de señoríos, y se refiere por mas que den un informe? Esta es mas bien una obligación que una circular por el ministerio de la Gobernación al de G racia toda prueba del cargo que ha hecho al Gobierno á una peti­ una atribución. y Justicia con la nota de u r g en tísim a, por la cual se hac…</t>
  </si>
  <si>
    <t>de, Cabrera</t>
  </si>
  <si>
    <t>Cabrera de</t>
  </si>
  <si>
    <t>…que en la mayor parte de sus carretera de Aragón á ejercer el cargo cometido por su titulado veridad en esta triste página de nuestra naciente nacionalidad, disposiciones, y especialmente en lo que concierne á l^s esti­ general Cabrera de robar á los transeúntes. Las obras de este fuferte han mejorado notablemente, en que sus dardos no se dirigirán á nosotros. No se nos oculta, se­ pulaciones financieras , no tema nada que temer la Bélgica tales t é r m i n o s , q u e ie hace impenetrable a toda la canalla re- ñores,…</t>
  </si>
  <si>
    <t>DE, Calderón de CONGRESO</t>
  </si>
  <si>
    <t>Calderón de CONGRESO DE</t>
  </si>
  <si>
    <t>…son , de examen de cu en tas, de peticiones, de ritorio. Todo esto es Verdad ; ¿ pero qué sucedió ? Que se empe­ gobierno interior y de corrección de estilo , aunque con el c a­ zaron á hacer adiciones, y se presentó una del Sr. Calderón de CONGRESO DE D IPUT AD O S. rácter de interinas. Todo esto después de nombrar las secciones lá B arc a, la cha! fue desechada , y después se precipitaron otras. sus Presidentes y Secretarios. El Sr. O S C A : No se presentó mas que una que fue la dél PRESIDENCIA DEL SEÑOR CALATRAVA. Sr…</t>
  </si>
  <si>
    <t>de, Caminos.</t>
  </si>
  <si>
    <t>Caminos. de</t>
  </si>
  <si>
    <t>…nandez de esta los organice en brigadas y entregue al comisiona­ Vallejo , por D. Luis Cases en calidad de apoderado de Don la elección sido de no habían intimados por un Real rescripto á proceder á do por la dirección general de Caminos. de un diputado de la Dieta que acaba de ser pro- El visitador de presidios D. Manuel Montesinos me Domingo Fernandez de A ngulo, intendente subdelegado de rogada , y acaban de decidir por unanimidad no haber lugar á Rentas de la provicia de Córdoba, en concepto de injurioso el dicha elecc…</t>
  </si>
  <si>
    <t>de, Campo</t>
  </si>
  <si>
    <t>Campo de</t>
  </si>
  <si>
    <t>…es á íiu «D . Gaspar Ondovilla. D. de im plorar el favor de la divina Providencia contra una nue­ O viedo. va iuvasiou. ( T im es .) C áceres. «Conde de Ada ñero. «D . M anuel M aría Acevedo. «M arques de Villacaznpo, conde del Campo de A lange. « D . Antonio Posada, arzobispo electo de Valencia. «D . Pedro de Ontiveros. «D . Pedro Salas Omaña. La escuadra de sir Carlos Pn^et destinada á M éjiéó, se há «D . Juan Nepomuceno San M iguel. dado á la vela para el Canadá. M. PAenkam , ministró inglés, Cádiz. «Conde de V igo. v…</t>
  </si>
  <si>
    <t>de, Campo Gi</t>
  </si>
  <si>
    <t>Campo Gi de</t>
  </si>
  <si>
    <t>…iaz.—Felipe de Cedrun.—Modeste de Leiva.=Antonio de Pan rácter español, y no puede mecos de admirarse la prudencia se añanza la felicidad social. Lós magistrados de esta audien­ darilias.=Jesus Antonio de Sta. Cruz.=El conde del Campo Gi del ilustre guerrero, que conforme con las instrucciones del su­ cia, Señora, en medio de tantos y tan justos motivos de rego­ ron.=Francisco de la Vega.zdFrancisco Javier Franco.=Jaciat&lt; premo Gobierno de V. M . , ha conseguido convertir en leales cijo público , lo tienen m uy intenso en…</t>
  </si>
  <si>
    <t>de, Campuzano</t>
  </si>
  <si>
    <t>Campuzano de</t>
  </si>
  <si>
    <t>…su dictamen arreglado á' U&gt; halla pues nuevamente en el caso de ser debatida entre el Rey y que prescribe el reglam ento, nunca se ha hecho m a s , porque los súbditos. Debe tenerse presente que las Cámaras de Hannó­ hecho el Sr. Campuzano del cargo de Senador por la provincia de B ú r g o s , para que fue nombrado por Real decreto. se ha reconocido la necesidad de mantener el reglam en to , ún ic a ver , después de haber votado provisionalmente la continuación ley que el Congreso tiene. del presupuesto, con reserva de la c…</t>
  </si>
  <si>
    <t>de, Carlos</t>
  </si>
  <si>
    <t>Carlos de</t>
  </si>
  <si>
    <t>…de no pagar las contri­ lengua inglesa un adjetivo bastante fuerte para calificar la con­ el telégrafo de Marsella de una parte de las noticias que han buciones, es decir , que tratan de sublevarse contra la ley. Los ducta de D. Carlos de algún tiempo á esta p arte: imposible se­ llegado esta mañana á Paris por el correo. Asi debe saber que intereses rivales al ver que la ley no interviene en el arreglo dé ria hacer la soberanía mas despreciable. Fulmina en prim er lu ­ el capitán baja Achmet ha hecho traición á su Gobierno…</t>
  </si>
  <si>
    <t>…ra llenar las f u n ­ P a re c e , según l a s fcnpticias dignas de crédito que recibimos ciones legislativas; se puede citar entre otros á un in d ivid uo de Berlín, que el asunto del arzobispo no toma un aspecto m u y El barón Carlos de W e r t h e r , hijo del ministro de Negocios extrangeros en P r u s i a , está acreditado en Lóudres en calidad que es mozo de servicio, y solo tiene 10 libras esterlinas al favorable; asi eft que los amigos y los parientes de Mr. de D u - añ o , y que recibe por su presencia en la asamb…</t>
  </si>
  <si>
    <t>…jecutada el Area. Esta es la unidad de la medida para superficie?. COLECCION DE LEYES. C en liárea, lo mismo que un metro cuadrado. dia 9 de Djcietnbre de 1797. Area «=uii cuadro de 36 pies castellanos por cada 2.a Causa da D. Carlos de A u s t r i a , Príncipe de Asturias, lado. REALES DECRETOS. condenado á muerte por su padre Felipe n , Rey de España.^ 3.a Insigue fidelidad de un perro. Infanticidios multipli­ Hectárea=27 fanegas de Madrid. 100 areas. ORDENES Y REGLAMENTOS DEL GOBIERNO cados. M edidas p a r a só lid…</t>
  </si>
  <si>
    <t>…ara presentar sus credenciales al R ey Carlos Alberto y creyó que por parte de la I ser e y del L ancier habia habido greso de nuestros establecimientos en la provincia de Argel y á la gran duquesa M aría Luisa de Parma. El conde Carlos de intención de insultar á la Gran Bretaña , y exigió que nuestros en la de Constantina es el verdadero motivo de uua agresión M o ru ay , nuestro ministro en S u e c ia , piensa pasar el invierno buques diesen una satifaccion pública, añadiendo las amenazas á insensata. Necesario es que esta…</t>
  </si>
  <si>
    <t>de, Carlos Rodríguez</t>
  </si>
  <si>
    <t>Carlos Rodríguez de</t>
  </si>
  <si>
    <t>…oletín oficial E L ópez, juez de primera instancia de esta villa, refrendada yan presentado á su llegada á él eu la administración de la C ua­ de esa provincia; en la inteligencia de que los individuos del escribano del número D. Carlos Rodríguez de M o y a , que tropea , y obtenido de ella el punto con las formalidades y con­ que pertenecieron á la Milicia nacional en 1823, y que despacha \u vacante de D. Julián García Huerta , se saca á pú­ secuencias inherentes á este paso. se crean con derecho á ser declarados benemérito…</t>
  </si>
  <si>
    <t>…erdad sobre la cuestión de sucesión. Véndese á 8 rs. en papel y 9 en rústica e n Nel despacho de pez, juez de primera instancia de esta villa, refrenda del Pragmática sanción de 1789. la imprenta nacional. escribano de número D. Carlos Rodríguez de M o y a , que des­ Nota final del editor español. pecha la escribanía vacante de D. Julián García Huerta , se cita y emplaza á todos los interesados al monte pío de criados distinguidos de la grandeza de España para que á las diez de la maña «a del domingo 4 de Agosto próximo ven…</t>
  </si>
  <si>
    <t>de, Carlos y Cabrera y los Ministros</t>
  </si>
  <si>
    <t>Carlos y Cabrera y los Ministros de</t>
  </si>
  <si>
    <t>…erra c iv il de E sp añ a, las atrocidades que en aquel pais periódicos, con autorización del Gobierno español, cierta cor­ á semejante Congreso? h an ocurrido , y que son una mengua para la h um an id ad , respondencia entre D. Carlos y Cabrera y los Ministros dester­ Es claro que la Inglaterra y la Francia insistirían en que creo no se hubieran perpetrado. Cuando pedí la presentación rados de aquel p rín cip e, la cual fue interceptada: por ella ap a­ asistiese á él un plenipotenciario de la R e i n a , y no otro ple­ d…</t>
  </si>
  <si>
    <t>de, Casimiro Mellier. Habiéndose</t>
  </si>
  <si>
    <t>Casimiro Mellier. Habiéndose de</t>
  </si>
  <si>
    <t>…tiago, 2 d. ejecutada por la Sra. Campos. Ayuntamiento constitucional de Madrid . Barcelona á ps. fs., par. Sevilla, 1 | id. 4.0 Fantasía de fagot por Mr. Villent, desempeñada por el Bilbao, id. Valencia, par. joven profesor D. Casimiro Mellier. Habiéndose denunciado ante el Sr. alcalde constitucional de Cádiz, i £ á * d. Zaragoza, id. 5.° Dúo en la ópera Ottelo , del maestro Rossini , por los esta heroica villa D. Angel Mazon por D. Manuel Fernandez de Sres. Unanue y Calvet; con decoración y trajes. Descuento de letras…</t>
  </si>
  <si>
    <t>de, Casimiro Vigodet</t>
  </si>
  <si>
    <t>Casimiro Vigodet de</t>
  </si>
  <si>
    <t>…s, producen ediciones bellas y baratas. Habiendo tenido por conveniente admitir la renuncia munes, á causa de la insuficiencia reconocida del bilí de re­ Algún dia trataremos de esto particularmente, y nos ha­ que me ha hecho D. Casimiro Vigodet del cargo de Secre­ forma. Si el pueblo estuviese bien representado, como debería remos cargo del estado en que se halla la tipograíía en tario del Despacho de Marina, Comercio y Gobernación estarlo, los embarazos del Gobierno cesarían desde el momento. | nuestro pais. de las cosas…</t>
  </si>
  <si>
    <t>de, Castañeda</t>
  </si>
  <si>
    <t>Castañeda de</t>
  </si>
  <si>
    <t>…aber destrozado varios grupos de al anochecer del 27. cionar los auxilios que necesitó el cuerpo de ejército del inando facciosos, causándoles tres muertos y dos prisioneros, y cogí- El 28 á las diez de su mañana me llamó el Sr. Castañeda del Sr. brigadier Castañeda en sus operaciones , y en medio de doles varias armas y ocho caballos. á Colindres, residencia accidental de su cuartel genera!, é im ­ un tiempo lluvioso y atemporalado, han merecido los mayores Que el mismo L). Lorenzo Alguacil le dice desde N av a- puesto d…</t>
  </si>
  <si>
    <t>de, Castro</t>
  </si>
  <si>
    <t>Castro de</t>
  </si>
  <si>
    <t>…gracia ó condecoración del Gobierno , queda su­ Al Sr. Salamanca , sin haber tomado posesioo del juzgado cual lo ha propúeítd la comisión, desde ahora digo , lo que uir» jeto á réeleccion. Y yo pregunto ahora á S. S .: ¿ El Sr. Castro de primera i asta acia de Madrid, para el que fue nombrado pri­ diqué desde esa misma tribuna en otra época, á saber; que no ha admitido ó no el empleo de decano del tribunal especial de meramente en propiedad por Real decreto de 12 de Agosto dé llegará á vérificarse ningún empréstito en las…</t>
  </si>
  <si>
    <t>de, Castro. Respecto</t>
  </si>
  <si>
    <t>Castro. Respecto de</t>
  </si>
  <si>
    <t>…que nos encon­ dado sujetos á reelección. Tal es el caso en que en concepto de Se leyó el respectivo al Sr. Lope* Vázquez, que dice asi: tramos, y después de contratado venir á las Cortes á pedir la la comisión se halla e) Sr. Castro. Respecto del Sr» López Vázquez, reproduce en uu todo la autorización, y e* aquel dia ó deja el puesto ó triunfa. Los Sres. Muñoz Maldonado y Pardo Montenegro hacen comisión el dictámen que presentó en i i de Diciembre último, Señores, esas publicidades de que se habla en el articulo, varia…</t>
  </si>
  <si>
    <t>de, Cataluña. Después</t>
  </si>
  <si>
    <t>Cataluña. Después de</t>
  </si>
  <si>
    <t>…que los Concordia les hizo saber estaban deportados por un año por han tenido que ser víctimas de esas leyes; lección terrible para pueblos tenían á la laguna de la N a v a, derechos que en su disposición del capitán general de Cataluña. Después de tanto los partidos ; sepan con ella que las leyes no se quebrantan. concepto debían haberse respetado cuando se formalizó la con-, sufrimiento, para el que aseguran no haber dado motivo, y que El Sr. Salvato, que ha sido magistrado en Galicia, y á quien trata. contribuyen á la…</t>
  </si>
  <si>
    <t>de, Cipriano</t>
  </si>
  <si>
    <t>Cipriano de</t>
  </si>
  <si>
    <t>…ciencias, sus escuelas , da cuenta á VV. SS. del resultado de ellos. sembrando las semillas de moral y de virtud en nuestros tier­ Academia de niñas que dirige Doña Maria del Cdrmen Establecimiento de Santa Lucia d cargo de D. Cipriano de nos pero fecundos corazones. A VV. SS. debemos esa multitud Yanes , costeada también por la Real sociedad patriótica, Coradiny de Ramírez. establecimientos literarios de educación primaria y secunda­ cuyo exámen se verificó la tarde del 23. ria , qué como antorchas luminosas resplandec…</t>
  </si>
  <si>
    <t>de, Clarendon</t>
  </si>
  <si>
    <t>Clarendon de</t>
  </si>
  <si>
    <t>…... 474 ..I 4 M álaga..................... 115811..52 I 18............................ 5229.. 18 M urcia..................... 25071..21 V 10............................. 78B..24 Ocaña....................... 1773.. 4 El conde de Clarendon debe, según se dice, ocupar un 1 20............................. 2858.. 1 Orense...................... 1191 4.- 2 puesto en el gabinete y ser nombrado lord del sello privado. I 21............................. 68.. 17 Oviedo..................... 15378.. 9 10 / k&lt;h q 7 Anunciamos con la ma…</t>
  </si>
  <si>
    <t>de, Cnn</t>
  </si>
  <si>
    <t>Cnn de</t>
  </si>
  <si>
    <t>…E l Sr. P R E S I D E N T E : ¿ E n pro ó en contra? E l Sr. P R E S I D E N T E : Los Sres. D ip utados que en vista cha 18 de J u n i o , que es de un sugeto que no dejarán de co­ E l Sr. conde de las N A V A S : En pro del Sr Cnn de lo que exponga el Sr. Cortázar sobre tachas personales quie­ nocer algunos Sres. D iputad os por ser una persona d istin g u i­ E l Sr. B E N A Y I D E S : Y o quisiera .para pedir la 7 ran pedir la pala bra, la obtendrán. da en aquella provin cia por su patriotism o, por sus principios sab…</t>
  </si>
  <si>
    <t>DE, COBO</t>
  </si>
  <si>
    <t>COBO DE</t>
  </si>
  <si>
    <t>…iega su CONGRESO DE D IP U T A D O S. gando al Congreso se sirviese aprobar el dictámen de la co­ voto al dictamen de h comisión. misión. El Sr. marques de V allgom era rectifica un hecho. PRESIDENCIA DEL SEÑOR CALATRAVA. El Sr. COBO DE L A TORPEE tomó en c u e n ta , y contes­ El Sr, Secretario ON DO V I L L A expone que el no haber tó uno por uno á los cargos que contra las elecciones de Santan­ manifestado la roe^a terminantemente su opinión habla sido S esió n d e l d ia 2 í d e S etiem b re, der habia hecho el Sr. R o…</t>
  </si>
  <si>
    <t>de, Concepción Lapuerta.</t>
  </si>
  <si>
    <t>Concepción Lapuerta. de</t>
  </si>
  <si>
    <t>…por enfermedad no pudo si no es que se perdieron absolutamente. Algunos salones fue­ Doña María Fabiani. aú*tir. C &gt;mo dos horas duró su peroración, en la que no ha ron renovados del todo: el patio de las Muñecas quedó con­ Doña Concepción Lapuerta. dejado de desplegar vastos conocimientos en legislación y su cluido, cuya operación está ejecutada con inteligencia y gus­ Doña María Vierge. * gran práctica en los debates judiciales. to. Los andaraios para renovar los artesonados d.sl patio gran­ Doña Francisca Casanova. A ve…</t>
  </si>
  <si>
    <t>DE, CONGRESO</t>
  </si>
  <si>
    <t>CONGRESO DE</t>
  </si>
  <si>
    <t>…ección.— Circular. la artillería , que empezó á j u g a r contra la población á las ocho y cuarto de la mañana del 5. El primer cañonazo de los s i t ia ­ CORTES. dores fue contestado por los sitiados con un g rito general de CONGRESO DE D I P U T A D O S . El Sr. Ministro de la Guerra en 31 de Diciembre úl­ a l e g r í a , y desde este momento redobló sus esfuerzos la g u a r n i ­ timo dice al de la Gobernación de la Península de Real c ió n , á pesar de no contar la plaza para su defensa con una PRESIDENCIA DEL SEÑOR…</t>
  </si>
  <si>
    <t>de, Consejo de Ministros.</t>
  </si>
  <si>
    <t>Consejo de Ministros. de</t>
  </si>
  <si>
    <t>…gocia­ 2.° Dejar á S. M. el Rey de los franceses la elección de la ciones de la Conferencia de Londres. Por lo tanto, esta elección tercera Potencia á quien se difiere el juicio de las cuestiones de rez de Castro, Presidente del Consejo de Ministros. debe considerarse como una prueba de la sincera benevolencia principios, relativamente á las indemnizaciones en favor de de la corte del Haya hacia el nuevo reino de la Bélgica , y des­ nuestros compatriotas cubre que guiada por sus propios intereses ha desistido de su pulsió…</t>
  </si>
  <si>
    <t>de, Consejo. Antes</t>
  </si>
  <si>
    <t>Consejo. Antes de</t>
  </si>
  <si>
    <t>…enazó Lá comisión de respuesta al discurso del trono ha oido hoy ¡ por el cual S. M . ha tenido á bien señalar la hora de las cin co con fu sila rle , si no le presentaba sus dos h ijo s , que eran M ili­ al Sr. Presidente del Consejo. Antes de separarse, nombró á • de la tárete del m iércoles 9 del presente para recibir la d ip u t a - cianos nacionales: estos h é ro e s , al saber el peligro de su padre, \ - • - .</t>
  </si>
  <si>
    <t>de, Consta</t>
  </si>
  <si>
    <t>Consta de</t>
  </si>
  <si>
    <t>…arle la ca­ totalEsque imposible saber, ni aun aproximadamente, la cantidad corte. beza, y colgarle ai aire en unas grandes perchas. Luego que está chas casas produce, , y en porque su explotación corre á cargo de m u­ general Consta de siete pliegos en 8 .° mayor, y se halla venal en la se conducen con mucho secreto. Solo librería de H urtado, calle de C arretas, á 4 rs. seco, le dividen en trozos y lo cargan con un peso bastante con­ diré que en 1856 se enviaron de Astracán á la feria de N ijuí siderable. En los anos…</t>
  </si>
  <si>
    <t>de, Cortina</t>
  </si>
  <si>
    <t>Cortina de</t>
  </si>
  <si>
    <t>…aber habido esa conversión. provincia no concurren, ó no las presentanlos, elDiputados de una Congreso no pue­ todavía arrestado, en igual posición y circunstancias que se eu- El Sr. Ministro de la G O B E R N A C IO N : El Sr. Cortina de juzgar de su validez. contraba en Noviembre de 1858: y yo pregunto al Sr. Calde­ ha tocado dos cuestiones: una propiamente electoral, otra ju- Por consiguiente, es inútil que se pida el testimonio para rón Collantes, que es perito en la materia y no podrá haber rídico-criminal. También…</t>
  </si>
  <si>
    <t>de, Cortázar El Sr. Presidente</t>
  </si>
  <si>
    <t>Cortázar El Sr. Presidente de</t>
  </si>
  <si>
    <t>…ctas un parte del juez de primera El Sr. 0 3 C A : señores, la ley está term in an te , el espíritu «probada. instancia de Boltaña , relativo á elecciones de la provincia de de ella reprueba que el que se halle en el caso del Sr. Cortázar El Sr. Presidente del Consejo de Ministros ocupó la trib u ­ Huesca, que remitía el Sr. M inistro de Gracia y Justicia. pueda ser nombrado Diputado por la provincia donde ejerce na y presentó un proyecto de ley sobre creación, de un consejo Por estar y a aprobadas las actas de Lérida se de…</t>
  </si>
  <si>
    <t>de, Cádiz. Expurgo</t>
  </si>
  <si>
    <t>Cádiz. Expurgo de</t>
  </si>
  <si>
    <t>…cia, £ din. id. Zaragoza, par. Descuento de letras, á 6 por 100 al año. videncias del Gobierno con relación á sus contenidos, y des­ cargos é impugnaciones á tales papeles, por él capitañ general de Andalucía y gobernador de Cádiz. Expurgo de voluntarios realistas en varios puntos, y co­ municaciones interesantes del capitán general de Galicia con el TEATROS. PRINCIPE. Hoy uo hay funcio#. % 1 ’ r . •r Gobierne sobre el particular. * Fuga deí administrador general del cabildo de Zaragoza con grandes caudales. ‘ v…</t>
  </si>
  <si>
    <t>de, Cámara</t>
  </si>
  <si>
    <t>Cámara de</t>
  </si>
  <si>
    <t>En seguida se leyó &lt;;i Real título de escribano de Cámara de ha sabido dar ese carácter de verdad á toda la figura de mí el infrascrito s e c r e t a r i o y el nombramiento de tal para el MADRID 2 6 DE JUNIO. Godofredo, reservando el idealismo de una fantasía tan Real Acuerdo en la muma forma, en cuya consecuencia presté rica como la suya para los…</t>
  </si>
  <si>
    <t>de, Cámara D. Manuel de Carranza</t>
  </si>
  <si>
    <t>Cámara D. Manuel de Carranza de</t>
  </si>
  <si>
    <t>…isco !&gt;ala, D. Juan A n­ ra , de que inmediatamente le dé el correspondiente aviso por Continúa aquella abierta en los términos y por el precio drés de Segó vía , D. Antonio Saenz de Vizrnanos (fiscal), y medio de su escribano de Cámara D. Manuel de Carranza del que se anunció en el prospecto, pero únicamente en los siguien­ t). Manuel Caballer, escribano de Cámara. pueblo ea que actualmente se halle ó h aya fijado su residencia. tes puntos. M adrid, casa referida de la viuda de Cruz: Barce­ 2.a Informe de la Real chanciile…</t>
  </si>
  <si>
    <t>de, Cándido Bautista</t>
  </si>
  <si>
    <t>Cándido Bautista de</t>
  </si>
  <si>
    <t>…ándose otro á in dulto . R IO -JA N E IR O . I ne la honra de acom pañar una copia de la carta q u e , en con­ form idad co a el deseo que manifestó en la nota que le d irig ió A RTICULO S. DE OFICIO. esta m añana S. E. el Sr. Cándido Bautista de O liveira , M i­ El cap iU n gen eral de G alicia en su p arte periódico de no­ nistro y secretario de Estado de Negocios extran gero s, p a rti­ vedades dice que el com andante de la columa de Camba per­ El in frascrip to , del Consejo de S. M . el E m perador, M in is­ cipand…</t>
  </si>
  <si>
    <t>de, Cárlos</t>
  </si>
  <si>
    <t>Cárlos de</t>
  </si>
  <si>
    <t>…idades cometi­ reseña de los hechos, la cual podrá servir para dar á conocer la ellas reconocido á la R e in a ? ¿ Y tendrían derecho en insistir das en E sp añ a, lo han sido por los carlistas; pero yo espero posición en que D. Cárlos debe encontrarse actualmente. para que se presentase al Congreso un agente de D. Cárlos, que el Gobierno reconocerá que en aquel pais h a y otros mons­ Maroto fusiló sin formación de causa , y aun sin acusación cuando tampoco han reconocido á este? Pero el noble marques truos ademas de aque…</t>
  </si>
  <si>
    <t>…familias que han retirado de las poblaciones indus­ creta. lia. Canta vieja 20 de Ju n io de 1859.:—Señor: A L. R. P. de Y. M* triosas de lo restante de estas cuatro pro v in cias, á quienes la 2.° Que Maroto está vendido: que D. Cárlos desconfia de Ramou Cabrera. voracidad de la guerra civil ha obligado á desamparar sus ho­ é l : que fia mas en Cabrera; y que este y D. C árlos, no solo gares. miran á aquel con desconfianza , sino como á traidor. Señor: Según tuve el honor de escribir á Y . M. desde C a - ' Estas familias q…</t>
  </si>
  <si>
    <t>…l mérito no tiene época, y la mo : Luisa es Paquita con toda su humildad, con todo su belleza es de todas. amor, con todo su desconsuelo , con toda su debilidad en Sentado y reconocido que el teatro ha de ser y ha si­ fin; el D. Cárlos del uno es asimismo el D. Cárlos del otro, Venta y compra en Londres de barcos movidos por vapor do siempre el barómetro de las costumbres de cada edad, untanto mas arrebatado este que aquel, un tamo mas injus­ Se venden varios barcos movido? por vapor de las mejores el espejo de la civiliza…</t>
  </si>
  <si>
    <t>…en el cuartel general carlis­ tienen noticias, cumpliendo aquel gefe con la promesa que h i­ dan nuestras esperanzas de destruirle. Se nos pasan infinitos de ta ; 'recomiéndale la mayor circunspección y que d irija todas zo á D. Cárlos de no escribirle mas que tres veces: á su llega­ tus soldados, y si pudiéramos pagarles se quedaría sin ningu- sus cartas por el conducto de una persona á quien designa con da á E spaña, cuando su ejército estuviese en disposición de no.sSabe Y. que de corazón es hermano y amigo su yo -= El e…</t>
  </si>
  <si>
    <t>de, Cárlos Martin</t>
  </si>
  <si>
    <t>Cárlos Martin de</t>
  </si>
  <si>
    <t>…u erto, que ju zgo buir al fomento y perfección de la Milicia ciudadana, ha dado Habiéndose denunciado ante el Sr. alcalde constitucional me tuvieras por infame , principio á la inserción del reglamentó vigente de |a misma, D. Cárlos Martin del Romeral per D. Antonio Alarcon como advirtiendo por medio de notas circunstanciadas las variacio­ si a quien de este agravio cu lp o apoderado del licenciado D. Ambrosio Yañiz y Asensio, abo­ le señalara á tus ojos nes ó modificaciones que cada uno de sus artículos ha sufrido ga…</t>
  </si>
  <si>
    <t>de, Cárlos.</t>
  </si>
  <si>
    <t>Cárlos. de</t>
  </si>
  <si>
    <t>…arará el perjuicio que haya lugar. Conclusión. lección de Reales cédulas , instrucciones, órdenes y dispo - N otas del e d iío r francés. siciones del ramo de Pósitos expedidas hasta fin del año • Cartas sobre el ejército de D. Cárlos. de 1826. | 7 N virtud de providencia del Sr. D. Francisco Amor6$y Lo- La verdad sobre la cuestión de sucesión. Véndese á 8 rs. en papel y 9 en rústica e n Nel despacho de pez, juez de primera instancia de esta villa, refrenda del Pragmática sanción de 1789. la imprenta nacional. escribano d…</t>
  </si>
  <si>
    <t>…D. C árlos: cual­ donará vuestro geuerai en gefe. solución : quiera otro acto contrario á las miras del partido de Maroto, La convención se reunirá en Londres el 26 de Agosto: cada debe producir las mismas consecuencias para D. Cárlos. delegado traerá las exposiciones y resoluciones adoptadas en las El infante D. Sebastian ha salido repentinamente para L e - juntas á que h aya asistido. queitio. Reina la mayor agitación en las Provincias. G A LV A N ISM O . Los distritos no representados deberán trasm itir las suyas al Un…</t>
  </si>
  <si>
    <t>de, Cárlos. Cotización</t>
  </si>
  <si>
    <t>Cárlos. Cotización de</t>
  </si>
  <si>
    <t>…ios insur­ BOLETIN DE COMERCIO. Gaseo. reccionados en el año 35 en M álaga , de los cuales algunos te­ BOLSA DE M A D RID . nían el nombre de patriotas, y que á pesar de ese d íctalo han sido los que han entregado M elilla á D. Cárlos. Cotización del dia 18 á las tres de la tarde • Concluye diciendo que si su voz vale algo, la une á la dei oi\ O ozaga para pedir al Gobierno que adopte medidas necesa­ EFECTOS PÚBLICOS. rias para que no se repitan esos lamentables sucesos. Inscripción?s en el gran libro á 5 por 1 0 0 , 00.…</t>
  </si>
  <si>
    <t>de, Cárlos. Gaceta</t>
  </si>
  <si>
    <t>Cárlos. Gaceta de</t>
  </si>
  <si>
    <t>…q ue la adm isión á com er­ y no haberse podido lograr su prisión al anuncio dado en la R eina, y dism inuirla tal vez el fanatismo sanguinario de los cio lia de ser del m ayor n ú m ero posible de m ercaderías, caudillos de D. Cárlos. Gaceta de 28 de O ctubre: en su orden y por providencia del con tal qu e las dem an d e el consum o, y no aleeien a nues­ Sr. D. Francisco A moros y López, magistrado honorario de ¿N o seria este un noble m edio, si abandonamos la Bélgica tra in d u s tria , tam bién se o cu p ará la junta…</t>
  </si>
  <si>
    <t>de, D. Antonio Sandalio</t>
  </si>
  <si>
    <t>D. Antonio Sandalio de</t>
  </si>
  <si>
    <t>…s directores de sus secciones, con el presidente y secretario, pasa­ del cristianismo. L o que era peculiar á estos, y lo que ca­ productos ingleses importados á Turquía un privilegio de cir­ sen á cumplimentar á la viuda del Sr. D. Antonio Sandalio de racteriza su ministerio, no era el don del habla, común á culación, que no logrará en el régimen financiero en que pa­ Arias, uno de sus fundadores, y director de la primera sec­ todos los hom bres, sino las ideas y las doctrinas. rece querer entrar el Gobierno otomano. Sin du…</t>
  </si>
  <si>
    <t>de, D. Antonio Viadera. Sr. D. Miguel</t>
  </si>
  <si>
    <t>D. Antonio Viadera. Sr. D. Miguel de</t>
  </si>
  <si>
    <t>…o Alonso Cordero. Sr. D. Baltasar de Toda. Sr. D. José Almirall. Sr. Sr, D. Joaquin Borras. Sr. D. José G ispert, Secretario 5.° Lérida. Sr. D. Antonio Satorras. Sr. D. Pablo Gali. Sr. D. Juan Anguera. Sr. D. Pedro Moret. Sr. D. Antonio Viadera. Sr. D. Miguel de Córdoba. Sr. D. Ramón dé Bacardí. Sr. D. Pascual Madoz. Sr. D. Ramón Salvato. Sr. Teruel. Logroño. Sr. D. Ambrosio Sánchez. Burgos. Sr. D. Miguel Alejos Burrie!. Sr. D. Pablo Govantes Sr. D. Andrés Almarza. Sr. D. Ramón. María Tempradc. Sr. D. Manuel de la…</t>
  </si>
  <si>
    <t>de, D. Diego</t>
  </si>
  <si>
    <t>D. Diego de</t>
  </si>
  <si>
    <t>…o cumplidos de su edad. De su matrimonio nifestando que S. M. se ha dignado admitir la renuncia que Cádiz 28 de Setiembre* tuvo cinco hijos, cuatro varones, que han muerto, y una hem­ del cargo de Senador por Almería hace el Sr. D. Diego de bra, que es la que únicamente vive. Ana Valderrama era de Liria. Diputación provincial de Cádiz.=Estado en resumen de los ejercicio bordadora, y observaba un género de vida bastante Dos comunicaciones del mismo Sr. M inistro, participando nacidos, casados y muertos en la provincia dura…</t>
  </si>
  <si>
    <t>de, D. Eusebio María</t>
  </si>
  <si>
    <t>D. Eusebio María de</t>
  </si>
  <si>
    <t>…acterístico. SOCIEDAD ECONOMICA M A T R ITE N SE. Cádiz, 1¿ d. Zaragoza, id. Elecciones de oficios para el próximo año de 184O. Descuento de letras , á 6 por 100 al año. CRUZ. A las siete de la noche. Se volverá á poner en Sr. D. Eusebio María del Valle, director. escena la ópera nueva, dividida en tres partes, titulada Sr. marques del Socorro , subdirector. Sr. D. Francisco Hilarión Bravo , censor. I B R IG A N T I, Sr. D. Basilio Castellanos, vice-censor. PROVIDENCIAS JUDICIALES. Sr. D. Juan Antonio Seoane, secretar…</t>
  </si>
  <si>
    <t>de, D. Evaristo Perez</t>
  </si>
  <si>
    <t>D. Evaristo Perez de</t>
  </si>
  <si>
    <t>…e cerrados estos , ya Valencia —¡Conde de Parsent, y D. Gerónimo Valdés. Sin embargo, no es adoptable esta avenida por las grandes no se podrá entrar á estudiar hasta el Setiembre del siguiente Valladolid. =z El reemplazo del Sr. D. Evaristo Perez de dificultades que ofrece su comunicación con Manresa por u a año, á no ser que quieran perfeccionarlos en la instrucción pri­ C astro, sujeto á reelección. camino angosto, dificil, dominados sus flancos por posiciones maria , á la que admitirán en todo tiempo alumnos pensionis­ V…</t>
  </si>
  <si>
    <t>de, D. Fernando Massa Laso</t>
  </si>
  <si>
    <t>D. Fernando Massa Laso de</t>
  </si>
  <si>
    <t>…humanidad en real que pueden ten er, á fiu de que de todo se forme con sus respectivos pueblos, sin demorar un servicio de tanta tras­ iaci idad una idea exacta del verdadero estado de la teso­ Tj^N virtud de providencia del Sr. D. Fernando Massa Laso de cendencia para la curación de nuestros dignos militares en la rería. &gt; la V ega, juez de primera instancia de la ciudad y parti­ campaña que está próxima á abrirse y en la que libra la patria L ° Q ue en la data del m ism o estado de distribución do de Valencia, y á consec…</t>
  </si>
  <si>
    <t>de, D. Francisco Bertrand</t>
  </si>
  <si>
    <t>D. Francisco Bertrand de</t>
  </si>
  <si>
    <t>…D. Francisco Hilarión Bravo , censor. I B R IG A N T I, Sr. D. Basilio Castellanos, vice-censor. PROVIDENCIAS JUDICIALES. Sr. D. Juan Antonio Seoane, secretario. poema de Crescini, cuyo asunto está tomado de la famosa tra­ Sr. D. Francisco Bertrand de N a rd , vice-secretario. T O D A S las personas que se crean con derecho á la dimisión gedia de Schiller, que tiene el mismo título, música del maes­ Sr. D. Joaquín Temprado , contador. A de bienes hecha en 4 de Abril último por Ramón Riesgo, tro M ercadante, ya ventajosam…</t>
  </si>
  <si>
    <t>de, D. Francisco Ruiz</t>
  </si>
  <si>
    <t>D. Francisco Ruiz de</t>
  </si>
  <si>
    <t>…sterior otras Los trabajos del presente año no desmerecen ni en objeto Sr. D. Antonio Samaniego. tres remitidas desde Sevilla por D. Fernando de la Puente á ni en resultados á los de los años anteriores. Los socios á porfía Sr. D. Francisco Ruiz del Arbol. los redactores del Correo Nacional . se han ofrecido á servir las cátedras, y aunque esta especie de Sr. duque de Veraguas. En otras diferentes sesiones ha tratado también la sección enseñanza no sea la mas á propósito para que los discípulos adquie­ Zaragoza. de los o…</t>
  </si>
  <si>
    <t>de, D. Francisco Separar</t>
  </si>
  <si>
    <t>D. Francisco Separar de</t>
  </si>
  <si>
    <t>…a de paz y de gloria PROVIDENCIAS JUDICIALES. Salve mil veces, rutilante aurora, Que á Cristina sus luces prestó, Ya que á mi lengua balbuciente es dado Al abrir sus luceros hermosos E N virtud de providencia dictada por el Sr. D. Francisco Separar de mis labios el candado Celebremos tal dicha y honor: Amorós y López, ministro togado de la audiencia terri­ Con que natura los selló hasta ahora. En sus vivas nos halle la aurora, torial de Albacete y juez de primera instancia en esta capital, Sonó mi débil voz al par que l…</t>
  </si>
  <si>
    <t>de, D. Gregorio Sanz</t>
  </si>
  <si>
    <t>D. Gregorio Sanz de</t>
  </si>
  <si>
    <t>N.° 1517. JUEVES 10 DE ENERO DE 1839. d ie z CUARTOS. S. M. la R e i n a , su augusta Madre la R e in a G siones de este distrito: en su consecuencia he dispuesto que nador por la provincia de Orense al Sr. D. Gregorio Sanz de tenga efecto dicho remate el dia 15 del corriente mes en los ­ Villbvieja, obispo electo de Yich. oberna dora y la Serma. Sra. Infanta Doña María Luisa Fernan­ estrados de esta intendencia militar desde las doce de su ma­ Asimismo lo quedó de otra comunicación ’del Sr. Secret…</t>
  </si>
  <si>
    <t>de, D. José Joaquín</t>
  </si>
  <si>
    <t>D. José Joaquín de</t>
  </si>
  <si>
    <t>…nin­ Sección de agricultura . rial de Albacete, y juez de primera instancia de esta ca p ital, y guna de las circunstancias que pueden contribuir á su mejor escribanía de número de D. Agustín Seco, acudirán con los éxito. Sr. D. José Joaquín del Alamo, presidente. documentos que legitimen sus reclamaciones á D. Cirilo Bahía, Sera exornado con todo el aparato que su argumento re­ Sr. D. Rafael Joaquín de L a r a , secretario. apoderado del Sr. D. Cárlos Villam il, síndico nombrado en quiere; y la señora V i lió se ha enc…</t>
  </si>
  <si>
    <t>de, D. José Manuel Aguirre.</t>
  </si>
  <si>
    <t>D. José Manuel Aguirre. de</t>
  </si>
  <si>
    <t>…e jo , y 51 nuevo, manz. 576, valuada en la cantidad de 124,080 de Oñate. reales vellón Quien quisiere hacer postura á dicha finca acuda Se han entregado á los suscriptores de dicha colección las 75. Una cajita de laca , al Sr. D. José Manuel Aguirre. dentro del término de 20 dias á dicho juzgado; en la inteli­ siguientes: 166. Uo cuadro pintado al óleo, ¿ la Excusa. Sra. de ^Zar­ gencia que para su remate se ha señalado el dia 9 de Julio próxi­ María Remond. co del Valle. mo á las doce en punto en la audiencia de dicho…</t>
  </si>
  <si>
    <t>de, D. Juan</t>
  </si>
  <si>
    <t>D. Juan de</t>
  </si>
  <si>
    <t>…erciopelo bordado, al Sr. D. Joaquin el tablado del Liceo, conducirle á lencia que S. M. el Rey de los franceses se sirve dar á su Escalera. la calle del Turco, y las asistencias 777. El modelo del estanque del Retiro, al Sr. D. Juan de a^gust^ aliada nuestra inocente Reina , y esperamos que del carpintero todos los dias de la Silva. lia^Gámaras francesas^ representantes de un pueblo gene­ exposición.............. 600 847. Un cuadro pintado al óleo, al Sr. D. Joaquin Reguer. roso, que ninguna simpatía puede tener co…</t>
  </si>
  <si>
    <t>de, D. Juan Azua. Cuenta</t>
  </si>
  <si>
    <t>D. Juan Azua. Cuenta de</t>
  </si>
  <si>
    <t>…. . . . . . ... 320 duya. remos siempre los que recibamos de nuestros aliados. La Excma. Sra. duquesa de San Fer­ 299. Un tirador de campanilla de gro bordado de felpillas, nando. ................................. .. 60 al Sr. D. Juan Azua. Cuenta del producto y gastos del concierto celebrado en la Úna señora que fue á la exposición.. .. 40 5 4 1 . Un dibujo, á la Sra. Doña Ramona Dalp. noche del 18 de Mayo último en el palacio de Villa­ La Sra. esposa del Excmo. Sr. D. Pió 859. Un almohadón bordado de recortes de terci…</t>
  </si>
  <si>
    <t>de, D. Julián Rodríguez</t>
  </si>
  <si>
    <t>D. Julián Rodríguez de</t>
  </si>
  <si>
    <t>…. Sr. D. Vicente Vázquez Móscoso. Sr. I). Juan Pedro Quijana. Sr. D. Vicente Silva. Sr. D. José María Pardo Montenegro. Sr. D. Víctor Fernandez Alejo. Sr. D. Miguel García Cornejo. Sr. marques viudo de Valladares j electo. Sr. D. Julián Rodríguez del Valle. Valencia. Cádiz. Sr. D. José Ferraz. Sr. D. Manuel Montes de Oca. Madrid. Sr. D. Luis Mayans y Enriquez, Secretario 2.° Sr. D. Francisco Javier Istdriz, Presidente. Sr. D. Agustín Arguelles. Sr. D. Félix Aliaga. Sr. D. Antonio Alcalá Galiano. Sr. D. Antonio Seoane.…</t>
  </si>
  <si>
    <t>de, D. Manuel</t>
  </si>
  <si>
    <t>D. Manuel de</t>
  </si>
  <si>
    <t>…la Discurso sobre las penas contraido á las leyes criminales de CRUZ. A las ocho de la noche. Se pondrá en escena la equivocación de poner el número 150,725 en lugar del 150,795, España para facilitar su reforma por el lim o. Sr. D. Manuel de que era la certificación , y como debe entenderse* aplaudida ópera en dos actos, música del maestro B e llio i, ti­ de Lardizabal y C rib e, del consejo y cámara de S. M. &amp;c. &amp;c. tulada Ua tomo en 8.° á 14 rs. en pasta y 12 en rústica. NORMA, El filósofo solitario: obra in stru ctiv…</t>
  </si>
  <si>
    <t>DE, D. Miguel de Fuentes. Orense. CONGRESO</t>
  </si>
  <si>
    <t>D. Miguel de Fuentes. Orense. CONGRESO DE</t>
  </si>
  <si>
    <t>…epresidente 4»° de Puerto-Rico. Sr. D. Francisco Gamero Cívico y Benjumea. Sr. D. Gaspar Elordi. »D . Juan Romeo y Tello. Sr. D. Antonio Valera. Sr. I). Luis Fernandez de Córdoba. Sr. D. Antonio Ramírez y Arellauo, electo. Sr. D. Miguel de Fuentes. Orense. CONGRESO DE DIPUTADOS. Coruña. Sr. D. Saturnino Calderón Collantes. Sr. D. Luis Pose. Sr. D. Josc Moure. Presidente. Sr. D. Francisco Javier Ferro Montaos. Sr. D. José Valladares. Sr. D. Nicolás Fernandez Bolado. Sr. D. Mauricio García. Sr. D. Francisco Javier Istd…</t>
  </si>
  <si>
    <t>de, D. Miguel María</t>
  </si>
  <si>
    <t>D. Miguel María de</t>
  </si>
  <si>
    <t>…ver tiempo Yo el infrascripto escribano de S. M. y del crimen de esta Desde el principio de nuestro pontificado nos hemos visto toreshá esta triste terminación , y por qué sugestiones aquellos pas­ villa, doy fe: Que ante el Sr. D. Miguel María de D uran, precisados por las prolongadas calamidades de la época á par­ perdición. degenerados se han precipitado en el abismo de malicia y magistrado honorario de la audiencia teriitorial de G ranada, Yiendo su caida desgraciada no se puede menos de ticiparos desde este mismo lu…</t>
  </si>
  <si>
    <t>de, D. Pedro García</t>
  </si>
  <si>
    <t>D. Pedro García de</t>
  </si>
  <si>
    <t>…inventada por D. Félix Perez, de Acebedo. 641» Una alfombra grande bordada con figuras de relieve, juez de Amortización, y para poder cumplimentar cierto des­ de esta corte, cuyo modelo obra en poder del Excmo. ayunta­ al Sr. D. Pedro García del Valle. pacho, se cita, llama y emplaza á D. Francisco de Paula Ló­ miento. Ademas contiene los artículos: El gran tono de una 598. La obra del Quijote en m iniatura, al Sr. D. José ápez, su cuya habitación se ignora , para que tan luego corno llegue muger.:=Modas.:=Invento.:=Ed…</t>
  </si>
  <si>
    <t>de, D. Rafael</t>
  </si>
  <si>
    <t>D. Rafael de</t>
  </si>
  <si>
    <t>…la medida de expulsión de las fam ilias de los que BOLSA DE M A D R ID . niente á su derecho en el expediente que se ha promovido y se sirven en las filas de nuestro ejército con confi cacion y venta in struye á instancia del Sr. D. Rafael de U r b in a , residente en de sos bienes, que ejecutan con el mayor rigor. Cotización del dia 17 á las tres de la tarde • dicha ciudad de G r a n a d a , en reclamación del expresado docu­ Ayer salió un crecido convoy de víveres para la división mento. EFECTOS PUBLICOS. del general H o…</t>
  </si>
  <si>
    <t>de, D. Rafael Joaquín</t>
  </si>
  <si>
    <t>D. Rafael Joaquín de</t>
  </si>
  <si>
    <t>…scribanía de número de D. Agustín Seco, acudirán con los éxito. Sr. D. José Joaquín del Alamo, presidente. documentos que legitimen sus reclamaciones á D. Cirilo Bahía, Sera exornado con todo el aparato que su argumento re­ Sr. D. Rafael Joaquín de L a r a , secretario. apoderado del Sr. D. Cárlos Villam il, síndico nombrado en quiere; y la señora V i lió se ha encargado, por pura complacen­ dicho concurso, que vive calle de Hita á la de Tudescos, n ú ­ cia, de la parte destinada por el maestro al tenor, cuya altísima Se…</t>
  </si>
  <si>
    <t>de, D. Yentura de Talleres</t>
  </si>
  <si>
    <t>D. Yentura de Talleres de</t>
  </si>
  <si>
    <t>…cuan­ les acon.ejaráo pedir á la sociedad un trabajo que se les conce­ to podemos decir, pues si bien mucho aguardábamos de derá. El pago de este trabajo se hará en dinero ó en bonos9 la alta inteligencia y disposiciones del Sr. D. Yentura de Talleres de industria de Amsterdam. que darán derecho para reclamar carbón, sopa, vestidos &amp;c.; cosas todas de que la sociedad ha organizado depósitos á pre­ la Yega como director y actor, confesamos sin embargo (Sacado del viaje de Bélgica y Holanda que ha publicado cios moderados.…</t>
  </si>
  <si>
    <t>de, Dalmacia.</t>
  </si>
  <si>
    <t>Dalmacia. de</t>
  </si>
  <si>
    <t>…tual obispo de Astorga , se dedicó como sus colegas, presentarse ante las Cámaras para sostener ea su partida. desde su infaocia al estudio de las lenguas g r i e g a , hebrea , c a l­ ellas su presupuesto al lado dei duque de Dalmacia. dea y s i r ia c a , asi como al d e la a r á b ig a , sin desatender el de algunas otras vivas que habla con suma facilidad. Dotado de Las escuadras permanecían todavía ea la'b ahía de Beschi- El conde Mole solo ha estado en París unas cuaotas horas: feliz memoria y distinguido talento…</t>
  </si>
  <si>
    <t>de, DE DISTRIBUCION. Mes de Febrero</t>
  </si>
  <si>
    <t>DE DISTRIBUCION. Mes de Febrero de</t>
  </si>
  <si>
    <t>RESUMEN. CONTADURIA GENERAL DE DISTRIBUCION. Mes de Febrero de 1859. Importa el cargo........................................ 355918456. ,¿6 Estado general de las cantidades que existían en fin de Enero de 1859 en la tesorería de cor­ Idem la data............................................... 205655189. .25 te v en las caía…</t>
  </si>
  <si>
    <t>de, DE LOTERIAS NACIONALES. Intermedio</t>
  </si>
  <si>
    <t>DE LOTERIAS NACIONALES. Intermedio de</t>
  </si>
  <si>
    <t>…lenque. Juan de Alarcon, y refundida en cinco actos , titulada en la escribanía principal de este ramo, sita en el propio local &lt;le la dirección. E N BOCA D E L E M BU STER O SUBASTAS. LA VERDAD ES SOSPECHOSA. DIRECCION GENERAL DE LOTERIAS NACIONALES. Intermedio de baile, terminando la función con un diver­ Noticia de los pueblos y administraciones donde han cabido E N primera virtud de providencia del Sr. D. Tomas Pacheco, juez de tido sainete. ios 1-4 premios mayores de los 8 Q4 comprende el sor­ por término deinstanc…</t>
  </si>
  <si>
    <t>de, DE LOTERIAS NACIONALES. Marcelino Balza.zzFrancisco Cáceres.zzFernaudo</t>
  </si>
  <si>
    <t>DE LOTERIAS NACIONALES. Marcelino Balza.zzFrancisco Cáceres.zzFernaudo de</t>
  </si>
  <si>
    <t>…l Muñoz y Guerra.^Li­ -¿arretas, y de Paz, frente á las Covachuelas; y en las provin- cenciado José María Calvo.zzManuel Lopez.zzFrancisco Diaz,— úas en las administraciones de correos y principales librerías. DIRECCION GENERAL DE LOTERIAS NACIONALES. Marcelino Balza.zzFrancisco Cáceres.zzFernaudo de la Puente. Precios de suscripción: en Madrid 4 rs. al mes y 36 por un Concuerda á la letra con su original, al que me refiero. Y iño. En las provincias 24 rs. por seis meses, franco de porte, Noticia de los pueblos y administ…</t>
  </si>
  <si>
    <t>de, DE PRESIDIOS DEL REINO.</t>
  </si>
  <si>
    <t>DE PRESIDIOS DEL REINO. de</t>
  </si>
  <si>
    <t>…del preciso é improrogable claran que no se presentarán sino en el caso en que la Dieta término de tres dias, que por ultimo y equidad se les asigna declarase que habían caducado los derechos procedentes de la DIRECCION GENERAL DE PRESIDIOS DEL REINO. desde la publicación de este anuncio, pues en el caso de no ve­ Constitución de 1855, ó si la Cámara reuniese sin su coopera­ rificarlo asi pasado dicho térm ino, se procederá á la venta p ú ­ ción un número suficiente de Diputados. En la primera h i­ Excmo. Sr.: Dando el p…</t>
  </si>
  <si>
    <t>DE, DE RENTAS REDACCION</t>
  </si>
  <si>
    <t>DE RENTAS REDACCION DE</t>
  </si>
  <si>
    <t>…a en el banco su representación, deberán presentar el poder {Journal a llem a n d d e Franaf&amp;rt.) que los poseedores de acciones les hayan conferido. M adrid 26 ACTAS DEL GOBIERNO. de Marzo de 1859. AUSTRIA. DIRECCION GENERAL DE RENTAS REDACCION DE L A GACETA. Viena 7 d e M arzo . Y A R B IT R IO S DE A M O R T IZ A C IO N . S. M . el Emperador acaba de hacer donación á S. A. I. e! Valim iento . — Circular . gran duque heredero presuntivo de la corona de R uúa , del re­ NOTICIAS EXTRANGERAS. gimiento de húsares que h…</t>
  </si>
  <si>
    <t>de, Descuento</t>
  </si>
  <si>
    <t>Descuento de</t>
  </si>
  <si>
    <t>…: se colo­ Cádiz, 1| d. Z arag o z a, id. Unos cuantos ejemplares que han quedado existentes, f u n ­ có su retrato, y á una voz pidieron todos los comisionados ó didas y a las láminas del método nuevo para g u ita r ra por Don Descuento de letras , á 6 por 1 00 a l año. D. A g u a d o , y de la escuela para dicha g u ita r ra por el mismo representantes de los pueblos hacer la guardia por turnos al re - tra to ; y asi se acordó con satisfacción general. Los puntos que a u to r, la segunda edición corregida y aum entada, s…</t>
  </si>
  <si>
    <t>de, Despacho</t>
  </si>
  <si>
    <t>Despacho de</t>
  </si>
  <si>
    <t>…estase en esta ley su opinión mas claro y menos expuesto á equivocaciones. mero igual al de los concejales, para decidirse á entablar ó sos­ acerca de esta materia, porque si no, era de temer que no dicien­ El Sr. Secretario del Despacho de G R A C IA Y JU S T IC IA : tener algún litigio. De su resolución se dará parte al gefe polí­ do nada la ley orgánica y guardando silencio la de atribucio­ Difícil será por cierto que la cornision quede vencida en la tico.” nes, se dijera: la ley no previene nada, luego los ayuntam ien…</t>
  </si>
  <si>
    <t>…e Enero an terior, comprensivo de la deuda pública o tro s, ó para el mejor servicio de sus peculiares obligaciones* N ota de la s proposiciones presentadas en la s a la de ju n ­ no endosa ble que remitía el S r. Secretario del Despacho de H a ­ 12. O torgar las escrituras de com pras , ven tas, enagenacio tas de la misma p a ra el arrendam iento en participación cienda. de los derechos de puertas de la ciudad de Sevilla. nes, transacciones y demas asuntos para que se halle autorizado El Congreso concedió tres meses de…</t>
  </si>
  <si>
    <t>…de Setiembre. Los empresarios, deseosos de complacer al público, y con Por esta sencilla relación, de cuya autenticidad salgo ga­ el objeto de que los señores que tengan la bondad de favore­ aclaraciones. El Sr. Secretario del Despacho de G R A C IA Y JU S T IC IA rante, podrán V V . inferir el asenso que merece la exageradísi­ cerles con su asistencia encuentren á la vez que la economía dijo que le obligaba á tomar la palabra un ca rgo , ó mas bien ma noticia de dicho corresponsal. De la provincia de Orense todas las co…</t>
  </si>
  <si>
    <t>…nsiderables para bloquear los el debido cumplimiento. Palacio 24 de O ctubre de 1839.= ra.zzA L. R. P. de V. M .=EI alcalde primero , Juan del Casti­ puertos del Perú y enviar dos ejércitos al mismo pais. Ahora Sr. Secretario del Despacho de...... llo.—El alcalde segundo, José García.nRegidores: Javier G il.= que la guerra se ha concluido de un modo favorable para C h i­ Ju an López =Francisco Megías.—El procurador sindico geueral, le, sus gastos deben haber dism inuido; y asi es que el Minis^ PARTE RECIBIDO EN LA SECRETAR…</t>
  </si>
  <si>
    <t>…igo de lodo.’’ l í e n t e , en que manifiesta que habirndo llegado á esta corte el terpelación al Gobierno he creido hacerle un servicio eminente. A r t. 45. El Regente del R e in o , siendo padre ó madre del Sr. Secretario del Despacho de E&gt;ta&lt;lo, Presidente en propiedad So y a m ig o del obispo electo de M á l a g a , y tengo para mí que la R e y m en or, prestará juram ento en el trono con las mismas for­ del Consejo de M in is tro s , desde el dia siguiente 5 se encargaba persecución que sufre ese dign o eclesiástico e…</t>
  </si>
  <si>
    <t>…r de caballos que la que le podia tocar de m ulasycaba- go renuncio á la palabra. Después de otras observaciones sobre este punto , y conocien­ llos, y quiero que se tenga esto en consideración al tiempo de El Sr. Secretario del Despacho de H A C IE N D A : Esas pre­ do sin duda el orador la distracción con que era oido por algu­ sacar las muías. Lo mismo digo de las provincias de Andalu­ guntas son todas concernientes al ministerio de L Guerra. Sien­ nos D iputados, dijo que conocía que no era este uno de los ne­ cía que…</t>
  </si>
  <si>
    <t>…tendrii dificultad en dar su apoy } á la nueva redacción del A zcoitia , y alli estaba también M aroto hace tres días coa una artículo. M A D R ID 6 DE E N E R O . corta escolta que trajo en su compañía. El Sr. Secretario del Despacho de H A C IE N D A observó que H oy se celebra en esta villa con toda solemnidad el segundo Ta objeción del Sr. Elordi estaba contestada en sí misma. Que aniversario del levantamiento del sitio memorable que sufrió la sí efectivamente habia provincias que tuviesen cubiertos sus A poco que…</t>
  </si>
  <si>
    <t>…ordó pasar á la comisión que entiende en el asunto los pero que de n in gun a m anera podia convenir en que p articip a­ muchos inconvenientes y se ten drían esos caballos. Este es un documentos que rem itia el Sr, Secretario del Despacho de H a­ ran de ig u a l beneficio los débitos desde dicha época en adelante. hecho que no puede d u d arse; mas es de ad v ertir tam bién que c ie n d a, y pedidos por el Sr. Seoane, relativos á las contratas El Sr. Secretario del Despacho de H A C IE N D A dice que el no habiendo esos me…</t>
  </si>
  <si>
    <t>…e d Y. E. 7 654-14 Granada.................... 24586 muchos años. Paieucia 5 de Mayo de 1859.—Excrno. Sr.—M i­ 8 ............................... 1/j7()..1() Guadalajara 8547..25 guel Antonio Camacho.—Exorno. Sr. Secretario del Despacho de 9 ............................... 785.. 15 Huelva......................... 4975.. 1 1 0 .. ........................... 2 0 2 1..52 Huesca....................... 2970..20 la Gobernación de la Península. 11 .. 287.. 15 J a é n ............................ 11759.. 16 12.................…</t>
  </si>
  <si>
    <t>…o se verificaría una cede á los empleados del Gobierno es puramente reglamentario. Si estos empleados se dejan en las circunstancias que los de­ idea que indicó ayer el Sr. Sancho que no tiene contestación, El Sr. Secretario del Despacho de H A C I E N D A : El Con­ m ás, ¿n o ejercerá el Gobierno sobre ellos una acción excesiva é cual es, que se rompería esa cadena de la responsabilidad que greso conocerá que la situación del Gobierno en la cuestión pre­ influencia g r a v e , que quizá perjudique al crédito del Estado?…</t>
  </si>
  <si>
    <t>…IG O ocupó la trib u n a y dió de España por el decreto de 3 de Ju lio de 1834- general de estas valientes tro p a s , que enm edio de una con tin u a cuenta de que el Congreso pasaba al Senado para los efectos El Secretario del Despacho de H acienda, responsable de !a« y ab u ndante llu v ia han superado cuantos obstáculos y d ificu l­ prescritos en la C onstitución los cu atro proyectos de ley que operaciones de la adm inistración y recaudación de impuestos, tades han presentado los enem igos para sostener esta línea ; d…</t>
  </si>
  <si>
    <t>…­ labras: " y por medio de negociaciones sobre la plaza para las cinco. ciones de la g u erra, antes que pagar la deuda. cuales se halla autorizada.” Que en cuanto á lo que se ha dicho sobre que las medidas El Sr. Secretario del Despacho de H A C IE N D A , contestan­ que adopta la comisión son para fomentar el crédito y hacer do á las observaciones del Sr. Sancho sobre que se quite la pa­ MADRID 12 DE EN ERO. independientes los fondos de la caja , esto da á entender que no labra c o b ra r , dice que expresándose en el ar…</t>
  </si>
  <si>
    <t>…a ocasión de hallarse presente el Gobierno, quiero d i ­ m u y bien la época ea que había pertenecido á las C o rte s , y Se dió cuenta del relativo á la gestión del Sr. M iran da , su­ r ig ir una pregunta al Sr. Secretario del Despacho de H a ­ cuál habia sido su cooducta. plente por la provincia de M a d r i d , en que pide se le admita cienda. Iasistió en que el cootrato si existia debia ven ir al C o n g r e ­ á tomar asiento en virtud de haber optado los Sres. Caballero A cab an de preseotarse los presupuestos , y a…</t>
  </si>
  <si>
    <t>…a r una sesión secreta? Y a he dicho que no soy bas á su m archa. a m ig o de ese remedio, y que para m í ese antídoto no d e struy e En el D e s e n g a ñ o , periódico de V a le n c ia del d o m ingo 8 , El Sr. Secretario del Despacho de H A C I E N D A : T a n lejos el veneno que lleva consigo. se lee lo s ig u ie n t e : he estado de hacer inculpaciones al Congreso á quien respeto y Pero voy á decir la ilación l ó g i c a , que é a mi corto e nten ­ Los últim os sucesos de las provin cias del Norte han c on fir­ cons…</t>
  </si>
  <si>
    <t>…prefiere que el Congreso no le apruebe á quiere significar, y por lo mismo no puedo aprobarle. interpelación no es de manera alguna corno de hostilidad al decir que lo retira , pues lo cree muy en su lugar. El Sr. Secretario del Despacho de H A C IE N D A : Señores, El Sr. BORREGO dijo que creía de suma importancia el he pedido la palabra para contestar únicamente á una expre­ Gobierno, y particularmente al Ministro actual que no ha te­ asunto que ocupaba al Congreso , y que habiendo sido bastan­ sión del discurso del Sr.…</t>
  </si>
  <si>
    <t>…un juez de primera eso es justamente lo que deseo que se investigue , porque lo que men en los términos que la comisión lo propone. instancia. veo es que no estando admitido el sufragio universal, existe en El Sr. Secretario del Despacho de G R A C IA Y J U S T I C I A : El Sr. Secretario del despacho de G R A C I A Y J U S T IC IA : una fracion del reino. Tratándose de las elecciones de Galicia y de la p ro v in cia, creo, El Sr. Cortina ha contestado á un articulo del C o r r e o , mo­ Este fenómeno se encuentra en una p…</t>
  </si>
  <si>
    <t>…presupuesto aprobado por la ley de 27 de guerra los bienes del clero secular. (Id.) Todas estas obras se venden en la librería de la viuda de Ju lio del año pasado. (Núm. 1517.) Razóla. concediendo al Excmo. Sr. Secretario del Despacho de M a­ rina el uso de media firma en todos los oficios, ordenes, ce- d u las, pasaportes y demas documentos que se expidan por el BOLETIN DE COMERCIO. Ministerio de su cargo para España y para U ltram ar. (Nú­ DIORAMA. Cotización d e l dia 20 d las t r e s d e la ta rd e. mero 1518) L…</t>
  </si>
  <si>
    <t>…ado el estado de sitio. dizabal y Pidal hacen mu tu am en te varias aclaraciones. fallará por jurados en la época que las leyes d et er min en; y Mostró alguna dificultad en creer e.tto el Sr. Martínez de la El Sr. Secretario del Despacho de G R A C I A Y J U S T I C I A ; también en la designación de estos delitos, y en la diferencia Rosa , mas no se creyó comprometido á manifestar que no h u ­ N o tenia objeto con que usar la palabra; pero ya que me he que se ha querido hacer de la palabra delitos y juicios, se ha bo en el…</t>
  </si>
  <si>
    <t>de, Despacho de Estado</t>
  </si>
  <si>
    <t>Despacho de Estado de</t>
  </si>
  <si>
    <t>Gaceta de Madrid n.º 1772 · extraordinaria</t>
  </si>
  <si>
    <t>…ES 18 DE SETIEMBRE DE 1839. ARTICULO DE OFICIO. P a r te recibido en la p rim era S ecretaria del Despacho de E sta do; Por extraordinario llegado á las cuatro de la madrugada de hoy ha reci­ bido el Sr. primer Secretario del Despacho de Estado del cónsul de S. M . en Bayona la comunicación siguiente : Exorno. Sr. = M uy Sr. m ió : Se ha cumplido y verificado lo que he teni­ do la honra de informar á V . E. por el extraordinario que le despaché esta mañana. R ecibo en este mom ento (och ó de la noche) un propio de m i a…</t>
  </si>
  <si>
    <t>de, Despacho de la Gobernación</t>
  </si>
  <si>
    <t>Despacho de la Gobernación de</t>
  </si>
  <si>
    <t>…Los primeros serán: 12 de Junio de í839.=Excmo. Sr.—Joaquín María de Al­ vos colores, y sobre su superficie al lado del E. un delfín con Gramática castellana y latina con elementos de litera­ lla ba.^ Excmo. Sr. Secretario del Despacho de la Gobernación de una ninfa sentada sobre el lomo, que lleva de la mano un paño tura , á cargo de dos profesores. la Península. flotante que suspende con gracia sobre su cabeza , la cual mues­ Elementos de matemáticas, teneduría de libros y par­ tra la melena esparcida al viento que la…</t>
  </si>
  <si>
    <t>…^ A rt. ó.° P ara obtener plaza de celador se nece­ 24 de Abril de 1859 rzExcmo. Sr.^Francisco Muñoz y Andra- Holandeses, 102 f. de.^Excino. sita tener 24 años cumplidos y saber leer y escribir la Península, Sr. Secretario del Despacho de la Gobernación de correctamente, aritmética, geometría, trigonom etría Hemos recibido cartas de Constantinopla de fecha 27 de plana y geometría práctica", y tener principios de Carretera de Granada á Bailen.raSegunda semana de Abril Marzo. Los oficiales de marina ingleses que fueron á Tu…</t>
  </si>
  <si>
    <t>de, Después</t>
  </si>
  <si>
    <t>Después de</t>
  </si>
  <si>
    <t>…. Buron, m é­ tenia motivos para creer que se podían conservar algunas es pe-, si es posible simplificar esta empresa tan difícil, y producir un dico inspector. ranzas. ^rreglo pronto y honroso de la cuestión. El teniente coronel Después de córner se paseó S. A. R. en el parque acompa­ Parece sin embargo que las tentativas de alboroto han m u-,&gt; M ud ge, del cuerpo Real de ingenieros, oficial de una alta re­ ñado de varias personas distinguidas que habitan actualmente dado las disposiciones de los M inistros, porque corre la…</t>
  </si>
  <si>
    <t>de, Diego</t>
  </si>
  <si>
    <t>Diego de</t>
  </si>
  <si>
    <t>…han contemplado con respeto, y que eternamente poco pueden parecer nuevos; asi es; la marquesa es la Cádiz, 1 d. Zaragoza, par. se admirarán, aunque haya pasado el gusto de la arquitec­ Doña Irene de Moratin; el coronel es el D. Diego del mis­ Descuento de letras, á 6 pop 100 al año. tura de entonces , porque el mérito no tiene época, y la mo : Luisa es Paquita con toda su humildad, con todo su belleza es de todas. amor, con todo su desconsuelo , con toda su debilidad en Sentado y reconocido que el teatro ha de ser y ha si…</t>
  </si>
  <si>
    <t>…o el sitio formal que tenían desde su cuartel general de los reductos de Belascoain el maris­ puesto á Montalvan , sin mas pérdida por nuestra parte que la Magnífica ha sido la fuucion cívica que ha precedido á la cal de campo D. Diego de L eón, virey en cargos de Navarra, de dos muertos y 20 heridos, contándose entre los primeros e! abertura del aseadísimo cuartel de inválidos de esta ciudad, ve­ y que á la letra dice lo siguiente: malogrado capitán adicto al estado mayor D. Miguel Saavedra rificada en la mañana de ayer en…</t>
  </si>
  <si>
    <t>…rden de 14 de Marzo señala: Galarza, D. José Tomé y Ondarreta, D. Feliciano Sancha, destrozo causado por la tormenta del sábado: poco sin embar­ pues excitado aquel ayuntamiento y junta de comercio inspiran D. Antonio Castro, D. Diego del Rio, D. Francisco Antero go podríamos añadir á lo publicado Casado , D. Custodio Moreno, D. José Alvarez Crespo y Don ayer sin contraernos á confianza, y la tienen también, como deben, en la de Reinosa Pantaleon Muntion y Alonso, quienes por unanimidad decla­ derribo de chimeneas, destec…</t>
  </si>
  <si>
    <t>…dias en el juzgado de primera instancia de esta capital al 2*° D. José M aría de Gortázar. cia) de los que en este suelo combatieron tanto nuestra regene­ cargo del Sr. D. M iguel de D uran y escribanía vacante de A n - 5.° D. Diego de M u g a r te g u i. ración política, h ayan cedido y venido á abrazarla, presentan­ toñana ; apercibidos que en su defecto les parará el perjuicio do también asi su ofrenda á la paz y á la Constitución que fe­ R egid ores electos. que h a y a lugar. lizmente nos rige. No se aparten de nuest…</t>
  </si>
  <si>
    <t>…an idad); pero esta misma humanidad me inspira á la vez de la iglesia hospital de Italianos, carrera de S. Gerónimo. Bretón de los H erreros, cuyo título es sentimientos paternales , de que no tne es licito prescindir. No 5.° D. Diego det R i o , tesorero, calle de S. Lorenzo, n ú ­ pudiendo dejar á cris hijos otros bienes que el fruto de este des­ mero 11 . EL HOMBRE G O R D O , cubrimiento , habiendo dispendiado mi patrimonio y honora­ 4*° D. Francisco G arro , lonja calle del P rín c ip e , núm. 15. rios de mi facultad e…</t>
  </si>
  <si>
    <t>…P. Alfonso Salm eró n, D. Bernar­ 1 8 1 7 ........................ 19 1 8 5 4 ............... 24 BOLETIN DE COM ERCIO do de V alb u e n a, D. Felipe Gil de Taboada. 181 8 __________ 15 1 85 5 ......................... 19 19. D. Diego de A lav a y B eau m on t, el conde de Gondo- mar , Pedro de Rivadeneira , el obispo de Orense, el conde de B O L SA DE M A D R I D . Campomanes, el conde de Floridablanca. 49 81 Cada cuaderno de seis retratos con el epítome de su vida. Cotización d e l día 27 á las tres d e la tarde Prec…</t>
  </si>
  <si>
    <t>de, Diego María</t>
  </si>
  <si>
    <t>Diego María de</t>
  </si>
  <si>
    <t>que« mercantes, que habían salido para Philippevilla ron tro­ PO L O N IA . irte* ’ ’ ^ M 1 'y * vy w j-'» -UUIL V/VJ 11¿ JvO I I ¡ 1U V&gt; t pas de artillería, m uías, forrage &amp; c., han naufragado en la profesor D. Diego María del V alle, esperamos con im pacien­ costa cerca de S to ra, habiéndose perdido en gran parte sus car­ Frontera de Alemania 29 de Noviembre. cia , no desnuda de temor, el dia eo que aquella se manifestase gamentos , aunque la gente se ha salvado. por primera vez al público, pues aunque…</t>
  </si>
  <si>
    <t>de, Diez</t>
  </si>
  <si>
    <t>Diez de</t>
  </si>
  <si>
    <t>TEATRO DEL PRIN CIPE. G uizot, de que cuando una nación retrocede de la anar­ La ejecución del P a ria ha sido m uy poco feliz: lo quía al órden, ese es el progreso mas verdadero; pode­ que decíamos de la Sra. Diez decimos igualm ente de la E l P a ria , tragedia en cinco actos, en verso, escrita mos decir que la Francia hoy obra un grande progreso Sra. Lam adrid. Esta, á quien tanto hemos aplaudido y elo­ en francés por Casim ir Delavigne , y traducida al caste­ literario, y que ahora recoge aquel pais…</t>
  </si>
  <si>
    <t>DE, DIEZ</t>
  </si>
  <si>
    <t>DIEZ DE</t>
  </si>
  <si>
    <t>…itirían á los p rim ero s, que se decia que se­ quedó aprobada. en las sesiones anteriores. rian adm itidos los créditos contra las rentas p u b lica s, respecto Se acordó pasar á la comisión que entiende en los casos er* El Sr. DIEZ DE T E JE D A expuso que y$ cuando,se discutió de ló cual se atrevía á asegurar que no h ab ia dos Senadores que los Sres. D iputados son agraciados por el Gobierno una ex­ éste articulo el Sr. Ojero ¡'.izo dos observaciones acerca del nbm- que opinasen dé! mismo m odo: que siendo una ley dé ta…</t>
  </si>
  <si>
    <t>…ara los tro en el Congreso de Sres. D ip utados; manifiesto esto para que pueblos, con el fin de atender á las necesidades de la guerra. se tenga presente. Si esta consideración es grave para cualquiera de los individuos El Sr. DIEZ DE T E JE D A dice que aun cuando conoce la de ambos cuerpos colegisladores, mucho mas debe serlo para los escasez de sus conocimientos, al tratarse de contribuciones, y TVíO habiendo comparecido hasta el dia nadie á alegar sus de- Senadores, porque convencidos de la necesidad de acceder á lo…</t>
  </si>
  <si>
    <t>…tasada en 2 .8 66 ,7 8 8 rs. vn. , á rebajar car­ A bierta discusión á la totalidad del proyecto, gas. Quien quisiere hacer postura acuda á la escribanía p rin ci­ Camino de hierro.izPor la siguiente comunicación del señor El Sr. DIEZ DE T E JE D A dijo que era un deber de la p al de dicho trib u n a l, donde adm itirán las que se hagan sien­ ingeniero director de esta obra , celebre por su tamaño y tras­ sociedad el prevenir los delitos y castigarlos ; que era preciso do arregladas. cendencia para la prosperidad de la is la…</t>
  </si>
  <si>
    <t>de, Diputado</t>
  </si>
  <si>
    <t>Diputado de</t>
  </si>
  <si>
    <t>…aus­ la prensa ha hablado bien claro, y ¿qué elector habrá que no El Sr. M ADOZ pidió la palabra en contra. Los Sres. A r- tos acontecimientos que á todos nos llenan de un júbilo inex­ haya tenido noticia deesa circular del Sr. Diputado de cuya mendariz y Arteta en pro. plicable: la carta del general León al general Elío (murmullos ); El Sr. A RM EN D A R IZ: Pido que se lea el art. 9.° del re­ he dicho general Elío; tal vez lo sea; ¡ojalá lo sea! admisión estamos tratando? Meta cada uno de los Sres. D ipu­ glamento. ta…</t>
  </si>
  <si>
    <t>…le celo de va­ El Sr. T E M P R A D O manifestó que no tenia el honor de de indicar ligeramente los resultados que de otro modo pudie­ rios Diputados habia prevenido esta obligación del Gobierno,, conocer ni aun de vista al Sr. Diputado de cuya admisión se ra tener,dijo: y qne habia presentado el proyecto de ley. tratab a, y que asi no debia considerarse como efecto de enemis­ Esas doctrinas en la boca de un jurisconsulto ilustrado, co­ También tengo expuesto que tenían que ser mas lentos por tad lo que iba á decir. Que…</t>
  </si>
  <si>
    <t>…Sr. Y IA D E R A dice que aprobaria el dictámen si no: nal para la administración de justicia , contenido en el Real de­ determinar las causas de que habla el art. 75 del propio regla­ ocurriera una circunstancia respecto del Sr. Diputado de quien- creto de Setiembre de 1855, se observarán las disposiciones si­ mento. Para todas las deinas bastarán tres jueces. En la revista se trata. Que no lo conoce; pero la casualidad de ver e n ;un guientes : de que tratan las dos disposiciones anterioies, será uno de los periódico una c…</t>
  </si>
  <si>
    <t>de, Diré</t>
  </si>
  <si>
    <t>Diré de</t>
  </si>
  <si>
    <t>…do trasportaba á los setloresde ces habia y o d e hacer una segunda edición de ellas? {Risas.) S. M. la R e i n a , su augusta Madre la R e i n a G o b e r n a ­ laRusia comitiva de estos Príncipes* Se dice que el Gran Duque de Diré de un modo positivo que toda medida que tenga por ob­ durante su perraarencia en Inglaterra , ha distribuido jeto introducir una reforma útil , encontrará en roí un celoso d o r a y la Serma. Sra. Infanta Doña María Luisa Fernan­ mas de 5003 fr. á los diferentes establecimientos de caridad.…</t>
  </si>
  <si>
    <t>de, Domingo</t>
  </si>
  <si>
    <t>Domingo de</t>
  </si>
  <si>
    <t>…s, D. Yicente Martínez, D. An­ expediente promovido en virtud de la duda suscitada por Existencia que resultó en fin de Diciembre úl­ timo.............................. tonio 10887747..12 Baltasar Elola, D. Justo Hernández, D. Domingo del Rio, Don el intendente de Rarcelona sobre si los comerciantes titula­ Recibido por provinciales. 8897157.. 50 González, D, Antonio Castro, D. Pedro Garrido y dos de la carrera de América están sujetos al pago del Por equivalentes................................. D. Matías 5260761.. 26…</t>
  </si>
  <si>
    <t>de, Domingo Ximenez</t>
  </si>
  <si>
    <t>Domingo Ximenez de</t>
  </si>
  <si>
    <t>…ransacción, que cada vez se hace mas quimérica, y que ninguno de los dos partidos Isabel ii , he venido en admitir la renuncia que ha hecho El Correo de Burdeos del 14 trae en su correspondencia ha deseado jamás sinceramente. D. Domingo Ximenez del cargo de Secretario de Estado y particular la siguiente carta délas fronteras de España, escrita del Despacho de Hacienda; y nombro para que le reem­ d 12 de Agosto. place interinamente en dicho cargo á D. José Ferraz, di­ A las conferencias que se han verificado entre lord John…</t>
  </si>
  <si>
    <t>de, Domínguez.</t>
  </si>
  <si>
    <t>Domínguez. de</t>
  </si>
  <si>
    <t>…teriormente. x-..;!.1- 1 ----------- 1 .. . J - i i 1.: """ ■ m entaron, sin haber tomado otra localidad, la cantidad de El Sr. A R M E R O , despue3 de indicar que en todo el año 92 rs. entregados á la comisión por dicho Sr. Domínguez. de 58 los marineros de la costa de Cantabria no habian reci­ Hemos dicho en nuestro artículo último que el pro­ También creemos de nuestro deber hacer público el acto pa­ bido mas que una paga, y eso que este departamento era el yecto de ley sobre estados excepcionales presentado por tr…</t>
  </si>
  <si>
    <t>de, Don</t>
  </si>
  <si>
    <t>Don de</t>
  </si>
  <si>
    <t>…ley* he venido en publicar él siguiente se hallaba avanzada con las guerrillas , fueron destinadas tres Estado mayor.=El capitán de caballería D. Rafael Primo bando. 0 mitades del mismo cuerpo á las órdenes del coronel capitán Don de R ibera, herido. Art. i.° La capital queda declarada en estado de sitio por Rafael León N avarrete, quien tuvo la pérdida de un caballo Segundo batallón de la Reina, 2.° de línea. = El capitán el tiempo que exijan las circunstancias. m uerto, otro herido, y concluyó la acción en el tercero.…</t>
  </si>
  <si>
    <t>…en que nos trata. El ingeni ero ofreció la casa de los Sr es. K u i g h t y c om­ rá pri nci pi o á la parte mas di spendiosa del c a m i n o , dasuionte, encont ramos. pañía de la Ha ba na , que aceptó nuestro apoderado el Sr. Don destronconarniento y gradación. ' • A n i m a d a la asambl ea de un senti mi ento de reserva tan Franci sca de A r m a s , como bastante y sufi ciente, asi por el c a ­ No h a y clase de economía de que la j un t a no dé pruch3S p i r l a m e n t a r i o como m o n á r q u i c o , ha acordado…</t>
  </si>
  <si>
    <t>…itán general de Granada con fecha 7 del actual dice para la salida del duque de Orleans, con motivo del viaje que la clase mas m iserable del estado, en quien venia á recaer que teniendo formada en la plaza de Andújar el teniente Don debe hacer al Mediodía de la Francia. La duquesa de Orleans en las quintas la suerte de soldado por las in n u m erab le s Antonio Mena la partida de caballería de la provincia de Cór­ acompañara a S. A. R. hasta Pont-V eadres, donde el Príncipe exenciones que libraban del servicio m ilitar a lo…</t>
  </si>
  <si>
    <t>…amento, dispuso fuese aquel colocado en una es­ Sabemos que las caritativas almas saguntinas han prodigado A l oir á este elocuente p ub licista, sentimos en el alma que calera y conducido al h ospital, acompañándole el capitán Don de limosnas á los facciosos que en aquel punto se reúnen para sus luminosas lecciones no se extiendan mas allá del reducido José O rta, que accidentalmente acudió al sitio de la catástro­ cangearse. Veremos si las m ismas, al llegar nuestros constantes ámbito que cierran las paredes del Ateneo.…</t>
  </si>
  <si>
    <t>de, Don la Dieta</t>
  </si>
  <si>
    <t>Don la Dieta de</t>
  </si>
  <si>
    <t>…y me dio á conocer sus buenos deseos y medida de gobierno contra el barón de P r o n a y , Diputado en la línea de San Sebastian. Acusan los carlistas al general E guía decisión. El coronel gefe interino del estado mayor general Don la Dieta de H u n g r ía , que se ha permitido un ataque violento de haber causado la muerte de aquel por haberle negado los re­ J u a n de Beccar ha desplegado eficacia y celo, y estoy satisfecho contra el tribunal supremo que condenó á Wesselenght y K os- fuerzos que necesitaba , teniendo que…</t>
  </si>
  <si>
    <t>de, Donato Gómez.</t>
  </si>
  <si>
    <t>Donato Gómez. de</t>
  </si>
  <si>
    <t>…tuve noti­ to de D. Manuel María Ceballos, á D. Lorenzo María A guí- le infestan , y que solo se sostienen en la equivocada esperanza cia que todas las gavillas se habian pronunciado negándole la 11° i y para la de Olmedo, á D. Donato Gómez. de nuestra desunión. Pero la alta penetración de V. M. y la fir­ obediencia á D. Pedro Lemus, y exigiéndole entregase ef m an­ meza de vuestro Gobierno, encontrarán suministros para el do á D. Juan Pablo A naya, que se halla en las villas del Ñor - ejército; y este al grito eléctrico…</t>
  </si>
  <si>
    <t>de, Dorotea</t>
  </si>
  <si>
    <t>Dorotea de</t>
  </si>
  <si>
    <t>…n estilo no Para hacer á todos ver instancia de esta corte, refrendada del escribano de núme­ muy común, algunas proposiciones bastante luminosas, á fio No nos falta la alegría. ro D. Gervasio de Quintas, se cita y emplaza á Doña Dorotea de fomentar por todos los medios posibles la instrucción públi­ Gracias á 1a autoridad, Alabau por el término de 50 dias siguientes á la publicación ca , libertándola de las trabas con que ha estado circunscrita Que de tanto bien celosa, de este anuncio se presente en este juzgado y dicha es…</t>
  </si>
  <si>
    <t>de, Doña</t>
  </si>
  <si>
    <t>Doña de</t>
  </si>
  <si>
    <t>…tes derechos en favor del mayorazgo fundado por tros vecinos de allende ei Pirineo quieren dar a sus obras; artillería y otra de zapadores acaban de presentarse y adherirse D. Luis de Peralta, que en el año de 1761 poseía la Sra. Doña designio que nosotros repudiamos con todas nuestras al convenio del Sr. duque de ia Victoria con el teuieote gene­ razón Antonia Javiera de Peralta, marquesa de Legarda, por cuya ral Maroto. se cita, llama y emplaza á los que sean tales poseedores fuerzas. Por lo demas, la pieza, como ya hem…</t>
  </si>
  <si>
    <t>de, Doña María</t>
  </si>
  <si>
    <t>Doña María de</t>
  </si>
  <si>
    <t>…abiendo fallecido en la ciudad de Se- de cada autor respectivo , sin que esta circunstancia de un una himno de las producciones patriótico. Dando y que corte todas las generatrices. govia en 20 de Abril de 1837 la Excrna. Sra. Doña María del fin á la fuuciou con la divertida comedia patriótica en aumente un acto, Entre todas las lecciones nos han parecido mas interesantes Carmen Reguera y Villamil , viuda del teniente general Don eltitulada precio á que ahora se vende. por las observaciones curiosas que contienen , la 9…</t>
  </si>
  <si>
    <t>de, Dr. D. Carlos Parés</t>
  </si>
  <si>
    <t>Dr. D. Carlos Parés de</t>
  </si>
  <si>
    <t>…e Abril de l859.=:Antonio Gutiérrez de To­ DE LAS MEJORES OBRAS DRAMATICAS dentro de 50 dias, contados desde la publicación de est&amp; anuncio, ba r=Secretario, el oficial quinto de administración militar, DEL en el juzgado del Sr. Dr. D. Carlos Parés de V alverde, juez de Mauuel Félix Rodríguez. primera instancia de Getafe y su partido y por la escribanía numeraria del mismo de D. Esteban Moraleda , apercibidos que en otro caso , les parará el perjuicio que haya lugar. B IB LIO G R A FIA . A voluntad de su dueño y en virtud d…</t>
  </si>
  <si>
    <t>de, Dr. Vizconde</t>
  </si>
  <si>
    <t>Dr. Vizconde de</t>
  </si>
  <si>
    <t>…gado sobre falsificación de créditos del Estado. prospecto para las provincias. y catedrático de la universidad matritense. Dedicada á su a m i­ Al mes seguirán dándose al menos des cuadernos, rem i­ go y discípulo el Excmo. Sr. Dr. Vizconde de G iiid y Pareent, tiéndose al domicilio de los suscriptores que 110 acudiesen á , conde del Sacro imperio &amp; c ., grande de España, y abogado de T&gt; A L T A S A R P a sto r, escribano público de número, uno de tiempo á recogerlos para evitar repeticionees de anuncios: con este ilustre…</t>
  </si>
  <si>
    <t>de, Driver</t>
  </si>
  <si>
    <t>Driver de</t>
  </si>
  <si>
    <t>…gantín L ancier y de la corbeta I sere, buques de guerra fran­ fuerzos han conseguido por fin detener eu el Oriente el curso ien la opinión á su justo valor, midiendo la consideración de ceses que se habían empavesado. El capitán Driver del G reen de las hostilidades que habíamos querido precaver; y sean c u a - ,que debe gozar por la conducta que ella misma siga. Esto nos W creyó observar en el modo como se hallaban colocadas las les tuereo las complicaciones que resulten de la diversidad de parece mas fácil y mas eficaz qu…</t>
  </si>
  <si>
    <t>de, Durmferlioe</t>
  </si>
  <si>
    <t>Durmferlioe de</t>
  </si>
  <si>
    <t>N.º 1666. SABADO 8 DE JUNIO DE 1839. d ie z CU a r t o s . PARTE OFICIAL. parte, que se den las gracias al capitán Villarrubia y tropa de Abercromby, con el título de barón Durmferlioe de D u r m f e r — su mando que concurrieron á este encuentro. line en el conda lo de Fife, y no el de barón de lAinros, co­ mo se habia dicho generalmente. S. M. la R e in a , su augusta Madre la R e in a G oberna ­ El capitán general de Castilla la Vieja con fecha 5 trasla­ da un p…</t>
  </si>
  <si>
    <t>de, Eduardo</t>
  </si>
  <si>
    <t>Eduardo de</t>
  </si>
  <si>
    <t>…os n i­ mas concurrentes para que fuesen cotejadas, y sou las mismas diversas disposiciones contenidas en el tratado. Nada puede ños en sus difereotes ramos de un.modo tan satisfactorio para que se acompañan con este inform e; D. Eduardo del Valle d i­ alterarse de é l ; es preciso rehusar ó aceptar el mal en toda su la comisión y el numeroso concurso de espectadores, que no rige las clases de gramática y aritm ética, estando las demas a extensión. Pero antes de entrar en el fondo de la cuestión , ha dejaron que desear , par…</t>
  </si>
  <si>
    <t>…te seguirá siendo digno de la cultura de esta capital y del buen BOLETIN DE COMERCIO. titud , demostrando de un modo nada equívoco el esmero de gusto de sus habitantes. Aunque la producción dramática cor­ la preceptora y de D. Eduardo del Valle , que dirige las clases respondiente á este mes no debia publicarse hasta los últimos BOLSA DE MADRID. de aritmética y gramática castellana, á quienes se les dieron dias de é l, la empresa de este periódico en obsequio de sus sus- las gracias y exhorto para que continuasen de la…</t>
  </si>
  <si>
    <t>…que asistió á los exámenes que bién derramado béis generosamente sobre oosotras, inundando tam­ demostrando de un modo nada equívoco el esmero de la pre­ el corazón de nuestros amorosos padres con los deseos del ceptora y de D. Eduardo del Valle que dirige las clases de arit­ se citan.=Manuel González del V-lle, secretario, Sr. Presidente de la sección de educación : La inspección del masNotorios ferviente reconocimiento. mética y gramática castellana , á quienes se íes dieron las gra­ barrio de San Lázaro, nombrada pa…</t>
  </si>
  <si>
    <t>de, Egaña. Después</t>
  </si>
  <si>
    <t>Egaña. Después de</t>
  </si>
  <si>
    <t>…reos , y conclu ve exponiendo que el Seuado no debe puesto , ó pedido el fiiscal de S. M. la pena de muerte , extra­ Orden del día t dictámen de la comisión de Actas sobre la tener reparo en aprobar el dictamen. admisión del Sr. Egaña. Después de unas ligeras observaciones del Sr. Secretario del ñamiento tales, ó del reino, ó presidio, reclusión y servicio de hospi­ confinamiento fuera de la Península por mas de ocho Se leyó el dictám en, que dice asi: Despacho de Gracia y Justicia acerca de la necesidad de la re­ años…</t>
  </si>
  <si>
    <t>DE, EL DESPACHO</t>
  </si>
  <si>
    <t>EL DESPACHO DE</t>
  </si>
  <si>
    <t>…Oriente se hallan m uy lejos de m otivar este acontecimiento, PARTES RECIBIDOS EN LA SECRETARIA DE ESTADO y mas lejos aun de estar á punto de terminarse. Si hemos do Vascongados y navarros: que no me vea en el duro y sen­ Y D EL DESPACHO DE L A G U E R R A . creer las cartas de Alejandría de 6 y 7 de A gosto, retendrá sible caso de mover hostilmente el numeroso , aguerrido y dis­ Mehemet la escuadra turca contra la opinión de cierto nume­ ciplinado ejército que habéis visto. Que los cánticos de p¿z re­ Comandancia ge…</t>
  </si>
  <si>
    <t>…t. 11 de la cuarta FR A N C IA . ley constitucional en el presente, la excitativa acredita la ab­ PARTE RECIBIDO EN LA SECRETARIA DE ESTADO soluta conformidad de las Cámaras en la persona ; y atendiendo Varis 6 d e M ayo . Y D EL DESPACHO DE L A GOBERNACION DE L A PENÍNSULA. finalmente el aprecio y confianza universal que han manifesta­ do los mejicanos en esta época á la persona del general D. A n­ El texto de la proposición de mensaje presentada antes de Gobierno político de la provincia de Jaen.=Excmo. Sr.: Pa­ tonio…</t>
  </si>
  <si>
    <t>…a.— José Fer nandez G o y o .— E l procuradór" sindico, PARTES RECIBIDOS EN LA SECRETARIA DE ESTADO literario que ruega incesantemente al Todopoderoso conserve Lorenzo Samartiño. = P o r acuerdo del a yu ntam ien to , Juan Y D EL DESPACHO DE L A G U E R R A . dilatados años la vida de Y . M . y ia de vuestra augusta H ija Antonio R o d r íg u e z de C a n cio, secretario. la Reina Nuestra Señora. El capitán general de Extremadura con fecha 14 del actnal U n iversidad de T o le d o 17 de Octubre de i 8 3 9 —Señora.— dico…</t>
  </si>
  <si>
    <t>…á PARTE RECIBIDO EN LA SECRETARIA DE ESTADO por separado otro registro para dar las noticias que nece­ los capitanes, generales de las provincias, generales en gefe de los ejércitos y Jemas autoridades .y corporaciones de­ !■ D EL DESPACHO DE .L A GOBE R N A C IO N D E L A P E N IN S U L A siten á los ge íes Je que dependan* Art* 7.° Los caballos que deban ser requisados se pre­ pendientes de este m inisterio de., mi. cargo la ley sancio­ Gobierno político de la provincia de Palencía.^Excelentí- sentarán en los dias que…</t>
  </si>
  <si>
    <t>…s del imperio. A yer salió el A/ o , buquo P A R T E RECIBIDO EN L A SE C R E T A R IA DE ESTADO de v a p o r , para la Siria con cuatro principales coníi Jeul du mando en gefe, pues uo está designado vicealmirante alguno. y D EL DESPACHO DE L A GOBERNACION DE L A PENÍNSULA. Dentro de algunos dias hallaremos la escuadra inglesa mo­ M ehem et-A lí. Marchan á Asia para obligar á los gobernadores á pronunciarse por su señor, y hacer causa cornun con el con­ Gobierno político de la provincia de P alencia. = Excmo. se­ mentá…</t>
  </si>
  <si>
    <t>DE, EL SEÑOR MOSCOSO</t>
  </si>
  <si>
    <t>EL SEÑOR MOSCOSO DE</t>
  </si>
  <si>
    <t>…. que de la Victoria al Sr. Z aragoza, oficial superior de estado SE N A D O . m a y o r , acompañado de los capitanes Guillhon y Jardot. L a correspondencia de Constantinopla de 51 de Ju lio a n u n ­ (Temps.) PRESIDENCIA D EL SEÑOR MOSCOSO DE A LT A M T R A . cia que Saib Effendi, encargado de negociar con Mehemet- A l í , debia salir de la capital para Alejandría con M r. Ansel- Sesión d e l dia 2 d e Setiem bre. El despacho telegráfico anunciando que un ayud an te de m e , agregado á la embajada francesa. Reconócen…</t>
  </si>
  <si>
    <t>…ENADO. Quedó enterado el Congreso: L ° de una comunicación del sin em bargo,eite artículo se modificó por una adición del señor Sr. M inistro de Estado, en que le participaba el R.eal decreto Calderón de la Barca. PRESIDENCIA D EL SEÑOR MOSCOSO DE A L T A M IR A . Concluida su lectura , varios señores pidieron la palabra , y sobre nombramiento de Senadores (véase la Gaceta de a y e r ) : 2.° de otra del Sr. M inistro de la Gobernación, en que a n u n ­ leida la lista, resultaron haberla pedido en pro los Sres. B ena- Se…</t>
  </si>
  <si>
    <t>…y que habiendo Y para conceder una á D oñ a M aría del Carmen P izarro, tomado esta gu erra este carácter, se sostenga con arm as d e s ig u a ­ v i u d a del conde del D on ad ío , muerto en acto del servicio. PR ESID EN CIA D EL SEÑOR MOSCOSO DE A L T A M IR A . les? T o d a v í a en consideración á afecciones personales puedo c i­ Sesión del dia 22 de Enero . tar otro hecho. C u a n d o se estaba form alizando esa proposición que da l u ­ C O N G RESO D E D IP U T A D O S. S e a b r ió á la una y cuarto . g a r á es…</t>
  </si>
  <si>
    <t>…r , con clu ía pid iendo que se le perdonara por las g ran des L a comisión por conducto del Sr. Q u ir o g a manifestó q u e c u a lid a d e s que encontraba en aquel h o m b r e , siendo la p rin c ip a l PR E SID E N C IA D EL SEÑOR MOSCOSO DE A L T A M I R A . estaba conforme con la idea com pren did a en la enm ienda del la fo rtu n a . Sr. m arques de V a l l g o r n e r a , y habiéndose suscitado un ligero Y no se d i g a que el Gobierno es ex tra ñ o á los prósperos su­ Sesión d e l dia 2 9 d e O clu iré. debat…</t>
  </si>
  <si>
    <t>de, Elias Aguino</t>
  </si>
  <si>
    <t>Elias Aguino de</t>
  </si>
  <si>
    <t>…la de; Valladolid á presidios dé las órdenes convenientes para que se pongan á dis­ teos é incidencias del reemplazo. De Real orden lo com u­ O lm eda, se com u n icó á la dirección general de Caminos,' posición del ingeniero D. Elias Aguino de 1500 á 23 presi­ n ico á V»? E. para* feu conocimiento y electos correspon­ en 8 tlel presente m es, la Real orden siguiente : * diarios, y que V. E. se sirva también recomendar eficazmente dientes en el ministerio de su cargo. Dios guarde a V. E. «S* M, la Refría G obernadora se h…</t>
  </si>
  <si>
    <t>de, Elias Aquino</t>
  </si>
  <si>
    <t>Elias Aquino de</t>
  </si>
  <si>
    <t>…á los pueblos de Alhendin y Otura sobre salud. En la situación crítica de la guerra, cuando todo anun­ fa carretera de M otril, en donde por disposición del ingeniero cia y hace esperar los mas lisonjeros sucesos , especial­ D. Elias Aquino deben situarse por ahora para dar principio mente en las operaciones de la campaña principiada, de á los trabajos. Ya están en camino para dicho punto el mena­ MINISTERIO DE HACIENDA. manera que puede con bastante fundamento concebirse la jeiiasy que utensilio correspondiente á esta f…</t>
  </si>
  <si>
    <t>…mas útil y conveniente perseguir cou actividad á las fac­ Me parece oportuno trascribir á Y. E. parte del oficio que d o r a y la Serm a. Sra. Infanta D oña María Luisa F e r n a n ­ \ con fecha 5 del que rige me ha dirigido D. Elias Aquino des- ciones, que huyen á la vista de nuestras tropas. Añade que el dia 8 condujo á Montalvan un crecido con­ d a , c o n tin ú a n en esta co rte sin novedad en su im p o rtan te ' de Granada. salud. _ _ _ _ _ _ _ _ En el dia de ayer salieron las tres brigadas de confinados en lasde…</t>
  </si>
  <si>
    <t>DE, EN EL MES DE AGOSTO</t>
  </si>
  <si>
    <t>EN EL MES DE AGOSTO DE</t>
  </si>
  <si>
    <t>…....................... 67080 2 9 8 4 2 9 5 .7 l2 Por 1 7 l£ billetes del sorteo de 24 de id. se les han satisfecho por id. de 1.334,100 rs. id. id........................................................ 744OOO ENTRADA GENERAL EN EL MES DE AGOSTO DE 1839. Por 1,977 pagarés de la extracion de 29 del referido Julio se les han satisfecho por id. de 418,918 rs. id. id................. 192748 Por 5 2 6 f billetes del sorteo de 8 de Agosto se les hansatisfecho Por cuenta de extracciones y sorteos. por id. de 646,640 rs. id.…</t>
  </si>
  <si>
    <t>DE, EN EL MES DE DICIEMBRE</t>
  </si>
  <si>
    <t>EN EL MES DE DICIEMBRE DE</t>
  </si>
  <si>
    <t>…los 616,700 rs. que les corres­ pondieron........................................................... ......................... 160 1935814.. 10 Por i billete del sorteo de 28 de Junio se les han satisfecho por ENTRADA GENERAL EN EL MES DE DICIEMBRE DE 1838. 80 Por cuenta de extracciones y sorteos. Por i billete del sorteo de 12 de Julio se les han satisfecho por Por la extracción de 29 de Enero de 1838 han ingresado en te­ id. de 402,750 rs. i d .......................................... . 2500 sorería.................…</t>
  </si>
  <si>
    <t>DE, EN EL MES DE ENERO</t>
  </si>
  <si>
    <t>EN EL MES DE ENERO DE</t>
  </si>
  <si>
    <t>….................................... 22000 " 1985878.. 2 Por 506 pagarés de la extracción de 24 de id. se les han satis­ fecho por id. de 165,556 rs. id. id ............................................... 56710 ENTRADA GENERAL EN EL MES DE ENERO DE 1859. Por 3 7 0 f billetes del sorteo de 29 delreferido Diciembre se les han satisfecho por id. de 653,240 rs. id. id ............................... 497920 P o r cuenta de extracciones y sorteos . Por 2,188 pagarés de la extracción de 14 de Enero de 1859 se les han satisfec…</t>
  </si>
  <si>
    <t>DE, EN EL MES DE JULIO</t>
  </si>
  <si>
    <t>EN EL MES DE JULIO DE</t>
  </si>
  <si>
    <t>…....................... id. de 70001.189,800 rs. id. id 7000 K 2141132 Por 4 pagarés de la extracción de 6 de Mayo se les han satisfe­ 2 3 4 0 7 6 8 .. 16 cho por id. de 250.594 rs. id. id.................. 182 ENTRADA GENERAL EN EL MES DE JULIO DE 1839. Por 4 f billetes del sorteo de 11 del mismo se les han satisfecho por id. de 655,6/|0 rs. id. id........................................... 1540 P or cuenta de extracciones y sorteos. Por 7 | billetes del sorteo de 27 de Mayo se les han satisfecho por id. de 709,200 r…</t>
  </si>
  <si>
    <t>…............................................ . ................................... 10540. . 22 Sueldos y gastos de oficinas 1 9 1 5 6 1 6 .. 13 Por los sueldos satisfechos á los empleados de la Renta por cuen­ ENTRADA GENERAL EN EL MES DE JULIO DE 1838. ta de los que les corresponden eneste año................................... 4744» • 25&gt; Por gastos comunes............................................................... .. 30211.. 25j 31.956. %¿g P o r cuenta de extracciones y sorteos. Quebranto en la negociación de…</t>
  </si>
  <si>
    <t>DE, EN EL MES DE NOVIEMBRE</t>
  </si>
  <si>
    <t>EN EL MES DE NOVIEMBRE DE</t>
  </si>
  <si>
    <t>…de Salamanca en la extracción de 8 de O ctubre.. . 101 Por id. id. al de Pontevedra en la del sorteo de 27 del mismo.. 1 . . 7í 2 0 7 5 9 7 0 .. 8 Por abono hecho á los administradores de provincia sobre los ¡J ENTRADA GENERAL EN EL MES DE NOVIEMBRE DE 1858. 258,784 rs. y 6 mrs. que im portan las jugadas hechas para I la extracción de 5 de Noviembre............................... 25 4 2 8 .. 25f P or cuenta de extracciones y sorteos, Por id. á los de esta corte sobre los 188,168 rs. y 14 rar$* id. id. 9 2 9 7 .. !2[ Po…</t>
  </si>
  <si>
    <t>DE, EN EL MES DE OCTUBRES</t>
  </si>
  <si>
    <t>EN EL MES DE OCTUBRES DE</t>
  </si>
  <si>
    <t>…0 Por 5 pagarés de la extracción de 29 del mismo se les han satisfe­ 1592506.. 7 cho por id. de 282,255 rs. id. id ........................................................................................ 4474 A ENTRADA GENERAL EN EL MES DE OCTUBRES DE 1838. Por 1 billete del sorteo de 10 de Febrero se les han satisfecho , P orcuenta de ex trace ¿unes y ■sorteos. - por id. de 556,060 rs. id. i d . . . ................................................................................................ 520 Por el porteo dé 8 d…</t>
  </si>
  <si>
    <t>DE, EN EL MES DE SETIEMBRE</t>
  </si>
  <si>
    <t>EN EL MES DE SETIEMBRE DE</t>
  </si>
  <si>
    <t>…....................................... 646990.. 25 / Remesas en camiuo. • • • • • • • ......... ............................................. ;. 2500 1516999.. 17 Total ingresado . 4597646.. 20 8ALIDA GENERAL. ENTRADA GENERAL EN EL MES DE SETIEMBRE DE 1838. Por comisiones, . Por abono hecho al administrador de Sevilla por su comisión del sorteo de 14 de Mayo................................................................ 1525.. 6 Por cuenta de extracciones y sorteos. Por id. al mismo en la extracción de 21 de id. id..…</t>
  </si>
  <si>
    <t>…cho 2 6 8 2 1 0 2 . . 27 por id. de 467,780 rs. id. i d . ........................................ ............................ 218920 Por 540f billetes del sorteo de 2 de Setiembre se les han satisfe­ . í#?, - ENTRADA GENERAL EN EL MES DE SETIEMBRE DE 1839. cho por id. de 645,960 rs. id. id .......................................................... 627850 .-..J . :*T- .. ' ••• Por 1,710 pagarés de la extracción de 9 del mismo se les han sa­ , v :, . V -.i. ■ ; . .. ■ • . . • . ; .... . : ., tisfecho por id. de 290,562…</t>
  </si>
  <si>
    <t>de, Enrique</t>
  </si>
  <si>
    <t>Enrique de</t>
  </si>
  <si>
    <t>…cón ; y queriendo arrebatarla Don tierna vehemencia con que esta le pide declare loque exige de D . Pedro irritado le dice í P edro, resuelta á morir antes que dejar perecer á su am ante, ella , la imposibilidad que le anuncia D. Enrique de sacarla de prorum pe: M o n tie l, la viveza con que Doña Ju an a le suplica se salve , el ¿Q u é proponéis, D . G u tierre? recuerdo de su honor expuesto, la manifestación de un pomo J uro al cielo , capitán , No os acerquéis, no o? acerquéis, D .P e d ro ... que le ofrece su esposo par…</t>
  </si>
  <si>
    <t>…un singular efecto. Títulos al portador del 4 por 1 0 0 ,0 0 . ; bonita estampa que acompaña á este número y representa al El panteón de los Reyes Católicos iluminado. Vales Reales no consolidados, 84 al contado. trovador D. Enrique de Y illena, dando música á la gentil La iglesia de Atocha con su imágen y banderas. Deuda negociable de 5 por 100 á papel, 00. moza de quien tomaron nombre las salinas de M inglanilla.= El coro de capuchinos de Roma con toda su comunidad* Idem sin ínteres, 5 siete dieziseisavos y 54, 4 n…</t>
  </si>
  <si>
    <t>de, Ensebio María</t>
  </si>
  <si>
    <t>Ensebio María de</t>
  </si>
  <si>
    <t>…ad. Si Dictamen de una comisión especial compuesta de los socios proveerse de ellas en esta provincia, sino también porque no se las cláusulas de reversión explícita que hasta ahora se han des­ D. Antonio Sandalio de A ria s ; D. Ensebio María del perdían tantas al conducirlas, á pesar de ser mucho mas con ­ cubierto son escasas en num ero, y de poca entidad el valor de V a lie ; D. Luis Alonso Floreza D. Nicolás Casas y Don siderable la distancia. N o fue difícil encontrar la causa de este lás ñocas sobre que recaen , hay o…</t>
  </si>
  <si>
    <t>de, Entrega de JUNIO</t>
  </si>
  <si>
    <t>Entrega de JUNIO de</t>
  </si>
  <si>
    <t>…de la intendencia militar de Castilla la Nueva. en 1513 por el mismo autor: y adicionada por Já Real socie- dad económica matritense. Cuatro tomos en 4*° impresos ea Por el presente se cita, llama y emplaza al teniente coronel Entrega de JUNIO de 1839. 1818, á 84 rs. rústica, y 104 pasta común. de caballería graduado D. Antonio U ria: D. Juan Plana y Desde el principio del siglo xvr, en que se publicó por pri­ M iJa, gobernador del castillo de Porto-Petro en Mallorca: Se halla á 3 rs. tanto en rama como en rústica en el…</t>
  </si>
  <si>
    <t>de, Escario</t>
  </si>
  <si>
    <t>Escario de</t>
  </si>
  <si>
    <t>…e se hubiera apelado á las Cortes para que decidiesen á quién cor­ llos tiempos la nunciatura ; el carácter con que sostuvo los de­ exponga por personas de unas y otras opiniones. El público respondía la corona. Abstúvose el Sr. Escario de asentar como rechos de un Monarca español en sus contestaciones con el Pa­ hallará seguramente aprovechamiento y distracción. hecho positivo quién fuera el inventor y parte en los hechizos pa ; y lo que todavía es m as, el golpe de muerte preparado al Dividida aquella grande materia muy…</t>
  </si>
  <si>
    <t>de, Estado de los Negocios</t>
  </si>
  <si>
    <t>Estado de los Negocios de</t>
  </si>
  <si>
    <t>…­ tin uar ejerciendo el cargo interino de M inistro de Negocios ex- den comunicada al prefecto del departamento de J u n in usa de atención al número de sus h ab itan tes, y á algunas otras c ir­ trangeros y el de Secretario de Estado de los Negocios de M a ­ un lenguaje m u y severo contra los extraogeros que h ay en el cunstancias, ha sido gravada por la conferencia de Londres, rina durante la ausencia del vizconde de Carreira y del conde primero con la carga de 8-400,000 florines, y en seguida con P erú, contra los cu…</t>
  </si>
  <si>
    <t>de, Estado y de la Gobernación</t>
  </si>
  <si>
    <t>Estado y de la Gobernación de</t>
  </si>
  <si>
    <t>…ción. solución pacífica por medio de un con­ Otros se mostraron inflexibles, añadiendo que su opinión esta- Joaquín de Fagoaga.zzRamon de Mesonero Romanos.nExce- greso europeo que fijase la posición leotísimo Sr* Secretario de Estado y de la Gobernación del reino. con respecto á las diversas Potencias deeuropeas. la Turquía y del Egipto babien fundada, y que era preciso, para dar el ejemplo, apli­ (C. dé B.) car en todo su rigor la sentencia del tribunal de los Pares. Se suspendió la deliberación porque se acercaba la h…</t>
  </si>
  <si>
    <t>de, Esteban</t>
  </si>
  <si>
    <t>Esteban de</t>
  </si>
  <si>
    <t>…Méjico; ya de los habitantes de la llábana, que han podide puso en el encerado les propusieron los profesores D. Juan Clau­ apreciar á un mismo tiempo su modestia y su valor; después d&lt; dio Díaz , D. Juan Nepooiuceno Blasco, D. Esteban de N a - Mr. ée Jaoobis, laz'irista, nombrado prefecto apostólico d&lt; las pruebas de afecto que ha recibido en Brest y en todo él ca­ vea y D. Antonio García. U misión que se va á abrir en Abisinia, se halla en este mo­ mino que ha corrido hasta T aris ,solo: faltaba al jó ven coman El dia…</t>
  </si>
  <si>
    <t>…y están com­ tes están tan atrasadas, en otras lo están menos, por lo cual á quieran conservarse en sus conventos continúen viviendo deesa prendidas en el territorio de la provincia de S an tan d er, á la lo que ha dicho el Sr. Esteban de que esta es la primera obli­ misma caridad cristiana de los españoles, de sus pueblos, y que desean pertenecer y no á la de Búrgos : dice que en la de gación que hay que satisfacer, yo respondo que procederé con únicamente se dé pensión á aquellas que quieran abaudonar el Santander se le…</t>
  </si>
  <si>
    <t>de, Esteban Manuel</t>
  </si>
  <si>
    <t>Esteban Manuel de</t>
  </si>
  <si>
    <t>…Babia de las Islas, y ha enarbolado el poetas con el nombre de sáfíeosy siendo endecasílabos, son El dulce lamentar de dos pastores pabellón británico en un terreno inmediato á su habitación. los célebres y bien conocidos ele D. Esteban Manuel de con la 6.a sola acentuada. ¿Por qué pues la Francia no ha de hacer hoy lo que ha hecho Villegas: pues los que con el título de sáfeos adónicos la Inglaterra? Dos son los inconvenientes de esta división: 1.° con­ La cuestión reducida á estos términos nos parece bien sen­ puso Lop…</t>
  </si>
  <si>
    <t>de, Eugenio</t>
  </si>
  <si>
    <t>Eugenio de</t>
  </si>
  <si>
    <t>…. S. P L Daguerotipo. Explicación de este descubrimiento y de sus? C E cita , llama y emplaza por el término de 20 dias, conta­ Daguerre, procedimientos, escrita en francés por el inventor -Mr. y traducida al castellano por D. Eugenio de (Dchoa. TEATROS. dos desde esta publicación, á los herederos de Doña Fran­ cisca Alvarez, muger que fue en seguudas nupcias de D. Luis una recompensaá nacional Acompaña esta explicación el proyecto de ley que señala á Mr, D aguerre, los informes dados A las siéte d é la noche, Se da…</t>
  </si>
  <si>
    <t>…reros. El teatro estaba perfectamente iluminado, y la concurrencia, Málaga, par. sobre ser extraordinaria, se componía de lo mas selecto y esco­ Alicante, £ á \ d. Santander, £ á \ d. Elementos de jurisprudencia mercantil, por D. Eugenio de gido del pueblo. La pieza era D. Alvaro ó la fuerza del sino9 Barcelona, á ps. fs., i á £ b. Santiago, 2 id. Tapia. Nueva edición considerablemente aumentada y refun­ y fue tan bien ejecutada, que solo viéndolo puede formarse Bilbao, 1J á £ d. Sevilla, \ á £ b. dida con arreglo al código…</t>
  </si>
  <si>
    <t>de, Eusebio</t>
  </si>
  <si>
    <t>Eusebio de</t>
  </si>
  <si>
    <t>…sta d iv isió n , comandante graduado D. Joaquín M orales, el de comprometer la salvación del Estado. Colocándose en­ I pesar de las grandes dificultades del terreno, no dudé un mo­ i de la i . a brigada , comandante graduado D. Eusebio de C a— tre todos ellos, y extraño á toda fracción, a todo color po­ mento vencerlo, y hacerle añadir un baldón mas en la 'h isto r ia i longe, y los auxiliares D. Antonio Luzan y D. Aniceto M u — de los combates que ha sostenido con esta división. I ñoz, nada me han dejado que desear riva…</t>
  </si>
  <si>
    <t>de, Eusebio Juan</t>
  </si>
  <si>
    <t>Eusebio Juan de</t>
  </si>
  <si>
    <t>…volución por el lado dramático durante D. D. Jo é Espinosa de los Monteros. . . . . . . . . . . Córdol a. Quien quiera hacer postura , lo verificará en la administración su hervor, y preservarse al mismo tiempo de todo conta­ D. Eusebio Juan del Gayo ................................ Coruña. de la misma encomienda en Villarejo de Salvanés, y se admití^ de Bardají y Azara............................ gio de parcialidad; porque examinada la cosa de esta D. Antonio Lasauca.......................................... Gerona. Cuen…</t>
  </si>
  <si>
    <t>de, Eustaquio</t>
  </si>
  <si>
    <t>Eustaquio de</t>
  </si>
  <si>
    <t>…. su Reina* Nota . No se admiten suscripciones sino desde el principio Cuyos libramientos fueron entregados por aquella corpora­ de cada novela. Ldrida 14 de Setiembre. El grueso de las facciones se halla ción al presbítero D. Eustaquio del Poyo, hoy difunto, com­ al abrigo de Berga. Se ha dicho que el ex-conde de España man­ patrono que fue de dichas memorias; y no habiéndose aun dó ahorcar en aquella villa á seis individuos de la titulada jun­ satisfecho las indicadas cantidades, se hace esta citación y em­ jnO R M U…</t>
  </si>
  <si>
    <t>de, Evaristo Perez</t>
  </si>
  <si>
    <t>Evaristo Perez de</t>
  </si>
  <si>
    <t>…p ció n , de la Real m ano.= E n Palacio á 1.° de O ctubre de 1 8 3 9 . = m oradores de aq u ella fid elísim a c iu d a d el triu n fo de la razón S e ñ o ra , pende la salu d de E sp añ a: no h a y paz si se n ieg an los A D. Evaristo Perez de C astro, P residente del Consejo de y lá ju s tic ia que h a de con so lidarse por el e sp íritu de u n ió n fueros á estas p ro v in cias. L a corpo ración qu e á V . M . se d i r i ­ Ministros. d o m in an te h oy en todos los ám b ito s de la m o n a rq u ía , sus co­ ge cree n…</t>
  </si>
  <si>
    <t>…ien to .= E stá cipe. La duquesa de Berry saldrá inmediatamente para si ru b ricad o de la R eal m an o .= E n P alacio á 16 de N oviem ­ Los habitantes de Cantorbery bao protestado contra el u iti- Norte. b re de 1 8 39 .= A D. Evaristo Perez de C astro , P resid en te no discurso de M r. Bradshaw en la últim a asamblea de la aso- El empleado en correos que se fugó con los fondos de la d el Consejo de M inistros. :iaciou de los conservadores de Cantorbery. El noble ejemplo da­ administración , ha sido arrestado en Francia…</t>
  </si>
  <si>
    <t>…trono para t o , y para lo mas inesperado. ¿D ebia temer una cruda oposi m anifestar los males que aquejan á la n ació n , los que la am e­ cion presentando á las Cortes su fo rtun a, que era lo mismo qtf bre de 1 8 3 9 .= A D. Evaristo Perez de C astro, Presidente n azan , y los remedios que en su sentir pueden y deben em­ la fortuna del p a is? Seguro de ella , teniendo en su mano lo del Consejo de Ministros. plearse para conjurarlos. hilos de la pacificion general. ¿ Debería retirarse llevando ta V M . recordará el e…</t>
  </si>
  <si>
    <t>…va el dia 12 , y que los ene­ R E I N A G ü B E R N A D O R A . = E n Palacio a 18 de Noviem­ L o s pueblos no pueden dis fr ut ar de seguri dad sin migos atacaron dichos puntos el 1 4 , pues habiendo marchado bre de 1839.— A D. Evaristo Perez de C astro , Presidente orden. L a libertad política no tiene otro objeto que en su socorro el expresado general 9 ahuyentó á los rebeldes, á del Consejo de Ministros. afianzar la seguri dad de los c i uda da no s en el goce de quienes á su paso ocupó los depósitos de granos y 800 ca…</t>
  </si>
  <si>
    <t>de, Excuio.</t>
  </si>
  <si>
    <t>Excuio. de</t>
  </si>
  <si>
    <t>…que fueren de justicia. crupulosamente el número de muertos, que á cr.i juicio es roas* Repetimos que estamos distantes de mirar el suceso de A r i ­ 3.° P ara el restablecimiento de las otras órdenes religiosas, Estos son, Sr. Excuio. delegado, los Hice» resultados obteni­ ca como violación del derecho internacional. Cuando recibamos el Gobierno, también de acuerdo con el ordinario eclesiástico, dos sobre los salvajes en la mañana del 10 : dia que merece ser de oficio la noticia , no sabemos si deberemos variar de opin…</t>
  </si>
  <si>
    <t>de, Explicación</t>
  </si>
  <si>
    <t>Explicación de</t>
  </si>
  <si>
    <t>cibiendo al efecto las correspondientes instrucciones del conta­ dor y secretario. A LA JUVENTUD ESTUDIOSA. CORRESPONDENCIA DE LA GACETA. Art. 85. En fin de cada año se formará un estado general Explicación detallada del sistema de los conocimientos San Sebastian 25 de Agosto . Se asegura que los batallo­ de la situación y operaciones de la Caja de ahorros, que se exa­ humanos conforme al discurso prelim inar de la E n c i­ nes de Navarra sublevados contra Maroto continúan entre Ve­ minará…</t>
  </si>
  <si>
    <t>de, Extremadura</t>
  </si>
  <si>
    <t>Extremadura de</t>
  </si>
  <si>
    <t>…ibo. M ODELO N Ú M . 2.° 6.° Y por fin , que las contadurías generales expliquen PARTES. tam bién por notas al pie de los estados lo concerniente á aquellas provincias ó distritos, que por cualquiera cau­ El capitán general de Extremadura desde Trujillo con fe­ Años. Categorías. sa se encuentren fuera de la directa y legal acción del G o­ cha 50 del pasado traslada á este ministerio un parte del ge­ bierno suprem o, y lo que respecta á sum inistros y servi­ neral segundo cabo de aquel distrito, en que le manifiesta que…</t>
  </si>
  <si>
    <t>…de la Gobernación de la 4-a Quedará obligado el contratista á sacar los tabacos que Y DEL DESPACHO DE GUERRA. Península. existan en la actualidad en el término de tres meses á contar Por la comunicación del capitán general de Extremadura desde el dia en que se consume el pontrato, y los que produz­ . y partes «nidos á ella que á continuación se insertan para co- Dirección general de caminos, canales y puertos.=Excelen- can las fabricas en cada uno de los dos años á que se extiende , ippcimiento del público há llegado á…</t>
  </si>
  <si>
    <t>de, F.</t>
  </si>
  <si>
    <t>F. de</t>
  </si>
  <si>
    <t>…4 rs* Por cuaderno en la librería s. d . m . dei c . v ................ y ; ; . ; ; ; ; ; ; ; ; ; ; . 4 Cátedras á que solo pueden asistir los matriculados. de B oix, caíle.de C arretas, núm. 8 . En las provincias á 5 ideui Doña F. de A ............................................................................... 20 por razón de porte en las administraciones de correos y princi­ D oña Carlota Velazquez........................................................ 8 Lunes.=De siete á ocho, D. Juan Mieg , aleman. pales librerías,…</t>
  </si>
  <si>
    <t>de, Fabiani</t>
  </si>
  <si>
    <t>Fabiani de</t>
  </si>
  <si>
    <t>…D A S , pelear con ventaja en la próxim a p r im a v e r a , sin distraer tor no ha fijado la escena en la corte ni en tiempo de Felipe iv: la ha fijado en Madrid y en el siglo xix: y si bien convenimos tica. en el cual el Sr. Fabiani desempeñará la parte de caracterís­ su atención ni por un solo m om ento á cosas que no con­ con el Sr. E. G. en que los rasgos del carácter español están mal duzcan directam ente a sus fines. Necesario es a la verdad trazados, no podemos estar acordes en achacar la culpabilidad PR IN C IPE…</t>
  </si>
  <si>
    <t>de, Fausto de Vedía Cabada. Antes</t>
  </si>
  <si>
    <t>Fausto de Vedía Cabada. Antes de</t>
  </si>
  <si>
    <t>…Camargo, las locales de los pueblos en que residen y de las limítrofes po ­ pueblo de la misma jurisdicción, titulada Estorncra, en 15 de drán informar á V. S. de la conducta que observan estos des­ Febrero de este año, por D. Fausto de Vedía Cabada. Antes de ayer corría muy válida la voz de que iban á ae­ graciados, susceptibles siempre de morigerar sus costumbres y Otra id. en el sitio de Peñas negras, en el luger de Camar­ rificarse algunos cambios en el Ministerio. Se aseguraba que aplicación al trabajo, si seles as…</t>
  </si>
  <si>
    <t>de, Federico</t>
  </si>
  <si>
    <t>Federico de</t>
  </si>
  <si>
    <t>…Pazos, se c i t a , llam a y emplaza á Doña Se procedió al orden del dia , poniéndose á discusión el dic­ didos en el beneficio que .se dispensa á los particulares y a y u n ­ Fran cisca R o drígu ez de L e l u , v iu d a de D. Federico de L e lu , tám en de la comisión encargada de in fo rm ar acerca del proyec­ tamientos los empleados del Gobierno sujetos á íijnz.is , y dice y c u y a h abitación y paradero se ig n o ra , para que dentro del to de ley sobre cobranza de débitos atrasados á favor de la H a­ que también de…</t>
  </si>
  <si>
    <t>de, Felipe Pedro</t>
  </si>
  <si>
    <t>Felipe Pedro de</t>
  </si>
  <si>
    <t>…Por el presente cito, llamo y emplazo á los acreedores que de Marzo de i839.=M anuei González Rrabo.=Sr. inten­ Por aduanas .......................................... 5186747.. 22 pueda haber á los bienes relictos del difunto D. Felipe Pedro dente de . Por comisión 57796». 7 Moreno, presbítero, canónigo que fue de la santa iglo ia pri­ Por fondo del resguardo. • •.»• . . . . . . . * ...... 16565.. 16 mada de esta dicha ciudad, para que en el término de 50 dias Por tabacos ........... . . . . .......... 8911515 acudan á r…</t>
  </si>
  <si>
    <t>de, Felipe Rivero</t>
  </si>
  <si>
    <t>Felipe Rivero de</t>
  </si>
  <si>
    <t>…ran á sus hogares. Ayer entró en esta capital el virey general en gefe dol la jVictoria r y este con el teniente general Malroto, y en la cé exclamaré con San A gustín: sin t í , ni los Reyes reinan, ni lo: ejército del Norte D. Felipe Rivero de regreso de Vitoria. lebre villa de Y ergara, firman la paz. ¡Dulce expresión! s í ; I reinos son felices: unión y paz, paz y u n ió n , y nos haremo: paz del modo mas satisfactorio al -honor Nacional: ¡ loor etern temibles de nuestros euemigos extrangeros. Lugo 22 de Noviembre. Los…</t>
  </si>
  <si>
    <t>de, Fermín de la Puente y Apezechea</t>
  </si>
  <si>
    <t>Fermín de la Puente y Apezechea de</t>
  </si>
  <si>
    <t>…l, Becquer, Beja- dad tan evidenciada de que solo entre breñas, y con breñas pofr rano, Rodríguez, Barron y otros nos garantizaban de su buen retirada, es como pueden aventurarse alguna vez. De todos mo­ éxito; el retrato de D. Fermín de la Puente y Apezechea de dos es plausibilísima la noticia, y corno tal la consideramos, medio cuerpo, pintado al óleo por el señor Esquivel, nos agradó Debo también poner en noticia de Y . , según las disposi­ mirándola como preludio de otras mas satisfactorias. {Id.) sobremanera ; el de…</t>
  </si>
  <si>
    <t>de, Fernandez</t>
  </si>
  <si>
    <t>Fernandez de</t>
  </si>
  <si>
    <t>…isión encargada de contestar ai discurso del tro­ B a ses d e orga n iz a ción de la so cie d a d . 5 .a Sres. Oráa , Taroncon , Perez , marques de Guadalcazar, n o , á los Sres. Ondovilla , G arelly, R u iz de la V ega , duque Fernandez del C a s t i l l o , Quiroga , a r z o b i s p o electo de Valencia, de R iv as y conde de Pinoíiel. Para la de Examen de Actas electorales á los Sres. Lleopart, 1.a Se establece una sociedad filantrópica coa el objeto ex­ tonde de Oñate , Bulanzat y conde de P i n o í i e l . clusivo d…</t>
  </si>
  <si>
    <t>de, Fernandez Cano</t>
  </si>
  <si>
    <t>Fernandez Cano de</t>
  </si>
  <si>
    <t>…a siempre el impresor, salvo el derecho que le brantada salud. del sistema penal. 6.° El desamparo en que se encuentran el quedará de repetir contra quien hubiere lugar , en indemniza­ Se da cuenta de haber sido incluido el Sr. Fernandez Cano debenGobierno y los particulares, aun con respecto á delitos que no ción de daños y perjuicios. en la primera sección, y el Sr. Villalobos en la segunda. ser ya considerados como abusos de imprenta. Sobre es­ Pero los impresos que requieren mas exquisitas precauciones Se lee y queda…</t>
  </si>
  <si>
    <t>de, Fernandez.</t>
  </si>
  <si>
    <t>Fernandez. de</t>
  </si>
  <si>
    <t>…ades, política y comercio. ber el auto definitivo pronunciado en cierta causa que se sigue Idem de Serra. BOLSA DE M ADRID. sobre falsificación de créditos del Estado , bien entendido que Poesías: la Rosa, y soneto al brigadier Fernandez. de no hacerlo le parará el perjuicio que haya lugar. Instituto de Murcia. Cotización del día 12 d las tres de la tarde • Instituto Real de Francia. EFECTOS PÚBLICOS. Instrucción primaria y universitaria de Europa. Inscripciones en el gran libro á 5 por 100, 00. REM ATE. De la educació…</t>
  </si>
  <si>
    <t>de, Fernando García</t>
  </si>
  <si>
    <t>Fernando García de</t>
  </si>
  <si>
    <t>…rtido se ha seguido causa en virtud de Setiembre último por los Sres. D. Antonio de Torres y Chacón denuncia sobre exceso de libertad de imprenta, interpuesta por y D. Vicente Hernández ,1a ley absuelve á D. Manuel del Pozo, D. Fernando García de N ieva, procurador de este número, á responsable á dicho impreso; y en su consecuencia mando t que Tercera seccio n. — Circular. nombre y en virtud de poder de los bres. D. Antonio de Jo r­ sea puesto inmediatamente en entera libertad , alzándose la cau­ res y Chacón, ministro t…</t>
  </si>
  <si>
    <t>de, Fernando Paz Vivero.</t>
  </si>
  <si>
    <t>Fernando Paz Vivero. de</t>
  </si>
  <si>
    <t>…que ha influido en nosotros para que le­ villa de Rivadeo D. Fernando M artínez; y en Mondoñedo el verán postrados adorando al Niño Dios recien nacido, á quien vantemos la voz antes de que sucediéndose los aconteci­ escribano D. Fernando Paz Vivero. de cuando en cuando tocarán y cantarán villancicos los pas— mientos con una rapidez espantosa, nos encontrem os sin torcí líos, cuyos cantos y órgano se oirán también en la iglesia que lo advirtam os con la inm inencia del peligro. del Escorial. La entrada á 8 rs. y 4 los njñ…</t>
  </si>
  <si>
    <t>de, Fernando Perez</t>
  </si>
  <si>
    <t>Fernando Perez de</t>
  </si>
  <si>
    <t>…ño pa­ es la frialdad de las catástrofes; pocas veces están b ien p re­ sado de 1854» Para que en el término de 50 dias concurran en Castellón 15 de Ju lio. El 15 á las ocho de la noche entró forma por el oficio del escribano D. Fernando Perez de A zpilla- paradas. El interés novelesco,que pocos han sal.)ido m ane­ en esta ciudad el Sr. general Aspircz con la primera división g a , donde se halla radicado el expediente, á deducir el derecho ja r como él, llega siem pre a su, m ayor girado en medio ó á del ejército, y ayer…</t>
  </si>
  <si>
    <t>de, Fernando Ramos</t>
  </si>
  <si>
    <t>Fernando Ramos de</t>
  </si>
  <si>
    <t>…or sí ó por medio de persona iegalmente autoriza- ñ a el a rte de n a v e g a r, 2 rs. d a , a seguir las actuaciones que corresponden en los autos de R esu m en de las observaciones d e Mr. F le u rie u sobre testamentaría de D. Fernando Ramos de T ejada; bajo aperci­ B IB L IO G R A FIA . la división h id ro g rá fica d el globo. Va u n id a la relació n d e bimiento que de lo contrario cuanto se provea en ellos tes para­ u n n o ta b le n a u frag io o c u rrid o en el añ o 1 5 2 8 , 2 rs. lé &lt;oZn]U\CÍ° ^ ue en derecbo h…</t>
  </si>
  <si>
    <t>de, Fernaudo</t>
  </si>
  <si>
    <t>Fernaudo de</t>
  </si>
  <si>
    <t>…pia, voz tan Primer batallón Voluntarios de Valencia 4*° ligero.—C api­ fanase el suelo catalan. ¿ Y no se avergonzarán los absolutistas robusta y sonora, y tan profundos conocimientos como los que tán graduado de comandante D. Fernaudo del P in o , propuesto de haber tenido un gefe extrangero , que por sus acérrimas adornan á su compañera la Sra. Carraro. El público aplaudió para la cruz de San Fernando de primera clase. crueldades turbó la paz de sus mismas fam ilias, condenó la el dúo del Es sale di Roma con el placer…</t>
  </si>
  <si>
    <t>de, Ferrer</t>
  </si>
  <si>
    <t>Ferrer de</t>
  </si>
  <si>
    <t>…vase lles, y quisiera la tuvieran to d o s, porque se hace referencia a P ara las solicitudes de reintegro ha de presentarse el inte­ á efecto la sentencia que se habia dado ; y á pasar de que el ca­ una doctrina que el arzobispo Ferrer de G ranada m anifestó en resado personalmente coa la libreta correspondiente, en la que bildo se opuso^ y con aquella veneración con que hablan esos ta sesión del concilio T ridentino ; do ctrina la mas valiente que se le anotará el dia ea que ha de realizar el cobro dentro dei cuerpos expus…</t>
  </si>
  <si>
    <t>…para consolidar la paz, suspendiéndose la votación del art. 5 ,°, después de haber hecho p r e s i d e n c i a d e l s e ñ o r c a l a t r a v a. *.La Constitución es la base de todo lo que se ha hecho, y no la observación el Sr. Ferrer de que eri su concepto se procedía hay otra ni puede haberla. ¿P u es qué, el mismo general M aro- en una equivocación , puesto que en esa sesión no preside na­ Sesión d el día 2 6 de O ctubre . to si no fuera por la confianza de que existia en España un G o ­ die mas que la Reina. bierno de…</t>
  </si>
  <si>
    <t>de, Fierro</t>
  </si>
  <si>
    <t>Fierro de</t>
  </si>
  <si>
    <t>…tulada: ¿ E l qué diránl Si esto es asi, García del Castañar no pertenece a un Estaño. .................. 18000 En seguida se bailará el baile ingles, terminando la función mundo ideal creado por Rojas. Sufre la injuria de Don Fierro de todas clases. . . . . . . . . . . . . . . . . .......... 347000 con un gracioso y divertido sainete. Mendo, porque cree que es el R ey: apenas sabe que no Id. en herramientas.............. 56000 Nacionales: vuestro ayuntamiento no necesita haceros ex­ lo es, le atraviesa el corazón. Lo…</t>
  </si>
  <si>
    <t>de, Fr. Aiberico Echandi y D. Juan</t>
  </si>
  <si>
    <t>Fr. Aiberico Echandi y D. Juan de</t>
  </si>
  <si>
    <t>…la Sra. Villó y coristas ; con decoración y el presente; escrita en francés por el R. P. D. Carlos Chardon, trajes. Deuda negociable de 5 por 100 á papel, 00. y traducida al castellano con adiciones y notas por los señores D. Fr. Aiberico Echandi y D. Juan de Campo y Oliva. Ocho tomos en 8.°, edición del año de 1799, á 124 rs. Pa*ta (í) Mr. Guisot. común.</t>
  </si>
  <si>
    <t>de, France</t>
  </si>
  <si>
    <t>France de</t>
  </si>
  <si>
    <t>…s, co se forman una idea bastante exacta de la posi­ leña y el carbón está todo á precios muy subidos; por ejem­ ción particular de S. A. R. el príncipe A lberto, futuro esposo de la Reina de Inglaterra. En el Journal general de France del 28 anterior se plo , en Tiemcen cuesta la fanega de trigo uno y medio bond- Es uoa grande anomalía comparar la posición del esposo lee lo s igu ien te: jod (unos 10 rs.),'cuando aquí se paga de ocho á nueve bond- de la Reina en general, y la del esposo de la Reina en par­ J OD S. ticular…</t>
  </si>
  <si>
    <t>de, Francisca de Paula y Doña María</t>
  </si>
  <si>
    <t>Francisca de Paula y Doña María de</t>
  </si>
  <si>
    <t>…a Camacho, hijas de para este, que era un jornalero, de menos importancia que D. Bonifacio: Doña Petronila Luisa Galan , viuda de D. Jo ­ para el como hacendado, habia dejado seguir el curso de la las MercedesPicó: sé Ramón Doña Francisca de Paula y Doña María de I IBRO^.rzPublicaciones nuevas.—La autoridad Real, según Márquez de la Plata , hijas de D. Rodrigo: Doña las leyes divinas y naturales y la Constitución : obra nue­ caus?, teniendo cuidado entre tanto de haber mantenido se­ Antonia García , viuda de D. Francisco J…</t>
  </si>
  <si>
    <t>de, Francisco</t>
  </si>
  <si>
    <t>Francisco de</t>
  </si>
  <si>
    <t>…r su ar­ mostrando en todas ocasiones el mayor valor y serenidad. A te todos los meses un estado detallado de los ingresos y gastos dor bélico contra fuerzas triples enemigas. los Sr es. D . Lorenzo Medina y D. Cárlos G il, al D. Francisco del tesoro. Tenemos á la vista las Gacetas de M adrid de los Y otras y otras operaciones de campaña, en las que sin g o­ A b ella , por haber quedado sin piern a, después de haberse sa­ dias 16 y 17 de M arzo, 5 y 13 de A b r il, en las que se halla zar descanso un solo dia , ha acreditad…</t>
  </si>
  <si>
    <t>…ía de caballerú \ aliento./ por haber acordado y mandado llevar á efecto cierto repartí - lio de 1858, en que se constituyó; y la lista de los 650 socios del escuadrón rúnico dé N avarra, desde Cascante , piden que e . 257.' ¿D. Francisco del Valle, en solicitud deque el Congre- que la componen actualmente, pudiendo considerarse como un r* Ministro de la Guerra aclare varias palabras vertidas en h so acuerde lo conveniente para que tenga efecto el aboco de los compendió, en el cual se ha reunido cuac.to puede contribuir s…</t>
  </si>
  <si>
    <t>…n el artículo primero. Excep­ del coronel del regimiento de caballería del R e y , 1.° de línea, túase de esta disposición Rio C a r ib e , para el cual podrá expe­ Stock en 1 8 5 9 , 1923 fardos; contra 1903 fardos en 1858. D. Francisco de P aula González, y descansaron en el a rra b al dir el permiso el administrador de Carupano. Navios con carga ; en 1859 para la Inglaterra navios; hasta la una en punto de la tarde que continuo la marcha por T á rra fo único . Incurrirán en la pena establecida por la ley para Francia…</t>
  </si>
  <si>
    <t>…itro. = m e d id a por m ayor. 1000 litros. IM P R E N T A N A C IO N A L . Cau&lt;¡a l . f Parricidio alevoso. Proceso de Doña María V i ­ M edida a g r a r i a . centa Mendieta y D. Santiago Sanjuan, acusados de la muer­ te de D. Francisco del C o t illo , esposo de aquella, ejecutada el Area. Esta es la unidad de la medida para superficie?. COLECCION DE LEYES. C en liárea, lo mismo que un metro cuadrado. dia 9 de Djcietnbre de 1797. Area «=uii cuadro de 36 pies castellanos por cada 2.a Causa da D. Carlos de A u s t r i a…</t>
  </si>
  <si>
    <t>…mer grado el folleto titulado: tcEste sí que poseemos de esta pieza y que parece arrancado de un es tapa bota y concluye: wcon mi ejemplo y mis consejos f SEGUNDA SERIE. TOM O I NUM. 5.° tomo antiguo de comedias, la atribuye á D. Francisco de se procedió á celebrar el sorteo de los nueve jueces de hecho que Hojas. Una nota m anuscrita, puesta, según p arece, antes con arreglo á la ley debían componer el jurado, y habiéndose Artículos contenidos en este número: de ser arrancada de su sitio, dice: es la m ism a con corta reali…</t>
  </si>
  <si>
    <t>…tiene 560 vecinos, dotada con 10 rs. diarios pagados por tri­ BOLETIN DE COMERCIO. se c it a , llama y emplaza á los que se crean con derecho á los mestres de los fondos públicos en efectivo dinero. Los ramos bienes que dejó D. Francisco de A b ajo , natural del lugar de que comprende la enseñanza son los prevenidos en e! plan de B O L SA DE M A D R I D . Tabiño del Monte en dicho partido, prior que fue de! conven­ instrucción primaria referente al Rea! decreto de 2 l de Ju lio to de geróniinos del Prado de la ciudad de…</t>
  </si>
  <si>
    <t>…er el jurado, y habiéndose realizado con las formalidades que tas ó separadas, acuda al juzgado de dicho señor y escribanía El Sr. BARRIO A YUSO : Déjeme V. S. la palabra para la misma previene, tocó á los sugetos siguientes: D. Francisco del citado M anrique, que se admitirán las que hicieren siendo manifestar la causa de esa extrañeza. Michaus , D . Manuel Biale , D . Juan José Ortiz y López, arregladas (advirtiéndose que á la viña y tierra se halla hecha El Sr. PR E SID E N T E : N o puedo concederla sino en uno D. Basi…</t>
  </si>
  <si>
    <t>…1837, que excluye del El dia 7 del corriente llegó á esta ciudad la cuerda que sa­ servicio m ilitar á los inscriptos en la lista que en ella se Alcantarilla del Regajo grande . lió de esa capital á las órdenes del comisionado D. Francisco designa con aquel nom bre. G arcía, conduciendo 458 plazas. Los individuos que venían Los mismos canteros, peones y caballerías han sacado 207 E ntarada S. M., y deseando fijar el espíritu de la pre­ cargas de mampostería en la cantera de Zocuecar, han hecho enfermos, cion , y pasaron i…</t>
  </si>
  <si>
    <t>…o Pablo Torrens y Miralda , Diputado electo por Barcelona, y Hace S. S. algunas observaciones sobre este particular, de­ que no necesita para cumplir con su deber el Gobierno entrar el segundo acerca de la respuesta dada por D. Francisco de duciendo de ellas que no existe semejante deuda legal, y sí solo en el examen histórico, económico, político y de derecho p ú ­ Paula Alvarez, tercer suplente electo por Sevilla, al comuni­ de gratitud y reconocimiento; y pasando en seguida á la im ­ blico á que se refirieron los señor…</t>
  </si>
  <si>
    <t>…ó igualmente el relativo á la respuesta á la com uni­ las respeto: sabrá positivamente que 110 h ay auto de prisión* sos de su lealtad y patriotismo, se han abrazado en los cam­ cación del gefe político de S e v illa, dada por D. Francisco de pero aun cuando todos los Diputados particularmente lo su­ pos de V e r g a r a como hermanos para formar de hoy mas Paula A lv a r e z , tercer suplente por la misma provincia , en el piesen 9 ¿b astaría eso para justificar nuestra resolución á los «n a sola f a m ilia , c uya felicida…</t>
  </si>
  <si>
    <t>…arez estaba ar­ delincuentes, de modo que todos han de ser juzgados per co­ dar , porque no se puede emplear en los cuerpos colegisladores restado. El gefe político dirigió al Gobierno los documentos de misiones ordinarias. A D. Francisco de P^ula Alvarez á los respecto del Gobierno, es el pensamiento, en el fondo del dicta­ que he hablado; pasaron al Congreso, la comisión los ha exa­ seis meses de arrestado se le recibe la primera declaración; hé men hay todavía un precepto fuerte, eficaz, irresistible si h u ­ minado co…</t>
  </si>
  <si>
    <t>…fuerzas. El Sr. P R E S ID E N T E : No interrumpa V . S. al orador; se Habló el Sr. Heros en seguida de la ausencia de un In fan ­ altera el orden de la discusión; sin embargo , si es breve la ob­ te de España, del Infante D. Francisco de P a u l a , añadiendo servación puede V . S. hacerla. S. que cuando llegase la cuestión de presupuestos no votaría la El Sr. O C H O A : T an breve. Se reduce á decir que yo no he dotación de S. A. y familia si no se le manifestaba los motivos acusado al ministerio por esas decisiones…</t>
  </si>
  <si>
    <t>…os vapores M a c e p a c I s a b e l ; iel primero conduciendo m usulm anas, que por s u interesante curiosidad insertamos tres millones para el ejercito , y el otro desde Bilbao á los se­ Asimismo se cita , llama y emplaza á D. Francisco de P au ­ ñores Di put a d os M urga v U guagon, quienes en este dia han la López, cuya habitación se ignora , para que tan luego como ¿ continuación. llegue á su noticia este an un cio , comparezca en la escribanía emprendido su marcha para esa corte. Señor: IT. , K ., Z, y A, , vuest…</t>
  </si>
  <si>
    <t>…ancisco Iruegas, Don REALES DECRETOS, Jo mismo con respecto al juicio (1). Y no se diga que en los Es­ Pedro Cengotita, D. Luis Barrios, D. Manuel Angel Indo, tados-Unidos los dementes se hallan en las prisiones bajo la de­ D. Francisco del Herrero , D. Fernando de Palacios, D. Ma­ O RD EN ES Y REGLAM ENTOS D E L GOBIERNO nominación de criminales, cuya aserción es tan inexacta , cuan­ nuel Castresana y D. Francisco González M ontes, resultando do menos, como esta otra del mismo Dr. Julius, expresada en por ocho votos co…</t>
  </si>
  <si>
    <t>…isco Ponce de León y el prefecto del distrito de Tuspan D. Anastasio M aría BUENOS A IR E S . Constantinopla 2 4 d e Julio, Llórente por parte del Sf. general D. M ariano Paredes y A r ­ rilla ga , y los tenientes coroneles D. Francisco de P aula Lince y Por la v ía de Boston se ha recibido la importante noticia Akiff-effendi, enviado cerca del bajá de Egipto para hacer­ D. A gu stín Basadre por la del Sr. general D. José U r r e a , des­ de haberse dado una sangrienta batalla en el punto de Paso le saber el advenimiento…</t>
  </si>
  <si>
    <t>…u n ­ principal de Amortización, sita en la calle del Lobo, núme­ tos Sres. Doña Aotooia G a rc in i, D. Sebastian y Doña Vicenta ro 8 , piso segundo , á ratificarse en una declaración que tiene Pujol y Garcini , hijos, y á D. Francisco de E autregard, maris­ Los 2 2 $ billetes estarán subdivididos en la clase de cuartos, prestada en cierta causa crim inal qae se sigue sobre falsificación cal de campo, con presencia de documentos justificativos, a c u ­ á 10 rs. cada uno de ellos, los que se despacharán en las a d m i­ d…</t>
  </si>
  <si>
    <t>de, Francisco Antonio</t>
  </si>
  <si>
    <t>Francisco Antonio de</t>
  </si>
  <si>
    <t>…cioci­ Dirección general de caminos, canales y puertos.z=5.a sec- A bril último, se deduce que el progreso de los trabajos de di­ nios , ni dar novedad á los pensamientos ya conocidos. T al es cion.=Excmo S r . : El ingeniero D. Francisco Antonio deEclia- cho camino carbonero desde dicho dia hasta el de la fecha, ha mi situación; mas sin embargo algunos Sres. Senadores han pe­ nobe y Echanobe, encargado últimamente de la inspección y sido 9253 varas lineales de nueva explanación, en las que se dido al Gobierno de S. M. nuev…</t>
  </si>
  <si>
    <t>de, Francisco Antonio Iparraguirre</t>
  </si>
  <si>
    <t>Francisco Antonio Iparraguirre de</t>
  </si>
  <si>
    <t>…1.° del corriente á conse­ E L LICEO. ventaja del Sr. de Albeniz, ejecutó la señorita de Imbrecht cuencia de noticias adquiridas por el comandante de caballería una fantasía de H e rtz, en que venciendo con tanta brillantez D. Francisco Antonio Iparraguirre de que en la villa de L a n - Tuvo el Liceo en la noche del 15 del actual una de las mas como gusto grandes dificultades, no justificó, sobrepujó las es­ ciego se hallaba una partida de facciosos procedente de los que brillantes sesioues públicas que ha celebrado. Fa…</t>
  </si>
  <si>
    <t>de, Francisco Bermu-</t>
  </si>
  <si>
    <t>Francisco Bermu- de</t>
  </si>
  <si>
    <t>…calle de la Cruz. ral de la n iñ e z .~ A . L. Manuel M ate o s, que se adm itirán las que se hicieren siendo ar­ D. Basilio Sebastian Castellanos, catedrático de numismá­ regladas. tica aplicada á la legislación española, y D. Francisco Bermu- dez Sotomayor de A la b e , no dan principio á sus lecciones has­ Suscripción p a r a s o c o r r o d e las monjas . ta 1.° del mes próximo. Y se avisará al público cuando puedan empezar las de lite ­ Concluida la primera suscripción y hecho el repartimiento ratura española y ec…</t>
  </si>
  <si>
    <t>de, Francisco Camacho</t>
  </si>
  <si>
    <t>Francisco Camacho de</t>
  </si>
  <si>
    <t>…á todos los que El Excmo. Sr. D. Ignacio de Sotomayor, Nin , Masones de se crean con derecho á participar de los bienes del patro­ Limia, duque de Sotomayor , grande de España , marques de los nato fundado en esta ciudad por D. Francisco Camacho de v</t>
  </si>
  <si>
    <t>de, Francisco López</t>
  </si>
  <si>
    <t>Francisco López de</t>
  </si>
  <si>
    <t>…á las religiosas el socorro que aquella produz­ CORRESPONDENCIA DE LA GACETA. casa ca , han fijado por término para admitir las limosnas el Jue­ ves 26 del actual, hasta cuyo dia inclusive estará abierto en del depositario D. Francisco López de O lavarrieta, pla­ LA MARIPOSA, zuela de Santo Domiugo, lonja núm. 21. PERIODICO DE LITERATURA V MODAS. Zaragoza 3 de Setiembre. Apenas se difundieron en esta La empresa de este periódico de literatura y modas advier­ capital las faustas nuevas de los sucesos ocurridos en las p…</t>
  </si>
  <si>
    <t>…­ mero 11 . EL HOMBRE G O R D O , cubrimiento , habiendo dispendiado mi patrimonio y honora­ 4*° D. Francisco G arro , lonja calle del P rín c ip e , núm. 15. rios de mi facultad en esias y otras gestiones en beneficio del 5.° D. Francisco López de O la v a rr ie ta , plazuela de Santo encargándose de la parte de protagonista el mencionado señor público mas bien que del mío p riv ad o , por tales motivos no D o m in go, núm. 21. González, que sin llegar su talla á cinco p ie s , pesa 18 arrobas. creo faltar al carácter de u…</t>
  </si>
  <si>
    <t>de, Francisco Martínez</t>
  </si>
  <si>
    <t>Francisco Martínez de</t>
  </si>
  <si>
    <t>…o sobre adul­ Las Cortes de 1857.= Por D. Joaquín Francisco Pacheco. conocían aquellos hombres era el idioma castellano: y los versos teración de endosos de varios vales, apercibidos que de no ha­ U n recuerdo de Italia. = Por D. Francisco Martínez de que cita Moratin en el Cafe' , de la comedia supuesta del Cerco cerlo les parará todo perjuicio. la Rosa. de V ien a , están mejor construidos que cuantos ha producido Crónica del raes de Octubre. la escuela de Cornelia. El autor del Viejo y la Niña no pudo Se suscribe á este p…</t>
  </si>
  <si>
    <t>de, Francisco Perez</t>
  </si>
  <si>
    <t>Francisco Perez de</t>
  </si>
  <si>
    <t>…erinaria, asociación general de ganaderos, con­ LECCIONES GRAM ATICALES DE IDEOLOGIA M ATEM A TICA . servatorio de artes, academia nacional de ciencias natura­ les, academias de la corte, la biblioteca nacional, junta de Por D. Francisco Perez det Rivero. TEATROS. damas académicas para gobierno de los estudios de dibu­ Esta obra consta de tres tomos en 4-° jo , sociedad económica matritense, junta de damas unida El 1.° comprende la ideología en general extractada de las llante PRINCIPE. A las siete de la noche. Después d…</t>
  </si>
  <si>
    <t>de, Francisco Rodríguez</t>
  </si>
  <si>
    <t>Francisco Rodríguez de</t>
  </si>
  <si>
    <t>…......... 24OO _ _ por el que se confiere la superintendencia de la casa de 5.° ¡¡ UN L IB E R A L !! dram a en un acto, que tanto ha 12................. d e .......... 500................... 6000 moneda y cobrería de Jubia á D. Francisco Rodríguez de agradado en sus anteriores representaciones. 285 ................. d e .. 24............. 684O la V eg a, por fallecimiento de D. Manuel Fernandez Flo- 6 .° Boleras á 12 , llamadas del M arinerito. 2 9 5 ................. d e .. 16------’......... 4720 rez. (Id.) 7.° L A CAS…</t>
  </si>
  <si>
    <t>de, Fraíiciséa</t>
  </si>
  <si>
    <t>Fraíiciséa de</t>
  </si>
  <si>
    <t>…Aacosta [Baróiho , y lá graduación de aífé- jue existen en estas oficinas, procedentes dé liquidaciones hac E n e ro de Í8 3 4 p a ra q u e se re p u te n pom o e ^ tra n g e rp s | retes de frágaía^á los pilotbs páfticiílares D. Fraíiciséa de- Paula' Ducho tiempo verificadas, ha acordado la junta excitar, com p a ra su im p o rtació n en Ja . P enin su jia^ el -A n g o .,y jjá rjn a s f. Diáz{, ’‘segundó* cónhábidante dé!- mismo guardacosta-, y á D o n o ejecuta por el presenté anuncio, á tódós los tenedores de h 'José A l…</t>
  </si>
  <si>
    <t>de, Froilan Mendez</t>
  </si>
  <si>
    <t>Froilan Mendez de</t>
  </si>
  <si>
    <t>…que esto es impo­ Artículo único. Atendiendo á los distinguidos servicios del res de la co m isión, como me parece haber probado: si tampocc sible. Estos hombres tienen que sostener su fam ilia y sostener­ mariscal de campo D. Froilan Mendez de V i g o , muerto en de­ es urgente el despacho de este negocio , pues aun no se han dis­ se á sí propios; y es necesario que con este fin dediquen todo el fensa del orden público, se señala á su viuda Doña Lu isa Oráa cutido los presupuestos, esos presupuestos terribles que me hi…</t>
  </si>
  <si>
    <t>de, Frontenac</t>
  </si>
  <si>
    <t>Frontenac de</t>
  </si>
  <si>
    <t>…i r á Quebec jjühcbs; las superiores, casi tan ba.jást cómo aquellas, estaban ’ |ordeádás de selvas de mas de 500 leguas que el rio socava “ He recibido un reino^ ^ dejo dos. Lá Féanéia recibirá de mí i dar parte al gobernador Frontenac de sus comunes descu­ incesantemente: los árboles que caian en medio de las aguas con tanto como yo de Dios.” La Francia hubiera;tépido mas, por­ brimientos. Su relación causó tal novedad en la colonia, que áus grandes ramas extendidas, se clavaban en el fondo y for­ que sus posesiones dé…</t>
  </si>
  <si>
    <t>de, Frías</t>
  </si>
  <si>
    <t>Frías de</t>
  </si>
  <si>
    <t>…de carácter, para que se la j u n t a de Valencia es diferente de la de A ragón . lio y a y u d a en los pueblos en que se ocultan. encarg uen de responder de ellas. E n punto á la censura que se L o s Sres. Calatrava y duque de Frías deshacen varias equi- N o debo o m itir á V . S. que los dos oficiales D . L u i s G o n ­ ha creído se hacia al Gobierno , si bien pudo creerse asi en el v ocio nes. zález y D . Francisco C a ñ a s , el primero teniente de tiradores anterior m e n saje , en este no debe creerse, pues no se…</t>
  </si>
  <si>
    <t>de, Fuera</t>
  </si>
  <si>
    <t>Fuera de</t>
  </si>
  <si>
    <t>…tración d e l ‘ men. Por él se ve que yo 110 tuve nunca el carácter de cesante; c rim e n , y no creo que haya n in g ú n D ip u ta d o que tengá P A R A LA SESION DEL JU EVES 3 DE EN ERO DE 1839. podria muy bien ser magistrado Fuera de servicio, pero uo ce­ argüir, con n ing un a razón á esta autoridad , únicá en la/áftate- sante declarad o; me importa poco que esto sirva ó no para s u ­ ria. P ues, señores, si.en esta acepción no puede ocúreír d uda Se reun irá el Senado i la hora de las doce para oir la lectu­ jetarme…</t>
  </si>
  <si>
    <t>de, Félix</t>
  </si>
  <si>
    <t>Félix de</t>
  </si>
  <si>
    <t>…en todos los pueblos ponsables. • que concurramos á esta desgracia y á esta afrenta. (Interrup­ reinaba una unanimidad que el extrangero no se habría atrevi­ ción.) (Procésenla tribuna pública. M u y bien! M u y bien!) E l conde Félix de A lerode: Señores, desde la apertura do a com batir, tres cobardes Ministros (violentos murmullos, de nuestra legislatura en el mes de Noviembre último se han ¡Hombres dé Estado, miserables! (continuó Mr. D u m or­ aplausos en las tribunas), tres cobardes M in istros, entre los verificado…</t>
  </si>
  <si>
    <t>…llevar algunos pasageros de cám ara, se d ir i­ mucho toasen los artículos, preposiciones , conjunciones y pa­ nio D u rán y Doña M arg a rita M o s t i , para que en el término g irá el que quiera aprovechar esta ocasión á D. Félix de A g u ir - labras que no tienen significación propia si no se juntan á las de nueve d ia s, que por tercero y último se les señala , se presen­ re, del comercio de S a n tan d er, consignatario de dicho buque. que siguen. Y o desecharía para modelo los siguientes: ten en la escribanía pri…</t>
  </si>
  <si>
    <t>…mrs. las listas impresas de los números que hayan conseguido pre­ oficiales del estado mayor 116.. 5 mio, y por ellas, y no por ningún otro documento, se satis­ El subinspector de la artillería por sí, los gefes y Comandante D. Félix de A gurre. ..................... 320 farán las ganancias en las mismas administraciones donde hu­ oficiales del cuerpo....................................................... 120.. 4 El mayor D. V entura. .................................. 320 biesen sido expendidos los billetes con la puntua…</t>
  </si>
  <si>
    <t>de, Félix Torres</t>
  </si>
  <si>
    <t>Félix Torres de</t>
  </si>
  <si>
    <t>…aquellos hombres ó mugeres ilustres en la res arzobispo de Palmira D. Félix Amat y obispo de Astorga el estado de los alumnos nombrados y presentados en la escuela historia por su valor ó virtudes cívicas, exponiendo asi á la D. Félix Torres de A m at, se venderán estas en adelante en las normal de maestros, la provincia de L érida, en lugar de i consideración pública, por una ligera reseña, dos ejemplos que librerías de Calleja y de Hurtado en la citada calle: y en to­ presentado, debe leerse 0 , pues ninguno lo ha verific…</t>
  </si>
  <si>
    <t>de, G.</t>
  </si>
  <si>
    <t>G. de</t>
  </si>
  <si>
    <t>…...................................................................... D. A. de O ..................... ........................................................... 100 20 U a in c ó g n ito ............... . ................ D. G. de O ........................... 80 4 D. Alejandro Olivan. . . . . . . ............................................. D. V. de P ................................................................................... 80 12 Un Miliciano nacional.......................................................…</t>
  </si>
  <si>
    <t>DE, G. G. BOLSA</t>
  </si>
  <si>
    <t>G. G. BOLSA DE</t>
  </si>
  <si>
    <t>…culos contenidos en este número. CRUZ. A las siete de la noche. Se pondrá en escena la BOLETIN DE COMERCIO. Biografía contemporánea.rzAlejandro 1 , Emperador de R u - ópera n u eva, dividida en tres partes, titulada sia.=Por D. G. G. BOLSA DE M A D RID . Las Cortes de 1857.zr(Continuacion. Véase el número ante- I B R IG A N T I, rior.)z=Por D. Joaquin Francisco Pacheco. Cotización del dia 11 d las tres de la ta rifa Poesía popular.=Drama novelesco.^Lope de Vega.=Por Don poema de C rescini, cuyo asunto está tomada de la…</t>
  </si>
  <si>
    <t>de, Gabriel Alonso</t>
  </si>
  <si>
    <t>Gabriel Alonso de</t>
  </si>
  <si>
    <t>…DECRETOS, los trasportes y conducciones de géneros, y hace cálculos muy * circunstanciados y dignos de consideración para apoyar sos PROVIDENCIAS JUDICIALES» ORDENES Y REGLAMENTOS DEL GOBIERNO opiniones. Agricultura general de Gabriel Alonso de H errera, corre-i Y D E LAS DIRECCIONES Y AUTORIDADES SUPERIORES. gida según el texto original de la primera edición , publicada Juzgado de la intendencia militar de Castilla la Nueva. en 1513 por el mismo autor: y adicionada por Já Real socie- dad económica matritense. Cuatro t…</t>
  </si>
  <si>
    <t>de, Galiano</t>
  </si>
  <si>
    <t>Galiano de</t>
  </si>
  <si>
    <t>…convidados. cibido como Diputado en la Dieta, en atención á hallarse pro­ El vicecanciller propuso en seguida un brindis á la salud pectivas doctrinas. cesado por el ministerio público. Después de la lectura del Parece el Sr. Galiano destinado á defender las ideas del Príncipe Guillermo Henrique de los Paises Bajos, quien dió rescripto , se preguntó si se debia proceder inmediatamente gracias á la asamblea por medio de un discurso bastante corlo modernas que se han introducido en literatura , siendo el á nueva elecci…</t>
  </si>
  <si>
    <t>de, García</t>
  </si>
  <si>
    <t>García de</t>
  </si>
  <si>
    <t>…e la República sin que preceda sentencia judicial: cruz, Cerdeña, M illér, Riva Agiiero y varios oficiales que les Valencia que el 14 á las diez de la mañana llegó el general en yo lo prometo. . acompañan, é igualmente que el Sr. García del R io, que han gefe á Castellón con cinco batallones y 500 caballos que le Todos los ciudadanos indistintamente serán llamados á ser­ fondeado anoche en Puná en la fragata inglesa Samarán. Este acom pañan, y que á las tres de la madrugada del siguiente vir Jos destinos públicos que vacaren…</t>
  </si>
  <si>
    <t>de, García Luna. Antes</t>
  </si>
  <si>
    <t>García Luna. Antes de</t>
  </si>
  <si>
    <t>…para llevar á cabo su plan se valic dia 27 E l arte de conspirar , drauia en que está admirable lecta del público, de I Puritani de Bellini. Sin que sea pre­ de arquitectos y operarios árabes; y asi es de creer si atende­ el Sr. García Luna. Antes de que este artículo vea la luz p ú ­ venir el fallo de aquél , parécenos que en ella ha de conseguir mos al género é índole de la arquitectura del palacio en k blico ya se habrá presentado de nuevo con el papel de D. Sim­ la Sra. Villó un triunfo aun mayor que los anteriores. El…</t>
  </si>
  <si>
    <t>de, Garlos Rodríguez</t>
  </si>
  <si>
    <t>Garlos Rodríguez de</t>
  </si>
  <si>
    <t>…magistrado honorario de la audiencia de Zara­ Id. del general D. Blas de Lezo, un real. su vista el jurado lo declara absuelio. Rafael Urries, Manuel escribanojuezdeldenúmero primera instancia en esta corte, refrendada del D. Garlos Rodríguez de M oya, se cita, Id. del almirante D. Antonio de Gaztañeta, un real. Lorente , Pablo Ascaso , Ignacio Paño de Sesé, José de la Cruz, llama y emplaza á cualquiera persooa que se conceptúe con de­ Noticia biográfica y literaria del cosmógrafo Alonso de Juan de Maritorena , por D.…</t>
  </si>
  <si>
    <t>de, Garro</t>
  </si>
  <si>
    <t>Garro de</t>
  </si>
  <si>
    <t>…rougeres del serrallo ; y sus cómplices , asi co- jobierno respecto de los negocios exteriores. principado, no será la residencia de un bajá turco. uno otras diez personas implicadas en el asunto, sufrieron la Se instruyó al Sr. Garro de todo, y se le remitieron los do­ (Gaceta de Augsburgo.) misma muerte. cumentos necesarios para que pudiese probar cuanto dijese, y convencer al Gobierno de Francia de que Méjico era acreedor i otro.concepto y consideraciones de las que se le habían g u a r- qc ?* \¡rm a^ ana teniPrano pa…</t>
  </si>
  <si>
    <t>de, Gaspar Remisa. Acciones</t>
  </si>
  <si>
    <t>Gaspar Remisa. Acciones de</t>
  </si>
  <si>
    <t>…Domingo Fernandez de M ela. »D . Antonio Solís. M álaga. Consolidados 95^ á 94* Badajoz. Bonos del Echiquier de 65 á 65. « D . José Alcántara Navarro. Bonos de Indias de 61 á 65. «M arques de M ontealegre, conde de Oñate. D. Gaspar Remisa. Acciones del banco 2 6 2 1. « D . Manuel José Q uintana. «D . Antonio Rernon Zarco del Valle. Fondo activo español 16£ con cupones. «D . Alvaro Gómez Becerra. Cinco por 100 portugués 29. «Conde del Montijo. M urcia. Idem 5 por 100 i9 . B aleares (Islas). « D . Antonio Perez de Mec…</t>
  </si>
  <si>
    <t>de, Gervasio</t>
  </si>
  <si>
    <t>Gervasio de</t>
  </si>
  <si>
    <t>…han salido ciertas. El extraordinario llegado ha traido su * ra instancia de esta corte, refrendada del escribano de su confirmación segura y completa. acto original de D. Manuel Bretón de los H erreros, cuyo título es número D. Gervasio de Q u in ta s , se cita , llama y emplaza á «Diez y ocho batallones vascongados y castellanos, parte todos los que se crean con derecho á los bienes quedados al fa ­ E L HOMBRE GORDO. T , de otro, tres escuadrones, unas compañías de artillería y za­ llecimiento del doctor D. Julián G arde…</t>
  </si>
  <si>
    <t>…juez rs. dias. d.id y pueblos inmediatos capitaneando siete latro-facciosos á JLj de primera instancia de esta c a p ita l, refrendada del escri­ caballo, deteniendo á toda clase de personas y cometiendo los bano de número D. Gervasio de Q u in tas, se c i t a , llama y em­ robos y excesos que acostumbra esta canalla , dio con la mayor plaza á D. Ildefonso G a r c ía , para que en el término de 20 mrs. 45 rs. premura las órdenes correspondientes para su persecución y ex­ d ia s , contados desde la inserción de este an…</t>
  </si>
  <si>
    <t>…Alvarez. IMPRENTA NACIONAL. la calcografía de la Imprenta nacional. La pesca del cocodrilo. £ N virtud de providencia de) Sr. D. Manuel Luceño, juez de primera instancia de esta corte, refrendada por el es­ cribano de numero D. Gervasio de Q uintaste cita llama y COLECCION DE LEYES, Este cu adro, pintado por Boucher (F .), representa á un hombre en el acto de haber introducido en la gran boca del cocodrilo un palo con puntas agudas para que quede preso y se emplaza por el termino de 20 dias, contados desde la’publica- c…</t>
  </si>
  <si>
    <t>…u n ta de liquidación de primera instancia de esta c orte, y por la escribanía del conveniente la comisión redactar bajo estas miras el siguien te pro­ de la deuda del E stado ; O. J u a n G u m ucio , que desempeña número de D. Gervasio de Q u in t a s , se saca á pública subasta yecto de m ensaje, que en sustitución del primero presenta ah o ­ la dirección de la caja nacional de A m ortización por ausencia por térm ino de 50 d i a s , contados desde la publicación de eAe ra al Senado con la esperanza de que merecerá su a…</t>
  </si>
  <si>
    <t>…miró en su origen la facción del primera instancia de esta corte, refrendada por el escri­ Maestrazgo, la necesidad de atender á la guerra de las provin­ Acciones del banco español de S. F er n a n d o , 00» bano del número D. Gervasio de Q uintas, se c i t a , llama y em­ cias Vascongadas con preferencia á la de A ragó n y Valencia, plaza por el segundo término de diez dias contados desde la c a m b io s. unido todo á los desaciertos tanto militares como políticos de publicación de este an un cio , á los que se crean c…</t>
  </si>
  <si>
    <t>…entenderse sin perjuicio de lo que de primera iostancia de esta corte, refrendada por el es­ del Gobierno en que fuere inserto este anuncio; la cual se halla determinen las Cortes al aprobar los presupuestos. cribano de número D. Gervasio de Q uintas, se cita, llama y dotada con 5500 rs. v o ., estando á su cargo la sección de con­ emplaza a todos los interesados en la testamentaría de Doña tabilidad establecida. Juana Diaz BLzquez, para que en el preciso y único término de 20 dias, contados desde la inserción de este anu…</t>
  </si>
  <si>
    <t>de, Gerónimo</t>
  </si>
  <si>
    <t>Gerónimo de</t>
  </si>
  <si>
    <t>…a es­ Abrió la sesión el Presidente de la junta directiva Sr. d u ­ González, y que para reemplazarlos proponía á los Sres. Do* cuelas. que de G or, teniendo á sus lados á los Sres. marqués de Santa Antonio Saodalio de Arias, D. Gerónimo del Campo, D. Euge­ Lo expendido en las obras hechas para preparar las cuatro Cruz y D. Manuel José Quintana , y el Sr. secretario general nio Perez González, cura párroco de S. Ginés (reelegidos), Don existentes asciende á '18,946 rs. Por arrendamiento hasta fin del D. Mateo Seoane leyó e…</t>
  </si>
  <si>
    <t>de, Gerónimo Retuerta</t>
  </si>
  <si>
    <t>Gerónimo Retuerta de</t>
  </si>
  <si>
    <t>…mor de su esposa. B IB L IO G R A F ÍA . timetre y otras, introducidas en el lenguaje común des­ El D. Lain del M úsico por amor es un animal avaro, pués del advenimiento de la casa de Borbon al trono de gloton y descortés: el D. Gerónimo Retuerta de una co­ España. El mismo hace alusión á la moda introducida de aplaudir á los autores con las voces bravo, famoso , bueno: media, cuyo título es A llá vci ese disparate , pertenece á la misma especie, y solo se diferencia en los incidentes de LA BODA Y EL DUELO, pues habiendo…</t>
  </si>
  <si>
    <t>de, González</t>
  </si>
  <si>
    <t>González de</t>
  </si>
  <si>
    <t>…de esas generales que El orador continúa haciendo otras observaciones acerca de contraerse á la cuestión, aunque no por eso digo que se haga se­ se usan y no se llevan á efecto. Yo puedo citar dos hechos, el lo dicho por el Sr. González de que este acto no era obligato­ parado. Por lo demas solo el Presidente está autorizado para uno m uy reciente y del que tal vez aqui habrá señores que lo rio , y deque no habia habido protestas, manifestando que en llamar á la cuestión. sepan. Empeñóse el Gobierno en que habían de pasa…</t>
  </si>
  <si>
    <t>de, González Romero.</t>
  </si>
  <si>
    <t>González Romero. de</t>
  </si>
  <si>
    <t>…y como exige la libertad de votar, dijo: "oo se admiten las ac­ Roldan y conde de las Navas rera á cualquiera exceso que pudiera haber en las influencias tas, se han hecho las elecciones excepcionalmente.” La impar­ Segovia: Sr. González Romero. de una persona , y la ha puesto porque ha querido eliminar cialidad exigía que estando la guerra en el mismo estado, se ad­ Soria : Sres. Barrio Ay uso y Leal. todas las relaciones que puedan tener los hombres, no las de sus Al proponerse la admisión del Sr. Arrazola, Diputado por…</t>
  </si>
  <si>
    <t>de, González.</t>
  </si>
  <si>
    <t>González. de</t>
  </si>
  <si>
    <t>…que se reuniesen Us secciones y nombrasen la co m i­ brar en aquel acto , pudiera suceder que mañana el Congreso ¡ Senado, pasó esta á cumplimentarla con motivo del convenio sión que se liabia de ocupar de la proposición del Sr. González. declarase la nuiidad de las elecciones de una provincia que se celebrado entre el duque de la Victoria y el general de las fuer­ Restituida al Senado la d ip u ta c ió n , dijo bailase en igual caso, y entonces ¿ q u é haremos con las elec- zas enemigas ; y el Sr. Moscoso de A ltam ira ,…</t>
  </si>
  <si>
    <t>de, Gor y Perez</t>
  </si>
  <si>
    <t>Gor y Perez de</t>
  </si>
  <si>
    <t>…uera su­ se previene que se sometan á consulta del Gobierno aquellos jetar á consejos de guerra á personas pacíficas. Tengo el av e­ créditos que ofreciesen duda. gera discusión entre los Sres. Q u ijan a, T em prado, duque de Gor y Perez de R iv as, que dice asi : rna que señala la ley de 17 de A b ril, en la cual se estahlece. El Sr. GOMEZ BECERRA continúa haciendo varias refle­ que todos están sujetos á las leyes naturales, excepto cuando xiones sobre la utilidad y conveniencia deque haya en esta junta La comisión en…</t>
  </si>
  <si>
    <t>de, Gracia y Despees</t>
  </si>
  <si>
    <t>Gracia y Despees de</t>
  </si>
  <si>
    <t>…y [casado hubiere regen­ solí.» ®o bastante piara creer que el interesado lia aceptado la vuelto el proyecto retirado. te) en su Rea-i nombra, darante k menor edad ó imposibili­ gracia, Que en el oficio en que el Sr, Ministro de Gracia y Despees de o o ligero debate quedó aprobado, intereakodo dad «Sel Rey (ó Reina) ell regente gobernador (ó gobernadora) ó- Justicia trascribe La comaaicmciaa que su antecesor había he­ la palabra m íegim , despoes de las de ^retirar un proyecto dle .ell regente ó la regencia del reino, á tod…</t>
  </si>
  <si>
    <t>de, Gracia y Justicia</t>
  </si>
  <si>
    <t>Gracia y Justicia de</t>
  </si>
  <si>
    <t>…? El Sr. S A N C H O : V o y á hacer dos observaciones sobre dos cual necesito dar explicaciones, aunque con aquella delicadeza Que esas esperanzas que hab ian concebido quedaban enteramen­ ideas capitales que el Sr. ministro de Gracia y Justicia dedujo y reserva que convienen. te desvanecidas. de mi discurso* valiéndose de utía expresión metafórica que y o ,ií</t>
  </si>
  <si>
    <t>de, Gregorio Sanz</t>
  </si>
  <si>
    <t>Gregorio Sanz de</t>
  </si>
  <si>
    <t>…to en la nación ó en el ex* b ii tenido á bien nombrar Senador por la provincia de Orense trangero, ha de preceder indispensablemente la publicación ge­ . T arrag o n a,. . . En 2 5 de D ic. No con sta.. . . En 28 de Dic, á D. Gregorio Sanz de Y illavieja, obispo electo de Y ic h ,é n neral de las coodiciones fundamentales del empréstito, la admi­ reemplazo de D. Gabriel José García. sión durant^ un termino fijo de todas las proposiciones sobre él, Madrid 10 de Enero dé T83 9 .= González Brabo. Se dió cuenta de los dict…</t>
  </si>
  <si>
    <t>…to en 16.° con resolución. (Id.) del próximo mei de Marxo. (Núm. 1557.) una lám ina fina á 4 rs. rústica. Real decreto nombrando Senador por la provincia de Orense á Real decreto acordando recompensar á la ciudad de Gandesa. D. Gregorio Sanz de V illavieja , electo en reemplazo de Don (Núm. 1558.) , Chrestomathie franqaise, contenant le Telemaque avec Pana- Gabriel José García. (Núm. 1516 ) Circular del ministerio de la Gobernación de la Península so­ lyse gram aticale du premier livre, les A ventures d*Aristonoiis, _ par…</t>
  </si>
  <si>
    <t>de, Guillermo</t>
  </si>
  <si>
    <t>Guillermo de</t>
  </si>
  <si>
    <t>…á cabo la Pocos momentos después salió esta compuesta de los señores pacificación completa de la Península, único afan de los pue­ Presidente, Entrena , Balanzat, Zarco del Valle , Garelly , Cam­ El Príncipe Federico y el conde Guillermo de W urtem - blos para gozar en completo su felicidad, y único estado en el po Alange, González, Rubianes , Heros , arzobispo electo de berg f sobrinos, acaban de partir de e&gt;.ta capital con direccioi que brillará en todo su esplendor y saludable poder el trono Valencia, Salas Omaña , Rui…</t>
  </si>
  <si>
    <t>de, Gutiérrez</t>
  </si>
  <si>
    <t>Gutiérrez de</t>
  </si>
  <si>
    <t>…a compla­ to , por lo que si bien era verdad que no habia reclamación al­ general Bertrand por la orquesta del gran teatro. Las hermosas cencia en anunciar por medio de la orden lo satisfactoria que guna contra la aptitud del Sr. Gutiérrez de C evallos, era ne­ sinfonías de Robín d es B o is , de Guillermo T e ll y de la M u ­ le ha sido tan generosa determinación, previene á los Sres. gefes cesario que constase por escrito, y en dos renglones, lo mismo da d e P órtici han sido ejecutadas con una delicadeza y una de los cuer…</t>
  </si>
  <si>
    <t>de, Gómez Acebo</t>
  </si>
  <si>
    <t>Gómez Acebo de</t>
  </si>
  <si>
    <t>Bastan estas razones para justificar en mi sentir la necesidad . someterse á esta desgraciadísim a necesidad? La comisión ha Después de unas lig e ra s observaciones del Sr. Gómez Acebo de acordar la requisición que se p id e; pero ¿no será, repito, j conocido que el caballo es una propiedad, y que en nada se d i- en su a p o y o , fue torrada en consideración , acordándose pasa­ prudente, necesario, entrando en los intereses de los pue­ j ferencia del vestuario y arm…</t>
  </si>
  <si>
    <t>de, Hacienda</t>
  </si>
  <si>
    <t>Hacienda de</t>
  </si>
  <si>
    <t>…reso, y al mismo tiempo en— hacer una adición que la comisión adopto y las Cortes y el Se­ 10 habia formalidades, ni recibos, ni documentos en los que volvia una cuestión general, eo la que 110 hay divisiones n¿ ñor Ministro de Hacienda de aquella época aprobaron. Pues tabiau pagado, y habia una imposibilidad de hacerlo. Iláy bandos, y en la que los de la izquierda y los de la derecha pien­ exactamente los propietarios de Segovia, en cuyo favor hice i uas: estuve entonces en disidencia con H comisión: esta quería san del…</t>
  </si>
  <si>
    <t>…n en los sitios mas avanzados ; y Se mandaron repartir 250 ejemplares remitidos por el se­ Gobierno? N ada, porque según esa disposición que he citado mezclados de noche con los centinelas franceses, muchas veces ñor Ministro de Hacienda del suplemento á la Gaceta de este no tiene facultad de hacerlo sino con arreglo á las leyes. Por nos hicimos fuego; y estos peligros únicamente los corrieron dia , que comprende los documentos de la deuda pública noen- esto he dicho que yo miro esta cuestión como constitucional, los si¡upi…</t>
  </si>
  <si>
    <t>de, Haverkara. Han</t>
  </si>
  <si>
    <t>Haverkara. Han de</t>
  </si>
  <si>
    <t>…umentó rápida­ contiene la aprobación plena.y entera de la conducta de rsu .di­ competentes, y pase inmediatamente á reconocer la carretera de mente la furia de los elementos, descargando á las tres un tem­ que putado, el Senador Haverkara. Han declarado en consecuencia Granada á Málaga;, y examinar sus puntos mas importantes poral deshecho con viento de S.S."E. Por espacio de hora y me­ que no no procederían á la elección de un uuevo diputado * y consideraban legítimamente ábrogada la Constitución para principiar las obra…</t>
  </si>
  <si>
    <t>de, Hicfalgo</t>
  </si>
  <si>
    <t>Hicfalgo de</t>
  </si>
  <si>
    <t>…ntes ramos de un modo tan satisfactorio clases de.gramática'y aritmética ¿ estando lasdeldemas Valle dirige las haya vuelto tan apreciable gefe á regir los destino? de ella. ;E1 á cargo de , éiisayo que anteriormente hizo el Sr. Hicfalgo de upa adminis­ para la comisión y el numeroso concurso de espectadores, que la directora, á quienes les dió ras gracias por la exactitud no dejaron que desear; particularmente en la gramática caste­ método de enseñanza, presentándose en seguida la niña Doñay tración paternal, le granjeó…</t>
  </si>
  <si>
    <t>DE, IA</t>
  </si>
  <si>
    <t>IA DE</t>
  </si>
  <si>
    <t>…general de todos los efectos cjue se hallan en este estableci­ PRINCIPE. A las siete de la noche. toriales, y, á las diez saldrá de estas el duelo presidido por miento se aumentará alguna parte en este periódico y diario 1.° UN D IA DE C A M P O , ó EL TUTOR Y EL vuestro ayuntam iento, y acompañado de tres compañías de de Avisos de M adrid. A M A N T E , comedia n u ev a, o rig in a l, en tres actos y en va­ preferencia. Celebrado el oficio de difuntos , en el que pronun­ riedad de metros. ciará la oración fúnebre el Sr. can…</t>
  </si>
  <si>
    <t>de, IA</t>
  </si>
  <si>
    <t>IA de</t>
  </si>
  <si>
    <t>…na batalla: ¿ á quién se tem ía, se­ viene. La comisión opina que dicho proyecto debe aprobarse en ñores? Esto es lo que se necesita saber, y por esta razón me he los términos en que lo ha sido por el Congreso. O R D E N D E L D IA decidido á tomar la palabra como un honrado militar que quie­ Juró y tomó asiento el Sr. D. Joaquín P a tin o , Senador re que se respete la ley. No tengo mas que decir. por la provincia de Pontevedra , quedando destinado á la ter­ PARA LA SESION DEL VIERNES DE OCTUBRE DE 1839. El Sr. PA Z G A R…</t>
  </si>
  <si>
    <t>…6$ y 2 6% con cupones mundo hasta el estado presente de la Iglesia: su autor Don ni contado: 2 6 ^ , quince diezise isa v o s, 2 ^ , 26:}, 27&gt;{, § y 27 á José P into u: vigésim a edición, año de 1825. Dos tomos en L A T R A G E D IA DE M A N O L O . v. f. vol. y firme: 30, 28£, 2 9, ¿ y 2 7 ¿ á v. f. ó vol. a prima 8 .° , á 14 rs. en pergamino y 18 en pasta fina. sainete d iv ertid o , que será desempeñado por las partes p rin c i­ I y i Por 100 con cupones. Este compendio fue escrito por el indicado Pintón con solo pales d…</t>
  </si>
  <si>
    <t>de, IEZ CUARTOS.</t>
  </si>
  <si>
    <t>IEZ CUARTOS. de</t>
  </si>
  <si>
    <t>N.º 1721. JUEVES 1.° DE AGOSTO DE 1839. D IEZ CUARTOS. del ministro de Hacienda * en atención á qué el referido ca­ j se alojaron á la vista de los puestos avanzados edemigos^ PARTE OFICIAL. pitán ignoraba esta medida* lo que le ha causado una de­ ¡ Al siguiente oía ai -amanecer forrearon las trou-,^: inmedia- mora perjudicial; y para qu…</t>
  </si>
  <si>
    <t>de, Ignacio</t>
  </si>
  <si>
    <t>Ignacio de</t>
  </si>
  <si>
    <t>…to reformar con decretos, no es tan se­ rá á hacerle una visita en mi nombre el Sr. general de briga­ Morales, cuyos movimientos d irig í, según las órdenes que me guro como preparando de antemano el terreno, y removiendo da D. Ignacio de M ora, y si V. E. tiene la dignación de se­ comunicaba S. E., e s d ig n a igualmente de todo elogio por los obsta'culos mas importantes. Precisamente á esto se reduce el ñalar el dia en que pueda recibirlo; no ejecutándolo yo mis­ haber practicado una marcha forzada de nueve leguas, y p…</t>
  </si>
  <si>
    <t>N.º 1624. SABADO 27 DE ABRIL DE 1839. d ie z c u a i t o s PARTE OFICIAL. nido, ocupa'cdose en ello con la mayor actividad el visitador í dar muerte al titulado teniente Ignacio del Prado y Araujo, de presidios D. Manuel IVlontesinos. El lunes 22 del corriente yy Juan pasaje eu persona acompañado de dicho visitador ingeniero co, una López, lanza , procedente de N a v a rra , cogiéndoles un trabu­ una canana, otros efectos y algunos papeles dé D. Elias Aquino a…</t>
  </si>
  <si>
    <t>de, Ignacio Fernandez</t>
  </si>
  <si>
    <t>Ignacio Fernandez de</t>
  </si>
  <si>
    <t>…o reducida á la de los procedimientos de he­ cio Fernandez de la Somera. soberanía de aquellas provincias: D. Ju a n la reh u só, y cho cometidos contra un militar en ejercicio de su misión. El Comercio. D. Valentín Galarza , D. Ignacio Fernandez de partió luego á la conquista de Túnez. Guando el Papa oyó tribunal sentenció al acucado á un año de prisión ; pero á pe­ la Somera y D. Manuel Maderne. las noticias de una victoria tan gloriosa para la cristiandad tición de la embajada francesa el Papa acaba de concederle Human…</t>
  </si>
  <si>
    <t>de, Igual</t>
  </si>
  <si>
    <t>Igual de</t>
  </si>
  <si>
    <t>…ota, pidiera copia autorizada de uno de los distritos, por deber in­ no es ¿ propósito por ningún estilo para el teatro. Ade­ fluir su resultado de la final de la elección. tre otras el Baltasar Coita, drama de nuestro amigo Don Igual determinación se adopte con respecto á la de Avila. José María Díaz, y digno de preferencia por mas de ti ti mas, la figura noble y elevada de la Reina como que se Se dió cuenta del acta de elecciones de U provincia de V i l - motivo; y tiénela en fin , porque en los cinco meses que despega d…</t>
  </si>
  <si>
    <t>de, Infanta Doña María Luisa Fer</t>
  </si>
  <si>
    <t>Infanta Doña María Luisa Fer de</t>
  </si>
  <si>
    <t>…ntos ya expre­ Busauyo, secretario. sados de Ubeira, Fontan, el Tombo y S. Cayetano. S. M. la R , su augusta Madre la R e in a G e in a oberna 80 varas lineales de explanación en la alcantarilla y vuelta dora y la Serma. Sra. Infanta Doña María Luisa Fer del Casal. Se extrajeron las tierras derribadas por las aguas en el Señora: El ayuntamiento constitucional, con el juez de nanda, continúan en esta corte sin novedad en su im sitio del Piñeiro, y se limpiaron las cunetas. primera instancia, cura párroco y comandante d…</t>
  </si>
  <si>
    <t>de, Infanta Doña María Luisa Fernán-</t>
  </si>
  <si>
    <t>Infanta Doña María Luisa Fernán- de</t>
  </si>
  <si>
    <t>…z c u a r t o s . S. M. la R e i n a , s u augusta Madre la R e i n a G o b e r n a ­ comisos y penas pecuniarias que se impongan por delitos absuelve á D. Ramón Y arela y U llo a , editor responsable de d o ra y la Serma. Sra. Infanta Doña María Luisa Fernán- de contrabando y defraudación , sigan las disposiciones dicho im preso, y en su consecuencia mandó que se ponga in ­ que actualmente rigen hasta que se dé una ley particular m ediatam ente en libertad por esta c au sa, sin que este proce­ d a , continúan en esta cor…</t>
  </si>
  <si>
    <t>de, Inglaterra</t>
  </si>
  <si>
    <t>Inglaterra de</t>
  </si>
  <si>
    <t>…obedecido nuestro Gobierno, las contribuciones p a ­ ciones de las Potencias, y hasta se dice que ha contestado á las gadas , y los testimonios de adhesión al trono repetidos; y cuan­ amenazas que le ha hecho el cónsul general de Inglaterra de un F ronteras d e la Turquía i.° d e D iciem bre, do q u ie r , Señora, que h ay ais de usar de las prerogativas de modo m u y altanero. El embajador de Francia , M r. de P o a - la corona, tales como literalmente se contienen en la ley fu n ­ t o is , persiste en no querer obligar al…</t>
  </si>
  <si>
    <t>de, Inglaterra. Esto</t>
  </si>
  <si>
    <t>Inglaterra. Esto de</t>
  </si>
  <si>
    <t>…putado,el burgo-maestreLodowieg, tánico acerca de la jurisdicción exclusiva solicitada por sir juicio ni menoscabo en su buen nombre y reputación: que se que vote en favor de la Constitución de 1833. John Harvey y el Ministro de Inglaterra. Esto deberá preceder remita testimonio literal de esta sentencia á la audiencia terri­ tr&gt;nrrfí&lt;:nnn/Jnnt A 1 T-fnmhnurPÍ\ á toda medida hostil. El Congreso suplirá á la insuficiencia del torial por conducto del limo. Sr. regente, otro al Sr. redactor tesoro, acordando un empréstito.…</t>
  </si>
  <si>
    <t>de, Inés</t>
  </si>
  <si>
    <t>Inés de</t>
  </si>
  <si>
    <t>…canto, que le valieron repetidos aplausos. No me­ do en las cómicas la complica mas que otro n i n g ú n poeta es de Tirso de Molina, p o rq u e esta vaciada en el m ism o nores los mereció con su prodigiosa voz la señorita Doña Inés de su siglo y con mas felicidad. P e r o el instin to d ram á tic o m olde de las de este autor. La i n t r i g a , la dicción en el Ja im e , que con el Sr. de Lej cantó un dúo de la ópera C lara de C a ld e ró n era im posible de imitar. fondo y en los accidentes, y la m a lig n id a d u r b…</t>
  </si>
  <si>
    <t>de, Inés de Estefanía</t>
  </si>
  <si>
    <t>Inés de Estefanía de</t>
  </si>
  <si>
    <t>…. Pcuro co&amp; Doña B iü ica , infanta y ocioso el desnudo acero? de su general, peligros; de N a v a rra , que á este efecto habia ya llegado á Coimbra; y de su honor, ocasiones. pero D. Pedro estaba ya casado secretamente con Doña Inés de Estefanía despierta, y atraviesa su pecho el puñal del marido. Castro, y tenia de ella dos hijos. El anciano Rey , instigado por Un ruido suena debajo de la cama. Fernán saca de allí una En la tercer jornada se describe en los versos siguientes el dos consejeros que creían ó aparentaban cree…</t>
  </si>
  <si>
    <t>de, IO</t>
  </si>
  <si>
    <t>IO de</t>
  </si>
  <si>
    <t>…se publicará en Barcelona el dia i . ° de Noviembre. Se suscribe en esta corte en la librería de la v iu d a de R a z o - B IB L IO G R A F IA . la ; en Bjrcelona, en la de V eguer, y e n las principales del rei­ /CO M PE N D IO del derecho Real de E sp añ a, extractado de la n o , en donde se hallan los prospectos con varias muestras de F I N del mundo , ó sea el Juicio u n iv e r sa l, que se ha de verifi­ obra del Dr. D. J u a n S a la , que se enseña en las un iv er­ los grabados. car en el presente siglo. Cuaderno…</t>
  </si>
  <si>
    <t>…ña Isa­ B IB L IO G R A F IA . íi Ja d . bel ir , y por el bien y prosperidad de nuestra cara patria. 5.o Oue la introducción de la enseñjnza gimnástica en Os es bien conocida la índole de las funciones de que estoy C O M PE N D IO del arte de la g u e r r a , publicado por el gene- nuestros regimientos y establecimientos de instrucción pública encargado: sabéis que tid a s ellas tienen por objeto promover en ral barón de J o m in i. Por disposición del Gobierno, con es debí la á los esfuerzos, al celo y perseverancia de M…</t>
  </si>
  <si>
    <t>…de Canica, en el fondo BOLETIN DE COMERCIO. que residen audiencias territoriales. De su campo encerrada, apercibía Sus brazos á la lid , en quietud honda BOLSA D E M A D R ID . Sumida al parecer; alti aguardando /C O M P E N D IO de anatomía general y descriptiva, seguido De la aplazada noche el lento arribo, ^ de uo Arte de disecar, obra original que contiene todos Y ansiada escuridad............................. Cotización del dia 27 d las tres de la tarde. los conocimientos actuales de la ciencia. Escrita por D . A…</t>
  </si>
  <si>
    <t>de, IPU TA DOS.</t>
  </si>
  <si>
    <t>IPU TA DOS. de</t>
  </si>
  <si>
    <t>…iones en los términos otra persona, no ocultándoseme lo que son las regencias, y las que be expuesto, el año parlamentario empieza hoy, no suce­ dificultades que tendría que haber por el choque de las opinio­ C O N G R E SO D E D IPU TA DOS. derá lo mismo. Ojo avizor, Diputados; la obligación que os han nes en la elección, y persuadido sobre todo de que en el triste impuesto vuestros comitentes es que os deis á respetar. tristísimo caso de que hubiese de procederse á la elección por P R E S I D E N C I A D E L S E Ñ O R C A…</t>
  </si>
  <si>
    <t>de, Isabel Margarita Roza</t>
  </si>
  <si>
    <t>Isabel Margarita Roza de</t>
  </si>
  <si>
    <t>…se tengan presentes las delincaciones ante­ guerra y de sitio para robustecer en u n caso de ap u ro á riores, hechas desde el año de 1550 en que se empezó á pen­ la autoridad legítim a: y lo segundo, que es un mal y un 62* Doña Isabel Margarita Roza de R oa, viuda del cor­ sar en el canal de Castilla , para cuya formación hubo muchos mal m uy grave que las declaraciones de un pueblo, de reo gabinete D. Domingo Roa, acude al Congreso manifestando obstáculos hasta en 1789, obstáculos que hicieron todos los es­ una ciudad ó…</t>
  </si>
  <si>
    <t>de, Isidoro Fernandez</t>
  </si>
  <si>
    <t>Isidoro Fernandez de</t>
  </si>
  <si>
    <t>…aña, D. Andrés Mendez y Pareja, R io, D. Ignacio de la Riva, D. Blas Mena y blica subasta la mitad de una casa situada en esta corte y su por este medio se espera conseguir mayor ex actitu d , no O liver, D. Gerónimo Diaguez, D. Isidoro Fernandez de A n­ calle ancha de S. Bernardo, señalada con el núm. 3 antiguo perm ite tampoco lo adelantado del tiempo que se extien­ gulo. D. Manuel Aguilar, D. Manuel Estevez de Rivera, Don y 4 I nuevo , de la manz. 449, que se compone toda ella de 5,810 dan órdenes á todos los establecim…</t>
  </si>
  <si>
    <t>de, Ivo</t>
  </si>
  <si>
    <t>Ivo de</t>
  </si>
  <si>
    <t>…solo en la oscuridad de la noche haya cometido la ba­ m ilitares y eclesiásticas, de cualquiera clase, y.dignidad, jeza de tomar lo mas mínimo ni aun de las cargas de víveres El oficial segundo tercero de este gobierno civil Don Ivo de q ue g u a rd en y h a g an guardar, c u m p lir y ejecutar la p re ­ que caian con las caballerías que las conducían, por el mal ca­ la Cortina presentó al Sr. Fernel, último gefe político, una sente léylén todas sus partes. T endréislo en tendid o para su mino. memoria acerca de la import…</t>
  </si>
  <si>
    <t>de, Iñigo</t>
  </si>
  <si>
    <t>Iñigo de</t>
  </si>
  <si>
    <t>…de­ estos establecimientos, y la que en vez de privar á sus indivi­ las y 4 2 0 mulos se repartan en todas las provincias de la na­ claró el punto suficientemente discutido, y puesto á votación el duos de la libertad que el Sr. Iñigo deseaba, era la que le conce­ ción , y esta requisa es enteramente distinta de la de los 60 ca­ artículo, se pidió que esta fuese uom iual, quedando aprobado día , prohibiendo su monopolio de esa profesión, reduciendo á ballos de que prescinde la comisión. El Sr. Sancho ha querido por 51 voto…</t>
  </si>
  <si>
    <t>de, J.</t>
  </si>
  <si>
    <t>J. de</t>
  </si>
  <si>
    <t>…prosa y verso, que lleva por tico y_ digno Je! aprecio general, mucho mas si á la idea de lo gislación an tigu a y moderna con estas solas páginas. título útil ¿nade la facilidad de su ejecución. Bajo ambos objetos h a­ 2 .a D. J. de V . , autor de este segundo Compendio, en su L A REDOMA ENCANTAD A. llamos nosotros m uy recomendable el Catecismo político del se­ prólogo (plana 1.a, línea 50) dice que ha hecho variaciones en ñor A gu irre cuyos esfuerzos nos prometemos serán dignamen­ la obra del doctor Sala. ¿ Y quién l…</t>
  </si>
  <si>
    <t>Logroño 5 Je Julio. Hoy han eatrado en esta plaza tres lada el V ia je , letra de D. J. del Peral , y m úiica de D. P. B. 1762, y salió en 29 de Abril de 1772. Murió cerca de Batavia Galdón : tienen entrada gratis en un gabinete particular de escuadíoues del regirmento del P ríncipe, procedentes de esa ca­ tía 13 de Febrero de i825¿ l* pital , que van destinados d incorporarse con…</t>
  </si>
  <si>
    <t>de, J. I.</t>
  </si>
  <si>
    <t>J. I. de</t>
  </si>
  <si>
    <t>…toda la monarquía? de Arana................................................................................... 160 dia 15 por ocupaciones de los profesores. Si nu se ha dicho qne ha de regir en Galicia , Castilla Scc. ¿por Doña J. I. de R ...................... 40 Madrid 2 de Octubre de 1859.~José María M onreal, secre­ qué se ha de decir que ha de regir allí? Doña María de los Dolores Jicait y Bou...................... 20 tario primero. Una vez que esta discusión es sobre la totalidad del proyec­ S......................…</t>
  </si>
  <si>
    <t>de, Jacinto Gaona y Loe- La Constitución</t>
  </si>
  <si>
    <t>Jacinto Gaona y Loe- La Constitución de</t>
  </si>
  <si>
    <t>…ntribuciones ea Para el día 15 del corriente Marzo y hora de la una de su las sino con arreglo á las formas constitucionales. cuanto sea posible,y no aumentarlas; asi lo hemos manifestado, tarde en la escribanía del número de D. Jacinto Gaona y Loe- La Constitución de 7 de Diciembre de l 8 l 9 ha sufrido con y nuestros actos lo han justificado. Pero seria contrario á nues­ ches se ha señahdo para el remate de las fincas raíces que en ;l trascurso del tiempo y hasta el año de 1855 , algunas raodi- tro derecho y al sentimient…</t>
  </si>
  <si>
    <t>de, Jaim e Acciones</t>
  </si>
  <si>
    <t>Jaim e Acciones de</t>
  </si>
  <si>
    <t>…s hazañas de los héroes Cádiz , en la librería de Hortal y com pañía: Barcelona , en la de i por 1 0 0 , nuevas mas distiuguidos en el sitio de G ran ad a,Tas costumbres ga­ de D. Ju an Francisco Piferrer : V alencia, en la de D. Jaim e Acciones del banco español de San Fernando, Ó0« lantes y caballerescas de aquéllos tiempos, los usos y fiestas de Jauly 5 y Sevilla, en la de Hidalgo y compañía. CAMBIOS. los moros, y lo delicioso de un pais el mas ameno de A ndalu­ Londres, i 90 dias, 58. C oruña, 2 á 2 i d. cía. La traduc…</t>
  </si>
  <si>
    <t>de, Javier Azpiroz</t>
  </si>
  <si>
    <t>Javier Azpiroz de</t>
  </si>
  <si>
    <t>…á poca distancia de su articu­ De un parte dirigido al Excmo. Sr. general en gefe por el disposiciones adoptadas y de la activa persecución que sufren. lación con la inferior. El oido es sumamente pequeño, y solo Sr. general D. Javier Azpiroz desde Castellón con fecha de se manifiesta por un agujerito. El órgano del olfato cuasi no ayer se dice: Que á la una de la madrugada emprendió la Búrgos 28 de Agosto . La correspondencia del Norte dice puede existir en un an im al, cuyos agujeros de la nariz, situa­ marcha para Luc…</t>
  </si>
  <si>
    <t>de, Joaquin</t>
  </si>
  <si>
    <t>Joaquin de</t>
  </si>
  <si>
    <t>…comercio de .Valencia , para que sg con­ de que se anule el sistema de arriendos de las contadurías d pena. ceda el libre curso y admisión de las monedas americanas en las hipotecas y demas oficios de igual naturaleza. 189. D. Joaquin del Pino y Ruiz , en queja del gefe polí­ , tesorerías de la hacienda nacional. tico de M álaga, por la prisión que les hizo sufrir. 250. Doña Josefa D om ínguez, viuda del subteniente D on 190. D..M ariano Fernandez de Bovadilla, sobre redención ,; Eusebio Espoz, ea solicitud de pensión.…</t>
  </si>
  <si>
    <t>…oche de alarma en Madrid. D. Francisco de Armas.................................................... 51 Marques de San Felipe . ................................. 51 NÚMEROS. PREMIOS. ADMINISTRACIONES. 2.° El marido desengañado. D. Joaquin de A rríela................................................... 51 3.° El Pretendiente, Maroto y el obispo de León. Conde de O -Reiily.............................................................. 51 1,094. . . . 8000 ps. fs .. Zaragoza. 4.0 La gran vista de m arina, saludo y naufragio de un…</t>
  </si>
  <si>
    <t>de, Joaquin Francisco Pacheco. Cotización</t>
  </si>
  <si>
    <t>Joaquin Francisco Pacheco. Cotización de</t>
  </si>
  <si>
    <t>…ontemporánea.rzAlejandro 1 , Emperador de R u - ópera n u eva, dividida en tres partes, titulada sia.=Por D. G. G. BOLSA DE M A D RID . Las Cortes de 1857.zr(Continuacion. Véase el número ante- I B R IG A N T I, rior.)z=Por D. Joaquin Francisco Pacheco. Cotización del dia 11 d las tres de la ta rifa Poesía popular.=Drama novelesco.^Lope de Vega.=Por Don poema de C rescini, cuyo asunto está tomada de la famosa tra­ A gustín D uran. gedia de Sch iller, que tiene el mismo títu lo , música del maes­ EFECTOS PÚBLICOS. Bibli…</t>
  </si>
  <si>
    <t>de, Joaquín</t>
  </si>
  <si>
    <t>Joaquín de</t>
  </si>
  <si>
    <t>…onservación de los dos faros colocados reciea teme ti­ ta , llam a y emplaza á D. Pablo Torrens y M irald a , D. José se req u iere un anteojo de ópera para d istinguir las p in tu ­ le en aquella embocadura. (Id.) de Acebo , D. Joaquín de E ch ev arría, D. Ricardo L ó p ez, Don ras colgadas ju n to al techo. Los cuadros, por otra p arte, del m inisterio de G racia y Ju s tic ia para que se proceda A ntonio González , D. José Castejon , D. M iguel M arques y han de estar separados unos de otros, y no encajados unos en tod…</t>
  </si>
  <si>
    <t>…el sitio de Peñas negras, en el luger de Camar­ rificarse algunos cambios en el Ministerio. Se aseguraba que aplicación al trabajo, si seles asiste con lo que les pertenece, y go, jurisdicción de id. , titulada Peñafiel, por D. Joaquín de 1a ord John Russell estaba resuelto á retirarse á causa del mal es­ trata cual corresponde, y Y. S. tanto me recomienda. Cagiga , eo id. pado de su salud. (M orning-H eraL d.) Al llegar á las obras que continúan con visible adelanto Otra id. en el sitio de Tarrera, del lugar de Girnargo…</t>
  </si>
  <si>
    <t>…situada á uoas mil varas los expresados objetos es el de 253 hombres distribuidos en U Badajoz. =: D. Manuel José Quiutana. al S. O. de Berga , se prolonga en dirección de E. S. Se igno­ forma siguiente: Baleares (islas). = D. Joaquín del Rey, nombrado por renun­ ran las circunstancias de este parapeto; pero se cree se haya Para cubrir las provincias de Lérida, Tarragona, 2,500. cia de D. Ignacio Truyols. construido únicamente con el objeto de ocupar esta coliua y Para cubrir á G erona, Vich y demas pais de la derecha, 2…</t>
  </si>
  <si>
    <t>…brar el jueves la operaciones. ficarse lo mismo en la Gaceta de M adrid , signo y firmo el pre­ últim a sesión para acabar de arreglar este punto. Por el contra­ Fondos indianos, 254R sente para entregarlo según está mandado á D. Joaquín deT rue- rio , los comisarios ingleses no han podido ponerse todavía de Bonos de las Indias, 64? 66 á prima. ba por la representación que le asiste en dichos autos. Cádiz acuerdo ccn los comisarios turcos, y la In glaterra, que habia Deuda activa española, se ha negociado á 2 1 , j , i* ahor…</t>
  </si>
  <si>
    <t>de, Joaquín Cayueia</t>
  </si>
  <si>
    <t>Joaquín Cayueia de</t>
  </si>
  <si>
    <t>…uan Alonso, El capitán general de Galicia participa con fecha 26 de Vicente López, de la Fuente del Fresno, alias Tiña , desertor término de Almería , Purísima Concepción, por D. Manuel Enero últim o, que el comandante general D. Joaquín Cayueia de coraceros, y cogidoles cinco caballos y una yegua , buenos, G alluzo, en 18. dispersó una rennion que tuvieron los rebeldes, a quienes cau­ cinco muías y tres burros cargados de víveres, siete armas de fuego, cinco sables, varias sillas y arreos, muchas piezas de Otra id. en dic…</t>
  </si>
  <si>
    <t>de, Joaquín Nava Campomanes.</t>
  </si>
  <si>
    <t>Joaquín Nava Campomanes. de</t>
  </si>
  <si>
    <t>…actual en el pueblo de So- El referido ingeniero en 27 del mismo mes me dice que ya Irlanda. dupe. tenia dispuesto trabajo para los 4OO hombres que deben llegar Sé que muchas causas han impedido se pusiesen en ejecu­ Coronel D. Joaquín Nava Campomanes. de M ála g a, en la cuesta del Padul y bajada al rio de D úlcar: ción medidas legislativas. Confieso con la mayor franqueza que Teniente coronel comandante de caballería D. Faustino Her­ que los que puedan llegar de M adrid , y aun hasta el número no hemos podido conseguir…</t>
  </si>
  <si>
    <t>de, Joaquín Ruiz</t>
  </si>
  <si>
    <t>Joaquín Ruiz de</t>
  </si>
  <si>
    <t>…S. M. para d irig irlo s, en P ro vin cia d e O viedo. BOLSA DE M A D R I D . cumplimiento del art. 1 4 , cap. l .° del reglamento para la d i­ rección y gobierno de los baños y aguas minerales del reino. Caldas de Oviedo. =: D. Joaquín Ruiz de L o p e , en C r e v i- C otización d e l dia 23 á la s tr e s d e la ta r d e . llente: desde 15 de J u n io á 30 de Setiembre. EFECTOS PUBLICOS. P ro v in cia d e A licante, P ro vin cia d e O rense. Inscripciones en el gran libro á 5 por 100, 00. Busot.=D. Joaquín Fernandez y…</t>
  </si>
  <si>
    <t>de, Josefa Diez.</t>
  </si>
  <si>
    <t>Josefa Diez. de</t>
  </si>
  <si>
    <t>…rto discurso, dicen, se pro­ no ha vuelto á ponerse mano en obra tan ú t i l , que es in­ BAILARINAS. nunció como celoso é inteligente m agistrado, defendiendo los dispensable, como otras muchas, si ha de conservarse una fá­ Doña Josefa Diez. dertchos y prerogativas del trono , y la dignidad nacional. brica de nombradla europea. Dentro de pocos a ñ o s , siguiendo Doña Mariana del Castillo. N&lt;» debe tardar el saberse la decisión que habrá recaído en en el abandono en que se encuentra, veremos el Alcá;2ar redu­ Doña Gertrudi…</t>
  </si>
  <si>
    <t>de, José</t>
  </si>
  <si>
    <t>José de</t>
  </si>
  <si>
    <t>Antonio O liv e r, Diego Perez, José G arcía, Francisco Ortiz, aquel que evitándonos tantos y tan trascendentales males nos De literatura moderna comparada , por D. José de E s - Josc Domínguez, Diego Iglesias, Alfonso Rodríguez y M aria­ procura en nuestro pais, á la sombra de nuestras leyes, y con­ pronceda. no López, cruz sencilla de María Isabel Luisa. servando el preciosísimo espíritu nacional, iguales y aun ma­ De principios generales de literatura, ja…</t>
  </si>
  <si>
    <t>…obtenido hasta el d ia , comparando la exactitud de que son tuche de matemáticas cada uno de ellos. vista de C openhague, y en el centro de esta galería se eleva el susceptibles los relojes de longitud con la deducción de esta D. José de U r ia r té , D. Andrés M ora , D. Norberto Zinza, observatorio. En la parte mas alta del ángulo que corresponde por las distancias lunares. D. J u a n R u b io , D. Antonio S e g a le r v a , D. Eugenio S o u b i- á la puerta de la torre h ay la siguiente inscripción : D octrinam Satisfizo…</t>
  </si>
  <si>
    <t>…12 cuadernos que formarán tres tomos, cieren siendo arregladas á lo anteriormente prevenido, en la es­ concluye la publicación de esta obra en el cuaderno l 2 .° que CA M ftlOS. cribanía principal de dicho juzgado á cargo de D. José del Pe­ está en prensa , y se dará á la m ayor brevedad. ral y G onzález, sita en la calle de Cañizares , núm. 2 2 , cuarto Los que gusten disfrutar del beneficio de suscripción se ser­ Londres, á 90 días, 58§. C oru ñ a , á 2 d. tercero. virán recoger la colección antes de su total publicació…</t>
  </si>
  <si>
    <t>…con precipitar al enemigo totalmente derrotado en los hor­ co rresp o n d a.= R ubricad o de la Real m a n o . = En Palacio rorosos barrancos que tiene á su pie el Monsan. En ellos ha que­ a i} de S etiem bre de 1 8 3 9 .= A D. José de S an Millan. dado abatida esta facción , separada de su gefe Torres, que para NOTICIAS EXTRANGERAS. salvarse apeló á la huida ea dirección opuesta á aquella , des­ moralizada é imposibilitada absolutamente de poder operar re­ GRAN BRETAÑA. unida en muchos dias , y sin serle posible llevar…</t>
  </si>
  <si>
    <t>…ual desde el primer dia han unido la mas Pudo asimismo el secretario conseguir por recomendación Oti -os, atendiendo al origen del lenguaje, y al m odo perfecta ejecución. En prueba de esta última aserción acompa­ especial de D. José del Castillo, de&gt;este comercio, una peque­ probable y natural con que se form ó, atribuyen la in ­ ñamos una muestra de todos los trabajos ejecutados hasta hoy, ña mazorca del maiz brasil, que habia dado motivo á enco­ vención de los verbos al deseo de suplir con la voz el ges­ para que conve…</t>
  </si>
  <si>
    <t>…............. .............................. 7 7 ,9 4 7 ..0 .. 2 2,522 _ “ 8 0 ,4 6 9 ..0 .. 2~ por D. Enrique Alarcon , en 31. D em arcaciones. RESUMEN. Una mina plomiza, calar de G üejar, término de id ., San Gonzalo, por D. José del Castillo, en 7 de Octubre de 1859. Derechos Idem Idem de toneladas Totales, Una fábrica de hierro, vegetal de las Yeseras, término de de importación. de exportacioo. j ancoraje. H uejar, por D. José Bejar , en 7 id. id. Otra plomiza, cerro del C alsr, término de H uejar, San Tribaldo, p…</t>
  </si>
  <si>
    <t>…plazo á D. Ildefonso de Torres, capitán que ha sido de Ca­ nas, y de composiciones de una nueva especie, qus trataremos rabineros de Hacienda pública de esta provincia, al cabo del de caracterizar si es posible. mismo cuerpo D. José dei A g uila, y á los individuos de idetn Tales son los dramas de Cornelia que llegó á fundar una es­ Ju an V i L , Ceferino Tolmo y Francisco G arcía, para que en pecie de escuela en el ditimo tercio del siglo pasado y de todos BOLETIN DE COMERCIO* el preciso y perentorio término de 20 días c…</t>
  </si>
  <si>
    <t>…n de retirarse á un convento. Entre las personas rival; pero en fin, la victoria ha quedado por los constitucio­ inante&amp;u , en el mercado de los Inocentes, y en otras diversas que habían venido á Roma en esta ocasión se cita á D. José de nales. No solamente se ve á estos dueños de Ram ales, donde el partes, serán trasladados y reunidos en los subterráneos exis­ L iguori, Príncipe de Pollica , y á otros varios parientes del enemigo tenia una fundición de cañones , sino aun seguir ade­ tentes debajo de la columna de Julio. bie…</t>
  </si>
  <si>
    <t>…n el Ferrol con el título de "Manifiesto que en defensa de su Prados y D. José Lesea, para que en el térm ino de nueve dias otro que contendrá un número de opcion al sorteo, el cual legal y justo proceder en la causa formada á D. José del Cas­ se presenten en la escribanía principal de Amortización , calle conservarán los concurrentes al entregar el billete de entrada. tillo , su señora é hijas han dispuesto los doctores D. Juan Ramón del Lobo , núm. 8 , piso segundo, á prestar sus respectivas de­ Regulándose cinco personas…</t>
  </si>
  <si>
    <t>…oche , y las casas se vieron rido , D. Fausto Rojo Pelaez, D. M auricio José de los M árti­ so parecerían exagerados sus elogios; mas puesto que la obra es ilum inadas espontáneamente. En fin , tantas y tales fueron las res y D. José de G orgolas, resultando por unanim idad haber quien mejor puede hacer por sí misma su inform ación, y que señales de gozo y regocijo público, que no hay memoria de h a­ lugar á la formación de causa. quien ha de juzgarla es un público im parcial é ilustrado, los berse conocido ig u ale s, lo…</t>
  </si>
  <si>
    <t>…ropas , con el folleto La Verdad sobre los derechos de Isa­ DE REALES DECRETOS, ORDENES capital , comparezca en la escribanía principal de dicho juzga­ bel 11 al trono de España, por D. francisco de Zea Bermudez, do á Cirgo de D. José del Peral y González t sita en la calle dey la pragmática sanción de 1859. Cañizares, núm. 22, cuarto tercero, para hacerle saber el con­ Cuaderno iv y último.~Los suscriptores á la expresada obra Y CIRCULARES tenido de cierta Real orden; bajo apercibimiento que de no podrán acudir á recoger di…</t>
  </si>
  <si>
    <t>…eral del L a comisión encargada de info rm ar sobre la proposición de ramo en la corte , refrendada del escribano p rincipal de dicho varios Sres. Senadores, relativa á que el Senado eleve á S. M. ANUNCIOS OFICIALES. juzgado D. José del Peral y González, se cita , llama y em p la­ un mensaje para que se procure r e g u la r iz a r e n lo posible la g u e r ­ za á M an u e la D i c e m a r , sirvienta que tiene manifestado haber r a , ha examinado este asunto con la detención que su im p or­ sido en la casa fonda del C h…</t>
  </si>
  <si>
    <t>…e la T o r r e , D. José de la Roca , D. José Severo Gar cí a , Don En cel ebridad del d i a estará el teatro i l u m i n a d o . ! ventaj as de esas ciases tan mi serabl es, tan g r a v o s a s, doble pl a­ Mar cos P e ñ a , D. José de B u r g o s , D. M a n u e l de L u n a . — Por g a r e las sociedades modernas, á saber: ios me ndi gos y los la nega t i va D. M i g u e l C i s t a ñ e i r a , D. J o a q u í n C h a p a r r o ; en C R U Z. A las ocho y medi a de la noche. En cel ebr i dad d e ni ños abandonados. cuy os…</t>
  </si>
  <si>
    <t>…neral de Oajaea. Nurn. 354 =Excmo. Sr.: Con fe­ Y por disposición del gefe interino del Estado , se imprime, horda de salvajes que la infesta y la ro b a, poseeremos una r i ­ cha 27 del actual me inserta el teniente coronel D. José de J e ­ publica y circula. Goatemala Ju u io 21 de l8 5 9 .= A rr ia g a . queza real é inmensa. sús Maldonado la comunicación que le trascribió el sub-prefec- to y comandante del destacamento tuztlahuaca , teniente D. M a ­ {EL Iris d e M .) Dios guarde á V. E. muchos años.—Jacinto And ra…</t>
  </si>
  <si>
    <t>de, José Casi.</t>
  </si>
  <si>
    <t>José Casi. de</t>
  </si>
  <si>
    <t>…D. Rafael A g u i r r e , D. José Morillo. te en este tr ib u n a l á contestar la demanda , por sí ó por medio dro de la Sagrada f a m il ia , es m u y notable la expresión de to­ Ciase de ortografía. =: D. M anuel R iaño y D. José Casi. de procurador con poder bastante , que en el mismo le ha pro­ dos los semblantes,especialmente la del niño que revela las «ra­ Clase de aritm ética. =: D. E ug en io A zp iro z, D . Ferrnin T e ­ movido D o ñ a Rosalía de N o g u e r a , v i u d a , vecina de la c iu ­ d a s de la inoce…</t>
  </si>
  <si>
    <t>de, José Cotización</t>
  </si>
  <si>
    <t>José Cotización de</t>
  </si>
  <si>
    <t>…5;,5 • r , w .. - Alcaldes! D. Francisco Montenegro, propietario: D. D o- BOLSA DE MADRID; miago Fernandez, id. Regidores: D. Antonio María M iranda, id.: D. Juan Oui- roga y Porras, id.: D. Salvador María Q u irog a,id .: D. José Cotización del dia 16 á las tres die ta tarde • * TEATROS. ^ Pardo San Cibrian, id.: D. José Gajoso Pombal, id.: D. José PRINCIPE. A las siete de la noche. Se pondrá en escena Pardoi y Luac»s, id.: D. José Soto Alvarez, letrado: D. R a- EFECTOS PÚBLICOS. la acreditada y graciosa comedia en tr…</t>
  </si>
  <si>
    <t>de, José Cándido</t>
  </si>
  <si>
    <t>José Cándido de</t>
  </si>
  <si>
    <t>…n esta tribuna que la Corona habia cedido mandante de los salvaguardias de infantería de la provincia en 8 9 y 1830 , y que no comprende cómo M r. Guizot h aya tra­ siempre sobre las personas y las cosas, lo que prueba que aun D. José Cándido del Riego con una partida de los de su m an­ tado de atribuirles lo que nunca han pensado. Vosotros decís de nuestras mismas instituciones puede sacarse el remedio que do y 15 caballos , logró alcanzar el dia 2 8 en las inmediaciones que nos hemos en gañado , exclama el orador dirigiénd…</t>
  </si>
  <si>
    <t>de, José de de Setiembre</t>
  </si>
  <si>
    <t>José de de Setiembre de</t>
  </si>
  <si>
    <t>…áb ilm e n te pondréis su cum plim iento.=R ubricado de la Real m an o.= responda.= Rubrieado de la Real m an o.= E n Palacio á 13 d i r i g e los destinos de esta nación heroica. En Palacio á 13 de Setiembre de 1 8 3 9 . = A D. José de de Setiembre de 1 8 3 9 . = A D. José de San Millan. L a d ip u ta c ió n p ro v in c ial de C i u d a d - R e a l , fiel intérp rete S a n Mi lia n. de los puros sentimientos que a n im a n á los pueblos de su pro­ vin c ia , que será tal vez de las últim a s que sientan el i i í l u j o…</t>
  </si>
  <si>
    <t>de, José Eustaquio de Castro</t>
  </si>
  <si>
    <t>José Eustaquio de Castro de</t>
  </si>
  <si>
    <t>…facciosos, con su armamento completo y m uni­ miento de Africa 7.° de línea, á cuyo comandante el coronel describe el odio homicida de un herm ano perverso contra ciones, que pasaron el rio la noche anterior, y se dirigían á D. José Eustaquio de Castro deben estos valientes la disciplina, otro excelente. En la prim eraB erenguel aborrece á su her­ Aragón. subordinación y demas virtudesde que tan ilustre muestra aca­ mano m ayer R am ón, á pesar de la igualdad con que ama ban de dar en aquella plaza. y trata á los dos el…</t>
  </si>
  <si>
    <t>de, José Fernandez</t>
  </si>
  <si>
    <t>José Fernandez de</t>
  </si>
  <si>
    <t>…ienen puestos alli pectivas au d ie n c ias, para la promotoría fiscal del juzgado de la empresa. Los confinados oyeron con alegría las ofertas que para su inspección el ingeniero D. Gabriel Gómez Hernández, Yelez M á la g a á D. José Fernandez del Castillo , y para la de se les hicieron de que serian tratados con h um anidad y ju sti­ dice está concluida la mitad del camino de Sanlúcar de B a rr a ­ L u a rc a á D. Modesto Cascos Aranero. cia , y de que se les proporcionarían todos los alivios compati­ meda al Puerto de Sta…</t>
  </si>
  <si>
    <t>de, José García</t>
  </si>
  <si>
    <t>José García de</t>
  </si>
  <si>
    <t>…LA GACETA. E L último dia de un reo de muerte por Víctor H ugo , tra - económica m atritense: segunda edición en 8 .°: su precio 4 rs. Catecismo de a g ric u ltu ra , con estampas de ios instrumentos ducido al castellano por D. José García de V illalta. Un Bilbao 20 d e Junio, El Pretendiente, después de comer en tomito en 8.° á 8 rs. en rústica y 10 en pasta. Se hallará en mas comunes de la labranza: un tomito en 8 .° Galdácano ante a y e r , fue á pernoctar á A rran cu d iaga, de cu­ las librerías siguientes: Badajoz, C…</t>
  </si>
  <si>
    <t>de, José García Villalta</t>
  </si>
  <si>
    <t>José García Villalta de</t>
  </si>
  <si>
    <t>…Cinco por 100 , 110, 5. PRINCIPE. El sábado 16 del corriente á las siete de la que sin duda ha recibido el capitán general de este principado Cuatro y medio , 106, 4 , 102 , 5 , 77, 90. noche se ejecutará el drama original de D. José García Villalta del comandante general de la 5.a división de operaciones , des­ España, deuda activa , 19¿. en cinco actos, y en variedad de metros, titulado cribiéndole la imposibilidad de apoderarse de la villa de Ager Pasiva, 4 f. por efecto del estado de defensa en que la habían puesto los…</t>
  </si>
  <si>
    <t>de, José Jover. Sr. D. Miguel Antonio</t>
  </si>
  <si>
    <t>José Jover. Sr. D. Miguel Antonio de</t>
  </si>
  <si>
    <t>…in. Sr. D. Manuel José Perez. Sr. D. José Salamanca. Sr. D. Manuel Hidalgo Calvo. Sr. duque de Gor, Vicepresidente 2.° Sr. conde de las Navas. Sr. D. Miguel Chacón y D uran. Guipúzcoa. Sr. D. José Sánchez de la Fuente. Sr. D. José Jover. Sr. D. Miguel Antonio de Zumalacarregui. Sr. D. José Agustín Cañavate. Sr. D. Agustín de Larramendi. Santander. Avila. Huelva. Sr. D. Felipe Gómez Acebo. Sr. D. Francisco Agustín Sil vela. Sr. D. Angel Fernandez de los Rios. Sr. D. Juan Martin Carramolino. Sr. D. Francisco de Paula A…</t>
  </si>
  <si>
    <t>de, José Luis</t>
  </si>
  <si>
    <t>José Luis de</t>
  </si>
  <si>
    <t>…M a­ El Sr. ministro honorario D r Juan María Blanco de verificarse el dia 15 de Abril próximo, sea bajo el fondo de 44© druga 4 ** ® la Toja................ 5 pesos fuertes, valor de 22000 billetes á dos duros cada uno, Id. D. José Luis de A stor, cura párroco de Q ui- El jue¿ letrado D. José Silvestre Santaliz.. . . . . . . 8 de cuyo capital se distribuirán en 602 premios 53000 pesos fuer­ vican...................................................................... .. 4- 2 El juez letrado Meliton Balanzategui.. . . . . .…</t>
  </si>
  <si>
    <t>de, José López</t>
  </si>
  <si>
    <t>José López de</t>
  </si>
  <si>
    <t>…Francia, TÉLÉMAQUE senten eo ia audiencia de dicho señor, sita en la calle de San­ J ¡traducido,'anotado y adicionado hasta una cuarta parte de DE tiag o, nú ai. 7 , cuarto segundo de la izquierda, para celebrar « volumen por D. José López de U ribe, abogado de los tri— una junta , y deliberar eo ella definitivamente lo que parecúsnt Ibooaks dd reino, académico de número de la Real academia de « as conveniente en vista de las cuentas presentadas por los co­ cífticks satúrales de M ad rid , individuo de la Real sociedad misi…</t>
  </si>
  <si>
    <t>de, José Martin Casado y D. Gregorio</t>
  </si>
  <si>
    <t>José Martin Casado y D. Gregorio de</t>
  </si>
  <si>
    <t>…e providencia del Sr. intendente subdelegado en 8.° mayor de mas de 500 páginas de buen pape! é impresión. desde 1.° de Enero de 1827 hasta 3 i de Diciembre de 1838. de rentas, juez de amortización , se cita, llama j emplaza á D. José Martin Casado y D. Gregorio de la Piedra , para que Materias que contiene dicho cuaderno . Por el licenciado D, Manuel Sánchez de Bustamante , abo-&lt; tan pronto como llegue á su noticia este anuncio comparezcan gado de los tribunales de la nación , y del ilustre colegio en la escribanía principa…</t>
  </si>
  <si>
    <t>de, José María</t>
  </si>
  <si>
    <t>José María de</t>
  </si>
  <si>
    <t>BALANZA GENERAL DE LA ISLA DE PUERTO-RICO D. Mariano de Rementería , á 20 rs. rúdica y 24 rs. en pasta. Preciosa muestra de letra bastarda española, tamaño del de 1838. cursivo de cartas, por el calígrafo D. José María de A usuatt- g u i, á un real. (Introducido á consumo ¿............................ .. 3.305,160.. 6.. 20) ; i/o &lt;0 Im portación.......... .. { Idem , deptísit0......................................................................... 996,989.. 0 . . 35Í • 7. • 7 ..En frutos del pais.…</t>
  </si>
  <si>
    <t>…xcnro. Sr. : P r o - Los señores gefes y «Ticiales ya mencionados, mis a y u d a n ­ de 18 del actual desde M oya da parte de su entrada en aquel mneiada la ciudad de Monclova y algunos otros pueblos del tes, teniente coronel D. José María de A g u irre , comandante punto con el c o n v o y de víveres que conducía , habieudo hecho que los enemigos levantasen el bloqueo que la tenían puesto y nterior de este departamento por el sistema federal desde el de escuadrón D. Miguel R a m o s, capitán de la segunda com ­ se replegas…</t>
  </si>
  <si>
    <t>…s-Aires ascienden asimismo todos los tan al pueblo. Por otra parte, nuestro Gobierno debe saber que ¿enos á unas7003) libras esterlinas. Los peticionarios sostienen los descontentos de los dos Cañadas no abandonarán jamas sus D. José María de A lava, alcalde primero constitucional de también que las relaciones comerciales de la Gran-Bretaña con planes, mientras puedan esperar un rompimiento entre los dos esta ciudad. Méjico y Buenos-Aires se han interrumpido injusta é i lega 1- países, con motivo de la cuestión de las fro…</t>
  </si>
  <si>
    <t>de, José María Chacón</t>
  </si>
  <si>
    <t>José María Chacón de</t>
  </si>
  <si>
    <t>…d de mi excelsa Hija Doña Isabel n , he países. El ilustre Meyerbeer será el que rompa la marcha con venido en admitir, en su Real nombre, la dimisión su Pioberto el Diablo , que ya se está estudiando, y concluido que ha hecho D. José María Chacón del cargo de El comandante general de las provincias de Ciudad-Real los trajes y las decoraciones. Secretario de Estado y del Despacho de Marina, Co­ La construcción del teatro del barrio de Pera adelanta con y Toledo dice en comunicación del 9 que por consecuencia de mucha rapid…</t>
  </si>
  <si>
    <t>de, José María González</t>
  </si>
  <si>
    <t>José María González de</t>
  </si>
  <si>
    <t>…ridicula de la fracción no numerosa de ambiciosos y fanáticos, cia de Cáceré’s', juez de priméra instancia en esta corte, refren­ abandonad á esos ilusos, afrenta del siglo; uo os hagais mas dado por él escribano del número D. José María González de cómplices en la lucha atrez y fratricida que está causando la CO RRESPONDENCIA DE LA GACETA.# Castro, én cuyo juzgado y escribanía se halla radicado el i n - rum a total de la provincia entera, y venid é&gt; reunirps con dicádo concurso , en cuyo cumplimiento se cita con dicho…</t>
  </si>
  <si>
    <t>de, José María Gutiérrez</t>
  </si>
  <si>
    <t>José María Gutiérrez de</t>
  </si>
  <si>
    <t>…para metodizar él estudiode&gt;a&gt;. ; - V ; b&gt; - ■ a • ha suspendido el remate señalado para el dia 30 de Noviembre, to clásico del Sr. conde dé Flóridabfaoca á D. ,Cárlo$ }}i &gt; q *1e cias en lasy administraciones historia, por D. José María Gutiérrez de 1.a Reñ#;; y, ^q.gscri- 4 Carretas, de P az, frente á las Covachuelas; y en las provin­ de correos y principales librerías. por ser dia festivo , de una viña con olivos en término de la contiene lo acaecido durante su ministerio. _ r}? Precios de suscripción: en Madrid 4 rs…</t>
  </si>
  <si>
    <t>…uya dotación es de |Q© *rs. anuales , pagados mensual- clásico del conde de Floridabianca á Carlos m que contiene lo relieve. mente dé los fondos de propios, ha dispuesto la corporación se acaecido durante su ministerio , por D. José María Gutiérrez de , 65. Ur» cuadro pintado á la aguada. la Pena , acudirán á recoger el tomo 5.° en M adrid en U libré- Note, El producto líquido de dicho concierto se destina í admitan memoriales á dicha plaza hasta el 11 de Julio próxi­ ría de Cuesta, mo. Las obligaciones resultan de la l…</t>
  </si>
  <si>
    <t>de, José María Huet Estado</t>
  </si>
  <si>
    <t>José María Huet Estado de</t>
  </si>
  <si>
    <t>…cedentes. Para la plaza de fiscal de la audiencia de Madrid, vacante JUNTA DE VENTAS DE BIENES NACIONALES por salida de D. José Gamarra Cambronero á la regencia de la Agosto de 1859. de Oviedo, ha venido S. M. en nombrar á D. José María Huet Estado demostrativo de las (incas que ¡a junta ha adjudicadc S. M. la R e in a , su augusta Madre la R ein a G oberna ­ que desempeña una de las fiscalías de la audiencia de Sevilla: en dicho mes á los mejores postores, según loa resultados di dora y la Serma. Sra. Infanta Doña Marí…</t>
  </si>
  <si>
    <t>de, José María Ruiz</t>
  </si>
  <si>
    <t>José María Ruiz de</t>
  </si>
  <si>
    <t>…aciou provincial. es varez: D . Manuel Leiras: D. Pedro Pascual Vela: Don Igualmente lo fue el siguiente respectivo á la cuarta, que Que en cuanto á coacción, estaba probada con eí hecho que uan Escribano: D . Joaquín Rubio: D. José María Ruiz de dice asi confesó el Sr. Benavides en el dia eo que se trató de e^e nego­ *U á L rcz: D. Agustín de la Lama. (E l Tiempo.) 4*a v Los proyectos de ley que traen su origen del Gobier­ cio , de haber entrado fuerza arcada eu el distrito de Palmad y</t>
  </si>
  <si>
    <t>de, José Ojero.</t>
  </si>
  <si>
    <t>José Ojero. de</t>
  </si>
  <si>
    <t>…ra­ Setenta y cinco mil sacos á tierra: 126 acémilas necesarias Oviedo. = Conde de Vigo. vesar la línea de operaciones por un terreno en parte cubierto para su conducción: 500 zapapicos: 15 idem: 250 picos de uha Palencia. r D. José Ojero. de bosque y. bastante escabroso, en donde el euemigo domina, y dos puntas: 13 idem: 500 palas: 13 idem: 500 azadas: 16 Pontevedra. = D* Pió Pita Pizarro. y en el que seria preciso establecer un número considerable de idem: 100 hachas de dos manos: 5 idem: 100 idem de idem</t>
  </si>
  <si>
    <t>de, José Pantaleon de Aguirre.</t>
  </si>
  <si>
    <t>José Pantaleon de Aguirre. de</t>
  </si>
  <si>
    <t>…n escena el acreditado melodrama en cinco actos, de gran e s ­ 1.° D. M anuel M aría de M u rg a. y heridas causadas en tres individuos de esta villa la noche pectáculo, que tantos aplausos ha obtenido en sus anteriores 2 o D. José Pantaleon de Aguirre. del 1.° del a c tu a l, en cuyo proceso he dado providencia de representaciones, titulado 5.° D. Pedro M aría de Albiz. prisión contra Román P o rre s, natural de B riñ a s, en la p ro ­ vincia de Lo gro ño , el cual no ha podido ser habido para pren­ R egid ores elect…</t>
  </si>
  <si>
    <t>de, José Valen- Bernardino</t>
  </si>
  <si>
    <t>José Valen- Bernardino de</t>
  </si>
  <si>
    <t>…ca de Cuenca 19 de Noviembre . El 13 del corriente salió de la de Noviembre de l859.=D iego Bahamonde.=Por su mandado, Huertas después del 25 de Julio de 1834, se servirá dar aviso villa de Taraocon el comandante de su cantoa D. José Valen- Bernardino del Pozo y Mora. á su hermana Doña Facunda., que habita calle de Preciados, zuela con la tropa de caballería de su mando en dirección al núm. 6 0 , cuarto 5.° de la izquierda. monte de Santa Cruz de la Zarza , en donde se le dió aviso exis­ ___ tía una partida de latro-faccios…</t>
  </si>
  <si>
    <t>de, José Z. González</t>
  </si>
  <si>
    <t>José Z. González de</t>
  </si>
  <si>
    <t>…de Febrero. presentar ayer al Rey sus cartas de llamamiento como enviado se divide este ram o, la primera dirigida por D. José R. T ra­ extraordinario y ministro plenipotenciario cerca de la corte de vieso* y la segunda por D. José Z. González del Valle. Estas Atendido el género de guerra que nos hace el enemigo, cual­ los Países-Bajos. niñas manifestaron un verdadero conocimiento de lo que decían: quier medio tendremos por bueno que nos lleve al fin principal El mismo dia se despidió el barón Mortier de los Prínci­ sin…</t>
  </si>
  <si>
    <t>de, Juan</t>
  </si>
  <si>
    <t>Juan de</t>
  </si>
  <si>
    <t>…se.juzguea con derecho á suceder en los bienes, que en concep­ nencia de la misma causa y demas razones legales que deter- cepcionales, al mismo tiempo que levanta el estado de sitio. to de amayorazgados posee en esta capital D. Juan de Z uñiga tainan la competencia de los tribunales. y.Frinchat, vecino de ella, para que dentro de ocho meses, que Yo no puedo dejar de calificar estos acontecimientos de una Y si bien se suscitó en la comisión la. especie de si el capi­ rebelión manifiesta , no es mi objeto manifestar cuáles…</t>
  </si>
  <si>
    <t>…na de competir con las del ex tran je­ E l Cómica de la legua , comedia en cinco actos, tra­ Hay en el mundo una ley, verdad es que no e t í es­ ro. En fin E l Entreacto ha logrado hacerse en el corto ducida deI 1ranees, por D. Juan del Peral. crita, inculcuda poderosamente en ciertos espíritus „ en espacio de un mes el periódico iávorrgo de la parte mas ciertas almas. El genio, dicen, no puede haber vivido en elegante y escogida de la sociedad, 'introduciendo ade­ Mr. Rayare!, autor de la pieza de que vamos á hablar, la…</t>
  </si>
  <si>
    <t>…D . Domingo M aría R uiz de la Vega. « D. Antonio Quiroga. El D iario deA os D ebates del 2/f dice, qué los Ministros «Comendador D. Rafael Caamaño Pardo. Soria. aguardarán para retirarse la discusión de la respuesta al dis­ D. Juan del Gayo. « D . M anuel Joaquín T arancon, obispo electo de Zamora. curso del trono, en la cual expondrán su sistema de gobierno, «M arques viudo de Póntejos. y darán las explicaciones que se les exijan. T arragona. . Esta manifestación del D iario del ministerio es¿mas impor­ . Cuenca. tante…</t>
  </si>
  <si>
    <t>…n magnífico piano mingo se ejecutará la comedia del teatro antigiio español, escrita necesarios para la sustitución de quintos acordado en la Real de siete octavas, acaso el roas completo de cuantos se conocen. en verso por D. Juan de A larcou, y refundida eo cioco actos, orden de 50 de M ayo del año u ltim o , recaiga y se haga Ademas de los artículos de educación agrónoma, modas, artes titulada: efectiva en los bienes de la propiedad de los que se hallen en higieoe, Fenelon, consejos de Federico el Grande á su hijo G…</t>
  </si>
  <si>
    <t>…mudez de Castro y D. Miguel Sal 6,501 7 16 si es hacienda de m ontana, de los Santos Alvarez. Té...................................................................... 1.259 que hincha, pero no sustenta? Delegado facultativo. D. Juan del Peral. Valor de vegetales y encurtidos 1,024 .. 12 J). Enrique. ¿Pues cuánto es? D. Lucas Doce ducados, Falta eiegir el delegado adicto que marca el reglamento , y que no se nombró por no reunir ninguno suficiente número de Total. . . * . . . 81,694 2 14 y tiene un censo de treinta. votos…</t>
  </si>
  <si>
    <t>…úblico aplauso, imposible nos será responder; y M arino F aliero, luego los H ijos de E du ardo, Luis x i , ros triunfos; donde ha de acrecer su justa reputación, y no solo á nosotros, sinoá cualquiera á quien esta cuestión y D. Juan de A u stria , y últim am ente La Popularidad, aum entar su nom bradía. se dirija. ¿ Aplaudiríanse hoy dramas de la estructura de comedia representada tres meses há en el teatro francés de El Sr. Cárlos L atorre, que tanto brillaba en la trage­ Lucrecia Sargia ó de M aría Tudor?... ¿Ha obtenid…</t>
  </si>
  <si>
    <t>Logroño 3 de Junio, El Pretendiente tuvo una conferen­ El encargado de la dirección de este teatro es D. Juan del Pe­ esto es , componer en latín cualquiera frase ú oración dada, cia en Zornoza con sus generales, y de allí pasó á Durango. ral , redactor en gefe del periódico de teatros que se publica en aplicando las reglas de la construcción. Todas las clases de o ra ­ Es probable que el general Lcon…</t>
  </si>
  <si>
    <t>…as de Ramales en nuestro poder, D. Ventura de la Vega. Premios. Pesos. pero que serian solo sus escombros, porque los rebeldes las re­ D. Patricio de la Escosura. ducirían á cenizas antes de abandonarlas; sin embargo que con D. Juan del Peral. 1............ . . d e . . 12000 ps. fs___ 12000 aquel paso conseguirían nuestras tropas las posiciones de ata­ D. J osé Zorrilla. 1 ............... . de. . 3000 ................... 5000 que para Guardamino. D. Ramón de Navarrete. 4 ................. . d e . . 6 0 0 . ..............…</t>
  </si>
  <si>
    <t>…estado de cosas se esperan las noticias del K ur- Milicia nacional y sección de caballería el ex-com*ndaute ge­ distan con tanta mayor impacieocia, cuanto que desde el prin­ neral y subinspector de dicha arma en la provincia D. Juan de satisfacer tros exacciones violentas que á viva fuerza les exigen nues­ enemigos. cipio de la última semana no se ha recibido ninguna. Hasta en Leiva , quedando sumamente complacido y prendado de la bella Comparemos ahora nuestra situación con aquellos desgra­ tonces no se sabia hubiese…</t>
  </si>
  <si>
    <t>do necesario apurarsilas referida? cantidades han sido satisfechas Para tratar Je ajuste acudiráü en esta corte á D. Juan de por el difunto Tejada en pago de otras que le hubiesen adelan­ La entrega primera y la segunda te entregará á los sus­ Guardamino f y en Cádiz á su dueño D. José María Vioiegra. criptores. tado los sugetos mencionados, 6 acaso estos le estuviesen adeu­ Cerrada la suscripción se aumentará…</t>
  </si>
  <si>
    <t>…é M aría Y in ie g ra , calle del á 15 rs. ten billetes con iguales números. Puerto. A este fin, tanto para la representación del sábado como para C artilla.suplem entaria al método práctico y analítico para En M ad rid , á D. Juan de G uardam ioo, calle de Postas. que por ella se preparen los niños á saber leer en tres meses, la dél dom ingo, se entregerá con el billete dé cada localidad de En Sev illa, á D. Pedro Nautet. por el autor del misino método D. Manuel Benito Carrera. Se una sola persona otro que contendrá un…</t>
  </si>
  <si>
    <t>…opio tiempo para la provincia de Alava , con ánimo, dose realizado con las formalidades que la misma previene, to­ á lo que se cree, de concurrir pasando por ella á la reconcen­ có á los sugetos siguientes: D. Ramón G alindez, D. Juan de tración de fuerzas, de que parece se ocupan actualmente los Aroste^ui , D. Alfonso R u iz, D. Tomas María Z anon , Don BIB LIO G R A FIA . enemigos hacia el extremo izquierdo de la línea de nuestro ejér­ Luis Martínez Leganés, D. Miguel Serralde, D. Lorenzo Me­ cito del N orte, alguna gente…</t>
  </si>
  <si>
    <t>…elebrado.z^Villegas. tienen estos versos, ni en la elipsis del tercero? Pero cuando Sombra de N elson , ó en el Cumpleaños de C elm ira , mezcla­ Cun bóve págus.—Cual yó la tengo.—Cadahalso, Herrera comienza su hermosa oda á D. Juan de A u stria: dos con los sáficos y no sáficos de estas composiciones. nec vaga cornix zzCedió el T rid ente—Jovellanos. Y de mortal amarillez cubierto in mea vota.zsMe infama aleve. (2)—Melendez. Cuando coa resonante rayo y furor dei brazo impetuoso la frente herida y á sus plantas rota. Sá…</t>
  </si>
  <si>
    <t>…el de muías de tiro para el piovjtiiiento Lugo. = D. José María Moscoso de Altamira. Berga , que ofrece al enemigo una posición ventajosa para opo­ de la artillería y deinas en el sitio 8 0 , serán 1 ,0^ lás?á?emi¿ M adrid.— D. Juan de M adrid Dávila. nerse á su páso. • las y caballos que hay que racionar, las cuales exigirán en 50 Málaga. =2Conde de Pinoñel, D . Antonio Remon Zarco del El camiuo .de Solsona , si bien se presenta mas accesible , no dias 54,500 raciones de pienso. i • Valle. deja de tener sus inconveniente…</t>
  </si>
  <si>
    <t>…imo á contradecir aquella sospecha , y proban­ rigerada , y poco dependiente de la nobleza. Es pintura do con curiosas reflexiones y citas que el autor de la canción muy fiel de la época la parte que tomó el pueblo en la re­ á D. Juan de A u stria , y el de la oda á una cierva herida, REM ATE. yerta de los caballeros que disputaban sobre cuál había de debían vinieron de ser dos personas diferentes. Sin embargo , todos con­ en remitir á otra sesión el completar con mas deteni­ llevar el pendón en la procesión: mas no lo e…</t>
  </si>
  <si>
    <t>…ha cabido en suerte con el pri­ mática; perosonlabastantes por sí para recomendar una obra dra­ yo carácter en fin se han formado, aunque no modelado, mer extracto en contacto de una sociedad enteramente diversa de la fran­ de D. Juan dedeMlaata, de estedia á Doña Alejandra López, hija ficencia del aparato , parareúne presente lo que ademas á estas dotes la magni­ no ha omitido la sociedad nin­ cesa. Silencio y meditación , trabajo y reclusión , orden capitán del provincial de Búrgos. gún sacrificio, á pesar del poco tiem…</t>
  </si>
  <si>
    <t>…rnadora se hallan los , tres se quepondrá van en escena publicados facilidad en sus órbitas respectivas. Asi vernos que los planetas la grande de ópera en titulados esta colección, tres actos, Pablotitulada el marino y D. Juan de se refieren ordinariamente á la elíptica , cuando las estrellas fi­ PROVIDENCIAS JUDICIALES. Maraña y el Caballero de industria. jas se refieren casi exclusivamente al ecuador por medio de su AgradecidoI Pextraordinariamente U R IT A N I E D I C Ael Beditor A L IE RdeI, esta empresa decli…</t>
  </si>
  <si>
    <t>…undo escuadrón de guias mandado por su coronel Dor Escriben de Rio-Janeiro el 18 de M arzo: José Lemerí y uno de Borbou á las órdenes del capitán con gra El Emperador D. Pedro n ha dado una gran comida el 16 do de comandante D. Juan del Hoyo que hice marchar por 1í de M ayo al Príncipe de Saboya C ariñ an , que llegó á R io-Ja­ derecha, no fueron esperados por los rebeldes, sin embargo di neiro á bordo de un navio de guerra sardo. U n barco de vapor destinado, según se decía, para la T u r ­ haberse adelantado hasta sufr…</t>
  </si>
  <si>
    <t>…a couejera bien dispuesta es útilísima. y elegante de esta capital. El nombre del poeta, nuestro de muchos pueblos de la sierra y gran parte de los demas de la Por lo mismo, hombres ricos, inteligentes, Sres. curas, coo­ amigo D. Juan del Peral, el del compositor, y por último provincia ; y las muchas y buenas tablas que de ellos se sacan perad con vuestras luces, con el ejemplo, con empresas á tan los del artista y del editor, son suficientes garantías de y llevan á M adrid y al Aragón , catorzales, machones y v i­ útiles…</t>
  </si>
  <si>
    <t>…os, con­ El Album constará de doce canciones españolas, nuevas, las sales, pero mas abundante. Sus comedias siempre in­ servatorio de artes, academia nacional de ciencias natura- compuestas al intento. La poesía será del £&gt;r. D. Juan del Peral; teresan, siempre agradan por el coutiuuo y no inverosí­ las, academias de la corte, la biblioteca nacional, junta de la música del maestro D. Sebastian Iradier, y cada canción lle­ mil movimiento de los personajes. Posee en sumo grado damas académicas para gobierno de los estudios de…</t>
  </si>
  <si>
    <t>de, Juan Antonio</t>
  </si>
  <si>
    <t>Juan Antonio de</t>
  </si>
  <si>
    <t>…tema de la ópera II conte Acuerdo de los jueces de hecho.r:Señores D. Baltasar M e - este anuncio en la Gaceta y Diario de avisos de esta capital, ha­ O r í , por las Sras. A udujar, y Molina, vestida esta de hombre. Ttendez, D. Juan Antonio del Adalid, D. Francisco de Zuloaga, ciéndolo por sí ó por medio de apoderado autorizado competen­ 4*° D ú o de tiples en la ópera I Capuleti ed i Monteccki , D , Andrés Torres Moreno, Sr. conde de P rie g n e , D. Mateo temente , á las diez de la mañana; apercibido que de no hacerlo se…</t>
  </si>
  <si>
    <t>de, Juan Bautista Cozzer. Se</t>
  </si>
  <si>
    <t>Juan Bautista Cozzer. Se de</t>
  </si>
  <si>
    <t>…la heroica. Mo­ Seguirá el baile mitológico , titulado LA IIIJA D E L BOS­ En efecto, colocado Tirso entre los dos grandes colosos reto le excedió en lo có&amp;uco de las situaciones y en la con­ Q U E , compuesto y dirigido por D. Juan Bautista Cozzer. Se de nuestra escena, apenas habría memoria de él, si no se ducta de la íabula: mas uo en los chistes de la elocución, dará fin con el divertido sainete titulado hubiese distinguido por su d icción , indefinible y exclusi­ mas urbanos y originales en Tirso, y que en su suceso…</t>
  </si>
  <si>
    <t>de, Juan de Lope</t>
  </si>
  <si>
    <t>Juan de Lope de</t>
  </si>
  <si>
    <t>…que en lejanos tiempos Toda nuestra larga digresión ha venido*á parar natu­ hacia el digno obispo de Meaux , es la descripción eterna ralmente á este punto. JLa boda y el duelo ea el drama del del hombre corrompido y ateo: el D. Juan de Lope de tiempo pasado; no ea el drama del tiempo presente. Pres­ Vega, el de Moliere, el de Byron , es el Lovelaee de Ri- cindiendo de que su objeto, su fin morales ei mismo exac­ í BOLETIN DE COMERCIO. chason, el Falstajf de Shakespeare, el A lfred o de Du­ tamente que el del Sí de las n i…</t>
  </si>
  <si>
    <t>de, Juan Eugenio Hartzembusch.</t>
  </si>
  <si>
    <t>Juan Eugenio Hartzembusch. de</t>
  </si>
  <si>
    <t>…el fruto de este mons­ no es Ines mejor que ya Dona Mencía, ó la boda en la inquisición, drama en truoso y horrible enlace, cuando en Doña Mencía no pasa Sin embargo, en esa alma altanera y seca, hay tres actos en verso, por D. Juan Eugenio Hartzembusch. del acto del matrimonio y del amor criminal, verdad es, pero que no tiene otra consecuencia, de Mencía á su pa­ oculta una fuente inmensa de amor. Aquella muger no ha dre. Entonces ¿por qué es ese escándalo, por qué ese ana­ probado quizás tanto este sentimiento por orgu…</t>
  </si>
  <si>
    <t>de, Juan Francisco Diaz.</t>
  </si>
  <si>
    <t>Juan Francisco Diaz. de</t>
  </si>
  <si>
    <t>…ilicia nacional se inviertan exclusivamente drama original, en dos actos y en variedad de metros, por m uy difícil de aclarar y satisfacer, es un campo inmenso adon­ en los objetos indicados en el art. 158 de la ordenanza vi­ D. Juan Francisco Diaz. de cada uno acude á buscar lo que apetece en apoyo de sus gente de la misma Milicia. (Ndm. 1667.) Entrega 1.a del tomo l.° de dicha colección. teorías , doctrinas y raciocinios , por extravagantes y absurdos - del ministerio de Gracia y Justicia para que los m agis­ Se halla de…</t>
  </si>
  <si>
    <t>de, Juan García</t>
  </si>
  <si>
    <t>Juan García de</t>
  </si>
  <si>
    <t>…orin y Pa­ Títulos al portador del 4 P°r 100 00. de esta capital D. Benito Serrano y Aliaga , refrendada y e n , el P eñón, la Fuente y Cabaña de la Comba, el Esllaba­ Vales Reales no consolidados, 00. del escribano del número D. Juan García de L a-M ad rid , se ha yo y los Cerezales Camporros; los primeros cuatro en el valle Deuda negociable de 5 por 100 á papel, 00. señalado para nueva junta de acreedores á los bienes del ab in- de la Mosquitera, y los cuatro últimos en Cabriles; todo en Idem sin interés, nueva* al contado…</t>
  </si>
  <si>
    <t>…por medio de procurador con poder bastante á usar CH IA RA DI ROSEMBERG. gadas id. medida usual. de su derecho en el juzgado del Sr. D. Benito Serrano y A lia­ Decalitro. azum bres id. 10 litros. ga y escribanía numeraria de D. Juan García de L a-M ad rid Hectolitro. = 6 arrobas y 1 azumbre, 100 litros. en los autos formados coa motivo del fallecimiento abintestato</t>
  </si>
  <si>
    <t>…academias de la corte, la biblioteca nacional, junta de tar sus respectivas declaraciones en la referida causa; aperci­ de do su dueño. Quien quisiere hacer alguna puja acuda al juzga­ de S. S. por la escribanía numeraria de D. Juan García de damas académicas para gobierno de los estudios de dibu­ bidos que de no comparecer les parará el perjuicio que haya jo , sociedad económica m atritense, junta de damas unida lugar. La-M adrid, que se le adm itirá, y su remate se celebrará el a esta, colegio de sordo-m udos, ateneo cie…</t>
  </si>
  <si>
    <t>de, Juan José Marcó</t>
  </si>
  <si>
    <t>Juan José Marcó de</t>
  </si>
  <si>
    <t>…. capitán general cocina, y dos cuadros, corral con su pozo de aguas claras y su el dé 651,024 rs. de la misma, y para pago de un acreedor, se sacan á pública pila , tasada en 4,8^ ) rs. subasta las fiocas que pertenecientes á D. Juan José Marcó del Otra en la calle de la A margura, tiene de superficie 1,815 Pont han sido tasadas por los arquitectos de la academia na­ pies, consta de planta baja dividida en una pequeña habitación, Juzgado de Amortización, cional de S. Fernando D. Justo Ibaceca y D. José Alejandro y cuadra y…</t>
  </si>
  <si>
    <t>…tiene la mayor influencia en la prosperidad de los Estados. Con Y vosotros, hermanos desgraciados y abandonados, que al el fin de lograr toda la utilidad de que en nuestra situación son .Y f^ , y la del núm. 7.° escrita por D. Juan José Marcó del ver al malvado guarecerse de esta m áxim a, acaso hayais esta­ susceptibles estos establecimientos, la junta va ensayando (y en P on t, Ministro de Hacienda, en Durango. La del núrn. 6 .°, es­ do inclinados á dudar de la existencia del autor de la natura­ su dictám encon muy bu…</t>
  </si>
  <si>
    <t>de, Juan Martin Carramolino. Sr. D. Francisco</t>
  </si>
  <si>
    <t>Juan Martin Carramolino. Sr. D. Francisco de</t>
  </si>
  <si>
    <t>…Miguel Antonio de Zumalacarregui. Sr. D. José Agustín Cañavate. Sr. D. Agustín de Larramendi. Santander. Avila. Huelva. Sr. D. Felipe Gómez Acebo. Sr. D. Francisco Agustín Sil vela. Sr. D. Angel Fernandez de los Rios. Sr. D. Juan Martin Carramolino. Sr. D. Francisco de Paula Alvarez. Sr. D. Vicente Trueba Cosío. Sr. D. Agustín Mela. Sr. D. Angel Iznardi., Segovia. Badajoz• Sr. D. Joaquin Garrido. Huesca. Sr. D. José Balsera. Sr. D. Marcos Marin. Sr. D. Miguel Cosío. Sr. D. Francisco de Lujan. Sr. D. José Queraltó.…</t>
  </si>
  <si>
    <t>de, Juan María</t>
  </si>
  <si>
    <t>Juan María de</t>
  </si>
  <si>
    <t>…renta nacional. to ral; Di Manuel Gómez.y D. Rafael de L a ra , canónigos; con tres prisioneros y ocho caballos. LOS CORTESANOS D. Ramón AgUilar Fernandez d,e Córdoba , ex^colegial del ma­ yor de S. Bartolomé de Salamanca; D. Juan María de'G racia, F alencia 2 d e Junio. La facción de Rey y demas cabeci­ antiguo catedrático de filosofía y matemáticas; D. Francesco llas que había tenido un encuentro con la'colum ba de Burgos Borja Pavón, farmacéutico mayor del, hospital general; Don en el pueblo de Villanueva de la Peña…</t>
  </si>
  <si>
    <t>de, Juan Miguel</t>
  </si>
  <si>
    <t>Juan Miguel de</t>
  </si>
  <si>
    <t>…id y 24 fuera, franco de porte para los suscrip- ram o, calle del L obo, ndio. 8 , piso segundo, á ratificarse en tores. La suscri pcion sigue abierta en las librerías de Boix y Rios, H I S T O R I A de la Armada española, por D. Juan Miguel de una declaración que tiene prestada en cierta causa seguida en el calles de Preciados y Carretas* y en los puntos señalados en el los R íos, auditor honorario de departamento de marina, propio juzgado sobre falsificación de créditos del Estado. prospecto para las provincias. y catedrát…</t>
  </si>
  <si>
    <t>de, Juan Ramón</t>
  </si>
  <si>
    <t>Juan Ramón de</t>
  </si>
  <si>
    <t>…oceder en la causa formada á D. José del Cas­ se presenten en la escribanía principal de Amortización , calle conservarán los concurrentes al entregar el billete de entrada. tillo , su señora é hijas han dispuesto los doctores D. Juan Ramón del Lobo , núm. 8 , piso segundo, á prestar sus respectivas de­ Regulándose cinco personas para cada palco, los que tomen bi­ de Barcia y D. Angel Hidalgo” , después de conferenciar entre sí claraciones en causa criminal que se sigue por falsificación de lletes de estas localidades recibi…</t>
  </si>
  <si>
    <t>de, L.</t>
  </si>
  <si>
    <t>L. de</t>
  </si>
  <si>
    <t>…R A N C E SA savos, 55* , 52J , i, diezisiete treirJa.dosavos, 33} , 55 3 2 f , 53J, 32 cinco dieaisei- * y 5 2 f á v . f . o vo!.: 55, 3 4 , 5 3 |, * y 35 a v. f. o vol. a prima de i , * , * y | per 100 con cupones. ción. de D. L. de A lem any; (antes nuevo Chantreau.) (i) Cuarta edi­ las provincias: én Cádiz, en la de Hortal f en Barcéfona| ep la de Piferrer: en Zaragoza, en la de Yagüe: en yaléncfá^é&amp; ’l a Inscripciones en el gran libro á 4 por 1(30, 00. de M allen: én Sevilla, en la de H idálgó.\ v'; ■ ■ .‘ i : ■ •…</t>
  </si>
  <si>
    <t>de, L. D. Diego</t>
  </si>
  <si>
    <t>L. D. Diego de</t>
  </si>
  <si>
    <t>…la monarquía ha producido el conve­ José María Amor.=José María Benjumea.=Juan María M aes- convenio que tauto les honra. El es el precursor de la paz lió celebrado, sabrá hacer efectivas sus consecuencias castigan- tre.=P. A. D. L. D. Diego de M ier, secretario. general tan deseada y del afianzamiento del trono de V. M. La lo con mano vigorosa á cuantos intenten violar la Constitu- liputacion felicita á V. M. por tan halagüeño como inesperado :ion,ora se cubran con la máscara de la religión , ora con la icontecicniento: l…</t>
  </si>
  <si>
    <t>de, Lain</t>
  </si>
  <si>
    <t>Lain de</t>
  </si>
  <si>
    <t>…nfancia apenas siente el E fig cn ia , y por algunas voces familiares, como agur, pe- aguijón de la injuria, y teme perder el amor de su esposa. B IB L IO G R A F ÍA . timetre y otras, introducidas en el lenguaje común des­ El D. Lain del M úsico por amor es un animal avaro, pués del advenimiento de la casa de Borbon al trono de gloton y descortés: el D. Gerónimo Retuerta de una co­ España. El mismo hace alusión á la moda introducida de aplaudir á los autores con las voces bravo, famoso , bueno: media, cuyo título es A llá v…</t>
  </si>
  <si>
    <t>de, Lain de los Hechizos</t>
  </si>
  <si>
    <t>Lain de los Hechizos de</t>
  </si>
  <si>
    <t>…jecuta mejor pudieran llamarse caricaturas. Nosotros no lo cree­ nominada mos asi, y tenemos á Cañizares por calderoniano puro. Su De orden del Sr. Ministro de la Gobernación se pre­ LOS GUANTES AMARILLOS. Dom ine Lucas, su D. Lain de los Hechizos de am or, su viene á las corporaciones, establecimientos dependientes D. Lorenzo del M as bobo sabe mas no tienen sus tipos en de su ministerio, cuyos gefes y demas empleados de Real el teatro francés, sino en el D. Toribio Quadrilleros de nombramiento se incluyen en la Guia d…</t>
  </si>
  <si>
    <t>de, Lasagra</t>
  </si>
  <si>
    <t>Lasagra de</t>
  </si>
  <si>
    <t>…do lecciones de fisiología comparada ; el cionales» Han sido aprehendidos un oficial, un sargento y unos 10 ó 12 soldados rebeldes con unos 17 ó 18 caballos de poco grandes progresos, quedan reducidos casi siempre á la tarea Sr. Lasagra de vario* ramos de moral y educación pública; y valor y algunas armas, esperando de la decisión y lealtad de útilísima pero poco gloriosa de conservar. el Sr. Galiano ha explicado derecho político. estos habitantes concluirá» su existencia esta, infame gavilla de Nadie tachará de vanaglori…</t>
  </si>
  <si>
    <t>de, Legación</t>
  </si>
  <si>
    <t>Legación de</t>
  </si>
  <si>
    <t>…aa. FR A N C IA . de haberles atacado nuestras tropas denodadamente á las órde­ nes del Excmo, capitán general Valdés, resultando varios muer­ Burdeos 14 de Julio. tos y prisioneros en nuestro poder, y herido ©l tigre ex-conde Legación del Perú en el Ecuador.^Quito á 22 de Marzo de un balazo que le atravesó el hombro izquierdo. Mucho de­ de I8ñ9.z=9.° (Por extraordinario.) seamos se confirme tan buena nueva ,&gt;y que el Sr. Valdés haya Señor: La confederación Perú-Boliviana esconcluida.rrEl 15 tan felizmente empezado su ca…</t>
  </si>
  <si>
    <t>de, León. Conde</t>
  </si>
  <si>
    <t>León. Conde de</t>
  </si>
  <si>
    <t>…Felipe . ................................. 51 NÚMEROS. PREMIOS. ADMINISTRACIONES. 2.° El marido desengañado. D. Joaquin de A rríela................................................... 51 3.° El Pretendiente, Maroto y el obispo de León. Conde de O -Reiily.............................................................. 51 1,094. . . . 8000 ps. fs .. Zaragoza. 4.0 La gran vista de m arina, saludo y naufragio de un D. Juan Montalvo......................................................... . 51 8,664 . . O. 5000.............. Algeci…</t>
  </si>
  <si>
    <t>de, Lista</t>
  </si>
  <si>
    <t>Lista de</t>
  </si>
  <si>
    <t>…s del articulista , a bre sí la entera responsabilidad de todos sus actos. Están con­ quien damos las gracias por haber dado ocasión á que el vencidos de que los motivos de esta determinación serán debi­ Idem 1.° de Abril . Sr. Lista desenvuelva pensamientos tan profundos acer­ damente apreciados por las Cámaras y por el país. ca de las Cruzadas* Sevillanos: El estado de guerra én que sin necesidad fue de­ clarada esta provincia, y causa tínica de cuantos disgustos y sin - Complacemos al ilustrado autor del siguiente ar…</t>
  </si>
  <si>
    <t>de, Llórente</t>
  </si>
  <si>
    <t>Llórente de</t>
  </si>
  <si>
    <t>…por las señoritas G arcía y L a ejecución de \Una v i e j a l ... si bien esmerada , no ha si de un a gran d e im p o r ta n c ia re g u la riz a r su fuerza para obtenei Ocon. do t3n completa como en otras ocasio nes: la Sra. Llórente des ‘ un m o vim ien to i g u a l. E! m o vim ien to un ifo rm e , no solo pro- 5.° V a ria c io n e s de piano á cuatro ru an o s, por la señorita empeño su papel como acostum bra ; pero la S ra. B a u s recarg &gt; duce mejor efecto en la obra , mas preserva la m á q u i n a , porque de L…</t>
  </si>
  <si>
    <t>de, Lombía</t>
  </si>
  <si>
    <t>Lombía de</t>
  </si>
  <si>
    <t>…sco, en tres actos, titu ­ 7* *nt®li§encia de que para el remate está señalado el lado TODO LO VENCE A M O R , ó LA PATA DE C A ­ día 22 del próximo Mayo á las doce en punto de la mañana, San Ildefonso. B R A , en el que el Sr. Lombía desempeñará el papel de Don en la habitación de S. S ., calle de Santiago, núm. 7, cuarto segundo. Este hermosísimo cuadro, pintado por Bartolomé Murillo Simplicio. con aquella tierna expresión, dulzuza y suavidad de colorido que caracterizan á este célebre pintor , representa á la Santís…</t>
  </si>
  <si>
    <t>…M O R ó L A P A T A DE C A B R A , SS. M M . C. y Danesa, firmado en Londres á 14 de Agos­ Indole de la revolución de España en 1808. Por D . A nto­ to de 1814* Un cuaderno en 4*° marquilla, edición del mismo en el que el Sr. Lombía desempeñará el papel de D . Simplicio. nio Alcalá Galiano. a ñ o, á 5 rs. rústica. Del consejo de Estado. Por el marques de Valgornera. Reseña histórica de las leyes de sucesión á la corona de Es­ 'T ’R A T A D O de las obligaciones del hombre por D . Juan de paña. Por D. Saturnino Calderón…</t>
  </si>
  <si>
    <t>…rs. vu. de los cuál de la imaginación. ciuco gremios mayores de esta corte, señalada con el número Una vez establecido que la imaginación no es un gra­ 14,194; parte de otra de 55,500 que perteneció á D. Audres en el que el Sr. Lombía desempeñará el papel de D. Simplicio. do de la percepción ni de la memoria, no resta mas que Sánchez , difunto, señalada esta con el número 13,940, firma­ da en 2 de Marzo de 18i6 por los Sres. directores de dichos (i) Anat., t. l.°p . 25. cinco gremios, para que dentro de Í5 dias comparez…</t>
  </si>
  <si>
    <t>…Monserrat, que antes se llamó de San Juan la nueva, señalada por la prim era con lo: tubre próximo, bajo el pliego de condiciones formado por el Sr. interventor m ilitar del m ism o, que con arreglo al general, en el que el Sr. Lombía desempeñará el papel de D. Sim plicio. números 28 moderno y 1 an tigu o , y por la segunda con el 5C nuevo de la manzaua 521, que tiene de sitio 4774 pies cuadrado: aprobado por S. M ., y órdeues posteriores, como asimismo á superficiales, incluso el que ocupa dicha tahona; todo lo cual las c…</t>
  </si>
  <si>
    <t>…OR ó LA PATA DE CABRA, la ley y convenio de que se ha hecho mérito. también á la provincia del alto Aragón con un pequeño Respecto al modo y épcca en que deben presentarse al sacrificio personal y de intereses. en el que el Sr. Lombía desempeñará el panel de D . £ímnli&lt;úo. cange , e Gobierno de S. M. cuidará luego que se verifique el Burgos 21 de Abril. El 16 fue alcanzada en Riocabado la</t>
  </si>
  <si>
    <t>de, Lope</t>
  </si>
  <si>
    <t>Lope de</t>
  </si>
  <si>
    <t>…ción dirigidos al nuevo Rey de D inam arca por las diferentes . 5 M. el Rey de Suecia y de N o ru eg a , los E stados-U nidos de sospechamos, sino decimos decididamente que el D . Sancho de Urrea de Tirso es el original del D. Lope de A lm eida de Cal­ corporaciones sabias y adm inistrativas de la ciudad de Copen­ M éjico, S. M. el Em perador del Brasil, la ciudad libre de derón en su excelente comedia in t it u la d a : A secreto agravio hague. Los x x x ii , es d e c ir, la corporación que representa á la F r a n c f o…</t>
  </si>
  <si>
    <t>de, Lorenzo</t>
  </si>
  <si>
    <t>Lorenzo de</t>
  </si>
  <si>
    <t>…es, muy buen juicio, y no poca astucia. en la sala de dicha direccioo general. tragedias D. Policarpo de Lara es un joven mal educado, incapaz según el francés estilo de honor, de valor, ni de delicadeza en el amor; pero el Don Lorenzo de E l mas bobo sabe m a s, mayorazgo travieso y esto (*«, en cinco actos, en su comedia de! Sacrificio de botarate, despierta de su larga infancia apenas siente el E fig cn ia , y por algunas voces familiares, como agur, pe- aguijón de la injuria, y teme perder el amor de su esposa. B IB L…</t>
  </si>
  <si>
    <t>de, Lorenzo de la Casa</t>
  </si>
  <si>
    <t>Lorenzo de la Casa de</t>
  </si>
  <si>
    <t>…de ayer 27 mo Sr. D . Francisco Am orós recapitulación de to d o , y entre­ el correo francas de porte. del Sr. D . Joaquin Cabrerizo, alcalde constitucional de la villa gado la causa al presidente de los 12 jueces de hecho, D. Lorenzo de la Casa de U ced a, refrenda por mí el escribano , se cita, C alvo de Rozas, conferenciaron separadamente entre sí, y por llama y emplaza á los parientes rnas inmediatos de D . José T o ­ su resultado presentaron la calificación de dichos tres artículos; y el teuor de la expresada calif…</t>
  </si>
  <si>
    <t>de, Lucas</t>
  </si>
  <si>
    <t>Lucas de</t>
  </si>
  <si>
    <t>…año de prisión por haber ultrajado en Meillard y Doy . dículo nuestros poetas cómicos del siglo xvn. la audiencia á los magistrados del tribunal de Asisses. La historia de los hechos imputados á estos dos contumaces é ideal, Don Lucas del Cigarral es un personaje extravagante Su hostilidad ana'rquica empieza desde 1850, siendo de se encuentra notar que desde entonces ha sido cada vez mas violenta y exage­ Sr. Bonnet; existen en la narración que se os ha pretentado acerca del tinencia que reúne la grosería de un aldeano y…</t>
  </si>
  <si>
    <t>de, Lucas Fuente</t>
  </si>
  <si>
    <t>Lucas Fuente de</t>
  </si>
  <si>
    <t>…Cristina, registra una mina das de un gentío numeroso. de dicho material en término del Pozuelo y sitio denominado Gran número de vascongados y naturales de la inmortal /C O M P E N D I O de Historia n atu ra l, por el doctor D. Lucas Fuente del Espino ó Valdelaosa, á poniente del mencionado Bilbao tenían preparado un festín para expresar de alguna ^ de Tornos, catedrático de e&gt;ta asignatura en la escuela pueblo, mediodía y levante, tierras de id ., á la cual da el manera el alborozo que los enagena. normal de instrucción p…</t>
  </si>
  <si>
    <t>de, Luis</t>
  </si>
  <si>
    <t>Luis de</t>
  </si>
  <si>
    <t>…de Palencia de hallarse en Sarracino el facineroso Cain, que haya un número fijo de agentes autorizados con el n ombre ca en que contrajeron el mérito; y los mismos les expe­ dispuso que el teniente del primer batallón franco D. Luis de corredores de la cuatropea, por el auxilio que prestan á la González y el oficial auxiliar del gobierno político D. Juan dirán los certificados, á no ser que hayan obtenido sus li­ Cordon recaudación de esta renta , conviene establecer reglas para que saliesen en persecución de aquel con 2…</t>
  </si>
  <si>
    <t>de, Luis de Mata y Araujo. Habiéndose</t>
  </si>
  <si>
    <t>Luis de Mata y Araujo. Habiéndose de</t>
  </si>
  <si>
    <t>…resión para resolver las expresadas dudas, tengo el honor otra redujo quebrados á un común denom inador, y cinco ope­ de ser de VV. 8. S. S. Q. M. R.rzUn suscritor. raron con enteros. Graruát¡ca.=La clase sigue el método de D. Luis de Mata y Araujo. Habiéndose designado una estrofa de una fábula por la Idem 3. comisión escrita en el encerado, fue analizada perfectamente por Respuesta al articulo de un suscritor del Tiempo . las niñas de la clase, que está compuesta de cuatro. No solo res­ Gobierno político de la provin…</t>
  </si>
  <si>
    <t>de, Luis Fernandez</t>
  </si>
  <si>
    <t>Luis Fernandez de</t>
  </si>
  <si>
    <t>…oncluir los dos años de su duración; * Núm. 3.° Al gobernador de Yelves y Camporoayor.=Ilus- rios de la caja de Málaga. siendo preferido en este remate aquel postor que en igualdad trisimo Sr,: El Excmo. Sr. teniente general D. Luis Fernandez de circunstancias anticipe tnayor suma. de Córdoba, que por disposición del Gobierno de S. M. se ha­ Camino de Granada d Málaga. 12. La contrata no tendrá efecto hasta la aprobación dé llaba desde el 12 del actual en esta plaza de paso por ella para S. M. y consiguiente adjudicación…</t>
  </si>
  <si>
    <t>de, Luisa Oráa</t>
  </si>
  <si>
    <t>Luisa Oráa de</t>
  </si>
  <si>
    <t>…se pueden carbonear; pues remitido por el Congreso de Diputados concediendo una pen­ que constituye los llamados baldíos es por lo común terrenos con todo eso no ha habido mas que cuatro personas que han sión de 2 00 rs. á Doña Luisa Oráa de E ric e , viuda del m a ­ escabrosos, lejanos á los pueblos y de mala c alid ad , y que solo reclamado algun as porciones, y estoy bien cierto que han sa­ riscal de campo D. Froilan Mendez V i g o , muerto en V alencia sirve para paitos, ¿q u é adelantará un soldado con 20 ó 24 fa­ ca…</t>
  </si>
  <si>
    <t>de, Lujan</t>
  </si>
  <si>
    <t>Lujan de</t>
  </si>
  <si>
    <t>…dicho esto, porque no es cuestión política; el males gra ve ; pero no tanto como se cree; el Gobierno puede aplicar los ~ ■ - ■■■-- ■ ■■ " '■ -■■■-■"-------------- - .! I » -^ U remedios, y la nación confiar. ANUNCIOS. Eí Sr. Lujan deshace algunas equivocaciones. CORRESPONDENCIA DE LA GACETA. El Sr. MADOZ dice que el Sr. Lujar» reconociendo la gra­ Y^ONGRESO de Verona por M r. de C hateaubriand, tradti- vedad del hecho, interpeló al Gobierno y cumplió coa m ani­ Santander 15 d e E n ero . El cabecilla Castor levantó tá…</t>
  </si>
  <si>
    <t>de, López</t>
  </si>
  <si>
    <t>López de</t>
  </si>
  <si>
    <t>…e de aquella aud ien­ El Sr. B E N A V I D E S : Lo haré a si, Sr. Presidente. Decia nos tienen también sus sentidos y deben saber que antes que el c i a , cuando creo que sobre su elección no h a y a venido n in g u ­ que el Sr. López debia haberse presentado á la mesa, ó haberlo G obierno es la Constitución • ademas de que esa obediencia p a ­ na protesta , pues las de que ha hecho mención el Sr. López son anunciado de palabra como se ha hecho siempre, y manifestar siva no es tampoco de la letra ni espíritu de e l l a , co…</t>
  </si>
  <si>
    <t>…estado del clero y del culto. y el Gobierno ha tratado de aplicar á los que sea posible el i n ­ están sus Ministros que responderán de su administración. S. S . , adoptando cierta táctica que yo por primera vez he Entró el Sr. López después á examinar el espíritu de los dulto inmediatamente. proyectos de ley presentados por el Gobierno: se hizo cargo En cuanto á lo que dice S. S. de comprenderlos en la mis­ visto aqui de no mucho tiempo á esta p arte, tiró una línea en­ tre el ministerio , elogió uno de sus in d ivid u…</t>
  </si>
  <si>
    <t>…ue el Congreso no puede prescindir. Hablo de la circular de 5 de Ju n io de 1 8 5 9 , circular en fin. Nadie ignora que ni en España f ni fuera de E.paña , los lia sido tan imprudente ese paso que el Gobierno ha dado, que el Sr. López demostró ayer que se in frin gió el artículo recursos y los medios que el Gobierno ha conseguido no han cuanto que ha dado motivo otro hecho mas escandaloso, pues constitucional, por el cual se establece y reconoce la libertad sin j bastado para hacer frente á sus anteriores empeños. en el d…</t>
  </si>
  <si>
    <t>…ouestra disposición los telégrafos y la po­ po ha de d a rse , ó si no es in ú til la ley. Se han devuelto á solicitud de 5 interesados.. . , 5,062. . 20 lítica , y quiero que se me diga dónde están esas sim patías. Habló el Sr. López de ayu n tam ien to s, y rebatió* como car­ El Congreso ha oido y a todos los cargos que se hacen al El director de sem ana, marques viudo de Pontejos^ go una razón de que yo me v a lí: d ijo S. S. que si ha de in te r­ Gobierno. venir al Gobierno en el nombramiento de los alcaldes porque…</t>
  </si>
  <si>
    <t>de, López.</t>
  </si>
  <si>
    <t>López. de</t>
  </si>
  <si>
    <t>…ción del Gobierno Lcida el acta de la anterior, quedó aprobada después de Salvato ha ido mas allá de lo que en estas cuestiones á mi modo para volverse á sus casas. Estas palabras tendrían mas valor en una rectificación del Sr. López. de ver se debía observar; asi, señores, este género de asuntos se la boca del Gobierno, porque las noticias de S. S. no son o f•» El Sr. Ministro de H A C IE N D A remite al Congreso un hacen interminables, y no dan resultado porque tenemos que cíales, ¿ y aunque se haya tratado de remediar…</t>
  </si>
  <si>
    <t>de, M.</t>
  </si>
  <si>
    <t>M. de</t>
  </si>
  <si>
    <t>…len com­ y la guardia de sus antiguas instituciones? ” (ówrc.) de la facción, que era antes de los batallones portugueses: no prendidos en el art. 2.° de esta orden , y no permitirán en lo cuenta otra cosa alguna particular. (D. M. de sucesivo su permanencia en otro destino que el que ocupe la compañía.z^El general comandante general, Azpiroz.cEs co - F R A N C IA . pia.nAzpiroz.isEs copia.zz:Iofante. (Id.) Segorbe 51 de Octubre. Taris 5 de Noviembre. La fuerza enemiga que continuamente ocupaba los pueblos Noticias de…</t>
  </si>
  <si>
    <t>…primer dia toda la guarnición y la Milicia de ambas zado una recaudación que sin necesidad de ello debió traerse á' Desde ayer no se habla de otra cosa que de los rumores que IrmNada as. sabemos por ahora de las facciones. ( D. M. de. V.) tesorería. corren de guerra, los cuales ahora obtienen un crédito geqeral, El cúmulo empero de obligaciones que me rodean no me y hasta se asegura que el Seraskier ha atacado á los ¿egipcios. permiten hacerlo siempre que quisiera, y esta es la razón por Sin embargo, estos rumores no han s…</t>
  </si>
  <si>
    <t>…iembre de 1859. al indulto, los cuales aseguran que si la deserción no Anoche llegó á esta capital el general Azpiroz, y hoy por la es m ayor, particularmente en la clase de quiatos , es por lá vi­ Mañana ha vuelto á salir. (D. M. de V .) Llegó al fin el dia apetecido por los siempre leales segovia­ gilancia que sobre ellos tienen de continuo los gefes rebeldes. nos de ver otra vez en el recinto de sus antiguas y ruinosas murallas los alumnos del colegio dé artillería: ¡dichoso dia 19 Idem 14. Las divisiones 2.a del Cent…</t>
  </si>
  <si>
    <t>de, Maauel ViHota.</t>
  </si>
  <si>
    <t>Maauel ViHota. de</t>
  </si>
  <si>
    <t>…ional de esta M. H. villa ; D. Ramón Soriano y Peiayo, sonas de quienes depende y que fe hacea biea. Este es el gérenen bien los corpulentos árboles que descuellan cargadas sus ramas individuo de la junta de bienes nacionales; D. Maauel ViHota. del sentimiento religioso, que solo empieza á desenvolverse cuan­ del sabroso fruto ? y D. José Cano Saioz, de! consorcio de esta corte, y D. José do la dependencia sucesiva de su nodriza , de sus padres y de Mas «i ostenta naturaleza sus escenas sublimes: si el rayo Higioio Arche ,…</t>
  </si>
  <si>
    <t>de, Madoz</t>
  </si>
  <si>
    <t>Madoz de</t>
  </si>
  <si>
    <t>…eto de mejorar en cuanto sea dable el plan ó ha de generalizar , para que con sus esfuerzos, con la reforma 3 del corriente, que se recibió el sábado 7 , produjo en los án i­ sistema délas cárceles y presidios. Doy gracias al Sr. Madoz de núéstros códigos, y por otros medios que están en manos del mos de los leales habitantes de esta capital un júbilo im ponde­ por la mención honorífica que de mí ha hecho, y al Sr. M i- Gobierno de S. M . , logremos presentarnos á la Europa dignos rable y un entusiasmo sin límites. N o podia…</t>
  </si>
  <si>
    <t>de, Manuel</t>
  </si>
  <si>
    <t>Manuel de</t>
  </si>
  <si>
    <t>…......................................... D. V. de P ................................................................................... 80 12 Un Miliciano nacional............................................................ D. Manuel de A r r a z o la ............................ 20 20 D. D. A. M ................................................................................. D. A. de C. y su esposa....................................................... • 17 60 BIBLIOGRAFÍA. E. T ......................................…</t>
  </si>
  <si>
    <t>…que ve­ DARA hacer saber á D. Martin Vázquez ó sus herederos lo Con este título se publicarán en esta corte desde mediados mos sentir á otros. Pues bien; ¿qué simpatía podemos te­ acordado por el Sr. juez de primera instancia D. Manuel del presente mes diferentes piezas escogidas de acreditados ner con el malvado, si no nos hacemos tan malvados co Luceño en providencia dictada en los autos que ante el mismo autores nacionales y extrangeros, en una forma enteramente mo él? No hay remedio: ó el efecto de la descripción es y…</t>
  </si>
  <si>
    <t>…de Salamanca y su partido se ha seguido causa en virtud de Setiembre último por los Sres. D. Antonio de Torres y Chacón denuncia sobre exceso de libertad de imprenta, interpuesta por y D. Vicente Hernández ,1a ley absuelve á D. Manuel del Pozo, D. Fernando García de N ieva, procurador de este número, á responsable á dicho impreso; y en su consecuencia mando t que Tercera seccio n. — Circular. nombre y en virtud de poder de los bres. D. Antonio de Jo r­ sea puesto inmediatamente en entera libertad , alzándose la cau­ res…</t>
  </si>
  <si>
    <t>…á la ley debían constituir de la orden de la dirección. jurado; y habiéndose realizado con las formalidades que la Idem 29. También se prometen que habrá capitales para comenzar misma previeoe, tocó á los sugetos siguientes: D. Manuel de E l huracán. Cada hora nos llegan averías de algún nuévo la obra en el plazo que la Real orden de 14 de Marzo señala: Galarza, D. José Tomé y Ondarreta, D. Feliciano Sancha, destrozo causado por la tormenta del sábado: poco sin embar­ pues excitado aquel ayuntamiento y junta de comercio…</t>
  </si>
  <si>
    <t>…prin­ José Buriel y O rbe, obispo de Córdoba: por la de G rana­ diente guia. De Real orden lo digo a Y. S. para su inteli­ cipio acerca del modo de adoptar aquellos medios ; pero ahora da á D. Miguel E spinar, en reemplczo de D. Manuel de gencia y efectos oportunos. Dios guarde á V- S. muchos existe en el seoo del Consejo la mayor unanimidad. S o ria; por la de Murcia a D. Jesualdo López S j ha josa,- en años. Madrid 14 de Agosto de 1839.=X im enez.=Sr, direc­ Mr. Thiers, que llegó á Paris dos dias hace, ha sido reci- * ree…</t>
  </si>
  <si>
    <t>…época de las cruzadas. Veíase en de la Encarnación de Nestares, por 55452 rs.: Doña María del sensual Jorge iv. el endurecido guerrero toda la expresión de la fuerza Amalia de V iegas, por 3154 rs.: la viuda y herederos d? Don Manuel de U lloa, por 180 rs.: D. Feliciano dé Lara , por 500 Veamos pues si el siglo sabe desem peñar su cargo. La material exaltada é impetuosa sometida á la dom inación reales: D. José Ordovás, por 84OO rs.: los herederos de D. A n ­ cuestión queda resuelta con solo no em peñarnos en cerrar mo…</t>
  </si>
  <si>
    <t>…con sus monturas, armas y lan­ ^ la farmacia, explicado en el Conservatorio de Artes por te que visitar solo á una parte de sus vecinos: el que solicite la zas , y perecido los ginetes en el rio, á que se arrojaron ; siendo D. Manuel del Castillo y Perez, licenciado en farmacia del co­ plaza dirigirá sus solicitudes por Talavera de la Reina , M orn- tal la dispersión que el grupo mayor en que iba el mismo cabe­ legio de S. Fernando de Madrid , profesor de química del con­ beltran, á San Esteban del V alle, al secretari…</t>
  </si>
  <si>
    <t>…de 17 0 1 hasta el de 1 8 0 1 . E n ella se halla también el en su defecto á los hijos y herederos ó representantes de estos, concordato con la Santa Sede de 1 7 5 5 . SOCIEDAD ECONÓMICA M A T R IT E N S E . como asimismo á D. Manuel de A rg u m o sa, administrador ge­ neral que fue también de rentas de la propia ciudad ; á Don Antonio Ruiz , D . J u a n Gómez de Ortega y D . A ntonio de la B IB L IO G R A F IA . Inven to d e un nuevo Instrumento geodésico llam ad o cuadru­ Rosa ; y en caso de-haber fallecido á sus hi…</t>
  </si>
  <si>
    <t>de, Manuel Bretón</t>
  </si>
  <si>
    <t>Manuel Bretón de</t>
  </si>
  <si>
    <t>…la fiionisa. y no queriendo diferirse su salida , se presentará p hoy con Jgr su nombre en libros de mal agüero, ni prepararle perse­ Tampoco quisiéramos que en él se diese tanta importan­ comedia original en tres actos , de D. Manuel Bretón de J o s cuciones futuras? ¿Tan estúpidos son los que habitan en la cia a ia poesía, que se crea hacer con un poema tanto Herreros , que tanto ha agradado en sus primeras representa­ patria de Herrera, que por cosa tan corta hayan de abor­ mal ó tanto bien a los hombres como indica el…</t>
  </si>
  <si>
    <t>de, Manuel de Carranza</t>
  </si>
  <si>
    <t>Manuel de Carranza de</t>
  </si>
  <si>
    <t>…, D. Juan A n­ ra , de que inmediatamente le dé el correspondiente aviso por Continúa aquella abierta en los términos y por el precio drés de Segó vía , D. Antonio Saenz de Vizrnanos (fiscal), y medio de su escribano de Cámara D. Manuel de Carranza del que se anunció en el prospecto, pero únicamente en los siguien­ t). Manuel Caballer, escribano de Cámara. pueblo ea que actualmente se halle ó h aya fijado su residencia. tes puntos. M adrid, casa referida de la viuda de Cruz: Barce­ 2.a Informe de la Real chanciilería de Val…</t>
  </si>
  <si>
    <t>de, Manuel Ferrandell</t>
  </si>
  <si>
    <t>Manuel Ferrandell de</t>
  </si>
  <si>
    <t>…eto de 25 de Setiembre blo , nunca es tan h erm o sa, como cu ando se ostenta o r n a ­ de 1855, por el cual se mandó que continuase á cargo de los da de todo su brillo para d ifu n d ir en los h o m b res el t e ­ ^ ^ 0 5 . D. Manuel Ferrandell de M aroto, pidiendo la for- •¿ ayuntamientos la cobranza de contribuciones. Ca FU0 UDa 9 ue ^acu^ e a ^os obtentores de títulos dii:1 ros 245. Los que compusieron el ayuntamiento de los caballe- soro de la instrucción y de la cultura. ¡ Loor etern o á los lustrea ^ara reaunciar!…</t>
  </si>
  <si>
    <t>de, Manuel Habiéndose</t>
  </si>
  <si>
    <t>Manuel Habiéndose de</t>
  </si>
  <si>
    <t>…rs. cada uno de ellos, los que se despacharán en las adm i­ nes, cuantas el arte de la guerra conoce para hacerlas mas d i ­ nistraciones de Loterías Nacionales. fíciles ; quien sepa que para su defensa habia reunido los 14 D. Manuel Habiéndose denunciado ante el Sr. alcalde constitucional Al dia siguiente de realizarse el sorteo se darán al público batallones mas numerosos, disciplinados y valientes conque apoderado del Maestre y San Román por D. Pedro Soriano como las listas impresas de los números que hayan conseguido…</t>
  </si>
  <si>
    <t>de, Manuel Jesús Díaz</t>
  </si>
  <si>
    <t>Manuel Jesús Díaz de</t>
  </si>
  <si>
    <t>…se está disponiendo y se ejecutará á la m ayor brevedad po­ frase. sible ; y deseando la sociedad artística amenizar en cuanto se lo Esto sentado, debemos confesar que con ra ra facilid ad N el pleito seguido á instancia de D. Manuel Jesús Díaz de permitan sus fuerzas las funciones, presenta al ilustrado públi­ y ven tura ha vencido el Sr. R uiz de la Vega los escollos Cosío en concepto de marido de Doña Celedonia G utiér­ co , que con tanta benevolencia y constancia la favorece, un e n que otro tal vez se h u b iera es…</t>
  </si>
  <si>
    <t>de, Manuel López</t>
  </si>
  <si>
    <t>Manuel López de</t>
  </si>
  <si>
    <t>…ge­ 212. Varios vecinos de-Infantes, quejándose del ay u n ta­ neral del Estado. c a p e lla n ía . miento de dicha villa por un reparto que hizo y sus vecinos. 251. El ay untamiento de Laujaron , solicitando la supre- 170. D. Manuel López de G rad o , pidiendo la reorganiza­ 215. Varias religiosas secularizadas en esta corte, sobre pa­ ion en la plaza de médico titular de las aguas minerales que ción del extinguido primer batallón de Guadalajara. go de sus haberes. levan el nombre de dicho pueblo. 171. D. Víctor Manuel…</t>
  </si>
  <si>
    <t>de, Manuel María</t>
  </si>
  <si>
    <t>Manuel María de</t>
  </si>
  <si>
    <t>…del Excmo. ayu n ta­ por el Exctno. Sr. obispo de la misma &amp;c. miento por medio de su comisión de espectáculos, la prima don- Por U presente, que es la cuarta y última carta de edicto, llamamos, citamos y emplazamos al Dr. D. Manuel María del DE L A MANCHA, na Doña Antonia Campos se ha prestado á desempeñar la par­ te de L in ceo . corral, abad párroco de la insigne iglesia colegial de la villa COMPUESTO Sin embargo de haber sido arreglada en lo posible dicha de Bayona, en esta diócesis de Tuy , para que en el términ…</t>
  </si>
  <si>
    <t>de, Manuel Reoion Zarco</t>
  </si>
  <si>
    <t>Manuel Reoion Zarco de</t>
  </si>
  <si>
    <t>…: durante la lucha gente, y lo mismo idénticamente practicaron los Sres. D. J a i ­ del ataque. Desde mucho tiempo habian señalado las secciones y eu distintos puntos de la capital, igualmente se distribuye­ me María de Salas, D. Manuel Reoion Zarco del Valle, Don un domingo ó un dia de fiesta. En estos dias , y después que ron cartuchos; los unos de los que se llevaban ocultos en las Pablo María Paz y Membiela, y Sr. íLcal D. José Bernal. se cierran las tiendas, una gran parte de la población activa mismas blusas de los ins…</t>
  </si>
  <si>
    <t>de, Manuel Saiz</t>
  </si>
  <si>
    <t>Manuel Saiz de</t>
  </si>
  <si>
    <t>…llana de la Sagra9 ni de M ar- amor de su castellana ausente al de la dama del señor á la la piadosa , comedias que se han representado con quien sirve, no sin veleidades tributadas á la duquesa, en ^ I.° delProfecías dia, por D. Manuel Saiz del Campo. sobre frailes. aceptación y que son conocidas ya del público; pero se la cual se fija últimamente. Este papel es el tipo de todos 2 ° No hubo frailes en España hasta 1200 años después del nos permitirá que nos detengamos algo en la de Amor y los galanes de Tirso, sacrificados…</t>
  </si>
  <si>
    <t>de, Manuela Garcés y Doña Antonia Berneau</t>
  </si>
  <si>
    <t>Manuela Garcés y Doña Antonia Berneau de</t>
  </si>
  <si>
    <t>…o durante la noche, y sigue entre ellos mente ejecutado por las socias honorarias Doña Emilia Bucelly, Capitán graduado , subteniente de infantería agregado al e! misterio: ahora están tomando declaraciones , siendo esto una Doña Manuela Garcés y Doña Antonia Berneau de Montene­ mismo, D. Manfredo Lauti, empleo de teniente de infantería. farsa ridicula, pues por la relación que acabo de hacer es con­ gro , con los socios D. Jaime Sales, D. Carlos Seutiel, y resto Comandante graduado, capitán de infantería agregado al es­ sig…</t>
  </si>
  <si>
    <t>de, Manuela Sierra</t>
  </si>
  <si>
    <t>Manuela Sierra de</t>
  </si>
  <si>
    <t>…: A. L.=(/¿7 Tiempo,) del escribano del número D. José García Varela, se cita, llama titulado y emplaza á los parientes y demas personas que se crean con ÉL ABUELO. derecho á los bienes quedados por la muerte intestada de Doña Manuela Sierra de A r ia s , vecina que fue de esta corte , para ^Terminará tá función con el baile pantomímico en dos ac­ DIRECCION G E N ER A L DE M I N A S . que en el térmioo preciso dé 20 días, que por primero y ú lti­ mo se les designa, comparezcan en dicho juzgado y escribauía tos y dividid…</t>
  </si>
  <si>
    <t>de, Mar-</t>
  </si>
  <si>
    <t>Mar- de</t>
  </si>
  <si>
    <t>…riencia casacas de algodón ó paño blanco , y fusiles y bayonetas desatenderse en la primera educación, y que de ella au- mohosas, porque el presente Sultán consulta la "econo­ ticrpadaurerrte ríos aseguraba el solo nombre del Sr. Mar- del |Qué Bairam como la describe Mr. Carne. alegría tan ruidosa , dice este viajero hablando mía, la disciplina y la utilidad, despreciando la aparien­ tinez de la Rosa. Consiste en la pureza y corrección del de la noche precedente, hacían los creyentes divirtiéndose cia exterior. El pueblo &lt;i…</t>
  </si>
  <si>
    <t>de, Marcelino Oráa.</t>
  </si>
  <si>
    <t>Marcelino Oráa. de</t>
  </si>
  <si>
    <t>…víveres y se de pensionistas se cuentan ya mas de 40. Tarragona. = D. Antonio Juan Foxá. muoiciones. El camino es el mas practicable; ofrece la ventaja Los padres que deseen inscribir á sus hijos en este liceo para Teruel. — D. Marcelino Oráa. de no ser dominado , y lo apreciable de la corta distancia que alguno de los estudios mayores que sedan en cursos completos, Toledo. =¿ El reemplazo del Sr. marques de Malpica. le separa de Berga, que es de seis horas. lo verificarán á la posible brevedad ; porque cerrados estos , ya…</t>
  </si>
  <si>
    <t>de, Marco</t>
  </si>
  <si>
    <t>Marco de</t>
  </si>
  <si>
    <t>…de la proximidad ronel del sexto batallón de Aragón. El adjunto estado expresa tregarse en término de ocho dias. de L t r r a g a y de las llanuras de la ribera , es probable que la que su Rieron las fuerzas de mi mando. El Sr. Marco del P o n t , á quien esperan en Francia todos aunque los cristinos atacaran la ciudad , no $e apoderasen de. Los hechos mas distinguidos , y que se halla en mis facul­ los d í a s , no ha pasado aun la frontera: sus amigos aseguran ella. ^ .. tades tecompensar , lo hice en el acto mismo; y…</t>
  </si>
  <si>
    <t>de, Maria</t>
  </si>
  <si>
    <t>Maria de</t>
  </si>
  <si>
    <t>…uasen de la misma manera. procurado difundir el imperio de las ciencias, sus escuelas , da cuenta á VV. SS. del resultado de ellos. sembrando las semillas de moral y de virtud en nuestros tier­ Academia de niñas que dirige Doña Maria del Cdrmen Establecimiento de Santa Lucia d cargo de D. Cipriano de nos pero fecundos corazones. A VV. SS. debemos esa multitud Yanes , costeada también por la Real sociedad patriótica, Coradiny de Ramírez. establecimientos literarios de educación primaria y secunda­ cuyo exámen se verificó…</t>
  </si>
  <si>
    <t>de, Mariana</t>
  </si>
  <si>
    <t>Mariana de</t>
  </si>
  <si>
    <t>…rado, defendiendo los dispensable, como otras muchas, si ha de conservarse una fá­ Doña Josefa Diez. dertchos y prerogativas del trono , y la dignidad nacional. brica de nombradla europea. Dentro de pocos a ñ o s , siguiendo Doña Mariana del Castillo. N&lt;» debe tardar el saberse la decisión que habrá recaído en en el abandono en que se encuentra, veremos el Alcá;2ar redu­ Doña Gertrudis Fontanellas. ede impo tante negocio; eu el cual vernos fija la atención de cido á un moaton de escombros. Después serán los lamentos. Doña R…</t>
  </si>
  <si>
    <t>de, Mariano</t>
  </si>
  <si>
    <t>Mariano de</t>
  </si>
  <si>
    <t>…ORDENES MILITARES sive , á la librería de Sanz , calle de Carretas, donde se adm i­ DE SAN FERNANDO IG N O R A N D O S E el paradero de Doña Vitcoria de Aso, v iu - tirán suscripciones desde el núm. 2.° en adelante. * da de D. Mariano de A s o , se la cita por el presente anun­ cio para que en el termino de 15 dias acuda á la sala primera de la audiencia territorial de esta capital, y escribanía de Cá­ mara del cargo de D„ Justo M orayta , por medio de procura­ dor y en forma, á usar de su derecho en los actos que sigue c…</t>
  </si>
  <si>
    <t>de, Mariano Muriel y Doña María Santos</t>
  </si>
  <si>
    <t>Mariano Muriel y Doña María Santos de</t>
  </si>
  <si>
    <t>…v illa , refrendada del Art. 70. Los gefes políticos deberán oir á las diputaciones escribano del número D. José Rodríguez Solano, en los autos provinciales antes de tomar resolución alguna en los negocios de testamentaría de D. Mariano Muriel y Doña María Santos de que hablan los artículos 28 , 47 y 65 de la presente ley. A yuntam iento con stitu cion a l d e M a d rid . Barragan, ya difuntos, vecinos que fueron de esta Córte, se Madrid 12 de Setiembre de 1859.—Juan Martin Carramoiino. ha mandado citar á sus acreedores por…</t>
  </si>
  <si>
    <t>de, Marieno Fernandez</t>
  </si>
  <si>
    <t>Marieno Fernandez de</t>
  </si>
  <si>
    <t>…esta corte, refrendada O ri , por úo las Sras. Audújar, y Molina, vestida esta de hombre^ de tiples en la ópera I Capuleti ed i M ontecchi9 El miércoles 18 de! presente mes á las siete de la noche se del escribano del número D. Marieno Fernandez del C anto, en por4 °las DSras. Feijas y Antúsez. abrirá la cátedra de derecho político, desempeñada por el so­ la que se manda hacer saber por medio de la Gaceta y Diario cio D. José García de Villaita. Las personas que gusten m a­ de Avisos de esta capital á los dueños ó poseed…</t>
  </si>
  <si>
    <t>de, Maroto</t>
  </si>
  <si>
    <t>Maroto de</t>
  </si>
  <si>
    <t>…s, lo dirá. en que late un corazón amante de su patria. de paz. Y si las cosas son asi, ¿qué importa dieran ó no los L a m ayor parte cabe á un general invicto , c u y a r e p u ta ­ Cierta es, señores, la proclama del general Maroto del 27, fueros origen á la guerra , si han venido á mezclarse con ción , cuyos hechos pertenecen y a á la historia en in d e pe n d e n ­ y ciertas son algunas otras que se han citado. Pero los tales e lla ? Pero aun cuando no fuera asi , se han mezclado en Ja cia de los partidos. N i la c…</t>
  </si>
  <si>
    <t>de, Martin Fernandez</t>
  </si>
  <si>
    <t>Martin Fernandez de</t>
  </si>
  <si>
    <t>…ticia, en c u y o caso co n ­ se hallan de venta los siguientes opúsculos, impresos años mente perjudicial á la administración de justicia. El método de vendría también q u e,se extendiesen á las cinco demarcaciones h á , de D. Martin Fernandez de ¡Savarretc , director del repartir por .semanas tampoco establece la igualdad; y si bien que en el dia se conocen, estableciendo en los ramos administra­ depósito Hidrográfico y de La academia de la Historia. no ofrece el inconveniente de la dilación , lleva otros de no me­ tiv…</t>
  </si>
  <si>
    <t>de, Martinez de la Rosa</t>
  </si>
  <si>
    <t>Martinez de la Rosa de</t>
  </si>
  <si>
    <t>…opinión. de tantos elementos con que cuenta de utilidad para el pais&gt; Es cierto que según la Constitución las leyes determi­ de gloria para sí propia. narán las calidades de los jueces. Pero es lo cierto que no Consideró el Sr. Martinez de la Rosa después al Ateneo en La ley sobre organización de la caja de Amortización las han determ inado todavía, y que sin culpa ni crim en ha sufrido en el Congreso m uy repetidas y muy graves con los que cuanto á su tendencia filosófica y m oral, sentando principios estamos enteramen…</t>
  </si>
  <si>
    <t>de, Martínez</t>
  </si>
  <si>
    <t>Martínez de</t>
  </si>
  <si>
    <t>…a , porque en hr&gt;ar nera se forma el gusto al mismo tiempo que el corazón. bailaban como locos al sonido de la guitarra y del tambo­ de los golpes que los feroces genízaros daban en abun­ Otras obras habrán proporcionado al Sr. Martínez de ril, se abrazaban unos á otros, hablando de la mudanza dancia para mantener lo que llamaban órdeu , los solda­ la Rosa triunfos mas ruidosos y lisonjeros para el amor del ayuno á la fiesta, y aguardando que la apariencia de la dos modernos parecen ciudadanos propio; pero el E l Libro d…</t>
  </si>
  <si>
    <t>de, Martínez de la El Sr. Secretario</t>
  </si>
  <si>
    <t>Martínez de la El Sr. Secretario de</t>
  </si>
  <si>
    <t>…os comunes se francesa y había levantado el estado de sitio. dizabal y Pidal hacen mu tu am en te varias aclaraciones. fallará por jurados en la época que las leyes d et er min en; y Mostró alguna dificultad en creer e.tto el Sr. Martínez de la El Sr. Secretario del Despacho de G R A C I A Y J U S T I C I A ; también en la designación de estos delitos, y en la diferencia Rosa , mas no se creyó comprometido á manifestar que no h u ­ N o tenia objeto con que usar la palabra; pero ya que me he que se ha querido hacer de la pala…</t>
  </si>
  <si>
    <t>de, María</t>
  </si>
  <si>
    <t>María de</t>
  </si>
  <si>
    <t>…asen de la misma manera. criptores, repartirá el domingo próximo á estos con el núm. 3.° Cotización del dia 3 á las tres de la tarde. una traducción en cinco actos del último drama de Alejandro Academia de niñas que dirige Doña María del Carmen Dumas, titulado Paul Jones , que á la hora de esta lleva en EFECTOS PUBLICOS. Vanes , costeada también por la Real sociedad patriótica , Paris mas de cien representaciones, y que con el título de El Ma­ cuyo examen se verificó la tarde del 25. rino ha puesto en castellano un escri…</t>
  </si>
  <si>
    <t>…sus agentes, coa lo cual Rey de Bélgica ; su sobrino Feroando.es Rey de Portugal por Smirna y Salónica se aplicarán al reembolso de esta deuda. Los aseguraría el monopolio para la venta de sus productos, El por su enlace con Doña María de L Gloria. Qlro de la familia de fondos comunes quedan destinados al sosten de la agricultura y xa parte se deshace de los granos que S3ca de las contribuciones Coburgo (el príncipe Alberto) va á casarse con la Reina de In ­ á la fundación de este establecimiento de industria. en cambio de d…</t>
  </si>
  <si>
    <t>…ccidentales; están al alcance del Congreso. Yo estoy acorde en que para neral en gefe interino del ejército de operaciones del Norte, se pues en las Cortes de Cádiz se hicieron muchos ¿fie esta $$§&gt;pcie. señala á su viuda Doña María del Carmen de la Pezuela, sobre Ademas, los hijos de Quesada, el uno está ejupleado:ep Ha~ remediar este abandono y sacar partido de nuestra riqueza , hay la viudedad que de derecho le corresponde por los reglamentos cienda , el otro es m ilitar, y se recomienda, por s í, porque fe­ medios su…</t>
  </si>
  <si>
    <t>…aquel tri- de ambas armas con dirección á la Isabela. Inmediatamente se buoal. reunió la columna y emprendió la marcha en busca del enemi­ Hácese la publicación del primer tomo, que se ira* repartien­ 13. Muerte violenta de Doña María del Rosario Nargane&lt;¡, go. Esta ocurrencia ha producido bastante inquietud en los á n i ­ do en sus respectivos domicilios desde luego á los Sres. suscrip- muger de D. Juan Espina, vecinos de la villa de Ampuera en mos de los enfermos, siendo esto causa sin duda alguna de que tores en esta cor…</t>
  </si>
  <si>
    <t>…rtículo único. Se aumenta el presupuesto de Hacien­ tirá siendo arreglada. sición al Gobierno, da con la cantidad de 123 rs. vn. anuales para una pen­ El Rey llamó al mariscal duque de Dalmacia. Extrangero á sión en favor de Doña María del Carmen Pizarro, viuda F&gt;OR el presente se cita , llama y emplaza á D. Manuel D a - las luchas de los últimos tiempos, el ilustre general parecía na­ del conde de Donadío, muerto en acto del servicio cum­ * miau y M adrid, pagador que fue de caminos, para que turalmente le. No la designado…</t>
  </si>
  <si>
    <t>…o negocio: y á fin deque no ale­ que en los e fuerzo*; que hizo el diezmero para recobrar guen ignorancia los que se hallen en este caso, se txpresan á su horquilla, recibió las heridas que ocasionaron su muer­ continuación: Doña María del Carmen Aymes de Circunregui: D. Luis de Losas, hijo de D. Juan José: Doña Jacinta Alva- BIBLIOGRAFIA. te. Que él habia quedado extremamente pesaroso de lo su­ rez, cedido, y mucho mas cuando el prisionero habia sido to­ de D.hija de D. Tomas Onofre: Doña Tomasa Almarza , viuda Miguel de…</t>
  </si>
  <si>
    <t>…que pre­ Fermín Ferrer, por I48O rs.: los herederos de Doña María landés arrancó al torysm o de Inglaterra bajo el reinado sidió á la gigantesca época de las cruzadas. Veíase en de la Encarnación de Nestares, por 55452 rs.: Doña María del sensual Jorge iv. el endurecido guerrero toda la expresión de la fuerza Amalia de V iegas, por 3154 rs.: la viuda y herederos d? Don Manuel de U lloa, por 180 rs.: D. Feliciano dé Lara , por 500 Veamos pues si el siglo sabe desem peñar su cargo. La material exaltada é impetuosa sometida…</t>
  </si>
  <si>
    <t>…de ella, preciso es consignar algunos hechos como sible de los fueros. contra los herederos y donatarios de la duquesa de este nombre preliminares en esta cuestión. Todavía después de estas explicaciones se conduce el señor Doña María del Pilar Cayetana de Silva. Yo no reconozco, señores, obligación ninguna por parte del Go­ Isla de una manera equivocada y terrible, diciendo que quie­ Fueron aprobados sin discusión los dos siguientes dictáme­ bierno de S. M. para hacer la concesión absoluta de los fueros nes: uno de las c…</t>
  </si>
  <si>
    <t>de, María Cristina</t>
  </si>
  <si>
    <t>María Cristina de</t>
  </si>
  <si>
    <t>…idad de tenientes co­ neral lo que Y. E. manifestó, previniéndole en consecuen­ tución de la monarquía española Reina de las Españas, roneles de la referida arma de infantería con sueldo de cia lo siguiente: y en su nombre Doña María Cristina de B orbon , Reina tales y el goce de la gratificación de mando que disfrutan Y careciendo V . E. de la fuerza del ejército que se pi­ ^ Regente y Gobernadora del reino, á todos los que las pre­ en la actualidad los coroneles de dichos regimientos. d e, me ordena S. M. que al trascrib…</t>
  </si>
  <si>
    <t>…para su propia defensa. tución de la monarquía española Reina de las Españas, m an d an te general elogia la ac tivid a d y decisión de su tropa, El Sr. P R E S ID E N T E : No me he atrevido á resolver sobre y en su nombre Doña María Cristina de B orbon, Reina el acierto con que ha d irig id o el capitán O ria la fuerza que esta exposición, poique el art. 9 . ° del reglamento dice que los D i­ Regente y Gobernadora del reino, á todos los que las pre­ m a n d a , y la serenidad y v alor que ha desplegado en este en­ putado…</t>
  </si>
  <si>
    <t>…mpo REDACCION DE LA GACETA. haberse presentado á indulto nueve facciosos en dichos dias 21 Doña Isabel 11 por la gracia de Dios y por la Consti­ y 22. tución de la m onarquía española Reina de las Españas, y en su nom bre Doña María Cristina de B o rb o n , Reina Regente y Gobernadora del rein o, á todos los que las p re­ NOTICIAS EXTRANGERAS. ANUNCIOS OFICIALES. V , sentes vieren y en ten d ieren , sabed: Que las Cortes han FRAN CIA. decretado y Nos sancionado lo siguiente 2 Artículo 1.° La cantidad señalada por la…</t>
  </si>
  <si>
    <t>de, María Francisca</t>
  </si>
  <si>
    <t>María Francisca de</t>
  </si>
  <si>
    <t>…que mana D. Fernando María Peñaranda , encargado en Gosport de tratando de destruirle conforme vaya internándose: bien veo este papel se le ha e n viad o , y se ha desengañado á su lectura )a custodia del cadáver de la Reina Doña María Francisca de que no pasará de la línea exterior que ocupa , á pesar de su sis­ del ningún valor que debe darse á los sueños de su escritor, A sís (Q. E. E. G .) , en solicitud de que se le satisfagan los atrasos tema lento y extendido que emplea; y que si lo intenta , no que según noticias adq…</t>
  </si>
  <si>
    <t>de, María Josefa</t>
  </si>
  <si>
    <t>María Josefa de</t>
  </si>
  <si>
    <t>…diferentes músi­ vento de religiosos carmelitas descalzos de Santa Ana y terminado al fin acceder a una variación tan vivamente solici­ cas, sin que se haya observado el menor desorden. San José de esta corte dejó fundadas Doña María Josefa de tada: por consiguiente continuará dicha publicación en distin­ Alaiza , y á las que corresponde una imposición de 270 rs. en ta forma que hasta aq u i, en 8.° natural, no menos elegante Santander 7 de Setiembre . La fausta noticia del convenio la compañía de comercio de los cinco g…</t>
  </si>
  <si>
    <t>de, Mateo</t>
  </si>
  <si>
    <t>Mateo de</t>
  </si>
  <si>
    <t>…dos de la m adru­ el término de 4^ dias ante los síndicos nombrados D. José Ig­ Catahiña, ?u plica al Congreso que en atención á los muchos gada del siguiente dia habrá baile por convite, de disfraz, en el nacio de Ibarrola y D. Mateo de M ollinedo, vecinos y del co­ servicios que prestó mi difunto padre tanto en la Península co­ salón del Estado. mercio de dicho A ranjuez, los títulos justificativos de sus cré­ mo en la Améiica , donde le fueron confiscados sus bienes por La comisión hubiera querido ampliar ann mas las dem…</t>
  </si>
  <si>
    <t>…blico en el asilo nacional para, huérfana», cuyos padies tiayau muerto en defensa de la causa- de la ¿egUuniüad y de ia justificativos de sus créditos ante los sindicas de la mencionada quiebra D. Jo¿é Ignacio de Ibarroia y D. Mateo de M olliaeda»</t>
  </si>
  <si>
    <t>de, Mateo González</t>
  </si>
  <si>
    <t>Mateo González de</t>
  </si>
  <si>
    <t>…a de dejar morir de frió en venida para los bienes nacionales, adjudicándose al mejor nn calabozo del fuerte de llámales al alcalde constitucional de A las doce de la noche. Gran baile de máscara en el teatro postor. Arredondo D. Mateo González del Peral. del P rín cipe, á 12 rs. el billete. Art. 5.° Los censatarios en g e n e r a l, que no satisfagan de Los billetes se expenderán en el despacho del de mugeres, una vez el importe de los capitales, bien en deuda consolidada, T o led o 1 d e F eb r ero . Sabiendo ei primer t…</t>
  </si>
  <si>
    <t>de, Mathieu</t>
  </si>
  <si>
    <t>Mathieu de</t>
  </si>
  <si>
    <t>…ria, se agitó en el Hauterive ha dejado retratos como los que se hacian El autor, comisionado por S. M. en 1835 para un viaje fa­ consejo la cuestión de las inmunidades diplomáticas: Na­ en tiempos del duque de Choiseu!. El duque Mathieu de cultativo por los poses de Europa mas adelantados en ciencias poleón, excitado por un ministro de policía que sentía Montinorency, el abate Muntesquieu, Talleirand, Mr. Pas- y artes, y habiendo dado cuenta de su principal misión en.dos verse privado de penetrar fácilmente, bajo cualquier…</t>
  </si>
  <si>
    <t>de, Meer</t>
  </si>
  <si>
    <t>Meer de</t>
  </si>
  <si>
    <t>…nicación que en un combate contra corto núm ero, por no haber admitido Cabrera la proposición instruidos por el compendio de dicho autor. los insurgentes , fueron muertos 24 y 4 hechos prisioneros por que le hizo el Sr. barón de Meer de 500 de cualesquiera ejér­ , los soldados del coronel P rince, que dió orden de fusilarlos en cito , pretextando tener empeñada su palabra para un cange ge­ Maestros. el momento.TDespues de haber recibido el p arte, escribió sir neral ; pero no lo creemos, y sí que el monstruo sácia cada dia…</t>
  </si>
  <si>
    <t>de, Miguel</t>
  </si>
  <si>
    <t>Miguel de</t>
  </si>
  <si>
    <t>…e á las costumbres del tiempo; y difícil­ tudes, índole y valor del romance castellano. mente se probará que en ei siglo xiv habia esa especie de Ocupó después la tribuna nuestro colaborador, ya nombra­ el viernes 29 María y D. Miguel del Duran, jueces de primera instancia en ella, corriente á las once de su mañana en la au­ pillos en Jerez. do, el E studiante, y defeodió en su estilo festivo y alegre al diencia del primero, plazuela de San Miguel, núm. 6 , cuarto Mejor y con mas verdad están descritas en la segunda i…</t>
  </si>
  <si>
    <t>de, Miguel Laborda</t>
  </si>
  <si>
    <t>Miguel Laborda de</t>
  </si>
  <si>
    <t>…eral de aduanas. bido por el Rey en St. Cioud, con quien ha tenido uoa larga D. Narciso López, en reemplazo de D. Juan Aldam a, y conversación: El antiguo Ministro no ha disimulado la gran­ por la de Zaragoza , por renuncia de D. Miguel Laborda deza de la situación presente. y G aiindo, á D. Agustín Nogueras. Tendréislo entendido Mr. Thiers ha probado en esta conferencia que nada puede y lo comunicareis ¿ quien corresponda para los efectos S. M. la Reina G obernadora se ha enterado del expe­ alterar el conocimiento profundo…</t>
  </si>
  <si>
    <t>de, Miguel Laborda.</t>
  </si>
  <si>
    <t>Miguel Laborda. de</t>
  </si>
  <si>
    <t>…e previene la ley de 21 de Julio anterior, á esta recer que el Senado no debía acceder á la solicitud del señor Como Gobernadora del reino durante la menor edad corporación por conducto de su secretario para antes del dia 1.° D. Miguel Laborda. de mi excelsa H ija la Reina Doña Isabel ii , y en consi­ de Marzo próximo venidero, en el cual se proveerá coa vista El Sr.LABORDA, después de manifestar lo sensible que le deración á lo que me habéis expuesto, He venido en de­ de las que se reciban á favor de la persona que por s…</t>
  </si>
  <si>
    <t>de, Ministro</t>
  </si>
  <si>
    <t>Ministro de</t>
  </si>
  <si>
    <t>…stenerle. Qué al mes y medio de las últimas ocurrencias de Cádiz levan­ tación si se aprobase. ¿tan pronto se cambia de moral , de principios de orden? tar una partida en los campos de Jerez en favor del Preten­ diente. El Sr. Ministro de G R ACIA Y JUSTICIA : No me he no leNoquieren: gobernarán con la anarquía, ni con el desorden porque no quieren gobernar sobreestados de sitio, esto equivocado según he oido al Sr. Argúelles. Esta cuestión tan Contestando á lo expuesto por el Sr. Iznardi acerca de que delicada como pe…</t>
  </si>
  <si>
    <t>d e , cuya independencia nos interesa en tan alto grado , ha da­ E l Sr. Ministro de H A C I E N D A remite al Congreso m c ia de co n ta r estos co n o tro h erm an o casado m ay o r de 16 do uu nuevo testimonio de su respeto á los tratados , y de la presupuesto adicional al de gastos, y se acordó pasara á la co­ anos. E n te ra d a S. M. y con form án d o se con el p…</t>
  </si>
  <si>
    <t>…urriel nos dice que no son bas­ Congreso ó al Gobierno , me opongo con todas mis fuerzas al giendo las contribuciones para llevarlas a tesorería. tantes garantías para e»tos intereses comunales, las que el otro artículo. El Sr. Ministro de G R A C IA Y J U S T IC IA , ciñéndose al califica de demasiadas. Ejío prueba mas que nada que ha esta­ Señores, el derecho de petición se considera tan sagrado tenor literal del artículo, manifestó que en él se daban á los do muy acertada la comisión en el artículo, tal cual lo pre­ co…</t>
  </si>
  <si>
    <t>…ataque de frente hasta que las fuerzas estableció la citada rebaja.” Y de la propia Real órdétl, co ­ aquel no puede tener fuerza retroactiva. de la derecha , que dirigía Hoyos , llegasen á la altura que le m unicada por el Sr. Ministro de H acien d a, lo traslado á designé. Con serenidad y con precisión se ejecutaron e^tos m o­ De Real orden lo digo á Y. S. para su inteligencia,, V . S. acom pañando copia de la traducción expresada para la de ese tribunal, y demas efectos oportunos. Dios guarde vimientos. su conocim ie…</t>
  </si>
  <si>
    <t>…los incautos que seguían el camino del precipicio. Verificado a s i, el íSenado contestó afirmativamente. El Sr. conde de las N A V A S , fundado en el art. 126 del XJn rico y abundante fondo de erudición necesitaba esta El Sr. Ministro de G R A C IA Y JU S T IC IA ocupó en se­ reglamento, que previene que si se creyese que ciertas peticio­ municipalidad y clero para formar la felicitación que hacen á guida la tribuna y leyó un proyecto de ley de amnistía ge­ nes son dignas de tornarse en consideración, pero que toca re­…</t>
  </si>
  <si>
    <t>…tar lo juzgado. cede lo que con la pluralidad de dioses, según el dicho c é - e - menor, se apelo á recursos conocidos en toda legislación * y mas bre d e un p a d r e también c é le b re de la i gle si a ; queda* se sin El Sr. Ministro de G R A C IA Y J U S T I C I A : Tendré él ho­ ninguno ? en una tan embrollada como la nuestra, en que siempre es ne­ nor de contestar primero ál Sr. López. S. S. ha asegurado cesario dejar alguna cosa al arbitrio de los juéces, porque no Por consecuencia no se ha violado la ley en dejar…</t>
  </si>
  <si>
    <t>…el Real patrimonio , por siete varieda­ blecido el silencio. que importa señalar á la atención pública de un modo p arti­ des de peras, cuatro de melocotones y cinco de uvas; del con­ El Sr. conde de las N A V A S anuncia al Sr. Ministro de cular. Se dice que el duque de Orleans se ha visto en la necesi­ de de Roto va, D. Franco de Sena Chocometi; D. Pedro M o­ M arina una interpelación acerca de la inversión de ciertos fon­ dad de que inmediatamente se abandonen muchos pequeños rales, D. Vicente Llopis, canónigo de e¿ta…</t>
  </si>
  <si>
    <t>…ios en el actual adelanto del medio m in ar que seria conveniente que hubiere podido contentar el dado lugar á que un justo acaloramiento me h a y a puesto en el di ezmo: asi q u e , habiendo observado que el dieztno de dicha Sr. Ministro de H acienda y no el de Gracia y Justicia , por­ caso de tratarle como merece. K-.ta es la rezón por que sup li- ciudad se había ar rendado en 2 5 3 rs., am al g am án d o lo con el de que le parecía á S. S. que por m u y enterado que estuviese de crt á la mesa tenga la bondad de hacer menc…</t>
  </si>
  <si>
    <t>…ción del Sr. Carfeonell, se dió por reproducido un tro para ver si está conforme con la comisión* mismas el segundo de dicho cabecilla , cogiendo ademas varias proyecto de ley que quedó pendiente en la legislatura anterior El Sr. Ministro de G R A C I A Y .JU S T IC IA : En suma pa^ sobre ayuntam ientos. i rece que lo que quiere el Sr. López Vázquez es que el G obierno armas y otros efectos. Que se h an presentado á indulto al comandante del Puente Procediéndose en seguida al sorteo dé las secciones según ó el Ministro de…</t>
  </si>
  <si>
    <t>…habia tenido presente , no solo que esta exposición estaba tan claro que se suponía el contexto literal de algu­ ción ; y como el número de suplentes tenia que sér en razón de podia ser objeto de exigir la responsabilidad al Sr. Ministro de nos artículos, la razón que tuvo la nación para obrar en las los individuos nombrados Diputados ó propuestos Senadores, la Gobernación, sino que también podia dar margen á que se elecciones de la manera que lo hizo , y la inexactitud de los ar­ no pudiendo tener á la vista una razón de…</t>
  </si>
  <si>
    <t>…derechos de puede serlo por el celo de los Sres. D ip utado s, contestados sean necesarios, y exigirles las competentes fianzas. pesos y medidas están en otro caso, pues se duda si son ó no cuanto puede serlo también por el Sr. Ministro del ram o, y por Art. 3.° Es atribución de los ayuntamieutos arreglar por señoriales, y esta es precisamente la cuestión. Ademas ese mismo consiguiente no puede recaer mas resolución sobre esta exposi­ medio de acuerdos, conformándose con las leyes y reglamentos: decreto cuyo art. 7.° ha…</t>
  </si>
  <si>
    <t>…s demas ciudadanos que tienen tanto dere­ autoridad de mis compañeros los Sres. individuos de la comi­ cho á ser protegidos ? sión , para que digan si no es verdad que cuando yo asentí en Y o pregunto ahora , y rne dirijo al Sr. Ministro de G r a ­ Por estas razones, señores, rae veo obligado á separarme la comisión á votar y firmar este voto con respecto al dictámen cia y J u s t i c i a , ¿puede S. S. señalarme la ley vigente que ha del dictamen de la mayoría de la comisión, y negar mi apoyo, que se está discutiendo, 11…</t>
  </si>
  <si>
    <t>…de mis Señores que dijeron sí: Con efecto, es in dudable en teoría que ios que se o cu ­ adversarios. M ayans, G ispert, M u ro, Florez E strad a, Yilches, Balles­ pan en prom over la prosperidad y la riqueza de un pais* El Sr. Ministro de G R A C IA Y JU S T IC IA : Y o también teros, H ergues, Baeza , Arguelles , Caña va te , Seoane, Ya lera, no deben ocuparse al mismo tiem po de la recaudación de soy amante de tributar á los demas todo el celo y respeto que G aliano, Puche, Fonseca , marques de C asa-lru jo , Salamanc…</t>
  </si>
  <si>
    <t>…den de S. Andrés y nunca por las diputaciones provinciales.” El brigadier 2.° cabo de Aragón con fecha 1.° del actual las otras órdenes rusas con que el difunto duque estaba conde­ dice De orden de S. M., comunicada por el Sr. Ministro de do, que que según comunicación del 28 de Octubre próximo pasa­ corado. (Id.) la Gobernación de la Península, lo traslado a Y. S. para mayor dele losha ejércitos dirigido desde Alcorisa el general gefe del estado reunidos, se pondrian en movimiento el su inteligencia, la de esa diputa…</t>
  </si>
  <si>
    <t>…de borrar La fea nota de rebeldes., á %° E l Romántico. 'prarogarrá la sesión. cu ja s filas'per te aecieroa, sino que á toda costa esta o. resuellos 5.° El Clásico , compuestos para piano-forte por el p r o f e s o r ■ E Í Sr. Ministro de G RA C IA Y JU S T IC IA : Sr. Presiden­ á defender la. justa causa que cordial mente ha o abrazado ; no D. Pedro Albénix. cabiendo duda alguna en que las das compañías dte G olas,. for­ ¡Se hallará 11 de venta en el al macen de música de Garrafa, te* d o teago Ínteres en continuar. H…</t>
  </si>
  <si>
    <t>…quilo en la iglesia de Santa M aría de Anch , cuando de repen­ Los rusos no manifiestan intención alguna respecto á Cons- te entraron en la iglesia varias personas. Eran el co rregidor, el De la de S. M., comunicada por el Sr. Ministro de tantinopla ; esto lo hemos sabido por un brick de g u e r r a : per&lt; prefecto y el vicario m a y o r, acompañados de un joven , á quien la Gobernación de la Península, lo traslado á V. S. pa­ prodigaban las mayores atenciones. El joven se acercó al artis­ m a necea tranquilos; pero hab…</t>
  </si>
  <si>
    <t>…diesen su dictám en,y que los quedebian recuerda los bellos tiempos del repollo colosal. manifestar el suyo de una manera mas positiva y explícita: y su origen á proposiciones de los Sres. Senadores quedasen sus­ aunque El Sr. Ministro de agricultura y de comercio ha ido á vei pase á los pies ya el Sr. Presidente ha propuesto que una diputación pensos siempre que sus autores no tuviesen á bien el reprodu­ á la calle des Prouvaires, niím. 10, un repollo que tiene 1( vas , me parecedelquetrono á felicitar á S M. por tan fa…</t>
  </si>
  <si>
    <t>…? N i cias y juzgados de primera instancia. Apelo también al testi­ é importancia de su enmienda. una. Los Sres. Secretarios del Despacho que están presentes, y monio de los discursos pronunciados en aquella época por el El Sr. Ministro de G R A C 'A Y JU STICIA (m ovimiento que deben haber examinado los antecedentes de la época á que Sr. Barrio A y uso y á los cuales pueden referirse los Sres. D i­ general de atención): Apenas h ab rá, señores, una cuestión zne remito que existen en la secretaría, no me podrán contra­ p…</t>
  </si>
  <si>
    <t>…r á impugnar este; artículo, 110 precisamente para do ver los perjuicios que necesariamente se siguen con los esta­ pedido una requisición de muías, con el mismo fin y del mis­ oponerme, sino para analizarle, quisiera que el Sr. Ministro de tutos mandados observar hasta ahora , y los decretos de 8 de ino modo que pidió hace poco una requisición de caballos, de Hacienda me contestase cuál ha sido el resultado de las 20 i mu- Junio de 1825 y el de 11 de Julio de 1857. manera que este modo irregular de buscar los medios para…</t>
  </si>
  <si>
    <t>…nunció el resultado de la votación,se agolparon m u ­ ilustrarse la cuestión todo cuanto fuera dable. extrañado la manera con que se ha presentado una enmienda chos Sres. Diputados á la mesa, por lo que habia sido imposi­ El Sr. Ministro de G R A C IA Y JU S T IC IA dijo que no se suscrita por siete individuos; ¿pudiera caber esto en S. S. cuan­ ble ver quién era el que se habia levantado primero á pedir la levantabá á im pugnar la proposición que estaba discutiéndose do no pasa de ser una opinión nuestra? Si el modo coo…</t>
  </si>
  <si>
    <t>imeute, con independencia del ©tro, el importe de los gastos pre- ' Idem del proyecto de ley para establecimiento fie un Conse­ E l Sr. Ministro dela GOBERNACION: Señores, debo j o de Estado. manifestar auto todo que el Gobierno como gobierno ao tiene cisos para la conservación del edificio en que celebre sus sesio­ grande ínteres en esU^pesÜon: de fc»a^ujera&lt;.^«iera qpe ^ nes y para él pago, de sus oficinas,, dependí cates y dem…</t>
  </si>
  <si>
    <t>…e el ladores las medidas de los funcionarios públicos que tiendan á n a —De Sanlucar, á la una de la tarde.—De Sevilla, sábado 5 voto particular. protegerle. á las nueve de la mañana.=De Sanlucar, á las tres de la tarde. El Sr. Ministro de G R A C IA Y J U S T IC IA : Señores, ha­ El 2 por la mañana fueron cogidos en el pueblo de Ontoria Guadalquivir. De Cádiz, sabido 5 , á las once de la ma­ biéndose mezclado en esta cuestión un punto de derecho, me de Ea Cantera dos facciosos, y también se han hecho otras apre­ ñana.—De…</t>
  </si>
  <si>
    <t>…lares interesados. El Sr. Puche ha cialmente , añadiendo en seguida que pues se hallaba presente se repartían. Este es un hecho incontestable. Pues bien, estos dicho bien, y esto mismo dice el Gobierno , la cuestión de los el Sr. Ministro de H acien d a, y estando pronto á responder á 80 millones que se presupusieron como producto del diezmo para derechos que puede haber entre el propietario, arrendatario y las interpelaciones pendientes, se iba á proceder á ellas. repartirlos, se repartieron por la misma base de la contribu…</t>
  </si>
  <si>
    <t>en contestar á esta interpelación, por parte del Sr. Ministro de via ha sucedido eso, ninguna reclamación se ha dirigido. cunstancias. Asi pues, quede consignado que el Gobierno d Hacienda, ha dependido de creer , no sé si bien ni mal , que los El Sr. M END IZA BA L: Señores, desde que oí la interpe­ aquella época partió del principio deque debia abo…</t>
  </si>
  <si>
    <t>…rtos y graves que son estos cargos, bastaría para confir­ si no repiten las palabras que han dado; esto digo, sean las dad de la monarquía española y la Constitución que hemos marme en esa idea la vejiga que han levantado al Sr. Ministro de consecuencias las que quieran. jurado con los fueros que hemos querido conceder , todo ha si­ Gracia y Justicia; no puede sufrirlos S. S., mas confórmese y Declaro que el Congreso, si. piensa como es natural, y si do inútil: ruegos, súplicas, aclaraciones, contestaciones perso­ súfralo…</t>
  </si>
  <si>
    <t>…reunidos mis compañeros, yo me ale­ El G obierno 110 ha perseguido á ningún español, l cómo aplausos en el salón y triburias'). gro que vaya aA saliendo la verdad. habia de hacerlo? ¿cómo? N o hay ninguna sum aria, nin­ E l Sr. Ministro de G R A C IA Y JU S T IC IA ocupa la tr i­ El Sr. Q U IN T O : Cuanto ha dicho aqui el Sr. ministro es gún decreto para que se haga , solamente por el acontecimien-* buna y lee el proyecto, concebido en los siguientes términos: exactísimo : yo tuve la ocasión de hallarme presente á esa t…</t>
  </si>
  <si>
    <t>…te de parte del G obierno y de los cuerpos c o ­ convendría que las hubiese en los Gobiernos libres. que se debe pasar copia al ministerio de la Gobernación , á fin legisladores una disposición legislativa que arregle las El Sr. Ministro de G RA CIA Y JU STICIA : Ya iba j o á de que cuanto antes presente una ley. condiciones que hayan de observarse en el ejercicio del entrar en la cuestión de tradiciones, porque es la parte mas El Sr. Q U IJA N A : La petición que se discute es una expo­ derecho de interp elar: pero quisiér…</t>
  </si>
  <si>
    <t>…ros y la facultad de disol­ Ilu elv a 2 4 d e E nero0. v e r la Cámara. De la prim era, la elección de Ministros, y a sa­ béis si la coalición ha dejado al Rey la menor parte. Se han Gobierno político de esta provincia.=:EI Sr. Ministro de U M r. Glaubrech, Diputado de Hesse-Darmstadt, ha d ir ig i­ dispuesto las cosas de manera que en este punto no quede al Gobernación de la Peuínsula me dice con fécha 15 del corrien­ do al presidente de la Union de Osnabruc una carta concer­ Rey ni aun una sombra de libertad; se le ha…</t>
  </si>
  <si>
    <t>…á que le fue dada al mismo tiempo q u eá otros varios ofi­ apliquen las disposiciones de la ley. que conformándose S. M. con el fallo de la audiencia de Ovie­ ciales que la ganaron en la misma clase de servicios, lo cual El Sr. Ministro de H A C IE N D A : Señores, todas cuantas do, habia tenido á bien declarar en el conde de Toreno y su hace que mas pueda decirse que fue una honorífica distincioú observaciones se hagan sobre este proyecto no servirán mas que fam ilia este requisito. Yo confieso que no estaba inuy al cor­…</t>
  </si>
  <si>
    <t>…quintas partes restantes. mandas , con tener unas y otras un origen común. Art. 3.° Los compradores que dentro del término señalado Pasando á manifestar el objeto de estas leyendas, dijo que Proyectos de ley que presentó el Sr. Ministro de H a ­ no entreguen el importe de su débito con los réditos vencidos todas contenían un pensamiento moral , cual era arraigar en cienda en el Congreso de Sres. D iputados el dia 26 de del papel consolidado , desde el dia en que hubiesen hecho su­ aquellas sociedades la generosidad, el va…</t>
  </si>
  <si>
    <t>…pugna mi opinión y Se preguntó si esta cuestión se aplazaría para cuando estu- ser alterada ¿qué medidas ha y adoptadas para conservar el o r ­ deber: hoy vo y á hablar porque puedo hacerlo con toda liber­ vieie presente el Sr. Ministro de G racia y J u s t i c i a , y se resol­ den ? (El Sr. Pascual pide al Congreso tenga presentes esas pa­ tad , puesto que y a no se trata del dictamen de la comisión vió negativamente. labras.) Del modo como se presentan las elecciones con cuantas sino de un hecho particular. 9 El Sr. P…</t>
  </si>
  <si>
    <t>…ito que no es mi ánimo diri­ bernación, pasase á este la exposición de que se trataba. cómo resistir á fuerzas tan considerables como las que han de girla inculpación ninguna por su dictámen, pues sé los lím i­ A petición del Sr. Ministro de ta Gobernación se leyó la reunirse aqui dentro de poco? La facción se disuelve ; y su tes á que está circunscrita; pero ya que no ha hecho ninguna fecha del decreto concediendo un distintivo á los individuos g efe, con dos ó tres mil desesperados, procurará penetrar en enunciación, ni da…</t>
  </si>
  <si>
    <t>…es no tienen otro recurso tuviera la bondad de dar explicaciones sobre esfe particular.... h a j fondos” , entretanto que el comisionado de amortización re­ que el de la carid a d , o morir de miseria. Lo que me ha m ovi­ El Sr. Ministro de H A C I E N D A : Con respecto á eso debo unía las grandes rentasdel convento, y las remitía á la tesorería, do á tomar la palabra , es una especie alarm an te, altamente reac­ decir que el Gobierno no se halla en este momento en disposi­ viendo engranerar el trigo de svis tierras , y…</t>
  </si>
  <si>
    <t>…ienta que el nombramiento de decano del tri­ Sres. Diputados. mité á ningún'lidiador sin que haya depositado en el banco bunal especial de las Ordenes no ha sido comunicado ni al in­ Igualmente se lee el oficio comunicado al Sr. Ministro de una décnhá parte dél capital que se trata dé contratar, por la teresado ni al tribunal, cuando por el contexto de la orden que Gracia y Justicia acerca del nombramiento del Sr. Castro para de&amp;óafiltiaa^&amp;é ‘que ño vayan allí á burlar las miras del Gq«1 he citado, y que se ha reproducido…</t>
  </si>
  <si>
    <t>…conducidos á Benifasar se remitirán también 50 pantalones y palabra el Sr. Ministro de Hacienda. 50 chaquetas con unos 300 pares de pantalones que el coman­ dante del batallón que guarnece esta plaza ha facilitado de de­ El Sr. Ministro de H A C IE N D A ocupó Ja tribuna y leyó dos proyectos de ley que S. M. la Reina Gobernadora, con­ Dictámenes de la comisión de Peticiones aprobados en el sechos del mismo cuerpo, en virtud de excitaciones á los ge- fes políticos y á este general en gefe para proporcionar fondos formándos…</t>
  </si>
  <si>
    <t>…; pero dad de los bienes de varios conventos suprimidos. 4.° Pa­ el Gobierno no la dejará en olvido al presentar á las Cortes el ra designar la clase de papel con que los compradores dé cienda Proyectos de ley que presentó el Sr. Ministro de H a ­ proyecto de arreglo general de la deuda pública, y aun desde bienes nacionales deberian pagar los plazos no vencidos, Enero de en el Congreso de Sres. Diputados el dia 26 de ahora trata de mejorar su condición proponiendo que sea ad­ y las ventajas que disfrutarían para la anticipa…</t>
  </si>
  <si>
    <t>…el obispo de Astorga , que Bibúa en español, y que en las edicioa&lt;io extranjeras, y hasta había hablado á Carlos tv , Rey de España, acerca de ia nece­ en las que se han hecho en Barcelona y otros puntos, se han D e orden del Sr. Ministro de ia G o bernación se p re ­ sidad que tenia el pueblo español de una nueva traducción de suprimido los libros de Tobías, de J u d it, la Sabiduría, el viene á las corporaciones, establecimientos depend ientes la Biblia, presentaron á S. M. al Sr. D. Félix T añes Acnat co­ Edeúast. , Baruc…</t>
  </si>
  <si>
    <t>…” ; si pide la viu da, "no hay recursos, la guer­ tró el Sr. Ministro de Gracia y Justicia. no asi con respecto a\ proyecto que ahora se trata de discutir. r a ” ; si pide la monja, "ao hay recursos, la guerra.” Señores, El Sr. Ministro de H A C I E N D A : Señores, ya el otro dia Asi que siendo de tanta importancia, y debiendo asistir á esta ¿qué es esto? Los pueblos no se han negado al pago de nin­ tuve el (Jionor de manifestar al Congreso , tratándose de esta discusión el Gobierno de S. M ., porque precisamente se va…</t>
  </si>
  <si>
    <t>…n D ip u tad o , sea que cometa un delito i n J ' r a g a r t t i , ó sea lo 29 de la Constitución. de la Constitución de I 8 i 2 , y el 5.° y 4-° d e la de que se halle procesado, el Congreso tiene que hacer una ju s t i­ El Sr. Ministro de G R A C IA Y J U S T I C I A : Efectivamen­ Setiembre de 1820. ficación de esto. Justo es que ei poder jud icial tenga enarcada t e , señores, si apuramos esta cuestión demasiado, llegaremos Se s u s p e n d i ó por un momento esta discusión para dar lu­ la jurisdicción ; pero no se dig…</t>
  </si>
  <si>
    <t>…negocio existen cues­ convenientes , y á romper la valla que me habia propuesto. No buques. tiones distintas, pues h ay cuestiones que los tribunales de j u s ­ es una interpelación por asuntos pequeños de un p artido, no El Sr. Ministro de M A R IN A dice que la mayor parte de ticia deben decidir, h ay otras puramente gubernativas, y*.al­ por circunstancias particulares de un pueblo, no señores*- se los buques e^tan en Barcelona , y que el capitán general de Gra­ gun as para las cuales será necesaria la intervención del…</t>
  </si>
  <si>
    <t>…la anterior, la discusión. Se leyó una enmienda del Sr. Landero reducida á que se fue aprobada. Se dió cuenta de un oficio del Sr. Ministro de la Goberna­ supriman las palabras, wy al conílicto de los tribunales” , y en El Sr. Ministro de E S T A D O leyó una comunicación. (Véa­ ción acompañando un decreto por el cual S. M. la Reina G o­ su lugar se pongan por via de enmienda después de la palabra se la Gaceta extraordinaria.) bernadora habia tenido á bien oouobbar Senadores por la provin­ c&lt;familias” las siguientes: ^i…</t>
  </si>
  <si>
    <t>…s Y o y á leer el párrafo del discurso de la corona que hace re­ palabra con este objeto. Sres. Florez Estrada y P i d a l , en que piden se les adm ita como ferencia á este punto. Dice asi: (leyó.) Dice la Reina que tie­ El Sr. Ministro de G R A C I A Y J U S T I C I A : M e parece, Diputados por la proviacia de Oviedo de que han sido nom­ ne motivos para creer que aquellos Gobiernos están mejor i n ­ señores, que cuando se ataca al Gobierno por cien lados, no hace brados. formados d é la justicia de nuestra causa. Pero…</t>
  </si>
  <si>
    <t>…olverse á sus casas. Estas palabras tendrían mas valor en una rectificación del Sr. López. de ver se debía observar; asi, señores, este género de asuntos se la boca del Gobierno, porque las noticias de S. S. no son o f•» El Sr. Ministro de H A C IE N D A remite al Congreso un hacen interminables, y no dan resultado porque tenemos que cíales, ¿ y aunque se haya tratado de remediar se dudará que ejemplar del acta de laí quema solemne de documentos de la limitarnos precisamente á lo que prescribe el reglamento. ha existido?…</t>
  </si>
  <si>
    <t>…Congreso, dos pagas , y no ha podido realizar lo mismo en los departa­ que pueden presentarse á la meditación de los director en aquella época del banco español de S Fernando, y á mentos. Esto ha consistido, como ha dicho el Sr. Ministro de hombres que piensan. ¿Cuántos estados excepcionales pUe, consecuencia de lo que resolvieron se expidió la Real cédula de M arin a, dando la contestación mas satisfactoria, en que las li­ den existir? ¿En qué casos debe existir cada uno de ellos? que se había hablado. branzas se han neg…</t>
  </si>
  <si>
    <t>…pectivas autoridades militares, y en demos­ Habiendo obtenido la palabra , dijo d ia r io , y pasaría á las secciones para el nombramiento de la trar detenidamente no ser cierto lo dicho por el Sr. Alcántara El Sr. PUCHE: El Sr. Ministro del Despacho de Hacienda comisión respectiva. Navarro de que Cabrera no cambiaba de conducta por las re­ ha publicado una disposición en la Gaceta de ayer para llevar . Continuando la discusión in terrum pida, pide la palabra presalias, pues en un periódico de Zaragoza se leia en la or­ á…</t>
  </si>
  <si>
    <t>…s mayores peligros desempeñar la tu ­ este año por el Ministerio de la Gobernación , que remitía el servicios que en Celanova prestase: para Murias de Paredes, tela de nuestra augusta Pieioa, y salvar el trono y la Constitu­ Sr. Ministro del ramo. que es de entrada, en la provincia de León, á D. Luis San Juan, ción del Estado. Se dió cuenta de que las secciones habían calificado no ser que obtiene el juzgado de Señorin de Carballino, de entrada, Quiera la divina P r o v i d e n c i a , Señora , seguir dispensando útil ni…</t>
  </si>
  <si>
    <t>…os demas ministerios y á todos los agentes diplomáticos en lo sucesivo comisiones de esta especie. — — — I'I 1 I M I — — a a o w a y consulares de S. M. en el extrangero la Real orden si­ De orden de S. M., comunicada por el Sr. Ministro de guiente: la Gobernación de la Península, lo traslado á V. S. para Ramón S. M. la Reina Gobernadora se ha dignado conceder á Don Excmo. Sr. : Tengo la satisfacción de poner en noticia su inteligencia, la de evsa diputación provincial y efectos D. Francisco Pardo, juez de primera instanc…</t>
  </si>
  <si>
    <t>…i s G o n ­ ha creído se hacia al Gobierno , si bien pudo creerse asi en el v ocio nes. zález y D . Francisco C a ñ a s , el primero teniente de tiradores anterior m e n saje , en este no debe creerse, pues no se ha le­ E l Sr. Ministro de G R A C I A Y J U S T I C I A : Señores, no del prim er batallón franco de Castilla , y el segundo alférez de vantado el Gobierno á im pug n arle . Insisto pues en que lo que me levanto á satisfacer los deseos del Sr. C alatrava respecto á carabineros de la Hacienda pública , sobre hab…</t>
  </si>
  <si>
    <t>…nistros; en la cual expusieron que en aquellos momentos no también **y las leyes de N avarra.” medios posibles, pero en vano: llegó el año d e 32 y sucedió lo era posible juntar las Cortes para hacer el reconocimiento re­ El Sr. Ministro de G R A C IA Y JU STrCIA contestó que ea mismo, no se dió el importe de las cargas, y el Gobierno por querido, y que seria conveniente dejarlo para cuando la facción la palabra fueros estaban comprendidas todas las existencias le­ razones d e ‘ prudencia no quiso seguir en su empeño. Ocu…</t>
  </si>
  <si>
    <t>…os plenipotenciarios meji­ Dio s &amp;c. R io Verde Marzo 11 de 1 8 5 9 .= M a r ia n o Arista.z: Dispuesto ya el asalto á las tapias de adobe que les circun­ canos, por parte de Méjico. L a solución del segundo por Iqs Excmo. Sr. Ministro de G uerra. daba, me pidieron la paz , protestando reconocer al Gobierno propios iuteresados hubiera dado motivo á discusiones intermi­ su premo y las leyes actuales por que se rige la nación, insistien­ nables, y que hubieran p od id o , agriando los á n im o s, dificul­ do no obstante…</t>
  </si>
  <si>
    <t>…s actas que se han El Sr. Q U IN T O : El Sr. Ministro no contesta categórica­ cia los habia hecho. Que no los habia escrito su pluma ni su mandado anular, que son las del distrito de Monterroso , en mente á mis preguntas: el Sr. Ministro debiera decir si efecti­ corazón, sino la uiano férrea del despotismo, y que á pesar de L u g o , no se sabe fijamente el resultado de la elección, pues vamente hubo algunas prevenciones por parte de las autorida­ eso los versos nada decían contra los liberales 5 pues se limita­ que en luga…</t>
  </si>
  <si>
    <t>…s arm as para defen­ negocio creyeron que no cabía un indulto particular y que er i ve al gefe político para que lo califique. derse de las pequeñas partidas. necesario una ley que el Gobierno debería presentar en tiemp &gt; El Sr. Ministro de G R A C IA Y J USTICIA: Pues ahora veo Pasando á hacerse cargo del proyecto de ley de amnistía, oportuuo. El Gabinete ha presentado para esto la ley de am - que está equivocado el Sr. López, porque yo estoy ahora sen- I dijo que q o era bueno ni por el tiempo ni por el modo; poi n ist…</t>
  </si>
  <si>
    <t>…la unidad constitucional no reconociendo todos mas B ilb ao , par. V alen cia, \ din. b. y después , las coatribuciones. que un R ey constitucional y una representación n acio n al, y C á d iz , 1 d. Z a rag o z a, £ id. El Sr. Ministro de G U A C IA Y J U S T I C I A : Precisamente como estos dos grandes poderes absorben en sí otros de inferior iba á llegar á ese c arg o , y ia extremada sensibilidad del señor orden , como son el judicial y el ad m in istrativo , salvándose los Descuento de letras , á 6 por 100 al año. L…</t>
  </si>
  <si>
    <t>…; pero creo que en ese particular h ay motivos para el párrafo ú l t i m o ; pero ha sido solo en las palabras, porque la uel ministerio. 1 hacer algunos cargos al Gobierno de mucha importancia. V o y á idea es la misma. El Sr. Ministro de H A C I E N D A : L a mesura, el deco.o manifestar una cosa quizá no conocida de muchos Sres. D ip u ­ El orador se ocupó en explicar la manera con que la com i­ con que en este augusto recinto se están discutiendo materias tados, y que les causará escándalo. Siento, señores, que no se…</t>
  </si>
  <si>
    <t>…onde de las N A V A S : Respeto ese derecho , Sr. P re ­ Disponiéndose S. S. para continuar, le advirtió el Sr. Pre- providencia d^ I 4 de este mes se cite y emplace, por medio de sidente, y si hs palabras pronunciadas por el Sr. Ministro de ¡idente que, siendo la hora en que debia cerrarse la sesión, podría la Gaceta del Gobierno y Diario de esta corte , á D . José A n­ Hacienda, que me han llegado al corazón , me haa hecho faltir lejar para mañana la continuación de su discurso; y conven­ tonio Marsilla de Teruel Pinilla y…</t>
  </si>
  <si>
    <t>…extrange- coofesores para notificarles poco á poco esta benéfica disposi­ guarde á V. E. muchos años. Madrid 26 de Octubre de ros. (Id.) ción , hallándose también varios profesores de medicina y un 1839.=José de San Millan.=Sr. Ministro de.... sangrador para en caso de necesidad aplicarles los remedios que El Rey de Cerdeña y su hijo el duque de Saboya se hallan su situación reclame. de yuelta en Turin de su viaje á Chambery. Al dar cuenta á nuestros lectores de este suceso, participa­ mos de la alegría que han demostra…</t>
  </si>
  <si>
    <t>…e se sepa que nunca torcí mi camino , que es que era oligárquica, sino que era democrática, y creo que como está mandado. nunca tergiversé , y ninguno puede disputarme el honor, fir­ democracia y oligarquía implican algo. El Sr. Ministro de E S T A D O : Tengo el honor de manifes­ meza de carácter y de conducta , aunque puedan disputarse ........ " s u tendencia á la anarquía y la opresión que impo­ tar al Sr. Calatrava que paladina y terminantemente niego que mis talentos. nía al poder Real originaron un sentimiento gene…</t>
  </si>
  <si>
    <t>…ión en á los folletos se observara lo misino que se dispone para ¿ilegales del capitán general de A n d alu c ía, no contestando á el Congreso. obras. la exposición que hace i 6 meses le d i r i g i ó , suplicándole pre­ El Sr. Ministro de G R A C I A Y J U S T I C I A : Es cierto lo A rt. 19. Se entiende por hoja suelta cualquier impreso quo guntase al citado capitán general las causas que le impelieron á que dice el Sr. conde de las Navas. Cuando se terne que las se publique sin los requisitos que se exigen para los per…</t>
  </si>
  <si>
    <t>…asun ­ duda á pesar de que á mí nunca me ha ocurrido) del decreto si no era cierto lo que decia. to al que le reconozco bastante instrucción para dármela acerca de 50 de Agosto. Antes debo decir que no he rectificado mi El Sr. Ministro de E ST A D O : La misma dificultad que te­ de lo que es misión, y misión oficial, insistiendo en que no discurso ; y en su consecuencia no respondo de lo que se h ay a nia el dia pasado para no asistir á las sesiones la tengo hoy. Un ha habido misión oficial, porque no cree que puede habe…</t>
  </si>
  <si>
    <t>…en esto , porque pesar de lo dicho por el Sr. Ministro de Gracia y J u stic ia , aun S. S . , era asistir á estas sesiones. el Gobierno no puede tener mas recursos que ios que procedan lloraban sus familias su ausencia. El Sr. Ministro de E ST A D O : No puede uno acabar n u n ­ de las contribuciones , y se verá m uy apurado cuando tenga un Pasó después á hablar de R o m a, y dijo que ciertas perso­ ca de hablar. Yo he dicho: cuerpo que le haga cargos y que lo censure agriamente. nas habían ido á ordenarse, y que !o habí…</t>
  </si>
  <si>
    <t>…cho, si el Senado tuviese á bien tud de admisión y juramento en é l , no obstante las enunciadas la mas acertada. aprobarle, y levantó la sesión á las cuatro. resoluciones de suspensión. Palacio del Congreso I 4 de Enero El Sr. Ministro de G R A C IA Y JU ST IC IA : Señores, lia de 1859.— José Perez de Rivas. dificultad promovida por el Sr. Becerra es en verdad especiosa Puesto á discusión el voto particular , dijo y á primera vista parece nacida del art. 9 de la Constitución; El Sr. P ID A L , que la comisión , teniendo…</t>
  </si>
  <si>
    <t>…a idea sobre la importancia si toma en consideración el voto particular, y re­ del asunto. como porque la ley no me lo m an d a, no emprendí mi viaje á suelve que n o , en votación nominal por 65 votos contra 45. Sevilla. El Sr. Ministro de G R A C IA Y JU S T IC IA : N o ha com­ Se puso á discusión el dictámen de la mayoría. prendido bien el Sr. Perez de Rivas el pensamiento del Gobier­ lié aqui todo lo que tenia que exponer en rni difensa , y es­ El Sr. B A E ZA le im p u g n ó , fundándose en que la comi­ pero que el C…</t>
  </si>
  <si>
    <t>…obras de esta carretera. to de la junta general el que se anuncia en este dia de la im ­ burgueses. Pero uo habría ya lugar para una Bélgica. De Jaén á Bailen. posición del 6 por 100 anual en los préstamos. Por este medio BU Sr. Ministro de lo Interior y de Negocios extrange- se realizará el deseo de la misma de extender mas los beneficios ros toma la palabra y contesta á las acusaciones de que ha sido Siguen las obras con toda la actividad que permiten de tan piadoso establecimiento. Pero ademas de estos tan bue­ objeto…</t>
  </si>
  <si>
    <t>…idado; pero sobre todo, Ahora voy á hacer otro cargo, y es el últim o, y concluyo; porque yo he creído siempre que para alusiones personales de­ ellos tenían una base fija e inconquistable porque era necesario es respecto al Sr. Ministro de E stado, y por este cargo y los be concederse aunque no se haya hablado. hacerlo por agua : aquel punto ademas encerraba un genio; yo anteriores verán los señores de la comisión que me opongo al El Sr. V IC E P R E S ID E N T E : V. S. conoce m uy bien este no justifico por eso sus extra…</t>
  </si>
  <si>
    <t>…qué fin aplicó estos recursos, y entonces asi como asi las circunstancias son m uy diversas. nos ligad as, y el Sr. M inistro con su iutencioa. Después de es­ particular asentí á esos actos, como D iputado si se me some­ El Sr. Ministro de G RACIA Y JU ST IC IA : Sien to , se­ tos antecedentes, los cuales bien los siente el Congreso y pre­ tiese ahora ó en adelan te, me hallarían siempre favorable. Y ñores, efectivam ente, que el Sr. López haya dado ese sentido vé sus consecuencias, permitido me sea decir al M in in o , ®…</t>
  </si>
  <si>
    <t>…hicieron el 19 de este cias e;i que 'a rebelión ha podido contar con un apoyo por sus nación. mes, se vieron atacados en las inmediaciones de Torres de Se- \e\es y por sus cualidades y en virtud de la lealtad de los hom­ El Sr. Ministro de G il AGI A Y JU S T IC IA : Siento que gre por una gavilla de mas de 59 bandidos ; pero con la ma­ bres se han avenido? Si no tenemos otro Pretendiente armado hayan dado lugar al sentido discurso del Sr. Olózaga uoas yor serenidad los batieron , causándoles cuatrp muertos y algu­ co .…</t>
  </si>
  <si>
    <t>de, Ministro de Estado</t>
  </si>
  <si>
    <t>Ministro de Estado de</t>
  </si>
  <si>
    <t>…el 13 para ciones deí pais: esto ha sido un escándalo ea toda Europa. dre; estas personas han conseguido m ucho, y han hecho un hacer que uno de los artículos del tratado de paz y alianza con Otra equivocación ha padecido el Sr. Ministro de Estado de gran beneficio á la causa nacional; pero el Gobierno no les ha aquella corte fuese dedicado á su reconocimiento. menor importancia. Ha dicho S. S. que uno de sus antecesores dado comisión ninguna. Ese mismo que entonces trabajó con mucho celo para ob­ en el ministerio declaró…</t>
  </si>
  <si>
    <t>de, Ministro de Estado y Presidente</t>
  </si>
  <si>
    <t>Ministro de Estado y Presidente de</t>
  </si>
  <si>
    <t>…discutiendo materias tados, y que les causará escándalo. Siento, señores, que no se sión extendió su proyecto, y la conexión que guardaban sus tan im portantes, asuntos de tauto Ínteres, es una nueva prue­ halle presente el Sr. Ministro de Estado y Presidente del Con­ párrafos unos con otros, notándose en todos la mayor templan­ ba , si se careciera de otras muchas, de la sensatez española, que sejo de M inistros; y tanto mas lo siento, cuanto que después za y moderación, y continuó: eu ninguna cuestión se desmiente ; es…</t>
  </si>
  <si>
    <t>de, Ministro de la Gobernación Proyectos</t>
  </si>
  <si>
    <t>Ministro de la Gobernación Proyectos de</t>
  </si>
  <si>
    <t>…ulas establecidas en él; por tanto no tradiciones serán las que le sirvan para reflejarse en el espejo puede menos de aprobar el dictamen. del porvenir. ¿ Y qué perderá el Gobierno porque le diga El Sr. P R E SID E N T E : El Sr. Ministro de la Gobernación Proyectos de ley que presentó el Ministro de H a­ esta corporación, que ve pasar los dias sobre sí y los aconteci­ tiene la palabra. cienda en el Congreso de Sres. Diputados el dia 2 6 de mientos ; qué perderá , digo, porque una corporación deposi­ Habiéndola obtenido, ocu…</t>
  </si>
  <si>
    <t>de, Ministro de la Guerra</t>
  </si>
  <si>
    <t>Ministro de la Guerra de</t>
  </si>
  <si>
    <t>…G obierno, que si bien todos principios, y esto lo explicará por ahora. Pero la prueba m a­ El Sr. BARRIO A Y U SO : Para que conste el número de estamos conformes en el principio, porque todos amamos la yor que puedo dar al Sr. Ministro de la Guerra de que no soy Diputados que han votado la ley ; que la votamos todos. paz, no podíamos entendernos. quien ha querido anticipar esos cargos, es que debiendo tener El Sr» C A B A LLER O : Habiéndose de hacer tres votacio­ V o y á hacerme cargo de lo que ha dicho el Sr. Olózaga,…</t>
  </si>
  <si>
    <t>de, Mole</t>
  </si>
  <si>
    <t>Mole de</t>
  </si>
  <si>
    <t>…o de Atenas para represen­ de la estrechez de los preceptos: al contrario, los mismos pre­ tar fielmente el hombre tal corno era conocido en el siglo de ceptos , la misma dificultad de observarlos, les servirían de es­ El conde Mole debe dejar h oy la habitación de la secretaria Arístides y de Pericles. tímulo y de alas para volar. N in gun o de los dramas de que de Negocios extrangeros para trasladarse á su casa en la placa de El hombre que conocían los griegos era puramente fisioló­ hablamos encierra tantos incidentes…</t>
  </si>
  <si>
    <t>de, Montes</t>
  </si>
  <si>
    <t>Montes de</t>
  </si>
  <si>
    <t>…fuesen las personas que compongan el Gobierno. Este ha los individuos del Gabinete tienen opiniones conocidas, porque uno de los principales campeones de los que llamaban retró­ sido testigo de la amenaza que ha indicado el Sr. Montes de han votado aqui y han dado siempre pruebas de no querer la grados á los que pensaban con alguna moderación, se le vio G c a , y puede conocer el resultado que tendrá esta terrible vo­ anarquía, quieren el orden y están prontos á sostenerle. Qué al mes y medio de las últimas ocurrencias d…</t>
  </si>
  <si>
    <t>de, Morillo</t>
  </si>
  <si>
    <t>Morillo de</t>
  </si>
  <si>
    <t>…de su buena correspon­ c u ja buena voluntad de la mayoría de la nación; y pen­ en gefe de la escuadra y segundo general del ejército que dencia. sar solo en que hay una patria que salvar, y qne a él le bajo el mando del general Morillo debía formar en unión incumbe muy principalmente el deber de salvarla. con ella la expedición del Rio de la Plata. Arregló en Cá­ Y ¿ cuál deberá ser la conducta de los pueblos ? diz la escuadra y convoy, embarcó la tropa y dió la vela ¿Cuál la de la prensa? La Gaceta del Gobierno no tiene…</t>
  </si>
  <si>
    <t>de, Moscoso</t>
  </si>
  <si>
    <t>Moscoso de</t>
  </si>
  <si>
    <t>…es de una provincia que se celebrado entre el duque de la Victoria y el general de las fuer­ Restituida al Senado la d ip u ta c ió n , dijo bailase en igual caso, y entonces ¿ q u é haremos con las elec- zas enemigas ; y el Sr. Moscoso de A ltam ira , Presidente del El Sr. P P i E S I D E N T E : La comisión encargada de c u m p li­ :iones y a aprobadas? He dicho que nada encuentro que opo­ Senado, que lo era también de la d ip u ta ció n , tuvo el honor mentar á S. M. por tan fausto motivo como el de que ha dado ner á l…</t>
  </si>
  <si>
    <t>de, Mou</t>
  </si>
  <si>
    <t>Mou de</t>
  </si>
  <si>
    <t>…de la Goberna­ El Sr. M EN D IZABAL dijo que si bien convenia con a l­ no c re ía , pues el descrédito en que han caído desgraciadam en­ ción y de la comisión. Otras son, señores, las bases del crédito gunas de las ideas del Sr. Mou de que no era un pensamiento te los fondos españoles dependía de causas mucho mas hondas, de las naciones. La historia moderna presenta aí observador, al nuevo el que se sometía á la deliberación del Congreso, 110 y de consideraciones de un orden mas elevado. hombre reflexivo, cuál es el modo de…</t>
  </si>
  <si>
    <t>de, Módena. Solo</t>
  </si>
  <si>
    <t>Módena. Solo de</t>
  </si>
  <si>
    <t>…aguas lemines, á 200 rs. Viena visase su pasaporte , ha venido á dicha ciudad con ó á caer en manos de nuestros soldados , siendo muy pocos los Otra de una fanega en el camino de San Fernando, en 160 uno expedido por el duque de Módena. Solo descansará dos dias que lograron salvarse. reales. en Roma, y volverá á salir inmediatamente para Ñapóles. {Id.) También acabamos de conseguir señaladas ventajas en la Otra de cuatro fanegas en el sitio que dicen el Pozuelo, que orilla derecha del Miño, continuando en la izquierda la a…</t>
  </si>
  <si>
    <t>de, Nicolás</t>
  </si>
  <si>
    <t>Nicolás de</t>
  </si>
  <si>
    <t>…ria de los h ab ita nt es, y el enojo y falta de a r m o n í a ga rebelión, que solo aguardó á que espirase el M o n a rc a para juez de primera instancia de esta M. II. villa , refrendada del escribano del odmero de ia misma D. Nicolás de O r l iz , se ha que reina entre eilos y los huéspedes emigrados alli de toda alzar la sangrienta bandera en que se alistó aquella parte de la E sp a ñ a ; la confusión en que se h a l l a n ; miras y esperanzas de nación mas co rr om p id a, mas inmoral y mas b i o ó c n t a . vueho á se…</t>
  </si>
  <si>
    <t>de, Nicolás Ampboso</t>
  </si>
  <si>
    <t>Nicolás Ampboso de</t>
  </si>
  <si>
    <t>…um­ Aqui empieza una nueva existencia, la existencia del hom ­ Rio........................ 8.. 4 bradas, Sobre todo los tiradores del 6.° ligero á las órdenes de bre m o ral, ilustrado por el escarm iento y la razón. Des­ Id. D. Nicolás Ampboso del M anzano, teniente de su capitán Rico. La batería rodada subió á mucha altura, y sus confía de los bienes de la vida qñe le buscan de nuevo: cura de Jesús María..................... 8.. 4 disparos hicieron gran servicio á nuestras masas, que con bayo­ gózalos, pero con tim idez…</t>
  </si>
  <si>
    <t>de, Nicolás Fernandez</t>
  </si>
  <si>
    <t>Nicolás Fernandez de</t>
  </si>
  <si>
    <t>…obre enaje­ nación en publica subasta de diferentes fincas de su pertenencia, Carta histórica sobre el origen y progreso de las fiestas de sitas en su termino y jurisdicción de las villas de Yeles y Es- toros en España , por D. Nicolás Fernandez de M o r a tin : un TEATROS. quivias, para satisfacer con su importe los créditos contra él r e ­ cuaderno en 8 .° rústica, á 4 rs. PRIN C IPE . Hoy no hay función. clamados por el Excmo. Sr. marques de Mortara , en cüyas ac­ ciones ha entrado D. Francisco Gil de Vetasco; bien ente…</t>
  </si>
  <si>
    <t>…en esta ca­ dos , y por cualesquier causa , razón ó motivo se hallen debien­ hombres reservarse la gloria de tas armas, dejando á las mugeres p ital, refrendada del escribano del número D. M iguel M aría do alguna cantidad al D. Nicolás Fernandez de R iv e ra, para las ocupaciones sedentarias, el desempeño de secretarías, y el Sierra, se cita , llama y emplaza á todas y cualesquier personas que se presenten dentro del mismo término con el fin de satis­ encargo de oficinas propias de la molicie y de la amabilidad, que se c…</t>
  </si>
  <si>
    <t>de, O-Donnell</t>
  </si>
  <si>
    <t>O-Donnell de</t>
  </si>
  <si>
    <t>…esentado podrán merecer á S. S. toda la fe de que ble de infantería y caballería , con el doble objeto sin duda de son capaces ; pero si la comisión hubiera de obrar en particu­ NOTICIAS NACIONALES. distraer la atención del Sr. O-Donnell de sus operaciones, y lar y con arreglo á su conciencia privada; si hubiera de fallar de saquear y talar el pais. Este ocupaba á Chiva con algunos en este tribunal secreto é irrecusable que todos tenemos dentro Barcelona 26 de Agosto. batallones. de « “ estro corazón, tal vez sus opiniou…</t>
  </si>
  <si>
    <t>de, Odonell</t>
  </si>
  <si>
    <t>Odonell de</t>
  </si>
  <si>
    <t>…én antes de ayer sobre 53 caballe­ Totales.. . 52,619 418,570 261,742 11 8 ~7 maliciosamente por otros, que no estaba calcado el proyecto del rías cargadas conduciendo iguales provisiones con la mistna d i­ rección. El general Odonell debió llegar ayer al cuartel geoe- Gobierno sobre la base de la Constitución seria un grave car­ O bservaciones . go contra el Gobierno; mas creo que he demostrado que nuoca, rai del duque de la Victoria. [Eco d e A ragón .) pensó este prescindir del compromiso de presentar á las Cortes…</t>
  </si>
  <si>
    <t>de, Olózaga</t>
  </si>
  <si>
    <t>Olózaga de</t>
  </si>
  <si>
    <t>…s noble; el ministerio tuvo que tomar una po-r pando de la general em oción, y con voz profundamente con­ el Sr. Olózaga á ningún individuo del Gabinete. Le hago áS. S. sicion la mas desagradable. movida:) este justicia. Ei Sr. Olózaga debe saber que el Ministro de la Guerra et El Sr. PRESIDENTE: Señores, este dia premia en mí Después de esto, señores, anunciaré al Congreso, que , i</t>
  </si>
  <si>
    <t>…rle con los pueblos asi, y no hacerles venir todos los usas á Creo que no por do menoscabar ni puedo abjurar nunca la los colegios electorales, pues antes es menester que entiendan Constitución qoe lie jurado. lia hablado eí Sr. Olózaga de no Cdcere » 26 de Octubre. El cabecilla Felipe acosado por la por que se usa de esa medida. sé qué inll-jenciíi.s: yo aseguro á S. S. que sobre mí no obra activa persecución que se le hace por las columnas de la Jara, Continúa diciendo : ning una, y que se estrellaría toda la que se rne…</t>
  </si>
  <si>
    <t>de, ON Simón</t>
  </si>
  <si>
    <t>ON Simón de</t>
  </si>
  <si>
    <t>…ipe, núm. 15 , con las óperas la lista de los nombramientos. PROVIDENCIAS JUDICIALES. Beiisario , Gemma di B e r g i , Lucrecia Borgia , M arino Faliero y otras nuevas. Diputado electo por aclamación.:zEl Excmo. Sr. duque de D ON Simón de O ñ a te , alcalde constitucional de la v illa de la Victoria. BANDO GAMBOINO. Labastida , provincia de A lav a &amp; c. A todos los que las presentes vieren sabed: Que en este mi tribunal penden autos formados de oficio sobre averiguación TEATROS. Diputados. PRIN CIPE. A las siete de…</t>
  </si>
  <si>
    <t>de, Oñate. D. Gaspar Remisa. Acciones</t>
  </si>
  <si>
    <t>Oñate. D. Gaspar Remisa. Acciones de</t>
  </si>
  <si>
    <t>…ara. «D . Domingo Fernandez de M ela. »D . Antonio Solís. M álaga. Consolidados 95^ á 94* Badajoz. Bonos del Echiquier de 65 á 65. « D . José Alcántara Navarro. Bonos de Indias de 61 á 65. «M arques de M ontealegre, conde de Oñate. D. Gaspar Remisa. Acciones del banco 2 6 2 1. « D . Manuel José Q uintana. «D . Antonio Rernon Zarco del Valle. Fondo activo español 16£ con cupones. «D . Alvaro Gómez Becerra. Cinco por 100 portugués 29. «Conde del Montijo. M urcia. Idem 5 por 100 i9 . B aleares (Islas). « D . Antonio Pe…</t>
  </si>
  <si>
    <t>de, Palacio</t>
  </si>
  <si>
    <t>Palacio de</t>
  </si>
  <si>
    <t>…so A p a ric io , procurador sindico le renueva las expresiones de. su obsequio y estim ación. gen de este triste suceso, no encuentro térm inos bastante fuer* del ayun tam ien to constitucional de esta m uy heroica v illa ; Don Palacio del R io -Jan eiro 22 efe A b ril de l859.= G ándido B au ­ tes para expresar la in dignació n y justa reprobación coa que José Caño Sainz , del comercio de esta corte , y D. José H ig i- tista de O liveira. semejante ofensa debe m irarse. nio A r c h e , contador general de la caja nacion…</t>
  </si>
  <si>
    <t>de, Palatino</t>
  </si>
  <si>
    <t>Palatino de</t>
  </si>
  <si>
    <t>Escriben de P r c s b u r » qoe S. A. S. el duque Palatino de a í r que ninguna oferta se le ha hecho; á lo ícenos no ha lie- de cosas políticas p asad as, sino tener siempre presente el bien- I l a n g r , . a su regreso de Y .ena ha traído á la Dieta la seguri­ dad satisfactoria de que se adoptará la lengua h ún gara Se sa gado hasta ahora d n…</t>
  </si>
  <si>
    <t>de, Palencia</t>
  </si>
  <si>
    <t>Palencia de</t>
  </si>
  <si>
    <t>…os 10: total 527. Mr. Golburn ha tenido 299; vacantes y rebeldes en R am ales y G u a rd a m in o , en d o n d e , como en cipaElquemismo capitán general con la propia fecha del 5 parti­ votos anulados noticioso el comandante de Palencia de que el cabeci­ 10: total 509. Liberales ausentes 12: id torys ojros insignes hechos de arm as an teriores, ha acreditado lla José María Pascual debia pernoctar el dia 2 con algunos 8. Las diputaciones vacantes son las de C j Íow y L ulow : to­ de la m anera mas brillante su lealtad, inte…</t>
  </si>
  <si>
    <t>de, Patriaren</t>
  </si>
  <si>
    <t>Patriaren de</t>
  </si>
  <si>
    <t>…y no produce mas que sonidos discordantes, ó enm u­ en Castellote, y aun que se habia rendido su guarnición; pero aS. las diez de la mañana se celebrará en la iglesia parroquial de Luis bajo la presidencia del Excmo. é limo. Sr. Patriaren dece enteramente. esta noticia necesita confirmación. Mr. M a ge odie hace mención de una persona que, por te­ Llangostera con cinco batallones y 500 caballos ha penetra­ de las Indias. ner u/ia pequeña abertura en la tráquea, se veia precisada á do en el Común de Huesa , pero en el mom…</t>
  </si>
  <si>
    <t>de, Patricio Joaquin</t>
  </si>
  <si>
    <t>Patricio Joaquin de</t>
  </si>
  <si>
    <t>…­ presentará el defensor judicial nombrado á los ausentes é ig ­ motes a gu dos; de los cuentos y de su u s o ; utilidades fat co— j pe de estrategia,” y concluye , "desgraciada España:” denun­ ciados por el promotor fiscal D. Patricio Joaquin de A v ila , en norados, y lo que en ella se resolviese les parará el perjuicio nocim iento de tas lenguas m uertas; cóm o se adquiere el cooOr el propio día 1 2 , la ley ab uelve á D . Pedro Saiz Castellanos que haya lugar. cim iento de los primores y delicadezas de nuestra lengua…</t>
  </si>
  <si>
    <t>de, Patricio Joaquín</t>
  </si>
  <si>
    <t>Patricio Joaquín de</t>
  </si>
  <si>
    <t>…m. 32 del periódico La Lega - Otra en los valles de la T o rre , á cuenta del C a stillejo, que correspondientes. lid(td , del jueves 12 del corriente, denunciados por el promo­ mide dos y media fan eg as, á 160 rs. tor fiscal D. Patricio Joaquín de A vila , se celebró el juicio p ú ­ Y otra en la vereda del B u trón , que mide una fa n eg a , en blico, que presidió el Sr. D. Francisco A m orósy López, juez de 200 rs. primeia instancia en esta corte; y precedido el juramento pre­ P v IC C IO N A R IO de medicina y de cirugía…</t>
  </si>
  <si>
    <t>…s en el archivo del ministerio de ^ jurado de calificación del artículo denunciado por el pro­ Se pasó al orden del dia acerca de la discusión de los artícu­ mi cargo, y porque han debido adquirirlos los juzgados motor fiscal D. Patricio Joaquín de A v ila del periódico titu la ­ los adicionales á la ley de comunicaciones entre los cuerpos co - de rentas y sus dependientes, pues con tal objeto en 8 de do el N osotros , número 289 del lunes 7 de Enero de este año legisladorcs y el Gobierno. de 1839, que empieza " E l 5 de E…</t>
  </si>
  <si>
    <t>de, Pedro</t>
  </si>
  <si>
    <t>Pedro de</t>
  </si>
  <si>
    <t>…la pa­ Fue solo fugaz anhelo ira de un hombre. El sentimiento no nos da lugar al juicio, y sión de la venganza debia ser superior en él. Llega D. Bermu- Que no llegó al corazón ? no sabemos darnos razón de tantas bellezas. D. Pedro deja en­ do de Carranza con la agitación y el mas marcado pesar sobre ¿ N o sabéis que en su despecho, trever á Doña Leonor un rayo de esperanza: Doña Leonor se su fre n te, y dice á D. Enrique que tome su casco y le siga ; que La turba de sus parciales humilla hasta la bajeza ; D. Pedro l…</t>
  </si>
  <si>
    <t>…cree que á no sufrir Ibrahim algunos reveses, do el verdadero punto de separación que distin gue el caráctei despachado un mandato de traslación contra Mr. O ’Brien e 110 habrá una insurrección formal en el país. {Debáis.) de D. Pedro de otros caracteres de fria inmoralidad , que no t:ual se pondrá inmediatamente en ejecución. son por desgracia bastante conocidos eu la dram ática del s ig l . f ^ n cara^ “ero ha sufrido un interrogatorio por haber ma« actual. D ic e : b estado publicamente, según se decia , que no haria…</t>
  </si>
  <si>
    <t>…dose pendiente en este juzgado y escribanía nume­ Se halla á 3 rs. tanto en rama como en rústica en el raria de Clemente Gómez Pavón expediente de concur­ despacho de dicha Imprenta. so de acreedores á los bienes relictos de D. Pedro de U rm ela, DIRECCION GENERAL DE LOTERIAS NACIONALES. Comprende varios decretos, órdenes y circulares de vecino que fue de esta v illa , y del lugar de C arale gas, de este partido , donde falleció abintestato, he acordado por auto del Gobierno y de las direcciones generales. Noticia d e…</t>
  </si>
  <si>
    <t>…í s , 4 id. id. ” P ° r orden de Carlos v asistieron á esta experiencia D. En­ hndro para causar la u n a , y retirar el fuego para efectuar Id .;E sp a ñ a , según el p un to , 12 á 15 id. id. rique de T oledo, el gobernador D. Pedro de C ardon a, el teso­ lagiPtüíb y oUs&amp;oxshdiiJwh -Áj J ’ ? rero R ávago , el v i c e c a ^ | ^ | 'M'# i l ¿ l ? d e n t e de la C ataluña. . lMientvav ¡qu¡® M r. Ta^píiií procuraba producir la contrac—' Eu la relación que hicieron al Emperador aprobaron todos ge- j ciftiiiídál) vipor&gt;d:eba)o…</t>
  </si>
  <si>
    <t>…nales tinuamente están prestando á la causa nacional el citado co­ y objetos de consumo de primera necesidad en la provin­ En la condición 5.a de la circular emanada del ministerio mandante D. Eduardo Posse, el de la Luchana D. Pedro del cia ó pueblos donde hayan de ejercer sus fuucioues dichos de la Gobernación, é inserta en la Gaceta del dia 8 , donde di­ Castillo, tercer piloto D. Francisco Muñoz y demas individuos ce “cuando se celebren juntas generales” , debe decir “cuando comisionados. de dicho apostadero, á fin…</t>
  </si>
  <si>
    <t>…recursos necesarios, torna - rarrieta „ D. Francisco Iru eg as, D . José Segundo Izquierdo, V» E . m u ch o s añ o s. P a la c io 5 de F e b r e r o d e 1 8 3 9 - = •án por sí mismos posesión del Lim burgo y del Luxem burgo. D. Pedro del P o rtillo , D . Pablo C e lis, D . F ran ciico López E v a r is to P e re z d e C a s t r o .= S r . D . M au ricio C a rlo s d e O n ís. ly e r ha habido durante todo el dia 1111 tránsito muy activo N uñez; resultando por lo respectivo a| artículo del folletin de­ le correos entre Cobl…</t>
  </si>
  <si>
    <t>…cedió al sorteo, y resultaron agraciados con el p ri­ taja ha sida trasportada á tierra, y los marineros turcos, acos­ ta. Si hemos de creer á la correspondencia de la G aceta d e mer premio D, Andrés Martínez , con el segundo D. Pedro del tumbrados á recibir su paga cada mes, preguntan con ansie­ A iigsburgo , el ejército turco es presa de la indisciplina y la C a r p ió , y con el tercero D. M iguel Paradas. dad si van á someterlos á todas las exigencias de la disciplina deserciou de sus filas. La Puerta, para im pedir que…</t>
  </si>
  <si>
    <t>de, Pedro de Descuento</t>
  </si>
  <si>
    <t>Pedro de Descuento de</t>
  </si>
  <si>
    <t>…ragoza, £ id. CRUZ. A las ocho y media de la noche. Se volverá bu autor; duda que sea de Cárlos, y averigua que su sos­ á pooer en escena la aplaudida ópera en dos actos , del maestro pecha es verdadera por Romero, criado de D. Pedro de Descuento de letras , á 6 por 100 al año* Bellini, titulada Castilla, que fugitivo de España servia de secretario al po­ NORMA, tentado estúpida El español se presenta i la duquesa. Es admirable la Ayuntamiento constitucional de Alcalá de Guadaira. en la que desempeñará la parte de Adalg…</t>
  </si>
  <si>
    <t>de, Pedro Fernandez</t>
  </si>
  <si>
    <t>Pedro Fernandez de</t>
  </si>
  <si>
    <t>…de las m ejores estampas que se hallan de ven ta en Restaba por cobrar del mismo a ñ o . . . . . . . . . 1 014550 la c a lc o g r a fía d e la Im prenta nacional. Número de tripulaciones en teras ahogadas en cada año . 18. D. Pedro Fernandez de V elasco, J u a n Sebastian dei 1 81 6 ........................ 15 1 85 5 ......................... 58 Cano, Fr. Melchor Cano , el P. Alfonso Salm eró n, D. Bernar­ 1 8 1 7 ........................ 19 1 8 5 4 ............... 24 BOLETIN DE COM ERCIO do de V alb u e n a, D. Felipe…</t>
  </si>
  <si>
    <t>de, Pedro Rafael</t>
  </si>
  <si>
    <t>Pedro Rafael de</t>
  </si>
  <si>
    <t>…N T A , divertida comedia en un acto. 2 Aproximaciones de 20 pesos fuertes - nombrando intendente de la provincia de C iudad-R eal N o ta . Para esta función no se expende billete alguno. para el anterior y posterior al de á D. Pedro Rafael del Bosque. (Id.) 8 3 ..................................... 40 — ■ confiriendo la intendencia de la provincia de Teruel á D. Baltasar Pallete y O ch o a; la de Lérida , á D. M iguel 602 55000 E zquiaga; y la de Burgos, á D . M anuel Nuñez. (Id.)</t>
  </si>
  <si>
    <t>de, Pedro Raíael</t>
  </si>
  <si>
    <t>Pedro Raíael de</t>
  </si>
  <si>
    <t>…gos el intendente electo D. Manuel Nuñez, al secreta­ p a rtic u la rm e n te el mérito contraido por el sargento de la com­ Dios g u ard e la im p o rtan te vid a de Y . M . d ila ta d o s años. rio con ejercicio de decretos D. Pedro Raíael del Bosque, pañía de g u ía s Bernabé A g u i r r e y los in d iv id u o s de ella T i ­ C iu d a d - R e a l 9 de Setiem bre de l859.= iSeñ ora.= :A L. R . P. de oficial del ministerio de vuestro cargo. Tendréislo enten­ moteo Carrasco y T o rib io Zuazo. V. M . —A ngel Enriquez, pre…</t>
  </si>
  <si>
    <t>de, Pedro Sabater</t>
  </si>
  <si>
    <t>Pedro Sabater de</t>
  </si>
  <si>
    <t>…e creemos sí que la superioridad de efectos se debe principalmen­ al teatro de V ega y de Guillen de Castro. El drama heroico de :n las actuales circunstancias. te á que el drama del Sr. Sabater es en el fondo la historia de D. Pedro Sabater debe ser comprendido en tan bello catálogo, Castilla del siglo xiv ; á que nos recuerda hechos y costumbres y marca ademas un género nuevo, una ruta y camino que se­ LA ESPERANZA, gloriosas de nuestra p atria, y sobre todo á que D. Enrique el g u i r , donde los artistas pueden reco…</t>
  </si>
  <si>
    <t>de, Pedro Yañez</t>
  </si>
  <si>
    <t>Pedro Yañez de</t>
  </si>
  <si>
    <t>…eñalados con el nú* I se c i t a y emplaza á todos lós que se creao eon derecho á Tos merq i de 1.820 , en Ips^ cuales con arreglo á lo; prevenido en I N O T IC IA S E X T R A N G E R A S bienes quedados por fallecimiento de D. Pedro Yañez de»Santa auto de 8 del cor ríeme , he formado y firmado el edicto del te- J por siguiente; 1 A M E R IC A . /Emíx ^ yecino qúe fue dé ésta córte ,í para que se presénteh en dicho; juzgado y escribanía á deducir las acciones que les cok»* ; En virtud de providencia dictada ante mí por…</t>
  </si>
  <si>
    <t>de, Per</t>
  </si>
  <si>
    <t>Per de</t>
  </si>
  <si>
    <t>…otro de la da del T em ple, y como unos Y) ó 4 !) hicieron alto delante de cogido una bayoneta que llevaba oculta debajo de la blusa, y reu n ión , su ausencia no duró un cuarto de hora. Lebarzic ale­ la tienda prendería del Sr. Per derea 11 , en la que entraron solo ademas habia arrojado un florete sin zapatilla , que distaba po­ ga haber entrado en su casa, donde estuvo durmiendo cerca tres. A lli encontraron hojas de sables y espadas, como también cos pasos de él. Este individuo se llama Pierné. de dos horas después qu…</t>
  </si>
  <si>
    <t>de, Perez</t>
  </si>
  <si>
    <t>Perez de</t>
  </si>
  <si>
    <t>El Sr. Q U I J A N A , defen dien do e! a rtícu lo , trató de m ani­ T a m p oco lo fue la del Sr. Perez de R iv a s , en que pedia que festar que no habia m otivo para in clu ir en una censura general mienda del Sr. Sánchez de la F u ente, y quedó aprobada , com o al hnal del artículo se pusiera lo siguiente: "se exceptúan de igualm ente el artículo. ! y poner en rid ícu lo á todas las ju nta…</t>
  </si>
  <si>
    <t>…no respeta al Gobierno ni al Congreso. solvió afir m ativam en te. m anifestar si según las noticias y datos que tiene el Gobierno, A petición del Sr. Gómez Acebo se preguntó al Congreso Se dió cuenta de un a proposición del Sr. Perez de R i v a s y son exactos ó no los hechos que he citado. si se pasaria á otro asu n to , y resolvió afirm ativam ente. otros Sres. D ip u ta d o s , re lativ a á que el Gobierno remita el ex­ El Sr. M in is tro de H A C I E N D A : Señ o res, de los cuatro El Sr. P R E S ID E N T E : M añ an…</t>
  </si>
  <si>
    <t>…nos honrado. ¿Qué escándalo mayor que el que presentan las de! Sr. Iñigo, y habiendo probado ya que no tienen fuerza, «upíente ; mi opinión es que se admitan esos Diputados ; por­ estashaelecciones? en la paite respectiva al Sr. Perez de R i- 110 la tienen por consiguiente las del Sr. conde. ¿H a presen­ que, señores, ¿ qué razón hay para que estos Diputados, cuyas vas, no. S. S. es no hombre de mucho ingenio parlamentario para tado S. S, documentos? Seamos francos , no formemos juicios actas aprueba la comisión, no sean ad…</t>
  </si>
  <si>
    <t>DE, PEREZ</t>
  </si>
  <si>
    <t>PEREZ DE</t>
  </si>
  <si>
    <t>…las tra opiuion debe ser desoída ; pero serán nuestros en breve. patria en aquella época &amp;c. desgracias, en los peligros y en las glorias de los dignos oficiales En fin, según nuestro modo de ver, la guerra en estas pro­ El Sr. PEREZ DE R iV A S contestó que la comisión habia que fueron de la misma M ilicia , puede creerse que hago im ­ vincias, cuyos estragos lloran todavía los pueblos, se termina examinado esta resolución muy detenidamente, pues no tenia pugnación al dictámen por hostilizar á compañeros que tanto pronto;…</t>
  </si>
  <si>
    <t>…ayormente cuando allá se les debe cerca de un la de la guerra , es la del trono, es la de la libertad nacional. tisface con puntualidad las pensiones de las religiosas habién­ millón de reales por suministras liquidados. El Sr. PEREZ DE R I V A S se limitó á manifestar que era dose quedado con sus posesiones cuando de 15® que habia, como L a coinision cree que esta solicitud debe pasar al Sr. M i ­ lo mas peregrino venir á descender en esta cuestión al campo á he dicho , solo 4® tenían esas propiedades. nistro de H acien…</t>
  </si>
  <si>
    <t>…á los capitanes generalas para sobre la exposición del Sr. Ramírez de A rellano, y el voto par­ El Sr. M E N D IZ A B A L : Quisiera ante todo que los seño­ que rem uevan cuantos obstáculos se presenten, é im po­ ticular del Sr. Perez de R ivas, proponiendo que debia adm itir­ res individuos de la comisión tuvieran la bondad de explicar­ niendo Ja mas estrecha responsabilidad personal á toda se á jurar y tomar asiento á dicho Sr. Diputado. Ambos dicta­ me qué entienden por esta preferencia que se da en el artículo autoridad…</t>
  </si>
  <si>
    <t>…d e S etiem b re, der habia hecho el Sr. R o d a, deduciendo la validez de dichas efecto de modestia ; pero que vista la Observación del Sr. Be­ elecciones. cerra , sustituía ea lugar de las palabras "¿&gt;e inclina á opinar, El Sr. PEREZ DE R I V A S expuso que el gefe político no Ja de opina.” Abierta á las doce y media, se leyó y fue aprobada el acta habia obrado con im p arcialid ad , y que cómo era que su oficio El Sr, marques de F A LC E S sostiene el dictamen fundado de la anterior. del 16 de J u lio , en que recomendab…</t>
  </si>
  <si>
    <t>…la su l u g a r a! d a r su d ic t á m e n : obrar de otro modo seria ro m p er pinta donde h a y a de ejecutarse la elección. comisión , y fue desaprobado. la C onstitución y abrogarse atribuciones que esta no le d a . El Sr. Perez de R iv a s ha c itad o el art. 2 2 de la l e y ; pero Se p r o c e d iú ú la discusión de los d ictám en es de la comisión Habiendo renunciado el Sr. Sánchez de la Fuen te la p a la b r a , el Congreso h a b rá visto que a llí se h abla ú n ic a m e n te del n om ­ de Peticiones. el Sr. cond…</t>
  </si>
  <si>
    <t>…B A R R I O A Y U S O expuso que le h a b ia m ovido á Unos d ijero n que se debian e x c lu ir distrito s enteros porque Se suspendió por u n momento la discusión y entró á j u r a r pedir la palabra el haber oido decir al Sr. Perez de R iv a s qu e las actas las h a b ía n re m itid o firm adas por un solo com isionado. u n Sr. D ip u tad o . El otro d ia a un Sr. D ip u t a d o que se h a lla presente, y que ha después de lo anteriorm ente resuelto por el Congreso no q u ed a ­ El Sr. C O R T I N A : L a comisión al…</t>
  </si>
  <si>
    <t>…ntre riente , núm . 1552 en el extracto de ¿a sesión.) hice algunas instancias, fui á Sevilla, roe presenté al juez y le otras á la sociedad económica de Badajoz, que era La corpora­ Igualmente se leyó el voto particular del Sr. Perez de R i­ dije que allí me tenia á su disposición por si tenia que dar al­ ción mas interesada en el fomento de aquella, y sin embargo vas , que dice asi: guna declaración , y se me contestó que por entonces nada habia se conformó con lo que ahora se proponía. El que suscribe individuo de la c…</t>
  </si>
  <si>
    <t>…ladores. se ó no al br. Arellano , y si ha de estar privada la provincia esta pendiente de la discusión de atribuciones. El Sr. M U R O dijo que no podia conformarse con el voto de Córdoba de un Representante. particular del Sr. Perez de R iv as, puesto que sus sentimientos El Sr. P R E S ID E N T E : Yo recordaré los antecedentes por­ El Sr. T E M P R A D O : El Sr. Guillen y Gras al usar de la nacían de los mismos acuerdos del Congreso , tomados con todo palabra en la discusión del voto, ha dicho el embarazo en que que t…</t>
  </si>
  <si>
    <t>de, PERFECTO</t>
  </si>
  <si>
    <t>PERFECTO de</t>
  </si>
  <si>
    <t>…rs. vti. err la* bimiento de que pasado el referido térm ino sin mas citarles ni librerías que á continuación se exprésao. Los Sres. libreros p u e­ em plazarles, declararé por bien formado el co ncurso , y los a u ­ EL ESCRIBANO PERFECTO den desde luego a b rir su scrip ció n , y hacer los pedidos que les tos concernientes á él se sustanciara'n por su rebeldía en los es­ convengan , pues y a se h alla concluida la im presión , y se les trados de tni au d ie n c ia, les parará todo p erjuicio como si se rem itirá el número d…</t>
  </si>
  <si>
    <t>de, Periquito</t>
  </si>
  <si>
    <t>Periquito de</t>
  </si>
  <si>
    <t>…ersos: dante y culta, imitada visiblemente de la Doña Beatriz de Calderón en No hay burlas con el amor. También es pe­ Véndese á 6 rs. en la librería de Sojo, calle de Carretas, Pidiendo con voce 9 dante, y ademas poeta , el D. Periquito de A lia va ese d is­ donde se hallan las siguientes obras del mismo autor: de liras y trompas, parate. El tio del Domine Lucas es un abogado que ape­ Libro de los Niños, tercera edición. en vez de palmadas nas sabe hablar otro idioma que el de la curia, y enamora Obras literarias, cinco…</t>
  </si>
  <si>
    <t>de, Peza. Semáforo</t>
  </si>
  <si>
    <t>Peza. Semáforo de</t>
  </si>
  <si>
    <t>…ación, que felizmente no ta l, 56,562 niños pertenecen á familias que reciben socorros de ha llegado á verificarse por el celo de la autoridad local. En el las cajas de beneficencia, y 47,500 á familias menesterosas, Juan de D. Peza. Semáforo del 3 se lee lo que sigue: aunque 110 tenga» parte en aquellos socorros. La razón del n ú ­ Ministerio de Guerra y M »rina.=A nombre de la nscion y llan a algún tiempo que la policía de esta ciudad estaba en mero de alumnos que frecuentan estas escuelas con el de la po­ de* Excmo.…</t>
  </si>
  <si>
    <t>de, Piesidente</t>
  </si>
  <si>
    <t>Piesidente de</t>
  </si>
  <si>
    <t>…os montes de Toledo ¿ n o dao marques de C a s a - I r u jo , solicitando ser admitido en el Con­ Se dio cuenta y el Congreso quedó enterado de un oficio del un gran producto el carbón y las maderas de construcción.' greso. Sr. Piesidente del Consejo de M in istro s, en que trasladaba do« Dice S. S. que el modo de estimular es hacer ver una ganancia Se leyeron , y el Congreso declaró haber oido con agrado, decretos de S. M. admitiendo las renuncias que hicieron de sus res­ segura : el modo de estimular es abrir una puerta…</t>
  </si>
  <si>
    <t>de, Pihet</t>
  </si>
  <si>
    <t>Pihet de</t>
  </si>
  <si>
    <t>…y presentarle en la actitud nistería , y por cuyas opiniones republicanas habia determina­ Correo fr a n c é s los discursos pronunciados en R ú an pe r los que exigían les circunstancias. Sin embargo, no podia menos de do el Sr. Pihet despedirle aun antes de los acontecimientos de Diputados, y le d ijo : "A tien d e cuán bueno es esto.” Que otras extrañar la uniformidad con que se creia en Francia que la los dias 12 y 15 de M ayo último. veces ledecia Philippet que las Cámaras nada ad elan tab an ; que venida del contraalm…</t>
  </si>
  <si>
    <t>de, Posen</t>
  </si>
  <si>
    <t>Posen de</t>
  </si>
  <si>
    <t>…tegración del arzobispo de Colonia. L a in v ita c ió n d i r i ­ Gobierno político de la p ro v in c ia de S e v illa, Excmo. se- g u a r d i l la s ó fra n ja s rodean la pieza por todos c uatro lados en g id a al arzobispo de Posen de trasladarse á Berlín se ha c on si­ u o r : A com paño á V . E. copia de la relación d e tallada de los su exten sió n, la una en forma de g r e c a , otra form ando d i e n ­ derado por el Gobierno pontifical corno un medio c o e r c i t i v o , objetos extraídos de las excavaciones de…</t>
  </si>
  <si>
    <t>de, Pottinger</t>
  </si>
  <si>
    <t>Pottinger de</t>
  </si>
  <si>
    <t>…n la los cereales probaban que la ley no habia producido el resul­ dice también que el Shah de Persia ha expulsado al coronel Arabia. Curschid bajá se ha apoderado de Derraich , capital tado que se esperaba. Stodart y al teniente Pottinger de H e r a t, y que ha hecho de­ del Nedschid : el Soberano y toda su f a m ilia , que cayeron en po­ Lord Radnor ha hablado en la misma sesión ; ha pretendi­ capitar á aquellos de sus Ministros que favorecían la influen­ der del vencedor, han sido enviados al Cairo. Curschid se ha­ do qu…</t>
  </si>
  <si>
    <t>de, Presi</t>
  </si>
  <si>
    <t>Presi de</t>
  </si>
  <si>
    <t>…o el obispo q u e tanto se h a n d i s t i n g u i d o en ella. En supr ema orden de l . ° del corriente que se me comun i c ó de L e ó n , D. J u a n E c h e v a r r í a , L a m a s , Pa rdo y otros, de i n ­ por el Excmo. Sr. Presi dente , general eo gefe del ejército de ternarse en lo i nterior del pa í s ; pero tengo motivos para creer ooeraciones, D. Anast asi o B u s t a ma n t e , se sirve el Excmo. señor que esta noticia carece de f un da me nt o . El ejercito carlista se h a l l a en uoa si t uaci ón m u y crí t…</t>
  </si>
  <si>
    <t>de, Presidios</t>
  </si>
  <si>
    <t>Presidios de</t>
  </si>
  <si>
    <t>…sa y castellana. El fastidio , ó el conde B erfort, por D. Gerónimo de la Es­ Una empresa tan arriesgada no es fácil que á primera roa­ cosura. no salga completa: los inteligentes están bien convencidos de Dirección general de Presidios del reino A mal tiempo buena cara , por idem. esta imposibilidad, y por lo mismo solo atenderé á los conse­ El marido de dos mugeres. jos de aquellos para irla perfeccionando , desentendiéodome ab­ Existiendo en la caja del presidio de Málaga la cantidad El marido de la favorita , por D.…</t>
  </si>
  <si>
    <t>…orden am e­ Y DEL DESPACHO DE LA GOBERNACION DE L A PENINSULA. levante y provincias del mediodía me dice en 6 del actual lo sigu ien te: rican a de Isabel la C ató lica, m agistrado honorario de la a u ­ D irección general de Presidios del reino.—Excmo. Sr.: Cor­ P ara poner en ejecución sin pérdida de tiempo las órdenes diencia territo rial de Z arago za, y juez de prim era instan cia de respondiendo D. M anuel M ontesinos, comisionado para la or­ que V . S. se sirve comunicarme en oficio de 1.° del a c tu a l, m e‘ e…</t>
  </si>
  <si>
    <t>…úmero de señoras inteligentes que las Y D EL DESPACHO DE LA GOBERNACION DE LA PENINSULA. El honorable representante del Rey de Francia, animado revisaron, se sorprendieron al ver unas obras que no parecían Direjpcion general de Presidios del reino. = Exorno. S r .: El de la confianza que inspira su nación, se presentó ayer al Gran ser elaboradas por tan tiernas manos, sino por las mas diestras visitador de presidios D. Manuel Montesinos me participó des­ Señor, con quien estuvo conferenciando por espacio de cuatro y hábil…</t>
  </si>
  <si>
    <t>…o parapetados los enemigos en neral de Presidios. las arboledas y piedras de la costa, obstruían con sus fuegos Y DEL DESPACHO DE LA GUERRA este proyecto; no habiendo tenido por nuestra parte roas des­ ^ ^ Dirección general de Presidios del reino. = Excelen­ simoComandancia Sr.: El general de los ejércitos reunidos.=Excelenti­ calabro que algunos balazos en el casco de la lancha y tres re­ comandante general de la provincia de Alava con mos inutilizados por las mismas: fueron mandadas estas em­ tísimo Señor: En 9 del…</t>
  </si>
  <si>
    <t>de, Pronunciación</t>
  </si>
  <si>
    <t>Pronunciación de</t>
  </si>
  <si>
    <t>…varios dictámenes de comisiones. Traducción del francés al castellano. Un tomo en 8.° ma­ último, el sábado 12 del corriente de doce á una de la mañana. yor , 20 rs. Quien quisiere hacer postura , acudirá á la dirección general Pronunciación del francés. Un tomo en 8.° mayor, 8 rs. sita en ía calle del Duque de A lb a, casa del mismo nombre. MADRID 8 DE OCTUBRE. Literatura castellana , bajo el título de Traducción del es­ pañol. Un tomo en 8.° mayor , 20 rs. Gramática española-francesa. Un tomo en 8.° mayor , 16 REMITI…</t>
  </si>
  <si>
    <t>de, Príncipe</t>
  </si>
  <si>
    <t>Príncipe de</t>
  </si>
  <si>
    <t>…locar al Rey nuestro Señor en su legítimo degeneróles que presidió S. M . , y á que asistieron S. A. R. el trono; y como estas ideas están tan en armonía con J a s mias, Inscripciones en el g r a n libro á 5 por 1 0 0 , 00. Sr. Príncipe de A stu rias, el Serino. Sr. Infante D. Sebastian, trataré de hacérselo saber á Balmaseda cuanto antes me sea posi­ Títulos al portador del 5 por 1 0 0 , 20 once dieciseisavos y los Ministros de Guerra y H acienda, el ge fe del estado mayor ble; pero me temo no tener conducto por no saber…</t>
  </si>
  <si>
    <t>de, Puche</t>
  </si>
  <si>
    <t>Puche de</t>
  </si>
  <si>
    <t>…oco dije que era este un Después de in dicar el Sr. Acebo que si se llevaba adelante labra por la sin gu lar posición de haber sido M inistro y encar­ pensamiento nuevo; por consiguiente ni aun de esa manera in­ la idea del Sr. Puche de que las Cortes se conservasen como es­ gado del ramo de Hacienda por ocho meses, y paso á re fu ta rla directa podia privarle de ese honor. Yo dije que la organiza­ tatuas , la caja dependería de los caprichos de un M in is­ idea de que no se ha tratado de asentar el crédito sobre bases ci…</t>
  </si>
  <si>
    <t>DE, QUIJOTE</t>
  </si>
  <si>
    <t>QUIJOTE DE</t>
  </si>
  <si>
    <t>…lozana fantasía de Calderón y con el lujo poético prodi­ Mas quisiéramos habernos extendido al hablar de este gado a manos llenas en las creaciones de nuestros drama­ poeta; pero ni los límites en que ha de encerrarse un ar­ D. QUIJOTE DE L A M A N C H A , tices antiguos. De manera que las preocupaciones de su tículo de periódico lo consienten, ni seria ya tarea p ro­ COMPUESTO POR MIGUEL DE CERVANTES SAAVEDRA, época y hasta el carácter peculiar y la timidez de^su ge­ vechosa. Y CO M EN TADO PO R D. D IE G O CL EM E N C I…</t>
  </si>
  <si>
    <t>de, Quinto</t>
  </si>
  <si>
    <t>Quinto de</t>
  </si>
  <si>
    <t>…al Congreso, de la Fuente; hasta en la reforma se hace mención de esta cues­ zar , Q uinto, Calderón Collantes , Ayala , Esteban , Egaña , y porque siendo el asunto que va á tratarse de la mayor trascen­ tión. No se queje el Sr. Quinto de que el Congreso le quite Muñoz Maidonado. dencia, y np estando la verdad muy clara , conviene apurarla cierta preferencia, porque el Congreso lo cree asi conveniente, El Sr. Beoavides y varios otros señores pidieron la palabra. y ponerla de manifiesto para que el Congreso vote con el debi­…</t>
  </si>
  <si>
    <t>de, QUINTO</t>
  </si>
  <si>
    <t>QUINTO de</t>
  </si>
  <si>
    <t>…s magistrados del cargo de ocurrir un caso que también se apoya en la experiencia de otro Diputados. B u rgos Í5 d e S etiem b re. Un número bastante considera­ no m uy distante. Supónganse los Sres. Diputados que nosotros El Sr. QUINTO defendió el dictamen de la comisión, ex­ ble de soldados, procedentes de las filas del P reten dien te, llegó seguimos marchando de buena fe bajo los auspicios deesa ley poniendo que el Sr. Gómez Pardo no era magistrado porque ni ay e r á esta plaza coo destino á sus casas desde la Rioja y ot…</t>
  </si>
  <si>
    <t>de, R.ocnagosa</t>
  </si>
  <si>
    <t>R.ocnagosa de</t>
  </si>
  <si>
    <t>…o la España se logra decir mucho en breve espacio , y por consiguiente se Desarme de los voluntarios realistas en Reus. de historia nacional. pone al alcance de las clases menos acomodadas. Los tres tomos Deposición del general R.ocnagosa del gobierno de Ciudad - « E l numen histórico no se ha desaletargado todavía en juntos contendrán , á lo m as, de 80 á 90 pliegos de á 16 pá­ Rodrigo. aquel pueblo grandioso y m alh adado , que tan trabajosamente ginas cada u n o , y los que excedieren de este número se d a r á a Sigue…</t>
  </si>
  <si>
    <t>de, Ra.mon</t>
  </si>
  <si>
    <t>Ra.mon de</t>
  </si>
  <si>
    <t>…se abrieran los paquetes que contenían los do­ reno casi impracticable. Marchando sjempre al la d o d e su co*. J ^ L intendente militar del distrito de Cataluña. Por disposi­ ronel el comandante de escuadrón del 6 .° ligeros D. Ra.mon de cumentos, y amontonados se les pegó fuego y movió en distin­ ción del Excmo. Sr. capitán general dé. este principado y las Llárríosas fue herido al último de la acción en un carrillo» tas direcciones, hasta que quejaron reducidos á cenizas todos los en gefe de su ejército debe contratars…</t>
  </si>
  <si>
    <t>de, Rafael</t>
  </si>
  <si>
    <t>Rafael de</t>
  </si>
  <si>
    <t>…á 8 rs. en papel y 9 en rústica en el despacho de canonizo m agistral; I). Andrés Trevilla y G il, canónigo doc­ de B ravo, Rey y Escalera. El mismo en 29 entró en V illadiego la imprenta nacional. to ral; Di Manuel Gómez.y D. Rafael de L a ra , canónigos; con tres prisioneros y ocho caballos. LOS CORTESANOS D. Ramón AgUilar Fernandez d,e Córdoba , ex^colegial del ma­ yor de S. Bartolomé de Salamanca; D. Juan María de'G racia, F alencia 2 d e Junio. La facción de Rey y demas cabeci­ antiguo catedrático de filosofía y…</t>
  </si>
  <si>
    <t>…que se litigaba entre D. Mariano Colon y el duque de 'Trillo 6 de Agosto. A las seis de la mañana entró en esta Veraguas. v illa, procedente de Cifueates, la columna encargada de su se­ BIBLIOGRAFIA. 10. Proceso del general D. Rafael del Riego. guridad. El objeto del comandante era permanecer aqui todo l í . Proceso de D. Agustín Itdrbide, ex-emperador de el dia y marchar el 7 sobre algunos de los pueblos de la orilla Méjico. izquierda del Tajo ; pero á la tina de la tarde se recibió un par­ EL PELAYO , 12. Informe de…</t>
  </si>
  <si>
    <t>…áficos y les parará entero perjuicio. distintos , uno de cinco y otro de seis sílabas. adónicos los de esta ó los de aquella consonancia.zrN. O. Z. integer v i t a e , | scelerisque purus Asimismo se cita , llama y emplaza á D. Rafael de A r a ­ dulce vecino,] de la verde selva gón y D. M iguel López para que en el término de nueve dias, D irecció n g e n e r a l d e l t e s o r o p ú b lico . que por último se les señala , se presenten en la escribanía p rin­ A ’gunos exigen que no se cometa sinalefa de uno para el cip…</t>
  </si>
  <si>
    <t>…una g e ­ ayer por la mañana al pueblo, y pusieron en fuga á los rebel­ nera! de acreedores é internados á los bienes quedados por f«* - des , causándoles varios heridos, y ocupándoles armas y efectos I d em i 5. lecimiento de D. Rafael de B edia, almacenista que fu e de c a r - de vestuario, y ademas en casa del vicario un cajón que dejó jon, y vecino de Madrid* Viscarro con 255 pares de zapatos de cabra y 118 de algodón y Esta madrugada á las cuatro y media ha pasado por esta seda , todos de muger. Los enemigos se retiraro…</t>
  </si>
  <si>
    <t>…................... 5 2 aproximaciones d e ... 8 para el an­ cura de la Salud .............................................. 2 El escribano de Cámara D. Eusebio Nuñez.............. 3 terior y posterior al premio de 8d. 16 Id. D. Rafael de H ita, capellán del regimiento de El tasador general D. Manuel Camuñas................... 1 lanceros........................................................................... i El procurador D. José Saturnino Blanco................. 1 602 53000 Id. D. Martiniano Gómez, capellán del casti…</t>
  </si>
  <si>
    <t>de, Rafael Irabado. Barrera</t>
  </si>
  <si>
    <t>Rafael Irabado. Barrera de</t>
  </si>
  <si>
    <t>…primera seis , aprehendiéndoles las armas y dos caballos, teniendo igual la tierra Por una cuadrilla de 26 hombres se ha trabajado en quitar división con dirección á Murviedro. fin otro rebelde que se resistió ai comandante D. Rafael Irabado. Barrera dey esta piedras desprendidas de los cortes de la puerta de ciudad, y en aclarar cuentas y hacer todas las Un poco antes de llegar á esta la división, se ha encontra­ Que por un faccioso presentado á indulto en Consuegra y operaciones necesarias do ya el agua en el pozo qu…</t>
  </si>
  <si>
    <t>de, Rafael José</t>
  </si>
  <si>
    <t>Rafael José de</t>
  </si>
  <si>
    <t>…El cardernal Gil A lb o r n o z , Gonzalo F er nan dez de C ór ­ doba , el g rao d u q u e de A l b a , A n a s M o n t a n o , D . Francisco Quevedo y Villegas y D. J u a n de Ferreras. enfermería de mngeres por el profesor D. Rafael José de G u a r ­ ó EFEM ERIDES 5.° I-Iernan C or té s, Garciiaso de la V e g j , D, Alonso de dia , y en la ds hombres por D. A nt oui no Saes, ha sido tan Ercilla , D. Pedro Calderón de la B a r c a , Mi g u el de Cerva nt es feliz, que de dolientes que del primer sexo se h a n presentado h…</t>
  </si>
  <si>
    <t>de, Rafael Primo</t>
  </si>
  <si>
    <t>Rafael Primo de</t>
  </si>
  <si>
    <t>…contra­ en el que tiene su destino , seguían los movimientos de esta di­ Provincial de Salamanca.—Dos oficiales heridos: ¡un indi­ ta , y á fin de llevar á cabo el proyecto que tanto se desea. Se­ visión , y el capitán adicto D. Rafael Primo de R ibera, gefe viduo de tropa m uerto, 20 idem heridos, cuatro idem*con- gun se vaya realizando tendré la complacencia de poner en co­ en la del N o rte , demostraron su distinguida instrucción y va­ tusos. nocimiento de V. E. los adelantos que se consigan ; y mientras lor ; y este an…</t>
  </si>
  <si>
    <t>de, Ramonease</t>
  </si>
  <si>
    <t>Ramonease de</t>
  </si>
  <si>
    <t>…s particulares, sino que se consulten todos los intere­ dad en el Congreso de Diputados. le concedían en aquel p ais, ejercía el absolutismo en la mayor ses del Estado; y por esose ha dicho con mucha razón que A petición del Sr. Ramonease declaró el punto suficiente­ parte de sus actos, y aquella provincia se veia en la necesidad obrando de esta manera, y teniendo presentes todas las disposi­ mente discutido, y que habia lugar á deliberar sobre los a r ­ de votar sus contribuciones sin tipo alguno á que atenerse. En cione…</t>
  </si>
  <si>
    <t>de, Ramonet.</t>
  </si>
  <si>
    <t>Ramonet. de</t>
  </si>
  <si>
    <t>…n­ unieran hoy, ó cuando lo tuvieran por conveniente, para exa­ nos empleen sus brazos y armas en defensa del trono legitimo tos de la deuda del Estado que han sido entregados al fuego. minar la proposición presentada por el Sr. Ramonet. de vuestra excelsa Hija, nuestra Reina y Señora, de la Consti­ El Sr. P R E S ID E N T E : Va á jurar el Sr. Senador por la Añadió que hallándose aun pendiente la sesión secreta dei tución del Estado, y de la independencia y gloria de la nación. provincia de Huesca D . Valentín Ferraz. sa…</t>
  </si>
  <si>
    <t>de, Ramírez</t>
  </si>
  <si>
    <t>Ramírez de</t>
  </si>
  <si>
    <t>…requisición se lleve á pu ro y debido electo con Se leyó el dictamen de la comisión encargada de informar Se leyó y puso á discusión el art. 20. toda rapidez, autorizando á los capitanes generalas para sobre la exposición del Sr. Ramírez de A rellano, y el voto par­ El Sr. M E N D IZ A B A L : Quisiera ante todo que los seño­ que rem uevan cuantos obstáculos se presenten, é im po­ ticular del Sr. Perez de R ivas, proponiendo que debia adm itir­ res individuos de la comisión tuvieran la bondad de explicar­ niendo Ja mas estre…</t>
  </si>
  <si>
    <t>…. M U R O contestó que en la anterior legislatura h ab ia Art. 2.° En las provincias en que no se hubiesen he­ canías de C o n s u e g r a , practicó algu n a s d ilig e n c ia s , siendo su d irig id o ig u a l solicitud el Sr. Ramírez de A r e l l a n o , la cual cho asi ios repartimientos, las diputaciones provinciales resultado d e s c u b r i r á seis in d i v i d u o s , c u y a s fa m ilia s mandó pasada á la com isión, propuso esta y aprobó el Congreso que los adicionarán en los ocho dias siguientes á la publica­ pr…</t>
  </si>
  <si>
    <t>…9 de la Constitución; El Sr. P ID A L , que la comisión , teniendo presentes los y si en efecto se rozara con él, si fuera anticonstitucional el C O N G RESO D E D IP U T A D O S . acuerdos del Congreso sobre la admisión del Sr. Ramírez de que se discute, seria una dificultad por la que no querría pasar Arellano, se habia propuesto dos cuestiones, á saber: ni la comisión, ni et Gobierno, ni mucho menos el Senado; PRESIDENCIA DEL SEÑOR ISTURIZ. Sí el acuerdo del Congreso suspendiendo la admisión del pero creo que no hay n…</t>
  </si>
  <si>
    <t>…tanto que se discuta la de Que llegadas las actas de las segundas elecciones de la pro­ el dictámen contrario al voto particular. Y o , señores, me en­ atribuciones. En este mom ento, vincia de Córdoba en que constaba que el Sr. Ramírez de A re - cuentro en el mismo caso, y siento que la nueva oposición del su opinión está de acuerdo con lacuando el Gobierno dice que comisión, no veo cómo se llano habia sido elegido D ip u ta d o , pasaron á la comisión cor­ Sr. Baeza me obligue á tomar parte; pero debo hacerlo puesto pued…</t>
  </si>
  <si>
    <t>de, Ramírez de Arellano.</t>
  </si>
  <si>
    <t>Ramírez de Arellano. de</t>
  </si>
  <si>
    <t>…es necesaria su propuesta, pues se halla resuel­ cuente en sus deliberaciones, no se está en el caso de ad m itir bierno tuvo el honor de manifestar al Congreso hace pocos dias, ta ya por la misma práctica. como D iputado al Sr. Ramírez de Arellano. de que pronto se ocuparia en examinar la ley de ay untamientos; 5.° Con la tercera propuesta quiere el Sr. M uro fijar el Los Sres. Guillen y G ra s, Perez de Rivas y M u ro hacen prescindió de los asuntos graves que le ocupaban, y para exami­ modo de reemplazar la falta de uno…</t>
  </si>
  <si>
    <t>de, Ramón</t>
  </si>
  <si>
    <t>Ramón de</t>
  </si>
  <si>
    <t>…se consideren con derecho al título de mar­ primeras elecciones generales se procederá en la renovación 700,000 ques de Avilés y bienes que le corresponden, cuyo último po­ como se previene en el articulo 6 .° — ( seedor fue D. Ramón de A vilés, que falleció en esta corte en Art. 67. En el intervalo que medie desde que ocurra la 5 de Diciembre de 1817, se servirán presentarse en esta inten­ suspensión de un ayuntamiento hasta su reposición, y en el Las libranzas expedida» por esta dirección en la9 fechas y dencia con los…</t>
  </si>
  <si>
    <t>…ovidencia del Sr. intendente subdelegado de Rentas personas que presenteu billetes con iguales números. A este fia tillo, hijo de D. José, mayor de *25 años, acerca del publicado de esta provincia, se c ita , llama y emplaza á D. Ramón de se dara con el billete de cada localidad de una sola persona en el Ferrol con el título de "Manifiesto que en defensa de su Prados y D. José Lesea, para que en el térm ino de nueve dias otro que contendrá un número de opcion al sorteo, el cual legal y justo proceder en la causa formada á D.…</t>
  </si>
  <si>
    <t>…plementos á las Gaceta* Certifico y doy fe por testimonio: Que en virtud de pro­ No hablo mas sobre el p a rtic u la r, me recordaré iínicamen~ áe 23 de M ayo y 50 de Ju n io ú ltim o s; advirtieudo que en la videncia del Or» D. Ramón de L izarzaburu , juez de primera te la expresión del Sr. L ó p ez, que este es un punto de honor y segunda línea de la tabla de equivocaciones colocada ai pie del instancia de la villa y partido judicial de C h inch ó n, dada el que es menester defenderle hasta m orir. áe 5 0 de J u n io , se…</t>
  </si>
  <si>
    <t>de, Ramón Alonso</t>
  </si>
  <si>
    <t>Ramón Alonso de</t>
  </si>
  <si>
    <t>…o. grande estrépito unos con otros, pero no se rompieron ningu­ Habiéndose denunciado ante el Sr. alcalde constitucional na costilla: algunas lanchas chatas (de canal) subieron al mue­ D. Luis Oseñalde por el promotor fiscal D. Ramón Alonso de lle y hasta la calle South. las Heras el artículo inserto en el periódico titulado el Guiri­ Los desatracados escaparon peor. El bergantín Susan al PARTES. gay , núm. 8 5 , perteneciente al sábado 6 del corriente, en ancla en el rio del Este se soltó y vino veloz contra el muelle,…</t>
  </si>
  <si>
    <t>…de su mañana. Habiéndole denunciado ante el Sr. alcalde constitucional Se advierte que el compromiso será por tiempo de do* años Bilbao 9 de Abril. El titulado general Simón Torre per­ D. Luis (Leñalde por el promotor ÍLcal D. Ramón Alonso de ó el de tres cuando mas; pero con sujeción á lo que S. M . ten­ n o tó ei V) en Arrigorriaga con los batallones, 5 o de Vizcaya, las lleras, como incitador á la desobediencia en segundo grado, ga á bien determ inar, y que después de fenecido el acto del 5 o de Guipúzcoa y 9.° de Cast…</t>
  </si>
  <si>
    <t>de, Ramón Salazar. Después</t>
  </si>
  <si>
    <t>Ramón Salazar. Después de</t>
  </si>
  <si>
    <t>…lemnidad. La mayor impracticable d causa de los escombros; pero la fábrica se cono­ D . Marcos Barón. sencillez luuia presidido á los preparativos para la ceremonia. ce que pasa adelante y se descubren arcos, pilares y paredes D. Ramón Salazar. Después de haber dejado mucuras de su beneficencia á los antiguas en completa ruina. D. Salvador del Rey. pobres de la ciudad , el Doy y la Reina se alejaron de nuestros El Alcázar de Sevilla tuvo mejoras laudables y dignas de muros en medio de aclamaciones inspiradas por el mas vivo…</t>
  </si>
  <si>
    <t>de, Regino Roales</t>
  </si>
  <si>
    <t>Regino Roales de</t>
  </si>
  <si>
    <t>…s juzgados de primera instancia de esta corte Gobierno político de la provincia de Jaen.=:Excmo. señor: d a , continúan en esta corte sin novedad en su im portante, La Real orden de 5 del actuaí, núm.‘37, manifiesta la extra- D. Regino Roales de un artículo inserto en el número 57 de salud. dicho periódico, párrafo tercero del epígrafe Cencerradas, cor­ ñeza con que se ha visto mi siíéncio sobre la importante car­ respondiente al jueves 7 del corriente], en cuya causa consta la retera de esta capital á Bailenr en su consec…</t>
  </si>
  <si>
    <t>de, Rentas</t>
  </si>
  <si>
    <t>Rentas de</t>
  </si>
  <si>
    <t>.º1599. N MARTES 2 DE ABRIL DE 1839. DIEZ CUARTOS. S. M. la R e in a , su augusta Madre la R e in a G o bern a ­ dirección general de Rentas de 10 de Mayo de 1833, por PARTE RECIBIDO EN LA SECRETARIA DE ESTADO dora y la S e rm a . Sra. In fa m a Doña María Luisa F ern an ­ cuanto eñ la ley de 25 de Mayo de 1835 quedó abolido Y DEL DESPACHO DE MARINA. da, continúan en esta corte sin novedad en su importante el derecho gradual sobre…</t>
  </si>
  <si>
    <t>…tos, con especialidad de los pertenecientes sarse en dicha subasta podrán hacerlo en la citada sala de jan * a estas mismas provincias: las repetidas noticias, infor­ Ju z ga d o d e A mortización. tas de la dirección general de Rentas desde las doce hasta la3 mes, y aun acusaciones contra empleados, que llegan al dos del dia 10 del corriente, eo que ha de verificarse el rema** ministerio de mi cargo, suponiéndolos cómplices ó con­ Por providencia del Sr. intendente de Rentas de ésta pro­ te sobre la base de 32.2445843 rs…</t>
  </si>
  <si>
    <t>de, Ribera</t>
  </si>
  <si>
    <t>Ribera de</t>
  </si>
  <si>
    <t>…ara publicarlas con se dirijan sus miras. Hoy se ha presentado en el Parlamento ella s, obligándose tan solo por un año. que los pueblos de esta provincia, que tan repetidas muestras el nuevo ministerio compuesto del Sr. barón de Ribera de S a ­ han dado de constancia y patriotismo, imiten tan noble ejem­ Quince profesores desde el p rin c ip io , y m ayor número lue­ brosa, presidente del Consejo, M inistro de la G u erra, y encar­ plo. V alencia 2 0 de Abril de í839.=:Ignacio López Pinto. go que el incremento del colegio…</t>
  </si>
  <si>
    <t>de, RICIÍ</t>
  </si>
  <si>
    <t>RICIÍ de</t>
  </si>
  <si>
    <t>…los- seño­ posición de boca de una persona tan ilustrada como el Sr. Te­ res Rich y González. El general en gefe desde II ti el coa fecha de ayer participa jed a , cuando dicho ministerio de la Gobernación es necesario, El Sr. RICIÍ después de dar gracias al Senado por haberse el resultado de su marcha rápida con las tropas de su mando si no queremos trasladarnos á los tiempos en que el Consejo de servido tomar su adición en consideración, y de tributarlas sobre Cabrera , obligando á este á desistir del plan que había Cas…</t>
  </si>
  <si>
    <t>de, Rosa</t>
  </si>
  <si>
    <t>Rosa de</t>
  </si>
  <si>
    <t>…, hijo de D. Juan Manuel »ula. Los reglamentos vigentes en los puertos del Danubio de la Vega y Doña M aría G rova, nieta de D. José de la Vega GRAN BRETAÑA. ¡erán observados con respecto á los navios ingleses á su entrada y Doña Rosa del Cam po, naturales de Santa M aría de Toroga y salid a, los cuales serán recibidos en los puertos austríacos en el valle de Hoz, meriadad de T rasm iera, obispado de San­ L on d res 12 d e F eb r ero . :omo procedentes de los de esta nación. T al es la única inter­ tan d er; por cuya razón,…</t>
  </si>
  <si>
    <t>de, Roussín</t>
  </si>
  <si>
    <t>Roussín de</t>
  </si>
  <si>
    <t>…tanto número sus propias recriminaciones, hace algunos años de los progresos de Mebémet Constantioopla 5 de Junio.=La noticia dada por Nourri- ir á Suez); y sin esperar las órdenes de su legitimo Soberano, •ffendi al almirante Roussín de que Hafiz-bajá había recibido ha téoido la osadía de negar el paso á las tropas de una Poten­ calidad de embajadorbiencerca en la A rabia, antes en I8 í9 envió al coronel Saldier en orden de retirarse no ha sido confirmada. Parece que el miois* cia que mantiene las mas estrechas relacio…</t>
  </si>
  <si>
    <t>de, Ruiz</t>
  </si>
  <si>
    <t>Ruiz de</t>
  </si>
  <si>
    <t>…y por todo aquello teres, sino para la intervención que señalan los reglamento*. y que los contribuyenos fuesen elegidos por suerte. que toca al buen gobierno económico y adm inistrativo del El Sr. M A R T IN dijo que ya el Sr. Ruiz del Arbol había El Sr. C A M A L E N O : Señores , de muchos y distintos mo­ pueblo. manifestado las observaciones que creia hacer, por parecerle dos ha sido impugnado este artículo, pues veo con sorpresa que El Sr. V A L D E S : Dice el artículo que se discute (leyó.) Yo que estaba confuso el…</t>
  </si>
  <si>
    <t>…sar he prolongado el estado de M endizabal, alli se dijo que el juez era competente; hablo de que se arordo pasase á las secciones. g u e r r a , sin embargo que como he dicho , las autoridades han otro hecho, cual fue el del Sr. Ruiz del A r b o l, que parece que Se leyó el proyecto de ley sobre hacer efectiva la contribu­ ejercido sus funciones con libertad. Pero los malévolos se va­ hasta con su presencia ha venido de un modo vivo a presentar ción extraordinaria de g u e r r a , el cual pasó asimismo á las sec­ lían de e…</t>
  </si>
  <si>
    <t>…acienda. cias de la Península, con arreglo al cupo total designado en la se presentaba mas justa y equitativa. Se leyó la 59 relativa á una exposición de la junta y de­ contribución extraordinaria de guerra. Pero ha dicho el Sr. Ruiz del Arbol, que se han cometido mas individuos del colegio de abogados de Zaragoza, en que A continuación se dió lectura á una enmienda hecha á este algunas injusticias en este reparto de la contribución extraor­ hacen presentes los perjuicios que se les siguen de los nuevos artículo por el Sr…</t>
  </si>
  <si>
    <t>…onor de presentar su dictám en al Congreso. Fue en seguida tomada en consideración por el Congreso que no podrian menos de ofender á la causa pública. Antes que otra cosa debió la comisión contestar fielmente una enmienda del Sr. Ruiz del A rb o l, reducida á que á conti­ S. S. recorre el contenido de la proposición , y prueba lo los hechos de que se hablaba en el proyecto; á e^te fin pidió nuación del art. 2,° se añadiesen estas palabras wcuyo cargo se­ innecesaria que es, mediante á que todo lo que en ella se pre­ anteced…</t>
  </si>
  <si>
    <t>…á d e l publico ^ Se procedió en seguida á la lectura autorizada por las sec­ mez García , en 12. pudó* ap lau d ir 1 fas tristes obras d e aqücTlós^ á“*qt\ífc’ñcj^Tfffrdos ciones de una proposición de ley presentada por el Sr. Ruiz del Otra i d ., sierra de G a d o r, Valsa Nueva , término de Ber- atrevemos á llamat^ingeníhs. Y sí1d os dños 'haií pásádó nékle Arbol, sobre reforma de los artículos 57 y 58 de la ley electoral. ja , Sto. Cristo liberal, por D. José C riado, en 16. entonces, si la experiencia y el tiem po^Hf…</t>
  </si>
  <si>
    <t>…ía menos también de cele­ ramento de su fidelidad en la ocasión solemne en que todos brarla con todo el aparato que la grandeza del objeto mere­ los pueblos de la monarquía levantan su voz agradecida para cion al art. l.° del Sr. Ruiz del Arbol , y otra á los artículos cía. Vuelto ahora del asombro, y contemplando nuestra situa­ aclamar á V. M. corno restauradora de la paz y reparadora 6.° Se y 7.° del mismo dictárnen del Sr. conde de las Navas. acordó constase en el acta que la comisión encargada de ción, actual con la que…</t>
  </si>
  <si>
    <t>…causa El Sr. L U J A N : Como el Congreso habrá notado ; mas bien se acuerda de la fuente por donde han de fructificarse ? C u a u - un hecho tan importante , se aumenta aun mucho mas su sa­ que defender í u enrcierda , el Sr. Ruiz del Arbol ha im p u g ­ do las naciones se hallan en aquella situación , es cuando echan tisfacción cuando considera que este se debe únicamente á es­ nado el provecto que se discute; asi es que S. S. no ha hecho mano de los terrenos porque y a sus capitales no tienen en qué pañoles sin mediac…</t>
  </si>
  <si>
    <t>DE, RUIZ</t>
  </si>
  <si>
    <t>RUIZ DE</t>
  </si>
  <si>
    <t>…es de Valígornera, relativa á que en caso de disolución ca­ constitucional de Antequera y su M ilicia nacional de ambas caballos quiso hacerle frente; pero cargado fue completamente duquen todos los proyectos. dispersado. El Sr. RUIZ DE L A VEGA dice que no puede menos de armas voces con que explicar el jubilo de que se hallan po­ seídos al ver afianzarse la paz , el trono de nuestra inocente El segundo cabo da las gracias al expresado comandante aprobar el dictámen de la comisión, porque en él encuentra Reina Doña Isabel n…</t>
  </si>
  <si>
    <t>…de en todas las reuniones políticas. comisión que la admitiese por ser mas expresiva. pensión c o r r e s p o n d ie n te , con a rr e g lo á lo p re v e n id o en H ay una grande actividad entre todos los diplomáticos ex— El Sr. RUIZ DE L A VEGA dijo que no alterando estas la c irc u la r de 2 1 de Marzo ú ltim o , disp o n d rá n que a q u e ­ trangeros. (Constilulionnel) enmiendas en lo mas mínimo la sustancia y el sentido genuino dél artículo, podían considerarse como un embarazo. Añadió llos se en cu en tren en esta co…</t>
  </si>
  <si>
    <t>…se encuentran las no podia dejar de consagrar roas tarde ó mas temprano bia reemplazado á Talleirand, Hauterive fue nombrado cuatro damas de palacio, una Emperatriz, tres empleados un recuerdo de admiración al gran Pelado: al Sr. Ruiz de gefe de la división encargada de la correspondencia con en el departamento de Relaciones exteriores, Maret y yo. la Vega le ha cabido esta gloria, y por ella le felicitamos. Inglaterra, Holanda, Viena, Berlín, Estados Germánicos, La Besnardiere figura maravillosamente en un cuartel ge­ Cuand…</t>
  </si>
  <si>
    <t>de, Réal</t>
  </si>
  <si>
    <t>Réal de</t>
  </si>
  <si>
    <t>…e Granada \ Estado en las dependencias del tninistgrio de la Gobernación. al mariscal de campo D. "Manuel de Soria. (Núm. 1479.) * ¡ (Idem.) \ É S T A D O M IL IT A R rnnnpdiendo la gracia de la riiedla* firma ai Sr. Secretario Réal decreto nombrando tenientes generales á D. Isidro A laix de Estado y del Despacho dé la Guerra D. Isidro A la ix .(Id .), 1 y á D; Antonio Yan-Halen. (Núm. 1502.) ; * ’ P A M ?EL PRESEl^Té ANO DE Í859. &gt;;1. J _ _ _ nombrando subsecretario del ministerio de la Guérirá 'á'L Real orden mandando…</t>
  </si>
  <si>
    <t>de, S. M.</t>
  </si>
  <si>
    <t>S. M. de</t>
  </si>
  <si>
    <t>…, 00. á audiencia territorial de Zaragoza y juez de primera instancia Je esta corte, refrendada de D. M anuel Fernandez de Pazos, IMPRENTA NACIONAL COLECCION DE LEYES, Deuda negociable de 5 por 100 á papel , 00. escribano de S. M. del número del crimen de esta corte, se cita, Idem sin Ínteres, 5 ¿ á 60 d. f. ó vol. lama y emplaza por primer edicto y término de nueve dias á Acciones del banco f spañ &gt;1 de S. F ern an d o , 0 0 . Manuel López M arin , natural de Ojos, reino de M u r c ia , de 'TAM BI08. 20 años de eda…</t>
  </si>
  <si>
    <t>…te en los Valdeosera , juez togado de primera instancia de esta corte, fección , y los elogios de la academia médica de Paris, asi como trabajos necesarios, y constituirse celosos servidores del pobre, refrendada del escribano de S. M. de su juzgado D. Manuel el de los mas célebres facultativos de aquella capital, tales como Fernandez de Pazos, se hace almoneda y pública veota de los los Sres. R atier, R icort, Desruelles, Segalás, Rostan, Culle- que deposita el fruto de sus sudores tal vez á la vista de aque­ rier, padre é…</t>
  </si>
  <si>
    <t>…id. Rodríguez Valdeo¿era, juez togado de primera instancia nales. Santander, par. de esta corte, refrendada de D. Manuel Fernandez de Pazos, Biografía Española.=D. Antonio Agustín. Alicante, * á f b. Santiago, 2 d. escribano de S. M. del número del crimen; se cita, llama y em­ Antigüedades de Méjico.=Conclusion. Barcelona á p s.fs.,p ar. Sevilla, 1 * á 1 id. plaza á D. Manuel Rasilla, cuya habitación se ignora, para Viajes.—Francia. Pau. Bilbao, par. "Valencia, * dio. b. que tan luego como llegue á su noticia este anuncio…</t>
  </si>
  <si>
    <t>de, S. M. Inspección</t>
  </si>
  <si>
    <t>S. M. Inspección de</t>
  </si>
  <si>
    <t>…la Católica, juez togado de primera iustancia de esta corte, teban, por Antonio Catorla , en 5 de Agosto de 1857. Otra id ., cerro del Muerto, término de Benadux, Fé 2.a, refrendada de D. Manuel Fernandez de Pazos, escribano de S. M. Inspección de minas de las provincias de Granada y Alme­ del número del crim en, se c it a , llama y emplaza á Gabriel por D. José Prats Blanco, en tí de Noviembre de 1858. ría.—Mes de Mayo de 1839 —Relación de los deuuncios y re­ ternandez de la Cuesta y a Ana Rodríguez de Castro, cuyas Ot…</t>
  </si>
  <si>
    <t>de, Saldoni</t>
  </si>
  <si>
    <t>Saldoni de</t>
  </si>
  <si>
    <t>…- * &gt; A su regreso de Fran cia , y hallándose de tránsito en V a ­ N o nos han agradado menos los Sres. oficiales y las clases de • P or lo de mas, h o só tro s’récortocemos im parcialménte lencia , tu vo la satisfacción el Sr. Saldoni de ver representar sargentos y cabos: jóvepes instruidos los: p r im e r o s , co n ocie ndo las leyes del h onor militar , prometen con toda evidencia c o n d u ­ que esta clase de medidas solo por los bénfeficios que p ro ­ en el teatro Je aquella ciudad su ópera ípermsstra por la dúzca…</t>
  </si>
  <si>
    <t>de, Salvador</t>
  </si>
  <si>
    <t>Salvador de</t>
  </si>
  <si>
    <t>…ncillez luuia presidido á los preparativos para la ceremonia. ce que pasa adelante y se descubren arcos, pilares y paredes D. Ramón Salazar. Después de haber dejado mucuras de su beneficencia á los antiguas en completa ruina. D. Salvador del Rey. pobres de la ciudad , el Doy y la Reina se alejaron de nuestros El Alcázar de Sevilla tuvo mejoras laudables y dignas de muros en medio de aclamaciones inspiradas por el mas vivo en­ citarse; pero en cambio no .sabe/nos en qué época se mandó en­ BAILARINES. tusiasmo. (Debáis.) jalb…</t>
  </si>
  <si>
    <t>DE, SANCHEZ</t>
  </si>
  <si>
    <t>SANCHEZ DE</t>
  </si>
  <si>
    <t>…es ha No me he olvidado de lo que iba á manifestar. Dije antes gastos no exceda al de ingresos. sido el objeto de todas las conversaciones desde la noticia de que una de las cosas que mas han comprometido la tran qu ili­ El Sr. SANCHEZ DE L A F U E N T E expuso que esperaba que los que antes eran enemigos se habiao unido con nues­ dad pública habia sido el establecimiento de los jueces extran- del celo de los individuos de la cotoiúon de Presupuestos lo que tros soldados, y habían empezado á ser súbditos de la inocen­ g…</t>
  </si>
  <si>
    <t>…s que pide El Sr. L U J A N contestó que la comisión no podia ad m itir reconciliar los ánimos. la comisión para que el Congreso pueda fallar con acierto. la en m ien d a; que la riqueza del pueblo que el Sr. Lacoste ha­ El Sr. SANCHEZ DE L A F U E N TE impugnó el dicta­ bía señalado era inm ensa; que la mayor parte de los que pudie­ men porque á su entender debían declararse nulas las elcciones ran ser soldados de los demas están excluidos en la ley de reem­ A teneo d e M adrid. mediante á no saberse si los que tomaron…</t>
  </si>
  <si>
    <t>de, Sancho</t>
  </si>
  <si>
    <t>Sancho de</t>
  </si>
  <si>
    <t>…do los señores de la comisión entendido el artículo 4 -° de la vincias que se atuvieran estrictamente á la ley electoral , y en que se pídese exija la responsabilidad al Ministro de la G o ­ ley electoral de un modo , y el Sr. Sancho de otro , era evidente manifestándose en esta de un modo terminante que el númere bernación por haber expedido la Real orden de 24 de Junio úl­ que no estaba tan claro: que previniéndose en este artículo que de suplentes sea la tercera parte del total, cumplió con recordai tim o, por la cual…</t>
  </si>
  <si>
    <t>…habrá que huir de poner nin­ llamos? ¿No se hubiera seguido el cumplimiento de la pala­ en la inteligencia que no se menoscabe la Constitución; de guna de las palabras sometidas á discusión, porque llevando bra empeñada del Sr. Sancho de retirar el proyecto? ¿ No se este modo lo hará, salvo el cargo que pudiera hacerse en la en contra suya los argumentos con que se las ha impugnado, hubiera entrado en discusión para fijar el principio? Ya sa­ contrariedad que se me encontrará hoy por hallado ayer con­ podrán excitar rece…</t>
  </si>
  <si>
    <t>…los rajahs se h an negado á pagar á la tribu que "depende Se esperan noticias im portantes de las operaciones del in te ­ de ellos con el nombre de K e ra c h t , y el pueblo ha tomado par­ Esta segunda acción son los celos de D. Sancho de U rrea rior del ejército argentino en el territorio o rie n ta l, como ig u a l­ te en su favor contra la intervención de la fuerza arcuada. marido de D ia n a , cuya honra se halla comprometida con eí mente de la incursión de D. J u a n Lavalle y de sus partidarios (Id.) amor fi gido d…</t>
  </si>
  <si>
    <t>de, Santa Baya</t>
  </si>
  <si>
    <t>Santa Baya de</t>
  </si>
  <si>
    <t>…una indemnización para el primero d e 9660 pesos. Poco* to que hacia tres años se hallaba escondido en un nicho hecho mente , y la clase de reparación que ha pedido: "pérdidas que á propósito, el cual ha resultado ser el abad de Santa Baya de han sufrido los franceses durante los disturbios civiles, denega­ dias después se descubrió la falsedad de los hechos en qu£ se Aufeos , individuo de la junta carlista de Galicia , que , perse­ ciones de justicia, actos arbitrarios ó ilegales por parte de las apoyaba bió taD exorbitan…</t>
  </si>
  <si>
    <t>de, Santiago Castilla Armamento</t>
  </si>
  <si>
    <t>Santiago Castilla Armamento de</t>
  </si>
  <si>
    <t>…nes, conforme á Proclama del infante D. Carlos para alarmar el país. derecho , por el juzgado de primera instancia de la misma, que Marcha del ejército de observación para Burgos. despacha dicho Señor y escribanía de número de D. Santiago Castilla Armamento de voluntarios realistas en varios pueblos de la Vieja limítrofes de Rioja. TRATADO de la G ranja, apercibidas que pasado dicho término sin hacer­ Invitación á los M. RR.. arzobispos y RR. obispos, de Real lo, las parará perjuicio. orden, para que exhorten á su clero á a…</t>
  </si>
  <si>
    <t>de, Santiago Mendez</t>
  </si>
  <si>
    <t>Santiago Mendez de</t>
  </si>
  <si>
    <t>…BO LSA D E M A D R ID . v ió dedicarse á la com posición de una obra que por s® método* suscripción voluntaria , colocándose al frente de ella el capitán científico, y por la exactitud de sus ideas fuese capas de me­ general D. Santiago Mendez de V i g o , autor de tan filantrópi­ co pensamiento ; y se abre desde hoy también en esta corte otra, Cotización del dia 25 á las tres de la tarde • recer la confianza de sus comprofesores y la pudiesen entregar ái sus discípulos: ha procurado dejar campo a b ie r to » aquellos pa…</t>
  </si>
  <si>
    <t>de, Santos</t>
  </si>
  <si>
    <t>Santos de</t>
  </si>
  <si>
    <t>…inistro interino do en su lugar á D. Juan Aldama. (Núm. I 842.) Valencia 10 de Diciembre. de M arina, Comercio y Gobernación de Ultramar. (Núme­ nombrando capitán general de las islas Baleares al tenien­ ro 1820.) te general D. Santos de lo Hera. (Id ) Sabemos de buena tinta se ha presentado en J á tiv a , aco­ Circular del ministerio de Gracia y Justicia para que cuando Circular del ministrerio de Hacienda acompañando ejemplares giéndose al indulto, el presbítero D. Jaime Torma , natural de los individuos de las diputac…</t>
  </si>
  <si>
    <t>de, Santos Ladrón</t>
  </si>
  <si>
    <t>Santos Ladrón de</t>
  </si>
  <si>
    <t>…cula ó registro de doctores, y á justificar que tienen 25 años puntos. titución de un empleado; y en el segundo D. Silvestre Y alen - cum plidos, con veciodad ó residencia fija en esta corte, en el F uga del mariscal de campo D. Santos Ladrón de V a l l a - zuela solicitaba un empleo, todo lo cual era de cargo del Go­ término que señale la dirección general de Estudios. dolid. bierno, extrañaba que la comisión fuese de dictámen en este Lo que trascribo á V. S. con acuerdo de la dirección para Manifiesto de la Pieina Goberna…</t>
  </si>
  <si>
    <t>de, Secretario</t>
  </si>
  <si>
    <t>Secretario de</t>
  </si>
  <si>
    <t>…comisión manifestase en esta ley su opinión mas claro y menos expuesto á equivocaciones. mero igual al de los concejales, para decidirse á entablar ó sos­ acerca de esta materia, porque si no, era de temer que no dicien­ El Sr. Secretario del Despacho de G R A C IA Y JU S T IC IA : tener algún litigio. De su resolución se dará parte al gefe polí­ do nada la ley orgánica y guardando silencio la de atribucio­ Difícil será por cierto que la cornision quede vencida en la tico.” nes, se dijera: la ley no previene nada, luego…</t>
  </si>
  <si>
    <t>…omisiones de la su agilidad en los movimientos y la fácil naturalidad de sus Concluida la lectura, S. M. se dignó entregar dicho discur­ Agencia literaria. aptitudes sorprenden y deleitan con la extrañeza de ver reuni­ so al Sr. Secretario del Despacho de Gracia y Justicia; y habién­ das en su asombrosa persona unas cualidades al parecer iucom- dose acercado el Sr. Presidente del Consejo de Ministros, y reci­ J 7 L ingenioso hidalgo D. Quijote de la M ancha, compuesto patibles. bido la orden de S. M. la Reina Gobernadora, d…</t>
  </si>
  <si>
    <t>…dos en el mes de Setiembre. Los empresarios, deseosos de complacer al público, y con Por esta sencilla relación, de cuya autenticidad salgo ga­ el objeto de que los señores que tengan la bondad de favore­ aclaraciones. El Sr. Secretario del Despacho de G R A C IA Y JU S T IC IA rante, podrán V V . inferir el asenso que merece la exageradísi­ cerles con su asistencia encuentren á la vez que la economía dijo que le obligaba á tomar la palabra un ca rgo , ó mas bien ma noticia de dicho corresponsal. De la provincia de Oren…</t>
  </si>
  <si>
    <t>…, empezando por la de los siete. El Sr. Secretario Ondovilla ocupó la tribuna , y leyó un ofi­ sado este período se renovará por mitad cada dos años, nom­ Los Sres. M inistros de la Gobernación y de Gracia y J u s ­ cio del Sr. Secretario del Despacho de la Gobernación de la Pe­ ticia entraron en el salón y ocuparon sus respectivos asientos. brándose por la jun ta general anual á p luralidad absoluta de n ín s u la , acompañando ejemplares del discurso leiao por S. M . votos, y por votación secreta, con facultad de reelegi…</t>
  </si>
  <si>
    <t>…tuvo lugar. Esto supuesto, es necesario probar que El Senado concedió la licencia que pedia. da 1a consideraba necesaria para asegurar la tranquilidad p ú ­ cuando se pide por el Gobierno autorización para proceder con U El Sr Secretario del Despacho interino de Estado ocupó la blica , y ella proporcionaba los medios expeditos contra los ene­ tra algún D ip u tad o , hay que v er, no solo como dice e.l .señor. tribuna y leyó un proyecto de ley para la creación de un con­ migos de la libertad. Los sucesos que han tenido lu…</t>
  </si>
  <si>
    <t>…la Reina Gobernadora es la PRESIDENCIA. INTERINA DEL CONSEJO DE MINISTROS. las personas que él cree que son sus gefés y corifeos. Si a nación española; esa gran nación noble y generosa siem­ Habiendo llegado á esta corte el Sr. Secretario del esto se hubiera limitado, nosotros que á ningún bando pre pronta pertenecemos, hubiéramos dejado á los acusados que se en defensa de a derramar su sangre y prodigar sus tesoros Despacho de Estado, Presidente propietario del Consejo deiendiesen como les pareciera conveniente, sin mez…</t>
  </si>
  <si>
    <t>…mino de Andalucía, resultó muerto un faccioso, y eu nuestro sar las inquietudes y arreglar todos los puntos en litigio. Se acordó pasar á la comisión de revisión de Actas un ofi­ poder su caballo, sable y carabina. cio del Sr. Secretario del Despacho de la Gobernación de la Que en otro encuentro que tuvo la partida de los Chornos Península acompañando la renuucia que hace D. Antonio At- al mando de su comandante Rodríguez, fueron muertos eo el meller, Diputado electo por la provincia de Gerona. campo dos facciosos y hech…</t>
  </si>
  <si>
    <t>…ta para á fin de obtener que se envie inmediatamente un agente fran­ recobrar su antigua fama sino el ser pacíficamente regida por cés , y que se establezca una estación marítima en aquellos para­ Real orden que sigue: «El Sr. Secretario del Despacho de la Guerra dice con la augusta mano de Y. M ., que aun en medio de las convul­ jes. Los gefes de las principales casas de comercio de aquella esta fecha al capilan general de Galicia lo siguiente: He elsiones políticas que nos han circundado, ha sabido adquirirse ciudad ha…</t>
  </si>
  <si>
    <t>…les bastante considerables para bloquear los el debido cumplimiento. Palacio 24 de O ctubre de 1839.= ra.zzA L. R. P. de V. M .=EI alcalde primero , Juan del Casti­ puertos del Perú y enviar dos ejércitos al mismo pais. Ahora Sr. Secretario del Despacho de...... llo.—El alcalde segundo, José García.nRegidores: Javier G il.= que la guerra se ha concluido de un modo favorable para C h i­ Ju an López =Francisco Megías.—El procurador sindico geueral, le, sus gastos deben haber dism inuido; y asi es que el Minis^ PARTE RECIBIDO…</t>
  </si>
  <si>
    <t>…ndo ver la necesidad que hay de conceder al Gobiernb éste ‘ impusiese inmediatamente el castigo. menino, que yo creo que no se limita solo al número de 200, recurso ; y añade que por el método que establece la comisioii' El Sr. Secretario del Despacho de la G U E R R A : A dos ob­ sino que pasa al de 4OO ó 600. Estas bajas, señores, que resul­ se originarán menos perjuicios que de cualquier otro modoY * f jetos se reduce la interpelación del Sr. duque de G o r : primero ta n , son bajas físicas y morales, y e s una injust…</t>
  </si>
  <si>
    <t>…: Dios es testigo de lodo.’’ l í e n t e , en que manifiesta que habirndo llegado á esta corte el terpelación al Gobierno he creido hacerle un servicio eminente. A r t. 45. El Regente del R e in o , siendo padre ó madre del Sr. Secretario del Despacho de E&gt;ta&lt;lo, Presidente en propiedad So y a m ig o del obispo electo de M á l a g a , y tengo para mí que la R e y m en or, prestará juram ento en el trono con las mismas for­ del Consejo de M in is tro s , desde el dia siguiente 5 se encargaba persecución que sufre ese dign o…</t>
  </si>
  <si>
    <t>…rencia coa Real orden que sigue: el capitán bajá, intimando á este último que entrase en el canal; debe ir también. M M . Barlhe y M artin (del N o rte), van i pero Achmet respondió que tenia derecho de navegar sobre el «El Sr. Secretario del Despacho de la Guerra dice con Plombiere-., donde y a están M M. Mole y Montaiivet. Mr. Thier M editerráneo, y que ademas sus órdenes eran precisas. esta fecha al capitán general de Galicia lo siguiente: se encuentra en Cantcrets; Madama Duchatel en B a g n e r e s ;M r El almirante…</t>
  </si>
  <si>
    <t>…ragoza. superior de caballos que la que le podia tocar de m ulasycaba- go renuncio á la palabra. Después de otras observaciones sobre este punto , y conocien­ llos, y quiero que se tenga esto en consideración al tiempo de El Sr. Secretario del Despacho de H A C IE N D A : Esas pre­ do sin duda el orador la distracción con que era oido por algu­ sacar las muías. Lo mismo digo de las provincias de Andalu­ guntas son todas concernientes al ministerio de L Guerra. Sien­ nos D iputados, dijo que conocía que no era este uno de…</t>
  </si>
  <si>
    <t>…todavía en no tendrii dificultad en dar su apoy } á la nueva redacción del A zcoitia , y alli estaba también M aroto hace tres días coa una artículo. M A D R ID 6 DE E N E R O . corta escolta que trajo en su compañía. El Sr. Secretario del Despacho de H A C IE N D A observó que H oy se celebra en esta villa con toda solemnidad el segundo Ta objeción del Sr. Elordi estaba contestada en sí misma. Que aniversario del levantamiento del sitio memorable que sufrió la sí efectivamente habia provincias que tuviesen cubiertos…</t>
  </si>
  <si>
    <t>…cta de la provincia de A v ila , en la cu al El Congreso quedó enterado de varios decretos remitidos observaba la comisión que se decía vaga é indeterminadamente trangeros.0 ^ P°MÍ °Peraciones SQbre demas fondos ex - por el Sr. Secretario del Despacho de la Gobernación de la Pe­ que se habia anulado é invalidado una porción de votos sin que n ín su la, expedidos en el raes anterior, relativos al nombra­ constase la razou de n u lid ad , y para que en m ateria tan g ra­ miento de Senadores por varias provincias. ve no se…</t>
  </si>
  <si>
    <t>…rchivase dicha exposición. noticia de V. E. para los efectos consiguientes. De Real El Ministerio ingles no ha acabado aun sus modificaciones. El Sr. CA LD ER O N G O LLANTES dice que siente infirn- orden, comunicada por el Sr. Secretario del Despacho de Sin embargo, se ha agregado ya á Mr. M ac-Aulay uno de to’ que las circunstancias en que se halla el Congreso le hagan Estado, lo traslado a V. E. para los efectos oportunos en los oradores mas distinguidos de los Comunes, que toma el guardar silencio sobre lo que se dice…</t>
  </si>
  <si>
    <t>…aras cúbicas, acopiándose con sepa­ de Mayo de 18 &gt;9.—Excmo. Sr.—Francisco Muñoz y Andrade.— 22 caballerías, se han construido los cimientos de dicha alcan­ ración 63 cargos de piedra, colocándolos en paraje próximo y Excmo. Sr. Secretario del Despacho de la Gobernación de la tarilla , que contienen 3148 pies cúbicos de manipostería con cómodo para emplearlos cuando se eche el fírme. A pesar de las Península. buena mezcla , y conducido piedra para unas 43 varas cúbicas continuadas lluvias que han hecho perder algunos dias…</t>
  </si>
  <si>
    <t>…ico á Y. E. para su conoci­ nanda, continúan en esta corte sin novedad en su im­ cargo. miento y efectos correspondientes en el ministerio de su portante salud. Y de la misma Real orden , comunicada por el referi­ CORTES. do Sr. Secretario del Despacho de la G uerra, lo traslado CONGRESO DE DIPUTADOS. M INISTERIO DE LA GUERRA. á V. E. para su conocimiento y efectos consiguientes. Dios guarde á V. E. muchos años. Madrid 28 de Setiembre de P R E S ID E N C IA DEL SEÑOR CALATRAVA. Reales órdenes. 1839.=E1 subsecretario de G…</t>
  </si>
  <si>
    <t>…, y no es una de las meno­ llevar adelante la gu erra. cuadro vigoroso de nuestra caballería , por las condiciones que r e s , sino acaso la mayor la que ha expuesto el señor preopi­ A consecuencia de esta m anifestación del Sr. Secretario del reúnen. n an te, pues lejos de procurar el fomento de esta preciosa espe­ Despacho de la G uerra quedó retirado el proyecto. Pa só el Sr. Zarco del V alle á enum erar los medios á que se cie c a b a lla r, se repite una y rnas veces la requisición contra ella, Procediéndose al orden…</t>
  </si>
  <si>
    <t>…. E. Dios guarde d Y. E. 7 654-14 Granada.................... 24586 muchos años. Paieucia 5 de Mayo de 1859.—Excrno. Sr.—M i­ 8 ............................... 1/j7()..1() Guadalajara 8547..25 guel Antonio Camacho.—Exorno. Sr. Secretario del Despacho de 9 ............................... 785.. 15 Huelva......................... 4975.. 1 1 0 .. ........................... 2 0 2 1..52 Huesca....................... 2970..20 la Gobernación de la Península. 11 .. 287.. 15 J a é n ............................ 11759.. 16 12..…</t>
  </si>
  <si>
    <t>…s cuarto con la lectura del acta de xiotes como el resultado de otras nuevas sobre uaa situado (G . /VA la anterior, que fue aprobada. cuyos diversos aspectos se han dilatado y dibujado mejor. Se dio cuenta de un oficio del Sr. Secretario del Despacho ’ En cuanto á la cuestión de Oriente, las ideas de Mr. Thiei de la Gobernación de la Península, acompañando un parte do ­ parecen ser también las de S. M. Por masque hayan dicho 1 cumentado del gefe político de la provincia de Almería sobre contrario algunos periódicos, es…</t>
  </si>
  <si>
    <t>…asta ahora gastos é inconvenientes que produciría sin ninguna utilidad, rias aclaraciones. han percibido. Palacio del Congreso 15 de Diciembre de 1858.=: pues la stm ic h asq u e para todo ex i s lia n q w r-s e r* ^ ^ l El Sr. Secretario del Despacho de la G U ER R A : Creo que Pascual Fernandez Baeza.^M . Zumalaharregui.^zFrancisco C u - día no daban ,ni;&gt;gun resultado , y no por falta de celp^en sus está reducido el proyecto en cuestión al modo de regularizar la rado.~Gov antes.—Berta vides, secretarlo. individuos ,s h…</t>
  </si>
  <si>
    <t>…e la ció n , cu ando se u n ió n , á fin de poder vencer al enem igo. vara i n d u d a b le m e n t e , so lo c o u ella h a b r e m o s g a n a d o mas con cedía el recurso de&lt;segunda su p lica ción en asuntos de m enor El Sr. Secretario del D espacho de H A C I E N D A : El G o - cu aitfíá dúte. dos y tres .tribunales* batallas, q u e las q u e h u b ié r a m o s p o d i d o ga n a r c o u todas bíérnó agradece al Sr. Peña A g u a y o que la primera vez que ha Entiió el .Sr. .M in istra de H acienda en el salón. las pr…</t>
  </si>
  <si>
    <t>…n sig uien te me abstengo de hablar mas. m a parte del G obierno; y a s i , á q u ie n corresponde hacerlo es m an dar leer el objeto de mi interpelación. El Sr. M E N D I Z A B A L : El Congreso notará lo sobrio y al actu al Sr. Secretario del Despacho. Se l e y ó , siendo su contenido el s ig u ie n t e : Que habiéndose circunspecto que he s id o , porque conocía que no era tiempo de El Sr. Baeza hace a lg u n a s a c laracio nes, como igu a lm en te el tomado por la a u to rid ad de C a ta lu ñ a disposiciones contra la…</t>
  </si>
  <si>
    <t>…tros toda la responsabilidad de la colisión A b ril de l839.:=Excmo. S r .n Francisco Muñoz y Andrade.“= desmotado 188 pies cúbicos de piedra en roca muy dura. que últimamente ha habido entre los habitantes de la nueva Exemó. Sr. Secretario del Despacha de la Gobernación de la Brunswich y los ciudadanos del Estado del M aine. Por eso se Peinusula. Idem en la construcción d el ex p resa do puente. censura á los w ighs de no haber concluido en el espacio de Se han sentado 300 pies cúbicos de cantería en el machón cinco años…</t>
  </si>
  <si>
    <t>…que existe una recomendación firmada 1859. = Luis Felipe. = Por mandado del R e y , el guardasellos Hace algunos dias se asegura que el Papa convocará en la por el Secretario de Estado americano y por el representante de Ministro Secretario de E stado, de Ju stic ia y de los Cultos, próxima semana un consistorio e x trao rd in ario , y otro en pas­ S. M. en W a s h i n g t o n , con el fin de conseguir la solución p a­ Barthe. c u a , en el cual varios prelados recibirán el capelo de cardena­ cífica de la diferencia. M i úni…</t>
  </si>
  <si>
    <t>…, contra Desde el año 1854 Navarra se ha regido por leyes excep­ distrito de Alarcon en la provincia de Cuenca, reclamada por el quienes ninguna objeción se opuso por esta circunstancia, y cionales. Coogreso, y que remitía el Sr. Secretario del Despacho de la hasta se declaró con respecto al último,cuando obtuvo el nom­ daba (leyóEl); art. y eso 7.° de la ley electoral que regia entonces man­ que estaban expeditas las comunicaciones, y Gobernacioo. bramiento de magistrado, que ni aun estaba sujeto á reelección. no habia ll…</t>
  </si>
  <si>
    <t>…bido estas sumas hará nuevos adelantos sobre algunas accio­ sobre este punto. nes industriales. (C. Belga.) Por el ministerio de la Guerra se dice con esta fecha En Montreal los habitantes habían resuelto recibir favora­ al Sr. Secretario del Despacho de la Gobernación de la blemente al gobernador general y ver venir las cosas. El comer­ Península lo siguiente: cio estaba algo paralizado en ambas provincias; la venta de los ITALIA. He dado cuenta ¿ la Reina Gobernadora de lo expues­ artículos de importación era muy lenta…</t>
  </si>
  <si>
    <t>…dad , pues de no se verificaría una cede á los empleados del Gobierno es puramente reglamentario. Si estos empleados se dejan en las circunstancias que los de­ idea que indicó ayer el Sr. Sancho que no tiene contestación, El Sr. Secretario del Despacho de H A C I E N D A : El Con­ m ás, ¿n o ejercerá el Gobierno sobre ellos una acción excesiva é cual es, que se rompería esa cadena de la responsabilidad que greso conocerá que la situación del Gobierno en la cuestión pre­ influencia g r a v e , que quizá perjudique al crédit…</t>
  </si>
  <si>
    <t>…n nada tiene que ver en este asunto la bas provincias , optaba por la segunda. tuirse el Congreso; sin embargo, no puedo menos de convenir diputación. Yéase pues, señores, con cuán poco fundamento se Asimismo dio cuenta el Sr. Secretario de otras comunica­ con la indicación del Sr. Presidente. Se pueden discutir hoy trata de argüir á esta corporación respetable, que procedió con ciones de Sr es. D iputados, que la cortedad de su voz y el ru i­ los dictámenes de Albacete, de Navarra y de la Coruña y mas, la mayor imparcia…</t>
  </si>
  <si>
    <t>…plir las obliga­ labras: " y por medio de negociaciones sobre la plaza para las cinco. ciones de la g u erra, antes que pagar la deuda. cuales se halla autorizada.” Que en cuanto á lo que se ha dicho sobre que las medidas El Sr. Secretario del Despacho de H A C IE N D A , contestan­ que adopta la comisión son para fomentar el crédito y hacer do á las observaciones del Sr. Sancho sobre que se quite la pa­ MADRID 12 DE EN ERO. independientes los fondos de la caja , esto da á entender que no labra c o b ra r , dice que expres…</t>
  </si>
  <si>
    <t>…Gil gun a provincia los que tuviesen jurisdicción en ellas. Pasó la que acreditan su aptitud legal. (D. Pedro), y A y a la . adición á la comisión, y después se pusieron algunas palabras Asimismo lo quedó de otro oficio del Sr. Secretario del Tercera sección.—Sres. L u j a n , M ontesino, López, Sánchez que pueden indicar que pueden ser adm itidos; lo cierto es que Despacho de la Gobernación manifestando que S. M . se ha de la Fuente , M ad o z, Arrazola , V il l a l o n , J o v e r , Calero de las Cortes aprobaron lo q u…</t>
  </si>
  <si>
    <t>…puedan ser nombrados D iputados por El cónsul de S. M. en Elseneur ha remitido al E xc e­ no tiene presente esta parte como yo que fui individuo de ia ninguna de las provincias del distrito de su m an do, y que la lentísimo Sr. Secretario del Despacho de Estado la noticia comisión. Estando pues conforme el dictamen con lo que la ley modificación de las provincias en que residan se entiende ú ni­ sig u ien te: prescribe, creo que el Congreso aprobará el dictamen sin que camente respecto á los intendentes, contadores , tes…</t>
  </si>
  <si>
    <t>…o de enriquecerse; digo mas , el riesgo existe porque yo no concibo qué diferencia sustancial hay de la nueva redac­ 16, 17 y 18. puede saberse por algunos cuándo han de hacerse estas opera­ ción á la antigua. El otro dia el Sr. Secretario del Despacho Leido el 19 , dijo ciones, aun sin decirlo ninguno de los individuos de la junta. de Hacienda en su discurso explicó este artículo en los mismos El Sr. M A RT ÍN EZ DE L A R O S A : M i oposición á este .Pues q u é, ¿no se sabe que el pozo de todas las falacias y men­ términ…</t>
  </si>
  <si>
    <t>…s un proyecto para e x t in g u ir el c o n t r a - El jueves próximo g r a n solem nidad d r a m á tic a en el teatro Agosto elevó ai Gobierno de S. M . u n a exposición quejánd&lt; e | bando , c u y o proyecto manifestó dicho Sr. Secretario del D e s- del Liceó. En aq u ella noche se e je c u ta rá la com edia n ueva del leí sistema m i l it a r adoptado en d ich a p r ov i n c i a , y pidiendo a | pacho en el expresado departam ento ser m u y ú t i l , y que lo .Sr. D . Francisco M a r tín e z de la Rosa , t it u l a d a…</t>
  </si>
  <si>
    <t>…a una , y leída el acta de la anterior, quedó casa extrangera con combinaciones y cálculos, no puede quedar aprobada. sujeta á los momentos acalorados de una subasta. A N U N C IO S O F I C I A L E S . Se leyó un oficio del Sr. Secretario del Despacho de la Go­ La comisión , como he dicho, no tiene empeño en que esa bernación, acompañando una colección de las circulares y ór­ formalidad se conserve, mucho mas no hallándose presente el D irección g en eral d e Rentas provinciales . denes expedidas por su ministerio en el…</t>
  </si>
  <si>
    <t>…d de D ios guarde á V . E. muchos años. M ad rid 15 de M arzo de todas las embajadas reina una activid ad tal que se podría creer 9 oútn. 2 5 , manz. 8 5 , retasada en 5 6 ,1 2 6 rs. l859.= E xcm o. Sr.rrZenon Asuero.^Excmo. Sr. Secretario de que hao empezado las hostilidades. Unos dicen aue e fec tiv a­ |*as personas que q u ieran hacer p o stura, ó m ejora , á todas, Estado y del Despacho de la Gobernaciou de la Península. mente es a s i; otros pretenden que h ay motivos serios para que</t>
  </si>
  <si>
    <t>…U cu estión, y podamos eateadernos. sa de la causa de la libertad y de la Reiu a Doña Labe! 1 1 ; esa que el Sr. Mendez V i g o . M ilic ia que tautas pruebas tiene dadas de su patriotismo , y Quedó retirado el dictámen. E l Sr. Secretario del Despacho de la G U E R R A : Contestan­ que ha sido el sosten de la tranquilidad y seguridad de los ciu ­ Se dió cuenta en seguida del dictamen acerca del acta de do á las observaciones del Sr. C ala tra v a (D. R a m ó n ), diré en dad an o s; esa M ilicia , señores, se encuentra en…</t>
  </si>
  <si>
    <t>O nombre de a q u e l , pí..Irían rcasio nsrse p erju icios de consideración. I I - d i c h o el Sr. A lia isfro de H acienda que no u e * e n unca El &gt;,r. conde d é la s N . \ V A S’: II i dicho el Sr. M in is tr o que El Sr. Secretario del D espacho de la G u e r ra hizo a l g u n a s tiempo püra leer los p erió dico s, y m ucho menos para ocuparse y o he insistido en !o de la Gaceta. Puedo a s e g u r a r al Congreso rectiíicscione.--. en contestarle*. Pues sea m u y enhorabuena , concedo á S. S. to­ que no me he acor…</t>
  </si>
  <si>
    <t>…el artículo, y prefiere que el Congreso no le apruebe á quiere significar, y por lo mismo no puedo aprobarle. interpelación no es de manera alguna corno de hostilidad al decir que lo retira , pues lo cree muy en su lugar. El Sr. Secretario del Despacho de H A C IE N D A : Señores, El Sr. BORREGO dijo que creía de suma importancia el he pedido la palabra para contestar únicamente á una expre­ Gobierno, y particularmente al Ministro actual que no ha te­ asunto que ocupaba al Congreso , y que habiendo sido bastan­ sión del di…</t>
  </si>
  <si>
    <t>…respetable como un juez de primera eso es justamente lo que deseo que se investigue , porque lo que men en los términos que la comisión lo propone. instancia. veo es que no estando admitido el sufragio universal, existe en El Sr. Secretario del Despacho de G R A C IA Y J U S T I C I A : El Sr. Secretario del despacho de G R A C I A Y J U S T IC IA : una fracion del reino. Tratándose de las elecciones de Galicia y de la p ro v in cia, creo, El Sr. Cortina ha contestado á un articulo del C o r r e o , mo­ Este fenómeno se enc…</t>
  </si>
  <si>
    <t>…er la guerra con ar­ Se suspendió esta discusión. reglo á la estipulación de lord Elliot y principios del derecho Habiendo obtenido la palabra , d ijo: de gentes , haciéndole conocer toda la extensión del crimen c o ­ El Sr. Secretario dei Despacho de la G O B E R N A C IO N : El metido por Balmaseda, justificado plenamente en la sumaria DIRECCION GENERAL DE LOTERIAS NACIONALES. Gobierno retira los artículos 28 , 55 , 4^ j 4^ J 46 de orgánica de ayuntamientos que se habian suspendido por acuer­ que tuve la atención d…</t>
  </si>
  <si>
    <t>…ertura de cimieutos de Guadiel, y com­ Londres 6 de Abril, chos años. Jaén 10 de Abril de l859.z:Excmo. Sr.ssFrancisco pra de yeso................... ....................................... 1 , 547 . . 9 Muñoz A ndrade—Excmo. Sr. Secretario del Despacho de la Fondos públicos. Consolidados, 92f. Gobernación de la Península. Alcantarilla del Regajo grande . Bonos del tesoro, 38. Idem de las Indias, 4 O. Gobierno político de la provincia de Jaén.^Carretera de peones Por 655J jornales de los sacadores de piedra, Acciones de ba…</t>
  </si>
  <si>
    <t>…guarde á V. E. muchos años. Madrid 14 de m a liz a r un parte c ircu nstan ciado de todas las operacion es, que des que os distin g uen, todo lo v e n c e re m o s: la R e in a y la p a tr ia Mayo de 18 39.= lsid ro A laix.= Sr. Secretario del Despacho en globo verá V . E. en la a d ju n ta copia de la orden gen eral de p re m ia rá n tan heroicos sacrificios : los pueblos os re cib irán con h o y , y por ella podrá form arse u n a idea del m érito de esta entusiasm o , y por siempre conservareis el am or de vuestro g e ­…</t>
  </si>
  <si>
    <t>…s de los u s o s, trajes; y costumbres d e todas; Ibs nació-; de tiradores de la Pa t ri a de esta pro v i n c i a por disposición del nes , t r a d u c id a ¡ibrémooté d e l francés* por D . M." J . ; d e ; M . Un* Excuio. Sr. Secretario del Despacho de la G u e r r a , asi como el B IBLIO G R A FIA . tomo en 8.° apaisado. Esta obra,; que antes se v e n d í a e » 5Q r dar publi cidad á este generoso desprendi mi ent o de D . V ic en te h a lla r á eñ la lib re ría de la v i u d a de R azó la, á 4 0 rs. en rú s t ic a .'…</t>
  </si>
  <si>
    <t>…tableció el orden en el momento. Conozco que rectifican varios .hechos. del S e n a d o ; y asi ruego al Sr. Presidente que m ande p re g u n ­ a q u i se habla de Y a l e n c i a , qu e pocos d ía s an tes se h a lla b a El Sr. Secretario del Despacho de la G O B E R N A C I O N : t a r al Senado si estamos en situación de en tra r á t r a t a r de m a ­ en estado excepcional , y se cree q u e no podrá gobernarse sin H e tenido el disgusto de haber llegado cua n d o y a el Sr. Gon­ t e r ia tan importante. este m e d i o…</t>
  </si>
  <si>
    <t>…la com isió n, y se resol­ correspondería, con proporción al señalado por la ley ya alcanzó el d ia 13 en las inmediaciones de Picón á tres faccio­ vió por la afirmativa. citada de 30 de Junio. Se dio cuenta de un oficio del Sr. Secretario del Despacho sos montados, quedando muertos dos, y en poder del referido Art. 3.° Si alguna diputación provincial no cumpliese oficial sus malos caballos y escopetas. de Gracia y J u s t ic ia , acompañando un ejemplar de la ley san­ puntualmente con este deber, lo desempeñará el inten­…</t>
  </si>
  <si>
    <t>…ratos, y del estampado D. Doroteo en gefe de las provincias de Ciudad-Real y Toledo dice con Inscripciones en el gran libro á 4 por 1 00 , 00. Bachiller. El Sr.^ de Gómez ha desempeñado el del expresado esta fecha al Excmo. Sr. Secretario del Despacho de la Guerra Títulos al portador del 4 P ° r 1 0 0 , 00. autor. lo siguiente: Excrao. S r.: En las últimas operaciones ejecuta­ Vales Reales no consolidados, 00. das contra los facciosos de estas provincias desde mi parte an­ Deuda negociable de 5 por 100 á p ap el, 00. te…</t>
  </si>
  <si>
    <t>Gaceta de Madrid n.º 1774 · extraordinaria</t>
  </si>
  <si>
    <t>…eral, ob,eto de todos m is desvelos, y por la q G uár­ e t e valiente c u e n to virtuoso ejercito. D .o s g u a r d e a V - . d , tel general de U rdax 14 de Setiembre de 1 8aJ._h .acm o. o r . - m uu q Y ictoria — Eacmo. Sr. Secretario del D espacho de la G uerra.</t>
  </si>
  <si>
    <t>…do de la d i p u t a ­ S e ñ o r a : El a y u n t a m ie n t o , c a p ita l de p a r t id o , de S. M a r t i n la precisión de los términos en que esta circunscrita ; pe- ción p r o v i n c i a l , M ateo Candalisa;r=Excmó. Sr. Secretario del de Q u iro g a , en la p ro v in c ia de L u g o , que circu n scrito p u r a ­ netradofradémas^su Real ánimo; de la necesidad de reme­ Despacho d é l a G obernación de la Peniusúla. mente á sus a t r ib u c io n e s , no acostum bra á distraer la a téiieion cí iar y prevedip en inüch…</t>
  </si>
  <si>
    <t>…derán la competente certificación, que pasarán á rior quedó aprobada. motivo existan aquellos documentos, y sobre ello se les impone los intendentes para que dispongan se proceda de apremio por Se dió cuenta de un oficio del Sr. Secretario del Despacho la mas estrecha responsabilidad. el citado importe, con mas por el cuatro tanto contra los cille­ de Gracia y Justicia manifestando que S. M. la Reina Gober­ Art. 47. Para que pueda practicarse la regulación del va­ ros ó administradores responsables, sin perjuicio del esta…</t>
  </si>
  <si>
    <t>…to la direc­ Cuartel general de Urdax 14 de Setiembre de 1859. Excmo. la clase de gefes de administración: la de no hacer ningu­ ción recomienda á V. S. la frecuencia de las visitas de los Sr.=El duque de la Victoria.rzExcmo. Sr. Secretario del Despa­ na con motivo de resultar vacante cualquier destino; y la estancos y aun de las administraciones subalternas, como cho de la Guerra. de dar parte de toda traslación que acordaren con estas el medio mas seguro, «ó se emplea acertadamente, de des­ limitaciones, con el fin de que…</t>
  </si>
  <si>
    <t>…el mismo con el presupuesto aprobado por la ley de 27 de guerra los bienes del clero secular. (Id.) Todas estas obras se venden en la librería de la viuda de Ju lio del año pasado. (Núm. 1517.) Razóla. concediendo al Excmo. Sr. Secretario del Despacho de M a­ rina el uso de media firma en todos los oficios, ordenes, ce- d u las, pasaportes y demas documentos que se expidan por el BOLETIN DE COMERCIO. Ministerio de su cargo para España y para U ltram ar. (Nú­ DIORAMA. Cotización d e l dia 20 d las t r e s d e la ta rd e…</t>
  </si>
  <si>
    <t>…doy fe y Dios guarde á V. E. muchos años. Jaén 16 de Marzo do periódico; mas que esto solo debe entenderse hasta 1.° á que me remito: y para que conste y remitir para su publi­ dé¡ 1859.:±Excmó. Sr.'^Francisco Muñoz.=Exc4no. Sr. Secretario de O ctubre del año próxim o pasado, época en que empe­ cación ál Sr. redactor de Ja Gaceta, pongo el présente que sig­ del Despacho ;de la Gobernación de la Península. zaron á reg ir los nuevos presupuestos, y desde la cual ha­ no y firmo en Madrid á 19 de Marzo de l839.=José Plácido llá…</t>
  </si>
  <si>
    <t>…DEL LUNES 21 DE OCTUBRE DE 1839. las palabras de los Sres. Ministros, y á pesar de los hechos que cho que estoy de acuerdo en esto, y en las expresiones conteni­ Antes de la sesioti se reunirán las secciones para nombrar el Sr. Secretario del Despacho de la Gobernación ha indicado. das en el convenio de V ergara, que dice asi: (leyó. ) Se dice que el tratado de Vergara ha sido un suceso contra Pues ahora bien, si todos estamos de acuerdo en que la pro­ labado comisión que ha de informar sobre el proyecto de ley apro­ po…</t>
  </si>
  <si>
    <t>…antes de este últim am en- hacer electiva la contribución extraordinaria de guerra que re­ mar la doctrina perniciosa y antisocial de que la conveniencia te? ¿ Y las víctimas de Zumalacarregui? ¿ Y las víctimas de mitía el Sr. Secretario del Despacho de Hacienda. propia es la única regla de lo justo y de lo bueno? Herrera? ¿ \ las víctimas de Buñol, y de otra multitud de Se d ió cuenta de los nombramientos de presidentes y secre­ Señores, si nuestros enemigos continúan con sus atrocida­ puntos de que no puedo acordarm…</t>
  </si>
  <si>
    <t>…el mar con vi­ Los primeros serán: 12 de Junio de í839.=Excmo. Sr.—Joaquín María de Al­ vos colores, y sobre su superficie al lado del E. un delfín con Gramática castellana y latina con elementos de litera­ lla ba.^ Excmo. Sr. Secretario del Despacho de la Gobernación de una ninfa sentada sobre el lomo, que lleva de la mano un paño tura , á cargo de dos profesores. la Península. flotante que suspende con gracia sobre su cabeza , la cual mues­ Elementos de matemáticas, teneduría de libros y par­ tra la melena esparcida a…</t>
  </si>
  <si>
    <t>…unicado al de la G o bernación dé la P en ínsula la Real cante por ascenso de D. José Jiménez y Cisneros, á D. D ám a­ o rd e n q ue sigue: so Gómez R ubio, que desempeña el dél Barco de Avila ; pára París 14 de Julio . El Sr. Secretario del D espacho de la G u e r ra dice cóii éste partido á D. M agín Fernandez y Villegas, electo de M e- esta lecha al in té n d én té general m ilita rlo siguiente: C on­ dinacélij sirve el de para ésta vacante á D. Nicolás María Palacios, que La sentencia de Barbes ha sido conmutada. lié…</t>
  </si>
  <si>
    <t>…*° á 4 rs* Por providencia del Sr. intendente subdelegado de Rentas de Pastoral del obispo de Avila á 5 rs. Por Real orden que roe ha sido comunicada esta provincia se cita y emplaza á cualquiera persona que sepa lentísimo Sr. Secretario del Despacho de la Guerra con esta por el Exce­ Todos tres se encuentran en dichas librerías. del paradero de los créditos de la deuda del Estado, que se di­ misma fecha , se ha servido S. M. resolver que desde luego se rán , para que en el preciso término de 50 dias se presente á forma…</t>
  </si>
  <si>
    <t>…l general dé Medina de Pomar 19 dé Mayó de' í839.=:Excé- ron el mas profundo silenció. Por espacio de algunos minutos en su concepto el mayor embarazo para cualquiera Gobierno se­ léutísimó,Sr¿i=:El conde de Luchaba.= Excmo. Sr. Secretario de se suspendió el curso de las ^peticiones ord in arias, y los ge£eá r i ó l a Cámara de los C om unes; y guiado por este m o t i v o , al de. las dos opiniones permanecieron con íos brazos 'cruzados; púsmo tiempo que obedeciendo á otras inspiraciones , aconsejó Estado y del Despacho d…</t>
  </si>
  <si>
    <t>…ido en personas que hoy mismo son representantes muy d ig ■| Si no es para eso , no sé para lo que es. esto se sacrificaban las prerogativas del pueblo , tanto mas d i g ­ nos de la nación. | El Sr. L O P E Z : Debo decir al Sr. Secretario del Despicho nas de ser respetadas, cuanto mas apego las tenia por ser an ­ El Sr. conde de las Navas, lamentándose de la situación d 2 | de Gracia y Justicia que ha padecido una equivocación ; yo no tiguas. aquellos países, dijo que seguían allí las persecuciones, y sin dt •■i he citad…</t>
  </si>
  <si>
    <t>…e guerra y de sitio , que la ordenan­ Se suspendió esta discusión. sirva acordar que se remita por el Gobierno una lista de todos za es bastante; pero cuando llegue el caso de discutirse la ley Habiendo .ocupado la tribuna el Sr. Secretario del Despacho los individuos que h ay an sido colocados á consecuencia de la artículo por artículo yo prpbaré que no, y que la ordenanza de la Gobernación , leyó un proyecto de ley para reparar el ley del mes de Febrero de 1857 que autorizó la creación de no es suficiente. muelle de Puerto…</t>
  </si>
  <si>
    <t>…n certeros, y chos años. Granada 18 de M a y o de i839.=Excmo. Sr.—Alfon- han sido todos elegidos por la mayoría de los electores. Se sa­ c u y a construcción preseució el príncipe Alejandro de R u sia so Escalante.—Excmo. Sr. Secretario del Despacho de la Gober­ be que el Gobierno ha desistido de prevalerse de los nombra­ cuando visitó el arsenal de W o lv ich. El gran duque y su co­ nación de la Península. mientos hechos por la menoría. (Gazette d* Hambourg.) m itiva quedaron asombrados del prodigioso efecto de aquel…</t>
  </si>
  <si>
    <t>…e declarará el estado de sitio cuando una plaza esté que pudieran resultar de cijo. z a : basta, señores, conocer el h e c h o , y lo único que importa siti ada ; ó cuando h ay a una excisión grande en lo interior, p u e ­ El Sr. Secretario del Despacho de G R A C I A Y J U S T I C I A ver, lo que deseo que considere el Congreso independientemente da la autoridad hacer uso de la fuerza física. A esto reduzco contestó que el Gobierno avisaría cuando hubiese de contestar de todos los partidos, es si puede ó n o , sin faltar á…</t>
  </si>
  <si>
    <t>…s ha debido los que falten ahora. {Corresponsal d e Hamburgo.) Dios guarde á V . E. muchos años. M ad rid 25 de M ay o también como inmediata y necesaria consecuencia de este p r i­ de 1859.=:Excmo. Sr.zrZenon Asuero.—Excmo. Sr. Secretario de mer paso, entrar en comunicaciones con el ministro plenipo­ Estado y del Despacho de la Gobernación de la Península. tenciario de S. M. B. sobre la posibilidad y modo con que se GRAN BRETAÑA podian utilizar sus buenos oficios. Por fortuna los primeros obstáculos no han sido insupera­…</t>
  </si>
  <si>
    <t>…rtel general de D u ran go 25 de Agosto de 1859.=: bían de abortar los sucesos de Estalla , la degradación entre los M anuel de la Concha; las dos del centro por los de igual clase Excmo. Sr.—El duque de la V ictoria.—Excmo. Sr. Secretario de suyos del Pretendiente y el destierro de sus fanáticos agentes. D . J oaquin Bayona y D . Ram ón G ascón, y la izquierda por Estado y del Despacho de la G uerra. El boquete y fortalezas de Areta fueron un tanto el ancla el coronel D . Vicente de C astro; con lo que como á las cuatro…</t>
  </si>
  <si>
    <t>…e su recaudación, no la recla­ chosaños. Jaénservido que se ha 23 de dirigirm e.= Dios guarde á V. E. mu- Marzo de l839.=Excmo. Sr.=Fran- man menos en V. S. y en los empleados de esa provincia cisco Muñoz Andrade.=Excmo. Sr. Secretario del Despa­ el aumento de valores en las provinciales administradas, cho de la Gobernación de la Península» A N U N C IO S O F IC IA L E S . y en los derechos de puertas, para que se eleven al gra­ do que son susceptibles. 4.° Que la cobranza de los atrasos por todas contri­ Junta de q…</t>
  </si>
  <si>
    <t>…conciliar en ponerla en noticia de Y. E. para los efectos consiguientes. neros de la partida de Priego y 20 caballos, monturas, armas un caso particular la oposición en que cree se halla con De Real orden, comuuicada por el Sr. Secretario del y otros pertrechos. Les hice la sorpresa antes de amanecer en la Real orden de 14 de Setiembre de 1838 otra de 24 de Despacho de Estado, lo traslado á Y. E. para loa efectos - Valdeolivas, fruto de 24 horas de indecibk trabajo y no poca Enero de este añ o , acerca del abono de costas…</t>
  </si>
  <si>
    <t>…uesto , ó pedido el fiiscal de S. M. la pena de muerte , extra­ Orden del día t dictámen de la comisión de Actas sobre la tener reparo en aprobar el dictamen. admisión del Sr. Egaña. Después de unas ligeras observaciones del Sr. Secretario del ñamiento tales, ó del reino, ó presidio, reclusión y servicio de hospi­ confinamiento fuera de la Península por mas de ocho Se leyó el dictám en, que dice asi: Despacho de Gracia y Justicia acerca de la necesidad de la re­ años. La comisión de Actas ha vuelto á examinar las ya apr…</t>
  </si>
  <si>
    <t>…lombianos, 29¿. ^ A rt. ó.° P ara obtener plaza de celador se nece­ 24 de Abril de 1859 rzExcmo. Sr.^Francisco Muñoz y Andra- Holandeses, 102 f. de.^Excino. sita tener 24 años cumplidos y saber leer y escribir la Península, Sr. Secretario del Despacho de la Gobernación de correctamente, aritmética, geometría, trigonom etría Hemos recibido cartas de Constantinopla de fecha 27 de plana y geometría práctica", y tener principios de Carretera de Granada á Bailen.raSegunda semana de Abril Marzo. Los oficiales de marina ingleses…</t>
  </si>
  <si>
    <t>…Y . E. muchos años* Córdoba 25 de Ju n io de i859.~E xee!er.tí- estaba á su frente: todo juuto y cada objeto por sí solo exci­ marchaba á Monte-Morelos para conceder al Sr. Leum? la ren­ sirno Sr.izJosé Melchor P rat.—Excmo. Sr. Secretario del Des­ taba conmoción, sensaciones profundas y satisfacciones in ex ­ dición qoe habia pedido, y someterse á la obediencia del su*- pacho de la Gobernación de la Península. preroo Gobierno. plicables. Adórnase el prelado con las vestiduras pontificales: el Ya habíamos vaticinado el t…</t>
  </si>
  <si>
    <t>…da la superioridad que sue­ Ó EL ENAMORADO DE UNA REINA : El Sr. Secretario TORRES SOLANOT leyó un oficio del le darse á las segundas respecto de las primeras. Pero nues­ comedia nueva , en dos actos, original de Mr. Scribe. Sr. Secretario del Despacho de la Gobernación de la Península, tro autor, con muy buena filosofía, reconoce «que la socie­ manifestando que S. M. la Reina Gobernadora se habia servido dad , respetando con justicia los grandes genios que la 3.° señalar la hora de las dos de la tarde del domingo 1.° de Se…</t>
  </si>
  <si>
    <t>de, Secretario de Estado</t>
  </si>
  <si>
    <t>Secretario de Estado de</t>
  </si>
  <si>
    <t>…no también en otras partes del mundo. V oy á manifestar á S. S. las preguntas á que desearía M r. Girod (de l'A in ), Par de Francia , queda nombrado médico ha declarado que no habia esperanza de curación. Guardasellos, Ministro Secretario de Estado del departamen­ Hace pocos d ia s q u e se ha preso una cuadrilla de ladrones tuviese á bien responder. to de la Justicia y de los C ulto s, en reemplazo de M r. B ar­ compuesta de 50 hombres en una venta situada tres m i l l a s de Ha sido informado oficialmente el Gobierno…</t>
  </si>
  <si>
    <t>…cabo de este ejército y principado D. Antonio Seoane la ofi­ tinguida consideración con que se repite su muy atento obe­ cialidad de los cuerpos del ejército y Milicia nacional y demas diente servidor.r:J osé Espiaar~=Exctno. Sr. Secretario de Estado dependencias militares. S. E. ha recibido á todos con la noble cu el Despacho de Relaciones exteriores de la N ueva Granada Bolsa de hoy. Cinco por 100 al contado, 11 i fr. 9 60 c. franqueza militar que distingue á un general de los honrosos id. tires por i 00 , 79 fr. 45 c. C…</t>
  </si>
  <si>
    <t>…ones municipales, seguros de alcanzar con su unión y venideros, salud. su empresa , discurrieron tener sus sombreros puestos durante el trabajos una situación de mayor ventaja y prosperidad fa*? A propuesta de nuestro Ministro Secretario de Estado del oficio divino,.creyendo cou razón que yo les obligaría á descu* ra la riqueza é instrucción pública.</t>
  </si>
  <si>
    <t>de, Secretario Réal</t>
  </si>
  <si>
    <t>Secretario Réal de</t>
  </si>
  <si>
    <t>…provincia de Granada \ Estado en las dependencias del tninistgrio de la Gobernación. al mariscal de campo D. "Manuel de Soria. (Núm. 1479.) * ¡ (Idem.) \ É S T A D O M IL IT A R rnnnpdiendo la gracia de la riiedla* firma ai Sr. Secretario Réal decreto nombrando tenientes generales á D. Isidro A laix de Estado y del Despacho dé la Guerra D. Isidro A la ix .(Id .), 1 y á D; Antonio Yan-Halen. (Núm. 1502.) ; * ’ P A M ?EL PRESEl^Té ANO DE Í859. &gt;;1. J _ _ _ nombrando subsecretario del ministerio de la Guérirá 'á'L Real orde…</t>
  </si>
  <si>
    <t>de, Secretariólde Estado</t>
  </si>
  <si>
    <t>Secretariólde Estado de</t>
  </si>
  <si>
    <t>…l Revillo , y Dado en Paris á 10 de Febrero de 1859.=iLuis Felipe.=Por cubriesen, no surtieron efecto; pero mis hijos no mostraron la está tasada en venta toda ella en 1575 rs., y en renta auual el Rey, el vicealmirante Ministro Secretariólde Estado de M ari­ menor resistencia cuando yo mismo empecé á quitarles el som­ en 47. na y de las Colonias, Rósamel, (Debatjj)* brero: entonces todos echaron mano á él, y salieron d éla Otra en donde llaman Yaldeacederas , de tres fanegas, que iglesia. linda á Poniente con carril de…</t>
  </si>
  <si>
    <t>de, Secretorio</t>
  </si>
  <si>
    <t>Secretorio de</t>
  </si>
  <si>
    <t>…M. apete­ de l859.=rEsc0(A Sr. = P. A., D„ gefe jpol.iticu^E,! intendente vejigas anquilosadas, y los de cojera incurable por rotu­ ce. En cxinsecucncia de la misma ley , y deseando S. M. Manuel Férna udex Traba pco-.—Excmo» Sr. Secretorio del Des­ ra de algún rem o d por alguna otra causa-, 1 hacer un uso prudente y justo de la autor iza clon qu e se pacho de la Goberoacioe de la Feuírnsula.. , , A r t 9,° Kl im porte tic lo s caballos que en consecuen­ i concede al Gobierno en la última parte cíe 1 articu lo 3.°, y., c…</t>
  </si>
  <si>
    <t>de, Segorbe</t>
  </si>
  <si>
    <t>Segorbe de</t>
  </si>
  <si>
    <t>…se dirigieron esta ciudad cumplirá con particular empeño la religiosa obliga­ con perseverancia y fruto á propagar y extender en España los ción que la impone el reglamento de componer su elogio h is­ Noticioso el gobernador de Segorbe de que los rebeldes se conocimientos positivos, que deben labrar su prosperidad, y n i­ tórico , en el que se detallen coa mas extensión los méritos de su habían llevado preso , con objeto ai parecer de fusilarlo, al pa­ velarla algún dia con las naciones mas favorecidas del globo. esclare…</t>
  </si>
  <si>
    <t>de, Serafin Nicolás</t>
  </si>
  <si>
    <t>Serafin Nicolás de</t>
  </si>
  <si>
    <t>…ndidos de Palillos, y de sufrir nes en que estima atendible y que se tenga presente en tiempo Tudela no acudiese al Gobierno para que según su contestación castigos por las facciones expedicionarias. oportuno una solicitud de D. Serafin Nicolás de A ran d a, te­ hubiera venido al Congreso. Tiempo es y a , Señora, que los españoles todos nos demos el niente coronel de infantería graduado, retirado en esta corte, Sé muy bien que la comisión no ha podido hacer mas; pero •brazo de paz sin extrañas intervenciones. Llegue el di…</t>
  </si>
  <si>
    <t>de, Serretario</t>
  </si>
  <si>
    <t>Serretario de</t>
  </si>
  <si>
    <t>…rá la fuerza con la También lo quedó de otro oficio del Sr. D. José M aría C a- Logroño, que opinaba la comisión debia aprobarse sin dificul­ Esta determinación del virey añade nuevas complicaciones latrava, remitido por el Sr. Serretario del Despacho de la Go­ tad respecto al Sr. O lózaga, y que para hacerlo respecto al se­ ¿ una cuestión ya m uy delicada , y hace cada vw mas difícil bernación de la Península, en que manifiesta renuncia el car­ ñor Adana era indispensable se pidiese copia del acta del d is­ el papel de le…</t>
  </si>
  <si>
    <t>de, Souit</t>
  </si>
  <si>
    <t>Souit de</t>
  </si>
  <si>
    <t>…re ¡ econocimiento de poderes, habiéndose señalado pa­ (Idem.) primero en esta cuestión el barón Pelet (de la Lozere) ; pero ra el inmediato la continuación del mismo asunto. que debia hacer presente á la Cámara que el mariscal Souit de­ seaba se le oyese antes que al Sr. interpelante. Hemos oido con referencia á los conductores del correo de El barón Pelet (de la Lozere) convino en ello, reservándose anoche, que los prisioneros cogidos á las inmediaciones de la sin embargo hacer algunas observaciones sobre la situación…</t>
  </si>
  <si>
    <t>de, Soult</t>
  </si>
  <si>
    <t>Soult de</t>
  </si>
  <si>
    <t>…dos en el campo á 1 0 , ta el últim o. (M o vim ien to en diversos sentidos.) después, porque Mr. de Broglie me decía que lo encontraba habiendo muerto entre ellos al comandante de armas g ra d u a d o Se ha acusado al mariscal Soult de haber negado su apoyo, j u s to , fu n d a d o , y que aconsejaría á sus amigos que no acep­ de teniente coronel llamado J o v é , uno de los primeros que le­ de haber sido el in strum ento de una política que no era la su ­ tasen otros. A ñad ía que tenia empeño en hacer que se acepta­ va…</t>
  </si>
  <si>
    <t>de, Soult. de Marzo</t>
  </si>
  <si>
    <t>Soult. de Marzo de</t>
  </si>
  <si>
    <t>…que rigorosamente se atengan nes qne se les habían hecho. servido declarar que está vigente el Real decreto de 27 á las estipulaciones del tratado de 16 de Agosto, y que cuiden Hoy ha habido muchas reuniones en casa del mariscal Soult. de Marzo de 1834, por el cual se suprimió el destino de de que el comercio ingles goce de todas las ventajas que el tra­ El mariscal ha ido muchas veces á conferenciar con S. M, juez protector de los teatros del reino, y se encargaron tado le promete. Los cónsules deberán admitir todas las qu…</t>
  </si>
  <si>
    <t>de, Sánchez</t>
  </si>
  <si>
    <t>Sánchez de</t>
  </si>
  <si>
    <t>…ro, R o­ El Sr, Ministro de G R A C IA Y JU S T IC IA : Me propongo española, y por donde se consolidaría, porque no habría espa­ mero, Alcon , Martin , H uelves, Fernandez Alejo. contestar ¿ algunas de las observaciones del Sr. Sánchez de le ñol ninguno que, viendo morir á sus representantes, no pre­ Fuente, y después á algunas del Sr. Arguelles , esperando que sentase su pecho á las bayonetas, asi de los enemigos declarados el Gobierno tome parte en la cuestión. de la libertad como de los enemigos encubiertos. Los estados…</t>
  </si>
  <si>
    <t>…ducido esa misma circular en Se­ sión de Actas. De él resulta que en el año 57 veinte pueblos tenían la c a­ v i l l a , donde también se extendió? N in g u n o : la presencia sola Pasó también á esta comisión un oficio del Sr. Sánchez del beza del distrito á una le g u a : en el año 59 veinte y tres pue­ de los Sres. Diputados por esta provincia confirma mi aserto. Pozo, suplente por Cáceres, solicitando se le permitiese tomar blos la tienen á esta distaocia. En el año 57 á dos leguas tenían Señores, la provincia de Sevi…</t>
  </si>
  <si>
    <t>…En la sesión del sábado se me hace decir 0 der en otros asuntos de ad m in istració n, como propios, arb i­ que un solo artículo que sea contrario á la existencia de las d i­ en el D iario de las sesiones, en contestación al Sr. Sánchez de trio s, y en otras materias de buen gobierno: en una p a la b ra , el putaciones forales de aquellas provincias ; pero en la esencia no la F u en te , que el presupuesto de la guerra importaba ciento y supremo consejo de N av arra cococia en los mismos asuntos h ay tal contradicción en…</t>
  </si>
  <si>
    <t>de, T.</t>
  </si>
  <si>
    <t>T. de</t>
  </si>
  <si>
    <t>Brasileños, 81. cám ara d e lo s co m u n es . Sesión del dia 27 de Febrero . bramiento de M r. Verhaegen , como se habia anunciado, slPi0 Colombianos, 29U con el del conde T. de M erode, hecho por los miembros que Mejicanos 2j* L ord John Russell dice que espera poder presentar antes votan por la p az, á fin de separar á M r. D oignon, que es de Holandeses, l05¿. de Pascua el bilí para el gobierno en lo sucesivo de los Caña­ la oposición extrem a, y que por la compo…</t>
  </si>
  <si>
    <t>de, Taylor</t>
  </si>
  <si>
    <t>Taylor de</t>
  </si>
  <si>
    <t>…ua que cubre a la mayor parte de nuestro planeta. sis de que siendo cierta su existencia, debió haber recibi­ EFECTOS PÚBLICOS. do alguna nueva confirmación. Pero aparece según infor­ TEXTO DEL DERROTERO. me dado por el Capitán Taylor del Bergantín Laurel que Inscripciones en el gran libro á 5 por 100 00. 1 ahora unos seis años el transpórte Dédalo tocó en ese Bajo ziseisavos Títulos al portador del 5 por 100, 20*, § y 20 , once díé- BAJO ABRE-OJO Ó DÉDALO. y recibió tal avería que |e fue necesario arribar á Lisboa y 20£…</t>
  </si>
  <si>
    <t>de, Teodoro</t>
  </si>
  <si>
    <t>Teodoro de</t>
  </si>
  <si>
    <t>…mo en 8.° á 14 rs. en pasta y 12 en rústica. NORMA, El filósofo solitario: obra in stru ctiv a, curiosa y filosófica, en la cual desempeñará la parte de A dalgisa Doña Carlota BOLETIN DE COMERCIO. compuesta por el célebre P, D. Teodoro de A lm eid a, traduci­ Y illó. da y aumentada con varias notas críticas, históricas y filosó­ BOLSA DE M AD RID . ficas: dos tomos en 8.° á 16 rs. en pasta y 12 en rústica. Se venden en la librería de Sánchez, calle de la Concepción, BUEN A -V IST A . A las ocho de la noche. Se dará p ri…</t>
  </si>
  <si>
    <t>de, Teodoro Cedrón</t>
  </si>
  <si>
    <t>Teodoro Cedrón de</t>
  </si>
  <si>
    <t>…entes de Terranova toquen en otros pun­ provincia de Lugo, dice: que noticioso el capitán de la Milicia G ra n a d a ........ 51 1591202 5850010 tos de Inglaterra, sino á las partidas del expresado artícu­ nacional de Nogales D. Teodoro Cedrón de que el cabecilla Guadalajara.. . . . 103 145 146..22 159663..2! lo que se declaren á depósito, y que sin entrar en él se Santo con 70 infantes é igualmente de caballos , se hallaba hos­ Gerona 6 221135..1Í 251800 envíen á puertos extrangeros , adeudándose el 1 por 100 tilizando e…</t>
  </si>
  <si>
    <t>de, Tomas Antonio</t>
  </si>
  <si>
    <t>Tomas Antonio de</t>
  </si>
  <si>
    <t>…l tiempo. Acciones del banco español de San Fernando, 00. Catálogo de los derechos y usos de comercio relativos alpa­^ R A T A D O de Derecho penal, escrito en francés por Mr. P. CAMBIOS. so del Suud, escrito en francés por D. Tomas Antonio de M a- Rossi, profesor de derecho político y constitucional en la rie n , y traducido al castellano por D. Luis Miguel Badin. Un universidad de Paris , y de economía política en el colegio de Londres, á 90 dias, 5 8 |. C oruña, l f d. cuaderno en 4 o? á 4 rs. en rústica. Francia : tr…</t>
  </si>
  <si>
    <t>de, Tomas Ballestee</t>
  </si>
  <si>
    <t>Tomas Ballestee de</t>
  </si>
  <si>
    <t>…ette des -postes de Francfort.) evitar es la ouiuípotencia de las asambleas deliberantes: este es cios de las autoridades locales de V alen cia , d irig id o el delirio de los pueblos, asi como el despotismo es el delirio por D. Tomas Ballestee de B elm onte , profesor de edu­ de los Reyes. cación prim aría y humanidades por S. M. # c. Una viva agitación sigue á este discurso. La sesión queda por algún tiempo suspensa. GRAN BRETAÑA. M r. Dubois , de la Loira inferior, combate los argumentos PROGRAMA. presentados por Mr…</t>
  </si>
  <si>
    <t>de, Tomas Fernandez</t>
  </si>
  <si>
    <t>Tomas Fernandez de</t>
  </si>
  <si>
    <t>…oscuridad de la noche, á favor IjA BIEN D O SE denunciado ante el Sr. alcalde primero cons- tra 42 el proyecto que autoriza al Rey Leopoldo para firmar de la cual el rebelde se dirigió hacia Sigúenza, cargando á la titucional D. Tomas Fernandez de V allejo, á nombre de las proposiciones de 25 de Enero de 1859. parte de Cifuentes. D. Domingo G ru yell, vecino de la ciudad de M álaga , en con- El proyecto adoptado por la Cámara de Representantes ha De todo esto di aviso al Sr. comandante general de la pro­ e p to de injurios…</t>
  </si>
  <si>
    <t>de, Tomas María</t>
  </si>
  <si>
    <t>Tomas María de</t>
  </si>
  <si>
    <t>…ses ocupar con detención en el examen de las ideas literarias extraños ó de tenebrosos escondrijos, inaccesibles á toda especie del autor, que por ser de persona tan calificada y de tan­ da del escribano del número en la misma D. Tomas María de peligro, continúan con sus embustes haciendo prosélitos en ta nota en la república de las letras, bien merecían un se­ Manrique, se sacan á pública subasta las fincas y efectos si­ nombre de un partido, sea presente ó futuro, ó por la causa rio y detenido análisis. Sin embargo, no pod…</t>
  </si>
  <si>
    <t>de, Tomas Pío</t>
  </si>
  <si>
    <t>Tomas Pío de</t>
  </si>
  <si>
    <t>…hace sentir su P U N T O S DE SU SCR IPCIO N * en el que desempeñarán la parte de protagonistas la Sra. Car­ gigantesca infiuencia , si no cual fuera de desear, al menos mas M adrid . lota Spuntoni, de edad de 10 años, y el Sr. Tomas Pío de 11. de lo que indican las probabilidades, si se atiende al estado de En el despacho del periódico, calle de la M ontera, n ú - fervescencia y agitación en que nos encontramos. Los diferen­ nero 14. tes periódicos de esta clase que se publican en Madrid y en va­ CRUZ. A las ocho de la…</t>
  </si>
  <si>
    <t>de, Tomas Trigueros y D. José</t>
  </si>
  <si>
    <t>Tomas Trigueros y D. José de</t>
  </si>
  <si>
    <t>…razón han En seguida fueron también llamados á la mesa D. Federico cuesta es tan espaciosa que el Rey Cristiano iv subió en su co­ tomado los Gobiernos de Europa, ofreciendo grandes premios M o lin a , D. M anuel M o lio a , D. Tomas Trigueros y D. José de c h e , acompañado con varios señores á caballo. La torre termina para estimúlar la atención de los sabios, y los resultados que se Zafra , y recibieron por ig u a l motivo que los anteriores un es­ en una hermosa galería c ir c u la r , desde donde h ay una hermosa han…</t>
  </si>
  <si>
    <t>de, Toreno</t>
  </si>
  <si>
    <t>Toreno de</t>
  </si>
  <si>
    <t>…lidación, y si uo no, se da Se leyó la lista de las peticiones presentadas desde la ú lti­ El Sr. Pidal ha indicado si la declaración de grandeza en nada. ma de que se dio cuenta al Congreso, las cuales pasaron á la el conde de Toreno debe mirarse como gracia ó como un acto Que si la amortización sirviese para consolidar y dar eré* comisión. de rigorosa ju stic ia, y yo pregunto: ¿puede la corona dar el dito á los fondos del Estado, ninguna nación tuviera un cré­ El Sr. PRESIDENTE observó que no hallándose presente títul…</t>
  </si>
  <si>
    <t>de, Toribio</t>
  </si>
  <si>
    <t>Toribio de</t>
  </si>
  <si>
    <t>…arte paradero de cuatro lám inas de deuda sin Ínteres que á conti­ Esperábase una respuesta del Presidente del Consejo á M r. de la costa, y se temían mucho otras. Pero en L ondres, á pe­ nuación se expresan , las que rem itió D. Toribio de M edrano á D uchatel 5 pero ocupó M r. Jacques Lefebvre la trib u n a, y h a­ sar de la fuerza del h u racán , ningún buque ha perecido ni su­ D . José M aria de Mendoza por el correo que salió de esta cor­ bló.... como negociante. M r. Jacques Lefebvre es uno de los frido averias conside…</t>
  </si>
  <si>
    <t>de, Toribio Quadrilleros</t>
  </si>
  <si>
    <t>Toribio Quadrilleros de</t>
  </si>
  <si>
    <t>…os Hechizos de am or, su viene á las corporaciones, establecimientos dependientes D. Lorenzo del M as bobo sabe mas no tienen sus tipos en de su ministerio, cuyos gefes y demas empleados de Real el teatro francés, sino en el D. Toribio Quadrilleros de nombramiento se incluyen en la Guia de Forasteros, que CRUZ. A las siete de la noche. Se volverá á poner en Guárdate del agua mansa, de Calderón, en D . Lucas del para la del año de 1840 se sirvan pasar notas certificadas escena la aplaudida ópera en dos actos del maestro Be…</t>
  </si>
  <si>
    <t>de, Tratado</t>
  </si>
  <si>
    <t>Tratado de</t>
  </si>
  <si>
    <t>…dirigido á Sigüenza con las tropas que están seguirse á los de la lengua patria. en rústica. á sus órdenes. Esta obra consta de un tomo en 8.° mayor, de buen papel y esmerada impresión , y se halla de venta en la librería de Don Tratado del tifo , por el Dr. Francisco Hildendoxand, tra­ Juan Sanz, calle de Carretas; Sra. viuda de C ru z, frente las ducido al castellano con notas por el mismo D. Félix Janer. Un Covachuelas, y eo el depósito de libros de primera educación, tomito que puede ir por el correo, su precio á 5 rs…</t>
  </si>
  <si>
    <t>De, Tsa-</t>
  </si>
  <si>
    <t>Tsa- De</t>
  </si>
  <si>
    <t>…os establecimientos de caridad de Dresde. (Id.) tilizar al enemigo, acompañándome una certificación del a y u n ­ tamiento y comandante de armas del pueblo de su vecindad, de su buena conducta y acrisolada adhesión á S. M. Doña Tsa- De una carta inserta en la Gaceta de Augsburgo , su fe­ bel tt ; y tomados por mí los informes oportunos, se les dará cha en Djedda á 10 de Febrero, extractamos las noticias si­ NOTICIAS NACIONALES. la autorización é instrucciones bajo las bases siguientes: guientes acerca del efecto que la to…</t>
  </si>
  <si>
    <t>de, Una</t>
  </si>
  <si>
    <t>Una de</t>
  </si>
  <si>
    <t>…tilos completos. guiente: U o a piececita de form a de co razón , con un agujero en el Lápidas . m edio; parece fue destinada á servir de ado rn o ; tiene una p u l­ En el dia de ayer verificó la salida de esta plaza el general Una de mármol blanco, encontrada en el ángulo de O. del gada de longitud. D . A ntonio A spiroz con dos batallones de S. Fern ando, los p ro ­ lado S, de dicha plaza , con estos caracteres: O tra id. de diám etro de una p u lg a d a , que en el anverso la vinciales de Jaén y V allad olid , la compañ…</t>
  </si>
  <si>
    <t>de, Unidad</t>
  </si>
  <si>
    <t>Unidad de</t>
  </si>
  <si>
    <t>…ecomendable el mérito adonde se les hayan de remitir á su tiem po; y en las provincias nes de Buquena. de estos sermones por la pureza del lenguaje, por la fuerza y en las librerías de D. Juan José Carratalá , de Alicante.:::Don Unidad del estilo, por la vasta erudición vertida á proposito en Manuel Sauri, Barcelona.z=Viuda de Carrillo y sobrinos, B a- Bdrgos 20 de Marzo. En las provincias continúan las ellos, y por la libertad apostólica con que se anuncian las ver­ dajoz.nD. Manuel García, Bilbao.ziD. Timoteo A rnaiz, B…</t>
  </si>
  <si>
    <t>de, Uno</t>
  </si>
  <si>
    <t>Uno de</t>
  </si>
  <si>
    <t>…. Ja v ie r U r :z , intendente geoeral del ejercito de operaciones , f u ­ abandonar su puesto. Los oficiales de este instituto, asi como silado por óideu de Maroto. el comandante general interino de artillería el coronel Don Uno de nuestros corresponsales que .se halla en el teatro de Los nombres de los que quedan en las provincias son : el J u a n Calixto de O je d a , y los demás gefes y oficiales de la pro­ la g u e rra, y en situación de conocer perfectamente el estado de general Elío, que manda en gefe el ejército…</t>
  </si>
  <si>
    <t>de, Urrea</t>
  </si>
  <si>
    <t>Urrea de</t>
  </si>
  <si>
    <t>…s comerciantes fra nce ses, son a b s o­ Y a habíamos anunciado que según la orden dada por el Se creia que estas enmiendas se adoptarían sin mutaciones luta mente conformes á las disposiciones del tratado ingles ; pero general Urrea debía abrirse el puerto de Tampico para el co­ materiales. el arreglo solo de los artículos no es el mismo en los dos c o n v e ­ mercio, y que su aduana bajaria el 25 por 100 sobre los dere­ Bombardeo de Buenos-Aires. nios. El de Inglaterra , asi c o m o otros varios do cum entos d i ­ chos…</t>
  </si>
  <si>
    <t>de, V.</t>
  </si>
  <si>
    <t>V. de</t>
  </si>
  <si>
    <t>…....................................... 100 20 U a in c ó g n ito ............... . ................ D. G. de O ........................... 80 4 D. Alejandro Olivan. . . . . . . ............................................. D. V. de P ................................................................................... 80 12 Un Miliciano nacional............................................................ D. Manuel de A r r a z o la ............................ 20 20 D. D. A. M ..........................................…</t>
  </si>
  <si>
    <t>de, Valdeloraar</t>
  </si>
  <si>
    <t>Valdeloraar de</t>
  </si>
  <si>
    <t>…na canción a la perdida de su_amad_a_: del Sr. Tenorio una fracción de ley que suponen se verificó por la ejecución en que todos sucede; y Y . debe también tenerla porque para ello le he linda composición á una rosa: otra del Sr. Valdeloraar de asun­ se ha puesto la Real orden de 2 de Octubre por la cual se de­ enterado de cuanto ha sabido y se sabe. to religioso, titulada la Manifestación del Señor: el Sr. Fer­ roga la preferencia que a la clase que representa se daba por la P. D . Hoy ha llegado el jabeque de Málaga y ha…</t>
  </si>
  <si>
    <t>de, Valdés</t>
  </si>
  <si>
    <t>Valdés de</t>
  </si>
  <si>
    <t>…síndico segundo.::Juan Zalabardo , síndico tercero.rüoaquin creemos que nuestros lectores verán con Ínteres lo que dijo el Para el logro de tan justos deseos y para gloria de la na­ A rias, secretario. Excmo. Sr. capitán general Valdés desde Manresa, hablando ción conserve el cielo los preciosos dias de Y . M . dilatados y entre otras cosas de la Milicia nacional de Barcelona, al co­ felices años. Cádiz 13 de Setiembre de 1839. r: Señora. = A los municar al ejército el parte del Excmo. Sr. segundo cabo acer­ R. P. de V. M ~…</t>
  </si>
  <si>
    <t>de, Valentín</t>
  </si>
  <si>
    <t>Valentín de</t>
  </si>
  <si>
    <t>…yor del, hospital general; Don en el pueblo de Villanueva de la Peña sin resultado alguno, Mariano Portichuelo, facultativo matemático, y los Sres. in ­ volvió á ser alcanzada el 27 por la misma fuerza en el de V a­ genieros D. Valentín del Rio y I). M iguel F o u rd in ier,q u e lle -espinoso, obteniendo en esta ocasión la ventaja de causar Y LA REVOLUCION. accidentalmente se hallaban en esta ciudad, sugetos conocidos ál enemigo la pérdida de un hombre m uerto, cuatro heridos, por su amor á las letras, todos los cuales.…</t>
  </si>
  <si>
    <t>…r el Sr. comandante de este fuerte mandó ocho paisa­ Aunque en los primeros trabajos ha sido constante y pre­ nos á los pueblos inmediatos á adquirir noticias de la facción,: cisa la asistencia del ingeniero director de ellos D. Valentín del Esta institución es la sola de este género que existe en Ho­ que se dijo habia bajado á la Poya de B uñ ol; dichos paisanos R io , no por eso olvidó ni descuidó el reconocimiento práctico y l a n d a , y fue establecida por una sociedad masónica: subsiste regresaron sin que en los puebl…</t>
  </si>
  <si>
    <t>de, Valentín Alaría</t>
  </si>
  <si>
    <t>Valentín Alaría de</t>
  </si>
  <si>
    <t>…D. Juan Jiménez Cuen­ tres batallones y 200 caballos, lo habia evacuado en la noche ca, marchando por el camino que en concepto del ingeniero NOTICIAS EXTRANGERAS. del mismo dia con dirección á Alcublas, y que enviadas en su D. Valentín Alaría del Rio debe habilitarse con preferencia ai persecución por el citado Quevedo las compañías de cazadores trazado por su compañero D. Elias A quino, y á nuestro juicio GRAN BRETAÑA. de Saboya y Santiago, la franca al mando de D. Vicente Sán­ se ha hecho una elección muy acertada, y…</t>
  </si>
  <si>
    <t>de, Vicente Hernández</t>
  </si>
  <si>
    <t>Vicente Hernández de</t>
  </si>
  <si>
    <t>…rincipio con el de las pasiones humanas; es la lucha de estas con los sen­ argumento, sino con los ejemplos. Y tendiendo la vista timientos y los deberes sociales. Responde á la filosofía, y p O Rla providencia dada por el Dr. D. Vicente Hernández de por do quier , fijándola ora en la brumosa Escocia ó en responde á la m oral; muestra los escollos y el modo de y al presente en esta deprimera Rúa, juez de instancia del partido de Tamajon, la tétrica lAlemania; en la culta Francia, ó en fin en evitarlos; pinta las borrascas hu…</t>
  </si>
  <si>
    <t>de, Viceute Francisco</t>
  </si>
  <si>
    <t>Viceute Francisco de</t>
  </si>
  <si>
    <t>…la debida justicia a las produccio­ Habiéndose denunciado ante el Sr. alcalde primero consti­ to político pone de manifiesto y como en relieve. nes del Sr. Tapia, que tantos derechos tiene á la acepta­ tucional de esta ciudad D. Viceute Francisco del Palacio por Mucho nos complacemos de ver que semejantes traba­ ción pública por su talento y laboriosidad infatigable. el Sr. marques de Móntevírgen, residente en Madrid, un pe­ jos merezcan bien de la opinión pública , porque á pesar ríodo del uúm. 2.° del periódico que se pu…</t>
  </si>
  <si>
    <t>de, Victor Luis</t>
  </si>
  <si>
    <t>Victor Luis de</t>
  </si>
  <si>
    <t>…ación á la M an ­ ficación le dicte. didas. cha. Una marcha rápida y sin consideración á fatigas ni á la El comandante Esteban ha procurado con sus desvelos c u ­ desigualdad de la fuerza numérica con quien habia de medir 79. D. Victor Luis de G am indez, vecino de Bilbao, en brir las atenciones de la tropa , aun cuando se han experimen­ sus arm as, le puso inmediatamente en la ocasión de hacerlo en queja contra el juez de contrabandos y comandante general de tado las mayores penurias por la escasez de los fondos públicos:…</t>
  </si>
  <si>
    <t>de, Yalentin María</t>
  </si>
  <si>
    <t>Yalentin María de</t>
  </si>
  <si>
    <t>…s por Con fecha 26 del mismo he prevenido al ingeniero ayuntamientos de esa provincia han efectuado el reem­ el valor y lealtad que han acreditado y acreditan diaria­ plazo del ejército, entregando en la caja de depósito de D. Yalentin María del R io, residente en Sevilla, que des­ mente en defensa del trono legítimo y de la patria; pero quintos los 544 mozos que correspondieron á la misma pués de concluir á la posible brevedad varias comisiones la suspensión de las sesiones no ha permitido que dicho por la ley de 10…</t>
  </si>
  <si>
    <t>…equera. Amieba, en la última entrada que ha verificado en la sierra dió ja , ejecutarán lo m ism o si les constare que sem ejante p e r­ muerte á un rebelde y aprehendió dos armas, cuatro ínulas y miso no existe. El ingeniero D. Yalentin María del Rio me escribe con giendo 200 cabezas de ganado cabrío que tenían los enemigos; prote­ 4.a Las mismas autoridades p ro ce d erán con arreg lo á fecha 7 desde Córdoba dándome parte de su llegada á aquella lera , queademas no se la'quinta en San Pablo y Ventas de Ptña - A gui­ ha…</t>
  </si>
  <si>
    <t>…aquella car­ Por id. á las de amortización......................... 74925. . 5 retera de 1500 á 23 confinados, he repetido orden al in­ Por traslación de caudales á otrastesorerías... 150605.. 8 REDACCION DE LA GACETA. geniero D. Yalentin María del Rio para que, concluyendo en breves dias la comisión que le habia encargado en Se­ Total ............. 74568285..17 villa, venga á Córdoba, y me dé parte de su llegada, sin resum en . NOTICIAS EXTRANGERAS. perjuicio de hacer inmediatamente el reconocimiento de Importa el cargo....…</t>
  </si>
  <si>
    <t>de, Yañez</t>
  </si>
  <si>
    <t>Yañez de</t>
  </si>
  <si>
    <t>…ultiplicado después en Europa en tal g ra d o , que el m ayor acierto. ma de P rem ia d la a p lica ción la ju n ta d e c o m e r c i o d e M á - apenas h a y una ciudad respetable, y ciertamente ninguna i n ­ Ultimamente el Sr. Yañez dedujo de la extensión absoluta dependiente, que no tenga su observatorio mas ó menos abaste­ l a g a ' del grado de meridiano y duración del dia la construcción de El mismo señor vicepresidente pronunció un discurso a n á ­ cido con instrumentos astronómicos. En España h ay varios : el la co…</t>
  </si>
  <si>
    <t>de, Yega</t>
  </si>
  <si>
    <t>Yega de</t>
  </si>
  <si>
    <t>…su éxito , y solo nos tranquilizamos al saber quién estaba en­ curso de apertura de las Cámaras francesas, que la falta de es­ graciados acontccim ientos de Morella, y desde que ab an ­ cargado de la traducción. Conocedor el Sr. Yega del francés y pacio nos impide trascribir. donó á nuestros valientes m ilitares la fortuna, todos los del español , no menos que del gusto de ambos teatros, y con- veoemo &lt;lo cjiac u c* carootor ouoyo , N inguna otra noticia de Ínteres encontramos, asi en losi y ct»isto30-«u la ©a— diarios h…</t>
  </si>
  <si>
    <t>de, Yillareal</t>
  </si>
  <si>
    <t>Yillareal de</t>
  </si>
  <si>
    <t>…á estar y pasar por la re­ solución de los concurrentes. pre los enconos ó resentimientos personales: esto os aconseja vuestro compañero y general. E n suplemento del E co de A ra g ó n se lee lo siguiente: Cuartel general de Yillareal de Z u m a rr a g a 50 de A gosto C apitanía general de A ragón.—Estado mayor.^Seccion cen­ de 1859. = Rafael M aroto. VACANTES. tral.—Acabo de recibir del Sr. comandante general de arabas Riojas la comunicación fecha de ayer que á continuación se H A L L A N D O S E vacante el magisterio…</t>
  </si>
  <si>
    <t>de, Zaragoza.izPedro de Gengotita</t>
  </si>
  <si>
    <t>Zaragoza.izPedro de Gengotita de</t>
  </si>
  <si>
    <t>…institución de los beneficios antes de la publicación cante á D . Gaspar Elordi. por diez votos y que firman á continuación: Patricio de Ola— de la circular de 10 de Enero de 1837 , ó ¿ virtud de la varria.—J. Palafox , duque de Zaragoza.izPedro de Gengotita declaración contenida en lá de 5 de Abril del propio Vengoa.nMarcos Cubillo.— Félix Vicente Orihuel. = Tiburcio año. PA R T E S. de Montellano.—Gregorio de Aguirre.rzJavier de Lara.=:Casi- Lo que de Real orden digo á Y. para su inteligencia miro León y Puco.—Antonio…</t>
  </si>
  <si>
    <t>de, Zarco</t>
  </si>
  <si>
    <t>Zarco de</t>
  </si>
  <si>
    <t>…ha expuesto el señor preopi­ A consecuencia de esta m anifestación del Sr. Secretario del reúnen. n an te, pues lejos de procurar el fomento de esta preciosa espe­ Despacho de la G uerra quedó retirado el proyecto. Pa só el Sr. Zarco del V alle á enum erar los medios á que se cie c a b a lla r, se repite una y rnas veces la requisición contra ella, Procediéndose al orden del dia se puso á discusión el d ic ­ habia acudido para proporcionar caballos al ejército , de los se llena de terror al propietario y al tenedor de tod…</t>
  </si>
  <si>
    <t>de, Zorrilla</t>
  </si>
  <si>
    <t>Zorrilla de</t>
  </si>
  <si>
    <t>…leyó la 2 1 , que dice a s i: V ción de esta ley, dando cuenta á las Cortes cou la mayor bre­ Rueda se oiria ahora con tedio si se representase. ^y “ Atamiento constitucional de la ciudad de Alicante se vedad. Persuádase el Sr. Zorrilla de que su comedia es buena, eo a * a C,esi(\a kejiha por el Gobierno á D . José Safont del Proyecto de ley de la m inoría , compuesta de los porque es puramente española ni francesa , sino porque es búa- j ® os derechos de puertas *de A licante, calificándolo Sres . Quinto , M urga , y A…</t>
  </si>
  <si>
    <t>Deben</t>
  </si>
  <si>
    <t>…mandas del Gobierno de Francia. interesados. cuencia de la guerra civil,.ni son de una práctica general, ni También se ha servido nombrar á propuesta de lá audien* están establecidos tampoco por el derecho de gentes. N ingún Sr. Deben llamar la atención las protestas que hice entonces al cia de Zaragoza para la promotoría fiscal del juzgado de Sos á publicista de crédito los ha reconocido tales cuales sé han pre­ quezabarón Deífaudis, después de haber manifestado con fran­ que no estaba conforme el Gobierno con las doctrin…</t>
  </si>
  <si>
    <t>Decases</t>
  </si>
  <si>
    <t>…aras. ta , las cuales en sus respectivas muestras en nada desmerecen á Por la tarde recibió S. M. al mariscal Soult, al canciller Pas­ Jas prim eras; y de todas acompañamos á V. S. los ejemplares F R A N C IA . qu ier, al duque Decases, al conde Flahaut y el general Pajol. que tuvimos á la vista para el mas acertado juicio que desde Por la noche recibieron SS. M M . ú los embajadores de A us­ luego pueda formar la ilustre sección á quien damos cuenta. P aris 5 de Abril. tria y de Españ a, al Ministro de los Estados U nid…</t>
  </si>
  <si>
    <t>Decheu</t>
  </si>
  <si>
    <t>…s - p o rtan te salu d . 5onstautinopla son del 7. Ocupábanse allí exclusivamente los genstein, dimisionario; al conde de Kiclmansegge, antiguo ínimos de la destitución del almirante Roussin, que natural- gobernador; al general Decheu ; en fin, Mr. M urchausen, en­ neuce no obtiene la aprobación del D iario d e Sm irna . viado en Londres, pasará aqui el tiempo de «u licencia. R E A L DECRETO. {Debáis.) ('T em ps .) P a r a el pronto y expedito despacho de los negocios Cuando anunciamos que el Rey de Holanda habia recono…</t>
  </si>
  <si>
    <t>Decia, Olózaga.</t>
  </si>
  <si>
    <t>Olózaga. Decia</t>
  </si>
  <si>
    <t>…la Constitución ¿no está E l Sr. Iñ igo, entregado á su buena razón, ba dicho que la existencia de estas consignada como principio en la Cons­ los acontecimientos de Vergara fueron inesperados para todos, con oportunidad el Sr. Olózaga. Decia que el convenio de Ve rg ara se trae como único texto para suponer que ni el titución? Pues sin embargo, los autores del proyecto que se y por eso sorprendieron. tiuque de la Victoria, ni las fuerzas beligerantes estuvieron discute no se han detenido en proponer la existencia de ell…</t>
  </si>
  <si>
    <t>Decia, Presidente.</t>
  </si>
  <si>
    <t>Presidente. Decia</t>
  </si>
  <si>
    <t>…aqui estoy sufriendo una especie de acusación, no López. ello no hizo mas que obedecer, porque ios empleados subalter­ como Modesto C o rtá z a r, sino como regente de aquella aud ien­ El Sr. B E N A V I D E S : Lo haré a si, Sr. Presidente. Decia nos tienen también sus sentidos y deben saber que antes que el c i a , cuando creo que sobre su elección no h a y a venido n in g u ­ que el Sr. López debia haberse presentado á la mesa, ó haberlo G obierno es la Constitución • ademas de que esa obediencia p a ­ na protesta , pues…</t>
  </si>
  <si>
    <t>Decid, Leonor.</t>
  </si>
  <si>
    <t>Leonor. Decid</t>
  </si>
  <si>
    <t>…o empeorar mi suerte? venganza, las mas diversas y trágicas situaciones, todo ha sido D . Pedro . . . . Sí. Que vuestro pecho, señor, Es mas duro que una roca. descrito con los mas fuertes Colores por el autor del dram a en Doña Leonor. Decid cómo , decid, De lo contrario jamás la contestación que da á los ricos homes. D. Pedro . . . , Dándoos la muerte. Doña Leonor. \ La muerte! ¡cielos! ¡que horror! A mi hijo me pidiérais, Valientes ricos homes de Castilla , Mas ¡oh! no me la daréis: Porque luego conociérais Gloria y…</t>
  </si>
  <si>
    <t>Decreff, José</t>
  </si>
  <si>
    <t>José Decreff</t>
  </si>
  <si>
    <t>…del Infante y escuadrón del 6.° al man­ ción, vocal secretario ; y colocada en el estrado preparado al Traslados á las cajas de líquidos del tesoro.. . 1 2 0 - 9 2 2 , 2 1 9 - 1 5 do de sus comandantes el barón de Purgold y D. José Decreff, intentó , se procedió á leer el acta anterior y fue aprobada. Id. á la de Amortización..................................... 3 5 0 ,0 5 5 - 1 9 la que rompió el fuego sobre la segunda y tercera masa. Acto continuo se pusieron de manifiesto los legajos de ins­ Alcance pasado á la cue…</t>
  </si>
  <si>
    <t>Decreff, Purgold y D. José</t>
  </si>
  <si>
    <t>Purgold y D. José Decreff</t>
  </si>
  <si>
    <t>…r el batallón del Infante y escuadrón del 6.° al man­ ción, vocal secretario ; y colocada en el estrado preparado al Traslados á las cajas de líquidos del tesoro.. . 1 2 0 - 9 2 2 , 2 1 9 - 1 5 do de sus comandantes el barón de Purgold y D. José Decreff, intentó , se procedió á leer el acta anterior y fue aprobada. Id. á la de Amortización..................................... 3 5 0 ,0 5 5 - 1 9 la que rompió el fuego sobre la segunda y tercera masa. Acto continuo se pusieron de manifiesto los legajos de ins­ Alcance pa…</t>
  </si>
  <si>
    <t>DECRETOS, REALES</t>
  </si>
  <si>
    <t>REALES DECRETOS</t>
  </si>
  <si>
    <t>…ma de Filadelíia, del cual, si es verdad formalidades que la misma previene, tocó á los sugetos siguien­ que no se resiente al parecer la salud de los presos, no sucede tes: D. Tadeo Sánchez Escandon , D. Francisco Iruegas, Don REALES DECRETOS, Jo mismo con respecto al juicio (1). Y no se diga que en los Es­ Pedro Cengotita, D. Luis Barrios, D. Manuel Angel Indo, tados-Unidos los dementes se hallan en las prisiones bajo la de­ D. Francisco del Herrero , D. Fernando de Palacios, D. Ma­ O RD EN ES Y REGLAM ENTOS D E L GOBI…</t>
  </si>
  <si>
    <t>Deffaudis</t>
  </si>
  <si>
    <t>…conocían conveniencias dad de concluir el tratado para que las relaciones se fijasen con­ en mi nota de 26 de Noviembre al contra-almirante francés, que facilitasen el arreglo que se deseaba. venientemente. Aun el mismo Sr. barón Deffaudis, á vista de porque no era ni político ni oportuno entrar en explicaciones Convenir en que la nación continuaría el pago de los cré­ los embarazos que se presentaban para su conclusiou , propuso poco amigables, no habria podido tampoco convenir en los ar­ ditos reconocidos de franceses en…</t>
  </si>
  <si>
    <t>…______ su fuga se precipitaron al rio Arnego , ahogándose uno de ellos J No quiero hablar de personas, ni es mi intención herir la y quedando en poder de nuestra columna cuatro caballerías y \ conducta ó procedimientos del barón Deffaudis: ha cesado em una carabina. j su misión , se halla lejos de la República, y esto me basta para REAL DECRETO. Que asimismo en otros choques parciales que han tenido j 110 atacarle personalmente. Hablo de la conducta oficial de (a nuestras tropas han resultado muertos en el campo Ju an de…</t>
  </si>
  <si>
    <t>Defíaudis</t>
  </si>
  <si>
    <t>…la salida del agregado á la legación de F rancia, Mr. L a - ha habido aun ninguna colisión entre ellas y el ejército egip­ rán por este incendio son los comerciantes franceses y alema­ norciere, con lasipxtru^ciopes al £sr.barón Defíaudis para pre- cio. La carta añade que hay una escuadra rusa en los alrede­ nes; Los papeles de&lt; Nueva-Orleans y uua carta particular que ¡entar el ultimátum de 21 de M arzo, y establecer, si no se acep­ puertosdeldelBosforo, dores y que reina la m&amp;yhcL mar N e g ro , donde se fletan buques m…</t>
  </si>
  <si>
    <t>Degola, Esteban</t>
  </si>
  <si>
    <t>Esteban Degola</t>
  </si>
  <si>
    <t>…rías, á C ABIENDOSE adjudicado por la junta dé bienes nációnáles 4 rs. cuaderno en la Península y 6 en el extrangero y A m éri­ P R O N T U A R IO del régimen de. las aduanas de España y ca , franco de porte. "‘ ' á favor de D. Esteban Degola / residente en M adrid , tin F ra n cia, pór D . Geróni mb ?derelo y Sai ró : vísta de la Olivar llamado de Toledo, en Búlbóeníé, de 18 jubádás dé aduana de Barcelona. Esta obra contiene: 1 .° un resumen en " tierra, cón Í055 olivos, con el derecho de 1 7 | horas dé agúa en forma dé…</t>
  </si>
  <si>
    <t>Dejean</t>
  </si>
  <si>
    <t>…o personal el que ellos dispuesto la autoridad , se hace saber en la orden de la plaza lo deseaban , sino la elección de dos grados. siguiente, que será leido á todas las compañías de la guarni­ PROVIDENCIAS JUDICIALES. El conde Dejean observó que la elección de dos grados, tal ción y de la Milicia nacional. como la reclamaban en 1815 los órganos rnas antiguos de la 1.° Siempre que haya de tocarse generala , llamaré á los jF\O N Bernardo L atorre, benemérito de la patria en grado mayoría de aquella época, tendía al sufragio…</t>
  </si>
  <si>
    <t>DEL GOBIERNO, José ACTAS</t>
  </si>
  <si>
    <t>José ACTAS DEL GOBIERNO</t>
  </si>
  <si>
    <t>…rm d a que fondeo en esta ria montes ya reconocidos como propios del Estado; y si d^- ¡ á la^cuatro y ^ a ^ » V. chos inconvenientes por su naturaleza se graduasen de in­ recomendación del activíy celoso ayudante de Laredo D. José ACTAS DEL GOBIERNO. superables en la actualidad, dará parte el ge le político respectivo por conducto de ,1a díi rece ion general á este ?hi-j triculaaos que con aetpcKio de su vida se arrojaron al m ar, an- nisterio, y se considerará suspensa la operación en a q u e l, »ia«M-de p :*»SsnWW*4…</t>
  </si>
  <si>
    <t>DEL REINO, DE PRESIDIOS</t>
  </si>
  <si>
    <t>DE PRESIDIOS DEL REINO</t>
  </si>
  <si>
    <t>…: en todas ellas provincia. bogaban botes y andaban boyantes las pacas de algodón , bar­ Para que no haya obstáculo alguno en activar estos traba­ rilería &amp; c., quedando luego que el agua se retiró obstruidas DIRECCION GENERAL DE PRESIDIOS DEL REINO. jos todo lo que sea posible, e$ necesario que Y. E. se sirva completamente con los témpanos de hielo que en cientos de to­ El gefe político de Cádiz en 15 de este mes me dice lo si­ mandar que el pagador de Granada abone , asi como en la car­ neladas había arrastrado la inuu…</t>
  </si>
  <si>
    <t>Del, Editor</t>
  </si>
  <si>
    <t>Editor Del</t>
  </si>
  <si>
    <t>…s obras y la reimpresión de nuestro rico teatro antiguo pudiéndose asegurar que hoy en cada pueblo de 28) almas h a­ nuestro haber , tú verás los títulos de gratitud con que debes que con tan felices auspicios ha comenzado el Sr. Editor Del­ brá como una docena de pequeñas posesiooes cuyas tierras se correspondemos; y la «posteridad ha sido justa en sus homena­ gado , serán el monumento de nuestra c iv iliz ac ió n , y la expre­ labran con vacas. jes. Tal es la suerte del entendimiento humano q u e , siendo en sión fiel del…</t>
  </si>
  <si>
    <t>Del, José Redondo.</t>
  </si>
  <si>
    <t>José Redondo. Del</t>
  </si>
  <si>
    <t>…aotoría fiscal del juzgado de vestins, que ejercía el mismo cargo en el año de 1833, y nez.=3r. gefe político de Guadalajara. Yecla á D. Miguel Soriano Sevillano , y para la de Villalou á permaneció en Madrid hasta el de 1836. D. José Redondo. Del mismo modo la augusta Reina Gobernadora ha dispuesto acreditar también como encargado de Negocios EXPOSICION A S. M. LA REINA GOBERNADORA. de su excelsa Hija la Reina Doña Isabel n en la corte del Excmo. Sr.: Por el ministerio de la Guerra en 10 de Señora: El ayuntamiento constit…</t>
  </si>
  <si>
    <t>Del, Roda.</t>
  </si>
  <si>
    <t>Roda. Del</t>
  </si>
  <si>
    <t>…a provincias de M a d r id , Sevilla y A lb ac ete, con cuyos dignos palabra en contra , se puso á votación el dictámen y fue apro­ Diputados asi como con todos los de las demas provincias estoy bado , quedando adm itido el Sr. Roda. Del F a ro d e B ayona copiamos lo s ig u ie n te : dispuesto á unirm e; pero y o , lo repito, soy Diputado por Lo­ Igualmente fueron aprobadas sin discusión las actas de la Fronteras de N avarra 2 9 de Agosto.izRealizáronse todos groño , y una prueba de ello es que solo he presentado el act…</t>
  </si>
  <si>
    <t>Delachanterie</t>
  </si>
  <si>
    <t>…o m e y ,d e s ­ m uelas; afirmando las encías y dientes que se mueven. asaltan y martirizan. Me hago cargo de los requisitos que rae de luego quedamos prendados de su criterio y tino filosófico, y Colirio resolutivo del doctor Delachanterie para c urar las faltan para constituirme historiador; un sugeto cu ya muerte creimos hacer un servicio eminente á la nación española trasla­ enfermedades an tigu as de los ojos. dando al castellano uua obra tan apreciable. hemos de llorar eternamente (Mr. Armando C a ir e l) , que iba…</t>
  </si>
  <si>
    <t>Delance, D. J. Miguel</t>
  </si>
  <si>
    <t>D. J. Miguel Delance</t>
  </si>
  <si>
    <t>…del comercio, á despacho de dicha Imprenta. ret (Luis). Tiene 16 p. y 6 i. de alto, y 12 p. y 11 1. de an­ quien han de venir consignados ios géneros, ó en esta por los cho: precio antiguo 24 rs., y moderno 1 6 . informes al Sr. D. J. Miguel Delance, calle del Cárrnen, nu­ C om pren de varios decretos, órdenes y circulares del mero 45. G obiern o y de las direcciones generales. San Juan Bautista. Este cuadro, pintado por el famoso Ribera (José) con su acostumbrada fuerza de p in cel, representa á S. Juan sentado P R O V…</t>
  </si>
  <si>
    <t>Delatour</t>
  </si>
  <si>
    <t>…sos que habia existentes en las rarlos. cárceles nacionales de Corte y V illa en 31 de Octubre último, Tamaño natural . de los que han entrado y salido en las mismas duraote el tnes 34. Dos patino paletas inventadas por el Sr. Delatour pa­ de Noviem bre, y de los que quedaron existentes en fin del mis m o, á saber : PROVIDENCIAS JUDICIALES. ra nadar con grandes ventajas. Yo he sido testigo de todos los CÁRCEL NACIONAL DE CORTE. ensayos hechos con estos instrumentos, y respondo de su u ti­ lidad. Ha variado, los modos…</t>
  </si>
  <si>
    <t>Delga, Ildefonso</t>
  </si>
  <si>
    <t>Ildefonso Delga</t>
  </si>
  <si>
    <t>…peridad, y oiré con placer á todos y cada uno de vosotros las advertencias y avisos que quiera hacerme para el cumplimiento de mis deseos , que no son otros que los de mis amados pacífi­ Igualmente se cita , llama y emplaza á D. Ildefonso Delga­ cos conciudadanos. Sí: teneis un derecho incontestable á que do Ramos, que habitaba en esta corte, Carrera de San Geróni­ COLECCION DE LEYES, asi me conduzca; pero en cambio, la obligación estrechísima de mo, núm. 12 , para que en el término de nueve dias, que por ser fieles y obed…</t>
  </si>
  <si>
    <t>Delgado</t>
  </si>
  <si>
    <t>…ncia y verdad. Málaga, i d. solo las expresiones, sino las costumbres, los hechos, los Otro dia nos ocuparemos de la Galería dramática que Santander, J d. c racteres. De otro modo diria la crítica: «¿Qué vicios son publica el Sr. Delgado, y que nos parece ciertamente dig­ Barcelona Alicante, 1 papel d. Santiago, 2 á i esos que censuráis? ¿Eos conocemos nosotros siquiera?..... na de nuestra atención y de la del público. á ps. fs., $ papel b. Sevilla, i á par fcx. ¿Eos tenemos?..... Pues entonces ¿por qué esforzarse en Bilbao,…</t>
  </si>
  <si>
    <t>Delgado, Joaquín Roldau</t>
  </si>
  <si>
    <t>Joaquín Roldau Delgado</t>
  </si>
  <si>
    <t>…entes pobres, y habién­ Este ingenioso poeta, tan ameno com o fecundo, flore­ interesadas y despreciables. dose presentado algunos eu el día por medio de su apoderado ció en el primer tercio del siglo xvn : y considerado co­ D. Joaquín Roldau Delgado, vecino de Orihuela, en ol par­ mo autor cóm ico, sirve de transito desde el drama de Lo­ N aturam espellas J a re a , lamen usqae recurret . tido que llaman la Oradada, se emplaza y llama por medio de pe de V ega, todavía desordenado en cuanto a la direc­ edictos que se fij…</t>
  </si>
  <si>
    <t>Delgado, Pedro María</t>
  </si>
  <si>
    <t>Pedro María Delgado</t>
  </si>
  <si>
    <t>…o de la Guerra me dice con fecha 18 grau nsetandirigió al de mi cargo en 29 del mes an terio r p re ­ ción de Doña Tomasa Olive con su hija menor de la casa de d o si los cuerpos de la Milicia nacional tienen alg u­ su esposo D. Pedro María Delgado, habiendo resultado en las del actual lo siguiente: mismas que la Doña Tomasa, si bien se ausentó de casa de su «Deseosa S. M. la Reina Gobernadora de que se obser­ nos fondos destinados á la com posición de su arm am ento. esposo, .no hizo otra cosa que trasladarse á la de su…</t>
  </si>
  <si>
    <t>Delgado, Ramón Ruiz</t>
  </si>
  <si>
    <t>Ramón Ruiz Delgado</t>
  </si>
  <si>
    <t>…6 de A bril esta parte del reino (prolongados aplausos). Tales son los mo­ Rafael López Espinosa. de l839.=Excmo. Sr.=José Agustín de Larram endi.=Excelen- tivos que me obligan á preguntar á la Cámara de los Comu­ Subteniente D. Ramón Ruiz Delgado. tísimo Sr. M inistro de la Gobernación de la Península. nes si está determinada á autorizar á mi noble amigo el lord Capellán D. Telesforo Balparda. Fortescue (el nuevo lord teniente de Irlanda) para continuar el Sargentos prim eros, M atías Morales y Pedro González. sistema se…</t>
  </si>
  <si>
    <t>Delort</t>
  </si>
  <si>
    <t>…el agra­ berg , de Ilaunóvcr , de Dinamarca , todos a caballo 5 muchos oficiales de dragones de los Estados-Unidos de A m é rica , el viado de ella ó el favorecido deben repudiarla con alti­ marques de Roure , el teniente general Delort , el conde Rohan Z ar ag o za 10 d e Octubre . v e z , como que no esta pasada por el alam bique de la im­ de Chabot, el teniente general lle y in é s , el general de R u m i g - parcia lid a d , como que carece de esta su primera y esencial « y , el gefe de escuadror* de artillería T b ie rr…</t>
  </si>
  <si>
    <t>Demetrio</t>
  </si>
  <si>
    <t>…les pre­ dante de plaza D. M ariano López Albacete, y al joven sub­ presidente de los Estados Unidos juzgue conveniente el nom­ sentara sobre la propiedad literaria y artística en sus di­ teniente del tercer batallón de Saboya D. Demetrio O - D a l y , brarlo. ferentes partes. De Real orden lo digo á V. S. para su in­ que ha sido herido. Sección 7.a Que llegado cualquiera de los casos contin­ teligencia y efectos correspondientes. Dios guarde á V. S. Por último añade que la mayor parte de los oficiales de la gentes á que se…</t>
  </si>
  <si>
    <t>Demidoíf</t>
  </si>
  <si>
    <t>…en los países desier­ ra , la ruda austeridad del invierno, los tintes-ardientes del otoño, el reflejo del agua trasparente, todos los ac­ tos como Mr. Combes; un gran poeta como Mr. de La­ m artine; de m archar como el conde Demidoíf á través de los desiertos de la Rusia m erid ional, á la cabeza de un , , A Aguadora cánción madrileña escrita expresamente pará^ L el albúm de la distinguida aficionada la señorita Doña; cidentes de la atmósfera se reproducen maravillosamente en aquellos cuadros maravillosos que cualq…</t>
  </si>
  <si>
    <t>DERECHO, EL</t>
  </si>
  <si>
    <t>EL DERECHO</t>
  </si>
  <si>
    <t>…s* e rig id a s por la i n ju s tic ia para oprobio é ignom&gt;iaia de ses después desafió al lord S id m o u th que era m i n is t r o , y á la especie h u m a n a ? El bien público, la salud del E sta d o , la se­ T R A TA D O D EL DERECHO P E N A L, q u ie u creia causa de su prisión. Fue preso segunda v ez, y á g u rid a d . Salus p o p u li su p rem a lex es to. N o : p rim ero debe poco tiempo puesto en lib ertad. El 25 de Febrero de 1 8 2 0 se perecer todo el género h u m a n o , antes q u e u n inocente suba al p o r…</t>
  </si>
  <si>
    <t>Derford</t>
  </si>
  <si>
    <t>…Uo cuadro pintado al óleo, ¿ la Excusa. Sra. de ^Zar­ gencia que para su remate se ha señalado el dia 9 de Julio próxi­ María Remond. co del Valle. mo á las doce en punto en la audiencia de dicho señor juez, El fastidio, ó conde Derford. 280. Otro id ., á la Sra. marquesa del Salar. que la tiene en el piso bajo que fue repeso de corte. El marido de dos mugeres. 68. Otro id., á la Excma. Sra. marquesa de Sta, Cruz. Completan el tomo segundo que quedarán corrientes la se­ 259. Un cuadro con uu ramo de flores, al Sr. D. Jos…</t>
  </si>
  <si>
    <t>Des</t>
  </si>
  <si>
    <t>…aqu i un documento del cual U ltim a m e n te , lo quedó el 57 retirando las palabras " u n o b a , ínterin este no ad m ita ó ren u n cie , y por lo mismo que no leeré m u y pocas c láu su la s, para rogar al Sr. Secretario del Des­ por cada sección” , y ademas la ultim a parte. há lu g a r á deliberar por ahora. pacho de Gracia y Ju stic ia que tenga á bien consultarle, pues A r t. 57. C uando el Congreso declare que h á lu g a r á j u z ­ Palacio del Congreso 51 de Enero de 1 85 9 .—M i g u e l Puc h e un extracto de é…</t>
  </si>
  <si>
    <t>…de gran crédito, de moralidad , y muy en­ nece al Gobierno, á quien le toca adm inistrar lo que se le des­ que da de intervenir los Sres. Senadores y Diputados. Yo diré tendido en estas materias puede llegar á ser Secretario del Des­ tina ; y hé aqui la razón por qué el Ministro que tiene la hon­ que esta garantía es g r a v é , por eso se ha puesto; sin embargo pacho, como llegó Necker y otros nombres de grandes conoci­ ra de d ir ig ir la palabra al Congreso creyó que al presentar no creo que sea suficiente, porque h ay…</t>
  </si>
  <si>
    <t>…s principales capitales, como Burdeos, Nautes, interinamente del Despacho del referido Ministerio cer el campo, logrando Marsella , Lyon , N a n ci, Brest, Strasburgo , presentaron en­ á D. Lorenzo Arrazola, actual Secretario del Des­ tos que llevaban presos, alentre mismo tiempo rescatar cuatro suge- ellos D. Manuel Pinedo, secre­ tonces sus estados, y el número considerable de libretas espe­ didas da á conocer la rápida propagación y multiplicación en pacho de Gracia y Justicia. Tendréislo entendido, y tario del ayunta…</t>
  </si>
  <si>
    <t>…n gefe este parte por elogiar la bizar­ lidad de tan indispensable artículo á las tropas de los ejércitos la H a b an a , y por la suma de pesos fuertes, equivalente á ría de su rtro p as, y en particular la del teniente coronel Des­ nacionales, y debiendo establecerse desde luego de 205 pares de . aquel la c a iitíd ad , si continuase dom iciliada en aquel pais, catllar, y dice que en su consecuencia, y en uso de las facul­ zapatos en Valladolid ; de 505 en Burgos; de 205 en Logroño; y bajo Tas m ism as reglas y condicion…</t>
  </si>
  <si>
    <t>…años* Córdoba 25 de Ju n io de i859.~E xee!er.tí- estaba á su frente: todo juuto y cada objeto por sí solo exci­ marchaba á Monte-Morelos para conceder al Sr. Leum? la ren­ sirno Sr.izJosé Melchor P rat.—Excmo. Sr. Secretario del Des­ taba conmoción, sensaciones profundas y satisfacciones in ex ­ dición qoe habia pedido, y someterse á la obediencia del su*- pacho de la Gobernación de la Península. preroo Gobierno. plicables. Adórnase el prelado con las vestiduras pontificales: el Ya habíamos vaticinado el término de este…</t>
  </si>
  <si>
    <t>Descatllar</t>
  </si>
  <si>
    <t>…smo pas, y del resultado ventajoso de la acción d e que va hecha re­ tiempo qué este y la cabeza de la división de reserva entraban ferencia , debido no menos á su lealtad que á su denuedo, se ha en Alcora , el teniente coronel Descatllar , que con ocho com­ servido mandar se den las gracias en su Real nombre á todos ACTAS DEL GOBIERNO. pañías de los batallones Céuta y Reina Gobernadora había to­ los que hubieren tenido parte en ella , y aprobar las que han rnado posición én un punto dos horas distante de aquel , des­ si…</t>
  </si>
  <si>
    <t>Despa</t>
  </si>
  <si>
    <t>…artel general de Urdax 14 de Setiembre de 1859. Excmo. la clase de gefes de administración: la de no hacer ningu­ ción recomienda á V. S. la frecuencia de las visitas de los Sr.=El duque de la Victoria.rzExcmo. Sr. Secretario del Despa­ na con motivo de resultar vacante cualquier destino; y la estancos y aun de las administraciones subalternas, como cho de la Guerra. de dar parte de toda traslación que acordaren con estas el medio mas seguro, «ó se emplea acertadamente, de des­ limitaciones, con el fin de que conste debidame…</t>
  </si>
  <si>
    <t>…n, no la recla­ chosaños. Jaénservido que se ha 23 de dirigirm e.= Dios guarde á V. E. mu- Marzo de l839.=Excmo. Sr.=Fran- man menos en V. S. y en los empleados de esa provincia cisco Muñoz Andrade.=Excmo. Sr. Secretario del Despa­ el aumento de valores en las provinciales administradas, cho de la Gobernación de la Península» A N U N C IO S O F IC IA L E S . y en los derechos de puertas, para que se eleven al gra­ do que son susceptibles. 4.° Que la cobranza de los atrasos por todas contri­ Junta de quema de documen…</t>
  </si>
  <si>
    <t>Despacho</t>
  </si>
  <si>
    <t>…ete. Se acordó repartir y archivar dichos ejemplares. consideramos del mayor Ínteres cuanto atañe á esta clase de re­ Veiificada la votación resultaron elegidos los siguientes: Se dió cuenta de un oficio del Sr. Secretario del Despacho formas. Olózaga por 78 voto s, obteniendo 19 el Sr. Ballesteros. de la Gobernación de la Península , acompañando las actas y Ferro Montaos por 79, habiendo obtenido 18 el Sr. H u a - escrutinios generales correspondientes á las provincias que ex­ g o o , y 2 el Sr. Silvela. DE LOS SENTIM…</t>
  </si>
  <si>
    <t>…to supuesto, es necesario probar que El Senado concedió la licencia que pedia. da 1a consideraba necesaria para asegurar la tranquilidad p ú ­ cuando se pide por el Gobierno autorización para proceder con U El Sr Secretario del Despacho interino de Estado ocupó la blica , y ella proporcionaba los medios expeditos contra los ene­ tra algún D ip u tad o , hay que v er, no solo como dice e.l .señor. tribuna y leyó un proyecto de ley para la creación de un con­ migos de la libertad. Los sucesos que han tenido lugar en a l ­ Sa…</t>
  </si>
  <si>
    <t>…es millones de reales, se declara suficientemente dis­ abusos que por desgracia existen mucho tiempo ha. M inistro de Hacienda sobre la resolución que ha recaído en cutida la totalidad. ’ No culparé al actual Sr. Secretario del Despacho , porque el expedienté para el arriendo de puertas de los derechos de mar. Diúse cuenta de varias adiciones al mismo proyectó, que seria injusto, y también porque me consta de positivo que S. S. El Sr. P R E S ID E N T E : Continúa la discusión sobre casos pasaron á la comisión. se ocupa…</t>
  </si>
  <si>
    <t>…taques dentro de los cuerpos colegis­ día admitirla. ladores. La conducta de la minoría fue templada y circuns­ Después de un ligero debate, en el que tomaron parte los Sres. Lujan , B u rriel, Fuentes y el Sr. Secretario del Despacho pecta. Pero el G obiern o debia pasar por una prueba peli­ de H acienda, manifestando este que en manera ninguna podia grosa. No parece sino que se queria ensayar sin noviciado; GUIA DE FORASTEROS, conformarse coq la enmienda, se puso esta á votación, fijándose y jamas G ob iern o ninguno…</t>
  </si>
  <si>
    <t>…lectura del acta de xiotes como el resultado de otras nuevas sobre uaa situado (G . /VA la anterior, que fue aprobada. cuyos diversos aspectos se han dilatado y dibujado mejor. Se dio cuenta de un oficio del Sr. Secretario del Despacho ’ En cuanto á la cuestión de Oriente, las ideas de Mr. Thiei de la Gobernación de la Península, acompañando un parte do ­ parecen ser también las de S. M. Por masque hayan dicho 1 cumentado del gefe político de la provincia de Almería sobre contrario algunos periódicos, es positivo que M…</t>
  </si>
  <si>
    <t>…;* luego es defecto de haber renunciado §us facultades constitucionales pondría. evidente que por las leyes pueden ponerse restricciones y con­ El 8r. M A R T IN E Z DE L A R O S A : l i e sido el primero El Sr. Secretario del Despacho ha dado una muestra de diciones á este nombramiento y separación, y me parece que en reconocer que ha habido un sentimiento de delicadeza. No desprendimiento y de desinterés al proponer este artículo. S. S. esta simple reílexion convencerá de esta facultad para dictar re­ pudiendo contestar…</t>
  </si>
  <si>
    <t>…n­ términos exactamente en que se acaba de indicar por la nueva artículo 110 se dirige contra el principio capital que encierra, tiras es la bolsa ? ¿No se sabe si se trata de gan ar, que se bus­ redacción. El Sr. Secretario del Despacho, al responder el otro sino contra algunos pormenores que lejos de ser ventajosos pro­ can noticias falsas, que se traen correos y se apela á todos los dia á las indicaciones d eun Sr. Diputado, explicó primero que ducen trabas in ú tile s, y en materia tan importante, las trabas medios ma…</t>
  </si>
  <si>
    <t>…aplicador de la ley. lar órdenes y decretos siempre que estas esten autorizadas por si no pregunto y o , ¿ c o a qué objeto podia el Gobierno manifes­ N o lo es eo ninguna nación del mundo; y o no entiendo sino un Secretario del Despacho. Y ahora yo p re g u n to , ¿ q u é a u - tar sus deseos per saber el estado de las elecciones, terreno que de derechos, según los méritos que se pro duzcan , y no creo se toridad tiene facultad de desobedecerlas, como no sean contra le está absolutamente ve d ad o ? ¿S = ?ia saber con ant…</t>
  </si>
  <si>
    <t>…y se resol­ correspondería, con proporción al señalado por la ley ya alcanzó el d ia 13 en las inmediaciones de Picón á tres faccio­ vió por la afirmativa. citada de 30 de Junio. Se dio cuenta de un oficio del Sr. Secretario del Despacho sos montados, quedando muertos dos, y en poder del referido Art. 3.° Si alguna diputación provincial no cumpliese oficial sus malos caballos y escopetas. de Gracia y J u s t ic ia , acompañando un ejemplar de la ley san­ puntualmente con este deber, lo desempeñará el inten­ cionada por S.…</t>
  </si>
  <si>
    <t>…an los procedimientos. bre cesantías de los M inistros, en que propone que el cargo de juicio. Tal es el orden lógico de las ideas y el que se ha segui­ Pero la teoría del editor responsable ofrece también graves Secretario del Despacho se consideie como en comisión, y oo do en la redacción del proyecto. inconvenientes, sobre todo adoptada tan imperfectamente como obtengan cesantía ni jubilación mas que por los destinos que El primer títu lo , que tal vez pudiera omitirse , no hace mas lo está en el dia. Se ha reconocido,…</t>
  </si>
  <si>
    <t>Despan</t>
  </si>
  <si>
    <t>…s y fardos de un tamaño Fuerza pública.—Brue , teniente. t ir o , pues ni aun desde las formidables posiciones de Alcora enorme, con la inscripción de c'A l palacio de la escuela de las División de infantería.—El teniente general Despan ; C u— se atrevió el enemigo á molestarle. Bellas artes de P a ris,” se descargaron en el patio de dicho pa­ bieres, ayudan te de campo; E yn ard , gefe de escuadron.zzPri- lacio. Contenían las numerosas obras de pintura y de escultura mera b r ig a d a : mariscal de cam p o, de Negrier. Pri…</t>
  </si>
  <si>
    <t>Despans-Cavieres</t>
  </si>
  <si>
    <t>…os &amp;c. las pretensiones de la Gran Bretaña. ( M on iin g-C h ro n icle .) bastará para explicar la Cám ara la reserva que debo g u ard ar en Hemos ordenado y ordenamos lo sig u ie n te : estas circunstancias. El teniente general Despans-Cavieres queda nombrado Mi-&lt; Se ha preguntado si el Gobierno habia ^recibido la noticia nistro Secretario de Estado del departamento de la Guerra en oficial del envió de un plenipotenciario americano á Inglaterra, reemplazo del teniente genera! Bernard , que lo ha desempeñado Se lee en el…</t>
  </si>
  <si>
    <t>Despicho</t>
  </si>
  <si>
    <t>…que hoy mismo son representantes muy d ig ■| Si no es para eso , no sé para lo que es. esto se sacrificaban las prerogativas del pueblo , tanto mas d i g ­ nos de la nación. | El Sr. L O P E Z : Debo decir al Sr. Secretario del Despicho nas de ser respetadas, cuanto mas apego las tenia por ser an ­ El Sr. conde de las Navas, lamentándose de la situación d 2 | de Gracia y Justicia que ha padecido una equivocación ; yo no tiguas. aquellos países, dijo que seguían allí las persecuciones, y sin dt •■i he citado la circular q…</t>
  </si>
  <si>
    <t>Deuda</t>
  </si>
  <si>
    <t>…misión. utilidad de esta ley ; pero el Sr. Esteban me ha excitado á que Vales Reales no consolidados, 00. El Sr. M E N D I Z A B A L defendió el dictámen observando manifieste si el Gobierno tiene preparado el expediente general Deuda negociable de 5 por 100 á p a p e l , 00. que el decreto en que se ofecia un premio á los individuos del con los datos estadísticos necesarios para el proyecto actual i con­ ídem sin in terés, á 27 d. f. ó vol.: 6 § , tres dieziseisavos ejército se dió en 2 4 de Octubre,que se debia principi…</t>
  </si>
  <si>
    <t>…brita lo mas Títulos al portador del 4 por 100, 00. rústica. precioso y útil que para su descanso se ha escrito; pues ademas 3? ales Reales no consolidados , 00. de la reducción de reales vellón á pesos de 128 cuartos, de Don Deuda negociable de 5 por 100 á papel, 00. Arte de escoger una esposa y ser feliz con ella, ó sea Con­ sejos para los solteros y cabezas de familia. Un tomo en 8 .°, á Tomas R eig, que tanta aceptación ha merecido, contiene la Idem sin interés, lO f al contado: 6 f á 19 d. f. ó yol.: de las moneda…</t>
  </si>
  <si>
    <t>Devesa</t>
  </si>
  <si>
    <t>…c o mo que para en aquel pensamiento que eleva todos los seres hacia una vi da ! él se escribieron. V alencia 14 de A gosto . mas s u bl i me ; santa y verdadera mi s i ón de tedas las artes. N o L o mismo debemos decir del Sr. Devesa , qui en , á pesar de «s nuestro i ntento i nci t ar á que no se estudie la naturaleza con que el todo de esta ópera no se ada pt a á su tesitura , c an t ó con Est a ma ñ a n a á las nueve ha llegado á esta c a pi t a l el t e r c e r asiduidad y exa c t i t ud, pues cosas sou estas que da…</t>
  </si>
  <si>
    <t>Devon</t>
  </si>
  <si>
    <t>…ciller propusiese un brindis en honor del duque de mo que pudiera llamarse moderado; en tam o que el señor se resolvió que el 25 de Mayo se reúnan los Estados en asamblea ! | W ellington, canciller déla universidad, al conde de Devon , lord P idal, con un gran caudal de erudición clasica, se airin- !</t>
  </si>
  <si>
    <t>Devonshire</t>
  </si>
  <si>
    <t>…ida, contra el abandono de Hafiz-bajá; pero esto es muy dudoso. E n época muy remota ya la Suiza fue el asilo favorito de la candidatura de Mr. C unin-G ridaine, se contestó al honora­ M añana dará audiencia el Sultán al duque de Devonshire, piadosos solitarios que se acogían á ella en busca de emociones ble individuo , asi como á Mr. D enis, que en las circunstan­ á la que asistirán lord Ponsomby y M r. Bankhead. religiosas para olvidarse de la perversidad de los hombres. Es cias presentes el Ínteres del pais debia ser ley.…</t>
  </si>
  <si>
    <t>Deña</t>
  </si>
  <si>
    <t>…n las costas de la Penjín-f Por cuatro velas de sebo que gastó el 622. Un dibujo de tinta de china, al Sr. D. Luis Palefnx. expendedor dé bífl^SV V. .eV .. . . . * " L . l l 68 l. Un cogin de gro bordado de felpillas, á la Sra. Deña sula, acaba de determinar que se aumenten considerable-^ Vicenta Ceballos. mente sus fuerzas ¿navales, y que óé de á los comandantas! Por 39 tarjetas para contraseña de los 859. Un abanico para la chimenea, al Sr. D. Diego Solo. de los buqués nuevas y mas amplias iústrilaciones. Estás! músi…</t>
  </si>
  <si>
    <t>DI, Antonio</t>
  </si>
  <si>
    <t>Antonio DI</t>
  </si>
  <si>
    <t>…é variación sin daño alguno de la estructura. bo sájico, cuyo quebrado es; pero ¿por qué en este caso ha in v en id o por el cuarto Inca M ayta-Capac, como averiguó Explicados los principios mas esenciales en la erección de D. Antonio DI loa. w Intentando M ayta-Capac,” dice este via­ puentes suspendidos, mostraremos ahora su progreso y estado de ser adónico , esto es, ha de tener acentuada la prim e­ jero, cíensanchar su imperio por el occidente, y siendo pre­ actual de Europa. ra? Busquen los inteligentes en m úsica l…</t>
  </si>
  <si>
    <t>Dia, Agustín</t>
  </si>
  <si>
    <t>Agustín Dia</t>
  </si>
  <si>
    <t>…que si se le deja de las primeras elecciones de Ilusiva, reducido á proponer que Idem del proyecto de ley relativo á la testamentifaccion y abandonado, desde un punto alto de la población se verán las se aprueben y se admita á D. Agustín Dia&amp; Gamacho. El señor sucesión intestada de ios dignidades de la catedral y colegiata, llamas de las casas de los desgraciados patriotas que habitan Macíi Lleopart, individuo de la misma comisión, es de opinión y de los párrocos del obispado de Jaén. en él. opuesta; y al leerse su voto part…</t>
  </si>
  <si>
    <t>Diago, Pedro</t>
  </si>
  <si>
    <t>Pedro Diago</t>
  </si>
  <si>
    <t>…limatación de la grana , siendo uno de los nombrados para quizás por la superioridad que ejerce la experiencia sobre la ferentes id io m a s, es claro que ni existió al prin cip io , n i cumplir dicha disposición el hacendado D. Pedro Diago como mejor teoría , pues se pusieron todos los medios mas recomen­ es posible, generalm ente ha b la n d o, la resolución de los funcionario de aquella época , lo que se paralizó por las desgra­ dados para conseguirlo. verbos en el sustantivo y un adjetivo, participio ó g e r u n ­ cia…</t>
  </si>
  <si>
    <t>Diaguez, Gerónimo</t>
  </si>
  <si>
    <t>Gerónimo Diaguez</t>
  </si>
  <si>
    <t>…nio , del D. Juan Laraña, D. Andrés Mendez y Pareja, R io, D. Ignacio de la Riva, D. Blas Mena y blica subasta la mitad de una casa situada en esta corte y su por este medio se espera conseguir mayor ex actitu d , no O liver, D. Gerónimo Diaguez, D. Isidoro Fernandez de A n­ calle ancha de S. Bernardo, señalada con el núm. 3 antiguo perm ite tampoco lo adelantado del tiempo que se extien­ gulo. D. Manuel Aguilar, D. Manuel Estevez de Rivera, Don y 4 I nuevo , de la manz. 449, que se compone toda ella de 5,810 dan órdenes á…</t>
  </si>
  <si>
    <t>Diaz, D. José María</t>
  </si>
  <si>
    <t>D. José María Diaz</t>
  </si>
  <si>
    <t>…Lorenzo Arrazola. (Id.) cho motivo. Lo que se avisa principalmente á las personas que Los dramas son el Marino del célebre Alejandro Dumas, habiendo acudido i comprarlos no se les ha podido servir por y Laura y original del Sr. D. José María Diaz. —— admitiendo á D. José Ferraz la dimisión del despacho del ministerio de Hacienda, y nombrando para que lo desempe­ dicho defecto y a corregido. Las materias de que tratan son: Los suscriptores tienen entrada gratis en un gabinete de Sobre los frailes, y detenidamente los jesu…</t>
  </si>
  <si>
    <t>Diaz, Guillermo</t>
  </si>
  <si>
    <t>Guillermo Diaz</t>
  </si>
  <si>
    <t>…ora, no puede menos de hacer una particular y hon­ ven D. José Abalo, discípulo del propio establecimiento, que eclipsar la esfera de su satisfacción; porque es tantopudiera mas hoy peno­ dirige la segunda de gramática, y á D. Guillermo Diaz, que , cuanto^s mayor la imposibilidad de acallarlo. Mucho se rosa mención de su director D. José Robles por el celo y empeño hace lo mismo con la tercera de aritmética, también discípulo so que cada dia demuestra por el adelanto de sus alumnos, entre los cuales se cuentan que reci…</t>
  </si>
  <si>
    <t>Diaz, José</t>
  </si>
  <si>
    <t>José Diaz</t>
  </si>
  <si>
    <t>…d . . L u g o ., . . . 100,000 Id. Ignorándose la habitación en esta corte de Doña Antonia estimase conveniente, ó alguno de los interesados lo pidiere asi, 5,575. 8 Junio i d . . Id 30,000 8 id. Bertnudez, viuda del coronel D. José Diaz , se la avisa por me­ se publicarán en el Boletín oficial de la provincia. 5.574. I d . . . .............. Id 90,000 Id. 5.575. Id...................... Id 20,000 Id. dio de este periódico á fin de que se presente en la secretaría Art. 66 . En el caso de disolución se convocará inmediata…</t>
  </si>
  <si>
    <t>DIAZGIL</t>
  </si>
  <si>
    <t>…del dictam en va en v u elta la n u lid a d de las no podia menos de in s is tir en su idea. de Pontevedra de re m it ir las listas electorales, añadien do que elecciones, bajo este supuesto paso á so&amp;ener el dictám en . El Sr. D I A Z G I L hizo presente que la com isión de Fueros la comisión se h a b ia excedido en este caso de sus f a c u lt a d e s , y El orador manifestó que no debia entenderse que la com i­ se h a b ia ocupado sin lev a n tar m ano en este a s u n t o , hallán d ose que la aprobación seria indecorosa…</t>
  </si>
  <si>
    <t>Dibbets</t>
  </si>
  <si>
    <t>…r con cierto tono disonante y fastidioso £1 ejército holandés acaba de sufrir una verdadera pérdida Otro grupo ha tratado también de saquear la tienda de Mr. que impedia la buena pronunciación. con la muerte del teniente general Dibbets, uno de los restos Beringer, arm ero, calle del Cog-Saint-Honoré ; otro armero ha Acto continuo se presentaron las niñas instruidas en la g ra ­ del ejército imperial francés. Desde el principio de la revolu­ estado igualmente á punto de ser robado en el muelle de la mática castellana á carg…</t>
  </si>
  <si>
    <t>Dice</t>
  </si>
  <si>
    <t>…rmas que propone el ejecutivo , y que celebrada en esta el día 11 de Mayo. ciosos cuyos nombres no se citan. están de acuerdo coo los progresos del orden social, con las Hallándose presentes: Por parte del Austria , el conde de Dice asimismo que se han presentado á indulto Antonio ventajas de la agricultura , del comercio y del crédito; la na­ Munch Bellinglnussen , consejero privado en ejercicio; por la Estebe, de nación portugués; Domingo Antonio Alvarez; Juan ción por medio de estas prudentes economías puede aumentar d…</t>
  </si>
  <si>
    <t>Dice, José Roca.</t>
  </si>
  <si>
    <t>José Roca. Dice</t>
  </si>
  <si>
    <t>…n a, un sable , una bandolera, videncia alguna para llevar á efecto el decreto de 10 de D i ­ 1. D. Antón Fábregas Caneny. dos libras de pólvora y dos cananas. ciembre de 1 8 3 6 , están entrando en el Tajo navios de guerra 2. D. José Roca. Dice igualmente que se ha presentado á indulto el faccio­ portugueses, conduciendo apresados buques que encontraron em­ 5. D. José Calasaoz Casanovas. so de la gav illa de R am o s, M anuel Seoane, vecino de San V i ­ pleados en tan nefando comercio. 4* D. Francisco de Asís Presas. cente…</t>
  </si>
  <si>
    <t>Dicha, Francisco Javier Aspiroz.</t>
  </si>
  <si>
    <t>Francisco Javier Aspiroz. Dicha</t>
  </si>
  <si>
    <t>…la la merValtamas batallón franco de Castilla, que se había destacado desde de Escudero, que ha sido destinada por el Sr. comandante ge­ Carrion á ocupar el punto de Herrera para proteger la marcha neral de la primera división D. Francisco Javier Aspiroz. Dicha columna puede evitar el que las facciones desciendan tander, habia sido atacada por 50provincial de la comisión de esta diputación facciosos que pasaba á San­ de á caballo y 12 A N U N C IO S . á la Baronía , y talen aquellos hermosos pueblos que fertilizan infan…</t>
  </si>
  <si>
    <t>Die</t>
  </si>
  <si>
    <t>…ANTES VARIACIONES, composición de Maiseder, de­ do de costumbres nacioncles que lia sabido darle; por la dicadas al inmortal Paganini. licKiuccion bien entendida é imaginada de los caracteres, 4.° Pas-de-deux, bailado por la Sra. Die* y el Sr. Casas. La compañía lírica ejecutó en este teatro el sábado y por la verdad de los incidentes accesorios con (pie la ha último en celebridad del cumpleaños de S. M. la Reina por5.°el indicado LAS VARIACIONES del célebre Lafónt* ejecutadas Sr. Lasala. adornado. Por tanto E l Cómico de…</t>
  </si>
  <si>
    <t>…también deploram os, se ha atrevido nunca á riedad de metros, amaestrada con las lecciones que ha recib ido , se establece ensayarse en la tragedia; su elevado talento, su grande j Pas-de-deux indio, obligado de arpa, por la Sra. Die» en tm punto sólido y conveniente, y forma una nueva es­ inteligencia comprendió muy bien que habiendo nacido y él4 .0Sr.UnCasas. divertido sainete. cueta tan distante de una como de otra de las que antes con relevantes facultades par:* el dram a m oderno y para ha proclamado. la com edia, su f…</t>
  </si>
  <si>
    <t>…coa lo que me habéis expuesto, he venido del señor de los Rios, titulados, Abud Said en S ev illa , con rección. en autorizaros, á nombre de mi augusta Hija la Reina Doña muy buenas descripciones; siguióle el señor Herreros (D. Die­ Se dice si también han empezado á fortificar á Alpuente. Isabel 1 1 , para que presentéis á la deliberación de las Cortes eí pro­ go) con una bellísima composición titulada La ilu sión , que La infantería y caballería del Turia ha marchado hácia yecto de ley q u e, de acuerdo con el dictámen d…</t>
  </si>
  <si>
    <t>Die, Baltasar Payan y D.</t>
  </si>
  <si>
    <t>Baltasar Payan y D. Die</t>
  </si>
  <si>
    <t>…medio de PROVIDENCIAS JUDICIALES. la Gaceta del Gobierno y Diario de avisos de esta corte, que cualquiera persona que sepa de la existencia 6 paradero de los Barcelona, librería de José Matas y de Bodallés, editor nominados D. Baltasar Payan y D. Die^o Jim énez, ambos re­ virtud de providencia del Sr. D. Tomas Pacheco, juez de calle de la Platería , niím. 50. Madrid , librería de Cuesta. Cá­ sidentes en la ciudad de Alicante el año 5 2 , el segundo capitán primera instancia de esta capital , refrendada del escriba­ diz,…</t>
  </si>
  <si>
    <t>Dieaj</t>
  </si>
  <si>
    <t>…do , siu C ádiz, { á | id. Zaragoza, par. duda por nuestros mismos soldados, pues hacia la noche muy CEFIRO Y AURORA, Escura. No ocurre otra novedad. {Id.) Descuento de letras, á 6 por 100 al año. bailando un Hado terceto la Sra. Dieaj, el Sr. Casas y una ni* na de siete años, discípula dé este. Terminará la función con un divertido sainete. , Daroca 10 de Junio . PROVIDENCIAS JU DICIA LES. Las facciones reunidas y mandadas por Cabrera se hallaban J UAN Navarro López, escribano público por S. M. la R ei- CRUZ. A las oc…</t>
  </si>
  <si>
    <t>Diebbetz</t>
  </si>
  <si>
    <t>…los mismos términos, cumpliendo exactamente las ór­ nos centenares de ginetes. Estas demostraciones han alarmado sejo de Estado. denes que les he dado. Son igualmente dignos de elogio los bi­ bastante en Maestricht. El general Diebbetz ha declarado que Que desearía que la ley designase para consejeros de Esta­ zarros marineros Andrés Lage y Domingo Antonio A renas; el la entrada en la ciudad seria rigorosamente prohibida á los que do á todos los que hubiesen tenido el honor, á lo menos por primero es el contuso, debien…</t>
  </si>
  <si>
    <t>Diego</t>
  </si>
  <si>
    <t>…mamente en P av ías, adonde se han re­ nor y compromisos voluntariamente contraidos por el trono y ministerio de la Guerra. plegado los bandidos de Alberto y Gara fu lia , pues conocen la libertad. A petición del Sr. M ontoya (D. Diego) se leyó la exposi­ que la cercanía de nuestras tropas no los deja campear con la M ilic ian o s: Me glorío de ser vuestro mas sincero amigo, ción original que elevaba al Congreso el Sr. Alcalá Zamora. libertad que antes. (Id.) uno de vuestros mas fieles compañeros; no dudo de vuestra co­ El S…</t>
  </si>
  <si>
    <t>…el examen de los hechos y conducta que se* Excrnos. Sres. Presidente deí Senado; conde de V ig o , y á publicar el bando de que remito á V. EE. ejemplares, por el habían observado? N o , señores, no procedió con ligereza, ni D. Diego M edrano, Secretarios; duque de Frias , marques de cual he levantado el estado de guerra de Córdoba, Huelva y tampoco por lo q u e su buena razón la d ic tab a ; examinó los TorreaIta , D. Alvaro Gómez Becerra, D. José M a iía Reig, Cádiz , exceptuando la isla de San Fernando ; he creído conve…</t>
  </si>
  <si>
    <t>…er los presuntos reos tin , Ja é n , Cevallos, G arcía, Perez de R ivas, Izuardi, Puig- tras que no se fije perm anentem ente en uno ó dos puntos porque aqui se falle una cosa d otra; que haya ley ó no, siem­ moltó, Mootoya (D. Diego) y Montoya (D. Juan). pre tienen un recurso legal muy conocido. Ya podia yo excu­ determ inados, quedando libres los d em as, todos los es­ Se dio cuenta en seguida de varios expedientes, de los cua­ sarme de pasar mas adelante con esta contestación , pero me les por el ruido de los que sal…</t>
  </si>
  <si>
    <t>…po­ se quizás como parte integrante de la Constitución m ism a, est¿ A riásT éjeiró . ‘ ? ‘ Sánzl ' sibilidad de una continuación prolongada de actitud pasiva, fijado el territorio de la Bélgica. Ahora b ien , en los término D. Diego M iguel García. D. Basilio. r ' mientras que limitándonos á conservar nuestros medios de defen­ del art. 80 de la Constitución presta el R ey el juramento si­ Orellána^ “‘ ^- Célis. sa en proporción con las fuerzas disponibles del ejército ho­ guiente : t Alvarez A rias. Senodilia. * landés…</t>
  </si>
  <si>
    <t>…s Reales no consolidados, 00. en 14. Deuda negociable de 5 por 100 á p ap el, 00 . Cuenca 2 d e A gosto . Otra id ., sierra de M o n tro y, barranco Pinalbo , término Idem sin interés, 00. ' de C uevas, Jesús Nazareno , por D. Diego M aría Aro López, Acciones del banco español de S. F ern an do , 0 0 . Comandancia general de la provincia de Cuenca y brigada de en 14. operaciones zrEstado mayor.=Por Real orden de 19 del presen­ Otra id ., en la D ehesa, Solana del Puntal de los M ache- CAM BIOS. te mes se ha servido S. M.…</t>
  </si>
  <si>
    <t>…rios se emplean , pues si se hiciera pagando al contado no causaría Collantes. resultados, pues como manifestó el barón del Solar en su me­ el terror y los males que lleva consigo. L a comisión , sin em­ El Sr. M O N T O Y A (D. Diego) expuso que dirigiéndose el m oria habiéndose dado dinero para com prar 53 cab allos, solo bargo de que no deja de conocer estos n iales, se ha visto en la voto p articu lar del Sr. Calderón Collantes á que se suprim an pudieron comprarse 1 5 1 ; y el tercero y que mas produjo, pues precisió…</t>
  </si>
  <si>
    <t>…oner el sucesor en la presi­ E n consideración á los distinguidos servicios del m a­ del anterior á un grupo de facciosos montados, causándole dos dencia del muy honorable Abercromby , declara no tener nece­ riscal d e cam po D. Diego L eón, y deseando d a rle un tes­ heridos, y habiendo cogido entre ellos á Pedro Corral, deser­ sidad de hacer el elogio del antiguo presidente, ni la enuncia­ tor de nuestras filas. tim on io p a rtic u lar del aprecio que me h a n m erecido los ción de los importantes deberes que la vacante…</t>
  </si>
  <si>
    <t>…ura como ejercicio práctico. Aprenderán también y simul­ D. José Segundo Florez , geografía é historia. zación y pública prosperidad; y nos han puesto en el caso de táneamente los principios de dibujo, por cuyo medio grabarán D. Diego G allardo, maestro regente de la espuela práctica marchar con alguna celeridad para recobrar lo perdido. en su ánimo las diferentes formas regulares ó irregulares de de niños. ; No renovaremos el triste cuadro de nuestras pobres escue­ los cuerpos geométricos, al mismo tiempo que se disponen…</t>
  </si>
  <si>
    <t>…coger en el acto la primera entrega. El tratado de la pintura por Leonardo de V in ci, y los tres BIBLIO GRAFÍA . libros que sobre el mismo arte escribió León Bautista Alberti, traducidos é ilustrados con algunas notas por D. Diego A n to­ CABRAS de Miguel de Cervantes Saavedra : once tomos en 8 0 O l S Tzas, O R I A del famoso predicador Fr. Gerundio de Campa- nio Piejon de Silva. Un tomo en 4-° nr&amp;rca mayor , edición de escrita por el P. José Francisco de Isla , de la Com­ 1827 , adornado con los retratos de Yinci y…</t>
  </si>
  <si>
    <t>…satis­ tajas para la causa nacional, y se ha dignado mandar se den clero español hasta el año 185 6 , y el extraordinario que le han factorios al Sr. conde de Luchana y á las beneméritas tropas las gracias al mariscal de campo D. Diego L eón, y á las va­ impuesto los apostólicos, las causas pias, las rentas de sacris­ de su mando la particular complacencia con que ha sabido es­ lientes tropas que tuvieron parte en tan brillantes sucesos, ri­ tías y las fundaciones destinadas á establecimientos de beneficen­ te brillante hech…</t>
  </si>
  <si>
    <t>…he recibido de las Indias despa­ Dios &amp;c. Teusitlan M ayo 8 de 1859.r3Manuel Estevez. =2 chos oficiales que tengan relación con el rumor que circula de El 28 de Ju lio se verificó la inauguración del obelisco de Sr. coronel D. Diego M aría A lcald e, gobernador de la forta­ que muchos comerciantes ingleses, residéntés en Cantón , han sido arrestados, y confiscada una gran porción de ópio. Solo 10 de Abril erigido en memoria de la batalla de Tolosa. leza de Perote. Toda la población se trasladó á las alturas de C alvinat:…</t>
  </si>
  <si>
    <t>…ustantinopla coa fecha de 17 de en ellos, asi como en los que acabamos de enumerar, pruebas Mayo: Mientras que Espartero maniobraba delante de Ramales, el no solo de su generosa munificencia, sino de su mucha instruc­ general D. Diego L eón, virey en cargos de Navarra , que "Todas las apariencias están á favor de la guerra, cuyo ries­ ción y afición á las ciencias y á las artes. Estando de vuelta en manda la línea de Pamplona y el Arga , atravesaba este rio go parece inminente. Sin embargo, aunque decidida la Puerta el pal…</t>
  </si>
  <si>
    <t>…a n Roca dé Togores, y la segunda por Doña M i n u c ­ v an á c o n tin u a r en su c a rrera ? ¿ P u e s q u é , señores, desde este m a r c a d a s d e apr obac ió n.) ia Roca de T o g o r e s , y las otras por el cap itá n D. Diego J i m é ­ mism o sitio no he tenido el honor de d e n u n c ia r abusos uno y El Sr. M in is tr o de H A C I E N D A : El Sr. conde de las N a ­ nez, de fechas 2 0 de M a r z o , 15 de A b r i l , 5 y 2 6 de M j y o . 6 otro y otro a ñ o ? ¿ Y los abusos no s i g u e n ? Precisamente h o y , v…</t>
  </si>
  <si>
    <t>…onales sobre los extrangeros, porque acaso Obtuvo en seguida la palabra y dijo se dé tal inteligencia que no esté en el caso de combatirlo, ó se persona de cu alquier clase y condición que sea, q u e por El Sr. M O N T O Y A (D. Diego): E n la legislatura pasada le dé aquella que puedo presumir, en cuyo caso haré uso de la tibieza u otras causas no desplegue en este servicio toda después de varios clamores, y clamores m uy fuertes, para que palabra. la energía y actividad necesaria. A pesar de estas p re v e n ­ se diese po…</t>
  </si>
  <si>
    <t>…\ *er r? no estrecho de las prácticas reglam entarias para el camino de Jaén á Bailen por un tal Luciano U rrutia que ITévarla á otro mas elevado. El Sr. M inistro de la Gobernación usó en esto de su dere­ luego declaró ser D. Diego M artínez de la R osa, con quien cho, y al usar de él hizo m uy justamente una especie de in ­ El Sr. PRE SID E N TE (con viveza y e n e r g ía ): Perdone espuesde varias conferencias con la dirección se hizo una con­ culpación á la mesa porque no habia contenido al Sr. interpe­ Y . S ., q…</t>
  </si>
  <si>
    <t>…ño, capitán director de la Real compañía de Guardias tro C am icer, por la Sra. V illó , el Sr. Salas y coristas; con de­ gostas, langostinos, cigarrones, grillos &amp; c ,, chinches y otras alabarderos, y la viuda y herederos de D. Diego R u te, vecino coración y trajes. especies que constituyen los órdenes O rthoptera , H em ip tera , que fue de la ciudad de M álaga, sobre cumplimiento de una 5.° Dúo en la ópera Anna Bolena9 del maestro D onizetti, H om optera y algunas porciones del órdeu N europtera. A lgu­ escritura de o…</t>
  </si>
  <si>
    <t>…A iouso T o s t a d o , L ui s V iv es . D . Diego H u r t a d o de Zaragoza 22 de Julio, Teniendo noticia el gobernador de sueta dtl Min istro de la G u e r r a , aprobada por S. M. Mendoza , D. G er ón im o de Z u r i t a , D. Diego S a j v e d r a F a j a r ­ Caspe de que en M*u?l!a y Tab ara existían algunas partidas re­ E;t.ído de C a t a l u ñ a , según deducciones de la corresponden­ do y D. Alvar o N a v i a Oso rio. beldes , dispuso el dia 19 por la tarde la salida de 150 i u f a n - j cia de las autoridades superi…</t>
  </si>
  <si>
    <t>…as de Genofoate ateniense, trasladadas de! griego t a l , procuró su a d q u isic ió n , porque desde luego concibió la Rafael de Sierra y Cárdenas. =Por su mandado José García de Soria y Morero. al castellano por el secretario Diego G r a c ia n , segunda edición, idea de q u esería uo espectáculo nuevo, grandioso é interesan­ á que se ha añadido el texto griego , y aumentado en la tra ­ te. Eu efecto, La D egolla ció n d e los I n o ce n te s es un d r a ­ ducción castellana por el licenciado D. Casimiro Florez Canse-…</t>
  </si>
  <si>
    <t>…omo objeto secundario; Al empr ender el movi mi ent o or de nuestros soldados, debía procurar economizar su sangre, peñascos que habian desprendido de las lomas, y de las talas c o mu n i qu é instrucciones al bizarro general D. Diego L e ó n , á l epur ando los medios menos costosos, resolví practicar otro re- de árboles colocados para obstruir el paso. Las tropas si guieron fin de que hostilizase seriamente el pais rebelde por la parte de :onoci miento por el valle de Soba. A este fin me d u i g í por h en las inisrnas p…</t>
  </si>
  <si>
    <t>Diego, D.</t>
  </si>
  <si>
    <t>D. Diego</t>
  </si>
  <si>
    <t>…a la belleza de las en­ subterráneo, operación de la m ayor im portancia porque Sr. marques del Socorro. cuadernaciones que salen de sus manos con aquella perfección pone de m anifiesto el trabajo de las m inas y la dirección Sr. D. Diego dél Rio. á que eo Francia y en Inglaterra ha llegado este precioso arte de ios m etales ó criaderos, facilitando un m edio de co­ Sr. D . José González Calderón, cura párroco de S. José. Si estos pues han conseguido tales ventajas guiados únicamen­ nocer la probabilidad del éxito de los tra…</t>
  </si>
  <si>
    <t>…ndolo interior y exterior mente el tpatro del Por la numeración de los billetes ^ se-» liarlos y batirlos 56 Manuel Somera. Príncipe. - - , _______ _ Por la impresión y papel del cartel 213. Un cogín bordado de colores, al Sr. D. Diego V al- anunciando el concierto. . . . . . . . . . 44 demoro. Con singular satisfacción ponemos en conocimiento del Por fijarle en los sitios públicos..,.u . . * lO 769. Dos abanicos de chimenea bordados, al Sr. D. Miguel público la siguiente noticia y; " Por insertarle en el D iario., . .…</t>
  </si>
  <si>
    <t>Diego, D. Luis Rodríguez Camaleño. Sr. D.</t>
  </si>
  <si>
    <t>D. Luis Rodríguez Camaleño. Sr. D. Diego</t>
  </si>
  <si>
    <t>…r.) gr’&gt;C No está aprobada el acta de elección. Sr Málaga. Valladolid. Sr.) Sr. D. Antonio de los Rios y Rosas , electo. Sr. D. Mariano Miguel de Reinoso , Secretario 1.° Castellón de la Plana. Sr. marques de Casa-Iru jo. Sr. D. Luis Rodríguez Camaleño. Sr. D. Diego María López, electo. Sr. D. Lorenzo Arrazola. Sr. D. José María Valterra. Sr. D. Andrés Borrego, electo. Sr. D. Millan Alonso.</t>
  </si>
  <si>
    <t>Dieskan</t>
  </si>
  <si>
    <t>…al seno del pueblo H ussein-K han, embajador d e Persia, se apeó ayer en el queda enteramente nula , la asamblea degradada, y todos los po­ hermano para continuar ocupándose de la prosperidad de sus palacio de Miyarh El barón de Dieskan , encargado de nego­ deres se trasmiten al gobernador y á su consejo.</t>
  </si>
  <si>
    <t>Diez</t>
  </si>
  <si>
    <t>…, original, en tres actos y é » VaU U n 'tomo en 8.° marquilla con el texto griego al frente de riedád de metros. la traducóión._^.Sé vende en él despacho de la Imprenta N a­ 2.° Pas-de-deux indio, obligado de arpa, por la Sra. Diez A N U N C IO S* cional á '20 rs. en rústica.. Se darán dos ejemplares gratis y el Sr. Casas. 5.° Sinfonía¿ | 7 L Diablo suelto , periódico dedicado á instruir y divertir al é l que compre una docena. 4*° P L A N -P L A N , comedia nueva, dé gracioso , en dos público á costa de sus mismos v…</t>
  </si>
  <si>
    <t>…l, en tres actos y en va­ preferencia. Celebrado el oficio de difuntos , en el que pronun­ riedad de metros. ciará la oración fúnebre el Sr. canónigo Rom ea, y hechos los 2.° Pas-de-deux in d io , obligado de a rp a , por la Sra. Diez honores de la clase de capitán general, ias tropas de la guarn i­ Gran rem esa ademas d e la anterior anunciada . , recibida d el y el Sr. Casas. ción y la benemérita M ilicia que se hallarán formadas durante 5.° Sinfonía. ex trangero en el gran alm acén d e música d e C arrafa , 4.0 EL D IA M…</t>
  </si>
  <si>
    <t>…sos suscriptores que por otra parte nos han fa­ La política , las ciencias, la literatura , las artes, todo está vorecido en el corto tiempo que el periódico lleva de existen- Seguirá un Pas-de-d eu x, nuevo, bailado por la Sra. Diez al presente consignado en esos anales vivos de la civilización i a , prueban también evidentemente la benevolencia con que y el Sr. Casas, composición de este ú ltim o ; terminando la fun ­ moderna: en los periódicos. 1 público ha acogido nuestros trabajos : si seguirnos merecién- ción con u…</t>
  </si>
  <si>
    <t>…oder bastante en el citado juzgado y y en su consecuencia mando que se lleve á debido efecto. Asi escribanía a deducir las acciones de que se crean asistidos, coi Seguirá un P a s - d e - d e u x , n u e v o , bailado por la Sra. Diez lo proveyó, mandó y firmó á presencia del jurado el m uy ilus­ y el Sr. C asas, composición de este ú lt im o ; terminando la fu n ­ apercibimiento de que pasado se dará á los autos el curso qu&lt; tre Sr. D. Onofre G rado li, del Consejo de S. M . , su ministro corresponda y les parará el perjui…</t>
  </si>
  <si>
    <t>…probación y aplauso de tan escogida concurrencia. Consolidados, 95 i al contado, 95§ á cuenta. También se presentó D. Francisco Bolufer , discípulo de len­ Bonos de Indias , 44* Seguirá un Pas-de-deux, nuevo, bailado por la Sra. Diez gua francesa, que habiendo empezado á estudiar seis dias antes Acciones del banco, 197. y el Sr. Casas, composición de este último; terminando la fun­ de esta ceremonia, bajo el cargo del acreditado profesor D. Lo­ Fondo activo español, 19^. ción con un divertido sainete, no ejecutado hace mu…</t>
  </si>
  <si>
    <t>…ministerio. Ayer y hoy el mariscal Soult ha asegura­ gados de primera instancia de la presente ciudad, con ejer­ cicio en el cuarto de ellos, infrascrito. Certifico: Que en la Seguirá un P as-de-deux, nuevo, bailado por la Sra. Diez do á muchos diputados que no tenia poderes algunos, y que no estando encargado de ninguna misión , no debía hacérsele querella seguida en dicho juzgado á instancia de D . Pablo de y el Sr. Casas, composición de este últim o; terminando la fun­ responsable bajo ningún concepto de los retardos de…</t>
  </si>
  <si>
    <t>…rebajando las contribuciones, y fijando á 54 la conveniencia pública asi como la particular exigen su reforma. y 52 rs. los derechos de introducción de muías lechales que an­ Entra después á contestar á las observaciones del Sr. Diez rán5.anecesarios En las audiencias de la Península é islas adyacentes se­ tes estaban sujetos á 90 y 150. de Tejeda acerca de la coartación de la defensa que por esta ley vista las causas cinco en que ministros para ver y fallar en vista ó re­ el juez de primera instancia haya im­ El Sr. P R…</t>
  </si>
  <si>
    <t>Diez, Bartolomé Tejeda</t>
  </si>
  <si>
    <t>Bartolomé Tejeda Diez</t>
  </si>
  <si>
    <t>…ero de individuos que componen man*. 6 9 , que tiene de sitio 5521 i pies superficiales, retasada currieron las consecuencias. el agregado, mayor es la necesidad de un poder reg u lad o r; pe­ en 45644 rs. por los arquitectos D. Bartolomé Tejeda Diez, Sin em bargo, á pesar del impulso dado á las tareas dé los ro la falta de gobierno es siempre y e n todos casos un mal D. Pedro Blas de Uranga y D. Jo^é M aría G uallar , lo que se legistas por estas im portantes inmovaciones, las viejas dóctrinás grave. anuncia para que el…</t>
  </si>
  <si>
    <t>Dio</t>
  </si>
  <si>
    <t>…, Domingo Castiñeiras.—P. A . D. A . , he tenido á bien nombrar Senador por la provincia de To­ EXPOSICIONES A S. M. LA R E IN A GOBERNADORA. V ic e n t e R i o , secretario. ledo á D. José Santos de la Hera , en reemplazo de D. Dio­ nisio Capaz. Tendréislo entendido y lo comunicareis ¿quien S e ñ o ra: E l vice-recto r y claustro de la universidad l i t e ­ corresponda para los efectos convenientes á su cum plí- raria de Toledo felicitan a Y . M . con jú b ilo in ex p lica ble Señora: E l ayuntamiento constitucional de la…</t>
  </si>
  <si>
    <t>Dioni</t>
  </si>
  <si>
    <t>…ar vez necesita usar de la autorización que en este sitio se le dio Senador por la provincia de Toledo á D. Santos L a Hera en para hacer un empréstito, en los momentos en que necesitamos MADRID 2 2 DE OCTUBRE. reemplazo de D. Dioni io Capaz. los representantes del pueblo dar robustez al crédito nacional Se acordó archivar la colección de las circulares expedidas ¿viene el Sr. Estéban á proponernos crear en papel 5 00 m illo­ por la secretarii de la Gobernación de la Península que rem i­ nes? Señores, lo mismo se cuenta…</t>
  </si>
  <si>
    <t>Dionisio</t>
  </si>
  <si>
    <t>…­ M » g e n i s , e l capitán de la Guardia D. J u a n U rb in a, y el de Real confirman las noticias que y a se tenían de la agitación neral G o ñ i, q u e manda una d iv is ió n ; el general S a r a s a , m i ­ infantería D. Dionisio M o n d e jar, se señalaron no solo por la que reina no solo entre el pueblo, sino en el ejército. Cada dia nistro del consejo de Guerra. exactitud y celo con que cumplieron las funciones de su desti­ es coas crítica la posición de D. C arlos: el tesoro está v a c ío , y El ejército de N a…</t>
  </si>
  <si>
    <t>…erto s, entre ellos dos oficiales, y mas de 30 heridos de to­ L a comisión de Peticiones presenta el d ic t a m e n , desde el tubre último. Enterada S. M., se ha dignado resolver que das clases. El mismo elogia la conducta de D. Dionisio M a r t í ­ núm. 101 al 22 , y se anunció que se im p rim iría por apéndice tanto en la citada provincia como en cualquiera otra en nez, c apitán g ra d u a d o de artillería de m a r in a , y D. Antonio y se discutiría en el dia señalado. que se requisen todos los caballos útiles que exist…</t>
  </si>
  <si>
    <t>Dios, Presidios.</t>
  </si>
  <si>
    <t>Presidios. Dios</t>
  </si>
  <si>
    <t>…de Representantes no de Y. E. para su conocimiento, al propio tiempo que lo hago nacion de un número considerable de pinos, entresacándose de ha tenido tiempo de votar la ley que debia asegurarles la na­ á la dirección general de Presidios. Dios guarde á V. E. mu­ los montes de pertenencia común dé esta capital y pueblos de turalización y las dos terceras partes de sus sueldos. Se asegura chos años. Málaga 20 de Abril de 1839.=: Excmo. Sr. = Simón la provincia , con lo demas que S. M. ha tenido á bien dispo­ que la Cámara se…</t>
  </si>
  <si>
    <t>Dios-, Manuel María Simó y D. José</t>
  </si>
  <si>
    <t>Manuel María Simó y D. José Dios-</t>
  </si>
  <si>
    <t>…dón, es de­ tortillo , D. Leopoldo Brockmann , D. Fernando Reyes, Don solo, prisionero y lleno de heridas; por esto d ijo: «Yo so­ c i r , á 4 pesetas la libra. {Id.) Manuel Docavo y D. Juan Pablo Lasanta. Traducción latina. D. Manuel María Simó y D. José Dios- lo fui el triste entre tantos a l e g r e s , y el cautivo entre tan­ dado. tos libres.,, (l) Propiedad latina. D. Anselmo M ateo, D. José Saochez, Uchalí se escapó con las galeras que m a n d a b a r en n u ­ Escriben de Piorna. El 6 de Junio último, octava del…</t>
  </si>
  <si>
    <t>Dip</t>
  </si>
  <si>
    <t>…; mo condición sine qua non asentí á firmar este voto gene­ gues al Diputado A lv a r e z ; pero si para los demas que están en y cuando se ha faltado á esta, no se podrá decir que el proce­ ral de la comisión, siempre que al Sr. Dip utado Alvarez se le ese caso. E^te es un voto de censura de mas calificación que el dimiento sea el medio de esclarecer la conducta del S r . Alvarez, juzgase por su tribunal competente, y yo explicaré cuál es su que se proponía ayer por el de la minoría de la comisión. T o ­ porque el medio es…</t>
  </si>
  <si>
    <t>…consecuente con lo manifestado por presentó un proyecto bastante semejante al presentado por el la que tratamos de d a r ; y que si la dejamos para otra época, uno de sus in dividuos, retira los dornas artículos de este pro­ Sr. Dip ut ado . quedarán los capitanes generales con la f¿iCultad de declarar los yecto en consideración á las muchas adiciones y enmiendas que F u e pues de parte de quien lo presentó u n medio de asegu­ estados de sitio y de guerr a, y se mezclarán en el gobierno a d ­ se han hecho á varios de sus a…</t>
  </si>
  <si>
    <t>Dip, Arteta</t>
  </si>
  <si>
    <t>Arteta Dip</t>
  </si>
  <si>
    <t>…l re- anunció quedar elegido Presidente el Sr. D. José María Ca­ do de que el número componente de Diputados sea el mayor jtivo á las elecciones de Jaén , que estoy muy distante de latrava. posible, y ademas porque siendo el Sr. Arteta Dip u ta d o por ombatir, pero que debo apoyarme en ei porque me suminis- Para primer Vicepresidente obtuvieron votos el Sr. Z u m a ­ N a v a r r a , es importante que se halle en el Congreso, porque su ra un “a rma m u y poderosa. En el acta de esta provincia ap a - lacarregui 61 , Romero 1…</t>
  </si>
  <si>
    <t>Diputado</t>
  </si>
  <si>
    <t>…itan á cada pueblo las su­ ella : y añ¿de que con la misma fecha habia dispuesto se tras­ como contrarios al orden y sosiego público ; y en cuanto á mas que con cartas de pago de las oficinas del ejercito se ladase el propio Sr. Diputado á su casa, también en clase de esto, señores, estoy seguro que no hallare Oposición : todos, acrediten eh -las de Rentas h a b e r ad elantado para el in ­ arrestado , bajo su palabra de honor, desde la prevención del cualesquiera quesean sus opiniones, están convencidos de la dicado objeto…</t>
  </si>
  <si>
    <t>…guelles y Olózaga, y que fuera del terreno de esta cues­ mando y el general que le cedia. Si ambos están conformes en contrario á todos los principios de jurisprudencia.Si yo hubiera tión no podia permitir se saliese ningún Sr. Diputado. que nada trataron, no puede suponerse que hubo transacción. 1 sospechado que Íbamos á entrar aqui á calificar el suceso de Se­ El Sr. M O N T E S D E OCA expuso que no tan solamente Fácil es manifestar la conformidad de ambos generales en esa villa que el Sr. Diputado que acaba de habla…</t>
  </si>
  <si>
    <t>…Enero de l8 59.:= F o n s 0ca.= A rm e o - nínsula. dariz.—Pidal. J u a n de Ulúa , cubriendo á nuestro ejército de una nueva glo­ r i a , es uu justo objeto de orgullo para la Francia. Esta ha vis­ E n tró á ju rar dicho Sr. Diputado. to con placer, S e ñ o r, participar á uno de vuestros hijos de los Procedicndose á la discusión del dictámen sobre las atribu­ ANUNCIOS OFICIALES. peligros y triunfos de nuestros intrépidos marinos. ciones de los ayuntamientos , fueron aprobados sin discusión Nos damos el parabién con…</t>
  </si>
  <si>
    <t>…. ayer y repito hoy que aqui no se trata del estado de las cosas, ^ d ir los exámenes públicos que se verificaron el 14 y 15 El Sr. SA N C H O deshizo largamente algunas equivocacio­ sino de un hecho aislado, del arresto del Sr. Diputado A lv a — de este mes en el colegio de humanidades de la plaza de Isa­ nes cometidas por el Sr. Olozaga , y con el mismo objeto usó re z ; si ha habido ó no infracción, no es ahora del casos el G o­ bel 1 1 , á cargo del profesor D . Tomas Y a re la , creo de mi deber después dicho señor d…</t>
  </si>
  <si>
    <t>…va esta peti­ cional , y las que provieoen del territorial. En el primer caso, T IT U L O I. ción por una de las tres formas de reglamento, puede cualquier si los señores ejercieron jurisdicción, por la presunción sin d u ­ Sr. Diputado preseutar una proposición formal , pidiendo que da de que pudiesen abusar de ella para apropiarse tales dere­ A rt. 1.° Los ayuntamientos disponen todo lo conveniente se me exija , para cuyo caso me reservo las explicaciones que chos, se obliga á los señores mismos á presentar los títulos…</t>
  </si>
  <si>
    <t>…el Go­ Oue si bien el referido Quintana aparece por ahora de buen bierno pide al Congreso la autorización para proceder contra Se abrió á la una y cuarto, derecho al vinculo de que se trata , posible es que se presente el Sr. Diputado A lv arez ; la cuestión es si se aprueba ó no. E| Leida el acta de la an terio r, quedó aprobada. otro tercero que mejor le tenga , declaro y mando: 1.° Que al dictamen de la mayoría concede la autorización; el Sr. D ip u­ El Congreso quedó enterado de un oficio dirigido por el demandan…</t>
  </si>
  <si>
    <t>…testación , pero me les por el ruido de los que salían solo pudimos percibir uno, fuerzos de los Ministros y de sus agentes serán inútiles p ara pregunta el Sr. Arguelles, ¿ hay alguna ley todavía? No tengo : eo que pedia un Sr. Diputado que se diera curso al proyecto de prom over la prosperidad del pais. inconveniente en contestarle, si no se quiere como individuo del 1 ley relativo á que se declare fiesta nacional el día 18 de Ju nio, Sien d o este el estado de las cosas, no solo no es rep re n ­ Cocínete, como simple D…</t>
  </si>
  <si>
    <t>…cuando mi objeto prin­ greso su nom bram iento, cree que tanto el Sr. V ila como cual- j A la comisión de Actas pasaron las del distrito de C h in ­ cipal era solo llamar la atención de los Diputados de la nación quier otro Sr. Diputado , porque los h ay presentes que cuentan c h illa . provincia de Albacete, que las remitía el Sr. M inistro que se sientan en estos bancos, para que examinasen esta cues­ muchos años en esta penosa carrera , puede ilustrar la materia de la Gobernación por conducto del gefe político de aquell…</t>
  </si>
  <si>
    <t>…lo que antes era por medio de una permuta en que convino el tura la plaza de oficiales de laá misma, ciertos grados de la magistra­ condecoraciones, y que eu ninguno de estos casos se encontra­ y que por consiguiente ba el Sr. Diputado que era objeto del dictámen que se estaba Gobierno, esto es, oidor de la audiencia de la Coruña. Quiere decir que el Sr. Baeza en lugar de ascender ha des­ nio de 1857 se ha publicado la Coustituciónlugar. son magistrados efectivos en su respectivo En 18 de J u ­ discutiendo , pues escal…</t>
  </si>
  <si>
    <t>…ón que presenta el Sr. D. J o a ­ p un to , cuando tiene una ley escrita. Senado cootribuiran de acuerdo con mis votos y en unión con qu ín Rodríguez L e a l, D iputado electo por la provincia de C á - No habiendo n in g ú n Sr. Diputado que tuviese pedida la mi Gobierno á acelerar cuanto posible sea la pacificación tan ceres. palabra en c o n t r a , se puso á votación el dictámen y quedó deseada. El Sr. G IL expuso, que habiéndose reclamado sobre las aprobado, siendo por consiguiente admitidos como Diputados elecciones…</t>
  </si>
  <si>
    <t>…l y Toledo con fe­ nuevo de ley presentado, ademas de los muchos que hay. Pero límites hácia V . M. y su ilustrado Gobierno por la concep­ cha 30 del anterior dice que 73 facciosos se habían presenta­ diga el Sr. Quinto si el Sr. Diputado que ha suscrito la en­ ción de unos planes que han sacado á La nación del borde del do á indulto en varios puntos de los distritos de su mando. mienda , dice al proyecto de la mayoría ó minoría. S. S. me precipicio, á que le condujera la guerra civil, concluyéndose Por el parte periódico de…</t>
  </si>
  <si>
    <t>…Se ejecutará úna tas han sido sus palabras , que he nido con mucha impresión, no y al ilustre general Espartero que con tanta gloria nos ha función extraordinaria, distribuida del modo siguiente: y que me parece que ningún Sr. Diputado dirá que altero en conducido á la paz. lo mas mínimo. Y al Sr. A rteta, que es tan delicado, ¿&gt;o P rim era p a rte . Je parecen inculpaciones dichos de esta especie? Diré pues á Ciudad -Real 29 de Setiembre • Las disposiciones toma­ S. S. cjue ha padecido una equivocación nada extrañ a,…</t>
  </si>
  <si>
    <t>…© Senadora y otro® tua« Desunes de Manifestar el Sr; Pndhecn tos motives de; la de- que habiendo pasado «cerca 4© sets 'meses desde que se le oouoe- tm Diputadas .nombrados respectiva mente por uno y ©tro cuer­ tenoon de éste Sr. Diputado , y é e indicar el Sr* Gal,tan© que dlió la gracia allí Sr. Moscas© de AJtamira* y siendo, si no esta­ po , ios cuales «des,pues de haber nombrado Presidente y Secre­ de- nuda «servia la deterainocm M Coogftuo, conoediebdk W ba equivocado, el término de tres meses el co.iaced.ido para sa­…</t>
  </si>
  <si>
    <t>…scusión pendiente, dijo ventaja que concede el reglamento de usar de la palabra cuan­ Lillo 9 Verdugo , Cevallos , Rico , Sr. Presidente. El Sr. A L O N S O (D. Juan B autista): El Sr. Arteta ha di­ tas veces la pida , ningún Sr. Diputado ha de poder hablar co n­ Señores que dijeron no: Arrazola , Madoz, Arguelles, C u ­ cho que el mal cansa pronto, y el bien , aunque roas tarde, tra ella: hablando otros en contra de la enmienda, si la comi­ rado, M aidonado, Elipe, Egaña , Benavides, Ayala , Cha­ cansa asimismo. Yo creo que…</t>
  </si>
  <si>
    <t>…eclamación debe hacerse dentro del preciso término de electos porque han sacado uua excesiva mayoría. Varios Sres. Diputados piden la palabra. 15 dias; la ley no se cumplió; por consiguiente la comisión no No habiendo ningún Sr. Diputado que tuviese pedida la El Sr. O L O Z A G A : Señores, si la comisión se hubiera puede menos de atenerse á la ley. palabra, se leyó el dictámen y fue aprobado. opuesto absolutamente á retirar el dictamen, la comisión ten­ El Sr. Calderón Collantes ha dicho que dirige una obser­ Se leyó el d…</t>
  </si>
  <si>
    <t>…be blicadas hasta el dia. manera el que su intención fuese no volverlas á reunir. desaparecer cuando se trata del bien del pais. Solo hay un me­ Ofrecemos pues al público sobre dicha colección un buen No habiendo ningún otro Sr. Diputado que tuviese pedida dio de lograrlo. Abracémoslo; v e n id , reunios con nosotros; orden de materias, un considerable aumento en escritos del au­ la palabra en contra , se preguntó si habia lugar á deliberar so­ llenemos esta obligación sagrada y mostrémonos verdaderos ala­ tor y en anotacio…</t>
  </si>
  <si>
    <t>…ue ha dicho: El Sr. PRE SID E N TE observó que el Congreso no podía que se presupuso por la anticipación y por el abono del diezmo, no ha tocado esto porque era imposible , y ha dejado la cues­ deliberar nada mientras que el Sr. Diputado no lo hiciese ofi­ y esto último entró á compouer parte de los 605 millones que tión al arbitrio de los particulares interesados. El Sr. Puche ha cialmente , añadiendo en seguida que pues se hallaba presente se repartían. Este es un hecho incontestable. Pues bien, estos dicho bien, y esto m…</t>
  </si>
  <si>
    <t>…es que me constituí en la necesidad El Sr. PRESIDENTE: Haré que se observe el reglamento El Sr. Sancho, el Sr. Madoz y otros Sresy Diputados (t.)s, de defender las ideas que la minoría de la comisión habia con­ cuando algún Sr. Diputado falte á él. Sres. Madoz y conde de la Navas piden la palabra para una signado en su dictamen; y es un deber mió muy agradable El Sr. OLOZAGA : Muy pronto se ha alarmado el señor personal) han propuesto ai Sr. ministro de Gracia y manifestar á la nación entera que no nos hemos equivocado,…</t>
  </si>
  <si>
    <t>…ó el Sobre las diez de la noche corría toda la gente al Coso en cia le aprobará. dictámen me llegué á los señores de la comisión y les manifesté donde se decia que toda la isla de Lipari se había aparecido No habiendo ningún Sr. Diputado que tuviese pedida la mi casi conformidad ; pero después que he examinado el dicta­ con Vulcano y sus cíclopes ni mas ni menos que los describea palabra en contra, se puso á votación el dictámen, y quedó men y los documentos he adquirido la convicción de que debo los poetas, alzando sus mar…</t>
  </si>
  <si>
    <t>…inar si el Sr. Laborda tenia la leyese el dictamen de la comisión de 7 de Enero de 1858. tales y en el exacto y puntual pago de los intereses. pensión de 4^3 rs. sobre las cajas de Puerto-Rico , únicamente No habiendo ningún Sr. Diputado que tuviese pedida la Manifiesta en seguida que si se quiere tener crédito es pre­ se aten ia al art. 56 de la ley electoral que dice: que para ser palabra en contra de la totalidad, se puso á discusión el ar­ ciso adoptar un buen sistema de administración, y sobre todo Senador se haya de…</t>
  </si>
  <si>
    <t>…iendo hoy severos, ni la comisión con la modificación propuesta por S. S. los electores á la diputación; y que habiéndose preseotado po­ con la pieza de que vamos á hablar á nuestros lectores, n i k N o habiendo ningún otro Sr. Diputado que tuviese solici­ cos dias después de haberse publicado uno que no habia sido con la sociedad dram ática de la calle del Príncipe, tada la palabra, se volvió á leer la proposición puesta á vota­ incluido, le comprendió en ellas, y comunicó esta resolución á ción y desechada; se acordó q…</t>
  </si>
  <si>
    <t>…acusarle. esta prerogativa. Este es el nervio de la acusación y del cargo las facultades de las prerogativas constitucionales que se conce­ Haber un cuerpo a d m in is tr a tiv o , porque no puede tener que acaba de hacer el Sr. Diputado. Y o y pues á examinar este den al Gobierno? Asi corno estoy pronto á defender los dere­ otro carácter fuera de la órbita del Gobierno, seria un coutra- puoto c a p i t a l, para ver si efectivamente es de la prerogativa chos de la nación# lo estoy, y mucho mas en las circunstancias princ…</t>
  </si>
  <si>
    <t>…l Congreso ve que yo debo V ar ga s, segundo suplente por la misma provincia en reempla­ los otros no han cumplido con las formas: 2.° Que caso de a d ­ ;ner un Ínteres en que sus representantes sean la verdadera ex- zo de un Sr. Diputado que ha renunciado su encargo mitirse los votos de los tres distritos desechados no se haga el resion derla mayoría de los electores, y en que no se prive á El Sr. A I L L O N hizo presente que habiendo sido admitido escrutinio a q u i , sino que vuelvan las actas á N avarra : 3.° So­ n núme…</t>
  </si>
  <si>
    <t>…se tomaría eu consideración y extractos críticos sino con grandes empeños, y de consiguien­ resolvió afirmativamente. te muere antes de haber sido conocida. N o obstante todos estos EFEC TO S PU BL ICO S. Nó habiendo ningún Sr. Diputado que pidiera la palabra inconvenientes, y movido solo por el deseo de que sirviese en en contra , se puso á votación y fue aprobada por unanimidad. mi patria , yo di mi viaje á luz en castellano: mas al disponer Inscripciones en el gran libro á 5 por 100, 00. Se leyó eo seguida la lista de…</t>
  </si>
  <si>
    <t>…, á no haber visto el giro que se ha dado á la discusión. y so atiendan solamente á los impulsos generosos del corazón. El Sr. M inistro de la G O B E R N A C IO N expuso que hoy Hecha esta salva , diré francamente que si el Sr. Diputado que E ntrando en la cuestión, digo que se trata de hacer que se mismo rem itía el gefe político de dicha provincia las actas ha impugnado hoy el dictámen, lleno de conocimientos prác­ desprenda la nación de 500 millones de reales, á que ascenderá ó el testimonio de justificación pedido po…</t>
  </si>
  <si>
    <t>…ica en premio de varías obras literarias que tenia publicadas. los cupos no podrá conseguirse todo lo que se desea , pues ya conde, ademas de su antigüedad y del lustre de e lla , tenia asi­ La com isión, no sabiendo que este Sr. Diputado haya adm i­ están marcados por una le y ; sin em bargo, el Gobierno tratará mismo las rentas que por nuestros reglamentos se necesitan, En tido esta g ra c ia , propone que se suspenda la resolución de este de remediar en lo que sea posible los perjuicios que puedan este caso, la audiencia…</t>
  </si>
  <si>
    <t>…s­ redacción. El Sr. Secretario del Despacho, al responder el otro sino contra algunos pormenores que lejos de ser ventajosos pro­ can noticias falsas, que se traen correos y se apela á todos los dia á las indicaciones d eun Sr. Diputado, explicó primero que ducen trabas in ú tile s, y en materia tan importante, las trabas medios mas inmorales? Pues basta que uno tenga la amistad la caja no haria esas operaciones sino para amortizar. Term i­ que son inútiles son perjudiciales. mas inocente con un individuo de la c a ja ,…</t>
  </si>
  <si>
    <t>…aü; en las provincias, Canarias, Puerto-Rico y la Habfirai N o hemos recibido Diarios de Inglaterra» María Iparraguirre, sóbre la prisión y embargo de bienes de en Us administraciones de correos; y en Paris en casa de MM. un Sr. Diputado. G hard freres , libra i res, rué de Richelieu, 14 pres le PaLís Se leyeron y acordaron imprimir en el Diario dos dictá­ BANDO. R oyale, et le theatre frangais , á razón de ocho reales por raes menes de la comisión de Actas. para Madrid y 10 para las provincias, franco de pórte. Los El Sr…</t>
  </si>
  <si>
    <t>…. Secretario C A B A L L E R O leyó en seguida el acta de mas. ra ®i pais* es^ e evada* es 1° q ue siempre he querido p a - es o que trataré de hacer prevalecer siempre. la sesión de ayer y fue aprobada. No habiendo n ingún Sr. Diputado que tuviese pedida la</t>
  </si>
  <si>
    <t>…a solicitud. antecedente para formular u q proyecto , salva la iniciativa de Setiembre último la lamentable posición en que se encuen­ También lo fueron sin discusioo las correspondientes á los que para ello tiene cualquiera Sr. Diputado. tran , próximas á perecer de indigencia , después de haberlas des* números 50 , 51 y 52. El Sr. PASCUAL hace presente que no se trata de la con­ pojado el Gobierno de sus fincas, producto de sus dotes y eco­ Se leyó la 55 en que los gefes y oficiales de la antigua m i­ cesión de la cruz ó…</t>
  </si>
  <si>
    <t>…convento: esto es lo mas justo, titucional. El Sr. M inistro de H A C IE N D A : Tomo la palabra para con­ ó á lo menos asi me lo sugiere mi corazón. La comisión opina pase al Sr. M inistro de Gracia y J u s t i ­ testar al Sr. Diputado sobre lo que ha dicho respecto á la des­ Acerca de los otros bienes no hé hablado. cia para los efectos convenientes. graciada suerte de las religiosas, y para manifestar al Congre­ El Sr. M E N D I Z A B A L : He tomado la palabra cuando o í so que en la distribución de fondos que se ha…</t>
  </si>
  <si>
    <t>…ecreto, porque en sustancia oficio del Sr. Ministro de Gracia y Justicia que la cruz de Los consolidados se hallan á 64* está reducida á que cuando el Gobierno de § .,Al. sea autorizado Carlos 111, con que fue agraciado este Sr. Diputado, la tiene re­ Consolidados reducidos 95£. para contratar un empréstito en el interior ó en él extrangero, nunciada , y que S. M. se ha dignado acceder á esta renuncia Bonos del tesoro 6 6 , 64 en baja» haya de oir previamente las proposiciones que se hagan la jun­ dor decreto de 30 de Dic…</t>
  </si>
  <si>
    <t>…ios manifiesta asi el Sr. Ministro ‘de Gracia y Justicia ; y en tal se propone en el articulo, porque mis principios son qn^ Sres. Diputados que habiendo sido nombrados para ciertos des­ concepto opina la comisioQ que i este Sr. Diputado no debe Ministro debe tener la osadía , el valor y la resolución paéa tinos, los han renunciado, y por este mero hecho no han que­ sujetársele á reelección. contratar el empréstito en las circunstancias en que nos encon­ dado sujetos á reelección. Tal es el caso en que en concepto de Se l…</t>
  </si>
  <si>
    <t>…o, otros deberían sufrir alguna modificación: que no alteren la esencia del proyecto. las tierras, qcie podrían llevar cosecha en el primer ano. fuerza ha sido por tanto que el Gobierno h ay a manifestado la A petición de un Sr. Diputado se hizo la pregunta de si Acerca de la imposibilidad en que sé encontrarían de c u l­ regla de conducta que se propone seguir en esta discusión, cqn- estaba el punto suficientemente d iscutido, y se declaró que lo tiv ar esos terrenos, y atender por otra parte al sosten de su f a ­ cluyen…</t>
  </si>
  <si>
    <t>…e Enero.mUn sepulcro. la ha facilitado por el tesoro ni un solo real de los 27 m i­ medios heroicos para los casos mas apurados y graves: aun Crónica militar del mes de D iciem bre. llones. asi nos parece conveniente que él Sr. Diputado que crea Se hallará con los números anteriores en la imprenta de D on Acerca de lo que ha indicado el Sr. marques de Casa-Irujo que interpelando al G obiern o cum ple con un deber de sobre que habiéndose declarado carreteras generales, era un conciencia , se dirija particularmente, antes…</t>
  </si>
  <si>
    <t>…ue un Diputado. los Diputados de Salamanca ; en este concepto, Señores, ya se tado los fondos de pósitos. La dirección, ¿por qué sin consul­ El Sr. conde de las N AY AS: Grana es son las equivocaciones ve que el discurso del Sr. Diputado que habló ayer, es inexac­ tar á S. M. ha consentido que una obra que debia ascender á que ha padecido ayer en su discurso el Sr. L arram endi, y asi t o , y es tanto mas notable, cuanto que S. S. tenia datos ofi­ 6003 rs., se eleve á tres ó cuatro millones? ¿es este el modo de mas que para…</t>
  </si>
  <si>
    <t>…o si ha cometido Sr. Cortina , sobre dar permiso para que se arrestase ó siguiese consecuencia del 41 ; no, señores: nada tiene que v e r , son dos un deiito el D ip u tad o , no es posible que pueda quedar im p u ­ causa al Sr. Diputado A lv arez ; ese Diputado está preso h o y ; cosas diferentes. El art. 41 marca la inviolabilidad del D ip u ­ ne después que el Diputado haya dejado de ejercer ei cargo, hace 10 ú 1 1 meses que se halla en el arresto; y si está im po­ t a d o , y el 42 señala la inviolabilidad del Congres…</t>
  </si>
  <si>
    <t>…l fa­ niente. Aqui verá el Sr. Ayala que lo que se propone no es que llando causas y oyendo lo que dice el relator en una prueba, se pida ese documento, sino que remitido que sea , se pase al T E A T R O D E LA C RU Z. que el Sr. Diputado como magistrado no ha visto nunca , á es­ Congreso para su examen. tar en el calabozo mientras sigue la marcha lenta y terrible de La segunda equivocación consiste en creer S. S. que yo he N ueva representación de Ipermestra , ópera en dos actos una acusación criminal. dicho que se pida est…</t>
  </si>
  <si>
    <t>…e guarn ició n , faltando á sus deberes, asesinó á su que se han tomado las providencias debidas, yo estoy satisfe­ m isió n , ni jamas podía serlo. gobernador , el que murió cumpliendo con su deber. Solo un pe­ cho; pero el Sr. Diputado que ha hablado ha hecho algunas El Sr. L U J A N : El Congreso habrá notado que la cuestión queño número de soldados del cuerpo ai que tengo la honra de indicaciones, y aun cuando 110 debernos traer á cuento autori­ del canal de Castilla va creciendo por momentos á medida que pertenecer,…</t>
  </si>
  <si>
    <t>…ñor Salvato sobre los estados de sitio; pero creo que será la pri­ fórmula de pase al Gobierno, la de tengase presente en tiempo millones de reales que el Gobierno consignada á los acreedores mera vez que se ha dicho por un Sr. Diputado , que no son ne­ oportuno. sobre determinadas aduanas de la Península según el respectivo cesarios algunas veces en circunstancias extraordinarias. Nadie Dice que tiene que rectificar una equivocación que ha co­ domicilio, á fin de que pudieran cobrar sus créditos de los de­ mas puede sen…</t>
  </si>
  <si>
    <t>…incial no pudo meno9 de llamarla la estos documentos; y si cuando se presenta un dictámen y un contrario estaba dispuesto á defenderle , porque creía que io h a ­ atención un tan considerable número de electores, aumento que Sr. Diputado alza la voz, aunque sea con una carta p articu­ bía hecho cora las mejores intenciones. no convenia con los demas distritos. ¿ Y qué fue lo que hizo? l a r , como ha sucedido no hace muchos d iás, retira la comisión ( El Sr. C A B A L L E R O leyó un oficio que la comisión de Lo que ha pr…</t>
  </si>
  <si>
    <t>…emos ea la Gczette universelle de Leipsik bajo el epí­ tas de Santander de los Sres, Sánchez Toscano , Lujan , Cala- favor de la Providencia la paz exterior é interior de la Repú­ grafe de Coustantinopla: trava (D. R.) y otro Sr. Diputado. blica ; y S. E . , que cree haber hecho poco en bien de su pa­ Hace algunos di¿s que un coronel ruso, ayudante de cam­ Se leyeron y quedaron sobre la mesa los dictámenes de la co- tria aun cuando le resta algo que hacer, ha fijado desde luego po del Emperador , Negó á rsta ciudad , donde h…</t>
  </si>
  <si>
    <t>…ballero y Cortina, y no habiendo ningún costumbre de las comisiones, al proceder al examen de algún Una escuadra napolitana, compuesta de un navio, el V e ­ asunto , el poner en su conocimiento hasta el sitio y hora en otro Sr. Diputado que tuviese pedida la palabra, se declaró que habia lugar á votar, y fue aprobado. subio ; de tres fragatas, Partenope, Isabela y Urania ; dé que se habia de verificar. Juraron y tornaron asiento los Sres. Carabantes y Sarda'. una corbeta, Cristina , y de un bergantín, E l Catabres , se…</t>
  </si>
  <si>
    <t>…me engaño, ó dan­ tratasen de inducir al desaliento. Este decreto se comunicó á las revolución de Ju lio , y después del ensanche dado á la libertad, do fe á la comisión, se puede decir que no tenemos bastantes Córtes; y un Sr. Diputado, el Sr. Olózaga, celoso de las pre- se creyó que los estados eran ó no contrarios á la Carta francesa. leyes escritas para los casos que puedan ocurrir. rogativas de las Córtes, reclamó contra esta declaración dicien­ El dia 1.° de Julio declaró el Gobierno francés tres distritos Tengo en…</t>
  </si>
  <si>
    <t>…­ ber sido , porque jamas soy amigo de los tiranos, como lo ha la comisión. mada , como S. S. dijo que habia sucedido en el pueblo de Ca­ sido el b3ron de Meer. Me opuse aqui á una interpelación que J u r ó y tomo asiento un Sr. Diputado. beza del Buey ; y concluyó pidiendo al Gobierno que tuviese podia producir muchísimos daños; pero no con los deseos que presente esta indicación á fin de remediar los males que de esas se me querían suponer de atacar á esos mismos ami gos, vícti­ Se leyó el dictamen de la comisión sobre…</t>
  </si>
  <si>
    <t>…dad legal que se requiere. yes que están rigiendo á toda la nación. zadas todas á un sistema bien combinado; la diferencia , en fin, Aunque los folletos no suponen tanto trabajo ni deteni­ El Sr. V IL A : N o creo que ningún Sr. Diputado haya su­ de ideas que dominaron al dictarlas, todo ha producido una miento en sus autores, todavía no se ve gran peligro en igua­ puesto que no representaban legalmente á su provincia los ante­ legislación viciosa, contradictoria, confusa, insuficiente para larlos respecto de este punto con…</t>
  </si>
  <si>
    <t>…ue una Potencia de las merando que el Congreso réchácé coa iiidignacion toda idea principales de Europa , como indicó sabiamente el 0Uo dia un v ¡a enmienda los Sres. conde de Pinofiel, O 5que tienda ú semejante objeto.; r Sr. Diputado , una de las mas poderosas y que mas debe á este V‘Ua j Rjiii^dO:la V ega., citando varios casos ocurridos,en; qué, :" 4f&gt;é féyó J a listaM e ¡W j^eticiohes presentadas en esta semana, pais ha permanecido y permanece sin haber dado muestras de unas ligeras observaciones ,de| J a menor si…</t>
  </si>
  <si>
    <t>…te debió apoyar al juez: sin embar­ por el M inistro de la Gobernación: y yo diré , continuó, á un I~Iizóse también cargo ai Gobierno sobre que no está exacta­ g o , ha sometido á I03 tribunales de justicia la causa de uno y Sr. Diputado que aqui está sentado, y que me ha hecho cargo mente en observancia la legislación sobre bienes de las monjas otro juez. Esta es la parcialidad con que se ha conducido el de que yo he in frin gido la Constitución, que con esta circular y frailes: y refiriéndose á indicaciones de un Sr. D ip…</t>
  </si>
  <si>
    <t>…ticula­ todos bien conocidas, por sucesos bien públicos que se re­ del 24 de los negocios de Roma, en contestación á un cargo di­ ha dicho, refiriéndose á lo que he manifestado relativo á que fieren á hechos, rigido por un Sr. Diputado, dijo que habia pedido consejo, ó cierto embajador habia reconvenido á un cónsul porque no de­ participar en esteelpunto Sr. Sancho y yo creimos que no debíamos del dictámen de la comisión* se habia aconsejado sobre estos negocios con varias personas, jaba entrar á varios emigrados que no…</t>
  </si>
  <si>
    <t>…Real 3-° El actay que un Diputado un suplente por la provincia de Madrid. cae este ministerio, se le escapa el poder de las manos y entra mano.=En Palacio á 30 de Octubre de 1839.=A D. Eva­ pidiendo su admisión presentaba un Sr. Diputado por Orense otro del color opuesto, y dice el Sr. Alvaro : tampoco á este le risto Perez de Castro, Presidente del Consejo de Ministros. 4.0 Una exposiciónendelel Congreso. quiero porque no hace mas que quitar á los empleados que an­ ayuntamiento constitucional de la tes habia y satisfacer…</t>
  </si>
  <si>
    <t>…eran m uchas, en las contratas no habia quien (L eyó un largo párrafo de un discurso del Sr. López. Este la ley fundamental , se trataba de la violación de una ley , y ofreciera, y el Coogreso recordará el medio que hub« que Sr. Diputado se acerca á la mesa de la presidencia, y apoyán­ cuidado que si se autoriza faltar á una ley aunque sea de poco adoptar, que fue hacer caú contratistas á 9los intendentes, y dose en ella, escucha la lectura con la mayor atención.) valor , pronto se viene á faltar á la fundamental. por él se…</t>
  </si>
  <si>
    <t>Diputados, Ministro Sres.</t>
  </si>
  <si>
    <t>Ministro Sres. Diputados</t>
  </si>
  <si>
    <t>…n­ al buen gobierno de los pueblos: todo acto de ejecución cor­ aun podia dar en este asunto. tro de un cierto término: en otro caso es al revés. ¿Saben los responde á los alcaldes. El Sr. GüILLElN Y G R AS manifestó que el Sr. Ministro Sres. Diputados si los reclamantes se hallan en ese caso, y está habia padecido una equivocación al decir que los pueblos se ha­ decidido y claro que el patrimonio no obtuviera esos derechos, T IT U L O II. bían apropiado por sí esos derechos, pues que para ello estaban prescindiendo de o…</t>
  </si>
  <si>
    <t>Diputados, Sres.</t>
  </si>
  <si>
    <t>Sres. Diputados</t>
  </si>
  <si>
    <t>…n gobierno de los pueblos: todo acto de ejecución cor­ aun podia dar en este asunto. tro de un cierto término: en otro caso es al revés. ¿Saben los responde á los alcaldes. El Sr. GüILLElN Y G R AS manifestó que el Sr. Ministro Sres. Diputados si los reclamantes se hallan en ese caso, y está habia padecido una equivocación al decir que los pueblos se ha­ decidido y claro que el patrimonio no obtuviera esos derechos, T IT U L O II. bían apropiado por sí esos derechos, pues que para ello estaban prescindiendo de otras cues…</t>
  </si>
  <si>
    <t>DIRIGIDA, Antonio Solar</t>
  </si>
  <si>
    <t>Antonio Solar DIRIGIDA</t>
  </si>
  <si>
    <t>…quel teatro fuese mal hecho, preudió al conductor. DE LOS ASUNTOS DE ESPAÑA, sino porque las mismas causas que impedian tratar el amor ¿ la manera de O vidio, se oponian también á que se ad­ Badajoz 12 de M arzo. El comandante D. Antonio Solar DIRIGIDA A S. A. EL PRINCIPE DE METTERNICH mitiesen por el público aquellas formas. Asi es que Lope ha logrado alcanzar la canalla en la Peraleda , cerca de Azuaga, habiendo quedado en su poder de resultas de este choque va­ POR D. JOSE GARCIA DE VILLALTA. de Vega iundó la verdadera e…</t>
  </si>
  <si>
    <t>Discurso, José María Córdoba.</t>
  </si>
  <si>
    <t>José María Córdoba. Discurso</t>
  </si>
  <si>
    <t>…para la de Navahermosa serción total de dichos documentos, nos limitamos á publicar el D . Pedro Francisco A ram buru: para la de Lorca D. José C a - siguiente por parecemos el mas sustancial. n o v a ; y para la de Valdepeñas D. José María Córdoba. Discurso que pronunció S. E . el general Juan José Florez República peruana.—General en gefe del ejército nacional.= en el seno del Congreso al posesionarse de la presiden­ Cuartel general en Santa á 23 de Enero de 1839. = Al Sr. co­ cia de la República , después de haber prest…</t>
  </si>
  <si>
    <t>Disertación, José</t>
  </si>
  <si>
    <t>José Disertación</t>
  </si>
  <si>
    <t>…exámen de los que se han escrito de Mari­ y Solero Valero: D. Francisco Pelegrin, ilimitado; Julián Sua- n a ,^ ., 4 rs. exornada con todo el aparato que su asunto exige. rez, soldado del regimiento infantería , 8.° de línea: D. José Disertación sobre la parte que los españoles tuvieron Lopéz , en concepto de apoderado de D, Santiago de* la Torre en las guerras de Ultramar ó de las Cruzadas, y cómo in­</t>
  </si>
  <si>
    <t>Distri</t>
  </si>
  <si>
    <t>…ontrato vilateral” , y concluye: "obedezca el Gobierno S. M. la Reina Gobernadora se ha enterado de un ex­ ta fecha por las cajas de líquidos el que les corresponda esá launopinión pediente promovido por la Contaduría general de Distri­ por sus años de servicio como cesantes, cargándose al im­ el sorteo de losy sálvenos de un conflicto” ; se procedió á celebrar nueve jueces de hecho que con arreglo á la ley bución, en solicitud de qué se fijen reglas claras y termi­ previsto general ei de los comprendidos en la regla 7.a d…</t>
  </si>
  <si>
    <t>Distribución</t>
  </si>
  <si>
    <t>…no en cada uno de los ramos subsecretario del Ministerio de Estado;D.D.Julián cho día en la sala de juntas de la dirección general de Ren­ y negocios que deban sujetarse ¿ leyes especiales en bene­ Calatrava, contador general de Distribución; D. JuanMaría Ramón José tas, podrán presentar sus proposiciones bajo las. condiciones y ficio de las provincias de Ultramar. Martinez, oficial del Ministerio de Marina, Comercio y formalidades establecidas en los arts. 11, i2 y 15 de la instruc— En materia de Hacienda es todavía ma…</t>
  </si>
  <si>
    <t>…der dad legislativ a en otros E stados; de donde se sigue que en m a­ de ellas ó ¿ las generales del Estado, después que sean teria de fe no puede publicarse ni ponerse en ejecución en el intervenidas por la contaduría general de Distribución , se al nombramiento de nuevos electores. Se dice en la carta de convocación , que habiéndose negado los electores hasta el d ía á Estado n inguna bula pontificia sin el asentim iento del poder remitan á esta secretaría para que el Ministro de Hacien­ temporal. Se añade que el Soberano…</t>
  </si>
  <si>
    <t>…empleando la noche en cortar leña y general del Tesoro público con intervención de la conta­ tuviesen sean considerados como supernumerarios haslí construir las baterías, que quedaron corrientes 'y artilladas al duría general de Distribución, precediendo para cada gi­ que ocupen las vacantes que ocurran y les corresponda amanecer del 16’: en este momento principió á jugar la ar­ ro una Real orden especial, que por el ministerio de Ha­ disfrutando entre tanto, y desde que sienten plaza , de lo: tillería enemiga, logrando á p…</t>
  </si>
  <si>
    <t>…cual ha tenido á bien S. M. nombrar para que empezar á coger esos frutos habian de pasar muchos años, por­ en virtud de lo que se dispone en este artículo, y al efecto se desempeñe D. Ramón en comisión la contaduría general de Distribución^ Santillan, gefe de sección del mismo ministerio, en que las circunstancias no son las mas á propósito para que el le notificaria para que nombrase otro. Gobierno y los cuerpos colegisladores puedan plantear esos esta­ Después de unas ligeras observaciones del Sr. Becerra en reemplaz…</t>
  </si>
  <si>
    <t>Do, Antonio y Doña</t>
  </si>
  <si>
    <t>Antonio y Doña Do</t>
  </si>
  <si>
    <t>…un déficit á favor de la Hacien­ La entrada es por la calle de la Cruz. Otra lámina de deuda sin Ínteres emitida con el nume­ da pública de 15,560 rs. 25 y un tercio mrs. , y responsables ro 22,051, por rs. vn. 72 á favor de D. Antonio y Doña Do­ á su solvencia la viuda , hijos y herederos del difunto D. Ra­ lores Arquello , para que en el término de nueve dias, que por fael González de Menchaca, administrador que era de Rentas GUIA DE FORASTEROS. tercero y ultimo se les señala, presenten en el juzgado dichas unidas de l…</t>
  </si>
  <si>
    <t>Do, D.</t>
  </si>
  <si>
    <t>D. Do</t>
  </si>
  <si>
    <t>…s robados y cinco sugetosque lleva­ Comandancia general de las provincias de Ciudad-Real y ban prisioneros. El Excmo. Sr. comandante general recomienda También cayeron ios monstruos de S cu d ery á la voz Toledo.=EI Exorno. Sr. D. Do miago de Aristizabal, comandan­ á 8. M. á esta tropa, juez y Nacionales." del terrible B uileau, y mucho mas a u n , al desenfreno d e te general de estas provincias, me previene manifieste á V. S. La segunda columna (comaudanie Mayalde) ha traído cin­ las costumbres que se introdujo cu Franc…</t>
  </si>
  <si>
    <t>DO, ON</t>
  </si>
  <si>
    <t>ON DO</t>
  </si>
  <si>
    <t>…probar el dictámen de la co­ voto al dictamen de h comisión. misión. El Sr. marques de V allgom era rectifica un hecho. PRESIDENCIA DEL SEÑOR CALATRAVA. El Sr. COBO DE L A TORPEE tomó en c u e n ta , y contes­ El Sr, Secretario ON DO V I L L A expone que el no haber tó uno por uno á los cargos que contra las elecciones de Santan­ manifestado la roe^a terminantemente su opinión habla sido S esió n d e l d ia 2 í d e S etiem b re, der habia hecho el Sr. R o d a, deduciendo la validez de dichas efecto de modestia ; pero que v…</t>
  </si>
  <si>
    <t>Do, Pedro</t>
  </si>
  <si>
    <t>Pedro Do</t>
  </si>
  <si>
    <t>…ecretaría de la diputación de do en que no habian faltado fondos, sino una justa distribución, á que contestó el Sr. Ministro en los mismos términos que an­ MADRID 2 0 DE ENERO. esta provincia, que á los 20 rs. abonados por D. Pedro Do» minguez , individuo de la misma, por una luneta de patio, au­ teriormente. x-..;!.1- 1 ----------- 1 .. . J - i i 1.: """ ■ m entaron, sin haber tomado otra localidad, la cantidad de El Sr. A R M E R O , despue3 de indicar que en todo el año 92 rs. entregados á la comisión por dicho Sr…</t>
  </si>
  <si>
    <t>Docavo, José Soiis y D. Manuel</t>
  </si>
  <si>
    <t>José Soiis y D. Manuel Docavo</t>
  </si>
  <si>
    <t>…en el pecho y al que se le g u í, D Fernando Gtrgollo, D. Angel Retortillo, D. Leopol­ libertad. La pérdida de los cristianos fue estimada en 10$ contestó con otro bastante violento en la cara. El soldado qui­ do Brockmann , D. José Soiis y D. Manuel Docavo. hombres entre soldados y marineros, d e m odo-que el gol­ so responder con un bayonetazo, pero se lo impidieron los que Materna ti jas. D. Guillermo Macpherson, D. Valentín Ga- j fo de Lepanto estuvo por algunos dias temido de sangre* le rodeaban. larza , D. Manuel…</t>
  </si>
  <si>
    <t>Doce, Lucas</t>
  </si>
  <si>
    <t>Lucas Doce</t>
  </si>
  <si>
    <t>…. Té...................................................................... 1.259 que hincha, pero no sustenta? Delegado facultativo. D. Juan del Peral. Valor de vegetales y encurtidos 1,024 .. 12 J). Enrique. ¿Pues cuánto es? D. Lucas Doce ducados, Falta eiegir el delegado adicto que marca el reglamento , y que no se nombró por no reunir ninguno suficiente número de Total. . . * . . . 81,694 2 14 y tiene un censo de treinta. votos. El caso es que mi nobleza, M ANUFACTURAS, tan antigua que á diez millas BALANZA M ERCANTI…</t>
  </si>
  <si>
    <t>Dod</t>
  </si>
  <si>
    <t>…la villa que anheló batirse contrariando las ór­ becilla Llarch , haciéndose ademas un ayudante y uíi soldado uú problema difícil, aun para un calculista ejercitado. Vito denes que tiene dadas á este cuerpo. Recomienda al Capitán Dod prisioneros. Lá nuestra consistió en cinco heridos y dos contu­ Mángiaméle da la solución; el profesor niega su exactitud : in­ Melchor Clemente* á los tenientes D. Eduardo Sahop y Dod sos, y dos caballos heridos. siste Vito* y desafia formalmente al profesor : este se resigo*, Francisco M artín…</t>
  </si>
  <si>
    <t>Doignon, Mr.</t>
  </si>
  <si>
    <t>Mr. Doignon</t>
  </si>
  <si>
    <t>…arar cesante con el sueldo que le corresponda por cla­ deber del soldado es la obediencia y la disciplina. rancias ideas revolucionarias , le llamáis hoy del progreso y de sificación á D. Manuel González B rabo, director general Mr. Doignon , Diputado de Tournai, reemplaza en la tri­ las Feformas. ¡A h , repetimos una y mil veces, cuánto mal ha­ de rentas provinciales, nom brando para que desempeñe buna al general W illm a r, y en su discurso, que duró mas de béis-causado en poco tiempo al pais y á vosotros mismos! el pro…</t>
  </si>
  <si>
    <t>Dolores</t>
  </si>
  <si>
    <t>…Francisco de H ormaeche. deuda sin Ínteres, e m itid a con el número 2 2 ,0 5 1 , por reales ¡ sino que también el mismo vocab ulario ad q u iere con ellos m a ­ D . A g ustín D uran. vellón 7 2 , á favor de Don An ton io y Doña Dolores A r q u e llo , j y o r pureza y e x a c t i t u d ; y e n general se puede j u z g a r del g f a - D . J u a n N ic asio G allego. para que en el término de nueve dias, que por segundo se se ñ a- i do de perfección á que ha llegado u n a cieucia por la correc­ D . M a n u e l Bretón de los…</t>
  </si>
  <si>
    <t>…libertades de la n ac ió n , h a cabido en suerte con el mar que está dispuesta en todas ocasiones á ad m itir su coope­ profesan el arte de c u r a r , por su claridad y concisión en el piiiner extracto de la de este dia á Doña Dolores M e l i á , h i­ ración, c uya eficacia se complace en reconocer. diagnóstico y la terapéutica de las enfermedades, y por los acer­ ja de D. J u a n , teniente del batallón voluntarios de Extrema­ tados métodos que pone en la parte práctica para curarlas ó Resta solo á los actores manifest…</t>
  </si>
  <si>
    <t>…mismo sen­ ña Susana Tournier, Doña Concepción Montes, D ¡ña Rosario jos, continuaban sin novedad y á satisfacción del ingeniero tido por la Inglaterra, que solo ambiciona la caida de M ehe- G óm ez, Doña Do ¡ores bernanJtz, Doña Dolores G »na , D iña que dirige las obras. met-Allí. llevada mas bien de su propio Ínteres que del de la T ur­ Lugarda Gea y Doña Teresa, Doña Francisca y Doña M in u c ­ Es cuanto tengo que poner en conocimiento de Y. E. res­ quía , resultará de esta doble acción que pone en movimiento ia Pino ,…</t>
  </si>
  <si>
    <t>Dolz, Francisco</t>
  </si>
  <si>
    <t>Francisco Dolz</t>
  </si>
  <si>
    <t>…darlas procuraré ante r a t a á la caballería , pero por fin cayeron en nuestro poder e i L o n d res i 1 4 d e m a y o . todas cosas uo perder jamas de vista el deber sagr.ido de hacer el ínterin Ja ejecución del capitán ,D. Francisco Dolz con e justiciad la excelsa Señora interesada directamente en este asuo— Los consolidados estén á 9 5 él contada , 9 5 £ ú cuenta: ; resto de su compañía , acompañado de jos subalternos tenienti ^°* Si,, en cualquiera circunstanciadme hubiera creído obligado Los fondos que en el pri…</t>
  </si>
  <si>
    <t>Dolé, Bernardo</t>
  </si>
  <si>
    <t>Bernardo Dolé</t>
  </si>
  <si>
    <t>…bir, Cristóbal Veces; y tría propias del autor. Este trozo, que comprende 56 párrafos, por mí, Cristóbal Veces.=Juan Saotandreu.=:José Lacosta.=José que por la vez primera van á ver la luz pública , es sin disputa Pascual.=Por D. Bernardo Dolé , que dijo 00 saber, y por mí, SUBASTAS. uno de los mejores de la obra. En el libro primero se encuen­ José del Preyo y Cacho.=Joaquin M airal.=M anuel Pardillos, tran 29 párrafos nuevos; en el quinto 28 , y asi en los demás; vocal secretario. P o r providencia del juzgado de la subdel…</t>
  </si>
  <si>
    <t>Dom</t>
  </si>
  <si>
    <t>…seo que la publique y sepa todo el pez, juez de primera instancia de esta c a p ita l, refrenda­ m undo las causas que me separan de España: llevando el dolor Y D EL DESPACHO DE GUERRA. da del escribano del número de la misma D. Dom ingo Bande, en mi corazón por tanta ingratitud como he recibido. se cita , llama y emplaza á todos los que se crean con derecho Queda de V. siempre amigo y afectísimo Q. S. M. B.~Ra- El capitán general de Cataluña en 24 del próximo pasado á los bienes quedados por fallecimiento de Doña M aría…</t>
  </si>
  <si>
    <t>…cortesanos cuando los recibe p or huéspedes; les sugetos siguientes: D. Gregorio M iota, D. Juan Genieys, Don dactor de dicho periódico, que según tenernos entendido es el d ice : Manuel Herclaes, D. Mariano Nicolás Espinosa , D. Dom ingo Sr. D. Manuel Benito A gu irre, oficial primero de la inspec­ «Caballeros de alta guisa, Pereda, D. Ventura Martínez Ramón, D. Augel Peralta, Don ción general de la Milicia nacional del reino, y oficial también Dios os dé bienes y honores; Pedro Alvarez y D . Jacioto San Salvador, quiene…</t>
  </si>
  <si>
    <t>…d o , se procedió á la operación sin que las cinco villas reclama­ tes: D. Juan Jiménez y González, D. Andrés M olinillo, Don qué no asiste. sen según consta del expediente, con lo cual se probaba que - M anuel M olinuevo, D. Dom ingo Diez del V alle, D. Vicente Se concedió licencia por cuatro meses para restablecer sn sa­ no habia la arbitrariedad que habia querido suponerse. Yo aplaudo el celo de los Sres. D iputados que en esta ma­ r Pereda , D. Juan Ranero , D. Francisco López , D . José D íaz lud , solicitada por…</t>
  </si>
  <si>
    <t>Domin</t>
  </si>
  <si>
    <t>…intencio­ lidades. (G aceta d e A ugsburgo.) biese ocurrido en estos encuentros otra desgracia que la de h a ­ nes contra é l, seria poco político por su parte sum inistrar a ber sido herido el cabo de. carabineros de Hacienda D. Domin­ 3. A . dinero, y por consecuencia Jo» medios de realizar mas go García que se distinguió en uno de ellos. prontamente sus designios.” Se lee en el M onitor P a r isién : Acabamos de saber que Ibréhioi-bajá ha concentrado todas El D iario d e P aris anuncia que ha habido principios de S. M.…</t>
  </si>
  <si>
    <t>…a s . en las cercanías de las casas que les servían de refugio. N um e­ pas de los tres restantes, que huyeron. rosos pelotones de tropa de línea y de la guardia municipal han Que el destacamento de Y illalv a , mandado por D. Domin­ Por ocho canteros, siete barreneros y dos herreros se ha mo­ vivaqueado toda la noche en ios baluartes, en los muelles y eu go Perez , teniente del provincial de L u g o , con noticia que t u ­ vido el minado un pie lineal en la boca del N o r te , y en la del las plazas. vo el dia 10 de qu…</t>
  </si>
  <si>
    <t>Domingo</t>
  </si>
  <si>
    <t>…ncia de la m ism a , y por mi escribanía, penden autos cerles adoptar otro género dé v id a, léS parecían un yugo inso­ dencias el orden legal administrativo en todas;sus partes, de testamentaría por fallecimiento intestado de D. Domingo V i­ portable. Ahora se oper4un gran cambio entre ello s, no en el a no impedírselo absolutamente una fuerza m ayor, en cu­ cente de Bilbatua y G a t u a , tnatúra) que fue de esta dicha vi­ pufeblo bajo, que aun eAá m uy bien hallado con su salvajidad, yo c*so deberán ceder su puesto antes…</t>
  </si>
  <si>
    <t>…esa, BANDO. Iber llegado á tal la tenacidad de los defensores , que hasta á y caballos que les han muerto ó herido. pedradas se defendian , por lo que varios heridos lo han sido de Tercer batallón de S. Fernando.=El teniente D. Domingo D on Pedro Chacón, brigadier de caballería , gefe de estado piedra^, fue inútil esta defensa, pues hasta que lograron su ob­ D iaz, herido. mayor general del ejército del Centro, Senador del reino y se­ jeto* y no tuvieron delante enemigos á quien combatir , pro- El subteniente D. José G a…</t>
  </si>
  <si>
    <t>…gran libro á 4 P°r 100 s 00. primera instancia de esta c a p ita l, refrendada de! escriba­ los sugetos que estando casados, su esposa sea también maestra, Títulos al portador del l\ por 1 0 0 , 00. no del número de la misma D. Domingo B ande, se cita y em­ y quiera tornar á su cargo la enseñanza de n iñ a s , para lo que Vales Reales no consolidados, 00. plaza á los que se crean con derecho á un censo de 600 duca­ se la señalan 2 rs. diarios , sin perjuicio de la retribución men­ Deuda negociable de 5 por 100 á p a p e…</t>
  </si>
  <si>
    <t>…iento de caminos de Ministerio = &gt;&gt;i • ^ r ^ la misma, y por mi escribanía, se sigue un expediente de de­ hierro eri Irlanda. JA Inglaterra y la Bélgica ofrecen el ejem­ ’ Oposicipn 7278»: . • i ^7 s.»?'?.*'■? nuncia hecha por D. Domingo G ruyel, de esta vecindad, &lt;le; plo de las Venta jas que resultan de estos medios clecomunica- . .M in is te r io 5992. ; r1 «•!..&lt;7¡ .r\ cierto artículo que se publicó en el Boletín oficial de esta pro­ , ción. Los caminos de hierro serán necesariamente de gran u ti­ Asi la oposición ha obt…</t>
  </si>
  <si>
    <t>…n­ uno de los juzgados de término de Barcelona, vacante por fa­ Y DEL DESPACHO DE LA GOBERNACION DE LA PENÍN SULA. cipales entre los que se ha de desarrollar el trazado, ínterin llecimiento de D. José María Baiges y Oliva, á D. Domingo se construyen las estacas, miras, ni veletes , cuerdas y derna-i de Azcona y Calvo, que desempeña el de Santa Cruz de Tene­ Gobierno político de la provincia de Granada.- Excmo. Sr.: utensilios necesarios para su demarcación, examinando al m i s ­ rife, de la misma clase en las islas Canar…</t>
  </si>
  <si>
    <t>…Lurcos, acampados de la parte de allá del Eufrates, se han con­ fusilazos. centrado igualmente. La defensa de Damasco ha sido confiada Esta noticia carece de todo fundamento. rta Isabel Luisa al expresado cabo de carabineros D. Domingo il Emir Beschir y á sus drusos¿ diferentes cuerpos del ejército El C orreo d e L y o n , á quien cita el D iario d e P a ris en G arcía.</t>
  </si>
  <si>
    <t>…en está córte y su callé dé/ t í b r - peñada admirablemente, sobresaliendo unas variaciones de flau­ BOLETIN DE COMERCIO táfeza ihraédiatá á la Red de S. L u is , designada con el iiúra. 2 t a , tocadas con ta &gt;maestría por D. Domingo M a rtin que a r ­ antiguo y 5 nuevo de la manzana 5 0 2 , la cual tiene de sitio rebataron á los concurrentes. B O LSA DE M A D R ID . 5;35o pies cuadradó ssup erficiales, y ésta taáadá poV él ar q u i­ tecto D. Bartolomé Tejada Diez en la cantidad dé 5 2 0 ,7 9 5 rs. Cotización del dia…</t>
  </si>
  <si>
    <t>…ara vende en esta corte en la librería de la viuda de R a z ó la , y en d ign id ad y filosofía que merece la hermosa lengua castellana. el dia 14 de J u lio próximo, á las diez de su m a ñ a n a , en su h a ­ Logroño en la de D. Domingo R u iz , á 2 rs. bitación, plazuela de San M i g u e l, núm. 6. Los suscriptores á la obra titulada Museo de las fam ilias M U S IC A . pasarán á la librería de la v iud a de Razóla á recoger los cua­ C av atin a para canto en la ópera Iperm estra, i 15 rs. Ter­ dernos primero y segundo…</t>
  </si>
  <si>
    <t>…yecto que autoriza al Rey Leopoldo para firmar de la cual el rebelde se dirigió hacia Sigúenza, cargando á la titucional D. Tomas Fernandez de V allejo, á nombre de las proposiciones de 25 de Enero de 1859. parte de Cifuentes. D. Domingo G ru yell, vecino de la ciudad de M álaga , en con- El proyecto adoptado por la Cámara de Representantes ha De todo esto di aviso al Sr. comandante general de la pro­ e p to de injurioso el artículo inserto en el periódico titulado sido presentado inmediatamente al Senado, que ha nombrado a…</t>
  </si>
  <si>
    <t>Domingo, D.</t>
  </si>
  <si>
    <t>D. Domingo</t>
  </si>
  <si>
    <t>…ndo el total y M a d o z , secretarios. F alta nombrar los dos vicesecretarios, ta consultiva del ministerio de su c i r g o , en comisiou y sin de­ de votantes 104- contador y tesorero. recho ni opcion á sueldo alguno , al Sr. D. Domingo R u iz de M ucho nos prometemos del ardiente celo y extensos cono­ Para séptimo fue electo el Sr. Pascual por 7 1 , obteniendo 20 la V e g a , Senador por la provincia de Sevilla. cimientos que han manifestado los Sres. de la ju n ta directiva. el Sr. L e a l, 8 el Sr. V iadera, 2 el S…</t>
  </si>
  <si>
    <t>Domingo, José</t>
  </si>
  <si>
    <t>José Domingo</t>
  </si>
  <si>
    <t>…el tribunal supremo de Guerra y M arin a y su sala de los suficientes, se dará principio á la obra con la publicación justicia pende causa contra D. Antonio L a s , asentista que fue de provisiones del distrito de A rag ó n , D. José Domingo U r- P A R FÉNÉLON. del primer núm ero, esperándose I3 indulgencia por faltas in ­ voluntarias en gracia de la utilidad que aun con ellas puede quiza, interventor del ejército de aquel reino, y otros sobre d i­ Se halla de venta en el despacho de Ií* Im prenta Na­ sacarse de la redacc…</t>
  </si>
  <si>
    <t>Domioguez, Manuel D. Manuel</t>
  </si>
  <si>
    <t>Manuel D. Manuel Domioguez</t>
  </si>
  <si>
    <t>…unto. Acabada la lectura se guardó la m e­ y término de nueve dias á D. Fernando Iglesias, D. Andrés bar que en los debates había sido el agresor Pió vn. Hé moria en él bolsillo, buscó con la vísta al hombre que le Gutiérrez, D. Manuel D. Manuel Domioguez, Doña Teresa Romeroso y María de la Orden para que comparezcan én la es­ aqui algunos fragmentos de aquellas: «El Papa permane­ enseñaba tan bien que la autoridad de un Soberano no cerá siendo obispo de Kqma y cabeza de la Iglesia.—Si en se extiende mas allá de sus fro…</t>
  </si>
  <si>
    <t>Domínguez, Fráncisca</t>
  </si>
  <si>
    <t>Fráncisca Domínguez</t>
  </si>
  <si>
    <t>…ste sitio y su calle del C apitán, seña­ modelo de todas las guias ó registros que se expidan por lada con el núra. 56 de la manzana 16 , propia de los herede­ ellas para la conducción de géneros, frutos ó efectos que ros de Doña Fráncisca Domínguez, estando tasada el todo de en los dias que quedan expresados. desde procedan de los depósitos domésticos, a la administración ella en 52118 rs. 5 mrs. vn., y señalado para su remate el López y compañía. del punto adonde se dirijan. da 15 de Abril próximo de diez á una de su ma…</t>
  </si>
  <si>
    <t>Domínguez, Manuela</t>
  </si>
  <si>
    <t>Manuela Domínguez</t>
  </si>
  <si>
    <t>…onociéndose tán general que fue de Castilla la Nueva al tiempo de su muer­ recomendaciones, y que hay un decreto de las Cortes constitu­ otra mas que la del poder legislativo; mucho mas cuando se te , se concede á su viuda Doña Manuela Domínguez para sí y yentes que prohíbe esas concesiones. dice en el dictámen que deberá obrar con arreglo á lo que de­ sus hijos igual pensión de 203 rs. anuales, sujeta á las mis­ El Sr. PIDAL contesta diciendo que si el Sr. Infante hu­ terminen las leyes. mas condiciones que en el artícu…</t>
  </si>
  <si>
    <t>Don</t>
  </si>
  <si>
    <t>…la oportuna discusión, ha convenido por unanimidad fue un crimen. Seamos francos y explícitos. Repito que no es inteligencia y efectos consiguientes. Dios g u a rd e a Y. S. eu que el hecho de haber formado parte el Sr. Diputado Don mi ánimo concitar pasiones, sino consignar una verdad im­ muchos años. M adrid 20 de D iciem bre de 1838.== El s u b ­ francisco de Paula Alvarez de la junta gubernativa creada en portante. secretario, J u a n F elipe Martinez.—Sr. gefe político de... Sevilla durante las ocurrencias de que se ha…</t>
  </si>
  <si>
    <t>…iones legio de Sego v ia, y de los Sres. el brigadier D. Q uiritia de V e - un ánimo generoso; y previendo la farna que Tico se habia de y preguntas que se le hicieron. lazquez, comandante de ingenieros de esta plaza; el coronel Don ad q u irir por su talen to, escribió al Rey Federico ir de D in a ­ El segundo dia se presentó á la pizarra el Sr. Botet, y des­ A gu stín Lim ian a de !a Puente, director de las obras de este marca , recomendándole que llamase al astrónomo á su corte y pués de hacer ver la poca confianza que…</t>
  </si>
  <si>
    <t>…un mérito sobresaliente , y en los cuales n a ­ dada por el consejo de guerra de oficiales generales, por la da hay que cercenar ni reprender. A estos sigue lo mas esco­ que se absuelve y deja libre de todo cargo ai brigadier Don gido de otros que tienen muchas composiciones apreciables e n ­ José Moreno por haber inundado pasar por las armas á Feli- ! B IB L IO G R A F IA . tre algunas defectuosas , las cuales no se han incluido en esta pe Alcocer sin las formalidades que previene la ordenanza. (Idem.) colección; p…</t>
  </si>
  <si>
    <t>…ien mejor le sirva. _ otro relevando del cargo de la capitanía general y m an­ Bilbao, 1 papel id. Valencia, par. Por decontado la traducción de Barcelona es bastante bue­ do en gefe del ejercito de Cataluña al teniente general Don C ádiz, } id. 7 Zaragoza, id, din. n a , y la edición mas lujosa, conforme á los mayores medios industriales y mercantiles que aquel excelente pais ofrece. La Ramón de M eer, y nombrando para que le reemplace en Descuento de letras , á 6 por Í00 al año. que en M adrid va á publicarse será mas…</t>
  </si>
  <si>
    <t>…ACETA. mis juramentos como soldado, hondamente grabados en mi co­ cificando el sueldo que debia aumentársele. razón , rae han atraído á esta patria con tanto mas anhelo, cuan­ Se concedió licencia para ausentarse al Sr. Diputado Don to la consideraba mas desgraciada. M iguel Córdoba con el objeto.de mejorar su salud. A l aceptar la comandancia general de esta p ro v in cia, con Se anunció que el Sr. Sánchez de la Fuente no podia asistir NOTICIAS n acio n aLES á la sesión por el estado de su salud. que S. M. me ha honra…</t>
  </si>
  <si>
    <t>…ncipios que creo se profesan por algunos individuos, de IX Antonio Díaz y Do ña Francisca C ornide, padres del traen consecuencias de disgustos, y tercero para combatir la N arvaez, para saber en qué cualidad tenia al secretario Don difunto Gaucio: los de Ignacio de Uz y Ju an a í r e ir e , abuelos José Saavedra y Tenorio, pues que á dicho señor se le tenia ex­ segunda parte del dictamen de Ja comisión. En los tres seré fiel Quintana , y los de Tomas Otero é Inés Fernandez Corni- pedido pasaporte por la capitanía general…</t>
  </si>
  <si>
    <t>…ón pública” , y concluye: "á los mandatos de Los magistrados han obedecido, pero han protestado que no se para que pueda rechazar cualquiera iuvasion de nuestro territo­ los actuales M inistros, denunciado por el promotor fiscal Don creían obligados á entregar sus actas. La negativa de la univer­ rio en el Maine: autorización para que torne posesión del territo­ Regino Roales en 13 de dicho mes de Marzo: la ley absuelve sidad de Gotinga y de los magistrados de esta ciudad á proce­ rio confinante al Aroostook, sobre el que…</t>
  </si>
  <si>
    <t>…al de Sa­ El subteniente D. Alberto Robati, muerto. quilidad de la capital: su frenesí llegó al extremo de asesinar lamanca D. Francisco Pineda, que fue herido en una m ano, y Regimiento de Cataluña , 6.° ligero. = El comandante Don alevosamente á uno de sus mismos compañeros de aquellos ex­ continuó en su puesto, animó sobremanera á las tropas , y con­ Ramón de las Llainosas, herido. cesos, en los umbrales de la sala capitular. tribuyó eficazmente á la victoria. El escuadrón de lanceros de El capitán D. Rafael Acedo R ic…</t>
  </si>
  <si>
    <t>…E s p a rt e r o , que sabemos todos que na tenido dinero para comprarlos? ¿ P u e d e creerse que los na­ dicho N av a rr a contribuirá con tanto, sino que por donativo hacia referencia á una determinación del teniente general Don varros por sus fueros no están obligados á dar al ejército el cupo dará tanto. El presupuesto m arc a, no el sistema que se observa R a fa e l M a r o t o , en que se decia que no habiendo medio de que se les design e, y a defender á la patria en los casos necesa­ en Castilla . sino en N a v a…</t>
  </si>
  <si>
    <t>…M A R T I N pidió la palabra y manifestó que tenia la anticipación á buena cuenta , y de lo que se presuponía re­ diatam ente? Señores , de ninguna manera, ni tampoco se ha ue cumplir con el encargo de su digno compañero el Sr. Don caudado por el diezmo. Ahora b ie n , según se v e , unos 100 3 óaquin G arrido, exponiendo las causas que le retenían para millones se impusieron en la contribución extraordinaria de nó haberse presentado todavía en el Congreso. mezclado en las transacciones que puede haber entre el arren­ d…</t>
  </si>
  <si>
    <t>…Bugía 3Q l, é» Fernandez, c a p itán ; D. José M aría Castañares y Lic.* D . M i­ M ostaganem 246 . guel L azo ,cou objeto de proporcionar un térm ino á las disen­ siones civiles; facultados los dos primeros por el Sr. general Don tín periódicó dé la tnañáná insérfa la noticia sígüienté , de M ariano A rista, y los segundos por el com andante dé las* fuer­ laf Cual no saiinoíós nosotros responsables. A yer han dejado esta residencia para trasladarse i Alema­ zas de Tam pico coronel D. Ignacio Escalada: hallándose íós po­…</t>
  </si>
  <si>
    <t>…mar sobre el proyecto retativo á la concesión de uua pen­ por D. Rafael X aubet y compañía, en el dia 17. Tarragona El mismo ha denunciado una oficina de beneficio abando­ sión á la Sra. Doña Luisa Oráa y Erice, viuda del general Don 51 de Agosto de l859.=:Casiano de Prado. nada en término de la expresada villa, en el sitio llamado el Froilan Mendez Vigo, leyó el dictámen de la misma, que se Escorial, en terreno baldío, cuyo último poseédor se igriora, mandó imprimir. cuyo denuncio se admitió en la misma fecha. Se dió cuent…</t>
  </si>
  <si>
    <t>…, y 18 carabine­ honra y exaltación de los españoles. Feliz V . M . , y mil veces T e n d í é i s l o e n t e n d i d o , y lo c o m u n ic a r e is á q u ie n c o rre s­ ros de la provincia de Cáceres, á las órdenes del teniente Don dichosa vuestra augusta H i j a , nuestra R e in a , que con su sa­ p on da p ara los efectos c o n v e n ie n te s á su c u m p lim ie n t o . = José G arcía, resultando muertos en el campo 16 facciosos, á bio Gobierno, la constancia y virtudes de los valientes y deno - E stá r u b r ic a d o d…</t>
  </si>
  <si>
    <t>…ba el enemigo, dejando cubiertas las avenidas de Guriezo cio todos los que á la edad y alzada que se designan en el para ejercer su Real munificencia con los que mas se dis­ con la primera brigada al mando de su gefe el brigadier Don art. 1.° den señales de poder prestar el servicio de guerra tingan en el pronto cum plim iento de lo mandado, y secun­ Joaquín Martínez de Medinilla, y en observación al mismo por sus anchuras, hueso y sanidad. Se declaran desde lue­ den con mayor actividad y acierto las intenciones de S. M. fue…</t>
  </si>
  <si>
    <t>…Id em 6. en las p ro v in cias, sin aum ento; algun o aunque de cuando en F O N D O S P U B L IC O S . cuando se acom pañarán fac-sím ilés de escritura autó grafa de El v alien te , el liberal , el patriota y decidido capitán Don L on d res 2 d e M arzo . a lS unos personajes de la historia contemporánea. G regorio del Castillo ha salido hoy para A lm enara á tomar el Su publicación se an u n ciará oportunam ente, pero nunca mando de la comandancia de arm as de aquella nueva plaza y F ondos pú blicos. D euda activ a es…</t>
  </si>
  <si>
    <t>…ciudad la primera partida de á caballo compuesta perfecto de la creación, merece excitar nuestra curiosidad, y llante sinfonía, se ejecutará la 20.a representación de la come­ de 4^ indultados facciosos, que el comandante general Don que procuremos conocer su origen , progresos , atrasos y revo­ dia nueva de m agia, en cuatro actos, en prosa y verso, que Ti lindad Balboa ha movilizado para que haga, entre otros ser­ luciones, haciendo de ello un particular y agradable estudio, lleva por título vicios, el de perseguir y dest…</t>
  </si>
  <si>
    <t>…de de ve dias siguientes al de la publicación de este anuncio, y de diez S.*hradieJ: wLa Biblia del Sr. Torres Amat hace honor á Es- Ayuntamiento constitucional de Madrid. á doce de la m añana, se presente en la audiencia del Sr. Don pana: cuando V. le vea dígaselo V. asi de mi parte. Miguel María D u ra n , juez de primera instancia de esta capi­ Habiéndose denunciado ante el Sr. alcalde primero constitu­ tal, que la tiene donde fue repeso de corte frente la fuente de cional de e*U M. II. villa, D. Luis Oseñalds, por D. G…</t>
  </si>
  <si>
    <t>…n u a d o ; y esto un ido á los antecedentes que y a h abia y á los movimientos que hizo el enemigo después de HA BD.IE NMateo D O S E denunciado ante el Sr. alcalde constitucional M ig u e l de A illo n por el promotor fiscal Don nuación de un poder del E stad o , á quien la silla debe tener oscurecido dieron á entender que su designio era atacar aquel Patricio Jo a q u ín de A v i l a én concepto de subversivo el a r ­ consideración. El Sr. A rteta tiene la palabra como uno de los fu e rte con la a rt ille ría q u e ten…</t>
  </si>
  <si>
    <t>…eterminaron á bajar para auxiliar á sus compañeros. as ha dirigido palabras afectuosas á varios oficíales, ha feli- centro dé lá ciudad, donde reina el mayor terror. Una gran Que una partida de chapelgorris al mando del teniente Don itado á Mr. Puyóo, comandante de la Guardia nacional, y al multitud de individuos se hallaba reunida en varios puntos: Gabriel Sainz, logró en la madrugada de aquel dia sorprender &gt;aron Bernadotte, comandante de la guardia de honor. Jamás los cartistas tenían á su disposición inmensa cantidad d…</t>
  </si>
  <si>
    <t>…espectadores que concurrieron, cuanto por sión y la aprobación misma no serian mas que una f a r s a , y el por lo cual el director de este establecimiento habia extendido el discurso elocuentísimo y erudito que pronuució el Sr. Don régimen representativo un escarnio. Manuel Cortina en defensa de su ilustre c lien te , que no ha N i es tampoco un mal leve , si y a no de tanta gravedad y rn él los ramos de instrucción, á fin de que ninguno de sus discípulos se viera en el caso de ser juguete de aquellos hombres concluido de…</t>
  </si>
  <si>
    <t>…Sr. D. Fernando González Vera y Araujo. ;prótftulgaerón de la Constitución, ha habido iluminación papel ......... . • 510 59. Unas babuchas bordadas, al Sr. D. Antonia Segovia. 185. Uu cogin bordado de estambre y sedas, áí Sr. Don general, estándolo interior y exterior mente el tpatro del Por la numeración de los billetes ^ se-» liarlos y batirlos 56 Manuel Somera. Príncipe. - - , _______ _ Por la impresión y papel del cartel 213. Un cogín bordado de colores, al Sr. D. Diego V al- anunciando el concierto. . . . . . .…</t>
  </si>
  <si>
    <t>…istencia, sino lo que es m as, corrompen la so­ Tales son los medios con que el Ateneo científico y litera­ que la primera lectura del H am let de Shakespeare solo le dejó ciedad. Este objeto lo llena también cumplidamente el Sr. Don rio de M adrid influye en nuestra civilizació n ; por los cuales la impresión de una obra extraña, sin orden ni claridad. "Y o Ramón Frau explicando la fisiología del hombre con fácil clari- no dudamos recogerá las alabanzas de un pueblo, por c u y a concibo muy biená M a cb eh le , decia é l ,…</t>
  </si>
  <si>
    <t>…en este privativo juzgado y escribanía del V illó y los Sres. Unanue y S a la s ; con decoración y trajes. división pertenecen las tribus de escarabajos , curianas, m ari­ mismo á cargo del secretario escribano de Cámara el Sr. Don posas, polillas , abejas y la mayor parte de las moscas de dos y Román Lorenzo C alvo, á decir y exponer de su derecho y ju s­ cuatro alas. Hay sin embargo varias modificaciones de forma ticia en los mencionados autos; bajo apercibimiento que de no Segunda parte . eu la cabeza y patas de est…</t>
  </si>
  <si>
    <t>…­ biendo , .según se dice, contra marchado desde Salvacañete h a ­ bucos y dos cartu cheras, sin pérdida alguna por nuestra parte. Idem 15. cia la parte de Cueoca. (Id.) El siguiente dia i 4 por disposición del teniente coronel Don francisco de P io la M u ñ o z , fueron fusilados dos de aquellos A las siete de esta m añana han salido de esta plaza tres La- en el mismo sitio en que pocos días ¡antes habían robado (íftíl® la 11ni «.es y un escuadrón á proteger la venidla de un convoy reales á unos comerciantes; los fusila…</t>
  </si>
  <si>
    <t>…recerá con su benevolencia (Se continuará .) depositándose el líquido á disposición del juzgado, cuyo acuer­ nuestros conatos por su felicidad.zzM. J. de V. Rocosach re­ do se aprobó por auto de 20 del repetido Marzo por el Sr. Don presentante de la empresa. ? Benito Serrano y Aliaga , magistrado honorario de la audien­ REPERTORIO Los redactores de la M arip o sa , periódico de literatu­ cia de Cáceres, juez de primera instancia en esta corte, refren­ ra y modas, nos han remitido la siguiente nota: dado por el escribano…</t>
  </si>
  <si>
    <t>…á memorable fue debida principalmente á la traición de algunos deducir las acciones que les competan, en el concepto de que T DE LAS DIRECCIONES Y AUTORIDADES SUPERIORES. españoles degenerados, á cuyo frente se hallaba el conde Don pasado dicho término se procederá á lo que haya lugar entre Julián; y si algunos han creído inverosímil la existencia de los los presentes, y parará á los morosos el perjuicio consiguiente Entrega de MARZO de 1839. célebres amores entre D. Rodrigo y Florinda, no por eso han á su apatía. Y par…</t>
  </si>
  <si>
    <t>…ID . los pueblos” ; y c o n c l u y e : " L o honréis con vuestros s u f r ag i os ’% t i a n a en las aliñas de aquellos desgraciados. Cuantí o circuló el ¡ d e nunc i ado en 2 4 de J u n i o ú l t i mo por e! promotor fiscal Don cepillo de los pobres, una g r a n porción cíe col onos, y ma y o r C otización d e l día 2 5 á la s t r e s d e la t a r d e • Raf ael M e r l o , la ley absuelve á D. J u a n J i mé n e z Cuenca , res­ n úme r o todaví a de jóvenes, pusieron en él su Limosna ; ejem­ ponsable de di cho i mp…</t>
  </si>
  <si>
    <t>…producir los sonidos agudos, cuando estos ligamentos se ha­ llaban en toda su longitud. Aunque se ha demostrado que la glotis produce toda espe­ Zaragoza 20 de Noviembre. El dia 17 del presente mes falleció en esta corte el Sr. Don cie de sonidos sin auxilio de los demas órganos de la voz, sus Manuel de Espartero , capellán de honor de S. M ., y comenda­ funciones se reducen á menor límite cuando se halla colocada El Excmo. Sr. duque de la Victoria continuaba el 17 en dor de la Real orden americana de Isabel la Católica.…</t>
  </si>
  <si>
    <t>…or el tenor de la expresada c a p itu - aquel pais cuando á su vez le han gobernado. Eu cualesquiera puede servir de indicio de la conducta del Austria en medio do íacáo»o d e T a m p ic o , cuanto por la presente, el Sr. general Don otras circunstancias hubiéramos deplorado la sangre derramada, ios obstáculos de la cuestión de Oriente.</t>
  </si>
  <si>
    <t>…ada se ha varia­ guridad que felizmente gozamos. ¡ J hecho diferencia alguna entre un Monarca violentamente des­ do; que las cuestiones que se agitan no tienen relación mas que La autoridad superior del Excmo. Sr. capitán general Don, pojado de sus derechos, pero que no por eso ha dejado de dar con un porvenir lejano, y que su solución solo puede tener lu­ Joaquín de Ezpeleta, vigilante siempre y protectora, se com­ pruebas de sus deseos de paz á la Europa , y un pueblo turbu­ gar en Francia, y no en las colonias. La adminis…</t>
  </si>
  <si>
    <t>…eran flanqueadas aquellas fuerzas, y no es ay e r tarde de Malta. Este buque creia que la escuadra del a l ­ Se t s t i aqui con impaciencia por saber si habrá el Gran posible conserven sus posiciones. M ientras tanto el general Don mirante Stopford estaba a q u i: la esperamos,y no podernos a t r i ­ Señor accedido al ultimátum egipcio, que es la herencia de lo Diego León atacaba ay e r los fuertes de Alio y D icastiílo , que buir su tardanza sino al viento norte que sopla fresco. M a ñ a­ que M ehem et-A lí posee, y la se…</t>
  </si>
  <si>
    <t>…l caudaloso r i o ; por eso la ílor ay e r por el correo la noticia del convenio celebrado entre el c a­ tierna y delicada al árbol corpulento y elevado • por eso la ino­ pitán general D. Bdldomero Espartero y el teniente general Don cencia de la primera edad á los goces bastardos de la adolescen­ Rafael M aroto, con la comunicación que el primero dirige des­ Suscripción p ara socorro de las monjas de M adrid • cia. L o a sola palabra diremos para terminar estas reflexiones; de su cuartel general de Vergara con fecha 51 de…</t>
  </si>
  <si>
    <t>…que suelta el autor de la carta an terio r, seria (l) Este mismo apellido de K eyserling es el de un oficial de presumir que se haíla dicho principe detenido por deudas en prusiano que estuvo largo tiempo en el cuartel general de Don «anta Pelagia. ■ Cárlos.</t>
  </si>
  <si>
    <t>…5 0 . .............. id. S. M. y de su juzgado, se cita , llama y emplaza á Doña M a ­ 9/174. . . . 6 0 0 ....... G uad alajara. 1 8 6 3 0 0 .; 1 5 0 ................ id. ría de la Candelaria Diez de Requejo , muger del coronel Don 7 .1 9 0 .... 6 0 0 ...... M ad rid . .1 8 6 6 6 9 . . 1 5 0 ....... id. Federico Roncali, que se dice residió en esta corte , cuya h ab i­ 1 5 .2 8 2 .... 6 0 0 .................. Cádiz. 1 8 7 2 4 7 .. 1 5 0 ....... Id. tación se ignora, con el fin de hacerla saber el contenido de una 1 0 ,8…</t>
  </si>
  <si>
    <t>…del d i a , y fuerou aprobadas las actas de al de las segundas elecciones de la de Alicante, proponiendo la cada una ó en varias de sus publicaciones , siempre que se pre­ la provincia de Badajoz, y admitido como Diputado el Sr. Don admisión del Sr. Cerbelló, y al de las elecciones de G uadalajara. sente bajo la forma generalmente usada en los periódicos, in­ Joaquín Muñcz. Se dió cuenta de que la comisión encargada de examinar sertando noticias políticas y variedad de artículos. Se dió cuenta, y fue aprobado el dictamen…</t>
  </si>
  <si>
    <t>…an correo los cualesfueron interceptados por losfacciosos con el A consecuencia de despacho del juez de primera instancia del que salió de esta corte paraExtremadura el dia 29 de partido de Navalcárnero, cumplimentado por el Sr. Don B ernardino, la administración de correos de esta corte, y Octubre últim o; apercibidos que están comunicadas órdenes Manuel Luceño ,que lo es de esta capital, se c ita , llama y era- sa junta de beneficencia: y se invita á los señores curas para su retención en la caja de amortización. plaza á…</t>
  </si>
  <si>
    <t>…ó parte de las fuerzas por el expre- to. Los enemigos, creyendo era una retirada que el mal tiempo pr i nci pi o al día siguiente á reparar dichas c o r t a d u r a s , y que ado boquete y alturas del Mazo. El comandante general Don nos obligaba á empr ender, acometieron en fuerza bruscamente se construyese al mismo tiempo un reducto en la eminencia de larnon Castañeda con el resto de su división emprendió á la y con: decisión. El batallón del Rey cedió á la superioridad re­ los Tornos bajo la protección de la 4*a divisió…</t>
  </si>
  <si>
    <t>…reno ; pero que no fueron bastantes á conte­ aunque sensible pérdida de 9 9 m u erto s, 741 heridos y 54 ex­ sitio señalado. Una densa niebla que á poca distancia ocultaba ner el denuedo de aquellos valientes. El bizarro coronel Don traviados. Si M aroto confiesa 6 00 de su parte , fácil es c a lc u la r los objetos, no me hizo desistir. Esperanzado de que llegase á José U rbioa , comandante de dicha escolta , fue de los prim e­ con exactitud la positiva baja que ha sufrido á la v ista de sus despejar, permanecí al frente…</t>
  </si>
  <si>
    <t>…artículo sobre las escuelas primarias de Holan­ por sí mismos en este arte. El método que para ello se emplea el don precioso de la libertad; vosotros, dejando vuestros talle­ da , sacado del viaje á Holanda y Bélgica por el Sr. Don consiste en presentar sucesivamente á los discípulos una serie res y comodidades, partís con ellos las fatigas, y constantes y Ramón Lasagra. de grabados, primero muy sencillos, regulares y geométricos; fieles á vuestra promesa os mostráis sufridos en el servicio. después irregulares y complicad…</t>
  </si>
  <si>
    <t>Don, Diputado</t>
  </si>
  <si>
    <t>Diputado Don</t>
  </si>
  <si>
    <t>…espués de la oportuna discusión, ha convenido por unanimidad fue un crimen. Seamos francos y explícitos. Repito que no es inteligencia y efectos consiguientes. Dios g u a rd e a Y. S. eu que el hecho de haber formado parte el Sr. Diputado Don mi ánimo concitar pasiones, sino consignar una verdad im­ muchos años. M adrid 20 de D iciem bre de 1838.== El s u b ­ francisco de Paula Alvarez de la junta gubernativa creada en portante. secretario, J u a n F elipe Martinez.—Sr. gefe político de... Sevilla durante las ocurrencias de…</t>
  </si>
  <si>
    <t>…N DE LA GACETA. mis juramentos como soldado, hondamente grabados en mi co­ cificando el sueldo que debia aumentársele. razón , rae han atraído á esta patria con tanto mas anhelo, cuan­ Se concedió licencia para ausentarse al Sr. Diputado Don to la consideraba mas desgraciada. M iguel Córdoba con el objeto.de mejorar su salud. A l aceptar la comandancia general de esta p ro v in cia, con Se anunció que el Sr. Sánchez de la Fuente no podia asistir NOTICIAS n acio n aLES á la sesión por el estado de su salud. que S. M. me…</t>
  </si>
  <si>
    <t>Donadío</t>
  </si>
  <si>
    <t>…ro, poniéndolo Ley concediendo una pensión de 123 rs. á Doña M aría del C ar­ dan organizarse, porque ademas son perseguidos de cerca por en esta capital ó en las de Zaragoza y V alencia. Ademas de men Pizarro, viuda del conde de Donadío. (Num. 1550.) las fuerzas que salieron de Carrion. El mismo cabecilla Escale­ los oficiales que existían en Cantavieja y Morella antes de la Circular del ministerio de la Gobernación encargando á las au­ ra se preseuló acompañado de su asistente á la una de la noche desgraciada acción de Mae…</t>
  </si>
  <si>
    <t>…cal duque de Dalmacia. Extrangero á sión en favor de Doña María del Carmen Pizarro, viuda F&gt;OR el presente se cita , llama y emplaza á D. Manuel D a - las luchas de los últimos tiempos, el ilustre general parecía na­ del conde de Donadío, muerto en acto del servicio cum­ * miau y M adrid, pagador que fue de caminos, para que turalmente le. No la designado para la misión que el Rey quería confiar­ aceptó. Esta situación no podia prolongarse sin com­ pliendo con su deber. dentro de 30 dias siguientes al de la publicación de…</t>
  </si>
  <si>
    <t>…o públi­ con derecho á los bienes quedados por fallecimiento de D .F ra n ­ S USCRIPCIQN al Diccionario teórico-práctico f histórico y co , que con tanta benevolencia y constancia la favorece, un cisco Quesada y Sil va, conde del Donadío, vecino que fue de geográfico de Comercio , que sale á luz bajo los auspicios espectáculo en cuya particular combinación nada se ha omitido la ciudad de Jaén, para que en el término preciso de 15 dias de la muy ilustre junta de comercio del principado de Catalu­ á fin de interesar á la concu…</t>
  </si>
  <si>
    <t>…poral en teda ta m onarquía, ó Y i conceder una á Doña M aría del Carmen P itarra , viu cepcional sino cargando con toda la responsabilidad; y cuan­ en parte de e lla , de lo dispuesto en el articulo anterior , se de* — conde de Donadío^ muerto eu acto del servicio* do el Gobierno supremo tenga que acudir al Congreso dicien­ term inará por una ley.” do que ha tenido á bien declararle, sabrá que es acto suyo; Esta disposición, trasladada de la Constitución del año 12, será una medida central que no podrá menos de dar fuerz…</t>
  </si>
  <si>
    <t>…n é x ito , y aun puedo ingleses establecieron leyes excepcionales, y no se dejaba con v i­ Y para conceder una á Doña M aría del Carmen Bizarro, decir hasta con repugnancia , á impugnar algunas de las razo­ v iuda del conde del Donadío, muerto en acto del servicio. da á uno de los enemigos, y aun se decretó que todos los co­ nes que expuso ayer el Sr. Arguelles. lonos que llevasen en arrendamiento tierras de personas adheri­ Y si la comisión presentase su dictamen sobre el art. 1 .° Dijo S. S. que la comisión se había vi…</t>
  </si>
  <si>
    <t>…do sin discusión el proyecto relativo: i ud ¡v id no de 11 di pui.tai-cioid pro t i nci ®1# t ue raía dos 9 ó bieu tres naciones al proyecte qoe se discute; mas oo habiendo teuidp ¿ conceder una peasi-on á Ib viuda del conde del Donadío, ¡ha- los del ay o ota ni icu lo : el caso es que i lew caá tro em píe,a,dos se li fortuna de qoe me llegase la palabra paira im pugnarlo em m biendo sido el dtctáxnea del Senado conforme con el de! C oa— opongan otros cuatro i «dependientes, porque iie.ni pea de parte totolidad my ana con…</t>
  </si>
  <si>
    <t>Donato</t>
  </si>
  <si>
    <t>…......................... 20 cala con una noticia de los trabajo^ literarios de! a u to r, su hijo El modesto título de esta obra revela su importancia y da En idem com ún.................................................. 16 D. Donato G arcía, presbítero; esta obra, adoptada por la Real motivos para esperar que su buen desempeño excederá á lo que el academia médica de M adrid y de la de medicina práctica de Asimismo algunos ejemplares con la de litigantes, en tafi­ lector debe prometerse de unos apuntes. Nos confirma en…</t>
  </si>
  <si>
    <t>Donin</t>
  </si>
  <si>
    <t>…o á aquella manifes­ de sumas considerables que deberían emplearse en traer de E u­ tación, porque antes de hacerlo desea ensayar ciertos mediss con­ CUESTION DE O RIENTE. ciliatorios. Se teme que la evasiou del ilustrísimo Sr. Donin ropa materiales análogos. N in gún cálculo probable puede hacerse en Egipto en mate­ h ay a producido en S. Petersburgo una impresión desagradable, C onstantinopla 27 d e O ctu bre. si se atiende á que la posición actual del prelado no puede con­ ria de especulaciones: poco tiempo hace ofr…</t>
  </si>
  <si>
    <t>Dono, D. Pedro</t>
  </si>
  <si>
    <t>D. Pedro Dono</t>
  </si>
  <si>
    <t>…r a , calle de R elatores, nútn. 7 , cuarto Gobierno político de Pontevedra.z^Leales habitantes de esta segundo de la derecha. Inscripciones en el g r a n libro á 5 por 1 0 0 , 00. provincia: Acabo de entregar el maudo al Sr. D. Pedro Dono­ Títulos al portador del 5 por 100, 50£ 50 y 29| con cupo­ so Cortés, nombrado para desempeñarlo en propiedad por Real decreto de 17 del mes último. nes al contado: 51 , 5 0 | , \ J , § , | , trece dieziseisavos, 29-*-, y 50 á v. f. ó vui. y firme con cupones: 5 l ^ , 5 2 , 5 0 f ,…</t>
  </si>
  <si>
    <t>Donoso, D. Francisco Carbonell. Sr. D. Juan</t>
  </si>
  <si>
    <t>D. Francisco Carbonell. Sr. D. Juan Donoso</t>
  </si>
  <si>
    <t>…. Manuel Montes de Oca. Madrid. Sr. D. Luis Mayans y Enriquez, Secretario 2.° Sr. D. Francisco Javier Istdriz, Presidente. Sr. D. Agustín Arguelles. Sr. D. Félix Aliaga. Sr. D. Antonio Alcalá Galiano. Sr. D. Antonio Seoane. Sr. D. Francisco Carbonell. Sr. D. Juan Donoso Cortés. Sr. D. Manuel Cantero. &gt; Sr. D. Nicolás Esteban. Sr. D. Julián Villalva. Sr. D. Joaquin María López. Sr. D. Vicente Sancho. Sr. D. José María H uet, electo. Sr. D. José Landero. Sr. D. Paulino Jiménez. Canarias {islas). Sr. D. Dionisio Valdés. S…</t>
  </si>
  <si>
    <t>Donoso, Manuel</t>
  </si>
  <si>
    <t>Manuel Donoso</t>
  </si>
  <si>
    <t>…to á em briagar se le restituyese Comendador de la merced id............................. 17 ve el resultado de nuestra batalla ganada, y por ella se habrán á su prim er miseria. En esta conseja trivial descubrió el Presbítero D. Manuel Donoso, cura párroco de enterado de nuestro triunfo. Tanto mas, cuanto que el enemigo genio de C alderón bastante campo para representar las dos Guadalupe................................, ....................... 17 habia dicho á todo el pais que ó perecía Cabrera, ó nosotros no situaciones ma…</t>
  </si>
  <si>
    <t>Dor</t>
  </si>
  <si>
    <t>…progre­ lición del derecho llamado de visita de boticas. haya privado de la percepción de las rentas pertenecientes al sos de la sociedad durante el primer año de su estable­ 192. Doña Andrea Solas de Coya , viuda del brigadier Dor ¡ establecimiento titulado de la Convalecencia. José de Cora, en solicitud de pensión. 255. Doña María Josefa Cid y Carincero, viuda de Doncimiento. 195. D. Manuel Rodríguez, familiar jubilado en el colegiey] Luis Correa; de Silva , en solicitud á pensión. Esta acta, que se ha impreso por susc…</t>
  </si>
  <si>
    <t>Dorado, Francisco Nuñez</t>
  </si>
  <si>
    <t>Francisco Nuñez Dorado</t>
  </si>
  <si>
    <t>…­ tenido efecto con las formalidades que la misma previene, tocó á Otra id. en dicha sierra , cueva Horada , término del Pre­ ce asi : los sugetos siguientes: D. Diego Perea Buendia , D. Ju an M i­ sidio , Santa E ugenia, á D. Francisco Nuñez Dorado , en id. Sentencia. En pleito que sigue en este tribunal D. Ju an guel de los fRios, D. Antonio Fernandez Urrutia , D. Carlos Otra id. en dicho sitio , la Casualidad, á D. Antonio C a­ Quintana de Triaba , su procurador J o sé T eijeiro, demandan- x Gutiérrez de la T orre, D…</t>
  </si>
  <si>
    <t>Dorotea</t>
  </si>
  <si>
    <t>…creo, vea dos niñas, á quienesse debe nombrar de justicia por su apro­ Cortina , presidente.mJuan Antonio Mendez, alcalde 2.°=Juan digo, que semejante guerra pueda ser justificada por las Sagra­ vechamiento, las señoritas Doña Dorotea Y aldésy Doña Caro­ Nepomuceno Escalante, alcalde 3°r=Francisco de Paula Pareja, das Escrituras, que en esta ocasión el Sr. articulista no ha cita­ lina Artigas. Una niña hperó con denominados hasta la división, alcalde 4 °= H ip ó lito de Silva, alcalde 5.°— Pedro J. Vázquez do. Esperando…</t>
  </si>
  <si>
    <t>Dos</t>
  </si>
  <si>
    <t>…des­ nicipal para la acertada dirección y arreglo de solicitudes par­ de la inserción del presente en este periódico, á los que se Anuncio interesante . ticulares. crean con derecho á los bienes relictos por fallecimiento de Don Dos circunstancias ioíluyen en la importancia y ani:rew*?i Francisco T aracena, vecino que fue de esta corte, para que se A imitación de los templos de Pérgam o, Efesio y Cos, con mas decisiou á favor de la propuesta tarea: p rim era, la muestren parte y evacúen la comunicación que se les ha confe­…</t>
  </si>
  <si>
    <t>Dos, Domingo García Fernandez.</t>
  </si>
  <si>
    <t>Domingo García Fernandez. Dos</t>
  </si>
  <si>
    <t>…d. pación á las prensas, que hoy gimen al abortar tantos folletos P a ris, 16 -5 . G ran ada, 2£ á $ id. Elementos del arte de te ñ ir, escritos en francés por M r. insulsos é indigestos. .M á la g a , 1| id. B erthollet, por D. Domingo García Fernandez. Dos tomos éh- Penetrados de la necesidad suma que hay en nuestro pais de San tan der, par. 8 .° m arquilla , edición de 1795 , á 27 rs. en pasta común." * que la industria reciba todo el desarrollo de que es capaz, nos A lican te, par papel. S an tiag o , 2 d. En el prólog…</t>
  </si>
  <si>
    <t>Dos, Miguel Gerónimo Suarez y Nuñez.</t>
  </si>
  <si>
    <t>Miguel Gerónimo Suarez y Nuñez. Dos</t>
  </si>
  <si>
    <t>…cunstancias de la vida. Obra útilísima á toda M á la g a , 1* id. ramos. clase de personas, sacada de la que escribió en francés el abate Santander, par. El nombre de los autores de cuyas lecciones se ha extrac­ Roissard por D. Miguel Gerónimo Suarez y Nuñez. Dos tomos Alicante, par papel. Santiago, 2 d. tado esta obra 9 es suficiente á nuestro corto entender para dar en 8.°, edición de 1791 , á 10 rs. en rústica, 12 en pergami­ Barcelona á ps. fs., par. Sevilla, 1* id. una completa idea de su mérito; recomendándola mas…</t>
  </si>
  <si>
    <t>Doña</t>
  </si>
  <si>
    <t>…* La Exorna. Sra. duquesa de G o r......................................... D. Mauuel de las lleras. ....................................................... 520 100 Perseguidas activamente aquellas por los destacamentos y Sra. Doña M aiij Patrocinio Chacón............................... El C. F. P. P ............................................................................... 80 20 columnas militares, y no encontrando en los pueblos el apoyo Doña Polonia García „ ........ * P. E ............................. 20 10 q…</t>
  </si>
  <si>
    <t>…dado, al Excmo. señor cantaron en el concierto. .......... 586 D. José de Isla, Senador por la provincia de Santander. Sr. Ministro de la Guerra iba al estribo derecho, y el se­ 577. Un cajoncito bordado de cañamazo, á la Sra. Doña ñor inspector de infantería al izquierdo. Al retirarse S. M. Por 11 varas de cotonía á 11 rs., 4 Asunción de Rodas. se colocó su carruaje junto á la inspección de milicias, y de colonia azut á 3 f para el vestido de la colegiala de la Paz, que ex­ 789. Unos tirantes bordados sobre cañamazo d…</t>
  </si>
  <si>
    <t>Doña, Infanta</t>
  </si>
  <si>
    <t>Infanta Doña</t>
  </si>
  <si>
    <t>…2 de Ju n io de 18 3 9 — C a rra m o lin o .= Reina todo nuestro apoyo. El viernes, dia del aniversario de Sr. gefe político de G ranada. su nacim iento, habrá reunión en Beresford-Place ; el viernes la d o r a y la Serm a. Sra. Infanta Doña M aría Luisa F ern an ­ población entera se apresurará á poner lum inarias en honor de da , continúan en esta corte sin novedad en su im portante la Pteina. Reasumiéndose Mr. O’Connell concluye declarando que iba salud. PARTE NO OFICIAL. á pedir desde luego la reforma , y que si no la…</t>
  </si>
  <si>
    <t>…rvancia tiene jurada , y países que me propongo visitar. He tomado especia luiente una repelará con su enojo toda sugestión provocadora de la carta para el bajá de Damasco á fin de que uie dé una escolta d o r a y la Serma. Sra. Infanta Doña M aría Luisa Fer­ anarquía. de caballería para ir á Palmira. nanda, continúan en esta corte sin novedad en su im­ ¡Quiera el cielo, Señora, que los españoles todos se per­ M ehemet-Alí es pequeño; tiene la barba blanca, la cara suadan de que solo observando y respetando la Constitución…</t>
  </si>
  <si>
    <t>…e r n a ­ cabrza.” VÍ El cardenal de C ro i, arzobispo de Rouen , ordenó á una Se cree que H afiz-bajá, que ha sido destituido del mando porción de personas en su seminario. Recibieron órdenes 51 sa­ d o r a y la Serm a. Sra. Infanta Doña M aría L uisa F e r ­ del ejército , reunirá los restos de su ejército , y seguirá el ejem­ cerdotes, 15 diáconos, 19 menores y 20 tonsurados. No es lo n a n d a , co n tin ú an en esta corte sin novedad en su im ­ plo del capitan-bajá. Parece que el cuerpo de ejército enviado cornun…</t>
  </si>
  <si>
    <t>…ulos de la inscripción de las ac­ posta, escoltado por gendarmes. Se cree que este sugeto es el ciones y residuos, ó testimonio literal de ellas. propagador de una proclama dirigida á los polacos excitándo­ dora y la Serma. Sra. Infanta Doña M a r í a Luisa Fernan­ En una de las carpetas se pondrá por el oficial encargado el los á la insurrección, instigado por el partido ultramontano y da, continúan en esta corte sin novedad en su importante recibo de los títulos, señalando dia para que el interesado los por varios emisari…</t>
  </si>
  <si>
    <t>DRAMATICA, Benito Serrano y GALERIA</t>
  </si>
  <si>
    <t>Benito Serrano y GALERIA DRAMATICA</t>
  </si>
  <si>
    <t>…a* , y se quieren irrogar m il per juicios al pueblo, porque se T )O R el presente , y á virtud de providencia del Sr. juez de quiere mantener en vez del principio de la dimisión de la pro­ * primera instancia de esta capital D. Benito Serrano y GALERIA DRAMATICA. piedad, el germen de desigualdad , el principio de la aristocra­ A liaga, se c ita , llama y emplaza por térm ino de 20 dias con­ cia , el principio opuesto á la Constitución de 1857. Esta es la tados desde la publicación de este anuncio en la Gaceta á todos H I…</t>
  </si>
  <si>
    <t>DRAMÁTICA, María GALERÍA</t>
  </si>
  <si>
    <t>María GALERÍA DRAMÁTICA</t>
  </si>
  <si>
    <t>…te Rodrí­ mado como sospechoso de haber causado la muerte. Que guez, en representación de Doña Serafina González: D. Ma­ habiendo acabado de pasar la visita de juez en aquel con­ nuel Ribera , heredero de Doña Josefa Correa: Doña María GALERÍA DRAMÁTICA. dado (l), si él se hubiera entregado al magistrado como Leocadia Salgado, hija de D. Mateo: D. Ramón Ortigosa, causador de aquella muerte, aunque no dudaba hubiera hijo de D. Manuel : los hijos de D. Juan Antonio Guardia: FUNCION DE BODA SIN BODA. &gt;ii\ ' hallado reo solo de…</t>
  </si>
  <si>
    <t>Drouineau</t>
  </si>
  <si>
    <t>…al reprueba y que constan en el acta de acusación: esto es evidente en cuanto á la Francia y al A u s t r ia , como de este punto les obligó á que retrocediesen ; rúas en lugar de entre esos actos, cito la muerte dada al teniente Drouineau con también respecto de la Inglaterra. La Siria debe quedar libre retroceder al L u x em b u rg o , dieron un rodeo y se dirigiero n á premeditación y alevosía. de la férrea roano de M ehem et-A lí. Las noticias que hemos pu­ Attert (pueblo situado en el camino de Arlon á Matelange), No d…</t>
  </si>
  <si>
    <t>…dad; 2.° la cuestión del asesinato crímenes cometidos. Rechazáis un asesinato, y sin embargo ha­ Declarando sin embargo que por lo respectivo á los nom­ brados N ougués, Bonnet, R o u dil, G uilb ert, D elsade, Aus­ del teniente Drouineau ; y 5.° la dé premeditación y alevosía béis confesado de una manera explícita que todo lo habíais pre­ en la ejecución del crimen. Todas estas cuestiones se han re­ visto , preparado y premeditado: rechazáis un crimen párticu- ten , Lem iére, W alc h , P h ilip p et, D ugas, Longuet, M art…</t>
  </si>
  <si>
    <t>…veston hasta el El ataque del puesto del palacio de Justicia y el asesinato co n decorad o con la gran orden de N i c h a n i - í f t i h a r , gran cr u z 22 de Marzo, y hasta el 21 de Houston. El Civilian y Galves­ del teniente Drouineau son los primeros cargos que figuran ea de la ord en griega del S a lv a d o r, com end ad or de la o rd en de la ton Gazette en un artículo consagrado á la prosperidad futu­ este proceso. cru z del Sud dei Brasil, su em bajador cerca de la Su m ib le ra de este pais hace mención de un nume…</t>
  </si>
  <si>
    <t>Drousneau</t>
  </si>
  <si>
    <t>…to en que habiendo salido de su pelotón acababa de reconocer la algunos condados. ' barricada. Barbés será también presentado como autor del asesi­ aduana de Veracruz en dos., cuatro y seis meses de térm ino, á nato del teniente Drousneau , cuando estaba parlamentando con L ord B rougham anuncia que el viernes 14 presentará y contar desde el dia del presente convenio por el Gobierno me­ espíanará su mocion relativa á la educación nacional. el que hacia cabeza de la banda de que Barbés formaba parte. jicano. Verificados qu…</t>
  </si>
  <si>
    <t>Droüineau</t>
  </si>
  <si>
    <t>…momento, auoque esotras condenación la solá á qué podemos detenernos en nos parezcan tan rigorosas comó en especié.' tido de Daroca , observaron una corta avanzada qué el enemi­ ella. Está motivada én el asesinato del teniente Droüineau, ase­ 2.° Q ueda igualm en te su p rim id o él art. 8.°, habida co n­ go había situado, y habiendo destacado, para que avánzase á sinato de que según consta por la causa ha sido declarado cu l- sideración; á la dificultad.de ser observado con la eq u id ad escape al lado opuesto del pueb…</t>
  </si>
  <si>
    <t>Drument, Juan</t>
  </si>
  <si>
    <t>Juan Drument</t>
  </si>
  <si>
    <t>…la escribanía principal de amortización calle del Lobo, D. Ju an Eugenio Hartzembusch. Al menos el buen lenguaje ó los buenos versos pudieran di­ número 8 , piso segundo, á prestar sus respectivas declaracio­ Frenologia.mPor D. Juan Drument. simular tantas faltas. Mas no hay nada de eso. Lo que mas des­ nes en causa criminal que se sigue en dicho juzgado sobre adul­ Las Cortes de 1857.= Por D. Joaquín Francisco Pacheco. conocían aquellos hombres era el idioma castellano: y los versos teración de endosos de varios vales, ap…</t>
  </si>
  <si>
    <t>Dubouchaje</t>
  </si>
  <si>
    <t>…rte al palacio de Eu. ( Debats.) te para Marsella. VENEZUELA. Caracas 4 de Junio. Se lee en la Pressc: Ayer, y á consecuencia de algunas censuras severas del viz­ El comité para la reforma electoral, reunido por un m o­ conde Dubouchaje sobre el régimen de nuestras cárceles, ha Rechazado por el Congreso en dos distintas ocasiones el tra­ mento en casa de Odilon Baru'ot, está, según se d ic e , á punto anunciado el Ministro de lo Interior en la tribuna de la Cáma­ tado celebrado entre los ministros venezolano y de S. M.…</t>
  </si>
  <si>
    <t>Ducassi</t>
  </si>
  <si>
    <t>…ió en la Gaceta de 5 de A bril los que mayor aceptación lograron, sin em bargo, fueron el del adornada con todo el aparato que exige su asunto. ultim o según traducción hecha por persona no inteligente en Sr. Iradier y el del Sr. Ducassi, las estrofas del último las can­ m aterias de navegación, y cual la remitió al Ministerio de Ha­ taron con notable valentía y gusto las Sras. Lema de Vega y cienda el cónsul do S, M, en Elseneur, - Campuzano. Intermediadas con las piezas de música leyeron be*</t>
  </si>
  <si>
    <t>Ducassi, Manuel</t>
  </si>
  <si>
    <t>Manuel Ducassi</t>
  </si>
  <si>
    <t>…ajo 45 millas al S 5o O que el suceso se ha negado, aunque aparece ser cierto; GABRIELLA DI VERGY, e ¿abo San Vicente con este membrete «Piedra anega­ pues tengo ahora un informe, en que puedo confiar, dado música del maestro D. Manuel Ducassi. . da según Mr. Delisle.” El grabado, la letra, la escala y la por un oficial respetable de Marina, cuyo nombre no me publicado después*asdelCostas año en17 42. esí* Carta prueban haberse considero autorizado á publicar, de que la Infatigable tocó erí la Piedra ó en uña Piedra rk…</t>
  </si>
  <si>
    <t>Duchand</t>
  </si>
  <si>
    <t>…es; pero sin arredrarse por esto, siguieron en persecución cuerpos de guardia habian sido atacados, y particularmente el Refiere el motivo de hallarse solo en aquella is la , su deses­ de los revoltosos, y ayudados por el general Duchand , goberna­ del palacio de la J u s tic ia , habiendo sido muertos muchos m i­ peración, y por últim o propone á Gualconda que le presente á dor de Vincennes, que pasaba por allí en traje de paisano, que litares. su hermana T egu ald a, de cuya hermosura está prendado por acababa de apoderars…</t>
  </si>
  <si>
    <t>Dudas, Rivas.</t>
  </si>
  <si>
    <t>Rivas. Dudas</t>
  </si>
  <si>
    <t>…año de 1820 á extensión á las razones que ha presentado, y las ha explanado tió n : ó rehusar la ley para que se retire el G obierno, ó apro­ 23 la guerra no era dinástica , no era de sucesión; la guerra era aun el Sr. duque de Rivas. Dudas se han presentado, señores, bar la ley para dar esa prueba de confianza al Gobierno. % de principios, y vimos á esas provincias luchar con obstinación dudas que babian desaparecido con lo expuesto por los señores He d ic h o , y lo repito, que felicito al Senado por la su­ por U conse…</t>
  </si>
  <si>
    <t>Dufaure, Soult. Mr. Hurnann y Mr.</t>
  </si>
  <si>
    <t>Soult. Mr. Hurnann y Mr. Dufaure</t>
  </si>
  <si>
    <t>…ún acto de agresión, salud. debia renunciar a la amistad de Inglaterra. Esta nota no ha pro­ Los individuos del ministerio futuro se han reunido h ¿y en ducido ningún efecto aunque ha causado una grande admira­ casa del mariscal Soult. Mr. Hurnann y Mr. Dufaure asistieron ción ; y como ya no puede considerarse el influjo ingles como el también á esta conferencia , que duró cinco horas, y en la cual ACTAS DEL GOBIERNO. móvil de las veleidades belicosas del Sultán, se cree que las re­ laciones de Reschid bajá , que según s…</t>
  </si>
  <si>
    <t>Duff</t>
  </si>
  <si>
    <t>…svers, habia .sido enviada de nuevo ñor Secretario de Estado y del Despacho de la Goberna­ contra Yhausee , donde un destacamento del 16.° regimiento ción de la Península. Hannóver 27 de Febrero. indiano á las órdenes del capitán Duff se ha visto rechazado. El capitán Duff ha recibido una herida bastante grave en Por una circular del ministerio de 25 del corriente se invi­ aquella acción. Yarios robos acompañados de crueldades de con­ ANUNCIOS OFICIALES. ta á todos los magistrados de esta ciudad á que procedan á la sidera…</t>
  </si>
  <si>
    <t>Dumesnil</t>
  </si>
  <si>
    <t>…, es digna bién tiene una especie de trompa para conservar la respiración, currido á este medio. de reputarse como un extravío de la razón h u m a n a , que pre­ cuyo extremo permanece constantamenta ocho ó diez pulgadas El barón Dumesnil ha comunicado á la academia una rece­ tendiendo á todo trance sacudir el yu go de la autoridad porque fuera del agua. ta contra la hidrofobia, de la cual ha hecho muchas experien­ no puede soportarle, ha producido una anarquía literaria en toda Cuando se hace uso del aparato para cazar en…</t>
  </si>
  <si>
    <t>Dumou-</t>
  </si>
  <si>
    <t>…del número. Kellerman está en Vitry con 20$ hombres; 70$ ducía era admirable. El autor quedó convencido de que se ha­ da cofradía de los Rosa-Cruces , fundada por Cristiano Ro- ocupan la selva de Argona á las órdenes del general Dumou- bian puesto en contribución los talentos de Fleury, con el ob­ sencreuz, quien habiendo aprendido en una peregrinación que riez; Beurnonville está acampado en Maulde; el general H u r- jeto político de sorprender al Rey de Prusia. Engañado por las hizo á J e r u salen diferentes secretos de c…</t>
  </si>
  <si>
    <t>Duperré</t>
  </si>
  <si>
    <t>…los conspiradores se con­ no de director del personal en el ministerio de la Guerra. fuerza de inercia que encuentrau las útiles reformas que re­ ciertan para negarla: por otra parte observando que la abso;u- El alm irante barón Duperré , Par de Francia , ha sido nomf quieren las nuevas circunstancias políticas, que ha creado el ta carencia de ju stic ia, que proviene de la mala organización brado M inistro del departamento de la M arina y de las colo­ tiiunfo de nuestra independencia. de los tribunales, entorpeceria las ca…</t>
  </si>
  <si>
    <t>…doro. dos méritos y relevantes circunstancias que reúne mi NOTICIAS EXTRANGERAS. pro-capellan, limosnero mayor y patriarca de las Indias FRANCIA. D. José Bonel y Orbe, obispo de Córdoba y arzobispo Se dice que el Sr. almirante Duperré, ministro de la Mari­ electo de G ranada; como Reina Regente y Gobernadora, París 20 de Julio. na, debe ir á Tolon á fines del raes , sin duda para activar lo» a nombre y durante la menor edad de mi excelsa Hija la Reina Doña Isabel n , vengo en conferirle el vicariato dados, Bolsa dé Par…</t>
  </si>
  <si>
    <t>Dupin, Brogliey Mr.</t>
  </si>
  <si>
    <t>Brogliey Mr. Dupin</t>
  </si>
  <si>
    <t>…algo de nuestros antepasados. Y en efecto, á la alta misión con que S. M. habia tenido á bien honrarle. El Semanario pintoresco español (que por decirlo de eso es lo que constituye el mérito de las obras de este es­ El duque de Brogliey Mr. Dupin han estado después á ver paso, es en nuestra opinioíi uno de los mejores periódicos critor, pues ni es muy feliz en los desenlaces, ni es grande al Rey. de España) inserta en su núm ero 6.° de este año el Ínteres de sus fábulas. Pero sus escenas y diálogos son No sabemos cuál ha…</t>
  </si>
  <si>
    <t>Dupin, Mr. Carlos</t>
  </si>
  <si>
    <t>Mr. Carlos Dupin</t>
  </si>
  <si>
    <t>…e dos ellos 16-6. id. G ran ad a, id. peticiones concernientes á la reforma electoral , y habiendo ha­ otros capellán efectos de de M anzanera; varios heridos, algunas reses y guerra. (Id.) M álaga, \ id. blado el Secretario Mr. Carlos Dupin , se pasó al orden del Santander, para d. día. Alicante, 1 á } d. Santiago, 1¿ á 2 d. El conde d ’Ilarcout ha demostrado en un discurso de mu­ Barcelona, á ps. fs., par. Sevilla , par. cho fondo que rü era la nación, sino los partidos y las paúones, Idem 22. Bilbao, \ á £ d. Valen…</t>
  </si>
  <si>
    <t>Dupouy, H.</t>
  </si>
  <si>
    <t>H. Dupouy</t>
  </si>
  <si>
    <t>…en el gran libro i 4 por 1 0 0 , 00 . 15 al 20 del próximo Noviembre, la hermosa fragata francesa, rítalos al portador del 4 por 1 0 0 , 00 . Sale todos los domingos por la mañana. Su precio en M a- nueva , Gabriela , su capitán H. Dupouy, admite un resto de Vales Reales no consolidados, 00. Irid llevado á casa de los suscriptores es el de 2 reales al mes carga y pasajeros, para los que tiene exceleute* comodidades Deuda negociable de 5 por 100 á papel, 00. y 10 por un trimestre, franco de porte, en las provincias. en su…</t>
  </si>
  <si>
    <t>Dupuch</t>
  </si>
  <si>
    <t>…tes con que introducirse en G ib raltar, y consumar palabras sobre la Semana Santa en Argel. m e i l , en el que se halla resuelto el importante problema del sus expediciones, se ha servido S. M. la Reina Goberna­ El Sr. obispo Dupuch , cuyo celo no decae, ha predicado empleo sucesivo ó simultáneo de los dos grandes motores de la dora mandar que los gefes políticos no refrenden pasa­ casi todos los d ia s, y no podréis formaros una idea de la m u l­ n avegación, el viento y el vapor. portes con destino á aquella plaza,…</t>
  </si>
  <si>
    <t>Duquesa</t>
  </si>
  <si>
    <t>…ov er, pidiendo la exoneración del Valencia 10 de Agosto . M inistro Scheele. Lisboa 7 de Agosto . Cerca de la una de la tarde de este dia ha desembarcado (Extracto de partes recibidos en la capitanía general.) S. A. í. la Sra. Duquesa dé Braganza de vuelta del viaje em­ Escriben de Belgrado con fecha 19 de Julio á la Gaceta de prendido para visitar á su augusta familia , y que por casi añc El general en gefe de este ejército c*n fecha 8 del actual Augsburgo que el Senado servio acaba de poner preso al her­ y medio ha pri…</t>
  </si>
  <si>
    <t>Duran</t>
  </si>
  <si>
    <t>…os hidráulicos podría haber durado 20 y aun mas si­ su mérito poético, se halla muy biéü tratado en el escrito cluyendo las columnas que le rodean/es de 42 pies cas­ glos sin reparo alguno? Todo otro modo de conducir agua del Sr. Duran. tellanos o 14 pies en diámetro; exactamente el mismo an­ de una colina á otra requeriría no solo limpiar lós conduce- Alli se verá cuanto después hemos dicho nosotros en cho del templecito que está á la entrada del puente de Al­ tos cada 10 Ó 12 años, mas sumas ingentés que solo podrían vario…</t>
  </si>
  <si>
    <t>…bre.=:Por D. Juan le desvelado: hasta los chistes del gracioso son suyos. Donoso Cortés. Si las investigaciones eruditas que pueden hacerse en El genio. Los genios.r=Romance. Por D. Manuel Bretón de la escogida colección del Sr. Duran justifican esta opi­ Intendencia m ilitar de Castilla la N ueva . los Herreros. nión nuestra, creemos muy justo restituirle á nuestro T ir­ Imitación de la poesía y coplas del siglo xv. Por D. Agustín so una composición algo mas reg u lar, aunque del mismo Debiendo subastarse en esta intendenc…</t>
  </si>
  <si>
    <t>Duran, Agustín</t>
  </si>
  <si>
    <t>Agustín Duran</t>
  </si>
  <si>
    <t>…iendo por su nivel a la Sigue después del prólogo una noticia biográfica del ron alli 1800 años antes. Este acueducto está construido otra extremidad. Pero la mayor prueba del conocimiento maestro Tirso de Molina , escrita por D. Agustín Duran, y con piedra mezclada con un cimiento muy fuerte semejan­ de los romanos de este principio hidráulico es , que Vi- que antecedía á la Talla española, comenzada á imprimir te a marmol. A un extremo del acueducto, como sucede truvio, el famoso arquitecto romano que escribió 150 años por…</t>
  </si>
  <si>
    <t>Duran, D. Miguel María</t>
  </si>
  <si>
    <t>D. Miguel María Duran</t>
  </si>
  <si>
    <t>…an Basilio y Hospicio, que componen 95 man­ Descuento de letras , á 6 por 100 al año. y de Cuesta frente á lac, Covachuelas, donde se hallan las de­ zanas. mas producciones de este autor. JUZGADO DE PALACIO. Hoy d cargo del Sr. D. Miguel María Duran. U N profesor de francés, natural de París, da lecciones en su ^ ^ casa y en la de las personas que gusten por un método de las mejores estampas que se hallan de venta en teonco-práctico que facilita á los discípulos el estudio y la ad­ Catálogo Principia en la puerta de Fue…</t>
  </si>
  <si>
    <t>…a , vecino que ración. el mejor postor. fue de esta corte, le deducirán dentro dél término de 50 dias por el juzgado de primera iustancia de esta villa que despacha Una temperatura alta ayudará á esta clarificación; y&lt; el Sr. D. Miguel María Duran por la escribanía del número de cuando esta esta comph-tada, se echa sobre los panes bar­ Por la dirección general de Caminos se ha acordado arren­ la misma de D. Santiago de la Granja , apercibidas que pasado ro de p ija diluido en agua a la consistencia de crem a, la dar e…</t>
  </si>
  <si>
    <t>…n y han sido las maldades para que dad, se ha señalado para junta general extraordinaria de la luz en la escena, é impresas después forman el agradable sea uecesaria la calumnia. Pero ha de procurar el hábil acreedores por el Sr. D. Miguel María Duran , juez de primera pasatiempo de una familia, difundiendo al propio tiempo las artista que el resultado de su plan y el efecto de su obra instancia de ella , el domingo 14 del corriente á las once de la luces del saber, y haciendo extensiva la civilización y el cono­ sea hacerno…</t>
  </si>
  <si>
    <t>…VIL En esta edición que ahora se anuncia se ha añadido el form ulario á que deberán sujetarse los procesos que DESDE OCTUBRE DE 1832. han de instruirse para que el juicio contradictorio , sin el A virtud de providencia del Sr. D. Miguel María Duran? cual no se pueden obtener las cruces laureadas, 6 sean de juez letrado de primera instancia de esta villa , se cita? CUADERNO X V II. segunda y cuarta clase de la orden militar de San Fernan­ llama y emplaza por término de 50 dias á las personas que se crean con derecho á los…</t>
  </si>
  <si>
    <t>…su deber. dentro de 30 dias siguientes al de la publicación de este anun­ prometer los intereses mas preciosos de la Francia. No ha­ Por tanto mandamos á todos los tribunales, justicias, cio se presente eii la audiencia del Sr. D. Miguel María Duran, bia para la corona mas que una alternativa. Debía apelar gefes, gobernadores y demas autoridades, asi civiles como juez de primera instancia de esta capital, á dar sus descargos en constitucionalmente al pais, pedirle uua mayoría bastante nu­ militares y eclesiásticas, de cual…</t>
  </si>
  <si>
    <t>…de baile nacional; terminando la función con un iautores citados por Merlin no eran autoridades que se PROVIDENCIAS JUDICIALES. divertido sainete. pudiesen comparar con los hombres políticos que tienen P OR providencia del Sr. D. Miguel María Duran , juez de ierra 4 °°I? C,1i 3 ne&amp;OCK)s’* en firL concluía echando por laa Paradojas de los libros, y mostrando que la cos­ nedorprimera instancia de esta capital, está mandado que el te­ de una libranza de 38$ rs. vn., fecha 29 de Setiembre</t>
  </si>
  <si>
    <t>Duran, Miguel María</t>
  </si>
  <si>
    <t>Miguel María Duran</t>
  </si>
  <si>
    <t>…ulo comunicado inserto en el periódico LES AVENTURES titulado El G u irig a y , núm. ÍOÍ de 27 de Abril último, man­ A lumnos m éd ico -ciru ja n o s • dó S. S. eo su consecuencia que se lleve á debido efecto. El se­ DE ñor D. Miguel María Duran , magistrado honorario y juez de Todos los que pretendan matricularse en la clase de tales primera instancia, lo mando y firma en Madrid á 25 de Junio deberán hacerlo desde l.° de Julio hasta 39 de Setiembre in­ de 1839.=Durán.=Narciso Manrique. clusive, y al efecto lo solicitará…</t>
  </si>
  <si>
    <t>…arrojado embiste de unas cuantas guerrillas e°i a a^ | eocia ^ $r. juez de primera instancia de esta capi­ J £ ................. 751................ 150,200 nuestras, bastantes por sí solas y después de alguu tiroteo pa­ tal D. Miguel María Duran, á dar sus descargos en la causa 24.............. B............... 1,085................ 455,200 ra hacer huir al enemigo cobardemente y sin ánimo para sos­ que se sigue contra el mismo por ante el escribano del número ?4 -.......... £ • ................ 416 ................ 552…</t>
  </si>
  <si>
    <t>Durango</t>
  </si>
  <si>
    <t>…tados á las dos Número 11. opiniones que se han emitido en todas épocas Concernientes á obras. Pero ¿h ab ia de decir que el cuadro del Sueño de estos cuerpos. Refirió cuanto habian hablado Plutarco , Pitágo- Cuartel general de Durango 1.° de Junio de l839.r=Muy J e s ú s , de R ib e r a , que es el que el público m adrileño ha señor mió: Acabo de recibir la suya núm. 264 ? 8si como toda r a s , Hipócrates , Chios, Demócrito * y en particular Séneca, con relación á estos astros, y cuáles eran los movimientos que visto g…</t>
  </si>
  <si>
    <t>Durau, D. Miguel María</t>
  </si>
  <si>
    <t>D. Miguel María Durau</t>
  </si>
  <si>
    <t>…le de Toledo; der y oficio, de que doy fe, y á que me remito. Y para que y en la imprenta y librería de B o ix , calle de Carretas, núm. 8. conste y pasar á la redacción de la Gaceta en virtud de lo man­ él mismo. dado por el Sr. D. Miguel María Durau , juez de primera in s­ Véndese á 14 rs* ea rústica ea el despacho de la Imprenta tancia , en providencia del dia de a y e r , pongo el presente que Nacional. signo y firmo en Madrid á 6 de M ayo de 1859. =:Narciso Manrique. GALERÍA DRAMATICA, DICCIONARIO O se a T)O R el juzga…</t>
  </si>
  <si>
    <t>Durham</t>
  </si>
  <si>
    <t>…la * En el momento eu que el lord canciller se dispone á leer el semejante, la provincia del alto Canadá se verá en breve re­ su presión de los cereales, Ib cuál cóiísidera como una debitidad’ discurso de la R ein a, él conde de Durham se levanta y d ice: ducida al mismo estado que la de Tejas. por su parte. : ; 5' • ' ‘ '/ '- Milores , tengo que hacer una pregunta al noble vizconde He dicho, y repito, que una gran Potencia como la Ingla­ E l m arqués de LandsdoW m A prueba altamente la que dirige el Gobierno de S. M ., an…</t>
  </si>
  <si>
    <t>…a se separa de sú El noble lord produce en seguida los documentos y la 'ú ie - &amp; la voracidad del tigre. Esta resignación se explica en los que lado. Al ir al teatro le seguía un criado anciano, el cual lleva­ i« oria del conde Durham sobre el estado de los asuntos del Ca­ la practican por el fatalismo que forma la base de la religión ba una pipa magnífica que dejó en un cam arín inmediato al nadá. Encarga á los honorables miembros qué desean se discuta de los indios. ( Id .) palco del gobernador adonde Hussein se retirab…</t>
  </si>
  <si>
    <t>Durosne</t>
  </si>
  <si>
    <t>…rsonajes ras, se procedió á la organización definitiva de la mesa, ha­ que han tenido parte en dichas negociaciones, y sobre todo Hemos dicho con frecuencia que no convenía dar demasia­ biendo obtenido para secretarios el conde Durosne! 150 votos, la del ilustre mariscal que ha merecido para ello la confian­ da importancia á los votos de las Cámaras en la formación de el marques de Louvois 128, el vicealmirante Ilalgan 127, y 124 con sus secciones. Sin embargo, es tanta la impaciencia que hoy el conde de Turgon, del número…</t>
  </si>
  <si>
    <t>Durosnel</t>
  </si>
  <si>
    <t>…escritura se procedió Brougham , á los Ministros de lo Interior, de Negocios extran- á la de religión cristiana por los textos de Ripalda y Fleury, Fondos públicos. Cinco por 100, 109 fr. 45* geros y de Hacienda, y al general Durosnel. {Debáis.) compuestas de seis secciones en que están divididos ambos cate­ Cuatro id ., 10í , 90. Tres id ., 80 fr. 30. cismos, cuatro del primero y dos del segundo, á que contesta­ Acciones de banco ,2 6 4 5 . ron satisfactoriamente todas las niñas en sus oportunos lugares, Hé aqui alg…</t>
  </si>
  <si>
    <t>Dámaso</t>
  </si>
  <si>
    <t>…tener* D. F élix D ’O lhaberriague y B lanco, director de la caja nacional puesta pronta y satisfactoria comq exige la gravedad - del caso, mediante á no haber recibido ulteriores explicaciones del o ri­ de A m ortización ; D. Dámaso A p a ric io , procurador sindico le renueva las expresiones de. su obsequio y estim ación. gen de este triste suceso, no encuentro térm inos bastante fuer* del ayun tam ien to constitucional de esta m uy heroica v illa ; Don Palacio del R io -Jan eiro 22 efe A b ril de l859.= G ándido B au…</t>
  </si>
  <si>
    <t>…rasen la puerta a to­ realizado con las formalidades que la misma previene, tocó á cribano del número en la misma D . Tomas María Manrique da clase de influjos, no interviniendo de maoera alguna en las los sugetos siguientes: D. Dámaso A paricio, D . Andrés Fer­ se sacan nuevamente á pública subasta las fincas y efectos si­ elecciones, para que estas fuesen libres y espontaneas. Yo no sé nandez, D. José García M artínez, D . Antonio Bermejo, Don guientes: cómo manifestar mi sorpresa cuando vi esa circular de un M i­ Manue…</t>
  </si>
  <si>
    <t>Dávila, Estefana</t>
  </si>
  <si>
    <t>Estefana Dávila</t>
  </si>
  <si>
    <t>…do teni­ bierno, á todos los que se crean con derecho á los bienes que­ nos, y que los Gobiernos obedecían-: pruébanlo en fin los mis­ do la osadía tres facciosos, perfectamente montados y armados, dados por fallecimiento de Doña Estefana Dávila , vecina que mos abusos que hizo Roma de su poder, y q ue no siempre se de la facción de Fr. Saturnino de invadir su parroquia en la fue de esta corte, para que se presenten en el referido juzgado, le han echado en cara con injusticia: porque el abuso supone noche última, tratando de…</t>
  </si>
  <si>
    <t>Déffaudis</t>
  </si>
  <si>
    <t>…llas ó pensar en una transacción decorosa sin la co- sen las posiciones que ocupan en este momento, si el ejército los esfuerzos que se han hecho para una decorosa transacción, )peracion de las Gámáras, se manifestó al Sr. barón Déffaudis otomano no se retira con anticipación de las fronteras de la Si­ he creido sin embargo qq¿¡ debía presentar en un solo escrito ]ue prévia iuiciativa del Gobierno se daria una ley que arre­ ria. (G. de Augsburgo.) 3a política que he seguido , ya como M inistro de Relaciones glase el punto…</t>
  </si>
  <si>
    <t>DÍ, Ritchie.</t>
  </si>
  <si>
    <t>Ritchie. DÍ</t>
  </si>
  <si>
    <t>…udades principales. En el discurso de nuestra vida, dice Mr. de T raci, nece­ luntariamente. Debo declarar aqui que todos los gastos fueron sitamos de un millón de cosas; y si para cada una tuviésemos expensados por el mismo Sr. Ritchie. DÍ A TERCERO. que ir directamente á buscar su inmediato productor, la inver­ Salí de esta capital el 10 de Setiembre de 1852 ; y en vir­ tiríamos toda ella en viajes inútiles y gastos superíluos, y al fin tud de los informes que me dió eo Tizapanito el finado Don G ram ática castellana.…</t>
  </si>
  <si>
    <t>Díaz, C.</t>
  </si>
  <si>
    <t>C. Díaz</t>
  </si>
  <si>
    <t>…olleto de D. Juan Bautista Armesto, del mismo Costumbres provinciales. establecimiento se halla abierta la matrícula para el próximo vecindario, titulado “ Contestación de D. Juan Bautista Armes- La procesión de un lugar , por D. C. Díaz. curso que empezará en los primeros dias de Octubre. Los que to, alcalde constitucional que fue de la ciudad de Ecija, á los Madrid artístico. quieran seguir la carrera de veterinaria, sea en la clase de alum­ libelos publicados por D. Domingo García y D. Francisco Cus­ por Capilla D. F. de…</t>
  </si>
  <si>
    <t>Díaz, Gabriel</t>
  </si>
  <si>
    <t>Gabriel Díaz</t>
  </si>
  <si>
    <t>…angre en el h íg ad o , atrae las partes bastas, lérreas Por providencia del Sr. intendente subdelegado de Rentas ó leñosas, que no pueden ser absorvidas en la organización a n i - de esta provincia se cita , llama y emplaza á D. Gabriel Díaz u t a l , y excita el canal intestinal por un movimiento peculiar, Palacios p*ra que eo el término de nueve dias se presente en la i espeler lo que y a es in ú til al cuerpo animal. Para mayor co­ escribanía principal de Am ortización, calle del L o b o , núm. 8 ,</t>
  </si>
  <si>
    <t>…Por providencia del Sr. intendente subdelegado de Rentas hablarle , siquiera por señas, no sea que se establezcan entre larga experiencia que no habría cosa mas fácil que aislar á de esta provincia se c ita , llama y emplaza á D. Gabriel Díaz ambos inteligencias de pensamientos ó acciones que algún dia los detenidos entre sí, sin perder de vista la posibilidad de que Palacios, para que en el término de nueve d ias, que por se­ serán tan perjudiciales á la sociedad como á ellos mismos. paseasen solo media hora cada dia. "Por…</t>
  </si>
  <si>
    <t>Dícese, Carlos.</t>
  </si>
  <si>
    <t>Carlos. Dícese</t>
  </si>
  <si>
    <t>…sábados. ' L a ftio ta Concedió á los Sres. directores la autórisaOioti que Guriezo y etrcelebridád del hecho ejecutado por Maroto y segui­ sotkittfrony'y rapfóbó por unanimidad las propuestas que hizo do de la aprobación dé D. Carlos. Dícese qué Balmaseda ha pe- para reCluptézar á 1ós doá Sres. directores mas an tig u os,con ta- úetrádo’étr GaBtillá con uiiós 2 0 0 caballos huyendo de éu ge­ dor,'tfesóréré y sécretarió, nombrándose en su consecuencia neral en gefe; ' párá directores los Sres; D. Joaquín de Fagoaga y D .…</t>
  </si>
  <si>
    <t>Dóndres, Sécretárío</t>
  </si>
  <si>
    <t>Sécretárío Dóndres</t>
  </si>
  <si>
    <t>…A M ^ tO S . ..... ’■ pecííicos por personas no autorizadas al efecto. (Id;) r r ; e le v a n sobre e l h o riz o n te á la a a lid a d el s o l , y p o r l a á fh ie h c iá Real decreto concediendo el uso de media firma al'Sr. Sécretárío Dóndres;, á 90 d ia s j 58 f^ Cófu^ña , d .4 5 ^ d e gentes y g a n a d o s ^ u e se v e n a n d a r p o r los c a m in o s 'h a c ia el de Estado y del Despacho de Gracia y JusticiaI V Lorenzo Paris , 16-4*., íf ^^jlánada | id ..1 p o rta l de R e le n ; -se na- dispuesto e n riq u e ce…</t>
  </si>
  <si>
    <t>Düpasi, Mánuéf</t>
  </si>
  <si>
    <t>Mánuéf Düpasi</t>
  </si>
  <si>
    <t>…e pasó en una de las 1,5 5 6 .;.. 4 0 0 . . . . . . . ^ ^Barcétoná. El dómingo 2i dé‘ Márzó á las d iez dé la maña na dará pri n- éáSajPBe*lacfeiúdarii»en la que fui aditiilido. La cipib la énseñánzá dé sblfeo pdr el profesor D. Mánuéf Düpasi. reunión comenzó sobre las huevé dé la lióché^ durante La dirección general ha dispuesto que el sorteo que lia dé La ínatrículW coniinüá ábferta en lá secretaría general del dos horas todo el « moda sé.eutregó á toda clase de jue­ verificarse el dia 16 de Marzo prpxiu|0, sea bajo el…</t>
  </si>
  <si>
    <t>e Cam, Jaim</t>
  </si>
  <si>
    <t>Jaim e Cam</t>
  </si>
  <si>
    <t>…n y hagan g u a rd a r, cum plir y ejecutar la pre­ doba. sente ley en todas sus partes. Tendréislo entendido para D. M anuel Rosales, comisario de guerra. CORTES. su cu m p lim ien to, y dispondréis se im p rim a, publique y D. Jaim e Cam precios, cirujano. circule. = Y O LA REINA GOBERNADORA. En Palacio Ademas existen los oficiales y Nacionales que ya se h alla­ SENADO. a 16 de Enero de 1 8 3 9 .= A D. Pío Pita Pizarro. ban en este depósito, y algunos soldados de los regimientos de PRESIDENCIA DEL SEÑOR MOSCOSO DE A L T…</t>
  </si>
  <si>
    <t>e, Aberdéen</t>
  </si>
  <si>
    <t>Aberdéen e</t>
  </si>
  <si>
    <t>…n , y debo tado con A ustria no ha hecho mas que consagrar el p riucipio debe producir la solución de esta cuestiou. Respecto del bilí de hacerle esta ju s tic ia , en todas ocasiones se ha conducido con adoptado pór el conde de Aberdéen en 1829. Estoy lejos de h a­ reforma es esta una cuestión m uy im portante en la parte rela­ la mejor buena fe y voluntad respecto de nosotros. El últim o llarm e tran quilo por las consecuencias de la conducta de nues­ tiv a á saber si este bili ha satisfecho las necesidades del pais. p…</t>
  </si>
  <si>
    <t>e, Adell</t>
  </si>
  <si>
    <t>Adell e</t>
  </si>
  <si>
    <t>…á Francia, acompañado de los vocales O rte u , Ferrer y reales se distribuyó entre ellos. 8ampons. Tal es la relación del fatal suceso, como la sabemos de tía Se ha dado el mando á Segarra. sugeto fidedigno. (Id.) El secretario Adell está arrestado. Almenara 5 de Noviembre. Lavandero está encargado del inventario de los papeles del conde de España.” A las diez ha pasado por esta villa la primera división que Aunque con algún atraso insertamos la siguiente corres­ Se sabe ademas por conductos seguros que se ha tomado la v…</t>
  </si>
  <si>
    <t>e, Agustín Nogueras. Tendréislo</t>
  </si>
  <si>
    <t>Agustín Nogueras. Tendréislo e</t>
  </si>
  <si>
    <t>…ido uoa larga D. Narciso López, en reemplazo de D. Juan Aldam a, y conversación: El antiguo Ministro no ha disimulado la gran­ por la de Zaragoza , por renuncia de D. Miguel Laborda deza de la situación presente. y G aiindo, á D. Agustín Nogueras. Tendréislo entendido Mr. Thiers ha probado en esta conferencia que nada puede y lo comunicareis ¿ quien corresponda para los efectos S. M. la Reina G obernadora se ha enterado del expe­ alterar el conocimiento profundo de la política exterior de la convenientes i su cum plim ient…</t>
  </si>
  <si>
    <t>e, Alba</t>
  </si>
  <si>
    <t>Alba e</t>
  </si>
  <si>
    <t>…lea bastante to a España el contagio de las ideas de los novadores, es otra vez, y el Santo Padre maltratado como en tiempo de C ár­ cuando decir, los principios subversivos de toda sociedad. Guando los v , escribió al duque de Alba encargándole no usase de se­ que por obtiene la victoria.” Durante su. carrera militar , ga lá más de 50 años mandó en géfe , ya atacando ya defen­ la República francesa venció con las ármas á los que que­ veridad contra e! vicario de Jesucristo; pero el duque respon­ diéndose en Ñ apóles, én…</t>
  </si>
  <si>
    <t>…m onarquía, porque no sea fuerte, grande, no al Congreso; este es el estado que tiene ese asunto. 48Q rs. : Sr. C aro, 40$ rs.: Sr. conde de O falia , 40 3 rs.: señor valga la España nada entre las naciones de Europa. El duque de Alba es patrono particular de esa abadía , y Pezuela, 403 rs.: Sr. López Ballesteros, 403 rs.: Sr. Zea Ber- A qui debería concluir, señores, si no hubiese llamado mi siéndolo, está salva la prerogativa Real , pues no está en el caso tnudez, está suspenso el pago de su sueldo , 403 rs. Y en uoa atenc…</t>
  </si>
  <si>
    <t>e, Albacete</t>
  </si>
  <si>
    <t>Albacete e</t>
  </si>
  <si>
    <t>…os los ramos de la instrucción p r im a r i a , á la geografía, á la ticular, y en el total de la línea por todos conceptos 590 ,0 5 0 rs. música y á diversos oficios. Los jóvenes hacen canastas, sillas El comandante general de Albacete en comunicación del 5 dos tercios de otro. de paja y de ju n c o , pipas &amp;c. : las mugeres se ocupan en los participa : que sabedor el bizarro teniente coronel mayor del 5.° ligero de caballería, destacado en la Osa de M o n t ic l, de h a­ Autorizada la diputación provincial por el Gobier…</t>
  </si>
  <si>
    <t>e, ALCON</t>
  </si>
  <si>
    <t>ALCON e</t>
  </si>
  <si>
    <t>…el objeto fuese llegar al fin deseado. el premio mayor y el mayor honor que puede envanecer á un misión le tuviesen presente á su tiempo y le diesen su apoyo. El Sr. Ministro de la GOBERNACIO N: Tengo que hacer patriota. El Sr. ALCON expuso las razones que habia tenido la co­ una observación á la comisión en cuanto á la dirección que El Sr. ALCO N , haciéndose cargo de lo expuesto por el misión para dar su anterior dictámen y Jas que la habían mo­ quiere dar á esta exposición, porque opina que pase al ministe­ Sr. Cortina…</t>
  </si>
  <si>
    <t>e, Alemany</t>
  </si>
  <si>
    <t>Alemany e</t>
  </si>
  <si>
    <t>…que aprendió ea la primera Cinco por 100 portugueses, 2 2 |. El 15 se abasteció también de leña Sonsona ; las brigadas lección. Salcedo y Clemente tuvieron asimismo sus encuentros con el Toda lá simplificación del arte del Sr. Alemany estriba en enemigo; mas en todas las ocasiones estos fueron batidos y d is­ aprender las declinaciones y conjugaciones por la analogía da persados. las terminaciones. El principiante (que deberá haber estudiada Se ha anunciado la entrada del conde de España en Fran­ El 17 á nuestro regres…</t>
  </si>
  <si>
    <t>e, Alfonso Gómez de Zapata. Sexta</t>
  </si>
  <si>
    <t>Alfonso Gómez de Zapata. Sexta e</t>
  </si>
  <si>
    <t>…de condiciones que está de manifiesto monedas, y el modo de los latinos para contar los dias de los Intendencia de Id p ro vin cia de M a d r id . en la escribanía* Y para su único remate está señalado el do­ meses: su autor D. Alfonso Gómez de Zapata. Sexta edición. mingo 24 del próximo Noviembre y hora de las doce de su ma­ Un tomo en 8 .°, á 10 rs. en pergamino. El Sr. D. Antonio María Salvago de Ahumada , vizcond 6 ñana en las casas consistoriales de dicho pueblo. de la T orre -L u zon, ó la persona que le represente…</t>
  </si>
  <si>
    <t>e, Alonso</t>
  </si>
  <si>
    <t>Alonso e</t>
  </si>
  <si>
    <t>…s al ciudadano par­ gunos verso en que esta cifrado todo el pensamiento deL preso á Manchester pidiendo el auxilio de una fuerza armada ticular. drama. suficiente. En cuanto al segundo punto , aunque no tengo leyes ni El Rey D. Alonso el O nceno, juntando dinero y gen­ A las diez de la mañana del dia siguiente todo estaba en doctrinas á que rem itirm e, ni prácticas que me sirvieran de te en Castilla para*partir a la empresa de Algeciras, reci­ calma en Bury: los dos jornaleros presos debían ser interroga­ tip o , ó de r…</t>
  </si>
  <si>
    <t>e, Alvarez</t>
  </si>
  <si>
    <t>Alvarez e</t>
  </si>
  <si>
    <t>…ncontró que el se­ lo fin, comunico al Gobierno para que lo haga á las Cortes.” Por señores , los acontecimientos de Sevilla sin prejuzgarlos son aprobado. Se leyó la ley, y el Congreso la declaró conforme con lo ñor Diputado Alvarez era uno de los que componían la junta de naturaleza alarmante y grave; recordemos si no la impre­ revolucionaria , ejerciendo en ella la mayor intervención./Quién sión que nos hicieron Los Sres. Iznardi y Viadera hacen una pequeña aclaración. a vista de esto dudará que fue hallado infragan…</t>
  </si>
  <si>
    <t>…ier­ taba ya formada una actuación criminal , y constando de la asi, como parece que se ve apoyado por esos documentos que el no es arreglado al art. :j‘2 de la Cou^titncion. Si 110 lo e s , no manera que podia constar que el Sr. Alvarez era uno de los in­ Gobierno ha pasado al Congreso para su conocimiento, yo d i ­ debe concederse la autorización. Creo que he hecho ver que no dividuos de la junta, para que nunca se dijere que se trataba de ría ¿ q u é quieren los señores de la comisión al decir paladina­ se ha resuelto la…</t>
  </si>
  <si>
    <t>…iniese á su y a á M adrid D. Francisco Alvarez í pesar del arresto, entro­ habiendo dicho a ates .que es D ip u tad o , no está bieo, Lo único puesto. metiéndose á decidir una causa criminal. que tersemos'que decidir es si el Sr. Alvarez es Diputado ó 00, Si el principio que domina la cuestión es el que acabo de Sobre la necesidad que haya de la permanencia ó estancia úoica cosa que hay que v en tilar; ia comisión dice que es D i ­ d e c ir, no comprendo, ni aun en teo r ía , como ha de quedar en M adrid de los Diputados pa…</t>
  </si>
  <si>
    <t>e, Alvarez. En</t>
  </si>
  <si>
    <t>Alvarez. En e</t>
  </si>
  <si>
    <t>…omo simples ciudadanos están en el caso de ser atropellado no veo que sea el medio legal de esclarecer la con­ exije de parte mia una explicación tan amplia corno sea po­ juzgados por la justicia ordinaria. ducta del Sr. Diputado Alvarez. En el articulo de la Constitu­ sible de la doctrina constitucional, que es la única que yo re­ A si , señores, el voto de censura está claro , pues se le dice ción veo por una parte la garantía de nuestra inviolabilidad, y conozco, 110 la de los bandos, ni la de los estados de sitio, Co­ a…</t>
  </si>
  <si>
    <t>e, Alvaro</t>
  </si>
  <si>
    <t>Alvaro e</t>
  </si>
  <si>
    <t>…ecedentes 810 6 ciones precedentes................. 5,885 1 15 como un talego le lave. Total 7,207 2 27 Total.............. 40,806 5 15 En Yo me entiendo y Dios me entiende entran de no ­ che el Rey D. Pedro y su confidente D. Alvaro en casa de Frutas. Lencería. D. Cosme a enam orar á su futura esposa. D. Cosme en­ Alemanisco 810 6 17 cuentra con ellos á oscuras, y les oye h ab lar, sin cono­ A c e itu n a s ...... .................... 1,897 5 Arabias 942 ' cerlos, de un risco y de un mármol que no pueden ablan­ Almendras…</t>
  </si>
  <si>
    <t>…ga de tierra que no la doy que en mi concepto son concluyentes, porque no puede servir BOLETIN DE CO M E RC IO . por 5Q: vea 8. S. la enorme distancia que hay. de capital para el establecimiento de una fam ilia una corta El Sr. Alvaro en su ingenioso discurso sentó datos m u y m i­ porción de terreno, y lo que sucedería es que los grandes pro­ BO LSA DE M A D R ID . nuciosos ; pero es lastima que S. S. sentase el principio al final pietarios enmprarian estas porciones por n a d a , siendo entonces de su discurso, debiendo…</t>
  </si>
  <si>
    <t>…ursos del Sr. Ministro de Que en cuanto á la carta del general Espartero á que se ha esa terminación tan deseada, y hé aqui donde aparece la mejor Gracia y Justicia , apelo á sus palabras ; se consultó al tribunal referido el Sr. Alvaro en el expediente que obra en la secretaría defensa del Gabinete; una razón que convence bastante, mucho supremo de Guerra y Marina para ver de qué modo podia ha­ de la Guerra, se pueden ver las dificultades que se veucieron en mas cuando se trata con caballeros como el Sr. conde de las cerse…</t>
  </si>
  <si>
    <t>e, Am</t>
  </si>
  <si>
    <t>Am e</t>
  </si>
  <si>
    <t>…n reo, y por medio de los ordinarios las que en atención á la madrugada del dia 9 en el pueblo de Ruifas á 49 infantes y de 13 de Junio de 1824, dictada para llevar á efecto la su 20 caballos, capitaneados por el titulado coronel Am erle, que expresada contribución. Enterada S. M., y conformándose por excesivo volumen sea demasiado gravoso el hacerlo se hallaban robando por dichos valles, y con orden para sacar aquel conducto. con lo manifestado por V. S. en 27 de Diciembre del año los mozos y yeguas de los de Carnpino, sie…</t>
  </si>
  <si>
    <t>e, Amat</t>
  </si>
  <si>
    <t>Amat e</t>
  </si>
  <si>
    <t>…alles y en las placas, se­ Term inaremos este asunto recordando á los lectores lo bienes del sistema penitenciario, bienes de muy probable éxito ra inmediatamente disuelta por la fuerza pública, y en caso que expone el mismo Sr. Amat en una de sus pastorales, en Francia y en todas las naciones que se le parecen: en cuan­ necesario por las armas. que habiéndole ofrecido algunas sociedades extrangeras el to al tercero, es á saber, la reforma moral de los delincuentes, Los señores comandante de la plaza, el de la gendarmería…</t>
  </si>
  <si>
    <t>e, Amor</t>
  </si>
  <si>
    <t>Amor e</t>
  </si>
  <si>
    <t>…uilidad de los suscriptores, que permaneciendo aunque sea á la capital, y sin entrar otra vez en ella, emprendió su marcha con mayor distancia, y evitándoles ademas los peligros y costos de dirección á Onda. El objeto del general Amor era dirigirse á la los caminos, pueden tener á su favor una reunión de personas presa ó azud que conduce las aguas de riego á la huerta de O n­ AGENCIA UNIVERSAL EN M A DRID. cuya responsabilidad y relaciones no son comunes, y cuya da, cortadas mucho tiempo há por el enemigo, á fio de hacer­…</t>
  </si>
  <si>
    <t>e, Amorós</t>
  </si>
  <si>
    <t>Amorós e</t>
  </si>
  <si>
    <t>…ente; y descargada acompañarlas con una maestría y novedad superiores á sus po­ neraciones futuras. Por últim o, conceder una medalla de oro ya, cojió una piedra, y con ella maltrató á dicho bárbaro cabe­ cos años. al Sr. coronel Amorós en la próxima seúon anual de aquella cilla , obligándole á desistir de su empeño. La introducción de Gil Arabí contribuyó en gran manera academia, como un testimonio de la satisfacción de sus indivi­ El comandante general de la provincia de Albacete comu­ á acabar de fijar la impresión de un…</t>
  </si>
  <si>
    <t>e, América</t>
  </si>
  <si>
    <t>América e</t>
  </si>
  <si>
    <t>solo porque comprometería ios intereses comerciales, sino por- ; S. M . y del ministro de América en W a s h in g t o n ? ¿E stá dis­ Luis F e lip e , Rey de los franceses. A todos &amp;c. que podría traer al ministerio á Sir Roberto Pee! y al lord puesto el Gobierno á depositar sobre la mesa una copia de las Aberdeen , y tal es indudablemente la esperanza de los periódi­ instrucciones á qu…</t>
  </si>
  <si>
    <t>…Galicia, dando muerte al cabecilla Souto y á en recompensa. M adrás, de Bombay, de Ceylan y de C antón, como también varios de sus secuaces en el pueblo de Teigid del Valle de Mao* Los esfuerzos de Mr. W h e a to n , Ministro de América en la á las de Liverpool, Bristol, Giascow, B irm ingbam , M anches- El cadáver de aquel rebelde ha sido conducido á Sarria. corte de Prusia, han sido mas felices, pues ha logrado se le haga ter y Sheffield, la circular siguiente, que á nuestro entender no Mi ayudante de campo D. Juan J. Med…</t>
  </si>
  <si>
    <t>e, Andalucía</t>
  </si>
  <si>
    <t>Andalucía e</t>
  </si>
  <si>
    <t>…itivo de paz, fundado en otros conve­ lizadas estas divisiones. (G a cetle d'A ugsbourg.) niente general D. José Carratalá , vengo en nombrarle ca­ nios anteriores que ambas partes admitieron. Tengo la satisfac­ pitán general de Andalucía en reemplazo del mariscal de ción de informaros de que el Gobierno holandés ha m anifestado campo D. Serafín María de Soto, conde de Clonard, á y a á la Conferencia que acepta dicho tra ta d o , y confio que quien tengo á bien declarar el cuartel para el punto del GRAN BRETAÑA. una declara…</t>
  </si>
  <si>
    <t>…stablezca una nueva de advertir que según las cartas, en el mismo momento en que agen cia, pero que no sea am ericana: lo que ahora ha sucedido la Puerta daba.á los embajadores europeos las mayores seguri­ El capitán general de Andalucía en comunicación de 14 del puede servir de lección á los interesados. (Id.) dades de sus intenciones pacíficas, enviaba órdeaes secretas á su actual p articip a, que en cumplimiento de lo prevenido en Real ejército para que pasase el Eufrates. Las noticias de Cónstanti* orden de 3 del mis…</t>
  </si>
  <si>
    <t>e, Andalucía.zzPor</t>
  </si>
  <si>
    <t>Andalucía.zzPor e</t>
  </si>
  <si>
    <t>…pas món María Narvaez.^Sanlucar de Barrameda. zz Es copia, z: condiciones, donde se manifestará. indias, sostenidas en caso de necesidad por las inglesas, debe Clonard. invadir su antiguo reino. N úm . 8.° ^ Capitanía general de Andalucía.zzPor el Exce­ Según la United Service Gazette , se han embarcado las lentísimo Señor general D. Ramón María Narvaez se me p L intendente militar del distrito de Granada. Debiendo pro- tropas inglesas para Shikaspoor: después de unirse á los solda­ ha manifestado que su correspondencia pa…</t>
  </si>
  <si>
    <t>e, Anduvo</t>
  </si>
  <si>
    <t>Anduvo e</t>
  </si>
  <si>
    <t>…n sin respon­ compañía de Y eiillá y otra del í.° de francos Cuatro facciosos tian , D. Ignacio Ramón Ba-roja.^Saotaoder , D.Gleinente d derle. y un oficial. ’ *J / rja Riesgo.izSevilla, Sres. Hurtado y com pañía.^V alencia, Don Anduvo errante por espacio de cinco meses por los arenales Casiano M aT i^nasT ortosa, D. V it^nte Mfró. ' T y justificó los descubrimientos sucesivos del rio de los Cannes, Estas y otras mejoras que 'CODQÍernen á la parte literaria, del Colorado, de la Sabloniere y de la M alig n e , mudas y esté­…</t>
  </si>
  <si>
    <t>e, Antonia</t>
  </si>
  <si>
    <t>Antonia e</t>
  </si>
  <si>
    <t>…Id...................... Id.................. 100,000 ' 15 id. trata el articulo anterior, serán motivadas; y si el Gobierno lo 2,781. 10 Mayo i d . . L u g o ., . . . 100,000 Id. Ignorándose la habitación en esta corte de Doña Antonia estimase conveniente, ó alguno de los interesados lo pidiere asi, 5,575. 8 Junio i d . . Id 30,000 8 id. Bertnudez, viuda del coronel D. José Diaz , se la avisa por me­ se publicarán en el Boletín oficial de la provincia. 5.574. I d . . . .............. Id 90,000 Id. 5.575. Id.............…</t>
  </si>
  <si>
    <t>e, Antonio Bachiiler.rzJuan Agustín</t>
  </si>
  <si>
    <t>Antonio Bachiiler.rzJuan Agustín e</t>
  </si>
  <si>
    <t>…n Caribdis. * de ay er, ha acordado de Guadalupe y Diciembre 12 de l858.=:Juan J. de Presno.rz estación á la santa metropolitana hacer el próximo viernes santo su Reasumiendo cuanto habia manifestado, dijo: que el es­ Licenciado Antonio Bachiiler.rzJuan Agustín eje Ferrety. r ü o - iglesia. píritu de examen propio del siglo en que vivimos, asi en lite­ sé M f de la Torre y de la T orre.nD r. Diego Manuel Govantes. Nos apresuramos á anunciar esta novedad, que no dejará de ratura como en política, induce á no tener por sagrad…</t>
  </si>
  <si>
    <t>e, Antonio Conde González</t>
  </si>
  <si>
    <t>Antonio Conde González e</t>
  </si>
  <si>
    <t>…......... Requena. nitos, núm. 45 de la manzana 552 , que tiene de sitio 1,2861 pies superficiales, tasada por el arquitecto académico de mérito La •dirección general ha dispuesto que el sorteo que ha de de la de S. Fernando D. Antonio Conde González en la can­</t>
  </si>
  <si>
    <t>e, Antonio Hompanera de Cos.</t>
  </si>
  <si>
    <t>Antonio Hompanera de Cos. e</t>
  </si>
  <si>
    <t>…acio á 24 de Enero de 1839.=? haria otra cosa que satisfacer los justos deseos de la conferencia, celebrar inmediatamente nueva subasta con el fin de asegurar si aplicase las leyes que estau en vigor á ía asociación de los A D. Antonio Hompanera de Cos. el suministro de utensilios á las tropas de aquella provincia, y Patriotas. que al mismo tiempo se verifique otro remate en esta corte. En «E n el caso contrario la Bélgica será presa de la anarquía; su virtud ha dispuesto que tenga efecto la enunciada subasta pero se e…</t>
  </si>
  <si>
    <t>e, Antonio Jiménez-</t>
  </si>
  <si>
    <t>Antonio Jiménez- e</t>
  </si>
  <si>
    <t>…s y por fin al moverse de alli ha perdido roas de 100 hombres, longar la rotura del trozo marcado en los término* dé los puéd­ deroas autoridades locales, los hacendados con vivas á la a u ­ y entre ellq*. su mavor de órdenes D. Antonio Jiménez- elos de Fernannuñez y M onteinayor se ha dado principio al g u r a Reina , a' la Constitución, á la p ro v in cia, á sus a u to ri­ La fuerza del Sr. Lemus era de poca consideración : hoy que corresponde á la ciudad de M ontílla , cuyos habitantes han dades , que repite la (ropa co…</t>
  </si>
  <si>
    <t>e, Antonio Seoane</t>
  </si>
  <si>
    <t>Antonio Seoane e</t>
  </si>
  <si>
    <t>…s­ tro meses á las rivalidades y á las ambiciones personales, pu­ tentando ya el esmerado gusto y elegancia de sus ricos trajes, diera haber dedicado por lo menos tres meses á tratar de los in ­ A yer visito S. E. el genera! D. Antonio Seoane el depósi­ to provisional de inválidos establecido en el ex-convento del ya la gracia y cultura que tanto distingue á las bellas de este tereses generales. pais. ¿P o r qué pues no ha de decirse la verdad á la C ám ara? ¿Es Buen^suceso. El comisario de guerra y oficiales encargados…</t>
  </si>
  <si>
    <t>e, Antonio Zabaleta.</t>
  </si>
  <si>
    <t>Antonio Zabaleta. e</t>
  </si>
  <si>
    <t>…gobernador eclesiástico de su obis­ proyectadas y llevadas a cabo con inteligencia , es el arquitecto lado el dia 7. de Diciembre próximo, á las doce de la mañana, pado por el limo. Sr. D. Fr. Felipe González Abarca su obis-. D. Antonio Zabaleta. en las salas de dicha dirección general. Estos dias se haa estado probando varias piezas de á 56 que PP 5 y aprobación de S. M. la Reina ; juez sub-coléctor de ex— se envían á B urgos, en donde por haberse restablecido el anti­ polios y vacantes, natas y medias anabas de esta dióc…</t>
  </si>
  <si>
    <t>e, Arellano</t>
  </si>
  <si>
    <t>Arellano e</t>
  </si>
  <si>
    <t>…uerdos dados poj- el Congreso. tículo 55 y 11 de la ley electoral, y dijo que no estaba com­ pondría el mismo Congreso á falsear la verdadera opinión de su El Sr. Ramicez de Arellano acaba de leer un documento en prendido el Sr. Arellano en las cláusulas señaladas en el artícu ­ mayoría , y como la razón en que apoya el Sr. M uro su pro­ su apoyo. Y o tengo en la inano el mismo documento que es lo 1 1 , en las que se expresa los que están inhabilitados de ejer­ puesta es la de ahorrar tiempo eu la discusión, y inuy lejos de…</t>
  </si>
  <si>
    <t>e, Argiielles</t>
  </si>
  <si>
    <t>Argiielles e</t>
  </si>
  <si>
    <t>…ción con este quía. Asi concluyo, señores, con este vivísimo deseo, y espero gravísimo negocio que se di cu te, aprobó el mensaje, se halla­ que para conseguir tan grande objeto , no perjudicará que se El Sr. S A N C H O : El Sr. Argiielles en su discurso ha da­ ba presente alguno de los Sres. M inistros, y el mensaje se apro­ tome en consideración la enmieada que hemos tenido el honor do un testimonio de amistad ; pero yo pedí la palabra cuan­ bó por unanimidad. Yo no sé si el Sr. Ministro á que aludo de preseutar, y que es…</t>
  </si>
  <si>
    <t>…ar que tiene, á fin de ver si puede recobrar lo secretaría. S. S. se dé la respuesta que qu iera; como obispo, si quiere, ó que ha perdido por efecto de las circunstancias, ó al menos dis­ Señores, el primer dia que habló el Sr. Argiielles evitó que como clérigo particular. Si S. S. supone al Sr. Ortigosa como m inuir una reforma que ha hecho el tiempo y el estado de sonase mi v o z ; pero debo decir que soy el responsable de esa Real obispo no electo, sino confirmado y consagrado, la Real orden , Europa. Entonces veremos c…</t>
  </si>
  <si>
    <t>e, Arguelles</t>
  </si>
  <si>
    <t>Arguelles e</t>
  </si>
  <si>
    <t>…ircunstancias ordinarias, prescindiendo alguna vez de las que puede ser oportuno un desahogo legal por un medio equi­ mando este nombre vago y genérico. fórmulas. ¿Cómo evitará el Gobierno ambos escollos? valente. Ha dicho el Sr. Arguelles en uno de tas argumentos que ¿Cóm o podrá cubrir su responsabilidad y salvar al Esta­ El orador, continuando en sus observaciones , manifiesta la los ayuntamientos para apaciguar un motin popular pueden al­ do? Si desde luego todas las autoridades locales afirman necesidad de que no se re…</t>
  </si>
  <si>
    <t>…as dos m edidas capitales reclam adas como he­ Sr. Sánchez de la Fuente. por espacio de dos meses impunemente. La comisión , celosa de mos dicho ya por las circunstancias que nos rod ean , han Voy á ver si puedo contestar al Sr. Arguelles eo lo que la prerogativa de los Diputados, lo es también del manteni­ sido adoptadas afortunadam ente por los actuales conseje­ S, S. se ha servido dirigirse al Gobierno. Dos puntos principa­ miento de la sociedad, objeto que no debe perderse de vista. ros de la corona: y ó nos equivocam o…</t>
  </si>
  <si>
    <t>…ibilite la acción del Gobierno, como pro­ entusiastas poir S. Mi íá Reina j régimen constitucional. 1A los 6 © rs. de inultas se han agregado 3$ recaudados de La Francia tiene derecho de reclamar contra un estado de fuso el Sr. Arguelles en su último discurso, es una de aquellas padres que tienen hijos en la ¡facción , y que con arreglo á los cósás qué le es desfavorable en lo presente, y que puede seiilc medidas que le fortalece, pues como dejo indicado, no se le W é s decretos estaban adeudando hace un ano. Esta cantid…</t>
  </si>
  <si>
    <t>e, Arm</t>
  </si>
  <si>
    <t>Arm e</t>
  </si>
  <si>
    <t>…jo en su apoyo dictámen de la comisión que propuso la ley de 28 del mismo, hacerlo al rectificar algunas equivocaciones en que tal vez in ­ El Sr. M EN D IZ ABA L: No ha sido mi ánimo al tom arla y la reclamación que hizo el Sr. Arm endariz, Diputado por currirán SS. SS. palabra para apoyar la enmienda dilatar esta discusión por mas N avarra, que se hallaba presente, y se halla en la sesión de 2 El Sr. PRESIDENTE: Cualquiera de los individuos de la tiempo que el necesario: todo lo contrario; no sé dónde iria á de Setiembr…</t>
  </si>
  <si>
    <t>…s que la ley exige y establece cuando se hayan aprobado las actas de Navarra y quiera pedir improvisada como se supone; pero con mas gracia y dignidad hayan de concurrir en los nombrados: concurren en el Sr. Ar­ la palabra el Sr. Arm endariz, yo, exacto observador del regla­ que otros pensamientos que se nos ofrecieron en tantas calles razola , y la comisión por lo tanto no puede menos de insistir mento, no me opondré á ello. Hecha esta salvedad, empiezo por donde brotaban las invenciones al mismo paso que los efectos en su…</t>
  </si>
  <si>
    <t>…os de probar esa parcialidad; uno, que ha hecho mal la taba preparada hombres para oir una acusación como la que ha oido del de la deuda pública , con arreglo al distribución de distritos; otro, que no ha admitido á los elec­ Sr. Arm endariz, que tantas pruebas tiene dadas de moderación Real decreto de 15 de Marzo de 1857 é instrucciones posterió- tores que según la ley debían serlo. Esta segunda parte se divi­ res, compuesta de su vicepresidente el Excmo. Sr. D. Antonio de en oo haber admitido á los emigrados en Valcarlos,…</t>
  </si>
  <si>
    <t>e, Arrazola</t>
  </si>
  <si>
    <t>Arrazola e</t>
  </si>
  <si>
    <t>…niciones y víveres. Va colmado de las bendiciones del pueblo, Congreso. dinación : y yo confio descansada en la sensatez de mi pueblo y acompañado de las esperanzas mas lisonjeras, de que añada El orador leyó un discurso del Sr. Arrazola en la discu­ y en su amor á la Coustitucion para la conservación de las le­ lauros mas gloriosos á los brillantes de Lucena y Tales. sión a que hace referencia, y dice que asi corno dicho señor tra­ yes y del orden, que son tan necesarios para la protección de to de probar que en aquellas e…</t>
  </si>
  <si>
    <t>e, Arteta</t>
  </si>
  <si>
    <t>Arteta e</t>
  </si>
  <si>
    <t>…ivoca— elección directa , no sabia si en estas circunstancias seria tan cho que adopta la contestación al discurso de la corona. Véase cion; pues lo que se manifiesta es un testimonio en favor del conveniente como lo creia el Sr. Arteta en cuanto'' t terpúéCío! pues, si esta cuestión estaba destinada á ser ventilada por todas país, y para probarlo, la prensa que se apodera de estas cues­ pequeños. partes. Pero por poderosas que estas razones sean, hay otras su­ ¿ tiones, y la nación, darán su dictámen. Manifestó después que…</t>
  </si>
  <si>
    <t>e, Arteta. Que</t>
  </si>
  <si>
    <t>Arteta. Que e</t>
  </si>
  <si>
    <t>…ienen he­ R íos, Cantero, O lózoga, P u ígm oltó, L a n d ero, Romero , A l­ chas anticipaciones, que por ios medios que había manifestado c o a , Fernandez A le jo , Cano M a n u el, Guillen y G ra s, Polo y lo entendía el Sr. Arteta. Que en cuanto á la pregunta hecha M o n g e , Ferraz, A liag a, Vallera, C arbonell, marques de Som e- por el Sr, Rurríel acerca de la venta de los atelajes del ejército ru elos, Sr. Presidente. C O R R E S P O N D E N C IA DE LA GACETA. de reserva , y que seria mejor conservarlos para las…</t>
  </si>
  <si>
    <t>e, Aspiroz</t>
  </si>
  <si>
    <t>Aspiroz e</t>
  </si>
  <si>
    <t>…e Gonzaivo, llave de la posi­ bizarras tropas que á su mando han coadyuvado á este Venta­ ción donde tenían el grueso de sus fuerzas y la artillería. joso fin. Para apoderarme de aquel punto dispuse que la división del general Aspiroz en masa la atacase de frente , y por la dere­ El mismo general en gefe en comunicación del siguiente cha la del brigadier Hoyos en dos columnas, amenazando su dia 18 desde Castellón dice, que antes de amanecer las tropas flanco derecho y retirada. Los enemigos opusieron realmente se pusier…</t>
  </si>
  <si>
    <t>e, Astorga</t>
  </si>
  <si>
    <t>Astorga e</t>
  </si>
  <si>
    <t>…e Carretas, se vendían todas las obras de los limos, seño­ En la Gaceta del domingo 7 , página 1.a, columna 2.a , en el nombre de uno de aquellos hombres ó mugeres ilustres en la res arzobispo de Palmira D. Félix Amat y obispo de Astorga el estado de los alumnos nombrados y presentados en la escuela historia por su valor ó virtudes cívicas, exponiendo asi á la D. Félix Torres de A m at, se venderán estas en adelante en las normal de maestros, la provincia de L érida, en lugar de i consideración pública, por una ligera reseña…</t>
  </si>
  <si>
    <t>e, Audres</t>
  </si>
  <si>
    <t>Audres e</t>
  </si>
  <si>
    <t>…ritura de capital de 15$ rs. vu. de los cuál de la imaginación. ciuco gremios mayores de esta corte, señalada con el número Una vez establecido que la imaginación no es un gra­ 14,194; parte de otra de 55,500 que perteneció á D. Audres en el que el Sr. Lombía desempeñará el papel de D. Simplicio. do de la percepción ni de la memoria, no resta mas que Sánchez , difunto, señalada esta con el número 13,940, firma­ da en 2 de Marzo de 18i6 por los Sres. directores de dichos (i) Anat., t. l.°p . 25. cinco gremios, para que de…</t>
  </si>
  <si>
    <t>e, Augustowo</t>
  </si>
  <si>
    <t>Augustowo e</t>
  </si>
  <si>
    <t>…a mani­ privándole de sus rentas. A esto se reducen hasta ahora las me­ leyes pendientes en el caso en que se hubiese apelado á la diso­ festación de los sentimientos de este ayuntamiento. Dios guar­ did as de rigor. El obispo de Augustowo está libre, y encuentra lución. de la vida de V. M. dilatados años para bien de los españo- en los dones de sus fieles una indemnización suficiente de las El Sr. GOMEZ BECERRA contestó que el Sr. marques de les.rzSeñora.izA L. R. P. de Y. M.zrEl alcalde primero, Jo ­ pérdidas que ha exper…</t>
  </si>
  <si>
    <t>e, Ayerve</t>
  </si>
  <si>
    <t>Ayerve e</t>
  </si>
  <si>
    <t>…o teatro. Asi juzga la m ayor parte de los un real como consta de la lista que se copia Tenemos noticias fidedignas de que en la acción dada por hom bres, por una frase. P e rq semejantes hurtos no nos á continuación. el general Ayerve en las inmediaciones de Segura quedó des­ Ps, Rs. a d m ira n , cuando somos testigos de los que ahora se ha­ trozado completamente el batallón de guias, que fue el que opu­ so mas resistencia, y en quien mas confiaba el rebelde Cabrera. cen en E spaña, de autores franceses biejn conocidos e…</t>
  </si>
  <si>
    <t>e, Azpiroz</t>
  </si>
  <si>
    <t>Azpiroz e</t>
  </si>
  <si>
    <t>…gué de importancia poner to y fijó mi resolución para el ataque. Con este objeto acompaño á V . E. el modelo de una cruz un término á ella para evitar los graves males que su prolon­ Amaneció el dia 14 y la división del general Azpiroz em­ que por el sitio de Tales considero seria m u y oportuno que se gación iba á producir, aprovechando asi la ocasión de llamar prendió la marcha para envolver por la izquierda las posicio­ concediese á las tropas que han concurrido á é l , si asi fuera á Cabrera á una batalla si quería…</t>
  </si>
  <si>
    <t>…con la índole naturalmente nuestros m ilitare s, se limitará su impresión á un determinado dulce y pacífica de los laboriosos habitantes de esta hermosa y reducido número de ejemplares: queriendo por' las razones re­ El general Azpiroz entró ayer en Chelva sin novedad. provincia , á c u y a felicidad consagro desde hoy todos mis a f a ­ feridas generalizar esta v en taja, se ha creído conveniente a n u n ­ En Domeño existían algunas fuerzas rebeldes, pero no se nosos desvelos. ciar su impresión para extendería aproximativ…</t>
  </si>
  <si>
    <t>e, Baeza</t>
  </si>
  <si>
    <t>Baeza e</t>
  </si>
  <si>
    <t>…stro, dió á uo fiscal de a l l i , llamado D. J u a n Pasador. Por un Rea[ municación del comandante general de! cuerpo de operaciones Vázquez M u s g o s o , duque de V eraguas, Córdoba (D. M ), H al­ decreto fue repuesto el Sr. Baeza en su plaza de Valladolid an­ de la izquierda , quien participa desde V illarc ayo , que .habien­ cón Caballero , Lujan ,C e z a r , Cornejo, Vi adera, Ola v arríela, tes que fuera el. Sr. López VUzque?; Este señor dijo que deseaba do salido de Soncillo la noche del 9 una partida del provincia…</t>
  </si>
  <si>
    <t>…ro establecían cuatro años Armendariz.=Pidal. que S. M. se 'ha dignado dar á la permuta solicitada por el de magistrado, para ascender á magistrado de la audiencia do Se leyó en seguida y puso á discusión la siguiente parte Sr. Baeza es una gracia , y si pues uua gracia sujeta á reelec­ Madrid. El Sr. Seijas tenia ese tiempo, y sin embargo fue su­ del dictamen de la comisión de Casos de reelección: jeto reelección. De consiguiente vea el Sr. Sancho como la ción, según estos señores , la autorización de la permuta le Al…</t>
  </si>
  <si>
    <t>…ri., la Mili­ El Sr." Ministro de HACIENDA: Señores, el hecho sobre aranceles; y á pesar de las mas expresivas y convid ce.rites razo­ cia nacional y todos los ciudadanos que se han hallado en su que versa k interpelación del Sr. Baeza es positivo. En 6 de nes que se'dieron por el que asistió á la conferencia en nom­ defensa en los siete sitios que ha su fridlo , ó en el ultimo de es­ Diciembre diurno se expidió una Real orden mandando que los bre del Gobierno:, la comisión pensó siempre en que el Gobier­ tos ocurrido en 25…</t>
  </si>
  <si>
    <t>e, Bailen</t>
  </si>
  <si>
    <t>Bailen e</t>
  </si>
  <si>
    <t>* la» ueceaidades de los pueblos que ya reclam an un reme* madura, se halló al lado del duque de Bailen en la famo­ los 66 años y nueve meses escasos de edad en medio del dio ain dilación. sa batalla de la Al huera, en el segundo sitio de Badajoz, mas profundo dolor y amargo llanto de su idolatrada fa­ El Gobierno pues deberá consagrarse sin descanso á ataque de Niebla, y sorpresa de Arroyo Mo…</t>
  </si>
  <si>
    <t>e, Bajá</t>
  </si>
  <si>
    <t>Bajá e</t>
  </si>
  <si>
    <t>…a cia de la ley de 4 de Abril de 1 8 5 7 , debe ser aprobado y es y Diepholtz se reunieron el 26. Doce electores de 14 que eran, urgente que lo sea por las funestas trascendencias que produciría fácilmente de su ánimo. El capitán Bajá es el que actualmente dirige y h alaga sus pasiones belicosas. (Gazette d ’Augsbourg.) han rehusado procederá la elección, atendiendo á que su d i­ su anulación, y por exigirlo también la g ratitu d debida á la p u ta d o , M r. Stub b e, no habia dado su d im isió n , aunque el nación inglesa…</t>
  </si>
  <si>
    <t>e, Banco</t>
  </si>
  <si>
    <t>Banco e</t>
  </si>
  <si>
    <t>…5 papel. G r a n a d a , t\ id. obrarán en poder del tesorero y contador de la caja , y del co­ la tit u la d a j u n ta ca rl ista de esta p r o v i n c i a , ha sido conducido M á l a g a , 1 id. m isario regio ó presidente del Banco español. Y las del arca o á esta capital de órdea del com andante general. Supónese que S a n t a n d e r , 1 £ id. arcas de efectos públicos destinados á la em isión ó á la a m o r t i ­ viene co mo en rehenes de D . F e rn a n d o Sisnieg a , preso por los A l i c a n t e , par papel. S a n…</t>
  </si>
  <si>
    <t>e, Bandiera</t>
  </si>
  <si>
    <t>Bandiera e</t>
  </si>
  <si>
    <t>…u a r t o s . PARTE OFICIAL. triunfo contra los fieros y encarnizados enemigos que hace seis años nos devoran. El Dios tres veces Santo conserve la preciosa é interesante La división austríaca mandada por el contra-almirante Bandiera estaba tocia reunida en Sm irna, fxcepto una corbeta que se halla en Siria. Dicha división se compone de la fragata vida de V. M. para b en de la nación española. Sala capitular Medea, de la Guerrera , de una corbeta, de dos bergantines, S. M . la R e i n a , s u augusta Madre la R e i n…</t>
  </si>
  <si>
    <t>e, Barcelona</t>
  </si>
  <si>
    <t>Barcelona e</t>
  </si>
  <si>
    <t>…illa de Ager Pasiva, 4 f. por efecto del estado de defensa en que la habían puesto los EL ASTROLOGO DE VALLA D O LID . enemigos, y fuerzas que estos tenían en ella aglomeradas para sostenerla á todo trance, salió dicho general de Barcelona el 4 La empresa se apresura á reproducir este espectáculo que se para ponerse al frente del ejército, y dirigir por sí mismo las BOLSA D E M ADRID. suspendió el dia 4 del corriente por indisposición del actor operaciones del sitio, y toma de aquel punto. Llegó á Cervera D. José García Luna…</t>
  </si>
  <si>
    <t>…nientes i su cum plim iento. = Esta rubricado de la diente instruido á instancia de la junta de comercio de Francia, que tanto le distingue; pero solo ha sido explícito Real m ana=:E n Palacio a 1G de Agosto de 1 8 3 9 .:= A Don Barcelona en solicitud de que lo dispuesto en Real orden sobre los obstáculos de la cuestión; no se ha atrevido, o pór mejor decir, no ha querido indicar los medios que le parecie­ Evaristo Perez de Castro, Presidente del Consejo de Mi­ de 7 de Abril de 1827 , que establece el adeudo de l por ren…</t>
  </si>
  <si>
    <t>e, BARRIO AYUSO</t>
  </si>
  <si>
    <t>BARRIO AYUSO e</t>
  </si>
  <si>
    <t>…mos que todos los amantes de la literatura y de las glo­ nioguna elección se haca por aclamación. las bandas de música y tambores de la Milicia nacional desde rias nacionales agradecerán nuestros desvelos para popularizar El Sr. BARRIO AYUSO expuso que por su parte se reti­ la puerta del Sol hasta la plaza de la Constitución, Real P a ­ en raría del Congreso con gusto el tiempo que pudiese tardar en lacio y al de las Cortes; nombrando una comisión para que queEspaña unos escritos que vivirán tanto como la lengua en se comp…</t>
  </si>
  <si>
    <t>e, Bartolomé Arnor</t>
  </si>
  <si>
    <t>Bartolomé Arnor e</t>
  </si>
  <si>
    <t>…. nito Eraso, muerto de enferm edad: D. Gmóstomo Bidaondo, ; oficiales y tropas llenaron sus deberes de una manera que les vocal de la ju n ta , en desgracia : D. Beuito del R i o , id. id. r Don honra. El mariscal de campo D. Bartolomé Arnor estuvo cons­ El archiduque palatino ha llegado aq u í para solicitar una J o a q u ia M a rc h a la r , id. id : general S ig a s lib e lz a , muerto ei* tantemente á mi lado, y me dio á conocer sus buenos deseos y medida de gobierno contra el barón de P r o n a y , Diputado en la l…</t>
  </si>
  <si>
    <t>e, Bartolomé Teieda Para</t>
  </si>
  <si>
    <t>Bartolomé Teieda Para e</t>
  </si>
  <si>
    <t>…que la facción habia levantado el sitio , y se ha retirado y 15 de la manzana 154, que tienen de sitio la primera I 6 í 9 | operaciones y á presencia del público. con direcccion á Alcora. pies, * está tasada por el arquitecto D. Bartolomé Teieda Para el debido conocimiento del mismo se manifiesta que Diez fif ia cantidad de 192,748 rs. v n ., y la segunda com­ el total de la deuda diferida ascendió en el año pasado, antes Logroño 19 de Abril . Antes de ayer pasó por la parte de prende el todo de dicha casa 6190 pies, tasa…</t>
  </si>
  <si>
    <t>e, Bartolomé Tejada Diez</t>
  </si>
  <si>
    <t>Bartolomé Tejada Diez e</t>
  </si>
  <si>
    <t>…por D. Domingo M a rtin que a r ­ antiguo y 5 nuevo de la manzana 5 0 2 , la cual tiene de sitio rebataron á los concurrentes. B O LSA DE M A D R ID . 5;35o pies cuadradó ssup erficiales, y ésta taáadá poV él ar q u i­ tecto D. Bartolomé Tejada Diez en la cantidad dé 5 2 0 ,7 9 5 rs. Cotización del dia 2 6 las tres de la tarde vellón; advirtiéndose qué para su remate se ha señalado el dia 7 de Diciembre próximo á las 12 de su mañana en la posada P o n tev ed r a 20 d e N oviem bre. EFECTOS PÚBLICOS. del Sr. auditor de g…</t>
  </si>
  <si>
    <t>e, Basiii. Llámase</t>
  </si>
  <si>
    <t>Basiii. Llámase e</t>
  </si>
  <si>
    <t>sido examinado bajo todos les puntos de vista, y ha merecido 3 mítesenos la frase) como compositor el Sr. Basiii. Llámase el ! que el pórtico, pues que e! podio no llega sino hasta la Ja aprobación y los aplausos da los hombres ©os euiiacníes; y 1 Cerrozzino da V en d ere ; y el público la recibió con muestras m old a ra bajo el cuello de las columnas jó n ic as, por lo q Ue nos limitaremos por ello á i…</t>
  </si>
  <si>
    <t>e, Basilio</t>
  </si>
  <si>
    <t>Basilio e</t>
  </si>
  <si>
    <t>…g­ de una herida recibida en el sitio de Bilbao; general I t u n a ld e , nación y el sufrim iento , sino el entusiasmo del soldado no se C onstantinopla 2 d e J u lio . hecho pri ionero en la r ib e r a , murió detpue»? general Basilio entibió un iustante. Sus compañeros estaban en peligro, y era Garrí t, desterrado por ó den de Maroto (aunque natural de L o ­ necesario salvarlos y castigar la jactancia de un enemigo o rg u­ Las cartas de esta ciudad dan los detalles de las ceremonias groño siempre se ha considerado este…</t>
  </si>
  <si>
    <t>e, Baudin</t>
  </si>
  <si>
    <t>Baudin e</t>
  </si>
  <si>
    <t>…s francesas.” Cla­ los esfuerzos del Gobierno en favor de la paz y del crédito estimaría esta prueba de sinceriaad, y veria con mas favorable ros son los motivos en que se apoyó tan honrosa como inevi­ nacional. Reproduje al Sr. Baudin en mi primera conferencia disposición mi resistencia para no ceder nada en el punto im ­ table resolución, y están ademas bien explicados en la respuesta los mismos sentimientos y los mismos deseos que le habia ma­ portante de deposición de funcionarios. Toda la extensión y to­ ue dió enton…</t>
  </si>
  <si>
    <t>e, Beaavid</t>
  </si>
  <si>
    <t>Beaavid e</t>
  </si>
  <si>
    <t>…ora de la cuestión que se d isc u te , estoy c o n ­ ba inco nveniente a lg u n o en que fuese ad m it id o por no re su l­ terra , ni por los Cuerpos legislativos de n in g u n a especie, no forme con lo m anifestado por el Sr. Beaavid es en la p rim era t a r nada contra él. siendo com patible con la ley. ¿ Y q u é previeue la ley en este parte del d ictám en de la comisión. N o quiero molestar ñor lo. 2 .° Respecto á las actas de L u g o , en que era de o p in ió n la c a so ? Previen e que por cada uno que falte p a r…</t>
  </si>
  <si>
    <t>e, Beatriz de Calderón</t>
  </si>
  <si>
    <t>Beatriz de Calderón e</t>
  </si>
  <si>
    <t>…unda parte del A n illo de G iges, pone felicidad. En La ilustre Fregona introduce una dama pe­ D . F R A N C I S C O M A R T I N E Z D E L A R O S A . en boca del coro estos versos: dante y culta, imitada visiblemente de la Doña Beatriz de Calderón en No hay burlas con el amor. También es pe­ Véndese á 6 rs. en la librería de Sojo, calle de Carretas, Pidiendo con voce 9 dante, y ademas poeta , el D. Periquito de A lia va ese d is­ donde se hallan las siguientes obras del mismo autor: de liras y trompas, parate. El tio de…</t>
  </si>
  <si>
    <t>e, Becerra</t>
  </si>
  <si>
    <t>Becerra e</t>
  </si>
  <si>
    <t>…ministerio, en que las circunstancias no son las mas á propósito para que el le notificaria para que nombrase otro. Gobierno y los cuerpos colegisladores puedan plantear esos esta­ Después de unas ligeras observaciones del Sr. Becerra en reemplazo de D. Ramón María Calatrava, que ha sido nombrado ble ¡mieutos de beneficencia , de los cuales deben esperarse in­ apoyo del artículo, se leyó este nuevamente suprimiéndose las individuo de la comisión regia que ha de pasar á ultramar.. mensas ventajas para la sociedad. palabras…</t>
  </si>
  <si>
    <t>…probarle, y levantó la sesión á las cuatro. resoluciones de suspensión. Palacio del Congreso I 4 de Enero El Sr. Ministro de G R A C IA Y JU ST IC IA : Señores, lia de 1859.— José Perez de Rivas. dificultad promovida por el Sr. Becerra es en verdad especiosa Puesto á discusión el voto particular , dijo y á primera vista parece nacida del art. 9 de la Constitución; El Sr. P ID A L , que la comisión , teniendo presentes los y si en efecto se rozara con él, si fuera anticonstitucional el C O N G RESO D E D IP U T A D O S .…</t>
  </si>
  <si>
    <t>e, Belascoain. En</t>
  </si>
  <si>
    <t>Belascoain. En e</t>
  </si>
  <si>
    <t>…que tant» Tenemos aqui dos baterías de artillería rodada , que mandó bre una plancha de estaño que en su lugar se describirá. pueden convenir para los artistas como para buscar los datos di antes de ayer á esta plaza el conde de Belascoain. En el mismo O tra co m pleta, del mismo b arro , con dos m echeros, nota­ la historia desconocida de Itálica , que nos impelen raayormen&lt; día tuvo en Calanda una entrevista con el duque de la V ictoria, ble por esta circun stancia, y no ser de tamaño mayor. te á desenterrar esta populosa…</t>
  </si>
  <si>
    <t>e, Benavides</t>
  </si>
  <si>
    <t>Benavides e</t>
  </si>
  <si>
    <t>…de sus cosechas, y ellas sin El Sr. Secretario C ABA LL ER O : La mesa está tan de acuer­ los bienes de las monjas, y con mucha posterioridad, estaban poder sostener sino de limosna la lámpara que debe siempre ar­ do ccn el Sr. Benavides en que no se debe entrar en la discu­ administrados por los encargados de su venta: estos recaudaban der ante el ara sagrada.” N o se crea que voy 4 hacer uso de sión de este proyecto , que antes que S. S. propuso esto mis­ todos los productos de los bienes, y las monjas, lo mismo que est…</t>
  </si>
  <si>
    <t>…creia conveniente , y que mezcló S. S. la política con esta cuestión. N ada tiene que ver servicio. el Congreso debería aprobarla, cuanto que el Gobierno habia con ella; demasiado envenena todas las demas para que en una El Sr. Benavides en su declamación nos ha presentado á la adoptado el proyecto de la comisión, y que cuando se habia que es altamente económica, y que se presenta con un carácter Milicia nacional: que cómo no la comprendemos, que tiene comprometido á hacerlo, habría ya visto que no tenia cosa que de conv…</t>
  </si>
  <si>
    <t>…ras: D. Pedro Pascual Vela: Don Igualmente lo fue el siguiente respectivo á la cuarta, que Que en cuanto á coacción, estaba probada con eí hecho que uan Escribano: D . Joaquín Rubio: D. José María Ruiz de dice asi confesó el Sr. Benavides en el dia eo que se trató de e^e nego­ *U á L rcz: D. Agustín de la Lama. (E l Tiempo.) 4*a v Los proyectos de ley que traen su origen del Gobier­ cio , de haber entrado fuerza arcada eu el distrito de Palmad y</t>
  </si>
  <si>
    <t>e, Benavides. El</t>
  </si>
  <si>
    <t>Benavides. El e</t>
  </si>
  <si>
    <t>…ue dije contestando al Sr. Sancho, que como pro­ sentarse en la mesase porqueel Gobierno adhería a la adición, y que dejo de pre­ que hable sin este calor? yecto, no podía retirarse este, porque no pertenecía ya ha­ tica del Sr. Benavides. El entonces Sr. se dio cuenta de una idén­ conde se ha evadido , entrán­ Tres dias hace que mis íntimos amigos de diputación no cerlo á los siete señores firmantes, sino al Congreso; pero nos ocupamos de otra cosa que de buscar medios á fin de con­ que era una enmienda, y el Sr. Sanch…</t>
  </si>
  <si>
    <t>e, Benito Poblador. En</t>
  </si>
  <si>
    <t>Benito Poblador. En e</t>
  </si>
  <si>
    <t>…cente Tosca. boinas, contándose entre los expresados muertos el teniente del P ort uga l con el cap itá n general de Anda luc ía . 9.° D. H u g o de Moneada, el cardenal Silíceo, Bartolomé de titulado 5.° batallón de A ra g ó n D Benito Poblador. En el i n s i ­ F ad o de la causa instruida contra los Sres. O t a ! , G r i s u s a - Carranza , D. A n t o n io Cova rru bi as y Leiva , A n t o n i o Peres, n ua do pueblo se encontró otro faccioso, que también fue m u er ­ rect, conde del P r a d o , conde N e g r i , Maroto' &amp;…</t>
  </si>
  <si>
    <t>e, Berenguel</t>
  </si>
  <si>
    <t>Berenguel e</t>
  </si>
  <si>
    <t>…ó en 992. Felipe antes de partir para su embajada de Londres, y presen­ sáhias, y archivero mayor en el Real y general de la co­ tarse por consecuencia en la corte en traje de cortesano. Un cria­ 14. La vindicación del conde D. Berenguel el Curvo do se ocupaba en empolvar cuidadosamente ios espesos bucies rona de Aragón, ha tenido gusto, instrucción y medios contra los historiadores que le han calumniado de inmo­ de su largo cabello gris ; otro de rodillas delante de él le ataba para consultar el gran número de documento…</t>
  </si>
  <si>
    <t>e, Bermudo</t>
  </si>
  <si>
    <t>Bermudo e</t>
  </si>
  <si>
    <t>…ma­ Pues bien, oid : á quien llamé mi hermano quietud de su alma, mil veces mas atormentadora que el mal yor fuerza en favor de Doña Juana por boca de D . Pedro. Concita al noble á revoltoso empeño, real que te m e, exige de D. Bermudo el nombre de aquella. Don ¡Por piedad no la nombréis, Y este ¿sabéis quién es? es D. E n riq u e, Bermudo pronuncia ctDoña Leonor de Guzmau” , y D. E n ri­ Que el corazón me partís! Vuestro hijo , señora, D. Enrique. que cae en el mas profundo abatimiento , y exclama : tc¡ Mi m a­ ¡D oñ a…</t>
  </si>
  <si>
    <t>e, Bernard</t>
  </si>
  <si>
    <t>Bernard e</t>
  </si>
  <si>
    <t>…cia lo siguiente: se encuentra en Cantcrets; Madama Duchatel en B a g n e r e s ;M r El almirante Lalande volvió á bordo y dio orden inmedia­ He dado cuenta á la Reina Gobernadora de la exposi­ Jacquemmot ea Boa a ; y el general Bernard en Balaroe. tamente al buque de vapor le Papin de que partiese para lle­ ción en que la diputación provincial de la Coruña con­ var despachos al embajador. El almirante Roussin quedó m u y sulta si para los electos del párrafo 14 del art. 63 de la sorprendido al saber la salida de la escuadr…</t>
  </si>
  <si>
    <t>e, Bernardo</t>
  </si>
  <si>
    <t>Bernardo e</t>
  </si>
  <si>
    <t>…tulada, ciencia de la legislación, con notas de los auto­ Hoy se presentaron eo esta plaza con sus armas y caballos, villa de Galvez, á fin de que en el término de nueve dias si­ res mas clásicos, redactado en el año 1854 por D. Bernardo el oficial D. Manuel Vázquez Varela, D. Pelayo López R ao- guientes al de la fijación comparezcan en este juzgado por sí ó Latorre, magistrado honorario y juez de primera instancia de caño, D, José Teijeiro y dos individuos de tropa, uno coa ca­ por medio de procurador con poder bastante á…</t>
  </si>
  <si>
    <t>e, Bieton</t>
  </si>
  <si>
    <t>Bieton e</t>
  </si>
  <si>
    <t>…rio Esgueva, y parece lo efectuaron Todos aquellos vicios, todos aquellos ridículos que agrupa segundo acto nos recordó, sin desventaja ninguna para ella , la entre Torresendino y Villorela, dirigiéndose el inmediato dia el Sr. Bieton en su comedia uo reciben escarmiento ni son se­ de la Colon Leplus, que desempeña el papel de Almerinda en á Oquillas. riamente escarnecidos. Dibujados todos con medias tintas, ni Paris. La Sra. Llórente se ha mostrado como siempre actriz ex- El citado dia 8 salió la guarnición de Reinosa pa…</t>
  </si>
  <si>
    <t>e, Blanca. Si</t>
  </si>
  <si>
    <t>Blanca. Si e</t>
  </si>
  <si>
    <t>servil adulación de Samuel Leví que los siguientes versos. H a ­ Vuestro pecho ablandaré crueldad y de la violencia debe ser inmolado por la noble es­ bla de los hidalgos amigos de Doña Blanca. Si es pecho de caballero.... pada del conde de Trastamara. Es verdad, son desleales; i ¿ N o se acuerda vuestra Alteza Excitado vivamente el interés del espectador en el primer Pero D. Ñ uño de Lara , De la edad de tierno niño? acto hácia D. Enrique y Doña J u a n a , siente satisfecho dul…</t>
  </si>
  <si>
    <t>e, Bofarull</t>
  </si>
  <si>
    <t>Bofarull e</t>
  </si>
  <si>
    <t>…es recibidos en la capitanía general.) Carlos, Rey de los franceses, que les dió todos los fiscos Si quid novisli. reclius istís El comandante de la primera división del ejército del Cen­ yporyermos de la tierra de ellos. El Sr. Bofarull entiende fiscos la soberanía \ pero hallándose esta palabra con­ Candidus im pertí : si non, his utere mecum. tro participa con fecha de 2 del actual desde Castellón haber trapuesta á yerm os, parece que solo debe significar las introducido en Lucena el dia anterior un convoy de víveres ,…</t>
  </si>
  <si>
    <t>e, Boix</t>
  </si>
  <si>
    <t>Boix e</t>
  </si>
  <si>
    <t>…pañada de una imaginación correspondiente darle toda la perfección que fuera de desear. que se sucedan, para formar la mas deliciosa melodía, que le haga preconcebir ei signo, ó por lo menos perfec­ El papel que ha usado el Sr. Boix en su obra, es bástente pues en su imaginación una nota llama á o tra, no en el cionarle cuando la naturaleza exterior no se le presente regular; la impresión es buena y elegante, asi como las tapas, órden de la m em oria, es decir , en el orden de las per- en toda su pureza ó en toda su energ…</t>
  </si>
  <si>
    <t>e, Bomey</t>
  </si>
  <si>
    <t>Bomey e</t>
  </si>
  <si>
    <t>…occidentaloe grado mas alto en un extrangero que se propone escribir Ademas de estas pruebas irrecusables, se conservan aun de la América del Norte, y se sabe que en aquel paraje la historia de nuestra nación. ¿Si creerá el Sr. Bomey en­ fragmentos de libros escritos por los antiguos aztecas (m e­ están muy próximos los continentes, y que todos los años salzar ebmérito de su historia, deprimiendo el de nuestro jicanos) que prueban que sus anales remontaban de una se abre una comunicación cuando el invierno une las dos hi…</t>
  </si>
  <si>
    <t>e, Borjas</t>
  </si>
  <si>
    <t>Borjas e</t>
  </si>
  <si>
    <t>…omar par­ cantidad de agua que dichas fuentes producen. te en ellos sea uno de los castigos mas severos que se puedan MADRID 11 DE JULIO. Considerado de este modo el fenómeno de las fuentes ascen­ imponer. dentes , pasa el Sr. Borjas en orden histórico á referir los di­ En la segunda , que trata de la e lucacion m oral , hace ver ferentes procedimieutos empleados para lograr el objeto, y de­ que en ella se abren los cimientos de la verdadera felicidad , y teniéndose en ellos y en los diversos resultados que han produ­ q…</t>
  </si>
  <si>
    <t>e, BORREGO</t>
  </si>
  <si>
    <t>BORREGO e</t>
  </si>
  <si>
    <t>…staba esto para bierno? S í , pero con sujeción á las leyes; y cuando las in frin ­ el Congreso. que el Sr. M inistro de la Gobernación no creyese que la caja gen puede el Gobierno ejercer esa dependencia: de esta m ane­ El Sr. BORREGO empezó m anifestando que habiéndose de Amortización era la sola base del crédito. No, señores, es un ra quiere el Gobierno que ejerza la caja sus funciones. Asi ha presentado este proyecto como una medida im portante de cré­ error. Antes de que la Inglaterra conociese las cajas de A m orti­…</t>
  </si>
  <si>
    <t>e, Bretón</t>
  </si>
  <si>
    <t>Bretón e</t>
  </si>
  <si>
    <t>…isposiciones contenidas en las del año ante­ canzamos. de introducirla; pero la zarzuela de que tratamos no perte­ rior. Las tres columnas nuestras se hallan á tan corta distan­ Decir que la versificación de las comedias del Sr. Bretón es nece tanto al género de los Vaudevilles como al de las Ope­ cia r que no extrañada que de un momento á otro se recibiera suelta, fá cil, correcta, es ya cosa tan usada , tan repetida que ras cómicas que se componen de igual porción de canto que una noticia satisfactoria. lia venido á ser…</t>
  </si>
  <si>
    <t>e, Buil. Con</t>
  </si>
  <si>
    <t>Buil. Con e</t>
  </si>
  <si>
    <t>…de 1 0 ,0 2 9 f r . , 78 c . : el bene­ dos sugetos que todo lo han declarado. (Id.) ficio ó producto del interés seria el de 567 9 f r ., 78 c. E sta columna ha sido reforzada con seis compañías al m an­ do del valiente coronel Buil. Con esto y a podrá el bravo señor gefe H idalgo hacer algunas operaciones que hasta de aqui no L a sociedad de ciencias m orales, de letras y de artes del Seine-et-O ise , noticiosa que uno de sus individuos trata de ha podido por la escasez de sus fuerzas. L a canalla y a no las MADRID 24…</t>
  </si>
  <si>
    <t>e, Burdeos</t>
  </si>
  <si>
    <t>Burdeos e</t>
  </si>
  <si>
    <t>…las proposiciones de la baile la llegada del j o v e n Príncipe , cuyo primer pasage por F r a n c ia , porque está bien convencido de que nunca conseguirá Constantinopla fue marcado por un acto notable de filantropía El duque de Burdeos examina todas las curiosidades de R o ­ lo que ella juzgue que no se le debe conceder, y toda la a d m i­ y de valor que ha dejado en el país gratos recuerdos. ma, y se instruye con cuidado de todo cuanto tiene relación con ración qué el virey muestra á Mr. de Cochelet no es mas que las cir…</t>
  </si>
  <si>
    <t>…indispuesto unos dias con un ata­ n or edad de m i excelsa H ija la R ein a Doña Isabel n , ven - ¡ que de fiebre, que al fin ha desaparecido. go en n o m brar Secretario de Estado y d el D espacho de I La presencia del duque de Burdeos en esta sirve de texto M arin a, Com ercio y G obernación de U ltram ar a D. Ma- i para la conversación del día por haber venido sin pasaportes y n u el Morites de Oca , gefe de sección cesante d el m ism o GRAN BRETAÑA. en momentos poco oportunos. Suponen algunos que el Psp*, m in isterio ;…</t>
  </si>
  <si>
    <t>…añoles en él reinado de la inocen­ comer al convento de los Camaldoli . n an dez—Pedro Picazo.=Pedro Leucina.=Por la ciudad de C h in ­ te Isabel, dirigidos por V . M. y la Constitución de 1857 , de Como se conceptúa al duque de Burdeos envuelto en el roas chilla.=José Ramón Cambronero, secretario interino. esta baudera de paz y conciliación, adonde coofiuyeu sus de­ rigoroso incógnito, no se le convidó oficialmente para asistir á beres y obligaciones , sus fueros y garan tías? la ceremonia de todos los Santos; pero la Re…</t>
  </si>
  <si>
    <t>…que ia corte de lla exige. Queremos atribuir solo á esto el que haya dejado des­ Austria estaba ya roas tranquila sobre el objeto de ta perma­ lizarse ea su periódico un artículo que 00 tiene calificación li­ nencia del duque de Burdeos en Roma , y que por consiguien­ teraria, y cuya aparición no podia explicarse al principio sino La Presse , con motivo del informe de Mr. de Meriihou te nada debia oponerse á que 8. 3. le diese audiencia. como una tentativa de expropiación forzada. acerca de la segunda categoría délos acusad…</t>
  </si>
  <si>
    <t>…a se ha s e rv id o m a n d a rr asegura que el G obierno francés ha recibido la seguridad de ideas, aunque reconozca su injusticia. que V. S. dispon ga se inserte en el B oletín oficia l d e esaL que la permanencia del duque de Burdeos en aquella ciudad no Lord Durham goza aqui de una reputación que causa al­ p rovin cia el p rosp ecto d e la c o le c c ió n d e viajes y n o t i­* se prolongará mas. Ademas no se atribuye ningún objeto p o- gunas inquietudes por sus relaciones con sus futuros colegas cias sobre los e sta…</t>
  </si>
  <si>
    <t>…cantidad a l­ gioso, apoderándose de la idea de la paz, consecuencia del su­ guna sin mi expreso m andato, y pasarán al estado mayor g e­ ceso que sirve de materia al discurso. Su división es natural: La presencia del duque de Burdeos en R om a, y la acogida neral de estos ejércitos cada ocho dias un estado circunstanciado los bienes de la paz y de la caridad forman un contraste de que continúa mereciendo, llama vivamente la atención de nues­ de los fondos que obren en su poder , designando la clase de que debia aprovec…</t>
  </si>
  <si>
    <t>e, Burriel</t>
  </si>
  <si>
    <t>Burriel e</t>
  </si>
  <si>
    <t>…s, no queramos culo de la Constitución á la letra, y si todo el que recibe algo magistrado de la Coruña habia bajado á 24§ &gt; por cuya ra­ llevar las cosas á ese punto. Aqui no hay comisión con suel­ de* Gobierno, en boca del Sr. Burriel está sujeto á reelección, do; aqui nofyay honores, ¿por qué ha de haber reelección? si toda gracia debe corromper y coartar la independencia de los zón El y otras que expuso opinaba debia desaprobarse el dictámen. Se dirá acaso que le tiene cuenta al Sr. Baeza haber hecho la Diputados, es…</t>
  </si>
  <si>
    <t>e, Bárbara Lamadiid</t>
  </si>
  <si>
    <t>Bárbara Lamadiid e</t>
  </si>
  <si>
    <t>…r, quien ha hecho ver en trato del Sr. García Luna según sale en el A rte de Conspi- aquella franqueza y buen gusto que se admira en todas sus esta y otras obras que sabe con su diestro buril trasladar al c o ­ rPr 9 y el de Doña Bárbara Lamadiid en los Amantes de elobras. Géfalo disfrazado fue á visitar á su rnuger Procris con bre la-ternura de M urillo, igualmente que la valentía y fran­ Teruel. objeto de probar su fidelidad : ella desconociendo á Céfalo, queza de Velazquez. Tiene 15 p. y 9 1. de alto , y 10 p. y 6 I. Los…</t>
  </si>
  <si>
    <t>e, Bélgica</t>
  </si>
  <si>
    <t>Bélgica e</t>
  </si>
  <si>
    <t>…culta­ emancipación de los negros, sino á la falta de población. Deuda activa española, 2 0 |. des suscitadas por la admisión del general Shrzynecki en el ejército belga , están allanadas. Mr. O ’Sullivan de Grasse, ministro de Bélgica en Viena, Se lee en el Couricr: E l jardin de plantas acaba de enriquecerse con una tortuga y el conde Viíain xiv, agregado á la legación, han vuelto ya E! supremo tribunal de justicia de Edimburgo está enten­ monstruosa que le ha regalado M r. G anger, armador de Havre. á Viena, y es indu…</t>
  </si>
  <si>
    <t>e, Caballero</t>
  </si>
  <si>
    <t>Caballero e</t>
  </si>
  <si>
    <t>…plia la discusión y el caballo de batalla , cuando llegue, puedo tenerla. En primer lugar , publicada la Constitución d e ‘ í 8 í 2 , en digo , ese momento , el Gobierno presentará sus razones al d is ­ Reprodujo después el Sr. Caballero el argumento de la m i­ la cual se contiene un artículo igual á la de 1 8 5 7 , se dijo que curso y á la imparcialidad del Congreso. sión que sejup on e del Sr. Zea. Si en efecto hubiera habido esa los jueces de primera instancia procedieran á hacer publicar la El Sr. C A L A T R A V A (D…</t>
  </si>
  <si>
    <t>…l se­ partido será igual. No he tenido el gusto de oir el principio oí nido en su mano. Eso añadí, y eso se leerá ; y desde luego au­ ria , señores, que el Gobierno tuviese de responder á los títulos la parte del discurso del Sr. Caballero eu que se ha referido á torizo á S. S. para hacer esa manifestación del dictamen. que el Sr. Zea ú otra cualquiera persona se haya querido ab- la ley de mayorazgos; no puedo por consiguiente juzgar de la Con respecto á lo que pasó en la comisión, como no lo sé, rogar. ¿Pues qué no estamos…</t>
  </si>
  <si>
    <t>…discurso de S. M. (leyó.) Ese ejército, de cuya mi­ ner término á ios negocios. En el ..periódico, titulado La Fresse se lee lo siguiente: seria habíamos oido hablar sin interrupción por espacio de cin­ Se leyó á petición del Sr. Caballero el art. 2.° de la ley de Escriben de Belgrado que la esposa del Príncipe Milosch, co años, ha obrado ahora según hemos visto de la maoera mas presupuestos del año 5 5 . jue habia . prometido al Seaado llevarle su hijo el Príncipe brillante. ¿ Y no es esta una mejora grande, inmensa? ¿La ha…</t>
  </si>
  <si>
    <t>e, Cairon</t>
  </si>
  <si>
    <t>Cairon e</t>
  </si>
  <si>
    <t>…Sr. Florencio cal del baile. N in g ú n m inisterio ha dado en tan corto espacio de caracterizó perfectamente el atolondrado galanteador conde de tiem po disposiciones mas acertadas é im po rtam es para O rgaz; asi como el Sr. Cairon el del linchado portugués: las conseguir la term inación de la guerra. N ingún m inisterio Sras. T. L i M adrid y Llórente , y el Sr. Campos, nada deja­ se ha m anifestado hasta ah ora mas activo y mus celoso: ron que desear. Finalmente, hasta las partes secundarias contri­</t>
  </si>
  <si>
    <t>e, Calabria</t>
  </si>
  <si>
    <t>Calabria e</t>
  </si>
  <si>
    <t>…uprimidas las comunidades, se peyo y Sorrento, está la magnífica cartuja de San M artino, drid llevado á casa de los suscriptOres es el de 2 reales al mes, convierten en colegios, escuelas y manufacturas. fundada por el duque de Calabria en 1525 : con las donacio­ y 10 por un trimestre, franco de porte, en las provincias. Una de las peculiaridades mas notables de Ñapóles es la nes sucesivas de varios Soberanos y los legados de ricos vasallos, La entrega 17 correspondiente al domingo 23 de Ju lio , abundancia de materia vo…</t>
  </si>
  <si>
    <t>e, Calatrava</t>
  </si>
  <si>
    <t>Calatrava e</t>
  </si>
  <si>
    <t>…incipios tan poco fijos, no es de te­ Hecha la pregunta, asi se acordó. íin, nos parece un modelo de templanza y de cordura. mer que se arrepienta. Se pasó á la discusión de los dictámenes de la comisión de Yo no sé como el Sr. Calatrava en su buena razón y enten­ Pero ¿cual ha sido el resultado para el pais de esta in­ Peticiones. terpelación ? El resultado que producen generalm ente to­ dimiento ha asociado aqui la voz de Constantinopla y de G o­ Se lejó la correspondiente al numero 129. {Véase la Ga­ bierno absoluto.…</t>
  </si>
  <si>
    <t>e, Calatrava. Ademas</t>
  </si>
  <si>
    <t>Calatrava. Ademas e</t>
  </si>
  <si>
    <t>…l ejercicio del entrar en la cuestión de tradiciones, porque es la parte mas El Sr. Q U IJA N A : La petición que se discute es una expo­ derecho de interp elar: pero quisiéramos que la p r u d e n ­ capital del discurso del Sr. Calatrava. Ademas esa voz no está sición de la diputación provincial de Madrid, haciendo ver consignada en ningún artículo ; todo lo que se h a ja podido de­ cia de los Sres. Diputados hiciera lo que habia de hacer los males que acarrea el sistema de bagajes; males, señores, que la ley; porque esto…</t>
  </si>
  <si>
    <t>e, Calderón Collantes</t>
  </si>
  <si>
    <t>Calderón Collantes e</t>
  </si>
  <si>
    <t>…enor objeción? No somos nú­ que prefija la le y , continúa diciendo: Creo que con esto queda electorales; es la verdad ó la mentira de las elecciones. mero suficiente de D iputados, aprobándolas todas, para que contestado el Sr. Calderón Collantes en cuanto al primer extre­ Después de hacer el orador otras varias observaciones, con­ podamos constituirnos; se tendrá que nombrar primero presi­ mo; queda otro. El comisionado de Caravaca solicitó la nuli­ cluye diciendo que no debe haber diferencia respecto de las ac­ dente y…</t>
  </si>
  <si>
    <t>…alizado labra prisión , el trib u n a l, como poder independiente de ios solverse. justamente porque ha visto una cosa que no puede menos de es­ cuerpos colegisladores, como poder independiente del ejecutivo, FD empezado el Sr. Calderón Collantes extrañando que en candalizar á los que quieran la Constitución , y que las garan­ no puede cumplirlo. Obedezco respetuosamente, d iría, pero no el dictamen se hayan calificado de escandalosos esos procedi­ tías constitucionales sean respetadas; que estando comprobado cum mientos…</t>
  </si>
  <si>
    <t>e, Cambridge</t>
  </si>
  <si>
    <t>Cambridge e</t>
  </si>
  <si>
    <t>…ente apertura se hallaban en sus puestos el conde de Durham y el protestar directamente contra las agresiones crim inales de que orador una plaza eii la m agistratura. Pues ahora b ién , ¿corno ’ duque de W ellington. El duque de Cambridge entró tempra­ los canadienses, sus leales súbditos, son víctimas de los ciuda­ puede concillarse este favor con úna negativá de'confianza ? no en el salón. El conde de Lovelace y lord Vernon deben pre­ danos americanos. Con este motivo deben dirigirse reclamacio­ Lord Brougham concluye rec…</t>
  </si>
  <si>
    <t>e, Campillo</t>
  </si>
  <si>
    <t>Campillo e</t>
  </si>
  <si>
    <t>…l coronel D u rando, que con su batallón ha hecho prodi­ marcha halló en los desfiladeros de Domeño algunas fuerzas vierno que distinguen á. uuestro privilegiado cielo para pro­ gios de valor, asi como la bizarría del comandante Campillo enemigas, y fueron arrojadas de las alturas por las compañías de ceder á nuevos experimentos, y confiamos que en cada uno se­ que batiéndose brazo á brazo con los rebeldes logró dar muerte cazadores, dando la de tiradores de la Reina Gobernadora una rán mas completos los resultados. En tan…</t>
  </si>
  <si>
    <t>e, Carlos</t>
  </si>
  <si>
    <t>Carlos e</t>
  </si>
  <si>
    <t>…go del ministerio ga á las llamas el decreto que declaraba traidor á Maroto. De tantinopla para derrocar el Gobierno actual. que lo arregle del modo que mejor le parezca. A fé que si se testos sucesos resulta que donde reinaba D. Carlos es hoy M aro­ En esta coyuntura debemos decir que el alm irante Roussin tratase de formar u a plan de campaña para derribar al m inis­ to el señor supremo. D. Carlos, para desembarazarse del yugo ha manifestado mucha im previsión: sus instrucciones se redu­ terio, la oposición no consentiría…</t>
  </si>
  <si>
    <t>crvn r] cnartel Real: al llegar allí D. Carlos entra precipitare vor de! Sr. D. Carlos M aría Isidro de Borbon cuando me pro­ i CAMBIOS. en e( cuarto de la princesa y le dice: ¡ A cabalío\\\ á caballo"}. n u n c ié ; pero n in g u n o unas coovencido por la experiencia de L on dres, á 90 d ía s , 58$. C o r u ñ a , 1 | á 2 d. si no , var…</t>
  </si>
  <si>
    <t>…os v care­ rón cuando era bueno. Los diálogos entre Leonardo é Isabel en nado que habia recogido de todos los pueblos inmediatos; y á ciese de defectos; pero ¿quién le reconocerá en el badulaque del el Barón, y el carácter de D. Carlos en el Si de las ninas, per­ poco rato de haber llegado dicha división salió con dirección á Ernanil Creemos también que habrán existido antiguamente tenecen á la comedia urbana del mismo género el Monreal. en la corte de Francia algunas princesas livianas; pero eso de gran rival de Lope de…</t>
  </si>
  <si>
    <t>…ci a para que permanezcan en el poder. El 17 pidió Ma r c ó t é r m i n o á una de pr av a ci ón t an i n a u d i t a , y el patí bul o ha sido bién la h onr a de protestar á V . E. mi s respetos y mi mas a t en­ del Poc¡.t á D. Carlos el permiso para retirarse á F r a n c i a ; pero el t ér mi no de sus mal dades. ta consi deración. le contestó el Pretendi ente que permaneciese en la corte, a s e g u­ L a s sabias determi naci ones del Exctno. Sr. presi dente i n t e ­ Di os y l ibertad. Puebla M a y o 4 de 1859. — J u a…</t>
  </si>
  <si>
    <t>e, Carlos Dupin</t>
  </si>
  <si>
    <t>Carlos Dupin e</t>
  </si>
  <si>
    <t>…ficable por ronesa de Mackau , y las esposas de MM. G abriel, Delesset y parte de los violadores, que no deberían encontrar el menor apoyo Lafoulotte. J en el Gobierno. Piensa en fin , que si el objeto de la expedición El barón Carlos Dupin está encargado de reu n ir, para re­ Habiendo sido desigoados puertos Ereler y Birm ingham es proteger el territorio contra las violaciones, como debe ser, m itirlos por el ministerio de la M arina y de las Colonias, los para recibir el trigo extrangero en depósito, se trata de formar…</t>
  </si>
  <si>
    <t>e, Carlos España</t>
  </si>
  <si>
    <t>Carlos España e</t>
  </si>
  <si>
    <t>…a maleta en su casa, dijo: que el domingo 12 de Ma-r tQ &amp; C . &amp; C . J San Sebastian 4 de Julio, Desde antes de ayer se halla en yo se levantó á las siete de U m a ñ a n a ,y se dirigió con Doy Atendiendo i que las órdenes que D. Carlos España eo- esta plaza una diputación de tres individuos encargada por el al café de Deux-Portes Saintr-Sauveur, porque en él lee un Waodante principal dé las fuerzas rebeldes, ha circulado im­ consejo municipal de Bayona para recibir en este punto y periódico desu país, llamado el Nacional…</t>
  </si>
  <si>
    <t>e, Carlos.</t>
  </si>
  <si>
    <t>Carlos. e</t>
  </si>
  <si>
    <t>…taluña. Los cuadernos octavo y noveno contendrán la corresponden­ continuada por M iñan a, y adicionada únicamente esta basta en los estrados de la intendencia general (militar en esta cia de Fernando v n con el pretendiente D. Carlos. edición hasta el año de 1855 , ósea hasta la muerte de Fernan­ corte, la construcción de 1000 camisas de lienzo, 600 capotes, Sa admiten suscripciones eu la librería de Boix, calle de do el v n , con un resúuien cronológico de los sucesos roas no­ é igual nlimero de pantalones de paño, tod…</t>
  </si>
  <si>
    <t>e, Carlos. Pronto</t>
  </si>
  <si>
    <t>Carlos. Pronto e</t>
  </si>
  <si>
    <t>…, como ul t i ma uno de los centinelas ha sido herido por un a piedra de ya es un acontecimiento que prueba hasta qué punto ha muer­ todos los dem as, relativas á las mudanzas de los tiempos to ya en el extrangero la causa de D. Carlos. Pronto es regular g r a o taaniño que ie a r r o j s r o u desde lejos, pero la os curi dad y de las costumbres. En los primeros siglos del cristianis­ de la coche ha i mpe di do reconocer al autor de este atentado. sea imitado este ejemplo por otras naciones, que hasta ahora mo fue la eloc…</t>
  </si>
  <si>
    <t>e, Cas- Se</t>
  </si>
  <si>
    <t>Cas- Se e</t>
  </si>
  <si>
    <t>…cañones otoma­ París por un empleado de la misma. algunos antiguos militares que tuvieron parte en la batalla. nos con tanto orden como si estuviese en un campo de ejercicio. Se pronunciaron varios discursos: el teniente general Cas- Se empeñó un fuégo muy vivo de 306 bocas de fuego á •agne en nombre de la comisio|i det suscripfjaresj Mr. Gace y 1200 metros de distancia: el combate de la artillería duró siete el corregidor en nombre de la ciudad, y él general de Bar cuartos de hora; mas habiéndose apurado las municiones, el…</t>
  </si>
  <si>
    <t>e, Casa-Irujo</t>
  </si>
  <si>
    <t>Casa-Irujo e</t>
  </si>
  <si>
    <t>…obra seria para uq cio que S. S. se ha equivocado notablemente en muchas de las Pero es menester, Señores, tener presente que para el cami­ camino rural cuyo coste ascendería á 6003 rs. , según el pre­ cosas que ha dicho. El Sr. Casa-Irujo en uso de su derecho h i­ no de Berceo contribuyen 15 provincias; y tengo noticias y supuesto presentado por un ingeniero de la dirección, y di­ zo una interpelación al Gobierno; solo á este debió dirigirse S. S. las tendrá que el año pasado se debían 64§ rs J por consi­ ciéndose que no s…</t>
  </si>
  <si>
    <t>e, Castañeda</t>
  </si>
  <si>
    <t>Castañeda e</t>
  </si>
  <si>
    <t>…s de al anochecer del 27. cionar los auxilios que necesitó el cuerpo de ejército del inando facciosos, causándoles tres muertos y dos prisioneros, y cogí- El 28 á las diez de su mañana me llamó el Sr. Castañeda del Sr. brigadier Castañeda en sus operaciones , y en medio de doles varias armas y ocho caballos. á Colindres, residencia accidental de su cuartel genera!, é im ­ un tiempo lluvioso y atemporalado, han merecido los mayores Que el mismo L). Lorenzo Alguacil le dice desde N av a- puesto de sus próximas operaciones ,…</t>
  </si>
  <si>
    <t>e, Castellón</t>
  </si>
  <si>
    <t>Castellón e</t>
  </si>
  <si>
    <t>…era. Soy el mas interesado en vuestra d ich a, no lo dudéis; mi no de alabanza. reputación y mi existencia está interesada en e llo , y hasta mi La captura en la provincia de Madrid de Blas G arcía, co­ El comandante general de Castellón en parte de ayer mani­ sangre derramaré con placer si es á benefició vuestro y de la nocido por el Zapador , ha libertado también al pais de un fa­ fiesta con referencia á aviso confidencial que el tercer batallón justa causa que defendemos. cineroso autor de varios crímenes. de Cabrera co…</t>
  </si>
  <si>
    <t>…or que para poner y qui­ | traño parecerá esto cuando se trata de una ley cuya letra tar jueces no haya mas regla que el arbitrio. Parece im­ i y cayo espíritu se dirigen visiblemente á m ejorar el cré­ El comandante general de Castellón en oficio de ayer dice posible que hasta tai punto arrastre el sistema cerrado de dito de la nación: ó para hablar con mas p ro p ied ad , á que las fuerzas enemigas destinadas contra Villafam és se han hacer la contra al G obierno, que pueda razonarse asi. sacarle de la postración y abati…</t>
  </si>
  <si>
    <t>e, Castilla la Nueva</t>
  </si>
  <si>
    <t>Castilla la Nueva e</t>
  </si>
  <si>
    <t>…tas una copia de la de Tarragona le eran los sentimientos del Senado y que deseaba tener ocasio­ para la elección del Sr. marques de Y a lg o r n e r a , que remi­ nes de mostrarle siempre su benevolencia. El capitán general de Castilla la Nueva en 5 del propio tía el Sr. Ministro de la Gobernación. El Sr. P R E S I D E N T E : El Senado queda enterado. participa que el comandante que manda la columna de opera­ Se acordó que quedaria sobre la mesa y se imprimiría un Se dió cuenta de haber sido nombrados por las secciónes…</t>
  </si>
  <si>
    <t>e, Castilla la Vieja</t>
  </si>
  <si>
    <t>Castilla la Vieja e</t>
  </si>
  <si>
    <t>…, en salarios de fa­ S. M. su particular cuidado en llevarla á cabo , han tenido cultativos, limpieza dé vcárcéles y éñtotras áténcióiíés aná­ presente la imperiosa necesidad de reemplazar las continuas ba­ El capitán general de Castilla la Vieja en comunicación logas; se ha servido resÓlVér, que V. S. sé encargue des­ jas que cada día sufre la caballería, considerando que el triun­ del 8 remite copia de un parte que le da el comandante gene­ de luego de satisfacer las atenciones expresadas con los fé de nuestra justa cau…</t>
  </si>
  <si>
    <t>…TARIA DE ESTADO í io .......................... 2555..17 ...................... Huesca...................... 2276.. 11 670.. 28 Jaén.......................... 9801.. 7 Y DEL DESPACHO DE LA GUERRA. 1 ií. El capitán general de Castilla la Vieja en comunicación de f 12 Jerez......... .. 40871..33 l 15, ........................ 1785.. l León.......................... 15735.20 14 del actual, y con referencia á parte que ha recibido del en­ 14.. ........................ 58 L. 5 Lcnda» .. , . . . . . . 5403..26 cargado de l…</t>
  </si>
  <si>
    <t>…rio de su frenético jacobinismo , d i­ d esú s bienes á la enseñanza pública. fluyó de sus instituciones el principio religioso, y le sustituyó Los derechos de los regulares, estando garantidos por las le­ El capitán general de Castilla la Vieja en comunicación si culto de.la razpa , y muy pronto fue víctima de sus impíos yes que existían cuando profesaron, y las que están aun vigen­ de 13 del actual da parte que el com andante m ilitar d e .A g u i- errores, y envuelta en los furores de las mas mas sangrientas pa­ tes, e…</t>
  </si>
  <si>
    <t>…scrita en 25 de Febre­ La lectura desemejante documento hace inútiles todas las ro de 18 5 6 , en la cual Marc Dufraisse, condenado anterior­ reflexione*: para juzgar á un partido es menester conocer hasta El capitán general de Castilla la Vieja en comunicación mente á un año de prisión por delitos políticos, ha figurado que extremo pueJen conducir el fanatismo y la inmoralidad de 22 del actual participa que perseguida una gavilla de seis después en los consejos celebrados contra los acusados de Abril. políticas. facciosos…</t>
  </si>
  <si>
    <t>e, Castro</t>
  </si>
  <si>
    <t>Castro e</t>
  </si>
  <si>
    <t>…erse una condeco­ fue nombrado el Sr. Baeza. nombrado decano del tribunal especial de las Ordenes , no ha ración. El Sr. AYALA Y MOR LA dice que á pesar de !a exac­ sido comunicada la orden ni al interesado ni al tribunal. El Sr. Castro es víis tin to ; no se apele* ál ingenio , no á las titud de cuanto ha manifestado el Sr. Pelegrin, se ha olvidado El Sr. Castro era Ministro de Gracia* v Justicia en 6 de sutilezas, sino á la búena fe, al sentido cotnun, al recto enten­ de una circunstancia de la que no se ha hecho cargo ;…</t>
  </si>
  <si>
    <t>e, Cataluña</t>
  </si>
  <si>
    <t>Cataluña e</t>
  </si>
  <si>
    <t>…ero de la misma D. Dom ingo Bande, en mi corazón por tanta ingratitud como he recibido. se cita , llama y emplaza á todos los que se crean con derecho Queda de V. siempre amigo y afectísimo Q. S. M. B.~Ra- El capitán general de Cataluña en 24 del próximo pasado á los bienes quedados por fallecimiento de Doña M aría L a ­ mon María Narvaez.zzEs copia.— El comandante secretario del desde Igualada traslada un parte del comandante de armas de drón de Guevara , ocurrido según parece en el t año pasado general Narvaez, José Sa…</t>
  </si>
  <si>
    <t>…olítico anticipar PARTES. 8.° La renta anual del Príncipe es de 2000 florines (5002 cualquier anuncio que convenga á los remitidos anterior­ francos): la del arzobispo será de 60 florines (150 fr.) , y los El capitán general de Cataluña en comunicación de 2 de obispos tendrán 40florines (100 fr.) mente. actual desde Biosca dice que cou aviso que tuvo de que los re­ N o podrá privarse á los empleados de sus destinos sin qui 5.a Los gefes políticos serán responsables de las con­ beldes habían reconcentrado sus fuerzas desd…</t>
  </si>
  <si>
    <t>e, Cataluña. Que</t>
  </si>
  <si>
    <t>Cataluña. Que e</t>
  </si>
  <si>
    <t>…impulso que necesitaba. armada á bordo del bergantín G u a d a lete, en virtud de orden nes me opongo al dictámen , pues con él se censura al capitán Añadió que el Rey de regreso á Madrid , cediendo á aque­ del capitán general de Cataluña. Que estos individuos, creyen­ general de Cataluña y al Gobierno, llas excitaciones, quiso confiar la empresa de la construcción del do llegado el término de su deportación, pidieron sus pasapor­ El Sr. M A D O Z dice que la comisión en la petición que se canal á D. Alejandro Aguado, marque…</t>
  </si>
  <si>
    <t>e, Caylus</t>
  </si>
  <si>
    <t>Caylus e</t>
  </si>
  <si>
    <t>…mos para ver lo que pasa­ Las deposiciones de los demas testigos confirman tan horri­ vida. ba : vimos cortar la cabeza a u n hombre, y luego despedazar el bles hechos. Aun ignoramos cuáles han sido las consecuencias El conde de Caylus era muy conocido por su talento emi­ cadáver y arrojar algunos pedazos á la mar. No había á bordo de la citada averiguacion.nC. S. Azario. (Revue des colonias.) nente, sus trabajos literarios, sus estudios arqueológicos, y las inas que un puerco y una gallina; los portugueses los mataron es…</t>
  </si>
  <si>
    <t>…jeto de su viaje, que mostró querer rodear de do , pronto saciarán en mí su venganza.” conmigo , y cuya filosofía habia yo abrazado. Te has ligado un misterio impenetrable. Pero mientras tnas evitaba Fleury Fuese que el conde de Caylus estuviera entonces atacado de contra los que pueden serte útiles con los que se oponen á tu las contestaciones, mas se persuadía Beaumarchais de que debía un mal que debia acelerar el término de sus dias, ó que el mis­ engrandecimiento, y solo aguardan un momento favorable pa­ haberlo emprend…</t>
  </si>
  <si>
    <t>e, Cepero</t>
  </si>
  <si>
    <t>Cepero e</t>
  </si>
  <si>
    <t>…us respectivos distritos, este sermón, no solo es un buen escrito, sino una buena acción. buen orador , buen español y buen sacerdote cristiano.=:A. L . los que subdividirán del modo que crean mas oportuno, para El nombre del Sr. Cepero es y a histórico; y no menos que su (E lT iem vo.) con facilidad llevar á cabo lo prevenido en este bandp, dándo­ instrucción, su amor á la p a tria , su espíritu religioso nunca me cuenta para que recaiga mi aprobación. desmentido, y su afecto á la verdadera libertad, han contribui­ 5.° Cua…</t>
  </si>
  <si>
    <t>e, Ceuta</t>
  </si>
  <si>
    <t>Ceuta e</t>
  </si>
  <si>
    <t>…perjuicio de premiar sobre el proyecto de ley para conceder una pensión á la viuda oportunamente á los que se han distinguido y se hallen en el del general Mendez V igo, habia nombrado por su presidente El comandante general de Ceuta en comunicación de 1.° del caso de serlo» al Sr. marques de Castelldosrius, y por secretario al Sr. Soria. actu al, recibida por extraordinario, da parte de haber descu­ El Sr. PRESIDENTE observó que no habiéndose presen­ bierto una conspiración , en la que sé trataba de poner aquella tado el…</t>
  </si>
  <si>
    <t>e, CHICO</t>
  </si>
  <si>
    <t>CHICO e</t>
  </si>
  <si>
    <t>…o español de S. Fernando por la ter­ mientos es á un esqueleto. M i opinión en este punto es que que eran tomados. cera parte de tabacos y quintas de papel se­ después de asegurar por medio de una buena base electoral la El Sr. CHICO expuso que lo que deseaba el Sr. V a ld é s es­ llado y por las dos terceras partes de la a n ­ elección de personas de fundam ento, de honradez y de prove­ taba salvado con la nueva redacción del artícu lo , añadiendo ticipación de 200 millones que facilitó al cho, no se debe recelar ta n t…</t>
  </si>
  <si>
    <t>e, Ciim</t>
  </si>
  <si>
    <t>Ciim e</t>
  </si>
  <si>
    <t>…maestro R ic- órgano entre los representantes de la nación, sus necesidades Filosofía , tres tomos en 8.° mayor, con láminas, rústica. 48 c i, titulada IL NUOVO FIGARO. serán objeto de nuestra solicitud. Pláticas del limo. Sr. Ciim ent, tres tomos en dos volú­ En la parte de amena literatura se insertarán sucesivamen­ menes en 4 °) rústica........................... 46 te poesías y obras de recreo ó instrucción, no publicadas, y cu­ Sermones de id ., tomo 4-°» rústica...................................... 16 yo mérito…</t>
  </si>
  <si>
    <t>e, Cirios. En</t>
  </si>
  <si>
    <t>Cirios. En e</t>
  </si>
  <si>
    <t>…lam as, se le­ caballerías, en apariencia de traginero se d i r i g í a , según se ha rece, y en cuya inmensa Providencia confio ciegamente por vantan otras de igual c lase , y se generaliza este nuevo motor visto, al campo de D. Cirios. En el guardalomo de una de las la intercesión de Ntra. Soberana Reina , y las súplicas de mi que un dia pusiera nuestra industria al igual de la extrangera. caballerías le fueren hallados 1/j. p lie g o s,e u los cuales llaman inocente madre sacrificada por los im p ío s, espero llevará Y. M…</t>
  </si>
  <si>
    <t>e, Ciudad Real y Toledo</t>
  </si>
  <si>
    <t>Ciudad Real y Toledo e</t>
  </si>
  <si>
    <t>…E. muchos una media naranja formada de casetones dorados; las paredes años. M adrid 20 de Diciem bre de 1 8 5 8 .= P io Pita.=Sr. inten­ de todo el edificio están cubiertas y matizadas de azulejos liu ­ El comandante general de Ciudad Real y Toledo en su par­ dente de la H aban a, conde de Y illanueva. dísim os, adornos de estuco , pinturas y filetes dorados y clara­ te periódico del 16 manifiesta que el comandante de la 5.a y boyas caladas, todo con una riqueza y un lujo inexplicable; 6 .a colum na D . A n ton io Arnieba…</t>
  </si>
  <si>
    <t>e, Ciudad-R</t>
  </si>
  <si>
    <t>Ciudad-R e</t>
  </si>
  <si>
    <t>…esto les imprimió un carácter de regularidad, de que habrían ces para que han sido propuestos por él referido comandante cuando se vieron con él mando. cárecido si solamente las masas hubieran tenido parte eu el mo­ general de Ciudad-R eal y Toledo. vimiento , siempre se violó la moralidad de la institución, y des­ Memoria de la Secretaría de Estado y del Despacho de apareció la disciplina. la Guerra y M arina , leída por el Excmo . Sr. general El útil desengaño de que el ejército empeoraba de condición D. José María T…</t>
  </si>
  <si>
    <t>e, Ciudad-Real y Toledo</t>
  </si>
  <si>
    <t>Ciudad-Real y Toledo e</t>
  </si>
  <si>
    <t>…be, Jiménez y Perez de público concurran cuantos capitalistas deseen tomar parle Rivas; mas suspendería el dar su parecer sobre la de' Sr. O li­ en ellos á medida de su posibilidad , y que por este medio El comandante general de Ciudad-Real y Toledo en su parte van , ínterin se pedían las actas de los distritos de B ol l a ña y se obtengan mas ventajosas condiciones en beneficio del periódico de novedades , fecha 6 del actual, dice : que el co­ Sangarren. Erario, y se aleje todo motivo de desconfianza acerca de mandante de…</t>
  </si>
  <si>
    <t>…Abdul-M edjid en la ma y pidió 12 libras de esta mercancía. Habiéndole servido, solemnidad de su advenimiento al trono glorioso de los oto- metió su compra en el saco. En un extremo del mostrador, don­ El comandante general de Ciudad-Real y Toledo en su par­ nanos. de le pusieron el algodón, habia un enorme jamón que la ten­ te periódico de novedades fecha 9 del actual, dice que la guar­ «Tienen el honor de ofrecerle el respetuoso homenaje de sus dera acababa de dejar alli. Habiendo reparado el comprador en nición y Milic…</t>
  </si>
  <si>
    <t>e, Claudio Sanz y Barea</t>
  </si>
  <si>
    <t>Claudio Sanz y Barea e</t>
  </si>
  <si>
    <t>…ia de Cuenca; los tres bata­ ra que lo deduzcan en su juzgado por la escribanía de número en serrallos vigilados é incomunicados se retoachaban los cla­ llones de Tortosa y dos de Mora en Morella á reponerse: el de del dector D. Claudio Sanz y Barea en el término de 50 dias vos de nuestra esclavitud, violando los derechos de la natura­ la Cova en Alcora : el del T uria en Suera alta , y el denomi­ contados desde la publicación de este anuncio en la Gaceta. leza que mas de una vez se ha vengado de tiranos inexorables nado…</t>
  </si>
  <si>
    <t>e, Clemencin</t>
  </si>
  <si>
    <t>Clemencin e</t>
  </si>
  <si>
    <t>…or D. Juan Eugenio Hartzembusch. ha contribuido á inspirar á los hombres sentimientos de ta materia encierran muy escogida erudición, y prueban honor y de virtud es despreciable ni indigno de la consi­ el gusto correcto del Sr. Clemencin en la literatura. deración del filósofo. Solo nos falla ya dar noticia de algunas observaciones No podemos decir otro tanto de los bandos comunes en gramaticales; y sea la primera la de la página 169 sobre CRUZ. Hoy no hay función. Cataluña y en otras provincias y ciudades de España en­…</t>
  </si>
  <si>
    <t>e, Clemente Delgado</t>
  </si>
  <si>
    <t>Clemente Delgado e</t>
  </si>
  <si>
    <t>…ro 34 , conocida con el título de Corralón j con 14 4^2^ pies impulso qüe les dan los deseos y aun los hábitos dél M onarca; ron en aquella época, en la cual aun cuando no estaba perfecta­ de s itio , tasada por el arquitecto D. Clemente Delgado e?» y de aqiii deduzco que el horror y poca deferencia con que en mente deslindado lo adm inistrativo de lo ju d ic ia l, brillaban los 76,999 rs. H an ofrecido pór ella en créditos contra la misma Españá sé m iraron ciertas malas ideas traspirenaicas pudo buenos principios en leg…</t>
  </si>
  <si>
    <t>e, Cleonard</t>
  </si>
  <si>
    <t>Cleonard e</t>
  </si>
  <si>
    <t>…dice que ha habido infracción del art. 42 de la Consti­ ra. Véase como el Congreso no se ha descuidado en nada. Dice el conde tución. Yo voy á probar que semejante infracción no existe. relativamente al arresto del Diputado de Cleonard en sus contestaciones al Gobierno, El Sr. Ministro de GRACI \ Y JUSTICIA: Lo que he d i­ Dice el artículo: {Lo leyó.) Alvarez: « L a rebelión cho en mi discurso no ha sido de ninguna manera para hacer El sr. Diputado Alvarez fue hallado infraganti , luego continúa v iv a , aun después de…</t>
  </si>
  <si>
    <t>…sumamente complacido en to­ tare corno Diputado de Sevilla á manifestar á la nación ente­ de censura contra el acto del arresto del Sr. Diputado Alvarez das las demas clases. ra , que todo cuanto se ha dicho contra el conde de Cleonard en por no estar el hecho justificado como debiera. 4 a Prevenido yo por otros exámenes de que los maestros desempeño de sus funciones, todo ha sido debido á informes E l Sr. conde de las N A V A S pidió se leyese una represen­ ensayan á los niños algunos dias antes de su examen en aquello…</t>
  </si>
  <si>
    <t>e, Cofrentes</t>
  </si>
  <si>
    <t>Cofrentes e</t>
  </si>
  <si>
    <t>…n conoci­ ridad suficientes; por ú lt im o , los caractéres son de la misma muertos. miento y seguridad acerca de sus ventajas. Las h a y in d u d a­ forma que los empleados en la institución real y m u y atrasada El alcalde de Cofrentes en oficio del 6 da parte que en la blemente: y en su consecuencia la d ip u ta c ió n , por ello y por de P a r ís , que a u a no ha adoptado las importantes mejoras de mañana de aquel dia el ladronzuelo Arévalo á la cabeza de 19 lo que ademas constaba á la mayoría de la comisión especial…</t>
  </si>
  <si>
    <t>e, Concluido</t>
  </si>
  <si>
    <t>Concluido e</t>
  </si>
  <si>
    <t>…en la provincia de Segovia , que desempeña D. Remigio G ar­ puntos donde veian situadas las masas. |las voladu ras, y retirar todo el tren. A las seis de la tarde am ­ cía , se ha servido nombrar S. M . la Reina Gobernadora á Don Concluido el camino amanecieron en la mañana del 8 las bas operaciones estaban concluidas, y á la señal dada desapare - Laureano Ibañez, juez de Olmedo: para esta ju d ic atu ra , de igual tres piezas gruesas en batería. La inteligencia y el celo del bri­ I cieron aquellas moles hasta los cimientos,…</t>
  </si>
  <si>
    <t>e, Conforme</t>
  </si>
  <si>
    <t>Conforme e</t>
  </si>
  <si>
    <t>…a n d a r pasar por las arm as á Felipe Alcocer sin las form a­ lidades que previene la o rd en an z a, pro n u n ció la sentencia Constantinopia 17 de Julio. sig u ien te: La fragata Arm ida , mandada por Mr. le M arié, capitán Conforme estaba an unciado, el jueves último 11 del cor­ de navio, y que lleva el pabellón del contraalmirante Arnous, El consejo absuelve y deja libre de todo cargo al b r i ­ riente S. A. el Sultán Abdul Medjid se ciñó el sable de Osman comandante de las fuerzas navales estacionadas en las Antill…</t>
  </si>
  <si>
    <t>e, Consejo de Ministros</t>
  </si>
  <si>
    <t>Consejo de Ministros e</t>
  </si>
  <si>
    <t>…o licenciados S. M. la Reina Gobernadora se ha servido dirigir con tar de una libertad que hace años no gozaban: los labradores del servicio; los sch u tterg en movilizados han sido disueltos; el esta fecha al Sr. Presidente del Consejo de Ministros el de todos los pueblos salen á cultivar los campos y apacentar ejército que estaba en campaña ha vuelto al servicio de sus g u a r ­ sus ganados con descuido y seguridad. En el espacio de cinco niciones ordinarias, habiéndose licenciado á los individuos de Real decreto siguien…</t>
  </si>
  <si>
    <t>e, Considine. Desde</t>
  </si>
  <si>
    <t>Considine. Desde e</t>
  </si>
  <si>
    <t>…elas 28 de Noviembre . 1 Ayer anuncié á V. la agitación que reinaba en esta ciudad CANADA. el domingo por la noche á consecuencia de la llegada repentina Se nos asegura que el secuestro puesto en 1850 á los biene¿ del coronel Considine. Desde entonces nada he averiguado de Según las últimas noticias recibidas del Canadá, S. E. el del Rey Guillermo de Holanda ha sido alzado. Este acto de importante, á no ser que en Cardiff se han eocontrado siete nuevo gobernador general había llegado á Montreal después nuestro Gobierno…</t>
  </si>
  <si>
    <t>e, Constantino Arroniz</t>
  </si>
  <si>
    <t>Constantino Arroniz e</t>
  </si>
  <si>
    <t>…Ems , el 5 en Baberich, y el 6&gt;eu Francfort. El segun­ cheramientos de Dicastillo, de nuestra Señora de Mendia y de bey , relativamente á los despachos recibidos de S. Petersburgo, do hijo del Emperador de R.usia , el gran duque Constantino Arroniz eu la Solana. La pérdida de .500 hombres en el com­ y de cuyo contenido nada ha llegado hasta ahora á noticias del ha llegado hoy al Haya directamente y con la mayor priesa de bate de Arroniz, entre ellos 80 muertos y 50 prisioneros con público. Petersburgo: se dice que trae plie…</t>
  </si>
  <si>
    <t>e, Corradi</t>
  </si>
  <si>
    <t>Corradi e</t>
  </si>
  <si>
    <t>…rmanos, seguramente que no tendríais valor pa­ Despees de hecha esta recapitulación, continuó diciendo lo fueron nuestros antiguos dramáticos. ra consentir en el tratado. Y o , stñores, que pertenezco á la que convenia con el Sr. Corradi en no reconocer clásicos ni ro­ El Sr. Segovia reiteró su protesta de no tener ortodoxia parte no cedida del territorio, declaro á la faz del m undo, que mánticos en cuestiones literarias; porque esa división im por­ literaria com o habia dich o én la anterior conferencia; y co n ­ antes per…</t>
  </si>
  <si>
    <t>e, Corral</t>
  </si>
  <si>
    <t>Corral e</t>
  </si>
  <si>
    <t>…conde de ellos, rompiendo un brazo á otro del pueblo , y dejando impo­ Hoy por la mañana se ha encargado de esta comandancia Clonard. (Núm. 1555.) sibilitado al alcalde después de llevar bastante cantidad de d i­ general el Sr. Corral en virtud de la Real órdep ( que vieron Real orden dando gracias al Sr. D. M auricio Cárlos de Onís, nero: en Arenillas de Ñuño Perez apaleó igualm ente á la m u- y a nuestros lectores) en que se llamaba á M adrid al señor San dándole gracias por el celo con que ha desempeñado interi­ ger del…</t>
  </si>
  <si>
    <t>e, Cortina</t>
  </si>
  <si>
    <t>Cortina e</t>
  </si>
  <si>
    <t>…¿estará vigente ese noció h gal y competentemente el tribunal militar. Se d ic e , señores, que si el Congreso se entromete en la i n ­ tiem po? Yo creo que lo estará únicamente en el nombre. No se No debe pues encontrar el Sr. Cortina en esta parte una in ­ dependencia dei poder judicial. N o , señores, no se entromete; debe suponer tampoco que un cuerpo como este, compuesto de fracción de la Constitución ni de las leyes en unos actos en un individuo nombrado Diputado , preso y sentenciado á muer­ personas de arraigo y pr…</t>
  </si>
  <si>
    <t>…cho á votar. A qui está el docu­ elecciones de A v i l a : presentó un documento, y en vhta de él sión habia de celebrar el domingo próximo á las nueve de la mento que expresa los nombres de los 560 y las causas de su ex­ el Sr. Cortina en nombre de la comisión retiró el dictámen ; y noche, á c u y a comunicación manifestó S. S. que no h ab ia con­ pulsión. entonces se trataba de una aprobación ; pero cuando se trata de testado el Gobierno. (S. S. leyó algunos de ellos, y después continuó:) una nulidad debemos ser mas cau…</t>
  </si>
  <si>
    <t>e, Cortina.</t>
  </si>
  <si>
    <t>Cortina. e</t>
  </si>
  <si>
    <t>…esa cuestión la que Tetraia á esos Go­ ceda voy á hacerme cargo de las indicaciones hechas ayer por El Sr. Caballero pasó al segundo cargo, que es el grave, si biernos del reconocimiento de la R ein a, cuando nos dijo que el Sr. Cortina. estuviera fundado como ha querido hacerlo S. S. Se reduce á era tal la ignorancia de los extrangeros, que estaban creídos (por Hablando de la audiencia de la Habana, dijo S. S. que una que peligran las instituciones: en esta discusión todavía me supuesto hasta ese momento de la misión) que…</t>
  </si>
  <si>
    <t>e, Cortázar</t>
  </si>
  <si>
    <t>Cortázar e</t>
  </si>
  <si>
    <t>…facultades para hacer com­ la amenaza que tan poco hace á un t r i b u n a l ? A petición de algunos señores D ip utad os se leyeron los a r ­ parecer á su seno á n ing ún funcionario público para hacerle Nos ha disputado el Sr. Cortázar el carácter de j u r a d o , base tículos 1 1 0 , í l i y 115 del reglamento. cargo sobre su conducta oi mandarle formar causa y exigirle la que está ya adm itida por la práctica y que no puede menos de El Sr. B E N A V I D E S después de manifestar que el Sr. P re ­ responsabilidad , pues…</t>
  </si>
  <si>
    <t>e, Cortés</t>
  </si>
  <si>
    <t>Cortés e</t>
  </si>
  <si>
    <t>…os p ises cultos una ha dado á conocer con ella de una manera honorífica. El leo- en adelante de esta seccion,que contribuirá poderosamente á necesidad y una consecuencia de la civilizaciou , porque en fin, guaje usado por el Sr. Cortés es claro, conciso, correcto: las los progresos y prosperidad del instituto. E n lo que resta de el teatro es un arte, y un arte mu y principal que no debe des­ notas con que ha enriquecido el texto son instructivas, á la mes quedará construido el teatro en el gran salón de los bailes atenders…</t>
  </si>
  <si>
    <t>e, Cosme</t>
  </si>
  <si>
    <t>Cosme e</t>
  </si>
  <si>
    <t>…e lave. Total 7,207 2 27 Total.............. 40,806 5 15 En Yo me entiendo y Dios me entiende entran de no ­ che el Rey D. Pedro y su confidente D. Alvaro en casa de Frutas. Lencería. D. Cosme a enam orar á su futura esposa. D. Cosme en­ Alemanisco 810 6 17 cuentra con ellos á oscuras, y les oye h ab lar, sin cono­ A c e itu n a s ...... .................... 1,897 5 Arabias 942 ' cerlos, de un risco y de un mármol que no pueden ablan­ Almendras............................. 1,954 5 Baraudor..................................…</t>
  </si>
  <si>
    <t>e, CPDonell</t>
  </si>
  <si>
    <t>CPDonell e</t>
  </si>
  <si>
    <t>…d tan característica de nosotros. Los acto­ cuartel divisionario en Aícorisa. dió gratuitamente un cuartillo de vino por plaza á la tropa. res ejecutaron con la mayor brillantez sus papeles, y son acree­ Las del mando del general CPDonell en Camarillas y pue­ (Idem.) dores á que se les tribute por el público un homenaje de since­ blos inmediatos. (Id.) ra gratitud y entusiasmo. También se leyeron versos en la pieza del Plan de un dra­ Nos d icen de Jaca el dia 20: m a , que nos agradaron infinito. Dias pasados se dejó ver a…</t>
  </si>
  <si>
    <t>e, Croke</t>
  </si>
  <si>
    <t>Croke e</t>
  </si>
  <si>
    <t>…over semejante cuestión en lá Cámara hasta que el conseguido un dia introducirse en el cuarto del Rey „ le habló Bélgica á semejante situación?..... Y ya que es menester ceder, asueto "este.teoJ^r^rneutej.ppo^jiiido. El teniente Croke escribió le un modo extraño é incoherente. S. M. mandó no se le.h i­ la razón como la salud pública ¿ no aconsejan quizás ceder an­ al cónsul ingles en V eracruz; pero hubiera obrado mejor d iri- ñese daño alg u n o , péro que se le im pidiera én lo sucesivo que te la inevitable ruina deí pais…</t>
  </si>
  <si>
    <t>e, Cubieres</t>
  </si>
  <si>
    <t>Cubieres e</t>
  </si>
  <si>
    <t>…dia de palacio , á quien habia mandado llamar. hombres del 41 de línea. Registrado el forastero se le encontraron encima varios perió­ En Argel reina la mas viva agitación. No sabiendo los ha** Se anuncia que el teniente general Cubieres está designado dicos, 17£ libras esterlinas (unos 1,600 rs.) en oro y plata y un hitantes lo que ocurre en la lla n u r a , se entregan á mil conje­ para ir á tomar el mando de las fuerzas activas destinadas á hermoso reloj de oro; y en seguida fue llevado al cuerpo de t u r a s , y exage…</t>
  </si>
  <si>
    <t>e, Cuenca</t>
  </si>
  <si>
    <t>Cuenca e</t>
  </si>
  <si>
    <t>…anas y am igas nuestras, los tristes males de tan logró apresarle nueve caballos , cinco arm as y otros efectos. NOTICIAS EXTRANGERAS. funesto azote, y hacer que con la paz brille por todos sus á n g u ­ El comandante general de Cuenca elogia la conducta y b i­ los la luz preciosa de la lib ertad ! zarría de sus tropas y de las de la b rigada de A lb acete, y h a ­ NUEVA G RAN AD A. A u n no ha ratificado Venezuela el tratado de am istad , ce p articu lar mención del comandante general de esta el b ri­ alianza , comercio,…</t>
  </si>
  <si>
    <t>e, Cumbres Altas. En</t>
  </si>
  <si>
    <t>Cumbres Altas. En e</t>
  </si>
  <si>
    <t>…e de un parador en F u e n - de cerca que una mitad de lanceros á las órdenes de su mismo que de no hacerlo le causará entero perjuicio. carral , mayor de 60 años, capitán ilim itado procedente de la gefe de escuadrón el conde de Cumbres Altas. En esta situación facción del Locho en la anterior época constitucional, para que dispuso el comandante general envolver al enemigo , y al efec­ se presente en la cárcel de corte á dar sus descargos en la causa to mandó que un oficial marchase con 50 guias por su flanco que se le sigu…</t>
  </si>
  <si>
    <t>e, Cáilos</t>
  </si>
  <si>
    <t>Cáilos e</t>
  </si>
  <si>
    <t>…político de la provincia de Málaga.r:E xcnio. Sr.: rona pasaría a las sienes del Rey Ernesto , único heredero p re ­ A las once de la noche del dia de a y e r levanté cubierta á la su n tiv o , después de la expulsión del duque Cáilos en 1850. Con Real orden 11 del corriente en que S. M . se sirve mandar se GRAN BRETAÑA. este motivo, creemos deber comunicar á nuestros lectores la car ­ empiecen los trabajos de la carretera de esta ciudad á la de Londres 12 de Abril. ta siguiente de Brunswick , cuyo autor parece que comid…</t>
  </si>
  <si>
    <t>e, Cámara</t>
  </si>
  <si>
    <t>Cámara e</t>
  </si>
  <si>
    <t>…iciente poder, en este privativo juzgado y escribanía del V illó y los Sres. Unanue y S a la s ; con decoración y trajes. división pertenecen las tribus de escarabajos , curianas, m ari­ mismo á cargo del secretario escribano de Cámara el Sr. Don posas, polillas , abejas y la mayor parte de las moscas de dos y Román Lorenzo C alvo, á decir y exponer de su derecho y ju s­ cuatro alas. Hay sin embargo varias modificaciones de forma ticia en los mencionados autos; bajo apercibimiento que de no Segunda parte . eu la cabeza…</t>
  </si>
  <si>
    <t>…os constituidos desde el 25 del an terior; y he­ Guardia Real y escribanía del número á cargo del secretario de fuertes en la forma siguiente: mos sabido, corno debía esperarse de la disciplina, bravura y S. M ., su escribano de Cámara en el tribunal supremo de Guer­ ra y Marina , D. Román Lorenzo Calvo, donde se halla radi­ entusift tno de las tropas Je este ejército, y del valor y talentos cado Premios. Pesos. militares del joven general en geíé que lfls mandaba. Desde el dias, elque juicio, dentro del preciso y perent…</t>
  </si>
  <si>
    <t>e, Cárlos</t>
  </si>
  <si>
    <t>Cárlos e</t>
  </si>
  <si>
    <t>…la presentación rados de aquel p rín cip e, la cual fue interceptada: por ella ap a­ asistiese á él un plenipotenciario de la R e i n a , y no otro ple­ de aquellos documentos, lo hice con objeto de enterarme de los rece que D. Cárlos está intrigando contra su general Maroto, nipotenciario que el de la Reina , porque habiendo reconocido motivos que habian influido en la conducta seguida por el m i­ en el cual aparenta tener confianza, y al que detesta en el fon­ los derechos de esta Soberana, oo podriao consentir que hubi…</t>
  </si>
  <si>
    <t>…ó con el fusilamiento de los generales que las actas de la provincia de M a d r id , y tanto mis dignos com­ tas sobre la de elecciones de M á l a g a , en que opinaba que debia hubieran podido oponérsele; desacreditó luego á D. Cárlos en pañeros como yo hemos reconocido la mas perfecta legalidad en aprobarse y admitirse á D. Cristóbal P a s c u a l, Diputado elec­ el extrangero; hále quitado el respeto y el afecto del ejército y sus actas , y que no habiendo otra n ing un a dificultad debía­ to por dicha p ro v in cia, p…</t>
  </si>
  <si>
    <t>…alles se han convertido en verdaderos torrentes. El Label de España. Se cree que el Soberano de la Holanda se ha­ te el curso de vacaciones parlamentarias ha protestado O C on- campo ha debido sufrir mucho. bía convenido con D. Cárlos en no reconocer á la Reina mien­ • neíl su adhesión á, los Ministros , que á pesar de sus imperfec­ tras que aquel estuviese en España; después de la fuga del Pre­ ciones (asi ha dicho), son los amigos de la Irlanda. (Temps.] tendiente se ha visto libre de su compromiso , y en consecuen­ Es…</t>
  </si>
  <si>
    <t>…ue de no hacerlo se sustanciará ¿Q ué sucedería si después de reunir tropas en la frontera del mesa varias reclamaciones, peró hasta esta hora no ha vénido en rebeldía, y le parará entero perjuicio. L uxem burgo, sucediese que D. Cárlos entrase en M adrid ? ¿N o mas á la comisión que el expediente de azogues, él cual aún son estas eventualidades dignas d e llamar la ateucion del señor está falto de documentos. Digo esto para que las Cortes sepan Presidente del consejo? que esta dilación no viene de la comisión. En el mismo…</t>
  </si>
  <si>
    <t>…han escuchado disertaciones sobre la parte mas sublime de las Gobernadora. D. Bjáilio Bayon...................................... , , 20 ciencias, y los unos han podido recordar, ordenar y reducir á Pronunciamiento á favor de D. Cárlos en Prats de Llusanéa Una señora................................................................................... 8 sistema lo que ya sabrán , y los demás aprender , cobrar añeion de C ataluña, Logroño y Vitoria ; manejos verificados en la Rio- El marques viudo de Pontejos...................…</t>
  </si>
  <si>
    <t>…Real de N a v a r r a , y cuan do , en fin, D. Cárlos tuvo un minis­ Vascongadas son una herencia de siglos, un vínculo que viene Se abrió á la una menos c u a r t o , y leída el acta de la ap te - terio. Entonces fue cuando D. Cárlos en una manifestación le generaciones tan remotas; y yo quisiera se me dijese en qué .rior fue aprobada. ofreció á las provincias Vascongadas y N avarra que les conser­ parte de la historia se puede consignar si esos pueblos fueron Se decidió llamar al suplente por Barcelona por haber re ­ va…</t>
  </si>
  <si>
    <t>…iso se les señala , se presenten en la secretaría de Reina Gobernadora. D. J u a n M artin Arnedo era uno de los empleados mas puros. esta universidad para ser inscritos en la matrícula ó registro de Pronunciamiento á favor de D. Cárlos en Prats de L lu s a - El Sr. A Y L L O N manifestó que únicamente se oponía al doctores que en la misma ha de form arse, acreditando las .cir­ nés de C a ta lu ñ a , Logroño y V i t o r ia : manejos verificados en dictamen de la comisión por algunas razooes en que esta se cunstancias que se…</t>
  </si>
  <si>
    <t>…lo á su ventajosa posición , sino principalmen­ dos carlistas tratan de dar un mauifiesto contra M aroto, y que P. D. Eu este momento acabo de saber que Balmáseda ha te á la dominación del comercio que tenia sobre todo el Sud­ D. Cárlos es su prisionero. sido completamente batido en Espinosa de Cervera de esta: pro­ oeste de la Alemania , que ha beneficiado por casi el trascurso de vincia por la columna al mando del coronel Schely,habiéndose 200 años* excluyendo todo aquel pais del comercio m arítim o, y Lugo 17 de Marzo. A…</t>
  </si>
  <si>
    <t>…s errores y los ab­ cuentro del Príncipe con un teniente de gendarmería. que representa en momentos de tanta ventura, y en el ínterin jurarán eternamente. Cuando n o , sus armas impotentes y el El comisario central aguardaba á D. Cárlos en Moulin-d'Ars,* que llega el deseado de uoa completa paz que afiance para siem­ y le acompañó hasta la casa de Mr. Coupat, donde se le habia pre la Constitución jurada, el trono de Isabel y la suerte de los aturdimiento nos de sucumbir que entre todos ellos se encuentra , no podrá me­…</t>
  </si>
  <si>
    <t>e, Cárlos Latorre</t>
  </si>
  <si>
    <t>Cárlos Latorre e</t>
  </si>
  <si>
    <t>…taron y se remiten con este informe, dándose por consecuencia tes litografías, siendo la que corresponde á este mes el retrato ma de i y | por 100 nuevas. las gracias á la directora, como á las demas personas que la del actor D. Cárlos Latorre en el drama que mas ha gustado Acciones del banco español de S. Fernando, 00. ayudan en los ramos que no son de su resorte como justo tribu­ el año pasado, y que ya tiene concluido el acreditado artista to á su comportamiento. Barrio de San Lázaro extramuros de Sr. Cavana. CAMBIOS. la…</t>
  </si>
  <si>
    <t>e, César</t>
  </si>
  <si>
    <t>César e</t>
  </si>
  <si>
    <t>…l tiempo, tampoco es necesario que sepa el nombre de aquel grande de E sp añ a, aquel generalísimo de dijo el Emperador con sorpresa. " ¡ A h , señor! respondió en ­ construirlas. los ejércitos a lia d o s , y lugar-teniente del César en I t a lia , que fáticamente L e y v a : si Y. M. tiene u a a lm a , déjese de con­ El autor comienza su obra por la definición esencial de reunia todos estos honores. Pues este hombre fue D. Antonio quistas y váyase á su palacio.” toda ella, que es la del trabajo de una fuerza. Llámase as…</t>
  </si>
  <si>
    <t>e, D. Benito Serrano y Aliaga. Empieza</t>
  </si>
  <si>
    <t>D. Benito Serrano y Aliaga. Empieza e</t>
  </si>
  <si>
    <t>…suplantado; aper­ San Pabló*8p6stol, por Sanz , precio 4 rs. JUZGADO DE LA PLAZA. cibido que de no comparecer le parará el perjuicio que haya dern o ^^ 06 ^ 0ID0 ^e^ i P erc^^no» precio antiguó 6 rs., y mo- Hoy d cargo del Sr. D. Benito Serrano y Aliaga. Empieza en la puerta de Atocha y sube por la calle de este BIBLIOGRAFÍA. nombre acera de la derecha á la plazuela de Antón M artin, calle de la Magdalena , de los Remedios, Barrio Nuevo, Con- L AS VISIONES del castillo de los Pirineos. Novela escrita TEATROS. cepcioa Ge…</t>
  </si>
  <si>
    <t>e, D. Evaristo</t>
  </si>
  <si>
    <t>D. Evaristo e</t>
  </si>
  <si>
    <t>…he­ ferencia á lo que yo tuve el honor de exponer al Congreso. r io ): "Categórica y terminantemente niego que el Gobierno cho mención el Sr. Calatrava , y al que le ha dado gana de de­ Dije el otro dia que nadie mejor que el Sr. D. Evaristo español haya dado misión alguna al sugeto de que se habla: cir una cosa que á unos les parecerá bien y á otros mal. Perez de Castro podia corroborar rnis asertos, y lo dije porque hablo del Gobierno á que pertenece ” Supongo que S. S. quer­ Si nos fuésemos á atener á los periódicos, podr…</t>
  </si>
  <si>
    <t>e, D. Fernando Corradi</t>
  </si>
  <si>
    <t>D. Fernando Corradi e</t>
  </si>
  <si>
    <t>…mas para conseguirla era necesario un libro El sábado 8 dará su última lección de literatura éxtrángera que tan benigna acogida ha merecido en toda España, nb que marcase este camino. N o seré yo el que asegure haber con­ el Sr. D. Fernando Corradi en el nuevo local plazuela del Angel. ha podido menos de leer con la mayor sorpresa un anuucio in ­ seguido enteramente mi objeto; serto en el Diario del 5 , y puesto por el editor de la Galería da, que otro mas afortunado la pero trazada una vez esta sen­ perfeccione. Sin em ba…</t>
  </si>
  <si>
    <t>e, D. Francisco</t>
  </si>
  <si>
    <t>D. Francisco e</t>
  </si>
  <si>
    <t>…or. natural de Castro, parroquia de Bodenaya, concejo de Salas, en ciado del público de Madrid. Este spartito, estrenado en Paris Sr. D. Francisco López de Olavarrieta, tesorero* Astúrias, de esta vecindad, en el juzgado del Sr. D. Francisco en el teatro de la ópera italiana en 1856, fue recibido cou Araorós y López, ministro honorario de la audiencia territo­ aplauso singular. La empresa al presentarlo no ha omitido nin­ Sección de agricultura . rial de Albacete, y juez de primera instancia de esta ca p ital, y guna de l…</t>
  </si>
  <si>
    <t>e, D. Francisco Al</t>
  </si>
  <si>
    <t>D. Francisco Al e</t>
  </si>
  <si>
    <t>…esde el momento que nos enteramos del prospecto que p u ­ como desea los deberes filantrópicos de su i n s t i t u t o , debidos á de c o n t r a b a n d o , lo que e q u iv a le á cortarles toda com u­ blicó su di rector ej Sr. D. Francisco Al ej a n d r o F e r n e l , conce­ la g u e r r a cruel y sacrilega que nos a f l i g e ; y en tan angust ioso nic a c ión , cpie es casi una declaración de g u e r r a , pues tam­ birnos la h a l a g ü e ñ a esperanza d e q u e aquel establecimiento seria estado solo se dedica á pre…</t>
  </si>
  <si>
    <t>e, D. Francisco Alvarez. Verdad</t>
  </si>
  <si>
    <t>D. Francisco Alvarez. Verdad e</t>
  </si>
  <si>
    <t>…la Alvarez fuese juzgado en tribunal com­ be hacerse por el Congreso al Gobierno sobre la venida del tiene acreditada, y con la imparcialidad que le distingue, y petente, y esto prueba que el ánimo de las Cortes fue conceder Sr. D. Francisco Alvarez. Verdad es que en el dictámen de la cuya separación del m ando, verificada ahora , me ha sido rouy al Gobierno lo que pedia ; pero siempre con esta limitación; y el comisión no se dice que el Congreso dé orden al Gobierno; por­ sensible, ofició al espitan general, juez que con…</t>
  </si>
  <si>
    <t>e, D. Francisco Amorós y López. Empieza</t>
  </si>
  <si>
    <t>D. Francisco Amorós y López. Empieza e</t>
  </si>
  <si>
    <t>…folleto en 8.°, y se vende en es­ ta corte en h librería de la viuda de Razóla, y ea Valladoíid Cotización del dia 1.° a las tres de la tarde. en la de Pastor, á real. JUZGADO DEL BARQUILLO. EFECTOS PUBLICOS. A cargo del Sr. D. Francisco Amorós y López. Empieza este juzgado en la puerta de Alcalá, y sube por Inscripciones en el gran libro á 5 por 100, 09. L°ipática, subscriptores “ las Lecciones orales de medicina homeo­ por ei doctor León Simón, y traducidas por el lp misma calle siempre por la acera de la derecha,…</t>
  </si>
  <si>
    <t>e, D. Gabriel José García.</t>
  </si>
  <si>
    <t>D. Gabriel José García. e</t>
  </si>
  <si>
    <t>…tremo inconcebible. No soy yo de los vincia de Orense al Sr. D. Gregorio Sana de Viilavieja, en El Sr. QUIJANA es de parecer que lo que se propone en que creen que se halla la nación en un estado de abyección y reemplazo del Sr. D. Gabriel José García. este artículo no es privativo de las Cortes, porque en su opi­ óiiseria que es consiguiente á la bajq de nuestros fondos; otras Se dió cuenta de que la comisión encargada de examinar nión dice que el Congreso debe conocer que si son acreedores á naciones mas miserables tiene…</t>
  </si>
  <si>
    <t>e, D. Joaquin</t>
  </si>
  <si>
    <t>D. Joaquin e</t>
  </si>
  <si>
    <t>…. D. Ma­ clavar las bayetas, colocar las ba­ de las referidas 'instrucciones. nuel Araud. randillas, alquiler de estas, quitar Nos felicitamos por esta reciente muestra de benevo­ 520. Un acerico de terciopelo bordado, al Sr. D. Joaquin el tablado del Liceo, conducirle á lencia que S. M. el Rey de los franceses se sirve dar á su Escalera. la calle del Turco, y las asistencias 777. El modelo del estanque del Retiro, al Sr. D. Juan de a^gust^ aliada nuestra inocente Reina , y esperamos que del carpintero todos los dia…</t>
  </si>
  <si>
    <t>e, D. Joaquín Iñigo.</t>
  </si>
  <si>
    <t>D. Joaquín Iñigo. e</t>
  </si>
  <si>
    <t>…os, gusto y deseos de aprender. Las conferencias de las secciones d i­ Sr. D. Evaristo San Miguel. inventado en Paris y anunciado y descrito en esta sección por lucidan cuestiones interesantísimas para la sociedad , y fijan Sr. D. Joaquín Iñigo. el marques viudo de Pontejosrde la utilidad que podría sacar­ sobre ellas la opinión de los concurrentes, sirviéndoles taiúbien Sr. D. Javier Quinto. se del cultivo del Phormium tenax ó lino de Nueva Holanda, de estimulo para estudiar y prepararse para estas palestras in ­ y con…</t>
  </si>
  <si>
    <t>e, D. José de Saft</t>
  </si>
  <si>
    <t>D. José de Saft e</t>
  </si>
  <si>
    <t>…sillas....................... .......................... 152 nadora, tocó la suerte al Sr. D. Rafael dé Bustos y Castillo. M A D R I D 1 8 DE JUNIO. Por poner y quitar la alfombra de la 587. Una parra dentro de un fanal, al Sr. D. José de Saft escalera.............. 200 Millan. 696. Un calientapiés de paño bordado, á la Sra. Doña Esta tarde á las siete se ha dignado S. M. la augusta Por el gasto en el ramo de carpintería Vicenta González. R eina Gobernadora pasar revista a tres batallones de in­ con inclusión de la pin…</t>
  </si>
  <si>
    <t>e, D. José María Calatrava</t>
  </si>
  <si>
    <t>D. José María Calatrava e</t>
  </si>
  <si>
    <t>…umento de la sociedad y la reu­ cha 2 8 del pagado, trasladando otra del dia 27 del miseno del nión de (Jatos y noticias necesarias para conseguir su filantró­ Quinto in d ivid uo el Sr. Gil por 77 votos, resultando con 20 Sr. D. José María Calatrava eo que manifiesta renuncia el car­ el Sr. Cortázar, con 5 el Sr. López (D. Jo a q u ín M aría), y con 1 pico objeto, y se hicieron los nombramientos siguientes: go de Senador para el que ha sido nombrado por la provincia los Sres. M o n t o y a , Silvela , Laborda , Arteta y…</t>
  </si>
  <si>
    <t>e, D. Juan José</t>
  </si>
  <si>
    <t>D. Juan José e</t>
  </si>
  <si>
    <t>…aunque no tiene la vehemencia que las obras de Demó te­ Boseldieu. nes , ni brilla en ella aquella elocuencia popular que dio á ó*° E L P R E S ID IA R IO , tonadilla antigua , á dúo. E N virtud de providencia dictada por el Sr. D. Juan José este la primacía entre los oradores de todas las edades - sin 4 ° Manchegas del conde Ory. Ptodriguez Valdeo&amp;era, juez togado de primera instancia embargo, las oraciones y cartas de Isócrates son útiles sobre­ 5.° Dúo de la opera I Capuleti ed i M ontcchi, del raaei- de esta corte, ref…</t>
  </si>
  <si>
    <t>e, D. Juan José Rodríguez</t>
  </si>
  <si>
    <t>D. Juan José Rodríguez e</t>
  </si>
  <si>
    <t>…as de grados, pues que el grado superior debe siem­ pre comprender los grados inferiores. P R O V ID E N C IA S JU D IC IA L E S. TEATROS. Según los psycológicos, la percepción, la memoria y la E N virtud de providencia del Sr. D. Juan José Rodríguez escena el gracioso y acreditado PRINCIPE. A 1as ocho de la noche. Se volverá á poner en imaginación no son grados de una sola y una misma fa­ Á Valdeosera, caballero comendador de la Real órden ameri­ melo-mimo-drama páutomími- cana de Isabel la católica, y juez togado de cu…</t>
  </si>
  <si>
    <t>e, D. Luis Palefnx.</t>
  </si>
  <si>
    <t>D. Luis Palefnx. e</t>
  </si>
  <si>
    <t>…a^ tni-| ten ¿ recoger los premios.. . . . . . . . 8 zález Caborreluz, receptor de S. JVL riña Real de Francia que cruza en las costas de la Penjín-f Por cuatro velas de sebo que gastó el 622. Un dibujo de tinta de china, al Sr. D. Luis Palefnx. expendedor dé bífl^SV V. .eV .. . . . * " L . l l 68 l. Un cogin de gro bordado de felpillas, á la Sra. Deña sula, acaba de determinar que se aumenten considerable-^ Vicenta Ceballos. mente sus fuerzas ¿navales, y que óé de á los comandantas! Por 39 tarjetas para contraseña de…</t>
  </si>
  <si>
    <t>e, D. Pablo Cabrero.</t>
  </si>
  <si>
    <t>D. Pablo Cabrero. e</t>
  </si>
  <si>
    <t>…s hemos leído elogios en los esperaria en el estado de progreso á que ha llegado el papeles públicos, que cuanto saben lo deben solamente á su ram o de la m in ería, que se hubie¿e formado un plano Excmo. Sr. conde de Oñate. Sr. D. Pablo Cabrero. excesivo gusto y aplicación , y lo atestigua la belleza de las en­ subterráneo, operación de la m ayor im portancia porque Sr. marques del Socorro. cuadernaciones que salen de sus manos con aquella perfección pone de m anifiesto el trabajo de las m inas y la dirección Sr. D. Diego…</t>
  </si>
  <si>
    <t>e, D. Ramón</t>
  </si>
  <si>
    <t>D. Ramón e</t>
  </si>
  <si>
    <t>…contados desde la publicación en: la G aceta, á penados que necesitase el ingeniero D. Elias A q u in o , me dice zados por brigadas, y dispuestos para ser entregados al in ge­ los que se crean con derecho á los bienes del Sr. D. Ramón en el 6 de este mes que en aquel mismo d ia h ab ía puesto á niero que designe la dirección general de Caminos. Jim énez H ervas, cura que fue de las iglesias parroquiales de disposición del ingeniero 485 presidiarios aptos para el trab a­ L a que he creido conveniente poner en el superi…</t>
  </si>
  <si>
    <t>e, Dado</t>
  </si>
  <si>
    <t>Dado e</t>
  </si>
  <si>
    <t>…de la nación española que lleguen á la Nueva Granada desde salud. vo este oficial con la facción de J u m illa en la casa de Pedro el dia 1.° de Ju lio del presente año. Muñoz logro rescatar al comandante de armas de Fortuna Don Dado en Bogotá á 25 de Abril de 1859.=EI presideote del José Alonso Hernández, que con parte de su destacamento h a­ Sen ado , José Cornelio Valencia.—El presidente de la Cám ara M IN ISTERIO DE LA GOBERNACION DE LA PENINSULA. bía caido en poder de aquella al anochecer del mismo d ia , sien­ de Re…</t>
  </si>
  <si>
    <t>…u pre- &lt;QS?Í0S S uarde á V - E* «nuchos años. Jaén 8 de M ayo de supremo el general D. Antonio López de Santana.’* ro gativ a, un ministerio efectivo y no provisional. 1839.= Excmo. Sr. = Francisco Muñoz. = Excmo. Sr. Secretario Dado en Méjico á 25 de Enero de l859.:rM eIchor Muzquiz, Desea igualmente que la Cámara co-isigne en esta petición del Despacho de la Gobernación de la Península. presiden te.rrCá ríos M aría de Bustamante.zrManuel de la Peña sus deseos de que la corona elija sus M inistros entre los hom­ y Peña.rr…</t>
  </si>
  <si>
    <t>e, Damas</t>
  </si>
  <si>
    <t>Damas e</t>
  </si>
  <si>
    <t>…la nación mas favore­ temano para hacer imposible un arreglo conforme á los respe­ El conveoio conocido bajo aquel nombre entre el ministro cida, Podría creerse que el Gobierno de Francia, al convenir con mejicano y el barón de Damas el año de 1827, no ha tenido Méjico en la cuestión de alternativa , pensaba que adquiria un tos que se deben ambos Gobiernos. Afortunadamente el de la República pudo obrar con la libertad necesaria , y señalarme la ningún carácter ni ninguna formalidad que pueda darle valor, derecho para neg…</t>
  </si>
  <si>
    <t>e, Daureinaiít</t>
  </si>
  <si>
    <t>Daureinaiít e</t>
  </si>
  <si>
    <t>…inard á su frente, todos con sus trajes de ceremonia trataron en V ien a , 2 4 d e N o viem b re Al visitar el duque de Orleans el sitio donde fue muerto el vano de calmar la agitación, sus amonestaciones fueron desoí­ general Daureinaiít en Consta atina pidió al mariscal Valée que das y sus vocés sofocadas por el tumulto. v Trescientas éinciientá personas al menos figuraban en los sa elevase un monumento en aquel lugar, y otro en el que cayó En este intervalo fue llamado el comisario de policía del Iones de Mr, de Meti…</t>
  </si>
  <si>
    <t>e, DE LOTERIAS NACIONALES.</t>
  </si>
  <si>
    <t>DE LOTERIAS NACIONALES. e</t>
  </si>
  <si>
    <t>…a á los que se dedican á La comisión creada en la Habana para impulsar la sus­ principal. esta difícil profesión. cripción remite 409 pesos fuertes á que se han suscrito desde luego los señores que la componen, DIRECCION GENERAL DE LOTERIAS NACIONALES. en la proporción siguiente: Noticia de los pueblos y administraciones donde han cabido ciones EMBAJADORES. Hoy domingo habrá dos excelentes fun­ D. Joaquín Gómez.............................................................. 51 los 20 premios mayores de los 602 que comprende…</t>
  </si>
  <si>
    <t>e, DE LOTERIAS NACIONALES. Inscripciones</t>
  </si>
  <si>
    <t>DE LOTERIAS NACIONALES. Inscripciones e</t>
  </si>
  <si>
    <t>…l portador al 5 por 1 0 0 , 20 trece dieziseisavos y 20 £ á v. f. vol. y firm e: 21 ^ , 20 quince dieziseisavos, 2 l£ y 20 £ á v. f. ó vol. á prima de § , £ , \ y £ por 100 con c u p o ­ nes. BIBLIOGRAFÍA. DI R ECCION GENERAL DE LOTERIAS NACIONALES. Inscripciones en el gran libro á 4 P°r 1 0 0 , 0 0 . Títulos al portador del 4 Por 1 0 0 , 00* Noticia de los pueblos y administraciones donde han cabido Vales Reales no consolidados, 00 . Los 15 premios mayores de los 600 que comprende el sor­ D euda negociable de 5 por 10…</t>
  </si>
  <si>
    <t>e, DE PRESIDIOS DEL REINO. Otra</t>
  </si>
  <si>
    <t>DE PRESIDIOS DEL REINO. Otra e</t>
  </si>
  <si>
    <t>…a,. cuesta de las Tejas, término de buena, D. Alejo Perez, D. Genaro Bayon, D. Pedro José de Viator, Virgen de los Doloros, por Luis Trujillo, en 3. Cea , D. Gabriel Alvarez de Alvarez , D. Miguel Carbajo, Don DIRECCION GENERAL DE PRESIDIOS DEL REINO. Otra en sierra de Gador, Balsanueva, término de Berja, Juan María Barte, D. Alejo Carro y D. Juan Bustamante; y El Boliche, por D, Francisco Sánchez, en 8. hallándose enfermo hace tiempo el D. Miguel Carbajo y ausen­ Excmo. Sr.: En Real orden de 21 de Febrero próxi­ Otra i…</t>
  </si>
  <si>
    <t>e, DE RENTAS ESTANCADAS.</t>
  </si>
  <si>
    <t>DE RENTAS ESTANCADAS. e</t>
  </si>
  <si>
    <t>…, al mismo emplearon. tiempo que el enemigo lo abandonaba arrojándose por las ven­ Del recibo de esta circular también espera la dirección desorden tanas y tapias, lo cual dió márgen á que en esta confusiou y DIRECCION GENERAL DE RENTAS ESTANCADAS. el oportuno aviso. dejase en los alojamientos dos caballos, 10 fusiles y una Dios guarde á V. S. muchos anos. Madrid 23 de Agos­ te, no pudo perseguir multitud de prendas de equipo. La caballería, dice el par­ to de 1839.=José María Lopez.=Sr. intendente de la pro­ propósito…</t>
  </si>
  <si>
    <t>e, Deffaudis. Por</t>
  </si>
  <si>
    <t>Deffaudis. Por e</t>
  </si>
  <si>
    <t>…rechos ni el honor de binete no habia nombrado para la nueva negociación á su an­ ninguna de las dos partes. Los pecuniarios debían ser los pri­ d o r a . y la Serma. Sra. Infanta Doña María Luisa Fernan­ tiguo ministro el barón Deffaudis. Por errados que fueran es­ meros que se presentaran á Méjico como los mas oportunos , y tos raciocinios y falsos los hechos en que se apoyaban , yo no debia resolverse á hacerlos con generosidad. Entrar en un aná­ da , continúan en esta corte sin novedad en su importante podia prescindir…</t>
  </si>
  <si>
    <t>e, Despacho</t>
  </si>
  <si>
    <t>Despacho e</t>
  </si>
  <si>
    <t>…muchos años. Madrid 14 de m a liz a r un parte c ircu nstan ciado de todas las operacion es, que des que os distin g uen, todo lo v e n c e re m o s: la R e in a y la p a tr ia Mayo de 18 39.= lsid ro A laix.= Sr. Secretario del Despacho en globo verá V . E. en la a d ju n ta copia de la orden gen eral de p re m ia rá n tan heroicos sacrificios : los pueblos os re cib irán con h o y , y por ella podrá form arse u n a idea del m érito de esta entusiasm o , y por siempre conservareis el am or de vuestro g e ­ de la Gobernaci…</t>
  </si>
  <si>
    <t>e, Despacho de la Gobernación</t>
  </si>
  <si>
    <t>Despacho de la Gobernación e</t>
  </si>
  <si>
    <t>…e los pueblos con la H a­ El Senado quedó enterado de los oficios siguientes: producción en el distrito de cada demarcación m unicipal, según cienda pública por esta contribución extraordinaria se com­ Uno del Sr. Secretario del Despacho de la Gobernación el que tuvieroo al tiempo de la decimacion en los diferentes pondrá: 1 .° del cupo que les hubiese cabido con proporción á acompañando una colección de circulares y órdenes generales puntos en que fueron diezmados. la cantidad íntegra señalada por la ley de 30 de Junio d…</t>
  </si>
  <si>
    <t>e, Despacho de Sin</t>
  </si>
  <si>
    <t>Despacho de Sin e</t>
  </si>
  <si>
    <t>…exposición. noticia de V. E. para los efectos consiguientes. De Real El Ministerio ingles no ha acabado aun sus modificaciones. El Sr. CA LD ER O N G O LLANTES dice que siente infirn- orden, comunicada por el Sr. Secretario del Despacho de Sin embargo, se ha agregado ya á Mr. M ac-Aulay uno de to’ que las circunstancias en que se halla el Congreso le hagan Estado, lo traslado a V. E. para los efectos oportunos en los oradores mas distinguidos de los Comunes, que toma el guardar silencio sobre lo que se dice en esa exposic…</t>
  </si>
  <si>
    <t>e, Despacho Leido</t>
  </si>
  <si>
    <t>Despacho Leido e</t>
  </si>
  <si>
    <t>…se; digo mas , el riesgo existe porque yo no concibo qué diferencia sustancial hay de la nueva redac­ 16, 17 y 18. puede saberse por algunos cuándo han de hacerse estas opera­ ción á la antigua. El otro dia el Sr. Secretario del Despacho Leido el 19 , dijo ciones, aun sin decirlo ninguno de los individuos de la junta. de Hacienda en su discurso explicó este artículo en los mismos El Sr. M A RT ÍN EZ DE L A R O S A : M i oposición á este .Pues q u é, ¿no se sabe que el pozo de todas las falacias y men­ términos exactamente…</t>
  </si>
  <si>
    <t>e, Diez</t>
  </si>
  <si>
    <t>Diez e</t>
  </si>
  <si>
    <t>…illete 8 rs. vil. altillo de S. Blas y del prado de Recoletos. Los billetes se hallarán en la calle de C arretas, frente &amp; y con hom bres. Esta nos parece que es la m a rc h a seguida La ejecución de la pieza fue buena. La Sra. Diez estuvo correos, donde se despachan los de los toros, y en el mismo lo- hasta ahora por los actuales consejeros del trono. muy feliz, no menos que el Sr. Julián Romea. El Sr. Florencio cal del baile. N in g ú n m inisterio ha dado en tan corto espacio de caracterizó perfectamente el atolondrad…</t>
  </si>
  <si>
    <t>…ública Se representa la tragedia de Cinna delante de 2$ Y en cumplimiento de lo resuelto en el artículo 15 del Real decreto de 15 de M arzo, firma la junta por cuatriplicada la Seguirá un P as-de-deux, nuevo, bailado por la Sra. Diez espectadores, y produce escudos á millares. Esta es una re­ presente acta formal á los efectos y para los usos que el mismo y el Sr. Casas, composición de este ú ltim o; terminando la fun­ volución casi tan grande como inesperada. Querréis decir y la Real orden de 21 de Noviembre previenen, d…</t>
  </si>
  <si>
    <t>e, Diputado</t>
  </si>
  <si>
    <t>Diputado e</t>
  </si>
  <si>
    <t>…iento no ha habido por ning ún En vano se apurará el ingenio del Sr. Mendizabal ni el de reales al año: ¿y para dar 100 rs. al año, para dar esta mise­ concepto idea exclusiva de partido, no ha habido m asque el ningún otro Sr. Diputado en probar que en el día dé hoy el ria se esquilma la nación de un modo que no puede sufrir? deseo de cumplir una promesa solemne hecha en nombre de la Congreso está obligado de un modo legal al cumplimiento de lo Sean 1503 hombres, sean pocos mas ó menos, son necesarios, nación y de la cor…</t>
  </si>
  <si>
    <t>…afo : "reuaciendo propone sean aprobadas, y admitidos D. Olegario de los Cue­ Refiriéndose el Sr. Heros al párrafo que trata de las Poten­ por lo tanto la tranquilidad de los pueblos” , y .... tos, D. Aotonio Fajardo y otro Sr. Diputado electo por la cias del N orte, nombró S. S. á una persona por nombre pro­ El Sr. P R E S ID E N T E : Sr. O choa, yo no puedo perm itir misma. p io, agravándola con una calificación acerba, que creo que que se interrumpa al que habla. El que desee rectificar hechos Paso á dicha comisioo e…</t>
  </si>
  <si>
    <t>…ce que que no tengo tiempo para nada absolutamente , ni para leer no­ tiempo una persona me presentó una carta que acababa de re- no cobra el sueldo de consejero cesante porque no ha jurado la tas , ni para escribirlas &amp;c. El Sr. Diputado está equivocado, ci ir e a r j s , a cual hacia relación circunstanciada de la ida Constitución. yo no he dicho eso, ni es tampoco exacto. e os res. ^ea y M arlian i á Berlín y del objeto de la misión. A esto diré á S. S. con la veracidad que acostumbro , que Yo no tengo la voz ni los medi…</t>
  </si>
  <si>
    <t>…y tenientes alcaldes. El Sr. PPiESIDENTE: La mesa hasta ahora no ha notado de las Cortes; este es otro sofisma. ¿Se sabe hasta qué puuto. Y no se diga que la corona elige uno entre 15 , 20 ó 2/j. falta de libertad en ningún Sr. Diputado en los discursos que nos puede llevar la teoría de S. S. ? Establecidos sus principios, que propone el pueblo , pues que no hay u a pueblo en España han pronunciado. Los Sres. Diputados todos saben sus deberes, seria el Gobierno árbitro de estar continuamente convocando las que tenga 24 per…</t>
  </si>
  <si>
    <t>e, Diputado Alvarez. En</t>
  </si>
  <si>
    <t>Diputado Alvarez. En e</t>
  </si>
  <si>
    <t>…nas que como simples ciudadanos están en el caso de ser atropellado no veo que sea el medio legal de esclarecer la con­ exije de parte mia una explicación tan amplia corno sea po­ juzgados por la justicia ordinaria. ducta del Sr. Diputado Alvarez. En el articulo de la Constitu­ sible de la doctrina constitucional, que es la única que yo re­ A si , señores, el voto de censura está claro , pues se le dice ción veo por una parte la garantía de nuestra inviolabilidad, y conozco, 110 la de los bandos, ni la de los estados de sit…</t>
  </si>
  <si>
    <t>e, Diputado D. Francisco de Paula Alvarez</t>
  </si>
  <si>
    <t>Diputado D. Francisco de Paula Alvarez e</t>
  </si>
  <si>
    <t>…se quiere otr* cosa no der al Gobierno de S. M. la autorización necesaria para conti­ el desorden en la adm inistración del Estado. C onsiderada me dirijo en partictdar al Gobierno; comprendo á todos los es­ nuar la causa al Sr. Diputado D. Francisco de Paula Alvarez esta opinión bajo su aspecto teórico está conforme a los pañoles. He hablado de una tendencia que veo , por lo demas no entendiéndose para ante el tribunal que corresponda y sea verdaderos principios; pero considerada bajo su aspecto fie tratado jamas de hacer…</t>
  </si>
  <si>
    <t>e, Diputado.</t>
  </si>
  <si>
    <t>Diputado. e</t>
  </si>
  <si>
    <t>…otros varios Sres. D ip u ­ Ju r a ro n y tomaron asiento en el Congreso los Sres. L u ja n , Después de un breve discurso del Sr. conde de las N avas, tados, en la que pedían que ningún empleado de nombramien­ Chacón y otro Sr. Diputado. en que manifestó la urgente necesidad de esta proposición , a le ­ to Pieal pudiera ser D iputado por la provincia donde ejerciese El Congreso quedó enterado de una comunicación del señor gando que n ingún español verdaderamente liberal dejaba de su empleo. M inistro de E stado , en que m…</t>
  </si>
  <si>
    <t>e, DIRECCION GENERAL DE RENTAS ESTANCADAS.</t>
  </si>
  <si>
    <t>DIRECCION GENERAL DE RENTAS ESTANCADAS. e</t>
  </si>
  <si>
    <t>…d ir ec ció n n o p o d r á menos de co m o debia de tan agradable n u e v a , accedí á su pretensión , y atribuir tan diferen te resultado á las causas opuestas ; y di las órdenes oportunas para que hubiera repique general de DIRECCION GENERAL DE RENTAS ESTANCADAS. en este c o n c e p to p r o p o n d r á al G o b i e r n o de S. M. el acu er­ campanas é ilumin ación por tres d ia s , y permití también que d o de aquellas dis posiciones qu e una situación semejante el pueblo se festejase corriendo algú n novillo e n m a…</t>
  </si>
  <si>
    <t>e, Distribución</t>
  </si>
  <si>
    <t>Distribución e</t>
  </si>
  <si>
    <t>…­ mente sus deberes en la parte de que trata el artículo an­ la circulación. das preferencias, abusos ni ilegalidades de ningún género; terior, y concurrirán al logro del resultado necesario con Art. 20. La contaduría general de Distribución está y finalmente, que la cuenta de los rendimientos de todos cuantas disposiciones esteu al alcance de su celo y au­ encargada de promover y reclamar de la dirección gene­ los tributos y de su inversión se lleve con claridad, y á toridad. ral del Tesoro público la recaudación de los…</t>
  </si>
  <si>
    <t>…a general de Valores la recaudación de los inedio de procurador con poder bastante los que fueren. D E C IM A SE P T IM A Q U E M A . arbitrios pertenecientes al mismo monte, y á la dirección del tesoro y contaduría general de Distribución el pago de R e u n id a en la plaza de la Constitución á las once de la m a­ |us viudedades, quedando á la junta del establecimiento la ñ a n a de este día la ju n ta nombrada por S. M . para p residir la el infrascrito escribano del número de esta ciu d a d de S a - única incumbenci…</t>
  </si>
  <si>
    <t>e, Domingo Ileo</t>
  </si>
  <si>
    <t>Domingo Ileo e</t>
  </si>
  <si>
    <t>…en esta ciudad una obispo de Mellipotaruus, vicario apostóüco grande alarm a, y no sin motivo, pues que acababa de pasar á de concentrar las tropas sobre la ciudad de Argel si no nos lle­ desde 14 de Febrero de 1794 &gt; J ^ doctor Domingo Ileo eres, legua y media de distancia de nuestras murallas ,’una columna gan refuerzos cuanto antes. El msl tiempo y los enemigos ha­ obispo de Fascite, coadjutor desde 8 de Setiembre de 1890) han del ejército de A bd-el-K ader, dirigiéndose desde los alrededo­ cen tan difíciles las comunica…</t>
  </si>
  <si>
    <t>e, Don</t>
  </si>
  <si>
    <t>Don e</t>
  </si>
  <si>
    <t>…el enemigo de la propagación de las luces; pero el la adquisición de una escuadrilla para el mar del Norte pueblo y de su historia militar, de que i»o puede prescindiese Excrno. Sr. Presidente y su Ministro de Guerra el general Don el fin de bloquear los puertos de los téjanos sublevados, facj|j cuando son necesarias consideraciones filosóficas para el acierto. Ignacio Mora y Villa mil, satisfechos de los abundantes f r u ­ tar la conducción de víveres para el ejército, y también de tro! El Excmo. Sr. Presidente y alguno…</t>
  </si>
  <si>
    <t>…. la Reina Gobernadora se ha dignado prevenirme en­ am aba, era muy apasionado al arte dramático, cuyo gusto no mas que suficiente para pagar el ílete. (Diario de la Habana.) tregue el mando de segundo cabo de Aragón al brigadier Don es difícil inspirar á jóvenes en el momento en que se despierta Luis del Corral, destinado de cuartel á Zaragoza; y si aun no en ellos el sentimiento y la inteligencia. Todos los años nos h a­ hubiese llegado á la capital, al gefe que corresponda por or­ cia aprender y repetir una tragedia y u…</t>
  </si>
  <si>
    <t>…de 1837 la Excrna. Sra. Doña María del fin á la fuuciou con la divertida comedia patriótica en aumente un acto, Entre todas las lecciones nos han parecido mas interesantes Carmen Reguera y Villamil , viuda del teniente general Don eltitulada precio á que ahora se vende. por las observaciones curiosas que contienen , la 9 .a en que tra­ José Montes Salazar , se llam a, cita y emplaza á los que se Todos ellosO serán T R O DIA ejecutados B LO Ppor R E Ddistintos IC A D Oartistas; R, y para ta de la tierra , y la 11 .a en…</t>
  </si>
  <si>
    <t>e, Dor Escriben de Rio-Janeiro</t>
  </si>
  <si>
    <t>Dor Escriben de Rio-Janeiro e</t>
  </si>
  <si>
    <t>…go mortífero á nuestra caballería; pero nada pude francesa,” únicas palabras que el generalísimo pronuncia cor­ detener á estos bravos soldados. rectamente en nuestro idioma. El segundo escuadrón de guias mandado por su coronel Dor Escriben de Rio-Janeiro el 18 de M arzo: José Lemerí y uno de Borbou á las órdenes del capitán con gra El Emperador D. Pedro n ha dado una gran comida el 16 do de comandante D. Juan del Hoyo que hice marchar por 1í de M ayo al Príncipe de Saboya C ariñ an , que llegó á R io-Ja­ derecha, no fu…</t>
  </si>
  <si>
    <t>e, Doroteo</t>
  </si>
  <si>
    <t>Doroteo e</t>
  </si>
  <si>
    <t>…§ á v. f. ó Los distinguidos artistas Sres. Gómez y Cavanna están en­ Toledo.—Sección central. =:El Excrno. Sr. comandante general vol. á prima de i y | por 100 con cupones. cargados de la galería de retratos, y del estampado D. Doroteo en gefe de las provincias de Ciudad-Real y Toledo dice con Inscripciones en el gran libro á 4 por 1 00 , 00. Bachiller. El Sr.^ de Gómez ha desempeñado el del expresado esta fecha al Excmo. Sr. Secretario del Despacho de la Guerra Títulos al portador del 4 P ° r 1 0 0 , 00. autor. lo sigu…</t>
  </si>
  <si>
    <t>e, Dúo</t>
  </si>
  <si>
    <t>Dúo e</t>
  </si>
  <si>
    <t>…porque no ha sido promo­ Inscripciones en el gran libro á 5 por Í00, 00. coración y trajes. vido ni cultivado, á causa de la crasa ignorancia en que han Títulos al portador del 5 por 100, 27 | once dieziseisavos y por5.°la Sra. Dúo en la ópera Anna Bolena , del maestro Donizetti, vivido sus individuos: pero tampoco fue combatido, vencido 2 7f con cupones al contado: 28*, 28*, | , 2 7#, * ,2 8 * á v. Lombía y el Sr. Reguer; con decoración y trajes. ni aniquilado por la acción de tas doctrinas inmorales esparci­ f. ó vol.…</t>
  </si>
  <si>
    <t>e, Egaña</t>
  </si>
  <si>
    <t>Egaña e</t>
  </si>
  <si>
    <t>…punto suficientemente discutido mientras hubiese se­ malgastase el tiempo. anómala la eutnieuda que se ha tomado en consideración. So­ ñores Diputados que tuviesen pedida la palabra. Después de unas ligeras observaciones del Sr. Egaña en apo­ bre las demás razones que ha expuesto S. S. nada digo; pero el El Sr. B A R R IO AY U SO pidió que se leyese la proposi­ yo de la proposición , se declaró el punto suficientemente dis­ Sr. Quinto sabe mejor que yo que el modo de im pugnar una ción que presentó ayer, y de que no habia…</t>
  </si>
  <si>
    <t>e, EGEA</t>
  </si>
  <si>
    <t>EGEA e</t>
  </si>
  <si>
    <t>…M á la g a , C á d iz , Jerez de la Frontera y otras plazas, se seguirles perjuicio alguno. del tesoro y los documentos legítim os de sum inistros liq u id a ­ pasó al Congreso el expediente acerca de la contrata de azo­ El Sr. EGEA expuso que en el artículo no se hablaba abso­ dos, hechos en la misma provincia a l e jé rc ito , asi como los do­ g u e s , el cual pasó á la comisión de H acien d a, deliberando las lutam ente de créditos que fuesen dudosos, pues term inantem en­ cumentos de crédito contra las rentas p ú b l…</t>
  </si>
  <si>
    <t>e, Egea</t>
  </si>
  <si>
    <t>Egea e</t>
  </si>
  <si>
    <t>…^Nicolás F¿gueroa.=Mariano respondiese nombrase interinamente un individuo que reempla­ Sr. Se acordó llamar al suplente por Barcelona en reemplazo del Arguelles , que optó por Madrid. Fernandez M ontes, secretario. zase al Sr. Egea en la comisión de Examen de actas por hallarse Pasaron á la comiúon de Actas: dicho señor enfermo. Un oficio del Sr. D. Jo&gt;é María A rroyo, pidiendo se le ad­ Continuando la discusión de la propuesta de la mesa sobre mitiese eu el Congreso como Diputado por la provincia de Cas­ los expedient…</t>
  </si>
  <si>
    <t>e, Eiío</t>
  </si>
  <si>
    <t>Eiío e</t>
  </si>
  <si>
    <t>…h oy r^nbimos de las provincias Vascon­ pi eludió de otros que animosas buscarán las tropas de este ejér ­ nuda ni se mete en la cama para descansar. gadas son de! mas aUo inte é , V ;q u é la ícrisis que he-: cito. El general Eiío está en Estella , y Diego León en los A r ­ mos anunciado e&gt;tá á punto de eAalLr. D. Carlos se haba p ri&lt;■. Dios guarde á V. E. muchos años. Cuartel general de V a ­ cos. Deatro de potos dias enviaré á usted pormenores interesan­ sionrro en Oñíite. A le ncian o de J u lio de 1 8 5 9 —Excrno S…</t>
  </si>
  <si>
    <t>e, El</t>
  </si>
  <si>
    <t>El e</t>
  </si>
  <si>
    <t>…obre Parras, Bordou , Luco y otro* PROVIDENCIAS JUDICIALES. puntos, en ios que se suponia continuaban. Por Otra comunicación del 8 manifiesta habia adelantado J g N esta virtud de provideocia del Excmo. Sr. capitán general de El embajador de Francia en Dresde, y el embajador de Sa- cuatro batallones con alguna caballería y una batería al pueblo quiera queprovincia, se cita , llama y emplaza á todos y cual­ j^nia en P a ris , han llegado el 2 á Francfort. El Corresponsal de la Cañada, continuando el 3 el Excmo. Sr. duque…</t>
  </si>
  <si>
    <t>…celsa Hija la Reina Doña años. Madrid 14 de Noviembre de 1839. «=s Lorenzo Arra- Isabel i i , considerando conveniente relevar del mando de zola.=Sr. gefe político de...¿ la capitanía general de G ranada al teniente general Don El efecto que debe producir en los Estados-Unidos la sus­ Antonio María Alvarez , vengo en declararle en cuarte pensión de los pagos en efectivo por parte de los bancos, debe con residencia en Sevilla, quedando sumamente satisfecha Subsecretaría.- Circular a los gefes políticos. ser muy perjudicia…</t>
  </si>
  <si>
    <t>e, Elipe</t>
  </si>
  <si>
    <t>Elipe e</t>
  </si>
  <si>
    <t>…Congreso nacional para Dióse cuenta de haber ingresado en la sexta sección el señor no podia y a servir para aquella vez, la fijó en la puerta de la analizar un asunto de tanta trascendencia. He hecho esta o b ­ Cevallos, el Sr. Elipe en la s é p tim a , y el Sr. Serrano en la iglesia y puso una neta diciendo: "que y a q u e no podia ser­ servación , porque asi como el dictámen de la comisión se ha primera. v ir para aquella vez, sirviese para lo sucesivo.” apoyado en estos documentos, también rae voy á ap o yar en Quedaron…</t>
  </si>
  <si>
    <t>e, Elordi</t>
  </si>
  <si>
    <t>Elordi e</t>
  </si>
  <si>
    <t>…a una artículo. M A D R ID 6 DE E N E R O . corta escolta que trajo en su compañía. El Sr. Secretario del Despacho de H A C IE N D A observó que H oy se celebra en esta villa con toda solemnidad el segundo Ta objeción del Sr. Elordi estaba contestada en sí misma. Que aniversario del levantamiento del sitio memorable que sufrió la sí efectivamente habia provincias que tuviesen cubiertos sus A poco que se medite sobre el estado á que habían misma en 1 8 3 6 ; y reina el orden mas perfecto. cupos, 110 soto con la contrib…</t>
  </si>
  <si>
    <t>…música m ar­ Se anunció haber ingresado en la primera sección el señor la atención en ello , que la comisión ha fijado su artículo 2.° cial. A l llegar á la p la z a , de vuelta de la fu n c ió n , invitó el Montoya , y e! Sr. Elordi en la segunda. |como base de tres puntos cardinales: i .° cumplir una promesa: alcalde á todos para que subieran á las salas c ap itu lare s, y en Se le^ó y quedó sobre la mesa: P rim ero , un dictamen de ! 2.° moralizar el p a i s , y 5.° desamortizar la propiedad. particular á una pequeña…</t>
  </si>
  <si>
    <t>…ero contestado por el Sr. Presi­ C O N G R E SO D E D IPU T A D O S . felicitaba por la memorable sesión del dia 7 del presente mes. dente que la prohibición que hacia el reglamento era con rela­ Se anunció haber ingresado el Sr. Elordi en la segunda ción á los discursos, para lo que se leyó el art. 89, recayó so­ PRESIDENCIA DEL SEÑOR CALATRAVA. sección. bre él igual acuerdo que con el dictamen de la mayoría. Sesión del dia 24 de Octubre. Continuó la discusión pendiente sobre el proyecto de con­ Procediéodose en seguid…</t>
  </si>
  <si>
    <t>e, Emperador Dublin</t>
  </si>
  <si>
    <t>Emperador Dublin e</t>
  </si>
  <si>
    <t>…para los ministros el haber obtenido una desaproba­ En una reunión de la sociedad de precursores celebrada ea ^ Irlanda, á instancias de mi noble amigo el Secretario de Estado ción tan explícita de parte del primer ministro del Emperador Dublin el martes ú lt im o , habló M r. O ’Connell acerca de la Nicolás. para Irlanda. rnocion de lord John Russell , que está fijada para el lunes El resto de la sesión hasta 1a salida del correo no ha presen­ próximo. "Del resultado de esta rnocion, dijo, depende la suer- tado Ínter…</t>
  </si>
  <si>
    <t>e, En</t>
  </si>
  <si>
    <t>En e</t>
  </si>
  <si>
    <t>…e grave para no merecer una tallones que estaban á su servicio han seguido su ejemplo, nuestras tropas. ,r&lt;,;, respuesta, y yo mismo me proponía interpelar al Gabinete nos parece del mismo modo indudable. ¿Q ué sig n ifica P. D. En el momento de cerrar esta. c a rta , h á j u i ­ acerca de la separación de algunos de sus in d iv id u o s, y para cio un? pequeña,, alarma,qpasionada por 50, caballos .de &lt;%c- pues j el silencio de la G a ceta ? ” saber por qué motivo 00 se ha completado. Los hechos hablan: los dócúmehtó^ d…</t>
  </si>
  <si>
    <t>…es, ordenó que dos canoas costeasen las orillas del golfo, y vándose á los demas prisioneros. pararse de lo ofrecido en el prospecto. Deédé la ptibUcaciÓii viendo que sus diligencias eran in útiles, se d irigió al fuerte de P. D. En el momento de cerrar esta acabo de saber que la del 6.° cuaderno con que ácaba el segundo trimestre , los su s- Creve-Coeur, de doude habia partido. Durante la travesía, unos facción está montando las piezas de artillería que tenia en la criptores de M adridí solo pagarán 5 rs. ihéúsuales , ó por…</t>
  </si>
  <si>
    <t>…ro de hermanos de Ploermel R ey de Inglaterra.” El conserge, conociendo desde luego que ciudad. y de hermanos de S. José destinados á la instrucción prim aria. estaba hablando con un loco , le contestó con mucha gravedad: P. D. En este instante se que el 58 de línea ha llegado esta Ademas se crearán tres nuevas plazas de sustitutos del pro­ * V . M. tiene derecho para ello, pero le suplico me permita que mañana á los acontonamientos que se le habían designado en las curador del Rey en la M a r t i n ic a , tres en la G ua…</t>
  </si>
  <si>
    <t>…cip e subió á la trib u n a ; y después de manifestó ne de Z aragoza con vestuario y efectos de g uerra» y casa de beneficencia, la inclusa, la hermandad del re­ la necesidad de poner coto á la rabia rom ántica que en époc P. D. En este momento acabo de saber por c arta s contestes fugio, la del pecado mortal, la asociación del Buen Pas­ no remota come c ó á apoderarse de nuestros escritos, le y ó un de C a m a r i l l a s , de fecha de a y e r , estarse tra tan d o u n convenio tor, el monte de piedad , el asilo de mendic…</t>
  </si>
  <si>
    <t>e, Enrique</t>
  </si>
  <si>
    <t>Enrique e</t>
  </si>
  <si>
    <t>…un gorro encarnado. nuestro naciente Liceo el éxito feliz con que hemos visto coro­ de Djidgel para ponerle en estado de que pudieran mantenerse Un platero llamado Young leyó un discurso, porque siendo nado el drama heroico de D. Enrique el Caballero, primera alli los buques. las circunstancias demasiado graves no le permitían improvi­ producción del Sr. D. Pedro Sabater: nosotros hemos asistido ” A mi entender el medio mas seguro es cerrar los inter­ sar. Otro orador declaró que si los medies constitucionales no i su repre…</t>
  </si>
  <si>
    <t>…ehemencia descubra el nombre de la víctima: C ar­ valía, y le nombra esta; y el poeta, que ha sabido ya despertar De la hidalguía al iracundo ceño. ranza resiste: D. Enrique, no pudiendo sufrir la terrible in ­ el interés por D. Enrique el Caballero, logra hacerlo con ma­ Pues bien, oid : á quien llamé mi hermano quietud de su alma, mil veces mas atormentadora que el mal yor fuerza en favor de Doña Juana por boca de D . Pedro. Concita al noble á revoltoso empeño, real que te m e, exige de D. Bermudo el nombre de aquella.…</t>
  </si>
  <si>
    <t>…ser comprendido en tan bello catálogo, Castilla del siglo xiv ; á que nos recuerda hechos y costumbres y marca ademas un género nuevo, una ruta y camino que se­ LA ESPERANZA, gloriosas de nuestra p atria, y sobre todo á que D. Enrique el g u i r , donde los artistas pueden recoger laureles. Por eso hemos Caballero es, no solo el enemigo de Pedro el Cruel por las cau­ saludado su aparición con entusiasmo; por eso hemos reseñado sas iras poderosas y sagradas que puede ofrecer el honor perso­ sus bellezas; y profanos al a…</t>
  </si>
  <si>
    <t>…ublicados en diferentes periódi­ 1858 1,291 101,679* 1,313 104,098 cos, cinco tomos en 8.° Precio 70 rs. El Pobrecito H ablador, 15 cuadernos á 2 rs. cada uno, D iferencia.. . . 70 1 25,480 | 47 13,604| 30 rs. El Doncel de D. Enrique el Doliente, novela en cuatro Puerto-Rico 31 de Mayo de 1859.=Antonio M aría del Valle. tomos, 32 rs. El Dogma de los hombres libres, Palabras de un Creyente, traducción del francés con un interesante prólogo: un tomo ea 8.°, 10 rs. un diccionario de las voces contenidas en ellos, en la…</t>
  </si>
  <si>
    <t>…dolid, Rodríguez. Zaragoza , Yagúe. Granada, Sauz. Id. Pobrecito hablador, 15 cuadernos. •-aplicar el sentido de la voz ó frase que lo necesite; pero solo Valencia, Mailen. Coruña, Perez. Burgos, Arnaiz. Vitoria, Id. Doncel de D. Enrique el D oliente, 4 tomos. nos atreveremos á corregir en los versos una palabra cuando Honnilugue. Santander, Martínez. Santiago, Rey Romero. Id. El dogma de los hombres libres, un tomo. (Traducción). pueda decir el lector, al momento que coteje la variante: "esto Sevilla, Caro Cartaya. Oviedo…</t>
  </si>
  <si>
    <t>e, Enrique Torné. Cuando</t>
  </si>
  <si>
    <t>Enrique Torné. Cuando e</t>
  </si>
  <si>
    <t>…en estos mientras que la destrucción que hacían las espadas y las do hubiere sangre y agua derramada. Finalm ente se ponen exámenes* cimitarras esparcían la consternación sobre las cubiertas. Doctriné cristiana y urbanidad. D. Enrique Torné. Cuando el atrevido U chah vió la mitad de la escuadra tur­ Ortología. D . Salvador Viniegra. ca destruida, y que el resto iba a perecer, tomó la reso­ (i) Doo Quijote, parte I , cap. 3 9 , Novela del Cautivo,</t>
  </si>
  <si>
    <t>e, Enrique. Aparece</t>
  </si>
  <si>
    <t>Enrique. Aparece e</t>
  </si>
  <si>
    <t>…za con su padre ; le anuncia que ha es­ ¿Pensáis que á su hijo tierno D. Bermudo se presenta y les anuncia con satisfacción la pirado esta con la muerte de a q u e l, y Doña Leonor le dice Puede una madre arriesgar? llegada de D. Enrique. Aparece este, nublada la frente por el con el pesar de una alma profundamente abatida. Mejor se querrá abrasar dolor; D. Gonzalo de Mejía, López de Ayala , Fernán Sán­ En las llamas del infierno. chez, todos los ricos hombres y caballeros le ofrecen sus brazos Lo sé , m uy bien lo s é , ¿…</t>
  </si>
  <si>
    <t>e, Entrando</t>
  </si>
  <si>
    <t>Entrando e</t>
  </si>
  <si>
    <t>…una acusación amistosa, diciendo que influían en la pérdida de nuestra riqueza y destruía la industria. mas práctico que el Sr. Acebo , hoy se está verificando , y á mí os empleados de Hacienda del tiempo en que era yo Ministro Entrando en materia, hizo el orador una breve historia &lt;Jel me sucede, con cierta parte de diezmo de 1857 y 58 que el e^habian opuesto al abono del diezmo , y el Sr. Balsera me dijo asunto, manifestando que por una parte se hacia u n beneficio ay untamiento no quiere admitirlo porque en su concept…</t>
  </si>
  <si>
    <t>e, Entró</t>
  </si>
  <si>
    <t>Entró e</t>
  </si>
  <si>
    <t>…ubre. Brunow. El Rey de Holanda ha nombrado Presidente de la primer Se abrió á la una y media. Cámara de los Estados generales para la próxima sesión Mr. de D unin está bajo la vigilancia de la policía ; pero S. E. el Ministro Entró en el salón el Sr. Ministro de Gracia y Justicia. sin embargo se le permite pasear por la ciudad con tal que vaya de Estado A. Van-Gernep. (Id.) Leida el acta de la anterior, quedó aprobada. acompañado de un agente vestido de paisano. Quedó enterado él Senado de los dos Reales decretÓs que in…</t>
  </si>
  <si>
    <t>e, Ernesto Brockinann y D. Anselmo Mateo.</t>
  </si>
  <si>
    <t>Ernesto Brockinann y D. Anselmo Mateo. e</t>
  </si>
  <si>
    <t>…ibunal sentenció al acucado á un año de prisión ; pero á pe­ la Somera y D. Manuel Maderne. las noticias de una victoria tan gloriosa para la cristiandad tición de la embajada francesa el Papa acaba de concederle Humanidades. D. Ernesto Brockinann y D. Anselmo Mateo. exclamó en un religioso éx tasis: F u it hamo missws á D so gracia plena y entera , despucs de una detención preventiva de Dibujo. D. Guillermo Macpherson , D. Víctor García Ga.v- cajas nomen erat Jo a n m s . mas de un mes. ton, D. Ramón Viilaiba, D. José Gó…</t>
  </si>
  <si>
    <t>e, Escario</t>
  </si>
  <si>
    <t>Escario e</t>
  </si>
  <si>
    <t>…naciones. Los doce Pares dieron los autores de novelas, asi antiguas como modernas , convino Eii consecuencia tengo la honra de presentar á las Cortes asunto á las primeras novelas francesas: en ellas se ve esa lucha con el Sr. Escario en que no tienen objeto alguno moral ni po­ el siguiente vigorosa entre los grandes y los pueblos , ese ardor belicoso que lítico: su fin principal ha sido ePcntreteoimiento, el solaz agra­ les llevó á Palestina, ese espíritu de guerra y religión que fue dable. Proyecto de ley para realiz…</t>
  </si>
  <si>
    <t>e, Espartero</t>
  </si>
  <si>
    <t>Espartero e</t>
  </si>
  <si>
    <t>…illen y Gras , M ontesino , Sánchez del reglo á la Constitución. ve desde luego á efecto las medidas que considere necesarias P ozo , Acedo R ico , F e rr a z , López de P e d raja s, O s e a , Starico, El pensamiento del general Espartero está trad ucid o fiel­ p ara la ejecución del convenio celebrado en V erg ara en 51 de Cerbelló , L il lo , V erd ug o , Sr. Presidente. mente en el art. 1.° dé la enmienda. El general E s p a r t e r o , se­ Agosto del presente a n o , entre el ilustre cap itan general duque Señores que d…</t>
  </si>
  <si>
    <t>…paso á la comisión, ni se oyó ol G o ­ cia de esta cuestión, que vuelvo á repetir que su importancia se la idea de que por consecuencia de la ley que hagamos sobre bierno..... la hemos dado nosotros, porque si el ilustre general Espartero este particular ataque la Constitución y se traspase la línea, de El Sr. P R E S ID E N T E : Sr. M inistro, esa expresión exige que va á adquirir el renombre de pacificador de E spaña, en el la cual no podernos pasar ninguno de nosotros? Pues he aqui una contestación de mi parte: el proye…</t>
  </si>
  <si>
    <t>e, Esperanza López</t>
  </si>
  <si>
    <t>Esperanza López e</t>
  </si>
  <si>
    <t>…G o­ dicha villa fundó para sus parientes O. Juan de M adrid, cuya la Coruña Reunidos nuevamente en la sala capitular de la ciudad de bierno, signo y firrno el presente en Segovia y Setiembre 50 sobrina heredera u “ ¿versal Doña Esperanza López es abuela te el nuevolossorteo señores que á continuación se expresan , median­ de 1859.—Baltasar Pastor. que tuvo lugar, precedido el juramento en materna del exponente, y que por lo mismo se cree con mas de­ manos del Sr. alcalde recho á ella que D. Juan Medina que en la actualid…</t>
  </si>
  <si>
    <t>e, Estado de Negocios</t>
  </si>
  <si>
    <t>Estado de Negocios e</t>
  </si>
  <si>
    <t>…spero no obs­ sobre estos negocios, y que den una idea de las reclamaciones puesto de amigos honorables, acordó por unanimidad alojar en tante que el asunto podrá arreglarse, pues ignoro haya alguna dirigidas por el Secretario de Estado de Negocios extrangeros un punto á las dos compañías, cuyo voto emitió por el interés circunstancia capaz de oponerse á una avenencia amistosa. al Gobierno francés. de la tranquilidad pública , del de los jornaleros para impedir Pero en cuanto al A fghanistan, estamos sosteniendo en este Lor…</t>
  </si>
  <si>
    <t>…a pasea lentamente á caballo seguido de una pequeña escolta , y crupulosa atención. de la guardia municipal de la calle de Mouffetard. Se dice que recorre con preferencia el cuartel de los francos. Antes apenas £1 Secretario de Estado de Negocios extrangeros., respon­ en el camino dirigió al oficial de paz estas palabras: "N ada im ­ se le veia en público, y casi siempre iba en carru aje: parece diendo á una interpelación de lord Sandon, manifestó que ha­ p o rta; mas tarde ó mas temprano nuestro asunto ha de llegar que a…</t>
  </si>
  <si>
    <t>…W . G. O useley. ■ .i„ ,r-i¿ ¡" irg « -g rs rs rB ! ■ ■, ■ ■■-= T suplemento. El que suscribe, del Consejo de S. M . el E m perador, m in is­ Y no dirigiéndose n io gu n a d em an d a, á pesar de las reite­ tro y secretario de Estado de Negocios ex tran gero s, después de S. M. la R e i n a , su augusta Madre la R e i n a G o b e r n a ­ radas invitaciones que se hicieron al público para ello , dispuso haber d irig id o al Sr. W . G. Ouseley , encargado de negocios el Sr. vicepresidente se abrieran los paquetes que cont…</t>
  </si>
  <si>
    <t>…á bor­ dez Coello para que le exonerase del cargo que interinamente cimiento el muy honorable Sir Roberto Peel. Existen en la con­ do de mi buque, asi como el piloto. Pregunté al oficial fran­ ejercía de Ministro y Secretario de Estado de Negocios ecle­ textura de la adición ciertos pasajes que debo señalar antes de cés si entendía bien loque le decia (hablábamos en francés). Me siásticos y de Justicia que desempeñaba á toda mi satisfacción, entrar en la discusión de la cuestión principal. contestó que me comprendía perfect…</t>
  </si>
  <si>
    <t>…relativamente á las pre­ horas. Al salir de esta visita el embajador de Francia dirigió rar que los arrebatos, las injurias y la calumnia deshonran i tendidas concesiones que la Rusia está dispuesta á hacer á la al secretario de Estado de Negocios extra ngeros de Roma una los que suelen recurrir á ellos. Si los principales representantesInglaterra y á la Fracía acerca del tí atado de Unkiar-Skelessi nota oficial, declarándole que conforme á las instrucciones ter­ de la publicidad cotidiana acordasen y perseverasen en estos…</t>
  </si>
  <si>
    <t>e, Estado Fran-</t>
  </si>
  <si>
    <t>Estado Fran- e</t>
  </si>
  <si>
    <t>…algunos obstinados para lo contrario no Taris 17 de Diciembre. han hallado en los que representan sino el desprecio de que luego que hubo entrado en Locarno se formó un gobierno provisional á cuyo frente se puso el consejero de Estado Fran- eran dignas , y por lo mismo deseosos de dar á conocer su ad­ Bolsa del 16. Cinco por 100 consolidados, 111 fr. 90 c. hesión y obediencia á las soberanas disposiciones, no pueden me­ cini. Los miembros de este gobierno improvisado se presenta­ Tres por 100 id , 80 fr., 45. nos de ele…</t>
  </si>
  <si>
    <t>e, Estado Oersted</t>
  </si>
  <si>
    <t>Estado Oersted e</t>
  </si>
  <si>
    <t>…ros calculamos qu a el PARTE RECIBIDO EN LA SECRETARIA DE ESTADO retardadas por el talento de V. M. aumento de! metálico ha debido ser, por ejemplo, de 8000 li­ Y DEL DESPACHO DE LA GUERRA. El Rey ha contestado al consejero de Estado Oersted en es­ bras esterlinas (20 millones) dssde el 10 de Noviem bre, y que tos términos: el fondo de la caja en este momento ascieade i cerca de 3 5000 Por el manifiesto que se publicará en este día os impondréis libras esterlinas (87.5000 franco»), al paso que solo era de 2.2500 El b r…</t>
  </si>
  <si>
    <t>e, Estado y de Negocios</t>
  </si>
  <si>
    <t>Estado y de Negocios e</t>
  </si>
  <si>
    <t>…nados pa­ El D iario do G overno de este dia contiene los Reales de­ ta un hospital de locos. En aquella ciudad no existe ya comer­ cretos exonerando al barón da Ribeira da Sabrosa del cargo de HOLANDA. M inistro y Secretario de Estado y de Negocios extraogeros, que cio alguno, ni se goza de tran q u ilid ad : todos son p e!igro s,y la servia in terinam en te, y nombrando en su lugar y con el mis­ consternación reina en todas las clases. Los comerciantes quie­ A m sterdam 19 d e N oviem bre. mo carácter al conde de Bomfin.…</t>
  </si>
  <si>
    <t>e, Esteban</t>
  </si>
  <si>
    <t>Esteban e</t>
  </si>
  <si>
    <t>…a Se leyó una enmienda del Gobierno reducida á que en l u ­ hacer una porcioa de gastos; siendo a s i, no es m u y 1extraño g a r de 1.° de baldíos, 2.° realengos &amp; c., se dijese: 1.° rea­ de 40, 80 y 2 20 caballos. que el Sr. Esteban en su segundo discurso h ay a bajado el v a - lengos, 2.° baldíos, 5.° propios, si no tienen hipotecas de cré­ D. Leopoldo R e d p a th , corredor jurado y agente en L o n ­ u»r de las tierras á lq rs. Ahora bien , haga S. 8. su cálculo, ditos ó si no están destinados ai necesario aprovecha…</t>
  </si>
  <si>
    <t>e, Esteban Góm</t>
  </si>
  <si>
    <t>Esteban Góm e</t>
  </si>
  <si>
    <t>…itrariedad que habia querido suponerse. Yo aplaudo el celo de los Sres. D iputados que en esta ma­ r Pereda , D. Juan Ranero , D. Francisco López , D . José D íaz lud , solicitada por el Sr. D . M anuel M artínez A jala. y D. Esteban Góm ez, los cuales declararon no haber lugar a Se acordó im prim ir por apéndice al D iario de las sesiones teria defienden los intereses de los pueblos; pero es necesario la formación de causa por ocho votos contra uno , y el Sr. pre- los dictámenes que presentaba la comisión de Peticiones…</t>
  </si>
  <si>
    <t>e, Esto</t>
  </si>
  <si>
    <t>Esto e</t>
  </si>
  <si>
    <t>…necesariamente que llevar otro la Constitución de 1835 , siendo válida únicamente la de 1819. del distrito de R e f o jo , provincia de O rense, que también se pidió. giro que este, pues aqui está reducido á una solicitud de Don Esto es dejar la cuestión en el mismo estado. Hace dos años que L u is Bravo , que no se necesita saber si es el redactor del pe­ no tiene Hannóver representación l e g a l, pues los electores se 4»° Otro del Sr. Fernandez C a n o , D ip utado electo por la provincia de B a d a jo z , solicitando s…</t>
  </si>
  <si>
    <t>e, Estudios</t>
  </si>
  <si>
    <t>Estudios e</t>
  </si>
  <si>
    <t>…ra que se señale parte que le corresponde. diatamente los 205 rs.; y en Real órden de 26 se dijo que el dia en que se haya de abrir la escuela. 6.a Que la contaduría del Ministerio dicte las medi­ debiendo la dirección general de Estudios en cumplimien­ Por Real orden de 27 de Junio del propio año de das oportunas para que se pongan á ‘disposición del d i­ to de lo prevenido en el Real decreto de 21 sobre centra­ 1837, habiéndose recibido una letra de la Habana por la rector de la escuela, con la debida formalidad, las cant…</t>
  </si>
  <si>
    <t>…es materias de enseñanza, dando después cuenta á la edad. Art. 27. Las comisiones superiores rem itirán á la d i­ respectiva cotnision de sus observaciones. Art. 4.° El cargo de secretario de comisión superior rección general de Estudios en todo el mes de Febrero de Art. 42. Cada tres meses darán cuenta las comisiones provincial será desempeñado por el vocal de la misma co­ cada año, un estado comprensivo del num ero de escuelas, locales a la comisión superior de provincia del estado misión que se prestare á este servicio g…</t>
  </si>
  <si>
    <t>e, Estudios.</t>
  </si>
  <si>
    <t>Estudios. e</t>
  </si>
  <si>
    <t>…26 de Setiembre de 18 3 9 .—Juan Martin Carramoliuo.s= dor suyo verá Y . M. sus fieles súbditos, que si en los apuros y tiv o s, van á cesar inmediatamente, acercándonos la paz tan d e ­ Sr. presidente de la dirección general de Estudios. en la calamidad prodigaron cuantos sacrificios exigía su conser­ seada , la paz que es el sumo bien de todas las naciones, á v ir ­ v ació n , en la paz 00 los escasearán á cuanto tienda á fomentar tud del célebre convenio firmado eo Y ergara por el invicto d u ­ la prosperidad pública d…</t>
  </si>
  <si>
    <t>e, Eu</t>
  </si>
  <si>
    <t>Eu e</t>
  </si>
  <si>
    <t>…del Norte. Diceo de Bayona que los expatria­ á otro se espera recibir noticias satisfactorias. cunstancia tan solo á su ventajosa posición , sino principalmen­ dos carlistas tratan de dar un mauifiesto contra M aroto, y que P. D. Eu este momento acabo de saber que Balmáseda ha te á la dominación del comercio que tenia sobre todo el Sud­ D. Cárlos es su prisionero. sido completamente batido en Espinosa de Cervera de esta: pro­ oeste de la Alemania , que ha beneficiado por casi el trascurso de vincia por la columna al mando de…</t>
  </si>
  <si>
    <t>…al hecho , corno las personas que á V . tanto le Durango 1.° de Ju n io de 1859. = Paulino Ram írez de la P is- alarman y con fundados antecedentes que también nosotros los Descuento de letras , á 6 por 100 al año. 1 cioa^izP. D. Eu este momento recibo los oficios de Y . E. sabemos. La conformidad de este señor á todo lo que le propu­ sieron, fue preciso tenerla con intención de que sus procedi­ Número 5. mientos habían de preparar y abrir e! camino á nuestro deseo: asi se va viendo que entre ellos mismos y a se reconvien…</t>
  </si>
  <si>
    <t>e, Eugenio de Tapia. Tercera</t>
  </si>
  <si>
    <t>Eugenio de Tapia. Tercera e</t>
  </si>
  <si>
    <t>…rera con los demás cabecillas y hasta 11 batallones es- Acciones del banco español de S. Fernando, 00. cionada, con un tratado del juicio criminal y algunos otros: tan posesionados de Segura y sus inmediaciones, por lo que por D. Eugenio de Tapia. Tercera edición, revista y corregida, creo no será extraño se trabe alguna acción antes de que los re­ CAMBIOS. y añadida con la jurisprudencia mercantil, con arreglo al có­ beldes abandonen el fuerte. digo de comercio que comprende los dos tomos del suplemento. Burgos 24 de Marzo…</t>
  </si>
  <si>
    <t>e, Evaristo Per</t>
  </si>
  <si>
    <t>Evaristo Per e</t>
  </si>
  <si>
    <t>…o en hoja de lata , 8 cajas ó 1 s c h i- Esta r u b r i c a d o de la Real mano. — En Pal aci o á 1.2 d e No­ contaba qu izas y a como su y o el t r i u n f o , nunca h a b r ía r e i n a ­ r v i e m b¡O H r e de 183 9 . — V D. Evaristo Per ez de Castro , P r e s i ­ do mas que sobre los escombros de un pueblo que desde el m o ­ fu n d id o , viejo 6 ouebrado, los 8 s c h i- ¡ d e nt e del Consejo de Ministros. mento en que el canon de la rebelión se hizo oír en las i n d i c a ­ pOí*53...................................…</t>
  </si>
  <si>
    <t>e, Extremadura</t>
  </si>
  <si>
    <t>Extremadura e</t>
  </si>
  <si>
    <t>…es si no es por eila la acción estaba ganada por Me­ solo se ocupaban en fomentar la revolución, y que para em ­ Y DEL DESPACHO DE LA GUERRA. prender su viaje á la costa tuvieron que pedir á un compatrio­ El capitán general de Extremadura en comunicación de 29 jía , habiendo quitado al Gobierno varios cañones &amp;c. Aunque ta suyo 55 pesos. Se ha exigido la deposición de un juez de pri­ del anterior dice que por la declaración de un oficial que se ha esta uoticia la teníamos afjui desde ayer por un extraordinario mera insta…</t>
  </si>
  <si>
    <t>…e la Gobernación de R E A L DECRETO* Despacho de la Guerra. lá Península. Como R e i n a G o b e r n a d o ra á n o m b r e d e m i a u g u sta Señora: Recibido anoche el correo de esa corte, sin aguardar El capitán general de Extremadura en su parte de opera­ á m andato, estos vecinos de su voluntad iluminaron al in stan ­ H ija la R e in a Doña Isabel i i , y en c o n fo r m id a d con e l ciones del dia 7 dice que á beneficio de las disposiciones que te sus balcones y ventanas , entregándose como por encanto á art. 15…</t>
  </si>
  <si>
    <t>e, Extremadura los Pasando</t>
  </si>
  <si>
    <t>Extremadura los Pasando e</t>
  </si>
  <si>
    <t>…sino en un caso extremo. ¿ Y cuál es lo existente? Qu e el ca­ sagrado que debemos á la letra y espíritu de la Constitución. pitán general, prosiguió, puede expatriar fuera de la mona r­ Invitados por el dig no capitán general de Extremadura los Pasando el orador á hacerse cargo del único medio posible quía á todos los ciudadanos españoles. Se dirá que eso lo han de suspender en todo ó en parte de la monarquía esas garantías, hecho ciertos hombres ; pero yo también diré que lo h an he­ Senadores y Dip ut ad os por las dos p…</t>
  </si>
  <si>
    <t>e, EZ BAEZA</t>
  </si>
  <si>
    <t>EZ BAEZA e</t>
  </si>
  <si>
    <t>…l momento que han obstrui­ A petición del Sr. Laodero se leyó el art. 2 í del reglamento u q proyecto al Congreso? ¿No está dado este dictámen? Y do el camino ,en el cual el Presidente habia puesto á discusión El Sr. FERN A N D EZ BAEZA empezó diciendo que si la desde entonces ¿no se ha empezado á discutir ¿Por qué no ha cuestión que presentaba el Sr. A rteta, se limitase á decir si el esta cuestión. de ocupar su lugar una ley tan importante? La ley de ayun­ Congreso juzgaba Ó no de importancia la discusión de la ley- C…</t>
  </si>
  <si>
    <t>e, EZPELETA</t>
  </si>
  <si>
    <t>EZPELETA e</t>
  </si>
  <si>
    <t>…y ea una misma el de m in isterios, eo esta forma : 1.° Es­ gocios. taban de n ing un a manera para que dicho señor fuese Dip utado. tado: 2.° Gracia y J u s t ic i a : 3.° G u e r r a : 4*° M a r i n a , Comer­ El Sr. conde de EZPELETA expone que á su entender esta Declarado haber lu g a r á v o ta r , fue aprobado el dictámen cio y Gobernación de U ltr a m a r : 5.° Hacienda; y 6 .° Goberna­ segunda parte del dictámen debiera haber formado parte de de la comisión. c ió n : en cada ministerio se colocan: 1 .° los Reales…</t>
  </si>
  <si>
    <t>e, F. Bitancourt y Sánchez.</t>
  </si>
  <si>
    <t>F. Bitancourt y Sánchez. e</t>
  </si>
  <si>
    <t>…Historia general de la civilización en Europa, por M r. en su seguimiento. tos poéticos que se quieran imitar en la composición, como Me aseguran en este momento que los navarros continuat Guszot, traducida del francés por D. F. Bitancourt y Sánchez. es fácil de ver en todos nuestros buenos poetas. Valbuena sublevados, y que D. Carlos y D. Sebastian , á la cabeza de Los señores suscriptores pasarán cuando ‘quieran á recoger el expresa el peso que gravita sobre Encelado en este verso quinto y segundo de Vizcaya, vienen…</t>
  </si>
  <si>
    <t>e, F. de S. Isidro</t>
  </si>
  <si>
    <t>F. de S. Isidro e</t>
  </si>
  <si>
    <t>…que to, alcalde constitucional que fue de la ciudad de Ecija, á los Madrid artístico. quieran seguir la carrera de veterinaria, sea en la clase de alum­ libelos publicados por D. Domingo García y D. Francisco Cus­ por Capilla D. F. de S. Isidro en la iglesia parroquial de S. Andrés,, Fabre. nos externos, ó bien en la de internos pensionistas, se presentarán todio ha recaído por el jurado el fallo del tenor siguiente: á matricularse en la secretaría de la junta consultiva , sita en Reunidos en la sala de conferencias los j…</t>
  </si>
  <si>
    <t>e, Fajardo</t>
  </si>
  <si>
    <t>Fajardo e</t>
  </si>
  <si>
    <t>…cribe en Madrid en la librería de Cuesta, frente á las Dióse cuenta de haber sido incluido en la 4»a sección el se­ Covachuelas; en la estampería de V alle, calle de Carretas, y en ñor Cuetos, el Sr. La Corte en la 5.a y el Sr. Fajardo en la 6.a la redacción, calle del Príncipe, nútn. 15, cuarto entresuelo. El Sr. PRESIDENTE anunció que el Congreso se reuniría En las provincias en las administraciones de correos y princi­ en secciones , y levantó la sesión. Suscripción para socorrer cí las religiosas existentes en los pa…</t>
  </si>
  <si>
    <t>e, Fausto Inscripciones</t>
  </si>
  <si>
    <t>Fausto Inscripciones e</t>
  </si>
  <si>
    <t>…la de López. tado: 2 1 , 20 | y 21 £ á v. f. ó vol. y firme: 2 , § y 2í á riosidad de ello. v. f. ó vol. á prima de i , § , £ , cinco dieziseisavos y i por 100 con cupones. Puntos de suscripción en las provincias.=Avila , D. Fausto Inscripciones en el gran libro á 4 por 1 0 0 , 00. IV'UEVOS elementos de botánica y de fisiología vegetal, por A guado: Badajoz, Sra. viuda de Carrillo: Barcelona, D. Juan Títulos al portador del 4 P°r 1 0 0 , 00. A . Richard, adornados de I 64 figuras intercaladas en el Francisco Piferrer:…</t>
  </si>
  <si>
    <t>e, Felipe Gómez</t>
  </si>
  <si>
    <t>Felipe Gómez e</t>
  </si>
  <si>
    <t>…medio pliego* marquilla que repre— canal se llama Mahmoudieh en honor del Sultán M aham ut, senta la paz y unión en los campos de Vergara. Se vende baj" cuyo reinado ha sido construido. A virtud de providencia del Sr. alcalde D. Felipe Gómez en la librería de la viuda de Razóla, á 4 rs. También Mehemet-Alí hizo abrir otro ca n al, que saliendo Acebo , y para celebrar juicio de conciliación, se cita por el del de M oueys, y recibiendo las aguas del Nilo , pasa cerca de presente á D. José Mosquera, de esta vecindad , cuyo pa…</t>
  </si>
  <si>
    <t>e, Feliu. Yo</t>
  </si>
  <si>
    <t>Feliu. Yo e</t>
  </si>
  <si>
    <t>…pongan á los derechos políticos regidor sexto , Pedro Clavijo.—El regidor séptimo , J u a n de C a - adicionales al reglamento. de sus habitantes. sasoia.—El regidor octavo , Esteban Romero.—El síndico p ri­ Se leyeron por el Sr. Feliu. Yo estoy viendo una cosa de suma importancia en favor mero , Pedro Berdum.—El síndico/segundo, Pedro de A siego .n El Sr. P R E S ID E N T E : El Sr. V i l a , como autor de la en­ de los señores que pertenecen á esas provincias , porque á ellos Secretario , Pedro Sánchez y Luna. m ie n d a,…</t>
  </si>
  <si>
    <t>e, Fernandez</t>
  </si>
  <si>
    <t>Fernandez e</t>
  </si>
  <si>
    <t>…s que expuso opinaba debia desaprobarse el dictámen. Se dirá acaso que le tiene cuenta al Sr. Baeza haber hecho la Diputados, es evidente que por las opiniones de estos señores, Baeza, Sr. según BRAVO M U R ILLO dice que el Sr. Fernandez el art. 45 de la Constitución, por el mero hecho perm uta: ¿ y por que le tenga cuenta aun descendiendo en que ha acogido el Congreso, y que la comisión no hace mas que de haber obtenido la plaza de magistrado de una audiencia sueldo y consideraciones, hemos de entender asi el artículo…</t>
  </si>
  <si>
    <t>e, Fernandez Baeza. Lo</t>
  </si>
  <si>
    <t>Fernandez Baeza. Lo e</t>
  </si>
  <si>
    <t>…dmitirlos queda dictámenes .que ha presentado, y principalmente el que nos ocu­ ido al extremo contrario, y yo para combatirle no voy á dar sujeto á reelección, ereia la cornision que el Sr. Fernandez B¿e- p a , que es el del Sr. Fernandez Baeza. Lo espera con tanta mas muchas razones: con una basta. El artículo de la Constitución za estaba comprendido en este caso, y por lo tanto esperaba confianza , cuanto que no puede presumir ni mucho menos re­ sujeta á reelección al Diputado que reciba empleo, gracia ó que el Congreso s…</t>
  </si>
  <si>
    <t>e, Ferrer</t>
  </si>
  <si>
    <t>Ferrer e</t>
  </si>
  <si>
    <t>…Sr. marques de Y IL U M A : Antes de entrar en el fondo :o q las armas en la mano cuando sea llamado por la ley. Se me PARTE NO OFICIAL. le la cuestioo, tengo necesidad de dar respuesta á una obje- lirá :ion que me hizo el Sr. Ferrer en el discurso del dia pasado, á ;1)asta que ellos redimen con dinero este servicio; pero esto uo , es privilegio ; queda en pie la desigualdad ; existe desde momento en que sean llamados á defender la patria y redi­ saberte . ^ L)ice S. S. que yo tenia por intrusos é ilegales á los D ip…</t>
  </si>
  <si>
    <t>e, Fiand</t>
  </si>
  <si>
    <t>Fiand e</t>
  </si>
  <si>
    <t>…s , d edicada á S. D o n a to , y a p lic a rle la pena eclesiástica de la destitución ; y declaramos de Posea y de Gaesen h a y a n cometido f a l t a s , ¿ n o se las hace f ue edificada por L i d e r i c , p rim e r conde de Fiand es , h á c ia el y resolvemos, en v ir t u d de nuestros plenos poderes eclesiásticos, e xp ia r con bastante severidad el R e y de P r u s i a ? D e desear es siglo xii : era del orden biz antino mas p u r o : su g randioso c a m ­ q u e nuestro venerable hermano M a r t i n es todavía el v…</t>
  </si>
  <si>
    <t>e, Florencia</t>
  </si>
  <si>
    <t>Florencia e</t>
  </si>
  <si>
    <t>…l público por Iglesia romana de un modo sincero y duradero. a lo , y que han perseverado firmes en los vínculos de la co- varias composiciones poéticas llenas de gracia y de verdad. En Asi al principio en el concilio general de Florencia el ar­ uunion católica. Porque no puede á nadie ocultarse los males i n , hé aqui cómo el periódico oficial de los teatros anuncia el zobispo de V ic e w , metropolitano de toda la R u s ia , suscribió graves que resultan para ellos de la deserción de los demas , y íspectácuio que dispone…</t>
  </si>
  <si>
    <t>…na de las iglesia romana de un modo sincero y duradero. salas consistoriales, prévio el correspondiente juramento pres­ habia revestido la autoridad de esta sede apostólica. Pero tam­ Asi al principio en el concilio general de Florencia el ar­ bién es grande nuestra solicitud en favor de aquellos amados cito por la ley, examinada detenidamente la denuncia htcha zobispo de V icew , metropolitano de toda la R usia, suscri­ hijos, que en dicha nación no han podido ser engañados con 3 por D. José Vigil y D. Juan Pardo, autor…</t>
  </si>
  <si>
    <t>e, Florez</t>
  </si>
  <si>
    <t>Florez e</t>
  </si>
  <si>
    <t>…absurda y S. M. la R e i n a , s u augusta Madre la R e i n a G o b e r n a ­ han correspondido á sus promesas y á Ls esperaozas de los violenta confederación. Una victoria espléndida alcanzada por buenos patriotas: el general Florez en su brillante discurso al el ejército unido restaurador, apoyado de la opinión pública, ha dora y la Serma. Sra. Infanta Doña María Luisa Fernan­ Congreso, y en su posterior alocución á los pueblos, ha con­ desbaratado todo ese edificio que Santacruz habia formado con­ da, continúan en esta…</t>
  </si>
  <si>
    <t>e, Francia</t>
  </si>
  <si>
    <t>Francia e</t>
  </si>
  <si>
    <t>…tan 500 heridos, siendo extraordinario el número de muertos bajo los auspicios de Mr. Hughes, siao por la mediación de los recursos, que creo no faltarán. Esperamos de un momento que quedaron en el campo. Mr. Penton, ministro de Francia en los Estados-Unidos, resi­ á otro la confirmación oficial de esta victoria para voltear las dente en la actualidad en P aris, y la del general Cass, minis­ campanas é iluminar el pueblo en celebridad de aquella. El comandante militar de Liria en comunicación de hoy tro de América cerca del…</t>
  </si>
  <si>
    <t>…importante al comercio.) O ndarrua , y fue detenido por la Coqueta , y enviado á Pa­ En la correspondencia del Semafora , periódico de Marse­ sages. Nuestros cruceros no pueden cubrir con su pabellón a los El cónsul general de Francia en los Estados Unidos ha recibido lla , encontramos los siguientes pormenores acerca de esta im ­ pescadores de los puertos ocupados por los carlistas. Esto seria aviso del gobernador de la Martinica, que manda las fuerzas na­ portante batalla que puede producir tan grandes resultados. tin…</t>
  </si>
  <si>
    <t>e, Francisco</t>
  </si>
  <si>
    <t>Francisco e</t>
  </si>
  <si>
    <t>…mprende de sitio 5810 pies con 45 í de fachada ; tiene pozo El 2 l por la tarde pasó un batallón faccioso y permanece m uy lejana , han de componer el museo provincial que ha man­ de abundantes aguas, tasada por el arquitecto D. Francisco en Cherta, adonde el 24 se le reunieron otros tres mas y unos dado establecer el Gobierno. Lino Hernández en Julio del año último de 1858 en la cantidad 500 caballos, que dicen van con Cabrera, el que aseguran se di­ Deseara la sociedad presentar ya en este fausto dia los ade­ de 120,215 r…</t>
  </si>
  <si>
    <t>…pasó ayer al camino de D uraogo Si algunos pasajeros se quisiesen enterar de las circunstan­ Mor: tin , que no comprendió bien el espíritu de aquel hombre con dirección á Tolosa. cias del buque y pasajes en él, podrán acudir á D. Francisco extraordinario, siempre será cierto que el padre del teatro in ­ de Paula Barrero, en la calle de Alcalá, número 2 8 , cuarto ter­ gles excede á todos los que han cultivado el mismo género , en San Sebastian 10 de Marzo . E n la parte del pais que do­ cero, quien desea enterarse de los que…</t>
  </si>
  <si>
    <t>e, Francisco Agustin Silvela.</t>
  </si>
  <si>
    <t>Francisco Agustin Silvela. e</t>
  </si>
  <si>
    <t>…presión, pueda presen­ dam as académ icas para g o b iern o de los estu d ios d e d ib u ­ tar sus .propuestas hasta el día del remate en la secretaría de j o , socied ad econ óm ica m a triten se, junta de dam as u nida Por D. Francisco Agustin Silvela. este gobierno político , en donde se hallará de manifiesto el á e sta , co le g io de so rd o -m u ilo s, a ten eo c ien tífico y lite r a ­ pliego de condiciones. Chinchilla 12 de Noviembre de 1859. DIVIDESE L A OBRA EN C U A T R O PARTES: r io , colecturía g en era l de…</t>
  </si>
  <si>
    <t>e, Francisco de Asís Presas</t>
  </si>
  <si>
    <t>Francisco de Asís Presas e</t>
  </si>
  <si>
    <t>…2 7 0 Artículo 1.° Todo pueblo por donde pase una facción, bien correspondiente al mismo D. José Calasanz Casanovas , re reti­ ea que se detenga en é l , ó bien que le atrav iese, queda o b li­ ró este durante el tiempo que D. Francisco de Asís Presas estuvo T otal............................JL794 en el encerado disertando con maestría sobre el primer punto gado á dar parte á las tres comandancias de armas mas in m e- 1iatas en el modo siguiente: que le habia cabido en su e rte , y contestando con todo acierto á A rt. 2…</t>
  </si>
  <si>
    <t>e, Francisco de Paula Alcalá</t>
  </si>
  <si>
    <t>Francisco de Paula Alcalá e</t>
  </si>
  <si>
    <t>…para Jos usos que convengan. dirigid el ataque de la derecha. El general D. Ramón Castañe­ Pablo Romariil y Manuel M ancha cargó á la bayoneta á u n Art. 8.° L o mismo y por el propio orden ejecu­ da el del centro. El general D. Francisco de Paula Alcalá el de grupo de 50 ó rnas facciosos que se habían parapetado tras de tarán las contadurías de las provincias donde los la izquierda. El geneial l). Felipe Rivero con la división de la la iglesia , los cuales huyeron á esta embestida cobardem en­ grandes y títulos satisfaga…</t>
  </si>
  <si>
    <t>e, Francisco de Paula Alvarez</t>
  </si>
  <si>
    <t>Francisco de Paula Alvarez e</t>
  </si>
  <si>
    <t>…tr* cosa no der al Gobierno de S. M. la autorización necesaria para conti­ el desorden en la adm inistración del Estado. C onsiderada me dirijo en partictdar al Gobierno; comprendo á todos los es­ nuar la causa al Sr. Diputado D. Francisco de Paula Alvarez esta opinión bajo su aspecto teórico está conforme a los pañoles. He hablado de una tendencia que veo , por lo demas no entendiéndose para ante el tribunal que corresponda y sea verdaderos principios; pero considerada bajo su aspecto fie tratado jamas de hacer una inculpac…</t>
  </si>
  <si>
    <t>…la ley establecía. viene a decir la comisión. Si ha omitido esta la palabra man­ tirá que lea (leyó): de modo que el capitán general contestó Los. Sres. Diputados saben que esa ley desafuera á todos los al gefe político que D. Francisco de Paula Alvarez estaba ar­ delincuentes, de modo que todos han de ser juzgados per co­ dar , porque no se puede emplear en los cuerpos colegisladores restado. El gefe político dirigió al Gobierno los documentos de misiones ordinarias. A D. Francisco de P^ula Alvarez á los respecto del Go…</t>
  </si>
  <si>
    <t>e, Francisco Entro</t>
  </si>
  <si>
    <t>Francisco Entro e</t>
  </si>
  <si>
    <t>…e las actas. ga weu su casa” , y la casa de los ciudadanos no es prisión. Con sión los documentos que forman el expediente. Pero si no hay necesidad de esto , mucho menos la hay del que tenemos probado de un modo inconcuso que D. Francisco Entro en la cuestión jurídico-crirainal, y debo advertir otro extremo; y no tan solo no hay necesidad, sino que tampoco de Paula Alvarez lleva 10 meses de estar arrestado en virtud ante todas cosas al Congreso que no voy á hablar nada de los hay razón. Las Cortes no pueden sacar á un Diput…</t>
  </si>
  <si>
    <t>e, Francisco Iru</t>
  </si>
  <si>
    <t>Francisco Iru e</t>
  </si>
  <si>
    <t>…as B lan co, D . Jo aqu ín Rodríguez L e a l, D. Francisco López O la - V . E . para su c o n o c im ie n to y satisfacció n . D io s g u a rd e á :inco~Potencias facilitarán todos los recursos necesarios, torna - rarrieta „ D. Francisco Iru eg as, D . José Segundo Izquierdo, V» E . m u ch o s añ o s. P a la c io 5 de F e b r e r o d e 1 8 3 9 - = •án por sí mismos posesión del Lim burgo y del Luxem burgo. D. Pedro del P o rtillo , D . Pablo C e lis, D . F ran ciico López E v a r is to P e re z d e C a s t r o .= S r . D…</t>
  </si>
  <si>
    <t>e, Francisco Martínez Marina. Segunda</t>
  </si>
  <si>
    <t>Francisco Martínez Marina. Segunda e</t>
  </si>
  <si>
    <t>…n dos actos, del maestro Bellini, ti­ B O L SA D E M A D R ID . tulada 'C 'N SA Y O histórico-crítico sobre la legislación de los reinos NORMA. Cotización del día 18 a las tres de la tarde. de León y Castilla, por el doctor D. Francisco Martínez Marina. Segunda edición, corregida y aumentada por su autor. En celebridad de los dias de S. M. la Reina Doña Isabel 11 EFECTOS PUBLICOS. Si la obra que se anuncia fuese nueva para el público , y estará iluminado el teatro. su autor desconocido en el orbe literario, seguramente…</t>
  </si>
  <si>
    <t>e, Francisco Narvaez.</t>
  </si>
  <si>
    <t>Francisco Narvaez. e</t>
  </si>
  <si>
    <t>…s. Tenían orga­ ponda.=Está rubricado de la Real mano.=:En Palacio á 19 oficiuas de las aduanas, se haráu con arreglo al peso admitido nizadas cuadrillas de á 10 hombres con un gefe cada una, los cua­ de Noviembre de 1839.=A D. Francisco Narvaez. en todos los Estados de la Union. les debían obedecer á otros superiores. Las reuniones secretas se (Gaceta de ^Estado de Prusia.) celebraban en las montañas y en las iumediaciones de las capi­ llas. Había establecido un cuartel general en las montañas cerca Para el pronto y ex…</t>
  </si>
  <si>
    <t>e, Francisco Peralta.</t>
  </si>
  <si>
    <t>Francisco Peralta. e</t>
  </si>
  <si>
    <t>…de esta verdad, la inculcasen bien á tores del robo hecho en la tienda de géneros y galones de oro de las operaciones d e la caja d e ahorros d e M adrid d esd e sus domésticos, y tomaran la determinación de pagarles alguna de D. Francisco Peralta. e l domingo 17 d e F eb rer o , dia d e su a p ertu ra , hasta pequeña parte de su salario mensual en una libreta de la caja Hoy lo hacemos del descubrimiento de varios de los ladro­ e l 31 d e Marzo inclusive. de ahorros, esta clase podría ser la que mas inmediatamente nes y efe…</t>
  </si>
  <si>
    <t>e, Franck-Carré</t>
  </si>
  <si>
    <t>Franck-Carré e</t>
  </si>
  <si>
    <t>…des. {Le Temps.) se á ia consergería por el quai del Pont-au Chango acompañán­ deliberar acerca del informe de Mr. Meriihou y de la acusación dole la señorita Dacosta, que pasa por su esposa, y que en esta del procurador general Franck-Carré en el asunto de los acu­ travesía se fugó. sados de segunda categoría de los dias 12 y 15 de Mayo. ITA L IA . El gendarme no volvió á su cuartel hasta las nueve de la A las cuatro ha pronunciado la sentencia , m virtud de la noche, en donde declaró que estando algo bebido, babia sido…</t>
  </si>
  <si>
    <t>e, Frau.</t>
  </si>
  <si>
    <t>Frau. e</t>
  </si>
  <si>
    <t>…n ha empleado varias sesiones en investigar De literatura extrangera el Sr. Corradi. Guardia con el teniente de dicho cuerpo Montenegro , y á todo el estado actual de nuestra nación , con respecto á su opimon De fisiología el Sr. Frau. escape fue tras de ellos, y á pesar de su larga distancia y el m oral, política y religiosa, y á los demas ramos que consti­ De literatura española el Sr. Revilla. mal terreno logró alcanzarlos, acuchillando á siete que fueron tuyen la civilización de un pais. De arqueología el Sr. Castellan…</t>
  </si>
  <si>
    <t>e, Fririon</t>
  </si>
  <si>
    <t>Fririon e</t>
  </si>
  <si>
    <t>…y mi persona rís, el gran cordon de la orden de la Espada. Se ha concedido ción del capitan-bajá y de otra mucho mas grave, y que al corren grande riesgo en Constantinopla , visto los hombres que esta nueva distinción al general Fririon en premio de la con­ parecer no es menos cierta , la de Ha(iz-bajá„ han sido llamados al poder; y considerándoos como el verdade­ ducta que siguió en 1806, cuando después del sitio de Stralsund Nuestra correspondencia de Alejandría contiene dia por dia ro protector de los otomanos, miro co…</t>
  </si>
  <si>
    <t>e, Froilan Mendez Yigo.</t>
  </si>
  <si>
    <t>Froilan Mendez Yigo. e</t>
  </si>
  <si>
    <t>…ables que en tamen de la comisión relativo á conceder una pensión á la traerte en sus tareas ni entorpecer sus resoluciones: solo una tiempos calamitosos se dedican i este comercio , ai les prohibía viuda del mariscal de campo D. Froilan Mendez Yigo. especie de alusión hecha por el Sr. Pidal sencillamente acerca este modo de ganar su subsistencia subiendo los derechos de ex­ Se leyó dicho dictamen, el cual contenia un solo artículo de! estado de la causa , por no haberme presentado en Sevilla, tracción, los iba á poner en l…</t>
  </si>
  <si>
    <t>e, Fuente Herrero</t>
  </si>
  <si>
    <t>Fuente Herrero e</t>
  </si>
  <si>
    <t>…orque en­ verdad en esta carta {leyó un trozo de dicha carta): palabra. tras de desaprobación , porque la misma fuerza tiene el regente cuidado que comprometidos, y mucho, son los electores de Val­ El Sr. PR ESID EN TE: El Sr. Fuente Herrero está en la cuestión; se trata de las cualidades personales de un individuo de blo Valladolid en la esfera de Valladolid , que en el último pue­ carlos. de la provincia ; porque su fuerza es sobre todos los depen­ Se me preguntará si era mejor el estado de la guerra en esta propuesto…</t>
  </si>
  <si>
    <t>e, Félix Patez.</t>
  </si>
  <si>
    <t>Félix Patez. e</t>
  </si>
  <si>
    <t>…as clases, y según ten­ seucillo mecanismo, y que je publique en la Gaceta para noti­ go noticias , Urrea está herido, y deberá caer eu todío el dia N o hubo bolsa por ser domingo. cia del público y satisfacción del expresado D. Félix Patez. en mi poder. Cuando dé el detall recomendaré á V. E. á los que se ha­ yan distinguido, manifestándole eutre tanto, para conocí míen Una carta de Vieua , su fecha 28 de Junio, manifiesta que Institutos para disminuir la mendicidad. to del Excmo. Sr. Presidente , que todos los Síes, ge…</t>
  </si>
  <si>
    <t>e, Félix Sánchez</t>
  </si>
  <si>
    <t>Félix Sánchez e</t>
  </si>
  <si>
    <t>…brador 9e presenta en la corte, y se hum illa ante se les sigue causa por la autoridad militar. respondiente al viernes 31 de Mayo ultimo bajo el número 202, t) M endo; pero este le 1dice El comandante de la columna de Alcudia D. Félix Sánchez el cual principia "N ada mas justo que manifestar al heroico é de M olina, capitán de escopeteros de esta provincia, atacó el 12 invicto pueblo zaragozano los sentimientos de gratitud” , y con­ «A qu el es el R e y , García.*' del expresado mes á unos cuantos facciosos en el sitio d…</t>
  </si>
  <si>
    <t>e, Galbois</t>
  </si>
  <si>
    <t>Galbois e</t>
  </si>
  <si>
    <t>…estar él ó suponerse apasionado para bien sea que traten de oponerse á las operaciones del teniente trasm itir el mismo afecto que siente. Esta es una de las e q u i­ H oy ha salido la procesión del S a n tísim o Corpas general Galbois en la provincia de S e tif, ó bien que excitados h con la m ism a so le m n id a d q u e e n los añ o s an teriores. publico: porque C/iris- vocaciones mas lamentables que puede cometer el que habla en por Abd el *K ader, intenten penetrar en la provincia de A r ­ nada es tan ridículo como a…</t>
  </si>
  <si>
    <t>e, Galicia</t>
  </si>
  <si>
    <t>Galicia e</t>
  </si>
  <si>
    <t>…on autorización ó PARTES. su cargo. consentimiento del Gobierno de S. M., para asegurar la Art. 8.* Estos estados darán á conocer por provincias: subsistencia de estos en ocasiones extraordinarias de apuro El capitán general de Galicia en comunicaciones del 22 y 1.° En cuauto á atrasos y contribuciones corrientes, que no dieren tiempo á aguardar la necesaria Real reso­ 26 del mes próximo pasado dice desde Santiago: que las co­ lo qut^ resultó por cobrar en fin del mes precedente &gt; lo lución. lumna* de Silleda y Eidan per…</t>
  </si>
  <si>
    <t>…meter de alguna clamado la destitución del juez , sino la libertad del reo y una manera la política del actual ministerio, y creo que no faltaré indemnización de 20 pesoó. Cuando el Ministro del Rey escri­ El capitán general de Galicia en su parte periódico de n o ­ á este propósito, dando una idea general de las reclamaciones del tra bía su ultimátum llegó á su noticia la queja de un francés con-? vedades , fecha 26 del anteri or, dice que el dia 16 fue sor­ Gobierno de Francia. Por el ultimátum de 21 de Marzo pueden u n…</t>
  </si>
  <si>
    <t>…bian hecho correr acerca de esto, tanto en generales de Inglaterra , de Francia , de Austria y de Siria como en Egipto, carecen de fundamento. Rusia. La opinión general en Alepo era que lbrahim se confor­ El capitán general de Galicia en su parte de novedades, fe­ maría , en la apariencia al menos, con las órdenes que le han cha 29! del anterior, dice que el 22 avistó el capitán de Nacio­ de que El vi rey declara al cónsul general que sé obliga, en el caso trasmitido por Mehemet-Alí de no comenzar las hostilidad-es, nale…</t>
  </si>
  <si>
    <t>…rohibida la extraceton de san chaban á quemar sus cartuchos sobre el enemigo. G ravísi­ guijuelas en la Península é islas adyacentes , hasta que ma es la responsabilidad de los directores de los negocios en El capitán general de Galicia en su parte periódico de no­ 1853 por haber disuelto el ejército y haber extendido los estra-? completada la instrucción del expediente que se está for ved ad es, fecha 31 del aoterior , dice que el juez de primera ins­ m ando, se adopte en vista de los datos que arroje un? gos de su ira sob…</t>
  </si>
  <si>
    <t>…ntío inmenso. señalar el dia en q ue deba ten er el h o n o r de cu brirse en L ord John Russell se levanta y dice: S. M 0 me ha orde­ m i Real presencia. T endréislo e n te n d id o , y lo co m unica­ nado El capitán general de Galicia en su parte periódico fecha 1.° vos qu.e informar á la Cámara de que Mr. Abercromby, por moti­ reis a q u ie n co rresp o n d a.= E * ta ru b rica d o de la Real ma- del actual dice que el destacamento de Cuntis en la parroquia sas funciones os han sido comunicados, deea dimitir de sus labor…</t>
  </si>
  <si>
    <t>…ue debe custodiar, y mis ór­ que se lisonjea de que teniendo la empresa útiles los confinados denes fueron plenamente cumplidas en esta parte. que deben concedérsela, y veríficádose el reemplazo de la bri­ El capitán general de Galicia en comunicación de 3 0 del A pesar de los apuros en que se halla el establecimiento, gada en la forma establecida, podrán realizarse en breve las anterior participa haber sido muerto por la columna de Carres las brigadas han llevado víveres para una quincena a n tic ip a ­ obras que la están…</t>
  </si>
  <si>
    <t>…ófdo. La autoridad ha tomado conocimiento de este su­ ios mayores sacrificios para alejar las desgracias que lleva con­ ceso. ( Debats.) i ■ sigo la guerra civil. En su consecuencia decreto lo que sigue: El capitán general de Galicia en comunicación de 5 del ac­ 1.° Abdico desde éste momento la autoridad protectoral tual refiere las ventajas conseguidas, sobre la facción de aquel que legalmente he ejercido sobre los Estados de la confede­ Se lee ea el Courier ingles: pais desde la fecha de su parte precedente. Estas so…</t>
  </si>
  <si>
    <t>…importante una cuela g r a tu ita de la junta de comercio, y presididos por una coincidencia que acaba de realizarse , y que ciertamente ao es sección de vocales de la misma en una de las salas de la casa El capitán general de Galicia en su parte periódico de no­ la primera vez que se verifica. Al propio tiempo que en el P ar­ lo n ja , con arreglo al programa que el profesor D. Onofre vedades , fecha 3 del a c t u a l , dice que en las últimas operacio­ lamento británico se trata de acreditar que uno de los motivos J aim…</t>
  </si>
  <si>
    <t>…ales, al mando del capitán James C. Ross. Este bre admitir la dimisión que ha hecho del cargo de proyecto ha sido concebido por la Real sociedad de ciencias, y Secretario de Estado y del Despacho de Hacienda El capitán general de Galicia en oficio del 2 da parte de las el Gobierno ha cedido para que se lleve á cabo el proyecto los D. Pió Pita Pizarro, de cuyo celo y lealtad he que­ dos navios de S. M. el 'Terror y el Ilu d a . Dichos navios no novedades ocurridas desde el 30 del anterior, fecha de su co­ podrán estar en dis…</t>
  </si>
  <si>
    <t>…miento constitucional de la v i l l a de V i ­ ve ro en la p rovincia de L u g o , felicita á Y . M . por el dicho­ NOTICIAS EXTRANGERAS. so convenio de Y e r g a r a y por los últimos sucesos de nuestras El capitán general de Galicia en su parte periódico de no­ arm as, que obligando al Pretendie nte á buscar asilo en el e x - FRANCIA. P aris 10 de Octubre. trangero prometen á esta desgraciada nación una paz d u rad e ­ vedades fecha 12 del actual dice que el comandante de la co­ ra de que tanto necesita para reponers…</t>
  </si>
  <si>
    <t>…RETARIA DE ESTADO Idem 5 por 100 , 8 1 f r . , 60 c. Y DEL DESPACHO DE L A G U ERRA. Jaén 19 de M a y o de Ibb^. — francisco de Muñoz y A n - Deuda activa española , 20. arade. Tres por 100 portugués, 22. El capitán general de Galicia en comunicación de 15 del Carretera de Granada á Bailen.=Período de 1.° á 7 de M a ­ actual desde Betanzos dice que el comandante de la columna de yo de 1858.—Relación del número de hombres que se han ocu­ Se lee en el M ensagero lo que sigue: las Cruces alcanzó el 8 a cuatro facciosos que…</t>
  </si>
  <si>
    <t>…DESPACHO DE LA GUERRA. á otro. tro de Relaciones os presentará, y que recomiendo encarecida­ 3 ° Que el tribunal de Cuentas les pase cada año las co­ mente á vuestro ilustrado patriotismo, (Se concluirá.) El capitán general de Galicia en su parte periódico de no­ pias respectivas de la numeración, para que les sirva de car­ vedades, fecha 15 del actual, dice que en la persecución que han go en sus cuentas con arreglo á las leyes que no están dero­ •hecho las tropas de aquel distrito á las gavillas de tebeldes que gadas.…</t>
  </si>
  <si>
    <t>…xistían tres ó cuatro ca­ puede esperar sin temor á todas las hordas de Cabrera juntas. becillas, cuyo exterminio asegura el reposo del pais. NOTICIAS EXTRANGERAS. ( Idetn .) M EJICO. Liria 15 de Abril . El capitán general de Galicia en su parte periódico del 17, Nada de importante se sabe de Méjico , sino que seguía el Ayer tarde entró en esta la brigada de la ribera , la cual dice que habiendo salido el dia 9 con su columna el comandan­ loqueo de Veracruz el dia 14 de Febrero. Esta medida ya se ha estado en Gestalgar…</t>
  </si>
  <si>
    <t>…e abriga en su cora­ Du pui-s . . . . . . . . . . . 8 meses. . . . 500 2 años. zón un resto de moral y un poco de fe en sus entrañas , no deja E d e r . .............................. ,10 meses.. . . 100 ) El capitán general de Galicia en su parte periódico de no­ de encontrar algo que decir sobre el asunto. Desde ei principio Espiral................... .. G meses.. . . . 500 vedades de 19 del actual participa que en los diferentes en­ hasta el fin la prensa no ha tenido valor mas que para censu­ F a y a r d ..............…</t>
  </si>
  <si>
    <t>…SPACHO DE LA GUERRA. pósito ratificar semejante contrató"; y no obstante haber habido principio de ejecución, ó algo mas; á causa de esta circuns­ Ayer se ha fundido el modelo de uno de los bajos relieves El capitán general de Galicia en comunicaciones de 25 y tancia , comprador y vendedor han sido sentenciados á tres alegóricos que deben adornar los lados de la Cámara de D i­ 2¿\ del actual dice que en dos encuentros que han tenido las meses de prisión. putados. tropas nacionales con los rebeldes de aquel pais desde la f…</t>
  </si>
  <si>
    <t>e, GARELLY</t>
  </si>
  <si>
    <t>GARELLY e</t>
  </si>
  <si>
    <t>…nario hostilizan la Pla­ que aunque nuevo en el ministerio no podia menos de defender en este punto. na habían recibido refuerzo de alguna infantería y 16 caba­ al Gobierno de esta inculpación, pues cualesquiera que habían El Sr. GARELLY explicó las razones que la comisión ha­ llos, dispuso saliese alguna fuerza mas en auxilio de la prece­ sido las personas que habían ocupado el banco negro, habían bia tenido para desechar la adición del Sr. Medrano, y mani­ dente. Con este motivo se trabó una escaramuza de la cual re­ aspir…</t>
  </si>
  <si>
    <t>e, Garlos</t>
  </si>
  <si>
    <t>Garlos e</t>
  </si>
  <si>
    <t>…con pleno poder regal. usurpó el trono de la jóven Reina de Portugal hasta que fue lo que dió el nombre de cabo de Buena Esperanza al entonces La estrecha conexión entre Inglaterra y Portugal envolvió á arrojido del reino, y D. Garlos en Cantabria se ha hecho pro­ temido por las tormeotas. Si el Rey Juan no vivió bastante esta última Potencia en guerra con la Francia, y la entrada de clamar Rey de España contra la jóven Reina Isabel. Las dos para ver realizada su esperanza, dejó abierto el camino á su un ejército francés…</t>
  </si>
  <si>
    <t>e, Genaro Fernandez Cid</t>
  </si>
  <si>
    <t>Genaro Fernandez Cid e</t>
  </si>
  <si>
    <t>…ndo cabo de aquella capitanía general copiando del que rige que el comandante de los cantones de Mesía y Ma­ x* = 16777216 — 8 es el numero que se pide. á la letra el parte qué le ha dado el comandante militar de C h i­ rinas D. Genaro Fernandez Cid ejecutó un movimiento en la noche del 16 en combinación con elqapitan D. Víctor Velasco; 4-a_______ 55x3 x 9x4 15 lx2 x 4 l 4 rI9. Sducion x~3. va , relativo á ¡a defensa de Cheste, ejecutada en la mañana 5.a 120 trabajadores, trabajando siete horas al dia ron úna del expresa…</t>
  </si>
  <si>
    <t>e, Gerona.</t>
  </si>
  <si>
    <t>Gerona. e</t>
  </si>
  <si>
    <t>…ón del jugo. Á V. S. muchos años. Santa Coloma de Farnés 20 de Junio de años. De cinco a seis libras de azúcar se obtiene comun­ La parte mas baja de los ingenios de azúcar consiste í839.=:Juan Cuadros.zsM. I. Sr. gobernador de Gerona. esencialmente en tres cilindros colocados unos junto á otro* Trasládese en el Postilion para que acaben de convencerse, si mente del jugo de un árbol, y hay ejemplos de haber sa­ y movidos por ruedas dentadas, apretando las cañas entre aun quedase algún iluso,que ese comandante extrangero,…</t>
  </si>
  <si>
    <t>e, Gertrudis Fontanellas.</t>
  </si>
  <si>
    <t>Gertrudis Fontanellas. e</t>
  </si>
  <si>
    <t>…nacional. brica de nombradla europea. Dentro de pocos a ñ o s , siguiendo Doña Mariana del Castillo. N&lt;» debe tardar el saberse la decisión que habrá recaído en en el abandono en que se encuentra, veremos el Alcá;2ar redu­ Doña Gertrudis Fontanellas. ede impo tante negocio; eu el cual vernos fija la atención de cido á un moaton de escombros. Después serán los lamentos. Doña Rosalía Sierra. partido* encontrados, que la esperan, para calcular los efectos (Idem.) que ni ccsíi i. mente ha de producir uno de los casos mas gra­…</t>
  </si>
  <si>
    <t>e, Gerónimo Valdés. Sin</t>
  </si>
  <si>
    <t>Gerónimo Valdés. Sin e</t>
  </si>
  <si>
    <t>…ores que sedan en cursos completos, Toledo. =¿ El reemplazo del Sr. marques de Malpica. le separa de Berga, que es de seis horas. lo verificarán á la posible brevedad ; porque cerrados estos , ya Valencia —¡Conde de Parsent, y D. Gerónimo Valdés. Sin embargo, no es adoptable esta avenida por las grandes no se podrá entrar á estudiar hasta el Setiembre del siguiente Valladolid. =z El reemplazo del Sr. D. Evaristo Perez de dificultades que ofrece su comunicación con Manresa por u a año, á no ser que quieran perfeccionarlos en…</t>
  </si>
  <si>
    <t>e, Gil</t>
  </si>
  <si>
    <t>Gil e</t>
  </si>
  <si>
    <t>…especies depositan los huevos separados unos de sen cillez en los argumentos dram áticos, porque en su sistema otros; otras los ponen aglomerados; otras los disponen sim étri­ no se puede explicar cómo los dramas semejantes al D. Gil en cuando la naturaleza de estas mudanzas no estaba bien enten­ dida , ha sido últimamente removido por las sagacísimas inves­ cam ente; otras los encierran en una masa de g lu ten , especial­ la complicación de la acción, agradan tanto ó mas que los sen­ mente aquellos que en estado de larva h…</t>
  </si>
  <si>
    <t>e, Gil y Zárate</t>
  </si>
  <si>
    <t>Gil y Zárate e</t>
  </si>
  <si>
    <t>…sita en el propio lo­ rese Blanca de Borbon con Rosmunda, y se reconocerá cesario un genio atrevido El Sr. Gil y Zárate poseia cal de la dirección. que no somos exagerados , viendo al poeta una veces cons- ambas cosas : el Sr. Gil y Zárate escribió la Rosmunda, y lante prosélito de Aristóteles y Boileau ; contrario suyo con ella ha alzado la nueva enseña de la literatura; con otras; feliz y acertado siempre. ella ha dado el primero y feliz paso en una senda noble, Sin ser Rosmunda la mejor obra de su autor, es sin dign…</t>
  </si>
  <si>
    <t>e, GOMEZ ACEBO</t>
  </si>
  <si>
    <t>GOMEZ ACEBO e</t>
  </si>
  <si>
    <t>…so debe desecharla. objeto de esta ley. modo de ver es un error lo que el Gobierno dice en la parte Art. 6.° Los hijos del teniente general D. Vicente Quesada dispositiva , cuando manifiesta que la organización de la caja El Sr. GOMEZ ACEBO empieza manifestando que el pro­ serán atendidos por el Gobieroo de 8. M, en su respectiva car­ será el fundamento del crédito, porque este podrá apoyarse yecto está reducido á organizar el personal de la caja con aquella era , procurando premiar en ellos los distinguidos méritos y cuan…</t>
  </si>
  <si>
    <t>e, Gonzalo.</t>
  </si>
  <si>
    <t>Gonzalo. e</t>
  </si>
  <si>
    <t>…ida del 8 .0 8 9 .. . . 1000............... Sevilla. cuelas gratuitas que costea la Real junta de comercio de francés, un tomo en 16.° con una lámina íina, á 7 rs. en rústica. 4 0 . . . . ........ 1000................ Puente D. Gonzalo. esta villa, que se provea la cátedra de lengua inglesa , se hace Dichas obras se venden en esta corte en la librería de la 5 .084.. •. 500.............. Cádiz. saber á los profesores que quieran aspirar á la obtención de ella viuda de R azóla, y en Barcelona en la de Sauri. 696. . . . 5 0…</t>
  </si>
  <si>
    <t>e, Gonzilez Alonso</t>
  </si>
  <si>
    <t>Gonzilez Alonso e</t>
  </si>
  <si>
    <t>…Cruz de Múdela 20 de Se­ Peticiones El Sr. B E N A V íD E S : He oido hablar de poca delicadeza tiembre de 1839.—A L. R. P. de V. M.—El preaiieute, á nom­ , y se lee el ruíoa. 55 que dice : respecto á m í, y quisiera que el Sr. Gonzilez Alonso explicase bre del A. C., Juan Sainz de Medina, D. Angel Colono, vecino de la ciudad de Sevilla, recorre bien esta palabra , si S. S. la entiende como yo y en sentido g e­ al Congreso, exponiendo que á consecuencia de la ley de 27 de nuino. Yo diré que no solo tengo delicadeza , sin…</t>
  </si>
  <si>
    <t>e, González</t>
  </si>
  <si>
    <t>González e</t>
  </si>
  <si>
    <t>…ena. nitos, núm. 45 de la manzana 552 , que tiene de sitio 1,2861 pies superficiales, tasada por el arquitecto académico de mérito La •dirección general ha dispuesto que el sorteo que ha de de la de S. Fernando D. Antonio Conde González en la can­</t>
  </si>
  <si>
    <t>…s las ha de ver realizadas; en vano yerro es un hecho desecho y nada mas. tión tan peligrosa; con solo que el ministerio de aquella época proclamar libertad, seguridad, independencia , si los pueblos no Ha tocado también e! Sr. González el olvidp en que el Go­ se hubiese anticipado á declarar á S. M. que S. A. se hallaba gustan los productos ó efectos de ellas. Los pueblos uo se pagan bierno tiene los establecimientos de beneficencia. No tiene cier­ comprendido en aquel artículo: no sucedió asi, sino que en­ de teorías, s…</t>
  </si>
  <si>
    <t>e, Gortioa</t>
  </si>
  <si>
    <t>Gortioa e</t>
  </si>
  <si>
    <t>…icos extrangeros; pero creo que ha hecho S. S. po­ pusiese ese medio para administrar justicia. greso; que en particular las peticiones están sin determinación. co favor a M etternich y Pozo di B orgo, pues supone en ellos El Sr. Gortioa entendió mal cuando dije que habia hecho Señores, yo no pensaba que se hiciera al Gobierno este cargo» esa ignorancia. D ig o m as; ademas de supooer esa ignorancia dos nom bramientos; y con esto respondo á un cargo. N o dije ¿pues quién ha puesto coto á la licencia de pedir? ¿ El Con­ en os…</t>
  </si>
  <si>
    <t>e, Gortázar</t>
  </si>
  <si>
    <t>Gortázar e</t>
  </si>
  <si>
    <t>…conozco las razones de El Sr. M ADOZ: Y o, señores, debo manifestar antes de tosa bandera tendida con el lema paz , unión y libertad , y un S. S .; pero repito que no se trata de esto, sino de examinar si todo que el caso del Sr. Gortázar es distinto de el del Sr. A r­ arco igualmente hermoso coa un vitor al duque de la Victo­ el Sr. Arrazola, nombrado Diputado por la provincia de Va­ mendariz. El primero de estos señores ha hablado en su lugar* ria. Fue idea de los Nacionales de la 5.a compañía del primero, lladolid , tiene…</t>
  </si>
  <si>
    <t>e, Gracia y Justicia</t>
  </si>
  <si>
    <t>Gracia y Justicia e</t>
  </si>
  <si>
    <t>…­ El Sr. LOPEZ hace varias aclaraciones , insistiendo en que dencias c rim in ale s, y estamos sosteniendo casi otro ejército de re inculpar y juzgar al Ministro de Gracia y j u s t i c i a , la a u ­ señalará al Sr. Ministro de Gracia y Justicia el nombramiento rem atados, encarcelados y encausados. diencia de Albacete misma será quien conteste. Presente está un escandaloso que se ha hecho por su ministerio. A h o r a , si el Sr. Alonso se concreta á disputar las ventajas alto empleado de hacienda pública , á quien yo he…</t>
  </si>
  <si>
    <t>…entos. i rece que lo que quiere el Sr. López Vázquez es que el G obierno armas y otros efectos. Que se h an presentado á indulto al comandante del Puente Procediéndose en seguida al sorteo dé las secciones según ó el Ministro de Gracia y Justicia explique el oficio que se ha de Ledesma tres rebeldes , y que el comandante del distrito de previene--el reglam ento , resultaron componerlas los señores si­ dirigido al Congreso sobre la palabra " q u e d a r cesante.” La re­ C hantada , en una batida que practicó, consiguió dispe…</t>
  </si>
  <si>
    <t>…D. Felipe Justo de Quin­ todo lo que por el mismo se deja á leyes posteriores. (E l señor no bles en política hasta cierta ponto. Pero ¿aqui se gobierna tana , era la cantidad de 261,,055 rs* y 5 mrs.; lo que se anun­ Ministro de Gracia y Justicia entró en este momento.) Por cora arreglo á. esas tradiciones? No» Gobernar, en roíi coacepto* cia aí público para que á quien le acomodare acuda ¿ dicha es­ 10 demas estoy tan convencido como Los; señores de La comisión es dirigir bien la nave del Estado, segura lo que acorasejan l…</t>
  </si>
  <si>
    <t>…ácil tomaron parte en la ley del año 55 , en la cual se excluyó á y ¿q u é es la unidad de la Iglesia? Ejemplo m u y notable, que asegurar que conviniendo todos los Sres. Senadores en que los un Príncipe. inoicó el Sr Ministro de Gracia y Justicia en el día de a j e r , y municipales, los económicos adm in istrativo s, y hasta los j u d i ­ Asi que, es unidad , no la persona del Monarca, sino la l í ­ que yo volveré á citar por la gran analogía que tiene la so­ ciales son los que mas inmediatamente pueden afectar y com­ nea…</t>
  </si>
  <si>
    <t>…Celenque. á fines de 1858. Otra cuestión hay ademas, y es, si se habla ocupado dignamente los bancos de este Congreso: estos in d iv i­ de año natural o de año parlam entario, porque nótese que las duos dice el Sr. Ministro de Gracia y Justicia están compren­ Cortes convocadas en la última época no discutieron los presu­ didos en el indulto general , y sobre si habrá ó no que amnis­ puestos del año de 1857 : fueron los de 1858. tia rlos, se ha consultado al tribunal de ju s t ic ia ; es menester TEATR OS. Ha hablado el…</t>
  </si>
  <si>
    <t>…a hecho , y en las A hora, ya que estoy aqui, continuó, voy á deshacer una ticiones en este Congreso y fuera de él ; y ahora que reúne equivocación del Sr. Ministro de Gracia y Justicia , á la cual S. S. al cargo de Ministro de Gracia y Justicia el de Ministro cuales encuentra una débil y tardía recompensa de sus sacrificios no pude contestar por hallarme entonces en la silla de la pre­ de la Gobernación, puede mejor que nunca decir si los depen­ pueblo libertadpor la español , y que deberían cootinuarse esas reformas q…</t>
  </si>
  <si>
    <t>e, Gracia y Justicia.</t>
  </si>
  <si>
    <t>Gracia y Justicia. e</t>
  </si>
  <si>
    <t>…r haber conseguido una que opina se tenga presente en tiempo oportuno, y se pase co­ nacional , y de su administración. brillante victoria, derramando abundante sangre española , y pia literal de la exposición al Sr. Ministro de Gracia y Justicia. estableciendo sobre cadáveres la superioridad de vuestras armas, El Sr. B E N A V ID E S : El dictamen está en su lug^r p i­ Art. 66 . Todos los individuos de las clases excluidas y dis­ sino por haber sabido hermanar sin influencias extrangeras los diendo que se reserve esta pe…</t>
  </si>
  <si>
    <t>e, Grey</t>
  </si>
  <si>
    <t>Grey e</t>
  </si>
  <si>
    <t>…n las a r ­ bancos de este lado de fe C ám aras iban ocupándose con m ucha pañado de varios oficiales y mandó prender á dicho tambor, mas su pretensión de jurisdicción exclusiva sobre aquella parte pausa. Lord Holland y el conde Grey entraron los primeros; poco como se verificó, si bien ocurriendo en aquel acto el haber sido del Estado de M aine que se disputa entre los Estados Unidos y después lo hicieron lord Glenelg y lord Brougham. El marques muerto alevosamente de un tiro el ayudan te de plaza D. M a ­ la Gran B retañ…</t>
  </si>
  <si>
    <t>e, Guerra</t>
  </si>
  <si>
    <t>Guerra e</t>
  </si>
  <si>
    <t>…ón del ciou de ser el enemigo de la propagación de las luces; pero el la adquisición de una escuadrilla para el mar del Norte pueblo y de su historia militar, de que i»o puede prescindiese Excrno. Sr. Presidente y su Ministro de Guerra el general Don el fin de bloquear los puertos de los téjanos sublevados, facj|j cuando son necesarias consideraciones filosóficas para el acierto. Ignacio Mora y Villa mil, satisfechos de los abundantes f r u ­ tar la conducción de víveres para el ejército, y también de tro! El Excmo. Sr. P…</t>
  </si>
  <si>
    <t>e, Guervós</t>
  </si>
  <si>
    <t>Guervós e</t>
  </si>
  <si>
    <t>…’ visitd ios paEes ligentes, que expositores de nuestra única opinión. La miscelá­ «¿uebec estaba coronada de fuertes ; existia ya Montreal y Se entablo relaciones con diversas trib u s , en tanto que á toda prie^ nea que el Sr. Guervós escogió para su presentación, és de un habían construido los fuertes de Richelieu , el del lago Charn- sa se construía otro barco en las orillas del lago Erié. Embar­ gusto escogido, y la facilidad con que el músico dominaba el s y otro cerca del lago Champlain. Las tribus salvajes, so­ cado…</t>
  </si>
  <si>
    <t>e, Guzman</t>
  </si>
  <si>
    <t>Guzman e</t>
  </si>
  <si>
    <t>…a consideración. La inmensa mayoría de los todo el departamento , no omitiendo recomendar á Y . E. el mé­ rneicanos es eminentemente religiosa , y cooperará con mucho PARTE NO OFICIAL. rito que ha contraído ei ciUdo Sr. coronel Guzman en este re­ placer a los progresos admirables que hace el catolicismo , no ciente servicio. solo ea ios paLe* como Inglaterra y Norte-A m érica , sino eu el Acepte V. E. con tal motivo las seguridades de mi conside­ mismo imperio otomano que habia sido siempre enemigo acér­ ración y apreci…</t>
  </si>
  <si>
    <t>e, Gárlos Andrés. Segunda</t>
  </si>
  <si>
    <t>Gárlos Andrés. Segunda e</t>
  </si>
  <si>
    <t>…estos tiem pos, dicha en la R eal academia Crónica m ilitar defines de Octubre. de ciencias y buenas letras de M antua por el abate D. Ju an Y DE LAS DIRECCIONES T AUTORIDADES SUPERIORES. A ndrés, traducida del italiano per D. Gárlos Andrés. Segunda edición año de 1788. Un cuaderno en &amp;° m arquilla # á 2 rs. E n tr eg a de SETIEM BRE de 1 8 3 9 . en rústica. Este pequeño opúsculo, dirigido como queda insinuado á COLECCION Se h a lla á 3 rs. tanto en rama como en rústica en el probar cuáles eran las causas por que ea l…</t>
  </si>
  <si>
    <t>e, Góm</t>
  </si>
  <si>
    <t>Góm e</t>
  </si>
  <si>
    <t>…Sr. M in is tro de H a ­ Puebla de M ontalb an y otros distritos de la provincia de T o ­ cienda , al paso que ha usado expresiones que envuelven una ledo, manifestando que han dado sus votos á D. N . Esteban, retirado. E l Sr. Góm ez Pardo ha hecho gestión para entrar en gra v e inculpación contra los autores de la proposición, pues ha natural de dicha villa de Olías y 110 á otro del mismo nombre; el C o n gre so ; la comisión no encuentra uada contra la aptitud legal de dicho señor; por consiguiente presenta su dictame…</t>
  </si>
  <si>
    <t>e, Gómez Pardo</t>
  </si>
  <si>
    <t>Gómez Pardo e</t>
  </si>
  <si>
    <t>…jar la atención sobre los pre­ sase á los D iputad os de imprudentes y de fa ltar á sus de­ je3 menester que pongan este asunto en claro. supuestos de la isla de Cuba : estos trabajos uo se han descui^ beres. Según creo, el Sr. Gómez Pardo es empleado en M a d r i d ; dado ni se de s cui dan, y el Gobierno ofrece presentarlos tan E l Sr. Secretario del Despacho de H A C I E N D A dijo que creo que disfruta sueldo y pertenece como gefe á una de las ofi­ luego como e&gt;ten corrientes. no tenia que hacer otra cosa que repetir…</t>
  </si>
  <si>
    <t>e, Haci</t>
  </si>
  <si>
    <t>Haci e</t>
  </si>
  <si>
    <t>…uencia do á las colonias dé la corona. ha queda do decidido que Mr . Bresson cedería su puerto al c a n ­ NOTICIAS EXTRANGERAS. S ir Roberto Peel ha declarado q u e a d m it ía los p rin c ip io s d i da t o del Sr. Ministro de Haci enda. generales del b i l í ; pero ha a ñ a d id o que se reservaba e x a m in a r A l pri nci pi o no se quería dest i t ui r á Mr . F&gt; e « o n sin a l g u n a RE IN O DE H A N N O Y E R . ..si las medidas propuestas se con form ab an con estos p rin c ip io s. indemni zaci ón. Tratábase úni…</t>
  </si>
  <si>
    <t>e, Hacienda</t>
  </si>
  <si>
    <t>Hacienda e</t>
  </si>
  <si>
    <t>…mento 110 me autoriza para acordó que se pasase á otro asunto. Sr. Ministro la publique, por la cual se entienda que no se ha conceder palabras con ese objeto. A terminar este negocio.... El Sr. PRESIDENTE: Si el Sr. Ministro de Hacienda es­ privado á los propietarios del derecho á las indemnizaciones El Sr. M O N : Pido que se pregunte al Congreso...... tá pronto á contestar á las demas interpelaciones, tendrán luear correspondientes, y también que se les admita en pago la parte El Sr. PRESIDENTE: Preguute Y. S. si se pa…</t>
  </si>
  <si>
    <t>…concluyó preguntando' al señor Ei Congreso recordará que ya en una memoria de un señor amenazaban b mina practicadla por ios, sitiadores, y las brechas Ministro de Hacienda’: L.° Si era cierto el contenido de esa Real Ministro de Hacienda están anunciadlos los nuevos aranceles, abiertas en aquellas débiles tapias por las 256 balas de á L6 y de orden , porque podía'no serlo, por no haberse comunicado á aranceles que fueron acogidos con, elogio, pidiéndose al Con­ á 8 que en el último sitio las dirigieron. Afín pues de que las…</t>
  </si>
  <si>
    <t>…el Congreso. y en rama. que se marcaban terminantemente cuáles eran los derechos que A la comisión de clases pasivas se remitió una comunica­ cada pueblo como particular tenia. La empresa cuando en 1851 ción del Sr. Ministro de Hacienda en que participaba que se Dictamenes de la comisión de Peticiones aprobados en el contrató con el Gobierno el llevar adelante el canal de Castilla estaba ocupando de la formación del proyecto de ley sobre ar­ Congreso en ¿a sesión del dia 12 del corriente . y sus tres ramales, recibió com…</t>
  </si>
  <si>
    <t>e, Hacienda Por</t>
  </si>
  <si>
    <t>Hacienda Por e</t>
  </si>
  <si>
    <t>…ta de si hemos de ver tranquilos, si hemos de estar mudos nada no los tiene. Que el Gobierno ha dispuesto que se armen legislativo. al contemplar que la monarquía se desmorona. dos fragatas en el Ferrol, y que el Sr. Ministro de Hacienda Por esto la comisión se separa del voto particular del se­ Hablo, señores, de lo ocurrido en Alhucemas. A llí ha es­ ha ofrecido que se puede facilitar el coste de una. ñor Ovejero, pero solo en este concepto, no en otro; y si fue­ tallado una conspiración fraguada , conspiración que no h…</t>
  </si>
  <si>
    <t>e, Hammer. Según</t>
  </si>
  <si>
    <t>Hammer. Según e</t>
  </si>
  <si>
    <t>…n sobre la derecha de la d i­ mano que para el efecto tenia prevenidas, tan solo hubo tiem­ visión en el camino del Toro. Durante cuatro horas de camino, hoy un artículo muy singular, con m otivo de haberse retirado el barón de Hammer. Según este artícu lo, el embajador de po para hacerles un v iv o fuego de fusilería:, tirándoles en« el el enemigo siguió constantemente su ataque, siendo preciso acto gran cantidad de piedra por un boquete abierto. en el te­ que nuestra división hiciese la marcha por escalones, en cada Tur…</t>
  </si>
  <si>
    <t>e, Harispe</t>
  </si>
  <si>
    <t>Harispe e</t>
  </si>
  <si>
    <t>…uarenta y cinco minutos de la tarde , ha entrado D . Carlos , acompañado por el Sr. subprefecto, y este con sombrero en la m an o, como también el comandante de la fuerza francesa.- Poco rato después ha recibido este Sr. general Harispe el parte del ex­ presado comandante en que confirma la entrada del Pretendiente en A inhoa, y dormirá esta noche en Saint Pee. El propio me dice que nuestras tropas estaban m uy cerca de U rdax, por­ que se sentía algún tiroteo, y se creía que esta noche pernoctarían en aquel pueblo. D ice…</t>
  </si>
  <si>
    <t>e, Hartzembusch</t>
  </si>
  <si>
    <t>Hartzembusch e</t>
  </si>
  <si>
    <t>…r tanto que La dicha de que gocé perder muchos quilates de su mérito. Pasaremos por tan­ estigmatizando en Con mis fugaces amores to á considerarlo bajo un aspecto mas vasto, mas filosófico. tribunal de odiosa Doña Mencía el Sr. Hartzembusch ese recordación, ha hecho un noble servL Como relámpago fue: Pa récenos que la idea moral que domina en este dra­ ció á su patria, que esta le agradecerá Las espinas y las flores ma es la misma que la de una comedia de nuestro anti­ El que vea el drama de que hablamos, eternamente.…</t>
  </si>
  <si>
    <t>e, He Justicia. Solamente</t>
  </si>
  <si>
    <t>He Justicia. Solamente e</t>
  </si>
  <si>
    <t>N.° 1710. LUNES 22 DE JULIO DE 1839. DIEZ cu arto s PARTE OFICIAL. FRAN CIA. Pau 16 de Julio . tición del paso dado por ellos el otro dia con el Ministro He Justicia. Solamente es menester reconocer en disculpa de los za­ pateros que llevabau la petición por la mañana que estos al me­ nos han aguardado á que el tribunal de los Pares pronunciase S. M. la R , augusta Madre la R G ­ Nos escriben de Canterets con fecha 15 de Julio lo que la sentenci…</t>
  </si>
  <si>
    <t>e, Heros</t>
  </si>
  <si>
    <t>Heros e</t>
  </si>
  <si>
    <t>…estras” , porque A En seguida paso S. S. á contestar á algunas reflexiones em i- la dificultad que producía el embarazo para a lla n a rle ; y a u n ­ su modo de pensar, cuando recordaba una cosa que habia sido tidas por el Sr. Heros en su discurso de ajrer, y extrañó que se que estas contestaciones se prolongaban , no podía y a tardar la s u y a , su imaginación apenas tenia descanso por poseerla ó vol-» hubiese expresado con tauto calo r, y que hiciese ver al Senado solución, cuando ocurrió la célebre revolución de 10 d…</t>
  </si>
  <si>
    <t>…lantos en la educación El Sr. O C H O A : Si se me permite.... tos de interés importante. de la Reina Isabel exceden á su edad y á sus tiernas fuerzas. El Sr. P R E S ID E N T E : No interrumpa V . S. al orador; se Habló el Sr. Heros en seguida de la ausencia de un In fan ­ altera el orden de la discusión; sin embargo , si es breve la ob­ te de España, del Infante D. Francisco de P a u l a , añadiendo servación puede V . S. hacerla. S. que cuando llegase la cuestión de presupuestos no votaría la El Sr. O C H O A : T an b…</t>
  </si>
  <si>
    <t>e, Holanda</t>
  </si>
  <si>
    <t>Holanda e</t>
  </si>
  <si>
    <t>…ía de su deber hacer presente á rencia de Londres le ha trasmitido el 25 de Enero. M r. Dedel, que si bien rigurosamente constitucional, no debe prodi­ SS. EE. los plenipotenciarios, que de los acuerdos votados en las Ministro de Holanda en Inglaterra, ha recibido orden de fir­ garse ni echar mano de ella sin grandes motivos de públi­ Cámaras belgas en los meses de Mayo y Noviembre de 1838 marlo inmediatamente. ca conveniencia. Atentatorio no lo es, porque ni invade, resulta, que dichas Cámaras suponen la necesidad de comuni…</t>
  </si>
  <si>
    <t>e, Hoyos</t>
  </si>
  <si>
    <t>Hoyos e</t>
  </si>
  <si>
    <t>…que el ag u a ascendente tuviese una temperatura de 34 á de e'-tos dins. xorable para los descarríos, que y a no pueden repetirse sin co­ 56 grados, lo cual hubiera sido un recurso precioso para la in ­ La división del general Hoyos en Sarrion , de cuyo punto nocida mala fe. H u id torcidas sugestiones, y marchad dóciles á dustria y la higiene publica. salió ayer la batería rodada para Valencia. El general Azpiroz la voz de vuestras autoridades que apetecen el bieu por vuestro Cou este motivo habló Mr. A rago en una de la…</t>
  </si>
  <si>
    <t>…as y la artillería. joso fin. Para apoderarme de aquel punto dispuse que la división del general Aspiroz en masa la atacase de frente , y por la dere­ El mismo general en gefe en comunicación del siguiente cha la del brigadier Hoyos en dos columnas, amenazando su dia 18 desde Castellón dice, que antes de amanecer las tropas flanco derecho y retirada. Los enemigos opusieron realmente se pusieron en marcha de regreso á aquel punto ; y aunque una bastante resistencia , y el fuego muy nutrido de fusilería que parte de los e…</t>
  </si>
  <si>
    <t>e, Hubieres</t>
  </si>
  <si>
    <t>Hubieres e</t>
  </si>
  <si>
    <t>…nsignes poetas, son ia des­ Con fecha 11 del corriente nos escriben de Argel lo que respecto á nuestras posesiones de A rgel, la corta permanencia cripción de los tormentos de un alma apasionada y delincuente, sigue: del general Hubieres eu el miuisterio de la G uerra. (Debuts.) Siguen con actividad los preparativos de la expedición que de los crímenes que la pasión la d itU , y del abismo en que la dtbe hacerse m uy en breve. En Bugía se están reuniendo las sumerge : para lo cual im itaron el lenguaje que la fantasía pres…</t>
  </si>
  <si>
    <t>e, Idem</t>
  </si>
  <si>
    <t>Idem e</t>
  </si>
  <si>
    <t>…. este establecimiento el siguiente anuncio remitido á la se­ Efectos nacionales en bandera nacional.............. 18 por 100. Aguardiente de cañas, pipas 5,508$-+- 1,957$ cretaria del Despacho de Estado por el Sr. cónsul general Idem extrangeros en la misma.............................. 25 Azúcar, arrobas 10.417,688 -+-1.557,654$ de S. M. en Hamburgo, á cuyo texto se hacen las aclara­ Comercio de los Estados-Unidos.......................... 25 Café, id 1.550,541 — 585,226$ ciones convenientes* Idem de otros Estados american…</t>
  </si>
  <si>
    <t>e, Ignacio</t>
  </si>
  <si>
    <t>Ignacio e</t>
  </si>
  <si>
    <t>…sa atención toda medida d irig id a a fa c i­ lita r el éxito completo de aquella grande y benéfica variación. de los Lores que presentaba el espectáculo anim ado que ofrece EN’a, disposición testam entaria bajo que falleció D. Ignacio en semejantes circunstancias; los Pares en traje de ceremonia, «T en go que anunciaros con mucho sentimiento que la pro­ vincia del bajo Canadá ha vuelto á verse perturbada por la in ­ ^aí nz R °zas9 n atural y vecino que fue de esta corte, y los asientos que ocupan ordinariam ente cubiert…</t>
  </si>
  <si>
    <t>e, Iioldan</t>
  </si>
  <si>
    <t>Iioldan e</t>
  </si>
  <si>
    <t>…sacrificio de su amor p ro - de una señora del siglo xv. y el Sr. de Becquer (D. Joaquín) sas han sud ado sobre enormes volúmenes , llamados filosóficos y p i o , y porque en su buena escuela de canto manifestó cuantas y el Sr. Iioldan empezaron el primero una fiesta y el segundo po líticos, y tas desgracias de la hum anidad c o n t i n ú a n , porqne esperanzas ofrecen sus excelentes disposiciones, y la inspiración una cabeza. las pasiones odian á la raz ó n , ó por mejor d e c ir , porque e sta; que deben recibir de…</t>
  </si>
  <si>
    <t>e, Ilu</t>
  </si>
  <si>
    <t>Ilu e</t>
  </si>
  <si>
    <t>…evi­ entro en los pormenores de las causas porque no puedo presen­ sonas , y porque le es preciso volver la cara a trá s, desaparecien­ lla terminaron por una transacción, y el capitán general faltó tar los documentos que el Sr. Ilu e t, que ha tenido personali­ do de su imaginación el agradable y risueño cuadro que se h a ­ á la fe prometida. Poco me costará probar la falsedad de estos dad en ellas, y concluiré diciendo que cuando defendiendo el bia trazado de ver realizada la recouciliacion del gran partido hechos, sin…</t>
  </si>
  <si>
    <t>e, Iluelv</t>
  </si>
  <si>
    <t>Iluelv e</t>
  </si>
  <si>
    <t>…o Fueron aprobados sin discusión los dictámenes de la comi­ males por que ha pasado, á la par que Gandesa y otros, ha de la autorización que se le concede en la presente legislatu­ sión de A ctas, relativos á la admisión del Sr. Iluelv es, D ipu­ elevado una representación al Congreso pidiendo la manuten­ ra , presente un proyecto de ley que ponga en perfecta arm o­ tado por Toledo, y á la aprobación del acta de segundas elec­ ción de los fueros, y ahora quisiera que la mesa me cootestase nía los fueros de las provincias Va…</t>
  </si>
  <si>
    <t>e, Infanta Existencia</t>
  </si>
  <si>
    <t>Infanta Existencia e</t>
  </si>
  <si>
    <t>…L DE 1839. DIEZ CUAr t o s . DIRECCION GENERAL DE RENTAS Y ARBITRIOS Papel. MetáÜCO. Total. PARTE OFICIAL. DE AMORTIZACION. J^s yn S. M. la R e i n a . , s u augusta Madre la R e i n a G o b e r n a d o r a , y la Serm a. Sra. Infanta Existencia en 28 de Febrero ú ltim o .. . 11541818 52156/,4.. 3 14 5 57462.. Doña María Luisa F e rn a n d a , continúan en esta co rte sin novedad en su im portante salud. R ecau d ación . Por aguardiente y licores (atrasos)................. ¿ 3^ C O N T A D U R IA G E N E R A L M ES D…</t>
  </si>
  <si>
    <t>e, Infantado</t>
  </si>
  <si>
    <t>Infantado e</t>
  </si>
  <si>
    <t>…ue es el guarde á V. S. muchos años.=:Cuartel general de Alcanadre 14 primero del monte ó bosque que en la villa de Buitrago perte­ tributo exigido por la belleza. de Marzo de 1859-=El conde Luchana. necen al Excmo. Sr. duque del Infantado en los términos y bajo Si el tono y el estilo de la obra no corresponden al objeto; Publíquese por bando en la forma acostumbrada , según lo las condiciones que se manifestarán en su contaduría. si está sobrecargada de adornos extraños que no le pertenecen; ordenado por S. E. á fin de que…</t>
  </si>
  <si>
    <t>…las li­ Los de dos cercas llamadas del Puerto y Rebajera. brerías de Cuesta y Sánchez, y en las capitales de provincia en der de Dios sobre el corazón del hombre. Y obsérvese , que si El adm inistrador del Excmo. Sr. duque del Infantado en n**i nm r\ ilnf« li &lt;«0 hubiera dich o , toca s los m ontes y a r d e n , no habría expresa­ Colmenar Viejo enterará de las condiciones, advirtiéndose que do tan enérgicamente el pensamiento. La llam a podría ser no mas que superficial, como la de un edificio abrasado por las lasta el…</t>
  </si>
  <si>
    <t>e, Inscripciones</t>
  </si>
  <si>
    <t>Inscripciones e</t>
  </si>
  <si>
    <t>…sde el ca de gran nom bradla, y suelen ser de los que no habiendo po­ Je 1 , i , 4 y l por 100 con cupones. dido b r illa r en género mas elevado , se resignan al modesto me­ en que se publique en la Gaceta del Gobierno, á Doña Inscripciones en el gran libro á 4 por 1 0 0 , 00. Concepción y Doña Sirvioa Carnpanes y demas personas que lodram a ; de ios que hallando demasiado alto el Capitolio de Títulos al portador de! 4 por 1 0 0 , 00. l ite r a t u r a francesa, el tea tro f r a n c é s ¡ han creído menos e x ­ se crean…</t>
  </si>
  <si>
    <t>…- EFECTOS PÚBLICOS. identificada que está la vida de este grande hombre con el si­ vet , Salas y Reguer. glo mas ilustre de la república romana ; la sagacidad y destreza 5.° Canción española titulada La C riada; poesía de Don Inscripciones en el gran libro á 5 por 10 0 , 00. coo que el autor ha sabido hacer á un mismo tiempo agrada­ Manuel Bretón de los Herreros , música del mismo maestro Car­ ble é instructiva su obra, y la maestría con que el Sr. Azara nicer , también expresamente compuesta para esta función; será Tí…</t>
  </si>
  <si>
    <t>e, Irene</t>
  </si>
  <si>
    <t>Irene e</t>
  </si>
  <si>
    <t>…ado REVISTA MILITAR. p o ; y aficionado extraordinariamente á detestables espec­ su corazón a otro hombre , con quien en secreto alimenta­ táculos, corria ansioso al coliseo, y los aplaudía con íuror. ba relaciones amorosas. Doña Irene es toda una creación PERIODICO M E N S U A L No es pequeña gloria pues para Moratin haber acometido que honra al talento de Moratin: es un fiel traslado sacado con valor la misma empresa que Cervantes, y conseguido del mundo positivo, donde son muy frecuentes estos carac­ redactado por D, Evar…</t>
  </si>
  <si>
    <t>e, Isab</t>
  </si>
  <si>
    <t>Isab e</t>
  </si>
  <si>
    <t>…duda la causa de que las en ca m in o para pasar a España en c o m p añ ía d e l a r c h i d u ­ tres balas que atravesaron la levita del Sr. gefe político, pasa­ REINA DE GRANADA. q u e A lb e r t o , esposo de la Infanta Doña Isab el C lara Eu­ sen sin causarle otro daño que las dos precitadas contusiones. S egu n d a p a r t e . g e n ia . El P a p a C le m e n te v u i salió a c u m p lim e n t a r la a su El Sr. G a r n ic a , á pesar de sentirse h erid o , llamaba á su Novela histórica , por D. Francisco M artínez…</t>
  </si>
  <si>
    <t>e, Isidro Alaix. Tendréislo</t>
  </si>
  <si>
    <t>Isidro Alaix. Tendréislo e</t>
  </si>
  <si>
    <t>…inistro de la Guerra, teniente gene­ dado alcance la columna Mayalde á otra gavilla en las inme­ diaciones de la sierra, de resultas del cual quedaron muertos rica por su posición, mas rica aun por la laboriosidad de sus ral D. Isidro Alaix. Tendréislo entendido, y dispon­ en habitantes. e! campo del Espíritu Santo siete rebeldes, y se les cogieron dréis lo conveniente á su cumplimiento.=Estfi rubri­ varias Y ¿cómo dejaría de encontrar acogida este noble pensamien­ armas y 55 vacas y dos mulos que habian robado; h a ­ to…</t>
  </si>
  <si>
    <t>e, ISLA FERNANDEZ</t>
  </si>
  <si>
    <t>ISLA FERNANDEZ e</t>
  </si>
  <si>
    <t>…. la defienden. Hoy al medio dia ha entrado en esta capital un batallón del Lo fue igualmente el 65. Con tan faustos y prósperos sucesos, faltaría este ayunta­ provincial de Oviedo, y esta tarde lo han verificado un bata­ El Sr. ISLA FERNANDEZ expuso que habiéndose inter­ miento y Milicia nacional á su primer d eb er, si no dirigiesen llón de Mallorca y otro de la Priucesa, pertenecientes á la re­ calado esos tres artículos que ha presentado la comisión eu el su voz para felicitar á Y. M. con toda la efusión de su alma. ser…</t>
  </si>
  <si>
    <t>e, IV</t>
  </si>
  <si>
    <t>IV e</t>
  </si>
  <si>
    <t>…ha. avocado á sí la instrucción de brindis que acababa de dirigírsele. tusiasmo. 9 este a s u n t o , que hasta ahora no parece tiene conexión a lg u n a P erm itid m e, dijo , aproveche esta ocasión para manifestar E l duque de IV e llin g to n i A gradezco, señores, el que me con los atentados cometidos en. Paris en los dias 12 y 15 de M a ­ altamente todo el Heno de rni g ratitud por las atenciones que se hayais convidado á este banquete, y contemplo como una dicha yo. Las bandas arm adas por la sangrienta reacción de 1…</t>
  </si>
  <si>
    <t>e, Ivo de la Cortina</t>
  </si>
  <si>
    <t>Ivo de la Cortina e</t>
  </si>
  <si>
    <t>…a buena degradación de claro y fesor. rección efectúa el oficial tercero segundo de este gobierno po­ oscuro es tanto mas admirable, cuanto raro en estas clases de Elementos de geografía é historia, principalmente es­ lítico D. Ivo de la Cortina en virtud de Reales órdenes. labores; por desgracia está roto por el huudimiento el re,to de pañola, un profesor. este medallón, por cuyo motivo queda uno privado de inter­ Nociones elementales de física y química en sus apli­ Estatuas. pretar el pasaje mitológico que representar…</t>
  </si>
  <si>
    <t>e, Iz-</t>
  </si>
  <si>
    <t>Iz- e</t>
  </si>
  <si>
    <t>…añar tracto, y también en concreto ó punto dado. tura fraguada, no por S. S. , pues le creia m uy distante de El orador pasa en seguida á examinar los estados de sitio ello, sino por personas enemigas del conde; y que si el Sr. Iz- elsinCongreso,hacer de que sin ser responsable de lo acaecido en Cádiz, y dice ninguna manera apología de los hechos, y sin que se refiere al testimonio del Sr. Pidal acerca de lo nardi conociese personalmente al conde , desde luego no le su­ prejuzgar la cuestión, el Gobierno tome la palabra…</t>
  </si>
  <si>
    <t>e, Iñigo</t>
  </si>
  <si>
    <t>Iñigo e</t>
  </si>
  <si>
    <t>…rque Sr. Iñigo, que yo creia que la hubiera retirado, y aun creo I* Estas roe parece que son razones suficientes para que se sus­ precisamente sabrá el; Sr. Iñigo que la dificultad que hay 110 es retirará. L* proposición del Sr. Iñigo es contraria al diciámer» penda esta discusión hasta tanto que esté el Congreso consti­ relativa al escrutinio general de los cuatro Diputados que han de la comisión, y el dictam en, asi como todos los que hasta tuido. obtenido de mayoría 500 y tantos votos. La dificultad consiste ahora ha p…</t>
  </si>
  <si>
    <t>e, IÑIGO</t>
  </si>
  <si>
    <t>IÑIGO e</t>
  </si>
  <si>
    <t>…á pagarlas en otras? ¿Qué piden estas infelices? Es me­ me con el djetárnen de la comisión. El Sr. Secretario C A B A L L E R O : Si estuviera seguro de eso nester que oiga el Congreso io que voy á leer, y de lo cual re­ El Sr. IÑIGO expuso, en nombre de la com isión, que los que el mismo Sr. Benavides duda, acaso no se hubiera propuesto sulta el cargo mas violento y mas fuerte contra el Ministro del deseos de esta eran que se ventilasen en el Congreso las cuestio-* el suspender esta discusión ; pero no tengo certeza de s…</t>
  </si>
  <si>
    <t>e, J. de V. Estando</t>
  </si>
  <si>
    <t>J. de V. Estando e</t>
  </si>
  <si>
    <t>…oria de la legislación castellana y ex-conde de España.z^Ee la Emancipación del 4? periódi­ legionenre, deducido de las obras de los autores de mas nota co de Tolosa de Francia , leemos: que han escrito sobre esta materia, por D. J. de V. Estando el ex-conde de España pasando revista á las tropa Esta obra no solo comprende la parte dispositiva de las le­ en Berga fue recibido coa las voces de muera el tirano, mué* LOTERIA PLU UtflT-JVA RA CIONA L. pes, sino las principales opiniones de los autores y las prácti­ ra Cdrlos.…</t>
  </si>
  <si>
    <t>e, Ja Victoria</t>
  </si>
  <si>
    <t>Ja Victoria e</t>
  </si>
  <si>
    <t>…ia d o , de alg u n as E l convenio dice en el artículo primero (leyó): el compromiso de ningún modo concederse. Y sea dicho para honor del ilus­ indicaciones que se han hecho. Se rá n h ijos de la mejor i n te n ­ del duque de Ja Victoria es recordar al Gobierno su obliga­ c i ó n ; pero envuelven diversos medios y comprenden cargos de tre general que ha dado cima á la empresa, hasta con indig­ nación se rechazaron. No tengo necesidad de expresarlas: fá­ ción : la obligación del Gobierno es proponer á las Cortes la tal…</t>
  </si>
  <si>
    <t>e, Jacinto Roque de Serva Pereira</t>
  </si>
  <si>
    <t>Jacinto Roque de Serva Pereira e</t>
  </si>
  <si>
    <t>…8 0 ...................................... 8 El conde de Lagos continuaba en el m inisterio de la G uer­ me al art. 3.°, serán de fábrica de piedra. Los señores delega­ Idem de 81 oques á 120.................... 12 ra , y el Sr. Jacinto Roque de Serva Pereira en el de M arin a. dos conceden tres meses para la construcción de dichos almace­ Idem de 121 oques arrib a................................ 15 Se ere i a que uno de los M inistros saldría cuanto antes p ara nes. Hasta entonces los buques sospechosos ó sucios que llegar…</t>
  </si>
  <si>
    <t>e, Jackson</t>
  </si>
  <si>
    <t>Jackson e</t>
  </si>
  <si>
    <t>…, pues que el Rey Guillermo y su familia habían de­ niente general Jackson , quien ha reemplazado á sir Juan Col- jado contraidas en Bélgica deudas considerables con ciertos par­ born en el mando militar. Se dice que el general Jackson es ticulares y establecimientos públicos, que recobrarán de este muy apreciado en la colonia. modo las su roas que se les deben. Creemos poder también ase­ S. M . la R e i n a , s u augusta Madre la R e i n a G o b e r n a - j petos al nuevo gobernador general Mr. Poulett Thomson y ha­ gur…</t>
  </si>
  <si>
    <t>e, Jaim</t>
  </si>
  <si>
    <t>Jaim e</t>
  </si>
  <si>
    <t>…el ilustre ierables y artillería de grueso calibre. (Id.) la nueva administración para juzgarla. Entre tanto no podemos a y u n ta m ie n t o , Palau. convenir con S. E. que su falta de precedentes sea también un F irm aro n : D. Jaim e C arbó, mariscal de campo de los ejér­ citos nacionales, y comandante general de la provincia de Ge­ motivo para que suspendamos nuestro juicio. Eso n o : el señor barón no es n in g ú n hombre oscuro ó extraño á nuestros negocios rona , por dos internos. MADRID 26 DE A B R I L . políticos;…</t>
  </si>
  <si>
    <t>e, Jam</t>
  </si>
  <si>
    <t>Jam e</t>
  </si>
  <si>
    <t>…i­ lan hoy al consejo de Estado. co del Sr. D. D om ingo Uuiz de la V e g a, y acerca del cual El barón de Gerando presenta los antecedentes sobre este ya m anifestam os ligeram ente nuestra opin ión cu ando se asunto. El doctor Jam es, el mismo que asistió á Soufílard, acaba pub licaron su prospecto y alg unas m uestras de .versifica*- Mr. Galiset, abogado de la familia Napoleón, presenta eu de someter la cabeza de dicho criminal á la prueba de su sis­ c io n , h a rá tres meses poco mas. D e la Doña Isabel ofre­ favor de…</t>
  </si>
  <si>
    <t>…edores de estampas y de itinerarios; en fin , de todos aque­ los grandes faroles de distintos colores que alumbraban aquel llos que viven á expensas del tourista. De aqui resulta que el ¿Q ué diremos de la frenología? El doctor Jam es, el mis­ campamento improvisado. El desgraciado Ilogew K on, el co­ pais se sirve á cada comida que se le presenta á la vista en to­ mo que asintió á Soufflard , acaba de someter la cabeza de este merciante de opio, fue ejecutado en la plaza del desembarco. dos verle tamaños y en todos diale…</t>
  </si>
  <si>
    <t>e, Je</t>
  </si>
  <si>
    <t>Je e</t>
  </si>
  <si>
    <t>D. José Eguizabal, comandante Je escuadrón que fue de Ja ]U L intendente militar del distrito de Castilla la V ieja.—Debien- El solo título de esta obra basta para interesar en su lectura G uardi a Real de caballería , radicado eu la auditoría de guerra do contratarse el servicio de trasportes de tropas y efectos á todos los esp…</t>
  </si>
  <si>
    <t>e, Je Relaciones</t>
  </si>
  <si>
    <t>Je Relaciones e</t>
  </si>
  <si>
    <t>…proteja á la Francia!!!! (Courrier de Bordeaux .) bierno del Ecuador se apresura á comunicar tan plausible no­ Idem 14. ticia al Gobierno de lia Nueva Granada por el respetable órgano de S. E. el Sr. Secretario de Estado en el D. Je Relaciones ex­ Ayer mañana pasaron á felicitar al Excmo. Sr. segundo tendí es, á quien tiene el honor de reiterar las protestas de dis­ Paris 11 de Julio. cabo de este ejército y principado D. Antonio Seoane la ofi­ tinguida consideración con que se repite su muy atento obe­ cialidad de los cuerp…</t>
  </si>
  <si>
    <t>e, Joaquín Francisco Pacheco.</t>
  </si>
  <si>
    <t>Joaquín Francisco Pacheco. e</t>
  </si>
  <si>
    <t>…tivo de zozobra continua para las Parte doctrinal. = Estudios sobre las leyes de Partida. = 1.=: satisfacer con su importe los créditos contra él reclamados por mismas que á ello contribuyeron , y que ven amagar al Medio­ Por D. Joaquín Francisco Pacheco. el Excmo. Sr. marques de Mortara , en cuyas acciones ha en­ día europeo una nueva irrupción vandálica parecida á la que Crónica oficial. trad* Gil de Velasco; bien enteudido que pasado dicho térm i­ disipó el imperio romano; pues que, faltando aquel equilibrio, La crónic…</t>
  </si>
  <si>
    <t>e, Joaquín María S. Miguel</t>
  </si>
  <si>
    <t>Joaquín María S. Miguel e</t>
  </si>
  <si>
    <t>…el Sr, alcalde primero cons­ haberes, si sus destinos hubiesen sido servidos en comi­ tor fiscal titucional D. Tomas Fernandez de Vallejo por el promo­ sión; mas si hubiesen sido provistos en propiedad, el periódico titulado D. Joaquín María S. Miguel el artículo inserto en el complemento de las citadas tres cuartas partes se ejecutará principia; "siempreeí hemos Guirigay del miércoles 50 de Enero, que M INISTERIO DE HACIENDA. Sección segunda._ Circular. por las cajas respectivas hasta el dia precedente al de la el últi…</t>
  </si>
  <si>
    <t>e, Joaquín María San Miguel</t>
  </si>
  <si>
    <t>Joaquín María San Miguel e</t>
  </si>
  <si>
    <t>…iado ante el Sr. alcalde primero cons- Montalvan se ha defendido heroicamente: ha jugado la ar­ titucional D. Tomas Fernandez de Vallejo por el promo­ tillería contra la iglesia, y nada ha conseguido. La noche del tor fiscal D. Joaquín María San Miguel eo concepto de sedi­ 8 pegarou fuego á una mina debajo de la torre, y no produjo cioso é incitador á la desobediencia en primer grado, el artícu­ Valencia 8 de Junio . efecto, á pesar de tener 37 arrobas de pólvora. lo inserto en el núm. 137 del periódico titulado E l Gui…</t>
  </si>
  <si>
    <t>e, José Antonio Perez</t>
  </si>
  <si>
    <t>José Antonio Perez e</t>
  </si>
  <si>
    <t>…esclavitud en la isla de M auricio, aña­ P into, con vuelta á la de las E ras, retasada por el arquitecto No se hacen negocios sobre las acciones de banco ni sobre de: Milores, yo os ruego me permitáis que ocupe.vuestra ateu- D. José Antonio Perez en la cantidad de 48 ,690 rs. v n ., y los fondos indianos. cion por unos instantes hablando de mí. tienen 12,690£ pies. La persona que guste enterarse mas por La deuda activa española va mejorando: 19^. Acabo de responder al noble lord acerca de un 'asunto inte­ extenso y hacer p…</t>
  </si>
  <si>
    <t>e, José Campo y D. Juan</t>
  </si>
  <si>
    <t>José Campo y D. Juan e</t>
  </si>
  <si>
    <t>…á buscarlos á la comi­ blico decidirá si es ó no fundada esta opinión. de esta provincia, se cita, llama y emplaza á D. José María sión donde se suscribieron; pero debiendo limitarse las remesas de las Torreras, D. Juan López, D. José Campo y D. Juan en lo sucesivo á solo el número de cuadernos que conste hallar­ Araporda , endosantes que aparecen ser de una lámina de deu­ se abonado según las hojas de aviso, convendrá que unos y otros CRUZ. A las ocho y media de la noche. Sevolverá á da sin Ínteres, número 104,308, de rs. v…</t>
  </si>
  <si>
    <t>e, José Carratalá</t>
  </si>
  <si>
    <t>José Carratalá e</t>
  </si>
  <si>
    <t>…ios militares. (Núm. 15540 te de su furor: el 20 pasó por V illanuño y dió de golpes á dos Real decreto nombrando capitán general de Andalucía al te­ vecinos de ViIlam eriel, sacando un ojo de un palo á uno de niente general D. José Carratalá en reemplazo del conde de ellos, rompiendo un brazo á otro del pueblo , y dejando impo­ Hoy por la mañana se ha encargado de esta comandancia Clonard. (Núm. 1555.) sibilitado al alcalde después de llevar bastante cantidad de d i­ general el Sr. Corral en virtud de la Real órdep ( que…</t>
  </si>
  <si>
    <t>e, José de Bulner y Solera</t>
  </si>
  <si>
    <t>José de Bulner y Solera e</t>
  </si>
  <si>
    <t>…á la mano mas REVISTA DE MADRID. medios que nosotros, averigüen imparcial mente y con de­ Habiéndose denunciado ante el Sr. alcalde constitucional tenim iento ai la comedia intitulada E n M a d rid y en una D. Angel Mazon por D. José de Bulner y Solera en concepto AGOSTO D E 1839. ta s a , es ó 110 de aquel autor cómico. El ejem plar que de injurioso en primer grado el folleto titulado: tcEste sí que poseemos de esta pieza y que parece arrancado de un es tapa bota y concluye: wcon mi ejemplo y mis consejos f SEGUNDA SERIE.…</t>
  </si>
  <si>
    <t>e, José Ferraz</t>
  </si>
  <si>
    <t>José Ferraz e</t>
  </si>
  <si>
    <t>…as cualidades de profundo observador, acaba de dar la 6.° LOS BUTIBAMBAS , sainete divertido. ra del ministerio de Hacienda por no permitir el estado de mayor prueba de su constante aplicación en favor de la h u ­ su salud á D. José Ferraz eocargarse de dicho ministerio i n ­ manidad doliente con la obra que anunciamos. Puede decirse terinamente. (Num. 1742.) que hasta ahora ha sido desconocida la curación de la enfer­ CRUZ. A las ocho y media de la noche. Se volverá á po* ■— nombrando Senadores por varias provincias. (I…</t>
  </si>
  <si>
    <t>…iendo á Méjico condiciones vergonzosas y humillantes, gér­ REALES DECRETOS. seguido el que se refugiase en un hoyo, ía enterraron viva. menes mas ó menos próximos de nuevas discusioues entre los dos paises. No permitiendo á D. José Ferraz el actual estado de Sabemos con todo que sin exigir del Gobierno mejicano su salud encargarse interinamente del despacho del Mi­ El célebre Daniel O ’Connell ha pasado la semana anterior obligaciones que este país, que se supone tan rico, y en realidad nisterio de Hacienda, como tuve á b…</t>
  </si>
  <si>
    <t>e, José Ferraz. Tendréislo</t>
  </si>
  <si>
    <t>José Ferraz. Tendréislo e</t>
  </si>
  <si>
    <t>…interinamente del Despacho de los negocios á una gavilla de rebeldes la columna de Ginzo, logrando des­ de la referida Secretaría al actual director generalmontar á uno y capturar su caballo, armas y otros efectos: del tesoro D. José Ferraz. Tendréislo entendido, y aprehender asimismo el cabo primero del provincial de M on- Escriben de Constaotinopla con fecha 4 de A b ril: dispondréis lo conveniente á su cumplimiento.=Está terey Juan Lenia cinco caballos de otros cantos facciosos en el El éxito que nuestra ópera italiana h…</t>
  </si>
  <si>
    <t>e, José García Luna.</t>
  </si>
  <si>
    <t>José García Luna. e</t>
  </si>
  <si>
    <t>…e espectáculo que se para ponerse al frente del ejército, y dirigir por sí mismo las BOLSA D E M ADRID. suspendió el dia 4 del corriente por indisposición del actor operaciones del sitio, y toma de aquel punto. Llegó á Cervera D. José García Luna. el 6 , y mandó venir á esta plaza al gefe del estado mayor ge­ Cotización del dia 15 á las tres de la tarde • neral con una brigada para que activase la marcha del tren de EFECTOS PÚBLICOS. CRUZ. El domingo 17 del corriente se dará la última re­ batir y demas pertrechos de guerra q…</t>
  </si>
  <si>
    <t>e, José Gavilanes</t>
  </si>
  <si>
    <t>José Gavilanes e</t>
  </si>
  <si>
    <t>…ño. ostenido que dicho bilí anularía enteramente la Constitución allí: sigue sin novedad y dió ayer principio á los trabajos. )opular de la colonia: que la comisión encargada de hacer las El comandante del presidio de Málaga D. José Gavilanes eyes para la Jamaica se compondría de personas extrañas á la me manifiesta en su-parte del 19 que en aquel dia salieron con oisma , é ignorantes de las necesidades y deseos de las pohlacio- dirección á esta plaza cuatro brigadas completas y organizadas Inspección de minas del distri…</t>
  </si>
  <si>
    <t>e, José Gordon. Para</t>
  </si>
  <si>
    <t>José Gordon. Para e</t>
  </si>
  <si>
    <t>…n el grato deber de p ar­ T arragona, de la m ism adase, vacante por haber pasado al de r a n todas las com unicaciones que ocurrieren. T e n d rá voto con ticiparle el resultado de mis disposiciones, y los progresos que Lorca D. José Gordon. Para el expresado de Lérida á D. Jo a­ decisivo en los acuerdos cu ando resulte em pate, y en los al Puerto tanto ahinco quiero echar de ver en el camino de Bonanza quín M ir, que sirve el de Alcira: para este, de'ascenso en la de Santa María. Dios guarde á Y. E. muchos años. asuntos d…</t>
  </si>
  <si>
    <t>e, José Guzman.</t>
  </si>
  <si>
    <t>José Guzman. e</t>
  </si>
  <si>
    <t>…ecial mención. A des oficinas que se levantan al costado izquierdo del antigno Al D. Antonio Alverá. / todos aconsejamos que procuren madurar sus facultades con el cazar sobre los baños, que llaman, de Doña María Padilla: di D. José Guzman. estudio, y desterrar ciertos resabios de provincia que á las ve­ cha obra se hizo i causa de las ruinas que sufrió la fábrica e D. Ignacio Silvostri. ces les perjudican gravemente. Es digna de todo elogio su el terremoto de 1755. D. Angel López. aplicación, asi como lo son los esfuerz…</t>
  </si>
  <si>
    <t>e, José Lancast</t>
  </si>
  <si>
    <t>José Lancast e</t>
  </si>
  <si>
    <t>…, qu i e n h a c i a reclamado el a ux i l i o posible para plantear el premio que el anteri or. si r hace 4 0 a ñ o s ; S. E. A h m e t - F e t h i - b a j á , e mba j a dor de la método de enseñanza mu t u a i nventado por D. José Lancast er. D. Toma s Tej ada , de siete años de e da d, núme r o cuat ro de Pu e r t a otomana cerca de la corte de F r a n c i a ; Ií ussei n baj á, L a s esperanzas que entonces concibiera esta asociación úo la q u i nt a c l a s e, por su apli caci ón y mérito que ha mani fest ado que ha…</t>
  </si>
  <si>
    <t>e, José Mariano Vallejo. Habiendo</t>
  </si>
  <si>
    <t>José Mariano Vallejo. Habiendo e</t>
  </si>
  <si>
    <t>V izcaya. sección su presidente D. José Mariano Vallejo. Habiendo este que el acto de beneficencia que esta corporación hizo en favor propuesto á los socios que trabajasen para hallar una demostra­ de la niña Isabel de Diego , ciega de nacimiento , produjo js) Sr. D. Francisco de Hormaeche. ción general de dicho teorema , presentar…</t>
  </si>
  <si>
    <t>e, José María Tornel</t>
  </si>
  <si>
    <t>José María Tornel e</t>
  </si>
  <si>
    <t>…lidad de la institución, y des­ Memoria de la Secretaría de Estado y del Despacho de apareció la disciplina. la Guerra y M arina , leída por el Excmo . Sr. general El útil desengaño de que el ejército empeoraba de condición D. José María Tornel en lá Cámara de Diputados el cuando se separaba de la obediencia debida al Gobierno que le PARTE NO OFICIAL. dia 7 de Enero de 1839 * y én la de Senadores el 8 del sostenía, ha bastado para recobrar el espíritu de subordinación, mismo¿ qúé es el álma de la fuerza militar. Al veri…</t>
  </si>
  <si>
    <t>e, José Mateos y Sánchez</t>
  </si>
  <si>
    <t>José Mateos y Sánchez e</t>
  </si>
  <si>
    <t>…dia; la una á las seis de la mañana, y la otra á dra nombrada S. Ildefonso, que abandonó Antonio Fernandez productos del correo no se han aumentado en razón del aumen­ la misma hora por la tarde. Matoso á nombre del presbítero D. José Mateos y Sánchez en to de población y del comercio. El subido derecho de la déci­ También desearía el autor se suprimiese el precio rural, que el día anterior, y le fue admitido como registro en el referido ma que se percibe sobre el precio de trasporte á los que viajan mira como injusto, arbit…</t>
  </si>
  <si>
    <t>e, José O-Donnell</t>
  </si>
  <si>
    <t>José O-Donnell e</t>
  </si>
  <si>
    <t>…d en los ra corporal. una República confederada, semejante al imperio germánico cuarteles de realistas y guardias de la Real Persona.—Arresto que ha fenecido en nuestros d ias; su gefe era el sumo Pontí­ del teniente general D. José O-Donnell en Valladolid. —Sepa-^ "N o se alabe la hermosura : fice: su npmbre la cristia n d a d : y el título para pertenecer á ración de Guergué de la comandancia de armas de A v ila , y Pues de dos veces muriendo e lla , el bautismo y la fe cristiana. Opuesta á tan grande y po­ antecedente…</t>
  </si>
  <si>
    <t>e, José Pabglieri. Presidió</t>
  </si>
  <si>
    <t>José Pabglieri. Presidió e</t>
  </si>
  <si>
    <t>…que subyugan el corazoti. Deberá pues presentar nes públicos de los alumnos del colegio m ercantil, que De este ramo de enseñanza serán examinados en castellano. las pruebas de tal manera, que al mismo tiempo que (con­ dirige D. José Pabglieri. Presidió estos exámenes el pri­ venza la razón , gane los afectos. mer dia el Sr. doctoral y gobernador del obispado, y el Historia antigua y de España . ¿Es lícito emplear en la oratoria sagrada los conoci­ segundo y tercero el Sr. D. Juan José Delicado y Diaz, mientos filosófico…</t>
  </si>
  <si>
    <t>e, José Pim</t>
  </si>
  <si>
    <t>José Pim e</t>
  </si>
  <si>
    <t>…dad, como por movim iento hacia Q uintanilla de Canduela el capitán del pro­ porción de armas de fuego, sables y otros efectos, sin haber su­ los 15 dias y noches horrorosos de un casi continuado temporal vincial de Betanzos D. José Pim entel, comandante m ilitar de frido la columna mas desgracia que la de un caballo herido. que sufrió á bordo de su buque y sin cubierta, no teniendo Reinosa, con intención de secundar el golpe que el rebelde Diez El referido comandante general recomienda el mérito que otro abrigo que un ma…</t>
  </si>
  <si>
    <t>e, José Robiralta.</t>
  </si>
  <si>
    <t>José Robiralta. e</t>
  </si>
  <si>
    <t>…blos fueron Se decidió llamar al suplente por Barcelona por haber re ­ varía sus fueros, y que él seria el primero en defenderlos con lunCa dominados. ¿ L o fueron de los fenicios? No, ¿ De los n un ciado el cargo de Diputado D. José Robiralta. ellos. cartagineses? Tampoco. ¿ D e los romanos? Tampoco: fueron Se dio cuenta de algunos expedientes. Me refierñ, señores, á un hecho; y en prueba de esta ver­ ;us alia d o s, no sus víctimas. Tampoco fueron domioados por El Sr. P R E S ID E N T E : Continúa la discusión que aye r…</t>
  </si>
  <si>
    <t>e, José Suárez</t>
  </si>
  <si>
    <t>José Suárez e</t>
  </si>
  <si>
    <t>…ca de los co­ O tra con huerta y jard íri, tasada por el mismo arquitecto Seijas. En primer lu g ar: aunque generalmente es cierto que no nocimientos económicos de Cabarrús para form ar una caja de y por el jardinero de S. M. D. José Suárez en 35J8$8 rs. con siempre se hari de buséar en laá personas de los Reyes los mo­ descuento, un banco que sostuviese el c ré d ito ; proyecto qUé se 17 njrs. tivos de la influencia de sus reinados y de ló bueno ó Ió malo llevó, á ejecución con mucho pulso. Por la alberca, c a z , parede…</t>
  </si>
  <si>
    <t>e, José Zorrilla.</t>
  </si>
  <si>
    <t>José Zorrilla. e</t>
  </si>
  <si>
    <t>…ncluyendo en que taris- del 16. L a la cual con su razón , comedia en El Sr. LOPEZ dijo que el dictámen de la comisión estaba bien deseaba se trajesen los documentos citados por el Sr. Ló­ tres Noche actos, en verso: su autor D. José Zorrilla. en su lugar; pero que sin embargo le parecía que se debia sus­ pez, pues entonces se veria cuál habia sido la conducta del M i­ Extraña situaciou es la del crítico, que al juzgar una pro­ pender la discusión hasta que el Ministerio estuviese presente. nistro en este negocio. ducción…</t>
  </si>
  <si>
    <t>e, Juai Según</t>
  </si>
  <si>
    <t>Juai Según e</t>
  </si>
  <si>
    <t>…moderno 50. con la república francesa, y abandonó sus provincias de la ori­ ro constitucional, vista la denuncia puesta por el limo. cabild&lt; lla izquierda del Rhin. eclesiástico de esta capital contra el prebendado del mismo D. Juai Según estas aserciones, el iluminismo habría contribuido á Pascual Sama , por los artículos que mandó iusertar en el pe­ asegurar el triunfo de los revolucionarios sobre la coalición de riódico llamado Correo Nacional que se publica en Madrid, j BIBLIOGRAFIA. los Reyes. E&lt;ta fue, por lo demas,…</t>
  </si>
  <si>
    <t>e, Juan Cuervo</t>
  </si>
  <si>
    <t>Juan Cuervo e</t>
  </si>
  <si>
    <t>…el Sr. D. Manuel Luceño, juez de primera instancia de Avapies en esta corte , sita en la calle de Bordadores, nú­ mero 12 nuevo, cuarto segundo, para notificarle varias pro­ BIBLIOGRAFÍA. REGLAMENTOS videncias por el escribano D. Juan Cuervo en autos seguidos entre el mismo Sr. Nieto y D. Manuel José Franco. T OS suscriptores á los Recuerdos y bellezas de España acudi- ^ rán á recoger los cuadernos 4*^ hasta el 9.°, ambos inclu­ DE LAS ORDENES MILITARES sive , á la librería de Sanz , calle de Carretas, donde se adm i­ DE…</t>
  </si>
  <si>
    <t>e, Juan Echeverría</t>
  </si>
  <si>
    <t>Juan Echeverría e</t>
  </si>
  <si>
    <t>…convulsiones observadas por casualidad en los miem­ Sm art, secretario. que nada el objeto y el espíritu de la insurrección actual. El bros de las ranas muertas en 1790 sugirió á G alvani el estu­ primero es que mientras que D. Juan Echeverría estaba en Le­ dio de ciertos fenómenos, los que han sido llamados galvanis­ saca al lado de D. Cárlos, Elío aprovechó el momento para en­ mo. Este químico atribuyó estos movimientos á un fluido ó viar un fraile á V era, á fin de persuadir al 5.° batallón á que poder eléctrico, inna…</t>
  </si>
  <si>
    <t>e, Juan José Rodríguez Bal-</t>
  </si>
  <si>
    <t>Juan José Rodríguez Bal- e</t>
  </si>
  <si>
    <t>…at y Danton atizaban tan ¿poco Ls licito por ventura hablar de la fíeina Madre con Por el presente y á virtud de providencia del Se. juez de electo, respeto? ¿Qué? ¿Ni por dama, ni por bienhe­ primera instancia de esta corte D. Juan José Rodríguez Bal- en i rancia el luego de la liebre revolucionaria se lia di­ chora, ya que no por su alta é inviolable dignidad, po­ deosera , se cita y emplaza á D. José Aldao y Camoño , tenien­ cho mas que en el que rebatimos. Por dicha los abusos 110 drá l¡beriar&gt;e de que se la tome en b…</t>
  </si>
  <si>
    <t>e, Juan Plana y Desde</t>
  </si>
  <si>
    <t>Juan Plana y Desde e</t>
  </si>
  <si>
    <t>…económica matritense. Cuatro tomos en 4*° impresos ea Por el presente se cita, llama y emplaza al teniente coronel Entrega de JUNIO de 1839. 1818, á 84 rs. rústica, y 104 pasta común. de caballería graduado D. Antonio U ria: D. Juan Plana y Desde el principio del siglo xvr, en que se publicó por pri­ M iJa, gobernador del castillo de Porto-Petro en Mallorca: Se halla á 3 rs. tanto en rama como en rústica en el mera vez esta obra de orden y á expensas del célebre cardenal D. Francisco de la Maza, capitán de caballería en…</t>
  </si>
  <si>
    <t>e, Juan Sevillano</t>
  </si>
  <si>
    <t>Juan Sevillano e</t>
  </si>
  <si>
    <t>…e S. M. en desacreditarle y privarle de los m edios de de­ trato de 18 de Mayo último 12000000, y 8000000 entregados en libranzas del tesoro al contratista de víve­ fender y hacer triunfar la hermosa causa de la libertad y res D. Juan Sevillano en cange de créditos liquidados de igual procedencia. la indep end en cia, y del trono legítim o de nuestra excelsa M adrid 51 dé Marzo de 1859.=José Ferraz.:r:Ranion Santillan. é inocente Reina, sino que prueban la sensatez, la obedien­ cia legal y el amor al orden de esta nación m…</t>
  </si>
  <si>
    <t>e, Juana</t>
  </si>
  <si>
    <t>Juana e</t>
  </si>
  <si>
    <t>…de Castilla el ju r a ­ N o sé quién fue el desgraciado, Unamos todos nuestro firme voto mento de venganza por satisfacer esta ardiente pasión. Don Mi hijo despareció. Para salvarla de opresión nefanda. Enrique abandona á Doña Juana en el segundo y tercer acto; La angustiada pena de un corazón, que ni aun se atreve á Unámosle, valientes castellanos, se oculta en el cuarto huyendo la presencia de D. Pedro, á descubrir delante del hombre que lo ha despedazado, jamás ha Que mengua es, ya que nuestro honor empaña, quien quisi…</t>
  </si>
  <si>
    <t>e, Juana. El</t>
  </si>
  <si>
    <t>Juana. El e</t>
  </si>
  <si>
    <t>…ia (dice) ¡ triste día D . Gonzalo Este es el sitio De la corte lejos Es dar la idea mas acabada del mas marcado desden y de Que lució para mi m a l! de M ejía . . . . Y entre el silencio de las tumbas santas la virtud de Doña Juana. El espectador se impacienta ya por De vuestra alteza Real Los fuertes campeones de Castilla v e r la , y cuando D. Pedro admite con placer el proyecto de Cual de la tumba él huía. Del noble Enrique la presencia aguardan. robarla de su castillo que Samuel le propone, su corazón prin­ En la n…</t>
  </si>
  <si>
    <t>e, JULIAN.</t>
  </si>
  <si>
    <t>JULIAN. e</t>
  </si>
  <si>
    <t>…ete cua­ nes poéticas alusivas á la solemnidad del acto, mereciendo to­ Tres por 100 portugués, 22. dros y en verso , titulado das ellas un aplauso general. Se cantó un himno patriótico, cuya música á toda orquesta EL CONDE D. JULIAN. es composición del indicado director, en celebridad del felis BOLSA DE M ADRID, cumpleaños de S. M. la Reina Gobernadora, cuya letra tene­ mos el gusto de presentar al público. Cotización del dia 11 d las tres de la tarde. CRUZ. A las ocho y media de la roche. Se volverá á HIMNO. EFECTOS…</t>
  </si>
  <si>
    <t>e, L-opoldo O-Donell. Una</t>
  </si>
  <si>
    <t>L-opoldo O-Donell. Una e</t>
  </si>
  <si>
    <t>…o , los medios de vivir honradamente c“ a n t o á a ? uelloS (Iue están próximos á conseguir su li- tad , las comisiones de las respectivas secciones se informan con el producto de su trabajo , y reclamó por último la supre- D. L-opoldo O-Donell. Una extraordinaria afluencia de gen-' tes llenaoa la calle de Murviedro y las demas del tránsito ea la de la época en que deben salir de la prisión, y Cua„do lo s h a - ciu dad, deseosas de contemplar el semblante de aquel que tan nornnV,‘SpUe^ ^ a ,c orreg,rse &gt; ? d «gnos de su a…</t>
  </si>
  <si>
    <t>e, La Corte</t>
  </si>
  <si>
    <t>La Corte e</t>
  </si>
  <si>
    <t>…, á 6 por 100 al año. Se suscribe en Madrid en la librería de Cuesta, frente á las Dióse cuenta de haber sido incluido en la 4»a sección el se­ Covachuelas; en la estampería de V alle, calle de Carretas, y en ñor Cuetos, el Sr. La Corte en la 5.a y el Sr. Fajardo en la 6.a la redacción, calle del Príncipe, nútn. 15, cuarto entresuelo. El Sr. PRESIDENTE anunció que el Congreso se reuniría En las provincias en las administraciones de correos y princi­ en secciones , y levantó la sesión. Suscripción para socorrer cí las rel…</t>
  </si>
  <si>
    <t>e, La Gobernación de la Península</t>
  </si>
  <si>
    <t>La Gobernación de la Península e</t>
  </si>
  <si>
    <t>…l están investidos con ese mismo ca­ putados de orden de S. M. la Reina Gobernadora por el tria por los ciegos, como una especie de indemnización del in ­ rácter, pudiera poner en duda la legalidad con que están sen­ Ministro de La Gobernación de la Península el día 14 de feliz estado á que los ha reducido la naturaleza. En el dia pue­ tados en estos bancos. ? Setiembre, de ser ejercida por toda clase de personas; y esta variación ha­ Dejo á la cousideracion del Congreso que juzgue las fu ­ REA L DECRETO. ce mas necesario…</t>
  </si>
  <si>
    <t>e, Laborda</t>
  </si>
  <si>
    <t>Laborda e</t>
  </si>
  <si>
    <t>…coristas que fueron de la referida vienen las calidades que han de concurrir en los Senadores para poder desempeñar su encargo, y que el documento que orden que quieran pasar á dichas islas, pudiendo en su con­ presenta el Sr. Laborda en subrogación de los primeros con que secuencia dirigirse los que deseen ser admitidos al citado colec­ acreditó su aptitud legal no es suficiente. PARTES. tador , que reside en )a casa Hospicio de misiones á Indias, en el Puerto de Santa M aría, expresando el pretendiente su edad, dicho…</t>
  </si>
  <si>
    <t>…pués de hacer otras ligeras obser­ El Sr. CALATRAYA, contestando al Sr. San Miguel dice, derecho adquirido por esa señora , y no necesitaba para ello de vaciones, concluye diciendo que los medios de conservar el cré­ que el Sr. Laborda en su concepto propone y subroga á los modo alguno acudir á las Cortes. dito es el asegurar los capitales y pagar los intereses. fondos que tiene depositados en el banco una renta que en rea­ El Sr. IN FAN TE: No sé si la comisión ha tenido presente El Sr. Ministro de la GOBERNACION contest…</t>
  </si>
  <si>
    <t>e, Lalande</t>
  </si>
  <si>
    <t>Lalande e</t>
  </si>
  <si>
    <t>…di­ también sobre los derechos que al clero católico asisten para to* cen de nuevo acerca de la situación política. Según el Sund , el PARTE NO OFICIAL. mar parte en lo concerniente á la educación nacional. El oanque- almirante Lalande estaba resuelto, si la inacción se prolongaba, te con que debe obsequiárteles será presidido por Mr. CFConneli. á pasar en Metelin el invierno, y la escuadra inglesa en Lem- nos ó en otro cualquiera punto i o raed i ato. La inílueocia de Reschid-bajá se consolida cada dia mas. (.Debats.)…</t>
  </si>
  <si>
    <t>e, Lamadrid</t>
  </si>
  <si>
    <t>Lamadrid e</t>
  </si>
  <si>
    <t>…y, tan ventajosamente conocido ya en esta esfera. Un le alcanzar al dia siguiente á pesar de los esfuerzos que el gefe senta , y que el de todos no sea el mismo. faccioso hacia para alejarse de él. dúo sobre todo en que la Sra. Lamadrid ejecuta la Casta diva Somos tan severos con el Sr. Bretón porque le apreciamos de N orm a , y el Sr. Salas un polo español, mereció largos sinceramente; porque el deber de la crítica es aconsejar é ilus­ aplausos por lo original de la idea: las demas piezas gustaron trar; porque comedias…</t>
  </si>
  <si>
    <t>e, Larram</t>
  </si>
  <si>
    <t>Larram e</t>
  </si>
  <si>
    <t>…el T r a v a d o , que manda la colum na del distrito de ac laracio nes, dijo : Art. 5.° Descontado el importe de estos créditos de la A lm o r o x , se logró la muerte de dos facciosos, uno de ellos Debe tener entendido el Sr. Larram endi que cuando un D i­ totalidad de los mencionados cupos, bien de los contribu­ herm ano del cabecilla Patricio. yentes, bien de los pueblos, el resto se pagara por mitad putado se d irig e al Gobierno para interpelarle sobre un objeto de ínteres general para una p ro v in c ia , y tuucho…</t>
  </si>
  <si>
    <t>e, Lasagra</t>
  </si>
  <si>
    <t>Lasagra e</t>
  </si>
  <si>
    <t>…pron­ elservaciones mayor crédito y hacen dignas de toda confianza las ob­ Muchos individuos de la segunda Cámara han presentado to como regresen las dos compañías del primer batallón de fusi­ su obra, asi que como hace el Sr. Lasagra en el discurso de las numerosas tablas estadísticas que la su dimisión en estos últimos dias, lo que induce á creer c[ue el está leros que los escoltan, se disminuya el servicio que tanto tiempo dando la benemérita Milicia nacional. misma contiene. Gobierno no podrá reunir el numero sufi…</t>
  </si>
  <si>
    <t>e, Latorre</t>
  </si>
  <si>
    <t>Latorre e</t>
  </si>
  <si>
    <t>…go está compuesto en dísticos, y la traduc­ diosidad , toda su conveniencia* de la bonita estampa que acompaña al número, y representa ción se ha puesto en tercetos. Precede á las traducciones un Convenimos igualmente con el Sr. Latorre en que la inteli­ una hermosa muger desnuda atormentada por cuatro diabólicos prólogo de regular extensión, en el cual, después de una corta gencia y la sensibilidad son v las dos principales facultades ne­ amantes.=Policía urbana.^Ácertijo; cosas de Fr. Gerundio.— biografía de los autores t…</t>
  </si>
  <si>
    <t>…podríamos aplicar aquellos darle los tiempos mas dichosos que han trascurrido. los errores y demasías de aquella llamada escuela, ¿ sos­ dictados, no lo ha hecho asi: 110 querem os escudriñar las Esto es lo que le sucede al Sr. Latorre en el P a ria ; tendrem os por eso que el gusto del público se inclina de causas que á ello la han m ovido; pero sin plan fijo, sin se afana por encontrar sus antiguas inspiraciones, y lo lo­ nuevo á la tragedia puram ente clásica que conserve todas objeto, la hemos visto vacilar entre los d…</t>
  </si>
  <si>
    <t>e, Leido</t>
  </si>
  <si>
    <t>Leido e</t>
  </si>
  <si>
    <t>…a lla r en A r t. 52. Puede un M in istro pedir que se suspenda c u a l ­ de Palen cia. ig u a l caso? ¿ Q u é será de mí si m añana voy á esas provincias, qu ie ra discusión en el Senado ó en el C o n g re so , y el Presidente Leido el dictámen en el que la comisión opinaba que debía p o rq u e tengo derecho á ir mientras la ley 110 me lo prohíba , y de cada uno de estos cuerpos puede disponer que asi se h a g a aprobarse la reelección, fue aprobado. tengo la desgracia de da r con un cabildo tan obcecado como el hasta e…</t>
  </si>
  <si>
    <t>e, Leinster</t>
  </si>
  <si>
    <t>Leinster e</t>
  </si>
  <si>
    <t>…des orangi tas, y La mas importante de todas , dice Mr. O ’Connell , es la íi - que están fundadas en grandes principios políticos, y tienen por por otro fomentar otras no menos dañosas, no es papel que cor­ mada por el duque de Leinster en nomine de la nobleza y de objeto la prosperidad actual y futura del pais. El honorable responde representar al Gobierno. El orador hace en seguida las demás clases reunidas en 11 de Abril en Dublm. Jarnás se individuo dirá tal vez que aun votando en favor de la mocion otras observacion…</t>
  </si>
  <si>
    <t>e, Lemus</t>
  </si>
  <si>
    <t>Lemus e</t>
  </si>
  <si>
    <t>…os con vivas á la a u ­ y entre ellq*. su mavor de órdenes D. Antonio Jiménez- elos de Fernannuñez y M onteinayor se ha dado principio al g u r a Reina , a' la Constitución, á la p ro v in cia, á sus a u to ri­ La fuerza del Sr. Lemus era de poca consideración : hoy que corresponde á la ciudad de M ontílla , cuyos habitantes han dades , que repite la (ropa con entusiasmo y/salvas triples de está reducida á L menor expresión y precisado á reudirse. demostrado del modo mas satisfactorio el placer que le» causa f u sile ría,…</t>
  </si>
  <si>
    <t>e, Leonor de Guzman</t>
  </si>
  <si>
    <t>Leonor de Guzman e</t>
  </si>
  <si>
    <t>…enor e f e c - la pasión de la venganza; á que el juramento pronunciado so­ to con el placer mas puro los dramas de Saavedra , Hartzera- ;o que por el an te r io r, debe aquel ser inferior á este, pues to­ bre la tum' a de Doña Leonor de Guzman es un cuadro rnas busch , Larra , Escosura , Gutiérrez y Roca de T ogores, porque lo método es comparable á una m áquina , y la indicada condi** tráfico y fuerte que la vista de los sepulcros de los Atridas y ellos cantaban y pintaban la historia de nuestro pais, la g alan ­ :ion s…</t>
  </si>
  <si>
    <t>e, Leopoldo Meaendez</t>
  </si>
  <si>
    <t>Leopoldo Meaendez e</t>
  </si>
  <si>
    <t>…D. Leopoldo R e d p a th , corredor jurado y agente en L o n ­ u»r de las tierras á lq rs. Ahora bien , haga S. 8. su cálculo, ditos ó si no están destinados ai necesario aprovechamiento dei d res, Lim e Street, núm. 4 9 , ó D. Leopoldo Meaendez en V i - ve i lo que hay q u e darle en fanegas de tierra á cada soldado g o , darán todos los informes que se requieran de las circuns­ común. tancias de los vapores y de lo demas que sea necesario. hasta cubrir la suma de 1,44^ r5* ? y dígame si con eL total de El Sr. P R E SI…</t>
  </si>
  <si>
    <t>e, Leopoldo Menendez</t>
  </si>
  <si>
    <t>Leopoldo Menendez e</t>
  </si>
  <si>
    <t>…eban Rodríguez Alon­ D. Leopoldo R edpath, corredor jurado y agente en L ón­ veces su casa el gefe político de Madrid , en virtud, según este so.—Ramón María Arteaga.—Martin de Torres Moreno.—M a­ dres, Lime Street, num. 4^* ° D. Leopoldo Menendez en V i- dijo, de Real orden reservada, la cual al parecer fue acordada nuel Jubes.zzBonifacio López.—Jorge Fariña.—Nicolás de la go, darán todos los informes que se requieran de las circuns­ en Con«ejo de Ministros, no habiendo precedido para ello las Riva.—José María Varela. Asi r…</t>
  </si>
  <si>
    <t>…n bueo es­ Cotización del dia 29 d las tres de la tard e tado , construidas por los mejores iogeoieros de Londres y Es­ BIBLIOGRAFIA. cocia. D. Leopoldo Redpath, corredor jurado y agente en Lon­ dres, Lime Street, núm. 9 ó D. Leopoldo Menendez en V i- EFECTOS PUBLICOS. lascripcionei en el gran libro i 5 por i Oí», 00. go, darán todos los informes que se requieran de las circuns­ Títulos al portador del 5 por 100 , 32f y 32¿ con cupones al tancias de los vapores y de lo demas que sea necesario. eontado: 33 |, i , un di…</t>
  </si>
  <si>
    <t>e, Leopoldo Meoendez</t>
  </si>
  <si>
    <t>Leopoldo Meoendez e</t>
  </si>
  <si>
    <t>…a que ha perdido á su gado nuestro teatro de las farsas ridiculas de Cornelia y D. Leopoldo Redpath, corredor jurado y agente ea Lon­ esposo. Este fin, que se adivina mas bien que se conoce, no dres, Lime Street, miro. 4^, ó D. Leopoldo Meoendez en V i- comparsa: viciábase lastimosamente el buen juicio del pú ­ está presentado como debiera para el necesario resalte; sin go, darán todos los informes que se requieran de las circuns­ blico ; perdía la literatura su esplendor y su brillo, abas­ duda el Sr. Martinez de la Ros…</t>
  </si>
  <si>
    <t>e, León</t>
  </si>
  <si>
    <t>León e</t>
  </si>
  <si>
    <t>…didos para nuestro ejército, y muchos están en sentido de de­ fenderse de las cortas partidas que se presenten. 20.998,995 BIBLIOGRAFIA. Idem 23. El Exento.. Sr. duque de la Victoria se hallaba el 2 l en Estercuel: el general León en Calanda , y el mariscal de E SPIN AS sembradas por la dictadura político-m ilitar en Ca­ campo Alcalá en M artin. ta lu ñ a, ó los 20 meses. Se vende en esta corte en la li­ Estado de los géneros exportados por el puerto de Odessa en el año de 1838. Se han ocupado al enemigo varios depósit…</t>
  </si>
  <si>
    <t>e, Liza</t>
  </si>
  <si>
    <t>Liza e</t>
  </si>
  <si>
    <t>…tación Esta noticia se afirmaba igualm ente en Lerin el dia 2 0 , con mas que se han publicado en castellano y las mas arregladas al de los paquetes, con cuantas comodidades pueden proporcio­ la diferencia de poner al brigadier Liza en lugar de Carmona, original , según pueden verlo en él los que lo entiendan , y los narse á bordo de un buque, habiendo también servicio da y añadir que habia sido preso el intendente general Ubago, que no en la traducción en prosa puesta al p ie, y hecha pala­ camas. Uriz , O jer, el vic…</t>
  </si>
  <si>
    <t>e, Lleopart.</t>
  </si>
  <si>
    <t>Lleopart. e</t>
  </si>
  <si>
    <t>…en. t ame ti sobre las actas de la provincia de Albacete. principios , quiero sí que se realce el mérito del ejército como Si se diesen los fueros de ese modo, autorizábamos el abso­ Se leyó el dictamen y voto particular del Sr. Lleopart. es debido , y que se reconozca que en la campaña que ha an te­ lutismo, y tendríamos que establecer un poder que no daría La comisión opiua que se aprueben las actas, y sea adm iti­ cedido á ese tratado ha sufrido privaciones y fatigas, y ha garantía alguna á los de aquel pais. do el Sr.…</t>
  </si>
  <si>
    <t>e, Llórente</t>
  </si>
  <si>
    <t>Llórente e</t>
  </si>
  <si>
    <t>…llón 217,522; apercibidos ¡U N A V IE JA ! te la cuarta parte de los que fueron obligados á tomar las ar­ que de no comparecer les parará el perjuicio que haya lugar. mas por los partidarios del absolutismo. desempeñando la Sra. Llórente el papel de la protagonista. SUBASTAS. Del mérito de esta producción ha de fallar muy pro atoel De Lumbier se están conduciendo ya para Pamplona las público, y no es razón prevenir su juicio; pero puede asegu­ municiones, é inmediatamente que lo permita la solidez de un Gobierno político…</t>
  </si>
  <si>
    <t>…El com an dan te d e l escu a d ró n lig er o d e Milicia nacional d e el uso de todos los facultativos , para los jueces que no son ju r is t a s ,p a r a eclesiásticos y religiosos, y todas las personas qu desempeñando la Sra. Llórente el papel de la protagonista. esta capital á sus co m p a ñ ero s en e l a cto d e depositar los deseen instruirse en las m a t e r ia del Derecho: su autor el li Del mérito de esta producción ha de fallar uiuy j ronto el restos d e D. Blas Caries , D. J o s é Campillo y D . M a ­ cenciado…</t>
  </si>
  <si>
    <t>e, Lostende. Prim</t>
  </si>
  <si>
    <t>Lostende. Prim e</t>
  </si>
  <si>
    <t>…a m inistros, según la ordenanza de 14 de Noviembre de 1857. Segunda división en M aub erge: el teniente general Schram m ; Tampoco puede tomar la in iciativ a en n in g u n a deliberación. gefe de estado m ayor , el coronel de Lostende. Prim era b riga­ mandar por sí lo contrario de lo que se digna resolver Siguen después los nombramientos de los presidentes y de los da , Fabrier , mariscal de campo: segunda b r i g a d a , de N egrier, por medio de sus Ministros responsables, órgano exclusivo ind ividuos ordinarios y e…</t>
  </si>
  <si>
    <t>e, Lucas</t>
  </si>
  <si>
    <t>Lucas e</t>
  </si>
  <si>
    <t>…dos ejemplares gratis F A hermosa y bien acreditada fragata española Asia (álias mo testigo presencial la certeza de la noticia de los fusilados en al que compre una docena. • I c a ) 9 su capitán el alférez de navio graduado D. Lucas el fuerte de P u y , y que el que se ignora su nombre parece ser Fasio, saldrá del puerto de Cádiz para M anila del 10 al 15 de Guergué. Marzo sin falta por tenerlo asi acordado: este buque tiene dos Estas traducciones de Anacreonte y de Safo son las ú lti­ magníficas cámaras acabadas de hace…</t>
  </si>
  <si>
    <t>e, Luchana</t>
  </si>
  <si>
    <t>Luchana e</t>
  </si>
  <si>
    <t>…uselas nes del general en gefe , que por otra parte no vaciló un mo­ muchas personas procedentes de aquel pais. Este es el principio mento en aventurar su vida cargando al enemigo á la cabeza (1) Damos al general en gefe conde de Luchana el título de M ní.0" ,a &lt;,Ue acabará P°r entre los dos países. de su escolta. mariscal, porque este título corresponde á su grado de capitán Mr. D uez, primer secretario de la embajada belga ea I 11- Ha solido acusársele de lentitud , y aun en esta misma cam­ general de ejército, dignidad…</t>
  </si>
  <si>
    <t>e, Luis</t>
  </si>
  <si>
    <t>Luis e</t>
  </si>
  <si>
    <t>…comparezca en la audiencia de dicho Señor, la Constitución, repeso que fue de villa , en der y agradar. Villanueva. el término de quince dias contados desde el en que se inserte Regidores: primero D. Tomas Situé , segundo • D. Luis este anuncio en la Gaceta Puede que otros, mas rígidos censores, se atrevan á señalar S. Juan algunas faltas; no negaremos nosotros el que el drama las tenga, Yotn, tercero D. Pedro Lasala, c u a r t o D Rafael ciéndolo por sí ó por medioy Diario de avisos de esta capital, ha­ de apoderado au…</t>
  </si>
  <si>
    <t>…nez; el de igual ciase D. Manuel Bolívar, secretario de teresado, á quien se perm itirá, si asi lo pidiere, insertar Ministro, lo traslado á Y. S. para su inteligencia y electos aquel G obierno, y principalmente el intendente D. Luis el favorable resultado de su causa en los papeles públi­ consiguientes. Dios guarde á Y. S* muchos áños. Madrid Alda, todos tres enemigos capitales de aquel, valiéndole cos, lanío de la Península como de la Habana. 20 de Julio de 1839.—El subsecretario, Juan Felipe Mar- para acriminarle de la…</t>
  </si>
  <si>
    <t>e, Luis Bal- Otra</t>
  </si>
  <si>
    <t>Luis Bal- Otra e</t>
  </si>
  <si>
    <t>…Otra id. en sierra de Gador, loma de la ermita, término del Presidio, la Niebla, por Tomas Maldonado, en 5. se procedió al sorteo de los nueve Sres. jueces de hecho que de­ bían componer el jurado, y tocó á los siguientes: D. Luis Bal- Otra en sierra Alhamilla,. cuesta de las Tejas, término de buena, D. Alejo Perez, D. Genaro Bayon, D. Pedro José de Viator, Virgen de los Doloros, por Luis Trujillo, en 3. Cea , D. Gabriel Alvarez de Alvarez , D. Miguel Carbajo, Don DIRECCION GENERAL DE PRESIDIOS DEL REINO. Otra en sie…</t>
  </si>
  <si>
    <t>e, Luis Cases</t>
  </si>
  <si>
    <t>Luis Cases e</t>
  </si>
  <si>
    <t>…aquella capital los rematados procedentes Los magistrados y los presidentes del colegio del estado lla­ titucional de esta M. H. villa D. Tomas Fernandez de esta los organice en brigadas y entregue al comisiona­ Vallejo , por D. Luis Cases en calidad de apoderado de Don la elección sido de no habían intimados por un Real rescripto á proceder á do por la dirección general de Caminos. de un diputado de la Dieta que acaba de ser pro- El visitador de presidios D. Manuel Montesinos me Domingo Fernandez de A ngulo, intendente su…</t>
  </si>
  <si>
    <t>e, Luna</t>
  </si>
  <si>
    <t>Luna e</t>
  </si>
  <si>
    <t>…n ella se propuso?.. El principal parece el de los amores de Los Sres. Latorre y Guzcnan comprendieron perfectamente sus que los mandaba. Sabina con D. Agustín. ¿Pero lo es tanto que pudiera sostenerse respectivas partes ; el Sr. Luna en un papel que no está en su Desde la entrada de Balmaseda en la sierra , están sobre las sin auxilio de los demás?... ¿Bastaría él solo para la comedia cuerda hizo laudables esfuerzos para agradar. armas los Nacionales de R oa, á quienes se incorporaron el sin necesidad de los otros?... N o…</t>
  </si>
  <si>
    <t>e, Luxera-</t>
  </si>
  <si>
    <t>Luxera- e</t>
  </si>
  <si>
    <t>…s , en calidad de t a l , no formaba parte n ic a d o , la gran masa de los habitantes no toma mucho Ínteres recientes que tas dadas por la N a y ad e. Pero confirman el ru­ de la Confederación germánica; pero como gran duque de Luxera- en este asunto: lo demas poco importa. El Gobierno ingles no mor que ha corrido acerca de que el Congreso mejicano habia Burgo era individuo de ella , y este principado debia someter­ ha tenido otro lenguaje que este: en virtud del tratado de expedido un decreto en virtud del cual todos lo…</t>
  </si>
  <si>
    <t>e, Luís</t>
  </si>
  <si>
    <t>Luís e</t>
  </si>
  <si>
    <t>…éndose ausentado de la plaza de Badajoz el dia 16 de poner su junta gubernativa en el año de I 84B, han resultado remitir á la imprenta Nacional , dentro de la fecha expre­ Marzo del presente año el Excmo. Sr. teniente general D. Luís elegidos por escrutinio secreto y á pluralidad absoluta de vetos sada, los estados que en los años anteriores se ha acos­ Fernandez de Córdoba, á quien estoy sumariando por las ocur­ los individuos siguientes: tum brado insertar en la Guia de Forasteros, pues en ello rencias desagradables que t…</t>
  </si>
  <si>
    <t>e, López</t>
  </si>
  <si>
    <t>López e</t>
  </si>
  <si>
    <t>…por el que entonces era Minis­ El Sr. Ministro de HACIENDA manifestó que la interpe­ cir si declarará por órdenes terminantes que á los que se hallen tro? Fue la de hacer el abono de todo aquello que se pagase por lación del Sr. López era bastante grave y extensa, y el Gobier­ en este caso se les abone el diezmo. iiezmos por un diezmo abolido, y que no se hubiera concedi- no se ocupaba de ella, y contestaría á su tiempo. El Sr. Ministro de H A CIEN D A : Yo creo que esta cues­ lo sin la condición de estar abolido y por un…</t>
  </si>
  <si>
    <t>…- señales de aprobación ó desaprobación ; y no las consentiré por nos á la Constitución. tazar , electo por Z a m o r a , hubiera podido tener alguna parte contrarias al reglamento , porque coartan la libertad de los D i ­ El Sr. López en su elevada imaginación encontrará en esa en ellos. A h ora bien: ¿cualquiera de estos dos puntos son de la putados para em itir sus opiniones, y porque desdicen de la cul­ circular intenciones, deseos y mandatos como ha dicho S. S.; incumbencia del Congreso en este m om ento? De nin g u n a…</t>
  </si>
  <si>
    <t>Este cabecilla es el verdugo de todos los habitantes de dichos J o r d á n , "calle de Carretas, y de la viuda de Paz, frente á |as El Sr. López en la sesión del jueves úlumo anuneió partidos de Segorbe y Viver, en donde se halla estacionado. Covachuelas, á 4 rs- al mes- , „ , una interpelación tan original, que no creemos que jamas En las mismas librerías se halla de venta ya encuadernado se hava anunciado otra que se la parezca en…</t>
  </si>
  <si>
    <t>…o q la casa de Safont. MADRID 2 5 DE SETIEMBRE. drid ; el ataque es contra ese funcionario público. £1 Sr. conde de las N A Y A S observó que no habiendo ata­ La comisión ha mirado este negocio como debe mirarle; ha cado el Sr. López el dictámen de la com isión, esta nada tenia sido este precisamente uno de los negocios que ha mirado con que oponer 4 sus observaciones. mas detención: no cree necesario aplazar esta discusión para Ei Sr. G IM ENEZ, á quien por estar de espaldas á la tri­ otro dia porque no hay necesidad p…</t>
  </si>
  <si>
    <t>…la mejoría que ha tenido el aspecto de la guerra ; no recor­ te, y lo siento porque necesito demostrar al Sr. Alvaro que Por consiguiente si el ministerio por cualquier camino que ha­ daré la victoria que se obtuvo cuando el Sr. López era minis­ á pesar de esa lluvia de cargos que ha habido contra el G o­ ya sido ha conseguido interesar á nuestro favor este Gabinete, tro de la Gobernación, ni sus palabras; pero sí diré que ea bierno , todavía tengo yo otros nuevos que hacerle. ¿cabe duda en que han cambiado de faz los negoc…</t>
  </si>
  <si>
    <t>e, López Vázquez</t>
  </si>
  <si>
    <t>López Vázquez e</t>
  </si>
  <si>
    <t>…egundo de dicho cabecilla , cogiendo ademas varias proyecto de ley que quedó pendiente en la legislatura anterior El Sr. Ministro de G R A C I A Y .JU S T IC IA : En suma pa^ sobre ayuntam ientos. i rece que lo que quiere el Sr. López Vázquez es que el G obierno armas y otros efectos. Que se h an presentado á indulto al comandante del Puente Procediéndose en seguida al sorteo dé las secciones según ó el Ministro de Gracia y Justicia explique el oficio que se ha de Ledesma tres rebeldes , y que el comandante del distrito de…</t>
  </si>
  <si>
    <t>…nisterio : y una de dos,; ó no sabe S. S. de ningún modo que de la comisión. En cuanto á que no se haya comunicado la orden al tribu­ ha dejado de ser M inistró, ó sabe quelía sido nombrado deca­ El Sr. LOPEZ hace ver que el Sr. López Vázquez está n a l, y o contestaría á los señores de la comisión con la lectura no del Consejo de Ordenes; escojan este dilema los señores que comprendido en el caso del artículo 45 de la Constitución, por de las órdenes que rigen en la materia; pero por una coinciden­ defienden el dictamen. v…</t>
  </si>
  <si>
    <t>e, Madoz</t>
  </si>
  <si>
    <t>Madoz e</t>
  </si>
  <si>
    <t>…que El Sr. Salvato, que ha sido magistrado en Galicia, y á quien trata. contribuyen á la arbitraria conducta de aquel capitán generaren tengo que tributar elogios, sabe cómo estaba aquella provincia; Después de extenderse el Sr. Madoz en otros pormenores el mes de Octubre de 1857, cuando esperaban cumplido el año sabe que allí había la ley de rehenes, ley que estaba en prácti­ minuciosos, concluye recomendando al Gobierno que admita de su destierro, restituirse al seno de sus familias, el coman­ ca , y á pesar de eso nadi…</t>
  </si>
  <si>
    <t>e, Manuel</t>
  </si>
  <si>
    <t>Manuel e</t>
  </si>
  <si>
    <t>…juez togado de primera instancia de esta corte, fección , y los elogios de la academia médica de Paris, asi como trabajos necesarios, y constituirse celosos servidores del pobre, refrendada del escribano de S. M. de su juzgado D. Manuel el de los mas célebres facultativos de aquella capital, tales como Fernandez de Pazos, se hace almoneda y pública veota de los los Sres. R atier, R icort, Desruelles, Segalás, Rostan, Culle- que deposita el fruto de sus sudores tal vez á la vista de aque­ rier, padre é h ijo , A libert, Lisf…</t>
  </si>
  <si>
    <t>e, Manuel Castel-Ruiz</t>
  </si>
  <si>
    <t>Manuel Castel-Ruiz e</t>
  </si>
  <si>
    <t>…io llevar ó les esté designada en la guia. propuesto acerca de la mejor aplicación que puede darse 8 de Agosto de 18 3 9 .= A D. Ju an Martin Carramolino. 13. Los que infrinjan las disposiciones que se han ex­ a los bienes que D. Manuel Castel-Ruiz en testamento otor­ presado, quedan sujetos á las severas penas que les corres­ gado en Roma á 10 de Enero de 1793 dejó legados para la pondan según su respectiva responsabilidad, en esta forma: fundación de un colegio en que hubiesen de recibir edu­ M INISTERIO DE LA GOBERNACIÓN…</t>
  </si>
  <si>
    <t>e, Manuel de la Escosu-</t>
  </si>
  <si>
    <t>Manuel de la Escosu- e</t>
  </si>
  <si>
    <t>…cesos de la guerra de 8 gDEAS napoleónicas, por el príncipe Napoleón Luis Bona- D. José María de Pando, ministro de Estado que fue la Península, después de varios brindis, el Sr. Arjona, ex- 8 parte, traducida del francés por D. Manuel de la Escosu- en 1823. ^ asistente de Sevilla, que suscribió y asistió al banquete, brindó 8 *a. Un toraoea 8.° con retrato de Napoleón. 8e venden á 14 rs. en la librería de Sojo, calle de Car­ el ultimo por la R.tina Doña Isabel ir y por la felicidad de la I El traductor cree haber 'hecho cu…</t>
  </si>
  <si>
    <t>e, Manuel Ducassi. Soldados Pedro la Fu</t>
  </si>
  <si>
    <t>Manuel Ducassi. Soldados Pedro la Fu e</t>
  </si>
  <si>
    <t>…sé González, cruz sencilla de tributo de respeto y alta consideración al ciudadano virtuoso y De canto , por D. Basilio Basili. María Isabel Luisa. patriota, que después de haber servido con honor y lucimiento De solfeo, por D. Manuel Ducassi. Soldados Pedro la Fu ente, Santiago Y erg a ra , Mariano al Estado durante muchos años en puestos eminentes, no se De perspectiva, por el Sr. marques de Pontejos. M onge, Miguel B ella, Manuel López, Cristóbal Yergara, Ju an desdeña en consagrarse exclusivamente á prestar á su patr…</t>
  </si>
  <si>
    <t>e, Manuel En</t>
  </si>
  <si>
    <t>Manuel En e</t>
  </si>
  <si>
    <t>…* ^4 y 52¿ á v. f. ó vol. á prima de 1, i , f y \ por lüO con cu­ te, ante Valdeosera , juez togado de primera instancia de esta cor­ reales en rústica y 50 en pasta común. pones. el escribano de S. M., del colegio y juzgado D. Manuel En esta obra, que se halla dividida en cinco partes, se da Inscripciones en el gran libro á 4 Por 100, 00. Fernandez de Pazos, se cita , llama y emplaza á D. José Pi- una extensa noticu de las antigüedades del m en ci o n a d o Real ñeiro y D. Juan Manuel Bonilla, vecinos de esta corte, cuy…</t>
  </si>
  <si>
    <t>e, Mariquita</t>
  </si>
  <si>
    <t>Mariquita e</t>
  </si>
  <si>
    <t>…onside­ Sera pió con solo cuatro pinceladas. Abundamos en la opinión del Sr. G aliano, que cree aparenten tomar por ella ciertas naciones; y si el destino quie­ rado hoy dia por muchos con indiferencia , si no con me­ que Doña Mariquita es la figura mas perfecta é interesan­ re que algún dia levante su frente abatida por* la desgracia, nosprecio. Tan injusto y apasionado es este fallo como el te de aquel cuadro, si bien es difícil decidirse entre esta, estas lecciones no serán perdidas. primero. La traducción se ha hec…</t>
  </si>
  <si>
    <t>e, Maroto</t>
  </si>
  <si>
    <t>Maroto e</t>
  </si>
  <si>
    <t>…Madrid en las librerías de Cuesta y Sánchez. man t , fundador del im p e rio , hasta Mahamud 11 , que acaba San Sebastian 29 de Julio . Antes de ayer á la madruga­ de fallecer. da salió desde Atidoain para el cuartel general de Maroto el 2.° En ella se deshacen muchiis equivocaciones bastante genera­ H I S T O R I A general de E spaña, compuesta , enmendada y batallón rebelde de Guipúzcoa. La celeridad con que ejecutó la lizadas en Europa, en donde el orgullo y el amor propio nos marcha llegando para la noche á L ib a r ,…</t>
  </si>
  <si>
    <t>e, Maroto. En</t>
  </si>
  <si>
    <t>Maroto. En e</t>
  </si>
  <si>
    <t>…ado. to im portante. Este e s, señores , el manifiesto que acaba de p u ­ tes del uso de c,ta autorización, y presentará u n proyecto de " E l G o b ie rn o , tom ando siempre por norte el bienestar de blicar en Bilbao el general Maroto. En este documento se dice reforma de fueros. ¿ Y qué Gobierno se someterá á que su i n i ­ aquellos naturales y la conservación de la pa z, obtenida por el que algunos dias antes del contrato no quedaron avenidos los ciativa se limite á día determinado , que podría ser el me­ convenio de Ver…</t>
  </si>
  <si>
    <t>e, Martin</t>
  </si>
  <si>
    <t>Martin e</t>
  </si>
  <si>
    <t>…e vuelva á la comisión, para que El Sr. MONTOYA dice que prescindiendo de si está ó no aquella autorización, y las que después han tenido lugar. 1 esta reuniendo los datos suficientes pueda ilustrar al Congreso. la firma del Sr. Martin en el dictámen , no se puede negar que En las circunstancias en que nos encontramos es menester El Sr. MON pidió que se leyese el dictamen relativo al Se­ hubo este voto particular, que se presentó y se dió cuenta , y el. saber quo cuando nos ponemos en pública subasta para’hacér oh ñor Las…</t>
  </si>
  <si>
    <t>e, Martinez de la Rosa</t>
  </si>
  <si>
    <t>Martinez de la Rosa e</t>
  </si>
  <si>
    <t>…ignorante proscribió y nombres que dicen mas que cuanto pueda añadir el escri­ guna se escape de la censura Infelix operis summa , tienen al­ anatematizó sus obras: un Gobierno despótico y poco ilus­ tor en su encomio: el del Sr. Martinez de la Rosa es uno gunas situaciones y escenas muy apreciables que conviene es­ trado se escandalizó de sus máximas, y quiso ahogar la de ellos; somos concisos por tanto en este punto, y enco­ tudiar al hombre de gusto, y aun imitar al poeta dramáticos voz del poeta, sin conocer que mas al…</t>
  </si>
  <si>
    <t>e, María de los Angeles Mena</t>
  </si>
  <si>
    <t>María de los Angeles Mena e</t>
  </si>
  <si>
    <t>…aos la tarde del dia 22 Holandeses, 100^. Después de hablar en diversos sentidos varios Diputados, de Diciembre último á los exámenes públicos presentados por Dos y medio por 1 0 0 , 551* quedó al fin admitido Mr. Guizard. Doña María de los Angeles Mena en su academia de niñas si­ El Presidente señaló para la sesión del dia inmediato la tuada en la calle del S o l , casa número 95 , con la advocación continuación del exámen de Poderes, debiéndose reunir antes de nuestra Señora de la Merced , cuyo acto solemne se verificó…</t>
  </si>
  <si>
    <t>e, Mateos</t>
  </si>
  <si>
    <t>Mateos e</t>
  </si>
  <si>
    <t>…es, taba en la de Y ).a Que se pida al Gobierno se si rva dest inar de los f on ­ guos^(l). los usos y costumbres. Y sin embargo su autor tiene pre­ dos de i nstrucci ón públi ca la c ant i dad necesaria para la d o t a ­ El Sr. Mateos en las lecciones que ha dado dos veces á la tensiones de novelista histórico, pues la llama a n é c d o t a , y ción de esta enseñanza. semana ha seguido expli cando con extensión la teoría y prác­ cita en su apoyo un cronista de-conocido, 1limado De- A p r o b a d a esta proposición por la…</t>
  </si>
  <si>
    <t>e, Mayans</t>
  </si>
  <si>
    <t>Mayans e</t>
  </si>
  <si>
    <t>…pezado todavía? Ademas, otra de las razones que glamento. d o , en creer que les anima un buen celo por el mejor servicio me han movido á firmar la proposición, es las reclamaciones que Después de una breve explicación del Sr. Mayans en con­ del pais, y el deseo de que las leyes orgáuicas de administra­ tengo de varios pueblos de mi provincia. Los ayuntamientos es- testación al Sr. Olózaga, se pregunta al Congreso si pasará á ción se pongan en consonancia con la ley política ; pero el G o­ tan formados; pero como todos e…</t>
  </si>
  <si>
    <t>e, Me</t>
  </si>
  <si>
    <t>Me e</t>
  </si>
  <si>
    <t>…con la respuesta del Rey el texto de VAdres - de confianza con que la Cámara rodea la cuna de mi nieto. derribaba la base pri ncipal, la comisiou ha creido que no estaba s e adicionada , y tal como ha sido leida por el Presidente Me es muy dulce responder á ellos manifestado á mi vez todo en el caso de proponer lo que ya se propuso en la ley del año Dupin. el afecto que á aquella profeso, y cuán sensible soy á los votos de 1 8 5 5 , aun cuando no se llegó á verificar por las dificulta­ Señor: L a C am arad e los Diputados…</t>
  </si>
  <si>
    <t>e, Meadi-</t>
  </si>
  <si>
    <t>Meadi- e</t>
  </si>
  <si>
    <t>…hecho mas que. reproducir lo prevenido en un decreto del año 24 , Rebajando de esta diferencia d valor los I 64 es á quien compete examinar la procedencia y legitimidad de decreto violado, pero,que está vigente; y el mismo Sr. Meadi- ejemplares por mayor entrega qrie hace la Imprenta este crédito, para lo que quizá por consecuencia de la primera zabal, qué ló há impugnado, ha convenido en que en Francia y Nacional, precio de. 20 r&amp; &lt;2* 4a uno fijados por ' solicitud se habían rennidcTalgunos datos, pues el exponente no…</t>
  </si>
  <si>
    <t>e, Medem. En</t>
  </si>
  <si>
    <t>Medem. En e</t>
  </si>
  <si>
    <t>…son inmensas; batido y chelet, Campbell y L a u rin , mas aqui no somos juguete de la superficie de la tierra es de 10 pies y 10 pulgadas: el lado desmoralizado su ejército, no puede ya contener á Ibrahim -ba- política del conde Medem. En el mismo dia 14 se divisó la es­ del S. presenta dos trozos de este enorme argamasón , que in­ já; en pocas horas se han perdido los preparativos de seis años cuadra turca. La precedía el paquebote egipcio el N ilo , que dudablemente pertenecieron por su forma á dos torreones; el queiisr…</t>
  </si>
  <si>
    <t>e, Mencía</t>
  </si>
  <si>
    <t>Mencía e</t>
  </si>
  <si>
    <t>…. Repetimos por tanto que La dicha de que gocé perder muchos quilates de su mérito. Pasaremos por tan­ estigmatizando en Con mis fugaces amores to á considerarlo bajo un aspecto mas vasto, mas filosófico. tribunal de odiosa Doña Mencía el Sr. Hartzembusch ese recordación, ha hecho un noble servL Como relámpago fue: Pa récenos que la idea moral que domina en este dra­ ció á su patria, que esta le agradecerá Las espinas y las flores ma es la misma que la de una comedia de nuestro anti­ El que vea el drama de que hablamos,…</t>
  </si>
  <si>
    <t>e, Mencía Por</t>
  </si>
  <si>
    <t>Mencía Por e</t>
  </si>
  <si>
    <t>…reprensión, de la r o : como prueba de esto copiaremos algunas de las bellí­ de la crítica en todos tiempos y circunstancias. crítica de toda persona sensata. Hoy dia se incurre con simas quintillas que contiene la escena de Doña Mencía Por eso damos la preferencia á Doña Mencía sobre harta frecuencia en este último extremo: doloroso es decirlo, con Doña Inés. Dice la primera. los demas dramas de que nos proponemos hablar , y con pero cierto. El talento del Sr. Hartzembusch no podiá me­ tanto mas motivó, cuanto que por caus…</t>
  </si>
  <si>
    <t>e, Mencía y D. Gonzalo</t>
  </si>
  <si>
    <t>Mencía y D. Gonzalo e</t>
  </si>
  <si>
    <t>…rados son comprometidos dram a, aun cuando no encerrase tan gran número de be­ y es para mí bien de mas por la libertad. (D, M. de Val,) llezas accesorias como contiene Doña Mencia, que diga cuanto le adoro. La situación de Doña Mencía y D. Gonzalo en la catástrofe final, recuerda la del Edipo, En este es la ma­ MADRID 1 6 DE ABRIL. dre la que está casada con su hijo: en el drama de que la deAl Doña lado de esta figura cándida, sencilla, angelical está Mencía, colosal, altiva, desdeñosa. hablamos es el padre el que está…</t>
  </si>
  <si>
    <t>e, Mendizabal</t>
  </si>
  <si>
    <t>Mendizabal e</t>
  </si>
  <si>
    <t>…ario de ayuntamiento asistirá ^ creo asi ; pero no por eso e! mal deja de serlo. nidamente por comisiones de su seno, los proyectos de las dos alcalde en el desempeño de sus atribuciones gubernativas, s\eai£ La petición del Sr. Mendizabal entra creando un óbice á leyes de organización y de atribuciones de los ay untamientos. pre que en las grandes poblaciones por el cúmulo de negocio* la cuestión de fueros; y yi esto se sigue, en su derecho estará El primero fue discutido y aprobado en la mayor qparte de sus que hubiere d…</t>
  </si>
  <si>
    <t>…El Sr. C A B A L L E R O apoyó ío dicho por el Sr. Presidente, Q u isie ra, señores, ser breve, porque veo que h a y muchos bierno y se deseche la enmienda. En N avarra y provincias fundándose también en que la enmienda del Sr. Mendizabal era que tienen pedida la p a la b ra , y por otra parte este asunto ha Vascongadas se ha pagado el donativo, que se consideraba como ain negocio aislado que ya se habia concluido. sido y a demasiado debatido; por lo cual entraré inmediatamente uua contribución, y el Gobierno de S. M. no p…</t>
  </si>
  <si>
    <t>…sacar las ventajas la comisión por nu principio de conveniencia pública. Todo el posibles se valdrá de un español para que á su nombre haga las arruinar De otro modo yo creo que esta ley no servirá mas que para argumento del Sr. Mendizabal esta' reducido á manifestar que proposiciones, concluya el contrato , y cuando se crea que el á los especuladores. habiendo necesidad de hacer un empréstito extranjero , por­ empréstito es nacional, no por eso dejará de ser hecho con un y nombre GO El Sr. M EZ ACEBO contesta diciendo que…</t>
  </si>
  <si>
    <t>…probada. discusión de la totalidad, que bueno es que se tenga presente. en su lugar, y si después encuentra ese hueco, entonces será El Congreso quedó enterado de una comunicación de Don Se ha dicho, señores, y no ha sido el Sr. Mendizabal el que cuando pueda reconvenirle con justicia. Wenceslao W a l s , primer suplente electo por la provincia de menos lo ha repetido, que esta es una deuda nacional, una Estamos, señores, en la discusión del art. i.°; y el Gobier­ Castellón de la Plana , en que manifiesta que tan luego como…</t>
  </si>
  <si>
    <t>e, Mendizabal. No</t>
  </si>
  <si>
    <t>Mendizabal. No e</t>
  </si>
  <si>
    <t>…fueron adm itidas por te , ha tomado en la consideración que merecía la enmienda ó la Coustitucion que hemos jurad o , si efectivamente la pacifi­ la comisión por el órgano de uno de sus in dividuo s, el Sr. Oló- adición del Sr. Mendizabal. No entraré en la calificación de cación de aquella dependiese de la concesión de los fueros! zaga. su contenido que considera g rav e, gravísim o, y nadie mejor No ocuparé al Congreso de mi persona; pero es indispen­ El Sr. O LO ZAG A: Pido qué se lea la contestación. que S. S. lo ha m…</t>
  </si>
  <si>
    <t>e, Mequinenza</t>
  </si>
  <si>
    <t>Mequinenza e</t>
  </si>
  <si>
    <t>…os Serás (provincia de Lérida) 25 d e A b ril. Convenido este acción y su influencia preponderante sobre el G a b in ete : los tienen derecho de diferir de op inió n con la corona , y cuando Sr. gefe político con el gobernador de Mequinenza en que u n a hombres que se hallasen en u n G a b in e te , y concediesen á la no están de acuerdo con e lla, no l’egau á ser sus m i n is tr o s , ó com pañía de los Nacionales de M equinenza mandada por D o n prensa u na influencia p reponderante sobre sus resoluciones, dejan de serlo.…</t>
  </si>
  <si>
    <t>e, Merced Azcárate</t>
  </si>
  <si>
    <t>Merced Azcárate e</t>
  </si>
  <si>
    <t>…bastante comprometida por rnente en aquellas que se distinguieron por sus mayores adelan­ vedad que la de 13 enfermos de poca gravedad que pasaron in ­ intereses que, aunque opuestos, tendrán un mismo resultado, tos, dando á Doña Merced Azcárate el primero de todos, que mediatamente al hospital; y uxe dice, que hecha la clasifica­ esto equivaldrá para la Francia una conquista, sobre todo en el fue una banda con el lema **ía diputación patriótica de G ü i­ ción que le tengo prevenida, y separados los enteramente in ú ­ estado…</t>
  </si>
  <si>
    <t>e, Miguel María Duran</t>
  </si>
  <si>
    <t>Miguel María Duran e</t>
  </si>
  <si>
    <t>…habiéndose publicado y leido por el Sr. juez de reales. En la librería de Sojo, calle de Carretas, se venden to­ hecho D. Pedro Laplana el juicio, proveyó el Sr. juez de dere­ das estas obras. M A D R ID 2 4 DE JU N IO . cho D. Miguel María Duran el auto que dice asi: Auto . Habiéndose observado en este juicio todos los trám i­ tes prescritos por la ley, y declarado por los Sres. jueces de he­ MATRIC ULA D E L COLEGIO NACIONAL DE MED ICINA Y C I R U G I A cho absuelto por unanimidad al editor responsable D. Isidro d e…</t>
  </si>
  <si>
    <t>e, MINISTERIO DE MARI NA.</t>
  </si>
  <si>
    <t>MINISTERIO DE MARI NA. e</t>
  </si>
  <si>
    <t>…yecto de trastornar el orden establecido, y excitar los áni­ secuencia de la sentencia revocatoria pronunciada por la mos a la emancipación é independencia de aquella isla: junta de revisión, promovió el teniente asesor general MINISTERIO DE MARI NA. enterada S. M. asimismo de las ilegalidades cometidas 13. Ildefonso Suarez, como igualmente la que Y. E. diri­ El 9 del mes q ue fenece navegaba el vapor Isabel rr desde por los asesores D. Juan Miret, D Laureano Miranda, y gió a este ministerio de D. Juan Miret, en la que e…</t>
  </si>
  <si>
    <t>e, Ministro</t>
  </si>
  <si>
    <t>Ministro e</t>
  </si>
  <si>
    <t>…el desorden de g u e rra, no debe hacérsele cargo n in g u n o , porque puede m uy de las transacciones particulares que hay entre el arrendatario la administración de aquella época; y que al e le g ir, digámoslo bien que el Sr. Ministro encontrase razones plausibles para sa­ y el propietario, porque no ha tenido que meterse en eso, ni a s i , esta v íctim a, lo he hecho con la mira de que era la mas tisfacer al Congreso acerca del motivo que ha tenido para dic­ en la justicia ó injusticia de esa le y , que era un hecho co…</t>
  </si>
  <si>
    <t>…Mendizabal tuvo el honor Insistió el Sr. conde de las N avas, y repitió lo que ya habia colono á quieu tal vez no se impooga la contribución extraor­ le presentará las Cortes constituyentes, reducida á esto: (Leyó.) dicho el Sr. Ministro en su contestación. dinaria de guerra ni en un solo maravedí, beneficiará el rédito El Sr. Mendizabal siendo Ministro ha dado una instruc- Después de un brevísimo debate entre los Sres. fznardi, M i­ del medio décimo. Este caso le voy á ofrecer á la consideración ion para ta ejecución de es…</t>
  </si>
  <si>
    <t>…rero de 1839.=El Subsecretario, Juan Felipe Martinez.=: Prim era sección.—Circular. porción que vaya eligiendo los reemplazos dispondrá su Sr. gefe político de.... remisión á la plaza de Cádiz, que es el punto designado El Sr. Ministro ele Hacienda comunica al de la Gober­ para la reunión del indicado cuerpo.Por último S. M. desea nación de la •*Península con fecha 22 del actual lo si­ y manda que las operaciones conducentes á la realización S. M. la Reina Gobernadora se ha servido declarar guiente: ! *• ; ' de esta me…</t>
  </si>
  <si>
    <t>…or espacio de ocho dias. enviados á la universidad de Petersburgo por orden del Gobier­ a crgicos sus temores de que h ay a qub hambre. Inmediatamen­ no deben ser conducidos aqui por la gendarmería. Se ha em­ te el secretario del Ministro encargado de v ig ila r sobre las ne­ pezado una información acerca de su conducta. Este arresto cesidades de la capital ha sido depuesto de su empleo. tiene relaciones coa el ultimo suceso del campo de Geismar. El El almirante R.oussin ha recibido de! Sultán su audiencia El Gobierno se a…</t>
  </si>
  <si>
    <t>…riótico despren­ Hizo una breve réplica el Sr. conde de las Navas insistien­ dimiento de los empleados en la secretaría de la diputación de do en que no habian faltado fondos, sino una justa distribución, á que contestó el Sr. Ministro en los mismos términos que an­ MADRID 2 0 DE ENERO. esta provincia, que á los 20 rs. abonados por D. Pedro Do» minguez , individuo de la misma, por una luneta de patio, au­ teriormente. x-..;!.1- 1 ----------- 1 .. . J - i i 1.: """ ■ m entaron, sin haber tomado otra localidad, la canti…</t>
  </si>
  <si>
    <t>e, Ministro de Estado</t>
  </si>
  <si>
    <t>Ministro de Estado e</t>
  </si>
  <si>
    <t>…á unos les parecerá bien y á otros mal. Perez de Castro podia corroborar rnis asertos, y lo dije porque hablo del Gobierno á que pertenece ” Supongo que S. S. quer­ Si nos fuésemos á atener á los periódicos, podria decirse el Sr. Ministro de Estado era Ministro en el año de 20 cuando ría decir del ministerio á que pertenece, porque el Gobierno lo que ha dicho el Sr. Calatrava , que ha escandalizado á E u ­ yo tuve la suerte de penetrar en los arcanos del congreso de es siempre uno mismo. Yo no he dicho que el ministerio ac­…</t>
  </si>
  <si>
    <t>e, Ministro de Gracia y Justicia</t>
  </si>
  <si>
    <t>Ministro de Gracia y Justicia e</t>
  </si>
  <si>
    <t>…eso se quie­ El Sr. LOPEZ hace varias aclaraciones , insistiendo en que dencias c rim in ale s, y estamos sosteniendo casi otro ejército de re inculpar y juzgar al Ministro de Gracia y j u s t i c i a , la a u ­ señalará al Sr. Ministro de Gracia y Justicia el nombramiento rem atados, encarcelados y encausados. diencia de Albacete misma será quien conteste. Presente está un escandaloso que se ha hecho por su ministerio. A h o r a , si el Sr. Alonso se concreta á disputar las ventajas alto empleado de hacienda pública , á…</t>
  </si>
  <si>
    <t>…o es m u y fácil tomaron parte en la ley del año 55 , en la cual se excluyó á y ¿q u é es la unidad de la Iglesia? Ejemplo m u y notable, que asegurar que conviniendo todos los Sres. Senadores en que los un Príncipe. inoicó el Sr Ministro de Gracia y Justicia en el día de a j e r , y municipales, los económicos adm in istrativo s, y hasta los j u d i ­ Asi que, es unidad , no la persona del Monarca, sino la l í ­ que yo volveré á citar por la gran analogía que tiene la so­ ciales son los que mas inmediatamente pueden afecta…</t>
  </si>
  <si>
    <t>…plazuela de Celenque. á fines de 1858. Otra cuestión hay ademas, y es, si se habla ocupado dignamente los bancos de este Congreso: estos in d iv i­ de año natural o de año parlam entario, porque nótese que las duos dice el Sr. Ministro de Gracia y Justicia están compren­ Cortes convocadas en la última época no discutieron los presu­ didos en el indulto general , y sobre si habrá ó no que amnis­ puestos del año de 1857 : fueron los de 1858. tia rlos, se ha consultado al tribunal de ju s t ic ia ; es menester TEATR OS. H…</t>
  </si>
  <si>
    <t>…n Otra equivocación ha padecido S. S. bastante notable, por­ queriendo sacar algunas consecuencias, ó referirse á hechos an­ en que creo ha incurrido. que media una tercera persona, á quien ni yo conozco ni creo Hablando el Sr. Ministro de Gracia y Justicia en la sesión que áe debía haber citado aqui, ni yo me acordaba de ella. Se teriores res de los señores de la mayoría, por circunstancias particula­ todos bien conocidas, por sucesos bien públicos que se re­ del 24 de los negocios de Roma, en contestación á un cargo d…</t>
  </si>
  <si>
    <t>e, Ministro de Gracia y Justicia.</t>
  </si>
  <si>
    <t>Ministro de Gracia y Justicia. e</t>
  </si>
  <si>
    <t>…no, no ya por haber conseguido una que opina se tenga presente en tiempo oportuno, y se pase co­ nacional , y de su administración. brillante victoria, derramando abundante sangre española , y pia literal de la exposición al Sr. Ministro de Gracia y Justicia. estableciendo sobre cadáveres la superioridad de vuestras armas, El Sr. B E N A V ID E S : El dictamen está en su lug^r p i­ Art. 66 . Todos los individuos de las clases excluidas y dis­ sino por haber sabido hermanar sin influencias extrangeras los diendo que se res…</t>
  </si>
  <si>
    <t>e, Ministro de Haci</t>
  </si>
  <si>
    <t>Ministro de Haci e</t>
  </si>
  <si>
    <t>…e por consecuencia do á las colonias dé la corona. ha queda do decidido que Mr . Bresson cedería su puerto al c a n ­ NOTICIAS EXTRANGERAS. S ir Roberto Peel ha declarado q u e a d m it ía los p rin c ip io s d i da t o del Sr. Ministro de Haci enda. generales del b i l í ; pero ha a ñ a d id o que se reservaba e x a m in a r A l pri nci pi o no se quería dest i t ui r á Mr . F&gt; e « o n sin a l g u n a RE IN O DE H A N N O Y E R . ..si las medidas propuestas se con form ab an con estos p rin c ip io s. indemni zaci ón. T…</t>
  </si>
  <si>
    <t>e, Ministro de Hacienda</t>
  </si>
  <si>
    <t>Ministro de Hacienda e</t>
  </si>
  <si>
    <t>…TE: El reglamento 110 me autoriza para acordó que se pasase á otro asunto. Sr. Ministro la publique, por la cual se entienda que no se ha conceder palabras con ese objeto. A terminar este negocio.... El Sr. PRESIDENTE: Si el Sr. Ministro de Hacienda es­ privado á los propietarios del derecho á las indemnizaciones El Sr. M O N : Pido que se pregunte al Congreso...... tá pronto á contestar á las demas interpelaciones, tendrán luear correspondientes, y también que se les admita en pago la parte El Sr. PRESIDENTE: Preguute Y.…</t>
  </si>
  <si>
    <t>…asiento en el Congreso. y en rama. que se marcaban terminantemente cuáles eran los derechos que A la comisión de clases pasivas se remitió una comunica­ cada pueblo como particular tenia. La empresa cuando en 1851 ción del Sr. Ministro de Hacienda en que participaba que se Dictamenes de la comisión de Peticiones aprobados en el contrató con el Gobierno el llevar adelante el canal de Castilla estaba ocupando de la formación del proyecto de ley sobre ar­ Congreso en ¿a sesión del dia 12 del corriente . y sus tres ramales,…</t>
  </si>
  <si>
    <t>e, Ministro de Hacienda Por</t>
  </si>
  <si>
    <t>Ministro de Hacienda Por e</t>
  </si>
  <si>
    <t>…el poder trata de si hemos de ver tranquilos, si hemos de estar mudos nada no los tiene. Que el Gobierno ha dispuesto que se armen legislativo. al contemplar que la monarquía se desmorona. dos fragatas en el Ferrol, y que el Sr. Ministro de Hacienda Por esto la comisión se separa del voto particular del se­ Hablo, señores, de lo ocurrido en Alhucemas. A llí ha es­ ha ofrecido que se puede facilitar el coste de una. ñor Ovejero, pero solo en este concepto, no en otro; y si fue­ tallado una conspiración fraguada , conspirac…</t>
  </si>
  <si>
    <t>e, Ministro de la Guerra</t>
  </si>
  <si>
    <t>Ministro de la Guerra e</t>
  </si>
  <si>
    <t>…se si es. capaz de eonteñer iria^or'núiriéró dé oficinas, Ó si’ con­ vendría tráslád áfJas q u éJé .ó cu p é n j y dar cplocacioii á S. M. la Reina Gobernadora ha visto con particular ot¿as eri él mlsrrip liigaK .• .? .... El Sr. Ministro de la Guerra en 26 de este mes dice agrado el celo y actividad con que V. S ., la diputación y "4?’ Que sé^un él espíritu dé dicho decreto no solo se al de la Gobernación de la Península de Real orden lo los ayuntamientos de los pueblos deesa provincia han pro­ suprime toda habitación grat…</t>
  </si>
  <si>
    <t>N.* 1548. DOMINGO 10 DE FEBRERO DE 1830. Diez Cuartos. S. M. la R e i n a , s u augusta Madre la R e i n a G o b e r n a ­ El Sr. Ministro de la Guerra en 28 de este mes dice Que el dia 6 fueron aprehendidos en Valdetnozárabes seis d o ra. y la Serma. Sra. Infanta Doña María Luisa Fernan­ d de la Gobernación de la Península de Real orden lo facciosos, y al conducirlos á Toledo desde Almonacid trataron da , continúan en esta co…</t>
  </si>
  <si>
    <t>…incipios del actual Gabinete, viene otro de princi­ y Lope®, juez de primera i insta ocia era esta villa, por La es­ que tenia en tiempo del Sr. D. Garlos iv? No.laElsignificación Podrá ¡tener Consejo de pios opuestos ? (E l Sr. Ministro de la Guerra entró en el sa­ cribanía. de. número del citado establecimiento del Dr. Don Estado, bajo una Constitución como la que tenemos mi lón.) ¿ Ei Consejo de Estada nombrado por un Ministro del co­ Claudio Sauz y Barca; apercibidas que pasado dicho término concepto está era las Cortes…</t>
  </si>
  <si>
    <t>…lución. Desde luego, la administración no tenia que titubear. De­ bía encargarse del poder y aceptar la disolución para continuar Segunda seccion.mjC¿rculai&amp; su obra, para defender los principios que habia hecho preva­ El Sr. Ministro de la Guerra en 4 de este mes dice al NOTICIAS EXTRANGERAS. lecer en la discusión de) proyecto de contestación, para conser­ var y defender la mayoría que en los ocho últimos años ha de la Gobernación de la Península de Real orden lo si­ salvado el órden y las libertades públicas. guiente…</t>
  </si>
  <si>
    <t>…empezó á j u g a r contra la población á las ocho y cuarto de la mañana del 5. El primer cañonazo de los s i t ia ­ CORTES. dores fue contestado por los sitiados con un g rito general de CONGRESO DE D I P U T A D O S . El Sr. Ministro de la Guerra en 31 de Diciembre úl­ a l e g r í a , y desde este momento redobló sus esfuerzos la g u a r n i ­ timo dice al de la Gobernación de la Península de Real c ió n , á pesar de no contar la plaza para su defensa con una PRESIDENCIA DEL SEÑOR ISTU R IZ. orden lo que sigue: sola pie…</t>
  </si>
  <si>
    <t>…como un hombre llevando unas lebrado entre S. M . y el Emperador de A ustria , firmado en veces su tenacidad hasta el últim o extremo , y otras mostrando V iena en 3 de Ju lio an terio r; como también copias del tratado El Sr. Ministro de la Guerra en 5 de este mes ha tras­ una pusilanim idad rid ícu lá. A esto respondo que en todas oca­ de comercio y navegación celebrado entre S. M . y el Sultán del ladado al de la Gobernación de la Península la siguiente siones he defendido los derechos de la religió n c a tó lic a ; pe…</t>
  </si>
  <si>
    <t>N.° 1867. VIERNES 20 DE DICIEMBRE DE 1839. D IE Z CUARTOS. PARTE OFICIAL. Segunda sección. Real orden. El Rey de Dinam arca ha muerto en Copenhague el 5 á las ocho de la mañana. El nuevo Rey ha sido proclamado en me­ El Sr. Ministro de la Guerra en 9 de este mes dice al dio de aclamaciones y público alborozo. de la Gobernación de la Península de Real órden lo si­ El Rey de D inam arca Federico vi habia nacido el 28 de S. M. la R e i n a , s u augusta Madre la R e i n a G o b e r n a ­ guiente: Enero de 1768; declarad…</t>
  </si>
  <si>
    <t>…eguen al ingeniero Dpeurana el caballo en el reconocimiento que hizo sobre el camino de en la tarde anterior. nombrado por el director de Caminos los confinados que Lo traslado á Y. E. para conocimiento de S. M. y demas El Sr. Ministro de la Guerra en 18 de este mes dice este me ha pedido; pero puedo asegurar á V. E. que tan al de la Gobernación de la Peuínsula de Real orden lo luego como aquello se verifique, tendrá efecto la entrega efectos, to que recomendando á su Real consideración el nuevo méri­ acaba de contraer…</t>
  </si>
  <si>
    <t>…ocios extrangeros Segunda sección . — Circular • extraordinario de 503 fr. por medio de Uii decreto propietarios y contribuyentes de la capital de Cáceres, del 15 de este mes* Este crédito está motivado por las circuns­ El Sr. Ministro de la Guerra en 10 de este mes dice cuyas exposiciones se insertaron en la Gaceta de 27 del tancias graves que han dado lugar en todo el curso del año al de la Gobernación de la Península de Real orden lo presente mes. de 1859 á gastos secretos extraordinarios y Urgentes, que no que sigue…</t>
  </si>
  <si>
    <t>…ue los que gusten hacer proposiciones este periódico, que el Gobierno belga ha resuelto impedir quo puedan verificarlo en donde mas comodidad les ofrezca; bien los patriotas tomen espontáneamente las armas; pero por otra El Sr. Ministro de la Guerra en 31 de Diciembre úl­ entendido que la hora del remate del que se ha de celebrar en timo dice al de la Gobernación de la Península de Real parte desea darla mayor extensión al armamento legal.Sin em­ esta capital está señalada para las doce en punto de dicho dia, bargo , á pe…</t>
  </si>
  <si>
    <t>e, Ministro de Negocios</t>
  </si>
  <si>
    <t>Ministro de Negocios e</t>
  </si>
  <si>
    <t>…a siete batallones que ayer pernoctaron en Villa 1ba y pueblos co­ M r . Virson c Pido la palabra. victoria que el Gobierno. Pero sea por prevención, sea marcanos , segqramente obligados por la división A y e rv e , que E l Sr. Ministro de Negocios e x tra n g e ro s : Pido qué la por esta impaciencia que hemos llamado, y reiteradamen­ según se dijo jayer había regresado á Calamocha. Esta tarde ve­ Cámara haga respetar su reglam ento: han sido presentados pro­ te llamaremos justa, y de que el Gobierno participaba remos qu…</t>
  </si>
  <si>
    <t>…á su demanda. bierno contra una desmembración territorial. Estas demostra­ M r. de Merode se sienta. 1 ^UC * 1111 resPecta 5 avergüenzo de llevar el nom - ciones efectivas eran indispensables para atraer á nuestra cau­ E l Sr. Ministro de Negocios extran geres: Sr. Presiden­ sa á la nación que podía prestarla un sólido a p o y o , á la na­ .r e , ® belga , y de buena gana renunciaría á mi calidad de te , en todo cuanto se ha dicho nada se ha tocado acerca de la ciudadano belga, que aprecio mas que la v id a : tal es el…</t>
  </si>
  <si>
    <t>…ue tuviesen bote francés que ha conducido aqui á Mr. Foltz, oficial de esta­ cil en este p u n to , pues no tenia que hacer mas que halagar la propiedades sobre la orilla izquierda del Danubio quedaban do mayor enviado por el Sr. Ministro de Negocios extrangerós, pasión favorita del Sultán , y el odio profundo que nutre en obligados á venderlas en el término de 18 meses. Por esto se ve y que ha traído la noticia de la llegada del príncipe de Joinvi- su corazón contra Mehemet-Alí. Mr. Yalker, capitán de la ú qué se reducia la…</t>
  </si>
  <si>
    <t>e, Ministro de NUMEROS. PREMIOS. ADMINISTRACIONES. Ouedan</t>
  </si>
  <si>
    <t>Ministro de NUMEROS. PREMIOS. ADMINISTRACIONES. Ouedan e</t>
  </si>
  <si>
    <t>…ores de los 600 que comprende é l sor- 3a Reina Doña Isabel i i ..... ..................... 112,880 demasiado molesto , lo confirma el Real decreto que sigue: teo de an teayer. «M inisterio de IIacienda.-Subsecretaría.=El Sr. Ministro de NUMEROS. PREMIOS. ADMINISTRACIONES. Ouedan existentes para 1.° de Enero de 1859 Hacienda dice cora esta fecha á los directores generales de ren­ ea rs. v a . ............................. 159,704.* 2 tas lo que sigue.—S. M . la Reina Gobernadora se ha servido dirigirm e con esta fech…</t>
  </si>
  <si>
    <t>e, Ministro de Pues</t>
  </si>
  <si>
    <t>Ministro de Pues e</t>
  </si>
  <si>
    <t>…sus peregrinaciones, que esta fue la nir sobre la capital: era reunirse los navarros á Cabrera y ve­ en efecto se pensó asi. Cabrera trataba de fiero que no se me dé pasaporte. palabra de S. S. Este es un cargo relativo ai Sr. Ministro de Pues esto cabalmente debe hacerse con los que no juren la Estado, que también puedo asegurar que tiene medios de con­ armar de 24 á ^0© hombres: no le faltaba mas que armas, pe­ ro tenia quien se las suministrase. El Gobierno necesitaba im ­ Constitución. * 1 testar; pero para que por…</t>
  </si>
  <si>
    <t>e, Ministro de Que</t>
  </si>
  <si>
    <t>Ministro de Que e</t>
  </si>
  <si>
    <t>…mas ¿p ara qué? para una ces naturales á esos individuos , y apelo á la cita de consultas pertenecer á uno de ellos. necesidad perentoria , para acabar la guerra , para conseguir con que han sido adornados los discursos del Sr. Ministro de Que en cuanto á la carta del general Espartero á que se ha esa terminación tan deseada, y hé aqui donde aparece la mejor Gracia y Justicia , apelo á sus palabras ; se consultó al tribunal referido el Sr. Alvaro en el expediente que obra en la secretaría defensa del Gabinete; una razón qu…</t>
  </si>
  <si>
    <t>e, Mintox Eso</t>
  </si>
  <si>
    <t>Mintox Eso e</t>
  </si>
  <si>
    <t>…de Febrero de l859.=:Ernesto A u gu sto.= E l ba­ Y en el momento mismo en que ocurrió el hecho ¿ n o hacia que habita el conde de Lutton , embajador de Austria. {Id.) rón de Shele. señales el navio del almirante? E l conde de Mintox Eso es posible, pero no podré afir­ m arlo: me inform aré. A decir verdad, no creia que por un La Asamblea de los Estados, que se prorogó en 29 de J u ­ simple accidente tan recientemente acaecido se exigieran ex­ Escriben de Tolon con fecha 19 de Febrero: nio del año ú ltim o, se reunió a…</t>
  </si>
  <si>
    <t>e, Miuistro de Negocios</t>
  </si>
  <si>
    <t>Miuistro de Negocios e</t>
  </si>
  <si>
    <t>…yo hecho, y que la polí­ ¿n o haria volver á los austríacos, y no obligaría, según ha de pre al Gobierno de la rama primogénita de los Borbones. ¿H a­ tica de los ocho años había experimentado cambios sensibles y clarado el Sr. Miuistro de Negocios extrangeros, no obligaría á brá sido porque esta rama primogénita desdeñase mi juventud, alteracionas nuestro Gobierno á gastar 100 millones para armar un ejército y la rama segunda se dignase admitir mis servicios / Segura­ Estas son las razones de mi convicción fundada ó no,…</t>
  </si>
  <si>
    <t>e, Mon.</t>
  </si>
  <si>
    <t>Mon. e</t>
  </si>
  <si>
    <t>…a á los acreedores de que El Sr. Gómez Acebo rectificó varias equivocaciones com eti­ que ha m anifestado el Sr. Puche acerca del estado de las rentas las cantidades que en él se depositen han de ser sagradas, y das por el Sr. Mon. en Ñ ipóles y P o rtu g a l, pues cree no es comparable el estado que ni por la atención mas urgente podrá tocarse á ellas. El Sr. M inistro de la G O BE RN A CIO N : Yo tam bién ten­ en que se encuentran efas naciones respecto de la nuestra; pero Pasó a contestar á otras observaciones, conc…</t>
  </si>
  <si>
    <t>e, Mon. Que</t>
  </si>
  <si>
    <t>Mon. Que e</t>
  </si>
  <si>
    <t>…na idea que le habrá venido de otra p a rte , y que sin era un establecimiento exclusivam ente dependiente de la volun­ caja de amortización , dándola la separación del Gobierno que duda ha afectado mucho la sensibilidad del Sr. Mon. Que el tad del G obierno, ó por mejor decir, de la voluntad del M i­ se daba á la que actualm ente se proponia. M inistro ha presentado un pensamiento nuevo, es cosa que no nistro de H acienda; y la base de su independencia en el dia El Sr. MON : Señores, por una fatalidad procedente del dice…</t>
  </si>
  <si>
    <t>e, Montes de Oca</t>
  </si>
  <si>
    <t>Montes de Oca e</t>
  </si>
  <si>
    <t>…, y en su artículo 6.° se prescribe que la re­ mérito que el de ser el secretario del duque de la V icto ria; el T u r i a , contenidos en la adjunta propuesta. novación de ayuntamientos se verificará en N av arra y provin­ Sr. Montes de Oca el de ser el hombre del Sr. Isturiz , y el se­ Y lo traslado á V. E. para su conocimiento y satisfacción. cias Vascongadas según tengan de fuero y costumbre, debien­ ñor Perez de Castro el del Sr. conde de Toreno. Parecería que Dios guarde á V. E. muchos años. Cuartel general de Chel…</t>
  </si>
  <si>
    <t>e, Montoya</t>
  </si>
  <si>
    <t>Montoya e</t>
  </si>
  <si>
    <t>…toridades que marla también la comisión - da .ah artículo la inteligencia que literalmente se ile ellos dependen , c o n trib u y a n todas y cada una de por á quien se refierepara contestar á una alusión personal, porque el Sr. Montoya es á mi sin dud a, y desgra­ comprende de su lectura. He visto también con bastante s a tis-' sí en la parte que las toca y bajo la indicada responsabi­ ciadamente voy á empezar por mi persona. Es verdad que lle­ facción que la comisión, si bien no cree que está en el caso de lidad personal…</t>
  </si>
  <si>
    <t>e, Moreiras</t>
  </si>
  <si>
    <t>Moreiras e</t>
  </si>
  <si>
    <t>…alla poseído este pueblo, y con de los cantones de la izquierda del Miño , cogió al titulado venes, sabiendo cada uno las cosas de la novia, la abandonan: el él su ayuntamiento, que pide al cielo conserve por dilatados comandante Moreiras en una cueva del pueblo de V elaute, y Congreso y el Gobierno no abandonan la novia , porque tienen años la importante vida de la augusta Isabel y de V . M ., tan en ella se encontraron algunas piezas de paño, dos pistolas, por novia á la patria, á la Constitución y á Isabel n. necesaria pa…</t>
  </si>
  <si>
    <t>e, Morillo</t>
  </si>
  <si>
    <t>Morillo e</t>
  </si>
  <si>
    <t>…ropa y dió la vela ¿Cuál la de la prensa? La Gaceta del Gobierno no tiene el 17 de Febrero de 1815. El 7 de Abril dispuso en com­ ANUNCIOS. la presunción de poder prescribírsela. Solo sí d ir á , que el binación con dicho general Morillo el ataque contra Mar­ modo de librar al Gobierno de la grave responsabilidad garita , que á los tres dias fue ocupada. Boletín oficial de la Milicia nacional del reino. que pesa sobre é l , será crearle obstáculos. Si por el con­ Nombrado cuartelmaestre general y mariscal de cam­ trario se…</t>
  </si>
  <si>
    <t>e, Moscoso</t>
  </si>
  <si>
    <t>Moscoso e</t>
  </si>
  <si>
    <t>…nistro, Secretario, del Despadso de Gracia^y Justicia, m lo 'permita. quien dirige la ley sancionada, al Ministro •respectivo para Quejaron sobre k mesa pera disentirías ranos dictámenes :uo constando hubiese practicado el Sr. Moscoso esta diligencia, de la comisión de PteLicianes. «era visto-que la gracia había caduca,do,, y por consiguiente no promulgación y ejecución. Fueron aprobados después de una ligera discusión ell 75 y Se dió coeuto de haber nombrado ks secciones Us siga íes- «estaba sujeto á reelección. tes…</t>
  </si>
  <si>
    <t>e, Mr. Passy</t>
  </si>
  <si>
    <t>Mr. Passy e</t>
  </si>
  <si>
    <t>…del Líbano. y Srorlio (de L ’aveyson) durante el examen de los poderes El na de Julio. Pesa 590 libras, y el mecanismo por cuyo medio El viajero á quien Lady Esther daba entrada en este san­ 1* d» A.bril fue nombrado presidente Mr. Passy en oposición ha de levantarse á 155 pies del suelo parece muy sencillo. tuario la encontraba cubierta su cabeza con un turbante for­ c Mr. Odilon Barrot por una mayoría de 223 votos con- mado de una gran pieza de cachemira roja ó blanca; vestida de U 193. una larga túnica con mangas abier…</t>
  </si>
  <si>
    <t>e, Mr. Yannhed-</t>
  </si>
  <si>
    <t>Mr. Yannhed- e</t>
  </si>
  <si>
    <t>…batallón del 58 de lí^ea , componiendo una fuerza total de rá justicia á la previsión y acierto de V. M. en las próximas solo se habían dado á entender por medio de palabras vagas y 1,012 hombres, mandados por el teoiente coronel Mr. Yannhed- elecciones, si vuestro Gobierno, como es de esperar, protege la misteriosas. La verdadera causa de la ausencia de los miembros deghem , llegaron al muelle , y á las ocho y media ya estaban plena libertad délos electores, y precave con mano fuerte el que de la oposición ha sido la concen…</t>
  </si>
  <si>
    <t>e, Mujriel</t>
  </si>
  <si>
    <t>Mujriel e</t>
  </si>
  <si>
    <t>…em po corría (a .' ' , . ARTICELO í. á voz entre J a s personas de alta categoría de que dos regimientos Asuntos de Orienten * - r ¿ de caballería egipcia -se habían; pasado ál. en em ig o , e d u q u e i , - El nom bre del Sr. Mujriel es bastante conocido en otros decían que habian sido hechos prisioneros. Él silencio del ¡Europa c^lia por su excelente obra I j fisp a g n e soas íeS , Hemos recibido de Marselia^.por extraordinario las néticias Gobierno y estós rumores poco favorables causaban i^aa i n ­ E o is de la m u…</t>
  </si>
  <si>
    <t>e, Muro</t>
  </si>
  <si>
    <t>Muro e</t>
  </si>
  <si>
    <t>…­ Cádiz, par. Zaragoza, 1¿ d. muchas veces la discusión sin resultado ; pero si bien la comi­ veniente. Averigüen cuáles son las rentas de propios, en qué Descuento de letras, á 6 por 100 al año. sión deplora y lamenta con el Sr. Muro estos abusos, y que consisten , cómo se recaudan , y en qué se invierten. Examinen contribuiría de muy buena voluntad á disminuirlos, y aun á los arbitrios municipales, la época en que se establecieron, con evitarlos, no está conforme con la distinción que S. S. quiere qué objeto, por qué tiemp…</t>
  </si>
  <si>
    <t>e, Muñoz Maldonado</t>
  </si>
  <si>
    <t>Muñoz Maldonado e</t>
  </si>
  <si>
    <t>…erno para un empréstito de 500 millones? Y aqui debo ma­ El Sr. PARDO MONTENEGRO pidió se leyese el dicta­ haria , no lo ha verificado. nifestar que no estoy conforme con lo que dijo el Sr. Martínez men de la comisión, y el Sr. Muñoz Maldonado el decreto El Sr. PARDO MONTENEGRO pide que se lea el dicta­ de la Rosa, sobre que los empréstitos no se verificaban á las de 6 de Setiembre. men para que se vea la firma del Sr. M artin, por la cual se circunstancias políticas y militares no lo permitían*; y ruego a El Sr. QUIJANA…</t>
  </si>
  <si>
    <t>e, Nagel</t>
  </si>
  <si>
    <t>Nagel e</t>
  </si>
  <si>
    <t>…mporros; las ocho todas en la loma de Carba- Inscripciones en el gran libro á 5 por 1 0 0 , 00. y i n , términos de Arenas y Yaldesoto, del concejo de Siero. Títulos al portador del 5 por 100, 28 con cupones al con­ El mismo Sr. Nagel en dicho d ia , en virtud de poder de tado: 2 8 f » f , i 9 cínco dieciseisavos, i j 28$ á ». f. ó rol. PROVIDENCIAS JUDICIALES. los Sres. Raveneau, Soigni y Gousillon, tomó posesión de dos y firme con cupones: 2 9 , 50, 2 8 $ , J t 2 9 ¿ , 3 0 ^ , 2 9 * , 2 8 | y pertenencias sobre cada uno d…</t>
  </si>
  <si>
    <t>e, Narciso</t>
  </si>
  <si>
    <t>Narciso e</t>
  </si>
  <si>
    <t>…o desempeñada por el Sr. Don José García de Villalta. rp L M arino: drama en cinco actos, escrito en francés por Ale- Huye (B oabdil ), y si al pasar huyendo tu camino te embaraza jandro Dumas, y traducido al castellano por D. Narciso en torvo tropel tu raza de la Escosura. Esta producción dramática, la última de su au­ TTISTQRIA del reinado del Emperador Carlos v , precedida tor, ha recibido los mayores aplausos en P aris, donde lleva cercándote con afan, de una descripción de los progresos de la sociedad en Eu­ mas d…</t>
  </si>
  <si>
    <t>e, Navarra</t>
  </si>
  <si>
    <t>Navarra e</t>
  </si>
  <si>
    <t>…s, no hace inas que re­ Valdespiua honores de consejero de Estado; á Urbistondo co­ be permanecer de 50 á 4O dias en aquel puerto para regresar á producir en todos sus dramas la lucha entre la virtud y el vi­ mandante general de Navarra en vez de García el fusilado, y M anila, á fin de disfrutar de la estación , conduciendo carga y cio ; y á pesar de sus numerosos y grandes defectos de ejecución, filialmente ha dado libertad á. Zariátegui que se hallaba preso pasajeros, para los que tiene las mejores comodidades. á pesar de…</t>
  </si>
  <si>
    <t>e, Negocios</t>
  </si>
  <si>
    <t>Negocios e</t>
  </si>
  <si>
    <t>…ban los grandes m eetin g (juntas) antes de la adop- Los directores de la compañía de las Indias orientales h a­ úon del bilí de reforma. Luego que llegaron á N ew h all-H ill, NOTICIAS EXTRANGERAS. bian dirigido al ministro de Negocios extrangeros, lord P al- VIr. O’Briand fue nombrado presideote ; en este momeoto h a - merston, una reclamación concerniente al trasporte de los des­ úa muchos miles de concurrentes: uno de ellos llamado Ewards pachos de la India. Solicitaban que los raensageros del Gobier­ irengó á los as…</t>
  </si>
  <si>
    <t>…de­ dicado en 828 el agente de comercio de la República en Paris recho al Gobierno de Francia para fundar en ellos la facultad claración solo eran de conveniencia y política , y no de un ri­ al conde de laFerronais, Ministro de Negocios extrangeros de de los franceses de ejercer el comercio por menor. Aunque en guroso derecho ni de una estricta justicia. Francia, que habia esperado ver en el discurso que pronunció el mi opinión no son mas extensos que los de otros tratados, ni La administración actual podia obrar en este…</t>
  </si>
  <si>
    <t>…de C iudad -R eal. = Exce­ cedida del Gran ducado de Luxetnburgo, han sido bien acogi­ hasta el 20 de Noviembre de este presente año. lentísimo S r . : El estado de la provincia es el mas satisfactorio: d a s , y mi Ministro de Negocios extraogeros comunicará á Tendréislo entendido , y lo comunicareis Á quien cor­ y a resultan presentados á indulto hasta la fecha de ayer 582 vuestras nobles Potencias el modo com o se ha terminado este responda para su cum plimiento.=Yo la Reina Goberna­ facciosos; otros han muerto en refr…</t>
  </si>
  <si>
    <t>…llones que ayer pernoctaron en Villa 1ba y pueblos co­ M r . Virson c Pido la palabra. victoria que el Gobierno. Pero sea por prevención, sea marcanos , segqramente obligados por la división A y e rv e , que E l Sr. Ministro de Negocios e x tra n g e ro s : Pido qué la por esta impaciencia que hemos llamado, y reiteradamen­ según se dijo jayer había regresado á Calamocha. Esta tarde ve­ Cámara haga respetar su reglam ento: han sido presentados pro­ te llamaremos justa, y de que el Gobierno participaba remos qué movimiento…</t>
  </si>
  <si>
    <t>…al Gobierno de S. M . se encuentra en la mis­ que conoce demasiado el valor que tiene un tratado para obrar PARTE NO OFICIAL. ma ; atendiendo ademas á que han trascurrido muchas semanas de distinto modo que el noble Ministro de Negocios e x trao g e - desde que se presentaron á la Cámara estos papeles, sin que el ros [escu ch a d , escu chad ) , y que como él habría creido que uo noble marques hubiese creido de su deber el provocar sobre ellos debían darse ulteriores pasos sobre el asu n to , toda vez que el una discusi…</t>
  </si>
  <si>
    <t>…lino , M inistro de M arin a y U lt r a m a r ; de J u a n Cardoso establezca para ella una administración distinta de la de Ho­ focar una insurrección, sobre la cual no se saben pormenores. da Cuncha y A r a u j o , Ministro de Negocios eclesiásticos y de landa. Se quiere que habiendo sido el Luxemburgo por espacio J u s t ic i a ; y por ú lt im o , la de Antonio de C arv a lh o , M inistro de 15 años una p ro v in cia, y como tal parte integrante del rei­ de Hacienda é inspector interino del tesoro. no de los P aises…</t>
  </si>
  <si>
    <t>…stancias es cuando nos pareció que debíamos pre­ nes, mezclándose con los murmullos de las tribunas. ta interrupción.) sentar al Rey nuestras dimisiones. Puesto en pie Mr. Pirson gesticula con violencia y dirige E l Ministro de Negocios extrangeros: Señor Presidente, E l Ministro de Negocios extrangeros: Señores, no se amenazan al banco de los Ministros. pido que se respete la Constitución. (Murmullos en la tribuna trata en este momento da la validez de las causas que han po­ E l Sr. Presidente , después de imponer silen…</t>
  </si>
  <si>
    <t>…justa y gunos golpes, aceptaría inmediatamente el tratado como el me­ españoles. Sevilla 24 de Febrero de l859.= José Carratalá. errada. Un antiguo Presidente del Consejo replicó generosamen­ nor de los males. te al Ministro de Negocios extrangeros. Aplaudió el sentimien­ (El Sevillano.) Por últim o, reconozco que los resultados de una prolonga­ to , legítimamente fundado en derecho, que inducía á la Bélgi­ ción ulterior de resistencia son inciertos; no se me oculta todc ca á la resistencia, y habló generosamente;de su…</t>
  </si>
  <si>
    <t>…a dico precio á que se vendió la primera ha podido re­ de lo que á primera vista aparece. bajarse casi en una mitad. Pero se observa con dolor El mismo ingeniero me dice que continúa con la mayor ac­ Mr. Sebastiani, Ministro de Negocios extrangeros. tividad el acopio de materiales para el puente de Santiago ; de Mr. Guizot, de lo Interior. que los editores extrangeros se han permitido hacer m u­ manera que espera que al fin del presente mes esten formados Mr. Duchatel, de Hacienda. chas alteraciones en dicha edición y en…</t>
  </si>
  <si>
    <t>…de Roma haya declarado sus intenciones. Lóndres 27 de Mayo á las siete de la tarde.—El encargado que la cobranza de la presente anticipación del medio diezmo (Journal allemand de Francfort .) de Negocios de Francia al ministro de Negocios extrangeros. con toda puntualidad y exactitud, . bien sea por el método de Mr. Shaw Lefevre ha sido elegido speaker de la Cámara de administración, bien por eí de arriendo, según tuviere lugar; los Comunes por una mayoría de 18 votos. Ha reunido 317, considerando en el segundo caso á los ar…</t>
  </si>
  <si>
    <t>…n el cual varios prelados recibirán el capelo de cardena­ cífica de la diferencia. M i único objeto h oy, añade S. S . , es les. Se aguard a con ansiedad el rebultado del proceso del arzo­ proporcionar al noble lord Secretario de Negocios extrangeros L u is F elip e , R e y de los franceses. bispo de Posen para obrar en su consecuencia |a corte de Ro­ ocasión de dar explicaciones categóricas acerca de lo que pasa A todos los presentes y venideros salud. m a , pues que toda su política ulterior consiste en esto. El c ar­ Hem…</t>
  </si>
  <si>
    <t>…fcnpticias dignas de crédito que recibimos ciones legislativas; se puede citar entre otros á un in d ivid uo de Berlín, que el asunto del arzobispo no toma un aspecto m u y El barón Carlos de W e r t h e r , hijo del ministro de Negocios extrangeros en P r u s i a , está acreditado en Lóudres en calidad que es mozo de servicio, y solo tiene 10 libras esterlinas al favorable; asi eft que los amigos y los parientes de Mr. de D u - añ o , y que recibe por su presencia en la asamblea una guinea n in se han engañado mucho. Es c…</t>
  </si>
  <si>
    <t>…uecos á Abd-el-Kader. Un periódico de la mañana dice que el mariscal Soult, luego que tuvo noticia de los sucesos de Africa , ofreció al Rey La Gaceta de los Tribunales anuncia esta mañana que el dejar su puesto de ministro de Negocios extrangeros y marchar Por la anterior correspondencia de Alcañiz verán nuestros lunes por la noche ha sido preso un individuo llamado Berand, á tomar el mando de las tropas que se envían contra A b d -el- lectores pubtos. que se van presentando bastantes faccioso* en varios Posteriorment…</t>
  </si>
  <si>
    <t>…orrespondencia de las planas que la presentación de piezas diplomáticas algunas expresiones in- nosa campaña en que con tanto honor se ha conducido. allí hicieron con las que anteriormente habían escrito. ¡tirk»sa6 al Ministro de Negocios extrangeros Mr. de Theux, e Cuando el Rey tuvo por conveniente encargarle el mando En seguida fueron examinadas las de doctrina cristiana por presidente lo Uarnó al orden y lo invito á que usase un len­ de la Criolla , no se dejó de decir que la inexperiencia de un los textos de Ripalda y…</t>
  </si>
  <si>
    <t>…s mas graves «ad a los riesgos que le amenazan, riesgos inm inentes, y que; cho material venga á ponerla de manifiesto á nuestros sen-; de las decididas por el tratado. exigen toda nuestra atención. tidos ? ' ; i El Ministro de Negocios extrangeros y del Interior os ha No se os oculta la posición de nuestra industria ¡ sabéis los Por otra parte , nosotros no podemos creer que este últim o; notificado en la página 25 de su informe de 19 de este mes, embarazos que la oprim en, y los desastres de que se halla ame­ sistema s…</t>
  </si>
  <si>
    <t>…bote francés que ha conducido aqui á Mr. Foltz, oficial de esta­ cil en este p u n to , pues no tenia que hacer mas que halagar la propiedades sobre la orilla izquierda del Danubio quedaban do mayor enviado por el Sr. Ministro de Negocios extrangerós, pasión favorita del Sultán , y el odio profundo que nutre en obligados á venderlas en el término de 18 meses. Por esto se ve y que ha traído la noticia de la llegada del príncipe de Joinvi- su corazón contra Mehemet-Alí. Mr. Yalker, capitán de la ú qué se reducia la parte de au…</t>
  </si>
  <si>
    <t>…del mismo dia , 110 per­ Cuatro id. 102 20. tión holando-belga. Habiéndose recibido en Bruselas este docu­ mitían dudar un solo instante á la Bélgica acerca de la conser­ Tres id. 78 40.' mento el 1.° de Febrero, el Ministro de Negocios extrangeros vación del Luxemburgo. Asi fue que el Congrego nacional se Acciones de banco 2600. de la Bélgica creyó oportuno no dilatar un momento el dar decidió á admitir dichos artículos, y S. A. R. el príncipe Leo­ España. Deuda activa 19^. cuenta del estado y desenlace de las negociaci…</t>
  </si>
  <si>
    <t>…la cesación de un estado de cosas que compro­ diga á V. S. q ue verá con aprecio el resultado de los tra ­ metía al mas alto grado todos los intereses. bajos confiados al celo y laboriosidad del oficial C ortina. El Ministro de Negocios extrangeros dice que se cree en D e Real o rd e n lo com unico á V. S. para su inteligencia la necesidad de tomar la palabra para rebatir una expresión del ilustre Par, por la cual acusa al Gobierno de inconstitucional... Se nos ha informado que á las cinco de la mañana de ayer y efectos…</t>
  </si>
  <si>
    <t>…algunas notabilidades de C racovia, que han padecido en tenciario. vos intereses, habían ido á Londres á efecto de consolidar el Es­ L a comunicación diplomática hecha el viernes último á los Estados generales por el Ministro de Negocios extrangeros de M r. V ien net, antiguo D ip u t a d o , miembro del Instituto. tado de su pequeña República. Otros dicen que aquellos perso- los Países-Bajos nos ha demostrado que la cuestión territorial pecial enviados Por el Senado con encargo expreso y es- contenida en lo* primeros ar…</t>
  </si>
  <si>
    <t>…es de la audiencia de hoy la Cámara de los Pares ha ce­ preseute es M r. C a illé , ayudante de campo de S. E. el mariscal lebrado una sesión legislativa. El M inistro de M arina ha pre­ MADRID 1 7 DE JULIO. S o u lt, ministro de Negocios extraogeros de F rao cia, que llegó sentado un proyecto de ley pidiendo un crédito de 10 m illo­ á esta antes de ayer para decirme que tiene el encargo de ha­ nes para el aumento de nuestras fuerzas navales en Levante. blaros. Otro ayud a de campo va á Constantinopla , y de allí al El M ini…</t>
  </si>
  <si>
    <t>…ebre profesor trata de terios que s ir v e , y se dice que Mr. de W ilt n a r será nombrado administrándose con una completa separación. Cinco meses h a - recomendarse á la opinión pública por la impiedad sistemática ministro de Negocios extrangeros. M r. de Theux conservará el bian y a corrido en este estado de an a rq u ía , cuando reunida la con que pretende resucitar al socinianismo. Pero según mejores del Interior. Aseguran algunos que la separación de los dos D ie ta , hubo por necesidad que darla cuenta de este neg…</t>
  </si>
  <si>
    <t>…ud de sus servicios. Los pasaportes concedidos á D. Sebastian y una explicación hallaba en las filas rebeldes desde el año 5 5 , y al que dió La confirmación de los fueros de las provincias V a sco n ­ muy animada del Ministro de Negocios extrangeros con motivo muerte el soldado del regimiento provincial de Lugo Antonio de los excesos que aun se cometeo en España, han producido Yazquez. gadas y N a v a r r a , en lo que no se opongan á la prosperidad del resto de. la nación : las prudentes y acertadas medidas que un gran ef…</t>
  </si>
  <si>
    <t>…o por José Juncosa y Elias, vecino de en el dia á la Europa entera , seria una verdadera locura. Ayer corrió la voz de haber sufrido el infame Cabrera un Barcelona, con varios acreedores, sobre graduación y prefe­ E l Ministro de Negocios extrangeros : Cuando se aceptó golpe terrible en el Aragón ; pero no hay confirmación hoy, rencia de los bienes concursados de su padre Pablo Juncosa; el tratado por la Holanda , el Gobierno belga se hallaba en el y solo se dice que iba á pasar el Ebro para dirigirse á Navarra bajo aperci…</t>
  </si>
  <si>
    <t>…pués de repetidas conferencias entre el ministro de 8. M. universalmente el tráfico de esclavos por todos los medios que Dígnese V. M. ordenar que se decrete y declare con conse­ Británica residente en esta corte y el Ministro de Negocios ex- esten á su alcance , y á obrar en su ejecución con el conveniente jo de los Lores espirituales y temporales y del de los Comunes, trangerosde S. M. Fidelísima, se acordaron las principales con­ celo y perseverancia, Portugal ha dejado de concurrir con la ahora reunidos en Parlamento, y…</t>
  </si>
  <si>
    <t>…los D iputados : S í , s í , todos iremos. ¡ V i v a el R ey los demas puertos habilitados de la isla , se deduce que su pro­ do los años vendrá á iníluir poderosamente en la suerte de las P r e s id e n te : El Sr. ministro de Negocios extrangeros tiene ducción se ha duplicado en el espacio de 20 años. viejas naciones de Europa. la palabra. De las 468,525 caballerías (432 varas en cuadro cada una) Treinta provincias en una extensión de terreno que contie­ E l duque d e D a lm a cia , Presidente del Consejo: Señores, que…</t>
  </si>
  <si>
    <t>…mas pura de los senti­ el partido de las damas tu rcas, y se imaginó haber convenci­ á hacer dimisión de su cargo de representante del Parlam ento. mientos de este ayuntam iento. Dígnese V . M. recibirla benig­ do al ministro de Negocios extrangeros que el mejor medio de ( I d em .) namente. dar la paz á la T urquía era el de acoger las proposiciones del v i- Salas consistoriales de Almansa 1 4 de Diciembre de 1859.— r e y , creyó estaba en el caso de poner en movimiento todos los Señora.—A L. R. P. de V . M.znJosé Galiauo…</t>
  </si>
  <si>
    <t>…dorada á la niña de ocho á doce años que á las nociones antece­ de las Unzas de los valientes qüe con tanto acierto raaoda el ca­ dentes agregue las de cortar y coser seguidamente camisas y L ord Sandon pregunta al ministro de Negocios extrange- pí an Reverter, el malvado comandante de armas de la Cenia ros si la comisión encargada de liquidar las reclamaciones de ios otras prendas , punto de encage, gramática castellana , catecis­ Pedro G i l , con un hijo suyo cadete y cuatro mas que queda­ mo de Fleuri , historia de…</t>
  </si>
  <si>
    <t>…r: S. E. el Presidente de la R ondil, paragüero; M ialon , de edad de 56 años, jornalero República de Méjico á los Sres. D. Manuel Eduardo de Goros- condenado á reclusión y cumplida su condena; Lemierre (Luis tiz a, Ministro de Negocios extrangeros, y D. Guadalupe V ic­ José); Philippet; Detrade , tornero , herido ; G uilberto, de edad . c á m a r a d e lo s l o r e s S esión d e l 11 d e Junio. toria , general de división. de 56 años, zurrador; Longuet; Auste» ; Bonnet; N ouguet; Y S. M . el Rey de los franceses á M r…</t>
  </si>
  <si>
    <t>….—El alcalde primero constitucio­ Estrasburgo 15 de Julio.zzEl prefecto del Bajo Rhin al se­ lugar á una amarga realidad, y es que ha perdido el único n al, Tomas Fernandez de Vallejo.:=EI secretario de ayu n ta­ ñor Ministro de Negocios extrangeros: apoyo con que contaba para el sosten de su moribunda causa, m iento, Cipriano M aría Clemencin. (D. d e M.) "El Ministro de Negocios extrangeros acaba de participar enteramente perdida según confesión de los mismos rebeldes á M r. de Bacourt que el 10 se ha recibido en Y iena…</t>
  </si>
  <si>
    <t>…bia mezclado extremada energía en contra del tratado. En respuesta á este es preciso poner á este derecho límites razonables. Para esto se en este negocio. Como se llevaron á M r. M ac-Iu tire, siguió á discurso el ministro de Negocios extra ligeros ha expuesto los necesita mucha prudencia moral. Como los pleitos en la socie­ los Aroostook cerca de ocho m illas, y llegó al distrito núme­ detalles de las negociaciones seguidas por el Gobierno belga dad , la guerra en política debe ser objeto de las mas serias re­ ro 1 0…</t>
  </si>
  <si>
    <t>…rónim o, Con esta convicción, amados niños, seguid aprovechando regresando por las mismas. , Malta 10 de Agosto. ü E l cónsul general de Francia al señor con la aplicación que hasta hoy os ha sabido inculcar vuestro ministro de Negocios extrangeros. Art. 2.° P reced erán á SS. MM. los gefes de Palacio y señor maestro. Corresponder al afan y tierna solicitud de este la servidum b re. La escuadra inglesa llegó el 5 del corriente á la bahía de y de la sociedad es cosa vuestra. Las medallas y lazos que teneis Beischo, y ha f…</t>
  </si>
  <si>
    <t>…cís, Sr. de Caulincourt, que lo ban, para que en el término de nueve dias se presenten á pres­ haré yo también por creerlo.” Hé aquí el final del tar sus respectivas declaraciones en la causa que se sigue sobre brado Ministro de Negocios extrangeros. F o u ch é, que no creeis, en seguida dirigió Gaulincourt á Napoleón: falsificación de dicho crédito por la escribanía de amortización; aprobaba, habia sido reemplazado por Savary. El duque «Yo estabaquesentado: despacho a estas palabras de S. M. me levanté, apercibidos que d…</t>
  </si>
  <si>
    <t>e, Nemours</t>
  </si>
  <si>
    <t>Nemours e</t>
  </si>
  <si>
    <t>…pasajeros como para las mercancías. pliego , en el que se le participaba el desembarco de S. A. R. za de soldados que les hubiese cabido en la quinta con el Se acordó que e^ta deliberación tiene por objeto hallar con el duque de Nemours en Bayona , para donde salió inmediata­ recargo que les corresponda; quedando relevados del ser­ el tiempo un punto destinado á recibir los vapores de Liver­ mente dicho prefecto. Una estafeta que llegó después dice que pool , donde podrán hacer su descarga sin gasto de los propie­ S. A. R.…</t>
  </si>
  <si>
    <t>e, Nesselrode</t>
  </si>
  <si>
    <t>Nesselrode e</t>
  </si>
  <si>
    <t>Escriben (Je San Petersburgo el 26 Je Ju lio : Agosto, mas esta discrepancia puede atribuirse á variación ro. Eli nuestro número 12 describimos esta c ap ita l, con Sabemos en este mismo instante que el conde de Nesselrode en computar el tiem po, aunque por otra parte no ha de el palacio Sfm bra , la residencia favorita del bajá de E g i p ­ acaba de hacer notificar al gabinete de las 1 ollerías y al de suponerse que el crecimiento del Nilo esta sujeto á reglas to , los deliciosos jard in es con la sublim e…</t>
  </si>
  <si>
    <t>e, Nicolás de Luna. Si</t>
  </si>
  <si>
    <t>Nicolás de Luna. Si e</t>
  </si>
  <si>
    <t>…e, pues le daría tiempo para pre­ del 5.° ligero á las órdenes del activo y acreditado coronel gra­ Los especuladores se ocupan con actividad en el arreglo de parar medidas capaces de reconquistarle la confianza perdida. duado D. Nicolás de Luna. Si el Gobierno después de esto debe proseguir sus antiguos er­ La pérdida de los rebeldes consiste en la muerte de los ca­ sus Los cuentas. Se cree que todo saldrá bien. consolidados están á 9 5 ¿ , | al contado, 93y á cuenta. rores, ¿dé qué sirven esa dilación y esa pérdida de ti…</t>
  </si>
  <si>
    <t>e, Nicolás Flórez</t>
  </si>
  <si>
    <t>Nicolás Flórez e</t>
  </si>
  <si>
    <t>…a In ­ mero de la misma D. Juan Manuel Aguado, se cita, llama y ’ rive se veia atacado con esto en sus propios Estados, pues glaterra, lo mas tarde que pudo, y se le habían dado al­ emplaza á los representantes del concurso de D. Nicolás Flórez el era el que habia establecido que los consulados se sepa» gunos subsidios; pero ella obraba sin prevenir á su emba­ Ayala, para que al término de 15 dias primeros siguientes al rasen del ministerio de Marina para ponerlos bajo la di­ rección del de Negocios extrangeros. El duque de…</t>
  </si>
  <si>
    <t>e, NUMEROS. PREMIOS. ADMINISTRACIONES. Ouedan</t>
  </si>
  <si>
    <t>NUMEROS. PREMIOS. ADMINISTRACIONES. Ouedan e</t>
  </si>
  <si>
    <t>…00 que comprende é l sor- 3a Reina Doña Isabel i i ..... ..................... 112,880 demasiado molesto , lo confirma el Real decreto que sigue: teo de an teayer. «M inisterio de IIacienda.-Subsecretaría.=El Sr. Ministro de NUMEROS. PREMIOS. ADMINISTRACIONES. Ouedan existentes para 1.° de Enero de 1859 Hacienda dice cora esta fecha á los directores generales de ren­ ea rs. v a . ............................. 159,704.* 2 tas lo que sigue.—S. M . la Reina Gobernadora se ha servido dirigirm e con esta fecha el Real dec…</t>
  </si>
  <si>
    <t>e, Ojeda</t>
  </si>
  <si>
    <t>Ojeda e</t>
  </si>
  <si>
    <t>…reputación de superioridad que goza entre los apasionados del arte encantador de la música en esta capital. sos habitantes Sigue este pais sin alarma alguna, entregados sus laborio­ REAL SOCIEDAD PATRIOTICA. Finalmente, el Sr. Ojeda ejecutó una aria de la Sonndmbula. cenan y se entregan al trabajo; después se retiran á sus casas, donde Sección de educación. Mucho quisiéramos decir de este artista , á quien el Liceo ha del enemigo. Esto valeal descanso, sin temor de ser sorprendidos debido la atención de que le dedicase…</t>
  </si>
  <si>
    <t>e, OLOZAGA</t>
  </si>
  <si>
    <t>OLOZAGA e</t>
  </si>
  <si>
    <t>…eria esto in cu rrir en una to se adoptarán medidas para producir una conclusión satis­ El Excmo. ayuntam iento de esta siempre heroica capital grave falta. con fecha de hoy dice al Sr. brigadier segundo cabo lo siguien- El Sr. OLOZAGA expuso que era verdad que la comisión factoria de las dificultades con los franceses en las costas occi­ dentales de Africa. te.=:El ayuntamiento constitucional de esta capital en celebri­ de los Cinco se habia lim itado en el acta de Granada á la a p ti­ Se ha hecho segunda lectura del b…</t>
  </si>
  <si>
    <t>e, Olozaga</t>
  </si>
  <si>
    <t>Olozaga e</t>
  </si>
  <si>
    <t>…ante, y ademas se manda suspender su de sentarme en estos bancos cuando se trate de lo que indicó lijísima, y se evitan conversaciones, que no son otra cosa , en aprobación hasta tanto que se reciba. Cuando se discuta haré el Sr. Olozaga en la sesión extraordinaria. perjuicio de otros asuntos mas graves que nos están esperando. la confrontación con lo que ahora se discute. La junta de la provincia anuló el acta del distrito de Refo- Creo pues que se puede aprobar la pregunta de la mesa sin El Sr. P A SC U A L : Repito que S…</t>
  </si>
  <si>
    <t>…ndo que desde aquel dia tuvo la fac­ las causas que haya habido para que el Gobierno se ocupe en ción una deserción de mas de 4 OO hombres, y que aun conti­ ave' iguar la falta cometida por la autoridad m ilitar. nuaba. El Sr. OLOZAGA extraña que cuando se ha perdido un Las operaciones m ilitares están paralizadas á causa del mal punto importante se torne la palabra únicamente para dism i­ temporal. En las Merindades se hallan cuatro de nuestros ba­ D IORAM A. nuir la importancia del suceso, y cree que no es buena polít…</t>
  </si>
  <si>
    <t>e, Ondarza.</t>
  </si>
  <si>
    <t>Ondarza. e</t>
  </si>
  <si>
    <t>…­ Cortes, comprensivo de un solo artículo , y en que se concedía tierra los Reyes y Monarcas mas respetables, extinguidas líneas dia en tres actos.=Las hojas seca$.zzRecuerdos de Valladoíid (tra­ una pensión á los hijos del Sr. Ondarza. enteras, y llamadas otras extrangeras y o tras, sostenido guer­ dición).^ A B lanca, canción. Véndese á 16 rs. en rústica y 20 Continuando la discusión , el Sr. M adoz, á quien tocaba el ras civiles , tanto din ásticas, como se quiere sostener que es es­ en pasta fina en las librerías de E…</t>
  </si>
  <si>
    <t>e, ONDOYILLA</t>
  </si>
  <si>
    <t>ONDOYILLA e</t>
  </si>
  <si>
    <t>…lo 3 .° de la ley de 12 art. 8 6 : **y documentos necesarios cuya falta sea notable.” de Julio de 1857 , que dice que presidirá el de mayor edad. Después de unas ligeras observaciones del mismo Sr. Gon­ PARTE NO OFICIAL. El Sr. ONDOYILLA entiende que en ese caso presidiría el que lo fuese en propiedad ; pero que sin embargo, si S. S. que- zález como autor de ella , fue tomada en consideración y se acordó pasase á la comisión. ria hacer alguna adición, la examinaría la comisión. Suspendida por este motivo la discusión d…</t>
  </si>
  <si>
    <t>e, Onís. Hecha</t>
  </si>
  <si>
    <t>Onís. Hecha e</t>
  </si>
  <si>
    <t>…­ He sido terco como un mulo; caprichoso como una co­ habia nombrado por su Presidente al Sr. conde de Pinofiel, y ciones después de cerrarse la sesión. queta; alegre como un niño; perezoso como una marmo­ por Secretario al Sr. Onís. Hecha esta pregunta por un Sr. Secretario, se resolvió por ta; El Sr. PRESIDENTE anunció que mañana se reuniría el la afirmativa, y el Sr. Presidente levantó la sesión. activo como Bonaparte, según me ha acomodado. Senado á las doce para continuar la discusión pendiente, y le­ Era la una y d…</t>
  </si>
  <si>
    <t>e, Orense</t>
  </si>
  <si>
    <t>Orense e</t>
  </si>
  <si>
    <t>…8 haberse Sevilla 31 de Marzo, fandango y los bailes de A ndalucía, que ha oido desde la j u ­ presentado un faccioso implorando indulto. ventud , vinieron á cantar, á bailar al piano; á derramar en él, El comandante general de Orense en comunicación del 20 La semana santa ha terminado, y con ella las suntuosas bajo sus dedos mágicos , un torrente de armonía y de alegría y participa funciones religiosas con que Sevilla ha solemnizado siempre es­ de pasión. Nada diremos de su admirable ejecución, capaz de la columnaquede e…</t>
  </si>
  <si>
    <t>…ciudadanos mente haber hecho pedazos uu bote con el que los rebeldes pa­ y habitantes á armarse los unos contra los otros ; saban el M iño. En lo que concierne á Barbés, y en atención á hallarse co n ­ El comandante general de Orense el 27 da parte de que en Nos escriben con fecha del 15 de S. Juan de Pie de Puerto 1 victo de haber sido en la ejecución del atentado arriba califica­ una batida que hizo el dia anterior cogió un prisionero. Esta mañana á las dos y media nos despertó el toque de do y con premeditación uno…</t>
  </si>
  <si>
    <t>e, Orleans</t>
  </si>
  <si>
    <t>Orleans e</t>
  </si>
  <si>
    <t>…U S T R IA : : ,do sofocaban su voz. Los demás profesores con el barón T h e- Se lee en un* periódico í j 1 inard á su frente, todos con sus trajes de ceremonia trataron en V ien a , 2 4 d e N o viem b re Al visitar el duque de Orleans el sitio donde fue muerto el vano de calmar la agitación, sus amonestaciones fueron desoí­ general Daureinaiít en Consta atina pidió al mariscal Valée que das y sus vocés sofocadas por el tumulto. v Trescientas éinciientá personas al menos figuraban en los sa elevase un monumento en aquel…</t>
  </si>
  <si>
    <t>…nes entre personas de esa especie ¿podrían inspirar al con la narración de los festejos con que se ha celebrado el viaje al soplo de la guerra asoladora. pais ru3s confianza? ¿Podrá creer que serán mas patriotas los del duque de Orleans e n la colonia de Argel. hombres que se juntan á mucha distancia de aqui que sus re­ Por últim o, hé aqui los términos en que anuncia e\ M oni­ preguntantes? tor Parisiense el importante acontecimiento de que ya hemos Prosigue S. S. haciendo otras observaciones acerca del sis— hecho menci…</t>
  </si>
  <si>
    <t>e, Ortigosa</t>
  </si>
  <si>
    <t>Ortigosa e</t>
  </si>
  <si>
    <t>…a R eina. M ad rid í .° de Febrero de 1859.=:José M aría P u ig , presi- nancia con la de los civiles. El orador continúa m anifestando que para que sed é la po­ dente.=Ei marques viudo de Poutejos.—M atiuel M aría Goiri, El Sr. Ortigosa erró al d ictar la providencia ; y al tiempo sesiona un obispo y pueda adm in istrar los bienes de la iglesia Francisco del Acebal y A rratia : directores.—Antonio G uiller­ de pronunciar el auto m anifestó ratones por las cuales se puede de su diócesis ejerciendo jurisdicción eclesiástica…</t>
  </si>
  <si>
    <t>e, OSCA</t>
  </si>
  <si>
    <t>OSCA e</t>
  </si>
  <si>
    <t>…ente creo que si bien esta petición debe ser admitida ba se tuviese presente en tiempo oportuno. que estuvo sujeto á la disciplina militar, y que prestó servi­ con la deferencia que merecen los patriotas que la suscriben, El Sr. OSCA encareció los graves perjuicios que experi­ cios como un cuerpo del ejército; pero que sin em bargo, por no debe pasar al ministerio ni dar lugar á una ley especial, mentaban los labradores con aquel servicio , y presentó un pro­ su parte no tenia inconveniente en admitir la adición del se­ pu…</t>
  </si>
  <si>
    <t>e, Ovejero</t>
  </si>
  <si>
    <t>Ovejero e</t>
  </si>
  <si>
    <t>…izo esa tengo el honor de pertenecer, no ha podido avenirse al dicta­ F R A N C IA . concesión á la em presa, solo voy a entrar en la cuestión pro­ men del Sr. O vejero; pero no crea el Congreso que la mayoría puesta por el Sr. Ovejero en su voto particular. de la comisión disidente por esto de los principios en que aquel París 9 de Enero* Dos cosas ha dicho S. S. de la mayor im portancia. Prim era se fu n d a ; al menós por mi parte no hay disentim iento. Nece­ que el Gobierno concedió á la empresa del canal de Castilla…</t>
  </si>
  <si>
    <t>…i­ minuciosos, concluye recomendando al Gobierno que admita de su destierro, restituirse al seno de sus familias, el coman­ ca , y á pesar de eso nadie ha dicho que los dignos generales desde luego la indicación hecha por el Sr. Ovejero en su voto dante general de aquellas islas les hizo saber que S, M, le había que alli han mandado hayan infringido la Constitución. No particular. prevenido suspendiera la expedición de sus pasaportes. se ha puesto remedio al mal, y por ventura ¿se quiere ahora El Sr. marques de C A SA -IR…</t>
  </si>
  <si>
    <t>e, Oñate. Sr. D. Pablo Cabrero.</t>
  </si>
  <si>
    <t>Oñate. Sr. D. Pablo Cabrero. e</t>
  </si>
  <si>
    <t>…es de quienes hemos leído elogios en los esperaria en el estado de progreso á que ha llegado el papeles públicos, que cuanto saben lo deben solamente á su ram o de la m in ería, que se hubie¿e formado un plano Excmo. Sr. conde de Oñate. Sr. D. Pablo Cabrero. excesivo gusto y aplicación , y lo atestigua la belleza de las en­ subterráneo, operación de la m ayor im portancia porque Sr. marques del Socorro. cuadernaciones que salen de sus manos con aquella perfección pone de m anifiesto el trabajo de las m inas y la dirección S…</t>
  </si>
  <si>
    <t>e, Pantaleon Arríete</t>
  </si>
  <si>
    <t>Pantaleon Arríete e</t>
  </si>
  <si>
    <t>…naturalmente á las opinio­ plantas de M c n j u i, describiendo las recogidas en ílor por el n u a r su camino para Londres. Se ha apeado en la calle de la nes que deben ser representadas en el nuevo m in isterio; y apo­ socio D. Pantaleon Arríete en el mes de J u lio último. De c a ­ Pepiniere. H ussein-K an trae en su compañía dos intérpretes y yará las elecciones que se hagan por el centro izquierdo. Los da planta se expresan su nombre científico, el vulgar asi caste­ muchos criados. ( D ebats.) secretarios serán sacados…</t>
  </si>
  <si>
    <t>e, Paredes</t>
  </si>
  <si>
    <t>Paredes e</t>
  </si>
  <si>
    <t>…isinos goces y consideraciones que quedan PERU . n ic a r e is á q u ie n co rresp o n da p ara su c u m p lim ie n t o .—Está asentados. r u b r ic a d o de la R e a l m a n o .= E n P a la c io a 22 de Agosto 6.° El Sr. general Paredes empeña su honor en hacer que Hemos recibido papeles de Lima hasta el 8 de Marzo. El 24 d é 1 8 3 9 .— A. D. E varisto P e r e z d e C a s t ro , P r e s id e n te del este convenio sea bien y fielmente observado en todas sus de Febrero entro en aquella capital el Presidente provisorio del C…</t>
  </si>
  <si>
    <t>e, Parlamento de Greooble.</t>
  </si>
  <si>
    <t>Parlamento de Greooble. e</t>
  </si>
  <si>
    <t>…, an - aviso de cualquiera suscriptor se remitirá la obra desde Madrid magistrado, sobre envenenamiento y robo, presentadas por Martinica. Individuos libres,. . . . 16.475 al punto que designe. i Mr. Servan, abogado general del Parlamento de Greooble. esclavos. . .. 97,787 j 4 a Expediente seguido contra Juan Roumage sobre pago Guadalupe. Individuos l i tires.......... 25,8 i 0 Indice de las causas contenidas en la parte francesa. I de maravedís. esclavos. . . . 99,059 | 5.a Causa política del siglo xix. Proceso contra…</t>
  </si>
  <si>
    <t>e, Pascual</t>
  </si>
  <si>
    <t>Pascual e</t>
  </si>
  <si>
    <t>…alabras solamente porque conozco lo cansado que está el Con­ ni la Constitución del año 12 ni la del 57 innovaron nada , y la Ipermestra , animado sin duda por 1111 sentimiento de pa­ greso. La primera parte del discurso del Sr. Pascual está re­ de que lo que se hizo fue solo adoptar una máxima tan filosó­ triotismo al considerar que con los elementos que posee nues­ ducida á la calificación de un documento, que á pesar de las fica y humana. tro teatro lírico nacional tal vez llegará el dia en que podre­ observaciones de…</t>
  </si>
  <si>
    <t>e, Pascual Gil de Salazar</t>
  </si>
  <si>
    <t>Pascual Gil de Salazar e</t>
  </si>
  <si>
    <t>…ones en beneficio de un anciano de 75 años, cuyas cuerpo y los Nacionales del pueblo al ruando de su comandante por dogm as, sino por analogía de intereses políticos. Seriamos disensiones intestinas van á desgarrar el manto? D. Pascual Gil de Salazar en persecución de una gavilla de 16 los fieles aliados, los antiguos amigos de los turcos; pero cuan ­ Se os habla de la unidad á r a b e ; ¿ pero dónde está ? ¿ Quién Facciosos, procedente de Andalucía , fue esta alcanzada por d i­ do se trata de cimentar un sistema político…</t>
  </si>
  <si>
    <t>e, Pascual Sanz.</t>
  </si>
  <si>
    <t>Pascual Sanz. e</t>
  </si>
  <si>
    <t>…rmó la columna de cazadores y el batallón de A i - M IN IST E R IO DE G R A C IA Y JU S T IC IA . mansa que1constituía la vanguardia á las órdenes del coronel E l Sr. S ecretario del Despacho de Estado com unica á Circular. D. Pascual Sanz. este m inisterio en IT del actual la Real orden que sigue: Las compañías de Santiago León , Saboya y G uardia « E l cónsul de S. M. en Havre dice á este m inisterio en 2 ¡ Real provincial se extendieron en el orden abierto ocupando U Varios magistrados que de fiscales pasaron á pinz…</t>
  </si>
  <si>
    <t>e, Patricio Joaquín</t>
  </si>
  <si>
    <t>Patricio Joaquín e</t>
  </si>
  <si>
    <t>…ante el Sr. alcalde constitucio- nal D . M ateo M iguel de Aillon por el promotor fiscal a p rs Í Í o r d ó repartir entre los Sres. D iputados 250 ejemplares que pedían la empresa ni las cinco villas , sino tomando un tér­ D. Patricio Joaquín ele Avila en concepto de subversivo elde la ley sobre requisición de caballos, que rem itía el Sr. Secre­ mino m edio, y fue que habiendo en el medio de los terrenos párrafo Mosáico del Nosotros, publicado el miércoles 9 del tario del Despacho de la Guerra. de la L aguna unas horru…</t>
  </si>
  <si>
    <t>e, Patricio Joaquín de Avila</t>
  </si>
  <si>
    <t>Patricio Joaquín de Avila e</t>
  </si>
  <si>
    <t>…artin Carramoiino. ha mandado citar á sus acreedores por el término preciso de 50 Habiéndose denunciado ante el Sr. alcalde constitucional, dias , que empezarán á correr desde la publicación de este anun­ D. Angel Mazon, por D. Patricio Joaquín de Avila el artícu­ cio. Y para que llegue á noticia de todos, y se presenten por CORRESPONDENCIA DE LA GACETA. lo remitido sobre fueros, inserto en el periódico titulado El sí ó por medio de procurador con poder bastaote, se anuncia ai P ilo to , núm. 199 , correspondiente al dia…</t>
  </si>
  <si>
    <t>e, Pedro</t>
  </si>
  <si>
    <t>Pedro e</t>
  </si>
  <si>
    <t>…m ortalm ente un cab a­ res , compuesta de su vicepresidente el Excmo. Sr. D. A ntonio que revela por parte de las fuerzas .británicas estacionadas en llero "brasileño. B tra ta , consejero de E stado; y dé los Sres. vocales D. Pedro este punto la intención atentatoria de. abrogarse la policía de la De la comunicación de S. E. el Sr. C ándido B au tista d é Sain z de B aranda y D. B raulio R odrigo de la Dehesa , in d iv i­ parte del anclaje por ellas ocupado ,■lo que en su opinión es O liveira no aparece que hubiese la m…</t>
  </si>
  <si>
    <t>…erales que todas las cla­ individuos de ambas familias Reales. Los descubrimientos de la costa de Africa al otro lado de la ses del estado habían adquirido durante su vigorosa adminis­ La corona de Portugal, por abdicación de D. Pedro en 1826, línea equinoccial, estimularon á Juan n á la grande empresa de tración, no dejaron de producir efectos permanentes. Sin em­ recayó en su hija Doña M aría, de solo cinco años de edad ; y buscar el camino á la famosa In d ia, y en I 48 i mandó dos na­ bargo , el poder de la nación , d…</t>
  </si>
  <si>
    <t>…s una fuerza moral debida á Dona Isabel le responde con desconfianza del éxito. El mono- que se temia un conflicto entre las tropas, la policía y el pue sus últimas victorias contra estos. Ib rah im -b ajá solo tendrá logo de D. Pedro en que se queja de este desprecio, y reconop Wo. Corren voces de que el conde de T albot, lord teniente de consigo como unos 3 03 hombres en el campo de maniobras que la felicidad no va unida al trono ni á su falso esplendor «ondado, ha dado orden á la geomanry , á la tropa y á la po- que ha…</t>
  </si>
  <si>
    <t>…u título* Mas el carácter sobre todos difícil y que nos parece el es­ de D. Manuel A l a i x , únicos que restan serlo en el a su n to , y solo comprende las leyes dé procedimientos. . fuerzo mas feliz del a r te , es el de D. Pedro el Cruel. Pedro el cuyo paradero se ignora , para que en el término de 50 d ias Son frecuentes en el foro las cuestiones sobre vínculos, se­ Cruel no era como Pedro iv de Aragón , como Cárlos el Malo contados desde que se anuncie en la G aceta, acudan á usar d( ñ oríos, imprenta y otras á q…</t>
  </si>
  <si>
    <t>…eros , favores: casar á su hijo el Príncipe D. Pcuro co&amp; Doña B iü ica , infanta y ocioso el desnudo acero? de su general, peligros; de N a v a rra , que á este efecto habia ya llegado á Coimbra; y de su honor, ocasiones. pero D. Pedro estaba ya casado secretamente con Doña Inés de Estefanía despierta, y atraviesa su pecho el puñal del marido. Castro, y tenia de ella dos hijos. El anciano Rey , instigado por Un ruido suena debajo de la cama. Fernán saca de allí una En la tercer jornada se describe en los versos siguientes el…</t>
  </si>
  <si>
    <t>…, y permaneceré en llas escenas que tan ta analogía tienen con su situación; des­ Antes de todo hablaremos de la m úsica: dio principio á la «Üla. (E l tumulto continúa .) El Presidente obra con una odiosa empeñó los trozos de D. Pedro el Cruel en el Rico hombre de sesión la o b ertura4 de La Garitea ejecutada por la orquesta, parcialidad ; mas ¿ cómo extraño esto* cuándo veo los hombres A lcalá , de manera que nos manifestó sabría comprender el ca­ cuya conclusión aplaudimos doblemente asi por la buena eje-? q u e lo rodean…</t>
  </si>
  <si>
    <t>…o próximo para C c n srias, P uerto-Rico y la H a ­ En esta obra vindica el traductor la historia de M arian a mera educación, edición de 1 8 2 9 , un tomo eu 8.°, a 2 rs. en cuando habla de Samuel L e v i , tesorero del Rey D. Pedro el rústica. b an a, lo veriñcará del 6 al 7 del misrao uses. Justiciero, contra la impugnación de los autores de la nota que se halla en la edición de dicha historia hecha en Valencia por Lecciones elementales de historia natural dispuestas en for— ma de diálogo para uso de los niños, por M…</t>
  </si>
  <si>
    <t>…co­ esta abadía vino á ser uno de los mas ricos establecimientos contiene los artículos siguientes. linas sobre que está fundada la ciudad (sin contar el Vesubio religiosos en Italia, y m uy celebrados los mooges de San M ar- D. Pedro el Cruel. por una parte, y el A gnano, el Astruni y la Solfatara por la tino por su munificencia, hospitalidad y modo regalado de La familia de T o rrig i, novela. o tra,q u e son volcanes extinguidos) no son sino cráteras ex­ vivir. Engaño terrible, anécdota. haustas desde una antigüedad r…</t>
  </si>
  <si>
    <t>e, Pedro Alcalá Zamora</t>
  </si>
  <si>
    <t>Pedro Alcalá Zamora e</t>
  </si>
  <si>
    <t>…que la diputación 110 tiene nada que • j 6 ™enta y roandó pasar á la comisión de Actas un ofi­ El Sr. C A B A L L E R O : Soy de la opinión que acaba de ver con la exclusión ni inclusión délas listas electorales ? ¿N o cio de D Pedro Alcalá Zamora en que manifestaba que h a ­ enunciar el Sr. Sancho , que todos los D iputados, cuyas actas dice la ley electoral que los comisionados son los únicos que de­ biendo sido elegido Diputado por las provincias de Córdoba y se hayan aprobado, y sobre cuya aptitud legal se haya presen…</t>
  </si>
  <si>
    <t>e, Pedro Allende Salazar. Tendréislo</t>
  </si>
  <si>
    <t>Pedro Allende Salazar. Tendréislo e</t>
  </si>
  <si>
    <t>…de Adanero; y por una visita á Tejas, pais fértil y nuevo, limítrofe Je Méjico , y ía de Vizcaya á D. Casimiro de Loizaga, en reemplazo de Escriben de H ungría: que en lo sucesivo parece llamado á brillantes destinos ; y des­ D. Pedro Allende Salazar. Tendréislo entendido, y lo co­ El Emperador de Auitria ha dirigido á los Estados de H u n ­ pués con un reconocimiento del establecimiento naval de los municareis á quien corresponda para los efectos conve­ gría un rescripto invitándoles á empezar sus trabajos, y decla­ Estado…</t>
  </si>
  <si>
    <t>e, Pedro Arenas</t>
  </si>
  <si>
    <t>Pedro Arenas e</t>
  </si>
  <si>
    <t>…o, manifestándole que el Congreso habia con el simple proyecto del otro cuerpo han mostrado su g ra ti­ resuelto comenzar hoy la discusión señalada, y que solo espera­ A la vista tenemos el discurso pronunciado por el señor D. Pedro Arenas en la solemne función celebrada en la par­ tud y contento con tantas funciones de alegría que no se pue­ ría algún tiempo para dar lugar á que asistiera el miembro del den fijar. Gabioete que tuviera por conveniente hacerlo. roquial de San Sebastian de esta corte el 6 deí corriente O…</t>
  </si>
  <si>
    <t>e, Pedro En</t>
  </si>
  <si>
    <t>Pedro En e</t>
  </si>
  <si>
    <t>…z la frente clava. ¡O h ignom inia! ¡oh baldón! ¿ p or q ue acero I M i esposa!... ¡n o hay mas alia ! B IB L IO G R A F IA . JNo centellea en la feraz c a m p a ñ a ? Una gota de hiel solo quedaba ¿P uedo sufrir la vida de D. Pedro En el amargo cáliz del dolor , i p L E S T U D IA N T E , periódico festivo y satírico, político y Cuando su aliento me desgarra el alm a? Y esta gota de hiel que me faltaba J literario. El escritor festivo , conocido y apreciado del pú­ ¡O h ! no la sufro mas.... ea.... volemos. Sobre mis l…</t>
  </si>
  <si>
    <t>e, Pedro García Leaniz</t>
  </si>
  <si>
    <t>Pedro García Leaniz e</t>
  </si>
  <si>
    <t>…do á los enemi­ das en las provincias donde existeo fábricas, asi como de una El Sr. P R E S ID E N T E : Puede V. S. hablar cuanto guste. gos de nuestras instituciones esa veutaja de poderlas invadir, y proposición hecha por D. Pedro García Leaniz en el caso de uo El Sr. A L V A R O : Las contribuciones no se han votado que se pase por ello como por una bagatela? arrieodo general, que si este se obligaba á sostener y afianzar su nunca en este recinto: no se ha hecho mas que autorizar al Dijo el Sr. ministro de Estado que…</t>
  </si>
  <si>
    <t>e, Pedro Laplana</t>
  </si>
  <si>
    <t>Pedro Laplana e</t>
  </si>
  <si>
    <t>…Villachica. =: Francisco del Yerro. mática de la academia española. Un tomo en 8.° m ayor, 12 En seguida habiéndose publicado y leido por el Sr. juez de reales. En la librería de Sojo, calle de Carretas, se venden to­ hecho D. Pedro Laplana el juicio, proveyó el Sr. juez de dere­ das estas obras. M A D R ID 2 4 DE JU N IO . cho D. Miguel María Duran el auto que dice asi: Auto . Habiéndose observado en este juicio todos los trám i­ tes prescritos por la ley, y declarado por los Sres. jueces de he­ MATRIC ULA D E L COLE…</t>
  </si>
  <si>
    <t>e, Pedro Nolasco Basa.</t>
  </si>
  <si>
    <t>Pedro Nolasco Basa. e</t>
  </si>
  <si>
    <t>…anuales. Las personas en quienes pectiva á que se conceda una pensión á la viuda é hijos del S. M . Destruida esta conspiración, en el momento mismo acaso concurran estas circunstancias podrán presentar sus solicitudes general D. Pedro Nolasco Basa. en que se ha fraguado, el Gobierno espera el resultado final de acompañadas de las correspondientes hojas de servicio en la se­ Procediéndose á la discusión en la totalidad del dictámea dicha sum aria, y ha dado las disposiciones oportunas para que cretaría de gobierno del tribun…</t>
  </si>
  <si>
    <t>e, Pedro Pascual Vela Consta</t>
  </si>
  <si>
    <t>Pedro Pascual Vela Consta e</t>
  </si>
  <si>
    <t>…- pal del ram o, calle del Lobo, núm. 8. , cuarto 2.°, apercibidos instrucciones sobre la materia , por D. Ramón M aría Cañedo. criptores, ya de Reales cédulas y órdenes oportunas, bien de de entero perjuicio, pues los reclama D. Pedro Pascual Vela Consta esta obra de 12 cuadernos en 4 o Se hallará á 7 rs. cada discursos, escritos ó informes de derecho ultram arino. como de su propiedad , y por haber sido interceptados en la cuaderno en rústica en la librería de C uesta, frente á San Fe­ En la ejecución de esta em presa, mie…</t>
  </si>
  <si>
    <t>e, Pedro Rojas</t>
  </si>
  <si>
    <t>Pedro Rojas e</t>
  </si>
  <si>
    <t>…­ Debiéndose proceder por el claustro de esta universidad á la lítico habia mandado á aquel que hiciese que en el mismo dia o da ir. as. provisión de las cátedras de lenguas francesa é inglesa, y d i­ eo su noche se presentase D. Pedro Rojas en ílu e lv a á recibir Con respecto á la primera se dice que se presentaron en e bujo lineal y n a t u r a l, en conformidad á lo dispuesto en el re­ ordenes; y que habiéndose presentado este in d iv id u o , fue tra ­ distrito de la Palm a doce hombres con un teniente. En efecto glamen…</t>
  </si>
  <si>
    <t>e, Pedro y Doña María</t>
  </si>
  <si>
    <t>Pedro y Doña María e</t>
  </si>
  <si>
    <t>…ulso al comercio, dirigió su ateucion al Brasil; á embarcarse para Italia , adonde continúa al presente. pero la mayor parte, con m ucho, son m uy ruines. Como todos y cuando creyó que su administración estaba bien asegurada, Don Pedro y Doña María entraron triunfantes en Lisboa, los puertos principales, está Lisboa sujeta á las mudanzas de principió á reformar las dos ciases mas formidables en el reino. la Carta que Don Pedro habia dado desde el Brasil fue procla­ magnificencia y pobreza según la prosperidad del comercio. E…</t>
  </si>
  <si>
    <t>e, PELEGRIN</t>
  </si>
  <si>
    <t>PELEGRIN e</t>
  </si>
  <si>
    <t>…sticia, tuvo la bondad de darle esa colocación en el Consejo que el Sr. Martin retiró el voto. des son esas simpatías? ¿Por qué se mira con tanta indiferencia de Ordenes; y la dió en el mismo decreto de renuncia. El Pre­ El Sr. PELEGRIN expuso que el Sr. López Vázquez, de la suerte de esta desgraciada nación ? ¿ Por qué po. influyen píor sidente del Consejo de Ministros le comunicó al de Gracia y magistrado que éra de Gáceres fue á serlo de V alladolid, y es­ su parte en hacer cesar estos horrores? Porque los intereses J…</t>
  </si>
  <si>
    <t>e, Perez de Rivas</t>
  </si>
  <si>
    <t>Perez de Rivas e</t>
  </si>
  <si>
    <t>…an d a, no emprendí mi viaje á suelve que n o , en votación nominal por 65 votos contra 45. Sevilla. El Sr. Ministro de G R A C IA Y JU S T IC IA : N o ha com­ Se puso á discusión el dictámen de la mayoría. prendido bien el Sr. Perez de Rivas el pensamiento del Gobier­ lié aqui todo lo que tenia que exponer en rni difensa , y es­ El Sr. B A E ZA le im p u g n ó , fundándose en que la comi­ pero que el Congreso resolverá en este asunto con la justicia é sión especial nombrada por el Congreso para inform ar de este no. H ay…</t>
  </si>
  <si>
    <t>e, Pero</t>
  </si>
  <si>
    <t>Pero e</t>
  </si>
  <si>
    <t>…sultados de la casi conseguida pacifi­ de los fenómenos políticos en la acción de las causas morales. bido resistirme á adm itir este eocargo á pesar de su gravedad; cación: algunos restos de miserables enemigos del bien general Pero es superior á ellas la ley de la Providencia , que todo lo ha pero tengo la lisonjera confianza que toda la gente sensata de se ocultan en la sierra inmediata ; pero coofio en que bien pron­ hecho para e l triunfo d e la v ir tu d : y solo el pensamiento cris­ la pro vin cia, todas las person…</t>
  </si>
  <si>
    <t>e, Pi'esidenie</t>
  </si>
  <si>
    <t>Pi'esidenie e</t>
  </si>
  <si>
    <t>…articulo del proyecto lo nación, y bien le convienen. (¡ Bien , bien ! Aplausos en la tismo roas aceadrado; pero no razón ninguna éñ que pueda concede expresa y terminantemente; en el proyecto misino es- tribuna pública. El Sr. Pi'esidenie encarga á los celadores e apoyarse lo que proponen. tan concedidos para los dos estados, porque ya se ha indicado cumplimiento de su obligación.) Se dice que si hubieran de hacerse quintas; se harían en antes que este negocio tiene dos estados: tiene el que va á cau­ El Sr. C O R T IN…</t>
  </si>
  <si>
    <t>e, Pidal</t>
  </si>
  <si>
    <t>Pidal e</t>
  </si>
  <si>
    <t>…ue asi procede falta á su de­ ardiente el que autorizó esa legislación ; pero que lo que debe 2.° De la de informar sobre el proyecto de ley para el co­ ber , y se convierte en un tirano. Que aun en caso de desorden decir al Sr. Pidal es que los que S. S. ha calificado de partido bro de créditos atrasados al erario, aprobado en el Congreso de intentado no cree es lícito proceder, corno no sea con arreglo á ardiente, presentaron un proyecto de ley, lo discutieron y Sres. Diputados. la Constitución y á las leyes; por cuya raz…</t>
  </si>
  <si>
    <t>e, Pielaciones</t>
  </si>
  <si>
    <t>Pielaciones e</t>
  </si>
  <si>
    <t>…ios del poder, no conocerá otra restricción que cho de Relaciones exteriores.=Quito á 22 de Marzo de 1859.= tos y heridos á una columna rebelde de 4B0 hombres, que pa­ aquella que le imponga la ley. Al honorable Sr. Secretario de Pielaciones exteriores de la N ue­ saba á Alcanar desde Benicarló, habiendo hecho la plaza algu­ Todos los derechos serán por mí respetados , y las garantías va Granada.zrEn este momento que son las siete de la noche , he nos disparos al cruzar por sus inmediaciones. , preservadoras lo serán aun mas…</t>
  </si>
  <si>
    <t>e, Pió Pita Pizarro.</t>
  </si>
  <si>
    <t>Pió Pita Pizarro. e</t>
  </si>
  <si>
    <t>…s novelas modernas expresión fiel de la época con­ Madrid 25 de Enero de l859.r=Pio Pita. cumplimiento.=Rubricado de la Real mano.—En Palacio á 25 temporánea , tomar por fundamento de ellas la edad media de Enero de 1859.=A D. Pió Pita Pizarro. era desviarse de su objeto moral. Aplaudiendo el Sr. barón de Biguezal las ideas emitidas A LA S CORTES. por los Sres. Gil y Corradi, convino en que efectivamente las Creemos co m p lac er á nuestros lectores trasla d a n d o á antiguas novelas caballerescas tenían un objeto po…</t>
  </si>
  <si>
    <t>e, Poey</t>
  </si>
  <si>
    <t>Poey e</t>
  </si>
  <si>
    <t>…riunfo, es útil á sus intereses materiales, comprometidos divisiones territoriales; señalaron cuántas ciudades, villas, lu­ incesantemente mientras se hallen á disposición de una gente, gares, montes, cabos y rios nombra el Sr. Poey en su geogra­ la cual no trabaja ya por ganar y vencer, siuo por comer y no fía ; y por lo bien que desempeñaron esta parte, merecieron un morir de necesidad. El Gobierno belga no descuida nada para mantener e! or­ justo elogio, tanto nuestro como de todos los asistentes. den en Bruselas dura…</t>
  </si>
  <si>
    <t>e, Policarpo de Lara</t>
  </si>
  <si>
    <t>Policarpo de Lara e</t>
  </si>
  <si>
    <t>…alor, sentimientos no­ lado el dia 7 de Diciembre próximo á las doce de la mañana tenece á aquel período por la mención que hace de las bles, muy buen juicio, y no poca astucia. en la sala de dicha direccioo general. tragedias D. Policarpo de Lara es un joven mal educado, incapaz según el francés estilo de honor, de valor, ni de delicadeza en el amor; pero el Don Lorenzo de E l mas bobo sabe m a s, mayorazgo travieso y esto (*«, en cinco actos, en su comedia de! Sacrificio de botarate, despierta de su larga infancia apenas…</t>
  </si>
  <si>
    <t>e, Polo y Monge.</t>
  </si>
  <si>
    <t>Polo y Monge. e</t>
  </si>
  <si>
    <t>…corresponde al grado en mente ; pero que no obstante se hará cargo de algunas obser­ tiene derecho para exigirla. Insiste como el Sr. Gómez Becerra que muere. Esta gracia la tiene el general Escalera, porque ha vaciones del Sr. Polo y Monge. en que en el art. 56 de la ley electoral no se dice que la renta muerto como en campaña, y su viuda é hijos tienen derecho Dice que esta ley tiende á que los fondos que reúna la na­ haya de tener la procedencia de bienes propios, y añade que el á la viudedad de capitán general. ción…</t>
  </si>
  <si>
    <t>e, Por</t>
  </si>
  <si>
    <t>Por e</t>
  </si>
  <si>
    <t>…y blanqueadas con Real orden. quiera costa. cal. Finalmente, delante de una puerta interior nos apeamos, Dígnese V. M. recibir con benevolencia la expresioo de los y alli fue recibido el Príncipe por Reschid-bajá , ministro de Por el Ministerio de la Guerra se dice en esta fecha al sentimientos de este ayuntamiento que se atreve á elevar á los negocios extrangeros. capitán general de Castilla la Vieja lo siguiente: pies del trono de V. M. Manzaneda de Trives 8 de Diciembre Después de haber atravesado otro patio, en el cu…</t>
  </si>
  <si>
    <t>…o en los términos en el único lugar donde era alterado en todo el departamento de San Luis. previne al teniente coronel D. Ju a n José Sánchez, comandan­ usuales. te de la caballería , que cargase por la derecha , y al capitán Por el segundo se somete al arbitraje de una tercera P o ­ Continúo mañana con actividad mi marcha para estrechar D . José María García por la izquierda , haciendo avanzar al tencia la decisión en priucipio de los dos únicos puntos en que al en em igo, y ev ita r, si es posible, que Lem us entre…</t>
  </si>
  <si>
    <t>e, Posen</t>
  </si>
  <si>
    <t>Posen e</t>
  </si>
  <si>
    <t>…hospital de R a d iff: total 220 libras es­ juntas diocesanas, y los demas funcionarios que intervengan en terlinas. (2500 francos.) (Morning-Herald.) ca recaudación de la mitad del diezmo; el esmero con que pro- El arzobispo de Posen está ya restablecido de su enfermedad, puren su íntegra exacción y pago ; la previsión con que obren j y ha celebrado misa algunos dias. La sentencia pronunciada cara dar á las especies todo el valor que permita la concurren­ 5 contra este prelado no se ha puesto todavía en ejecución por ha­ c…</t>
  </si>
  <si>
    <t>…completan las El canónigo Pzoghuski de Gresen ha tenido recientemente El mariscal comandante en gefe se apresura á participar al cuatro compañías que deben trip ular aquel navio. Se habla de una conferencia con el arzobispo de Posen en Colberg , á quien ejército U carta que el Rey acaba de d irig irle con motivo de desarmar el bergantín P etit T o n ars , que ha llegado hace pocos había ido á cumplimentar de parte del cabildo. El canónigo la expedición de las Puertas de Hierro. dias de las costas de C atalu ñ a. invitó…</t>
  </si>
  <si>
    <t>e, Presid</t>
  </si>
  <si>
    <t>Presid e</t>
  </si>
  <si>
    <t>…informe, Habiéndose acercado á la mesa el Sr. M in istro de H a c ie n d a , cer esas re fo rm a s; pero puede suceder que se h a y a creído a u ­ y el Gobierno lo examinó y ío pasó á la ju n ta consultiva de y hablado con el Sr. Presid ente, este anunció que el Sr. M i ­ t o riz ad o , bien ó m al, en v ir t u d del estado p a rtic u la r del p rin ­ H a c ie n d a , compuesta de personas ilu strad as ; la referida ju n ta nistro le habia hecho presente, que no viniendo preparado para cipado. El Gobierno uo tiene uo ticia d…</t>
  </si>
  <si>
    <t>e, Presidente de la Répú-</t>
  </si>
  <si>
    <t>Presidente de la Répú- e</t>
  </si>
  <si>
    <t>…illo el ex- sioneros á mas de 200. Lo expuesto espero se sirva V. E. po- Según las mismas cartas parece que el comandante de la géneral D. José Antonio M ejía, y á un considerable número I nerlo en el conocimiento del Excmo. Sr. Presidente de la Répú- escuadra francesa estacionada en él mar Pacífico, había hecho de sus gefes, oficiales y tropa. Todo consta de los partes de que I blica, como el resultado de las fatigas de la división que tengo salir á la gabarra la Indiana para que vigilase las goletas de acompaño á V. S.…</t>
  </si>
  <si>
    <t>e, Prince</t>
  </si>
  <si>
    <t>Prince e</t>
  </si>
  <si>
    <t>…rlo por el corto número ofrecido de estos. g a prisión. y espera la remisión de Tarragona de 44 prisioneros que deben Convencida la sociedad de las ventajas singulares de la M r. L a b o u ch e re : Una comunicación del coronel Prince es ser cangeados con igual número de los que gimen en la desespe­ gram ática castellana publicada por D. Vicente Salvá , conce­ la única noticia que el Gobierno posee relativamente á este ne­ ración entre los vándalos. El cange parece se ha reducido á este derá el premio, con preferencia, á…</t>
  </si>
  <si>
    <t>e, Puche</t>
  </si>
  <si>
    <t>Puche e</t>
  </si>
  <si>
    <t>…no sé si bien ni mal , que los El Sr. M END IZA BA L: Señores, desde que oí la interpe­ aquella época partió del principio deque debia abonarse el diez! términos en que me habia expresado, comunicados por la mesa lación del Sr. Puche examiné el art. 49 de la instrucción dada tuo sin hacer mención de clases, cualquiera que fuese quien lo de la presidencia, contenían una censura demasiado fuerte, que por el Gobierno de S. M. para el repartimiento de la contribu­ pagase, bien fuese ó no la clase agrícola; y quede cousignado…</t>
  </si>
  <si>
    <t>…s Sres. Diputados: después y se limitó á sostener los dos puntos en que se apoya su voto Uu simple cabo y uuos cuantos soldados de artillería fueron de Ceuta es la parte mas interesante que tenemos. Desde la p articular. El Sr. Puche extendió después mas la esfera de es­ los que se negaron á la conspiración • parece que con este aviso desgracia de Alhucemas, ¿cuál era la guarnición que habia en tas consideraciones, y por último el Sr. Camaleño, que es el el Gobierno de S. M. debe conocer que el gefe que allí manda­ la pla…</t>
  </si>
  <si>
    <t>e, Puche.</t>
  </si>
  <si>
    <t>Puche. e</t>
  </si>
  <si>
    <t>…o de que únicamente me propongo pagado; por lo tanto creo que he contestado á la interpelación solo abonable á los labradores que trabajan la tierra que llevan que el Sr. Ministro de Hacienda dé explicaciones sobre la ma­ del Sr. Puche. en arrendamiento, á los propietarios que cultivan por sí ó de teria , y que en el estado de las cosas adopte el temperamento El Sr. M O N : Pido la palabra para una alusión personal. su cuenta las fincas de su propiedad , y á los que teniéndolas d a ­ que crea mas propio para que la justicia…</t>
  </si>
  <si>
    <t>e, Puente Procediéndose</t>
  </si>
  <si>
    <t>Puente Procediéndose e</t>
  </si>
  <si>
    <t>…rior El Sr. Ministro de G R A C I A Y .JU S T IC IA : En suma pa^ sobre ayuntam ientos. i rece que lo que quiere el Sr. López Vázquez es que el G obierno armas y otros efectos. Que se h an presentado á indulto al comandante del Puente Procediéndose en seguida al sorteo dé las secciones según ó el Ministro de Gracia y Justicia explique el oficio que se ha de Ledesma tres rebeldes , y que el comandante del distrito de previene--el reglam ento , resultaron componerlas los señores si­ dirigido al Congreso sobre la palabra " q…</t>
  </si>
  <si>
    <t>e, Pues</t>
  </si>
  <si>
    <t>Pues e</t>
  </si>
  <si>
    <t>…aciones, que esta fue la nir sobre la capital: era reunirse los navarros á Cabrera y ve­ en efecto se pensó asi. Cabrera trataba de fiero que no se me dé pasaporte. palabra de S. S. Este es un cargo relativo ai Sr. Ministro de Pues esto cabalmente debe hacerse con los que no juren la Estado, que también puedo asegurar que tiene medios de con­ armar de 24 á ^0© hombres: no le faltaba mas que armas, pe­ ro tenia quien se las suministrase. El Gobierno necesitaba im ­ Constitución. * 1 testar; pero para que por el pronto se…</t>
  </si>
  <si>
    <t>e, PvODA</t>
  </si>
  <si>
    <t>PvODA e</t>
  </si>
  <si>
    <t>…de las otras que la rodean. Sin embargo, en el caya , y la c;o ri&gt;ion era de dictámen que debia aprobarse. han trascurrido desde que dirige la escena de la calle del acto segundo, que es el mejor, hay una escena altamente El Sr. PvODA expuso que la comisión cuaudo presentó este Príncipe, solo ha dado tres obras originales: No ganamos cómica: chispa despedida del gran talento de Scribe, que dictámen no habia recibido del Gobierno reclamación alguna; para sustos, E l sonde DK Julián, y Juan Dándolo, y es­ alumbra brevemente t…</t>
  </si>
  <si>
    <t>e, Qrsay. Pero</t>
  </si>
  <si>
    <t>Qrsay. Pero e</t>
  </si>
  <si>
    <t>…biendo entenderse ellos la han acogido. Parece, según dicen, que el autor de esta portes y salvos conductos. Mas de 10 pasaportes se han dado todo esto por ahora y hasta que por una ley se arregle de­ sorpresa ha sido el conde de Qrsay. Pero este señor se ha apre­ igualmente en Bayona á refugiados que hacian parte de las finitivamente la organización del oficio de escribanos y surado á desmentir esta falsa aserción en el Morning-Post. hordas dal Pretendiente. (Id.) notarios. Lo que de órden de S. M. digo á V. S. para los A…</t>
  </si>
  <si>
    <t>e, Que</t>
  </si>
  <si>
    <t>Que e</t>
  </si>
  <si>
    <t>…ué? para una ces naturales á esos individuos , y apelo á la cita de consultas pertenecer á uno de ellos. necesidad perentoria , para acabar la guerra , para conseguir con que han sido adornados los discursos del Sr. Ministro de Que en cuanto á la carta del general Espartero á que se ha esa terminación tan deseada, y hé aqui donde aparece la mejor Gracia y Justicia , apelo á sus palabras ; se consultó al tribunal referido el Sr. Alvaro en el expediente que obra en la secretaría defensa del Gabinete; una razón que convence b…</t>
  </si>
  <si>
    <t>e, Quesada. No</t>
  </si>
  <si>
    <t>Quesada. No e</t>
  </si>
  <si>
    <t>…s servicios y muerte siempre constará que deben ser atendidos los méritos de los dos de los pagos em los empréstitos y obligaciones. - desastrosa del teniente general D. Rafael Cebados Escaleraf ge­ hijos del desgraciado general Quesada. No es este solo ejemplar, estasHay causas, unas, que son perpetuas, y otras accidentales; están al alcance del Congreso. Yo estoy acorde en que para neral en gefe interino del ejército de operaciones del Norte, se pues en las Cortes de Cádiz se hicieron muchos ¿fie esta $$§&gt;pcie. señala…</t>
  </si>
  <si>
    <t>e, QUIJANA</t>
  </si>
  <si>
    <t>QUIJANA e</t>
  </si>
  <si>
    <t>…en que por desgraciad por el cual ha tenido á bien S. M. nombrar Senador por la pro­ Se leyó el 6.° crédito ha llegado á un extremo inconcebible. No soy yo de los vincia de Orense al Sr. D. Gregorio Sana de Viilavieja, en El Sr. QUIJANA es de parecer que lo que se propone en que creen que se halla la nación en un estado de abyección y reemplazo del Sr. D. Gabriel José García. este artículo no es privativo de las Cortes, porque en su opi­ óiiseria que es consiguiente á la bajq de nuestros fondos; otras Se dió cuenta de que…</t>
  </si>
  <si>
    <t>e, Quinto</t>
  </si>
  <si>
    <t>Quinto e</t>
  </si>
  <si>
    <t>…las elecciones. que los habia m an dado ? Esto no consta ; y aunque dije el di£ El Sr. A Y A L A observó que la certificación de compare­ anterior que la coacción es m u y diíicil de p ro b ar, no por esc cencia leida por el Sr. Quinto era del mismo que compareció. deja de tener pruebas. A qu i se dice que fueron mandados cor Liceo artístico y literario . El Sr. C O R T A Z A R reprodujo los argumentos dei Sr. A y a - el objeto de in ílu ir eo las elecciones; pero no se prueba que esc la , añadiendo que no¿hacia honor al p…</t>
  </si>
  <si>
    <t>e, Rafael Esteve. El Homero</t>
  </si>
  <si>
    <t>Rafael Esteve. El Homero e</t>
  </si>
  <si>
    <t>…en nuestro patriotismo y en los sen­ brada recientemente en Paris, se ha presentado una estampa de rio de la literatura. timientos de nuestro corazón los medios de evitarle. El juicio nuestro compatriota el excelen te grabador D. Rafael Esteve. El Homero es incom parablem ente el poeta latino en todo solemne de Mr. Royer-Collard es de mucha importancia: su Diario de los Debates, perioMico que con tanta inteligencia lo relativo á la com posición del poem a y á los adornos Voz, que es la de la razón y de la ju sticia , hallará…</t>
  </si>
  <si>
    <t>e, Rafael Maroto. Fiel</t>
  </si>
  <si>
    <t>Rafael Maroto. Fiel e</t>
  </si>
  <si>
    <t>…do: ansiaba por que su provincia no i su patria han prestado los generales duque de la Victoria y esta sincera expresión de los sentimientos que animan á la dip u ­ fuera por mas tiempo el teatro de esta guerra fratricida. Con D. Rafael Maroto. Fiel expresión de los sentimientos de la n a - tación provincial de Sevilla. Dios guarde muchos años la im ­ la toma de aquellos fuertes, con las medidas adoptadas por el :io n , el tratado de Vergara abre, Señora, la era de paz y de portante vida de V. M. para bien de los españoles.…</t>
  </si>
  <si>
    <t>e, Ramírez de Arellano</t>
  </si>
  <si>
    <t>Ramírez de Arellano e</t>
  </si>
  <si>
    <t>…el dictámen , fue aprobado ; y dice asi; Hechos estos acuerdos, y consentidos en este p u n to , vino el se habia recibido declaración , y hoy es declaración indagato­ La comisión encargada de examinar las proposiciones pre­ Sr. Ramírez de Arellano en 16 de Abril , corno he dicho ; vino ria. La comisión no quiere saber cuál sean los méritos para ello, sentadas por el Sr. Muro , relativas á las reformas que S. S, juz­ la nueva solicitud, pidiendo se le admitiese á jurar y tomar i pero está persuadida de que se ha recibido es…</t>
  </si>
  <si>
    <t>e, Ramón</t>
  </si>
  <si>
    <t>Ramón e</t>
  </si>
  <si>
    <t>…fensa que le encargue un reo cienda , por la cual ha tenido á bien S. M. nombrar para que empezar á coger esos frutos habian de pasar muchos años, por­ en virtud de lo que se dispone en este artículo, y al efecto se desempeñe D. Ramón en comisión la contaduría general de Distribución^ Santillan, gefe de sección del mismo ministerio, en que las circunstancias no son las mas á propósito para que el le notificaria para que nombrase otro. Gobierno y los cuerpos colegisladores puedan plantear esos esta­ Después de unas liger…</t>
  </si>
  <si>
    <t>e, Ramón de Lizarzaburu</t>
  </si>
  <si>
    <t>Ramón de Lizarzaburu e</t>
  </si>
  <si>
    <t>…ande, vecino y del comercio que fue 5.° En el mismo dia 6 , hora de las nueve y media, cele­ del Real sitio de A ranjuez, en los cuales se ha mandado por el brar una solemne función de iglesia, en la de San Bartolomé Sr. juez D. Ramón de Lizarzaburu en providencia de 28 de Se­</t>
  </si>
  <si>
    <t>…üeña N uestra Sra. de las A ngustias, 4 rs. esperanza es precisamente el principal móvil con que se han es­ fue del Real sitio de A ranjuez, en los cuales se ha mandado Nuestra Sra. del Sagrario , 4 rs. crito. por el Sr. juez D. Ramón de Lizarzaburu en providencia de 24 La Santa C ruz.y San M ig u el: cada una 4 rs. del actual citar y emplazar á todos los acreedores á los bienes Se hallará de venta en Valladolid en las librerías de R odrí­ Retrato del Rey D . Cárlos iv , por B ru n e ti, 8 rs. guez y Bassó á 8 r s ., y á 1…</t>
  </si>
  <si>
    <t>e, Ramón de Llano</t>
  </si>
  <si>
    <t>Ramón de Llano e</t>
  </si>
  <si>
    <t>…ociable de 5 por 100 á papel, 00. señalado para nueva junta de acreedores á los bienes del ab in- de la Mosquitera, y los cuatro últimos en Cabriles; todo en Idem sin interés, nueva* al contado: 6 í 60 d. f . ó yol. testato de D. Ramón de Llano el domingo 15 del corriente términos de Arenas de Siero, formando las ocho la prolonga­ á prima de * por 100 nuevas. mes y hora de las doce de su mañana en la audiencia de S. S., r o n meridional de las concesiones de Aguado y compañía. Acciones del banco español do Se* Fernando, 00.…</t>
  </si>
  <si>
    <t>e, Ramón Hernández</t>
  </si>
  <si>
    <t>Ramón Hernández e</t>
  </si>
  <si>
    <t>…, estará abierto el dos por la plaza el día 28 del pasado. El contra-alm irante me alistamiento en las casas consistoriales de esta c iu d a d , donde contestó á las seis de la tarde del dia de ayer con arrogancia, ñor coronel D. Ramón Hernández el gefe de mayor graduación habrá una comisión del ayuntam iento nombrada al efecto. que el Gobierno mejicano habia cometido una gran falta de­ y antigüedad en esta parte del ejército, se ha encargado del Valencianos: al anunciaros la formación de este cuerpo clarando la guerra á la…</t>
  </si>
  <si>
    <t>e, Regino Proales</t>
  </si>
  <si>
    <t>Regino Proales e</t>
  </si>
  <si>
    <t>…id. id. t S. Pedro en Gracia , por D . José Prats ción á todas las horas del dia 40 periódicos, de M a d r id , de las titucionai D. Tomas Fernandez Vallejo por el promotor B asco , en 5. provincias y del extrangero. fiscal D. Regino Proales en concepto de sediciosos los párrafos Otra i d . , cuesta Colorada , por bajo de la liaza de D. Fran­ contenidos en el artículo de fo n d o , y en el comprendido bajo el cisco , termino de Dalias , fábrica la Abana , por D . Felipe V i ­ epígrafe Tenazazos del periódico titulado EL…</t>
  </si>
  <si>
    <t>e, Relaciones</t>
  </si>
  <si>
    <t>Relaciones e</t>
  </si>
  <si>
    <t>…y el carácter de la negociación, no permitían que ésta cas horas de todos los antecedentes de la negociación decidieron se concluyese sino por bases generales. Convencido de todo esto,, Continúa la exposición del ex-Ministro de Relaciones ex­ domelo al presidente y al resto del ministerio á nombrarme; y habién­ y de las ventajas de ceder sin reserva en el punto indicado, con­ tcriores Don Luis Gonzaga Cuevas , sobre las diferen~ me á prestar hecho saber, me dijo igualmente que no debia resistir­ vine desde luego en que el…</t>
  </si>
  <si>
    <t>…bía leído en un periódico americano ( e l Diario d e l Gobier­ esa p ro vin c ia , se procederá á la seg un d a, cuyas operacio­ que olvidando su origen , ha osado decir que los irlandeses eran no) cierto discurso del ministro de Relaciones exteriores, en el nes han de quedar necesariam ente concluidas et cha 20 extrangeros. cual se comprometía forma ¡mente á hacer que acompañase á las del propio mes de A gosto, conform e á lo p reven id o en el Después habríamos tenido por presidente de la Cámara á ratificaciones una protes…</t>
  </si>
  <si>
    <t>…ación uo dejaba esperanza de un arreglo MEJICO. satisfactorio. da , continúan en esta corte sin novedad en su importante El ministerio habia sostenido, es verdad, que la República «alud. Concluye la exposición del ex Ministro de Relaciones ex - no era responsable de las pérdidas causadas por la guerra civil, teriores D. Luis Gonzága Cuevas , sobre las diferencias y que e.taba conforme con los principios que habían profesado S. M. la Reina Gobernadora se ha servido trasladar á Don entre Méjico y Francia . en este punto la…</t>
  </si>
  <si>
    <t>…, que se PARTE OFICIAL. tad , comercio y navegación con aquella república, logró veri­ sujetará á vuestra aprobación, por las razones que os expon­ ficarlo, y concluyó el tratado que el ministro de Relaciones drá el ministro de Relaciones exteriores. Igualmente recibirá exteriores os presentará. vuestra sanción el reglamento de visitadores para los conven­ S. M. la R e in a , su augusta Madre la R e in a G o b e rn a ­ En cumplimiento del decreto legislativo de 11 de Febrero tos de la República» de 1 8 3 7 , propuse á…</t>
  </si>
  <si>
    <t>…, nom­ respondientes. lució n, y están ademas bien explicados en la respuesta que dió brando para reemplazarle interinamente y en los mismos tér­ Dios y libertad. Méjico y Enero 2 5 de 1859.=P. de Lebrija. entonces el ministro de Relaciones exteriores al encargado de minos que obtenía dichos mandos al mariscal de campo Don negocios de Francia. La misión del plenipotenciario francés, y A g u stín N o g u e ras, y ha dispuesto al propio tiempo que se la negociación que prornovia, eran de m uy diferente natu ra­ forme consej…</t>
  </si>
  <si>
    <t>…ue anunciar con fran- ^ Las demas cartas de Trieste anuncian que la escuadra rusa que las medidas adoptadas por el Gobierno de Francia ha partido de Sebastopol, tomando la dirección del Sudeste. Se Exposición del ex-Ministro de Relaciones exteriores Don |ueza :ran las menos propias para conciliar los intereses de los dos deduce de esta noticia , que merece confirmación , que la Rusia Luis Gonzaga Cuevas , sobre las diferencias entre M é­ países. quiere aproximarse al teatro de los acontecimientos que se pre­ jico y Franc…</t>
  </si>
  <si>
    <t>e, Rentas</t>
  </si>
  <si>
    <t>Rentas e</t>
  </si>
  <si>
    <t>…enie­ to. Dios guarde a V. S. muchos años. M adrid 24 de Mar- giéndose al indulto y victoreando á la vista del pueblo el sa­ ro que no podia facilitarle las herramientas con que contaba Zo de 1839.==Pita.=-Sr. director general de Rentas estan­ grado las nombre de Isabel 11 y manifestando deseos de borrar con por haberse destinado á otro objeto. armas en la mano en defensa de la causa nacional la falta En consecuencia, y de acuerdo con él , asi cotno con el vi­ cadas. sitador de presidios D. Manuel Montesinos, he dispuesto…</t>
  </si>
  <si>
    <t>…ndo /bbtóW&gt; sui;p átérité’éo’% ; i 7 0 5 ? f M F ' M á g c f í é estas, por su total en $J papel designado en la regla 6 .a de esfuerza oó qá'é e^a -és la müdate^máqúWa ‘t(üe7 la pro­ las comunicadas por lá Dirección general de Rentas en 9 de puesta por Papin 15 años antes solo porque ,hay con.deqsa.cioa ne -prevención de que el expediente estará de al autor un grado^en la m arin a, le hizo un presente de 2 0 0 ,0 0 0 dei vapor por el fri^V'’pW d'# ;mé;tbcífct,d é 7Né^Ó¿oeÜ; : íara ob- ^ *|?W r de t#i cargo para instrucc…</t>
  </si>
  <si>
    <t>…presupuestos de España. Ya se deja conocer el Ínteres R surrección, y que por todo ello mereció de la munificencia de sumo de este apreciable trabajo, en que se propone llamar la S. M. se le recomendase á la dirección general de Rentas en 8 de E n el anuncio inserto en la Gaceta de ayer á la obra titu ­ atención de los cuerpos colegisladores hacia tan importante Junio para ser colocado, lo que no ha tenido efecto; y en su lada ideas napoleónicas se omitió indicar las librerías adonde materia, su estimable au to r, que manif…</t>
  </si>
  <si>
    <t>…­ si a quien de este agravio cu lp o apoderado del licenciado D. Ambrosio Yañiz y Asensio, abo­ le señalara á tus ojos nes ó modificaciones que cada uno de sus artículos ha sufrido gado de los tribunales nacionales y fiscal de Rentas en la ciu­ hasta el dia por los decretos de las Cortes y Reales órdenes m en os, señ or, que difunto.'* dad de Cuenca, el artículo inserto en el mira. 928 del periódico posteriores á la publicación de aquel. titulado El Mundo, que principia: "Personas díscolas y mal Este trabajo, que desdé…</t>
  </si>
  <si>
    <t>…M atías de Ceballos Escalera , hermano del cimientos rem itirán por el correo mas inmediato á la dirección verifique le parará el perjuicio que haya lugar. Excrao. Sr. teniente general D . Rafael de Ceballos Escalera, general de Rentas estancadas, certificaciones expresivas de las de un articulo inserto en el periódico titulado el Castellano, entregas con referencia á los recibos que debe dar el contratista núm . 5 1 6 , del miércoles 4 de dicho mes y a ñ o , que principia ó sus apoderados. " E l crimen nunca prescribe,” y…</t>
  </si>
  <si>
    <t>…20 dias, contados desde el en que se! cimientos remitirán por e! correo mas inmediato á la dirección Encargamos á V. S. que teniendo presente cuánto se anuncie en la Gaceta del Gobierno , á todos los que se crean con general de Rentas estancadas, certificaciones expresivas de las interesa el servicio público en el exacto cumplimiento de derecho á los bienes quedados por fallecimiento de Doña Cata­ entregas con referencia á los recibos que debe dar el contratista estas prevenciones, estará muy á la mira de que se lleven l…</t>
  </si>
  <si>
    <t>…ocial; rable el orden y para impedir se repitan en la República trastornos que concluirían por proscribir de la suadido, con una buena fe que podria llamarse candorosa , de civilización el nombre oriental. Dirección general de Rentas estancadas . que la joven República estaba ya sobradamente sazonada para E n consecuencia, á nombre de la gran asociación política la práctica de esas instituciones. Por Real orden de 28 de Enero último se ha servido resol­ M uy pronto sorprendí los insidiosos manejos de un gefe m i­ que la…</t>
  </si>
  <si>
    <t>…ine, á Mr. Fulchiron, El capitán bajá ha vuelto á salir de los Dardauelos : des­ individuo pués de haber desempeñado su encargo ha pasado á Gemlik Montmorency. de la Cámara de D iputados, y á la duquesa de Dirección general de Rentas estancadas. para pasar revista á un navio de línea que debe ser votado al {Id.) agua: se le espera en la capital dentro de pocos dias. Por Real orden de 28 de Enero último se ha servido resol­ {Gacette d' Augsbourg.) Una carta de Florencia anuncia la muerte de la princesa ver S. M. que se s…</t>
  </si>
  <si>
    <t>e, Robles</t>
  </si>
  <si>
    <t>Robles e</t>
  </si>
  <si>
    <t>…véa­ director del establecimiento, conociéndose por sus prontas y j a d a de una tercera parte lo raeuos. {Debáis.) se lo que ha sucedido: durante seis meses de combates , de pri­ acertadas contestaciones el celo y esmero del Sr. Robles en la vaciones, de peligros y de todo género de pruebas, la Criolla enseñanza de este ram o, base fundamental de la educación. ho ha tenido á su bordo ni un enfermo; tan inteligente y ac­ Los mismos buenos resultados se tocaron en las clases de lec­ Escriben de Roma con fecha 16 de Febrero…</t>
  </si>
  <si>
    <t>e, Roda. Inscripciones</t>
  </si>
  <si>
    <t>Roda. Inscripciones e</t>
  </si>
  <si>
    <t>…ziseisavos, f , nueve 1 .° La cita. perderm e. dieziseisavos, £ , 2 l£ y 2 i á v. f.6 vol. y firme: 2 l£ y 2 1 § á 2.° La escala. v. f. ó vo!. á prima de i por 100 con cupones. 3.° Muerta para el mundo. César. 4.0 El obispo de Roda. Inscripciones en el gran libro á 4 por 100 , 00. Todo se olvida. Títulos al portador del ¿y por 100, 00. 5.° Una orjia. Vales Reales no consolidados, 00. 6.° La campana de Huesca. Sirena. Deuda negociable de 5 por 100 á pap el, 00. 7.° La confesión. Idem sin interés, 5 | á 60 d. f. ó vo!.…</t>
  </si>
  <si>
    <t>e, Roden</t>
  </si>
  <si>
    <t>Roden e</t>
  </si>
  <si>
    <t>…la. El mismo sistema be seguido con respecto á las sociedades todos los que se hallan en la América del N orte se completen. sente al Rey que 110 podía tomar una determinación deílniliv; orang istas; pero yo creo que el conde de Roden es m iem bro de E n 1S 57 y 58 se ha hecho en los cuadros una deducción de hasta haberse explicado con los individuos de mas iníluencia de una de estas logias. 181,000 hombres de reserva. El año anterior se redujo este n ú ­ centro izquierdo. 5) La sociedad del Precursor es una asociación p…</t>
  </si>
  <si>
    <t>e, Rodrigo</t>
  </si>
  <si>
    <t>Rodrigo e</t>
  </si>
  <si>
    <t>…y recorrió después de haber empezado la tra­ Jprovincia de la Mancha , y cuando el ejército francés se retiró e E«paña ea 1814* viao ¿ Francia siguiendo i un oficial del Antigüedades.rzCruz principal que llevó el arzobispo Don Rodrigo en la batalla de las Navas. ducción en España , las felices regiones de R om a, Ñapóles y Otras , para observar atentamente los inapreciables residuos de estado mayor frasees, con quien se había casado en Toledo. Por Costumbres.=El espíritu de asociación. Por el Curioso P ar­ la antigüedad…</t>
  </si>
  <si>
    <t>e, Rom</t>
  </si>
  <si>
    <t>Rom e</t>
  </si>
  <si>
    <t>…s compañías de de Avisos de M adrid. A M A N T E , comedia n u ev a, o rig in a l, en tres actos y en va­ preferencia. Celebrado el oficio de difuntos , en el que pronun­ riedad de metros. ciará la oración fúnebre el Sr. canónigo Rom ea, y hechos los 2.° Pas-de-deux in d io , obligado de a rp a , por la Sra. Diez honores de la clase de capitán general, ias tropas de la guarn i­ Gran rem esa ademas d e la anterior anunciada . , recibida d el y el Sr. Casas. ción y la benemérita M ilicia que se hallarán formadas durante 5.° Si…</t>
  </si>
  <si>
    <t>e, Romero</t>
  </si>
  <si>
    <t>Romero e</t>
  </si>
  <si>
    <t>…h , atacó á M a n lle u , c u y o p unto miento del Excmo. Sr. presidente tan plausible iuceso. puede menos de lla m a r la atención q u e , estando debajo del hace interesante su situació n sobre el T e r . El mismo Sr. coronel Romero en postdata de la m ism a nota h u n d im ie n to de la bóveda del e d if ic io , no se h a y a dado con el M a n lle u , dice , ten ia un recinto exterio r débil y extenso , y me a g r e g a lo que ig u a lm e n te trascribo. trouco ; lo que indu ce á creer que estos fragm entos y los qu e u…</t>
  </si>
  <si>
    <t>e, Rosas</t>
  </si>
  <si>
    <t>Rosas e</t>
  </si>
  <si>
    <t>…, Tolosa y Provenza, y sin de Francia , reducida ya a un mero nombre. mas completa tranquilidad. embargo eran barones de la corona de Francia. Tampo­ La caida de los Carlovingios y la elevación de los Ca- Se dice que el general Rosas espera sacar felices frutos de co es argumento suficiente la expresión que cita el señor petos, disminuyó aun y extinguió al fin el corto prestigio la misión de Moreno a Inglaterra , ó mas bien que aparenta Bofarull de algunas ventas de tierras por ios años 938 y de la autoridad Real en Catal…</t>
  </si>
  <si>
    <t>e, Roussin</t>
  </si>
  <si>
    <t>Roussin e</t>
  </si>
  <si>
    <t>…bio radical de sistema, se prosigue la aplicación del tratado de y una nueva víctima aumentaría la lista de las víctimas Reales dice que hácia Alepo se concentran fuerzas considerables. Han comercio. Hoy es cuando el almirante Roussin expide la tarifa corrido voces de que ha habido un sério encuentro entre el ejército sacrificadas y a á la ambición de un partido. [Aplausos.) Peel y francesa al ministerio de Negocios extrangeros. W elliugto n estarían inocentes del crimen ; pero no podriau im ­ egipcio y algunas tribus d…</t>
  </si>
  <si>
    <t>…res­ siguiente de 6 de M ayo es un firman de amnistía solicitado cho desechar desde el principio el sistema que le sirve de base, cribírsela , pues la naturaleza de las cosas se opone á e llo , sino por la humanidad del almirante Roussin en favor d é las perso­ parecen haber impedido hasta ahora su ejecución, de modo porque por la parte que tiene en ella , á él corresponde v ig ila r ­ nas que pudieran haberse comprometido en la A natolia á con­ que serian probablemente necesarias nuevas negociaciones, y que secuencia de la…</t>
  </si>
  <si>
    <t>e, Ruiz RUSIA.</t>
  </si>
  <si>
    <t>Ruiz RUSIA. e</t>
  </si>
  <si>
    <t>…p e cífica , hecha por el Sr. marques de Falces, y asimismo fue­ ron aprobados los artículos desde el 88 al 94 inclusive. El Sr. GOMEZ BECERRA hace ver que lejos de ser asi Pasó á la comisión una enmienda al proyecto, del Sr. Ruiz RUSIA. está limitada solo á los casos de ceremonia, puesto que en la en­ de la Yega. mienda se dice que será Presidente aquel que lo sea en propie­ El Sr. PRESIDENTE levantó la sesión á las cuatro, anun­ S. P etershurgo 9 d e O ctubre . dad en el salón donde se celebre la ceremonia. ciando e…</t>
  </si>
  <si>
    <t>e, Rusia. El</t>
  </si>
  <si>
    <t>Rusia. El e</t>
  </si>
  <si>
    <t>…e le ha asegurado ea los términos mas fo raia’es de los sentimien­ P r u s ia , residente en E gip to , continúa encomendada al conde tos de su viva amistad á la nación francesa. El gran v isir, H alil— M edem , cónsul general de Rusia. El encargado del consulado bajá y R e s c h id - b a já , asi como el primer intérprete del d iv an , F R A N C IA . de Prlisia recibe del conde de Medem (a correspondencia y a es­ se hallaban presentes en esta audiencia. crita en lengua francesa , y se lim ita á expedirla. Si el Gobier­ El m…</t>
  </si>
  <si>
    <t>e, Ródano</t>
  </si>
  <si>
    <t>Ródano e</t>
  </si>
  <si>
    <t>…. En vista de una reclamación de varios electores contra las en la sesión de 2 0 de J u n io de 1857 , dijo que era claro que se Se dió cuenta de un oíicio remitido por el Sr. Presidente elecciones de Pontevedra , anunció el Sr. Ródano en nombre de habia de tener entendido que ninguno de los que ejerciese^ del Consejo de Ministros acompañando el convenio celebrado la comisión que esta retiraba el dictamen presentado. cargo por una provincia podrían ser nombrados Diputados entre el capitán general D. Baldomero Espartero y el…</t>
  </si>
  <si>
    <t>e, Sabater</t>
  </si>
  <si>
    <t>Sabater e</t>
  </si>
  <si>
    <t>…importante su l e c tu r a , especialmente creemos sí que la superioridad de efectos se debe principalmen­ al teatro de V ega y de Guillen de Castro. El drama heroico de :n las actuales circunstancias. te á que el drama del Sr. Sabater es en el fondo la historia de D. Pedro Sabater debe ser comprendido en tan bello catálogo, Castilla del siglo xiv ; á que nos recuerda hechos y costumbres y marca ademas un género nuevo, una ruta y camino que se­ LA ESPERANZA, gloriosas de nuestra p atria, y sobre todo á que D. Enrique el…</t>
  </si>
  <si>
    <t>e, Saint-G</t>
  </si>
  <si>
    <t>Saint-G e</t>
  </si>
  <si>
    <t>…su heroísmo. Empeñados en combates parciales encontrado otra cargada sobre la chimenea. los cuales mató u n o , logrando fugarse el o tr o , pero dejando y de desigual fuerza dieron muerte á varios facciosos. También El cura de Saint-G erm ain-des-Prés ha tenido algunas d i ­ ambos su armamento en nuestro poder. (Diario M ercantil.) se batieron bizarramente los cabos Lucas Simarro y Joaquín ficultades para recibir el cuerpo de M r. Desurleau. Los regla­ Molleras, del mismo cuerpo, saliendo este herido y muerto su mentos…</t>
  </si>
  <si>
    <t>e, Salas</t>
  </si>
  <si>
    <t>Salas e</t>
  </si>
  <si>
    <t>…do coro del Ivanhoe de Pacini por casi toda la sección representaciones se han visto coronadas por el mas lisonjero éxi­ putación que puede ser algún dia brillante. El Sr. Cortés es ins­ de música; la señora de Bonaplatá y el Sr. Salas ejecutaron un to. El teatro de la C ruz, ahora exclusivamente destinado á la tru id o ; el Sr. Cortés es estudioso; si como ha comenzado sigue dúo del Turco en Italia con la mayor perfección: dicha seño­ ópera , inauguró el año cómico el domingo último con la Stra­ en adelante, no tendrá que t…</t>
  </si>
  <si>
    <t>…as, entre otras E l conde ha dejado en los dillettanti de la capital. En fin, deseamos edá el lomienzo del Evangelio de San J u a n : In principio eral D . J u liá n , primera producción de D. M guel A gustín P rínci­ que el Sr. Salas esté pronto de vuelta; que no nos prive m u ­ Verhum. One es cuanto hemos podido leer en el Alcázar ju n ­ p e , poeta de Zaragoza, en donde consiguió su drama el éxitc cho tiew/po del placer de adm irarle, y que al mismo tiempo tamente con el friso citado de la portada , por estar lo demas…</t>
  </si>
  <si>
    <t>e, Saldier</t>
  </si>
  <si>
    <t>Saldier e</t>
  </si>
  <si>
    <t>…de su legitimo Soberano, •ffendi al almirante Roussín de que Hafiz-bajá había recibido ha téoido la osadía de negar el paso á las tropas de una Poten­ calidad de embajadorbiencerca en la A rabia, antes en I8 í9 envió al coronel Saldier en orden de retirarse no ha sido confirmada. Parece que el miois* cia que mantiene las mas estrechas relaciones de amistad con la por tierra á ja destrucción de de los Ibrahim para que cooperara piratas wahabitas en las cos­ tro se ha limitado á decir que se expediría la orden; pero hast…</t>
  </si>
  <si>
    <t>e, Saldoni</t>
  </si>
  <si>
    <t>Saldoni e</t>
  </si>
  <si>
    <t>…entan también otros Diputados que han visto mi sangre .der­ ramada por las bayonetas de los realistas; he sufrido persecu­ MADRID 1 7 DE OCTUBRE. Creemos qúe antes de dos meses verá la luz pública esta nueva composición del Sr. Saldoni en algún teatro de Espa­ ciones, y en medio de mis compromisos y padecimientos he ña , y no dudamos, en vista de estos antecedentes, que recogerá descendido á los calabozos para aliviar la suerte de los que es­ A yer se ha publicado en esta corte un folleto que en las nuevos y abundantes apl…</t>
  </si>
  <si>
    <t>e, Sancho</t>
  </si>
  <si>
    <t>Sancho e</t>
  </si>
  <si>
    <t>…estaba m uy recono­ da para que vean los Sres. .Diputados que no se pide sino una una mentira. cida á las últimas palabras del discurso del Sr. Iñigo ; que lejos cosa de la mayor equidad {se leyó). Yo reclamo lo mismo que el Sr. Sancho en favor de las pro­ de haber sido empalagoso habia probado su celo por una clase Creo que lo que queremos es una cosa evidentemente justa, vincias de la corona de Aragón, en donde habiendo perdido lo­ á que pertenecía; pero que no habiendo impugnado el dictamen, y téngase presente al votar…</t>
  </si>
  <si>
    <t>…por d e sg ra c ia v a v ien d o y e r a n e vitad o para e v i t a r a » á m í la necesidad de contestarlos: do ab so lu to : lo d ijo refiriéndose á la m anifestación q u e , como pero de todos modos p rocuraré se g u ir al Sr. Sancho en el o r­ que se d a n pasos que no pueden p ro d u c ir los mejores re su lta d o s, ó rgano del Gobiern o, h a b ia y o tenido el honor de h acer. Y o á pesar de nuestros deseos. den de su d is c u rs o ; siempre ha sido mi sistema contestar como tarabieo me refiero á lo mismo. Pero el S…</t>
  </si>
  <si>
    <t>…suministrado algunos Sres. Dipu­ Pero aquí empiezan por lo mismo los com prom isos del G o ­ afectado al Gobierno: á esos temores de que la Constitución tados. quede lastimada, desatendida, abolida casi por el proyecto. E l Sr. Sancho en su discurso del dia anterior dijo que la bierno. L o s c o m p r o m is o s , d i g o , no los cálculos. ¿ Y cómo sa­ Antes de esto me haré cargo de otro medio de ataque ú opo­ Constitución y los fueros eran hijos de una misma madre, y tisfacerlos del modo que mas conduzca á su idea dom…</t>
  </si>
  <si>
    <t>e, SANCHO</t>
  </si>
  <si>
    <t>SANCHO e</t>
  </si>
  <si>
    <t>…y cuen­ intervención al consejo de C a stilla , quien nombró tres conse­ Sancho y Arguelles. t a , señores, que una ley qué tiene tres ventajas y a merece la { jeros con presencia del procurador general de reinos para este El Sr. SANCHO ertpuso que para él inam ovilidad era lo consideración del Congreso , y es de notar que una de las q u e; objeto. Asimismo no es nueva tampoco la votación de los fon­ mismo que responsabilidad, y no enteudia que hubiese en el el Sr. Borrego apetece para que se restablezca el crédito en esta f…</t>
  </si>
  <si>
    <t>…ntes y do el Congreso, y hecho los nombramientos de Presidente, magistrados de las audiencias les sucede ig u a l caso: esto dijo el Gras. Vicepresidente y Secretarios. Sexta sección. Sres. M estre, Fuente Tierrero, Olózaga, Sr. Sancho en la sesión que he señalado. Se acordó pasase á la comisión de Actas un oficio del señor Aquino A m a t , Z u m a L c a r r e g u i, Perez de R i v a s , A y llo n , C a ­ A s i , señores , las Cortes aprobaron el art. 57 con estas se­ R e i g , en que expone que, habiendo sido nombrado Sen…</t>
  </si>
  <si>
    <t>…rió á la u n a , y leída el acta de la an terio r, quedó circunstancias en que el Sr. Conde me ha dado el pan. Cerca dirección por m ayoría absoluta. J aprobada. de dos años he acudido á su generosidad en mi pobreza; y he El Sr. SANCHO expuso que aun con esta redacción no Se acordó pasase á las secciones un oficio del juez de p ri­ hallado en el un caballero, un patriota, un amigo , y sobre to­ podía aprobar el artícu lo , porque la moral pública se oponía á mera instancia de M álaga, acompañando testimonio, por el do un…</t>
  </si>
  <si>
    <t>…tículos que dije. El decreto que ha citado e! Sr. Cortina tie­ rídico civil común. le abandonaría y recurriría á lo que el Sr. Cortina ha dicho ne 58 ; pero este es el que marca los delitos y penas: el que yo Convengo con el Sr. Sancho en que el art. 4 I da inviolabi­ que no queria r e c u r r ir ; esto es, á inflamar los ánimos, á incen­ he indicado, y es aplicable á este caso , es el que designa el pro­ lidad al Diputado en el ejercicio de sus funciones , y convengo diarlos. cedimiento judicial. Por consiguiente es una…</t>
  </si>
  <si>
    <t>…ia español será procesado dito por el tiri banal competente.*1 mez Acebo mas bien es sobre el proyecto ea su totalidad que so­ tan al alcance de todos., asi también se justifican los esta­ "■ El tribunal competente para, el Sr. Sancho ese! tribunal or­ bee el art ico lo que * discute. Ha padecido no,a equivocación, dinario, y ha dicho que esto quiere de.ci.ir la palabra com peten- cuando ha dicho qoe la comisión creía haber inventado una dos de sitio por tas mismas razones. Porque no todas las Jte\ porque es necesario qu…</t>
  </si>
  <si>
    <t>e, Santos de la PARTE OFICIAL.</t>
  </si>
  <si>
    <t>Santos de la PARTE OFICIAL. e</t>
  </si>
  <si>
    <t>N.° 1807. LUNES 21 DE OCTUBRE DE 1839. d ie z cuartos. zampeados en los estribos y seis pies de fábrica de uno de nador por dicha provincia el teniente general D. Santos de la PARTE OFICIAL. ellos sobre la losa de elección. Hera. ( 6) Este puente está sobre el rio Pum aravule: su arco A petición del Sr. Gómez Becerra quedo sobre la mesa un escarzano, y tiene construidos los estribos hasta los arranques. dictamen de la comisión de Actas acerca de las segund…</t>
  </si>
  <si>
    <t>e, Sckrzynecki</t>
  </si>
  <si>
    <t>Sckrzynecki e</t>
  </si>
  <si>
    <t>…vo al rompimiento de ciones ni aun para los individuos. Todos los poderes se hacén las relaciones eutre A ustria y la Bélgica , ocasionado por la ad­ tiránicos cuando no son respetadas las leyes. I d em 2 7 . misión del general Sckrzynecki en el ejército belga. Debemos á la mano protectora que de una manera particu­ Después que se sofocó la insurrección polaca, dice el perió­ lar ha dirigido los destinos de Ja Noruega , la mas iusta v fer* Esta mañana la facción de Forcadell ha invadido los pue­ viente gratitud. dico o…</t>
  </si>
  <si>
    <t>e, Sebastiaui</t>
  </si>
  <si>
    <t>Sebastiaui e</t>
  </si>
  <si>
    <t>…or la posibilidad el presentar los documentos que ha reclamado. L u is Felipe, Rey de los franceses: mañana la fonda Clarendon para trasladarse á Birmingham. El {¡Atención!) A todos &amp;c. mariscal comió el lunes en casa del general Sebastiaui en M an - Todo lo que puedo decir por a h o r a , es que estoy ín tim a­ Hemos decretado y decretamos lo siguiente : chester-Ilouse. ( M o m i n - I l e r a l d .) mente convencido de que el Gobierno de los Estados-Unidos no M r. P a r a n t , in dividuo de la C ám ara de D ip utados, es…</t>
  </si>
  <si>
    <t>e, Secretario Dado</t>
  </si>
  <si>
    <t>Secretario Dado e</t>
  </si>
  <si>
    <t>…usando de su pre- &lt;QS?Í0S S uarde á V - E* «nuchos años. Jaén 8 de M ayo de supremo el general D. Antonio López de Santana.’* ro gativ a, un ministerio efectivo y no provisional. 1839.= Excmo. Sr. = Francisco Muñoz. = Excmo. Sr. Secretario Dado en Méjico á 25 de Enero de l859.:rM eIchor Muzquiz, Desea igualmente que la Cámara co-isigne en esta petición del Despacho de la Gobernación de la Península. presiden te.rrCá ríos M aría de Bustamante.zrManuel de la Peña sus deseos de que la corona elija sus M inistros entre los hom­…</t>
  </si>
  <si>
    <t>e, Secretario de Estado</t>
  </si>
  <si>
    <t>Secretario de Estado e</t>
  </si>
  <si>
    <t>…stros, con partamento de lo In terio r, queda encargado interinamente dé r i d o , si el Gobierno ingles se negaba á decidir la cuestiou de una discusión prematura , en el caso de hacer declaraciones que las funciones de Ministro Secretario de Estado en el departa­ las frouteras con arreglo á las bases propuestas por el Gabinete mas tarde podrían embarazarlos, no podiendo ser presentadas mento de trabajos púb icos, de agricultu ra y de comercio, en de W a s h in g to n , para que pidiese sus pasaportes y se volviese todavía…</t>
  </si>
  <si>
    <t>…s del Perú cerca del Go­ Dios proteja á la Francia!!!! (Courrier de Bordeaux .) bierno del Ecuador se apresura á comunicar tan plausible no­ Idem 14. ticia al Gobierno de lia Nueva Granada por el respetable órgano de S. E. el Sr. Secretario de Estado en el D. Je Relaciones ex­ Ayer mañana pasaron á felicitar al Excmo. Sr. segundo tendí es, á quien tiene el honor de reiterar las protestas de dis­ Paris 11 de Julio. cabo de este ejército y principado D. Antonio Seoane la ofi­ tinguida consideración con que se repite su muy ate…</t>
  </si>
  <si>
    <t>e, Secretario de Estado y de Negocios</t>
  </si>
  <si>
    <t>Secretario de Estado y de Negocios e</t>
  </si>
  <si>
    <t>…beta francesa Criolla , mandada conde de Sa da B m d eira, presidente del Consejo de Ministros, sin duda de demostrar la importancia de la mocion que aca­ por el príncipe de Joinviile, distinguí el pabellón ingles {Union Ministro Secretario de Estado y de Negocios extrangeros, lo bo de someter á la Cámara, ni de decir el eco que debe tener Jack) que ondeaba eo el palo de mesa na de la Criolla , é inrne~ tendrá asi entendido y hará se ponga en ejecución. Dado en el' en Irlanda y en el Pieino-Unido. En cuanto á la ansiedad en…</t>
  </si>
  <si>
    <t>e, Secretario de Pielaciones</t>
  </si>
  <si>
    <t>Secretario de Pielaciones e</t>
  </si>
  <si>
    <t>…actos arbitrarios del poder, no conocerá otra restricción que cho de Relaciones exteriores.=Quito á 22 de Marzo de 1859.= tos y heridos á una columna rebelde de 4B0 hombres, que pa­ aquella que le imponga la ley. Al honorable Sr. Secretario de Pielaciones exteriores de la N ue­ saba á Alcanar desde Benicarló, habiendo hecho la plaza algu­ Todos los derechos serán por mí respetados , y las garantías va Granada.zrEn este momento que son las siete de la noche , he nos disparos al cruzar por sus inmediaciones. , preservadoras lo…</t>
  </si>
  <si>
    <t>e, Segorbe</t>
  </si>
  <si>
    <t>Segorbe e</t>
  </si>
  <si>
    <t>…gún nues­ y el Villar. jueces, calcadas sobre la misma Constitücion en sus ar­ tro modo de ver, todas esas enmiendas, aun suponiéndolas tículos 64 y 68. acertadas y buenas en sí m ism as, hubieran producido ma­ El gobernador de Segorbe en parte de ayer dice que V iscar- No es obra de poco una ley que .desenvuelva y abrace les de consideración echando por tierra el proyecto del ro continúa en la A lgim ia, y Forcadell en Onda. convenientem ente estos extrem os; y el Eco mism o, que la Gobierno. A las dos de la madrugada de…</t>
  </si>
  <si>
    <t>…stros lectores, le piden los tan fácilmente las emprenderá ahora con los restos que la han facciosos por rescate 600 capas para la caballería y duros. quedado, ni podrá proveer de ellos á los que guarnecen el Co­ El gobernador de Segorbe en parte de ayer dice que al re­ ( Eco de Aragón.) llado , y que tampoco se los proporcionarán aquellos pueblos su­ tirarse la partida de Vi ver de un reconocimiento que practicó midos en la miseria. ¡Q uiera la suerte que se repitan otras es­ sobre el convento de la C a rtu ja, cogió prisio…</t>
  </si>
  <si>
    <t>…ejércitos euem igos; mas por esto no se han olvida­ refuerzo de mil cazadores comunales. do las precauciones de "defensa de la otra parte de la frontera, Parece que el movimiento retrógado de que se habla ha si­ El gobernador de Segorbe en oficio de ayer dice que los ca­ no se ha dism inuido el efectivo del ejército , y todos los puen­ becillas Alberto y G arafulla , después de haber recorrido dos do combinado con la P r u sia , á consecuencia de m iras políticas tes, que se encontraban sobre la lín ea, han sido cortados.…</t>
  </si>
  <si>
    <t>e, Seijas</t>
  </si>
  <si>
    <t>Seijas e</t>
  </si>
  <si>
    <t>…n la noche de ayer co­ empezó á tratarse de Felipe v. muniqué á V. S. , por orden del Excmo. Sr. Presidente para co­ costó para establecer su libre comercio; y si aun después de m u ­ Priocipió contestando á lo dicho por el Sr. Seijas en la se­ cho tiempo tiene enemigos * ya puede considerarse si pasaría nocimiento de las augustas Cámaras y del Consejo de Ministros, sión anterior acerca de las faltas administrativas en que vió las noticias que se habían recibido de la aproximación del ene­ un lunar del reinado de Cárlos…</t>
  </si>
  <si>
    <t>e, Senado</t>
  </si>
  <si>
    <t>Senado e</t>
  </si>
  <si>
    <t>…sucesos de la vida de D’Alembert y de sus 4 -° Igualmente se leyó otro oficio del mismo Sr. Secretario del escritos. En este apéndice cita el Sr. González Alonso dos L A S O L TERONA, Despacho, remitiendo al Sr. Presidente del Senado ejemplares circunstancias de D’Alembert, á que da con razón la pre­ del ceremonial que S. M. se ha servido aprobar, y ha de ob­ ferencia justa que merecen. Aquel filósofo, por su benefi­ pieza en un acto, que tanto se aplaudió las pocas veces que se servarse el dia de la apertura de las Cor…</t>
  </si>
  <si>
    <t>e, Serapio</t>
  </si>
  <si>
    <t>Serapio e</t>
  </si>
  <si>
    <t>…astante L a dirección general de Caminos ha acordado sacar á públi­ pusiesen aquellos, anticipándose , si era posible, á su buen cum­ plimiento: unos y otras se hallan animados del mayor celo, y destreza en dejar al bueno de D. Serapio en excelente pa­ ca subasta por tiempo de tres años el arrendamiento de los facultativos intere ados en salvar su existeucia. raje para volver á anudar el hilo cuando le parezca. los pastos de varios terrenos correspondientes al canal de Man­ La heroica joven ha sufrido los cinco sitios qu…</t>
  </si>
  <si>
    <t>e, Serrano</t>
  </si>
  <si>
    <t>Serrano e</t>
  </si>
  <si>
    <t>…el valle de Utrillas al mando del Ejército de operaciones del Centro.^Segunda división.— plieguen mayor actividad y exaltación: y en tales casos E. M .— Sección 2 .a= Excmo. S r .: Según las órdenes de Y . E. acreditado coronel Serrano envolver su retirada , impuso al los Gobiernos no pueden menos de redoblar su celo y vi­ llegué el 25 del corriente á las ocho de la mañana á M a rtin en em igo , y á la carrera cedió otra posición m as, abandonando gilancia , á fin de asegurar con el mantenimiento del or­ del Rio para leva…</t>
  </si>
  <si>
    <t>…a de haber ingresado en la sexta sección el señor no podia y a servir para aquella vez, la fijó en la puerta de la analizar un asunto de tanta trascendencia. He hecho esta o b ­ Cevallos, el Sr. Elipe en la s é p tim a , y el Sr. Serrano en la iglesia y puso una neta diciendo: "que y a q u e no podia ser­ servación , porque asi como el dictámen de la comisión se ha primera. v ir para aquella vez, sirviese para lo sucesivo.” apoyado en estos documentos, también rae voy á ap o yar en Quedaron sobre la mesa dos dictámenes de la…</t>
  </si>
  <si>
    <t>e, Shaftesbury</t>
  </si>
  <si>
    <t>Shaftesbury e</t>
  </si>
  <si>
    <t>…ampo de Founzoue al E ste, po­ breve á ocupar su asiento, y dos m inutos después y á pro­ narias hecha á la Cámara por el Gobierno. (Aplausos.) demos contar trasladarnos en dos jornadas á tomar posiciones en puesta del conde de Shaftesbury el lord canciller señala la se­ IIi mza , en términos de dejar cubierta la provincia de C ons­ Sir H . H erney: Desearía que el noble lord nos dijese si sión inmediata para el dia siguiente. Reinaba una viva ansie­ hace ánimo de proponer á la Cájuara durante la presente legis­ tantino,…</t>
  </si>
  <si>
    <t>e, Shrzynecki</t>
  </si>
  <si>
    <t>Shrzynecki e</t>
  </si>
  <si>
    <t>…no á la Acciones de banco , 2642 , 50. Una carta particular de Bruselas asegura que las dificulta­ emancipación de los negros, sino á la falta de población. Deuda activa española, 2 0 |. des suscitadas por la admisión del general Shrzynecki en el ejército belga , están allanadas. Mr. O ’Sullivan de Grasse, ministro de Bélgica en Viena, Se lee en el Couricr: E l jardin de plantas acaba de enriquecerse con una tortuga y el conde Viíain xiv, agregado á la legación, han vuelto ya E! supremo tribunal de justicia de Edimburgo…</t>
  </si>
  <si>
    <t>e, Sio</t>
  </si>
  <si>
    <t>Sio e</t>
  </si>
  <si>
    <t>…stros, marchará inmediatamente en el barco de presentantes federales, y hasta que ha rehusado reconocerle. Sinagoga que han construido á sus expensas, siendo lo mas no­ vapor el Etna que llegó hace unos dias á Terapia. El conde Sio em bargo, por otras noticias sabemos que á consecuencia de table el estar coronada de una torre con un relox de muchas de Ludre despachará la embajada hasta que llegue Mr. de Pon- nuevas comunicaciones, el consejo de Estado ha consentido en cam panas, cosa que no existe en ninguna parte de Alem…</t>
  </si>
  <si>
    <t>e, Siria</t>
  </si>
  <si>
    <t>Siria e</t>
  </si>
  <si>
    <t>…scongadas le habían hecho hasta aqui mientos insurreccionales de los habitantes de las montañas de bido de nuestro valiente ejército. A pesar de querer ocultar la la guerra ; y por todas partes se muestra la merecida y general Siria entre Hamer y Latakia. (M essager.) gran pérdida que han su frid o, do han p od ido, pues los p a ­ gratitud al ilustre general Espartero que ha llevado á térm ino dres y parientes de los muchos que han muerto ■manifestaban feliz tan difíciles negociaciones. con sus lloros y lamentos su ir…</t>
  </si>
  <si>
    <t>e, Solar</t>
  </si>
  <si>
    <t>Solar e</t>
  </si>
  <si>
    <t>…dictam en y voto p articu lar del Sr. Calderón compra adoptada en 1834 y 56 y que no produjo satisfactorios se emplean , pues si se hiciera pagando al contado no causaría Collantes. resultados, pues como manifestó el barón del Solar en su me­ el terror y los males que lleva consigo. L a comisión , sin em­ El Sr. M O N T O Y A (D. Diego) expuso que dirigiéndose el m oria habiéndose dado dinero para com prar 53 cab allos, solo bargo de que no deja de conocer estos n iales, se ha visto en la voto p articu lar del Sr. Calder…</t>
  </si>
  <si>
    <t>e, Sotos</t>
  </si>
  <si>
    <t>Sotos e</t>
  </si>
  <si>
    <t>…ra pia de Jerusalen . PARA LA SESION DEL MIERCOLES 9 OCTUBRE DE 1839. El Sr. director general ha señalado para el remate de las Lectura del proyecto de ley aprobado por el Congreso de (1) Se venden las expresadas obras del Sr. Sotos en la li­ obras que han de hacerse en el convento de San Francisco y Diputados sobre tueros de las provincias Vascongadas y Na- brería de Sojo, calle de Carretas , á los precios siguientes : su iglesia 9 anunciadas en la Gaceta del dia 20 de Setiembre varra, y de varios dictámenes de comisione…</t>
  </si>
  <si>
    <t>e, Soufílot</t>
  </si>
  <si>
    <t>Soufílot e</t>
  </si>
  <si>
    <t>…aserna de los Mínimos guarnecida por la guardia 1é despidió di jo que estaba seguro lo hacia por sus opiniones, que habia ido á la de Blancs-M anteurs para asuntos de su co­ m unicipal. A l primer aviso que se tuvo , el capitán Soufílot expresadas diferentes veces con rara en erg ía , diciendo entre mercio , habiendo seguido á lo lejos las cuadrillas de los insur­ puso sobre las armas á la guardia municipal á p ie : dividió su otras cosas que el trabajo iba bien ; pero que si fuese m a l, se­ gentes solo por pura curios…</t>
  </si>
  <si>
    <t>e, Soult</t>
  </si>
  <si>
    <t>Soult e</t>
  </si>
  <si>
    <t>…e con­ Os parece que sea pequeño inconveniente p ara u n a com bi­ tr ib u ir á la formación de un ministerio. nación de Gabinete el d iv id ir á los amigos del G obierno. Y o Ignoro los motivos que haya podido tener el mariscal Soult encuentro que este es u n mal inmenso. H a y á m i.m o do de ver para v a ria r asi de ideas; pero lo cierto es que últim am ente no eñ la a n tig u a oposición, aun en la porción mas dispuesta á sos­ quería ofrecer á M r. T hiers el ministerio de Nogocios extran ­ MADRID 30 DE ABRIL. tener u…</t>
  </si>
  <si>
    <t>…, ha proporcionado cuantos efec­ Señores, me parece que resulta de esta discusión relativa al )cho batallones de la M ilic ia nacional en dos mitades, los po­ tos , útiles y armas han sido necesarios. programa , que el mariscal Soult es quien puede decirnos si en bres del asilo de mendicidad de S. Bernardino, los niños del lo exterior, en caso de acontecimientos inesperados, no tendría Hospicio, los Desamparados, los del colegio de S. Ildefonso; el Gabinete libertad completa para obrar. A él le pertenece la los In válido…</t>
  </si>
  <si>
    <t>…currencia, se presentó la niña Doña L uisa de C astro, y pro­ M r. Sauzet el de C ultos, y M r. V illem ain el de Instrucción de allí á dos dias. nunció con bastante desembarazo el discurso que á la letra es pública. El mariscal Soult es M inistro de la Guerra y Presi­ como sigue: Señores presidente y vocales: El delicado organo dente del Consejo. ( D ebats .) de una infantil virgen cubana, ha sido hoy elegido para ele­ var á V . SS., si no con la sabiduría necesaria, al menos N O T IC IA S N A C IO N A L E S . con aquell…</t>
  </si>
  <si>
    <t>…Cos.=Senor el Padul las brigadas que se han organizado con la fuerza del hecho, y que habían ya desechado espontáneamente. gefe político de.... presidio destinado á la carretera de Córdoba á Antequera. El ¿Se creerá? El mariscal Soult encargó á estos señores que ingeniero D. Elias Aquino y el visitador de presidios D. Ma­ propusiesen á Mr. Thiers entrar en un Gabinete de que forma­ nuel Montesinos me acompañaron á dicho pueblo, contribu­ rían parte MM. Duchatel y Guizot, y en el cual Mr. Thiers yendo Por el estado que V…</t>
  </si>
  <si>
    <t>e, Soult.</t>
  </si>
  <si>
    <t>Soult. e</t>
  </si>
  <si>
    <t>…do en el golfo de Smirna al Júpiter , á bordo del cual tenido por los periódicos alemanes, y de cuy a imparcialidad nos se halla el príncipe de Joinville, y se han dirigido juntos al Alejandría , enviado asimismo por el mariscal Soult. es dado sospechar. Si hemos de creer á los detalles que nos dan, anclaje de Ourlac. La comisión de utilidad pública va á sufrir una modifica­ ha estallado en Servia una insurrección militar en los últimos El comodoro barón Raudiera, que estaba también cruzando ción importante: se da per cie…</t>
  </si>
  <si>
    <t>e, Stopford</t>
  </si>
  <si>
    <t>Stopford e</t>
  </si>
  <si>
    <t>…Julio. nanda, continúan en esta corte sin novedad en su im* En la sesión de la Cárhara de los Lores del 15, lord portante salud. Brougham ha presentado una petición en favor de tres senten­ Un oficial dé la escuadra del almirante Stopford escribe ciados de W arwick. El peticionario que suplica á la Cámara que por parte de los oficiales del T a n g tta r se considera la guer­ invoque la gracia de la Reina , recuerda el acto de clemencia de ra como inminente. El capitan-bajá habia concebido el proyec­ PARTES RECIBIDOS EN LA…</t>
  </si>
  <si>
    <t>e, Stopfort</t>
  </si>
  <si>
    <t>Stopfort e</t>
  </si>
  <si>
    <t>…a de M ah am u d , si hubiese querido con­ de se encontraba con su escuadra el 2 8 de J u lio en Ténedos , y cipio del curso. tentarse cou e lla ; y pretende que esta coucesion en las actuales que se habia encontrado al almirante Stopfort e a lo alto del A r ­ Goo motivo de hallarse indispuesto el socio curador abrió, circunstancias es solo una burla. A pesar de las ideas de in d e ­ chipiélago coa dirección al mismo p u n to ; de modo que puede el acto el infrascripto socio secretario con un d isc u rso , en el pendencia qu…</t>
  </si>
  <si>
    <t>e, Strauss</t>
  </si>
  <si>
    <t>Strauss e</t>
  </si>
  <si>
    <t>…on los últimos sucesos de M éjico , la tranquilidad sostenido firme hasta a q u í, pero su impopularidad le h aría el pública no se ha perturbado, y las autoridades respectivas ejercicio de sus funciones m uy peligroso. El doctor Strauss es han dictado las providencias oportunas para conservarla, y conocido por haber llevado el extepticismo religioso en sus escri­ cá m ara d e lo s LORES* ^Sesión del 2 2 de Febrero» continúan sin variación alguna. (Id.) tos y explicaciones hasta sus últimos límites. Su nombramiento para un…</t>
  </si>
  <si>
    <t>…a de este negocio. informes, nos persuadimos de que los periódicos se equivocan, departamentos confiados á este ministro se decidió inm ediata­ La Dieta se abrió en Zurich en 1.° de J u lio bajo la presi­ pues la obra del doctor Strauss es, como dice un periódico del mente después de la ratificación del tratado de l 9 . d e Abril. dencia de Mr. Hess, burgomaestre y gefe del vorort ó cantón mayor créd ito , "n n libro gra v e , religioso en sus intenciones, También se habla de la dimisión de M r. Baikern , miuistro de dire…</t>
  </si>
  <si>
    <t>e, Strauss Inscripciones</t>
  </si>
  <si>
    <t>Strauss Inscripciones e</t>
  </si>
  <si>
    <t>…v. f. ó vol. á prima de americana de Isabel la Católica. Su precio 11 rs. en rústica. f y i Por 190 con cupones. Se venden en la librería de Sánchez, calle de la Concepción. El gran consejo se ha ocupado en el asunto del doctor Strauss Inscripciones en el gran libro á 4 p°r 100 , 00 . en la sesión del 18 del corriente. Después de una larga delibe­ Títulos al portador del 4 por 1 0 0 , 00. ración ha adoptado el consejo la proposición siguiente del con- Vales Reales no consolidados, 00. M U S IC A . sejo de Estado por una…</t>
  </si>
  <si>
    <t>e, Strauss.</t>
  </si>
  <si>
    <t>Strauss. e</t>
  </si>
  <si>
    <t>…erfectamente impresa, y revisada la versidad , y haber deliberado , adopta las conclusiones de dicho CAMBIOS. numeración de los dedos. Se Liallará dividido en dos cuadernos informe, segjun las cuales deberá ser depuesto el doctor Strauss. el primer lib ro , á 18 rs. cada uno, en el almacén de música y A l dia siguiente por la tarde recibió el gran consejo la comu­ Londres, á 9 0 d ia s, 58§. C o r u ñ a , 1 d. grabado de Lodre, carrera de San Gerónimo, núm. 2 6 (antes 1 5 ;, nicación que sigu e : K El consejo de Estado y el…</t>
  </si>
  <si>
    <t>e, Taies</t>
  </si>
  <si>
    <t>Taies e</t>
  </si>
  <si>
    <t>…cho pasar al Real patrimonio la renta de que se trata. Los suce­ ha atrevido ningún rebelde cabecilla á ejecutar semejante de­ sos posteriores no han anulado esta disposición, asi como no han manda , y el espirante gobernador de Taies en lo último de anulado la abdicación. Parece pues que el Consejo no podrá me­ sus agonías ha tenido la desfachatez de hacer semejante pedido. Escriben de Han no ver con fecha 27 de Julio á la Gaceta nos de negar la petición. ¿ Por qué no se aproxima á hacerlo á la distancia de tiro de fu­ u…</t>
  </si>
  <si>
    <t>e, Tapia</t>
  </si>
  <si>
    <t>Tapia e</t>
  </si>
  <si>
    <t>…ente á S. Fe­ D. Juan M u g u iro .............................................. .. Madrid. lipe el Real. Con el objeto de evitar semejante escollo, se ha pro- D. Eugenio Ladrón de Guevara................... Idem. puestacl Sr. Tapia examinar la regeneración política ac­ D. Gaspar Remisa........................................... .... Málaga. tual subordinando la pasión á la imparcial severidad de Vizconde de Huerta. .................................Murcia. una crítica desapasionada y racional. Verdad es que de es­ D. Jo…</t>
  </si>
  <si>
    <t>e, Tejeo</t>
  </si>
  <si>
    <t>Tejeo e</t>
  </si>
  <si>
    <t>…un á la Ile re d iá , D . José Sierra y D . E n riq u e A racil. que h a y a lugar. vez p erjud ica, cuando no le dirige un estudio bueno y coatí - E n fábulas de Sama niego. == D . Pablo Cabrero y D . R u fo liu a d o : el Sr. Tejeo es una prueba de eilo. Nos atrevemos sin Rivero. embargo á aconsejarle que ejecute sus cuadros con mas robus­ E n geografía por el P. Losada. = D. Rafael A g u i r r e , D o n r L licenciado D . V icente H e r n á n d e z , juez de prim era i n s - tez y pasta de color; sin que esto se opong…</t>
  </si>
  <si>
    <t>e, Temprado</t>
  </si>
  <si>
    <t>Temprado e</t>
  </si>
  <si>
    <t>…ta. tribución decimal; y terminó diciendo que esperaba que el Con­ El Sr. S A N C H E Z D E L A F U E N T E contestó que la re­ greso El Sr, Ministro de la G U E R R A : He dicho antes que la pro­ comendación que deseaba el Sr. Temprado estaba ya hecha en tomaría en consideración un asunto de tanta ¡rapo, taocia. posición del Sr. Yila tendia á una pequeña interpelación , y esa el dictamen con decir que el interesado habia recurrido otras nifestando El Sr. S A N C H E Z L A F U E N T E sostuvo el dictámen m a­ ya ha ido ala…</t>
  </si>
  <si>
    <t>e, Tenorio</t>
  </si>
  <si>
    <t>Tenorio e</t>
  </si>
  <si>
    <t>…o­ del carácter del héroe; porque en ella liemos encontrado hasta en las simples cuestiones de táctica y de geo grafía; pero nes de la provincia que cuanto antes va á mandar. (G. N.) mas que aplaudir y menos que censurar. El Sr. Tenorio es completando hoy nuestro pensamiento acerca del valor m ilitar ya conocido por otras composiciones cuya versificación y que debe darse á las posiciones respectivas, hemos acreditado estilo han merecido el elogio de los inteligentes: y en este suficientemente nuestra imparcialidad para c…</t>
  </si>
  <si>
    <t>…e regentes y de señores, presidida por el burgom aestre, á crito en castellano. impropia esta comparación, y le parecería mejor la de una quien se considera como el tutor de los h u é rfan o s, aunque la La versificación del Sr. Tenorio es armoniosa y poéti­ hoja pendiente de la rama, ó la de una flor en su tallo. ciudad no le facilite ningún subsidio. Se permite á los jóvenes c a ; pero no es justo por cuidar de las galas del Verso os­ Nosotros no opinamos asi. la salida para asuntos de la casa , y pasear el domingo con su…</t>
  </si>
  <si>
    <t>e, Toledo</t>
  </si>
  <si>
    <t>Toledo e</t>
  </si>
  <si>
    <t>…de 1 8 5 9 . = P o r e n f e r m e ­ E l comandante general de las provincias de Ciu d a d -R e a l y esperanza de la n ac ión , que lo ha llamado de nuevo á regir dad del secretario , J . de Itúrbide.rzExcmo. Sr. gobernador del Toledo eo su parte periódico de novedades, fecha 2 8 del ante­ interinamente sus destinos : penetrado de que el voto público departamento de M éjico. (A7, d e A.-.M .) r i o r , dice que sorprendido el rancho del Feo de Yepes por la y general condena y lamenta el estado incierto., precario y cuarta…</t>
  </si>
  <si>
    <t>e, Tomas Fernandez</t>
  </si>
  <si>
    <t>Tomas Fernandez e</t>
  </si>
  <si>
    <t>…se ha entendido con el gobierno apolítico relati vamente á en el lugar de costumbre los jueces de hecho que suscriben, las disposiciones que da á suí subalternos para la ejecución de citados por el Sr. alcalde constitucional D. Tomas Fernandez estas obras , no he tenido comunicaciones oficiales del estado de de Vallejo para examinar un artículo del periódico titulado EL ellas, y de ahí la falta de no haberlas puesto en el superior co­ Guirigay del dia 7 del corriente, que pripcipiá en él epígrafe nocimiento de Y. E. para…</t>
  </si>
  <si>
    <t>e, Toreno</t>
  </si>
  <si>
    <t>Toreno e</t>
  </si>
  <si>
    <t>…persona determ inada , es necesario extrem ada delicadeza me obligaba á esta reticencia. mente , y sin mas sueldo los empleados que el que actualm ente adoptar un medio á fin de que se eviten los fraudes que pue­ El Sr. conde de Toreno está ausente de España. Y o tenia la disfruten. de haber. esperanza de que se hallase presente en estos bancos para que Fue aprobado el art. 3.° sin d isc u sió n , que d ic e : El Sr. EGEA contesta que la expresión que el Sr. San M i­ contestase á los datos en que fundo mi acusación. Esto…</t>
  </si>
  <si>
    <t>…to sumamente á reelección, y bajo este punto de vista es como miro yo la ventajas del crédito; á ellas se deben los progresos que ha hecho sencillo, sintiendo sobremanera disentir del dictámen de la co­ cuestión. El Sr. conde de Toreno está en el caso de recibir una el comercio, dando con esto una fuerza inmensa á los particu­ m isión, y sin embargo que tengo esperanza de hacer prevale­ g ra c ia ; pero esto no quita que quede sujeto á reelección, y por lares en sus empresas, y por este medio se hacen los caminos, cer mi…</t>
  </si>
  <si>
    <t>e, Torres Amat</t>
  </si>
  <si>
    <t>Torres Amat e</t>
  </si>
  <si>
    <t>…de 5 por 100 á papel, 00. dinal Gregorio era el presidente de la comisión nombra­ á verificar á los dos meses de haber tomado poseúon de su silla. Idem sin interés, 9£ á 60 d. f. ó vol. á prima de * por 100: da al intento. El Sr. Torres Amat escribió al momento á su Cree que Dios volverá la ¡&gt;sz i iu pueblo luego que lo haya 5 once dieziseisavos á 60 d. f. ó vol. y firme: 6* á 60 d. f. ó Etnma. manifestándole los vivos deseos y disposición en que se purificado. vol. á prima de * por 100 nuevas. hallaba de corregir todo cuant…</t>
  </si>
  <si>
    <t>e, Trastamara</t>
  </si>
  <si>
    <t>Trastamara e</t>
  </si>
  <si>
    <t>…de D oña Juana, y El martes el Sr. D . A n ton io Alcalá Galiano dará su última el espectador siente la inquietud y desasosiego roas doloroso al lección de derecho político de su curso por esta temporada á la observar al conde de Trastamara en trance tan crítico: él no misma hora. GALERÍA DRAMATICA. cree que D . Enrique pueda huir en aquel acto ; tampoco qu i­ El miércoles dará su última lección de historia de España siera arrostrase una muerte inútil que dejaria triunfante la el Sr. D . A ntonio Benavides á la misma hora. C…</t>
  </si>
  <si>
    <t>e, TVellington</t>
  </si>
  <si>
    <t>TVellington e</t>
  </si>
  <si>
    <t>…r podido satisfacerlos has­ recursos ofrecidos por parte de la provincia de Santander que ta ahora. se hallaba en su posesión eran iaménSos, como podrá juzgarse (i) Hermandades, un cierto número de aldeas que tienen E l duque de TVellington empezó congratulando á la C á ­ por la siguiente narración : una especie de confraternidad , y que csíau regidas por la mis­ mara porque existieran razones para creer que al fin se abando­ Por la ocupación de Ramales y de Balmaseda por ios c ris- ma autoridad municipal.</t>
  </si>
  <si>
    <t>e, Una</t>
  </si>
  <si>
    <t>Una e</t>
  </si>
  <si>
    <t>…las proposiciones asunt¿y y qué la éám ara debe estar satisfecha cuando lo esta rian nuestras provincias , ni ellos querrían haber prodigado su de la Conferencia que se reunió ayer sábado, se ha ocupado también el comandante de Una escuadra inglesa............. sangre y sus tesoros solo para hacer restituir á la Bélgica su¿ largaméúte del proyecto en esta segunda sesión. Según el orden E l capitán Pechell: Nó me separaré qué prescriben las adoptado por las secciones particulares, la central se ocupó des­ contestados dere…</t>
  </si>
  <si>
    <t>e, Urrea</t>
  </si>
  <si>
    <t>Urrea e</t>
  </si>
  <si>
    <t>…25 DE AGOSTO DE 1839. d ie z c u ar to s. M arian o P aredes, en virtud de las facultades con que está in ­ sea quien quiera el partido vencido ó vencedor , porque al fin PARTE OFICIAL. vestido, reconoce al repetido Sr. general Urrea en el pleno goce todos son hermanos, como lo son nuestros también ; pero en el de su empleo y honores, y exonerado de toda responsabilidad caso presente la cuestión es entre el partido de la lealtad y de por todos sus actos como gefe de las tropas pronunciadas en 26 la traición , entre los c…</t>
  </si>
  <si>
    <t>…neral Arista, y pereciendo otros en la acción del Y a lie. ólo f i n , á que coopera m uy eficazmente la indicada comisión, riero n ; asi quedó impreso en la memoria de todos para trasmi­ Sabemos á no dudarlo que la salud del Sr. Urrea está tan de­ removiéndo los obstáculos que p udiera» entorpecer tan útiles tirlo de boca en boca á la posteridad; y asi quedó escrita la meritad i, que tres veces ha caido del caballo por un fuerte a t a ­ corno interesantes trabajos. que de nervios. gratitud á un Gobierno protector de loa p…</t>
  </si>
  <si>
    <t>e, Usteri</t>
  </si>
  <si>
    <t>Usteri e</t>
  </si>
  <si>
    <t>…Gandesa vitoreó á la joven Reina , á su excelsa Milicia la Reina Córdoba 8 de Setiembre. Ayer á las siete de la mañana y pue­ se recibió en esta la Gaceta extraordinaria del 5 , y acto conti­ sentimiento de venganza. El cura Usteri exhortó al pueblo á que blo libre de Mequinenza , á que correspondieron el apuntam perseverase en sus creencias. De la parada se dirigieron los to y demas patriotas cou repetidos vivas á los defeusoresien­ nuo se dieron disposiciones para la reunión de apuntamiento de y diputados de provinc…</t>
  </si>
  <si>
    <t>e, Valladares</t>
  </si>
  <si>
    <t>Valladares e</t>
  </si>
  <si>
    <t>…unció esta interpela­ votos en la provincia de Pontevedra para la elección de D ip u ­ Títulos al portador del 4 Por 100 , 00. ción que llamaré altamente patriótica , porque estas son dirigi­ tados, y que el nombramiento del Sr. Valladares era mes y Vales Reales no consolidados, 00. das por un puro patriotismo, me propuse hacer patentes los vi­ medio antes. D euda negociable de 5 por 100 á papel, 00. cios que existen. Después de hacer otras varias observaciones insistiendo en Idem sin ínteres, 00. En un depósito de trans…</t>
  </si>
  <si>
    <t>e, Valle</t>
  </si>
  <si>
    <t>Valle e</t>
  </si>
  <si>
    <t>…tra era la causa, bástanos leer los informes de los El Sr. Seijas dijo que habia obrado con mucho acierto fiscales del Consejo de Castilla, Florida Blanca, Campo- Inscripciones en el gran libro á 5 por 100 , 00. Títulos el Sr. Valle en reunir y tratar á un mismo tiempo los dos manes y Jovellanos; bástanos consultar la defensa de la ziseisavos con cupones al contado: al portador del 5 por 100, 20f , y 20 nueve die­ puntos de la instrucción y del clero, ramos muy unidos en­ regalía, obra de los dos primeros, codiciada en l…</t>
  </si>
  <si>
    <t>e, Valleé</t>
  </si>
  <si>
    <t>Valleé e</t>
  </si>
  <si>
    <t>…de haber presentado La provincia de C onstantina ha sido,com o se sabe, divid í la oposición casi todos están ocupados. El salón se llena de re­ un bilí de tal im portancia, hemos de dejar el estado de las co­ da por el mariscal Valleé en muchos departam entos con gefe</t>
  </si>
  <si>
    <t>e, Valores</t>
  </si>
  <si>
    <t>Valores e</t>
  </si>
  <si>
    <t>…mor que os profesa vuestro ge­ Art. 2.° La contaduría general de Valores prac­ nes y usos convenientes. neral.—Espartero.z:Es copia.—Lucha na. ticará esta liquidación con la mayor actividad ; y Art. 14. La contaduría general de Valores ex a m i­ á medida que vaya adelantando los trabajos, remi­ nará si hay algunos títulos cuyos poseedores se igno­ tirá sus resultados á la dirección general de Rentas ren , ó poseedores que por no haber presentado los su­ E l general gobernador encargado accidentalmente del des­ estancadas p…</t>
  </si>
  <si>
    <t>…do en las provincias para pago de los víveres que consume el ejército en dicho mes...................................... 15075000 Segunda sección, — Real orden. Como parte de los productos calculados por la contaduría general de Valores en las cuatro provincias de Ca­ taluña, y de que dispone la administración militar en ellas........................................................... .................................... '96 6 6 0 0 0 S. M. la Reina G obernadora, que desea la publicidad 5 0 7 6 2 1 4 7 ..1 5 posible de t…</t>
  </si>
  <si>
    <t>…del ejército del Centro traslada una co­ Art. 2.° Las oficinas de las mismas islas remitirán en zo último la Real orden siguiente: municación del comandante general de la provincia de Caste­ derechura á la contaduría general de Valores extractos ó La Reina Regenta y Gobernadora se ha servido resol llón , en la que trascribe literal el parte de la defensa del fuer­ resúmenes generales de las cuentas de recaudación é i n ­ ver que el número de Guardias-marinas que haya de ha te de Yillafames que le dirige con fecha 19 el co…</t>
  </si>
  <si>
    <t>e, Velasco</t>
  </si>
  <si>
    <t>Velasco e</t>
  </si>
  <si>
    <t>…tantes. Según despachos recibidos de R io -Jan ie ro por el último pa­ En la república de Bolivia el general Boltivion ha tomado q u e t e , podemos tener la bien fundada esperanza de que los ne­ las armas contra el Presidente Velasco en favor del general gocios de Portugal con aquel pais se arreglarán en breve de un Santa Cruz» A U ST R IA . modo satisfactorio y debido á la influencia del Sr. G alv ao , uno de lo* nuevos ministros del imperio. Casi extinguidas en gene­ R U SIA . Viena 12 d e N oviem bre. ral las preve…</t>
  </si>
  <si>
    <t>e, Vicente Salva. Cuarta</t>
  </si>
  <si>
    <t>Vicente Salva. Cuarta e</t>
  </si>
  <si>
    <t>…as de amistad. Deseoso de conocer hasta solicita labrar su felicidad a costa de la de su herm ana. ^Q RAM ATICA de la lengua castellana según ahora se habla qué punto podia fiarse de ellas y de ellos, y mas aun de ordenada por D. Vicente Salva. Cuarta edición, mucho P ero lo mas insufrible en Tirso son los finales de m u­ mas aumentada que las anteriores. Un tomo en 8.° m ayor, de desm entir ó confirm ar las sospechas que tenia de los ob­ chas de sus piezas. E n E l vergonzoso en p a la c io , en E l papel avitelado. jeto…</t>
  </si>
  <si>
    <t>e, VillaIta</t>
  </si>
  <si>
    <t>VillaIta e</t>
  </si>
  <si>
    <t>…es ber noble y glorioso, ó no ha querido comprenderlo. :uerpo de g u a r d i a ; al orador en la t r i b u n a ; al escritor en su una especie de Océano que comprende en su seno todo lo mas L a representación del drama del Sr. VillaIta es mas de ex­ periódico. rico y precioso de las naciones. Hechos hay muy funestos m al­ trañar por cuanto no le creemos incluido en ninguna de las dos Pero olvidemos si es posible á la ingrata que nos o l v i d a , y decidos de los pueblos, y que han pasado sobre ellos como una clasificac…</t>
  </si>
  <si>
    <t>e, Villalobos</t>
  </si>
  <si>
    <t>Villalobos e</t>
  </si>
  <si>
    <t>…ontra quien hubiere lugar , en indemniza­ Se da cuenta de haber sido incluido el Sr. Fernandez Cano debenGobierno y los particulares, aun con respecto á delitos que no ción de daños y perjuicios. en la primera sección, y el Sr. Villalobos en la segunda. ser ya considerados como abusos de imprenta. Sobre es­ Pero los impresos que requieren mas exquisitas precauciones Se lee y queda sobre la mesa: tos diferentes puntos ha fijado el Gobierno su principal aten­ para que su publicación no degenere en un inal funesto, son 1.°…</t>
  </si>
  <si>
    <t>e, Villalta</t>
  </si>
  <si>
    <t>Villalta e</t>
  </si>
  <si>
    <t>…erada y correcta. Su precio en Barcelona será para verdeciente y lozano. te europea, que comunica su ge n io, y de quien recibirá tal vez los señores suscriptores de 2 4 rs. v n . ; en las provincias de 26. beliz ha sido el Sr. Villalta en esta contraposición de ca ­ su nombre la época actual. Pero si como publicista, como po­ L a suscripción, sin exigir el menor ade lan to, quedará abierta racteres : el del Rey expresado con verdad contrasta con el de lítico y literato ha adquirido M r. Guizot una celebridad u n i­ hasta…</t>
  </si>
  <si>
    <t>e, Villegas</t>
  </si>
  <si>
    <t>Villegas e</t>
  </si>
  <si>
    <t>…secretos que mueven fusilados , por no presentar el dinero que les habían exigido. lotificaros para que nuestros comerciantes y nacionales no ex- í cada uno de los individuos que componen un partido , ni fijar El mismo capitán Villegas el dia 12 atacó entre Pesadas y &gt;erinienten las pérdidas que les ocasionarían la ignorancia ó :on precisión el grado de violencia y de perversidad de las p a ­ V illalta al cabecilla Rabian que con 25 caballos de la partida nala inteligencia. siones que á cada uno de ellos a g ita n ; per…</t>
  </si>
  <si>
    <t>e, Vizcaya</t>
  </si>
  <si>
    <t>Vizcaya e</t>
  </si>
  <si>
    <t>…m u rrio , resulta que el coman­ lañana. El Príncipe no ha querido que se le haga el reci- sériasEnturbulencias los dias 4 y 5 de Julio han ocurrido en Birmingham , suscitadas por las reuniones de 1os cartistas. dante general de Vizcaya en la tarde del dia 2 destacó una imiento debido á su clase , y ha ido á alojarse en la pre- La autoridad ha triunfado, pero ha sido después de una lucha fuerza de caballería para sorprender á algunos gefes y oficiales sctura. sangrienta, y la ciudad continúa en la mayor efervescencia. El en…</t>
  </si>
  <si>
    <t>e, Yaldés</t>
  </si>
  <si>
    <t>Yaldés e</t>
  </si>
  <si>
    <t>…n que pasarán el Ebro para caer sobre el priorato ahora tan esencialmente español de amor á la independencia de su na­ tiu s , abogado distinguido de la H a y a , hombre independiente que la cuarta división opera con el general Yaldés en la alta ción , del que todos sin distinción han participado, y que ha por principios y por su posición , ha publicado en el A rubem - m ontaña; otros suponen que van á reforzar la facción del ba­ hecho inútiles por lo menos agenas garantías, y ese profundo y seh-C onzant un m anifiesto,…</t>
  </si>
  <si>
    <t>e, Yeracruz. Desde</t>
  </si>
  <si>
    <t>Yeracruz. Desde e</t>
  </si>
  <si>
    <t>…el ejército belga, y que car el tratado concluido por M r. Baudin y el general Rincón, tan grave cuestión de las le^es sobre cereales; pero la pública los pasaportes solicitados estaban á su disposición. Esta enér­ comandante de Yeracruz. Desde entonces debia esperarse lo que esperanza ha quedado engañada. El discurso nada ha dicho gica respuesta ha sido generalmente a p lau d id a: ha reinado al­ en efecto ha sucedido poco después, es d e c i r , hacia el 5 de D i ­ acerca de este punto. Pero como la cuestión no puede me…</t>
  </si>
  <si>
    <t>e, Yiilahermosa</t>
  </si>
  <si>
    <t>Yiilahermosa e</t>
  </si>
  <si>
    <t>…éneo es obra de musical, como indica su mismo título, y ademas en el m agní­ bajo la advocación de Santa María , ha servido de pretexto , se­ nobleza y de habilidad. Los hombres francos de todos los par­ fico palacio del duque de Yiilahermosa está la sociedad de! L i ­ gún aseguran, para que se reúnan en esta ciudad la mayor par­ tidos deben igualmente desearlo, y trabajar con todas sus fuer­ ceo, que reúne en su seno á los músicos , pintores, poetas, es­ te de los obispos católicos del pais. Parece probable que el ob­ zas p…</t>
  </si>
  <si>
    <t>e, Yila</t>
  </si>
  <si>
    <t>Yila e</t>
  </si>
  <si>
    <t>…or fue al peticionario D. Antonio Resino y Estrada. dado lugar. me parece que en el calor de la improvisación no haya querido Añadió que tres veces habia recurrido al Congreso en el año El Sr. Ministro de la G U E R R A : El Sr. Yila empezó al ofender á personas que tienen la reputación m uy sentada ; y pasado, y pasadas sus instancias al ministerio todavía no habia usar d éla palabra apoyando la instancia, y luego por medio creyendo que efectivamente podrá S. S. darlas otro sentido que obtenido reparación, por lo cual espe…</t>
  </si>
  <si>
    <t>e, Yilain. Según</t>
  </si>
  <si>
    <t>Yilain. Según e</t>
  </si>
  <si>
    <t>…biéndola tratan de oponerse a esta abreviación de tiem po, calificando á apoyado vivamente el marques de R odes, el conde Baillet y el Alcañiz 1 8 de Noviembre . los modernos de eruditos á la violeta ; pues en todos tiempos conde Yilain. Según el discurso pronunciado por el ministro de Hacien­ Hoy salen de aqui expulsadas las familias de los que se ha­ han sido muy pocos los que han profesado los ramos de instruc­ da que presentó los presupuestos generales de gastos é ingresos llan ó sirven en la facción ; lo que ya han pra…</t>
  </si>
  <si>
    <t>e, Zaragoza.</t>
  </si>
  <si>
    <t>Zaragoza. e</t>
  </si>
  <si>
    <t>…terior legislatura. bre de 1839.= Excmo. Sr. = José Escario. == Francisco López de y la farsa; en hombres y mugeres la fisonomía franca y Quedó sobre la mesa un dictámen de la comisión de Actas, 01avarrieta.=:Excwo« Sr. duque de Zaragoza. expresiva. Los corcobados de ambos sexos han tenido en que propone sea admitido como Diputado D. Santos Lahera, Contestación. siempre para mí un encanto que nunca pude definir. mediante haber sido aprobada por el Congreso el acta de segun­ das elecciones. Señores de la comisión del Aten…</t>
  </si>
  <si>
    <t>e, Zea</t>
  </si>
  <si>
    <t>Zea e</t>
  </si>
  <si>
    <t>…eba de aquella necesidad perentoria. M adrid Octubre 25 de 1859.—N. La duquesa viuda de la sabiduría consiste en saber d u d ar.” Un poco habló el Sr. López sobre la c ircu lar de libertad de G o r, directora. El nombre del Sr. Zea está enlazado con un cargo á los im prenta comentando lo que d ije el dia an te rio r: lo que yo M inistros de la corona. Estos no han cum plido con su deber: m anifesté fue que la cuestión no era de p rin c ip io s, que todos cuando se les confia un p uesto, deben pelear en el muro y eo conve…</t>
  </si>
  <si>
    <t>e, Zea. Si</t>
  </si>
  <si>
    <t>Zea. Si e</t>
  </si>
  <si>
    <t>…resentará sus razones al d is ­ Reprodujo después el Sr. Caballero el argumento de la m i­ la cual se contiene un artículo igual á la de 1 8 5 7 , se dijo que curso y á la imparcialidad del Congreso. sión que sejup on e del Sr. Zea. Si en efecto hubiera habido esa los jueces de primera instancia procedieran á hacer publicar la El Sr. C A L A T R A V A (D. José): Las equivocaciones que m is ió n , señores, yo , como individuo del, Gabinete , tendría Constitución , y no sé por qué no se mandó á los alcaldes y necesito desha…</t>
  </si>
  <si>
    <t>e, Zorrilla</t>
  </si>
  <si>
    <t>Zorrilla e</t>
  </si>
  <si>
    <t>…Jiménez, respecto de los que apa­ ria Bien por siempre inmarcesible. podia menos de oponerse á e llo , porque no aparecia que el pe­ recia tanta diversidad , y hace presente al Sr. López que el de­ esa fuentehapura hecho el Sr. Zorrilla en beber sus inspiraciones en y cristalina de los preclaros poetas de nues­ ticionario fuese autor, ni impresor, ni editor responsable del recho módico, de que S. S. habia hablado, no podía haberlo tro siglo de oro literario; bien ha hecho en imitar á Calderón, periódico titulado el Guir…</t>
  </si>
  <si>
    <t>e, ZRragoza.</t>
  </si>
  <si>
    <t>ZRragoza. e</t>
  </si>
  <si>
    <t>…superior. M a d r i d 12 de O ctu b re de i 8 3 9 .=Señora.^; á todos los españoles, sin menoscabo del honor nacional, con Señora: E l director gen eral de minas y la junta con A L . R . P. de Y . M . z r P a l a f o x , duque de ZRragoza. engrandecimiento de Y . M . , y sin las intervenciones que sultiva del ramo , participando del gozo que actu alm ente lie siempre debilitan el triu n fo ? na el corazón de todos los buenos españoles amantes de si P o r e llo s , igualando el jú b il o de los dignos habitantes de Reina y…</t>
  </si>
  <si>
    <t>e, Zurbano</t>
  </si>
  <si>
    <t>Zurbano e</t>
  </si>
  <si>
    <t>…os, consiguiente en 22 del actual la comunicación que sigue: al parte que transcribió del comandante general de Alava , re­ timo respecto de los instrumentos públicos otorgados sobre lativo á la expedición que ejecutó el coronel Zurbano el 2/f , y «El encargado de Negocios de S. M. en Copenhague me contratos dice con fecha 10 del mes último lo siguiente :== Es digna en pais ocupado y negocios privados entre personas particulares acción que sostuvo con los enemigos en Nanclares y Villodas, de la atención de V. E. la enmiend…</t>
  </si>
  <si>
    <t>…he que las activas Las tropas continúan en los mismos puntos. Sabemos de po­ zado , un reto insidioso es inútil; mas aun , es ridículo , porque pesquisas que se han verificado acerca del acontecimiento de la sitivo que el coronel Zurbano está encargado del bloqueo de no prueba ni el valor del que ataca , ni la fortaleza del que calle Montpensier han indicado á la autoridad tres individuos, Segura. se defiende. Nosotros por tanto , francos siempre é impartíales, Hoy han de quienes se sosp'cha fundadamente ser los autores del…</t>
  </si>
  <si>
    <t>E-lordí</t>
  </si>
  <si>
    <t>…o presencia de todos tro de sus bienes, mandado y i levado i efecto por los faccio-' cojudo hay excepción de ley esos decretos no pueden tener efec­ los ciatos qu-e pudiese reunir,, usos trajese un proyecto de ley ■sos, E l Sr. E-lordí creyó que el diietáusen estaba concebido en para conceder a las ciadas y huérfanos la facilidad de tener to-. A q u í se dice que se ha de desempeñar esa cosoísioo g ra tu i­ términos m u y fríos tratándose de ana fam ilia cojos padeci­ cinco d! seis anualidades, por cu jo medio el erario…</t>
  </si>
  <si>
    <t>EABR</t>
  </si>
  <si>
    <t>…orme al carácter m uger es también la Fornarina. En todas parl-s se la encuen­ de aquella diosa. Quid dcceat, q u id n on, es el precepto de tra ; en los altares corr.o en los muros de los palacios de sus me­ M A D R ID 1 . ° D E A B RI L . Horacio, a cuyas doctrinas tendremos que venir a parar, cenas, fuesen Papas ó principes. Rafael enseña á todos la irná- cuando no se quiere decir disparates. gen de su idolatrada f o r n a r in a , el ideal de todas sus concep­ g jf i ■ S.L-. . --------!_J .. .. u ■. ■■ ■■■ ■ ■■ — Dis…</t>
  </si>
  <si>
    <t>EABRI</t>
  </si>
  <si>
    <t>…serian los de las épocas Lucrecia Borgia , II furioso , Torcuata Tasso , Ellonora di patriarcales, esto es, con cierto grado de cu ltura, pero sin las Guienna , Bettly , il Campanello , l'asscdio di Calat, Lucia M A D R ID 2 D E A B R IL . pasiones facticias, que ha inspirado el estado de sociedad. Q ue­ di Lamermoor , Roberto Devereujc , Parisina , Belisario9 remos ver reunidos en los interlocutores de la égloga la senci­ Marino Faliero y María Rudens . llez de los sentimientos prim itivos, el ingenio natural y la ele­…</t>
  </si>
  <si>
    <t>…e morisco ó caba­ lleresco, el que acababa de versificar un a comedia e n c er­ Alli entre el miedo m u n d a n o ra n d o p r im e ro con tres llaves á T erencio y á Aristóteles, y entre una creencia e rra d a M A D R ID 6 D E A B R IL . para que ñ o em barazasen el curso de su p lu m a , ese m is­ va una idea de la n a d a , m o p o e ta , clásico y ro m á n tic o en u n m ismo d ia , al c o m ­ ó una olvidada v erd a d ; P O E S IA S D E D O N J O S E Z O R R I L L A . p o n er u n a c a n c ió n , u n m a d rig a…</t>
  </si>
  <si>
    <t>…remate se halla de manifiesto al público en la secretaría de la ra dispuso la sociedad económica de amigos del pais que en la misma ju n ta , establecida en el referido convento de capuchi­ C O R R E S P O N D IE N T E A L M ES D E A B R IL D E 1839. tarde del 27 de Abril se distribuyesen en sesión pública en la nos , donde podrán euterarse de ella los que quieran licitar en sala capitular del ilustrísimo ayuntamiento los premios que la dicha subasta. Contiene este número los artículos siguientes: escuela de nobles artes hab…</t>
  </si>
  <si>
    <t>…y otros actores y bailarines ajustados, aun cuan­ ves y traste dentales que pueden presentarse en las actuales cir- do no hacen parte de la sociedad. cim.tan iai. ¡Difícil, muy difícil considerarnos la posición de M A D R ID 22 D E A B R IL . D. Carlos Latorre se halla ausente, pero se cree que á su los magistrados que han de resolverlo! (Diario de Sevilla,) vuelta entrará en la asociación. Por despacho telegráfico expedido de Paris el 16 á Doña Gerónima Llórente, actriz jubilada que tanto apre­ las cinco y media de la tar…</t>
  </si>
  <si>
    <t>EAGOS</t>
  </si>
  <si>
    <t>…ña, en la de Perez: L u g o , en la de 1 ..................... d e . . 8000 ps. fs 8000 P ujo l: Córdoba , en la de Berard : Granada , en la de Sanz : M á­ 1.................... d e ....... 2000 .................... 2000 M ES D E A G O ST O D E 1831#. laga , en la de la viuda de Martínez de A guilar: Cádiz, en la 2................ de..... 1000............... 2000 de Hortal y compañía: Sevilla , en casa de D. Romualdo Ortiz. 2 .................. d e ........... 500.................... 1000 Maniobras de un ejército.=Siguen…</t>
  </si>
  <si>
    <t>EAGOSTO</t>
  </si>
  <si>
    <t>…eramente opuestos que in­ cohólico de la nuez vómica, untando con un pincelito las pare­ ducirían á incurrir en errores en v&lt;?z de asegurar la verdad, des de dicha vena debajo del cañón de pluma que la unia con M A .D R ID 1 3 D E A G O S T O . sujetó varios trozos de paño teñidos de los tres azules á la ac­ la pórcion superior, á fio de que no se pudiese decir que la ción directa de algunos reactivos, operando á la temperatura absorción tenia lugar por los vasos absorbentes de las paredes de ordinaria, y consiguiendo lo…</t>
  </si>
  <si>
    <t>EAHORROSD</t>
  </si>
  <si>
    <t>…e se g u ir le , y de mentos que quiso darle la falsa filosofía del siglo x v m . Repe­ la cual resulta la división que hace de los delitos en cuatro cla­ tiremos en compendio los raciocinios de nuestro a u t o r , para C A J A D E A H O R R O S DE M A D R I D . ses: á saber, contra las personas, contra el cuerpo social, con­ dejar bien fijas las ideas en esta importante materia. tra la propiedad p r iv a d a , contra la propiedad pública , y su El hombre tiene el sentimiento innato de lo justo y de lo subdivisión según la…</t>
  </si>
  <si>
    <t>EAHORROSDEMAD</t>
  </si>
  <si>
    <t>…del runa pelusiaca , hasta que por último dieron con el Bhar-A bou- tomo 1.° de dicha obra. A d m e t, antiguo canal del Príncipe de los fieles. Concluidos con»plet.imente estos trabajos, indicaron del modo mas explíci­ C A JA D E A H O R R O S D E M A D R ID . to d curso de la ruta marítima que unió en otro tiempo el P ' L sacerdote blanco ó la familia de uno de los últimos caci­ mar Rojo con el Mediterráneo. Domingo 15 de Diciembre . Mas adelante, habiendo conquistado á su vez Mehemet-Alí Rs. vn. Mrs. tomosques en de la…</t>
  </si>
  <si>
    <t>…obre presos trabajen con separación; que no, si trabajan en comuni­ de n u n c i a falsa ó de ur¡a m e n t i r a , y esto el e n e m i g o ; un estorbo menos. dad. Y aun va mas lejos, pues ofrece comprometerse por escri­ C A JA D E A H O R R O S D E M A D R ID . Asi, el condenado que obtuvo remisión por su buena con - to á suministrar trabajo á todos los detenidos de todas las cár­ ducta , en nada ha desmerecido por esto la estimación de los celes de Francia, con sola la condición de la separación , y lle­ Domingo 22 de Di…</t>
  </si>
  <si>
    <t>…guaje de esta especie los tonos musicales, que naturalmente pro­ Barcelona, á ps. fs., i á b. Sevilla, \ á i b. duce la voz humana , acompañada de algunos instrumentos que Bilbao, 1 - á | d. Valencia, ~ d. los imitasen. C A JA D E A H O R R O S D E M A D R ID . Cádiz, i b. á par. Zaragoza, f á | id. Su oratoria nació de la poesía misma , o por mejor decir, se confundió con ella durante el primer período de la civiliza­ ción; pero no constituyó un arte separado hasta que los pueblos Domingo 24 de Marzo de 1839. Descuento de…</t>
  </si>
  <si>
    <t>…ha 16 de Argel, y 19 de Tolon, ciáis los errores que en las listas pudiera haber, vuestro silen­ anuncia que se han verificado dos combates en los alrededores cio falsea en su base nuestras leyes fundamentales, priva á la CAJA D E A H O R R O S D E M A D R ID . de Beüdah. La infantería regular del emir ha sido batida y provincia, á la nación entera de sus legítimos representantes. dispersa. El enemigo no se ha acercado á Koleah ni i Sahel. Electores: la voluntad constitucional de la augusta Reina Domingo 29 de Diciembre .…</t>
  </si>
  <si>
    <t>EALTAMI</t>
  </si>
  <si>
    <t>…Esta diputación se compondrá del presidente y do» duo de quien se trata , porque sí 'bien ha sido ngracándo , no secretarios, los cuales pasarán á poner el proyecto eu mmm efe P R E S ID E N C IA D E L S E Ñ O R M O S C O S O D E A L T A M IR A . conste q «chaya admitida, .se está «n el cas© de a pro,bar el dic- S. M. , el día y hará «que desaguare. Art. 70* Guando 8 . M, ¡ » pudiere recibir estas di patacto* Sesion del día 5 de Febrero. timen «de lia comisión, porque de lo contrario, como, había d í- cho muy bien el S…</t>
  </si>
  <si>
    <t>…SENADO. pero que no dice que la renta sea de bienes propios, y en otra parte de la misma ley se expresa que los bienes de la muger Intendencia militar del distrito de Castilla la Nueva . PRESIDEN CIA D EL SEÑOR M O S C O S O D E A L T A M IR A aprovechen al marido y los de los hijos al padre, por cuya ra­ zón teniendo el Sr. Laborda, ademas de la cantidad que se ex­ Por Real orden de 29 de Diciembre último se ha servi­ Sesión del dia 9 de Enero . presa en la escritura, una pensión de 409 rs. que goza sobre las do mandar…</t>
  </si>
  <si>
    <t>EAMNISTÍA</t>
  </si>
  <si>
    <t>…osiciones que deben observarse piara la movilización Art. 162. El acusado comparecerá ante el consejo, citán- y servicio de la Milicia nacional en caso de guerra. dos le con la debida anticipación por conducto de sus gefes in­ D E A M N I S T Í A , mediatos y con expresión de causa. Art. 178. En los casos en que un pueblo , partido ó pro­ Si no compareciese, ó en caso de enfermedad justificada otro vincia fuesen declarados en estado excepcional con arreglo á la PRESENTADO POR EL GOBIERNO DE S. M. AL SENADO EN LA SE­ que d…</t>
  </si>
  <si>
    <t>EAMOR</t>
  </si>
  <si>
    <t>…entos de aun algún secretario, no saben lo que contiene. Increíble pare­ Sevilla, su antigua capital: en todas partes permanecieron fie­ ce; pero yo mismo lo he observado. Desconsuela haber de dic­ L A P R IM E R A L E C C IO N D E A M O R . les á sus juramentos las autoridades constituidas, y los princi­ tar providencias fuertes contra todos, cuando son m uy pocos pios de orden triunfaron del poderoso aliciente que acompañaba los morosos; mas siéndome forzoso hacer cumplir las órdenes Intermedio de baile; terminando la func…</t>
  </si>
  <si>
    <t>EAMORT</t>
  </si>
  <si>
    <t>…os que uttnca han salido de los Nosotros creemos que no hay exageración algu na, y auií arrabales de Ptkin. es probable que llegue á 400 millones. La superficie deí impe­ DIRECCION G EN ER A L DE R E N T A S Y A R B IT R IO S D E A M O R TIZAC IO N . No hay duda en que la China ha sido en todos tiempos el rio de la China es diez veces mayor que U de la F ra n c ia , y pais mas civilizado del A sia, y acaso el primero que en todo suponiendo ambos paises con una población proporcional , la M ayo de 1859. el mundo ha llega…</t>
  </si>
  <si>
    <t>EARELLANO</t>
  </si>
  <si>
    <t>…aprobó la adición de esta* palabras ¿ la disposi­ {Lo leyó.) Esto es lo que previene el reglamento. La interpela­ ría de la comisión. ción 2.a ción de Y. S. está hecha el 21 , y tanto de esta como de las que Ei Sr. R A M IR E Z D E A R E L L A N O : Doy gracias al El Sr. P R E S ID E N T E : Abrese la discusión sobre el pro­ tienen hechas varios señores se ha dado cuenta al Gobierno; de Con greso por el honor que rne ha dispensado de admitirme en yecto de ley relativo á la extracción á Portugal del corcho de U consiguiente…</t>
  </si>
  <si>
    <t>EARTISTA</t>
  </si>
  <si>
    <t>…N A G U S T IN DE BLAS. sa. La epístola, ya m oral, ya satírica, si ha de interesar, no puede hacerlo sino describiendo los hombres y los caractéres En esta o b ra , original en su clase, se presentan los prin ci­ r jN A L M A D E A R T I S T A , comedia en tres actos, arreglada pios generales que forman las cuatro clases de población , caza­ con rasgos que los graven profundamente en Ls áuimos de los al teatro español por D . Ventura de la Vega. Esta linda dora , pastoril, agricultora y agrícola-in du strial, los medios l…</t>
  </si>
  <si>
    <t>EAS</t>
  </si>
  <si>
    <t>…iones, y resolverá que se pueden admitir enmien­ sión de A ctas que habían quedado sobre la m esa, y en se­ das para evitar cuestiones como la de esta mañana que no guida continuaría la discusión pendiente, con lo que levantó I D E A S napoleánicas, publicadas por el Príncipe Napoleón dejarían de reproducirse. la sesión á las cinco y cuarto. L u is Bonaparte, y en castellano por D. Feliz Enciso C as- El Sr. A R T E T A : La duda del Sr. Benavides la encuen­ trnlon. Un tomo en 8 . ° , á 10 rs. en rústica y á 12 en pasta. tro…</t>
  </si>
  <si>
    <t>Eaton</t>
  </si>
  <si>
    <t>…nó la augusta Guerra. Reina Gobernadora, acompañada de su servidum bre, adm itir P ro cla m a que s e c h a en e l p a r te a n terio r. al Cuerpo diplomático extrangero; el cual , presidido por su PARTE NO OFICIAL. decano el Sr. Eaton, enviado extraordinario y ministro pleni­ Seis años de una guerra, que jamás debió encenderse en es-» potenciario de los Estados-Unidos de América , tuvo la honra tas hermosas y florecientes provincias, las han reducido al la-» de felicitar á S. M . en los términos siguientes: mentable estado…</t>
  </si>
  <si>
    <t>EAÉRI</t>
  </si>
  <si>
    <t>…e id ................................... .. 684 Por id. á los de Logroño y Santander por las ventas hechas pa­ ra el sorteo de 26 del referido Juoio............................................... 171 E X ISTE N C IA S ÉN FIN D E A É R IL DE 1859. Rs. vn. Mrs. Por id. al de Valencia sobre el producto de rifas.............. * .. . • 180 j . 19 Ganancias d los jugadores . . 1950959. .15 2660459 Por i billete del sorteo de 15 de Marzo de 1838 se han satis­ fecho á los jugadores por cüenta de los 525,940 rs. que les E N T…</t>
  </si>
  <si>
    <t>EBE</t>
  </si>
  <si>
    <t>…fu r o r te r rib le , G A LER ÍA DRAMATICA. jor gusto. El salón .se hallaba adornado é iluminado con un lujo sorprendente. U o a música m ilitar ocupaba una pieza con­ Sangre el herm ano de su herm ano vierte; G A B R IE L A D E B EL L E I S L E , t i g u a , y ha ejecutado d u ran te la comida escogidos trozos de M as el guerrero al fio su engaño advierte, armonía. Y "basta ya de h o r r o r ” dice sensible. d ram a en cinco actos y en prosa del célebre A lejan dro D u ra a s , La u r b a n i d a d , la alegría, la bue…</t>
  </si>
  <si>
    <t>EBI</t>
  </si>
  <si>
    <t>…o que se hace saber ai publico para su satisfacción. L u ­ EFECTOS PUBLICOS. SUBASTAS. go 12 de Noviembre de 1859.—Sanz. I»scripciones en el gran libro á 5 por 100, 00. Títulos al portador del 5 por 100, 29¿ y 50 con cupones D E B IE N D O sacarse á pública subasta la contrata del Bole­ En la terde del dia 11 del corriente se presentaron en M on- al contado: 29£ , 3 0 , £ , 29 quince dieziseisavos, 5Q£, tín oficial de la provincia de Avila para el año de I 84O, forte para disfrutar déla gracia de indulto José N ogueiro,…</t>
  </si>
  <si>
    <t>EBRÉHAT</t>
  </si>
  <si>
    <t>…n periódico de Nueva-York. Aviso á los navegantes. i mirados como indignos del verso. FA N A L N U E V O S O B R E LAS P IE D R A S Y B A JO S Parece pues que la misma naturaleza inspira ouevo lengua- LLA M ADO S H É A U X -D E B R É H A T , D E P A R T A M E N T O g e , asi como nuevos pensamientos á los poetas; pues vemos en El archiduque Maximiliano , que viaja con el nombre de todos los idiomas una diferencia tan notable en el dialecto de conde de Puchhaeen,y el Pcíocipe de Módena bajo el de con­ D E LAS COSTAS D E…</t>
  </si>
  <si>
    <t>ECARDENAS</t>
  </si>
  <si>
    <t>…El coronel de rein , los baños y el departamento de las rougérés del serrallo: los genízaros estába detrás del representante del Rey de Francia unos eunucos blancos armados con palos defendían la éutrada F E R R O -C A R R IL D E C A R D E N A S. ejerciendo en aquel acto las; funciones de capitán dé guardias. de la inorada imperial de la muchedumbre, sobresaliendo sus La falúa de la embajada de 14 remos tomó la delantera, afeminados gritos á los de la concurrencia. 1 Hace tiempo que hemos oido hablar de esta empresa , pr…</t>
  </si>
  <si>
    <t>Eceta</t>
  </si>
  <si>
    <t>…Curado, Se dió ambos por Jaén. cuenta del dictámen acerca de la admisión del señor ya de las pasiones turbulentas que han agitado otros pueblos en *ueros.” este lastimoso periodo de discordia, cifrábase solo su anhelo en El Sr. Eceta: **A la nación inglesa, que tantas simpatías D. Juan Bautista Alonso, cuarto suplente por la provincia de el restablecimiento de una paz sólida y honrosa que asegurase la mostrado por nuestra causa, corno constancia y lealtad en M adrid , en virtud de haber optado por otras los Sres. López, M…</t>
  </si>
  <si>
    <t>Echa, Claudio Sanz y Barea D. Javier</t>
  </si>
  <si>
    <t>Claudio Sanz y Barea D. Javier Echa</t>
  </si>
  <si>
    <t>…del preciso término de ocho dias en la escribanía SEMANARIO guo 18 rs., y moderno 10. Idem de otra señora sentada, puesta la máno derecha sobre un perrito que tiene en la falda: pintado por Moro, y grabado de número del Dr. D. Claudio Sanz y Barea D. Javier Echa­ por Vázquez (Bartolomé). Tiene 14 p. y 6 1. de alto, y 11 p. le®, cuyo paradero se igoora, á fin de hacerle saber unas di­ PIN T O R E S C O ESPAÑOL. y 2 1. de ancho: precio antiguo 18 rs., y moderno 10. ligencias de la causa que se siguió á su hermano D. Blas, d…</t>
  </si>
  <si>
    <t>Echaluce</t>
  </si>
  <si>
    <t>…acarla era necesario descender de la primera posi­ Resúmen.—Oficiales y tropa: 20 muertos, 66 heridos y 11 ción á una cañada. Los cazadores siguieron el alcance protegi­ contusos. Total 97. dos por la columna al mando del coronel Echaluce ; pero fue­ Caballos, 10 heridos. ron contenidos en la falda por la gran superioridad de los re­ Cuartel general de Urbina I 4 de Agosto de 1859.-E1 ge­ beldes en fuerza y posición. . neral gefe del E. M. G. , J u a n Tena. Los tres batallones de la brigada de la 3.a división y el es­ cuad…</t>
  </si>
  <si>
    <t>Echaluce, Bernardo</t>
  </si>
  <si>
    <t>Bernardo Echaluce</t>
  </si>
  <si>
    <t>…ompañías de cazadores y la columna bina 15 de Agosto de í859.=Excmo. Sr.—El duque de la V ic­ del coronel D. M artin Zurbano á las órdenes del gobernador toria.—Excmo, Sr. Secretario de Estado y del Despacho de la de Vitoria D. Bernardo Echaluce, se colocasen en el primer Guerra. estribo de la cordillera, enfilando el parapeto principal que abraza la eminencia sobre Villareal, ligándose con su gran cor­ Estado de la pérdida que ha tenido el cuerpo de ejército que dillera , y que marchase de frente una brigada de la 5.a…</t>
  </si>
  <si>
    <t>Echeverría, Juan</t>
  </si>
  <si>
    <t>Juan Echeverría</t>
  </si>
  <si>
    <t>…ropas de las costas de España. tres batallones y tres escuadrones de caballería han enviado su gidos, como de razón, entre los enemigos declarados de la N a­ Las resoluciones de M r. Duncombe no han sido aprobadas. adhesión á D. Juan Echeverría, y aguardan sus órdenes en varra y de las Provincias.” los puntos que ocupan. El Rey ha rechazado constantemente las tentativas que se La entrevista de D. Ju an con D. Carlos ha durado dos han hecho de un modo indirecto para adoptar tan horrible pro­ T orneo d e E glinton. (Extrac…</t>
  </si>
  <si>
    <t>Echeverz, Josefa</t>
  </si>
  <si>
    <t>Josefa Echeverz</t>
  </si>
  <si>
    <t>…la plaza de Alicante , somete á la calificación del Congreso mandante de aquel cantón , marques de Monsalud. D. Juan Flores M urillo, en solicitud á pensión. 1 conducta que observó en la misma en los últimos aconteci- 165. Doña Josefa Echeverz,en solicitud á pensión. 209. La diputación provincial de Santander, pidiendo se lientos ocurridos en ella. 166 . La diputación provincial de Santander, sobre form a­ decrete, por vía de aclaración, que la ley de presupuestos de 248 . El ayuntamiento de Barcelona , pidiendo se compre…</t>
  </si>
  <si>
    <t>ECHI</t>
  </si>
  <si>
    <t>…5 4 8 .. f7 659/.60 consiguiente está fuera dé! alcance del vulgo el conocimiento Aricante 8 70787..22 70925..22 político de la nación , aun en mayor distancia que el espíritu Almería 1 8 100 8100 L A G R A N M U R A L L A D E C H IN A , de nuestras complicadas leyes civiles está de nuestros mas g r o ­ Badajoz.................. 25 94805 108725 seros villanos. C ád iz. 21 475092 1005222 No es posible describir con propiedad las costumbres, leyes, Algunos viajeros curiosos que ea estos últimos tiempos h a n Córdoba…</t>
  </si>
  <si>
    <t>…ian d o a Homero. tado : 2 1 , un dieziseisayo, un treintaidosavo , ^ ,.2 0 trece dieci­ titulado seisavos y 20gf á v. f. vol. y firme: 2 1 , i y 21 un diecisei­ Las bellas artes en nuestro suelo siguen por lo gene­ D IA N A D E C H IV RI. savo á v. f. ó vol. á prima de § , £ y ¿ por 100 con cu ­ ral la misma marcha que la bella literatura. La escuela Sea cual fuere el gusto de la época, el influjo de la moda y pones. que han adoptado muchos m odernos pintores españoles, y Inscripciones en el gran libro á 4 por 1 0 0…</t>
  </si>
  <si>
    <t>ECHRI</t>
  </si>
  <si>
    <t>…esta c iu ­ APLICADO AL COMERCIO Y A LAS OFICINAS DEL ESTADO dad y su partido, en Cartagena á 26 de Junio de 1839.—Licen­ BOLETIN DE COMERCIO. ciado Amadori.zzAote mí José Antonio Alcaráz Romero. Y PO R D. M A N U E L VICTO R D E C H R IST A N T E S, para que llegue á noticia de todos, por duplicidad lo firmo en BOLSA DE MADRID. Cartagena á 26 de Junio de l859.=:Enmendado veinte.z=Vale.= gefe de sección que fu e del ministerio de Hacienda, i L. Amadori.—Por su mandado, José Antonio Aicaráz Romero. Cotización del dia 30…</t>
  </si>
  <si>
    <t>…D. Carlos al general goberna­ EN P A R T I D A D O B L E , APLICADO AL COMERCIO Y A LAS OFICINAS DEL ESTADO dor de Ciudad-Rodrigo para la entrega de dicha plaza al in­ COLECCION DE LEYES, fante. POR D . M A N U E L FICTO R D E C H R IST A N T ES, Varias noticias acerca de la posición del infante en Portu­ gal , y conatos para entrar en España. REALES DECRETOS, Confidencias interesantes de la superintendencia general de gefe de sección que fu e del ministerio de Hacienda . policía al Gobierno. En esta obra se demues…</t>
  </si>
  <si>
    <t>…ados montes en don­ 8.° adornado de tres estampas iluminadas á 4 rs. en rustica. de querían hacerse firmes. Sin embargo, esta expedición nos A los lectores corresponde meditar si es asequible ó no el POR D, M A N U E L VIC TO R D E C H R IS T A S T E S , Tía costado la perdida de unos 500 hombres entre muertos y proyecto de la autora de este discurso. En él se trata del gra­ gefe de sección que fu e del ministerio de Hacienda, heridos, y se da por muy cierto que la del enemigo no baja vamen que se sigue al estado y a las fam…</t>
  </si>
  <si>
    <t>ECI</t>
  </si>
  <si>
    <t>…d e quema d e docum entos d e la deuda pública . de esta corte. Lo que se avisa para que concurran por sí ó por les y contaduría general de Valores la recaudación de los inedio de procurador con poder bastante los que fueren. D E C IM A SE P T IM A Q U E M A . arbitrios pertenecientes al mismo monte, y á la dirección del tesoro y contaduría general de Distribución el pago de R e u n id a en la plaza de la Constitución á las once de la m a­ |us viudedades, quedando á la junta del establecimiento la ñ a n a de este día l…</t>
  </si>
  <si>
    <t>…am ente d e b e rá n extenderse y tejos de que en otro lugar hablamos. (Id.) estrecharse con las nuevas R epúblicas am ericanas, necesi­ DICCIONARIO ta forzosamente en sus intereses industriales y m ercanti­ D E M E D IC IN A Y D E C IR U G IA P R A C T IC A . les de la protección de la m arina, fbto en cuanto al in ­ Los naturales y propietarios de las provincias Vascongadas terés económ ico; pues seria una v u lg arid ad , como cosa residentes eu M adrid se hao reunido coa objeto de celebrar los Entrega 1.a del tomo tercer…</t>
  </si>
  <si>
    <t>…capaz de resistir tanta violencia; el blemente la velocidad de la corriente, de modo que DICCIONARIO Movimiento trémulo de las rocas se siente en los pies; el agua proyecta violentamente sobre una roca per­ D E M E D IC IN A Y D E C IR U JIA PR A C TICA . el ruido esparcido en todo el horizonte se oye dis­ pendicular, de 90 á 100 varas de alto, en forma de tintamente, y el estruendo producido por el golpe una sábana igualmente extendida , y de una blancu­ Entrega 18 del tomo segundo. de las aguas en aquel abismo, son sufici…</t>
  </si>
  <si>
    <t>…ino de cuatro dias , contados desde el en Hallábase inclin ada al principio á aprobar el proyecto de que se publique en la G aceta, comparezca á ratificarse en una mensaje tal como lo presentaron los autores de la proposición D E C IM A S E X T A QUEMA. declaración que tiene dada en cierta causa que se halla pendien- j ó con m u y pocas variacio nes, pero habiendo nido al Gobierno te en el referido ju z g a d o , en la escribanía principal del mismo j de S. M . , r 11 po con satisfacción que los deseos de los peticiona­…</t>
  </si>
  <si>
    <t>ECOMERCI</t>
  </si>
  <si>
    <t>…bierno político de !^s islas el autor á las; necesidades deAa escuela normal qué se abrió en Baleares.—5.* sección: En 2 del actual se admitió á D. G u i­ llermo Arner , vecino del lugar de Binibona , y D. Antonio B O L E T IN D E C O M E R C IO . Marzo, empezándole,el estudio de la Historia natural por el de . las plantas. A m e r , que lo es de esta capital, el registro de una mina de El precio de la obra completa es de 4^ rs. vn. , y la venta, B O L S A D E M A D R ID carbón de piedra en el prédio cau-Beneyt, de su pro…</t>
  </si>
  <si>
    <t>…Paz, frente á las impresión, que es una de las mas esmeradas que se han hecho Covachuelas ; y en las provincias en las administraciones de cor­ en la Imprenta nacional; reos y principales librerías, á 4 rs* mes. B O L E T IN D E C O M E R C IO . Londres 21 de Febrero. S E halla Vacante la plaza de médico-cirujano de la villa de Aravaca , distante una legua de ésta corte: su dotación I M P R E N T A N A C I O N A L Reina gran calma en la bolsa. Los valores experimentan li­ es 16 rs. diarios ,y ademas los partos y golpes…</t>
  </si>
  <si>
    <t>…e tregar eo vez de Us muías que les correspondan su valor al res­ podia contar el triun fo, no tanto sin em bargo que no o b ­ pecto de 23 rs. por cada una. servase con recelo, con política suspicacia á su contraria. BO LETIN D E C O M E R C IO El Sr. duque de G or la apoyó brevemente# El Sr. IIU tíL V E S observó que la comisioa no podía adm i­ En este estado ¿era al G ob iern o á quien tocaba marcar tir la enmienda , porque resultaría que si á una provincia le con sus primeros pasos quiénes eran los vencedores y los BO…</t>
  </si>
  <si>
    <t>…anto á la expresión. precisamente ha de verificarse en los estrados de dicha inten­ M a n iio fu e precipitado de la roca Tarpeya representa ver­ dencia general á las doce en puoto del referido dia, bajo las con­ B O L E T IN D E C O M E R C IO . diciones del pliego general, que estará de manifiesto ; y adjudi­ daderam ente la. pasión de Maniio. Los enemigos del verbo cado que sea dicho suministro al mejor postor , no se admitirá único lio lo quieren asi: y dicen que el participio preci­ proposición alguna por ventajosa…</t>
  </si>
  <si>
    <t>BO LE TIN D E C O M E R C IO . P OR providencia de este dia , dada por el Sr. juez de pri- ' subasta privada los bienes siguientes, cuya venta se anunció en mera instancia del partido de Tamajon y al presente en el Boletín oficial de Cáceres de 26 de Mayo de 1838 , en la esta de Humanes, se cita, llama y empl…</t>
  </si>
  <si>
    <t>…e Gandesa Miguel Baussell, que legitimidad , carácter ó atribuciones del poder político que ejer­ con 10 Nacionales del mismo cuerpo y uno de la compañía ció Roma pontifical , sino sobre la posición mutua en que se B O L E T IN D E C O M E R C IO . movilizada de esta villa marchasen á situarse en la Valí de hallaban entonces las dos potencias que se disputaban el im­ Masaluca freote a Batea , punto por donde transitan las par­ perio, la cristiandad y el mahometismo. A q u i, aqui está la di­ BO LSA D E M A D R I D . tidas de…</t>
  </si>
  <si>
    <t>…Eila noticia ej auténtica , y ha sido enviada con propio e la de D. J, de V. se ha sacado de las obras de mas mérito que subprefecto de Prades (Frauda). e han publicado hasta el dia. La 1.a do contiene ninguna no- B O L E T ÍN D E C O M E R C IO . úcia histórica, la 2.a contiene las necesarias para preseutarse á os exámenes sobre esta materia: la de Siñeriz tiene tomadas El dia 6 ocupoban nuestras tropas los mismos puntos de BOLSA DE MADRID-. »$ definiciones de las leyes de Partida, al pie de la letra ; en Bordon, Luco, L…</t>
  </si>
  <si>
    <t>…aí alcance de todos: que se nombren en los puntos donde se cogen ó reúnen grandes se han recopilado en ambos idiomas y en form a de d ia lo g o la s . cantidades de sanguijuelas dos farmacéuticos para inspeccionar B O L E T IN D E C O M E R C IO . principales materias del d erecho, sirviendo de repertorio, para si se cogen ó venden las muy nuevas y pequeñas, es impractica- extender cualquiera sus conocimientos en las a u la s, ó con testar, ble , y tendría necesariamente que ser demasiado costoso. Es muy BO LSA D E M A D R…</t>
  </si>
  <si>
    <t>…on­ los que no conozcan sus obras, presentará á las personas que currieron en el término prefijado de los medios que dictan la gusten favorecer su casa, muestras que han merecido la apro­ urbanidad y la prudencia. B O L E T IN D E C O M E R C IO . Seguidamente se ocupó en dejar terminada la renovación bación de profesores nacionales. de los seguros de fincas procedentes de bienes nacionales, asunto BOLSA D E M A D R ID . de que ya se dió cuenta en las precedentes juntas. Al efecto el Sr. comisionado principal de arbitrios…</t>
  </si>
  <si>
    <t>B O L E T IN D E C O M E R C IO . Otra de viduñ o Maaco y tinto eo el Pjgo de Arriba , dicho término , de 5,600 cepas, en 2,541-6.—Y otra al Arroyo del POESÍAS G ato, de 600 cepas, en el mismo térm ino, en 141 rs. con 6; BOLSA D E M A D R ID . y todas suman la cantidad de 5,625 rs. 18 mrs. Quien quisiere DE D…</t>
  </si>
  <si>
    <t>…iento, de Alonso vm , Fernando n i , Alfon­ . rita Elisa Norigat Hurtado de Mendoza, secretaria. dirigiéndolas los ausentes francas de porte al secretario inte­ so el Sábio, Sancho iv y Pedro m . rino del cuerpo. B O L E T IN D E C O M E R C IO . T OS suscriptores al Diccionario universal de Mitología ó de le Fábula, escrito en francés por N oel, y traducido ál BIBLIOGRAFIA. castellano por B. C. P. , acudirán á recoger las entregas í i y 12 BOLSA DE M ADRID. en M adrid á la librería de Cuesta, en Barcelona en la de Sell…</t>
  </si>
  <si>
    <t>…renta Nacional. bras no cantan. Por lo que respecta á los machos, no repi­ tercer modo de cantidad que se puede llamar imaginación. ten los cantos que hayan oido. «Si se loman los huevos de un pájaro que canta, se le BO LETIN D E C O M E R C IO . L A MARIPOSA, pot.en para que los empolle á otro que no canta, y se crian los poiluelos en la soledad, sin que llegue á sus oidos nin­ F O N D O S P U B L IC O S . PERIODICO DE LITERATURA Y MODAS. gún canto, cuando ios machos lleguen á la edad de su Londres 12 de Abril . ! El dia…</t>
  </si>
  <si>
    <t>…cedió á celebrar el todo esto , repito , sabrá apreciar como debe no solo el mérito sorteo de los nueve jueces de hecho que con arreglo á la ley de­ material de la acción de ayer, sí que también la influencia mo­ B O L E T IN D E C O M E R C IO . ral que] puede tener sobre el pais, sobre el ejército y aun so­ bían componer el jurado , y habiéndose verificado con las for­ bre la facción misma. malidades que la misma previene, tocó á los sugetos siguientes: BOLSA DE M ADRID. N o puedo dar detalles sobre esta victoria ; pe…</t>
  </si>
  <si>
    <t>…luido el fuego. del Calendario. El traductor ha añadido notas físicas ó astronómicas en va­ rias partes de la obra , que nos han parecido muy sabias y oportunas, señaladamente la 7.a en que explica el fenómeno de B O L E T IN D E C O M E R C IO . las interferencias en la luz. Mr. Arago parece creer (pág. 17) la vuelta que los fenicios BOLSA D E M A D R ID . daban al A frica, navegando desde el mar Rojo por el cabo de Buen» Esperanza y por el estrecho de Gibraltar hasta la embo­ Cotización del dia 25 d las tres de la tar…</t>
  </si>
  <si>
    <t>…ritores de nuestro siglo y de Un cuaderno en 4»° m arquiila, impreso en 1784 5á 2 rs. en los anteriores. rústica. dias. Condiciones de la suscripción. Esta obra constará de un tomo en 8.° m a y o r, de unas 500 B O L E T IN D E C O M E R C IO . un abono de 1 5 0 Cada función en páginas de impresión, igual carácter dé letra que el de este 6 rs. 17 mrs. 33 rs. 46 por 100. 29 rs. prospecto y buen papel. Se dividirá en tres cuadernos de 100 BOLSA D E M A D R ID . páginas poco mas ó menos. Queda abierta la suscripció…</t>
  </si>
  <si>
    <t>ECONS</t>
  </si>
  <si>
    <t>…ona que guste hacer postura acudirá dentro de di­ aplausos ha merecido én todas sus representaciones, titulado 8 .2 5 5 ..... 1000 . . . . . . . Santander. cho término a la escribanía de número de D. Manuel Mateos, E L A R T E D E C O N SPIR A R . 7 8 5 .... 4 90............... Zaragoza. que se admitirán las que se hicieren siendo arregladas. 1 7 .7 4 5 .... 4^ ................ Alicante. 6 .7 0 7 .... 4^ 0................ Madrid. 15,601------- 4 0 0 . . .......... Idem, E L Sr. D. Tomas Pacheco ^magistrado honorario de…</t>
  </si>
  <si>
    <t>…apel. bemos considerar que antes que se hubiese conocido el fenóme­ no de la nutación ni adoptado el movimiento de traslación de Alicante, 1 papel d. S an tander, ¿ d. Santiago, 2 á d. ANTIGUO Y MODERNO ESPAÑOL, E L A R T E D E C O N SPIR A R . la tierra , era practicado de los astrónomos el método de las lon­ Barcelona á ps. f s ., | id. b. Sevilla, \ á par b. NotaY. DEL En celebridad del cumpleaños de S. M. la Reina Go­ gitudes y latitudes de los astros. Sugiriólo en nuestro entender, Bilbao, I d. V a le n c i a ,! d.…</t>
  </si>
  <si>
    <t>…, y tiguo relox que adornaba la alcoba daba las diez de la no­ riano José de Larra , titulado pretendía que el precio reclamado por su Fleurant no era ra­ che. Varias personas, llorando todos, rodeaban el lecho del E L A R T E D E C O N SPIR A R . zonable. Los jueces indecisos acabaron por llamar á dos médi­ moribundo. Dos hermanas de la Caridad estaban arrodilladas cos para juzgar del caso ; y habiendo interrogado aquellos al junto al lecho del moribundo, y rogaban á Dios por su alma paciente sobre el régimen que se le…</t>
  </si>
  <si>
    <t>ECONÓMICA</t>
  </si>
  <si>
    <t>…or medio de p r i­ tres brazos de la legislatura adoptasen una disposición semejan­ vilegios, exenciones, franquicias, noblezas y otras gracias de t e , obedecería á la l e y ; pero actualmente tendré escrúpulo de SO C IE D A D ECONÓMICA M A T R IT E N SE . esta clase.” Las secciones no pueden negar que el fomento de to­ apartarm e de la marcha regular siempre seguida por los conse­ jeros de la corona.” I n fo rm e sobre la industria v i ñ e r a , p r e s e n ta d o d la s o c i e ­ das las iodustrias seria un medio par…</t>
  </si>
  <si>
    <t>ECR</t>
  </si>
  <si>
    <t>…fondo de las cosas, yo 110 hablaré de un m i ­ nisterio que no pertenece á ninguno de los matices que han B olsa d e hoy . Cinco por 1 0 0 , i 10 fr. 50. vencido en las elecciones, como si fuese posible velar por in te­ REAL D E C RET O . Tres i d . , 81 fr. 4O. reses morales y materiales sin tener opinión. {Risas.) Acciones de banco , 2700. Mr. Lamartine: La susceptibilidad de que me acusa M r. P o r servicio s esp eciales h e ch o s a l E stad o , se c o n c e d ie ­ Deuda activa española, 20| . Guizot es la de 200 mi…</t>
  </si>
  <si>
    <t>…rde no durante la m enor edad de mi excelsa Hija la R e i ­ á Y. E. muchos anos. Madrid 1.° de Junio de ltf3 9 .= C a r - na D o ñ a Isabel i i , vengo en decretar lo siguiente : ram olin o.= S r. D. Antonio Quiroga. R E A L D E C RE TO . A r t í c u l o í .° C o m o medida provisional para el C om o Regente y G obernadora del reino durante la sostenimiento del culto y clero , y para atender á otras m en or edad de mi excelsa Hija la Reina Doña Isabel n, obligaciones precisas y perentorias del E sta d o , sin PARTE NO…</t>
  </si>
  <si>
    <t>ECRE</t>
  </si>
  <si>
    <t>…nada de esto, pero si E nero d e 1839.— A D. Pió Pita P í z u t o . N O T IC IA S EXTRANG ERAS. quiere una conferencia: ¿ y cuál seria la utilidad de este expe­ diente? Desgraciadamente estoy muy convencido de que esa R E A L D E C R ET O . F R A N C IA . conferencia no conduciría á nada; decididos corno estamos á no conceder dinero ni hombres ¿cuáles serian los resultados de C onsig u ien te á lo dispuesto en mi R eal d ec reto d e esta Paris 28 de Diciembre . ella? Decididos á permanecer en esta integridad perfecta fec…</t>
  </si>
  <si>
    <t>ECRETO</t>
  </si>
  <si>
    <t>…OFICIAL. nes acerca de la constitución del Gabinete. Expuso que la a t r i ­ bución que le estaba conferida de presidir las sesiones no cons­ t i t uí a una presidencia real y efe c t i va ; que el R e y no estarí a R E A L D ECRETO. bastantemente á cubierto por una presidencia que no presenta­ NOTICIAS E X T R A N G E R A S. ba los caracteres de una responsabilidad completa ; que era prc- No p erm itie n d o á D. José F e rra z el actual estado de su ciso de s i gn a r un presidente efecti vo; que por lo tocante á él…</t>
  </si>
  <si>
    <t>…propuesto, á saber: imponer y dis­ Sección 5.a Que en el caso de actual invasión del territo­ persar sin m ayor resistencia aquella reunión, resultando un rio de los Estados Unidos por cualquiera potencia extrangera, R E A L D ECRETO . muerto y un herido por parte de los amotinados; de los cuates ó de descubrirse en la opinión del presidente la existencia de huyeron muchos por la puerta del Pveal y unos 50 se encer­ un peligro inminente de semejante invasión antes de que el raron en el Temple después de abandonar una pi…</t>
  </si>
  <si>
    <t>ECRETOS</t>
  </si>
  <si>
    <t>…o al cabecilla Pastor, que con otros cinco mas acababa de talud. salir del primero; y siguiendo sus huellas hasta muy cerca de la noche, logró alcanzar á dichos seis rebeldes y capturarlos. Se lee en el Courier : R E A L E S D E C R E T O S. S. M. enterada y satisfecha se ha dignado mandar se haga Mr. Shaw Lefevre ha sido electo ayer para la presidencia D eseando d a r al capitán general del ejército D. Bal­ que mención honorífica del comandante D. Manuel C arande, y de la Cámara de los Comunes por una mayoría de 18 voto…</t>
  </si>
  <si>
    <t>…a r n ic ió n , continuarán cesitaba aquella República del esfuerzo y unión de todos sus en el goce de los empleos y clases que obtenían al tiempo de h ijos, el gobernador de la provincia de Corrientes levanta el R E A L E S D E C R E T O S. pronunciarse, ó bien se les considerará separados absolutamen­ estandarte de la rebelión para segundar las unirás del alm iran ­ E n v ir t u d de la p re r o g a tiv a q u e m e c o m pete p o r el te del servicio, si asi lo quisieren. te francés, cediendo á las pérfidas sugestione…</t>
  </si>
  <si>
    <t>EDATI</t>
  </si>
  <si>
    <t>…icas y par­ dos en general, ñera que puedan tados. ticulares. ganar su su s - TO TA LES. Dos proyectos importantes ocuparon ademas la atención de ; tentó. dicha sociedad; mas desgraciadamente todavía no ha podido L A P A L M A D E D A T IL . realizarlos: por el uno trataba de establecer una colonia rural, destinada á recibir exclusivamente á los cumplidos, y bajo el 1828 2 01 .. 201 19 La palma de dátil es uno de los árboles mas magestuosos que sistema de las colonias fundadas por la sociedad de beneficencia; 1829 594 70 46…</t>
  </si>
  <si>
    <t>Edessa</t>
  </si>
  <si>
    <t>…monseñor Ignacio Cadolini, A rt. 82. Asimismo cuidarán los intendentes de que en cum­ consistorial, arrodillado delante de la Sede pontificia , habló á plimiento del art. 8.° de la ley de esta fecha, se inserte cada arzobispo de Edessa, que presente se h alla , eficazmente supli­ su Santidad de la manera sigu ien te: cando, que la dimisión pedida del cardenalato y del obispado, ines en los boletines oficiales una relación de los pagos hechos Beatísimo Padre: Monseñor Ignacio C adolini, arzobispo de por los ayuntamientos á…</t>
  </si>
  <si>
    <t>Edhem-bey</t>
  </si>
  <si>
    <t>…amos algunos pormenores sobre el progreso de la instruc­ mos reconvenirle por otros medios que recordándole los discur­ Mr. Munch de Beliinghausen salió de Francfort el 24 con ción en Egipto, extractados de una carta del general Edhem-bey, sos dei Santo Padre , y la circular de Mr. de Bonald. {Temps ) dirección á Viena. El Príncipe de Metternich debe llegar ministro de instrucción pública, que estuvo educándose en Pa­ el 28. 5 rís hace 15 años , y que últimamente ha estado en esta ciudad En ta tarde del domingo 20 de Octubr…</t>
  </si>
  <si>
    <t>EDI</t>
  </si>
  <si>
    <t>…CORTES. greso 20 de Diciembre de i858.q:Argüelles.=Rey.=iSancho.=: se me diga que me valgo de estas razones, entraré en otras mas Armendaríz.=:01ózaga.=Bravo M urillo.=N. R ipoll, secretario. sólidas y fuertes, . C O N G RESO D E D IPU T A D O S . Aunque estamos conformes con el dictamen de nuestros La cuestión en que se funda el voto particular es esta : si el PRESIDENCIA DEL SEÑOR TSTURIZ. apreciábles compañeros de comisión, creemos indispensable que Diputado de qué áje trata no fue preso infraganti 9ha habido se añada…</t>
  </si>
  <si>
    <t>…seria complicada si se to­ mase el cargo de recaudar las contribuciones, no haciéndolo los para la independencia de la Bélgiea, Hacemos sinceros votos ay untamientos. Asi es, que á pesar de haber impugnado la me­ CO N G R ESO D E D IP U T A D O S . por un pueblo al que nos ligan estrechamente la identidad de moria del Sr. Meudizabal , al llegar al punto de contribuciones principios y de intereses. L a Cám ara espera con confianza el tuvo que mirarlo con detención. Por todas estas consideraciones PRESIDENCIA D EL SEÑOR I…</t>
  </si>
  <si>
    <t>…esta hoy diciendo que es absolutamen­ cionados por las distinciones honoríficas y premios que distri­ te falso que haya dado semejante contestación. buye , prévia una calificación y opinión imparcial emitida por C O N G R E S O D E D IP U T A D O S . una comisión de individuos del cuerpo, y otros que no lo son, variados á cada exposición. PRESIDENCIA DEL SEÑOR V IC EPRESID EN TE ZUM ALACARREGUl. Lóndres 25 de Octubre. A las cuatro. En la actual, atendido con rigor el contexto y condiciones Consolidados á cuenta 9 0 | á q…</t>
  </si>
  <si>
    <t>…á las leyes, reglamentos , disposiciones de la autoridad! superior y ordenanzas m unicipales. 4-° Procurar la conservación dé las fincas pertenecientes del D irección gen eral de R en tas p ro v in c ia le s. C O N G R E S O D E D IP U T A D O S . común. ‘ 5 ° Celar el buen desempeño de los adm inistradores y em­ En Real orden de 28 de Enero últim o se ha servido S. M . P R E S ID E N C IA D E L SEÑOR IST U 1U Z . pleados en la recaudación é intervención de los fondos co­ declarar sin efecto el remate celebrado en Barce…</t>
  </si>
  <si>
    <t>…por la secretaría de mi pudiera tener la mas ligera sospecha de qúe otra puede ser la actual cargo á J 04 interesados con fecha 18 del mism o, fueron inteligencia de esta expresión, ruegb al Sr. Presidente que se; C O N GRESO D E D IPU T A D O S. repuestos varios magistrados que habían sido destituidos por sirva m and ar leer el art. 29 2 dé la C onstitución del año 1812,* otro Real decreto&lt;de 28 de Mayo de aquel año. Entre los re­ que corresponde á u n título que en el dia está en vigor conió 1 PRESIDENCIA DEL SEÑOR IST…</t>
  </si>
  <si>
    <t>…e forman y han de sostener la socie­ no haber sido sorteados, y habían prestado el juram en to , no d a d , deseen contribuir al objeto de su institución. debían quedar privados del derecho que tienen á componer par­ CO NGRESO D E D IP U T A D O S . 5 .a Los socios se comprometen á satisfacer la suma an u al &gt; te de dichas comisiones. de 20 rs. y á prestarse á desempeñar los encargos análogos al Suscitóse una ligera discusión entre los Sres. conde de E z ­ S esión d e l dia 2 d e S etiem b re . objeto que la sociedad les…</t>
  </si>
  <si>
    <t>…o de las instituciones que felizmente nos rigen, y ofrece al pueblo español dias de prosperidad y ventura. NOTICIAS EXTRANGERAS. CORTES. El feliz anuncio de esa divinidad benéfica, hija de la re­ FR A N C IA . C O N G R E SO D E D IP U T A D O S . conciliación y de la armonía , y ante la que deben enmudecer tas pasiones que nos dividen , si en todas partes fue acogido París 25 de Setiembre . P R E S ID E N C I A DEL SEÑOR CALATRAVA. ron muestras espontáneas de la mas cordial alegría y universal Sesión del dia 2 de Octu…</t>
  </si>
  <si>
    <t>…ario de Estado y del Despacho de la Guerra, GRA N BRETAÑA. CORTES. El comandante general de las provincias de Ciudad R.eal y Toledo en su parte periódico de novedades, fecha 50 del ante­ Lond res 2 2 de Agosto. C O N G R E SO D E D IPU T A D O S . r io r , dice que el alférez de cazadores á caballo de la Guardia Real D. Ramón Ricoy rechazó y dispersó á 50 facciosos de En las dos Cámaras del Parlamento los Ministros han de­ Sesión d el dia 5 de Setiem bre. Palillos que se le habian presentado en actitud hostil , causán­ jad…</t>
  </si>
  <si>
    <t>…l cual he señalado el día 29 de Euero próximo y hora de las doce de su mañana en CORTES. el panle que me da el gobernador militar de Sanlucar de Bar­ mi despacho, sito en el extinguido convento de S. Francisco, y C O N G RESO D E D IP U T A D O S . rameda, y por noticias particulares, he sabido que al Excelentí­ en el de que se entenderá el término de la nueva contrata des­ simo Sr. general D. Ramón María Narvaez se le ha dado una de que merezca la Real aprobación hasta fin de Setiembre del PRESIDENCIA DEL SEÑOR ISTURIZ.…</t>
  </si>
  <si>
    <t>…opias certificadas bricas á las capitales de las provincias no son objeto de las a esa dirección y contaduría generabde Valores, asi cómo subastas que deben realizarse, porque están lo mismo que C O N T A D U R ÍA G E N E R A L D E D IS T R IB U C IO N . del pliego de condiciones, uno y otro antes del 15 de su fabricación a cargó de la empresa de Llano Chavarry, A bril, bájoé'la efectiva responsabilidad de los intendentes con quien el Gobierno las tiene contratadas. * Circulares. y contadores, para que se térigari presentes…</t>
  </si>
  <si>
    <t>…termino iScc. &amp;c. costum bres y escenas d e la v id a d e m ar. El Castillo de San Alberto. H ago saber : Que S. M. la Reina Gobernadora (Q. D . G.) El Abuelo. por Real orden de 20 de Junio último se 'ha servido mandar O B R A D E D IC A D A E S E N C IA L M E N T E La hija del avaro. que el calendario ó aimanak civil de Castilla la N u e v a , que Carlos v n . comprende las provincias de M a d rid , Guadalajaira, Cuenca, d rectificar las ideas que se tienen en la actualidad en E s­ El suicidio rom ántico. Toledo y Mancha a…</t>
  </si>
  <si>
    <t>…ra, las ciencias y el CORTES. presentarla al art. 1.° ó 2.° del proyecto de la mayoría ó mi­ noría. Por tanto , señores, yo ruego al Congreso que se lea la com ercio, y á proporcionar á sus habitantes las riquezas, el CONGRESO D E D IPU T A D O S. enmienda y pase á la com isión, supuesto que nos ha dicho uno bienestar y el aumento de que tan susceptible es el suelo fe­ de los individuos que no hay inconveniente. raz de nuestra. España , y de que les han privado desgracias P R E S ID E N C IA DEL SEÑOR CALATRAVA. El Sr. INÍG…</t>
  </si>
  <si>
    <t>…CIAL. dad que en breve va á disfrutar la magnánima nación á que nos gloriamos pertenecer. Todos deseábamos la paz, porque eramos españoles todos, y CORTES. veíamos con ardor profundo correr á torrentes la sangre de CONGRESO D E D IPU TA D O S. tantos valientes, de nuestros hermanos. S. M. la R e i n a , s u augusta Madre la R e in a G o b e r n a ­ Llegó por fin el venturoso dia en que un caudillo ilustre, PRESIDENCIA DEL S E Ñ O R C A L A T R A V AS. d o r a y la Serma. Sra. Infanta Doña María Luisa Fer­ exento de ex…</t>
  </si>
  <si>
    <t>…capitán general de las Islas Bagares para que sean puestos en libertad CORTES. 1 b k ° S ^ r6S ^ 0nza^ez Alonso 9 Benavides y otros piden la p a - los hijos de aquel y la h.ja del general enemigo Segarra que se C O N G R E SO D E D IPU T A D O S . E1 Sr. C O R T A Z A R haciendo una breve historia de lo que mandaron arrestar por vía de represalia para obligarle á veri- paso en aquellas elecciones y en la constitución de ía mesa co­ ncar la devolución de dichos 12 niños PRESIDENCIA DEL SR. ZU MALACARREGUI. mo también de l…</t>
  </si>
  <si>
    <t>…26 ocurrir con la entrada de dichos auxiliares , y parece ofrecen Pontevedra, 55 4^5627.. 15 4 ^ 9 5 7 4 « l2 reintegrarles de ello dentro de dos años. Esto no deja de causar en nuestro favor algún buen efecto, M A D R ID 6 D E D IC IE M B R E . Total de foros adjudicados pues se han de persuadir los vecinos de la montaña que con en el mes de O c tu b r e ... 98 1015407..12 1107002..26 continuas engañifas se les irá pasando, hasta que dejándoles en Id. anteriormente. . . . . . 735 7586464-51 8927268..20 camisa , se…</t>
  </si>
  <si>
    <t>…gún resulta del es­ sente de la guerra , y en fin para obtener un medio de hacer tado presentado por el Sr. M inistro de H acienda resulta que el; menos oneroso este gravam en , evitando los vicios económicos, C O N G R E SO D E D IP U T A D O S . débito de la provincia de M álaga es de 2 3 .2 0 0 ,0 0 0 r s ., sin in ­ adm in istrativo s y de todas clases de que adolece en gran parte la requisición. clu ir en esto los débitos de am ortización y otros, y que siendp; PRESIDENCIA DEL SEÑOR ISTURTZ. esta ciudad con poca d…</t>
  </si>
  <si>
    <t>…e nombrasen la comisión. no podia el Senado aprobar el artículo por falta de explicación El Sr. G O N ZALEZ dijo que tenia que m anifestar con sen­ precisamente en el punto mas im portante de la le y , en la clase CO N G RE SO D E D IP U T A D O S. tim iento que no desistia de la enm ienda que h ab ia hecho al p ro - de créditos que habían de adm itirse para la compensación : base yecto de extracion de corcho. p rin cip al de la le y , y base que no estaba explicada ; pues según PRESIDENCIA DEL SEÑOR IST U R IZ . Se acordó…</t>
  </si>
  <si>
    <t>…e solo le había movido á Dice que esta cuestión se ha equivocado desde que usó de la tom ar la palabra el deseo de que se dejase expedita la acción del pab bra el Sr. Isla Fernandez, pues que lo que únicamente de- CO N G RESO D E D IPU T A D O S . G obierno, porque lo necesitaba. IL haber ocupado al Senado era la idea del m ensaje, mas 110 El Sr. FU EN TE S expuso que el artículo estaba en su lugar, hah rse e trometido en otros objetos que no son de la cuestión. PRESIDENCIA DEL SEÑOR ISTU R IZ. porque era preciso que se c…</t>
  </si>
  <si>
    <t>…ito y poder Se lee el 5.° concluir la guerra. Por esta razón todas las medidas que se han El Sr. O V EJERO :. Seré breve, pues únicamente he toma­ propuesto en la Hacienda me han llamado la atención, y las he C O N G R E S O D E D IP U T A D O S . do la palabra para que conste mi voto, contrario á estas con­ comparado con el anuncio hecho por el Ministro. cesiones; y para evitar el haber tenido que tomar la palabra Se han presentado tres leyes: en la primera se propuso el PRESIDENCIA DEL SEÑOR I STURIZ. de los artículos…</t>
  </si>
  <si>
    <t>…ués de a pro-* badas las actas electorales, podría decir que se suspendiese esta* discusión ; porque ¿de qué sirve el articulo 7.°* del reglamento ro Argiielles.z:Excmo. Sr. Secretario de Estado y, del Despacho C O N G R E SO D E D IPU T A D O S . si no ha de producir ningún.resultado ? ¿Q u é objeto se tuvo de la Guerra. PRESIDENCIA DEL SEÑOR ZUMALACARREGUI. al poner este artículo? El que el Congreso se constituyese cor* la mayor prontitud posible ; ¿ y cómo se ha de conseguir, esto Sesión del dia 9 de Setiembre si entr…</t>
  </si>
  <si>
    <t>…tió en la siguiente ;,y el lunes i.° del actual una corrida de novillos , dando el m $- Inspección de minas de la provincia de M álaga.—Nota de yor realce á estas festividades las iluminaciones públicas de ías C O N G R E SO D E D IP U T A D O S . as minas registradas, denunciadas ó abandonadas en esta ins­ tres noches, la asistencia de la Milicia nacional y de una par­ pección en todo el mes próximo pasado. tida del regimiento caballería de la A lbuera, 5 .° de ligeros, PRESIDENCIA DEL SEÑOR CALATRAVA. D. José Leciares…</t>
  </si>
  <si>
    <t>…comisiones que sobre ellos han de dar dictárnen. Para el pronto y expedito despacho de los negocios del ministerio de Marina, Comercio y Gobernación de Ultramar, del que os halláis encargado, tengo á bien con­ C O N G R E S O D E D IP U T A D O S. cederos, á nombre de mi augusta Hija la Reina Doña Isa­ T?L juez Sr. D. Benito Serrano y A liaga, magistrado honorario, de primera instancia en esta corte, por providencia re­ bel ii, la gracia y facultad de usar de la media firma Chacón en todos los oficios, órdenes , cédulas,…</t>
  </si>
  <si>
    <t>…stán suspensas aünque no se quedó compensado y observada la ley. ¿ Y no hizo bien en han presentado con graves dificultades, ni ha caído resolución? eso? Sí señores, porque el que está en un cargo público debe C O N G R E S O D E D IPU T A D O S . Y o , que no quisiera hacer nada mas que lo que me correspon­ contemporizar con la opinión; y si no hubiera procedido de PRESIDENCIA DEL SR. ZU MALACARREGUI. de , desearía saber la opiuion del Congreso sobre este punto ese modo , puede que se hubiera dicho que quería restringir…</t>
  </si>
  <si>
    <t>…na clase elevando á otra, y úni­ á 15 años, y entre ellos un hermano m ió, que sufrieron las camente lo he hecho para mirar esta cuestión como constitu­ mismas fatigas y peligros, ¿y estos han de ser pospuestos á los CONGRESO D E D IP U T A D O S. cional, legal y de reglamento; y para poder sentar mi obser­ demas? Casos de heroísmo hubo en unos , y casos de heroísmo PRESIDENCIA DEL S E Ñ O R C A L A T R A V A. vación ruego al Sr. Presidente se sirva mandar leer la facultad en otros; todos deben ser iguales en los premios,…</t>
  </si>
  <si>
    <t>…suspensión del periódico que se publicaba en esta corte con el nombre de Guirigay. para una reconciliciacion general; y poniendo coto al vértigo de pasiones desenfrenadas, hace cesar los torrentes de sangre es­ C O N G R E SO D E D IP U T A D O S . El Sr. L O P E Z D E P E D R A J A S : Que se lea esa expo­ pañola abundantemente derramada en los sei.» años de desastro­ sición. P RE SI D EN CI A DEL SEÑOR CALATRAVA. E! Sr. P R E S ID E N T E : Es obligación el leerla. sa lucha, economiza gastos inmensos, y fija en lia el p…</t>
  </si>
  <si>
    <t>…stito, á la caja de Amortización De Real o rd e n , com unicada por el expresado Sr. Mi­ y que lo demas no lo consideraba tan esencial, porque en rea­ nistro de la G o bernación, lo traslado á V* S. para su in ­ C O N G R E SO D E D IP U T A D O S . lidad esta primera parte es la base; los demas son pormenores teligencia y efectos consiguientes á su cum plim iento. Dios para mí sustanciales, pero no tanto como la base. g uard e á. V. S.m uchos años. Madrid i d o h-ncro de 1831L— PRESIDENCIA DEL» SEÑOR TSTLRIZ. Por esta razó…</t>
  </si>
  <si>
    <t>…avarra á D. Jo aq u ín Bayona, nuestra Reina Doña Isabel i e , á vuestra augusta persona y á la e n reem plazo de D. José Perez de Necochea, obispo elec­ libertad de la nación. Jaén 7 de Setiembre í859.=Señora,— C O N G R E SO D E D IPU TA D O S. to de Oviedo. T endréislo en ten d id o , y lo com unicareis á Vuestros mas fieles empleados.=:P. A L. R. P. D. V. M.zzEl P R E S I D E N C I A DEL SEÑOR CALATRAVA. qu ie n corresponda para los efectos convenientes á su cu m ­ intendente interino, Alejandro Aniceto M adrid.—El co…</t>
  </si>
  <si>
    <t>…a mism a, llevando la palabra el primero, y de la mos beneficios positivos, que son los que hablan al alma y CORTES. cual usó en los términos siguientes: persuaden: habrá nacional ¡dad, y la España volverá á ser C O N G R E SO D E D IP U T A D O S . "Señora: El rector y cíáustro de la universidad de Yalla­ tan poderosa como fue, y aun mas, porque será mas ilustra­ PRES IDENCIA DEL SEÑOR CALATRAVA. dolid , por medio de esta diputación de su seno, tienen el alto da : y crea ciertamente V. M. que los partidos políticos, se­ h…</t>
  </si>
  <si>
    <t>…ibuciones en los términos otra persona, no ocultándoseme lo que son las regencias, y las que be expuesto, el año parlamentario empieza hoy, no suce­ dificultades que tendría que haber por el choque de las opinio­ C O N G R E SO D E D IPU TA DOS. derá lo mismo. Ojo avizor, Diputados; la obligación que os han nes en la elección, y persuadido sobre todo de que en el triste impuesto vuestros comitentes es que os deis á respetar. tristísimo caso de que hubiese de procederse á la elección por P R E S I D E N C I A D E L S E Ñ O R…</t>
  </si>
  <si>
    <t>…nto á esta indus­ El Sr. Ministro de la G O B E R N A C IO N : A mí me admira CORTES. tria , que puede decirse que lia llegado al último grado de per­ que el Sr. Mendizabal haya extrañado que el Gobierno tolere C O N G R E SO D E D IP U T A D O S . fección , á pesar de haber tenido que vencer los obstáculos que en silencio esta discusión sobre si el documento público de que existen en aquel pais. procede la promesa de que se trata , es ó no una verdadera ley, PRE SID E N CIA DEL SEÑOR CALATRAVA. Desembarazado asi de esta…</t>
  </si>
  <si>
    <t>…las y el de la em­ blo de su naturaleza , los bienes que posean y en donde están ra­ presa, en la cuál se conferenció sobre el modo de proceder al dicados. Las autoridades ó particulares que tengan conocimien­ C O N G R E S O D E D IP U T A D O S . deslinde del terreno, proponiéndose por las cinco villas, como to de todos ó alguno de dichos extrem os, se servirán manifes­ medio mas seguro, el de un apeo parcial, y por la empresa el tarlo en este gobierno político á los indicados efectos. M a­ PRESIDENCIA DEL SEÑOR ISTU R…</t>
  </si>
  <si>
    <t>…eración. hacerlo. presentar el mensaje. Va á jurar el Sr. marques de Falces, Se­ Se leyó otra del Sr. Ferrer acerca de que se haga mención nador por Jaén. en el proyecto de contestación del arreglo de aranceles. C O N G R ESO D E D IP U T A D O S . Asi se verificó. Su autor la apoyó brevemente haciendo ver la necesidad de El Sr. P R E S ID E N T E : Las secciones se servirán reunirse. hacer este arreglo como medioel masá propósito para sin o ex­ PR ES ID EN C IA DEL SEÑOR CALATRAVA. Se retiraron á la una y veinte y cinc…</t>
  </si>
  <si>
    <t>…ue protestaba como En atención á pertenecer á las filas de la M ilicia nacional la el Sr. López contra la influencia e^a los actos del Gobierno de mayor parte de los individuos facultativos de las cuatro p r i­ C O N G R E SO D E D IP U T A D O S . meras secciones, y tener entendido la junta gubernativa que personas extrañasen perjuicio de nuestros i o tereses. N o habiendo quien tuviese pedida L palabra se hizo la pre­ aquella estará empleada en funciones del servicio en la mañana P K E S í D Ej VCí A D E L SEÑOR C A L…</t>
  </si>
  <si>
    <t>…ampliamente satisfechos, ¿ y gravedad. Esos ciudadanos después de haber cumplido el año por qué? Porque en este asunto jamás puede temerse la discu­ de su condena, se presentaron al gefe militar para que les diera C O NG RESO D E D IPU TA D O S. sión y publicidad, pues cuanto mas se trate de este negocio, sus pasaportes, y dijo la autoridad que 110 podia cumplirlo, mas se convencerá el ánimo del Congreso de la rectitud de las porque habia orden del Gobierno para que continuara. Y yo PRESIDENCIA DEL SEÑOR ISTU RIZ. person…</t>
  </si>
  <si>
    <t>…erminaron interior. d ían á conservar sus puestos, nunca se oponían á la voluntad el tiempo de hacer esta uniformidad, que conforme puede ha­ del monarca. cerse dentro de uno-, dos ó tres años , puede tardar 40 ó 50; CONGRESO D E D IP U T A D O S . A qu i están conocidos el poder absoluto, la impotencia y la y cuando según el artículo estos códigos y leyes lleguen á re­ imposibilidad del cuerpo legislativo, que tenia que luchar con g ir , serán comunes á todos los españoles en las causas civiles y PRESIDENCIA DEL SEÑOR C…</t>
  </si>
  <si>
    <t>…OR MOSCOSO DE A L T A M IR A . les? T o d a v í a en consideración á afecciones personales puedo c i­ Sesión del dia 22 de Enero . tar otro hecho. C u a n d o se estaba form alizando esa proposición que da l u ­ C O N G RESO D E D IP U T A D O S. S e a b r ió á la una y cuarto . g a r á esta d i s c u s ió n , entonces mismo los Palillos acometían á P R E S ID E N C IA D E L S E Ñ O R I S T U R I Z . L e í d a el acta de la a n t e r i o r , quedó aprobada. dos pueblos de E x tr e m a d u r a : ¿ y cómo hacía n la g u…</t>
  </si>
  <si>
    <t>…ra que la Rusia v la Prusia se CORTES. autoridades y corporaciones reunidas con un inmenso concurso han separado de la Couferencia. (Comnierce.) de gentes acudieron á la iglesia catedral á tributar al Señor con C O N G R E SO D E D IPU TA D O S. uu solemne Te Deum acción de gracias por tan singular be­ El Courrier Anglais dice: neficio. Después la Milicia nacional y guarnición formaron en Cor.e la vez ea C onstaatioopla, y entre los oficiales de las P R E S I D E N C I A DEL SEÑOR CALATRAVA. gran parada , y puesto á su f…</t>
  </si>
  <si>
    <t>…s, pero pre­ linfáticos y á las afecciones morales. Creo ademas que la caren­ senta resultados mas felices; en una palabra, puede reasumirse cia de distracción, de ocupación, de ejercicio, unida al aisla­ EL R EY FEDERICO V I D E D IN A M A R C A . en algunos puntos principales: miento absoluto y prolongado , ejerce igualmente una acción 1 .° La emauci pación de ios siervos. desastrosa en el cerebro, porque concentra toda la actividad del Federico vi, que nació en 28 de Enero de 1768, iba á cum­ 2.° La abolición del tráf…</t>
  </si>
  <si>
    <t>…júbilo en anunciar tan sencilla felicitación, Pasó á las secciones una proposición del Sr. Ramonet para rogando á V. M. se digne acogerla con su nunca desmentida que se nombre una comisión de Corrección de estilo. C O NG R ESO D E D IP U T A D O S . benevolencia , en tanto que reiteran los mas ardientes votos por Se dio cuenta, y fueron aprobados los dictámenes de la co­ las preciosas vidas de Y. M. y vuestra augusta Hija , tan ín­ misión de Actas sobre las de las proviocias de Alava , Alme­ P R E S I D E N C I A DEL SEÑO…</t>
  </si>
  <si>
    <t>…imos deseos de Y . M . , y á la de la reconciliación, solo esperamos dias venturosos y feli­ Union fraternal y conciliadora de todos los españoles. Reser­ ces, contando que el Congreso nacional apoyará las miras C O N G R E S O D E D IP U T A D O S vados estaban, Señora, por el Altísimo los faustos sucesos de vuestro Gobierno para la entera pacificación del suelo es­ P R E S ID E N C I A D E L S E Ñ O R C A L A T R A V A que se celebran para decorar con ellos las doradas páginas pañol. de la historia de vuestra protectora…</t>
  </si>
  <si>
    <t>…al Todopoderoso por importante vida de V. M . , la de la Reina nuestra Señora y CORTES. mez de los Reyes = Alcalde segundo, Antooio María Aisa.=Re- su augusta H erm ana, para que sean mayores tantos beneficios. C O N G R E SO D E D IP U T A D O S . gidor prim ero, Nicasio Beallad.= Regidor segundo, Ceferinó Herencia , provincia de C iudad -R eal, 16 de Setiembre de 1859.= A L; R. P. de Y. M.“ Genaro Palomino.=Manuel Tembleqde.= Román.— El tercer regidor, Cándido Madridejos. = El regidor Balbino Cañadas. = Manuel Antonio P…</t>
  </si>
  <si>
    <t>…r oido con agrado, una do apoyarse en la resolución que sobre dichas actas ha adoptado exposición del ayuntamiento constitucional de Segorbe, en que el otro Cuerpo coiegislador; pero contestado por el Sr. Presi­ C O N G R E SO D E D IPU T A D O S . felicitaba por la memorable sesión del dia 7 del presente mes. dente que la prohibición que hacia el reglamento era con rela­ Se anunció haber ingresado el Sr. Elordi en la segunda ción á los discursos, para lo que se leyó el art. 89, recayó so­ PRESIDENCIA DEL SEÑOR CALATRAVA.…</t>
  </si>
  <si>
    <t>…'y de conveniencia general. El ayuntamiento de M 011- deotes, pero nada oportunas en aquel acto. tofrio ruega ai Todopoderoso proteja, las miras benéficas de Concluye diciendo que la única razón que le ha animado C O N G R E SO D E D IP U T A D O S . V. M., y que conserve su preciosa vida y la de vuestra au­ á impugnar el dictamen es la falta de antecedentes en un asun­ gusta Hija para bien de la monarquía. Montefrio 1 2 de Oc­ to que requiere el mayor Ínteres para saberse la verdad de los P R E S ID E N C IA DEL SEÑOR CALAT…</t>
  </si>
  <si>
    <t>…l art* 9®,. q 11®- Ito pasado á ser '8 .° k Se Jejó segó «da ves; dicho artículo. C onstitaciou, se dejan las garantías fuera de la posibilidad de E l Sr. F E R R E 11: La comisión „ tendeado presente el deseo C O N G R ES O D E D IP U T A D O S . toda suspensión: así que, no pueden suspenderse de «legoo mo­ de los Sres. Senadores , ha creído de su deber acceder á los pun­ do fas. garantías que e! art* 9 .° concede, cuales so* las de qou tos principales de oposáciau que hubo, Lauto por parle del Se- P R E S ID E N C IA…</t>
  </si>
  <si>
    <t>…e merindad de N a v a r­ en el partido de Infantes, por sí y á nombre de las respectivas ra , en que hace presente que en 25 de Agosto último hizo al corporaciones de que son presidentes, á V. M. con el mas pro­ C O N G R E S O D E D IP U T A D O S . Gobierno una solicitud quejándose del sistema m ilitar, y pi­ fundo respeto y veneración hacen presente: Que no llenarían P R E S I D E N C I A D E L S EÑOR C AL AT R AVA. diendo la reposición del estado legal; y que con objeto de pe­ completamente sus deberes si no hiciesen pre…</t>
  </si>
  <si>
    <t>…os que porque hemos acabado la guerra en tades, también lo es que asi en la Constitución como en todos cuatro provincias la hemos concluido yá enteram ente? Veinte los demas actos se le daba cierta preeminencia. C O N G R E S O D E D IP U T A D O S . años y 20S) hombres consumió Felipe v después dé la paz de Tom ada eo seguida en consideración , pasó á la comisión U trecht para consolidar la paz, suspendiéndose la votación del art. 5 ,°, después de haber hecho p r e s i d e n c i a d e l s e ñ o r c a l a t r a v a. *.La Co…</t>
  </si>
  <si>
    <t>…armas 4-° Interm edio de baile. Los gefes ú autoridades de todas clases, cualquiera de vosotros crímenes, con lo cual queda libre enel justo castigo de sus atroces pais de uno de sus mas en­ nete. 5.° E L T O N T O A L C A L D E D IS C R E T O , divertido sai­ está autorizado para tratarle como tal si no se presenta inmedia­ carnizados opresores. tamente á responder ante la ley. He dictado las medidas que las El fusilamiento de los cabecillas Sedaño, M odesto, A rroyo, circunstancias exigen para frustrar este nuevo esf…</t>
  </si>
  <si>
    <t>…idida ad ­ hesión y el ardiente deseo de que logre en breve mi p atria la CORTES. perpetua paz que asegure su prosperidad fu tu ra bajo el m ater­ nal Gobierno de V . M . y de su augu sta H ija , por cuyas vidas CO N G RE SO D E D IP U T A D O S. d irijo al cielo mis sinceros votos. Badajoz 24 de Setiem bre S e ñ o ra: El intendente efectivo y gefe político iuterin o de de l859.=Señora.z=A L . R . P. de V . M .= Santiago M endez de PRESIDENCIA DEL SEÑOR CALATRAVA. la pro vin cia de A lbacete tiene la honra de ofrecer A…</t>
  </si>
  <si>
    <t>…honor y aun la vida de los las audiencias del reino hay abogados de pobres, los cuales tie­ hombres, se establecen unos trámites tan cortos para su sus­ nen obligación de defender las causas de pobres por reparti­ CO N G RESO D E D IP U T A D O S . tan ciaro n , a) paso que en las causas civiles tienen los litigan­ miento, y que si en virtud de esta ley quedaba al arbitrio del tes todo el tiempo necesario para producir las defensas que reo el nombrar su defensor, elegirá al mejor letrado , cuyo ciean convenientes á su d…</t>
  </si>
  <si>
    <t>…s, arre­ hubo ninguna desgracia en ambos eucueutros de parte de d i­ glada á nuestro teatro por D. Ventura de la Vega , titulada chas secciones, (ü . M . de V .) BOLETIN DE COMERCIO. A C E R T A R E R R A N D O t&gt; EL CA M B IO D E D IL IG E N C IA . BOLSA D E M A D R ID . V a lenda 2 l de M ayo . Intermedio de baile nacional; terminando la función con Cotización del dia 28 d las tres de la tarde. un divertido sainete. (Extracto de partes recibidos en la capitanía general.) EFECTOS PÚBLICOS. El enmendante militar de Gér…</t>
  </si>
  <si>
    <t>…el voto particular , dijo y á primera vista parece nacida del art. 9 de la Constitución; El Sr. P ID A L , que la comisión , teniendo presentes los y si en efecto se rozara con él, si fuera anticonstitucional el C O N G RESO D E D IP U T A D O S . acuerdos del Congreso sobre la admisión del Sr. Ramírez de que se discute, seria una dificultad por la que no querría pasar Arellano, se habia propuesto dos cuestiones, á saber: ni la comisión, ni et Gobierno, ni mucho menos el Senado; PRESIDENCIA DEL SEÑOR ISTURIZ. Sí el acue…</t>
  </si>
  <si>
    <t>…bre de sus repre­ nera alguna por la 110 sanción de S. M. á la ley de las Cortes sentados. constituyentes; por último , dice que e tenga presente en tiem­ Salas consistoriales 13 de Setiembre de 1839. —Señora.r: C O N G R E SO D E D IP U T A D O S . po oportuno, y se pase copia ai Sr. Ministro de Gracia y Jus- A L. R. P. de Y. M. = Agustín García de Atocha. — Antonio PRESIDENCIA DEL SR. LABORDA , PRIM ER VICEPRESIDENTE» j ticia, con el fin de que bien el Gobierno, ó cualquier Sr. D i­ Spina. —Vicente Hernández. = Pedro Corr…</t>
  </si>
  <si>
    <t>…s, aunque sean de la clase de subal­ necesaria que firmo en Navalcarnero á 13 de Enero de 1839.^ ternos , cuando los nombrados por las diputaciones no Tomas Gutiérrez de Páramo, CORTES. sean diputados de ellas.” C O N G R E SO D E D IP U T A D O S . De Real orden, comunicada por el expresado Sr, Mi­ PRESIDENCIA del señ or is t u r iz * nistro de la Gobernación, lo traslado á V. S. para su in­ T ) A R A junta general de acreedores al abintestato del Sr. D on teligencia , la de la diputación provincial y efectos consi­ **•…</t>
  </si>
  <si>
    <t>EDICIEMBRE</t>
  </si>
  <si>
    <t>…tos antiguos que hacen aco- jer con alegría el anuncio de una guerra. Por otra parte ese la­ Se sabe que las hostilidades comenzadas por A bd-el-K ader mentable tratado de la Tafna que A bd-el-K ader ha rasgado M A D R I D 11 D E D I C I E M B R E . estaban premeditadas mucho tiempo antes, y se vé que remon­ con sus propias manos, era un baldón para la dignidad del tan al viaje del Duque de Orleans, habiéndose concebido el pais, y todos celebran que se nos presente la ocasión de derri­ proyecto de sorprender al Príncipe…</t>
  </si>
  <si>
    <t>EDILIGENCIA</t>
  </si>
  <si>
    <t>…la Vega , titulada roto los mayores esfuerzos:, ha llevado todas las- tropas dis­ ponibles; millares de paisanos han empleado sus fuerzas en in.r b o l e t ín d e c o m e r c io . A C E R T A R ;E R R A N D O ó E L :CA M B IO D E D I L I G E N C I A . mensas obras de fortificación, en horrorosas cortaduras, en la total destrucción de carreteras que, siendo, necesarias al tráfi­ BOLSA D e M A D R I D . . 1 Intermedio de baile nacional; terminando la función coa co, causarán millones de gastos para su reposición: ¿ y qué ha…</t>
  </si>
  <si>
    <t>EDONJOSEZORRI</t>
  </si>
  <si>
    <t>…R ID 6 D E A B R IL . para que ñ o em barazasen el curso de su p lu m a , ese m is­ va una idea de la n a d a , m o p o e ta , clásico y ro m á n tic o en u n m ismo d ia , al c o m ­ ó una olvidada v erd a d ; P O E S IA S D E D O N J O S E Z O R R I L L A . p o n er u n a c a n c ió n , u n m a d rig a l, u n sim ple soneto, se y en tan cumplidas tinieblas* lim itaba á tr a d u c ir servilm ente al P etrarca ó al favorito en silencio tan com pleto, A principios de 1837 fue cuan do el p úb lic o m a d rile ­ de Mecena…</t>
  </si>
  <si>
    <t>Eduardo</t>
  </si>
  <si>
    <t>…y mecánica aplicada á las artes, que por Real nombra­ donde podéis enviarlos si es que os faltan posibles para costear­ como Flamsteed que fue su primer superin tendente, sucedien­ miento está confiada al benemérito profesor D. Eduardo M a ­ les su educación. No olvidéis que en un pais industrioso y m a­ do!^ el gran H alle y , B radley, B liss, M ask ely n e , Herschell y ría de J á u r e g u i bajo la dirección y auspicios de la junta de Co­ nufacturero no bastan m áqu inas; es necesario para ellas obre­ otros. mercio…</t>
  </si>
  <si>
    <t>Eduardo, D. Joié Miquel Polo. Sr. D.</t>
  </si>
  <si>
    <t>D. Joié Miquel Polo. Sr. D. Eduardo</t>
  </si>
  <si>
    <t>Valladolid. Sr. D. José M artí, barón de Casa-blanca. Sr. D. Serafín Estevanez CalderOil * electo* wD. Francisco Ramonet. Sr. D. Joié Miquel Polo. Sr. D. Eduardo Gahvey , electo. D. Evaristo Perez de Castro. Sr. D. Joaquin de Pedro, marques de Albaida , electo. Sr. D. Antonio Ros y Olano. V izcaya, Ciudad-Real. Murcia. »D . Pedro Allende Salazar. Sr. D. José María Cambrottei o. Sr. conde de Balazote. Sr. D. Juan Antonio…</t>
  </si>
  <si>
    <t>Eduardollegado</t>
  </si>
  <si>
    <t>…en la Cámara.” vinciales una diputación compuesta de siete individuos co el estado actual. Hacosas d o pueden permanecer mucho tiempo en (iCorresp. de Ilamb.) mo antes constaba la diputación del reino, nombrando un ta del conde Eduardollegado ayer aqui una diputación compues­ Raczynski, de MM. Poninski, Grabcw^ki diputado cada m erindad, y los dos restantes las de mayor y J. Lubinski para hacer presente al Rey la triste situación de la población. provincia, y rogar á S. M. se digne acudir al socorro de los ha­ HOLANDA.…</t>
  </si>
  <si>
    <t>EEDUCACI</t>
  </si>
  <si>
    <t>…aun algunos mostraron conocer pondencia en el paquete que ha de formarse para Filipinas, lo las reglas de géueros, y que sabian formar oraciones llanas. La podrán hacer asi; y como no es fácil fijar el porte justo que SECCION D E E D U C A C IO N . segunda, que cuenta seis niños, después de contestar á las pre­ haya de satisfacer aqui la que se reciba de la Península ú otro guntas que se les hizo sobre analogía y reglas de sintaxis natu­ cualquier punto de Europa, por ahora y mientras se retinan Para satisfacción del púb…</t>
  </si>
  <si>
    <t>EENERO</t>
  </si>
  <si>
    <t>…ilmente: los franceses, tan su benéfico apoyo; y espero que la opinión pública, atenta á malos músicos como delirantes por la música, recompensan con nuestros debates, me hará justicia, declarando que en todas M A D R ID 1 .° D E E N E R O . repetidos aplausos aquellas composiciones en que la argentina ocasiones he sido el hombre de la Cámara , el severo é imparcial voz de la célebre Cinti-Damorea.il, ó la de la encantadora Jen- observador de su reglamento, y el órgano fiel de nuestras pre- ny-CoIon , deleitan sus oidos…</t>
  </si>
  <si>
    <t>…el dleredio de h s partes paira someterse vo­ luntariam ente el fallo de lias caíais! ornes que se crean por el ár­ por m uy remoto que estuviese, basto bu que existiera en la I mu­ P A R A L A S E S IO N D E L L U N E S « i D E E N E R O 'DE 1939, gí nació a , se ca mbió , e n co, óf or ot id a-d áe toó «as los -i * d i v Id o os tico ¡Ib 2 .° dle la presente ley. díe b -comisian y del Congreso* el orden de los articiilo s, y El Sr* O I E R G d ice que se pone ea no compromiso al Se- nado con la discusión de este" art…</t>
  </si>
  <si>
    <t>EENERODE</t>
  </si>
  <si>
    <t>…sión ha em­ O R D E N D E L D ÍA pleado los términos mas enérgicos que ha encontrado para ex­ D. P ió P ita P izárro. presar el interés que le inspira la triste situación de la España. P A R A L A S E S IO N D E L L U N E S 7 D E E N E R O D E 18 39 . Pero este tributo anual de dolores, de gemidos, ¿es la única co­ sa que puede hacer la Francia ?..... Discusión del dictámen dé la com isión, leído en la de 5 del MINISTERIO DE LA GUERRA. No temáis que yo invoque el tratado de la cuádruple alian^ co rriente, sobre él proye…</t>
  </si>
  <si>
    <t>N . º 1 5 2 2 M A R T E S 1 5 D E E N E R O D E 1 8 3 9 . D I E Z C U A R T O S S . M . la R e in a , s u a u g u s ta ■. -A-. i - - / ' ‘ ..7 •• .----- r - . II. ■!&gt; M a d re la R e in a G o b e r n a ­ - Brasileños ?7£, f ' ‘ ;;i ficará,’ y hacq qye inspire .confianza en las operaciones, pues d o ra y Sra. IrifSailta Dóitá M…</t>
  </si>
  <si>
    <t>N .” 1 5 2 8 . L U N E S . 21 D E E N E R O D E 1839. D IE Z C U A R TO S. S. M. la Reina, su augusta Madre la Reina Goberna­ blos, conforme á la disposición contenida en el art. 67, para que asi se ejecute se ha servido S. M. mandar se observen las dora y la Serma. Sra. Infanta Doña María Luisa Fernan­ sea satisfecho en metálico…</t>
  </si>
  <si>
    <t>EES</t>
  </si>
  <si>
    <t>…A R IO , A las cinco de la tarde.=E1 general segundo ca b o , Pedro A g­ cha para ir pagando á la sociedad. Cubiertas las anticipa­ uar. (/&gt;. O.) ciones que esta hizo (lo cual hemos dicho se verifica lo CORRECCIONAL Y P E N A L D E E SP A Ñ A . mas tarde á los 16 años), entra el colono en el goce y ejercicio de todos sus derechos, se hace un verdadero la­ Con indecible satisfacción nos apresuramos á insertar la s i ­ Z arago za 28 de Noviembre • guiente carta que por los señores en ella suscritos se ha d i r i g i ­ brad…</t>
  </si>
  <si>
    <t>…gase á Gratz uno de lo; división, desde Cariñena con fecha de hoy dice á este señor se­ socios de la dicha casa de Viena , el cual avisó á los portadores gundo cabo que habiendo tenido noticia deque en Vilianueva C O N S E JO D E E ST A D O . de la letra que esta era falsa. Inmediatamente se dió pa»te á la de la Iluerva se abrigaba frecuentemente una partida facciosa, policía , y Mr. Gruvallakiky fue preso al dia siguiente; ma: dispuso que saliesen para cercar dicho pueblo tres compañías SESION P U B L I C A D E L 8 DE A…</t>
  </si>
  <si>
    <t>EESPAÑA</t>
  </si>
  <si>
    <t>…. media de la noche la cátedra de geografía desempeñada por el Casualidad , á D. Bernardo de C am po, en 7. Sr. D. Juan de la Cruz Tirado. Otra idí. en sierra de G ador, cerro de la M onterilla, tér­ H IST O R IA G E N E R A L D E E S P A Ñ A , compuesta, en­ La de principios de literatura, desempeñada por el Sr. D on mino de Benadux, nuestra Señora del M a r , á Antonio Esqui­ mendada y añadida por el P. Juan de ¿Mariana , última edi­ Patricio de la Escosura, se ha trasladado á los jueves á la mis­ n a , en 2. ción con lám…</t>
  </si>
  <si>
    <t>EEXP</t>
  </si>
  <si>
    <t>…e objeto que el Ateneo se propuso cuando esta­ ingenio castellano crecía á medida que se aumentaba el poder bleció esta cátedra. A pesar de tamaño inconveniente, he pro­ militar y político de nuestra patria. D E LAS FIG U R A S D E E X PR E SIO N . curado no dejar olvidada ninguna época de nuestra literatura, Recreados con el cuadro lisonjero que presenta el siglo de comenzando su examen desde el remoto siglo de Augusto. En oro de nuestra literatura , á contar desde la segunda rnitad del ARTICULO PRIMERO. Cse siglo que parec…</t>
  </si>
  <si>
    <t>EFE</t>
  </si>
  <si>
    <t>…Mauresa , autorizadas para recibir las parciales, y en cuyas ofi­ es indispensable vuelvan á estas los docum entos de esta cinas se hallará de manifiesto el pliego general de condiciones á C O N T A D U R IA G E N E R A L MES D E F EB R E R O clase, indebidam ente pasados á aquellas, subsanándose asi que el contrato ha de sujetarse. Y para que llegue á noticia de y por m edio de los cargos y abonos que esta operación DE VALORES, d e 1839. todos he dispuesto que este edicto tenga la circulación y publi­ exija los errore…</t>
  </si>
  <si>
    <t>…r resultado la pro­ mulgación de la siguiente Todas las avenidas que conducen á la C ámara de los Lores están llenas de multitud de personas atraídas por la curiosidad PARTE RECIBIDO EN LA SECRETARIA DE ESTADO LEY PA R A L A D EFE N SA DE LOS EST ADO S UNIDOS. de cerciorarse de la gran novedad del dia , la retirada del m i­ Y DEL DESPACHO DE L A G U E R R A . nisterio tory : en el interior reina una agitación extraordinaria. Acta que da al p r esid e n te d e los Estados Unidos f a c u l t a ­ d e s ad icion ales pa ra…</t>
  </si>
  <si>
    <t>EFEBRERO</t>
  </si>
  <si>
    <t>…ran opiniones, la situación y los principios que han tratado de es­ duque, por el art. 2.°, como á la parte arriba mencionada de la tablecer. La Cámara no ha adoptado el último párrafo de provincia de Limburgo. M A D R ID 1 3 D E F E B R E R O . VAdresse. La cuestión va á elevarse ahora ante los 459 cole­ Sin tratar los infrascritos de prejuzgar las determinaciones gios: cuestión de vida ó de muerte para el Gobierno represen­ de la Dieta, reservan á la Confederación germánica el uso que tativo. (Courrier francais.) á co…</t>
  </si>
  <si>
    <t>EFEBREROC</t>
  </si>
  <si>
    <t>…6 de Febrero de 1 839 i las once de lá del incansable celo de los dos activos geíes. noche se verificará el novena baile en el so 11tu oso salón de la casa del conde de A randa, cal lie de Luxou , nú m. 4 * coarto M ADRID 5 D E F E B R E R O Comandancia general de las provincias de Santander , B u r­ principal , que darará hasta, amanecer.. gos,, Logroño j Soria,,..—El coro and a ote general de Ja sierra me Los billetes se despachara, eq el! mismo local, j en la calle de dice coa techa de ayer que el sargento primero d…</t>
  </si>
  <si>
    <t>EFENSA</t>
  </si>
  <si>
    <t>…a , de doude tomo su nombre una tribu. Con su falta se disipó toda esperanza de cre.¿r estableci­ Para fertilizar las praderas los indios recurrieron al fuegos la mientos en la Luisiana. Sus desconsolados amigos c ierian ven­ D EFENSA verbal de D. Vicente Diez Canseco y D. Juan ceniza de las malas yerbas fecundaba el terreno, y con este gar su m uerte; pero un misionero , el abad Caval 3r, su her­ Bautista Alonso , pronunciada per el último ante la au­ abono natural crecía una nueva yerba excelente para los gana­ mano ,…</t>
  </si>
  <si>
    <t>EFORASTEROS</t>
  </si>
  <si>
    <t>…n flíedinaceli y este en Sigúenza. Gobierno político de la provincia de Soria Debiendo sacarse á pública subasta la contrata del Boletín GALERÍA DRAMATICA. oficial de la provincia de Soria para el año próximo de I 84B G U IA D E F O R A S T E R O S . bajo las condiciones que se hallarán de manifiesto en la secreta­ D O Ñ A BLANCA DE N A V A R R A . ría del gobierno político de la m ism a, se invita á los que qui­ siesen interesarse en ella 5 en la inteligencia que para su pri­ Drama histórico original en cuatro actos en…</t>
  </si>
  <si>
    <t>Ega, Leandro</t>
  </si>
  <si>
    <t>Leandro Ega</t>
  </si>
  <si>
    <t>…el te­ el Gobierno de Saint-Gall obra de un modo enteramente dis­ Gobierno superior político de la provincia de Murcia. =3 niente general Geismar. tinto: la autoridad manifiesta firmeza, y resiste á todas Jas pe­ Excmo. S r.: D. Leandro Ega , oficial primero de la sección de Hace algunos dias que M r. L aval, secretario íntimo para ticiones relativas al convento de Peffer. contabilidad de este gobierno político, y los curasde Santa Ma­ las correspondencias extrangeras, y Mr. Turmaun, uno de los se­ ría , San Pedro y Sáu J…</t>
  </si>
  <si>
    <t>EGANA</t>
  </si>
  <si>
    <t>…ha de 18 cristal mijos y alcandías , 15 alubias, 25 guisantes , una colmena d&lt; El Sr. V IC E P R E S ID E N T E : ¿ Con qué objeto ? de Octubre se lee lo que sigue: con panales fabricados en ella, aumeoto de vides y plan­ El Sr. E G A N A : Para preguntar al Congreso si mediante á S. M. el Rey de los belgas llegó ayer de incógoito á esta con tas del jardín rural que tiene á su cargo , de 22 variedades d&lt; la precipitación con que se ha votado esta proposición.... su comitiva bajo el nombre de conde de Ardennes. S. M. se ap…</t>
  </si>
  <si>
    <t>EGAÑA</t>
  </si>
  <si>
    <t>…siguientes: putado , se procedió á votarla nominaimente, resultando apro* D. Joaquin Carrascosa, catedrático de agricultura , por h bada por 99 votos contra tres. presentación de 66 trigos, 27 cebadas, 25 mahices, panizo El Sr. E G A Ñ A : Pido la palabra. En la Gaceta de correos de Francfort con fecha de 18 cristal mijos y alcandías , 15 alubias, 25 guisantes , una colmena d&lt; El Sr. V IC E P R E S ID E N T E : ¿ Con qué objeto ? de Octubre se lee lo que sigue: con panales fabricados en ella, aumeoto de vides y plan­ El…</t>
  </si>
  <si>
    <t>Egaña</t>
  </si>
  <si>
    <t>…que Se levanta la sesión. Para cuarto Secretario resultó electo el Sr. Feliu por 77 vo­ crea convenientes, sin sujetarse á ningun a disposición de las Eran las cinco menos cuarto. tos del total de 9 7 , resultando con 7 el Sr. Egaña , 7 el señor Cortes; libertad ó facultad q u e, por m uy am plia que sea, no M a d o z , 2 el Sr. L a C a l l e , y 1 cada uno de ios Sres. T em ­ deja de ser necesaria en circunsta ncias tan críticas y compro­ p rado, V iad e ra, Carabantes, y Royo. metidas como las presentes, y mucho mas c…</t>
  </si>
  <si>
    <t>…eldos que dejó de inmediata prisión y embargo de bienes del general Paiarea y se tengan presentes en la discusión de la ley de ayuntamiento1 percibir en el tiempo que estuvo separado de su destino. de su auditor de guerra el Sr. Egaña. 265. El ayuntamiento del lugar de Polopos , provincia d Í 84. D. Manuel Fernaudez Calderón, sobre simultaneidad 225. El ayuntam iento de E zagra, solicitando se declare á G ra n a d a , en solicitud de que se habilite de embarcadero &lt; de, años escolásticos. ( .... su Miiicia nacional compre…</t>
  </si>
  <si>
    <t>…nidad. Son generosos, ticular, no adelantaremos nada absolutamente. palabra para deshacer una equivocación los Sres. conde de repito, los aragoneses, que han visto también que una palabra Tampoco estoy por lo que ha dicho el Sr. Egaña , que de­ las Navas y Madoz) sola de un general ha sido suficiente, y ha debido serlo pa­ tras del voto del Congreso está la paz ó la guerra. Aunque no Me parece que he puesto de manifiesto las razones capita­ ra hacer que abandonasen las armas. Todas estas razones son he nacido en aquellas…</t>
  </si>
  <si>
    <t>le g is la c ió n f o r a l , uno s y otro s d ir á n q u e se m e n osca ba n en ni con la u n i d a d p o l í t i c a d e la m o n a r q u í a ? L a s l e y e s , com o E l Sr. E G A Ñ A : P i d o la palabra para a n a rectificación. a l g o sus d o c t rin a s y sus p rin c ip io s . d i j o m u y bien el S r . L u z u r i a g a , c u y o dis cu rs o m e satisfizo E l Sr. P R E S I D E N T E : N o se la puedo conceder á Y . S. P u e s si fa lta este m o t i v o p r i m…</t>
  </si>
  <si>
    <t>…anteriores, bastarán tres votos enteramente con­ do la noticia que tenia. Por esta circunstancia cree en su con­ ginales á la audiencia del territorio con piévia citación y em­ formes. cepto que tiene una incapacidad legal el Sr. Egaña , respecto plazamiento de las mismas, siempre que la causa fuere sobre 6.a El número de ministros expresado se completará con á tener la cualidad de magistrado ; y según la ley 15, título delito á que por la ley esté señalada pena corporal. magistrados de otra sala de la misma audiencia , y eu…</t>
  </si>
  <si>
    <t>…l artículo {leyó}. De suerte que si ción no puede asistir á la sesión. comisión no encuentra motivo ni razón plausible por lo que lai leyes prescribieran ahora que en ciertos casos se supliera la Igualmente lo quedó de que el Sr. Egaña quedaba agregado aparece hoy dia de la causa para proponer al Congreso la re­ falta de un juez togado, de esta manera, lejos de ser contrario á ¿ la segunda sección. vocación de sus anteriores dictámenes. el artículo constitucional, nace y está calzado sobre el mismo. Habiendo obtenido la pal…</t>
  </si>
  <si>
    <t>Egaña, D. Francisco</t>
  </si>
  <si>
    <t>D. Francisco Egaña</t>
  </si>
  <si>
    <t>…ra* Granada. Pontevedra. Alicante • Sr. D. Miguel de Roda. Sr. D. José Guillen. Sr. D. Diego López Ballesteros. Sr. D. Ignacio Puigmoltó. Sr. D. Francisco Martinez de la Rosa* Sr. D. Domingo Fontan. Sr. D. Antonio Sereix. Sr. D. Francisco Egaña, electo. Sr. D. Juan José Cadaval. Sr. D. Jorge Gisbert. Sr. D. Francisco de Paula Castro. Sr. marques de Villagarcía. Sr. D . Manuel Franco, electo. Sr. D. Manuel de Seijas Lozano. Sr. D. Pedro María Fernandez Villaverde. Sr. D. José Guillen y Gras. Sr. D. Juan José Fonseca. S…</t>
  </si>
  <si>
    <t>EGe</t>
  </si>
  <si>
    <t>…e ni en tiempo de Felipe iv: la ha fijado en Madrid y en el siglo xix: y si bien convenimos tica. en el cual el Sr. Fabiani desempeñará la parte de caracterís­ su atención ni por un solo m om ento á cosas que no con­ con el Sr. E. G. en que los rasgos del carácter español están mal duzcan directam ente a sus fines. Necesario es a la verdad trazados, no podemos estar acordes en achacar la culpabilidad PR IN C IPE . A las siete y media de la noche. q u e sea im posible su triunfo cu ando estando ellos tan aten­ á Mr. Scribe.…</t>
  </si>
  <si>
    <t>EGEA</t>
  </si>
  <si>
    <t>…igaban á h a c e rla , pedia que el Con^ tándoles el atender á otros asuntos que puedan serles útiles. creíd o , estaba m uy term in a n te , m uy claro. greso se sirviese declarar haber lu g a r á poner en ju icio al se- El Sr. EGEA contestó que en el artículo de n ingun a m a­ Respecto á los segundos contribuyentes nada tenia que con­ tñor D. José Queipo de Llano * conde de T oren o , ex-m inistró se ra se im ponía obligación de ad m itir tos cargos que se expre­ testar la com isión, puesto que el Sr. conde h ab ia confes…</t>
  </si>
  <si>
    <t>…edificio las 20 acé­ á quieo corresponde para la devolución de dichos títulos. consiguientes. milas indicadas desde las ocho de la m añana del referido dia El Sr. P R E SID E N T E : Se procede á la discusión del d ictá­ El Sr. E G E A : La comisión sé reserva hablar después que men de la com isión, relativo á hacer efectiva la contribución se hagan mas im pugnaciones; pero para que esta discusión se extraordinaria de guerra. trate con segu rid ad , debo decir que el Sr. M inistro de H a­ O R providencia del Sr. D . M i…</t>
  </si>
  <si>
    <t>Egea</t>
  </si>
  <si>
    <t>…para el viaje hasta incor­ nización de la coja de amortización ha nombrado Presidente al mentó, porque la cornision no tenia facultades para presentar un p o r a r s e en su cuerp o ; pero que el alférez Mena , menos fiel á Sr. Egea , y secretario al Sr. Ferrer. dictámen que fuese distinto á lo acordado por el Senado al to­ 3a causa que elios, habia tomado parte con el enemigo. E l Sr. P R E S I D E N ! £ : Orden del dia. Contin úa la d is c u ­ marse en consideración la proposición. C u a n d o me h ac ía n esta relació…</t>
  </si>
  <si>
    <t>…r se han reali­ vinciales las causas incoadas en los tribunales antes de la p u ­ sente al erario. zado á 94£ f. Los bonos del echiquier á 66 y 68 á prima. Ac­ blicación de la ley ; y la segunda que convendría también que El Sr. E G E A interru m p ió al orador diciendo que la com i­ ciones del banco 203. No se ha hecho casi ningún negocio en en el proyecto de ley se excluyese á los empleados del Gobier­ sión declaraba que en el artículo 4.0 que S. S. estaba i m p u g ­ ios valores extrangeros. no sujetos á fianzas de las…</t>
  </si>
  <si>
    <t>…o entonces la circunstancia de'-qqfe sión se sirva retirar el proyecto para redactarlo de nuevo. el dictámen de la comisión de revisión de actas que proponía no se trataba por si sola esta cuestión , sino que mediaba |* El Sr. EGEA dice que el Senado se habrá sorprendido al se le adm itiera sin perjuicio de lo que pudiese resultar del desgracia de que contra nuestra voluntad se trataba de la apiU oir que hay un atraso de deuda de 4^5 millones de rs .; pero que para que la sorpresa pudiera modificarse y pudiera tener el…</t>
  </si>
  <si>
    <t>…otra , y ocurren mayores íücou ven ¡entes respecto a van. capital con las fiemas. la í eircera ; por coiiri gáfente 5 deberá resultar íjofe éncolU raudo Pasó £ la c t luís ¡óiQ de Actas no oficio del Sr. D . Lirfrenio E l Sr. E G E A co ibtesta dicieudo qua una cosa es la liquida­ ,em su peosicwi obstáculo parí pasar á otro estado,, tendrá el A rrazo Ia , D i pu ta do reel ect o por 1a prov i ocia de V a1lado lid ción del crédito p ú blico, y otra la que se traía , pues esta riní- (erario qtte pa,g*T una. pensión de 3…</t>
  </si>
  <si>
    <t>Egipto</t>
  </si>
  <si>
    <t>…g r o , en donde piensa pasar dos meses.' Según se dice quiere em­ je que sigue: le confieren las altas funciones de que se halla revestido, va á plear este tiempo en continuar su Historia del imperio , en la S El gobernador del Egipto M ehemet-Alí-Bajá habia llegado atraer al imperio mayores daños, es decir , va á completar su que no ha cesado de trabajar todo el tiempo que ha estado eu por medio de algunos de sus actos á indisponer á mi glorioso ruin». las aguas de Canterez. padre contra él: ocu»rieron varios sucesos, y s…</t>
  </si>
  <si>
    <t>Eglinton</t>
  </si>
  <si>
    <t>…atones á fecha. ros deben figurar en el número de los combatientes en la liza. mover una maquinita para hilar algodón, y cuyo producto dia­ Lo que traslado á Y. para los efectos que expresa. Dios Sabemos también que el conde de Eglinton ha dado sus pode­ rio es de cinco dineros esterlines (2 rs.). Sir Halton de D u nfer- guarde á Y. muchos años. Barcelona 5 de Agosto de 1839. res á MM . P ra tt, New Bond Street para que distribuyan los lin posee también dos ratones empleados constantemente en h i­ Antonio Seoane. (G. 2V.)…</t>
  </si>
  <si>
    <t>…igos del noble conde y para los caballeros justadores, la se­ San Fernando ■ 2 . 2 7 gunda para las personas que alcancen billetes de convite. Los San Sebastian. . . . . 7199 Srcs. Pratto de Bondstreeí han recibido del conde de Eglinton 1 Arganda. .................. . . . 650..25 S a n ta n d e r........ 27027., 17 la cnCcriCacton para repartir billetes á las personas que deseen lAvila. . . . . . . . . . . . . . . 9454 »22 Segovia. ................... .... asistir ai tornea. El palenque se ha situado en medio del circ […</t>
  </si>
  <si>
    <t>EGOLLACI</t>
  </si>
  <si>
    <t>…no se curan con drama nuevo b íb lico, en cinco actos, titulado 5 . 2 5 9 . . . . 4 OO Valencia. tiempo las llagas que lo devoran. 6 . 5 9 2 . . . .4 OO Idem. F ijo en estos principios , el Sr. de la S a gra, en medio de L A D E G O L L A C IO N D E LO S IN O C E N T E S . 7 . 9 2 6 . . . . 4 OO M adrid. otras vastas ocupaciones científicas, que son bien conocidas, em­ 5 . 5 4 5 . . . . 4 OO Idem. plea todo el tiempo que puede en visitar y en estudiar las ins­ Desde que desaparecieron los autos sacramentales, y las de­…</t>
  </si>
  <si>
    <t>…etenidamente sobre las coaiecuei j S. M . para el colegio nacional de sordo-mudos de esta corte, cias de semejante estado de cosas, hemos creído bailar su rem que se halla bajo la inmediata inspección de la sociedad econó­ L A D E G O L L A C IO N D E LO S IN O CEN TES. dio ea la creación ea P *ris de una comisión central consulté mica matritense, ha dispuesto esta corporación que se verifi­ p a ra investigaciones legislativas y administrativas . quen los exámenes públicos de los aju maos sordo-mudos en los Desde que desa…</t>
  </si>
  <si>
    <t>…de la N ación, juez de primera instancia de esta villa de Moron de la Frontera y su partido &amp;c. Instrucción que debe observarse con motivo de la extinción de la junta del monte pió de Reales oficinas y su secretaría con­ L A D E G O L L A C IO N DE LO S INO CENTES. Por el presente convoco , llamo y emplazo á los parientes ac­ tuales del licenciado D. Pedro González O reltan a, presbítero, ta d u r ía , para continuación de goces, declaración de pensiones, liquidación y demas incidencias de este ramo por lo respectivo D…</t>
  </si>
  <si>
    <t>…, menos tiempo del que ordinariamente se em­ Canción é himno á la Virgen para ser cantados por los plea en el estudio del latió ; cuya abreviación se consigue por alumnos del colegio de humanidades de la calle de Santiago, L A D E G O L L A C IO N D E LOS IN O C EN TES. el nuevo arte recien publicado por el profesor, y recomendado puestos en música por el profesor de dicho colegio. Se hallarán para abreviar la enseñanza en la Gaceta de 25 de Noviembre á 4 r s« en la librería de Sojo , calle de Carretas. Desde que desapareci…</t>
  </si>
  <si>
    <t>…X # SAISIK DES «OWTREFACONS ET APPLTCATIO* EL ENTREACTO. el drama nuevo bíblico, en cinco actos, titulado DE i/lB E N D E ET DES PE1WES VOULUES PAR LA LOI. PE R IO D IC O D E T E A T R O S , L IT E R A T U R A Y A R T ES. L A D E G O L L A C IO N D E LOS IN O C E N T E S. Esta publicación interesante reúne la amenidad y la doc­ Desde que desaparecieron los autos sacramentales, y las de­ mas composiciones del género místico, no se ha presentado al SOUS-J U PES-OUDINOT trina: su principal objeto es el teatro, sin descuida…</t>
  </si>
  <si>
    <t>EGRACI</t>
  </si>
  <si>
    <t>…ecto la pubticacion en dicha Gaceta, con remisión á la providencia citad a, lo firmo por fin, los que tro den y hagan dar cabal y exacto cum­ yo el referido escrita no en Bilbao á í 9 de Febrero de I8 r&gt;9,n^ M IN IS T E R IO D E G R A C IA Y J U S T IC IA . plimiento á las leyes, decretos, instrucciones y órdenes Juan Antonio de U ribarri. vigentes, sin necesidad de repeticiones que debilitan el Circular. mando y deprim en. la autoridad, ni alegación de inter­ — -----------------— A.. '----------------------------- —…</t>
  </si>
  <si>
    <t>Eguaras, Jacinto</t>
  </si>
  <si>
    <t>Jacinto Eguaras</t>
  </si>
  <si>
    <t>…les del cuerpo........................................ 102 Id. id. de Cabuérniga , de infantería.......................... 200 Bonos del tesoro , 62. El subinspector del batalioo de Pardos de la Haba­ Subteniente de artillería D. Jacinto Eguaras .. 40 Bonos de las Indias , 66. na por sí y los oficiales delcuerpo 67.. 2 D. Pedro A nas............... 10 Acciones del banco, 201. El coronel de lanceros del Rey por s í, los gefes y Deuda activa española, 20f. oficiales del cuerpo ...................................... I 49 La M…</t>
  </si>
  <si>
    <t>EGUEVARA</t>
  </si>
  <si>
    <t>…al O. de la era, Sobre una losa de márm ol blanco de G é n o v a, que tiene un donde se halla el mosaico descubierto el presente m e s, sirvien­ pie de largo y seis p ulgadas de a n c h o , se ven representados L U IS V E L E Z D E G U E V A R A . do de lin de, en el frente opuesto de una c a s a , cuya argam asa groseramente por líneas de incisión los objetos sigu ien tes: en la parte superior el busto de un esclavo que ocupaba la prim era A penas podemos dar á nuestros lectores otra noticia biográ­ y fabricación es del ti…</t>
  </si>
  <si>
    <t>Eguia, Gasa</t>
  </si>
  <si>
    <t>Gasa Eguia</t>
  </si>
  <si>
    <t>…, un gen eral, los directores de artillería é ingenieros, y los genera­ h a lla , y desearía que si á V. le es fácil trate igualm ente de se­ diezLeisavo , 20 once dieziseisavos y . 2 0 ^ á v. f. ó v o l . : 2 1 , les conde de Gasa Eguia , Y illa r e a l, Z ariátegui y Simón L a - cundar nuestros deseos para que esté prevenido y proceda B al­ 2 0 | , 2 í ^ , 2 l f á v, f. ó vol. á prim a de f , i y | por 100 torre. Se trató en ella del plan de campaña mas adoptado á maseda en consecuencia. con cupones. nuestras actuales…</t>
  </si>
  <si>
    <t>Eguizabal, José</t>
  </si>
  <si>
    <t>José Eguizabal</t>
  </si>
  <si>
    <t>D. José Eguizabal, comandante Je escuadrón que fue de Ja ]U L intendente militar del distrito de Castilla la V ieja.—Debien- El solo título de esta obra basta para interesar en su lectura G uardi a Real de caballería , radicado eu la auditoría de guerra do contratarse el servicio de trasportes de tropa…</t>
  </si>
  <si>
    <t>EHANNOVER</t>
  </si>
  <si>
    <t>…de extensión ai comercio. {¡J. des Debáis.) mente al bloqueo de este puerto. Estoy al mismo tiempo encargado de informaros de que el embajador de S. M. en Paris ha recibido órden de pedir al Go­ ACTAS DEL GOBIERNO. R E IN O D E H A N N O V E R . bierno francés nuevas explicaciones sobre el estado actual del bloqueo de los puertos mejicanos.r^Firtnado, W . FoxStraugRrais. Hannóver 8 de Febrero. M IN IS T E R IO D E LA GOBERNACION D E L A P E N IN S U L A El conde de K iehnansegge, gran escudero, acaba de pre­ sentar s…</t>
  </si>
  <si>
    <t>…la ciudad de Fuerte-Real está medio destruida: el hospital de pore, entre Runjeet-S ingh, Rey de L a h o r , y lord Auckland, dicha ciudad se ha desplomado, y muchos enfermos han pe­ gobernador general del Indostan. R E IN O D E H A N N O V E R . recido debajo de los escombros: la casa M o u th e t, que era un Esta mañana se verificó la primera entrevista entre lord A u ­ H annóver 14 de Febrero. establecimiento público donde se reunia la clase acomodada de ckland y el Marajah Runjeet-Singh , quien ha venido á visitar l…</t>
  </si>
  <si>
    <t>…ue se mando cesar la persecución Reina Gobernadora aTdictar el Real decreto de centra­ por haberse completado el objeto y deberse preparar para otros. El expresado capitán general ofrece dar los detalles de esta ac­ R E IN O D E H A N N O V E R . lización de fondos de 21 de Febrero •' ltimo, ha sido evi­ ción, en que dice que nuestra pérdida será próximamente de Hannóver 21 de Marzo. tar toda dilapidación de caudales de ios ramos y estable­ unos 40 hombres entre muertos, heridos y contusos , siendo la La Gaceta de hoy c…</t>
  </si>
  <si>
    <t>…tropas de la Confederación titulado batallón tiradores del Cid se resistiese aun en sus posi­ germánica.*’ Añade dicha carta después: ^N o os fiéis de los ciones, fue deshecho enteramente por el comandante Saavedra y R E IN O D E H A N N O V E R . franceses, porque el Gabinete actuál os abandonará , y consen­ su valiente escuadrón, dejando en el campo un considerable tirá hasta la división de la Bélgica. Si la Oposición sube al po­ número de m uertos, 145 prisioneros, entre los que se hallan Osnabruck 21 de Enero . d e r…</t>
  </si>
  <si>
    <t>…proponga las tros antecesores en e^tas ciencias. Para evitar la confusión y fa­ recompensas que sean de justicia conforme á la instrucción vi­ cilitar el trabajo á los traductores, he creído asi, como R afals- gente. R E IN O D E H A N N O V E R . Effendi, quesería con veniente reunir las palabras técnicas ya adoptadas, y traducir ó adoptar las que se encuentran en la En comunicación separada de la expresada fecha dice el Hannóver 25 de Octubre. lengua francesa; en una palabra, de reunir y formar un diccio­ mismo capitán…</t>
  </si>
  <si>
    <t>…público para que los á los m ejican o s, destruyéndolos por centenares en las explosio­ que quieran interesarse en este s e r v ic ió , acudan á v&amp; inearfo é nes de San Ju a n de U lúa. Son m uy injustos los ataques y R E IN O D E H A N N O V E R . instruirse de las condiciones con que debe h acerse, láSC ttales exigencias con que la Franéia aspira á obligarlos por fuerza á que concedan á sus súbditos privilegios que ninguna Potencia Ila n n ó v er 58 d e E n ero. estarán de m anifiesto en la secrétaría de esta intendenc…</t>
  </si>
  <si>
    <t>…de Veracruz en una quiera sacrificios. L a nación os ha confiado sus gloriosos desti­ manifestación que han circulado al cuerpo d ip lo m átic o , resi­ nos; ella espira que logréis presentarla fuerte y noble para con R E IN O D E H A N N O V E R . dente en Ilamburgo. En correspondencia á esta conducta tan sus enemigos exteriores; tranquila y dichosa en su territorio; favorable á M é jic o , el Gobierno recomienda al Congreso na­ siempre respetable en sus relaciones con los otros pueblos por H annóver 28 d e M arzo . cional…</t>
  </si>
  <si>
    <t>…de la tienda del comandante en gefe, habia cau­ actual. Dios guarde á V. E. muchos años. Madrid 22 de sado alguna agitación. Una fuerza considerable, bajo las órde­ Marzo de 1839.=Excmo. S r.= Zenon Asuero.—Excmo. Se­ R E IN O D E H A N N O V E R . nes del mayor general Bosvers, habia .sido enviada de nuevo ñor Secretario de Estado y del Despacho de la Goberna­ contra Yhausee , donde un destacamento del 16.° regimiento ción de la Península. Hannóver 27 de Febrero. indiano á las órdenes del capitán Duff se ha visto rechazado…</t>
  </si>
  <si>
    <t>…mara de los Comunes, relativa á autorizar un emprés­ ques, llanuras, montañas y prados, desde la Sabina hasta el tito de 109 libras esterlinas á fin de organizar una fuerza de rio del Norte. policía en aquella ciudad. R E IN O D E H A N N O V E R . M E JIC O . Hannóver 11 de Agosto . Se dice que Mr. Poulet Thomson irá de gobernador al Canadá. Por N ueva Orleans sabemos que el general Bravo habia sido Habiéndose restablecido la tranquilidad, los regimientos Se hacen preparativos en Manchester-IIouse para el reci­ nombrado…</t>
  </si>
  <si>
    <t>…el palacio de J u s­ forma. t ic ia , no era este un medio el mas á propóúto para probar su' A la partida dél correo refutaba M r. Gesbell los argum en­ fidelidad; era mas bien una urüel irrisión. Todos los que han R E IN O D E H A N N O V E R . tos de les defensores del escrutinio secreto. Se créia que no po­ observado de cerca la revolución afirman qtre estos gritos se dría terminarse el debate ea aquella sesión , por haber comenza-* chiban rara vez. Peleabau corno desesperados sin recurrir á las Hannóver 15 de Junio…</t>
  </si>
  <si>
    <t>EHANNOYE</t>
  </si>
  <si>
    <t>…n de negocios extrangeros para que diese su so de Cerragería.nJuan Bautista de Llano.=Joaquiu Romero. informe. Igual resultado ha tenido en la Cámara de los Repre­ Sentencia.=En la villa de Madrid á 31 de Marzo de 1839: REINO D E H A N N O Y ER. sentantes, después de algunas observaciones de Mr. Evans, de! el Sr. juez de derecho D. Tomas Pacheco, por ante mí el es­ Maine. Ambas comisiones han permanecido reunidas todo el cribano de S. M. y á presencia del jurado reunido, dijo S, S. Hannóver 11 de Marzo. dia , y mañana da…</t>
  </si>
  <si>
    <t>EHANNOYER</t>
  </si>
  <si>
    <t>…stitución de riosa necesidad. la Jam aica, y confiar el gobierno á ua consejo especial. Se en­ Era evidente que habia una alianza entre la Persia y la viarán tres comisarios de Inglaterra á la Jamaica á fin de adop­ R E IN O D E H A N N O Y E R . Rusia contra la Inglaterra.*Resulta de los documentos que te­ tar las leyes reclamadas por las circunstancias. nemos á la vista que el capitán Yickowich habia sido enviado Air . Goulburn echa en cara al Gobierno el no haber guar­ Osnabruck 5 de Abril . por el gabinete de Peters…</t>
  </si>
  <si>
    <t>EHI</t>
  </si>
  <si>
    <t>…ontinuación se H A L L A N D O S E vacante el magisterio de primeras letras de copia. la ciu dad de C alahorra , provincia de L o g r o ñ o , por di­ E! gobernador m ilitar de Viana en oficio de hoy que a c a ­ D IR E C C IO N D E H ID R O G R A F IA . misión de su ú ltim o poseedor por falta de s a l u d , c uy a dotación bo de recibir ahora que son las once de la mañana me dice lo consiste en 50 rs. anuales pagados p u n tu alm en te por el a y u n ­ siguiente: AVI S O A LOS N A V E G A N T E S . ta m ie n t o , y las me…</t>
  </si>
  <si>
    <t>…En segundó lug i t } continuó el Sr. V a lle , contribuyó tam ­ mientos de intereses. bién el auxilio del clero que dirigía celosamente los estudios, O tra en la ciudad dé C uénéa, extraraurós de las márgenes D IR E C C IO N D E H ID R O G R A F ÍA . evitando el contagio dél máteHalisfóÓ y las ideas de corrupción del rio Jú c a r, que sirvió dé fábrica de paños, coa 55© pies de y de inmoralidad. Se Ies llamaba jansenistas d muchos eclesiás­ sitio, tasada por Í5. Ramón S ierra, arquitecto de aquella ciu ­ ticos ilustrad…</t>
  </si>
  <si>
    <t>EHUMANIDADES</t>
  </si>
  <si>
    <t>…ado lecho nalmente completan la educación esmerada de la juventud, po­ de h o rrible nada en tre la brum a espesa. niéndola en el caso de apreciar y dar á conocer ios seres de la C ontem plaré con risa su despecho, C OL EG IO D E H U M A N I D A D E S . naturaleza que sirven á las necesidades y placeres del hombre, y elevand o mi frente audaz, ilesa , y los que por el contrario le amenazan y perjudican. m i m a n o ha de mostrarles el camino Calle de las Tres Cruces, n ú m . 2 , cuarto principal . En este compendio se ha…</t>
  </si>
  <si>
    <t>Eideati</t>
  </si>
  <si>
    <t>…debido ser el dec u lt i- d o r a y la Serma. Sra, Infanta Doña María Luisa Fernan­ f u e g o , dos caballos y otros efectos. | var las relaciones entre los dos países, en formar un proceso Dice igualmente que el comandante de Eideati persiguió el S contra la República mejicana , y preparar gradualmente el cú- da, continúan en esta corte sin novedad en su importante 18 á otra partida de seis facciosos de caballería , los cuales en j mulo de males que hoy lamentamos. salud. __________________ su fuga se precipitaron al r…</t>
  </si>
  <si>
    <t>Eiizondo</t>
  </si>
  <si>
    <t>…ón con fuerzas res­ petables que espero contribuirán poderosamente ai completo exterminio de aquellas fuerzas rebeldes, para marchar en seguida á Cataluña si fuese necesario. D ios guarde á V . E. muchos años. Cuartel general de Eiizondo 18 de Setiembre de 1839 .= Excmo. Sr. = El duque de la V íctorÍa.= Excm o. Sr. Secretario de Estado y del Despacho de la Guerra.</t>
  </si>
  <si>
    <t>EINDUSTRI</t>
  </si>
  <si>
    <t>…, director de la academia francesa en ficencia, ó encerrados en nuestros hospicios ó en las cárceles del I d e m 24. Roma. Estado: á esta clase presenta el empleo mas conveniente y ven­ tajoso el cultivo de la seda. SECCION D E I N D U S T R IA Y CO M ERCIO . El año pasado (1857) el cultivo de la morera se ha extendido mucho mas que en los anteriores, y el pueblo y las le g is la tu ­ E x ám en es públicos d e la a ca d em ia gratu ita d e contabili­ NOTICIAS NACIONALES. ra s d e v a rio s Estados lo han fomentado muc…</t>
  </si>
  <si>
    <t>Eita, Angulema. España.</t>
  </si>
  <si>
    <t>Angulema. España. Eita</t>
  </si>
  <si>
    <t>…. A las siete de la noche. Se volverá á poner aquel entonces, y el famoso decreto dado en Andujar por el en escena la acreditada comedia en tres actos, titulada Se habla siempre en la bolsa de un empréstito en favor de duque de Angulema. España. Eita circunstancia, unida el cambio de ministerio Esta edición solo constará de dos tomos en 8.° regular, de BUEN MAESTRO ES A M O R , ó LA N IÑ A BOBA trances, daba nuevas esperanzas á los especuladores. E n cor­ buen papel é impresión, divididos en ocho cuadernos de seis respo…</t>
  </si>
  <si>
    <t>Eixerich, F.</t>
  </si>
  <si>
    <t>F. Eixerich</t>
  </si>
  <si>
    <t>…seis meses, y todos los con­ tiene á su cargo. Es también merecedor de recomendación-el tos obsequios á la memoria de aquellos esclarecidos varones, c u ­ suelos de la religión y de la amistad. encargado de seguridad pública D. F. Eixerich , por la parte yos desvelos se emplearon en pro de la causa de la civilización. L a - G a s c a , hijo obediente, esposo fiel, padre afectuoso, « m i­ «ctiva y preliminar que ha tenido en la averiguación del hecho En el número de estos últimos debemos contar al ilustre señor go apasio…</t>
  </si>
  <si>
    <t>EJUNI</t>
  </si>
  <si>
    <t>…de estos: desde Número 2.° las nueve á las once, ó desde las diez á las doce, escuela: de doce á dos, ó de once á tres, recreo y comida: de dos á cua­ Secretaría de Estado y del Despacho de la Guerra. == Exce­ M A D R ID 2 5 D E J U N IO . tro , ó de tres á cinco, escuela, esperando desde esta hora á lentísimo Sr.=Al comandante de Aragón , Valencia y M urcia que vayan á buscarlos. digo coa esta fecha lo siguiente: 8 .a Según lo prevenido en la regla anterior, serán recibi­ Sociedad para propagar y mejorar la educación d…</t>
  </si>
  <si>
    <t>El, A. García Gutiérrez.</t>
  </si>
  <si>
    <t>A. García Gutiérrez. El</t>
  </si>
  <si>
    <t>…último remate se halla señalado el dia del Peral. V zúas que sinsabor y desventura. doce de la mañana en la expresada Estela , ó el padre y la hija , comedia en dos actos, del dirección general, célebre Scribe, traducida por D. A. García Gutiérrez. El amor que es el afecto con que mas pronto simpati­ El Vampiro , comedia en un acto, del mismo Scribe, tra­ za el corazón humano, no debe en el teatro tener un éxi­ ducida por D. A. García Gutiérrez. to feliz, sino en la comedia urbana, donde por lo común Aviso d los almacenes…</t>
  </si>
  <si>
    <t>El, Alejandro.</t>
  </si>
  <si>
    <t>Alejandro. El</t>
  </si>
  <si>
    <t>…este año. A y e r noche se verificó en la embajada rusa la gran función Nadie puede dudar que se presentan dificultades en la for­ Pero si la Asamblea general de los Estados manifestase este en obsequio de S. A. I. el gran duque Alejandro. El conde Pozzo mación del nuevo Gabinete. Pero la Cámara confia para resol­ voto en nombre de nuestros m u y amados súbditos , y nos d i r i ­ di Borgo y la condesa su sobrina hicieron los honores de la fies­ verlas en su propia fuerza y en los buenos deseos de la corona, giese proposicio…</t>
  </si>
  <si>
    <t>El, Alvaro.</t>
  </si>
  <si>
    <t>Alvaro. El</t>
  </si>
  <si>
    <t>…hechos; no puede ser, no esto en la justicia del Congreso. 9 no ve en esa medida de hacer pasar a u n individuo á ser juz­ ver que cuando la aurora de la paz ha venido á enjugar nues­ Pero tampoco es eso lo que ha dicho el Sr. Alvaro. El señor gado a un tribunal ad hoc , rota enteramente la garantía que tras lágrimas y á restañar nuestras heridas, el ministerio si­ Alvaro no ha dicho ó no ha tratado de justificar nuestros ac­ deben tener los ciudadanos españoles? Todo está documentado, guiendo una línea de conducta cont…</t>
  </si>
  <si>
    <t>El, Antonio Fernandez</t>
  </si>
  <si>
    <t>Antonio Fernandez El</t>
  </si>
  <si>
    <t>…jo ningún privilegio personal. {A l A bordo del bergantín de S. M. Express , en Yeracruz á P R ESID EN CIA D E L CONSEJO. orden !) 29 de Diciembre de 1838 z=Muy señor mío: os ruego que ten­ lie tenido á bien adm itir al consejero Antonio Fernandez El honorable individuo presenta en seguida un gran n ú ­ gáis á bien informar al Ministro de S. M. en Mé ico, de que Coello la dimisión que me ha presentado del cargo de Ministro mero de peticiones, y declara reservar un gran número de ellas el 21 del corriente, cerca de media hor…</t>
  </si>
  <si>
    <t>El, Antonio García Gutiérrez.</t>
  </si>
  <si>
    <t>Antonio García Gutiérrez. El</t>
  </si>
  <si>
    <t>…DO EN LA SECRETARIA DE ESTADO las Covachuelas, el drama en cinco actos del célebre Alejandro Y D E L DES PA CHO DE L A GUERRA. M u r v ie d r o 2 3 d e Abril. D u m a s , tiulado C alígn la , arreglado al teatro español por Don Antonio García Gutiérrez. El brigadier segundo cabo de Aragón traslada un parte del A las dos de esta tarde ha salido el Excmo. Sr. general en Precio de suscricion 2 rs. gobernador iriiliíar de ÍVleqninenza de 26 del an terio r, en que gefe con toda la d iv isió n , según dicen para Bétera , y ha…</t>
  </si>
  <si>
    <t>El, Antonio Quiroga.</t>
  </si>
  <si>
    <t>Antonio Quiroga. El</t>
  </si>
  <si>
    <t>…Ramón G arcía, obispo electo de A lm ería. Corima. «D . Ju an Aldama* alarmantes habían desaparecido. {Debnts.) «D . Sebastian Fernandez Bailesa. «D . José Ozores, señor de Rubíanes. «D . Domingo M aría R uiz de la Vega. « D. Antonio Quiroga. El D iario deA os D ebates del 2/f dice, qué los Ministros «Comendador D. Rafael Caamaño Pardo. Soria. aguardarán para retirarse la discusión de la respuesta al dis­ D. Juan del Gayo. « D . M anuel Joaquín T arancon, obispo electo de Zamora. curso del trono, en la cual expondrán su…</t>
  </si>
  <si>
    <t>El, Argwelita.</t>
  </si>
  <si>
    <t>Argwelita. El</t>
  </si>
  <si>
    <t>…n mis­ El Sr. PRESIDENTE; O d ea é d día. Coatímú b d i » - oqixelks Senodores ú Diputados que aémifiamempleas, gra­ ta , de amaera que u© hubiere auyoría entre ks 10 indiridaos íñena píndwjolí ayer soíbw la saAerpelacMa del Sr. Argwelita. El cias o condeoorsciones del Gobierno, mns no oon ks que sol© [ de d h , lo partid,pará i ks -dnsi cuerpos cokgidadom cnu las Sir. Ministro de Girada y Jmstécb puede proseguir em m dis- fuere* agraciadas, y no admítaos que mmconstundo que el se- ' actas de sos juntas, y tanto el uno co…</t>
  </si>
  <si>
    <t>El, Berg.</t>
  </si>
  <si>
    <t>Berg. El</t>
  </si>
  <si>
    <t>…memorias tiempo.” mas feliz éxito.” Sobre la importancia de esta convención. Se declara á No tardó en estallar la guerra* El Austria fue la que Talle rail l volvió á escribir desde Presburgo en 12 de Joaquín Murat gran duque de Berg. El 30 de Marzo José atacó por segunda vez* Mr. de Metternich estaba aun eu Diciemnre: «Estuve en Briinn y en Viena, mi querido Boi/ipane es proclamado Rey de Ñapóles: el mariscal Paris; Champagny recibió orden de acompañar al Empe­ Ha a erive, para ver al Emperador antes de trasladarme Beni.vi…</t>
  </si>
  <si>
    <t>El, Bretón de los Herreros.</t>
  </si>
  <si>
    <t>Bretón de los Herreros. El</t>
  </si>
  <si>
    <t>…smo motivo, se cantará la guerra civil, han pensado en proporcionar un socorro á las también por el Sr. Unanue y coristas otro ZORCICO VAS­ los conceptos, y por su gracia y patriotismo la letrilla sa­ religiosas tírica del Sr. Bretón de los Herreros. El público Jas aplau­ necesidadesdepadecen todos los conventos de esta capital, que tantas CUENCE, compuesto por el profesor D. Pedro Albeniz para en las actuales circunstancias, abriendo al la serenata dada á SS. MM. en la noche del 4 delante del Real dió todas frenéticame…</t>
  </si>
  <si>
    <t>El, Buelengh.</t>
  </si>
  <si>
    <t>Buelengh. El</t>
  </si>
  <si>
    <t>…ta. Todas las demas mercancías no las rentas del principado para el sostenimiento de toda la fami­ Viandas ó manjares salados, el lastre de 12 comprendidas en el arancel que antecede lia, no pasan de la mitad de las del duque de Buelengh. El barrilles.. . ......................... .............................. 36 1 6 .. 15 deberán pagar, según su valor. príncipe Alberto es muy reservado con la Reina: ei Príncipe Vigas (véase Maderas). Las naciones privilegiadas 1 por 100. Ernesto, su hermano mayor, solamente es el que se…</t>
  </si>
  <si>
    <t>El, Burdeos.</t>
  </si>
  <si>
    <t>Burdeos. El</t>
  </si>
  <si>
    <t>…extraordinaria para que dé mal sus inspiraciones al anunciar poliposamente la llegada á Unos c-auntos marineros ingleses habían cometido últim a­ su informe. Esta discusión ha excitado un interés general, por­ Roma del duque de Burdeos. El joven Príncipe está en Roma, mente sin la menor provocación graves desordenes en un pue- que aunque se sabe que el resaltado de la proposición no será es cierto; pero ha ido á h u rtad illas, sin pasaporte, detras del bíecito chioo de H org-K ong, de los cuales resulto la muerte de im po…</t>
  </si>
  <si>
    <t>El, Caillé.</t>
  </si>
  <si>
    <t>Caillé. El</t>
  </si>
  <si>
    <t>…tán vendiendo á muy ba­ jos precios las tierras de Tejas; últimamente se han rematado instrucciones diametralcnente contrarias á las que hahia comu­ Fallecieron.............................................. 24 nicado al coronel Caillé. El astuto bajá con una mano blandi­ por 200 ó 500 ps. tres á cuatro leguas de tierra, ya »3 ve loque Escuelas de la Habana y sus barrios extram uros. rá la espada, y con la otra firmará los protocolos. Creemos el ca­ nada nos cuesta hagámoslo fiesta . rácter de Mehemet demasiado absoluto p…</t>
  </si>
  <si>
    <t>El, Carlos.</t>
  </si>
  <si>
    <t>Carlos. El</t>
  </si>
  <si>
    <t>…consideración otras de mas b u lto ; y felices años de las bendiciones y de la gratitud de los pueblos. jue sigue: Tales son los votos de este ayuntam iento, que ofrece á L. R. P. Se habia anunciado para las dos la llegada de D. Carlos. El respecto de estas, propuso averiguar el espíritu de la misma ley; de V. M. el homenaje de su amor y de su acendrada lealtad. iempo era hermoso , y la población llevada de la curiosidad se y la dando comisión de los cinco examinó la cuestión con detenimien­ Gandia 25 de Setiembre de 1859.=…</t>
  </si>
  <si>
    <t>El, Carraro.</t>
  </si>
  <si>
    <t>Carraro. El</t>
  </si>
  <si>
    <t>…os absolutistas robusta y sonora, y tan profundos conocimientos como los que tán graduado de comandante D. Fernaudo del P in o , propuesto de haber tenido un gefe extrangero , que por sus acérrimas adornan á su compañera la Sra. Carraro. El público aplaudió para la cruz de San Fernando de primera clase. crueldades turbó la paz de sus mismas fam ilias, condenó la el dúo del Es sale di Roma con el placer que le causa siempre Sargento segundo Dámaso G arcía, cabo primero Pablo B i- inocencia , alabó el crimen , profanó la reüg…</t>
  </si>
  <si>
    <t>El, Cayetano Cortés.</t>
  </si>
  <si>
    <t>Cayetano Cortés. El</t>
  </si>
  <si>
    <t>…eyente, dr&gt; Molina ) se publicará por tomos en rústica , de los cuales Paris, y de economía política en el colegio de Francia. Tradu­ un tomo. saldrá uno cada mes, y comprenderá tres comedias y el examen cido al castellano por D. Cayetano Cortés. El libro del pueblo, un tomo. de cada una , en todo cerca de 46 O páginas de lectura. A medida que la España va, entrando en el círculo de las Cuentos de Hoffman, dos tomos. El tamaño y el papel en que saldrá esta edición, serán en­ naciones mas adelantadas en civilización, mayor e…</t>
  </si>
  <si>
    <t>…­ vieren las cárceles. (Id.) /^UENTOS fantásticos de Hoffman escogidos y vertidos al diencias territoriale* para que celebren sus acuerdos, las opo­ para que se lleve á debido cumplimiento el art. ¿37 de la ^ castellano por D. Cayetano Cortés. El nombre del aleman siciones á ralatorías y escribanías de Camara y recibimientos ordenanza general de presidios que previene no haya presi­ HoíFman es hoy un nombre europeo, y sus cuentos se hallan de abogados á horas extraordinarias. (Id.) diarios rebajados ó destinados al se…</t>
  </si>
  <si>
    <t>El, Dauremont.</t>
  </si>
  <si>
    <t>Dauremont. El</t>
  </si>
  <si>
    <t>…le am igo era tan natural, com o crito á la gran partitura de Réquiem , compuesto por M r. B er- las Cámaras desde su prorogacion. claramente expresada, en presencia de esta nueva doctrina in ­ lioz para los funerales del general Dauremont. El diputado por la ciudad de H annóver, M r. M ever , ha troducida en el derecho de gentes , y del nuevo reglamento de Esta magnífica composición ha sido también honrada con hecho dim isión de su encargo, y por consiguiente ha dejado de nuestra disciplina n aval, en virtud del cual los o…</t>
  </si>
  <si>
    <t>El, Deutrich.</t>
  </si>
  <si>
    <t>Deutrich. El</t>
  </si>
  <si>
    <t>…uerra para mera Cámara al director del círculo de Gorsdorf, y vicepresi­ noticia de todos los habitantes de la provincia, nadie alegue los almacenes del ejército del mediodía, y los otros conducirán dente al burgo ^maestre doctor Deutrich. El doctor Haase ha ignorancia. J á Constantinopla las armas fabricadas eu Tula por cuenta del sido nombrado presidente de la segunda Cámara. San Sebastian 10 de Noviembre de 18 39.:=:Eustasio A a ji- Gobierno turco. (G. de Leipsich.) libia.</t>
  </si>
  <si>
    <t>El, Don</t>
  </si>
  <si>
    <t>Don El</t>
  </si>
  <si>
    <t>…dico, y ciente ocupa ahora el lugar de la c r u z , tiene 180 pies de eleva­ depositándose el líquido á disposición del ju z g ad o , cuyo acuer­ ción desde el pavimento. do se aprobó por auto de 20 del repetido Marzo por el Sr. Don El círculo que rodea la cúpula reposa ligeramente sobre Benito Serrano y A lia g a , magistrado honorario de la audien­ TEATROS. cuatro arcos fuertes, cuyo peso está soportado por cuatro p i­ cia de Cáceres, juez de primera instancia en esta corte, refren­ lares macizos, teniendo ademas por l…</t>
  </si>
  <si>
    <t>El, España.</t>
  </si>
  <si>
    <t>España. El</t>
  </si>
  <si>
    <t>…ncia, que tendré el placer de recordarte. El lunes 28 por la tarde regresaron á Berga los cosacos (1) en las expresadas retiradas. Larga noche, amados feligreses, noche de muchos años he­ que acompañaron á Francia al ex-conde de España. El mismo Se sabe por los montañeses han recibido orden las hordas de mos pasado, noche tempestuosa, noche de guerra civil , cor dia regresó Segarra de Llusanés donde habia ido á encargarse La Cova y Gracia, que ocupaban las sierras de Espadan y Pe- cuyas tinieblas abroquelada y prevalida la…</t>
  </si>
  <si>
    <t>El, Francia.</t>
  </si>
  <si>
    <t>Francia. El</t>
  </si>
  <si>
    <t>…a para defenderla. nación permitía, y resistió enérgicamente á las propuestas in ad ­ ría , ó haciendo un puente colgado de hierro , se le concederá Hemos celebrado tratados con las Potencias de Europa y misibles del ministro de Francia. El corto término que este fijó el producto de los derechos de barcaje que se recaudan en el América que lo desearon , estableciendo en ellos como bases las para la conclusión de las conferencias, las pretensiones exage­ mismo local por el número de años que se estipule , según que que des…</t>
  </si>
  <si>
    <t>El, Francisco de Zea Bermu-</t>
  </si>
  <si>
    <t>Francisco de Zea Bermu- El</t>
  </si>
  <si>
    <t>…en cuanto á lo primero traducida. Su título es: "L a verdad sobre la cuestión de suce­ mos faltado á ellos porque sabemos prever....” solo tenemos que ver con ella como con las demas, porque es sión á la corona de España, por D. Francisco de Zea Bermu- El manifiesto de 4 de Octubre manifiesta cuánta fue su una nación independiente como todas las otras: en cuanto á la dez, Ministro que fue de Estado y Presidente del Consejo de previsión. segunda debemos gran consideración al Papa como cabeza de la Ministros.” ....."Depositar…</t>
  </si>
  <si>
    <t>El, González</t>
  </si>
  <si>
    <t>González El</t>
  </si>
  <si>
    <t>…am en bierno de S. M . y de qu e este tiene esperanza de q u e se t r i u n ­ de e v it a r por los muchos puntos que tienen para v e rificarla. sobre las actas de Ja é n . fa rá . Contestando á otra de las observaciones del Sr. González El S r. P R E S I D E N T E : Abrese la discusión sobre la t o t a l i ­ Este p árrafo hace alusión á los Gobiernos que eran hostiles acerca de que cómo sabe el Gobierno lo que aseg ura acerca de d ad del proyecto de contestación al discurso de la corona. al Gobierno de S. M . ; y cuando…</t>
  </si>
  <si>
    <t>El, IA</t>
  </si>
  <si>
    <t>IA El</t>
  </si>
  <si>
    <t>…alguna pequeña variación en la maner^ de h a ­ dua como esta. No ha dicho se confirman ,- n o ; y yo protesto cer el nombramiento de las diputaciones. la confirmación que de¿ean ; y por lo que he visto, se sabe O RD E N D E L D IA El orador se ocupó en probar que para aquellas provincias cuán abrumadas se han visto por el poder absoluto que las ha regia una ley electoral excepcional, á causa de las circunstan­ dominado, y ha pasado por cima de sus fueros. Para confirmar, P A R A L A SE S IO N D E L D O M I N G O 20 DE O…</t>
  </si>
  <si>
    <t>El, Joaquín Riquelme.</t>
  </si>
  <si>
    <t>Joaquín Riquelme. El</t>
  </si>
  <si>
    <t>…música y poema sonde autores nacionales, es­ Sobre la nueva máquina inventada por D. Antonio M a r t í ­ Escriben de L y o n : cando aquel escrito en español. Parece que el genio de los pro- nez para destrozar la uva , por D. Joaquín Riquelme. El dia 1.° de Diciembre próximo empezará la exposición ligio s teatrales, el Sr. L u c in i, ha comenzado y a á pintar vis- Una série de artículos de mecánica práctica, fábricas, pro­ □e la sociedad de amigos de las artes, y permanecerá abierta las , y á ensayar trasformaciones pa…</t>
  </si>
  <si>
    <t>El, Juan Melendez Valdés.</t>
  </si>
  <si>
    <t>Juan Melendez Valdés. El</t>
  </si>
  <si>
    <t>…or ahora: Inscripciones en el gran Kbro á 4 por 100, 00. ú dicha librería á recoger el tomo 6.° de la sección primera, El suntuoso monasterio del Escorial. Títulos ál portador del 4 p°r 100, 00. «que comprende las poesías de D. Juan Melendez Valdés. El coro con su bellísima iglesia , en la que se oye el órga-* Vales Reales no consolidados, *00. no con un singular efecto. Deuda negociable de 5 por 100 á papel, 00. Los suscriptores á la historia de Napoleón por A. H ugo, El panteón de los Reyes Católicos iluminado* pasará…</t>
  </si>
  <si>
    <t>El, Juan Pedro</t>
  </si>
  <si>
    <t>Juan Pedro El</t>
  </si>
  <si>
    <t>…as conforme al diseño del profesor Velazquez, habiendo sido en­ so. Y esta es la principal ventaja que ofrecen los museos. estatuas y bustos que posee el museo; todos aquellos va­ cargada su dirección al arquitecto de la villa D. Juan Pedro El nuestro era ya sin duda alguna uno de los mas nota­ sos, aquellos ricos y magníficos tableros de piedras precio­ de Ayegé, de cuyo profesor es el ornato y disposición del bles de Europa, tanto por la excelencia de los cuadros que sas, ¿asi debían estar arrinconadas? Y la9 soberbias me…</t>
  </si>
  <si>
    <t>El, Julio Gómez de Silva</t>
  </si>
  <si>
    <t>Julio Gómez de Silva El</t>
  </si>
  <si>
    <t>…s del Reino. Cornwallis, Sacrificios 51 de Diciem bre—Acabo de recibir rio de Estado de M arina que desempeñaba interinamente coa una explicaciou satisfactoria de parte del contra-almirante mucha satisfacción mia. — El consejero Julio Gómez de Silva El orador continuaba hablaodo á la .salida del correo. B audio, acerca del piloto arrebatado á bordo del Express. Es­ Sánchez &amp;c. La Cámara de los Lores solo ha tenido una sesión corta é insignificante. {Id.) ta ha sido uua inadvertencia de S. A. R. el Piíncipe de J o in - v…</t>
  </si>
  <si>
    <t>El, León.</t>
  </si>
  <si>
    <t>León. El</t>
  </si>
  <si>
    <t>…nocer todavía de saber el triunfo que acaban de obtener en Arroniz las tropas con Es una bella edición, hecha con el mayor esmero y la impresión que en ellos haya podido hacer la benévola acogida de la Reina a! mando del general León. El 11, después de cin­ la edición corrección, suma teniendo presente para esto último estereotipada de Didot. que han tenido del R ey , se puede casi con seguridad afirmar co horas de un fuego vivísimo de artillería y fusilería se ap o­ que les sucederá lo mismo que al general Mustafá-Ben-…</t>
  </si>
  <si>
    <t>El, Luis González Bravo.</t>
  </si>
  <si>
    <t>Luis González Bravo. El</t>
  </si>
  <si>
    <t>…novar sus peticiones si lo tienen por conveniente, no estaba conforme coa A petición del Sr. Fuente Andrés se leyó la exposición que que se aprobase la p r im e r a , pues es contraria al art. 67 del re­ d irige á las Cortes D. Luis González Bravo. El P ortofoglio Jlfa ltesse , periódico que se publica en M a l­ glamento, que previene que, concluida una diputación, terminan El Sr. B E N A Y I D E S : A pesar de haber pedido la palabra t a , contiene en su número del 12 de Setiembre una noticia so­ cuantos negocios pendían…</t>
  </si>
  <si>
    <t>El, Manuel IVlontesinos.</t>
  </si>
  <si>
    <t>Manuel IVlontesinos. El</t>
  </si>
  <si>
    <t>N.º 1624. SABADO 27 DE ABRIL DE 1839. d ie z c u a i t o s PARTE OFICIAL. nido, ocupa'cdose en ello con la mayor actividad el visitador í dar muerte al titulado teniente Ignacio del Prado y Araujo, de presidios D. Manuel IVlontesinos. El lunes 22 del corriente yy Juan pasaje eu persona acompañado de dicho visitador ingeniero co, una López, lanza , procedente de N a v a rra , cogiéndoles un trabu­ una canana, otros efectos y algunos papeles dé D. Elias Aquino a establecer las nuevas brigadas en el lugar M…</t>
  </si>
  <si>
    <t>El, Manuel Maderne y D. Jaime Santacana.</t>
  </si>
  <si>
    <t>Manuel Maderne y D. Jaime Santacana. El</t>
  </si>
  <si>
    <t>…os, d e m odo-que el gol­ so responder con un bayonetazo, pero se lo impidieron los que Materna ti jas. D. Guillermo Macpherson, D. Valentín Ga- j fo de Lepanto estuvo por algunos dias temido de sangre* le rodeaban. larza , D. Manuel Maderne y D. Jaime Santacana. El pintor fue preso y conducido á la cárcel de Boun Go~ Primer año de filosofía. D. Anselmo Mateo y D . José Toda la Europa resonó con gritos de victoria y alabanzas al héroe español , declarado entonces el mayor general yerno. Ea acusación que se extendió al…</t>
  </si>
  <si>
    <t>El, Manuel Pascual Vela.</t>
  </si>
  <si>
    <t>Manuel Pascual Vela. El</t>
  </si>
  <si>
    <t>…del presente lipe el Real. mejor p la n , el premeditado se reduce á dar cada mes dos cua­ mes salió de esta corte para la ciudad de Cádiz , adonde se los dernos de cinco pliegos de impresión en cuarto. El uno , con el remitia D. Manuel Pascual Vela. El algebra reemplazada por la aritm ética en los problemas título de R egistro d e legislación ultram arina , y ordenanza de interés compuesto , anualidades, am ortización, terminando d e intendentes d e Indias d e 18 0 3 , formando un tomo de 12 Números . Cantidades . por una…</t>
  </si>
  <si>
    <t>El, Manuel Sanz</t>
  </si>
  <si>
    <t>Manuel Sanz El</t>
  </si>
  <si>
    <t>…con el mayor ría Asensio, como apoderado de los Sres. D. Francisco Nuñez, acerca dedelalacual A rabia, no asegura la exactitud de esta noticia^ esmero. no ha recibido mas pormenores. intendente; D. Timoteo G alan, contador; y D. Manuel Sanz El 7 se negociaron en Londres los consolidados á 92¿: la se practica En este compendio se ha procurado, á imitación de lo que Ferrer, el artículo inserto en el periódico titulado el Castella­ deuda activa española á 24| ; y los portugueses á 36g. en otras naciones, y conforme al objeto d…</t>
  </si>
  <si>
    <t>El, Maroto.</t>
  </si>
  <si>
    <t>Maroto. El</t>
  </si>
  <si>
    <t>…ieren recibió en esta capital la noticia oficial del convenio celebrado iro Albeniz, natural de S. Sebastian de Guipúzcoa, en las escuelas de veterinaria.” Y como cabalmente la primera entre el duque de la Victoria y- el general Maroto. El repique Se hallará en el almacén de música de C arra fa , calle del proposición sobre la expoúcioo al Gobierno de que se trata ha de campanas y las salvas de artillería anunciaron á este leal Príncipe núm. 1 5 , á 2 rs. vn. sido promovida ea la sociedad por un catedrático de la escuela…</t>
  </si>
  <si>
    <t>El, Ministro</t>
  </si>
  <si>
    <t>Ministro El</t>
  </si>
  <si>
    <t>…Villaverde , ■H u e t , barón de Gasablanca , C. de la d aré á S. S. todas las explicaciones que desee.- f / R o s a , Salamanca , C am b ron ero , Camateño , Florez Estrada, El Sr. P R E S I D E N T E : Tiene la palabra el Sr. Ministro El general en gefe del ejército del Centro en 28 del mismo Mela , Valdés. de Hacienda. dice desde Daroca : que el Í 8 salió de Mequinenza por disposi­ C uarta sección : Sres. E lo rdi, Baeza , Barrió Ay uso , Jaeñ, Ocupó la T rib u n a , y leyó u n Real decreto , por el cual S.^M, ción de…</t>
  </si>
  <si>
    <t>El, Ministro de la Guerra.</t>
  </si>
  <si>
    <t>Ministro de la Guerra. El</t>
  </si>
  <si>
    <t>…n su conducta pasada he aqui este plazo: y a está contestado el Sr. Arteta con las mis­ La principal razón que me ha movido á tomar la palabra violando la Constitución y las leyes del E stado, no tiene ten ­ mas palabras del Sr. Ministro de la Guerra. El resultado de es el compromiso de honor que me impuse cuando dije unte el dencia b u e n a, que la Constitución está en peligro, y que el aquella sesión memorable no fue ni pudo ser otro que el que se Congreso que cuando llegase el momento de discutir el proyecto Congreso…</t>
  </si>
  <si>
    <t>El, Odonell</t>
  </si>
  <si>
    <t>Odonell El</t>
  </si>
  <si>
    <t>…c u b r i r lérdida debió ser considerable , si otros euemigos hubieran de- paros de cañón y de obús. las avenidas del valle de Mena , y sostener nuestras c o mu n i ca ­ é ndi do las posiciones ; pero flanqueados por el general Odonell El dia 2 conti nuaron los trabajos las compañías de zapa­ ciones con Vill arcayo para la seguridad de los convoyes. &gt;or la d e recha, y por la columna de cazadores que estaba á rni dores en las obras iudicadas , extendiéndolos á la construcción La 4.a división con el cuartel g e n e r a l…</t>
  </si>
  <si>
    <t>El, Orleans.</t>
  </si>
  <si>
    <t>Orleans. El</t>
  </si>
  <si>
    <t>…io de cada añó un ponsal encargado de comunicarnos el recibimiento en aquella ción de diversos capítulos del escrito en cuestión. estado circunstanciado de ella con las observaciones que se ju z ­ ciudad de S. A. R. el duque de Orleans. El tal folleto no es de lord Brougham. El autiguo canciller guen convenientes. M añ ana insertaremos los detalles de tan magnífica entrada, de Inglaterra tiene sobrada sensatez para pagar con epítetos in ­ que ha sido una fiesta Real y popular á la vez. juriosos , con exageradas declamac…</t>
  </si>
  <si>
    <t>El, Presidente.</t>
  </si>
  <si>
    <t>Presidente. El</t>
  </si>
  <si>
    <t>…ribuir á que pro­ servicios que el Sr. Montesino habia hecho, y la junta apro­ reclamaciones pendientes á nombre de la sociedad. duzca en nuestro suelo los inmensos beneficios experimentados bó por unanimidad la propuesta del Sr. Presidente. El segundo donativo del Sr. Virio por la cantidad de 103 en tantos otros países , y á que perfeccionada hasta el punto reales, es pues el mismo que ha ingresado en la tesorería de la que permita nuestra situación, sirvan los ensayos hechos en la Sr. También aprobó la junta por unanimida…</t>
  </si>
  <si>
    <t>El, Presidentes</t>
  </si>
  <si>
    <t>Presidentes El</t>
  </si>
  <si>
    <t>…e^os leido algunas comt posicior .es dél* pidihitivó téo^rc en las tribunas públicas.) ba jo , amantes de ¡lo positivo , *reftetívós.¿ sin ningunos recuer­ francés-í hemps examinado cr yo suma ateociéRúái .primér-áá éo- E l Sr. Presidentes El reglamento prohíbe toda señal d&lt; dos militares 9 y pocoú nadé afectos á conquistas., dos pala­ •medias y .tragedias de/vQorr^* eú |e ant ¿riores *\*G iéy a\ B*rtbte* aprobación ó de desaprobación*: «i .vuelven é renovar se esto; bras coosignadas en el discurso ^ e l trono han bastado…</t>
  </si>
  <si>
    <t>El, Ramón</t>
  </si>
  <si>
    <t>Ramón El</t>
  </si>
  <si>
    <t>…s dias a D. José y D oña María Josefa Menendez, hijos y * Dios guarde á Y. E. muchos años. Sevilla 8 de Diciembre herederos de D. Salvador Menendez , se presenten en.la escri­ de 1858 =EI conde de Clonard.ziExcmo. Sr. general D. Ramón El mariscal de campo D. Narciso L ópez, en 29 del mes banía principal de rentas de Amortización á cargo de D. José María Narvaez. último desde Valencia , participa que, habiéndose presentado Balduque, sita en la calle del Lobo, núm. 8 , pisó segundó , á Eota comunicación se trasladó al comand…</t>
  </si>
  <si>
    <t>El, Ribeira de Sabrosa.</t>
  </si>
  <si>
    <t>Ribeira de Sabrosa. El</t>
  </si>
  <si>
    <t>…de que tales fuesen sus instruc­ nistro y Secretario de Estado de Guerra al brigadier graduado rio conserve la dirección de los negocios sin tener la certidum­ ciones, y si me comprendía bien. Me respondió que me enten­ barón de Ribeira de Sabrosa. El vizconde &amp;c. bre de poseer la confianza de la Cámara. {Aplausos.) día perfectamente, que era portador de una orden emanada Si quiere atacar la Cámara de los Lores el sistema seguido del almirante Baudin , y que debia ejecutarla sin remedie. En­ He tenido á bien nombrar M inis…</t>
  </si>
  <si>
    <t>El, Rosas.</t>
  </si>
  <si>
    <t>Rosas. El</t>
  </si>
  <si>
    <t>…lón helénico cerca del en la provincia de Entrenos contra un cuerpo de 1500 hom­ mentar la esperanza de que pronto se adoptará una medida barco de vapor para obsequiar al embajador, y se reunieron bres del ejército del gobernador Rosas. El resultado de esta vic­ análoga en Francia. Voto es este que y a han expresado varias como unas 500. Ademas se invitó á mas de 39 griegos á que toria ha sido la ocupación de la ciudad de la Concepción, ca­ ciudades importantes. M arsella fue la que d irigió la primera asistiesen al desembar…</t>
  </si>
  <si>
    <t>El, S. I.</t>
  </si>
  <si>
    <t>S. I. El</t>
  </si>
  <si>
    <t>…e haber de e^tar y pasar por lo que J u lio próximo á las doce en punto de su mañana. Valladolid 18 aqui se acostumbraba, sino por un análisis exacto y razonado. ea la misma acuerden los que asistan. de Ju n io de 1859 z=P. I. D. S. I. El in terventor, J u a n Anto­ En el tratado de los verbos se desenvuelven extensamente sus nio de Beogoa.=Francisco Braña y Escosura , secretario. clases; los tran sitiv o s, in tran sitiv o s, sustantivos, auxiliares, impersonales &amp; c ., y sobre todo los llamados pronom inales, en los que…</t>
  </si>
  <si>
    <t>El, Simón la Torre.</t>
  </si>
  <si>
    <t>Simón la Torre. El</t>
  </si>
  <si>
    <t>…ublicaron esas listas el dia 8. que las elecciones no le eran favorables, y no solo ha obrado el Bilbao 12 d e S etiem b re . Anoche vino á esta villa el general Acerca de la distribución de los distritos electorales doy por D. Simón la Torre. El pueblo está lleno de oficiales y soldados gefe político de esa manera , sino que ha usado de su autori­ supuesto que h a y a sido para que la diputación provincial f a ­ procedentes de los batallones vizcaínos. C ontinúan llegando á dad por otro estilo. l i a tenido constantemente…</t>
  </si>
  <si>
    <t>El, SUBASTAS.</t>
  </si>
  <si>
    <t>SUBASTAS. El</t>
  </si>
  <si>
    <t>…Im prenta Nacional . la suscripción. p N virtud de providencia del Sr. D. Miguel M aría Duran, Otra idem . ministro honorario de la audiencia de Granada , y juez de primera instancia de esta v illa , refrendada del escribano de SUBASTAS. El célebre Julio R omano pintó este cuadro, cuya composi­ número del crimen D. José López A rias, se cita , llama y em­ plaza por tercero y último anuncio, y término de tres dias , á E l intendente militar del distrito de las Islas Baleares hace cion se reduce á lo siguiente. En medio está…</t>
  </si>
  <si>
    <t>ELA</t>
  </si>
  <si>
    <t>…Zoilo M ontes, de honor de S. A . I .,é hizo que dos alguaciles pusiesen en manos de A benoja; Remigio Torrejon, de Villarubia de los O jos; San­ los vicerectores el diploma sellado con el gran sello de la univer­ CONFERENCIAS D E L ATENEO. tos Benitez , de Piedra buena; Ramón Cortés , del Pozuelo; sidad encerrado en una caja de oro. Entonces los vicerectores se Máximo Naranjo (alias la Parda), natural de Herencia, y ocho acercaron á S. A . I. y le entregaron el diploma , en cuyo acto la Mérito literario de M oralin , consi…</t>
  </si>
  <si>
    <t>…, titulado LA DEGOLLACION D E LOS INOCENTES. ral de los criminales? He respondido francamente que no , y Desde que desaparecieron los autos sacramentales, y las de­ he dado mis razones. No obstante esto , he recomendado como Y D E L AS DIRECCIONES Y A U TORIDADES SUPERIORES# mas composiciones del género místico, no se ha presentado al urgente las reformas de las prisiones en Francia , sin la cual la público una pieza nueva que reúna al interés dram ático, que sociedad corre grandes riesgos; pero no espere Y. de ella una E…</t>
  </si>
  <si>
    <t>ELABELLEZACON</t>
  </si>
  <si>
    <t>…a , co ntem p la n do el enlace m a ­ nes , de las distancias y de las figuras. r a v i l l o s o , el en cad en am ien to bien co ncerta d o de los diversos " P e r o á lo menos, se d i r á , ía belleza del co lo rido no de­ D E L A B E L L E Z A C O N S ID E R A D A E N LOS O B JE T O S . ' pensam ientos qu e la co mponen . E l sistema de la a tra cció n n e w - pende de nin guna ley.” ¿C ó m o n o ? ¿ P u e s de dónde procede t o n i a n a , que sometió á una sola y ú n ic a ley todos los m o v i ­ qu e ciertas mezclas…</t>
  </si>
  <si>
    <t>ELABU</t>
  </si>
  <si>
    <t>…se precisa­ por el que lo es del Puerto de Sta. María , en la segunda sec­ sainete, titulado m ente para el 1.° de D iciem bre p ró x im o , pues al paso que ción de la quiebra de D. Ramón Sedre, radicada en su juzga­ E L ROBO D E L A B URRA . por este medio se espera conseguir m ayor ex actitu d , no do , se cita y emplaza a D. Esteban Fernandez, residente que se dice en esta corte , para que en el término perm ite tampoco io adelantado del tiem po que se e x tien ­ contado desde el en que se inserte este anuncio en la…</t>
  </si>
  <si>
    <t>ELACONQUI</t>
  </si>
  <si>
    <t>…ste generoso desprendi mi ent o de D . V ic en te h a lla r á eñ la lib re ría de la v i u d a de R azó la, á 4 0 rs. en rú s t ic a .' J u a n Perez para su satisfacción. HISTORIA Ayuntam iento constitucional de M a d rid . D E L A C O N Q U IST A D E L N U E V O -M U N D O T E A T R O S PR IN C IPE ; H o y lunes no h a y f unció n . 7 ^ Habi éndose denunci ado ante el Sr. al cal de pri mero consti ­ Corno en él descub rim ien to de las A m éric a s las ú n ic a s qu e tucional D. Tornas Fernandez de Vallejo por el pr…</t>
  </si>
  <si>
    <t>ELAF</t>
  </si>
  <si>
    <t>…bertades de la nación , ha cabido en suerte con el pri­ se comunicase al Gobierno. enmienda á aquel artículo, y se dijese en él que á los soldados mer extracto de la de este dia á Doña María Felipa Zaldivar, El Sr. SA N C H EZ D E L A FU E N T E dijo que bastaba procedentes de la quinta de 1009 hombres, á quienes convenga huérfana y hermana de D. H ilario , teniente del batallón fran­ solo que se avisase al Gobierno; pero después de un brevísimo recibir su recompensa en predios rústicos, se les dará de este co de S o ria, m…</t>
  </si>
  <si>
    <t>ELAG</t>
  </si>
  <si>
    <t>…2. i 1 Para ello debe Y. tener presente que la base prirnordi.il de PARTE RECIBIDO EN LA SECRETARIA DE ESTADO del camino esta clase de instituciones es la confianza pública que existirá, 1l * * 1 De dos Y DEL DESPACHO D E L A GOBERNACION DE LA P E N IN S U L A . si cuida ese ayuntamiento de proponerme para directores de la • Alcanta ¡rillas. ojos, •* •• •• •• •&lt; caja de ahorros personas de conocida probidad , riqueza y filan­ 1 1 * Gobierno superior político de la provincia de Cádiz. == AL tropía ; si…</t>
  </si>
  <si>
    <t>…e de crueldades. Se contento. La regencia de V. M. con el, prudentísimo Gobierno acerca ese término dichoso, Señora , y el júbilo general anuncia :jue la ayuda en los negocios del Estado, y el reinado de la M IN I S T E R I O D E L A GO BERNACIO N D E L A P E N IN SU L A * la reconciliación de' todos los partidos, dé todas las opiniones, de ¡egunda Isabel coo la Constitución de 1837, hacen esperar á todas las fam ilias para abrazar y establecer la p az, que arroyos los pueblos la felicidad que V. M. procura aosiosa de ele…</t>
  </si>
  <si>
    <t>ELAGAC</t>
  </si>
  <si>
    <t>SUPLEM ENTO AL NUM. T IT U L O II. 1788 D E L A G A CtaE, To Aen. el segundo grado de la trasversal, de los individuos »el acta de su distrito al escrutinio general. Este escrutinio se de ayuntamiento que no se renueven. | verificará ante el ayuntamiento pleno; presidirá el alcalde, y Del nombramiento de los individuos de Ayuntamiento . A…</t>
  </si>
  <si>
    <t>ELAGACETA</t>
  </si>
  <si>
    <t>…M iguel. —Sr. in ­ DEL CONGRESO tendente de la provincia de Huesca. Otra . Intendencia m ilitar de Aragon.z=SIeodo esa intenden­ cia el único amparo de esta m ilitar del distrito , espero cou an­ C O R R E SP O N D E N C IA D E L A G A C E T A . DE SEÑORES DIPUTADOS. sia del patriótico y esmerado celo de Y . S. por el bien y socorro de! ejército que tanto tiene que agradecer á Y . S ., se sirva de­ Se suscribe en el despacho de la Imprenta Na­ cirme qué cantidad podré librar este mes por cuenta de consig­ Huesca 28 d…</t>
  </si>
  <si>
    <t>…s responde­ el profesor de maquinaria y de pintura D . Francisco L u cim . rán sin ninguna consideración el infinito superior número de La música ha sido expresamente compuesta por el maestro D on C O R R E S P O N D E N C IA D E L A G A C E T A . Ramón Garnieer; y los bailes inventados y dirigidos por D on prisioneros que existen en nuestros depósitos; y á Y . com o res­ A n ton io Cairon y D . Juan Bautista Cozzer. , Haro 11 de Enero. Por h oy solo tengo que decir á VV. ponsable de respetar los con ven ios, le acusará…</t>
  </si>
  <si>
    <t>…s pedidos que gusten. •por el movimiento saltón y menos grave que tienen. Q ue­ da pues establecido que en nuestra poesía solo se recono­ cen dos especies de verso heroico; el endecasílabo propio C O R R E S P O N D E N C IA D E L A G A C E T A . y el safico. La gran ventaja de ambos es q u e , siendo im- 'JARATADO de química elemental teórico y práctico, por el ♦parisilábicos, no hay necesidad de formar los hemistiquios barón Theard. Los señores suscriptores pueden acudir á iguales y de un mismo tamaño, y por consigui…</t>
  </si>
  <si>
    <t>ELAGOBERNACI</t>
  </si>
  <si>
    <t>…n e n esta corté sin n o v ed ad eñ su im ­ p o rta n té «alud. ^ S. M. la Reina Gobernadora h a tenido á bien nombrar pa­ ra úuo de los juzgados de primera instancia de Valencia , va­ PARTE NO OFICIAL. M I N I S T E R I O D E L A G O B E R N A C IO N D E L A P E N Í N S U L A . cante por fallecimiento de D. Mariano García Bajo, á D. José Poveda, electo de Santiago ; y para el de M álaga, también v a­ Segunda sección.—Circular. cante por muerte de D. José Yelasco de Castró, á D. Faustino NO TIC IAS E X TR A N G ER A S…</t>
  </si>
  <si>
    <t>ELAGUERR</t>
  </si>
  <si>
    <t>La oirá pascua, llamada Courban Bairam , se diferen­ retillas corriendo por carriles de h ie rro , por lo que los M I N I ST E RI O D E L A G U E R RA cia de esta en tener cuatro dias y celebrarse sacrificios. franceses dicen con propiedad que hay caminos de hierro hasta en la biblioteca Real. La circular inserta en la Gaceta del dia 13 del actual, ex­ Cada musulmán con residencia fija está obligado á ofrecer pedida por el Minis…</t>
  </si>
  <si>
    <t>ELAGUERRA</t>
  </si>
  <si>
    <t>…gradable para la diócesis. Mr. M eu- PARTES RECIBIDOS EN LA SECRETARIA DE ESTADO tro coches de la casa Real con cuatro caballos y dos postillones jaud , electo obispo de Joppe, y coadjutor de Nancy , ha reci­ Y D E L DESPACHO D E L A G U E R R A . cada uno para Oxford. A las once y veinte minutos llegaron bido sus bulas. El prelado está en ejercicios en el seminario los ilustres viajeros al punto donde tiene su asiento esta céle­ para prepararse á su consagración, que se verificará el domingo próximo en la capilla de la…</t>
  </si>
  <si>
    <t>…li­ PARTES RECIBIDOS EN LA SECRETARIA DE ESTADO nacional al Parlamento antes de adoptar nuevas medidas gene­ | C e u ta ................................... 5569-15, V it o r i a .. . . . . . . .Y . D E L 16585- 7 D E SPACH O D E L A G U E R R A . quidación ó ajuste queI Colmenar ha debidoViejo................ formarse al trascurrir rales. Mr. O’Connor ha dicho que sí podía convenir el titulo •• •• ¡Zamora..................... 12524-52 los 30 dias prefijados ^en el art. 4.° de lá misma99881-26 Córdoba...................…</t>
  </si>
  <si>
    <t>…las le y e s y castigar á ios que PARTE RECIBIDO EN LA SECRETARIA DE ESTADO p la c e r los ojos de todos los buenos españoles ; pero acerbo es pasen mas allá del lím ite que a quellas prefijan; y Y . M . po­ Y D E L DESPACHO D E L A G U E R R A . confesarlo , Gobernadora a ugu sta ; 'h ay españoles espúreos drá en fin proporcionar á los españoles los grandes beneficios que 110 merecen este glorioso nombre , y el abrir los brazos que con fundada confianza esperan del genio fecundo é rn- El general segundo cabo de C a tal…</t>
  </si>
  <si>
    <t>…pas. gativa, se digne hacer ia oportuna elección. 8 .a En los casos previstos en el art. 40 y siguientes PARTES RECIBIDOS EN L A SEC RETA RIA DE ESTADO de la expresada ley se procederá á segunda elección, cu­ Y D E L DESPACH O D E L A G U E R R A . yas operaciones han de q u edar precisamente concluidas Escriben de Petersburgo con fecha 27 de Octubre: El Ministro de los cultos y de la instrucción publica acaba para el dia 15 de Febrero sigu ien te; en la inteligencia de El capitán general de Castilla la Vieja con fecha 16…</t>
  </si>
  <si>
    <t>…luida !a requ isición , entregará el em pleado de Ha­ A D. M auricio Carlos de Otiís. cienda c iv il el registro á. k intendencia, después de exten­ d er certificados que se entregarán á los dueños de los ca­ M IN IS T E R IO D E L A G U E R R A . ballos, en que se expresen las circunstancias anotadas en el registro, los cuales serán firmados por los individuos de Circular* PARTES . la comisión y los dos empleados de Hacienda* K l oficial de ca lia Hería y el em pleado de la Hacienda m ilitar llevarán, E x cmo. S r.: C…</t>
  </si>
  <si>
    <t>…pable, el Consejo ha propuesto al Réy b re asignación de raciones de cam pañ a y abono en d in e ­ dejar á lá justicia seguir su libre curso. ro de las que se p ro h ib e ex tra er en especie , soñ por lá Y D E L DE SP A CH O D E L A G U E R R A . Pero él Rey ha persistido en la opinión cóntVaria} y usan­ m ism a escasez de fondos imposibles dé ctvrtiptm éoti les- pecto a la totalidad de los interesados, al paso que u n m e­ comunicación El comandante general de la provincia de G uadalajara, en bes eu sula derecho do de…</t>
  </si>
  <si>
    <t>…la severidad, puestó ños que median desde Abril de 1854 a M ayo de 1859 se ren­ ue no llegan mercancías ui caravanas. E n vista de las present­ ten para establecer la verdad desconsoladora de que las pasiones Y D E L DESPACHO D E L A G U E R R A . es circunstancias, y á pesar de todo el disgusto que experimen- m árquicas, vencidas en 18 5 4 , no han abandonado desde aque­ a aljgomunicaros semejante medida que puede causar graves ta época sus criminales intentos de hostilizar á la Constitución E l capitán general en gefe…</t>
  </si>
  <si>
    <t>ELAI</t>
  </si>
  <si>
    <t>…u e cantó en la A lalia y la E ster al Dios de vendia á beneficio de los pobres, á quienes daba ademas la ma­ Abrahara; por Racine el h ijo , que compuso muchas odas sa­ yor parte de sus rentas, que eran bastante considerables. D E L A IN F L U E N C IA gradas y dos poemas didácticos sobre asuntos religiosos; por La población de esta ciudad casi entera ha asistido al en­ Juan Bautista Rousseau , que siguió y excedió al hijo de R a­ tierro de este digno eclesiástico, á quien llorau á la ve* las DEL CRISTIANISMO EN LA LITERAT…</t>
  </si>
  <si>
    <t>ELAIMITACION</t>
  </si>
  <si>
    <t>…lós demás* del mas los ambiciosos de que habla Maroto ú D. Cárlos que qu ie­ autor.:, p a r a dar. á conocer todos sus pormenores seria preciso ren m edrar á costa de vuestra ruin a y la de la patria que les D E L PR IN C IPIO D E L A I M I T A C I O N . . escribir u n artículo. D ig n o discípulo s u y o , y brillante espe­ dióiebsétv C uartel generalI de M urvied ro 6 de Marzo de l 8 5 9 . n ranza para las artes, es el Sr/ Rodríguez (D. M a n u e l ) , que lie- A^aatonió V a a - H a l e n . ( Diario M ercantil ) Vo u…</t>
  </si>
  <si>
    <t>ELAMISMA</t>
  </si>
  <si>
    <t>…N D E N T E D E E J E R ­ pues pasósele la gana la in f a n c ia : su escala es de una purgad* por pie francés. de ser y a vuestro marido. 2. Un sistema de barras paralelas, b a j a s , m o vibles, que CITO V P R O V IN C I A D E L A M I S M A . ¿ Q u é te de hacer en r i g o r ? puede servir p a ra la infancia y p a ra la ju ve ntu d al mismo ti em ­ pues yo bien le puedo dar po : igual escala de ü a duodécimo. Ponce. ....................................................... M a y a g ú e s ...................... Puert…</t>
  </si>
  <si>
    <t>ELAORATORI</t>
  </si>
  <si>
    <t>…oño y dos escuadrones de Borbon, pareció. esta en Gastelseras fortificando unas casas en este pueblo impor­ Entonces la predicación de la divina p a l a b r a , aunq ue tante por su posición y puente en el Guadslope, y al mismo D E L A O R A T O R IA S A G R A D A . sin alterarse en el fondo, admitió formas diíérentes. T r a ­ tiempo protege los convoyes que vienen de esta pate. En Gine- tábanse en ei púlpito las materias políticas, porque el cris­ brosa hay otra brigada perteneciente á la divisiou del general ARTICULO PRIME…</t>
  </si>
  <si>
    <t>ELAP</t>
  </si>
  <si>
    <t>…decirse otro tanto de los de Tasso, que ati­ cuando su idea formulada con mucho trabajo habia resonado en nó con el verdadero carácter de esta clase de poesía. su oido, sentía agotadas sus fuerzas y se dejaba caer en un sofá D E L A PO ESIA PA ST O R IL . Llevóla al mas alto grado Gesner, abriendo una mina ina­ en una especie de abatimiento. gotable de riqueza y consagrando la musa bucólica á la des­ Para producir en sí mismo aquellas emociones y para exci­ Si es moda en el dia hablar contra el uso de las ficciones crip…</t>
  </si>
  <si>
    <t>…ARTE NO OFICIAL. con toda urgencia, escrupulosidad y exactitud.. salud. 5.a Los promotores fiscales asistirán á los sorteos del ju ra d o que haya de con ocer de los escritos que hubieren M IN IS T E R IO DE L A GOBERNACION D E L A PENÍN SU LA* denunciado; a cu yo e fe cto , los gefes políticos les com uni­ NOTICIAS EXTRANGERAS. carán el aviso que con la necesaria anticipación les den los Cuarta,, sección.— Circular* alcaldes del sitio , dia y hora en que aquellos actos hayan F R A N C IA . de verificarse, con arreglo…</t>
  </si>
  <si>
    <t>…a­ cruel azote de la guerra. La mayoría sensata de la nación, los hombres de bien ; en fin , los buenos españoles repudiarán como rece que no fue un destacamento de 200 hombres, sino todo un Y DEL DESPACHO DE L A GOBERNACION D E L A PENINSULA. enemigos directos de su reposo, de su felicidad á los que no batallón entero el que fue derrotado y hecho, pedazos por la cav- cansados de mortandad y desastres, ni aterrados aun á la es­ ballería árabe cerca del campamento de Óccad- LaUeg , y que Dirección general de Caminos, Ca…</t>
  </si>
  <si>
    <t>…n á la menos sensible de contribuir en el tiempo y épocas señaladas, con el sacrificio pecuniario que á cada uno ha sido impuesto. El mismo Sr» general en gefe manifiesta el 9 desde Lodosa M IN IS T E R IO DE L A GOBERNACION D E L A PE N IN SU LA . ; La requisición de caballos que se está practicando merece qué habia permanecido el dia antes en los Arcos para que la Tercera sección.— Circular. también la atención preferente de los ay untamientos; y la d i­ tropa secase su.ropa, y porque, según le anunciaron los pasados…</t>
  </si>
  <si>
    <t>ELAPENI</t>
  </si>
  <si>
    <t>…IERNO. R E IN O D E H A N N O V E R . bierno francés nuevas explicaciones sobre el estado actual del bloqueo de los puertos mejicanos.r^Firtnado, W . FoxStraugRrais. Hannóver 8 de Febrero. M IN IS T E R IO D E LA GOBERNACION D E L A P E N IN S U L A El conde de K iehnansegge, gran escudero, acaba de pre­ sentar su dimisión. Se designé como su sucesor al viceescudero FRA NCIA . Quinta sección.— Circular. le Spoerken. El Gabinete sigue ocupándose asiduamente en la Paris 19 de Febrero. política, y nunca han sido mas frec…</t>
  </si>
  <si>
    <t>…ADO por separado otro registro para dar las noticias que nece­ los capitanes, generales de las provincias, generales en gefe de los ejércitos y Jemas autoridades .y corporaciones de­ !■ D EL DESPACHO DE .L A GOBE R N A C IO N D E L A P E N IN S U L A siten á los ge íes Je que dependan* Art* 7.° Los caballos que deban ser requisados se pre­ pendientes de este m inisterio de., mi. cargo la ley sancio­ Gobierno político de la provincia de Palencía.^Excelentí- sentarán en los dias que determ inen los capitanes gen e­ nada p…</t>
  </si>
  <si>
    <t>…ntento. La regencia de V. M. con el, prudentísimo Gobierno acerca ese término dichoso, Señora , y el júbilo general anuncia :jue la ayuda en los negocios del Estado, y el reinado de la M IN I S T E R I O D E L A GO BERNACIO N D E L A P E N IN SU L A * la reconciliación de' todos los partidos, dé todas las opiniones, de ¡egunda Isabel coo la Constitución de 1837, hacen esperar á todas las fam ilias para abrazar y establecer la p az, que arroyos los pueblos la felicidad que V. M. procura aosiosa de elevar á Tercera seccion…</t>
  </si>
  <si>
    <t>ELAPENÍ</t>
  </si>
  <si>
    <t>…rechos ; y cualquiera que atente contra ella, la ribera quedó eu Chelva, y el general marchó á Liria para en­ atenta contra la ley 'fundamental del E s t a d o . viar víveres á aquel punto. M IN IS T E R IO DE LA GOBERNACION D E L A P E N ÍN S U L A . E l Go b ie rn o será ine xor abl e con los que se a r r o ­ P rim era sección.---- Circular . jen á tan execrabl e crimen . y protegerá con mano fuerte las a ut or ida des depositarí as de su confianza en A fin de que tenga el mas cumplido efecto el Real de­ creto de 1…</t>
  </si>
  <si>
    <t>…ellas, y de ahí la falta de no haberlas puesto en el superior co­ Guirigay del dia 7 del corriente, que pripcipiá en él epígrafe nocimiento de Y. E. para llenar mi deber, sobre cuyo parti­ M IN IS T E R IO D E LA GOBERNACION D E L A P E N ÍN S U L A . Cuarta sección . — Circular. de Cencerrada y párrafo tercero: wLas Córtes no representan la cular hice á V. E. las observaciones oportunas en la^ que elevé opiníon pública,” y concluye : “ A los mandatos de los actua­ á sus manos con fecha 9 de e&amp;té mes núm. 51. El Sr. M…</t>
  </si>
  <si>
    <t>ELAPENÍNSULA</t>
  </si>
  <si>
    <t>…d ad eñ su im ­ p o rta n té «alud. ^ S. M. la Reina Gobernadora h a tenido á bien nombrar pa­ ra úuo de los juzgados de primera instancia de Valencia , va­ PARTE NO OFICIAL. M I N I S T E R I O D E L A G O B E R N A C IO N D E L A P E N Í N S U L A . cante por fallecimiento de D. Mariano García Bajo, á D. José Poveda, electo de Santiago ; y para el de M álaga, también v a­ Segunda sección.—Circular. cante por muerte de D. José Yelasco de Castró, á D. Faustino NO TIC IAS E X TR A N G ER A S. A rranz, que sirve el de B…</t>
  </si>
  <si>
    <t>ELAPLATA</t>
  </si>
  <si>
    <t>…hombres de tropas regulares, y 14 $ &lt;íia se habia presentado á la vista de dicho pueblo la facción de ligeros. Soliman-bajá (Selves) mandaba la derecha: el centro Forcadell, compuesta de tres cortos batallones y mas de 150 R IO D E L A P L A T A . Ahroet ba já-N en ie ü : la izquierda Osman-bajá , y el generalí­ caballos de Palillos , que hacia dos dias se hallaban en ViIleí; y simo dirigía todos los movimientos. persuadido de que el objeto de los rebeldes solo podía ser cau­ El almirante Leblanc ha pedido con instancia i su…</t>
  </si>
  <si>
    <t>ELARBOL</t>
  </si>
  <si>
    <t>…scribieren las vos memoriales, en el preciso y perentorio término de 50 dias, dida. leyes. á contar desde el de la fecha , expresando en ejlos las señas de Las necesidades de nuestras colonias y de nuestra navega­ El Sr. R U IZ D E L A R B O L dijo que si los ayuntami ;. ¿0s sus habitaciones, y acompañando las partidas de bautismo y ción serán el objeto de toda nuestra solicitud ; nos dedicare­ tienen parte en la formación del repartimiento individual vo­ horfandad. mos á conciliarias con los intereses de nuestra ag ric u l…</t>
  </si>
  <si>
    <t>…noticia el gefe político.” como en esta corte, ya sea en cantidad fija ó por aumento de al dictamen sobre atribuciones de los ay un tam ien tos, la una algún tanto por ciento ó de cualquiera otra m an era, siempre El Sr. R U IZ D E L A R B O L apoyó la enmienda fundán­ por el Sr. R uiz del Arbol, y ia otra por el Sr. Leal. dose en que creia que por ella podrían evitarse los perjuicios que la expresada proposición m a y o r, reducida á cantidad fija, Procedióndose á la renovación de las secciones, según to que pudieran segui…</t>
  </si>
  <si>
    <t>…la dirección general de hubiese mas posibilidad de que abusase un solo alcalde. Por to ­ en esta precisión. Rentas para pago de monturas y víveres; y das fitas razones espero que la comisión se servirá adm itir mi El Sr. RU1Z D E L A R B O L indicó que el artículo con la por requisición de caballos para el ejército, adición. v a ria c ió n hecha por la comiÚon estaba peor que a n te s, pues si inclusos los recibos pagados con este o b je to .. 7 2 9 ,5 5 8 . . 6 Kl Sr. C A M A L E Ñ O : El Sr. Acebo ha dicho que la comi­…</t>
  </si>
  <si>
    <t>…e impelieron á dar.un decreto que podia con­ Leido y puesto á discusión el art. 2.°, dijo so, y añadió que la comisión no tenia inconveniente eu adm i­ siderarse como de verdadera protección para la clase á que asi El Sr. RUIZ D E L A R B O L : Estoy dispuesto ¿ dar toda tir la adición que proponía S. S. el Sri “I ñigo corno él pertenecían. clase de auxilios al Gobierno para que atienda á las necesidades El Sr. A R T E T A se opuso al artículo nuevamente redacta­ Precedidas algunas rectificaciones de los Sres. Iñigo y Cas…</t>
  </si>
  <si>
    <t>…que debe da r cuenta á las C ortes; y h a y que cediéndosela el Sr. Presidente , dijo vigo r y su energía quede tan airoso como los demas h a n que­ tener presente que esta facultad es necesaria para poder con ella El Sr. R.UIZ D E L A R B O L : No necesita el Sr. M in is tro dado. modificar los artículo s en que sea indispensable hacer a lg u n a venir preparado para contestar á e lla ; está red ucida á dos p a ­ El Sr. C A M B R O N E R O : L a moderación con que los se­ va ria c ió n , pues frecuentem ente está su cedien…</t>
  </si>
  <si>
    <t>…concepto es conveniente y necesario , absolutamente Por lo misino entiende la comisión que el Senado debe apro­ militares. necesario un proyecto en su espíritu y esencia , por mas que bar la referida acta general. El Sr. RU IZ D E L A R B O L : Y o no me opongo al cum pli­ después h ay a que hacer algunas variaciones ó alteraciones en El Sr. D. J u a n Nepomuceno San M i g u e l , Senador electo miento de lo ofrecido en 2 4 de Octubre de 1 8 5 5 : h a y una pa­ los artículos. por esta p ro v in cia, ha justificado compete…</t>
  </si>
  <si>
    <t>…ió n , p a rtie n ­ cand idatos que h a n obtenido m a y o ría . M a d r id . El m in isterio de D ic ie m b re tenia un a m a y o r ía com ­ do del p rincipio d e q u e la ley debía ser c lara y explícita , h a ­ El Sr. R.UIZ D E L A R B O L , su a u t o r , la ap oyó brevem en­ pacta y resuelta á sostenerse; y sin e m b a rg o , de resultas del si­ bía añadid o en el proyecto á las palabras "fiesta n acio nal” las t e ; mas no fue a d m it id a por la comisión , y el Congreso no la tio de M o rella tu v o que ab a n d o…</t>
  </si>
  <si>
    <t>ELAROS</t>
  </si>
  <si>
    <t>…el artículo en los términos que la MADRID 1.° DE FEBRERO. calle del Prado, casa café, núin. 22 , á las once de la noche. comisión lo presentaba. Eu este local no se encuentra .nivelada su decencia con el El Sr. M A R T IN E Z D E L A R O SA : Estando ya casi ago­ módico precio de la entrada , atendiendo á las actuales circuns­ tada la cuestión, por mucha que sea su importancia, solo me Algunos Sres. D iputados, llevados del laudable deseo tancias, por lo que no dudamos será en el corto espacio de tem­ limitaré á hacer un…</t>
  </si>
  <si>
    <t>ELAROSA</t>
  </si>
  <si>
    <t>…Numeración. Precios. Cantidad, billetes. Rs. vn. vincia se cita y emplaza á cualquiera persona que sepa del pa­ siempre con acuerdo del Gobierno. radero de una lámina de deuda sin ínteres del Estado, nú­ El Sr. M A R T IN E Z D E L A R O S A : La manera con que 100 1.a 72639 ¿72738 50 5000 y mero 105,419, de 200© rs. vn., su fecha Madrid 1.° de No­ acaba de defender el artículo un individuo de la comisión; el 100 2.a 23591 ¿25690 200 20000 &gt;210 30000 viembre de 1834 j que los Sres. Serra, hermanos , del comercio sincero…</t>
  </si>
  <si>
    <t>…ven otros no POR tan recargados, aunque también ridículos, dibujados con ya a! acabar la segunda parte del A n illo de G iges, pone felicidad. En La ilustre Fregona introduce una dama pe­ D . F R A N C I S C O M A R T I N E Z D E L A R O S A . en boca del coro estos versos: dante y culta, imitada visiblemente de la Doña Beatriz de Calderón en No hay burlas con el amor. También es pe­ Véndese á 6 rs. en la librería de Sojo, calle de Carretas, Pidiendo con voce 9 dante, y ademas poeta , el D. Periquito de A lia va ese d is…</t>
  </si>
  <si>
    <t>ELAS</t>
  </si>
  <si>
    <t>…to­ descripciones inmundas ó para inculcar máximas inmorales y do cuanto en este punto ofrezca la capital. perniciosas. Mas diremos: no puede haber belleza en una com­ Siempre que la importancia de una obra dramática que se D E L A SU PUESTA M ISIO N D E L O S POETAS. posición contraria á las buenas costumbres, porque la defor­ ejecute en los teatros lo exija , se hablará de ella en un suple­ " Animis natum inventumqiie poema juvandis .” rasgos midad moral es la mayor de todas, y basta á destruir todos los mento si la…</t>
  </si>
  <si>
    <t>ELASD</t>
  </si>
  <si>
    <t>…a r ­ ORDENES Y REGLAMENTOS DEL GOBIERNO T a n celosas se han manifestado de esta fabricación las na­ rastradas á un centro mayor de actividad y de tra ba jo, n ciones mas adelantadas, que han procurado ocultar sus procedi­ Y D E L A S DIRECCION ES Y A U T O R ID A D E S SU PE RIO RES. abrazaron un número mayor de cuestiones. E s permitido tam* mientos mecánicos para no exponerse á perder el exclusivo ejer­ biea el afirmar que los archivos parlamentarios de la Franci cicio que hacían de ella, y de consiguiente nosotros h…</t>
  </si>
  <si>
    <t>ELASFI</t>
  </si>
  <si>
    <t>…independiente de toda dominación terre­ dole á él en la combinación. Que lo habia rehusado porque en n a l, y que por lo tanto debe reunir todos los derechos que le esta última combinación veia grandes talentos, pero no garan­ D E L A S F IG U R A S D E R A C IO C IN IO . son necesarios para llenar el objeto de su institución, y debe tías suficientes para su opiuion , y que pbr consiguiente habría tener también el derecho de promulgar leyes, de juzgar y de estado en un completo aislamiento y como forzado. Mis amigosy ARTI…</t>
  </si>
  <si>
    <t>…no se ha sabido dar traza á que el ríamos á A bd-el-K ader un poderoso pretexto para excitar el fa­ lector tome parte ó en sus sentimientos ó en sus reflexiones? natismo de las tribus si nosotros nos saliéramos de nuestros lí­ D E L A S F IG U R A S D E P A S IO N . Lada hipérbole suya parecerá un desatino: á cada apostrofe se mites para abrir la campaña. Al fin la ventaja será seguraraen'- responderá con una risotada. La lógica del entendim iento se funda le nuestra si podemos retardar todo lo mas posible la violenta las…</t>
  </si>
  <si>
    <t>ELASI</t>
  </si>
  <si>
    <t>…acción intente in v a d ir : la segunda brigada de la división FUNCION EXTRAORDINARIA, Borso está hacia los T W ja s: y parte de su caballería ha llegado Convenio entre SS. M M , Católica y Cristianísima para a r ­ A BENEFICIO D E L A S IL O D E M E N D I C I D A D , h oy á esta plaza pidiendo dinero. reglar el pago de la deuda , en virtud de los convenios de 1824 que en este se citan. Un cuaderno eo 4*° impreso en 1 8 2 9 , á 2 reales en rústica. DE SAN BERNARDINO, C olegio sem inario d e H u m a n id a d es en la plazu…</t>
  </si>
  <si>
    <t>ELASMEJ</t>
  </si>
  <si>
    <t>…ALERÍA DRAMATICA. tres botones dorados. rupción dando á luz los del teatro moderno español, y se pre­ U n sombrero gorrilla pequeño , de ala corta y muy mal paraba á hacer lo misino con los del teatro antiguo. C O L E C C IO N D E L A S M E JO R E S O B R A S trotado. Para ello creyó que eí medio mejor de conseguir su objeto Unos borceguíes con bigoteras, muy malos y estropeados que era abrir una suscripción á las piezas de dicho teatro, y á un DEL TEATRO se atacan por delante con unas correas. precio tan ínfimo comparativ…</t>
  </si>
  <si>
    <t>…riente COLECCION dos el que mas prueba la superioridad y la noble osadía de la á las once de la mañana pira que en la plaza de la Constitución inteligencia humana. se efectúe la solemne quema de documentos de la deuda pública D E L A S M E JO R E S O B R A S D R A M A TIC A S Empiezan estos elementos por una breve explicación de los no endosable, contenidos en el suplemento á la Gaceta de 28 de instrumentos astronómicos, para la cual expone como prelimi­ Marzo próximo pasado. Lo que se hace saber al público para su TEARO…</t>
  </si>
  <si>
    <t>ELASMEJORESOB</t>
  </si>
  <si>
    <t>…que pueda huir en aquel acto ; tampoco qu i­ El miércoles dará su última lección de historia de España siera arrostrase una muerte inútil que dejaria triunfante la el Sr. D . A ntonio Benavides á la misma hora. C O L E C C IO N D E L A S M E J O R E S O B R A S barbarie de D . Pedro; el autor Jel drama ha sentido toda la El jueves dará igualmente su última lección de geología el dificultad de su posición; y ha sabido, sin amenguar la grande­ Sr. D . Manuel López Santaella á la propia hora. DEL TEATRO za del héroe, satisfacer…</t>
  </si>
  <si>
    <t>ELATO</t>
  </si>
  <si>
    <t>…tarde. 5 .7 0 2 .... 5 0 0 .............. M adrid. mado la mendicidad y el crimen en alguuos pueblos civiliza­ 7 .1 5 1 .... 5 0 0 .............. Barcelona. dos , hacen temblar por sus consecuencias ; y bajo este punto de EL D ELATO R ó LA B E R L IN A D E L E M I G R A D O , 1 .4 9 7 .... 5 0 0 .............. San Fernando. vista el remedio es una necesidad urgente. 5 .5 2 7 .... 5 0 0 .............. M adrid. Pero el aplicarle de un modo acertado exige un vasto cau­ melodrama en cinco a ctos, de grande aspectáculo. 6 .…</t>
  </si>
  <si>
    <t>ELATOR</t>
  </si>
  <si>
    <t>…o , de grande espectáculo, en cinco actos, titulado honrosa paz es tan general en esta provincia, que no podrán unanimidad no haber lugar á la formación de causa. disminuirlo en lo mas mínimo las sugestiones ni los ocultos EL D E L A T O R , manejos de los enemigos del trono de nuestra inocente Reina y de las nuevas instituciones que felizmente nos rigen. 6 L A BERLINA D E L EMIGRADO. BOLETIN DE COMERCIO. Terminará la función con baile nacional. Córdoba 26 d e S etiem b re . Para preparar la unión de los verdaderos a…</t>
  </si>
  <si>
    <t>…rande espectáculo, en cinco actos p titulada doy fe , y á que me remito. Y para que conste pongo el pre­ sente, que signo y firmo eu M adrid á 25 de Setiembre de 18 3 9 .= P E R IO D IC O D E L IT E R A T U R A Y M O D A S . EL D E L A T O R , Francisco Javier Reiuique. ' i Ó LA B E R L IN A D E L E M IG R A D O . ( El número del dia 30 del pasado contiene los artículos si­ guientes: Modas. Terminará la fu n c ió n c o n bailé nacional. ? i I SU BASTA. Una calumnia (novela.) _______________ 1 Las pelucas. Intendenc…</t>
  </si>
  <si>
    <t>…. prisión contra Román P o rre s, natural de B riñ a s, en la p ro ­ vincia de Lo gro ño , el cual no ha podido ser habido para pren­ R egid ores electos. derle. A l efecto exhorto y requiero á todos los Sres. jueces del E L D E L A T O R ó L A B E R L IN A D E L E M IG R A D O . 1.° D. Gabriel M aría de Orbegozo. reino de parte de la Reina N. Sra. (Q. D. G.), c u y a ju r is ­ T erm inará la función con baile nacional. 2 o D. J u a n Ramón de Arana. dicción en su Real nombre ejerzo, y de la inia les pido y en ­ 5.° E…</t>
  </si>
  <si>
    <t>…dado y añadido en esta últi­ representaciones , titulado Bilbao, id. V alencia, par. ma edición, ah tomo en 16.°, á cinco reales en pasta. Cádiz, 1¿ d. Zaragoza, id. Memorias , cartas y documentos auténticos concernientes á E L D E L A T O R ó L A B E R L IN A D E L E M IG R A D O . Descuento deletras, á 6 por 100 al año. la vida^y muerte de S. A. R. Garlos Fernando Artois , infante de Francia y duque de B érri, escritas en francés pbr el vizcon­ Terminará la función con baile nacional. de de Chateaubriand , y traducidas…</t>
  </si>
  <si>
    <t>…ma de los trabajos que exigen investigaciones de cierta duración. ¿Q c fabricación de satisfacer cualquier pedido que se le haga de esta será entonce i ea los países lejanos, en las capitales extranger. I obra. {Corresp.) E L D E L A T O R ó L A B E R L IN A D E L E M IG R A D O , donde, no obstante la diversidad ds las lenguas, de los hábito de U» costumbres, tos talentos mas cultivados é independieai nelodrama en cinco a c t o s, de grande espectáculo. se dirigen hacia Paris como al foco central de l&amp;s luces? Es ev d…</t>
  </si>
  <si>
    <t>…os inteligentes extrangeros, la recomiendan m u y p arti­ TEATROS. cularmente. PRINCIPE. A las cuatro de la tarde. plar qoe se expenda.:x:Ivo de la Cortina. Instrucción destinada á las tropas ligeras de infantería y ca­ E L D E L A T O R o L A B E R L IN A D E L E M I G R A D O , ballería , y á los oficiales que sirven en los puestos avanzados, recopilada de la que Federico 11 dió á sus oficiales de caballería melodrama eu cinco acto s, de grande espectáculo. PROVIDENCIAS JUDICIALES. traducida del francés por D. Vicen…</t>
  </si>
  <si>
    <t>ELAV</t>
  </si>
  <si>
    <t>…sado se ^pnreeata» y dijese cuál cura su, voluntad con |C©«®iii,s¡i'Oiii9l se «euteaderá -desechad© el proyecto* REDACCION DE LA GACETA. respecto £ admitir © renunciar esta gracia. I Se leyó el 68, que dice asi s El Sr. RLTZ D E L A VEGA d i » que si ks Srea Senado­ I! Art* 68 * Aprobado el proyecto de ley por loa ém enera» res haa "dic ser anos pantanos defensores de ¡la. Constitocion, 1eokgisladores , se presentará á la saociara Real por una eomi- que en buen hora lo sea ,, per® de tal manera que: no » k dé la mou del…</t>
  </si>
  <si>
    <t>ELAVACA</t>
  </si>
  <si>
    <t>…i d u o s de la r e un i ón f uer on de parec er que 1( medio sobrecargando los consumos de este vecindario con avanzado de las sesiones, y en el estado en qu e se encont r abar A L A S I N M E D I A C I O N E S D E L A I S L A D E L A V A C A , A L S D E LA D E nuevos derechos á su entrada por las puertas. Desde e n ­ ]os á n i m o s , no era o p o r t un o someter el i n f o r me á la C á m a r a S A N I O DOMINGO. tonces paga Madrid un aumento de contribución m unici­ ni presentar una cuestión que 110 podí a ser di s c u…</t>
  </si>
  <si>
    <t>ELAVEGA</t>
  </si>
  <si>
    <t>…rcibir de de conveniencia. Todas las otras consideraciones podrán produ­ orden público. las testamentarías de dichos eclesiásticos las halajas ó luctuosas cir efectos diversos, pero ninguna autoriza á infringir la El Sr. RUIZ D E L A V E G A ocupó la trib u n a , y leyó el que hasta ahora han percibido. fundamental del Estado, en que se encuentran consignadas las dictamen de la comisión acerca del proyecto presentado por el Se leyó en seguida, y el Senado lo encontró conforme con garantías nacionales que tanto nos ha cost…</t>
  </si>
  <si>
    <t>ELAVEQA</t>
  </si>
  <si>
    <t>…principios, Lículo lo mismo que dice el Sr. Melgarejo , pues previene que en esta misma legislatura. cosa á que siempre se negó aquel ilustre eclesiástico, modelo los secretarios lo serán ios dos de menor edad. j El Sr. R U IZ D E L A V E Q A dice que habla con cierta ti­ inimitable de virtu d es, y sabiduría y fortaleza de án im o, que El Sr. duque de PC V A S manifiesta que eo cuanto á la p re- I midez ea esta cuestión' por no poder fijar de una manera d e ci-, no lé abandonó en el últim o trance de su v id a , pues muri…</t>
  </si>
  <si>
    <t>ELAVI</t>
  </si>
  <si>
    <t>…ara la 2*° L a divertida comedia en un acto titulada formación de la presente; aclarando diversos puntos en que E FE C T O S P U B LIC O S. se equivocó D. Nicolás A nto u io , por no haber visto todas E L D IA M A S F E L IZ D E L A V ID A . las obras de qué se trata , y porque no pudo dar la última Inscripciones en el gran libro á 5 por 1 0 0 , 0 0 . mano a su erudita Biblioteca. En cuanto á los autores de que 3.° U n baile nacional. Títulos al portador al 5 por 1 0 0 , 2 2 | , £ y 2 2 con cupone¡ se compone este 2 o…</t>
  </si>
  <si>
    <t>…a l a la em presa del teatro bel P r i n c i p e de M a r t i n , Evaristo Carrera , Francisco C a rm o n a, J u a n M a r t í ­ nez , F« a ncísco G u t i é r r e z , Santiago R o a , Vicente Villareal, E L D IA M A S F E L IZ D E L A V ID A . no po ner en escena las m ejo res com edías de nuestros g r a n ­ des poetas del siglo x v u ; y p re g u n tab a la cansa de esto. Antonio Lomada , Marcos S ibremónte , José Cuesta , Pedro Se­ 3.° Un baile nacional. I m p o s ib le nos pa re ce q u e a la perspicacia del S r . E.…</t>
  </si>
  <si>
    <t>ELB</t>
  </si>
  <si>
    <t>…los colegio de M orella: que no v a r ia n d o , siempre seria un burro personajes y viveza del diálogo. CAMBIOS. como su hermano: á lo que el buen hombre no tuvo que contes­ Seguirá el baile mitológico , titulado L A H I J A D E L BOS­ t a r , ni tampoco un capitán que el niño traia de ayo. Londres, á 9 0 d i a s , 58| din. C o r u ñ a , l £ á ~ d. Q U E , compuesto y dirigido por D. J u a n Bautista Cozzer. Se No se veia en los semblautes de todos los habitantes de esta P a r i s , 1 6-6 id. G ranada , l £ id. dará fin…</t>
  </si>
  <si>
    <t>…dis­ Que vedo, porque sabia pintar mejor que ellos esta clase personajes y viveza del diálogo. tinguen en este poeta. de cuadros, y 110 a la poesía sencilla ni a la heroica. Mo­ Seguirá el baile mitológico , titulado LA IIIJA D E L BOS­ En efecto, colocado Tirso entre los dos grandes colosos reto le excedió en lo có&amp;uco de las situaciones y en la con­ Q U E , compuesto y dirigido por D. Juan Bautista Cozzer. Se de nuestra escena, apenas habría memoria de él, si no se ducta de la íabula: mas uo en los chistes de la elocuc…</t>
  </si>
  <si>
    <t>ELBOS</t>
  </si>
  <si>
    <t>…ella personajes y viveza del d iálo g o. tas de los Boletines oficiales. (N ú m . 1 6 9 8 .; j p a r t e ; mas el com and an te de Boibon D. M a r ia n o Baquedano S e g u ir á el baile mitológico , t itu la d o L A F I I J A D E L B O S ­ - del uiistuo á los Sres. M in is tro s de E s t a d o , Hacienda, ! con la fuerza de su m a n d o , no solo rescató ios paisanos y los Q U E , compuesto y d i r i g i d o por D. J u a n B a u tista Cozzer. Se G uerra , O t a d a y Ju s t ic ia y M a r in a , para que prevengan a efect…</t>
  </si>
  <si>
    <t>ELC</t>
  </si>
  <si>
    <t>…e, par. Santiago, 2 id. A N A C R EO N T E, SAFO Y TIRTEO Barcelona^ á ps. fs., par. f Sevilla, * b. J^ b a o , l*íd . Valencia,par. TRADUCIDOS EN PROSA Y TERSO. TEATROS. Cüdie, * á par b. Zaragoza, 2 á 2 * d. POR DON JO SE D E L CA STILLO Y A YEN SA . PRINCIPE. A las siete de la noche. Descuento de letras, á 6 por 100 al año. ; 1.° UN D IA D E CAM PO, ó E L TUTOR Y E L A M A N T E , comedia nueva , original, en tres actos y é » VaU U n 'tomo en 8.° marquilla con el texto griego al frente de riedád de metros. la trad…</t>
  </si>
  <si>
    <t>…gran libro á 5 por 100, 00. DE LAS SESIONES personas pertenecen son partidos legales, pondrán la con­ sideración en cuanto acabamos de e sc rib ir, porque asi lo Títulos al portador del ¡5 por 100, Í 8 f once dieziseisavos y D E L CONGRESO 18^ con cupones al contado: I 8f , § , J , f y 19 á v. f. ó vol. y reclam a de todos el honor de nuestras instituciones y la firme: l 9 f , i y 20 á v.’f. ó vol. á prima de £» f y | por 100 salvación de nuestra patria. con cupones. DE SEÑORES DIPUTADOS. Inscripciones en el gran libro…</t>
  </si>
  <si>
    <t>…ejemplo memorable de DE DON ALBERTO LISTA, I P U R IT A N I E D I C A B A L I E R I , las vicisitudes humanas. AUM EN TAD AS exornada con todo el aparato que exige su argumento. EN ESTA SEGU N D A E D IC IO N . £ ^ C T A V A D E L CO RPU S. Versión parafrástica castellana A ctores: Sras. V illó y Lom bía. Sres. R am os, C a lvet, R e - del oficio y misa de la festividad del Santísimo Sacra­ g u e r , Blasco y coristas. D os tomos en 8 .° Precios: en rama , á 20 rs. vn. e! ejem­ mento y su octava, según el breviario y mi…</t>
  </si>
  <si>
    <t>…s obras. M A D R ID 2 4 DE JU N IO . cho D. Miguel María Duran el auto que dice asi: Auto . Habiéndose observado en este juicio todos los trám i­ tes prescritos por la ley, y declarado por los Sres. jueces de he­ MATRIC ULA D E L COLEGIO NACIONAL DE MED ICINA Y C I R U G I A cho absuelto por unanimidad al editor responsable D. Isidro d e san Ca llo s. Sánchez C aro, del articulo comunicado inserto en el periódico LES AVENTURES titulado El G u irig a y , núm. ÍOÍ de 27 de Abril último, man­ A lumnos m éd ico -ciru ja n…</t>
  </si>
  <si>
    <t>…­ en Veracruz. Lisboa 19 de Abril . me de ellas. (Gritos : AI orden!) No pretendo imponer á na­ die mi voluntad, y no exijo ningún privilegio personal. {A l A bordo del bergantín de S. M. Express , en Yeracruz á P R ESID EN CIA D E L CONSEJO. orden !) 29 de Diciembre de 1838 z=Muy señor mío: os ruego que ten­ lie tenido á bien adm itir al consejero Antonio Fernandez El honorable individuo presenta en seguida un gran n ú ­ gáis á bien informar al Ministro de S. M. en Mé ico, de que Coello la dimisión que me ha presentado del…</t>
  </si>
  <si>
    <t>ELCAFE</t>
  </si>
  <si>
    <t>…. 4? / / 0. / ¿ ¿ v n k ¡ ( c i .ata ? Perú y Chile, donde el obsequio que se /. 7 7 Q 7 0 0 Puerto-Rico........................................j 1on,.74') 1^0 Y» / t Y c,a a huéspedes y visitas era presentarles el m ate, y D E L C A F E , SUS PR O P IE D A D E S , P R E PA RA C IO N Y USO. Méjico...................... 1 / fio e contento reinaba en cualquier casa ó rancho cuando el Colombia........................ ....................i 4/rci J 1,0/o saco de yerba del Paraguay estaba llene; si no hubiera sido El café d…</t>
  </si>
  <si>
    <t>ELCAS</t>
  </si>
  <si>
    <t>…avor de la T r a d u c id o s e n p r o s a y v e r s o . La entrada á 8 rs. y 4 los niños. causa que defendemos. Hace tres dias que este principió sus operaciones, pues que una noche, introduciéndose muy cerca PO R D O N JO SE D E L C A ST ILL O Y A Y E N S A. de los Arcos, se trajo 1500 cabezas de ganado lanar, del que el Excmo. Sr. capitán general le ha dado la mitad nara él. T E A T R O S . Un tomo en 8.° (¿arquilla con el texto griego al frente de PR IN C IPE. A las siete de la noche. Se volverá á poner la traducción.…</t>
  </si>
  <si>
    <t>ELCRISTIANISM</t>
  </si>
  <si>
    <t>…teraria. nuevas. A rt. 4.0 El cargo de consejero es incom patible con otro Acciones del banco español de S. F e r n a n d o , 00. cualquiera empleo efectivo de las diferentes carreras del Estado. c a m b io s . E L G E N I O D E L C R I S T I A N I S M O , revista católico-social. A rt. 5.° Los miuistros son consejeros de Estado natos d u ­ ^ Acaba de salir el p rim er núm ero de esta publicación pe­ rante su administración. L o n d re s, á 9 0 d ia s , 58^. C o r u ñ a , l £ á | d. riódica. C ontieno u n artículo sobr…</t>
  </si>
  <si>
    <t>ELD</t>
  </si>
  <si>
    <t>…il acceso, . Copia que se cita. P A R T E S R ECIBID OS EN 1L A S E C R E T A R IA DE ESTADO estaba defendida por todo el grueso de las fuerzas y protegida por dos piezas de artillería. Para neu'ralizar los efectos do e-ta Y D E L DESPACHO DE L A G U E R R A . P rim era secretaría del Despacho de Estado. = T rad uc- arma hice avanzar á primera línea ios dos obuses do montaña, cion.==Camará j e v C om ercio del H av re.= C o p ia de una car­ Ejé rcito del Centro.= Secretana dé campaña.rrExcrao. Señor: que seguían la divi…</t>
  </si>
  <si>
    <t>…al han sido pronunciadas. Es menester formar mejor opinión PARTE RECIBIDO EN LA SECRETARIA DE ESTADO Gobierno de todos, para todos y por todos. {Muy b ie n , m uy de los buenos ciudadanos. [Mr. G arn ier P a g és aplaude.) Y D E L DESPACHO DE L A G U E R R A . bien.) Con vivo placer he oido á todos los individuos que han El capitán general de Castilla la Nueva cori fecha 1.° del El orador continua manifestando que los 221 no han que­ concurrido á las diversas combinaciones sin éxito alguno hasta actual manifiesta que ha…</t>
  </si>
  <si>
    <t>PARTE RECIBIDO EN LA SECRETARIA DE ESTADO las Covachuelas, el drama en cinco actos del célebre Alejandro Y D E L DES PA CHO DE L A GUERRA. M u r v ie d r o 2 3 d e Abril. D u m a s , tiulado C alígn la , arreglado al teatro español por Don Antonio García Gutiérrez. El brigadier segundo cabo de Aragón traslada un parte del A las dos de esta tarde ha salido el Excmo. Sr. general en Precio de suscricion 2 r…</t>
  </si>
  <si>
    <t>N.º 1632. DOMINGO 5 DE MAYO DE 1839. DIEZCUARTOS. P A R T E RECIBIDO E N L A S E C R E T A R I A DE ESTADO PARTE OFICIAL. Y D E L DESPACHO DE L A G U E R R A . se solo á empeñar un ataque parcial en dicho día con la b rig a­ da Aleson , en la q u e nuestras tropas, sin embargo del intenso frío de la noche y tuerte temporal , han escarmentado y recha­ El Sr. general en gefe de los ejércitos reunidos, conde de zado al en…</t>
  </si>
  <si>
    <t>…os: los destiné en su clase respecti- PAR TE S RECIBIDOS EN L A SE C R E T A R IA DE ESTADO tallones de refuerzo, continuó durante el dia pasivo especta­ I va á diferentes batallones, y la sangre de alguno de ellos v e r - Y D E L DE SP AC HO DE L A G U E R R A . dor de la destrucción de sus fuertes. | tida en aquellos campos justificó sus ofrecimientos. El 11 á hora avanzada de la noche ejecutó un ataque so­ 1 En estas operaciones no he hallado sino motivos para estar Ejército del Centro. = Secretaría de campaña. — Exc…</t>
  </si>
  <si>
    <t>…n fecha 14 de Mayo q u e el N e - saría su publicación. PARTE RECIBIDO EN LA SECRETARIA DE ESTADO va arrastraba nuevos hielos, y que ha sido preciso levantar e l 3.a Tan luego com o se presente d ich o e je m p la r, el ge- y D E L DESPACHO DE L A G U E R R A . puente de Isaac. Delante del puerto de Cronstadt solo el mar1 fe político lo examinará por sí, ó lo hará examinar por una estaba libre desde el ángulo del puerto militar hasta la batería ó más personas ilustradas y de su mayor confianza; y si se El capitán general d…</t>
  </si>
  <si>
    <t>…cosas tan desagradable para la diócesis. Mr. M eu- PARTES RECIBIDOS EN LA SECRETARIA DE ESTADO tro coches de la casa Real con cuatro caballos y dos postillones jaud , electo obispo de Joppe, y coadjutor de Nancy , ha reci­ Y D E L DESPACHO D E L A G U E R R A . cada uno para Oxford. A las once y veinte minutos llegaron bido sus bulas. El prelado está en ejercicios en el seminario los ilustres viajeros al punto donde tiene su asiento esta céle­ para prepararse á su consagración, que se verificará el domingo próximo en l…</t>
  </si>
  <si>
    <t>…ncipales frutos exportados. núa, el pensamiento dé v.er revestido con el título de lord te­ ■ . ’ :',7 1837. 1838. : ; PARTE RECIBIDO EN LA SECRETARIA DE ESTADO niente un noble lord qué ha manifestado deseos, y ha emitido Y D E L DESPACHO DE L A GOBERNACION DE L A PENIN SU LA* Azúcar, cajas^.. #. . . . . . i . •• 187,202 236,549 £ ] su voto para que esta guerra intestina y sacrílegí* tome un ca­ C afé, arrobas.. . . . . . . . . . . . . . . . . . . . f 238,577 200365; Dirección general de Caminos, Canales y Puertos..-…</t>
  </si>
  <si>
    <t>…TE RECIBIDO EN LA SE CR E T AR IA DE ESTADO ápice se ha intercalado en la contestación. Nunca respuesta fue Eugenio de Castro y D. Francisco A gustín Silvela. mas benigna ; nunca se ha escrito discurso menos significativo. T D E L DE SPACHO DE L A G U E R R A . Las audiencias de Búrgos y Pamplona lo han efectuado por (La F r e s se.) medio de representaciones, y en los propios términos los ju z g a­ El comandante general de C iu d ad -R eal y Toledo dice con dos de Alcalá la Rea! , Alcázar de S. J u a n , A lc aráz, Alm…</t>
  </si>
  <si>
    <t>…nvencidos de tan m aternales sentimientos los citados em ­ PARTE RECIBIDO EN LA SECRETARIA DE ESTADO Secretario de Estado y del Despacho de la Goberuacion de la pleados, tienen la honra de ofrecer A L. R. P. de V. M. la mas Y D E L DESPACHO DE L A G U E R R A . P en ín sula. am p lia y respetuosa felicitación por tan faustos acontecim ien­ tos que aseguran con la paz los indudables derechos de nuestra El com andante general de C iu d ad -R eal y Toledo con fecha S e ñ o ra: Si la consoladora esperanza de paz y de ventura…</t>
  </si>
  <si>
    <t>…E REC IB ID O EN LA S E C R E T A R IA DE ESTADO Com andancia general del d e partam ento San L u is Potosí.z: Excmo. S r . : Con fecha 12 del presente á las siete de la noche, EN E L S I T I O DE L A P L A Z A D E L FORO. Y D E L DESPACHO DE L A G U E R R A . en carta oficial que por extra o rd in ario acabo de r e c ib ir, me El cap itá n general de C a ta lu ñ a dice en com un ic ac ió n de 7 dice el Sr. coronel D. M an u e l Romero desde el valle de M a iz En un a de las habitaciones c o n tig u a s que form an la…</t>
  </si>
  <si>
    <t>…hacer respetar las le y e s y castigar á ios que PARTE RECIBIDO EN LA SECRETARIA DE ESTADO p la c e r los ojos de todos los buenos españoles ; pero acerbo es pasen mas allá del lím ite que a quellas prefijan; y Y . M . po­ Y D E L DESPACHO D E L A G U E R R A . confesarlo , Gobernadora a ugu sta ; 'h ay españoles espúreos drá en fin proporcionar á los españoles los grandes beneficios que 110 merecen este glorioso nombre , y el abrir los brazos que con fundada confianza esperan del genio fecundo é rn- El general segundo…</t>
  </si>
  <si>
    <t>…er pagar sus tropas. gativa, se digne hacer ia oportuna elección. 8 .a En los casos previstos en el art. 40 y siguientes PARTES RECIBIDOS EN L A SEC RETA RIA DE ESTADO de la expresada ley se procederá á segunda elección, cu­ Y D E L DESPACH O D E L A G U E R R A . yas operaciones han de q u edar precisamente concluidas Escriben de Petersburgo con fecha 27 de Octubre: El Ministro de los cultos y de la instrucción publica acaba para el dia 15 de Febrero sigu ien te; en la inteligencia de El capitán general de Castilla la Vie…</t>
  </si>
  <si>
    <t>…. la R e i n a , su augusta Madre la R e i n a G o b e r n a - del Sr. D. Tomas Pacheco y por mi testimonio se ha formado PARTE RECIBIDO EN LA SECRETARIA DE ESTADO causa contra D. Isidro Sánchez Caro , editor responsable del Y D E L DESPACHO DE * LA GOBERNACION D E LA- P E N IN S U L A . dora y laSjerma. Sra. Infanta Doña María Luisa F ern an ­ periódico titulado E l Guirigay, por denuncia hecha por el pfo- motor fiscal de los juzgados de primera instancia de esta corte Gobierno político de la provincia de Jaen.=:Excmo. se…</t>
  </si>
  <si>
    <t>…faustos acontecimientos que han tenido l u ­ ra.nJosé López rzJuan Perez Alcalá.r: A gustin Peña Rico.=:José ga r en las provincias -del N o r t e , si no dirigiese su humilde VaIcarcel.—Jacinto García M onge , secretario. Y D E L DESPACHO DE L A G U E R R A . voz á V . M . participándole los nobles sentimientos de que se E l comandante general de las provincias de C iu d a d -R e a l ha llan poseídos sus administrados, y felicitándola por tan fa ­ PARTE NO OFICIAL. y T o l e d o en comunicación de 18 del actual manifi…</t>
  </si>
  <si>
    <t>…e ha reconocido culpable, el Consejo ha propuesto al Réy b re asignación de raciones de cam pañ a y abono en d in e ­ dejar á lá justicia seguir su libre curso. ro de las que se p ro h ib e ex tra er en especie , soñ por lá Y D E L DE SP A CH O D E L A G U E R R A . Pero él Rey ha persistido en la opinión cóntVaria} y usan­ m ism a escasez de fondos imposibles dé ctvrtiptm éoti les- pecto a la totalidad de los interesados, al paso que u n m e­ comunicación El comandante general de la provincia de G uadalajara, en bes eu…</t>
  </si>
  <si>
    <t>…ue esta población merece toda su consideración por su PARTES RECIBIDOS EN LA SECRETARIA DE ESTADO muy notable decisión en favor de! orden y da las leyes: todo el pueblo se presentó al combate armado con cuanto pudo haber á Y D E L DESPACHO DE L A G U E R R A . Idem 5. las m anos, de manera que si hubiera habido a r m a s , hubiera también metido á mis filas mas de 1(3 hombres. El capitán general de Castilla la N u eva en comunicación Comandancia general de Nuevo Leon.rzExcnro. Sr. : P r o - Los señores gefes y «Ticial…</t>
  </si>
  <si>
    <t>…n g u i ju e l a s , lo que se ha veri fi cado, á pesar de la r e p u g ­ de af l i cti va semej ante sentencia , nos es i mposibl e no e&gt;tar t tan- nanci a del He k i m- Ra e h i y el texto de! Coram que i mp i de v e r ­ Y D E L DE SP ACH O DE L A G U E R R A . quilos acerca de la v i da de un hombre t an d i g n o de ínteres. ter la sangre del Sul tán. Pero hoy los esfuerzos de la me di ci na El c a pi t á n general de Ca st i l l a la V i e j a en comuni ca ci ón de Si n d u d a nos h ub i e r a parecido mas e qui t…</t>
  </si>
  <si>
    <t>…e ha redoblado la severidad, puestó ños que median desde Abril de 1854 a M ayo de 1859 se ren­ ue no llegan mercancías ui caravanas. E n vista de las present­ ten para establecer la verdad desconsoladora de que las pasiones Y D E L DESPACHO D E L A G U E R R A . es circunstancias, y á pesar de todo el disgusto que experimen- m árquicas, vencidas en 18 5 4 , no han abandonado desde aque­ a aljgomunicaros semejante medida que puede causar graves ta época sus criminales intentos de hostilizar á la Constitución E l capitán…</t>
  </si>
  <si>
    <t>…. E., nanda, co n tin ú an en esta corte sin n o ved ad en su im - Bernardino Fernandez, subsecretario. Dortante sa lu d . PARTE RECIBIDO EN LA SECRETARIA DE ESTADO Señora: El ayuntamiento de vuestra fiel y lea! ciudad de Y D E L DESPACHO DE L A G U E R R A . Pontevedra llega á los pies del Trono que V. M. regenta, con­ R E AI, DECRETO. El capitán general de G alicia en su parte periódico de no­ gratulándose con V. M. y con la nación por los venturosos he­ vedades fecha 18 del actual dice que salió de Lugo el 14 con c…</t>
  </si>
  <si>
    <t>…ro de Trabajos públicos , Mr. Legrand y Mr. Allard han dió con otros puntos y en proporciones mas ó meaos conside­ PARTE RECIBIDO EN LA SECRETARIA DE ESTADO combatido el dictámen de la comisión. Mr. Paixhaus ha pro­ rables. Y D E L DESPACHO DE L A G U E R R A . puesto una adición que disminuye el presupuesto de la suma No admite duda que la violación por medio de la fuerza y exigida , y que ha sido aceptada por el Ministro de Traba­ por las armas del domicilio y de la propiedad, es uno de los crí­ El comandante general d…</t>
  </si>
  <si>
    <t>…iadas, y que á sil dirección van dos generales, PA R T ES RECIBIDOS EN LA SECRETA RIA DE ESTADO uo poco distante de la c iu d a d , sin acordarse que el excesivo de cuyo valor y conocimiento éstá m uy satisfecho el supremo Y D E L DESPACHO DE L A GOBERNACION DE L A P E N I N S U L A * Gobierno, por lo que es dé creer que los defensores de T uxpan calor del dia los fatigaría á la vuelta. No cabia mayor entu­ Gobierno político de la provincia de Córdoba.r^Excmo. Sr.: siasmo ni muestras mas inequívocas de un verdadero y vi…</t>
  </si>
  <si>
    <t>…ue de guerra. Tejas tendrá pronto El 24 íbrahim hizo avartzar la caballería y su artillería li­ tres sloops, dos bricks, dos corbetas de guerra y un buque de gera , que batieron sucesivamente dos crecidos cuerpos de la van­ Y D E L DESPACHO DE LA G U E R R A . vapor armado. Estas fuerzas son suficientes para bloquear los guardia del ejército turco: al dia siguiente los dos ejércitos vi­ El brigadier segundo cabo de Aragón trascribe un parte tres puertos principales de Méjico: Y eracruz, Tatnpico y M a­ nieron á las manos…</t>
  </si>
  <si>
    <t>ELDE</t>
  </si>
  <si>
    <t>…duro al roes consumido en viciosas algazaras, de EMPRESA as cuales el menor perjuicio que se alcanza es el compromiso PARTE RECIBIDO EN LA SECRETARIA DE ESTADO le su salud y !a honra, darán al año con el interés que agen­ Y D E L D ESPACH O DE L A G U E R R A . da el accionista una cantidad que multiplicada con constancia e convertirá en ayuda estimable de una fam ilia menesterosa; que El comandante general de Cuenca D. M a rtin José Iriarte al vez se verá libertada por e*ta conducta previsora del rem ur- desde Carden…</t>
  </si>
  <si>
    <t>…, uno de los dos cuerpos, sin duda arrastrado por PARTES RECIBIDOS EN LA SE CR E T AR IA DE ESTADO Ceuta y M elilla ; el enemigo proyectaba grandes armamentos su c e lo , adoptó súbitam ente sin que se hubiese podido h allar T D E L D ESPACH O DE L A G U E R R A . p ara poner , si p u d ie ra, en conflicto la c a p ita l; y todo reclam a­ presente el G obierno, una determ inación que de un modo in ­ ba , Señora, un grande esfuerzo, una resolución á todo trance decible complicó la cuestión hasta el punto de hacer in ev ita…</t>
  </si>
  <si>
    <t>…una análisis P A R T E RECIBIDO EN LA SECRE TA RIA DE ESTADO compañía de su esposo el pequeño sem in ario , la iglesia de 8 a n - completa, y que diese resultados satisfactorios en esta ma­ ta C ru z y ia de San M iguel. T D E L D ESPACHO D E LA G U E R R A . teria, seria menester conocer todas las lengu a s, y reunir los conocimientos del m úd eo y del poeta. Pero una obser­ C om andancia general de la provincia de A la v a .= E . M . = vación nos ahorrara mucha parte de este trabajo; y es Excmo. S r . : El Excrno. S…</t>
  </si>
  <si>
    <t>ELDES</t>
  </si>
  <si>
    <t>…r el honor que le h abían c o n f e r i­ P A R T E RECIBIDO EN LA SE C R E T AR IA DE ESTADO m an a. M ie n tra s que esta renueva sus negociaciones directas con do , y prometía hacer todos sus esfuerzos para corresponder á Y D E L D E SP ACH O DE L A G U E R R A . el bajá de E g ip to ,e l Gabinete de las T u b e ría s b ate todos ios es­ su confianza y d i r i g i r ú tilm en te los trabajos legislativos de la fuerzos posibles p ara d ecidir á ■M eh em et-A lí. á que ceda. C ám aras. El c a p k a n gen eral de G alici…</t>
  </si>
  <si>
    <t>…las 8 influencia deben tener en la moralidad del pueblo. A este PARTES RECIBIDOS EN LA SECR ETA R IA DE ESTADO P^as 50 15. . 50 efecto acompaño también un nuevo ejemplar de la ins­ o rd in a r io , las 50 piezas 50 15. . 50 Y D E L D E SP AC H O DE L A GUERRA. trucción y proyecto de reglamento, que ya se remitió á LiLros; pesando el 100 el valor 56 rixdaler. ese gobierno político con la circular de 22 de Agosto de L as nacioces p riv ile g ia d a s 1 por 100. El ca p itá n g en eral de G a lic ia con fecha 7 del a c tu…</t>
  </si>
  <si>
    <t>…úsmo Consejo en reemplazo de Mr. Borel de Bretisel9 sucesor Lóndres 18 de Julio . el venerable Henrion de Pensay. PARTE RECIBIDO EN LA SECRETARIA DE ESTADO Todo está tranquilo en Birmingham: ya no se teme ningún lesórden. Y D E L D E SPACH O DE L A G U E R R A . La Gaceta de Bombay del 15 de M ayo no confirma la n o - A yer se verificó en el Casino el gran banquete de la indus- icia de la muerte de Runjeet-Simgh. ria, contándose mas de 500 entre artistas, fabricantes y m a - Comandancia general de los ejércitos reunid…</t>
  </si>
  <si>
    <t>ELDI</t>
  </si>
  <si>
    <t>…vea», que n® vamente aprobados 3 modificados o 'tfaedbodctt por cada nao de fraile se "quiere casar,, y qae nu obispo le ha filado licencia para eilillos, y tes de tes nombra míenlos hechos cqn|ori»e á sas. r c g l^ " ' ORDEN D E L D IA rite. Yo encuentro qne^stU'asunto es grave, gravísimo» Perso­ meatos»,. Niuguaude los dos cuerpos puede in ri tora) ©tro á Iba-* nas ilustradas hay era Mátaga que no:podrán menos «te ilnstror cer '«wi propotskaou; á petición cualquiera» dirigir m uusnsijq ' |PA;.R4j.;|íAi gBSlQJR ¿EL, JtT…</t>
  </si>
  <si>
    <t>…¿hem os Si la comisión quisiera desenvolver estas útilísim as reflexio­ te el siguien te de conceder el que los que se hallan atrasados puedan hacer el nes que someto á su consideración , y si hubiese tenido por m i­ O RD EN D E L D IA pago de su descubierto en p ap el? N o , señores: esto seria decir sión estos objetos, los hubiera desenvuelto con la maestría que á los pueblos: no paguéis corrientemente vuestras contribuciones, debe esperarse de los individuos que la componen ; propietarios P A R A LA SESION DEL M ART…</t>
  </si>
  <si>
    <t>…n de la mo­ ción. Las resoluciones de la comisión serán e je c u tiv as, sin per­ narquía española, cuidar y d ir ig ir bien y lealmente la persona ju icio de que la parte que se crea ag rav iad a use de su derecho, ; O RD E N D E L D IA y bienes propios del R ey menor N. c u y a tutela se os ha confia­ después de ejecutadas con arreglo á la legislación v ig e n te , y en los térm in o s, por los trá m ite s, y ante las autoridades que ella PARA LA SESION DEL VIERNES 8 DE FEBRERO DE 1839. d o ?” El tutor responderá en vo…</t>
  </si>
  <si>
    <t>…e in te y un heridos incluso un oficia!. E ra la una y cu arto. Un oficial contuso. la recaudación, y son los administradores de partido y los a y u n ­ tamientos. La acción de la administración , que parte del cen­ O RD EN D E L D IA tro de la secretaría de H acienda, llega sin in terru p ció n , sin S. M . se h a enterado con satisfacción , y se ha servid o m an ­ d a r se den las gracias en su Real nom bre á todos los que han inconveniente, hasta el últim o punto de la circunferencia , que P A R A L A SESION DEL SA…</t>
  </si>
  <si>
    <t>…iste situa­ tos , á la que asintieron todos los generales, coroneles y co­ SE N A D O . ción del crítico imparcial. mandantes del campo de Foutaiacbleau. (Debáis.) Este no recibe obsequios sino ele pocas personas, por­ ORDEN D E L D IA que pocas son las que hacen justicia seca; este no tiene PA R A LA SESION DEL LU N ES 14 DE OCTUBRE DE 1839. regalos; este no es adulado sino por miedo. Los actores Una comisión mista reunida en Badén se ocupa en la ac­ se revelan contra él, y protestan de su dom inio; los es­ tualidad e…</t>
  </si>
  <si>
    <t>…obrar con entera l i ­ tente el que le ju z g a , repito que el juez recurrió al anterior bertad y desembarazo para declarar inocente al Sr. A lvarez, si CcMigreso , y que este le dió su autorización; y que si cupiese ORD E N D E L D IA no era culpable, ó para cumplir el triste deber de imponerle la esa duda, tiempo ha tenido el Sr. Alvarez para hacer la r e d a ­ pena á que se hubiese hecho acreedor. ¿Q u é tenia que hacer mación oportuna. PA R A LA SESION D EL V IE R N E S 18 DE O CTU BRE DE 18 39 . en este caso la aut…</t>
  </si>
  <si>
    <t>…einta y cinco minutos. rios del Despacho., no se podía menos de acceder á sus deseos, cómodamente. pues que para responder á ellos era menester que todos estuvie­ Cuando la abundancia de materiales nos lo permíta ha­ O R D EN D E L D IA sen presentes. blaremos á nuestros lectores mas extensamente de la com edia A ñ a d ió , después de algunas otras observaciones, que habia y de la ejecución. PARA LA SESION DEL SABADO 19 DE OCTUBRE DE 1839. tentativas contra la libertad; y que los Sres. M inistros, acaso Discusión de los…</t>
  </si>
  <si>
    <t>…blecer alguna pequeña variación en la maner^ de h a ­ dua como esta. No ha dicho se confirman ,- n o ; y yo protesto cer el nombramiento de las diputaciones. la confirmación que de¿ean ; y por lo que he visto, se sabe O RD E N D E L D IA El orador se ocupó en probar que para aquellas provincias cuán abrumadas se han visto por el poder absoluto que las ha regia una ley electoral excepcional, á causa de las circunstan­ dominado, y ha pasado por cima de sus fueros. Para confirmar, P A R A L A SE S IO N D E L D O M I N G O 2…</t>
  </si>
  <si>
    <t>…y bárbaros de suyo , tienen un guiente que se cometen á su sombra. Enhorabuena que empleen los re­ Ínteres en serlo también. Zmnatacarregui lo manifestó muy beldes todo el rigor propio de su ferocidad , pero sepan que O RDEN D E L D IA claro, y yo no lo considero atroz ni bárbaro, no: lo era por tendrán que responder de la sangre que fuera del campo de ba­ política , y esta razón basta. Se dice después que los enemigos PARA LA SESION DEL MARTES 22 DE ENERO DE 1839. talla se haya derramado. respetaban ya las vidas de nu…</t>
  </si>
  <si>
    <t>…n actual. guiente promesas ni amenazas. Que h ay que tener presente que ahora existe un Congreso El Sr. R O D A hizo presente que la comisión al dar este nuevo, al cual no se pueden ligar las manos, ni cree que el Se­ O RD E N D E L D IA dictámen, como al dar todos los d e m as, no habia sido llevada nado tenga facultad para ello. Que con esta cuestión si se apro­ por espíritu de partido; que S. S por su parte, lejos de alimen­ base el dictamen, podría dar motivo á una colisión que debe PARA LA SESION DEL LUNES 23 DE SETIEM…</t>
  </si>
  <si>
    <t>…a no existen los conventos. Véase por qué he dicho cir lo que la Constitución dispone en uno de sus artículos, de que era imposible, impracticable la concesión absoluta de los n ingún modo contrario á este principio. O RD E N D E L D IA fueros. Nosotros haremos pues un beneficio á las provincias Dice el artículo 4*° de la Constitución : unos mismos códi­ concediéndoles nuestros derechos políticos, y dándoles esas g a ­ gos regirán en toda la m o n arq uía, y en ellos no se establecerá PARA LA SESION DEL MARTES 22 DE OCTU…</t>
  </si>
  <si>
    <t>…ski es un oficial austríaco , de ilustre parte de paga , y los soldados solo una paga en cuatro meses. Cuna, pariente de la actual esposa del príncipe Metherroieg, Fortuna que los cristiños tampoco tienen dinero; si no, experi­ D E L D IA R IO DE L A S SESIONES DEL CONGRESO DE SR E S. D IPU TAD O S quien abandonado de su fam ilia por su mala conducta, fue á mentaríamos considerables bajas, y no estamos para sufrirlas; EN L A LE G ISL A T U R A DE 1838. probar fortuna con D. C árlos, y figuró bastante tiempo en el pues el ene…</t>
  </si>
  <si>
    <t>ELDOMI</t>
  </si>
  <si>
    <t>Núm. 1739 . (3 cuartos.) GACETA. E X T R A O R D IN A R IA D E M A D R ID D E L D O M IN G O 18 D E AGOSTO D E 1 8 3 9. A R T IC U L O D E OFICIO. posiciones donde se atrevieron á aceptar el combate: este triun­ Comandancia general de los ejércitos reunidos—Secretaría de fo materialmente lo han ganado fuerzas inferiores á las suyas, campaña.—Excmo. Sr.: Mi movimiento des…</t>
  </si>
  <si>
    <t>ELDOMINGO</t>
  </si>
  <si>
    <t>…ellas provincias cuán abrumadas se han visto por el poder absoluto que las ha regia una ley electoral excepcional, á causa de las circunstan­ dominado, y ha pasado por cima de sus fueros. Para confirmar, P A R A L A SE S IO N D E L D O M I N G O 20 DE O C T U B R E D E 1839. cias particulares de las mismas, y sin embargo no se habia creí­ señores, era necesario pronunciar el derecho. ¿Estamos en el do violada la Constitución, añadiendo después que quería q u e ­ caso de hacerlo ? hemos visto eran cartas , título s, ¿dónd…</t>
  </si>
  <si>
    <t>ELE</t>
  </si>
  <si>
    <t>…EAL EN LA PROVINCIA DE CADIZ. ter á la deliberación de las Cortes el siguiente te en ¿otros, y la absoluta libertad que como va dicho se concedió en alguna provincia á la venta de sal, ofrecía y REA L DECRETO. P R O Y E C T O D E L EY . - ofrece un vasto campo al especulador, que escudado con A rt. 1.° Se autoriza al Gobierno para establecer en Puerto las guias que sin obstáculo recibe de las mismas adminis­ T en ie n d o en consideración lo q u e m e habéis expuesto Real un impuesto destinado exclusivamente á la reparaci…</t>
  </si>
  <si>
    <t>…e la cabeza del puente; i tulada: cuyo fin destacó un cabo y dos soldados para contener el in­ tan solícitos en preguntarle: «¿Q u é es lo que mas maravi­ cendio; pero su actividad por una parte, y por otra el fuege EN BOCA D E L EMBUSTERO L A V E R D A D lla os causa a q u i, m on señ or?” Y á la verdad, ¿d e qué vivo y certero que dirigían los enemigos sobre aquella tropa ES SOSPECHOSA. queríais que se maravillase aquel h o m b re ? ¿D e vuestro hizo imposible evitarlo cuando los mixtos inflamaron con une palacio d…</t>
  </si>
  <si>
    <t>…n los bienes de la propiedad de los que se hallen en higieoe, Fenelon, consejos de Federico el Grande á su hijo G u i­ las facciones. (Niiru. 16440 llermo i n , casamiento sin gular, poesía y teatros, se da cuenta del EN BOCA D E L EMBUSTERO L A V E R D A D Real orden declarando que tas disposiciones y providencias que concierto ejecutado en casa del Excmo. Sr. duque de V illa h e r- dicten los ayuntamientos y en su caso las diputaciones pro­ mosa la noche del 18. ES SOSPECHOSA. vinciales er» los negocios que pertenecen…</t>
  </si>
  <si>
    <t>…ación de causa. disminuirlo en lo mas mínimo las sugestiones ni los ocultos EL D E L A T O R , manejos de los enemigos del trono de nuestra inocente Reina y de las nuevas instituciones que felizmente nos rigen. 6 L A BERLINA D E L EMIGRADO. BOLETIN DE COMERCIO. Terminará la función con baile nacional. Córdoba 26 d e S etiem b re . Para preparar la unión de los verdaderos amantes de la Constitución y de S. M. la Reina BOLSA DE M A D RID . Doña Isabel n , se verificó el lunes en el seminario conciliar una comida de 16…</t>
  </si>
  <si>
    <t>…a, EL D EL A TO R , n a t u r a l i d a d , y el dibujo es correcto. Su U e o p a tr a tiene ex­ D . J u a n José M edrano y D. Francisco Sura. celentes dotes: m orb id ez, frescura en las carnes; expresión en Ó LA BER L IN A D E L EMIGRADO. Clase superior de i d . ^ D . Isidoro Benitez , D . José Paredes y la fisonomía, gracia en los detalles, buen partido de pliegues y D . J o a q u ín P etit. arm o nía en el todo. r o j Terminará la función con baile nacional. Ciase de francés.—Sección l . arzD. Rafael A g u ir r e…</t>
  </si>
  <si>
    <t>…In ten dencia In tende nc ia graciosos de sus comedias, expresiones groseras y chava- de la Habana. de Cuba. de P u e r t o - Príncipe. ¡1 T O T A LES . canas, y alguna vez indecentes. El gusto de aquellos tiem­ ! ■1 ! D E L ESTADO ACTUAL pos y cierta licenciosa franqueza tolerada en los autores Año i i de entonces, y sancionada por un público menos ilustra­ de 1857. 6818752..7 Í 122848..Ll\895564-7 1 ¡8857165-7} í1 DE LA LITERATURA DRAMATICA. do y mas indulgente que ahora, disculpan en parte aque­ 1 1 ¡ llos…</t>
  </si>
  <si>
    <t>…sus anteriores re­ cuelas médicas. Creo que quedará V. satisfecho de mi explicación, y espero IMPRENTA NACIONAL. presentaciones, titulado le dispensará de emplear contra mí el ardor caballeresco de E L D ELA TO R ó LA BERLINA D E L EM IGRADO. mi célebre compatriota manchego con que amaga á ciertas doc­ trinas falsamente llamadas penitenciarias. N o , amigo mío, COLECCION DE LEYES, Terminará la función con baile nacional. tío? yo busco la verdad y apruebo lo bueno donde quiera que lo hallo. Antes de terminar quisiera llam…</t>
  </si>
  <si>
    <t>ELEGI</t>
  </si>
  <si>
    <t>…érmino de diez meses al año. Bilbao 2 de Setiembre de 1859.zz DICCIONARIO RAZONADO 4 . 7 5 2 . . .. 4 ^ 0 .............. Idem. De orden de la junta su secretario Valentín de Uribarri. 1 1 .6 7 6 .... 4OO.............. Madrid. D E L E G IS L A C IO N Y J U R IS P R U D E N C I A , 4 ^ 2 ....... 4 OO................ Idem. por D. Joaquín Escriche, abogado de los tribunales del Reino. 8 .7 7 4 .... 490.............. Idem. B IB L IO G R A FIA . Segunda edición , corregida y aum entada: dos tomos en folio. L a dirección gene…</t>
  </si>
  <si>
    <t>ELEMB</t>
  </si>
  <si>
    <t>…o por Don condiciones que se ha formado al efecto, y estará de maniñesto lenque. Juan de Alarcon, y refundida en cinco actos , titulada en la escribanía principal de este ramo, sita en el propio local &lt;le la dirección. E N BOCA D E L E M BU STER O SUBASTAS. LA VERDAD ES SOSPECHOSA. DIRECCION GENERAL DE LOTERIAS NACIONALES. Intermedio de baile, terminando la función con un diver­ Noticia de los pueblos y administraciones donde han cabido E N primera virtud de providencia del Sr. D. Tomas Pacheco, juez de tido sainete. io…</t>
  </si>
  <si>
    <t>ELEMI</t>
  </si>
  <si>
    <t>…mito. Y para que conste pongo el pre­ sente, que signo y firmo eu M adrid á 25 de Setiembre de 18 3 9 .= P E R IO D IC O D E L IT E R A T U R A Y M O D A S . EL D E L A T O R , Francisco Javier Reiuique. ' i Ó LA B E R L IN A D E L E M IG R A D O . ( El número del dia 30 del pasado contiene los artículos si­ guientes: Modas. Terminará la fu n c ió n c o n bailé nacional. ? i I SU BASTA. Una calumnia (novela.) _______________ 1 Las pelucas. Intendencia general militar. La desposada del parricida (balada de M ilton .…</t>
  </si>
  <si>
    <t>…natural de B riñ a s, en la p ro ­ vincia de Lo gro ño , el cual no ha podido ser habido para pren­ R egid ores electos. derle. A l efecto exhorto y requiero á todos los Sres. jueces del E L D E L A T O R ó L A B E R L IN A D E L E M IG R A D O . 1.° D. Gabriel M aría de Orbegozo. reino de parte de la Reina N. Sra. (Q. D. G.), c u y a ju r is ­ T erm inará la función con baile nacional. 2 o D. J u a n Ramón de Arana. dicción en su Real nombre ejerzo, y de la inia les pido y en ­ 5.° Eugenio de Lezama Leguizamon. carg…</t>
  </si>
  <si>
    <t>…esentaciones , titulado Bilbao, id. V alencia, par. ma edición, ah tomo en 16.°, á cinco reales en pasta. Cádiz, 1¿ d. Zaragoza, id. Memorias , cartas y documentos auténticos concernientes á E L D E L A T O R ó L A B E R L IN A D E L E M IG R A D O . Descuento deletras, á 6 por 100 al año. la vida^y muerte de S. A. R. Garlos Fernando Artois , infante de Francia y duque de B érri, escritas en francés pbr el vizcon­ Terminará la función con baile nacional. de de Chateaubriand , y traducidas de la segunda edición fran­ cesa…</t>
  </si>
  <si>
    <t>…vestigaciones de cierta duración. ¿Q c fabricación de satisfacer cualquier pedido que se le haga de esta será entonce i ea los países lejanos, en las capitales extranger. I obra. {Corresp.) E L D E L A T O R ó L A B E R L IN A D E L E M IG R A D O , donde, no obstante la diversidad ds las lenguas, de los hábito de U» costumbres, tos talentos mas cultivados é independieai nelodrama en cinco a c t o s, de grande espectáculo. se dirigen hacia Paris como al foco central de l&amp;s luces? Es ev deote que en los ce ¿os de semejab…</t>
  </si>
  <si>
    <t>ELEMIGRADO</t>
  </si>
  <si>
    <t>….............. M adrid. mado la mendicidad y el crimen en alguuos pueblos civiliza­ 7 .1 5 1 .... 5 0 0 .............. Barcelona. dos , hacen temblar por sus consecuencias ; y bajo este punto de EL D ELATO R ó LA B E R L IN A D E L E M I G R A D O , 1 .4 9 7 .... 5 0 0 .............. San Fernando. vista el remedio es una necesidad urgente. 5 .5 2 7 .... 5 0 0 .............. M adrid. Pero el aplicarle de un modo acertado exige un vasto cau­ melodrama en cinco a ctos, de grande aspectáculo. 6 .9 1 0 .... 5 0 0 ...........…</t>
  </si>
  <si>
    <t>…ecomiendan m u y p arti­ TEATROS. cularmente. PRINCIPE. A las cuatro de la tarde. plar qoe se expenda.:x:Ivo de la Cortina. Instrucción destinada á las tropas ligeras de infantería y ca­ E L D E L A T O R o L A B E R L IN A D E L E M I G R A D O , ballería , y á los oficiales que sirven en los puestos avanzados, recopilada de la que Federico 11 dió á sus oficiales de caballería melodrama eu cinco acto s, de grande espectáculo. PROVIDENCIAS JUDICIALES. traducida del francés por D. Vicente Sánchez Boado. Un tomo ! en 8…</t>
  </si>
  <si>
    <t>Elespura</t>
  </si>
  <si>
    <t>…D. Manuel Bulnes, teniente hecho acreedores. son ya del dominio de la historia. coronel Valenzuela, y sargento mayor Olivares, algunos ofi­ Contando, como debo, con el apoyo del Congreso, propen­ ciales heridos, y el Sr. general Elespura , aunque levemente:' El brigadier segundo cabo de Valencia en comunicación deré á cimentar la paz y el orden interior, á consolidar mas y que los batallones del Perú han peleado con un denuedo admi­ de 16 del actual participa que el subteniente de la compañía mas nuestras instituciones, á…</t>
  </si>
  <si>
    <t>ELEY</t>
  </si>
  <si>
    <t>…o en darla ración de las Cortes el siguiente de reales y vestuarios para el ejército. victorias piensa incesantemente el G o b i e r n o : vista la ac­ Balmaseda estaba ayer en los Arcos con su caballería y M a- PR O Y EC T O D E L E Y roto en Estella con el li.° de Castilla y algunos otros batallo­ tivid ad y !a inteligencia con que camina á su fin sin dis­ nes en aquellas cercanías. traerse, tenemos la mas firme esperanza de que sus votos para el establecimiento de un Consejo de Estado . La brigada expedicionaria, co…</t>
  </si>
  <si>
    <t>ELF</t>
  </si>
  <si>
    <t>…tina, P A R T E REC IB ID O EN LA S E C R E T A R IA DE ESTADO Com andancia general del d e partam ento San L u is Potosí.z: Excmo. S r . : Con fecha 12 del presente á las siete de la noche, EN E L S I T I O DE L A P L A Z A D E L FORO. Y D E L DESPACHO DE L A G U E R R A . en carta oficial que por extra o rd in ario acabo de r e c ib ir, me El cap itá n general de C a ta lu ñ a dice en com un ic ac ió n de 7 dice el Sr. coronel D. M an u e l Romero desde el valle de M a iz En un a de las habitaciones c o n tig u a s q…</t>
  </si>
  <si>
    <t>ELG</t>
  </si>
  <si>
    <t>…l diccionario de Belvitges notablemente aumen­ tado , un diccionario catalan-frances tan necesario para las re­ laciones comerciales, y otro catalan latino sumamente útil para L A F A M IL IA N UEV A . ORDENES Y REGLAMENTOS D E L GOBIERNO los jóvenes que aprenden el l a t in , todo lo que se hallará en la primera parte que es objeto de este anuncio, sino que también Y DE LA S DIRECCIONES Y A U T O R ID A D E S SUPERIORES* con la segunda y tercera parte se tendrá un diccionario caste- A las ocho de la noche. Se volverá…</t>
  </si>
  <si>
    <t>…a que ha asistido á este establecimiento acuerdo el G obierno con la comisión. comprueba lo satisfecho y contento que se halla el público de Se procedió a continuar la discusión sobre el canal d e &gt;Cas­ ORDENES Y REGLAMENTOS D E L GOBIERNO la diversión y comodidad que encuentra en el misma. tilla» f3' 1 Los billetes se despachan en el mismo local y en la. calle di? El Sr. A R G U E L L E S dice que se ve obligado á hacer va­ Y DE LA S DIRECCIONES Y A U T O R ID A D E S SU PERIORES. Carretas, frente á correos, tienda del…</t>
  </si>
  <si>
    <t>…diga que en los Es­ Pedro Cengotita, D. Luis Barrios, D. Manuel Angel Indo, tados-Unidos los dementes se hallan en las prisiones bajo la de­ D. Francisco del Herrero , D. Fernando de Palacios, D. Ma­ O RD EN ES Y REGLAM ENTOS D E L GOBIERNO nominación de criminales, cuya aserción es tan inexacta , cuan­ nuel Castresana y D. Francisco González M ontes, resultando do menos, como esta otra del mismo Dr. Julius, expresada en por ocho votos contra uno haber lugar á la formación de Y DE LAS DIRECCIONES Y AUTORIDADES SUPERIORES…</t>
  </si>
  <si>
    <t>…IALES. REALES DECRETOS, mas bien el fmatismo . lo han destruido todo.Si aun se re­ pitiesen algunos autos de f é en aquellas ruinas que tes­ D ON Laureano Gutiérrez , del consejo de S. M., su secretario O RD EN ES Y REGLAMENTOS D E L GOBIERNO tifican que en otro tiempo florecía alli una poderosa civi­ honorario de decretos, individuo de varias sociedades eco­ nómicas lización, desaparecían d é la superficie de la tierra con el en esta provincia, , intendente subdelegado de rentas, correos y loterías Y DE LAS DIRECCIONES Y A…</t>
  </si>
  <si>
    <t>ELGADO</t>
  </si>
  <si>
    <t>…u e s , como d ijo m u y á la tercera elección eo ia p ro v in c ia de Palencia. sobre él hace no pueden considerarse corno otro dictám en d i s ­ bien el Sr. Sanch o , las elecciones son un m al relativo , corno se E i'S r . D E L G A D O : L a prevención que contra m í tengo de tinto , sino como tales observaciones que d irig e al Congreso p a ­ puede decir que el Gobierno es un m a l , y si p u d iéram o s p a ­ ser interesado en e^&gt;ta c u e stió n , y de que por lo mismo poché ra que en su vista resuelva lo que estime…</t>
  </si>
  <si>
    <t>ELGOB</t>
  </si>
  <si>
    <t>…Férnandez, L aujar, Santaió y Mañlich. M ahon, Tintoré y Bertrán. M an- résa, Trullás. M oguer, Avala. M urcia, Benedicto. Mataro1, en la pertenencia de otro, autorizaba el robo de los m ine­ O R D E N E S Y REG LA M EN TO S D E L G O BIER NO Abadal. Orense, Gómez Navoa. Oviedo, D . G. Longoria. O ri- rales, y eso es lo que realm ente produciría la desmoraliza­ Y DE LAS DIRECCIONES Y AUTORIDADES SUPERIORES buela, viuda de Ibañez. O suna, Montero. Ósmá , Montero! ción. ' * Plasencia, Pis. Palm a, Guasp. Pam plona, Longas…</t>
  </si>
  <si>
    <t>…ndada por el es­ casa posada de S. S., sita en la calle de Bordadores, ndm. 12 cribano mayor del ramo , se cita , llama y emplaza á D. Fran­ moderno, cuarto sagundo, para junta general de acreedores al O RD EN ES Y REGLAM ENTOS D E L G O BIER N O cisco Troncoso Avalle y demas patronos del fundado por Don concurso de D. Francisco Rojo, vecino que fue de esta corte, Alonso Perez Alrnansa , para que en el término de nueve dias y anunciarlo asi en este periódico para que comparezcan por sí Y DE LAS DIRECCIONES Y AUTORIDADES SUPE…</t>
  </si>
  <si>
    <t>…u­ y 10 por un trimestre, franco de porte, ea las provincias. REALES DECRETOS, da dicho dia y hora citados por la referida escribanía á la au­ Laentregra 15.a correspondiente al domingo 14 de Juliocon- O RD EN ES Y REGLAM ENTOS D E L G O BIERNO diencia de dicho Sr. juez, que la tiene ea el piso bajo que fue tiene los artículos siguientes: repeso. Los diamantes de la Reina, conclusión. Y DE LAS DIRECCIONES Y AUTORIDADES SUPERIORES. Los Alpes. Sillería del coro de San Martin de Valdeiglesias. Entrega de MAYO de 1839. \ volu…</t>
  </si>
  <si>
    <t>ELGOBI</t>
  </si>
  <si>
    <t>…idencias interesantes de la superintendencia general de gefe de sección que fu e del ministerio de Hacienda . policía al Gobierno. En esta obra se demuestra la poca inteligencia e inexac­ O R D E N E S Y R E G L A M E N T O S D E L G O B IE R N O Proclamas de varios gefes sublevados para excitar á la re­ belión. titud con que han tratado el sistema, de partida doble los escri­ Y DE LAS DIRECCIONES Y AUTORIDADES SUPERIORES. tores extrangeros y nacionales, y la facilidad de aprenderle sin Se suscribe en esta corte á 4 rs*…</t>
  </si>
  <si>
    <t>…la facción REALES DECRETOS, presamente las corporaciones gremiales, las debilitó , disminu­ caballería á pesar dely vivo M orales, la que fue acuchillada por la fuego que aquella les hacia , el que ORDENES Y R EG LAM EN TO S D E L G O B IE R N O yendo su importancia. no pudo ser contestado por no llegar á tiempo la infantería, Se propuso igualmente el Consejo reformar en lo posible la siendo el resultado de esta acción DE LAS DIRECCIONES Y AUTORIDADES SUPERIORES* amortización civil y eclesiástica; y á pesar de que en e…</t>
  </si>
  <si>
    <t>…bolsa y Esto lo cqnside.r^ la ^qroision tan necesario, como que en la de comercio. ~ época en qué se, ^i¿ 0 ( el empréstito del año 34 , aunque no se previno terminantemente en eLproyec|.p de autorización este re­ A C T A S D E L G O B IE R N O . F R A N C IA . quisito,, el Gobiérnó^o evacuó cuando en Noviembre se halla­ ban admitidas todas las proposiciones que se hicieron; se pasó el expediente íntegro alGonsejo de Gobierno, que entonces no P a r í s 5 de E n eró . había d e ja d o e x i s t i r ; y previa qpusulta…</t>
  </si>
  <si>
    <t>…vidos,por pop sola perspqia COLECCIONDELEYES REALES DECRETOS los gobiernos políticos^ las intendencias civiles d§ Se estrenarán ocho decoraciones» ejecutadas al intento por vincias. (N iim . 1497 .)' ORDENES. Y REG LAM ENTO S D E L G O B IE R N O el profesor de^ Maquinaria y dé pintpra D. Lucint. — nombrando comandante general de la Guardia Real exté-¡ "La música ha siap expresameoté compuesta ppr el maestro D oii rior al teniente general D. Gerónimo Yaldés. ?(Nútn. 1.498.) Y DE* LAS- mKECCtOÑES y 'AdTbklÉÁDES SU^ERÍÓr Í…</t>
  </si>
  <si>
    <t>…G • Jí * admisibles por di f e r i r en cali dad y color á las muestras a p r o ­ U n a stu r ia n o a s t u t o , an écdota. v v ú badas con arreglo á las que ha hecho si empre las ent regas este O R D E N E S Y REGLAMENTOS D E L G O B IE R N O Ú n a crónica. ; empresario. Enterado este de tal n ov e d a d , y cerciorado de la v Se suscribe en M a d r i d en. la lib r e r í a dé C u e s t a , frente á las Y DE L A S DIRECCIONES Y A U TO R ID A D E S SUPERIORES. j usti ci a con que los señores gefes reconocedores y perit…</t>
  </si>
  <si>
    <t>…os cupos, cereales de buena ca- i da de fondos de las cajas de totales de tesorería en el mes lidad, que serán abonados á los precios corrientes que hubieren anterior, y otro de la entrada y distribución verificadas A C T A S D E L G O B IE R N O . tenido en el último mercado. durante el mismo en la caja de líquidos; redactando am­ Art. 75. Los administradores de rentas de los mismos parti­ bos en conformidad al resultado que arrojen las respecti­ dos recibirán á su cargo estos cereales, y los tendrán á disposi­ vas acta…</t>
  </si>
  <si>
    <t>…mbiciosos. por hallarse exánimes no podían andar ; que en el mismo Be- Tengo detallado á Y. M. repetidas veces las personas que nifasar han muerto en solo dos dias 59 soldados de miseria y O R D E N E S Y R E G L A M E N T O S D E L G O B IE R N O por sus hechos han buscado la odiosidad general , y muy cer­ frió ; y á fin de salvar las vidas de los desgraciados que hasta ca de sí tiene las que merecen opinión, no solo entre nosotros; hoy han podido resistir á semejante tratam iento, y quitar á V. Y DE LAS DIRECCIONES Y AU T…</t>
  </si>
  <si>
    <t>…17 mrs. 10 rs. 14por 100. calo D. Juan Martin Carram olino, fiscal de la audiencia de Valencia, y D iputado en las Cortes de 1857 y 1858. dias. Cuaderno 1.°, que comprende todos los procedimientos en ORDENES Y REGLAM ENTOS D E L G O B IE R N O el grado de primera instancia. Esta obrita tiene por objeto recopilar en un tratado, como 50 54 Y DE LAS DIRECCIONES Y AUTORIDADES SUPERIORES. si fuera una sola ley , todas las leyes, decretos, Reales órdenes, reglamentos y demas disposiciones que constituyen nuestro a c ­…</t>
  </si>
  <si>
    <t>…se le señala , se presente en la escribanía principal de REALES DECRETOS, toridades , de defender estas y aquellas contra los enemigos in­ Amortización 5 calle del Lobo , núm. 8 , piso segundo , con ob­ ORDENES Y REGLAM ENTOS D E L G O B IE R N O teriores y exteriores, de vivir en unión y paz formando una jeto de hacerle saber cierta providencia dictada en expediente sola voluntad y familia, y de olvidar para conseguirlo los dis­ que se sigue contra el mismo sobre pago de 11,600 rs. en pa­ Y DE LAS DIRECCIONES Y A U TO RID…</t>
  </si>
  <si>
    <t>Elgucra, Mariano Rodríguez</t>
  </si>
  <si>
    <t>Mariano Rodríguez Elgucra</t>
  </si>
  <si>
    <t>…ige en, el cur­ darías, á D. José María Trillo, que obtiene la fiscalía de V a- S. M. la R ein a ., su augusta Madre la R ein a G obern a­ so de los negocios la circunstancia de haberse subrogado lladolid: para esta resulta á D. Mariano Rodríguez Elgucra, la dirección general de Estudios al director del conserva­ que reúne los requisitos prevenidos en la circular de 29 de D i­ ciembre último: para la plaza de ministro de la audiencia de dora y la Serma. Sra. Infátita Doña María Luisa Fernan­ torio en los asuntos relativos…</t>
  </si>
  <si>
    <t>ELHOMB</t>
  </si>
  <si>
    <t>…cargados M a ta s , en Calanda , con instrucciones ambas para recorrer y con 79 quintales, tirados por cuatro caballos. Los grandes caba­ mantener limpia toda esa parte de la línea , quedando siempre DE L A F U E R Z A F ISIC A D E L H O M BR E. llos de carboneros en Londres á la subida de los muelles hacen el duque ocupando los mismos puntos avanzados. un esfuerzo tan poderoso que hace estremecer á los que m iran ; A Zurbano se le ha destioado al común de Huesa, aum en­ Esta es tan común y n a t u r a l , que todos los de…</t>
  </si>
  <si>
    <t>ELI</t>
  </si>
  <si>
    <t>…poder , de que LA M ARIPOSA, v °, de grande espectáculo, en cinco actos p titulada doy fe , y á que me remito. Y para que conste pongo el pre­ sente, que signo y firmo eu M adrid á 25 de Setiembre de 18 3 9 .= P E R IO D IC O D E L IT E R A T U R A Y M O D A S . EL D E L A T O R , Francisco Javier Reiuique. ' i Ó LA B E R L IN A D E L E M IG R A D O . ( El número del dia 30 del pasado contiene los artículos si­ guientes: Modas. Terminará la fu n c ió n c o n bailé nacional. ? i I SU BASTA. Una calumnia (novela.) __…</t>
  </si>
  <si>
    <t>…L. Su Magestad la R e i n a . , s u augusta Madre la R e i n a G obern adora y la Serenísima Señora Infanta Doña María Luisa Fernanda, continúan e n e s t a c o r t e sin n o v e d a d e n su importante salud. T E N E D U R IA D E L IB R O S Ganancias d los jugadores. d e lo t e r ía s n acionales. M es de Diciembre de 1838. Por i billete del sorteo de 8 de Enero de 1858 se han satisfe­ cho á los jugadores á cuenta de los 274,580 rs. que les cor­ Extracto general de las cuentas del tesorero y$Je los adm inistradores, por…</t>
  </si>
  <si>
    <t>…en, que espero que caso semejante con las elecciones de C iudad-R eal, por lo que el Congreso aprobará. noche d e l 6.º———El Y Médico y la H u érfa n a comedia, el mismo señor no tuvo inconveniente en aprobar la admisión El Sr. E L IPE pretendió probar con la lectura de varios en dos actos, trad u cid a del francés, Composiciones poé­ de dos D iputados; y termina pidiendo que en vista de las ob ­ párrafos del acta que las listas en cuestión se habian hallado á ticas. servaciones expuestas por los señores que han hecho us…</t>
  </si>
  <si>
    <t>…del inmenso bien que acaba de proporcionar á la patria ; h a ­ terminado. qué no se ha dado cuenta. biendo sabido con mano tan diestra como benéfica conducir uu Se dio cuenta de los siguientes dictámenes, que sin discu­ El Sr. E L IP E : Daré cuenta de los expedientes que están á drama horrible y sangriento a! tieruo y feliz desenlace que la sión fueron aprobados. la mano, esto e s , las actas de N avarra y de la Coruña. La de magnánima resolución de Y. E. ha ofrecido al mundo en ese 1.° Proponiendo la aprobación de las…</t>
  </si>
  <si>
    <t>…su importante Por 1 pagaré de la extracción de 5 de Noviembre id de 125,928 salud. id. i d . . . . ..................................... 28 Por i billete del sorteo de 15 del mismo seles han satisfecho por T E N E D U R IA D E L IB R O S id. de 6 8 7 ,8 4 0 rs. id. id .................... 80 00 : K*' DE LOTERÍAS NACIONALES. M es d e M ar P ** 1 Por £ billete del sorteo de 2 6 de id. se Ies han satisfecho por id. Extracto general de las cuentas del tesorero y de los administrado res, por las cantidades inerre- de 6…</t>
  </si>
  <si>
    <t>…en su importante 12 0 \ Por i billete del sorteo de 15 de Noviembre id. de 6 8 7 .8 4 0 rs. salud. id. id ........................ 100 Por X billete del sorteo de 15 de Diciembre id. de 4 4 7 ,1 0 0 rs. T E N E D U R IA . D E L IB R O S id. id.................... DE LOTERÍAS NACIONALES. M es de A bril de 1859. 100 Por 1 pagaré de la extracción de 2 4 *deí mismo id. de 165,556 reales id. i d . . . . 42 Extracto general de las cuentas del tesorero y de los administradores, por las cantidades ingre­ Por i billete del…</t>
  </si>
  <si>
    <t>…....... 80 salud. Por 2 pagarés de la extracción de 6 de Mayo se les han satis­ fecho por id. de 250,594 rs. id. id ......................... 78 Por i billete del sorteo de 11 del mismo se les han satisfecho T E N E D U R IA D E L IB R O S por id. de 655,640 rs. id..... id ....................................................... gO de lo t e r ía s nacionales. M es de Agosto de 1839. Por 2| billetes del sorteo de 27 de id. se les han satisfecho por id. de 709,200 rs. id. id................................................…</t>
  </si>
  <si>
    <t>Eli</t>
  </si>
  <si>
    <t>…efensa de la justa causa y trono legí­ ESTADOS MEJICANOS. ra m archaren seguida á Cataluña si fuese necesario. timo , quedando devastadas las provincias; si todas estas pena­ Oíos guarde á V. ¿2. muchos años. Cuartel general de Eli — lidades han obtenido por fin el feliz desenlace de ver unidas i M éjico 16 de M ayo. ssortdo 18 de S.tiemJbre de l859.=:Excmo. Sr.=EI duque de la vuestras armas las del foco de la insurrección, no duda la d i­ V iúona^iExciuo. Sr. Secretario de Estado y del Despacho de putación de Soria que l…</t>
  </si>
  <si>
    <t>t T E N E D U R I A . D E L IB R O S Gastos de extracciones y sorteos. r»E l o t e r ía s nacionales. M es de Julio de 1838. Por cuenta de los ocasionados en la extracción de 2 de Julio de 1838....................................... . . . ............................................. 4705..26* Extracto general de las c…</t>
  </si>
  <si>
    <t>…ones la tiene trazad a retire su d ic ta m e n para qu e lo presente reformado. cinto de la elección eu todos los dias. C onvengo en que esto no el re g la m e n to , no puede separarse de e l l a : el d ictám en está en El Sr. Eli pe deshizo a lg u n a s equivocaciones. consta del acta gen eral que obra en el e x p e d ie n te ; pero si S. S. su l u g a r , y debe aprobarse. El Sr. C O R T I N A : L a com isión se ha visto al e x a m in a r las se h u b ie ra tomado el trab ajo de e x am in ar las justificaciones que El…</t>
  </si>
  <si>
    <t>…«legoo mo­ de los Sres. Senadores , ha creído de su deber acceder á los pun­ do fas. garantías que e! art* 9 .° concede, cuales so* las de qou tos principales de oposáciau que hubo, Lauto por parle del Se- P R E S ID E N C IA D E L IS T U R IZ ni «gao español puede ser procesado « i sentenciada sino por el ñoc O 1 je to , qoi.cn dijo- que no estaban aplicadas las Rea les ó r­ juez ó tribunal com petente, y en virtu d de leyes, anteriores al denes, como respecto á lo que se habló sobre U ¡s causes .itbcoe^ Sesión, del dí…</t>
  </si>
  <si>
    <t>…or­ que le d i s t i n g u e n , d ijo que no se tom ara en c u e n t a ; pero que hechos. tes un proyecto de ley que consulte y concilie del mejor modo en los d e m a s , habiendo visto los precedentes, debian tomarse en El Sr. E L IP E manifiesta que dan d o por supuesto que las posible sus intereses, sus costumbres y sus tradiciones re sp e cti­ c u e n t a , d igo m a s : N o h a y prueba a l g u n a en el expediente p a ­ ú ltim as reclamaciones presentadas por los in d iv id u o s de S ig ú e n - v a s , el cual est…</t>
  </si>
  <si>
    <t>Elias</t>
  </si>
  <si>
    <t>…é Ripoll y G alv ez, que sirve el que comieron á mi presencia buenos y abundantes; y que el Que el camino de Bonanza , objeto también de un escru pu­ de Colmenar de igual clase en la provincia de M á l a g a ; y para ingeniero D. Elias A q u in o , el visitador de presidios D. M a ­ loso an á lisis, fue reconocido por é l ; y sin mezclarse en si aque­ este á D. José M igu e l H enares, que desempeñaba el de U jijar. nuel de Montesinos, y los alcaldes constitucionales de A lh e n - llas obras están ó no hechas con arreglo á c…</t>
  </si>
  <si>
    <t>…emanal se reduce á lo que me dice desde la venta del A ñ a d i ó M r . D u p i n que en semejante si t uación el Gabi nete Mr. D u p i n , como g u a rd a s e l l os , h a br í a refrendado los de los A l a m o el i ngeni ero D. Elias A q u i n o , con fecha 8 del c or r i en­ nunca podría a d q u i r i r la fuerza necesa ri a ; que la pri mera con­ demas. t e , con respecto al cam in o d e G ranada d M o t r i l , y e s , que di ci ón de esta fuerza estaba en su sentir en la insti tución de M M . de Ga s pa r i n , G a u…</t>
  </si>
  <si>
    <t>…sin esperar la llegada de M ontesinos la entrega de los lo puede disponerse en el dia de 6 7 8 , los cuales están o rg an i­ no de^20 dias , contados desde la publicación en: la G aceta, á penados que necesitase el ingeniero D. Elias A q u in o , me dice zados por brigadas, y dispuestos para ser entregados al in ge­ los que se crean con derecho á los bienes del Sr. D. Ramón en el 6 de este mes que en aquel mismo d ia h ab ía puesto á niero que designe la dirección general de Caminos. Jim énez H ervas, cura que fue de l…</t>
  </si>
  <si>
    <t>…S EXTRANGERAS. del mismo dia con dirección á Alcublas, y que enviadas en su D. Valentín Alaría del Rio debe habilitarse con preferencia ai persecución por el citado Quevedo las compañías de cazadores trazado por su compañero D. Elias A quino, y á nuestro juicio GRAN BRETAÑA. de Saboya y Santiago, la franca al mando de D. Vicente Sán­ se ha hecho una elección muy acertada, y en su dia debe apo­ Lóndres 4 de Junio. chez y 40 caballos del 4»° ligero, todos á las órdenes del capi­ yarla V. E. Al mismo tiempo que nosotros, em…</t>
  </si>
  <si>
    <t>…e : "E sta es de Enero próximo pasado, antes de recibir la Real orden de igual culares sobre la inteligencia y aplicación de ciertas reglas la capilla de S. J osé” , y en la parte superior de la pieza labra­ fecha, previne á D. Elias A gu in o, director del puerto de Va­ y disposiciones de la ley de reemplazos de 2 de N oviem ­ da , hay abierto en igual forma otro leticro que dice : " E s de lencia , pasase sin demora alguna, como ya manifesté á V . E. bre de 1837; y S. M., enterada de dichos expedientes, y la capilla m…</t>
  </si>
  <si>
    <t>…ficios contribui­ Holandeses 102f. D e Granada á M otril . rán tal vez á allanar algunas de las dificultades que pudieran Id. 2 í por 100 5 6 f suscitarse en la discusión. Las conferencias se tendrán i g u a l­ El ingeniero D. Elias A quino en 18 del corriente me dice mente en el buque almirante de la escuadra británica en aque­ desde Alhendin , que á pesar de lo poco que habia favorecido llas a g u a s , que el Sr. comodoro Douglas ha puesto á disposi­ el tiempo y la falta de cinco brigadas que se habían destacado ción d…</t>
  </si>
  <si>
    <t>…un trono tril desde que principiaron en A b r i l del presente a ñ o , que bella jo y a de su esplendente diadema. circuido de prosperidades y afianzado en la unión de todos los me ha remitido el ingeniero encargado de ellas D. Elias A q u i- T a l e s son, S e ñ o r a , los sinceros votos que al T o d o p o d e ro ­ españoles. no, á fin de que V . E . se sirva mandar se inserte en la G a c e ­ so ele van el intendente y demas gefes ríe rentas de la p ro vin ­ Palma de Mallorca 18 de Octubre de 1859 —S e ñ o r a . A ta p…</t>
  </si>
  <si>
    <t>Elipe</t>
  </si>
  <si>
    <t>…es. Iñigo y conde de las Navas; pero que no creia eran los verdaderos electores. No ha consistido , como ha dicho tico, y de consiguiente será rueños numerosa. por eso que debia separarse el Congreso de lo que co n . suma el Sr. Elipe, en que no se hubiesen presentado las listas impre­ ¡Ojalá sea eterna la cordialidad que parece reinar en todos cordura y prudencia habia propuesto la comisión, mientras que sas , porque la ley no exige esto , sino que la dificultad estriba los ánimos! (M ensasero.) los hechos citados no apa…</t>
  </si>
  <si>
    <t>…rtimos diariamente los tra ­ Y. M ., cuya importante vida y la de vuestra excelsa Hija la zarse. bajos ; yo esta mañana he ordenado todos los que me han to­ Reina nuestra Señora conserve Dios dilatados años para el bien Si el Sr. Elipe al decir esto se dirigió á m í, ha incurrido cado con arreglo al orden con que se dio cuenta en la sesión de la nación. Logroño 5 de Setiembre de 1859.—Señora.— en u n a notable e q u i v o c a c i ó n ....... de ayer, y he formado esta carpeta. Debajo de ella tenia todos A L. R. P. de V. M.rz…</t>
  </si>
  <si>
    <t>Elipe, Ramón González</t>
  </si>
  <si>
    <t>Ramón González Elipe</t>
  </si>
  <si>
    <t>…ir su solución; este porvenir Bélgica hasta este punto en su resistencia? Esto es lo que vamos está todavía muy distante de npsqjjros. á ver.Jibara. La resistencia de la Bélgica ha sido, no absoluta, / -#* / y \ piO C TO Pi D. Ramón González Elipe, ministro honorario de Es por cierto bien singular que en esta cuestión no poda­ sino condicional: tal e* ti verdadero .sentido del mensaje del la audiencia de Valladblid, y juez de primera instancia mos contar con el favor de la Alemania como no sea contra­ mes Lo de Noviembre…</t>
  </si>
  <si>
    <t>Elisa</t>
  </si>
  <si>
    <t>…del barón de los Valles, agente del In ­ D oña María Purificación Ariñó. ....................... 4 diligencia para que surtan el mejor resultado posible. El p u ­ fante D. Carlos, venido de Portugal con el objeto de sublevar Doña Elisa A riñó....................................................................... A blico ha juzgado ya el éxito de sus esfuerzos, habiendo concur­ los cuerpos de voluntarios realistas. N . J. . ................................... 10 rido en los años anteriores a las lecciones de varios socios. La…</t>
  </si>
  <si>
    <t>…los mismos que le adularon? Este tínez. Muestras de admiración le arrancó á su vez la Sra. M an - Provincial de Búrgos.=:Tenieate D. Miguel Antón , grado acontecimiento feliz para C ataluña, unido con el famoso con­ zocchi (Doña Elisa) por el buen método con que ejecutó la ca­ de capitán de milicias. venio de Y ergara, debe afirmar la paz de la Península; y los vatina del maestro Donizzeti , y sobre todo con los extraordi­ Sargento segundo Pedro Lobato, cabo primero Eusebio Re­ hombres honrados, los liberales de buena fe, l…</t>
  </si>
  <si>
    <t>ELLENGUAGEP</t>
  </si>
  <si>
    <t>…s­ acerca del bloqueo de Buenos-Aires. tos establecimientos. El N e w -lo rk -lie ra íd cree que dichos bancos se verán precisados á suspender el pago de los intereses. Lord Clarendon ha accedido por fin á formar parte del mi­ D E L L E N G U A G E PO ETICO . nisterio ingles: ha debido escribir de Florencia aceptando las ofertas de lord Melbourne, de quien va á ser colega en calidad ARTICULO I. La llegada del vapor el Liverpool, que salió deN ew -Y ork el 19 de Octubre , ha traído cartas de dicha ciudad hasta la de lord…</t>
  </si>
  <si>
    <t>…firman asi, ni han firmado janias. haciendo en Rusia armamentos extraordinarios. (Debats.) Los Ministros de Francia sí. En Francia se dice P r e s i d e n - te del Consejo y M ini str o de N e g o c i o s ex tr an ger os. En D E L L E N G U A G E POETICO. España Minis tro de Estado y P r es i d e n te de l Consejo ele ARTICULO II. Leemos en el Eclaireur d e la M ed it er ra n ée de 8 de No­ M in ist ros . En Francia Ministro de la J u s t i c i a *, o,n Espa­ viembre : ña Mini str o de G ra ci a y Ju sticia. Las fórmu…</t>
  </si>
  <si>
    <t>Elliot</t>
  </si>
  <si>
    <t>…clairaodó qué no lqs restituiría la libertad ha&gt;ta que se le en­ tregase, todo el ó p io , y que entre tanto no recibirían otro a li­ A yer tarde sé concluyó en la aduana la entrégá á los fran­ mento qúe pan y agua. El capitán Elliot ha sufrido la misma PARTE NO OFICIAL. ceses de los 2000 ps. Esta operación se ha hecho con la mayor suerte que sus cotúpatriotas. Así han estado las cosas durante prolijidad y exactitud. ‘ algunos dias ; pero en fin el capitán Elliot ha mandado á to­ dos los comerciantes que éntréguén todo…</t>
  </si>
  <si>
    <t>…ha sido que, no teniendo* instrucciones de los lores de la mos dominios situados en las provincias de Garbieh y de M e- ne medios de obrar contra él. Asi es que procura pasar por uco tesorería, no podían ser aceptadas. El capitán Elliot habia g ir a ­ uoufieb , y que Mr. B onfort, intendente de la lista c iv il de</t>
  </si>
  <si>
    <t>…el D iario no ha anuociado su llegada. bre la playa en frente del buque á que pertenecían los marine­ (.Feuilles de Leipsick.) Estas son las noticias que publica el ministerio. H ay mucha ros, hasta qne llego de Macao el capitán Elliot, y pago 20 duros distancia de la escapatoria de un joven que quiere ver mundo, para sofocar el asunto ; pero este habia llegado á oidos del co­ á un recibimiento solemne del Santo Padre, que hubiese dado misionado im p erial, y según las últimas noticias se temía m u­ su bendición á un vástag…</t>
  </si>
  <si>
    <t>ELLUNES</t>
  </si>
  <si>
    <t>…s propone. La comisión ha em­ O R D E N D E L D ÍA pleado los términos mas enérgicos que ha encontrado para ex­ D. P ió P ita P izárro. presar el interés que le inspira la triste situación de la España. P A R A L A S E S IO N D E L L U N E S 7 D E E N E R O D E 18 39 . Pero este tributo anual de dolores, de gemidos, ¿es la única co­ sa que puede hacer la Francia ?..... Discusión del dictámen dé la com isión, leído en la de 5 del MINISTERIO DE LA GUERRA. No temáis que yo invoque el tratado de la cuádruple alian^ co rrien…</t>
  </si>
  <si>
    <t>…e ejecutoria ; salvo el dleredio de h s partes paira someterse vo­ luntariam ente el fallo de lias caíais! ornes que se crean por el ár­ por m uy remoto que estuviese, basto bu que existiera en la I mu­ P A R A L A S E S IO N D E L L U N E S « i D E E N E R O 'DE 1939, gí nació a , se ca mbió , e n co, óf or ot id a-d áe toó «as los -i * d i v Id o os tico ¡Ib 2 .° dle la presente ley. díe b -comisian y del Congreso* el orden de los articiilo s, y El Sr* O I E R G d ice que se pone ea no compromiso al Se- nado con la di…</t>
  </si>
  <si>
    <t>ELMEDIOE</t>
  </si>
  <si>
    <t>…ón , mas ó menos c e rra d a , de las autorida­ d rid , y el que logró echar por tierra el esfuerzo y cons­ NUEVO FANAL des públicas. tancia del síndico persenero de 1805; ese ha sido el fan­ A L A E N T R A D A D E L a LOCA D E L M E D I O EN EL GOLFETE DE Las peticiones del síndico abrazaron la libertad de los tasma que resucitadoj aunque en pequeño, en 1825 ha tres grandes abastos, pan, carne y c a r b ó n , que habían penitenciado al vecindario de Madrid con la carga arriba SA N J O R G E Ó ÁP AL a CIIICOLA , SE NO…</t>
  </si>
  <si>
    <t>ELMET</t>
  </si>
  <si>
    <t>…ERCERO 1 ,5 2 4 .... 400............. Zaragoza. Y ULTIMO TEATROS. La dirección general ha dispuesto que el sorteo que ha de PRINCIPE. Hoy martes no hay función. verificarse el dia 10 de Junio próximo, sea bajo el fondo de D E L M E TO D O A C T U A L D E L A SUSTANCIACION Mañana miércoles se ejecutará la comedia en tres actos, no 44^ pesos fuertes, valor de 223 billetes á dos duros cada uno, de cuyo capital se distribuirán en 600 premios 35000 pesos representada hace síeis años, arreglada á nuestro teatro por fuertes,…</t>
  </si>
  <si>
    <t>ELNORTE</t>
  </si>
  <si>
    <t>…ientos á los poetas; pues vemos en El archiduque Maximiliano , que viaja con el nombre de todos los idiomas una diferencia tan notable en el dialecto de conde de Puchhaeen,y el Pcíocipe de Módena bajo el de con­ D E LAS COSTAS D E L N O R T E . la poesía con respecto al de la prosa. Veamos pues si podemos de de Villafranca, han llegado á Francfort el 29 de vuel- hallar algún principio filosófico que explique este fenómeno ge­ de su viaje á Holanda. (Temps.) «Se advierte á los navegantes q ue desde 1.° de F e b re ro neral.…</t>
  </si>
  <si>
    <t>ELNUEVO</t>
  </si>
  <si>
    <t>…i ent o de D . V ic en te h a lla r á eñ la lib re ría de la v i u d a de R azó la, á 4 0 rs. en rú s t ic a .' J u a n Perez para su satisfacción. HISTORIA Ayuntam iento constitucional de M a d rid . D E L A C O N Q U IST A D E L N U E V O -M U N D O T E A T R O S PR IN C IPE ; H o y lunes no h a y f unció n . 7 ^ Habi éndose denunci ado ante el Sr. al cal de pri mero consti ­ Corno en él descub rim ien to de las A m éric a s las ú n ic a s qu e tucional D. Tornas Fernandez de Vallejo por el promotor fiscal merecen el…</t>
  </si>
  <si>
    <t>ELOE</t>
  </si>
  <si>
    <t>…orras, A n - desde Galdácano en refuerzo de Castor cuatro compañías enemi­ ban de enagenar. guera, R e y , Rivaherrera , duque de Veraguas, G a li, M oret, gas al mando del rebelde cura Ibarzabal, con m otivo de haber­ El Sr. E L O ED I manifestó que adhiriéndose en un todo á H id a lg o, Córdoba, Martínez Ayaía , Saraaniego, J a é n , Q uin­ se aproxim ado , se gú n p a r e ce , algunas fuerzas de nuestro ejér­ lo propuesto por el Sr, A rteta, desearía que el Gobierno le d i­ to , Huelves, conde de la Rosa , Quijana ,…</t>
  </si>
  <si>
    <t>ELONÚM</t>
  </si>
  <si>
    <t>…ra , se procu­ Art. 42. Tendrá cuarto en el colegio, ración como una co­ rará que no entren en el colegio sin grave necesidad , y que legiala, y 53 rs. anuales. tengan con las colegialas y criadas la menor comunicación que M O D E L O N Ú M . 1 .° sea posible, T I T U L O IX . T IT U L O X II. Aviso para insertar en la parte oficial de la Gaceta . Del provisor. De la enfermería del colegio. Art. 43. El provisor es á la vez capellán, recaudador y Se halla vacante una (ó las que sean) de las plazas costea­ administrador…</t>
  </si>
  <si>
    <t>Elordi</t>
  </si>
  <si>
    <t>…l número, de necer toda sospecha. Hay mas: suponiendo que se hubiera que­ se abriese el paqueteó paquetes que designasen, á fin de com­ manera que hay un exceso de imparcialidad. El mismo dis­ rido tener ínteres en favor del Sr. Elordi, no habia necesidad plemento, probar la exactitud de su contenido con la indicación del su­ trito de Valcarlos lo prueba. Yo dejo á la decisión del Congreso si un pueblo que cuen­ de aplicarle los votos de V iana, pues sin esos hubiera sin duda salido Diputado del mismo modo que yo. Queda…</t>
  </si>
  <si>
    <t>Elordi, Gaspar</t>
  </si>
  <si>
    <t>Gaspar Elordi</t>
  </si>
  <si>
    <t>…Diego Alvear. Sr. D. Fermin Arteta. »D . Miguel Laburda y G alindo, obispo electo Sr. D. José Soldevilla , electo. Sr. D. Agustín Arrnendariz, Vicepresidente 4»° de Puerto-Rico. Sr. D. Francisco Gamero Cívico y Benjumea. Sr. D. Gaspar Elordi. »D . Juan Romeo y Tello. Sr. D. Antonio Valera. Sr. I). Luis Fernandez de Córdoba. Sr. D. Antonio Ramírez y Arellauo, electo. Sr. D. Miguel de Fuentes. Orense. CONGRESO DE DIPUTADOS. Coruña. Sr. D. Saturnino Calderón Collantes. Sr. D. Luis Pose. Sr. D. Josc Moure. Presidente. Sr.…</t>
  </si>
  <si>
    <t>ELOSLORES</t>
  </si>
  <si>
    <t>…e unos 6 0 caballos pasó de la mutua confianza, seguridad y respetos que debe existir el 2 5 por la casa grande de Merino en dirección á cruzar el entre las autoridades y los ciudadanos, ni las leyes y la ju s t i ­ C A M A R A D E L O S L O R E S . - S e s ió n d e l d ía d e J u n io . Camino de Valencia eutre M iaaya y Ptoda. cia podrán recobrar y ejercer libremente su imperio. E l conde de W inchelsea presenta una peticiiwa dír igádas « E n tal concepto, y siendo preciso reconocer que la im ­ por tes protestantes pidien…</t>
  </si>
  <si>
    <t>ELOSP</t>
  </si>
  <si>
    <t>…s ó para inculcar máximas inmorales y do cuanto en este punto ofrezca la capital. perniciosas. Mas diremos: no puede haber belleza en una com­ Siempre que la importancia de una obra dramática que se D E L A SU PUESTA M ISIO N D E L O S POETAS. posición contraria á las buenas costumbres, porque la defor­ ejecute en los teatros lo exija , se hablará de ella en un suple­ " Animis natum inventumqiie poema juvandis .” rasgos midad moral es la mayor de todas, y basta á destruir todos los mento si la publicación del número no d…</t>
  </si>
  <si>
    <t>ELOST</t>
  </si>
  <si>
    <t>…l Excmo. Sr. segundo cabo, ción mas ventajosa. Dignos de esta cousideracion les juzgamos, el Sr. obbpo y los generales Pastors, barón de la Barre, Tello, y por lo mismo indicaremos francamente algunos de los medios R E V IS T A D E L O S TEA T RO S. y demas distinguidas personas que han asistido á tan patrióti­ que podrían adaptarse para conseguirlo. ca é interesante ceremonia. Podria abrirse una rifa semanal, establecerse algunos bai­ P . E l R am illete y la C arta , coinedia en dos r in c ipe En seguida el Sr. gobernado…</t>
  </si>
  <si>
    <t>ELP</t>
  </si>
  <si>
    <t>…la escasa mayoría de cinco votos en la ellos ; por lo tanto se debe, en concepto de S. S ., procurar por sesión del 19 del pasado Diciembre. E n la sesión del siguiente ]a independencia de todos los Sres. Diputados. T E A T R O D E L PR IN C IPE . dia 20 se continuaron los nombramientos de los cuatro vice­ En seguida pasa á ocuparse de los fundamentos que han te­ presidentes que marca el reglamento, y recayendo los tres pri­ nido los firmantes del voto particular para separarse de la opi­ La segunda dama duende , comedia en…</t>
  </si>
  <si>
    <t>…astre, precedidos de u n a b a n d e ra , desfilaron C u a n d o el fun d ad o r de la independencia la proclamó en delante de la tu m b a del mercado de los Inocentes. Después se PARA PROPAGAR Y M EJ ORA R LA E D U C A C IO N D E L PU EB LO . I g u a l a , se vió obligado á dar nueva f o r m a , según las circuns­ dirigieron hacia las tu m b as del L o u v re , ante las cuales desfila­ t a n c i a s , a los cuerpos que abandonaban la bandera española ron ig u a lm e n te , quitánd o se sus sombreros sin detenerse. D e allí…</t>
  </si>
  <si>
    <t>…s, ocultos é invisibles los otros, habla M r. G u i ­ zot de la civilización , y diciendo pertenecer á ella los últimos, su traducción del Macbeth , éxito cu y a mayor parte se debió se explica en estos términos: T E A T R O D E L PR IN C IPE. también á la incuria de la em presa, y á la mala disposición » L a civilización es uno de estos tantos hechos, hecho g e - E l Astrólogo de V a lla d o lid , drama en cinco act 0 s , en con que lo exornó y decoró. D am os pues nuestro sincero p ara­ neral, oculto, co mplicado, muy…</t>
  </si>
  <si>
    <t>…able gracia que én lós demás* del mas los ambiciosos de que habla Maroto ú D. Cárlos que qu ie­ autor.:, p a r a dar. á conocer todos sus pormenores seria preciso ren m edrar á costa de vuestra ruin a y la de la patria que les D E L PR IN C IPIO D E L A I M I T A C I O N . . escribir u n artículo. D ig n o discípulo s u y o , y brillante espe­ dióiebsétv C uartel generalI de M urvied ro 6 de Marzo de l 8 5 9 . n ranza para las artes, es el Sr/ Rodríguez (D. M a n u e l ) , que lie- A^aatonió V a a - H a l e n . ( Diario…</t>
  </si>
  <si>
    <t>…u o y moderno español. convoy al mismo tiempo que sus compañeros por estar enfer­ 8 rs. 42 rs. 58 rs. 50 54 por 10 0 . mos y necesitar bagajes, tuvieron el in fortun io de caer en po­ der de aquellos asesinos. T E A T R O D E L PRIN CIPE. rs. 17 mrs. 28 di as. De acuerdo con el comandante general de esta provincia se han adoptado las medidas mas enérgicas para la persecución de Los actores dramáticos que se h an encargado de la a d m i­ los malvados, y que no queden impunes los crim inales atenta­ nistración de es…</t>
  </si>
  <si>
    <t>ELPRINE</t>
  </si>
  <si>
    <t>…os que en la sesión última tenían pedida la palabra. Se dió cuenta , y el Congreso quedó enterado, de una co­ Salvador Ramos, Mateo de Mesa y Pedro A lm agro, ná­ frales y vecinos de esta ciudad , en 29 de Agosto último han D E L P R I N ERTAOC I P E . municación del Sr. Ministro de la Gobernación, participando •egistrado un criadero de plomo, que han descubierto en Sierra .La Berlina del Emigrado, m e l o d r a m a en que S. M. se habia servido señalar la hora de la una de la tar­ úanca, de este térm ino, pecho del R om…</t>
  </si>
  <si>
    <t>ELR</t>
  </si>
  <si>
    <t>…............................................ 500 jon.zrSxcmo. Sr. comandante general de Puebla.—Son copias .=3 La Siempre viva.................................... 600 Méjico Mayo 18 de 1859.= J . Velazquez de León. A PRESEIYCrA D E L REY La Cartera Cubana............................... 600 LU IS F E L I P E T, ES T E OBELISCO, El Plantel............................................... 1,000 T R A S LA DA D O DE LUXOR Á F R A N C I A , A n u a l, el Almanaque para la isla.. 20,000 G uia de Forasteros....................…</t>
  </si>
  <si>
    <t>…ARES El 15 l legaron a' esta plaza tres oficiales facciosos de ios f u ­ R.obleda.—José V i l e l l a , secretario. gados del depósito. En el mi smo d i a llegó un con vo y de m u ­ ni ci ones procedente de S a nt a ud e r . D E L RAM O DE POSITOS, KYl’F.Dl DOS I n ten d en cia m ilitar d e l distrito d e Castilla la Nueva. ERRATA . desde Ló de Enero de 18 2 7 hasta 31 de Diciembre de 1 8 3 8 ; De bi ando subastarse por el t iempo de dos años los efectos ^ E n la Gac e t a de a y e r 15 dejó de pon e r s e , por un…</t>
  </si>
  <si>
    <t>…P A R A L A OR GAN IZ ACI ON, SE R V I C I O Y D IS CI ­ 10. Los criados de labranza y ganadería , los sirvientes do­ m iento, y comunicar á las autoridades civiles superiores de las P L I N A DE L A M I L I C I A NA CIO NA L D E L REINO. mésticos ó de la persona, y los jornaleros que no paguen al me­ provincias y subinspectores respectivos los que merecieren la nos 24 rs. de contribución directa. aprobación de S. M. TITULO I. 4*a Reunir todas las noticias acerca de los cuerpos de la 11. Los que no tuvieren un modo de…</t>
  </si>
  <si>
    <t>…INUA EL PROYECTO DE LEY P A R A LA ORG ANIZ ACION, SE R ­ cito del N orte, y mas grande todavía la esperanza de que ellos de toda su extensión, y que conviene fijar de un modo legal, VICIO Y D ISCIPL INA DE LA MILICIA NACIONAL D E L REINO. pongan fio brevemente á la guerra civil que ha devastado los con el que se pondrá término á la reclamación de este interesa­ pueblos, y que hasido el oprobio dH siglo en que vivimos. do , como á las de otros muchos que por diferentes motivos, CAPITULO VI. Un general, ilustre ya por sus…</t>
  </si>
  <si>
    <t>ELS</t>
  </si>
  <si>
    <t>…gen eral de R en tas p ro v in c ia le s. C O N G R E S O D E D IP U T A D O S . común. ‘ 5 ° Celar el buen desempeño de los adm inistradores y em­ En Real orden de 28 de Enero últim o se ha servido S. M . P R E S ID E N C IA D E L SEÑOR IST U 1U Z . pleados en la recaudación é intervención de los fondos co­ declarar sin efecto el remate celebrado en Barcelona el 50 de munes. Noviem bre próximo pasado para el arriendo en participación Sesión del dia 1.° de F ebrero . 6 0 Inspeccionar los establecimientos sostenidos en tod…</t>
  </si>
  <si>
    <t>…9 .—Sanz.—Y yo lo hago en esta cap i­ terse á ciertos preceptos morales, y por último entregar tal con el mismo objeto. Coruña 17 de Noviembre de 1 8 5 9 .= todos los años la mayor parte de los productos de su cose­ M E JO R A D E L SIST E M A C A R C E L A R IO , A las cinco de la tarde.=E1 general segundo ca b o , Pedro A g­ cha para ir pagando á la sociedad. Cubiertas las anticipa­ uar. (/&gt;. O.) ciones que esta hizo (lo cual hemos dicho se verifica lo CORRECCIONAL Y P E N A L D E E SP A Ñ A . mas tarde á los 16 años), e…</t>
  </si>
  <si>
    <t>…s motivos en que se acierto y tino con que dirige los destinos de esta nación, digna por todos títulos de mejor suerte, en medio de las cooiplicacio- fundó la precitada Real o rden, por la cual se mandaron ciones A M E R IC A D E L SUR. suspender las relaciones comerciales entre la España y los y peligros que ofrece la época. Estados del Rey de Cerdeña, en justa reciprocidad de 1g es elLagrande salud de la patria, la felicidad y gloria de los españoles, C H IL E . acordado por el Gabinete de T u rin , é ínterin ha lugar…</t>
  </si>
  <si>
    <t>…ejército disciplinado y sumiso se ha 1 tablado con sus banquillos. presentado al Frente de los enemigos y los ha abrazado como á 4 barricas grandes, hermanos, y como tales nos reconciliaremos todos con ellos por­ PRESIDENCIA D E L SEÑOR MOSCOSO DÉ Á L T A M lR A i baúl vacío. Sesión del dia 4 de Setiembre. que todos somos españoles. 4 linajes que se inutilizaron para atraques de las voladu­ Estas son las razones que he tenido para presentar esta pro­ ras j bástante leña y maderas empleadas en blindajes Abierta á las do…</t>
  </si>
  <si>
    <t>…n Francia. Este dispuse que á las tres de la mañana del 2 t saliese la compa­ estado de cosas sobre el cual los periódicos han estado llamando ñía volante de la línea del T u r i a , el tercer batallón de Saboya A M E R I C A D E L SU R . la atención pública de algún tiempo á esta parte, ha iuspirado y cuatro compañías de cazadores de la Reina Gobernadora con Á la oacion el deseo de hacer una reforma en la representacion una sección de artillería y otra de zapadores, cuyas fuerzas BU EN O S-AIRES Y MONTEVIDEO. nacional,…</t>
  </si>
  <si>
    <t>…no volvamps la vista á lo go ciación, en que yo mismo tenia el empeño de quien conocía pasado, y conozcamos que la España de hoy no es la de hace la importancia suma de la navegación del Duero para las pro­ P R E SID E N C IA D E L SEÑOR MOSCOSO DE A L T A M T R A . dos tueses, pues lo que entonces era conveniente ahora seria vincias de C a s t illa , de quien ambicionaba la glo ria de haber p e rju d ic ial; que todos nos abracemos en u n ió n , no con pala­ contribuido á hacer á su pais un bien tan señalado, un bien Se…</t>
  </si>
  <si>
    <t>…an se apre­ (Diario de Méjico.) sura á elevar al trono del modelo de las Reinas estos mismos sentimientos, que son los que animan al vecindario, de que la corporación municipal es fiel intérprete. Intimamente conven­ AM ERICA D E L SUR. Paris 5 de Diciembre. cida la villa de Logrosan de que el Gobierno de Y. M. aspira á la consecución de aquellos objetos, ofrece gustosa la coopera­ Los periódicos, de Bogotá del 50 de Setiembre dan alguna El mariscal gobernador de Argel ha pedido principalmente ción que de ella dependa para…</t>
  </si>
  <si>
    <t>…la junta gubernativa que personas extrañasen perjuicio de nuestros i o tereses. N o habiendo quien tuviese pedida L palabra se hizo la pre­ aquella estará empleada en funciones del servicio en la mañana P K E S í D Ej VCí A D E L SEÑOR C A L A T R A V JU gunta de si se accedería á los deseos del Gobierno , y asi se del mismo dia 2 0 , se traslada al dom ingo 27 la sesión artística Sesión del día i 8 de Octubre. acordó. para que se citaron fecha 16 del corriente. Quedaron sobre la mesa varios dictámenes de la comisión…</t>
  </si>
  <si>
    <t>…SO DE D IPUTADO S. ¿ L a s han respetado, por ejemplo, después del convenio? Las h ijo , esposo ó padre? Esto no puede tolerarse por un Gobier­ han respetado por de pronto, pero matándolos después d unos de P R E SID E N C IA D E L SEÑOR IS T U R IZ . no que sea reconocido por sabio y por justo; por un Gobierno hambre , á otros de miseria. ¿ Mas las ha respetado, señores, en que no quiera rebajar al nivel de las hordas salvajes la nación Aragón y en Valencia , en Cataluña y Galicia, y en las dos que representa. Sesión d…</t>
  </si>
  <si>
    <t>…ol­ citada exposición.” viendo á la com isión, lo presente de nuevo arreglado según las Lo traslado á Y. S. para su inteligencia y á fin de que luces que la discusión presente, modificando algu nas de las P R E SID E N C IA D E L SEÑOR MOSCOSO DE A L T A M I R A . me dé conocimiento cuando por parte de las escoltas se bases que tiene el proyecto y su stituyendo otras , mucho rnas faite al puntual cumplimiento de lo que S. M. se ha dig­ Sesión del dia 24 de Enero . cuando esta no es una ley que se presenta con la urgenc…</t>
  </si>
  <si>
    <t>…bril del año pasa­ lles en las deportaciones arbitrarias que se habían hecho á Amé* do todos los Sres. Diputados creían que era muy de necesidad rica , y que por lo mismo la comisión consignaba en su dictá­ P R E SID E N C IA D E L SEÑOR IS T U R IZ . una ley de esta naturaleza: hoy parece que ya no se juzga ne­ men que solo en una ocasión en los estados de sitio era c u a n - ’ S esión d e l dia 25 d e E n ero. cesario por haber variado las circunstancias. ¿ Y quién nos dice, do podía un ciudadado ser echado de la Penín…</t>
  </si>
  <si>
    <t>…ntra: mes después de publicada la presente le y , ó de estar abierta su e s , por el co n trario, el resultado de un ju icio , de una opera­ oficin a, no cum pla con esta disposición, p agará una m ulta DIARIO DE LA S SESIONES D E L SENADO. ción del entendimiento , operación tanto mas complicada , cuan­ de 500 á 10 rs. to que suelen influir en ellas las pasiones. L o s cálculos de pro­ A rt. 3.° Los impresores tendrán asim ism o obligación de po­ Se admiten suscripciones en el despacho de dicho es­ babilidades no pueden p…</t>
  </si>
  <si>
    <t>…ropuso 11 de Noviembre de 1858.—Fructuosola Rivera* , en por eso aniquilar en mi persona el poder que contendría su des­ NOTICIAS EXTRANGERAS. bocamiento. Sin embargo, mientras yo solo estaba amenazado, me ceñí A M E R IC A D E L SUR. á preservarme de sus asechanzas; pero muy luego dió suelta á GRAN BRETAÑA. sus pasiones, y mostró á la República asombrada que en sus Londres 18 de M arzo . República oriental del Uruguay.=Documento publicado por principios las leyes son una traba innecesaria ; las garantías el presidente…</t>
  </si>
  <si>
    <t>…del Sr. M in is­ cir al Congreso entre otros de uno que acaba de concedérsele el tro de Gracia y Justicia nos dijo que no habia sido por estar sueldo de 500 r s ., sin mas que haberle agregado á una ju n ta V ICE-PRESIDENCIA D E L SEÑOR Z U M A L A C A R R E G U I . discorde en principios con la anterior m a y o r ía , sino por otras consultiva del m in isterio; y no solo se le ha mandado pagar razones que S. S. se sirvió reservar; pero, señores, en esta res­ con puntualid ad , porque pertenece al ministerio de la Gober­…</t>
  </si>
  <si>
    <t>…s que se lla m an facciosos, vemos' d ia 18 de J u n i o , an iversario de la ju r a d é l a Constitución. que y a h an desaparecido en lo p r i n c i p a l , y hasta el mismo P a ­ Se le)’ó el dirfnm en. ! P R E SID E N C IA D E L SEÑOR V IC E P R E SID E N T E Z U M A L A C A R R E G U I . lillos se ve casi ab andonado de los suyos. E! Sr. H E R O S manifiesta que en política es uno de los me­ En el extrangero , nos h a n dicho los periódicos del mismo nos poéticos, y que el Senado h a oido declam ar contra la m u l ­…</t>
  </si>
  <si>
    <t>ELSENTI</t>
  </si>
  <si>
    <t>…de color, m uch as voces ó instrumentos suenan á la p a r , ¿ q u i é n se a t r e ­ situación , m a y o r ó menor claridad y oscurid ad en los árboles, verá á d e c i r , sin el riesgo de ser tenido por lo c o , que cada una D E L S E N T IM IE N T O DE ELLA . flores y p l a n t a s , fuen tes y cenadores. de ellas y de ellos pueden sonar a rb it r a r i a m e n te y como se V e n g a m o s y a á ía belleza moral : á esta im p resión inefable q u i e r a ? N i baste decir que las disonancias ag ra d an tal vez; G ran de…</t>
  </si>
  <si>
    <t>ELSEÑORCALATR</t>
  </si>
  <si>
    <t>…ndo que el Congreso nacional apoyará las miras C O N G R E S O D E D IP U T A D O S vados estaban, Señora, por el Altísimo los faustos sucesos de vuestro Gobierno para la entera pacificación del suelo es­ P R E S ID E N C I A D E L S E Ñ O R C A L A T R A V A que se celebran para decorar con ellos las doradas páginas pañol. de la historia de vuestra protectora dirección; feliz el mo­ Quedamos rogando al Altísimo por la prosperidad de Sesión del dia 25 de Octubre mento en que la España recibió á Y . M. en su recinto para…</t>
  </si>
  <si>
    <t>ELSEÑORISTURI</t>
  </si>
  <si>
    <t>…C u a n d o se estaba form alizando esa proposición que da l u ­ C O N G RESO D E D IP U T A D O S. S e a b r ió á la una y cuarto . g a r á esta d i s c u s ió n , entonces mismo los Palillos acometían á P R E S ID E N C IA D E L S E Ñ O R I S T U R I Z . L e í d a el acta de la a n t e r i o r , quedó aprobada. dos pueblos de E x tr e m a d u r a : ¿ y cómo hacía n la g u e r r a ? C o ­ Se dió cuenta de una com unicación del Sr. M in is tr o de E s ­ giendo á las mugeres y poniéndolas de parapetos delante de los pec…</t>
  </si>
  <si>
    <t>ELSEÑORMOSCOS</t>
  </si>
  <si>
    <t>…este cas© eí indivi­ Art. 69. Esta diputación se compondrá del presidente y do» duo de quien se trata , porque sí 'bien ha sido ngracándo , no secretarios, los cuales pasarán á poner el proyecto eu mmm efe P R E S ID E N C IA D E L S E Ñ O R M O S C O S O D E A L T A M IR A . conste q «chaya admitida, .se está «n el cas© de a pro,bar el dic- S. M. , el día y hará «que desaguare. Art. 70* Guando 8 . M, ¡ » pudiere recibir estas di patacto* Sesion del día 5 de Febrero. timen «de lia comisión, porque de lo contrario, como,…</t>
  </si>
  <si>
    <t>ELT</t>
  </si>
  <si>
    <t>…cios que para sus atenciones ha­ montes de Toledo, donde tiene sus guaridas. tan en el asilo. / Huérfanas de J y menores de 8 . / . 3 .a f padre y m adre/ \ Mayores de 8 \ Ly menores de 1 2 . / D IR E C C IO N G E N E R A L D E L TESO R O PUBLICO Y CONTADURIA GENERAL DE DISTRIBUCION. , Mayores de 4 \ * 1 Huérfanas de I y menores de 8 . / .,5 .a Nota de las cantidades que la dirección general d el Tesoro público ha entregado y puesto á disposición del M inis­ Que disfrutan ó \ P adre 7 madre- | Mayores de 81 terio de…</t>
  </si>
  <si>
    <t>…se ha valido de todos los medios de persuasión para con­ seguir el resultado apetecido. Una carta de Bruselas da algunas luces sobre el retardo que Se lee en carta de M u n ich : R E SP U E ST A A UN AR TICU LO DE UN SUSCRITOR D E L TIEM PO . se advierte en la promulgación de la ley. Dice que en la mis­ Dos de nuestros mas distinguidos físicos y químicos , los ma noche en que el Senado aceptó la ley , el Rey Leopardo profesores Steinheil é Ikobel han conseguido hacer suyos , á Artículo 3 .° despachó un correo extraordinario…</t>
  </si>
  <si>
    <t>…38000 6000 roicas, si estos caractéres no perteneciesen á la sociedad? Huesos................. 18000 Porque lo repetiremos mil veces: a nadie le gusta el hom­ Instrumentos de música. .................................. 4880 D E L TEATRO ESPAÑOL. Kermes.. • ............... •................. 2 10 0 bre que se representa en el teatro, si sus ideas y senti­ Lanas.......................................................................... 7129000 mientos no son conformes á los que estamos acostumbra­ Se ha dicho que el tea…</t>
  </si>
  <si>
    <t>ELTES</t>
  </si>
  <si>
    <t>…uciones, y consideradas en las cajas de líquidos, como tampoco de las suministradas por asentistas hasta pasado mucho tiempo. M ad rid 29 de A b ril de 1859.—P. E. G. G ., Manuel Venancio González. D IR E C C IO N G E N E R A L D E L T E SO R O P U B L IC O Id. á los asentistas del suministro de las tropas de Vizcaya y G uip úzcoa, en i d . . 2 .0 0 0 ,0 0 0 Y En igual clase de efectos para diferentes obligaciones, y entre ellas la de víveres. 1.85f,5/|/&gt; C O N T A D U R IA G E N E R A L DE DISTRIBUCION. En libranzas sobre…</t>
  </si>
  <si>
    <t>ELVALLE</t>
  </si>
  <si>
    <t>…los i n s t r u ­ C O R R E SPO N D IE N T E A L A Ñ O D E 1838, F O RM AD A DE ORDEN DE L Gonzalo. Hablarais para mañana : mentos que le pertenecen, de siete pies de a l t u r a , destinado á SEÑOR DON A N T O N I O M A R ÍA D E L V A L L E , I N T E N D E N T E D E E J E R ­ pues pasósele la gana la in f a n c ia : su escala es de una purgad* por pie francés. de ser y a vuestro marido. 2. Un sistema de barras paralelas, b a j a s , m o vibles, que CITO V P R O V IN C I A D E L A M I S M A . ¿ Q u é te de hacer en r i…</t>
  </si>
  <si>
    <t>…í t e p ie dtel troaa», ta.a- yecto, »1 que no diado se servirá dar sa aprafaaci-oiiu ^ í&amp; mas. se gama,. 'Ono de los medites, mm felices y non de t e prc- ■ EÍSr. VALOES, observo qee hubiera sido macha mejor El Sr. RODRIGUEZ D E L V A L L E m a u iW o que de­ .Ga«¡c:i,o#»es irnais, eílceces para evitar los aboses de la administra- que trato tutee de reorganizar lia administrocian* qne qua co— searás que la oouiskw sustituyese la pa.lla.fara e le g ir m lugar cimives establecer el derecho 'de a,a»c¡,a,cio¡e y el derecha…</t>
  </si>
  <si>
    <t>ELVAPOR</t>
  </si>
  <si>
    <t>…La partida franca de esta capital al mando de D. Jo a q u ín Piquera , reforzada con la compañía de tiradores del 2.° bata­ llón de infantería 4 ° ligero, acaba de regresar de hacer una MADRID 8 DE DICIEMBRE. SOBRE E L PO D ER D E L V A P O R . , correría por la serranía de A lb a rra c in , reanimando el espíritu Descrito el modo de hacer los ferrocarriles, trataremos aho­ de los pueblos y persiguiendo las partidas enemigas que la i n - ra de la naturaleza de este poder extraordinario y su primera íesteban, habiendo cond…</t>
  </si>
  <si>
    <t>ELVERBOUNI</t>
  </si>
  <si>
    <t>…o de los mas acreditados pendo­ bró una comisión para que reuniendo los datos que sobre el listas, admitido como discípulo y empleado, no tardará en tra­ particular consignó en una memoria el presbítero D. José Ma­ C U ESTIO N D E L V E R B O U N IC O . bajar sobre la piedra obras dignas de las ingeniosas produccio­ ría Peñalver, religioso que fue del orden de Ntra. Sra. de la nes que hasta ahora ha encomendado al papel. Merced, se sirva esplanar cuanto juzgue conduceute á la me­ H ay entre los escritores cíe gramática ge…</t>
  </si>
  <si>
    <t>Elío</t>
  </si>
  <si>
    <t>….se halla en el teatro de Los nombres de los que quedan en las provincias son : el J u a n Calixto de O je d a , y los demás gefes y oficiales de la pro­ la g u e rra, y en situación de conocer perfectamente el estado de general Elío, que manda en gefe el ejército de N a v a r ra : el g e ­ pia arma deseaban ocasiones de distinguirse. los negocios, nos comunica hoy noticias de sumo interés acerca neral Z :*riátegui, adicto al estado m ayor de M aroto; el b r ig a ­ M is ayudantes de campo los coroneles D. José M . Paz y d…</t>
  </si>
  <si>
    <t>…palabra en contra. Los Sres. A r- tos acontecimientos que á todos nos llenan de un júbilo inex­ haya tenido noticia deesa circular del Sr. Diputado de cuya mendariz y Arteta en pro. plicable: la carta del general León al general Elío (murmullos ); El Sr. A RM EN D A R IZ: Pido que se lea el art. 9.° del re­ he dicho general Elío; tal vez lo sea; ¡ojalá lo sea! admisión estamos tratando? Meta cada uno de los Sres. D ipu­ glamento. tados la mano en su pecho; consúltense á sí mismos, y digan si Dice el general León á Elío e…</t>
  </si>
  <si>
    <t>…ando de 500 heridos los Hace cosa de dos años que regresó de Francia , y desde entonces la Guerra. que se me noticia en este momento han sido retirados, pues su ha ejercido la omnímoda jurisdicción en nombre de su obispo general Elío habia prevenido conservar á costa de la vida to­ de un modo inaudito. Da dimisorias para órdenes á cuantos se S. M. la Reina Gobernadora se ha enterado con el mas gra­ das las posiciones, de las que fueron arrojados sucesivamente 1e presentan , sin exigirles otras disposiciones que la de haber…</t>
  </si>
  <si>
    <t>…varría y el coronel Aguirre , desterrados car­ tamiento que meditan há mucho tiempo. se han unido á los revoltosos. En la Real orden expedida en 15 del corriente por el Después de varias conferencias presididas por el obispo de Elío marcha de Tolosa contra ellos con tres batallones: el 12 Minisierio de Hacienda é inserta en la Gaceta deí sába­ León en G uetaria, donde reside aquel prelado (á dos leguas de con él. (Id)Lesaca con D. Cárlos, á quien ha obligado á venir estaba en do 17, número 1737, sobre los trasbordos de l…</t>
  </si>
  <si>
    <t>EMA</t>
  </si>
  <si>
    <t>…manifestando que debe des­ de Monterey , y 51 en el provincial de G a lic ia , advirtiendo aprobarse el voto particular de la menoría de la comisión, que eu el ultimo mes de N oviem bre, que es la época mas pró­ G R A N BAILE D E M ASCARAS, Cristina 9 núm, 4 , cuarto p rin c ip a l, casa porque de lo contrario mas bien que contra el conde de Cleo­ xima á que puede referirse el corresponsal del nard seria un voto de censura contra el Gobierno, y esto trae­ el tenor mismo de su artículo, no ha habido mas que un deser­ se…</t>
  </si>
  <si>
    <t>…a unas y otras la li­ BOLETIN DE COMERCIO. Precio en Madrid 4 rs* ftl mes 9 ^0 por medio año y 36 bertad limitada convenientem ente por el orden? ¿No han por año. dado unas y otras prendas seguras de amor á las institu­ BOLSA D E M ADRID. ciones que nos rigen, siendo para ellas una cosa misma la Cotización del dia 9 á las tres de la tarde. /^ U IA de litigantes y pretendientes para el presente año causa de la libertad y la del Trono? Pues entonces ¿como ^ de 1839. Se halla de venta en el despacho de la Imprenta pueden ex…</t>
  </si>
  <si>
    <t>…te del extrangero conociendo la lengua fran­ Angel. {Singulares republicanos que no podian deliberar cesa: faltaba por último popularizarla entre nuestros cursantes, sobre los negocios del Estado 8¡no en presencia de unas BOLSA D E M ADRID. ofreciéndoles para su adquisición todas las ventajas qué pudie­ obras dignas de Reyes! ran apetecer. [Cuantas revoluciones, cuántos alborotos y cuántos Cotizacion del dia 12 á las tres de la tarde . Esta obra constará de dos tomos en 8.° mayor de mas de ódios inextinguibles ha presenciad…</t>
  </si>
  <si>
    <t>…s tenían en ella aglomeradas para sostenerla á todo trance, salió dicho general de Barcelona el 4 La empresa se apresura á reproducir este espectáculo que se para ponerse al frente del ejército, y dirigir por sí mismo las BOLSA D E M ADRID. suspendió el dia 4 del corriente por indisposición del actor operaciones del sitio, y toma de aquel punto. Llegó á Cervera D. José García Luna. el 6 , y mandó venir á esta plaza al gefe del estado mayor ge­ Cotización del dia 15 á las tres de la tarde • neral con una brigada para que acti…</t>
  </si>
  <si>
    <t>…s , y que puede ser quizás en trecuencia causa también alguno de los falsos sistemas que arriba indicamos, ó á del mudismo: enseñóme varios niños que tenian en la gargan­ otra idea, que no conocemos, tan falsa como ellos. BOLSA D E M ADRID. ta las señales de esta enfermedad. En cualquier parte donde se abra se encuentran vesti­ La enseñanza general de la pronunciación que se da á los gios de incorrección y de talento. En la composición de Cotización del día 15 á las tres de la tarde • sordo-mudos en el establecimiento de Gr…</t>
  </si>
  <si>
    <t>…cio ó matar sus yeguas si no encuentran com­ lentos y rápidos por hemistiquios repentina y desordena­ pradores. damente formados. Sirvan de ejemplos de los primeros »En vista pues de todo lo referido, la sociedad opina: BOLSA D E M ADRID. ' 1.° «Que no siendo posible hallar el número de caba­ Por tí el silencio de la selva umbrosa, Cotización d el dia 20 á las tres de la tarde. llos que se necesitan para completar el cupo de los pedi­ P or tí la esquividad y apartamiento dos por el G obierno, ó mas si fuere necesario, se…</t>
  </si>
  <si>
    <t>…180 j . 19 Ganancias d los jugadores . . 1950959. .15 2660459 Por i billete del sorteo de 15 de Marzo de 1838 se han satis­ fecho á los jugadores por cüenta de los 525,940 rs. que les E N T R A D A G E N E R A L EN E L MES D E M AYO DE 1839. correspondieron......................*...............................»........................... 80 Por 52] billetes del sorteo de 14 de Abril se les han satisfecho Por cuenta de extracciones y sorteos. por id. de 597,640 rs. id....................................................…</t>
  </si>
  <si>
    <t>EMAD</t>
  </si>
  <si>
    <t>…n ocupar al dicho sugeto para ad­ y YaUadoiid , por el tiempo y precio que consta del pliego de quirir el conocimiento de un idioma tan culto y rico en obras condiciones que se ha formado al efecto, y estará de manifiesto BOLSA D E M A DRID . de literatura , podrán dejar la seña del domicilio en los dichos en la escribanía principal de este ramo, sita en el propio local establecimientos, para que pueda el profesor pasar al mismo y de la dirección. Cotización del dia 30 d las tres de la tarde combinar las horas de la enseñanz…</t>
  </si>
  <si>
    <t>…D IA R IO J&amp; l0 Piedad, ó Breve reglamento espiritual, d iri- gido álín a alma descosa de su salvación; por el licencia­ . Nueva división de M adrid en seis demarcaciones para los seis juzgados de primera Instancia , BOLSA D E M A DRID . do D. Santiago José García Mazo, magistral de la santa igle­ sia catedral de Valladoíid. Un folleto en 8.°, y se vende en es­ ta corte en h librería de la viuda de Razóla, y ea Valladoíid Cotización del dia 1.° a las tres de la tarde. en la de Pastor, á real. JUZGADO DEL BARQUILLO.…</t>
  </si>
  <si>
    <t>…lama su esposa, la oírece en holocausto mi humilla­ y justo elogio de una producción de nuestro primer lite­ ción y mi vergüenza, ha nieta de Hozmm, la Rema de tu rato. Al juzgarla hemos sido sinceros y desinteresados; y BOLSA D E M A DRID. estirpe, tu amiga, tu aliada, se mira en este día revolcada ágenos de pasiones ruines de ningún género, no hemos en el lodo... ; Y 110 sientes hervir la sangre en tus venas!..” visto cual muchos detrás de la obra el nombre del autor Cotización del dia 21 á las tres de la tarde • Espár…</t>
  </si>
  <si>
    <t>…l se fortifica el pueblo de las abate , no las junta. BOLETIN DE COMERCIO. Bástago. Necesidad habia de un punto fuerte y respetable eu Esa montaña parece te ribera del Ebro. (Eco de Aragón.) que cae sobre m í: esas grutas BOLSA D E M A DRID . á mi horror servirle quieren de silvestre sepultura, Cotización del dia 21 d las tres .de la tarde* MADRID 22 DE JUNIO. j Q uién h u ir ! ... de sí\ mismo pudiera .................... EFECTOS PÚBLICOS. Inscripciones en el gran libro á 5 por 100, 00. ¿Qué me quieren cielo y tier…</t>
  </si>
  <si>
    <t>EMADR</t>
  </si>
  <si>
    <t>…a Milicia nacional de la la suscripción. Membrilla, muerto en el campo del honor. Y diciéndole Sirena «Solia yo ser BOLETIN DE CO M ER CIO . TEATROS. dueño vuestro. PRINCIPE. A las ocho de la noche. Se volverá á poner BOLSA D E M A D RID . en escena el drama original en cinco actos, de D. Antonio Responde: Cotización del dia 6 á las tres de la tarde • García G utiérrez, titulado «Pasó ya ese tiempo. EFECTOS PUBLICOS. E L REY M O N JE . S iren a . Inscripciones en el gran libro á 5 por 1 0 0 , 00. Títulos al portado…</t>
  </si>
  <si>
    <t>…ndo después de haberse evaporado y clarificado en la En primer lugar observaremos su prod ucción, esto es, segunda vasija queda suficientemente reducido para caber los países que producen azúcar en cantidad suficiente pa­ BOLSA D E M A D RID . en la tercera, se pasa a esta con el cucharon, y después a ra formar un artículo de exportación. Los paises de don­ Cotización del día 6 á las tres de la tarde. la última paila. de se exporta el azúcar para el consumo de Europa son: Las enfriaderas, comunmente media docena, son arte­…</t>
  </si>
  <si>
    <t>…les, las nacionales y las revoluciones y las intenciones del pueblo; cuando las cuestiones irrita n ­ con cuya sanción se consolidará una paz permanente en la tes que versan sobre rivalidades en tre los poderes p ú b li­ BOLSA D E M A D RID . Europa (1). cos están ya satisfactoria y definitivam ente resueltas por Al hacer nosotros este anuncio de la Constitución europea, la Constitucioh del Estado, ¿puede consentirse que folico­ Cotización del dia 7 á las tres de la tarde. con la portada que antecede, confesamos de buena f…</t>
  </si>
  <si>
    <t>…nmoralidad de las composi­ por fincas nacionales vendidas en los años de 1820 á 1825, y ciones de ingenio no es peculiar de ellas sino de sus autores ; y en cüya posesión se hallan les compradores en virtud de los A T E N E O D E M A D RID. que ni esta ni otra consideración de igual especie podría hacer­ decretos de 3 de Setiembre de 1835 y 25 de Enero de 1837. le convenir con el Sr. Corradi ? en que se escogiese para asunto Conocida es generalmente la historia dé este importante ne­ SECCION D E LITERA TU RA . de las nov…</t>
  </si>
  <si>
    <t>…ón.*.......................................... 4O BOLETIN DE COMERCIO. Fernando de M agallanes, 5 rs. De lana y estambre................................. 80 Discurso sobre la utilidad de los diccionarios facultati­ 120 BOLSA D E M A D RID . vos , con un exámen de los que se han escrito de Mari­ Middlesex. na , Sfc., 4 rs. De algodón.............................................. 8 Cotización del dia 19 a las tres de la tarde. Disertación sobre la parte que los españoles tuvieron De seda..................................…</t>
  </si>
  <si>
    <t>…ección, en ei despacho de la imprenta e;tá considerada como una de las mas ricas y mas bien regadas N acional, á 160 rs. pasta y I 4O rústica. del tiuevo continente 9 siendo una ventaja característica de aquel CAJA DE AHORROS D E M A D RID . hérttioso pais el estar exento de ciénagas y pantanos. La tierra invariablemente va subiendo desde las orillas de los rios, levan­ Domingo 21 de Julio de 1859. tándose en colinas de bastante elevación para impedir toda acu- inúlacion de aguas muertas. Esta es la causa eficiente de…</t>
  </si>
  <si>
    <t>…lló y los Sres. Unanue y Salas ; con decoración y trajes. BOLETIN DE COMERCIO. la fe: hombre incomparable de quien nuestro español Q uioti- liano (el mejor juez de elocuencia y cultura que después de Ci­ Segunda parte. BOLSA D E M A D RID . cerón ha tenido el mundo), escribiendo en Rom a, decia "que para conocer los progresos que cualquiera hacia en las letras, 1.° Sinfonía nueva del maestro Carnicer, escrita expresa­ no se necesitaba mas que examinar el grado de gusto que ha­ mente para este beneficio. Cotización del…</t>
  </si>
  <si>
    <t>…rgo del señor D. Francisco Amorós y López, por la BOLETIN DE COMERCIO. escribanía del número del doctor D. Claudio San* y Barea, se 'Tribunal de comercio. saca á pública subasta por término de 20 dias la sexta parte de BOLSA D E M A D RID . la casa sita en la calle M ayor, donde estuvieron los postales de Por providencia del mismo, y término de 15 dias, se pu­ S. Isidro, núm. 37 nuevo, que se compone de varias habita­ Cotización del dia 27 d las tres de la tarde. blica de nuevo la subasta de una hacienda sita en Hortale…</t>
  </si>
  <si>
    <t>…habia sido m uer­ nuestro victorioso ejército convidaros con la espada y con la to por los rusos.) oliva; y la elección no será dudosa si reflexionáis que aquella Desde Brünn pasó T alleirand á visitar el cam po de ATEN EO D E M A D RID . trae la muerte y la desolación, y esta la paz y prosperidad de batalla de Austerlitz, el 9 de Diciem bre escribe á su ami- vuestra hermosa provincia. Venid pues: basta de horrores, y £ o ; «¡Q uéfe c h a para un m inistro de negocios extrangeros Esta corporación celebra su junta gen…</t>
  </si>
  <si>
    <t>…reos podia recibir y es­ dias después volví á tra ta r de este asunto en una conversación peraba de la protección del Gobierno y del progreso de las lu­ que tu ve con otro de los inspectores no menos recomendable, el BO L S A D E M A D RID . ces en materias adm in istrativ as. cual me habló en estos té r m i n o s : "S eria m u y poco , convenien­ Con aquella fecha en el p árrafo 9.° de mi exposición dije Cotización del dia 30 á las tres dé la tarde . te que el clero se introdujese á enseñar los principios sen­ á S. M…</t>
  </si>
  <si>
    <t>EMADRI</t>
  </si>
  <si>
    <t>…gitada; p.ero sobre las cinco de la larde cesa como por En algunas casas se baila también. Un baile en Ham­ encanto aquella gran circulación de personas y de carrua­ burgo antes de la cena, se compone. l.° de un vals que BOLSA D E M A D R ID . jes. Ya no hay nadie en las calles; todo el mundo se halla equivale por su celeridad á una galop francesa: 2*° de reunido en fam ilia, desde el mas pobre hasta el mas rico. una contradanza i 3.° de una verdadera galop, en la que Cotización del dia 28 á las tres de la tarde. Los tea…</t>
  </si>
  <si>
    <t>…curiosa de aquel rebelde, cuya cele­ gura á las personas mismas que ama. E n fin, vive en un bridad costó tan cara á su patria : asi es que su lectura puede siglo en que te creia en talism anes, y su c red u lid ad no le BOLSA D E M A D R ID . satisfacer la curiosidad por la relación de su v id a , unos suce­ liberta de la saciedad y desm adejam iento de a lm a, p ro ­ Cotización del dia 1.° á las tres de la tarde. sos que representan una de las faces mas notables de nuestra pios solo de los siglos filosóficos. Nada de es…</t>
  </si>
  <si>
    <t>…p u e b lo y á la c o r o n a . E l co ro de ca pu ch in os de R om a con toda su co m u n id a d . BOLETIN DE COMERCIO. Está abierto tod os los dias desde las diez d e la m añana h a s- te las c in c o de la tarde. B O LSA D E M A D R ID . Y a que tanto ha llam ado la atención la vista de la Tierra CORRESPONDENCIA DE LA GACETA. Cotización del dia i . ° d las tres de la Sarde. S a n ta , anim ada con el m o v im ien to de la luna y nubes q u e se elevan sobre el h orizon te á la salida del sol , y por la afluencia B…</t>
  </si>
  <si>
    <t>dificultad puedo formarse idea de la fermentación oculta que BOLSA D E M A D R ID . Villegax. El nuevo traductor ha reunido á los tres poetas, uo hay en el otro lado del llhin. Acaso se tendrá por exagerado tanto para formar un verdadero libro con los fragmeutos de el decir que los compromisos en que actualmente se hallan los Cotización del dia 2 á las tres de la t…</t>
  </si>
  <si>
    <t>…N DE COMERCIO. niones se prueba con el hecho de que en tantos años ni una so­ D onde los restos fúnebres descansan la vez se ha visto ante el ju ra d o, ni en todos tiempos ha de­ De mi madre L eon or, ¿juráis vosotros BO LSA D E M A D R ID . jado de estar bien quisto entre los mas intolerantes sectarios de O dio de muerte al opresor de España? todos los partidos. ¿Ju rá is, decid, juráis? Cotización del día 1.° á las t r e s d e l a t a r d e • Puntos de suscripción—En M adrid en las librerías de la EFECTOS PUBLICOS.…</t>
  </si>
  <si>
    <t>…ara el nuevamente n om ­ juzgados que tieneo dos cuarteles, y tres á los que solo tienen brado ; pero considerando el trastorno que causaría que los ju e­ uno. Igualados ahora los ju zgados, seria preciso crear otras dos BO LSA D E M A D R ID . ces vanasen con frecuencia de ju zgados, y por consiguiente de plazas de escribanos del crim en , con lo que se conseguiría des­ causas y distritos, tuvo á.bien S. M. mandar por Real orden cargar un poco á los de los juzgados restantes, hoy tan recar­ Cotización del dia 2 d las tres d…</t>
  </si>
  <si>
    <t>…y demás patronos del fundado por Don de las A m éricas, la concurrencia de estos form ará una es­ Alonso Perez A lm an sa, para que en el térraio de nueve dia#, pecie de com ercio el mas provechoso para toda la Bavie­ B O L SA D E M A D R ID . que por segundo se se ñ ala, se presenten en el juzgado á a g ita r ra. S i el inmenso núm ero de m illones de pesos que los sus acciooes en los autos que eu el mismo se siguen por los «ín­ Felipes de España gastaron en el famoso E scorial, que al Cotización d e l dia 2 á la s tres d…</t>
  </si>
  <si>
    <t>…: 2.° de la requisición de caballos: 5.° de la á abandonar las ingeniosas detracciones del discípulo de mitad del diezmo de 1857 que ya había sido pagada; y 4 ° de Lope, cuyas comedias no volvieron á representarse ai pu­ BOLSA D E M A D R ID . bonos del tesoro recogidos sobre los 200 millones anticipados blico hasta nuestros dias, en que las costumbres ( lo de­ en 1856: estos valores solo figuran en los estados entrada por cimos con pesar) se asemejan algo mas a las qúe él des­ Cotización del dia 5 d las tres de la tarde.…</t>
  </si>
  <si>
    <t>…y pérdidas, y cuando v a ­ narse á la n u lidad, que ser el blanco de las ingratitudes y de rios de ios que han sido ascendidos debieran ser castigados, c o ­ las injurias. Lna de las causas que realmente han concurrido BO LSA D E M A D R ID . m o , por ejem plo, el que ha dirigido la fu ndición de un modo en gran manera para introducir esa funesta desconfianza que que hizo reventar los cañones de Ramales. Asi es que todo esto labra en todos los espíritus, y que relajando los vínculos mora­ Cotización del dia 5 á las tres…</t>
  </si>
  <si>
    <t>…M E R C IO . Marzo, empezándole,el estudio de la Historia natural por el de . las plantas. A m e r , que lo es de esta capital, el registro de una mina de El precio de la obra completa es de 4^ rs. vn. , y la venta, B O L S A D E M A D R ID carbón de piedra en el prédio cau-Beneyt, de su propiedad, empezará cuando esté la impresión concluida. A instaucia de sito en dicho lugar de Binibona, término de la villa dé Selva. Cotización del dia5 á las t res de la tarde • varios aficionados que desean adquirir con ruayor prontitud…</t>
  </si>
  <si>
    <t>…S. ha dicho la causa por que es menester ser para la provincia de Orense que le ha elegido cuando era que en Madrid se suministren raciones; pero también es me­ intendente de Pontevedra, cuando tenia los mismos compromi­ BOLSA D E M A D R ID . nester que se corrijin los abusos, no declamando contra la ad­ sos que en el día ; a s i, yo creó , señores, que este caso es muy Cotización del dia 51 á las tres de la tarde. ministración m ilitar, no, porque yo siempre sostendré que ha­ distinto á los demás que se han presentado.…</t>
  </si>
  <si>
    <t>…atención del Gobierno', porque circunstancias podría''llegar la ocasión de que se salvase la 'Conducía, i un cisma que veía asom ar, y i una alarma en t ra o qu i1idad p u b 1ica con e na ex posición de *un ■a y un La- B O LSA D E M A D R ID , lai corte de Roma, lo cual unido con ios secesos de Oviedo, miento. A lo segundo" e:oo.testó' cum plidam ente e l Sr; Mar­ Cotización del día 4 Ó las tres de la tarde» Or¡huela;, Málaga y Ta razona podía causar graves males y tínez de la R osa, com o p u ed e verse en la sesión de a…</t>
  </si>
  <si>
    <t>…lativas a la administración de Acciones de banco, 2620. Cuaderno segundo. justicia. España , deuda activa, l 9 f ; pasiva 4f* 9.° Los frailes jesuítas: su origen, instituto y costumbres: su extinción en toda Europa. BOLSA D E M A D R ID . Cuaderno tercero. DIORAMA. 10. Galería de los 58 institutos religiosos introducidos en Cotización dél dia 4 d las tres de la tarde• España de los 250 creados por los Papas. Establecimiento de un género enteramente nuevo en Espa­ AFECTOS PUBLICOS. ña situado á la entrada de la cal…</t>
  </si>
  <si>
    <t>…Lo que me apresuro á poner en conocimiento de Y. S. á fin BOLETIN DE COMERCIO de que lo haga saber d los habitantes y tropas del distrito de su mando. • A 01' P°st.eriont*ad a ,a preinserta comunicación se h an r e - BOLSA D E M A D R ID . LA PA Z cibido noticias particulares todavía mas satisfactorias a n u n ­ Cotización del día 4 d las tres de la tarde ciando la total pacificación de las provincias Vascongadas c u ­ HIMNO PATRIÓTICO EFECTOS PUBLICOS. j a s noticias me apresuraré á anunciar al público para su « t…</t>
  </si>
  <si>
    <t>…de orden , y obtenida dijo que siendo tan grave el hacer enmiendas, y á estas otras, todo como si fuese el pri­ asunto que seiba á poner á discusión, le parecía que en honor mitivo del Gobierno ó el único de la comisión. BO LSA D E M A D R ID . de la imparcialidad se debía conceder la palabra á todos los L o mismo que hacen ahora siete lo ha podido hacer uno Sres. Diputados que tuviesen que ilustrar la cuestión; por lo solo; el Sr. Arteta , por ejemplo, ha podido disentir de la Cotización del día 4 d las tres de la tardo* qu…</t>
  </si>
  <si>
    <t>…OMERCIO. didos para las provincias. piense en hacer una obra muy duradera. Es una autoridad le­ La novela el Alquim ista Flam enco, de Balzac , traducida g ítim a ; y sus decisiones tienen fuerza de ley, mientras no haya BO LSA D E M A D R ID . P5*r D . Francisco de Sales M a y o , que form a parte de la colec­ otra autoridad semejante que las derogue. N o tienen ese carác­ ción que acompaña á la M ariposa, concluirá de publicarse eu ter los diccionarios de las lenguas. Los cuerpos sabios que los Cotización del dia 4 d las t…</t>
  </si>
  <si>
    <t>…E S observó que la comisioa no podía adm i­ En este estado ¿era al G ob iern o á quien tocaba marcar tir la enmienda , porque resultaría que si á una provincia le con sus primeros pasos quiénes eran los vencedores y los BO LSA D E M A D R ID . tocaban 30 muías, con dar 603 rs, habría cu m p lid o, y el G o ­ vencidos? Los que han criticado, si bien con im paciencia bierno se veria apuradísimo para reunir la cantidad que neccsi* que puede ser disculpable, pero con rígida severidad al Cotización del dia 2 d las tres de la tar…</t>
  </si>
  <si>
    <t>…entras no veamos el poema todo entero. Asi na otra escuela poética, si la h ay , sea h ac e rla verdad que este nuestro tercer artículo está únicamente destina­ útil y necesaria á los hom bres: ella lo es por s¿ misma. B O L SA D E M A D R ID . do á exponer las observaciones que nos ha sugerido la lec­ La poesía no hace mas que embellecerla ; mas no la de­ tura del prólogo. muestra . E l objeto de todos los cantos, si se exceptúan Cotización del dia 5 á las tres de la tarda • En él comienza el autor por declarar que es romá…</t>
  </si>
  <si>
    <t>…tomo primero. m ente en estas m aterias, trata con profund idad , y al mis­ BOLETIN DE COMERCIO. m o tiem po con sencillez y claridad didáctica, cuantas m a­ ■ - terias co m prenden en toda su extensión y en sus diversos B OLSA D E M A D R ID . ramos las ciencias m ilitares: desde la educación que se da M úsica de la opera Lucrecia Borgia . en ios colegios a los que siguen esta carrera hasta el m an ­ Cotización del dia 5 á las tres de la tarde. do en gefe; desde la instrucción del recluta hasta la orga­ Para canto. ^ Duetto…</t>
  </si>
  <si>
    <t>…la deuda p ú bli­ c a , su am ortiz ación y gastos propios de la ca ja . habido también en tre nosotros algunas a u t o r i d a d e s , y aun j u n ­ tas levantadas de nuevo que á tít ulo de represalias han i n m o ­ B O L S A D E M A D R ID * A r t . 7 .° S i la dotación de la caja se hiciere con rentas, f o n ­ lado á hombre* inofensivos y ¿ prisioneros inermes , c u y a vida dos ó co n tribu cion es dete rm inadas específicamente para el caso, Cotización d e l d ia 5 á las tres d e la ta r d e . estaba g a ra n tid a…</t>
  </si>
  <si>
    <t>…el que sel previe­ BOLETIN DE COMERCIO. tes dies de la noche, y en el «k m ® Jbcai Eli k1tete:p«BnmnaI-m ne que tas cansas de esta clase 5®su^auctaráii admitiendo ape- seis reates. lacioues* recursos de fuerza j otras;, BOLSA D E M A D R ID . A. petid aa de varias Sires. D i potados'se prega úld si se pa.- «ztma i otro aso uta, j asi seaooctid¿' Co tizació n d el d ía 5 á las tres d e la tard e. TEATROS. ■ Creced ié adose al «Meo. é d d ia , coatiHiá la di;,sc.osk«a jpea- PRINCIPE. A las;¡seis; y .media, dte, te .noche..…</t>
  </si>
  <si>
    <t>…rbe dice en oficio de ayer que para Hijar con un batallón , en donde pernoctó la noche del í.° Forcadell pasó la tarde antes por N ovaliches con dirección á Jé- del actual. Los enemigos han arrebatado de los pueblos de la BOLSA D E M A D R ID . rica. Añade que Viscarro se presentó el dicho dia de ayer al izquierda del Ebro 500 cabezas de ganado, 15 cargas de trigo frente de dicha plaza de Segorbe; pero habiéndole disparado y sobre 100 fusiles, con mas los Nacionales de P in a , y los pu­ Cotización del dia 6 á las tres de la…</t>
  </si>
  <si>
    <t>…jóvenes artistas, y que dispensa­ s e a s conocidas por sus escritos y estimadas del público ha re­ rá á su empresa toda la protección, todo el apoyo de que se suelto llevar á cabo cumplidamente esta publicación. C R O N IC A D E M A D R ID . ha hecho tan digna. Igualmente merecen grande elogio las ven­ «Será esto tanto mas ventajoso, cuanto las traducciones ten­ tajosas condiciones de abonos que ha presentado, y que le ase­ drán un sello oculto de aprobación en el hecho de ser escogidas El teatro del P ríc ipe.- Teatro…</t>
  </si>
  <si>
    <t>…principios de la regeneración política y revolución de ideas á 16. D. Q uijote, edición preciosa, la ú ltim a , 4 tomos coa que se va verificando eu toda Europa. El desarrollo progresivo preciosas láminas , pasta, á 40. BOLSA D E M A D R ID . pero mas rápido de la civilización y de las luces que se observa en esta época , la hace aun mas digna de ser estudiada y me­ Cotización del dia 6 á las tres de la tarde. ditada que las anteriores. Para dar en fin todo el atractivo y TEATROS. utilidad á la presente edición, pondre…</t>
  </si>
  <si>
    <t>…cta el número de votos que BO LETIN DE COM ERCIO» Cerrada la suscripción se aumentará el precio de la obra. han obtenido cada uno de lo» Diputados presuntos. El Sr. C A B A L L E R O reproduce lo expuesto en contesta­ B O L SA D E M A D R ID . ción al Sr. Perez de Rivas ; y añade, que aunque la comisión l^L Libro de los N iñ os, por D. Francisco Martínez de la cree ju to el dictamen que ha presentado, no tiene sin embargo Cotización del dia 6 á las tres de la tarde* Rosa. Se halla venal en el establecimiento de obras de pri…</t>
  </si>
  <si>
    <t>…o para los BOLETIN DE COMERCIO# ñana.=De Sanlucar , á las once de la mañana.=:De Sevilla, jue­ pueblos, pues que con él van á proporcionarse, ó bien recur­ ves 17 , á las siete de la mañana.zzDe Sanlucar , á la una de BO LSA D E M A D R ID . sos metálicos, 6 de no ser asi se conseguirá amortizar la deuda. la tarde. Se declara el punto sulicientemente discutido, y se lee el Cotización d el dia 5 á las tres de la tard e • Península. D e C á d iz , jueves 1 7 , á las diez de la m aña- voto particular que dice asi: na.mDe S…</t>
  </si>
  <si>
    <t>…as personas de distinción concurrieron BOLETIN DE COMERCIO. Crónica militar del mes de Abril. á solemnizar este acto; y el Sr. presidente D. Laureano G u ­ tiérrez, gefe político é inteudente de la provincia, leyó el si­ B OLSA D E M A D R ID . Se vende en la imprenta de D. M iguel de B urgos, calle de guiente discurso: Toledo , frente á S. Isidro. Señores: La sociedad económica de amigos del pais de esta Cotización del dia 7 á las tres de la tarde. ciudad, bien convencidos de la importancia de aquellas corpo­ EFECTOS PÚBLI…</t>
  </si>
  <si>
    <t>…año é impresión, y se distribuirá á los suscriptores BOLETIN DE COMERCIO. ó E F E M E R ID A S por cuadernos de tres pliegos, solo en esta ciudad y en la de Barcelona, á dos reales cada cuaderno; hallándose ya venal el BOLSA D E M A D R ID . DE LA GUERRA CIVIL primero. En los demas puntos del reino queda abierta la sus­ cripción á razori de 10 rs. el ejemplar de toda la Gramática , y Cotización del dia 1 á las tres de la tarde. DESDE OCTUBRE DE 1832. después de hecha la publicación se venderá á 12 rs. Se suscribe en Va…</t>
  </si>
  <si>
    <t>…an ó exaltan, mucho antes de ser estar seguro de haber logrado la couViscion... Pero ¿ por qué capaz de explicarlas: y en algunos no llega nunca este caso. Se uos cansamos? N o hay regla alguna en Us bellas artes que no B O LSA D E M A D R ID . contentan con gozar sin someter al raciocinio sus placeres, ya se deduzca mediata Ó inmediatamente del principio dele unidad . porque no han recibido la instrucción conveniente, y a por no E l sabio Condillac se quejaba de que no era posible a n a li­ Cotización del dia 7 á Las tres d…</t>
  </si>
  <si>
    <t>…BOLETIN DE COMERCIO al público para los que quieran interesarse en su adquisición en de las Llanas, cuatro pertenencias, en términos de C iaño, en los términos expresados, se presenten en dicho juzgado y escri­ Langreo. B OLSA D E M A D R ID . banía vacante, donde se les admitirán las posturas que se h i ­ El dia 30 de Octubre dicho Sr. N a g e l, con poder de estos cieren, siendo arregladas. Y para su remate, al que concurri­ Sres. Aguado y compañía tomó posesión de cuatro pertenen­ Cotización del dia 7 d las tres de la t…</t>
  </si>
  <si>
    <t>…á su m archa le ga l; y confiamos excelencia', ’y gozarán de los mismos honores y preeminencias en que el G o b ie rn o sabrá vencer con la ley en la mano que han disfrutado hasta el día los que han obtenido esta dig ­ B O LSA D E M A D R ID . tpdas las resistencias que encuentre. nidad. Art. 6.° Los Ministros Secretarios del Despacho* mientras lo fueren, son consejeros natos de Estado, y los cesantes lo sa- Cotización del dia 8 á las tres de la tarde* rán honorarios. Proyecto de ley para la creación de un Consejo de Est…</t>
  </si>
  <si>
    <t>…jantes á co­ teres propio, por egoísmo, por amor al mas precioso de todos BOLETIN DE COMERCIO. hetes que á n in g u n a otra cosa con q u e los pueda com pa­ los bienes de la tierra, la salud , le conviene al hombre aco­ B OLSA D E M A D R ID . rar. Las m udanzas de estos chorros es tan singularm ente modarse á los preceptos morales, y contribuir asi por su parte herm osa como v a ria d a, debido á la diferencia de gravita­ á la formación y al sostenimiento de Ja moral pública. ¡Pues Cotización del dia 8 á las tres de la tar…</t>
  </si>
  <si>
    <t>…otros curiosos na­ BOLETIN DE COMERCIO. T DE LAS DIRECCIONES T AUTORIDADES SUPERIORES. turalistas, todos han extrañado animal tan ra ro, sin fijar exac­ tamente ninguno su nombre ; por lo que, conceptuando si será B O L S A D E M A D R ID . E n treg a de JUNIO de 1839. una variedad de lince desconocida hasta h oy, tanto mas extra­ ña por haber aparecido en el mediodía de la Península , siendo Cotización del dia 8 á las tres de la tarde. Se halla á 3 rs. tamo en rama como en rústica en el su clima propio el del N o r te…</t>
  </si>
  <si>
    <t>…o que puede ir por el correo, su precio á 5 rs. en rústica. BOLETIN DE COMERCIO. calle de Carretas, núm. 14 &gt; casa de Filipinas, á 20 rs. rústica y 24 eu pasta. Elementos de moral médica , del mismo autor, ó tratado de BOLSA D E M A D R ID . las obligaciones del médico y del cirujano, en que se exponen las reglas de su conducta moral y política en el ejercicio de su Cotización del dia 8 á las tres de la tarde. lt/TANUAL de agricultura y ganadería , por un labrador de profesión. Nada diremos en elogio de esta obra que ta…</t>
  </si>
  <si>
    <t>…de un balazo que recibió en la cabeza en la última acción de la Yesa. (D iario m ercan til d e V a le n d a ,) B O L E T IN DE C O M E R C IO . ANUNCIOS. T; L T ABTENDO.SE quedado m uchas personas sin poder pon cu r - BO LSA D E M A D R ID . ¡ f* ; 'semana pasada a ver ja expolicion de labores y o b - MADRID 1 0 DE M A RZO. jetós ‘primófosos cedidos á beneficio de lós niuos e x p ó s ito s ,^ Cotización del dia 8 á las tres de la tarde, cl. — :r v:sr,i=j.:r .:.^ :^ rra ssas8gag&amp;Bssss habiéntfosé auirientadó é l número…</t>
  </si>
  <si>
    <t>…'-les da un vestido completo, y los 50 florines lega­ Contiene este número los artículos siguientes: dos por Baljée. Las clases de la educación prim aria se abren por M aniobras de un ejército.mCampamenlos y posicionés. BOLSA D E M A D R ID . la mañana de seis á ocho y de nueve á once, y después de me­ Establecimientos militares de Europa.=iPrimera parte. dio día de dos á cuatro. Los que están aprendiendo un oficio Cotización del dia 9 d las tres de la tarde. H istoria del arte de la guerra.r:A rtículo xv.—Fiu del l i ­…</t>
  </si>
  <si>
    <t>…IN DE COMERCIO* el preciso y perentorio término de 20 días comparezcan ante sus imitadores, estigmatizados en la célebre pieza satírica del esta subdelegacion por la escribanía mayor del infrascripto á Cafe de Moratin. B OLSA D E M A D R ID . ser oídos y juzgados en la causa que les sigo por e! alijo frau­ Las obras maestras de e.&gt;te genero son: ha E sclava del dulento perpetrado por Rioseco la noche dei 27 de Abril de este Negroponto , La M oscovita sensible , Filaría Teresa de A u s­ Cotización del dia 9 á las tres de l…</t>
  </si>
  <si>
    <t>…revelaba á él como una curiosidad; como la historia de su pais, un sério objeto de trabajos. H a , su inteligencia uo estaba aun suficientemente desarrollada para en Catania una academia que se ocupa especialmente en las BOLSA D E M A D R ID . comprenderla. ciencias naturales. El fuego volcánico que rodando en otro tiera^ A u u no se hábia abierto su corazón á la voz de las pasio­ po desdé la cima de la montaña, destruyó aquella ciudad, está Cotización del dia 10 á las tres de la tarde . nes; pero despertábase su entusiasm…</t>
  </si>
  <si>
    <t>…das por Garlos i i i para apreciar la instrucción de sus ministros. Una Real cédula, escrita por Roda, Terminará la función con el baile pantomímico en d o s . no desmerece sin duda comparada coa las leyes que hoy mismo BOLSA D E M A D R ID . setos, y dividido en cuatro cuadros, compuesto y dirigido por se redactan. En una de las conferencias anteriores, continuó el Sr. Valle, Cotización del dia 10 á las tres de la tarde. D. Manuel Casas, cuyo titulo es ofrecí hacer una reseña del modo con que se instituyó y ha EFECTOS…</t>
  </si>
  <si>
    <t>…estó que pensaba haberla apoyado; mucho mas caras que en la francesa. Ademas resulta de hacerlo pero que creyéndolo ocioso por estar bien persuadido de que asi el grave inconveniente para el autor de que su obra en cas­ B O LSA D E M A D R ID . lodos los Sres. Diputados estaban animados del mejor celo en tellano ni halla editor para su expendicion, ni es anunciada con favor de la proposición, renunciaba la palabra. recomendación en los periódicos, ni hacen de ella las revistas Cotización del dia 10 á las tres de la tarde. S…</t>
  </si>
  <si>
    <t>…nisterio de la G o­ BOLETIN DE COMERCIO* tado hasta lo sumo el júbilo de sus habitantes, que lo han bernación de la Península empleen todo su celo y prudencia manifestado con repetidos vivas a S. M. Doña Isabel i i , á B O LSA D E M A D R ID . en excitar por cuantos medios esten á su alcance á la recon­ su augusta Madre y a la Constitución del Estado. ciliación de los ánimos. (Núm . 1780 ) A las ocho de esta noche ha habido fuegos artificiales Cotización del dia 10 á lastres d éla tardó * por el que se establece en la ciud…</t>
  </si>
  <si>
    <t>…Nacional. BOLETIN DE COMERCIO ' del saber, de las virtudes y del relevante patriotismo del hom­ bre tan justamente célebre , acaba de publicarla nuevamente Epístolas católicas de los Santos apóstoles Santiago, S. Pe­ BOLSA D E M A D R ID . de los manuscritos que .este le dejara. dro, íü&gt;. Juan y S. Judas Tadeo ; traducidas al castellano, é ilus­ Escrita para todas las sociedades y para todos los tiempos, tradas con varias notas por el Dr. D. José Rigu-al. Un tomo Cotización del dia 10 á las tres de la tarde• me ha par…</t>
  </si>
  <si>
    <t>…isión BOLETIN DE COMERCIO. es necesario que se diga esto para que sirva dé precedente. Y nuevamente red actado, fue aprobado. veamos á ver ¿ qué tendrá contraído ahora la nación , acercán­ L a nueva redacción decía asi: BO LSA D E M A D R ID . dose á seis años de guerra cruel , manteniendo 200$ hombres, A rt. 8 .° Si dicha dotación se decretare indistintamente so­ y cubriendo un presupuesto de 1500 millones? Que responda bre las rentas públicas, se entiende que ha de distribuirse por Cotización del dia 11á las tres de la ta…</t>
  </si>
  <si>
    <t>…1 8 3 5 : un tomo en 4*° á 12 rs. la fundición de cañones y que no habiau podido adelantar na­ Este índice formado por orden de materias y comprensivo da ,* que la ma'quiua estuvo parada el dia 2 , y hay en las in­ R E V IS T A D E M A D R ID . de los 65 tomos que comprenden los citados Diarios de las Cor­ mediaciones de la iglesia de S. Sebastian una porción de esta­ tes, no puede menos de prestar grande ínteres, tanto á los que cas clavadas en tierra , las cuales demarcaban la fortificación FEBRERO DE 1839. poseen dicha ob…</t>
  </si>
  <si>
    <t>…reses, nuevas las instituciones, y todo en sutna nuevo , debía Guada le t e , y de las autoridades que al efecto habían convida­ ser igualmente el drama. do, E n el Puerto de Santa M aría se trasbordaron al yapor el A T E N E O D E M A D R ID . Contestaudo el Sr. Segovia a-todo lo dicho, volvió á in­ Sol , que se hallaba deí otro lado del puente de barcas, agre­ sistir en que no fue su ánimo tomar parte en la discusión; y gándose alli los individuos;tJ el acuitam iento y otras autorida­ SECCION DE LITERATURA. por lo tanto s…</t>
  </si>
  <si>
    <t>…s preceptos; como los se despacharán en el palacio de Yillaheroiosa en los dias men­ grandes hombres han sido uu interesante objeto de curiósidad cionados. in todos tiempos, se emplea el tercer artículo en bosquejar la BOLSA D E M A D R ID . /ida de algunos distinguidos capitanes, tatito de la antigüedad : Cotización del día 1i d las tres de la tarde. :omó de nuestras épocas modernas. Hasta ahora se han honrado ! EFECTOS PUBLICOS. U L Diablo suelto, periódico dedicado á instruir y divertir al as páginas de la Revísta c…</t>
  </si>
  <si>
    <t>…o 11 de Agosto contiene los ar­ moral rigorosamente. Un dram a sin verosim ilitud de nin­ tículos siguientes adornados con dibujos y grabados origi­ guna especie puede tener otras dotes muy apreeiables. nales. CAJA D E AHORROS D E M A D R ID . ¿Qué deberá hacer en este caso el crítico ilustrado? Notar, Viajes.nPortugal. Iglesia del monasterio de Belen. al mismo tiem po que los defectos de la lábula y de la ma­ Los baños de Bañeras.rzConclusion. Domingo i i de Agosto de 1839. Costumbres provinciaíes.rrAragon y los aragonese…</t>
  </si>
  <si>
    <t>…ún obstáculo; ciérrese la puerta á los abu­ sino que le encontrará form ado ya , y á sus individuos sos, en buen hora , exíjanse garantías, pero no pongamos tra­ dispuestos á emitir su opinión siempre que el G obiern o la BOLSA D E M A D R ID . bas y obstáculos llevados por el sincero deseo de hacer el bien. estime necesaria. En fin , mientras que hasta ahora lo con ­ KiSr. PEÑA. A G U A Y O , haciéndose cargo déla impugna­ Cotización del dia 12 d las tres de la tarde. tencioso administrativo ha estado á cargo de agentes s…</t>
  </si>
  <si>
    <t>…de batallón de la guardia municipal. tín , se ha dirigido á Pcubielos. {Id.) A las cuatro el puente de la Concordia estaba ocupado por BOLETIN DE C O M ER C IO un numeroso destacamento de la guardia municipal á caballo: BOLSA D E M A D R ID . otro destacamento de dragones llegaba al mismo tiempo por el Valencia 6 de Febrero. muelle de Orzay. N o se ha oido ningún g rito , ui notado la Cotización del dia 12 á las tres de la tarde* menor señal de desorden. El brigadier D. Facundo Infante, nombrado segando cabo A las cinco l…</t>
  </si>
  <si>
    <t>…ti , y estar sentado. El Sr. BARRIO AYUSO (coo cólera): Estoy sentado. BOLETIN DE COMERCIO» El Sr. CORTAZAR: Señores, yo he visto esa circular que VACANTES. se cita , y su principal fundamento estriba exclusivamente en BO LSA D E M A D R ID . querer saber el Gobierno por conducto del ministerio, que es el que por medio de los tribunales está encargado de reprimir Cotización del dia 12 á las tres de la tarde* g E halla vacante la plaza de médico-cirujano de la villa de las violencias, y mantener el orden, si se ha alterado…</t>
  </si>
  <si>
    <t>…ndo de repertorio, para si se cogen ó venden las muy nuevas y pequeñas, es impractica- extender cualquiera sus conocimientos en las a u la s, ó con testar, ble , y tendría necesariamente que ser demasiado costoso. Es muy BO LSA D E M A D R ID . en los ejercicios ó grados. c. cuestionable , si como propone también , pueden declararse todos Véndese esta obra en dos tomos en 8 .°, á 16 rs., en rústica Cotización del dia 12 d las tres de la tarde. los criaderos de sanguijuelas propiedad exclusiva de los pueblos y 2 0 en pasta…</t>
  </si>
  <si>
    <t>…¿. P asiva 4 í Q E M A N A S santas y lib ro s dé devo ció n , todos en pasta , n ue­ vos , que sé h allan en J a comisión de muebles y :jlibros es­ Id em 7. tablecida en esta c o rte , calle de Correos, núrnT a la B O LSA D E M A D R ID . casa de P ostas, y cu yas bases se anunciaron en la Gaceta del G Los facciosos tienen la garrap ata de su caballería en A lcalá de! presente mes. A unque son m uchísim os los hbrós que h a y de C h isv ert, que se compone de unos 500 cab allo s, con un pe­ Cotización del dia 15 d las…</t>
  </si>
  <si>
    <t>…antes de la partida? ¿ No merece pues el héroe de Salamiua que se le confunda cou CORRESPONDENCIA DE LA GACETA. BOLETIN DE COMERCIO. el Dios de los mares ? . No tardé en saltar en tie rra , y después de despedirme de la BOLSA D E M A D R ID . tripulación genovesa y satisfacer á las exigencias de los emplea­ Pontevedra 6 de Julio . Escriben de Vigo con fecha del dos de la aduana en el Pireo, emprendí con mi criado la mar­ 4 que en la mañana del 1.° entró en aquel puerto el buque de Cotización del día i 3 á las tres de la ta…</t>
  </si>
  <si>
    <t>…estras antiguas glorias deprim i­ cer con ella. Con la paz todo volverá al orden, se pondrá coto das ó usurpadas por los extrangeros , dando á conocer los céle­ á Cs demasías de los mandarines, porque con ella quedará ex­ BOLSA D E M A D R ID . bres médicos que florecieron en ella , y ocupándonos de los pedito el Gobierno de 8. M. (que Dios guarde), para limpiar principales héroes de la medicina española con aquella extensión audiencias, intendencias, gobiernos políticos, militares y ecle­ Cotización del dia 13 á las tres de…</t>
  </si>
  <si>
    <t>…en rústica. partes de Europa. Se les hace andar en una ruedai, con la que BOLETIN DE COMERCIO. saca agua de una noria ó mineral de las tuinas. Aunque animal endeble, el esfuerzo de la cabra es muy considerable, porque BOLSA D E M A D R ID . ella marcha por un ángulo muy alto. Suponiendo que esta tre­ padora criatura camina tan apriesa por una subida de 4 O gra­ Cotización del dia 15 á las tres de la tarde . TEATROS dos como un hombre por una de 18 grados, -siendo el seno de la primera doble del de la segunda , podrá la…</t>
  </si>
  <si>
    <t>…OLETIN DE COMERCIO. Gemidos de la Madre de D ios , por Álmeida , 8 .° .* .!. 8 pero 110 crear elementos nuevos. Lógica de Baldinoti en latin , 8 .°........... 10 Los antiguos, mas modestos que nosotros , se contentaban BO LSA D E M A D R ID . Nueva suma m oral, 4 .0, tres tomos * . 60 con llamar invención á las figuras y fábulas poéticas, igual­ Octava del C orpu s, 8 .° ....................................................... mente que á los argumentos oratorios. La im aginación busca y Cotización del día 14 á las tres d…</t>
  </si>
  <si>
    <t>…de de los vecinos de aquellos pueblos. la imprenta nacional. Ratería carlista . BOLETIN DE COMERCIO. No encontrando ya la canalla medio de libertarse de las continuas alarmasen que la tiene de continuo el intrépido Don BOLSA D E M A D R ID . VACANTES. Gregorio Sabio, trataron de armarle un lazo, encerrando el 7 en Laudiel i varias personas de todos colores en sus propias ca­ Cotización del dia 14 á las tres de la tarde. ^ hallan vacantes las das escuelas de educación primaria ele- mental de la villa de la Nava del R ey,…</t>
  </si>
  <si>
    <t>…visión de los en mi alta veueracion hacia el carácter de V. E.: ejlos saben Ministros se debió la libre introducción de primeras materias,- lo mismo que yo, lo mismo que el mundo entero, que, mili­ A T E N E O L IT E R A R IO D E M A D R ID . y de máquinas, y la venida de extrangeros instruidos. También tar intrépido, patriota sincero, magistrado íntegro, Y. E. no merece recordarse que se abrieron academias de agricultura, ha cesado de mauifestar, sea á la cabeza de los ejércitos, sea Sección de ciencias morales y políti…</t>
  </si>
  <si>
    <t>…empo B O L E T IN DE C O M E R C IO . no pueden en manera alguna abusar de la fe de los cre­ para que los asistentes puedan traer los libros á las mesas yentes, del público. Era necesario pues vencer esta dificultad, y BOLSA D E M A D R ID . Palacio del serrallo y harem. Este vasto edificio está salvar un cuarto de hora de fatiga para que los empleados situado en una punta de tierra que se avanza hacia el volviesen con el libro pedido desde los extremos del edifi­ Cotización del dia 14 a las tres de la tarde. mar. La m…</t>
  </si>
  <si>
    <t>…Cadet por todos los prácticos del arte de curar nos dispensa de en­ BOLETIN DE COMERCIO* trar en pormenores para patentizar la utilidad de semejante MUSICA. obra: las ventajas que encierra en si no necesitan de enco­ BOLSA D E M A D R ID . mios. Solo nos ceñiremos en dar á conocer lacónicamente los Orgia del maestro Iradier; cantada por los Sres. liceístas puntos por los cuales esta edición es mucho mas ventajosa que en la función extraordinaria que tuvo lugar en el jardín de las Cotización del dia I 4 d las tres de l…</t>
  </si>
  <si>
    <t>…imeros y el Gobierno la examinó y admitió con mas ó menos modifi­ 123, 10 aspirantes á 6 3 , y 15 idem segundos á 5 3 ; cu y o to­ cación ; y á tal punto llegaron las cosas , que convenidos los tal componen 1.475,000 rs. BO LSA D E M A D R ID . empresarios con el Gobierno se iba ya á proceder al otorga­ Impugna S. S. los gastos que se ocasionan por el personal miento de ia escritura. Entre las condiciones que se exigían era referido, y al ir á leer otra lista y exponiendo que no habia Cotización del dia 15 d las tres de la t…</t>
  </si>
  <si>
    <t>…a solo h ablar de las facultades, ó mas bien obligaciones B O L E T IN DE C O M E R C IO . y por lo mismo debe considerarse este libro corno un M a n u a l del Consejo, acerca de lo cual aunque no en tra rá la comisión BOLSA D E M A D R ID . que contiene todo lo relativo á la curación de cada enfermedad. en porm enores, como no se entró en sus anteriores plantas de Los métodos que expone son los que ha practicado por sí m is­ tiempo de! Gobierno libre de S. M. , ó d u ra n t e las épocas cons­ Cotización del dia 14 á las…</t>
  </si>
  <si>
    <t>…res id., 8 1 -8 0 , 75. BOLETIN DE COMERCIO. ga 16 del tomo segundo. Continúa, abierta la suscripción Acciones de banco , 2730. en la botica de Olmedilla , calle de Carretas núm. 22 , y en. Deuda activa española , 20¿. BOLSA D E M A D R ID . las principales librerías del R eino, por entregas de 3 2 'páginas, Id. pasiva, 4 |. á 2 rs. vn. para M adrid, y á 2¿ para las provincias. Id. portuguesa, 5 por 10 0 , 56£. Cotización del dia 14 á las tres de la tarde. Tres id ., 22-¿. (Debats .) 1 1 ■ ■■ ■ . ■ ' ' n,n &gt; EFECTOS…</t>
  </si>
  <si>
    <t>…Commerce. Le N ational. La comisión propone al Congreso se sirva determ inar que BOLETIN DE COMERCIO. Le Constitutionnel. Le Siecle. se tenga presente esta petición en tiempo oportuno. Le Courier franjáis. Le Corsaire. BOLSA D E M A D R ID . Le C harivari. Le Messager des Chambres. 83. D. A ntonio Resino y E stra d a , abogado y vecino de Le Indicateur. Le Voleur. Talayera de la R eina, recurre al Congreso reproduciendo la Cotización del dia 16 á las tres de la tarde. Le Phare. Le Artiste. queja que en 10 de Junio últim…</t>
  </si>
  <si>
    <t>…jando en alivio de los pobres militares que exponen U rgel, en Cataluña. su vida ea los combates en defensa de los caros intereses de la BOLETIN DE COMERCIO. Expulsión de considerable número de individúes del Real patria. BOLSA D E M A D R ID . cuerpo de Guardias de la Real Persona. as siendo un obstáculo á este proyecto la falta de trapos, Comunicaciones notables del obispo de León al subdelegado por ser el ramo de ropas en el que hay mayor escasez en este Cotización del dia 16 d las tres de la tarde. principal, comandante…</t>
  </si>
  <si>
    <t>…as pormenores, tanto para los pensionistas como plantear en beneficio de la mejor instrucción de una ca­ para los que no lo sean,, estarán de manifiesto en el plan pital, siempre dispuesta á acoger con agrado las penosas BOLSA D E M A D R ID . interior dei Instituto. tareas de maestros celosos; y siendo el principal Ínteres Cotización del dia 16 á las tres de la tarde» de este cuerpo municipal el que se generalice la ilustra­ Prevenciones generales. ción de la juventud cuanto posible sea, ha debido apre­ EFECTOS PUBLICOS.…</t>
  </si>
  <si>
    <t>…apro­ urbanidad y la prudencia. B O L E T IN D E C O M E R C IO . Seguidamente se ocupó en dejar terminada la renovación bación de profesores nacionales. de los seguros de fincas procedentes de bienes nacionales, asunto BOLSA D E M A D R ID . de que ya se dió cuenta en las precedentes juntas. Al efecto el Sr. comisionado principal de arbitrios de Amortización de esta Cotización del dia 16 d las tres de la tarde . E L Congreso de Verona: guerra de España: negociaciones: provincia pa&gt;.ó á la dirección en 25 y 27 de Abril un…</t>
  </si>
  <si>
    <t>…s por id ., franco el porte, 40. Se suscribe en Madrid en las libreiias de las viudas de Paz BO LETIN DE C O M ER C IO . E L intendente militar del distrito de Grabada &amp; . = Debiendo y de Cruz frente á las Covachuelas. BOLSA D E M A D R ID . contratarse el suministro de pan y pienso para las tropas E 11 las provincias: Alicante, en la de Carratalá ; Badajoz, y caballos del ejército estantes y transeúntes en este distrito por viuda de Carrillo ; Bilbao, García ; Burgos , A rn a iz ; C oruña, Cotización del dia 17 á las t…</t>
  </si>
  <si>
    <t>…O ESPAÑOL, á quien rodean las formas mas duras y severas, ¿no puede for­ marse la conjetura de que sus nuevas opiniones acerca de la BOLETIN DE COMERCIO. dignidad Pieal son un principio de civilización del que los jó­ BOLSA D E M A D R ID . Y DEL TEATRO EXTRANGERO. venes árabes de Constantino han venido á recibir los primeros principios en la misma escuela? (Id.) NO GANAMOS PARA SUSTOS, Cotización del dia 17 d las tres de la tarde* comedia original en tres actos y en verso por D. Manuel Bre­ EFECTOS PUBLICOS. tón d…</t>
  </si>
  <si>
    <t>…treviese á su BOLETIN DE COMERCIO. de causa; y habieudo concurrido aquellos al citado edificio en honor. el dia y á la hora señalados, previo el juramento que dicho La a c ció n , reducida á los términos que la hemos ex BOLSA D E M A D R ID . Sr. alcalde por ante mí el escribano les recibió en la forma pre­ puesto, es interesante, llena de m ov im ien to, de contraste, venida en el artículo 44 de la ley de libertad de imprenta de de pasiones. Ningún hom bre es mas feliz que García an­ Cotización del día 17 á las tres de la…</t>
  </si>
  <si>
    <t>…L E T IN D E C O M E R C IO . Otra de viduñ o Maaco y tinto eo el Pjgo de Arriba , dicho término , de 5,600 cepas, en 2,541-6.—Y otra al Arroyo del POESÍAS G ato, de 600 cepas, en el mismo térm ino, en 141 rs. con 6; BOLSA D E M A D R ID . y todas suman la cantidad de 5,625 rs. 18 mrs. Quien quisiere DE DON ALBERTO LISTA, hacer postura de todas ó cada una de las viñas, acuda ante Cotización del dia 17 á las tres de la tarde. S. S. y escribanía del número de Gaona. AUMENTADAS EFECTOS PUBLICOS. EN ESTA SEGUNDA EDICION.…</t>
  </si>
  <si>
    <t>Núm. 1739 . (3 cuartos.) GACETA. E X T R A O R D IN A R IA D E M A D R ID D E L D O M IN G O 18 D E AGOSTO D E 1 8 3 9. A R T IC U L O D E OFICIO. posiciones donde se atrevieron á aceptar el combate: este triun­ Comandancia general de los ejércitos reunidos—Secretaría de fo materialmente lo han ganado fuerzas inferiores á las suyas, campaña.—Excmo. Sr.: Mi…</t>
  </si>
  <si>
    <t>…mula­ yecto de mensaje. ción ó supresión de las conjunciones, son figuras de que se BOLETIN DE COMERCIO. hace frecuente uso. Pero es menester discernir los casos en que conviene una y otra Cuando queremos explicar la B O L SA D E M A D R ID . rapidez con que pasan los objetos ó se aglomeran los su­ NOTICIAS NACIONALES. cesos, la pluma del escritor arrebatada por las ideas deja Cotización del dia 18 Á las tres de la tarde ; olvidadas las partículas, que por su naturaleza son menos Palma de M allorca 6 de M ayo . esencia…</t>
  </si>
  <si>
    <t>…cía la barca que tne espe­ Sueldo de los maestros y coste de los utensilios em­ raba. Acompañáronme ha¡&gt;ta la orilla , y al separarme de ellas pleados en las escuelas de trabaj *.............................. 6 2 7 .. 57 BOLSA D E M A D R ID . las deseé que en aquel año celebrasen su himeneo. Volvieron á Gastos generales de enseñanza primaria. .................. 2 8 2 .. 81 reírse de nuevo y se alejaron gritando: ^Extrangero , no te ol­ Sueldo de los profesores.................................................. 750. .8 4 Co…</t>
  </si>
  <si>
    <t>…: provincias en las administraciones de Cor­ reos y principales librerías. CRUZ. A las siete de la noche. Se volverá á poner en es­ BOLETIN DE COMERCIO. cena la aplaudida ópera en dos actos, del maestro Bellini, ti­ B O L SA D E M A D R ID . tulada 'C 'N SA Y O histórico-crítico sobre la legislación de los reinos NORMA. Cotización del día 18 a las tres de la tarde. de León y Castilla, por el doctor D. Francisco Martínez Marina. Segunda edición, corregida y aumentada por su autor. En celebridad de los dias de S. M. la R…</t>
  </si>
  <si>
    <t>…RCIO cias y los pueblos, á los encargados de la formación de la es­ B IB L IO G R A F IA . tadística, a los empresarios de varias industrias, á I09 propie­ tarios que hayan de emprender obras en sus fincas, á la juven­ BOLSA D E M A D R ID . E N S A Y O sobre la educación de la nobleza , que trasladó al tud estudiosa, y en general á toda clase de personas curiosas y castellano D. Bernardo María de Calzada. Esta obra es aplicadas. Los hombres profundos en las ciencias tendrán en es­ Cotización del dia 18 a las tres de la…</t>
  </si>
  <si>
    <t>…LETIN DE COM ERCIO . ! ib Afechia^ ipúi»eiií) 47, y^ cer muy poco ó de intentar demasiado. en la . e s ^ p i f e í a ( j d t í j GMÍetós-í ^ncábsu tcapitaleíI) Por esto sin duda después de dar una idea general del obje­ BOLSA D E M A D R ID . - ¿i del reino en todas las comisiones de la agencia literaria'? to y limites de la segunda enseñanza y de los institutos en que .. '--i;!.Oí ' .L\ £rapéood&amp;2¡to*te$93 .*ÍC \o tí! sL ? . g t y f b e o n o T ** __ _ . _ _. i . ^ * *. ' t&gt;t ruI t •■*.1”. j . ty*f l t j t r\ 4 i't • t…</t>
  </si>
  <si>
    <t>…ñores suscriptorcs al Guardia nacional, periódi­ w Al dia siguiente 9 de Marzo se celebró la ceremonia fúne­ co que se publica en Barcelona, á 4 rs. vn. tomo. bre. Aunque no se enviaron papeletas de con v ite, aunque los BOLSA D E M A D R ID . Para los que solo lo hagan á la obra, á 8 rs., periódicos no anunciaron la hora en que la com itiva debia p o ­ Cotización del dia 19 d las tres de la tarde. Concluida la impresión se venderá cada tomo á 10 rs. nerle cu marcha , una inmensa multitud acompañaba al carro Se suscribe…</t>
  </si>
  <si>
    <t>…o el viejo K osrew -bajá, se han que duque de la V ictoria, fechas 11 y 12 en Las Parras, sin ocurriese cosa particular; solo se estaba esperando el gran pronunciado de uoa manera bastante favorable á Mehemet-Alí. convoy BOLSA D E M A D R ID . J&gt;as comunicaciones hechas por la Puerta, á instigación del do el ejercito, que ha salido de esta, y se creia que entonces abasteci­ consejo, á los embajadores de las grandes Potencias tiendeo, se­ Hasta ahora lesse hace pronnneiaria el movimiento sobre el enemigo. buen tiempo, y se…</t>
  </si>
  <si>
    <t>…antes e r a m o s de creer con a lg u n o de nuestros mas d i s t i n g u í " rem on iales é in stru ccio n e s para poner el co lla r del toiso n á los escritores que los adóreo s mitológico s y otras bellezas de Sa B O L S A D E M A D R ID . gefes soberanos de esta orden 9 con un ep ítom e de la v id a de su misma índole que caducaron y a , puedan renacer con buen é x i ­ fu n d a d o r. T o d a ella se h a lla ilu stra d a cou extensas y a b u n d a n ­ to en la época prese nte; pero todavía distamos mas de la op i­ tes…</t>
  </si>
  <si>
    <t>…stían su culto BOLETIN DE COMERCIO. ó parte de este servicio, por ventajosas que parezcan, pues que todas las que se hagan han de someterse á la pública con cu r- los antiguos creyentes; que no esta en la pompa el espí­ BOLSA D E M A D R ID . rencia. ritu del cristianismo; pues por haber fundado catedrales Cotización del dia 20 á las tres de la tarde. n o fueron los antiguos Monarcas menos arrugantes y op re­ EFECTOS PUBLICOS. sores. Cristiauos ellos en la letra, nosotros empezamos á TEATROS. serlo en el espíritu, mer…</t>
  </si>
  <si>
    <t>…stablecimiento de Veeu— BOLETIN DE COMERCIO. despacho de dicha Imprenta. huizen en los límites de la Frisia. Comprende varios decretos, órdenes y circulares del Antes de exponer los datos importantes que he recogido en BOLSA D E M A D R ID . Gobierno y de las direcciones generales* las conversaciones que tuve con el general Van-den-Bosch re­ corriendo los establecimientos, creo muy del caso dar una idea Cotización del día 20 á las tres de la tarde. de la situación en que se encuentran en la actualidad las colo­ nias h…</t>
  </si>
  <si>
    <t>…común sin ellos.. . . . . . . . . . . . . . 20 momento para hacer presente al Congreso lo siguiente: A la rústica....................................... 17 Siendo de mi deseo el acatar las disposiciones del Congreso, B O LSA D E M A D R ID . En papel fino................................................... 20 hay una por la cual la discusión de ayuntamientos haya de ser En idem común................................. 16 preferida á otro asunto que no sea de contribuciones. En este Cotización del dia 19 á las tres de la ta…</t>
  </si>
  <si>
    <t>…r el ala de una mosca , y BOLETIN DE COMERCIO. i penas una sombra desfigurada. El prodigio se opera en el mismo instante, tau pronto como el pensamiento, tan rá­ 'D aguerotipo r tan poderoso como el microscopio, re­ ~ , BO LSA D E M A D R ID . pido como el rayo de sol quu va á dorar la árida, monta­ producirá ésa ala de mo. ca^ h dimensiones incotriensura- ña ó la flor entreabierta. Hay en la Biblia un hermoso bles. Ahora bien : ¿es menester referir todas las aplicacio­ Cotización del dia 21 á las tres de la tarde • pasaje…</t>
  </si>
  <si>
    <t>…r en el desempeño de aquellas insinuaciones. ¿P or qué pues, añadió, aplaudimos al mismo tiempo que lloram os? Resolvió esta cues­ RESUM EN DE LOS AR TICU LO S A N T E R IO R E S SOHRE E L R O M A N T IC IS M O . A T E N E O D E M A D R ID . tión, y puso otro ejemplo de un rústico que en una representa­ ción, creyendo que realmente contenía veneno la copa en que el Nos ha parecido conveniente reducir á ur» corto número de s e c c ió n d e L r r E R A T U R A .^ S m o w del 1 .° de M arzo de 1 8 3 9 . actor iba á beber, g…</t>
  </si>
  <si>
    <t>…tensión, sencillez y cla­ ciendo pasar la brillante comitiva y séquito de los Reyes que se ridad , y por el método filosófico con que se presentan las d oc- verán postrados adorando al N iño Dios recien nacido, á quien BOLSA D E M A D R ID . triuas, un nuevo tratado completo de química de mucha im­ de cuando en cuando tocarán y cantarán villancicos los pa*~ portancia y utilidad para el fabricante, el m édico, el farma­ Cotización del dia 20 á las tres de la tarde. torcillos, cuyos cantos y órgano se oirán también en la…</t>
  </si>
  <si>
    <t>…barato. Esta reme­ abuelos, lazos todos que los unen decididamente á la Península, sa, hecha por el celoso é ilustrado intendente de aquellas islas, es todavía sobran á E s p a ñ a , á pesar de su guerra c iv i l, medios BOLSA D E M A D R ID . un ensayo que nunca podrá el Gobierno apreciar bastan te, pues para sostener una dominación que no se le escapó en tiempos que debe traer entre otros resultados lisonjeros , el de libertar­ mas azarosos y difíciles. Cotización d el dia 21 d í a s tres de la tarde. nos del pesado tr…</t>
  </si>
  <si>
    <t>…na ley que te­ nia reLcion con los efectos que produjo la política de Carlos v BOLETIN DE COMERCIO. 1.° Un oficio de D. Gabriel Valbuena, Diputado electo y de Felipe it , en cuyos reinados fuimos á buscar á tierras ex­ BOLSA D E M A D R ID . por la provincia de León , en que manifiesta que estando en trañas uu metal precioso, dejando abandonada nuestra agricul­ esta corte para presentarse á desempeñar e te cargo, se ha vis­ tura , nuestra industria y nuestras poblaciones. Cotización del dia 19 á las tres de la tarde . to…</t>
  </si>
  <si>
    <t>…nto Francisco Soto, vecino que material de guerra, puede facilitarnos el necesario para el sitio fue de esta cindad, que se consideren con derecho á la suce­ que se pretende, teniendo la ventaja de proporcionarnos cuantos BOLSA D E M A D R ID . sión intestada desús bienes; y á Tomasa Carapoy, muger de carros son necesarios para la conducción. La ventaja de estar aquel*; ó quienes legítimamente les representen , para que unos la plaza de Cardona inmediata á la que se pretende atacar, y Cotización del dia 21 d las tres de la t…</t>
  </si>
  <si>
    <t>…refrán : la oveja sarnosa con­ menos en el curso de sus primeros ensayos, de sus primeras im ­ tamina todo el ganado.... Hé ahí el por qué no gusto del siste­ perfecciones. Después del regreso de Y. ha recibido su disci­ BOLSA D E M A D R ID . ma de A uburn. plina grandes modificaciones f y aunque aun se resienta de su ¿Preferiré el de Ginebra? Pero el sistema de Ginebra es la originaria severidad, los últimos informes de los inspectores y Cotización del dia 21 á las tres de la tarde. misma cosa, con la única diferencia…</t>
  </si>
  <si>
    <t>…r , la p r o lo n g a d a discusión so b re el canal de C astilla no es sín tom a d e n a d a , ni p u e d e BOLETIN DE COMERCIO. Idem 17 . a trib u irse á c a n s a n c i o ; p ero si com o a lg u n o s creen , fuera BO LSA D E M A D R ID . síntoma de q u e el C o n g r e s o co m ien za á tener re p u g n a n c ia Sigue en esta la d iv isió n , y no se sabe qué rumbo tom ará’ p or las cu estion es de p r i n c i p i o s , lejos de ser esto para n o­ Cotización del dia 22 d las tres de la tarde* lo cierto es que el gr…</t>
  </si>
  <si>
    <t>…mayor de R eatas, sita en el piso bajo de es­ S RES canciones jocosas para canto con acompañamiento de ta aduana, á hacer sus reclamaciones y demas que haya lugar, piano el C urriyo , la Aguadora y la Manola. Vahes para BOLSA D E M A D R ID . bajo apercibimiento de perjuicio. piano sacados de canciones españolas, el de la M anola, la A g u a­ dora , la Segunda dama duende y el del Contrabandista , á 2 Cotización del dia 25 á las tres de la tarde » reales cada uno, dichos para flauta. Rigodones para piano, Juzgado de Amo…</t>
  </si>
  <si>
    <t>…cinco que montaban con sus ar­ que se les señala; en la inteligeocia que de no verificarlo dentro reas y monturas: recomiendo á V. S. el mérito cootraido por de él sin mas citación ni emplazamiento, les parará el perjui­ BOLSA D E M A D R ID . cio que haya lugar. el teniente D. Basilio M ateos, y subteniente D. Antonio N o - g u e ira, cuyo parte circunstanciado daré. Cotización del dia 25 á las tres de la tardo AlTecibirlo tendré el honor de hecer á V. E. las recomen­ daciones justas que considere oportunas. Lo que se ha…</t>
  </si>
  <si>
    <t>…las administraciones de correos y principa­ respondencia á Salamanca , á fin de establecer el convenio con les librerías. Precio de suscripción 4 rs. al mes. suma claridad que aleje interpretación. BOLETIN DE COMERCIO. BOLSA D E M A D R ID . T OS suscriptores á la obra titulada Principios «leí derecho £^IEZMOS.=:Apéndice á las reflexiones sobre su continuación " civil de los romanos pasarán á la librería de 4a viuda de ó supresión ó modificación; contestación á nuevos argu­ Cotización del dia 23 á las tres de la tarde.…</t>
  </si>
  <si>
    <t>…qué instrumento se valieron primero los hombres para decencias, falta de adornos é inelegancia. reproducir los efectos de la belleza? Del mas universal, del mas La perfección de una obra artística consiste pues, asi como BOLSA D E M A D R ID . conocido, del mas expedito de todos: del lenguaje. Asi es que las bellezas naturales , en la correspondencia de las partes con encontramos la poesía, propiamente dicha, y la versificación el todo, de tal manera que el Ínteres se sostenga y se aumente en todos los pueblos aun desde los…</t>
  </si>
  <si>
    <t>…9 a ñ o s , que por su obesidad enorme ha llamado la atención en todas las partes hasta fines del siglo xtti. S u auto r, haciendo el debido aprecio donde ha estado, la sociedad ha dispuesto una variada fu n ció n , B O LSA D E M A D R ID . de la Bibliotheca v e tus , del incomparable D . Nicolás A ntonio, en la que tomara parte el indicado actor , y será como sigue: sigue su método y adopta sus especies, en cuanto son c on fo r­ 1.° Una brillante sinfonía. Cotización del dia 2 4 á las tres de la tarde. mes con las q…</t>
  </si>
  <si>
    <t>…cleto T o r o n , juez de prim era instancia de la c i u - cen , ah erro jad os, abrumados bajo el peso de sus crímenes , y ^ dad de V alladolid y su partido. acompañados de la m aldición y execración de los hombres. B O L SA D E M A D R ID . Por el presente cito , llamo y emplazo á Pablo T e je r o , maes- C inco años de guerra c iv il, las corrientes de los rios que ro sastre que fue en esta ciudad , para que en el térm ino de cruzan la Península enrojecidas cou sangre española , media Cotización del dia 25 d las tres…</t>
  </si>
  <si>
    <t>…. comunicaciones que hace Y . E. en su oficio núm. 1026. ( L o deseos de que exista la mayor armonía con todos los gefes que que sigue está en cifra). dirigen sus arm as, y suplicándole dispense su gracia al b rig a­ B O L SA D E M A D R ID . SS. MM. y AA. continúan sin novedad en su importante dier Balmaseda sobre las faltas que pueda haber cometido antes salud , y el martes último fueron á dormir á Zornoza , en don­ y después de su separación de estas provincias , con el fin que Cotización del dia 25 á las tres de la t…</t>
  </si>
  <si>
    <t>…presentarse en este trasmiten el contagio con sus dedos á muchas parturientas (de teatro no pretende de ningún modo rivalizar con el acred i­ que cita muchos ejemplares S w ed ieau r); para los profesores en C A JA DE AHORROS D E M A D R ID . tado actor que felizmente ha creado el papel de el hombre gor­ fin que curando úlceras.sifi íticas propagan el virus á otros en ­ do; por lo que espera que el público le favorecerá con su i n ­ fermos, y aun ellos mismos se han visto víctimas de la infec­ D om ingo 2 5 d e A gosto d…</t>
  </si>
  <si>
    <t>…este doloroso BOLETIN DE COMERCIO. cualquiera de los compendios incompletos que pwede llegar £. sus manos. Conociendo lo perjudicial de ambos extremos resol­ suceso gimen hoy en la miseria, se ha abierto en Badajoz una BO LSA D E M A D R ID . v ió dedicarse á la com posición de una obra que por s® método* suscripción voluntaria , colocándose al frente de ella el capitán científico, y por la exactitud de sus ideas fuese capas de me­ general D. Santiago Mendez de V i g o , autor de tan filantrópi­ co pensamiento ; y se abre…</t>
  </si>
  <si>
    <t>…que nos han parecido muy sabias y oportunas, señaladamente la 7.a en que explica el fenómeno de B O L E T IN D E C O M E R C IO . las interferencias en la luz. Mr. Arago parece creer (pág. 17) la vuelta que los fenicios BOLSA D E M A D R ID . daban al A frica, navegando desde el mar Rojo por el cabo de Buen» Esperanza y por el estrecho de Gibraltar hasta la embo­ Cotización del dia 25 d las tres de la tarde • cadura del Nilo, en cuyo viaje, dice, gastaban tres años. E.ta es una cuestión de historia y de geograíia an tig u…</t>
  </si>
  <si>
    <t>…BOLETIN DE COM ERCIO. Es tan útil, y a u n necesaria esta obra ^ particularm ente á los eclesiásticos, que varios Excrnos. é limos. Sres. obispos la h a n tarse los mas maduros, se Ies pegaria la arena y otras sucieda­ BOLSA D E M A D R ID . adoptado, para sus seminarios. Su precio 4rs. rústica. des qu esería trabajoso remover. La agilidad que adquieren con Se hallara en M a d rid en la im p ren ta y almacén &gt;de libros la práctica les hace tr e p a r con una p ro ntitud admirable* que fue de F u enten ebró, calle de F u…</t>
  </si>
  <si>
    <t>…lo innecesario, sino ademas peligroso, el jurado de acusación. arma tan peligrosa, cuando sobran por otro lado los medios de Después de cinco años de guerra civil y de tantos bullicios y publicar libremente las ideas. B O L SA D E M A D R ID . asonadas , en que casi siempre ha sucumbido la causa del orden L a publicación de obras sobre religión form a el objeto del y de las ley es, el Gobierno y los tribunales inspiran menos te­ título 13. Se ha conservado en esta parte sustancialm ente lo es­ Cotización del dia 25 á las…</t>
  </si>
  <si>
    <t>…te al buzón del correo, y en todas las capitales en Tropa de los de Canica, en el fondo BOLETIN DE COMERCIO. que residen audiencias territoriales. De su campo encerrada, apercibía Sus brazos á la lid , en quietud honda BOLSA D E M A D R ID . Sumida al parecer; alti aguardando /C O M P E N D IO de anatomía general y descriptiva, seguido De la aplazada noche el lento arribo, ^ de uo Arte de disecar, obra original que contiene todos Y ansiada escuridad............................. Cotización del dia 27 d las tres de la t…</t>
  </si>
  <si>
    <t>…CO M ERCIO . bilita á lo s súbditos de ambos Monarcas para sucederse m u tu a ­ ' • ■ 3.0-' ' mente en todo géoero de bienes y derechos. U n cuaderno en 4.3 Las boleras dd Bajelito, por la Señora Diez y el Sr. Casas. BO LSA D E M A D R ID . impreso en 17 8 5 á 2 rs. en rústica. ’ C otización d e l dia 2 7 á la s tres d e la tarde• i ' 4 .° / ; ; Convenio entre SS. M M . Católica y B ritán ica para el ar­ reglo definitivo de k s reclamaciones de súbditos ingleses y espa­ LA SO LTERO N A , EFECTOS PUBLICOS. ñoles, en…</t>
  </si>
  <si>
    <t>…mas necesitados. siempre que las unas y los otros se encuentren en las apu­ BO LETIN D E CO M ER CIO . radas circunstancias en que nosotros nos encontramos. Los cuerpos colegisladores pueden elegir de estos dos medios BOLSA D E M A D R ID . el que menos inconvenientes ofrezca; pero desecharlos A N U N C IO S. am bos, es absolutamente im posible. Esto es lo que según Cotización del dia 28 á las tres de la tarde » nuestro m odo de ver no han reflexionado bastante los se­ L GENIO D EL CRISTIANISMO. Revista Católico-Socia…</t>
  </si>
  <si>
    <t>…C O M E R C IO . un abono de 1 5 0 Cada función en páginas de impresión, igual carácter dé letra que el de este 6 rs. 17 mrs. 33 rs. 46 por 100. 29 rs. prospecto y buen papel. Se dividirá en tres cuadernos de 100 BOLSA D E M A D R ID . páginas poco mas ó menos. Queda abierta la suscripción á di­ dias cha obra desde este d ia , y los Sres. suscriptores podrán recoger Cotización del dia 27 d las tres de la tarde. el cuaderno 1.° el dia 15 de Abril próximo: el 2.° en 15 de M ay o , y el 5.° por todo el mes de Juni…</t>
  </si>
  <si>
    <t>…a en ambos eucueutros de parte de d i­ glada á nuestro teatro por D. Ventura de la Vega , titulada chas secciones, (ü . M . de V .) BOLETIN DE COMERCIO. A C E R T A R E R R A N D O t&gt; EL CA M B IO D E D IL IG E N C IA . BOLSA D E M A D R ID . V a lenda 2 l de M ayo . Intermedio de baile nacional; terminando la función con Cotización del dia 28 d las tres de la tarde. un divertido sainete. (Extracto de partes recibidos en la capitanía general.) EFECTOS PÚBLICOS. El enmendante militar de Gérica avisa en parte del 19 la I…</t>
  </si>
  <si>
    <t>…TIN DE COMERCIO. por la misma compañía vocales del consejo de subordinación llevar armas. Exceptúanse de esta disposición los gefes, oficiales y disciplina ; y si estos no fuesen suficientes, se completará su y sargentos. BOLSA D E M A D R ID . número con los de mayor edad de aquella. Art. 65. En el mes de Enero de cada año los nuevamente Art. 42. Para ser propuesto comandante de batallón , es­ alistados prestarán al frente de su cuerpo y bandera ó estan­ Cotización del dia 28 á las tres de la tarde. cuadrón y brigada, los…</t>
  </si>
  <si>
    <t>…o princip al; durará hasta el amanecer. N o soy yo quien sienta el calor con que se han disputado Los billetes se despachan en el mismo local, y en la calle en varios pueblos las elecciones para la renovación de ay unta­ BOLSA D E M A D R ID . de C arretas, frente á correos, casa del tasador de joyas Gaseo* mientos ; prueba que saben aguardar el dia en que pueden dar un voto de censura á los que antes merecieron su confianza. N o Cotización del dia 29 á las tres de la tarde. desconozco los medios con que á las veces se triu…</t>
  </si>
  <si>
    <t>…una de las calles mas bu­ un populacho desenfrenado intenta atropellar las leyes, las a u ­ lliciosas del inundo. Otra calle muy ancha y larga hay en Cons- toridades deben reprimirlo por la fuerza. Si estas autoridades B O LSA D E M A D R ID . tantíoopla que atraviesa toJa la ciudad, pero no se hallara' están legítimamente establecidas, ésto es, el heredero del trono Cotización del dia 29 á las tres de la tarde• otrocmmtraste mas sorprendente que el que presentan estas dos en los países monárquicos, el elegido en los elect…</t>
  </si>
  <si>
    <t>…ert y Diderot, no po­ BOLETIN DE COMERCIO. del mismo. drá negarse que sirvió con no pequeña utilidad y con 5.° El importe de las cantidades en favor de los imponen­ buen éxito á la causa que sus patronos y colaboradores BOLSA D E M A D R ID . tes en 1.° de Enero del propio año. habían abrazado. Siendo un resumen de todos los conoci­ 6.° El importe de las imposiciones durante el año vencido. mientos humanos, en cuyas columnas se encuentran n u ­ Cotización del dia 29 d las tres de la tardo* 7.° El de los reintegros efectu…</t>
  </si>
  <si>
    <t>…ERCIO. corregida por el Dr. D. Benito Francisco de Castro y Barbei- to. Son cuatro tomos en 4 o &gt; edición de 1795 y 96 á 75 rs. en Asimismo se c ita , llama y emplaza á D. Angel Morales y pergamino y 85 en pasta común. BOLSA D E M A D R ID . Esta o b ra, que puede llamarse única en su clase, es según D. Jorge Mancebo y Navia, y D. José María Gómez y D. t e - su corrector útil y aun necesaria para todos los sugetos que Cotización del dia 28 d las tres de la tardo* lix G arcía, para que en el término de nueve dias, que po…</t>
  </si>
  <si>
    <t>…u ld - a lí, Szamar, un real diario. D u g j i , M essuis, Chararat, Venuzaler, A jil el Chem ul, M a- Varios ejemplares de las obras de medicina y jurispruden­ nalí y otras. Entre todas componen por lo menos 1000 hom ­ BO LSA D E M A D R ID . cia que convenga á los pupilos consultar para m ayor adelan­ bres aptos para la guerra , y la Siria no se ha visto jamas li­ Cotización del dia 50 á las tres de la tarde * tamiento y lustre de sus estudios, estarán siempre á su dispo­ bre de sus irrupciones y tiranía , hasta que M e…</t>
  </si>
  <si>
    <t>EMADRID</t>
  </si>
  <si>
    <t>…uerto de los Estados-Unidos lo lleven Diez y nueve tomos en 8 .° y un cuaderno á 153 rs. en rditica. en barriles de mas de 15 galones, pues de lo contrario no Esta colección está compuesta de los autores y materias si­ BO LSA D E M A D R I D . se les permitirá hacer el desembarco del género sin una or­ guientes, que se venden sueltos en la forma y precios que se den especial del Ministro de Hacienda. (Id.) Cotización d e l dia 3 1 d las tres de la ta rd e expresarán. - - del Ministerio de Gracia y Justicia declarando que…</t>
  </si>
  <si>
    <t>…a n t e , y el éter no e: BOLETIN D E COMERCIO. I p O R providencia del Sr. D. Angel Robles y Muñoz , juez a zul , sino ne gro cu an do brillan en él las estrellas. de primera instancia de la villa de Orgaz y su partido, BOLSA D E M A D R I D . d e 2 8 de Junio actual, se cita á todos aquellos que se crean acree­ No es menos bella la comparación de la n u b e , forma­ Cotización del día 2 á las tres de la tarde. dores y con derecho á los bienes que han quedado por fin y da por el vapor de la piedra que descompuso en el íue…</t>
  </si>
  <si>
    <t>…n embargo que el amor á las ciencias y á la ilustración se dos y maléficos. BOLETÍN d e c o m e r c i o . . generalizó en todas las clases inmediatamente, porque mas 1 Si en las ciencias canónicas no hemos publicado un BO L S A D E M A D R I D . bien debia considerarse que en aquel tiempo se arrojó y I Cabalario, no era porque faltasen hombres capaces de pro­ esparció una copiosa semilla que hubiera dado los mas ducir escritos excelentes, sino poique la libertad de im ­ Cotización del dia 5 á las tres de la tarde abundant…</t>
  </si>
  <si>
    <t>…que tienen tículos siguientes adornados con dibujos y grabados o rig i­ hechos. BOLETÍN DE COMERCIO. nales. Usos y trajes provinciales.=:Los gallegos. I d e m 2 d e N o viem b re, Las divisiones 4-a del Norte y 2 .a B O L SA D E M A D R I D . Revista teatral. del Ceniro al mando del general O’Donnell continúan acantona­ Costumbres va scongadas.:=: Artículo quinto y último. das en Fortanete y V illarroya , y la división Hoyos en C am a­ Cotización d e l dia 6 á las tres d e la tarde • Poesía.=La mendiga. rillas , ocupadas…</t>
  </si>
  <si>
    <t>…MERCIO. brillante al cielo oriental, y por la variedad, por la in­ tado á ellas, es mala fe de los disputantes, pues lo suponen constancia al nómada de Africa. únicamente para tener ocasión de hacerlos ridículos. Pero B O LSA D E M A D R I D . La lucha entre los españoles de los reinos de León, de ya el romanticismo va tomando otro carácter; ya no es un Navarra y de Aragón y los moros, constituyó un fondo furor de desatinar contra la moral, contra el decoro de Cotización del dia 8 d las tres de la tarde* épico en el que…</t>
  </si>
  <si>
    <t>…rchasen á situarse en la Valí de hallaban entonces las dos potencias que se disputaban el im­ Masaluca freote a Batea , punto por donde transitan las par­ perio, la cristiandad y el mahometismo. A q u i, aqui está la di­ BO LSA D E M A D R I D . tidas de voluntarios realistas que Cabrera ha establecido en al­ ficultad: pruébesenos que el sumo Pontífice debió contentarse gunos pueblos del alto corregimiento de Tortosa , para ver si con enviar misioneros á los mahometanos, mientras ellos en­ Cotización d el dia 9 d las tres de…</t>
  </si>
  <si>
    <t>…udad y su partido. Sevilla 29 de N o ­ U na crónica., &lt; BOLETIN DE COMERCIO viembre de 1839.—Ju an Fernandez Santacruz. L a Z eb ra, historia natural. í&gt;e suscribe en M adrid en la librería de C uesta, en la estam* B O L SA D E M A D R I D . Mayorazgos, pería de Valle y en la redacción , calle del P rín cip e, núm. 15, Cotización del dia 9 á las tres de la tarde cuarto segundo de la izquierda. En las provincias en las a d m i­ • 1.° El que en el térm ino de la villa de H u e v a r, de esta nistraciones de correos y pr…</t>
  </si>
  <si>
    <t>…opio, BOLETIN DE COMERCIO. tancia en esta c a p ita l, refrendada del escribano de número D o a José García Varela , se saca á pública subasta por término podrá entrarse en negociaciones sobre este punto; mas en cuan­ BOLSA D E M A D R I D . de 20 dias una casa en esta poblaciou y su calle del Goberna­ to á lo pasado, es evideute que las autoridades chinas han vio­ do r, núm. 5 viejo y 9 nuevo, manzana 250, que tiene de si­ lado el derecho de gentes apoderándose del opio de los comer­ Cotización del dia 12 d las tres d…</t>
  </si>
  <si>
    <t>…a­ BOLETIN DE COMERCIO. R oberto D e v e r e u x , que nos ha puesto en gana de oir la ópe­ m e n te satirizó en este verso. Solo po n d rem o s u n ejemplo r a : su voz es extensa y de muy buena calidad: acaso en el L i­ BOLSA D E M A D R I D . p a ra justificar n u e s tra o p in ió n ; p ero se hallan con harta ceo comprendimos todo lo que puede hacer en el teatro. El znismo con el Sr. D. Manuel de Herrera cantó perfectamente frecuencia en las comedias de este poeta otros vestigios se- Cotización del día 13 d las tres de…</t>
  </si>
  <si>
    <t>…ada los demas p or aquella sonrisa apacible q u e le caracte­ BOLETIN DE COMERCIO. ¡U N A V IE JA ! rizaba. Para d a r fin á este artículo , que i n te r r u m p e ya la sen­ Su autor D. Manuel Bretón de los Herreros. BOLSA D E M A D R I D . sibilidad agitada con el recuerdo de tanta b o n d a d , co n­ Intermedio de baile; terminando la función con un diver­ c lu iré diciendo que á su m u e rte es cua nd o efectivamente Cotización del dia i¿\ d las tres de la tarde• tido sainete. lian quedado mas incontestables las verd…</t>
  </si>
  <si>
    <t>…e exija para BOLETIN DE COMERCIO. Se venden en la librería de H urtad o , calle de Carretas. sí. Los memoriales serán dirigidos al síndico procurador de la misma, y se recibirán hasta í.° de Diciembre próximo, entran­ BOLSA D E M A D R I D , do á ejercer la plaza desde 1.° de Enero de I 84O. TV'OVISIMO manual del comerciaote , ó reducción de pesos, Cotización d el dia 17 á las tres de la ta rd e • medidas y monedas, tanto nacionales como extrangeras, que comprende muy por extenso la de reales vellón á pesos de EFECTO…</t>
  </si>
  <si>
    <t>…on g a n ot ros mucho»” , son los medios que propone la M e m o ­ el interés del dueño no se vea coartado con ve j a c i ones , regis­ tros, aforos y con e! p go de exorbitantes derechos triples y c uá ­ C A J A D E AHO RRO S D E M A D R I D . ri a en la 5 a proposición. A u n q u e lo va go de e&gt;tas i nd i ca c i o­ nes no les da g r a n v a l o r , no pueden dejar de a p oy a r s e; pero drupl es del valor de su producci ón: de este i noJo no d u d a n las D om ingo 18 d e A gosto d e 1 8 5 9. siendo muchas y m u y d…</t>
  </si>
  <si>
    <t>EMANOL</t>
  </si>
  <si>
    <t>…1828. U n cuaderno en 4 .°, unpreso en 1 8 2 9 á 3 rs. rústica. 5 .° “•- - : ■" ' difziseisavos con cupones al contado: 2 6 f , 2 5 f , f , 2 6 tres dieciseisavos, , 2 7 . 2 G} , once dieziseisavos y 2 7 ^ á L A T R A G E D IA D E M A N O LO . v. fs. vol. y firme: 2 9 ¿ , 2 8 , 2 6 j , 29 | y 50 á v. fs.'ó vol. á prima de §■ , T y 1 por 1 0 0 : 27 á 6 0 d. f. ó vol. antiguos con B IB L IO G R A F IA . sainete div ertido , que será desempeñado por las partes p rin c i­ cupones. pales de la compañía. ; P A N O R A M A de la…</t>
  </si>
  <si>
    <t>EMARZO</t>
  </si>
  <si>
    <t>…sde la dimisión las armas. d’Huart, no figura en ellos, pues la víspera dio de Merode su dimisión, que aceptó el Rey. C O R R E S P O N D E N C IA DE LA GACETA. Los dos proyectos de ley antes mencionados han pasa­ M A D R ID 4 D E M A R Z O . do á las secciones, después de una discusión bastante aca-i Santander 26 de Febrero. Los rebeldes tratan de refor­ lorada. mar el camino de Guriezo á A m p u ero , con la idea de llevar Cuando por consecuencia de los acontecimientos de artillería á Ramales: con este objeto han convoca…</t>
  </si>
  <si>
    <t>…Jos descubridores, ofrecieron flechas, ca­ de los Arkansas, en donde se habian detenido lumets, flores y espigas de maiz al Nilo de sus desiertos, y to­ te. Continuando su rumbo anduvo otras 100Joliet y Marquet­ M A D R I D 8 D E M A R Z O dos juntos saludaron al padre de las aguas: los indios no veian al término del rio: sus compañeros estaban asombrados; leguas sin llegar otra cosa que án r i ó ; pero sú§ compañeros veian en él todo un Lasalle siguió su marcha, y después de una travesía de 400pero le­ mundo.Cuéntase qu…</t>
  </si>
  <si>
    <t>…'d i­ cho-pueblo aaosr¿4# cábaíluS de la ifaceiorqde Felipe;: sé decidió t.° Q u ed a d erogado el a r p . j 3(|d e ‘m i; R e d í^ c r e tp d e á sostenerse y defender la población con solo ochp yecínos, a r - M A D R ID 9 D E M A R Z O 29 ,de E n ero ^ d el añ o p rq x in íó p a s ^ d o d e J L 8 , 3 ^ * ! i m ado®que á =1a sazon habia dentro de ella ; pepo, que '.reunidos 2.° E l trig o y h a rin a s ..pípcedeq^^de.-dááídslas Balear al fim hasta el número dé 2 5 , salió.á atacar ai eiie|nigp. en su res gozarán de…</t>
  </si>
  <si>
    <t>…ores pedida ia palabra , se señaló su continuación para la no­ sensación terrible y aun dolorosa que produce en nuestra alma che del viernes 15. la situación de los personajes de un dram a, sin que esta sensa­ M A D R ID 2 2 D E M A R Z O . ción nos impida juzgar del mérito del poeta y del actor en el desempeño de aquellas insinuaciones. ¿P or qué pues, añadió, aplaudimos al mismo tiempo que lloram os? Resolvió esta cues­ RESUM EN DE LOS AR TICU LO S A N T E R IO R E S SOHRE E L R O M A N T IC IS M O . A T E N E O D E…</t>
  </si>
  <si>
    <t>EMAS</t>
  </si>
  <si>
    <t>…preparativos de la gu e rra . franceses al hablar de nuestras costumbres y usos modernos, y Siendo esto asi, la cuestión de cuál será la m a n era en los de Scribe, y en esta pieza sobre todo: y si al mudar la G R A N B A IL E D E M A SC A R A S, m ejor posible de gob ernar en estas circunstancias nos pa­ época , hubiera cambiado los caracteres, hubiese tenido que va­ calle de M aría Cristina , mim. 4 9 cuarto prin cipal , casa riar también el argumento y hasta el enredo de la pieza , lo que rece m uy sencilla: 110 porqu…</t>
  </si>
  <si>
    <t>…par. El Ciudadano. Periódico semanal en cuadernos de cuatro Santander, U d. pliegos en 4.0, publicado en Madrid en 1 8 5 6 : consta de seis A licante, par. Santiago, 2 id. cuadernos ó números: su precio 4 rs. G R A N B A IL E D E M A SC A R A S Barcelona, á ps. fs., * á b. par. Sevilla, ¿ b. En el primero se halla la Constitución antigua española y B ilbao, 1 * d. V alencia, par. en los demas varios artículos de general Ínteres. * EN E L SUNTUOSO SALON DE VILLAHERMOSA. Cádiz, par á * . b. Zaragoza, 1* papel d. Hoy mar…</t>
  </si>
  <si>
    <t>EMASCARAS</t>
  </si>
  <si>
    <t>…ñas de Nepaul pueden venir á ser una Navarra para la India. e jé r c ito , con ta d u ría g en era l d e valores y d e distrib u ­ Entre los oficiales ingleses hay muchos que son de opinión c ió n $ c . # c. G R A N B A IL E D E M A S C A R A S de que el Gobierno de esta colonia no está preparado para sos­ tener tres guerras de tanta importancia en tan opuestos y leja­ EN E L SUNTUOSO SALON D E Y IL L A H ER M O SA . nos puntos. Habiendo estado poco tiempo en Malabar , y ha­ ciendo apenas un mes que me hallo en Bengala, n…</t>
  </si>
  <si>
    <t>EMASCARASM</t>
  </si>
  <si>
    <t>…es sables, municiones y algunas Art. 5.° Queda sin efecto toda la legislación an terio r, en ropas. cuanto se oponga á lo dispuesto por la presente ley. Habiendo dispuesto el gefe de la columna de operaciones G R A N B A IL E D E M A S C A R A S M adrid 25 de Enero de l8 5 9 .= P io Pita. del distrito de Navahermosa , D. Antouio A m ie b a , la salida á las dos de la mañana del 4 de la compañía de tiradores de Casti­ EN EL SUNTUOSO SALON DE VILLAH E RM O SA. lla al mando de su capitán D. Rafael G arc ía, logró este enco…</t>
  </si>
  <si>
    <t>EMAYO</t>
  </si>
  <si>
    <t>…ral segundo cabo.=Manuel Bretón. {Id.) pia. zzEí B. C. G . , Garrido. media titulada E l R am illete y la Carta. Su objeto no es otro , como el de todos los de su clase, que entre tener ag ra­ Idem 2 de M ayo. M A D R ID 1 1 D E M A Y O . da blem ente un par de horas al espectador, sin que este se acuerde concluida ia pieza ni del título que tenia, ni de Abrióse por fin el establecimiento tan útil como necesario, la idea que la ins piró, si es que alg una pue den ten er es­ que \ a abriga un número (aunque corto) de be…</t>
  </si>
  <si>
    <t>…ro izquierdo se ha disuelto, no ha g o , puedo asegurar que las negociaciones concernientes á los cluye votando en la corona ni en el partido de los 2 21 , y cou- contra el proyecto de mensaje. La libertad, d i­ M A D R ID 1 6 D E M A Y O . negocios de Ilannóver no están todavía concluidas. Podéis estar ce, ha sido conquistada; mas ella no ha conquistado su mo­ convencidos de que se mantendrá el estado legal, y que no hay do de obrar; y el valor verdadero consistiría, no en pasarse á motivo alguno para concebir los temores…</t>
  </si>
  <si>
    <t>…a de Bellin relativa á la carta general de bía tocado en algún parage, en razón de tener completa 1742 dice al tratar del peligro del cuarto cuadrante, «los confianza en la veracidad de mi anciano mayordomo; el M A D R ID 2 4 D E M A Y O . holandeses le sitúan ocho leguas al SSO del Cabo.” error consisiia únicamente en el recuerdo del nombre.” DATO QUINTO. Ninguno de los datos antiguos y modernos fija la si­ DIRECCION DE HIDROGRAFIA. tuación En la carta de las costas de España y Portugal del ta general del Bajo de un mod…</t>
  </si>
  <si>
    <t>…vechar tan oportuna ocasión para hacer b rillar su parar arm as, y no se descuida n in gun a m edida para conservar ja tranquilidad del pais. {Id.) ingenio y trabajos artísticos con ven taja propia y glo ria del M A D R ID 29 D E M A Y O . p a is , contribuyendo á éste nuevo testim onió publicó del grado de perfección fabril y artística á qué h a llegado y a C ataluñ a , y de los ulteriores progresos que son de esperarse del genio y a p li­ Pocos asuntos pueden ofrecerse á la inspiración del poeta , á Un periódico de E…</t>
  </si>
  <si>
    <t>EMAYODE</t>
  </si>
  <si>
    <t>…tación en el término de figurines, una de señora, otro de caballero y otro de muebles, nueve dias, Ies causará entero perjuicio la sustanciacion del carruajes ó máquinas: y el núm. 9 que acaba de publicarse, M E D A L L A A L 2 D E M A Y O D E 1803. sumario. contiene el modelo ilum inado del monumento que se acaba de construir en el Prado , en memoria de las víctimas del 2 de N ú m e ro s . C a n tid a d . La sociedad numismática que dirige D . Basilio Sebastian M ayo de 1808. Castellanos, anticuario de la biblioteca n a…</t>
  </si>
  <si>
    <t>EME</t>
  </si>
  <si>
    <t>…arroz, á la Sra. condesa de Torrealta, Por providencia del Sr. intendente subdelegado de Rentas, , 4^2 pos cucuruchos de terciopelo bordados de oro, á la juez de Amortización de esta provincia , y para dar cumpli­ DICCIONARIO D E M EDICINA Y CIRUGIA PRACTICAS. Sra. Doña Josefa Fernandez de Córdoba. miento á un despacho del Sr. intendente de la provincia de Sevi­ 594. Un cuadro con ao dechado, á la Sra. Doña Beatriz lla, se cita, llama y emplaza á D. Pedro María Tremens y Entrega 17 del tomo 2.* Dele de Cabañil las. D. A…</t>
  </si>
  <si>
    <t>EMEDI</t>
  </si>
  <si>
    <t>…comercio que sucesivam ente d e b e rá n extenderse y tejos de que en otro lugar hablamos. (Id.) estrecharse con las nuevas R epúblicas am ericanas, necesi­ DICCIONARIO ta forzosamente en sus intereses industriales y m ercanti­ D E M E D IC IN A Y D E C IR U G IA P R A C T IC A . les de la protección de la m arina, fbto en cuanto al in ­ Los naturales y propietarios de las provincias Vascongadas terés económ ico; pues seria una v u lg arid ad , como cosa residentes eu M adrid se hao reunido coa objeto de celebrar los Entrega…</t>
  </si>
  <si>
    <t>…era­ hacerse como incapaz de resistir tanta violencia; el blemente la velocidad de la corriente, de modo que DICCIONARIO Movimiento trémulo de las rocas se siente en los pies; el agua proyecta violentamente sobre una roca per­ D E M E D IC IN A Y D E C IR U JIA PR A C TICA . el ruido esparcido en todo el horizonte se oye dis­ pendicular, de 90 á 100 varas de alto, en forma de tintamente, y el estruendo producido por el golpe una sábana igualmente extendida , y de una blancu­ Entrega 18 del tomo segundo. de las aguas en aque…</t>
  </si>
  <si>
    <t>…DICCIONARIO ongas : Palma , Gelabert: Reus , Angelón : Santander , Otero: decoración y trajes. Salamanca , Moran : Santiago , Rey-R om ero: Sevilla, editor coración. 5. ^ Las Rosas , sexta tanda de walses de Strauss, con de­ D E M E D IC IN A Y D E CIRU G IA PRACTICAS. del Sevillano: T arrag o n a, G rannell: Toledo , Hernández: V a- 6. El acto tercero de la opera I Capuleti ed i Montechi , ENQUINCEVOLUMENES. lencia, editor del Diario mercantil: Valladolid , Pastor: Valls. del rtaestro Bellini; por las Sras. Villó, Lo…</t>
  </si>
  <si>
    <t>EMENDI</t>
  </si>
  <si>
    <t>…e ha servido S. M. señalar el dia 5 0 del-cor­ FUNCION EXTRAORDINARIA, riente á las nueve de la mañana para que en la plaza de la O b r a s que se h allan d e v en ta en e l d esp a ch o y alm acén A B E N E FIC IO DEL A SIL O D E M E N D IC ID A D Eonstitucion se efectúe la solemne quema de documentos de la d e la Im p ren ta N a cion al. deuda pública endosable contenidos en el suplemento á la G a ­ ceta de 2 2 de Abril últim o; habiéndose segregado el señalado Convención para e x p lic a r , ampliar y hacer efectivo lo e…</t>
  </si>
  <si>
    <t>EMENDICIDAD</t>
  </si>
  <si>
    <t>…in v a d ir : la segunda brigada de la división FUNCION EXTRAORDINARIA, Borso está hacia los T W ja s: y parte de su caballería ha llegado Convenio entre SS. M M , Católica y Cristianísima para a r ­ A BENEFICIO D E L A S IL O D E M E N D I C I D A D , h oy á esta plaza pidiendo dinero. reglar el pago de la deuda , en virtud de los convenios de 1824 que en este se citan. Un cuaderno eo 4*° impreso en 1 8 2 9 , á 2 reales en rústica. DE SAN BERNARDINO, C olegio sem inario d e H u m a n id a d es en la plazuela Corresponde…</t>
  </si>
  <si>
    <t>Emeritensis, Casti Gonzalessi</t>
  </si>
  <si>
    <t>Casti Gonzalessi Emeritensis</t>
  </si>
  <si>
    <t>…n sencillez , modestia y claridad, su modo de pensar en las diversas materias que comprende su obra. r de Por el presente, y en virtud de providencia del Sr. D. M i­ guel María D u rá n , refrendada del escribano de! número Don Casti Gonzalessi Emeritensis compendiaría in graeciam, José Rodríguez Solano, se cita, llama y emplaza á todos los via , sive praestaotiorum linguae grecae scriptorum noíitia, ad que se crean con derecho al mayorazgo titulado de Velaboa, usum hispanae juventutis. Un tomo en 8.°, edición de 1792 á en…</t>
  </si>
  <si>
    <t>EMETTERNI</t>
  </si>
  <si>
    <t>…e mueven por simpatía ; luego ha de pin­ DE LOS ASUNTOS DE ESPAÑA, tar lo que tiene en su im aginación ; es d ecir, ha de imitar los modelos que le ha presentado la naturaleza. ANUNCIOS. D IR IG ID A A 8. A . E L P R IN C ÍP E D E M E T T E R N IC H — L o mismo decimos del poema didáctico. ¿Q u ién lee á C o - Juwela sino los que quieren estudiar la historia del arte precio­ E L concierto en que han de rifarse las labores y objetos p ri­ POR D. JOSE GARCIA DE VILLALTA. so de la agricultura , y conocer el estado en que se…</t>
  </si>
  <si>
    <t>EMI</t>
  </si>
  <si>
    <t>D IR E C C IO N G E N E R A L D E M IN A S B A L A N Z A M E R C A N T IL DE L A ISL A DE PUERTO-RICO I de 1838. I íüspeccion de Granada.=:Relacion de los registros, denun­ cios y adjudicaciones de minas que se han hecho durante el mes de Octubre último en los diferentes distritos que á conti­ Estado de los derechos marítimos…</t>
  </si>
  <si>
    <t>Emilia</t>
  </si>
  <si>
    <t>…arcía ; D. José Albarran # vecino de esta ciudad, y Don por el Sr. juez de primera instancia del partido al Sr. alcalde Fernando primero constitucional la denuncia hecha por D. José M axi­ derecho losGdos arcía, curador de Doña Emilia su sobrina, sobre primeros á suceder en el vínculo que fundó Do­ Núm . 15. Varios vecinos de Puebla Nueva se dirigen al mino del Castillo, vecino del Ferrol, de parte de un folleto im ­ Congrego manifestando que los facciosos se apoderan de las ca­ preso en 15 de A b ril, publicado por los…</t>
  </si>
  <si>
    <t>Emilio</t>
  </si>
  <si>
    <t>…es paralelos de la­ Primero f u e r o n llamados á la mesa de la presidencia Don isla de la Sonda, llamada Huen , que le habia sido cedida al as­ titu d , y los vientos reinantes en cada una de ellas, cuyo co­ Eduardo R u iz , D. Emilio D ía z , D. Permití Alarcou , D. José trónomo para su residencia; y e n 8 de Agosto de l5 7 6 s e puso la nocimiento es indispensable para d ir ig ir la derrota con acierto, de Torres, D. Antonio Cánovas y D. J u a n del Castillo , y el piedra fundamental del edificio. Este observatorio tiene…</t>
  </si>
  <si>
    <t>EMINISTROS</t>
  </si>
  <si>
    <t>…o q u e r ía el Gobierno responder á la nación ni conveniente que el Congreso decida este p un to . tru c c ió n . á n adie del tiempo m al in v e rtid o , si lo hubiese. Y a h o r a , seño­ El Sr. Presidente del C O N S E J O D E M I N I S T R O S : En el Y o , señ ores, propongo e sto , porque conozco el estado de re s, ¿ s e dice t o d a v í a , y no obstante esa m a n ife sta c ió n , que el estado en qu e se h a lla la d is c u s ió n , el Gobierno cree q u e debe c o s a s, estoy entrem etid o en estos negocios hace…</t>
  </si>
  <si>
    <t>EMO</t>
  </si>
  <si>
    <t>…el artículo siguiente; príncipe, y lo que es mas, a las injusticias de un amante dad y su partido &amp;c. celoso: que sabe sufrir con dignidad y hacer sacrificios Por el presente hago saber: Que en mi tribunal y oficio del TIPuSO D E M OLINA. que no esperaba ver premiados; en fin, que es el bello infrascrito penden autos pertenecientes á la testamentaría de la ideal de la ternura mugeril. Pero aun en esta comedia se difunta Doña María Teresa Gauche y M onroy, viuda que fue ARTICULO PRIMERO. conoce el genio maligno del autor.…</t>
  </si>
  <si>
    <t>EMODAS</t>
  </si>
  <si>
    <t>…parte fuera de la Confe­ tran un conocimiento dado por el capitán Rosé de San L unai- deración. La religión católica romana es la religión de estado re para conducir desde San Malo en su buque llamado la Barth P E R IO D IC O D E M O D A S , A R T E S Y OFICIOS. en Tejas; y antiguamente, e^to es, al principio de la indepen­ á Burdeos 51120 quilogramos de avena; recibos de la aduana dencia mejicana, ningún extrangero era permitido establecerse de Burdeos que acreditan el pago de derechos de la balandra la en Tejas sin pr…</t>
  </si>
  <si>
    <t>Empe</t>
  </si>
  <si>
    <t>…la misma, edición de 1792, á 8 rs. en CAMBIOS. juelas de la Península para el extraogero. (Num. 1727.) rústica. — del propio mioisterio para que los electos Diputados y Se­ 9.° Obras de Cristóbal de Castillejo, secretario del Empe­ nadores se apresuren á trasladarse á la corte, para lo cual se Londres, á 90 dias, 3 8 f din. C o ru ñ a, 1 | á 2 &lt;J. rador D. Fernando. Tomos 1 2 / 1 3 , edición de 1 7 9 2 , á 19 les faciliten por las autoridades militares los auxilios que re- P a ris, Í 6 -5 á 4* G ra n a d a , 1$ id. re…</t>
  </si>
  <si>
    <t>EMR</t>
  </si>
  <si>
    <t>…serables ca­ c á m a r a d e l o s d i p u t a d o s . — Sesión del día 5 de Abril. lumnias. L as noticias de Cristiania aouncian que el Rey recibe d ia- Esta noche á las nueve se formaron grupos en el boulevard PRESIDENCIA D E M R. DE G R A S-P R E V IL LE . riamante diputaciones de las diferentes ciudades de la Norue­ Saint-M artin. Algunos jóvenes, en corto número, se despren­ ga. Los individuos del ayuntamiento de Dronthein , en aten­ Se abrió á las dos y m edia, hallándose preseutes los M inis­ dieron de ellos; han…</t>
  </si>
  <si>
    <t>En, D. Juan José Rodríguez DEL TEATRO</t>
  </si>
  <si>
    <t>D. Juan José Rodríguez DEL TEATRO En</t>
  </si>
  <si>
    <t>…juicio que haya lugar. esta primera composición de un poeta aragonés: un público COLECCION DE LAS M EJORES OBRAS ilustrado va á juzgarla, y solo su aplauso puede ser la garan­ tía del acierto. p N virtud de providencia del Sr. D. Juan José Rodríguez DEL TEATRO En el 2 ° cuadro se estrenará una decoración que figura la mansión de Harpalús en el palacio encantado que la tradición Valdeosera, juez togado de primera instancia de esta ca­ coloca junto á Toledo en tiempo de los godos, pintado por Don pital, refrendada del e…</t>
  </si>
  <si>
    <t>En, Gíieseu y Posen.</t>
  </si>
  <si>
    <t>Gíieseu y Posen. En</t>
  </si>
  <si>
    <t>…ón catódica, los derechos de la Iglesia y la S an ta Sede en ia los cánones. I n c u lc a la obediencia al Soberano en todo lo que Los plomeros que tra b a ja b a n a y e r en la c ate d ral h a n sido ocurrencia del arzobispo de Gíieseu y Posen. En segundo lu g a r, tiene relación con los asuntos e s p ir it u a l e s ; pero al mismo tie m ­ presos esta noche y puestos en in c o m u n ica c ió n . elevamos vivas quejas contra la sentencia por ía cual los jueces po pide al Soberano Conceda la lib ertad de conciencia al clero…</t>
  </si>
  <si>
    <t>En, Joaquín Lorenzo</t>
  </si>
  <si>
    <t>Joaquín Lorenzo En</t>
  </si>
  <si>
    <t>…esta provincia, y cuyo paradero se ignora , para que en el K,ldare........................................................ 52 termino de 20 dias, contados desde la publicación del presente, Año cristiano de España, por el Dr. D. Joaquín Lorenzo En otras partes, varios. ........... 23 comparezcan personalmente en este juzgado á ser notificados y Villauueva; edición del año de 1791. Trece tomos en 8.° mar- air sentencia de la sala tercera de la audiencia territorial d€ quilla, incluso el de índice general, á 214 en pasta co…</t>
  </si>
  <si>
    <t>En, Lalande.</t>
  </si>
  <si>
    <t>Lalande. En</t>
  </si>
  <si>
    <t>…haya podido hacer lo Hembras de i d .................................. 1 En lo que llevamos pasado de este año, se ha notado m u­ Total de niños...................................... 4,407 que no habría conseguido el almirante Lalande. En cuanto al cha variedad en la temperatura con respecto á los anteriores; asunto del F a n g u a rd , el almirantazgo ingles no sabia nada eo M ovim iento de la población en 1857. ste ha observado anticiparse los truecos y relámpagos en el mes 29 de J u li o , y entre los torys tan susce…</t>
  </si>
  <si>
    <t>En, Latorre.</t>
  </si>
  <si>
    <t>Latorre. En</t>
  </si>
  <si>
    <t>…como es fácil tatito mas dignas de crédito por proceder de persona tan expe­ franco de porte, en todas las comisiones de la agencia lite­ advertirlo , hay un pensamiento filosófico. rimentada é inteligente en su arte como el Sr. Latorre. En fin, raria. Va auxiliada esta traducción de una gran copia de notas con e1 lenguaje que este emplea, aunque un tanto descuidado, es cla­ las cuales se explican los pasajes de difícil inteligencia, dándose ro , conciso y adecuado al objeto. razón de todo cuanto es necesario para ilustrarl…</t>
  </si>
  <si>
    <t>En, Perez de Castro.</t>
  </si>
  <si>
    <t>Perez de Castro. En</t>
  </si>
  <si>
    <t>…i b r a i r e s , ru é de R i e h e li e u y los E sta d o s -U n id o s : á la iz q u ie rd a la del M in is tr o de Estado ' de a y e r . 14 5 prés le P alais R o y a l e et le th e atre f r a n c a i s , y en B a y o n a Sr. Perez de Castro. En otro frente el m arques de M a l p i c a ; á Prim era sobre tom ar en consideración la p rim e ra proposi­ en las oficinas del Faro de B a y o n a , plaza de A r m a s , n ú m . 2 4 , su derecha la e m b ajado ra del Brasil ; á la iz q u ie rd a la del Señor ción del Sr. B e n…</t>
  </si>
  <si>
    <t>En, Pió Pita Pizarro.</t>
  </si>
  <si>
    <t>Pió Pita Pizarro. En</t>
  </si>
  <si>
    <t>…dencia general militar. Hacienda en 4 de Diciembre del mismo año de 1837, se su cumplimiento.= Rubricado de la Real mano. = En Pa­ acordase excluir este ramó del conocimiento de las juntas; lacio a 28 de Diciembre de 1838.=A D. Pió Pita Pizarro. En cumplimiento á Real orden se saca á pública subasta la y por lo tanto importa que estos comisionados lleven es­ construcción de 55(&gt;4 fornituras para el arma de caballería, pecial encargo de examinar todos los pormenores de esta igual número de cinturones y cordones para sable…</t>
  </si>
  <si>
    <t>EN, PRESID</t>
  </si>
  <si>
    <t>PRESID EN</t>
  </si>
  <si>
    <t>…de las cosas, creo que para el Ministro declarar regimientos de línea á los 48 de Milicias provinciales. canónica que en boca de un Ministro pudiera haber to­ que ha dedicado muchos días para determinarse á presentar este El Sr. PRESID EN T E : Antes de pasar al orden del dia mado 1111 carácter grave, y p m o en el lugar que corres­ asunto á la deliberación de las Cortes, es poco tiempo un año tengo que consultar al Congreso para que si le parece puedan p o n d ía , sin comprometerse por ello al Ministro de D ic ie m ­ pa…</t>
  </si>
  <si>
    <t>En, Rafael Maroto.</t>
  </si>
  <si>
    <t>Rafael Maroto. En</t>
  </si>
  <si>
    <t>…ción que causó en esta población la noticia recibida el 5 en la noche del convenio celebrado en V ergara entre el invicto du­ rendamientos anteriores al año de 1800 que en dicho mes ha que de la V ictoria y el teniente general D. Rafael Maroto. En adjudicado la junta á los mejores postores, según los resul­ el momento aparecieron ilum inadas las fachadas de las casas: diferentes bandas de música recorrieron las calles durante toda tados de los remates. SEMANARIO la noche tocando himnos patrióticos, siguiéndoles un inmenso N…</t>
  </si>
  <si>
    <t>En, Veraguas.</t>
  </si>
  <si>
    <t>Veraguas. En</t>
  </si>
  <si>
    <t>…e la Puente á ni en resultados á los de los años anteriores. Los socios á porfía Sr. D. Francisco Ruiz del Arbol. los redactores del Correo Nacional . se han ofrecido á servir las cátedras, y aunque esta especie de Sr. duque de Veraguas. En otras diferentes sesiones ha tratado también la sección enseñanza no sea la mas á propósito para que los discípulos adquie­ Zaragoza. de los objetos siguientes: de la posibilidad de alimentar á los ran en algunas materias una instrucción elemental, las diserta­ gusanos de seda con la…</t>
  </si>
  <si>
    <t>ENARI</t>
  </si>
  <si>
    <t>…ión , mar­ en las librerías de Cuesta , Sánchez y Matute. tes, jueves y sábados. A l que traiga su cama , se le rebajará un real dia rio; y al que quiera que el lavado, cosido y planchado de su r o p a , sea TEATROS. T A U O D E N A R IO al patriarca Señor S. José con un com pen - de cuenta de la casa, no se le exigirá mas aumento que el de dio de toda la vida del santo , distribuido en doce consi­ P R IN C IP E . A las siete de la noche. un real diario. deraciones. Compuesto por el D r. D . Tomas Alfagem e, doctoral Se d…</t>
  </si>
  <si>
    <t>ENC</t>
  </si>
  <si>
    <t>…omercio, á S egun da p a r t e . quien pertenecían, y á cuya instancia se instruye expediente sobre expedición de duplicados, para que en el preciso término 1.° Sinfonía de la ópera GUGLIELMO T E L L , del maes­ CO RRE SPO N D E N CIA DE LA GACETA. de 50 dias contados desde esta publicación comparezcan en la tro R ossini, á completa orquesta. escribanía mayor de rentas, sita en el edificio de la aduana na- 2.° El acto segundo de L A M ISM A O P E R A , compuesto Bilbao 28 d e Mayo. Las fuerzas enemigas al mando del ciou…</t>
  </si>
  <si>
    <t>…evante hoy mismo para encargarse fesores. cia en la historia. A. L. (E l Tiempo.) nuevamente de la ¿jefatura é intendencia. Se estereotipa en planchas fijas cualesquier moldes á volun­ tad de quien los quiera. CO RR E SPO N D E N CIA DE LA G AC E T A. H ay disponible en planchas estereotipadas el R ip alda añadido. BOLETIN DE COMERCIO* El silabario que para las escuelas de primera enseñanza or­ Cuidad-R eal 19 d e Julio. El comandante general en gefe B O L S A DE M A D R I D . denó la dirección de estudios y está en us…</t>
  </si>
  <si>
    <t>ENCI</t>
  </si>
  <si>
    <t>…Santos San M iguel. —Sr. in ­ DEL CONGRESO tendente de la provincia de Huesca. Otra . Intendencia m ilitar de Aragon.z=SIeodo esa intenden­ cia el único amparo de esta m ilitar del distrito , espero cou an­ C O R R E SP O N D E N C IA D E L A G A C E T A . DE SEÑORES DIPUTADOS. sia del patriótico y esmerado celo de Y . S. por el bien y socorro de! ejército que tanto tiene que agradecer á Y . S ., se sirva de­ Se suscribe en el despacho de la Imprenta Na­ cirme qué cantidad podré librar este mes por cuenta de consig­…</t>
  </si>
  <si>
    <t>…D. José T a m a riz , mi secretario con ejercicio. terinamente del ministerio de Hacienda desde la dimisión las armas. d’Huart, no figura en ellos, pues la víspera dio de Merode su dimisión, que aceptó el Rey. C O R R E S P O N D E N C IA DE LA GACETA. Los dos proyectos de ley antes mencionados han pasa­ M A D R ID 4 D E M A R Z O . do á las secciones, después de una discusión bastante aca-i Santander 26 de Febrero. Los rebeldes tratan de refor­ lorada. mar el camino de Guriezo á A m p u ero , con la idea de llevar Cuando…</t>
  </si>
  <si>
    <t>…ibunal eclesiástico no reclamó; y visto esto, dijo DE SEÑORES DIPUTADOS.: la parte interesada; ’^pues estoy en el caso de contraer m atri­ monio.0 Llamado el expediente , el obispo fundid su d e terso i na­ C O R R E S P O N D E N C IA DE LA GACETA. Se suscribe en el despacito de la Imprenta Na­ cí nn por aua serie de considerandos, en los cuales creyó el ca­ ció nal á a o rs. por mes. Los números sueltos se bildo de Málaga que se couteniaq doctrinas que podían mere­ cer la .calliíicacioii que de ellas ba hecho. Alarm…</t>
  </si>
  <si>
    <t>…l Sr. Arteta. Que en cuanto á la pregunta hecha M o n g e , Ferraz, A liag a, Vallera, C arbonell, marques de Som e- por el Sr, Rurríel acerca de la venta de los atelajes del ejército ru elos, Sr. Presidente. C O R R E S P O N D E N C IA DE LA GACETA. de reserva , y que seria mejor conservarlos para las muías que Señores que dijeron sí: se trataba d!e comprar , debía tener entendido que no eran ate­ Mayasns , G isp ert, Carram ollno, Bravo M urillo , Pacheco, Bilbao 25 de Diciembre . Han pasado á las Encartaciones lajes…</t>
  </si>
  <si>
    <t>…sta que V. M. se digne resolver lo canzasen sus conocimientos, al cuerpo á quien reemplazaban en que sea de su Real beneplácito; pareciéndose no pedir á V. M¿ eí tvueu desempeño de las atribuciones municipales. C O R R E SP O N D E N C IA IN T E R E S A N T E la debida autorización de un modo público para evitar com­ Tal es la s i t u a c i ó n de Barcelona respecto á su gobierno local. promiso*, y que se frustren mis planes y esfuerzos, al no ser Al manifestar el resultado de su elección , creen los i n d i v i ­ NUEVAMEN…</t>
  </si>
  <si>
    <t>…íri­ también en lo tocante á la ortografía y á la prosodia. ca no le perm itió hacer muchos retratos sem ejantes al que Hay ejemplares que llevan un apéndice de 24 p ág in asje s- tan perfecto le habia salido. C O R R E S P O N D E N C IA D E LA GACETA. crito únicamente para que sirva de preservativo y guia á los Sirva de ejem plo la comedia Celos con celos se curan, valencianos, aunque no será del todo inútil á los catalanes y que es una de las fábulas de Tirso m ejor conducidas. Cé­ T eru el 1 .° de M ayo. Montalvan ha si…</t>
  </si>
  <si>
    <t>…e medita hasta qué y juez de amortización de esta provincia , y en virtud á lo d i s ­ iuoto le incumbe proteger con mas esmero una grangería , de f a que no puede pasarse para la defensa del Estado. Pero creer CO R R E SPO N D E N C IA DE LA G A C E T A . puesto por Real orden de 6 de Noviembre del año ultim o f se ha señalado el d ia 11 del co rriente, de doce á u n a de su tard e , que esto se remedia castrando todos los caballos del ejército en en los estrados de la in ten d encia, para el remate en p úb lica medio d…</t>
  </si>
  <si>
    <t>…T A N A C IO N A L pales bases en que estribe la existencia de él, limitando sus dis­ posiciones al número y calidades de los individuos que hayan de componerle , á la categoría y preeminencias que estos in­ C O R R E SP O N D E N C IA D E LA G AC ETA . dividuos hayan de obtener , y al señalamiento en general de GUIA DE FORASTEROS, las atribuciones que les competan. Laredo 50 de Diciembre . Los tres batallones que se h a­ Y En cuanto al número de los individuos, si se les atribuyera llaban en este punto salieron el 28…</t>
  </si>
  <si>
    <t>…culo 2.° Bilbao, l £ d. Valencia , £ papel d. E!resto de este artículo es una serie de p regunta s, muchas Cádiz, £ á par. b. Zaragoza, par. •de ellas inútiles para la cuestión de que se trata. Las examinare­ C O R R E S P O N D E N C IA DE LA GACETA. mos una por una. Descuento de le tr a s . á 6 ñor 100 al año. La primera es si en la época del concilio de Clermont las Lugo 4 de A bril . Habiendo tenido noticia los vecinos de naciones europeas eran una sola república confederada, seme­ Piñeiro de Mirad que la facción que…</t>
  </si>
  <si>
    <t>…marca sus diferentes hizo nacer en él la idea de escribir epígrafes en italiano á im i­ caríctere^; pero eo ella no aparece el de cada hombre completo tación de los latinos, que éstos han legado á la posteridad C O R R E SP O N D E N C IA D E LA G A C ETA . y entero , y entonces ¿ dónde hemos de encontrarle de este m o­ grabados sobre marmoles. Publicó después una obra notable do?... En su vida, en sus discursos, en sus relaciones con la so­ sobre el arte de componerlos, arte enteramente nuevo para no­ Lérida 6 de Abril. Rec…</t>
  </si>
  <si>
    <t>…que salvando da para el dia 1.° de Marzo p róxim o venidero. los caballos de frisa llegó hasta hostilizar la puerta del fuerte, Art. 1 i. Se confirm an las disposiciones contenidas en en la que recibió dos balazos. IN T E N D E N C IA militar de Castilla la Nueva.—Debiendo su­ Con estas noticias di órden al brigadier Aleson para que los artículos II y 12 de la ley de 27 de Febrero de 1837. bastarse en los estrados de la misma el dia 16 del actual d P or tanto mandamos a todos los tribunales, justicias, las doce en pun…</t>
  </si>
  <si>
    <t>…nguita de m ú ­ En vista de este artículo no se nos acusará de parcia­ s ica , pagada por la oficialidad , no grava al erario en un solo m aravedí. ^ les: nosotros reconocem os com o juez á la experiencia, y C O R R E S P O N D E N C IA DE LA G AC ETA . M u c h o , m u ch ís im o h em os celebrado ver á este cu erpo en el a ella apelamos, protestando desde ahora que nos somete­ estado en que se encuentra; j ha ti empo que lo deseábamos co n remos con resignación al fallo inapelable que dicte. Bilbao 50 de Enero. Corre la…</t>
  </si>
  <si>
    <t>…la obra de Títulos al portador del 5 por 100, 51$ , nueve dieziseisavos, D. J. de Y. | j f # i f 51 y 50$ á v. f. ó vol. y firma con cupones: 52$, 55, La justicia considerada como virtud es uoa constante y C O R R E S P O N D E N C IA D E LA G A C E T A . # / i , £, 51§, 52f y 52$, ¿ v. f. ó vol. á prima de i , perpetua voluntad de dar á cada uno lo que es suyo , y la ley f 9 f 9 tres dieziseisavos y § por 100 con cupones. L.a del tít. i.°, Part. 5.a, de que está tornada, dice: "Baygada Teruel 6 de Noviembre. El 4 del…</t>
  </si>
  <si>
    <t>…nerales Ceballos E scalera, C an - por el retardo que pueda ocasionarse en las oficinas. terac y M en d iv il, á los Sres. Salas Omaña , marques de C astell- L a comisión del Senado ha conocido los m ales, y viéndose IN T E N D E N C IA m ilitar de C astilla la Nuev^.rrDebiendo su d o sriu s, E n tren a, conde de Puñonrostro y B alaazat. en la situación de no poder ad m itir enm iendas, se ha conten­ * bastarse en los estrados de la misma el d ia 17 del actual é Se leyó una comunicación del Sr. D. M iguel Laborda y tado c…</t>
  </si>
  <si>
    <t>…e dieziseis- de Au tria, caballero de la orden del Elefante, de la de Sancti- ívos, £ , 5 í £ , f , 5 0 | , 51 , 5 0 ¿ , f ^ 50 y ^50| á v. f. ó vol. Spiritus de Francia, grau cruz de la orden de la Torre y de la J U R IS P R U D E N C IA popular ó reglas prácticas para dirigir-­ :on cupones: 52g-, £ , 5 l£ , 52£ , 51^ , 55 , 51 quince die­ Espada de P o rtu g a l, caballero gran cruz del Aguila de Prusia, se cada ciudadano en los negocios que tengan que ventilar ciseisavos y 52 á v. f. ó vol. á prima de | , f , £ y £ por…</t>
  </si>
  <si>
    <t>…m ada con el m ovim iento de la lun a y nubes que se E ST A D O M IL IT A R elevan sobre el horizonte á la salida del s o l, y por la afluencia de gentes y ganados que se ven andar por los caminos h acia el C O R R E S P O N D E N C IA DE LA GACETA. PARA EL PRESENTE AÑO DE 1859# portal de B ele ii, se ha dispuesto enriquecer este cuadro ha­ ciendo pasar la brillan te com itiva y séquito de los R eyes que se Pamplona 6 d e Enero, El 'com andante de las compañías verán postrados adorando al N iño Dios recien n a c id o ,…</t>
  </si>
  <si>
    <t>…era diferencia entre áthbaa contratas,. . . . 1 100 crédito está consolidado, y se sabe cuál es, el costo del emprés­ tito, y no es posible abusar. En hora buena que alli no ofrez­ • ' Observación impártante* C O R R E SP O N D E N C IA DE LA GACETA# ca estos inconvenientes, y que aquí los Ofrezca; ¿ péro es esta yazon para que no se establezca alguna vez ese mismo órdeu? Cada coluuám del actual D i a .n o consta de 78 líneas, y c á * Teruel 6 de Énero. Ayer tarde llegó á esta ciudad el Ex­ L a base* $l, fundamento del…</t>
  </si>
  <si>
    <t>…que se ha descubierto á cuatro varas de profundidad, se ob­ servan de trecho en trecho los pedestales de las estatuas que 1* LA GACETA. ' ___ 1 decoraban y los trozos de columnas que formaron la g alería, C O R R E S P O N D E N C IA DE cuya columnata decoraba este lado que se presenta á la vista B ilbao 6 d e Abril. Con motivo de los rumores que de al­ ...........ví raiu en la extensión de 49 varas de E. á Ó ., y 52 de N. á S. En este sitio se han hallado los objetes sigu ien tes: gunos días á esta parte circulab…</t>
  </si>
  <si>
    <t>…iende , pues responde­ el profesor de maquinaria y de pintura D . Francisco L u cim . rán sin ninguna consideración el infinito superior número de La música ha sido expresamente compuesta por el maestro D on C O R R E S P O N D E N C IA D E L A G A C E T A . Ramón Garnieer; y los bailes inventados y dirigidos por D on prisioneros que existen en nuestros depósitos; y á Y . com o res­ A n ton io Cairon y D . Juan Bautista Cozzer. , Haro 11 de Enero. Por h oy solo tengo que decir á VV. ponsable de respetar los con ven ios,…</t>
  </si>
  <si>
    <t>Ayuntam iento constitucional de M adrid. dos se celebrará el únimo remate el dia 6 de Mayo próximo á C O R R E S P O N D E N C IA DE L A G A C E T A . las doce horas de su mañana. Habiéndole denunciado ante el Sr. alcalde constitucional Se advierte que el compromiso será por tiempo de do* años Bilbao 9 de Abril. El titulado general Simón Torre per­ D. Luis (Leñalde por el promotor ÍLcal D. Ramón Alonso de ó el de tr…</t>
  </si>
  <si>
    <t>…se ha convenido en ir aquella misma noche á robar se la puede trasladar á Tegualda , sirviendo de seña el tirar una rama por encima sin riesgo. de las paredes de la huerta. En este instante cae la rama , se C O R R E S P O N D E N C IA DE LA GACETA# P e d ra ria s. Me maravilla retira P u r e n , y Gualconda abre la puerta á Pedrarias. Dícele una impaciencia tan grande; á este que dentro de poco vendrá su h e rm an a, se sentará como S an tan d er 16 dé M ayo . La división del general Castañe­ y si no argu y e malicia…</t>
  </si>
  <si>
    <t>…n tiempo los pedidos que gusten. •por el movimiento saltón y menos grave que tienen. Q ue­ da pues establecido que en nuestra poesía solo se recono­ cen dos especies de verso heroico; el endecasílabo propio C O R R E S P O N D E N C IA D E L A G A C E T A . y el safico. La gran ventaja de ambos es q u e , siendo im- 'JARATADO de química elemental teórico y práctico, por el ♦parisilábicos, no hay necesidad de formar los hemistiquios barón Theard. Los señores suscriptores pueden acudir á iguales y de un mismo tamaño, y p…</t>
  </si>
  <si>
    <t>…e quieran dirigir por los pedientes, trascurrió asi este negocio hasta que tomado en expresados puertos: el porte de las cartas será con arreglo á las consideración por las Cortes, discutieron estas la ley que fue JU R IS P R U D E N C IA . 1 tarifas vigentes conrcidás y aprobadas por S. M . , que se ha­ sancionada por S. M. en 6 de Noviembre de 1857. En ella se llan en los portales de estas oficinas. Puerto-Rico 10 de Enero dispuso llevar á efecto el establecimiento proyectado, acordando Del contrato de sociedad. de l859.:=…</t>
  </si>
  <si>
    <t>…los d a t o s , y porque un error en que solían in currir las personas mas ilustradas, á su parecer vendría mejor paira que et Gobierno la tuviese cuando era tanta su d iferencia, como se ocupó en demostrar. C O R R E S P O N D E N C IA DE EA G ACETA. presente cuando presentase el proyecto de ley sobre, el parti­ Entrando S. S . á impugnar él art. 5 .° del proyecto, qoe trata cular. dei estado de prevención, y cada una de sus disposiciones, ma­ Logroño 18 de Enero. M arola cotí'■algunas fuerzas reÉfel^- E l Sr. C A B A…</t>
  </si>
  <si>
    <t>…vol. á prima de £ por 100 nuevas. de todos los ramos de la administración pública. En el número Acciones del banco español de S. Fernando, 00. de cada mes se insertarán las disposiciones expresadas publica­ C O R R E S P O N D E N C IA DE L A G A C E T A . das hasta el dia de su im presión, formando cuadernos que pue­ CAMBIOS. dan separarse, con la oportuna foliación , notas, portada é ín­ dices; de modo, que reuniéndolos á fin del añ o , resulte com­ C astellón 18 d e F eb rero . Se va reanimando el espíritu de Londre…</t>
  </si>
  <si>
    <t>…diante á que en la ley no se expre­ saba semejante distinción. NOTICIAS NACIONALES. P rosigue S. S. haciendo otras observaciones acerca de la crea­ ción de las jun tas provinciales en las capitales de provincia que IN T E N D E N C IA G E N E R A L M IL IT A R . M á la g a 18 d e E n er o . se proponen para la liquidación y revisión de los créditos, y dice que en su juicio seria mas acomodado para los mismos d eu­ C ircu lar . H o y se ha publicado aqui el bando s ig u ie n te : dores el que se creasen juntas de p arti…</t>
  </si>
  <si>
    <t>…ros á caballo de la Guardia R eal, que 6 4 7 .... 4 9 0 ................ Barcelona. falleció el 27 de Mayo último de resultas de una herida de bala L a dirección general h a dispuesto que el sorteo que ha de C O R R E S P O N D E N C IA DE LA G AC ETA . que recibió el 11 del mismo en la acción de G uardam ino, á fio verificarse de que acudan á deducirle en forma por si ó por medio de apo­ 44® pesos fuertes, él dia 8 de Agosto próximo, sea bajo el fondo de Castellón 18 de Julio. Liemos salido de la crisis espantosa derado…</t>
  </si>
  <si>
    <t>…nuestros desventurados dad de pagar por ellos ninguna especie de arriendo; pero con­ hermanos, no: la causa por que abogamos es demasiado justa y vencida por último de la imposibilidad de conseguirlo, se de­ C O R R E S P O N D E N C IA D E LA G A C E T A . sagrada para que dejemos de emplear un fuerte y severo lengua­ terminó á tomar en arrendamiento dos locales en los sitios don­ je. Pedimos el cumplimiento de un deber, porque el derecho del de ha creído que serian mas útiles las escuelas, hallándose ya Bilbao 18 de Ju…</t>
  </si>
  <si>
    <t>…efecto Paso ráp idam ente de mis relaciones h a b itu ales con m i a n ­ tiguo compañero á la época de su prim er c asam iento , de i 7 9 í lito g ra íia d a .por uno de los mejores artistas de esta capital. C O R R E SP O N D E N C IA DE LA GACETA. á 1795. Sabido es cuán agradable hacia su casa la amable y El número 4*° y a publicado comprende los artículos s¿- graciosa J u li a . C h a m f o r t , La l l a r p e , Garlos B o u g e n s , varios L ogroño 2 0 d e F ebrero. El sábado 16 del a c tu al entraron guiet&gt;tes: V…</t>
  </si>
  <si>
    <t>…in alteración. se á conocer á los fieles. A este efecto se hará mención de las fiestas religiosa» en la capital ú otro pueblo cualquiera que por alguna circunstancia particular Mamen la atención del público. C O R R E SP O N D E N C IA D E LA GACETA. La asistencia de lo# fieles * los sermones que se pronuncíen* la D IO R A M A . magnificencia de los adornos y cuantas particularidades puedan Bilbao 19 de Enero . De pocos dias á esta parte han re­ interesar la piedad * serán tratado» con la exactitud y conside­ Establecim…</t>
  </si>
  <si>
    <t>…y D. F ran­ castellano con varias adiciones del original por D. C irio s M a r ­ cisco Laserna , para que se presenten en el juzgado á dar sus tínez de Irujo. Uu tomo en 8.° uaarquilla, impreso en 180 5 , á C O R R E S P O N D E N C IA DE LA GACETA. descargos, y proponer sus defensas en la causa crim inal que se 12 rs. pasta fina. sigue en averiguación de los autores de la falsificación de un En esta obra se manifiestan la composición y organización crédito de deuda sin Ínteres del E stado; apercibidos q u e d e no econ…</t>
  </si>
  <si>
    <t>ENCIA</t>
  </si>
  <si>
    <t>…Setiembre de 1859.zz DICCIONARIO RAZONADO 4 . 7 5 2 . . .. 4 ^ 0 .............. Idem. De orden de la junta su secretario Valentín de Uribarri. 1 1 .6 7 6 .... 4OO.............. Madrid. D E L E G IS L A C IO N Y J U R IS P R U D E N C I A , 4 ^ 2 ....... 4 OO................ Idem. por D. Joaquín Escriche, abogado de los tribunales del Reino. 8 .7 7 4 .... 490.............. Idem. B IB L IO G R A FIA . Segunda edición , corregida y aum entada: dos tomos en folio. L a dirección general ha dispuesto que el sorteo que ha de…</t>
  </si>
  <si>
    <t>ENCIAD</t>
  </si>
  <si>
    <t>…­ libertad de la nación. Jaén 7 de Setiembre í859.=Señora,— C O N G R E SO D E D IPU TA D O S. to de Oviedo. T endréislo en ten d id o , y lo com unicareis á Vuestros mas fieles empleados.=:P. A L. R. P. D. V. M.zzEl P R E S I D E N C I A DEL SEÑOR CALATRAVA. qu ie n corresponda para los efectos convenientes á su cu m ­ intendente interino, Alejandro Aniceto M adrid.—El contador plim iento.— Está ru b ricad o de la Real m a n o .^ E n Palacio interino, Ramón Crogun.rzEl administrador, José Sánchez Sesión del dia 15 de Set…</t>
  </si>
  <si>
    <t>…e cuando pesa sobre la nación un Se han confirmado los fueros al advenimiento de nuevos presupuesto de 1,500 millones, no quiera hacer el ahorro de 500, reinados en circunstancias particulares; pero entonces han sido P R E S I D E N C I A DEL SEÑOR C A L A T R A V A . 2 0 0 , ó menos si se q u ie r e , por introducir entre nosotros el reconocidos como derechos existentes. El Senado no se encuen­ modo de adm inistrar las rentas públicas que existen en aquellas tra en este estado, y aunque lo estuviera , no seria oportuno.…</t>
  </si>
  <si>
    <t>…n tenga prácticos á bor­ A. Todos los buques que cargados salen seis y mas pies, dó y los pueda trasp asar, tiéne que desplegar la bandera del medida de Harnburgo, serán medidos como buques de m a r , a u n ­ C O R R E S P O N D E N C I A DE L A G A C E T A . a lm ira n taz go , y si está situada adentro, que poner de noche que lleven tablas para orzar; y si de esto resulta que son de una linterna encendida á la altura de la mitad de su mástil; porte de mas de 20 lastres de comercio, tienen que tomar prác­ S ev illa 16 d…</t>
  </si>
  <si>
    <t>…D O S. uu solemne Te Deum acción de gracias por tan singular be­ El Courrier Anglais dice: neficio. Después la Milicia nacional y guarnición formaron en Cor.e la vez ea C onstaatioopla, y entre los oficiales de las P R E S I D E N C I A DEL SEÑOR CALATRAVA. gran parada , y puesto á su frente este Sr, comandante general escuadras inglesa y francesa , de que el almirante Stopford ha les arengó en términos análogos á la festividad del dia, Por la pedido al Gobierno turco autorización para que las escuadras Sesión del dia 2…</t>
  </si>
  <si>
    <t>…iteran los mas ardientes votos por Se dio cuenta, y fueron aprobados los dictámenes de la co­ las preciosas vidas de Y. M. y vuestra augusta Hija , tan ín­ misión de Actas sobre las de las proviocias de Alava , Alme­ P R E S I D E N C I A DEL SEÑOR CALATRAVA. timamente unidas á la felicidad y prosperidad de la monarquía. ría, Gerona, Granada, Vizcaya, M álaga, Segovia y Córdoba, Campo de Cri pta na 16 de Setiembre de l8 5 9 = S eñ o ra .= A reducidos á manifestar que no encontrando en ellas reparo al­ Sesión del dia 25 de…</t>
  </si>
  <si>
    <t>ENCIADELSE</t>
  </si>
  <si>
    <t>…raciones de que son presidentes, á V. M. con el mas pro­ C O N G R E S O D E D IP U T A D O S . Gobierno una solicitud quejándose del sistema m ilitar, y pi­ fundo respeto y veneración hacen presente: Que no llenarían P R E S I D E N C I A D E L S EÑOR C AL AT R AVA. diendo la reposición del estado legal; y que con objeto de pe­ completamente sus deberes si no hiciesen presente á Y. M. y á la nación española la alegría que se ha apoderado de los cora­ zones todos de estos vecinos al recibir el plausible y glorioso Sesión de…</t>
  </si>
  <si>
    <t>ENCIADELSEÑOR</t>
  </si>
  <si>
    <t>…ntimientos de su vecinda­ desgracia formaban la fuerza principal del ejército enemigo, re­ r i o , aprovecha tan fausta oca.sion p¿ra renovar á V. M. su conocer (desvanecida su ilusió n ) la Constitución del Estado y P R E S I D E N C I A D E L S E Ñ O R C A L A T R A V A. inalterable fidelidad y respeto. Gasas consistoriales de la ciudad por su legítima Reina á Doña Isabel 1 1 ; al ver que esos bra­ Sesión d e l día 1.° d e O ctubre . de Mérida 28 de Setiembre de 1859.—Señora.—A L. R. P. de zos vigorosos, esas anuas que…</t>
  </si>
  <si>
    <t>…iputados; la obligación que os han nes en la elección, y persuadido sobre todo de que en el triste impuesto vuestros comitentes es que os deis á respetar. tristísimo caso de que hubiese de procederse á la elección por P R E S I D E N C I A D E L S E Ñ O R C A L A T R A V A Yo sabré dar las gracias al caudillo del ejército que ha em­ una regencia, me declararía positivamente del gobierno de Sesión del dia 16 de Setiembre pezado á poner término á esta guerra; pero esto 110 será carta uno solo, y todavía convencido que de si p…</t>
  </si>
  <si>
    <t>ENCIADELSR</t>
  </si>
  <si>
    <t>…rid , y viendo que se proponían des de vuestros ilustres guerreros , renuncien desesperanza­ 11 individuos cuando no debian ser mas que 10 , estaba en el das á contin uar disputando á la paz su benéfico im p e ro en P R E S I D E N C I A D E L S R . Z IJ M A L A G A R R E G U I. » caso de haber expedido una circular á las provincias para d i­ el recinto de nuestras ciudades y en el seno del hogar doiné&gt;ti- sipar este error. Por consiguiente la comisión ha previsto el ca­ co. El Senado aleja de sí este temor, confiado , S…</t>
  </si>
  <si>
    <t>ENCIASDEMA</t>
  </si>
  <si>
    <t>…que los pasajeros que vengan del mar Blanco en bu­ culos precedentes con respecto á los buques destinados para este ques vacíos, tanto sucios com o sospechosos, participarán del REGLAMENTO O R G A N IC O P A R A LAS P R O C E D E N C I A S D E M AR . puerto: en este caso los capitanes no tendrán mas que declarar beneficio de la facultad concedida á dichos buques por el se­ su intención en el interrogatorio que se les ha de hacer. gundó párrafo del art. 5.° Los infrascritos, componentes de una parte el consejo de Si por…</t>
  </si>
  <si>
    <t>ENCIASJ</t>
  </si>
  <si>
    <t>…eza. Y es muy ele notar el carácter que otro mérito que el misterio y la m elodía, cosas ambas que ' lleva ya impreso la porción de esta grande obra univer­ no constituyen por sí solas la pintura ó la poesía. Es pre­ P R O V I D E N C I A S JU DI CI AL ES . sal que confió á la España la providencia de las naciones. ciso que a lo maravilloso é indeciso suceda lo meditado, H A BIEN DO hecho dimisión de sus bienes D. Agustín M a - Porque este carácter , el sello, la forma de nuestra por­ noble y d ign o, que en tal objeto pu…</t>
  </si>
  <si>
    <t>ENCIASJUDI</t>
  </si>
  <si>
    <t>…12 de la co­ lección) de la novela de B a !za c,e! Alquimista fia me neo. Se ad­ BOLSA DE M A D R ID . vierte á los últim os suscriptores qt?e, habiéndose concluido la Cotización del dia 5 d las tres de la tarde • P R O V I D E N C I A S J U D IC IA L E S . edición del primer cu a d ern o, no se podrá repartir este hasta el 6 del corriente, en que estará reimpreso. EFECTOS PU BLICO S. | 7N virtud de providencia del Sr. D . Manuel L u ce ñ o , juez Sigue abierta la suscripción en la librería extrangera , calle de prime…</t>
  </si>
  <si>
    <t>pertenencia (pequeña) sobre el criadero de carbón del Prado de de Almería, Virgen del M ilagro , por D. Fernando Orihuela, en 4 de Febrero de 1859. P R O V I D E N C I A S J U D IC IA L E S . la Rectoría, término de dicho Borincs,en Pilona, partido del Iafiesto , en la p r o v i n c i a de Oviedo. Rivadeo i.° de Junio Otra id., loma del Pocico, término de Huercal, Chiripa, P OR providencia del Sr. D. Ju an José Rodríguez Valdeosera, de 1839.—Guillermo Sch…</t>
  </si>
  <si>
    <t>ENCIONDELASCA</t>
  </si>
  <si>
    <t>…l caso dado: provincias de los dignos representantes de ellas, ha tenido á todas las leyes tienen una bondad absoluta que no es acomodar- bien suspender las Cortes en la presente legislatura , sin per­ PARA UNIFORMAR CON LA R E D E N C I O N D E L A S C A R G AS P E R P E T U A S ble á cada pais, y una bondad relativa, que está en acomodar­ juicio de continuarlas tan pronto como las circunstancias io LA DE LOS CENSOS LLAMADOS AL Q U I TAR. las á lo que exigen las circunstancias: de la misma manera son permitan. esas tradicio…</t>
  </si>
  <si>
    <t>Enciso, Feliz</t>
  </si>
  <si>
    <t>Feliz Enciso</t>
  </si>
  <si>
    <t>…na que no guida continuaría la discusión pendiente, con lo que levantó I D E A S napoleánicas, publicadas por el Príncipe Napoleón dejarían de reproducirse. la sesión á las cinco y cuarto. L u is Bonaparte, y en castellano por D. Feliz Enciso C as- El Sr. A R T E T A : La duda del Sr. Benavides la encuen­ trnlon. Un tomo en 8 . ° , á 10 rs. en rústica y á 12 en pasta. tro muy fundada, y creo que el Congreso la resolverá en el L a situación apurada ert que Napoleón encontró la Fran­ sentido que S. S. acaba de indicar, pues q…</t>
  </si>
  <si>
    <t>ENDE</t>
  </si>
  <si>
    <t>…. Hay un medio, y es, vicios de que adolecía dicha ley, principalmente en la parte re­ media. que el Senado puede nombrar una comisión , y todos los seño­ lativa á la formación de las listas electorales y elección por pro­ O R D E N D EL D IA res Senadores en particular pueden aprovecharse para cumpli­ vincias, citando en comprobación de aquel primer defecto el mentar á S. M. haber habido pueblo en que han aparecido mas electores que PARA LA SESION DEL JU EV ES 19 DE SETIEM BRE DE 1839. vecinos. El Senado se reúne á las…</t>
  </si>
  <si>
    <t>ENDELDI</t>
  </si>
  <si>
    <t>…ta­ E ran las cinco menos cuarto. pelación á la coinision? m ente, y sin hacer injusticia á nuestros ejércitos y á todos los El Sr. B EN A V ID ES : N o señor. defensores de la Reina que en esta lucha han dado á la E uro­ O R D E N D E L D IA El Sr. P R E S ID E N T E : Pues entonces V. S. puede hablar. pa una lección haciendo ver la hum anidad de España ; por En el momento entraron en el salón los Sres. Fuentes y tanto concluyo rogando al Senado que medite las consecuencias, PARA LA SESION DEL MIERCOLES 9 DE ENERO DE 18…</t>
  </si>
  <si>
    <t>…ía plazuela de Antón Martin. CORTES. También he visto con particular satisfacción el libro SE NA DO . que tiene por título: Traducción del francés sin maestro . Los ejercicios interlineales que contiene para hacer couo- O R D E N D E L D IA Secretaría de la obra pia de Jerusalen . PARA LA SESION DEL MIERCOLES 9 OCTUBRE DE 1839. El Sr. director general ha señalado para el remate de las Lectura del proyecto de ley aprobado por el Congreso de (1) Se venden las expresadas obras del Sr. Sotos en la li­ obras que han de hac…</t>
  </si>
  <si>
    <t>…s que tengan pendientes en favor de la masa , y que todas aquellas SENADO. ACTAS DEL GORIERNO. en cuyo poder existan pertenencias del fallido hagan manifes­ tación y entrega de ellos por medio de notas que pasarán al se­ O R D E N D E L D IA ñor D. Antonio Felipe González , cónsul del tribunal, juez co­ misario, que vive calle de Atocha, núm. 53, cuarto principal, P A R A LA SESION DEL VIERNES I I DE ENERO DE 1839. pena las que no lo hicieren de ser tenidas por ocultadores y cóm­ REAL DECRETO plices en la quiebra. Mad…</t>
  </si>
  <si>
    <t>…E N T E : La tiene V. S. el enemigo; y de este modo, señores, ¿podían ejercer sus dere­ SE N A D O . El Sr. A R T E T A : Según acabo de oir, el Congreso va á chos bajo el inílujo de sus enemigos? Motivo fue este para que O R D E N D E L D IA constituirse de un modo provisional. El reglamento previene obrase como obró la diputación, y el Congreso actual lo aplau­ que esto se verifique después de haber discutido aquellas actas dirá. Otro motivo h ab ía, el cual era las circunstancias de las P A R A LA SESION DEL MIERCOLES…</t>
  </si>
  <si>
    <t>…ES. caros objetos ha prodigado la nación sus tesoros, sus hijos, y SE N A D O . nada ha economizado para consolidar la corona de Castilla en REA L DECRETO. las augustas sienes de nuestra idolatrada Pceina Doña Isabel n , O R D E N D E L D IA la regencia de V. M . , y sostener con denodado arrojo el res­ Com o R ein a G o b e rn a d o ra , á n o m b re de m i augusta plandeciente sol de nuestra libertad. ¡Loor á nación tan gene­ PARA LA SESION DEL LUNES l6 DE SETIEMBRE DE 1839. Hija la Reina D oña Isabel n , y en co nfo…</t>
  </si>
  <si>
    <t>…s , sino que se cobran indebidamente con la disolu­ se hubiera relacionado con una opinión extrangera, y no se media. ción de las Cortes sin haberlas votado. huhiera llegado hasta el caso de las personas para regantes, yo O R D E N D E L D IA no baria mención de este particular ; pero cuando voy á hablar Vosotros, Diputados de la nación, meted cada uno la mano P A R A LA SESION DEL M ARTES 17 DE SETIEM BRE DE 1839. de los intereses del tro n o , como la comisión dice que es nues­ en vuestro pecho y responderéis á la pre…</t>
  </si>
  <si>
    <t>….° de Junio de 1855 se habia ex­ SE N A D O . pedido Real orden por el ministerio de Fom ento, por la cual, Gobierno político de la provincia de M adrid . á solicitud de la empresa, se prevenía se procediese al amojona-! O R D E N D E L D IA miento y deslinde de aquellos terrenos. Para proceder con el debido conocimiento al secuestro de Que en su virtud acudió la empresa al juez protector del los bienes del ex-coosejero V allejo, del titulado coronel de inge- PARA LA SESION DEL SABADO 19 DE ENERO DE 1839. canal; y en ve…</t>
  </si>
  <si>
    <t>…pudiese fijar tnas la atención. guntado, ¿dónde estaba la ley? y siempre se ha contestado con El Sr. C A M B R O N E R O : El Con greso habrá notado que el el silencio ó con salus populi suprem a le v e sto ; si esa con­ O R D E N D E L D IA Sr. preopinante en realidad no ha impugnado el dictamen, le testación á veces ha salvado la patria , tambiea otras ha acar­ ha aprobado y apoyado. La comisión , á la que tengo el honor reado la tiranía. PARA LA SESION DEL LUNES 21 DE ENERO DE 1839. de pertenecer, no ha sido mezquin…</t>
  </si>
  <si>
    <t>…otaremos la ley los que queremos la paz? sidad de los pueblos, que todos la desean, y que la paz jamas Como hombres honrados, como españoles dígaos en todo tiem­ podrá afirmarse en España sin la completa pacificación de las O R D E N D E L D IA po de que se fie en sus palabras. provincias exentas, y sin que el Gobierno les inspire confianza Necesitamos pues una explicación terminante y repetida ; y de que sus deseos serian cumplidos, y estos deseos son en la ac­ pues que hay una duda, que quede aqui decidida, ademas de tu…</t>
  </si>
  <si>
    <t>…te me he honrado con apreciar á un patrio ta d istin gu id o que REDACCION DE LA GACETA. en 1 8 5 4 &gt; en el mes de F e b re ro, hizo servicios im p orta n ­ tes á la causa de la nación ; el que descubrió en Z aragoza la O R D E N D E L D IA conspiració n tram ada entonces. Este patriota ha sido asesinado PARA LA SESION DEL JUEVES 24 DE ENERO DE 1839* cuan d o an daba solazándose en el c a m p o , y no se han conten­ D iscusión de los proyectos de ley para hacer efectiva la tado las tropas de Cabrera con asesinarle, si…</t>
  </si>
  <si>
    <t>…odos acordes; pero este mismo defecto que agradezco mucho la distinguida consideración con que el está aqui , y no es una cosa nueva el que uno de los tres bra­ Sr. coude de Ezpeleta ha citado algunos hechos referentes á mi O R D E N D E L D IA zos puede negar su voto á una ley cuando aqui después de discurso, y por lo tanto le doy las mas expresivas gracias. Con votada por nosotros una ley, va al otro cuerpo y la desecha, ese principio de delicadeza que ha reconocido S. S. en raí, rec­ PARA LA SESION DEL JU EV ES 24 DE OCT…</t>
  </si>
  <si>
    <t>…era de dar una batalla: ¿ á quién se tem ía, se­ viene. La comisión opina que dicho proyecto debe aprobarse en ñores? Esto es lo que se necesita saber, y por esta razón me he los términos en que lo ha sido por el Congreso. O R D E N D E L D IA decidido á tomar la palabra como un honrado militar que quie­ Juró y tomó asiento el Sr. D. Joaquín P a tin o , Senador re que se respete la ley. No tengo mas que decir. por la provincia de Pontevedra , quedando destinado á la ter­ PARA LA SESION DEL VIERNES DE OCTUBRE DE 1839. El Sr…</t>
  </si>
  <si>
    <t>…uestros consejeros y al valor zón que tenia para impugnarle era la falta de antecedentes, guíente y constancia del invicto general del ejercito, duque de la Vic­ pues á su parecer con los que existían no podia dar el Senado O R D E N D E L D IA toria, somos deudores de mía reconciliación que apenas podria un dictamen acertado sobre las elecciones de Huelva. adivi narse, y que es tanto mas gloriosa, cuanto que ha sido Continúa manifestando S. S. que tiene entendido que al PARA LA SESION DEL SABADO 2 6 DE OCTUBRE DE 1839. hech…</t>
  </si>
  <si>
    <t>…en los tribunales de ju sticia , tos cuales continuarán en el cooo- señalar el sigoieate que podía abusarse, no de Us palabras, pero- si de la, coloca- cim iento de el tos hasta que recaiga sentencia d efinitiva qne cau­ O R D E N D E L D IA clon de los artículos , y apenas se nos ocurrió este abaso , que se ejecutoria ; salvo el dleredio de h s partes paira someterse vo­ luntariam ente el fallo de lias caíais! ornes que se crean por el ár­ por m uy remoto que estuviese, basto bu que existiera en la I mu­ P A R A L A S…</t>
  </si>
  <si>
    <t>…ha QQAVénido, ó les ha revestido de sus facultades un vicere- toda la aplicación que se puede creer. gente que hace las veces de n uncio: que esta tolerancia admira Añade que en el acto de abrirse las Cortes hay un Presi­ O R D E N D E L D IA tanto roas, cuanto que hay otros dos nombrados por S. M. y que dente in terin o , y uno ya nombrado en propiedad por S. M ., no están admitidos por Roma. por lo que cree que este es el que debe serlo en esa sesión en P A R A LA SESION DEL LUNES 28 DE OCTUBRE DÉ 1839. Que el Gobierno d…</t>
  </si>
  <si>
    <t>por lo común han tenido la desgracia de nacer pobres y que­ Art. 2.° En lugar de! art. 72 del reglamento se observará O R D E N D E L D IA dar huérfanos en edad temprana , sin haber unos ni otros reci­ ¡ el siguiente : bido una educación regular , lo cual era menester tener presen­ j En las demas causas criminales que vengan en apelación &amp;c. P A R A LA SESION DEL M A R T E S 29 DE E N ER O DE 1839. te , y por lo tant…</t>
  </si>
  <si>
    <t>…sto del ministerio de la Gobernación de la Península, por des, ni á nadie, de que hay muchos asuntos pendientes sobre el que deberán satisfacerse, SE N A D O . esta materia , y de la necesidad de que se tome cuanto antes O R D E N D E L D IA una medida sobre el particular? La comisión teniendo presen­ c a p i t u l o vir. tes todos estos antecedentes, dice en su dictámen que el Con­ De la junta de administración y gobierno interior de los PARA LA SESION D *L LUNES 30 DE SETIEMBRE DE 1839. greso debe fijar su atención so…</t>
  </si>
  <si>
    <t>ENDELDÍ</t>
  </si>
  <si>
    <t>…c u m p lim ie n to .— R u b ric ad o E l barón Pelet (de la Lozere): Hago justicia al espíritu qué d e lif Real m an o E n P alacio á 4 de E n e ro d e 1839. = A ha dictado el párrafo que se nos propone. La comisión ha em­ O R D E N D E L D ÍA pleado los términos mas enérgicos que ha encontrado para ex­ D. P ió P ita P izárro. presar el interés que le inspira la triste situación de la España. P A R A L A S E S IO N D E L L U N E S 7 D E E N E R O D E 18 39 . Pero este tributo anual de dolores, de gemidos, ¿es la única co…</t>
  </si>
  <si>
    <t>Enero</t>
  </si>
  <si>
    <t>…ex-consejero R iv a , que se ha refu­ para el mencionado objeto en W ertnm irster el referido dia 16 hierro, que han quedado ea Vitoria ; pero lleva algunos cande- giado eu Milán, van intervenir. Los hermanos C iaai, el conde de Enero próximo. leros de plata v otros efectos que dan una idea de la magnifi­ Grilenzoni y las demas personas que habian sido expulsadas son «D ado en nuestro palacio de W indsor el 9 de Diciembre cencia de aquel establecimiento. ( E . do A.) llamadas otra vez á este país. del año de nuestro Señor…</t>
  </si>
  <si>
    <t>Enero, Manuel</t>
  </si>
  <si>
    <t>Manuel Enero</t>
  </si>
  <si>
    <t>…en 17. Otra id. en Sierra de Gador, barranco de Juan Alonso, El capitán general de Galicia participa con fecha 26 de Vicente López, de la Fuente del Fresno, alias Tiña , desertor término de Almería , Purísima Concepción, por D. Manuel Enero últim o, que el comandante general D. Joaquín Cayueia de coraceros, y cogidoles cinco caballos y una yegua , buenos, G alluzo, en 18. dispersó una rennion que tuvieron los rebeldes, a quienes cau­ cinco muías y tres burros cargados de víveres, siete armas de fuego, cinco sables, varias…</t>
  </si>
  <si>
    <t>ENESYR</t>
  </si>
  <si>
    <t>…Ruiz. L u go, Pujol. Llerena, Férnandez, L aujar, Santaió y Mañlich. M ahon, Tintoré y Bertrán. M an- résa, Trullás. M oguer, Avala. M urcia, Benedicto. Mataro1, en la pertenencia de otro, autorizaba el robo de los m ine­ O R D E N E S Y REG LA M EN TO S D E L G O BIER NO Abadal. Orense, Gómez Navoa. Oviedo, D . G. Longoria. O ri- rales, y eso es lo que realm ente produciría la desmoraliza­ Y DE LAS DIRECCIONES Y AUTORIDADES SUPERIORES buela, viuda de Ibañez. O suna, Montero. Ósmá , Montero! ción. ' * Plasencia, Pis. Pal…</t>
  </si>
  <si>
    <t>…rología. • • . f ¡ •' G • Jí * admisibles por di f e r i r en cali dad y color á las muestras a p r o ­ U n a stu r ia n o a s t u t o , an écdota. v v ú badas con arreglo á las que ha hecho si empre las ent regas este O R D E N E S Y REGLAMENTOS D E L G O B IE R N O Ú n a crónica. ; empresario. Enterado este de tal n ov e d a d , y cerciorado de la v Se suscribe en M a d r i d en. la lib r e r í a dé C u e s t a , frente á las Y DE L A S DIRECCIONES Y A U TO R ID A D E S SUPERIORES. j usti ci a con que los señores gef…</t>
  </si>
  <si>
    <t>ENESYREGLAMEN</t>
  </si>
  <si>
    <t>…en España. REALES DECRETOS, Confidencias interesantes de la superintendencia general de gefe de sección que fu e del ministerio de Hacienda . policía al Gobierno. En esta obra se demuestra la poca inteligencia e inexac­ O R D E N E S Y R E G L A M E N T O S D E L G O B IE R N O Proclamas de varios gefes sublevados para excitar á la re­ belión. titud con que han tratado el sistema, de partida doble los escri­ Y DE LAS DIRECCIONES Y AUTORIDADES SUPERIORES. tores extrangeros y nacionales, y la facilidad de aprenderle sin…</t>
  </si>
  <si>
    <t>…ES DECRETOS, rocidad de algunos ambiciosos. por hallarse exánimes no podían andar ; que en el mismo Be- Tengo detallado á Y. M. repetidas veces las personas que nifasar han muerto en solo dos dias 59 soldados de miseria y O R D E N E S Y R E G L A M E N T O S D E L G O B IE R N O por sus hechos han buscado la odiosidad general , y muy cer­ frió ; y á fin de salvar las vidas de los desgraciados que hasta ca de sí tiene las que merecen opinión, no solo entre nosotros; hoy han podido resistir á semejante tratam iento, y quita…</t>
  </si>
  <si>
    <t>Enghien</t>
  </si>
  <si>
    <t>…o me dió mi caro amigo esta respuesta vaheóle y y a lejana. Paseándome algunas veces por los bosques, me vie­ que antes de 4 00 años los h om bres t e n d r ía n cola como ios noble: "Siempre estáis pensando en vuestro duque de Enghien. nen á la memoria estos versos del dia d e los difu n to s: nonos, mas, un ojo en su e x tr e m o , lo q u e se ria m u y vis­ Me parece que el Emperador piensa en él tanto como y o .” toso; F o u r r i e r , q u e talleció sin h a b e r visto form arse J a » Vuestro padre, señora , me ayu…</t>
  </si>
  <si>
    <t>Enguidanos, Benito López</t>
  </si>
  <si>
    <t>Benito López Enguidanos</t>
  </si>
  <si>
    <t>…dora de la mitirá se me perturbe en el ejercicio de mis funciones pastora­ exposición que acompaña al oficio de V. E. fecha 2 del asegurado les, cuya libertad ha sido garantida por V. M ., asi corno ha mes actual, por la que D. Benito López Enguidanos, re­ giosos. Berlin la instrucción de los dogmas y de los preceptos reli­ 4 de Octubre de 1859. presentante de las provincias de Albacete y Alicante para ( Gaceta de Augsburgo.) REALES DECRETOS. la liquidación de suministros, pretende que la asistencia Como Reina Regente…</t>
  </si>
  <si>
    <t>Enguídanos, Benito López</t>
  </si>
  <si>
    <t>Benito López Enguídanos</t>
  </si>
  <si>
    <t>…de ¡ Circular del ministerio de la Gobernación de la Península re­ niendo la inscripción que sufrían dicho castigo por ser negros. I su mañana, en la sala de la misma, para la celebración del pri- solviendo la exposición de D. Benito López Enguídanos so­ El tal Chambonet ha fusilado unos 14 en el expresado Alcora I mero y segundo remate del servicio de la conducción de la cor- bre que se abone á los pueblos en que haya habido estableci­ de diferentes pueblos, porque dice eran liberales. I respondencia desde esta corte…</t>
  </si>
  <si>
    <t>Enguídaoos, Tomas</t>
  </si>
  <si>
    <t>Tomas Enguídaoos</t>
  </si>
  <si>
    <t>…batallones y 600 caballos, y sa­ su propio pecho, para alargar de este modo los dias de su vida. que ficcucnU'üC'i ios establecimientos, bajo la vigilancia de per­ lió con dirección á Valencia el dia 11. El acreditado profesor D. Tomas Enguídaoos grabó este cuadro sonas nombradas y pagadas por la dirección. con atrevimiento y fuerza. Tiene I 4 p. 5 l. de alto, y 18 p. 2 I. ■4*° Pagar toda ciase de trabajo al precio de la tarifa esta­ rocaEl, ygeneral en el M ir con la segunda división entró el 12 en D a- de ancho. mismo d…</t>
  </si>
  <si>
    <t>ENOVI</t>
  </si>
  <si>
    <t>…ir á Castilla como unas 500 á 16 m uy superficialmente las ricas estátuas alli atesoradas; p e­ y 17 mrs. libra. E l resto se ha malvendido á 7 y 8 mrs., re­ ro la razón fue la sorpresa al ver inesperadamente (no M A D R ID 2 D E N O V IE M B R E . partiéndose por todos los pueblos inmediatos una parte, y sa­ habiendo leido antes la descripción del edificio ) el lujo lándose otra para el invierno. muu " • — ..., „ . ............... sin igual de aquellas salas, y_el haber visto museos de es­ tátuas en otras capitales.…</t>
  </si>
  <si>
    <t>…, con los caractéres sigu ien tes, en el plano de la parte su ­ rior , con su agujero en el cen tro, y cuatro filetes que la perior, G A V L ; desde la última letra está partida la inscripción. adornan. Relieves. M A D R ID 5 D E N O V IE M B R E . El asa de un án fora, de 10 pulgadas de la rg o , con estos ca- ractéres C A M IL I M E L IS S L En la zanja de reconocimiento practicada al O. de la era, Sobre una losa de márm ol blanco de G é n o v a, que tiene un donde se halla el mosaico descubierto el presente m e s, sir…</t>
  </si>
  <si>
    <t>…s principios , y al mismo tiem­ res individuos de la Cámara de Comercio de para preveni­ po felicite á los que en los diurnos acontecimientos se han con­ ros de cuanto pasa, y para que toméis vuestras precauciones M A D R ID 8 D E N O V IE M B R E . ducido con tanta firmeza y moderación. Esta aprobación de una para evitar el daño que pudiera causar á los intereses comer­ feliz revolución se concibe fácilmente. Es un consuelo tanto m a­ ciales que representáis, la suspensión de una via de comunica­ yor para el Gobierno de…</t>
  </si>
  <si>
    <t>ENOVIEMBRE</t>
  </si>
  <si>
    <t>…difícil de encontrar en el dia , que me ha parecido en la parte inferior de la glotis. conveniente extractarla para que á poca costa puedan formarse Coreo esta se halla situada en el extremo del tubo vocal, no M A D R I D 23 D E N O V I E M B R E . algunas ideas, y convencerse de que deben adquirir los libros puede alterar la extensión fundamental de la voz. que cito en mis notas. Hé aqui el objeto de la obra. Cuando la voz se eleva gradualmente desde el tono mas gra­ En la rápida lectura que hemos hecho de ella nos ha…</t>
  </si>
  <si>
    <t>ENOVIEMBREDE</t>
  </si>
  <si>
    <t>…Antes de todo importa referir el mapa social de la nación Número 20. m ism os ob jetos. á sus nuevas instituciones , con la paternal solicitud de m ejo­ rar su condición, ofrecerle medios fáciles de instrucción , hacer M E S D E N O V I E M B R E D E 183ÍL L a guerra civil que ha desolado largo tiempo la Penínsu­ I accesibles á sus habitantes la adquisición de pequeñas propieda- la parece acercarse ya á su fin. Cuanto mas trastornado, mas I des , abrir las salidas ventajosas en las carreras de la agricultura, Contiene lo…</t>
  </si>
  <si>
    <t>Enri</t>
  </si>
  <si>
    <t>…eligioso , después de haber re­ Segorbe 18 de Agosto . mase el texto del parte del capitán A d ro h e r , cuya co m i­ citado fábulas y cuentos morales con una gracia nada común, sión ha desem peñado el piloto alférez de navio D. Enri* presentaron muestras del mayor mérito en toda clase de borda- En la mañana de ayer atravesó la carretera de Aragón por que C alb et, m aestro de la escuela n á u tica de dicha c iu ­ aos y labores propias de su sexo, que merecieron admiración y las inmediaciones de esta plaza el gefe superior…</t>
  </si>
  <si>
    <t>Enrique</t>
  </si>
  <si>
    <t>…ita , por Juan Prieto , en 2 . , y apoderado de los Sres. D. José Safon , D. M ariano Barrio y vinciales y gefes políticos que no permitiesen apoderarse de los O tra id» en sierra G ad o r, collado eje.,V alien tes, térm ino D. Enrique M i s l e y , residentes en M a d r i d , ha pedido la con- i expresados derechos, y que vuelvan al Real P atrim o nio , ínte­ del Presidio , tA pare,dda , por D. José. Á ré v a lo , en ' 4 , . . cesjon de tres pertenencias contiguas sobre el criadero de car­ rin resuelva el Gobierno ó las…</t>
  </si>
  <si>
    <t>…r a m a , indigno por consiguiente del pin­ al Rey de Prusia. cel poético* ' H oy ha corrido la voz de que el Gobierno habia recibido MetternichHabiendo escrito ademas el príncipe de Talleyrand al de En cuanto al carácter de D. Enrique, tal como se pre­ tin despacho telegráfico anunciando que los turcos se han apo­ mente decidido en 19 de Diciembre que el Rey estaba invariable­ á no sancionar ni aun con su silencio la ejecu­ senta hasta ahora, y que parece debiera excitar el m ayor derado de varios pueblos, cuyos habitant…</t>
  </si>
  <si>
    <t>…ndo sabe su m atrim onio, oye El festín de Calatrava ¡Os mostré tanta terneza! la ternura de sus palabras y admira la grandeza y elevación Vió perecer ai de Osorio; Yo vuestra cuna mecía del carácter de la heroína al decir á D. Enrique que ella no También murió el de Vizcaya, Y á mi pecho os apretaba, quiere la pompa y el esplendor; que después de haber despre­ Y otros mil que despacharon Yo vuestro rostro besaba ciado imprudentes amadores, y entre ellos al Rey de Castilla, Los ballesteros de Maza. Y amores mil os decia…</t>
  </si>
  <si>
    <t>…us estados de Castilla y Leou su hija Doña U r r a c a , y nues recursos los niños de ambos sexos de las escuelas gratuitas Se cumpla al fin con próspero destino. de la c ap ital, que han manifestado mayores adelantamientos en D. Enrique quedó reconocido R ey de P o r t u g a l, mas por m éri­ Ese lauro que hoy ciñe vuestra frente to suyo , que por derecho de su m u g e r ; y de estos procedió la los exámenes públicos que se celebraron los dias i i , 1 2 , 15 y Dé aliento á vuestro pecho, dinastía de la casa de Borgoña. 14…</t>
  </si>
  <si>
    <t>…; sentir en aquel m om ento; pero aqui tampoco nuestra pluma Mas ¿ q u i é n me iguala ora en penas? ¿ Y os atrevéis á d ecir...? sabe expresar m as: abandonamos el alma á la sensación, y en­ Si a l g ú n i uf a me se lanza D. Enrique. &gt; ¿ Y por qué n o ? mudecemos. N o debemos sin embargo dejar de notar que en A us ur par me rni g r a n d e z a , ¿C astilla toda no sabe este soliloquio, a! través del gen io, se observa el esfuerzo del arte. H ago rodar su cabeza Que sois un Rey sin honor? El poeta nos ha presentado…</t>
  </si>
  <si>
    <t>…ndi** tráfico y fuerte que la vista de los sepulcros de los Atridas y ellos cantaban y pintaban la historia de nuestro pais, la g alan ­ :ion señala la bondad respectiva de esta. de Agamenón en la tragedia de Voltaire; á que D. Enrique tería y orientalismo de nuestras costumbres, los altos hechos Lo interesante de la materia ,1a exactitud con que está re— el Caballero tiene que vengar la muerte injusta de una madre del honor nacional , la fuerza y bizarría de nuestro valor; por­ Jactado este folleto, que manifiesta los co…</t>
  </si>
  <si>
    <t>…para arrancarla l gica , la consecución del postrero de estos deseos. toda certeza que sin aumento en ía exportación anotada en las Pues bien , lectores mios, de todas esas viejas consejas que Presto olvida su castizo lenguaje D. Enrique, pues en el se­ balanzas, la importación está acrecentada en todo el valor de vosotros y yo sabemos, de todos eso? ridículos cuentos que nos gundo acto ya le escuchamos hablando en el idioma de nues­ las pesetas sevillanas introducidas de contrabando. Dicen , aun­ enseñaron casi en la cu n a…</t>
  </si>
  <si>
    <t>Enrique'</t>
  </si>
  <si>
    <t>p erejil con aliura de 14,6 pies y dos haces en cerca de T eatros ex tra n jero s. llísímas composiciones entre otFO* los Sre*. Gil ( D. Enrique' ó bra/.as de agua. ;V e ra, y Lafueute (Fr. Gerundio.) Quinta. Al S del arrecife S ild e r o n , distante 8 m illas al M r. de U mortbie acaba de term inar el tercer acto de an a A las nueve con corta diferencia se elevó al compás de !* tragedia que ha escrito expresamente para la gran ac…</t>
  </si>
  <si>
    <t>Ensebio</t>
  </si>
  <si>
    <t>…de Berga, en que está de ma­ nifiesto su inhumano y siniestro designio de arruinar á los la - Sobre el origen de los conocimientos humanos. P rim era do de editar su presencia. Que Meillard se puso un pantalón m em oria, por D. Ensebio,M aría del Valle. Qtpvo » y que habiendo vuelto á hablar de la maleta, le con­ boriosos habiUntes de este principado , sin detenerse ni en la testó estuviese tranquilo, pues no podia comprometerle de nin­ imposibilidad de llevar á cabo las medidas que ha dictado, ni. E l a u to r, que se…</t>
  </si>
  <si>
    <t>…e corte de esta villa, y condenado después á unu del día 28 de Noviembre de este año por su individuo da de la Obrería en la militar de Calatrava , expidiéndo­ detención de ocho meses en su casa, que observó con la de número D. Ensebio M aría del F a lle . sele el Real diploma en 20 de Mayo de 1816; y poste­ mayor religiosidad. Consecuencias fueron estas del domi­ riormente agregándose de dia en dia á los antiguos nuevos nio de un partido que nunca tuvo motivo para no ser to­ El dia 4 del presente mes á las seis y tres c…</t>
  </si>
  <si>
    <t>ENTE</t>
  </si>
  <si>
    <t>…u e no r econocí a. &gt; to con la independencia necesaria necesito saber el objeto con íanos, G a lli, H idalgo, Moret, Perez, A zuela, Martínez A ya- la , Armendariz, Ripoll, Sarnaoiego, Hormaeche, Cezar, M arin, KI Sr. P11ES! D E N T E : EI Sr. ArgiteIIes no habra querido que se hacen ciertas cosas. Digo pues que lo mismo antes de ha­ hacer un cargo á la mesa, cuando lia dichoque hoy se lian j berse leído esos documentos, como después, daba ese voto por­ Aliaga , conde de la R.osa, Arteta , L e a l, Carbonell , Martínez l…</t>
  </si>
  <si>
    <t>…22 , 23 la Constitución de la monarquía es pa fio-la y las; leyes del ¡reino,, que entre los articulo* 4 ? J 4^ se i intercalen otros dos. y m- y ser fiel al Rey, Asi Dios roe ayude, y si ¡o© me lo deounde.” E l Sr, P R E S I D E N T E : Habiendo suficiente mi mero de se­ A rt. 19. E l padre é madre del Rey, 00 siendo Regen tes del Se observará© para -ello Las formalidades: determinadas; en ñores Senadores se va á votar la ley relia ti va a las en.iiii.eod,a,s reino-, cuando asistieren á una sesión régia, ocuparán una tri…</t>
  </si>
  <si>
    <t>…toria y el general de las fuer­ Restituida al Senado la d ip u ta c ió n , dijo bailase en igual caso, y entonces ¿ q u é haremos con las elec- zas enemigas ; y el Sr. Moscoso de A ltam ira , Presidente del El Sr. P P i E S I D E N T E : La comisión encargada de c u m p li­ :iones y a aprobadas? He dicho que nada encuentro que opo­ Senado, que lo era también de la d ip u ta ció n , tuvo el honor mentar á S. M. por tan fausto motivo como el de que ha dado ner á la.s elecciones de M ad rid ; pero quisiera que no se d e ja ­…</t>
  </si>
  <si>
    <t>…ueria privar de sus derechos á aquellas provincias dig­ V i g o , Ferraz , Esteban. de diferentes tiem pos, de diferente contextura , de diferente ro­ nas del respeto y veneración de todo hombre capaz de formar El Sr, P R E S I D E N T E manifestó que el art. 3.° de la re­ bustez; pero hijos de la libertad uno y otro ¿es posible que es­ opinión. forma del reglamento prescribe que declarado por el Congre­ tos dos, no cojan a un mismo tiempo en la casa paterna. Yo no En el dia han variado mucho las circunstancias, y estoy se­…</t>
  </si>
  <si>
    <t>…si se llega á e n tra r en su d iscusión, y si las bierno es este.” n iente en que esa p alabra se ponga en la ley , y se d ig a u n a f r a ­ Cortes tienen por conveniente aprobarlo. Pero h a dicho S. S. que EÍ S r. P R E S I D E N T E : Sr. S a n c h o , p e r m íta m e Y . S . 9 el se cu a lq u ie ra que salve la C onstitución , porque es menester te ­ el Gobierno, si h u b ie r a procedido con bastante franqueza en esta Sr. M in is tr o tiene la palab ra. ner presente que aun q u e se qu ie ra f a l t a r á e lla , no…</t>
  </si>
  <si>
    <t>…las personas por que se h an cometido. Y h a - pausa añ adió): ampliado f y ...... iendo por últ im o, entre otras, la reflexión de que el número Señores, agraciado con la alta honra que roe ha dispensado • -El Sr.- P R E S I D E N T E : El Sr. Arteta tendrá la bondad de e votqs que se habían anulado era mas que suficiente para vi­ el Congreso , tan sin mérito para ello, no acierto á expresar mi concretarse á deshacer equivocaciones. 6 tar la elección, termina pidiendo al Congreso que deseche el reconocimiento, aupque oii…</t>
  </si>
  <si>
    <t>…ario s puntos de la h acienda m ilit a r . do 16 de Setiembre de 185 9. A h o ra señores, se h a n albergado u n a m u lt i t u d de desertores El Sr. M in is tr o de E S T A D O manifiesta que. detenid o por El S r. P R E S I D E N T E manifestó que el Senado podia r e ­ en aquel vecino r e i n o ; y a u n cuando se h a n hecho re c la m a­ ocupaciones graves no h a b ia podido estar presente al p rin c ip io solver que esta propuesta de la mesa se im p rim iese en el D ia rio ciones por el Gobierno e s p a ñ o l, no se h…</t>
  </si>
  <si>
    <t>…do. Anoche se ejecutó en el lic e o , según habíamos anunciado, Se suspendió esta discusión. El Sr. L O P E Z , ea na extenso discurso, manifestó sus de­ la comedia nueva del Sr. M artínez 3e la Rosa. Su éxito ha Ei Sr. FRES! D E N T E señaló para la de mañana el dicta­ seos de que el Gobierno se hallase presente á la discusión de la sido brillante com o se debia suponer. Solo faltó para que la men de com isión de Peticiones que habia quedado sobre la contestación, porque habia que hacerle graves cargos; y d ijo , •funció…</t>
  </si>
  <si>
    <t>…les y patriotas que exnlicaciones , y señalar el dia en que ha de venir á hacerlo. de ellas que no se les daba nada á los soldados con repartirles murieron en la guerra de la independencia , y en la gloriosa lu­ El Sr. P 11ESI D E N T E manifestó al Sr. Sánchez de la Fuen­ aquellos , antes por el contrario se imponía á los pueblos una cha que sostenemos por los legítimos derechos de Doña Isabel ir te que tenia que poner por escrito su interpelación para que contribución ; y concluyó rogando á la comisión admitiese una y la…</t>
  </si>
  <si>
    <t>…, y ora para resistir á los facciosos ó El Sr. Kios fue agregado á la primera sección. interior apreciaba mucho las observaciones del Sr. Sancho , y para prevenir los tumultos que pudieran ocu rrir en sus disfriA El Sr. PRES1 D E N T E : Orden del día. Continua ladiscu­ las tendría á ¡a vista. tos , con venia estuviesen revestidos de facultades competentes* sión .sobre el expediente delcanal de Castilla. j En seguida anunció que continuaba la discusión de la to­ pero facultades arregladas á la le y , y exigirles la respon…</t>
  </si>
  <si>
    <t>ENTED</t>
  </si>
  <si>
    <t>…77. .6.. 21 i ,4 2..5 191,280.. 5 11 150,745.. 3.. 12 405 ,814 .. 2.. 21 ! 118 ,870.. 5.. 10* 416 .. 6 .. 18] 2 53,924.. 6 . .3 5 5,556.. 4 ... 7 j 5.254,945.. 5.. 17 DEL SEÑOR DON ANTONIO M A R I A DE L V A L L E , I N T E N D E N T E DE E J E R ­ E s lado del c o m e i ció de im p o r te icion por los pj uerlos de e s ta Isla en el año de 1 8 3 8 , con &lt; e xp resion de lai 3 b a n d e ra s en &lt;jue se ha v e r ilS c a d o . OT\DEtf Española del comercio Depósito. Española del Comercio Am ericana. Brasileña. Bremesa. D…</t>
  </si>
  <si>
    <t>ENTEDEEJER</t>
  </si>
  <si>
    <t>…SPO N D IE N T E A L A Ñ O D E 1838, F O RM AD A DE ORDEN DE L Gonzalo. Hablarais para mañana : mentos que le pertenecen, de siete pies de a l t u r a , destinado á SEÑOR DON A N T O N I O M A R ÍA D E L V A L L E , I N T E N D E N T E D E E J E R ­ pues pasósele la gana la in f a n c ia : su escala es de una purgad* por pie francés. de ser y a vuestro marido. 2. Un sistema de barras paralelas, b a j a s , m o vibles, que CITO V P R O V IN C I A D E L A M I S M A . ¿ Q u é te de hacer en r i g o r ? puede servir p a ra…</t>
  </si>
  <si>
    <t>Entre</t>
  </si>
  <si>
    <t>…in. Asimismo ha admitido S. M . b r a n , las clases proletarias perecen de necesidad en las calles, y mas de 40 dementes arrojados de su asilo divagan por las ca­ las dimisiones del referido barón da Sabrosa como presidente del Entre otras muchas cuestiones importantes se está suscitan­ lles andrajosos y medio desnudos, horrorizando á todos los h a­ consejo de m in istro s; de J u lio Gomes da Silva Saaches M in is ­ do en este momento la de la parte que la provincia de L u x em - bitantes. Se decía que Rosas habia enviad…</t>
  </si>
  <si>
    <t>Entre, Orleana.</t>
  </si>
  <si>
    <t>Orleana. Entre</t>
  </si>
  <si>
    <t>…s del rama - preciso do dar á esta audiencia del Popa la importancia que le zan dará una comida en la plaza de A rgel, parodiando la que atribuyen los legitimistas y hasta el mismo Gabinete de las T u- dió hace poco el duque de Orleana. Entre otras cosas les dice Herías; pero el embajador de Luis Felipe ha tenido poca maña PRIMERA SECRETARIA DEL DESPACHO DE ESTADO en esta proclama: en oponerse á un hecho que no podía'herir su-susceptibilidad. w Luego que aparezca la luna creciente de Diciembre mi El Rey de Ñápeles y todo…</t>
  </si>
  <si>
    <t>Entró, Fieros.</t>
  </si>
  <si>
    <t>Fieros. Entró</t>
  </si>
  <si>
    <t>…as á la provincia tantos años se representaba en las provincias de Norte de la monarquía , y el haberse terminado por una reconciliación fra­ una reacción completa del pretendiente usurpador! Los ríos S urcia, á petición del Sr. Fieros. Entró á jurar el Sr. marques de A lam eda, y fue agregado habrían crecido con la sangre y lágrimas de las víctimas. N i ternal y nobie , de que solo la España debia dar ejemplo, es una sola han inmolado los vencedores, porque con ellos triun­ á la 4.a sección. uno de aquellos grandes aco…</t>
  </si>
  <si>
    <t>EOC</t>
  </si>
  <si>
    <t>…ión. Y o ataco aquella autori­ sura al acto de la prisión de un compañero suyo. fueron halladas in fra g a n tí : luego la autoridad que las mandó dad por sus arbitrariedades, porque se sobrepone á la ley, por­ El Sr. MOINTE^ D E O CA empezó diciendo serle sensible prender aun después, no infringió la ley. Pero se presentará quizá que manda arbitrariamente, no porque sostiene el orden. No entrar en esta cuestión, porque envuelve una porción de per­ como razón mas fuerte, la de que los acontecimientos de Sevi­ entro en lo…</t>
  </si>
  <si>
    <t>EOCTUBRE</t>
  </si>
  <si>
    <t>…barrios de la ciudad sin ningún incidente desagradable, y Una caridad....................................................... ........................ durarán toda esta semana y tal vez parte de la otra. El pueblo M A D R ID 5 D E O C T U B R E . F. P ............. 20 de esta provincia saluda con entusiasmo la venida de la paz, D. José García............................................................................ 4 porque ha sentido y siente cruelmente los horrores de la guer­ -. . . " ■■■■■ - — ' — - ^— — ■■ D. Nico…</t>
  </si>
  <si>
    <t>Eonstitucion</t>
  </si>
  <si>
    <t>…eñalar el dia 5 0 del-cor­ FUNCION EXTRAORDINARIA, riente á las nueve de la mañana para que en la plaza de la O b r a s que se h allan d e v en ta en e l d esp a ch o y alm acén A B E N E FIC IO DEL A SIL O D E M E N D IC ID A D Eonstitucion se efectúe la solemne quema de documentos de la d e la Im p ren ta N a cion al. deuda pública endosable contenidos en el suplemento á la G a ­ ceta de 2 2 de Abril últim o; habiéndose segregado el señalado Convención para e x p lic a r , ampliar y hacer efectivo lo es­ DE SAN BERNARDINO…</t>
  </si>
  <si>
    <t>EOR</t>
  </si>
  <si>
    <t>…ria , pues que en ella se explica el modo de conocer los meta­ tro actos, titulado les y de beneficiarlos ó sacar sus productos por los métodos mas económicos, y sobre todo por medio de la amalgama, método L A E S T R E L L A D E O RO . B O LSA D E M A D R ID . desconocido hasta ahora en España. También se halla en dicha cartilla una descripción por provincias de todas las minas y si­ A las siete y media de la noche. Se pondrá nuevamente en Cotización del día 11 á las tres d e la tard e. escena la lindísima y aplaudida…</t>
  </si>
  <si>
    <t>EORI</t>
  </si>
  <si>
    <t>…as aspe­ d id o en tiem pos apacibles consagrar años al estudio de las len­ rezas d e las sierras. V en tajosos han sido los encuentros que en guas extrangeras, con vien e poder a d q u irir el fra n cés, el in gles, GRAN SALON D E O R IE N T E . estos ú ltim os dias h an ten id o nuestras tropas con diferentes ó los dos en un cortísim o tiem po. L a fu n d a ción en M a d rid de g ru p o s d e fa c cio s o s, cu y o s resultados han sido su com pleta d is­ un in stitu to h am ilton ia n o p rop orcion ó á m uchos esta fa ci…</t>
  </si>
  <si>
    <t>…ernando, 0 0 . papel y bella impresión: á la rústica 56 rs ., en pasta 50. Esta obra, cuyos principales artículos son de política, le­ CAMBIOS. gislatura y administración, fue escrita por las acreditadas plu­ G R A N SA L O N D E O R IE N T E . mas de los Sres. D . Manuel María Gutiérrez, D . Mariano Car­ Lóndres, á 90 dias, 5 8 *. Coruña, 1 * á § d. nerero y D . Joaquin Francisco Campuzano. Hoy martes á las once de la noche, gran baile de másca­ París, 16-4* Granada, 1| d. ra. A 24 rs. el billete. M álaga, par. El Ci…</t>
  </si>
  <si>
    <t>…— » a — — a— i — ^ -■ n t :_ — — m— ~■■■■■^ n—ny ____ vivas para almohadas, el schipon.. . . 56 16. . 15 Rúan* 1 NOTICIAS EXTRANGERAS. Pólvora (véase Municiones de guerra). Tulon.............................j ASUNTO S D E O R IENTE. 4.0 El valor de 60 rixdaler la pipa se Q ha valuado algunos vinos italianos, y otros vinos. Aunque las cartas publicadas por los periódicos alemanes Quesos en lastre de 12 schipones. ..... í 22 son de fecha antigua, hallamos en ellas sin embargo algunos he­ chos y algunas reflexion…</t>
  </si>
  <si>
    <t>…cionario completo , con di- 89- Doña A ntonia Salamanca , viuda del teniente de cuer­ ^ ' ferentes oraciones para antes y después de la confesión y sagrada com unión, y para asistir con devoción al sacrosanto G R A N SA L O N D E O R IE N T E . pos francos D.^Joaquín A rguelles, después de referir los servi­ ciaos de este, añade que fue asesinado por el feroz Merino el sacrificio de la misa , escogidas de los mejores devocionarios, por Hoy domingo 17 á las doce de la noche. Por extraordinario año 1855 en O ntoria del P i…</t>
  </si>
  <si>
    <t>EORO</t>
  </si>
  <si>
    <t>…mpetentemente autorizado, cluida la de M ignet, la segunda á los quince dias de publicada sin que la inscripción de esta sociedad impida de ninguna ma­ aquella, y asi sucesivamente ha^ta su total conclusión. L A E ST R E L L A D E O R O . nera las ventas de las casas, ni el traspaso de su dominio. El precio de cada entrega, pagando una adelautada, será Se estrenarán ocho decoraciones, ejecutadas al intento por Los dueños de casas que desearen incorporarse en la socie­ el de 4 rs. en Barcelona, y 5 en los demas puntos de l…</t>
  </si>
  <si>
    <t>EPALUZZI</t>
  </si>
  <si>
    <t>…tres actos, claró : que há lugar á la formación de causa : habiendo votado titulado seis jueces por el sí,y tres por el no. Siendo los que compusie­ | 7 L intendente militar del distrito de Extremadura r^Hago sa- L A Q U IN T A D E P A L U Z Z I ron el jurado los siguientes: D. Alejandro Barrantes, D. Ma­ be r: Que finalizando en fio de Junio de este año la actual ó nuel Segura, D. Francisco Bargas Perez, D. Benito Lagarza, contrata con D. Pedro Martínez Crespo, por la cual se halla á D. Manuel Bartolomé M iranda, D. Manuel…</t>
  </si>
  <si>
    <t>EPARTAMENTO</t>
  </si>
  <si>
    <t>…eva-York. Aviso á los navegantes. i mirados como indignos del verso. FA N A L N U E V O S O B R E LAS P IE D R A S Y B A JO S Parece pues que la misma naturaleza inspira ouevo lengua- LLA M ADO S H É A U X -D E B R É H A T , D E P A R T A M E N T O g e , asi como nuevos pensamientos á los poetas; pues vemos en El archiduque Maximiliano , que viaja con el nombre de todos los idiomas una diferencia tan notable en el dialecto de conde de Puchhaeen,y el Pcíocipe de Módena bajo el de con­ D E LAS COSTAS D E L N O R T E . la p…</t>
  </si>
  <si>
    <t>EPASI</t>
  </si>
  <si>
    <t>…za á que el ríamos á A bd-el-K ader un poderoso pretexto para excitar el fa­ lector tome parte ó en sus sentimientos ó en sus reflexiones? natismo de las tribus si nosotros nos saliéramos de nuestros lí­ D E L A S F IG U R A S D E P A S IO N . Lada hipérbole suya parecerá un desatino: á cada apostrofe se mites para abrir la campaña. Al fin la ventaja será seguraraen'- responderá con una risotada. La lógica del entendim iento se funda le nuestra si podemos retardar todo lo mas posible la violenta las ideas y de los juicios,…</t>
  </si>
  <si>
    <t>Epi</t>
  </si>
  <si>
    <t>…me , y estaba concebida g u n d a s elecciones de la provincia de Tol edo, y á la i dent i dad m a d r e , ma dr e ve rdade ra de todos los españoles.... en estos t ér mi nos: (véase el a rt í culo de oficio). de la persona de D. Epi f ani o Est eban, c i a t o por la mi sma, en bol dados: no está lejos d i a t an v ent ur os o, y me lisonjeo que Con c l u i d a sn lectura, el Sr. Presidente dijo que acercándose que opi na la comisión deben entenderse dados los votos al E s - con vuestra subordi naci ón y d i sc i pl i na c…</t>
  </si>
  <si>
    <t>Epifa</t>
  </si>
  <si>
    <t>….................... .. Jaén. BIBLIOGRAFIA. Buestra voluntad. El espejo en que haya de reproducirse D. Joaquín Diaz Caneja........................................León, nu cambio político con todos su9 accidentes, debe ser en D. Epifa«io Fortun................................................. Lérida. r \ E L Rey abajo ninguno, y labrador más honrado, García extremo bruñido, terso é inmóvil; y la literatura, expre­ D. Pedro González Vallejo, arzobispo electo de del Castañar. Comedia en tres actos según la escribió su sión…</t>
  </si>
  <si>
    <t>Epifanio</t>
  </si>
  <si>
    <t>…déla Guerra á 9 de Setiembre de 1859.= Búrgos 8 de Setiembre . A las seis de la tarde del dia de sus generales coa mutua y absoluta coofianza, la m ira, Seño­ Es copia.=PaIafox. ayer entró en esta capital el comandante que fue D. Epifanio r a , el Congreso corno una gran deuda nacional, y está resuel­ Carrion con los dos pequeños escuadrones con que pasó el Ebro; to á pagarla por su pirte , no solo con la debida fidelidad, si­ Sr. redactor de la Gaceta: M uy Sr. m ió: De regreso tem­ y se ha adherido al convenio del Excmo. S…</t>
  </si>
  <si>
    <t>EPOLI</t>
  </si>
  <si>
    <t>…o Iglesias, D . Andrés Gutiérrez , D . M a­ CORRESPONDENCIA DE LA GACETA nuel R od rígu ez, D oña Teresa Rom ero y D . Manuel M aría de titulada la O rd en , endosantes que aparecen ser de un crédito de deuda U N A G E N T E D E P O L IC IA . Gerona 5 de Abril. El 14 del mes anterior una partida sin interés falsificado, núra. 11,568, de 85 ,105 rs. 24 mrs., para de facciosos tue sorprendida en el pueblo de N ava , partido de que se presenten en la escribanía principal del ra m o , calle del A continuación las boleras á o…</t>
  </si>
  <si>
    <t>EPROYECTOS</t>
  </si>
  <si>
    <t>…media firma y al precio COLECCION perm ite tam poco lo adelantado del tiem po q ue se e x tie n ­ de 8 rs. vn. en la librería de D . Ignacio Boix, calle de Car­ dan órdenes á lodos los establecimientos ó corporaciones. retas. D E P R O Y E C T O S , D IC T A M E N E S Las que particularm ente están co m prendid as en esta dis­ posición son las siguientes: a y u n tam ien to de M adrid, fa­ Y L EY E S O R G A N IC A S cultad v e terin aria, asociación general de ganadero s, con- sei v a lo n o de artes, academ ia nacional…</t>
  </si>
  <si>
    <t>…gu ir m ayor ex a ctitu d , no bre p róx im o , he dispuesto se saque nuevamente á pública su ­ p erm ite tam poco lo ad elan tad o d el tiem p o q u e se e x tie n ­ basta dicha impresión para el año venidero de I 84O, fijando D E P R O Y E C T O S , D IC T A M E N E S dan ó rd en es á todos los estab lecim ien tos ó corp oraciones. para su único remate el dia 8 del citado Diciembre de once á La» q u e particularm ente están co m p ren d id a s en esta d is­ doce de su mañana en la casa de mi habitación, y según lo Y L EY E…</t>
  </si>
  <si>
    <t>ER, CA LD</t>
  </si>
  <si>
    <t>CA LD ER</t>
  </si>
  <si>
    <t>…ltase alguna modificación, no dejaré de ponerla en La comisión opinaba que se archivase dicha exposición. noticia de V. E. para los efectos consiguientes. De Real El Ministerio ingles no ha acabado aun sus modificaciones. El Sr. CA LD ER O N G O LLANTES dice que siente infirn- orden, comunicada por el Sr. Secretario del Despacho de Sin embargo, se ha agregado ya á Mr. M ac-Aulay uno de to’ que las circunstancias en que se halla el Congreso le hagan Estado, lo traslado a V. E. para los efectos oportunos en los oradores mas…</t>
  </si>
  <si>
    <t>ERA</t>
  </si>
  <si>
    <t>…por el número de ministros expresado. de i859.rzFonseca.—García Carrasco—Armendariz.—Pidal. del art. 5 I , y de los arts. 72 , 75 y 75 del reglamento provisio­ 4-a Igual número de cinco ministros será necesario para El Sr. Y IA D E R A dice que aprobaria el dictámen si no: nal para la administración de justicia , contenido en el Real de­ determinar las causas de que habla el art. 75 del propio regla­ ocurriera una circunstancia respecto del Sr. Diputado de quien- creto de Setiembre de 1855, se observarán las disposiciones si…</t>
  </si>
  <si>
    <t>Era, Goethalc.</t>
  </si>
  <si>
    <t>Goethalc. Era</t>
  </si>
  <si>
    <t>…anguardia die !a. segunda división de! ejercí lo ac­ 000 el título de Consejo Real de España é ludias» Señores* yo paseraEl deSr.20MIindividuos los que asi faerea grafitica dos. :¡ tivo,. Esta división será mandada por el general Goethalc. Era tuve el honor y al mismo tiempo la gloria de contribuir cora ti o ñor de oír elraí.siró de GRACIA Y JUSTICIA: No tuve el principio del discurso del Sr» C abtrava, y asi Tura bou t y en sus alrededores se hallan destaca mera tos de! pri­ de 011 débil voto á lia Constitución del año de…</t>
  </si>
  <si>
    <t>ERACI</t>
  </si>
  <si>
    <t>…del Havre con fecha 2 de Noviembre : tual dice que el presentado D. Lorenzo Chaves , comisionado Por noticias de los Erados-Unidos se sabe que el Gobierno por el comandante general de Avila para la persecución de 2 í C O N F E D E R A C IO N G E R M A N IC A . federal, instruido de las expediciones inglesas á la Nueva Zelan­ facciosos montados de la partida de Palillos, logró alcanzarlos da , ha nombrado á Mr. Fitz Dhu de Barbtowa cónsul ameri­ con los 16 hombres de su m ando, y causarles tres muertos, ha­ Francfort sobre e…</t>
  </si>
  <si>
    <t>…ominación terre­ dole á él en la combinación. Que lo habia rehusado porque en n a l, y que por lo tanto debe reunir todos los derechos que le esta última combinación veia grandes talentos, pero no garan­ D E L A S F IG U R A S D E R A C IO C IN IO . son necesarios para llenar el objeto de su institución, y debe tías suficientes para su opiuion , y que pbr consiguiente habría tener también el derecho de promulgar leyes, de juzgar y de estado en un completo aislamiento y como forzado. Mis amigosy ARTICULO PRIMERO. castigar…</t>
  </si>
  <si>
    <t>…hay listas de lo que se brevemente la insuficiencia de todas, excepto de la que vende. Solo se cobra á razón del 2 por 100 de lo que se venda. da al fin el mismo escritor. La Preterición, en suponer que D E LA S F IG U R A S D E R A C IO C IN IO . se omiten muchas ideas, cuando realmente se insiste en ellas, aunque vigorosa y concisamente. La Corrección, en ARTICULO SEGUNDO. enmendar artificiosamente lo que se ha dicho para buscar una palabra mas propia, ó una idea mas luminosa. La Con­ TEATROS. cesión, en suponer…</t>
  </si>
  <si>
    <t>…yes que no están dero­ •hecho las tropas de aquel distrito á las gavillas de tebeldes que gadas. vagan por él han resultado muertos en el campo el faccio o Puestas en ejecución estas cedidas, la renta de la contribu* C O N F E D E R A C IO N G E R M A N IC A , asesino José A lonso, alias Cuuqueira; D. Pedro V illan, capi­ cion personal de indígenas podrá ascender á 200$ pesos libres, tán de gavilla; el Barroco; Felipe Estebez, alias Tripa-rota; después ds haber .satisfecho todos los gastos de recaudación , de­ Francfort 5…</t>
  </si>
  <si>
    <t>Eraso, J. Joaquio</t>
  </si>
  <si>
    <t>J. Joaquio Eraso</t>
  </si>
  <si>
    <t>Manzano, regidor quinto.r=Jo;é María de Castro, regidor sex- ne siempre consigo , ha cambiado de parecer y no quiere ya Después de lord Brougham, cuyo ridículo y reciente ata­ to.rrEI juez de primera instancia licenciado J. Joaquio Eraso.= colocarle en el trono. que no se ha olvidado au n , el tribuno irlandés halla esta v"ez El comandante de la Milicia nacional de caballería José de la ocasión á propósito de Tejas para deslizar en su peroración esta Huerta.=rEi comandante de la Milicia nacional de infantería inex…</t>
  </si>
  <si>
    <t>Eraña, Bernardina</t>
  </si>
  <si>
    <t>Bernardina Eraña</t>
  </si>
  <si>
    <t>…s siguientes: D. Nicolás Mélida, D. Martin López Sala- DE LOS TEATROS zar, D. Eduardo Arenas, D. Cayetano de Dilio y Rubio, Don forma esos preciosos dibu jos, esos a preciables cu ad riles con Rauion Guerra, D. Román Matute , D Bernardina Eraña , Don MODERNO ESPAÑOL Y EXTRANGERO. que se enriquecen todas las colecciones de los particulares Tadeo Sánchez Escandola y D . J osé Eugenio E guizabai, quie­ de Francia y del extrangero. Cuando el artista se e n ­ nes por unanimidad declararon haber lugar á la formación de Con es…</t>
  </si>
  <si>
    <t>ERI</t>
  </si>
  <si>
    <t>…te la nu­ asiento en el Senado í otras que habían renunciado y no estaba Pidieron la palabra los Sres Ayllon y Osea. lidad de la elección del cuarto. admitida su renuncia: én otras habia Senadores que por el ar­ El Sr. PE R EZ D E R IV A S dijo que la comisión al dar su El Sr. A L O N SO expresó que trataba de demostrar que no tículo 45 de la Constitución podían suponerse sugetos á reelec­ dictámen habia tenido presente , no solo que esta exposición estaba tan claro que se suponía el contexto literal de algu­ ción ; y com…</t>
  </si>
  <si>
    <t>…to á mi deben de ser ex­ debe aplazarse como se previene en el art. 7.° del reglamento. El.Sr. conde de las N A V A S : El Sr. Benavidez se ha equi­ trañas de las de otros. Si por una parte debería querer que se El Sr. PE R EZ D E R IV A S; El Sr. ponde ha dicrb o , según vocado cuando ha manifestado que yo había dicho que se ha­ averiguase la verdad, por otra mi deber como Diputado y parece, que en las elecciones ha habido algunos manejos; pero bían sacado fondos públicos; yo me be apoyado en lo que ha mucho mas encontrá…</t>
  </si>
  <si>
    <t>…­ liberar ó no ; si cree infundada la petición , no ha lugar á de­ to en la materia. ra, ni nunca se ha proscrito de la república de las letras. Los liberar ; mas si la cree fundada , se está en el caso de que se El Sr. PEREZ D E R IV A S, como de la comisión de Pe­ hombres ilustrados de todos los países han profesado siempre tenga presente en tiempo oportuno : Creo por lo tanto que la ticiones , observó que ninguna analogía tenia la proposición comisión no puede dar otro dictámen que el que presenta. Pero que acababa de…</t>
  </si>
  <si>
    <t>ERIVAS</t>
  </si>
  <si>
    <t>…de m an ife sta r al Congreso b r e v ís im a - mentes porque esto no es de Ínteres, las precauciones que y o como lo posible eo todas las operaciones. comisiones que no p u d im o s p ercib ir cuáles fueron. El S r. P É R E Z D E R I V A S a p o y ó brevemente el d ictam e n I g u a lm e n t e se dió c u e n ta de un proyectó de ley sobre o r­ p rim e ra a u to rid a d tomé p a ra e v it a r el abuso que se h a b ia no­</t>
  </si>
  <si>
    <t>…­ que debe pasar también ¿T Sr. Ministro de Gracia y Justicia. nal , dirigía justificado con documentos; que no está en las atribuciones del gastos de exacción, al Congreso, pidiendo se le levantase la multa y El Sr^ P E R E Z D E R I V A S insiste en la defensa del dict a­ asi como también la restricción de no Congreso el aplicar las leyes, y que por lo tanto este no puede der ejercer libremente su profesión mientras resida y sirva en una equivocación. po­ men, indicando que el Sr. González Alonso habia procedido de resol…</t>
  </si>
  <si>
    <t>Ermesindis</t>
  </si>
  <si>
    <t>…para consultar el gran número de documentos que inser­ ral y vicioso. las cintas de los zapatos. Su secretario abria las cartas recibidas ta en su obra y en los cuales funda sus aserciones. 15. La falsedad de la tutela de Doña Ermesindis, viu­ por la mañana, y recorriéndolas rápidamente arrojaba las unas Esta obra se presentó á S. M. en 1833 solicitando el da del conde D. Ramón i durante el reinado de su nieto ea un enorme cesto, y pouia las otras sobre la mesa del prínci­ permiso de la dedicación, que fue concedida, pr…</t>
  </si>
  <si>
    <t>ERN</t>
  </si>
  <si>
    <t>…e 1832. tinúan batallando con la corriente hasta el borde del que es visitada por todos los viajeros que llegan a gran salto por cerca de media legua; pero al llegar á (Juebec, y que poseen medios para gratificar el gus­ C U A D ERN O IX . una pequeña isla, llamada de la Cab ra, se divide en to por lo que es sublime. dos brazos, los que causan dos cataratas, la una mu­ E n la hacienda , llamada L a Mot te , pasan tías Contiene: Anónimos contra el capitán genera] de Galicia aguas sobre un lecho irregular de piedras rompi é…</t>
  </si>
  <si>
    <t>…scado; y para no perder tiempo, mientras que esta especie cer no pocas mejoras seenconsigue la costa. de red está tendida, los pescadores se ocupan en pescar bacalaos Concluyo mi narración dando una rápida ojeada sobre una CU A D ERN O l.° con caña. pesca bastante grande y floreciente, cual es ia del mar Caspio El pescado que se coge en la costa es pequeño; el mayor se toma en el mar á distancia de unas 50 werstas. El peso del ba­ yla ladeldeVoíga, los grandes rios que desembocan en é l , principalmente Refutación de las re…</t>
  </si>
  <si>
    <t>ERNOE</t>
  </si>
  <si>
    <t>…allan de venta en el despacho y almacén de La Imprenta Nacional. GALERÍA DRAMATICA. TEATROS. PR INCIPE. A las siete de la noche. Se ejecutará la comedia Comentarios de la pintura encáustica del pincel, por el T E A T R O M O D E R N O ESPA Ñ O L. nueva de magia , en cuatro actos, en prosa y verso, que lleva presbítero IX Pedro García de la Huerta. Un tomo eo 8.° edi­ por título ción de 1795, á 5 rs. en rústica y 9 en pasta común. La aurora de Colon, LA REDOM A ENCANTADA. Curso elemental de meteorología, por D. José Garrí…</t>
  </si>
  <si>
    <t>ERNOEXTRANGER</t>
  </si>
  <si>
    <t>52-&lt; , § , f , f , 55, 5 i f , , 54 y 52 á v. f. ó vo 1. y firme á Ilabla esta obra de los meteoros en general y particular, di­T E A T R O M O D E R N O E X T R A N G E R O . prim a de i y f por íOO con cupones: 27 á 60 d. f. ó vo!. ciendo de cada uno de ellos lo que principalmente conviene sa­ con el cupón corriente. ber. Trata de los instrumentos de que se hace uso en la meteo­ Está venal el tomo 5.° que contiene los seis interesantes Ins…</t>
  </si>
  <si>
    <t>ERNONÚ</t>
  </si>
  <si>
    <t>…ido de esta ciudad para Saotoña 500 quintos y un E L M AD RILEÑ O CATOLICO. GUINO EN L A A LD E A . convoy de 25 carros con armamento para M edina de Pomar. 4 o La comedia n u ev a, en un acto , titu la d a : LOS P A ­ C U A D E R N O N ÚME RQ 10. DRES DE L A N OVIA. Si un argumento fundado en las costumbres de nuestra ac­ BOLETIN DE COMERCIO. Continúan tratándose en él los puntos interesantes á que tual sociedad, manejado con un interés progresivo , y que e á - ‘ dan margen los sucesos y doctrinas de la época, que no…</t>
  </si>
  <si>
    <t>ERNOX</t>
  </si>
  <si>
    <t>…...................................... 10!) la instrucción pública , ha considerado siempre con el mayor S. L ............................................. 20 ínteres el establecimiento de cátedras en que se expliquen los C U A D E R N O XIV. F. de S.............................. .... 60 principales conocimientos científicos , procurando que esten D . Manuel Calbo. . .................. . . . . * ............................ 20 desempeñadas por hábiles profesores , y no omitiendo nioguna Contiene; Manejos del barón de los Val…</t>
  </si>
  <si>
    <t>ERNOXI</t>
  </si>
  <si>
    <t>…o. 4»° D, A nt on io A g u s tí n , D. Sancho D áv il a , D J u a n de h a n desgraciado mas que cuatro. DESDE OCT UBRE DE 1832. A u s tr ia , D. Alvaro de Buzan, A n t o n i o de Nebri ja y Pedro M e ­ riendes Aviles. C U A D E R N O X I. 5 ° D . J u a n de Aus tr ia , Fr. L ui s de G r a n a d a , M a r t i n de Azpilcueta , Pedro Chacón , D . Ber nar dino de Rebolledo y D e n CORRESPONDENCIA DE LA GACETA, Contiene: Juic io sobre las circunstancias de la épo ca, posi­ L u i s de G ón g or a. ción del Gobierno y dispo…</t>
  </si>
  <si>
    <t>ERNOYANTI</t>
  </si>
  <si>
    <t>…o y Gaceta. Madrid í.° de Julio de i8 5 9 .== COLECCION DE LAS MEJORES OBRAS Francisco de Beranger.—Por mandado de S. E ., José del Peral y González. DEL TEATRO L A junta administrativa y liquidadora de los cinco gremios M O D E R N O Y A N T IG U O E S P A Ñ O L , madores ha resuelto citar por quinta y ultima vez á los capitalistas y acreedores que por cualquier m otivo no se hayan VACAN TES. presentado á reconocer y liquidar sus créditos en las oficinas Y DEL TEATRO EXTRANGERO. del establecimiento, para que lo ejecuten…</t>
  </si>
  <si>
    <t>ERO</t>
  </si>
  <si>
    <t>…distintos con unos mismos Alcaldía constitucional di© Hojocasero¿=En¡a las nueve de niente. remedios. De aquí ¡se sigue la necesidad de hacer tan esta mafia na cuando tuve noticia de que venia o cuatro faccio­ El Sir. L A N D ERO : Giran disgusto tienen los i adir id nos el asi icos y flexibles las estados excepcionales, que se aco­ sos, entrando en este por e! camino de NavaUaitx: iamedtata­ de ta comisión por mo haber correspondí ido á 1a confianza del Congreso , al verla impugnación qoe ha sufridlo el proyecto mode…</t>
  </si>
  <si>
    <t>ERO, ARM</t>
  </si>
  <si>
    <t>ARM ERO</t>
  </si>
  <si>
    <t>…para m í, cuando el Congreso se halla fatigado hace tres dias tomado las disposiciones necesarias. chos? No. Lo mas natural seria esto; pero aunque lo mas na­ sobre interpelaciones , llamarle su atención hacia otra nueva, El Sr. ARM ERO pregunta al Gobierno, porque lo cree in ­ tu r a l, no seria bastante legal. ¿Pueden decir: la empresa perdió y obligar al Gobierno á venir á estos bancos para contestar! teresante, para que esos puntos subsistan siempre bajo la segu­ los derechos que habia adquirido por no haber hecho lo…</t>
  </si>
  <si>
    <t>ERO, ELO NÚM</t>
  </si>
  <si>
    <t>ELO NÚM ERO</t>
  </si>
  <si>
    <t>…ientos establecerlas desde luego, en cuanto sus medios aprobación del gefe político, de que habla el citado ar­ lo permitan, adoptando por sí los arbitrios que esten a su tículo 23, se le pondrá en posesión de su destino. M O D ELO NÚM ERO 3 .° disposición, y proponiendo a la autoridad civil superior Art. 21. Esta posesión se dará a los maestros por el de la provincia los que crean mas convenientes para m e ay unta miento , o por una comisión del ay u n ta m iento, cotí TESORERIA DE CORTE. Mes de de 1839 jorarlas y aumen…</t>
  </si>
  <si>
    <t>ERO, LA ND</t>
  </si>
  <si>
    <t>LA ND ERO</t>
  </si>
  <si>
    <t>…ma de administración, y sobre todo Senador se haya de tener una renta propia, y que S. S. no en­ tículo 1.°, y dijo pagar los intereses de lo que se debe. tendía , ni la ley podía entender otra cosa por renta propia sino El Sr. LA ND ERO : Unicamente he pedido la palabra pa­ Que basta saber que el presupuesto de la caja asciende Ja procedente de bienes propios; y que no teniendo la renta ra preguntar á la comisión si entiende comprendido el sueldo á 506.968,287 reales, y que lo que sucederá ahora será lo que que el Sr. L…</t>
  </si>
  <si>
    <t>ERON</t>
  </si>
  <si>
    <t>…os dramaturgos. esto el Ínteres que toma por Mr. D upuch: verdad es que este Boissy falseó pues el pensamiento de C ald eró n , inspi­ piadoso prelado excita en Roma una especie de entusiasmo. El LA V ID A ES UN SUEÑO, DE C A L D E R O N , Y LA V IE rando á su héroe ideas grandes y generosas, sugeridas por Santo Padre le ha nombrado obispo asistente al trono. Los carde­ EST UN SO N G E, D E BOISSY. el a m o r, y atribuyeudo á los celos sus nuevos furores. nales le han manifestado la mayor benevolencia, y la sociedad Asi qued…</t>
  </si>
  <si>
    <t>ERONG</t>
  </si>
  <si>
    <t>…n , tal como lo ha entendido en la que ha recibido el Sr. Fernandez Baeza? El Sr. Baeza, cuando vaba el carácter de magistrado; pero noenellatítulo, secretaría conser­ presente legislatura el Congreso. no la pro­ El Sr, C A L D E R O N GO LLA NTES observa que no se ha fue elegido,Diputado, era oficial de la secretaría de Gracia y piedad, no la jurisdicción : hoy la adquiere ; luego adquiere gra­ concedido ningún honor, grado ni condecoración al Sr. Fer­ Justicia , es decir, que tenia un empleo equivalente al de oidor de…</t>
  </si>
  <si>
    <t>ERRA, EL DESPACHO DE LA GU</t>
  </si>
  <si>
    <t>EL DESPACHO DE LA GU ERRA</t>
  </si>
  <si>
    <t>…. sano á decir al comandante que si continuaba hostilizándole PARTES RECIBIDOS EN LA SECRETARIA DE ESTADO entregaría al saqueo la población, y degollaría á los h a b ita n ­ Art. ó.° Se restituye á su fuerza y vigor la Real Y D EL DESPACHO DE LA GU ERRA. tes , sin embargo de lo cual y contestado con altivez , la g u ar­ cédula de ¿0 de Enero de 1828; y en consecuencia nición siguió haciendo fueg o , hasta que observado que al to ­ la contaduría general de Valores sujetará á ella sus Comandancia general de los ejércitos r…</t>
  </si>
  <si>
    <t>Errecondo</t>
  </si>
  <si>
    <t>…importante. D ice sí, que necesita ponerse de acuerdo so­ nor resistencia : que un sargento le despojo de sus ropas y le bre ellos, que necesita meditarlos, que conferenciará con la co­ dió lasque tenia: que el segundo comandante Errecondo, del en las administraciones de loterías nacionales; por cu y o medio podrán interesarse por entero, mitad ó cuarta parte, seguu a c o ­ m isión , y que por ahora no está en el caso de entrar en la cues­ 7.° batallón de Guipúzcoa , le dió un sablazo en el hombro des­ modase á los jugadore…</t>
  </si>
  <si>
    <t>Erzerouin</t>
  </si>
  <si>
    <t>…cia , ha te­ l i a sabido reunir á todas las tribus bajo su dominio ; ha adop­ celebrado contratas para traer trigo de Alejandría. nido ei honor de ser admitido para despedirse del Sultán en Hafiz b a já , nombrado gobernador de Erzerouin , ha salido una audiencia que al efecto se le ha dado en el palacio de Top tado el uso de L lengua árab e, como medio el mas seguro de para dicha ciudad , pues el Gobierno quiere ponerla en un es- Kapou. S. A. ha recibido hacer que las diversas poblaciones puedan entenderse. almirante co…</t>
  </si>
  <si>
    <t>Es, Azpiroz.</t>
  </si>
  <si>
    <t>Azpiroz. Es</t>
  </si>
  <si>
    <t>…s me se­ quedó cumplida con rapidez y feliz éxito la parte esencial que Quinto batallón de V ale n c ia .^ C a p ita n , D. Antonio Teles g u ía una batería r o d a d a , otra de á lomo y una compañía y había confiado al general Azpiroz. Es verdad que este gefe y Jordán. una sección de otra del regimiento de ingenieros. nunca me deja que desear: no ve obstáculos, ó halla en sí los Subtenientes, D. M axim ino A r n a u , D. Esteban José Ló ­ El 51 de J u lio las tropas pernoctaron en Onda. El sigu ie n ­ medios de vencerlo…</t>
  </si>
  <si>
    <t>Es, Basilio Bassili.</t>
  </si>
  <si>
    <t>Basilio Bassili. Es</t>
  </si>
  <si>
    <t>…s mas simples y mas Antonia Montenegro por el Sr. D. Manuel Bretón de los Her­ ejecutadas bajo ei influjo de los genios aéreos. dulces pasiones de k vida tendrá su lutiiidad el D ague­ reros, y puesta en música por el profesor D. Basilio Bassili. Es­ Asi es como en una serie de cuadros creados por el rrotipo^ y reproducirá al instante todas las cosas amadas; ta canción forma el núm. 2.° de la colección de tres Canciones de esté autor y se vende con la primera, titulada: la Jota , del D aguerotipo hemos visto a París repro…</t>
  </si>
  <si>
    <t>ES, BEN AYID</t>
  </si>
  <si>
    <t>BEN AYID ES</t>
  </si>
  <si>
    <t>…do en ella; pero que y a que estaba hecha la preguota, debia re­ en la secretaría de esta corporación m unicipal se presenten las solverse. FR A N C IA . noticias de la fuerza de tropa existente en esta cap ital, y para El Sr. BEN AYID ES , aunque conviniendo exactamente que se nombren los encargados que deben concurrir á las Casas con el Sr. O lózaga, manifestó que la ley en este punto estaba B urdeos 28 d e Agosto, consistoriales á recibir y hacerse cargo de lo correspondiente á m uy clara y exigía dos dictám enes, un…</t>
  </si>
  <si>
    <t>Es, Benavides.</t>
  </si>
  <si>
    <t>Benavides. Es</t>
  </si>
  <si>
    <t>…, señores ; pero tengo que h a ­ da ñ o, estoy persuadido de que ha hecho mucho b ien, pues que ticiones. Se leyó la proposición de los Sres. P as cu al, L a c a lle , B e lin - cer u o a observación á lo que h a / dicho el Sr. Benavides. Es tal vez h a y a dado motivo á que no se complete el m ayor de los sacrificios que debe ser sensible para todo hombre honrado. La chon , G i l , López de Pedrajas y otros v a r io s , de que se dió m u y distinto lo ocurrido con el Sr. Cortázar a lo que ahora se propoúcion no pudo ten…</t>
  </si>
  <si>
    <t>Es, Cárlos.</t>
  </si>
  <si>
    <t>Cárlos. Es</t>
  </si>
  <si>
    <t>…hablan de una colisión entre para asegurarse si han sido sometidos á la v isita, é im pedir el las Potencias quieren evitar las hostilidades. el Shah de Persia y el virey de E gip to , con motivo de Bagdad fraude en favor de D. Cárlos. Es mas probable que estalle la guerra entre M ehem et-A lí y y Bassora, olvidan que aquellas dos ciudades, asi como todo el Estas resoluciones del Gobierno francés han sido anuncia­ &lt;1 Shah de Persia , en atención á que según las últim as noticias curso del T igris y del Eufrates, perten…</t>
  </si>
  <si>
    <t>ES, EN</t>
  </si>
  <si>
    <t>EN ES</t>
  </si>
  <si>
    <t>…en los puntos de U ltram ar; pagados adelantados, según uso expendidos los billetes, con la puntualidad que tiene acredita­ adm itido, y franco el correo en la remisión. En las provincias do este establecimiento nacional. O R D EN ES Y REGLAMENTOS DEL GO BIERNO estará abierta la suscripciou en casa de los comisionados de la agencia literaria. Y D E LAS DIRECCIONES Y A U T O R ID A D E S S U PER IO R ES. Se insertarán á precios convencionales los artículos con que­ jas y reclamaciones sobre injusticias y demas objetos d…</t>
  </si>
  <si>
    <t>Es, Francisco</t>
  </si>
  <si>
    <t>Francisco Es</t>
  </si>
  <si>
    <t>…cúpula se com­ nigno M ontero, por paja , vecino de Fuenlabrada : Manuel A y u - 3.° M uerta para el mundo. ponían de grandes cantos de piedra de g r a n o , cortados en c u a ­ s o , por carbón: Alfonso G utiérrez, por pan: D. Francisco Es­ 4-° El obispo de Roda. dros y trián gulo s, fortificados con cinchos de h ie r r o , y pega­ teban O yarz ab al, por aceite: M anuel Aragón y J u a n Cansegre, 5.° Una orjia. dos los cantos con una infusión de plomo y cal viva ; y á fin por leña: D. Jo¿é M a ría Costa, por le tras, y…</t>
  </si>
  <si>
    <t>…e Etreros: Be­ colección de los mejores dramas nuevos, originales espa­ variación. nigno M ontero, por paja, vecino de Fuenlabrada : Manuel A y u - ñoles, ó traducidos del Jaranees so, por carbón: Alfonso G utiérrez, por pan: D. Francisco Es­ BOLETIN DE COMERCIO. teban Oyarzabal, por aceite: Manuel Aragón y Juan Cansegre, SIN O B L IG A R A SUSCRIBIRSE, por leña: D. José María Costa, por letras, y el administrador F O N D O S P U B L IC O S . del canal, para que en el dicho término comparezcan por sí y a la mitad del pre…</t>
  </si>
  <si>
    <t>ES, IRECCION</t>
  </si>
  <si>
    <t>IRECCION ES</t>
  </si>
  <si>
    <t>…. La comisión ha acordado celebrar exámenes públicos para ORDENES Y REGLAMENTOS DEL GOBIERNO Otra id. , barranco de la Monterilla, término de Benadux, maestros y maestras de instrucción primaria , empezando el do­ . T DE L A S D IRECCION ES Y A U T O R ID A D E S SU P E R IO R E S. L u cas, ahora Santiago, por José de Plaza , en 29. mingo 21 del corriente á las nueve de la mañana en el salón del colegio de sordo-mudos,, calle del Turco. Madrid i i de J u ­ E n tre g a de MAYO de 1839. . R egistros lio de I859,=3ebastia…</t>
  </si>
  <si>
    <t>Es, José</t>
  </si>
  <si>
    <t>José Es</t>
  </si>
  <si>
    <t>…tido como Diputado D. Santos Lahera, Contestación. siempre para mí un encanto que nunca pude definir. mediante haber sido aprobada por el Congreso el acta de segun­ das elecciones. Señores de la comisión del Ateneo de Madrid D. José Es­ CAPITULO XI. Otro de la misma comisión , en que es de parecer se admi­ cario y D. Francisco López de Olavarrieta.zrMuy Señores míos: M is aversiones. ta en el Congreso á D. Joaquín Francisco Campuzano , electo He recibido con distinguido aprecio la comunicación que Diputado por la provin…</t>
  </si>
  <si>
    <t>Es, Miguel Guichot</t>
  </si>
  <si>
    <t>Miguel Guichot Es</t>
  </si>
  <si>
    <t>…ETAÑA. Ministerio.riMichel 602. .......................................... . N O habiendo tenido efecto en el dia 13 de Enero ultimo la Oposiciou.=Séptimo colegio, 936 votantes¿ Moreau 635. ^ junta de acreedores al concurso de D. Miguel Guichot Es­ Londres 1.° de M arzo . J Ministerio.—D. Mi(.haU‘5Q0^ paña y compañía, por inasistencia del mayor número de aquellos, | O posición. zzOcta yo colegio, 1005 votantes, Bethmont458* ha resuelto el Sr. juez de primera instancia D. Benito Serrano y l Ministerio.ziBeudin 54O. •" V Alia…</t>
  </si>
  <si>
    <t>Es, Presidente.</t>
  </si>
  <si>
    <t>Presidente. Es</t>
  </si>
  <si>
    <t>…s derechos terpelación , á fin de que la cuestión no se extravíe. tual ni del geueral. El Gobierno ha hecho cuanto ha podido én «fue se la adjudicaron. Esto es lo que ha tenido presente la co- El Sr. L U J A N : Asi lo haré, Sr. Presidente. Es m uy penoso medio de esas escaseces, y respecto á esa insurrección y a se han ínision. ¿P ueden las Cortes decir: cesó la empresa en sus dere­ para m í, cuando el Congreso se halla fatigado hace tres dias tomado las disposiciones necesarias. chos? No. Lo mas natural seria esto; pero…</t>
  </si>
  <si>
    <t>Es, Sancho.</t>
  </si>
  <si>
    <t>Sancho. Es</t>
  </si>
  <si>
    <t>…nada podia serle mas doloroso que por mi órgano que es inadmisible la enmienda que ha hecho el eso seria do esperar que el Gobierno de S. M. tuviese en conside­ haber oido decir al Sr. Iñigo que cuando debieran los colegios Sr. Sancho. Es inadmisible porque si el Gobierno habia de oir ración ese servicio para el repartimiento. de abogados haber esperado mas protepcion por pertenecer á tan á los que se debian quitar las mutas, y á los que no se les de­ También quisiera que en el mismo proyecto se hubiera in­ honrosa clase…</t>
  </si>
  <si>
    <t>Es, Trastamara.</t>
  </si>
  <si>
    <t>Trastamara. Es</t>
  </si>
  <si>
    <t>…ción de Samuel Leví que los siguientes versos. H a ­ Vuestro pecho ablandaré crueldad y de la violencia debe ser inmolado por la noble es­ bla de los hidalgos amigos de Doña Blanca. Si es pecho de caballero.... pada del conde de Trastamara. Es verdad, son desleales; i ¿ N o se acuerda vuestra Alteza Excitado vivamente el interés del espectador en el primer Pero D. Ñ uño de Lara , De la edad de tierno niño? acto hácia D. Enrique y Doña J u a n a , siente satisfecho dulce­ Que era su gefe, no existe ; ¡Os hice tanto cariño…</t>
  </si>
  <si>
    <t>ES, VA LD</t>
  </si>
  <si>
    <t>VA LD ES</t>
  </si>
  <si>
    <t>…Estado es propia de Go­ das las interpelaciones: una pérdida considerable de tiem­ ceta del dia 5.) biernos libres, y yo español rancio me honro mucho de todo po, y la paralización forzosa de todos los asuntos pendien­ El Sr. VA LD ES dijo que previniéndose por la Constitu­ lo que encuentro en mi patria. En Constantinopla habrá lo ción el que todos los españoles contribuyan con igualdad al tes, e n tre los cuales los habia muy atendibles y muy gni- que debe h ab e r; esa es una cuestión que no debemos examinar, Estado;…</t>
  </si>
  <si>
    <t>Es-, Antonio</t>
  </si>
  <si>
    <t>Antonio Es-</t>
  </si>
  <si>
    <t>…ral, conservaron á D. Antonio Bejarano la reputación que le D . Manuel Rodríguez un asunto histórico del Rey D . P e­ 105. Simón L ines, natural de Barcelona , expone que 1ns valen sus talentos entre los artistas sevillanos. D. Antonio Es- dro i , á saber, cuando mandó arrojar por una ventana el ca­ Coi tes resolvieron en 1821 que le fuesen satisfechos los créditos quivel, presentando tres retratos de personas bien conocidas en dáver de su hermano, á quien habia hecho asesinar. que tenia contra el Estado , en cuya consecu…</t>
  </si>
  <si>
    <t>Es-, Joaquín</t>
  </si>
  <si>
    <t>Joaquín Es-</t>
  </si>
  <si>
    <t>…atados de legislación civil y penal, I élla anarquía fue el término de la revolución , y el que cerró el abismo de tua ; en Barcelona , en la de S a u ri, calle A n c h a , y en las p rin­ C de Jeremías Bentham, con notas, por D. Joaquín Es- I los tronos absolutos, criche. Segunda edición. El célebre jurisconsulto ingles Jere-enI que los tenia la ignorancia , sino porque con sus gigantescas expediciones minó cipales librerías del reino. arrancando á los pueblos de la abyección y* el fanatismo, haciendo reso­ mías Benthan…</t>
  </si>
  <si>
    <t>ESACRI</t>
  </si>
  <si>
    <t>…del número del manera, ya por la alta dignidad de sus asuntos, ya también tro Bellini. crimen, D. Manuel Fernandez de Pazos, se cita, llama y em­ porque son el mas excelente modelo de la elocuencia moderada 6 .° L A O POSICION D E S A C R IST A N E S , sainete diver­ plaza por primer edicto y término de nueve dias á D. Pedro y apacible que debe reinar en los escritos, y de que nosotros tido intermediado de música. Lavedan , de estado casado, vecino que fue de esta corte , para según nuestra coustitucion principalmente neces…</t>
  </si>
  <si>
    <t>ESANAL</t>
  </si>
  <si>
    <t>…las condiciones se cumplirán con escrupulosa pun­ premios se entregarán en el acto á las personas que presenten tualidad , y se apresurará la impresión á fin de dar cuanto an­ billetes con iguales números. E L C A S T IL L O D E S A N A LB E R T O . tes mas cuadernos mensuales. A este fin sé ha entregado ayer y se entrega hoy con el bi­ Ademas del primer cuaderno han salido ya el segundo y llete de cada localidad de una sola persona otro que contendrá Drama en cinco actos, traducido del francés por D. Pedro tercero, cor…</t>
  </si>
  <si>
    <t>ESANALBERTO</t>
  </si>
  <si>
    <t>…ictámen que se tenga presente en Se h a n devuelto á so lic itud de 9 i n t e r e s a d o s . . . . 5 ,4 5 2 .. 7 tulado tiem p o op o rtu n o . E l d irecto r de se m a n a , M anuel M a ría de G o i r i. E L C A S T IL L O D E S A N A L B E R T O . N dm . 55. D . L u i s C ases, ca pitá n retirado del e j é r c i t o , y T erm inará la función con Baile nacional. proceder.te de cuerpos francos formados en Valencia en la guerra de la i n d e p e n d e n c i a , y en Castilla la Nueva en 1 8 2 5 co n t ra los f a c c i…</t>
  </si>
  <si>
    <t>…Antonio D uran y Doña siendo por consiguiente el adelanto de solos tres, cuya recau­ Margarita Mostí, para que comparezcan en la escribanía prin­ dación se hará exclusivamente cuando se distribuyan las entre­ E L CA S T IL L O D E S A N A L B E R T O . cipal de rentas y arbitrios de Amortización, sita en la calle del gas 1.a , 5.a, 9.a, 13.a y 17.a de cada tomo, quedando al arbi­ Lobo, núm. 8 , piso segundo, á reconocer las firmas y rúbricas trio de cada suscriptor el aboaar mayor número si asi le con­ Este drama se ha repr…</t>
  </si>
  <si>
    <t>ESANIDAD</t>
  </si>
  <si>
    <t>…e d o s bandas, amarilla y negra, puestas verticalm ente, que A rt. 15. Los pasajeros que lleguen en buques con patente mantendrán hasta su partida. sospechosa o sucia harán su cuarentena en K ou leli: será de 15 C O N S E JO D E S A N I D A D . Será permitido á estos buques hacer su cuarentena eo Cons­ dias para la patente su cia, y de li.) para la sospechosa. Queda tantinopla , sometiéndose á las medidas detalladas en los artí­ entendido que los pasajeros que vengan del mar Blanco en bu­ culos precedentes con respecto…</t>
  </si>
  <si>
    <t>Escalada, Ignacio</t>
  </si>
  <si>
    <t>Ignacio Escalada</t>
  </si>
  <si>
    <t>…nsérfa la noticia sígüienté , de M ariano A rista, y los segundos por el com andante dé las* fuer­ laf Cual no saiinoíós nosotros responsables. A yer han dejado esta residencia para trasladarse i Alema­ zas de Tam pico coronel D. Ignacio Escalada: hallándose íós po­ nia S. E. el barón de M R tit, enviado extraordinario y m inis­ deres de todos bastante com peteotes, se discutió en el órdéu si­ Se ásegura qué él m inisterio ha recibido la noticia dé Id lle­ gada de M éhem et-A lí á Constantinopla con la escuadra del ca­ tro…</t>
  </si>
  <si>
    <t>Escalante, Cornelio</t>
  </si>
  <si>
    <t>Cornelio Escalante</t>
  </si>
  <si>
    <t>…heridos: tres individuos de tropa m uertos, 44 idem heridos, rando; y ha recaído el nombramiento en los Diputados D. Jo­ visión D. Genaro M orata, el teniente coronel graduado coman­ Dcho idem contusos. sé Ortiz de la Torre y D. Cornelio Escalante. dante del mismo D. Cárlos María de la T o rre , que aguardan­ Tercero id. id. id.=Dos oficiales heridos: cuatro individuos Sin perjuicio délo demas que acuerde la comisión m ixta, do ocasión de incorporarse al cuartel general de este ejército, de tropa muertos, 55 idem heridos, 1…</t>
  </si>
  <si>
    <t>Escalera</t>
  </si>
  <si>
    <t>…e deja á sus hijos la viudedad que le corresponde al grado en mente ; pero que no obstante se hará cargo de algunas obser­ tiene derecho para exigirla. Insiste como el Sr. Gómez Becerra que muere. Esta gracia la tiene el general Escalera, porque ha vaciones del Sr. Polo y Monge. en que en el art. 56 de la ley electoral no se dice que la renta muerto como en campaña, y su viuda é hijos tienen derecho Dice que esta ley tiende á que los fondos que reúna la na­ haya de tener la procedencia de bienes propios, y añade que el á…</t>
  </si>
  <si>
    <t>Escalera, Francisco de la Portilla Cebados</t>
  </si>
  <si>
    <t>Francisco de la Portilla Cebados Escalera</t>
  </si>
  <si>
    <t>…crean O ctav a................................................................................................. i d ern. con derecho á los bienes quedados por fallecimiento del D irección g en era l d e C orreos. presbítero D. Francisco de la Portilla Cebados Escalera , ocur­ Quin cena................................................ ........................................... Idem. rido en esta corte en 26 de J u lio próximo pasado , para que en Decinovena. ................................................................…</t>
  </si>
  <si>
    <t>Escaleraf, Rafael Cebados</t>
  </si>
  <si>
    <t>Rafael Cebados Escaleraf</t>
  </si>
  <si>
    <t>…rticuló; asi es que Artículo i.° Atendidos los distinguidos servicios y muerte siempre constará que deben ser atendidos los méritos de los dos de los pagos em los empréstitos y obligaciones. - desastrosa del teniente general D. Rafael Cebados Escaleraf ge­ hijos del desgraciado general Quesada. No es este solo ejemplar, estasHay causas, unas, que son perpetuas, y otras accidentales; están al alcance del Congreso. Yo estoy acorde en que para neral en gefe interino del ejército de operaciones del Norte, se pues en las Cort…</t>
  </si>
  <si>
    <t>Escalona, Agueda</t>
  </si>
  <si>
    <t>Agueda Escalona</t>
  </si>
  <si>
    <t>…que le acompañaban. Las sal­ bunal á todos los qué se cjean con derecho á los bienes que fue­ festivo y aun satírico. Estos dos cuadernos constarán de un vas de artillería y el vuelo de campanas anunciaron tan felices ron de Doña Agueda Escalona, la cual murió abintestato por pliego cada u n o , y se daran sin aumento de precio, pero so­ cuevas que bien pronto se hicieron públicas á todo el vecinda­ haber fallecido antes el heredero instituido. Se apercibe á los lamente á las personas que desde 1.° de Octubre se suscribieren…</t>
  </si>
  <si>
    <t>…con su armamento hasta ¿fi ¡ todos de nal á todos los que se crean con derecho á los bienes que fueron maliciosa ó imprudentemente en ellas. El que oiga decir estas inmediaciones; y los que permanecieron en sus filas mar­ de Doña Agueda Escalona, la cual murió abintestato por ha­ eti la comedia de que hablamos, señalando a un marques charon con la mayor parte de sus gefes y oficiales para el cuar­ ber fallecido antes el heredero instituido. No presentándose los vano, orgulloso y desnaturalizado: a Todos son asi,” ¡&gt;i su tel…</t>
  </si>
  <si>
    <t>Escan-, Tadeo Sánchez</t>
  </si>
  <si>
    <t>Tadeo Sánchez Escan-</t>
  </si>
  <si>
    <t>…get0S Sigüie“ D. tes! D - F r“A lvaruiz, Faustino * ciada la necesidad de la gracia de Jesucristo para toda obra de D . A ntonio Fernandez U rru tia , D . Julián Ja v ie r, D. M anuel verdadera virtud. &lt;h&gt;TvUn r Q uin tan a, D. Tadeo Sánchez Escan- E d la in tro d u cció n , dando una sencilla idea del cristianis­ TEATROS h lfJ i . 0,rUf ° ’ qU' e,nes P°r unanim idad declararon no mo y de su carácter social, se responde tácitam ente á las varias haber Jugar a la formación de causa. acusaciones que ha dirigido contra esta r…</t>
  </si>
  <si>
    <t>Escandon, Tadeo Sánchez</t>
  </si>
  <si>
    <t>Tadeo Sánchez Escandon</t>
  </si>
  <si>
    <t>…el jurado; y prévias las constituye el actual sistema de Filadelíia, del cual, si es verdad formalidades que la misma previene, tocó á los sugetos siguien­ que no se resiente al parecer la salud de los presos, no sucede tes: D. Tadeo Sánchez Escandon , D. Francisco Iruegas, Don REALES DECRETOS, Jo mismo con respecto al juicio (1). Y no se diga que en los Es­ Pedro Cengotita, D. Luis Barrios, D. Manuel Angel Indo, tados-Unidos los dementes se hallan en las prisiones bajo la de­ D. Francisco del Herrero , D. Fernando de P…</t>
  </si>
  <si>
    <t>Escandóo, Tadeo Sánchez</t>
  </si>
  <si>
    <t>Tadeo Sánchez Escandóo</t>
  </si>
  <si>
    <t>…jo se malidades que la mism a p re v ie n e , tocó á los sugetos sig u ie n ­ a c a u d illo , ni he sido conducido jamas por n a d ie , ni me.mezclo, emplearon el mismo com andante m i l i t a r , todos los oficiales y tes: D. Tadeo Sánchez Escandóo $ D¿ José González Peréz, Don en ésas cuestiones de p artid o s, y llamo partidos porque son W t ro p a , y los in d iv id u o s del a y u n t a m i e n t o , coa p artic u la rid ad !</t>
  </si>
  <si>
    <t>Escario</t>
  </si>
  <si>
    <t>…rumada la minería con tan pesada carga, no prospe­ España las ciencias relacionadas con tan importante ramo. concretándose á las matemáticas y á las naturales, n o era ró por espacio de dos siglos; pero disminuida la misma El Sr. Escario dijo que convenia en m ucho de io ma­ su opin ión conform e con la que se habia em itido; y ha­ por la reducción del derech o del 5 .° al 1 0 .°, y hecha la nifestado por el Sr. Cabanillas; pero que por su parte al biendo indicado en aquella ocasión las razones en que se rebaja en el azogue…</t>
  </si>
  <si>
    <t>…nsiva esta benéfica dispo­ guiente: en demasía por el espíritu de intriga ó de pasiones particulares. sición á todos los demas compradores que hubiesen obtenido "Paralelo entre las modernas novelas históricas y las anti­ El Sr. Escario comenzó presentando la cuestión en los tér­ carta dé pago, y aun á los que no hubiesen satisfecho el pre­ guas historias caballerescas.” minos propuestos para la conferencia, y dedu jo que los señores cio de los remates, con tal que lo verificasen inmediatamente,Conviene advertir que esta…</t>
  </si>
  <si>
    <t>…tel general fue ocupado por S. E. á las cinco Cuestión es esta que ciertamente merece discutirse, pero que apag?do, ó al menos que no causase fundadas alarm asen los de la tarde, quedaudo todo en nuestro poder. en sentir del Sr. Escario solo puede resolverse considerando, propietarios de los edificios contiguos, y qué Jas pérdidas se La primera y segunda brigada que forman la división del que aunque Campomanes, tan versado en nuestra historia ci­ minorasen en los que invadieron las llamas. mando del Sr. general Valencia ,…</t>
  </si>
  <si>
    <t>…able; encargándole las fa­ H aré al^ónas observaciones, continuó el Sr. V alle, sqbte ló se vera una luz menOs brillante con duración de dos minutos, mosas obras y poblaciones de Sierra M orená, á pesar de que * dicho por el Sr. Escario , procurando seguir el Órcfen de su d is­ 45 segundos; después un ecíipsé cOrto, y á este seguirá un tehia muchos enemigos , y no falta quien asegure qué le con­ curso. .} &lt;r-k nuevo destello ó resplandor. servó su afecto aun después del proceso que le suscitó la in q u i^ ‘ Sobró 1á tasa…</t>
  </si>
  <si>
    <t>…ran tan generales y gra­ lidad, en represeutacion legítima de la ciudad de Cuba, consa­ do indulto un rebelde de la gavilla del Ebanista. ves que se les veia un término posterior á la conclusión de la g r a r á la memoria del Sr. Escario una señal que perpetuase el El dia 5 fue muerto con 15 compañeros mas de su partida guerra civil en las demás provincias, porque su causa no era recuerdo de tan digno gefe. Al efecto se deliberó : en el pueblo de Teijide del valle de M a o , el asesino cabecilla la misma, y por lo tanto exi…</t>
  </si>
  <si>
    <t>…las siguientes: ayuntamiento de Madrid, fa­ tinguidos méritos y constantes servicios de la ilustre familia son los libros que mas frecuentemente lee la juventud. Y cultad veterinaria, asociación general de ganaderos, con­ del Sr. Escario, que al través de los infortunios y de los pade­ en vano se dirá que para ellos solo son objeto de un en ­ servatorio de artes, academia nacional de ciencias natura­ cimientos ha sabido sostener siempre, junto con el honor na­ tretenimiento sin consecuencia. No puede carecer nunca de les, ac…</t>
  </si>
  <si>
    <t>…sus últimas libertades á generar á España de lo que se cree; pero que lejos de esto Feli­ de siete millones de almas. consecuencia de la guerra de sucesión. pe v oprimió cuanto se presentaba de liberal entre nosotros: ci­ El Sr. Escario comenzó manifestando que asi como en el dia En el triunfo á que Felipe v debió su corona, dijo, que tó con este motivo las persecuciones que sufrió el ilustre conse­ se combate en toda Europa por cuestiones de gobierno y por la habia mirado siempre una ley impuesta á la nación española, jero…</t>
  </si>
  <si>
    <t>Escario'indicó</t>
  </si>
  <si>
    <t>…Granja , y tantos otros gastos indiscretos en que se mano avivar y restablecer tan á poca costa. les poco atentos á sus verdaderos intereses, la abundancia de consumió una riqueza , que empleada en utilidad del pais h u ­ El Sr. Escario'indicó que el no restablecimiento de nuestras los metales preciosos que de nuestras posesiones ultramarinas biera producido tan importantes beneficios. Concluyó el señor antiguas Cortes podia servir de mayor cargo contra otros Reyes recibíamos, en virtud de la cual tomaban mas valor sobre…</t>
  </si>
  <si>
    <t>Escario, D. Joaquín</t>
  </si>
  <si>
    <t>D. Joaquín Escario</t>
  </si>
  <si>
    <t>…curaros enteramente, dsl grave mal que consumía rápida­ me personalmente de sus males y de sus necesidades ; oiré con mente vuestra existencia material y civil. Hice para ello im pri­ mas merecía la memoria y la familia del Sr. D. Joaquín Escario, y que no habian podido hacer menos para que agrado sus quejas, y las remediaré en cuanto esté en mis atri­ mir y circular mi bando de 25 del mismo con prohibiciones buciones : empero es preciso tener presente que los morosos en duras y estrechas en verdad* pero absolutamente n…</t>
  </si>
  <si>
    <t>Escario, D. José</t>
  </si>
  <si>
    <t>D. José Escario</t>
  </si>
  <si>
    <t>…fectamente escrita memoria , dirigida á dar cuenta de los tra­ mente los del Sr. D. Juan Acevedo, que la junta proponía par* 26,016 rs. y 10 mrs. bajos de la junta directiva en el año que acaba de trascurrir. contador, y del Sr. D. José Escario para vicesecretario general, Entran en h j.egund¿ los gastos de recaudación que han as­ Es sensible que la extensión y la naturaleza misma de esta con lo que se cerró la sesión* cendido á 1 0 16 rs. y 27 mrs. por el 4 por 1 00 que se señaló memoria no nos permita hacer de ella un ex…</t>
  </si>
  <si>
    <t>Escario, D. Ventura</t>
  </si>
  <si>
    <t>D. Ventura Escario</t>
  </si>
  <si>
    <t>…tima parte tan débil corno ha quedado ; pero si juicio , arnor á la justicia y acrisolada integridad de mi ante­ Bonos del tesoro, 6 4 , 66 de prima. toca á e lla, se desencadenarán contra él todas las pasiones per­ cesor el Sr. D. Ventura Escario, entro con la mayor* confianza Deuda a c t i v a , 2 0 ¿ con cupón. niciosas! ¡Se inundará el pais de un torrente de declamaciones en la senda que me deja descubierta. Ratifico todas sus disposi­ Diferida , 9. furibundas contra la corona! ¡Suceda lo que q u ie r a , y perezcan c…</t>
  </si>
  <si>
    <t>Escario, Joaquín</t>
  </si>
  <si>
    <t>Joaquín Escario</t>
  </si>
  <si>
    <t>…ertinaz y criminal proceder la han debido, y no dida lamentable que acaba de experimentar esta población con tán general de este ejército y reino con fecha 6 del actual me á mis providencias. el falleciraieto del Sr. brigadier D. Joaquín Escario , goberna­ dice lo que copio: No eran solo crirniaales los hombres que armados invoca­ dor político y militar propietario de esta provincia, atendien­ El dia 2 fue dispersa en el Barrio del Fontan , parroquia ban el triunfo de su pretendido Rey como escudo para cubrir do á su releva…</t>
  </si>
  <si>
    <t>Escario, José</t>
  </si>
  <si>
    <t>José Escario</t>
  </si>
  <si>
    <t>…e de los últimos conocimientos científicos , ha­ PR IN C IPE. A las siete de la noche* Francisco Hilario Brabo. biendo acordado invertir la cantidad de 3§ rs. en cada uno de 1.° Sinfonía. Con ocasión de las noticias dadas por D. José Escario, acer­ estos objetos. ca de la gran producción de carbón de piedra de las minas de Se ocupa también la junta en trasladar el Ateneo á un 2 ° La comedia nueva, en tres actos , t i t u l a d a L A SE­ Inglaterra, y del influjo de este mineral en la prosperidad in­ .edificio mas capaz, do…</t>
  </si>
  <si>
    <t>…mo. Sr. marques de Santa C ru z , presiden­ te de la comisión , y los Sres. D. Eugenio Perez, cura párroco Este puente no tiene mas de cinco arcos. ñó ayer con sus lágrimas firme hoy la sentencia de muerte de de S. G io é s, D. José Escario, D. Francisco López Olabarrieta, No siendo nuestro objeto al presente describir los otros puen­ su hermano? Sois libres, añadió , de negar vuestra refren­ D. J u a n Manuel Ballesteros y D. Eusebio M aría del V a ll e , se tes de piedra , aun mas magníficos que el mencionado, solo h a…</t>
  </si>
  <si>
    <t>Escario, Manuel</t>
  </si>
  <si>
    <t>Manuel Escario</t>
  </si>
  <si>
    <t>…por las continuadas marchas en su busca de la columna que mas me agradará. Huelva 5 de Enero de 1859.—Ventura ciendo pasar la brillante comitiva y sé’quito de los Reyes que se de artillería de marina al mando de los capitanes D. Manuel Escario.=:Señores de los ayuntamientos de esta provincia. verán postrados adorando al N iño Dios recien nacido, á quien Lobo y D. José G u z m a n ; siéndome muy grato publicar que de cuando en cuando tocarán y cantarán villancicos los pas­ uo se les agregó uno solo en los pocos dias que pisa…</t>
  </si>
  <si>
    <t>Escario, Ventura</t>
  </si>
  <si>
    <t>Ventura Escario</t>
  </si>
  <si>
    <t>…ión desde ei momento en que el R ey haga una elec­ se encargue V. S. del desempeño del gobierno político de esa ver, sino también á todos los Estados constitucionales de la Ale­ ción en sus filas. provincia , en el cual cesará D. Ventura Escario que le sirve mania. El pacto federal nos garantiza en efecto á todos un esta­ Después se ha dicho al Rey con ir o n ía : ¡S alid del paso! actualmente. De Real orden lo traslado á V. S. para su inteli­ do de cosas fundado en el derecho. Cdtno pues el aleman de las Tratad de resolve…</t>
  </si>
  <si>
    <t>Escofffie</t>
  </si>
  <si>
    <t>…te p u n to , se ha dado á la vela para comprobar la verdad de teado las g u e r r illa s; aunque al mismo tiempo se asegura que b ajeira, los cuales fueron fusilados en O urique después de un Jos hechos sentados por. el capitán Escofffie, y para explorar si estos no han sido mas que combates parciales entre los tirado­ consejo de guerra, según la ley. es posible abordar al nuevo archipiélago. Se aguarda con i m ­ res de los puestos avanzados, y entre los forrageadores de am ­ En el día 4 h primera columna estuvo de observ…</t>
  </si>
  <si>
    <t>Escolar, Juan de Mata</t>
  </si>
  <si>
    <t>Juan de Mata Escolar</t>
  </si>
  <si>
    <t>…once de la m añana, donde ha de celebrarse la se­ Alcaldes: D. José Varela , abogado: D. Manuel Peña, id. lazarooi de 19 años. {Id.) sión de la instalación de la sociedad. Regidores: D. Juan Patricio Sebastian, comerciaste: Don Juan de Mata Escolar, hacendado: D» Casimiro Calle: D. So- BASES DE ORGANIZACION DE LA SOCIEDAD. tero Sabaaz», comerciante: D. Francisco Gómez, carpintero, capitalista: D. Simo» R u iz , comerciante. NOTICIAS n a c i o n a l e s . 1.a Se establece una sociedad filantrópica con el objeto ex­ Procu…</t>
  </si>
  <si>
    <t>Escolar, Manuel</t>
  </si>
  <si>
    <t>Manuel Escolar</t>
  </si>
  <si>
    <t>…l Vergonzoso en 1\dacio y en otras comedias del mismo dirigirse en Cádiz á su consignatario D. Isidro Couceiro, y en la nueva senda adoptada sin inteligencia y solo por via de im i­ tación. ¡Q ué porvenir! autor. esta corte á D. Manuel Escolar, calle de Atocha, esquina á El carácter de Margarita es, en nuestro entender, una la de la Concepción Gerónima, tienda de comercio. de las mejores creaciones de Tirso. En él se pinta la mu­ Galería dramática . Teatro escogido del maestro Tirso ger llo comí) es, impelida al amor por…</t>
  </si>
  <si>
    <t>Escosura</t>
  </si>
  <si>
    <t>…la noche del 10 hizo una salida nos atrevemos á decir acerca de e lla , asi como tampoco de la como sinónimo de virtud , de valor y de heroísmo nos han tras­ á la parte de Algorta y Berango, que están al frente dePortu- del Sr. Escosura , de Principios generales de literatura, aunque mitido los siglos al través de las generaciones. Y algún dia tal galete, nuestro comandante general , y volvió al medio dia de ambos han manifestado un gran fondo de instrucción y un co- vez, la página de nuestra historia que cuente á nuestr…</t>
  </si>
  <si>
    <t>Escote, Ignacio</t>
  </si>
  <si>
    <t>Ignacio Escote</t>
  </si>
  <si>
    <t>…presté rica como la suya para los dos án geles, ambos á cual mas el correspondiente juramento de haberme bien y fielmente en bellos, según la expresión u n án im e de los]periódicos fran­ ambos caraos en enanos de mi compañero D. Ignacio Escote, P I NTURA. ceses que se han ocupado en describir este cuadro , califi­ cuyo título ^e leyó en igual forma y prestó su juramento; igual­ mente D . Francisco de P a u l a Velluti juró el cargo de tasador cando todos ellos sin distinción de puram en te divina esta y repartidor; leido as…</t>
  </si>
  <si>
    <t>Escovar, José María</t>
  </si>
  <si>
    <t>José María Escovar</t>
  </si>
  <si>
    <t>…ajen: solo la adulación, solo grario. ................................................................ 8..4 parlos , y á esto debemos la poca pérdida sufrida por nues­ lo que lisonjea sus pasiones le es bueno y agradable. Id. D. José María Escovar, cura párroco de A l- tra parte. Segism undo vuelve á d o rm ir, y vuelve a d e sp e rta re n quizar. ..........*. ...................... 8.. 4 Es lo mas raro que se ha visto el que la caballería dispu­ su prisión con la cadena al pie y el carcelero al lado. Id. D. Antonio Llop…</t>
  </si>
  <si>
    <t>ESCRI</t>
  </si>
  <si>
    <t>…. ^ tados sanguíneo , nervioso, bilioso y flemático, como p r i n ­ acreditada ópera en dos actos , del .maestro R ic c i, titulada cipios de todas las enfermedades: signos en que cada individuo C H I A R A D I RO SE M BE RG . D E S C R IP C IO N del imperio otomano. Segunda edición, un conocerá fácilmente si la enfermedad que padece proviene de la torno crecido en 8.° prolongado. Esta curiosísima obra es­ sangre, del humor ó de ios nervios ; las disposiciones á la apo- tá dividida en cinco p artes, á saber: plegía, hidrop…</t>
  </si>
  <si>
    <t>Escriche, Joaquín</t>
  </si>
  <si>
    <t>Joaquín Escriche</t>
  </si>
  <si>
    <t>…explicación de los profesores, ha trabajado este en obsequio de quieraa interesarse en dicha subasta. D ICCIONARIO razonado de legislación y jurisprudencia, la juventud estudiosa, extractando á las mejores obras elemen­ por D. Joaquín Escriche, abogado de los tribunales del tales y con la concisión que exige un prontuario aquellas no­ reino. Dos tomos en folio: segunda edición corregida y aumen­ciones mas precisas, sin dejar de dar á las menos conocidas la tada. Está de venta el cuaderno octavo y último del primer to­ ex…</t>
  </si>
  <si>
    <t>…^ 0 .............. Idem. De orden de la junta su secretario Valentín de Uribarri. 1 1 .6 7 6 .... 4OO.............. Madrid. D E L E G IS L A C IO N Y J U R IS P R U D E N C I A , 4 ^ 2 ....... 4 OO................ Idem. por D. Joaquín Escriche, abogado de los tribunales del Reino. 8 .7 7 4 .... 490.............. Idem. B IB L IO G R A FIA . Segunda edición , corregida y aum entada: dos tomos en folio. L a dirección general ha dispuesto que el sorteo que ha de Véndese el cuaderno primero del segundo tomo en la libre­ ver…</t>
  </si>
  <si>
    <t>Escudero, Manuel</t>
  </si>
  <si>
    <t>Manuel Escudero</t>
  </si>
  <si>
    <t>…del que tal vez aqui habrá señores que lo rio , y deque no habia habido protestas, manifestando que en llamar á la cuestión. sepan. Empeñóse el Gobierno en que habían de pasar ciertas el año 14 las h u b o , y que el Diputado D. Manuel Escudero, El Sr. duque de FRIAS manifestó que era tal el enlace del cédulas, y la diputación dijo que no. Se insistió en el pase, se persona bien conocida en M a d rid , la hizo , y le produjo bas­ art. 2 *° con el 1 .°, que no pudiendo hablar sobre esto, renuncia­ pidió el contrafuero y no…</t>
  </si>
  <si>
    <t>Escudero, Nicolás</t>
  </si>
  <si>
    <t>Nicolás Escudero</t>
  </si>
  <si>
    <t>…ngerto, lo confieso, en el de Filadelfia, cional en el pago de derechos de sucesión por la herencia de nistración 00 secuestre á los detenidos de la sociedad perversa pero que ya no es el solitary conjinement , lo mismo que el D. Nicolás Escudero, presbítero que fue de la ciudad de Tole­ de sus compañeros de crimen y depravación , sino con la mira fruto engerto no es tampoco el arbolillo que lo produjo, no do ; bien entendido que de no comparecer le parará el perjui­ de iniciarlos en nuevos hábitos sociales , poniéndolos con…</t>
  </si>
  <si>
    <t>ESETI</t>
  </si>
  <si>
    <t>…atos sucesos que han tenido lugar Número 18. en el norte de la Península relativos á la huida á Francia del Inscripciones en el gran libro á 5 por 1 0 0 , 00. rebelde Príncipe y deposición de armas de los extraviados espa­ M ES D E S E T IE M B R E D E 1839. ñoles que le seguían para apoyar sus torpes pretensiones. Estos tado:Títulos al portador del 5 por 100, 51^ con cupones al con­ acontecimientos, que revelan un dichoso porvenir de prosperi­ 5 2 | , £ , 55* , yf 5, 2£ | , ái v., f. |ó yvol. 5 2 , i 5 2 f á v. t. vol. y f…</t>
  </si>
  <si>
    <t>…s Digno es y muy propio de vuestra solicitud soberana el de­ mismos que los escoltaban. seo de que nuestra marina m ilitar, prez y gloria de la nación Es difícil dar una idea de las devastaciones que acontecen M A D R ID 1 5 D E S E T IE M B R E . en otros tiempos, y que ha sabido conservar sin mancilla su diariamente en las poblaciones de Navarra. El pequeño número antigua nombradla, en medio de la penuria casi extrema ¿ que de oficiales que les acompañan autorizan abiertamente la con­ Proyecto de contestación al discu…</t>
  </si>
  <si>
    <t>ESETIEMBRE</t>
  </si>
  <si>
    <t>…ondan en todo ó en par­ Pero he oido un argumento que tiene por objeto convencer te á su respectiva diócesis los arzobispos, obispos, provisores y que en ese párrafo se comprenden clases diversas, es decir, per­ M A D R ID 1 1 D E S E T I E M B R E . vicarios generales; aqui también se ha querido poner en igual sonas que no pueden ser nombradas por las provincias en que caso á los que comprende este párrafo con los de los anteriores. residen, y personas que no pueden serlo mas que por aquella en Esta ¿s la historia que h…</t>
  </si>
  <si>
    <t>ESGP</t>
  </si>
  <si>
    <t>…l­ Parte telegráfico.rrEl prefecto del Bajo R hin al Ministro de de á Y. E. m u c h o s año . Cádiz 13 de Setiembre de l859.i=Ex- mente el profundo sentimiento de gratitud con que todos los lo Interior. cele* tihimo Sr.rz P. O D. E. S. G. P., Javier Gavestany , secreta­ españoles miran á Y. M. como el ídolo de su veueracion, el Una nueva comunicación de Basilea del 7 da los pormeno­ rio.=Ex&lt; rao. Sr. Secretario de Estado y del Despacho de la G o­ áncora de sus esperanzas. res siguientes: bernación de la Península. El ayuntam…</t>
  </si>
  <si>
    <t>ESGRACI</t>
  </si>
  <si>
    <t>…a dar entrada á todas las que se imprimieron. mientos de beneficencia y de utilidad pública , corno depósitos a u x iliar. E n el dia se dice: m e habéis m e n e s t e r , y rara VC2 de mendicidad , colonias agrícolas &amp;c. A L D E S G R A C IA D O A R T I S T A habéisme m e n e s t e r . Es verdad que pudo haber puesto esta ex­ No obstante, resta aun mucho por h ac er, y el aflictivo es­ t r a v a g a n c i a gram atical en boca del gracioso , en la que no tie­ DON AN T O N IO M A R I A E SQ U IVEL. pectáculo de la extre…</t>
  </si>
  <si>
    <t>Espa</t>
  </si>
  <si>
    <t>…n a 4 d e N oviembre. (Corresp. d e la P resse .) bién á los intereses europeos, sobre los cuales ha habido que vencer no pocas dificultades, y han detenido en gran parte la Un correo llegó á Berga con pliegos para el conde de Espa­ conclusión definitiva de nuestras diferencias con la Holanda. ña y para la junta. Esta llamó inmediatamente á aq u e l, y h u ­ G RAN BRETAÑA. L a Confederación germánica recibe la indemnización del bo una larga sesión secreta , y lo que en ella pasó no se ha d i­ territorio á que tenia der…</t>
  </si>
  <si>
    <t>ESPACH</t>
  </si>
  <si>
    <t>…859............... 1988878.. 2 que se halla en esta forma: ' /&gt; . PARTES RECIBIDOS EN LA SECRETARIA DE ESTADO En la tesorería................................................................................... 560822..24 y DEL D ESPACH O DE L A GOBERN ACION DE L A P E N ÍN SU L A . En poder de los administradores de Gobierno político de la provincia de Logroño.zzExcmo. Sr.: Suma anterior. 7255S2..29" Consiguiente á lo que V . E, se sirvió prevenirme en Real o'r- Niím. í 5690.. 1 0 iCorella....................... 559 ..22…</t>
  </si>
  <si>
    <t>…l roes consumido en viciosas algazaras, de EMPRESA as cuales el menor perjuicio que se alcanza es el compromiso PARTE RECIBIDO EN LA SECRETARIA DE ESTADO le su salud y !a honra, darán al año con el interés que agen­ Y D E L D ESPACH O DE L A G U E R R A . da el accionista una cantidad que multiplicada con constancia e convertirá en ayuda estimable de una fam ilia menesterosa; que El comandante general de Cuenca D. M a rtin José Iriarte al vez se verá libertada por e*ta conducta previsora del rem ur- desde Cardenete el…</t>
  </si>
  <si>
    <t>…de los dos cuerpos, sin duda arrastrado por PARTES RECIBIDOS EN LA SE CR E T AR IA DE ESTADO Ceuta y M elilla ; el enemigo proyectaba grandes armamentos su c e lo , adoptó súbitam ente sin que se hubiese podido h allar T D E L D ESPACH O DE L A G U E R R A . p ara poner , si p u d ie ra, en conflicto la c a p ita l; y todo reclam a­ presente el G obierno, una determ inación que de un modo in ­ ba , Señora, un grande esfuerzo, una resolución á todo trance decible complicó la cuestión hasta el punto de hacer in ev itab le­…</t>
  </si>
  <si>
    <t>ESPACHO</t>
  </si>
  <si>
    <t>…nálisis P A R T E RECIBIDO EN LA SECRE TA RIA DE ESTADO compañía de su esposo el pequeño sem in ario , la iglesia de 8 a n - completa, y que diese resultados satisfactorios en esta ma­ ta C ru z y ia de San M iguel. T D E L D ESPACHO D E LA G U E R R A . teria, seria menester conocer todas las lengu a s, y reunir los conocimientos del m úd eo y del poeta. Pero una obser­ C om andancia general de la provincia de A la v a .= E . M . = vación nos ahorrara mucha parte de este trabajo; y es Excmo. S r . : El Excrno. Sr. d u…</t>
  </si>
  <si>
    <t>Espar</t>
  </si>
  <si>
    <t>…rse con una pequeña parte de los suyos. Preténdese que el ministerio se determina en fin á tomar una actitud mas decidida en los asuntos de España. Hace dos meses EGIPTO. que el comisario francés abandonó el cuartel general de Espar­ tero. Pero el Gobierno envia en la misma calidad cerca del d u ­ CORTES. A lejandría 2 d e A gosto . que de la Victoria al Sr. Z aragoza, oficial superior de estado SE N A D O . m a y o r , acompañado de los capitanes Guillhon y Jardot. L a correspondencia de Constantinopla de 51 de Ju…</t>
  </si>
  <si>
    <t>…tados estos antecedentes estamos ahora en el caso de sa­ Estas han sido las razones por que el Gobierno trasladó las y que no marcha por el camino por donde comenzó, y que va ber el valor que hemos de dar al convenio del general Espar­ aduanas de la línea derecha ; razones que no eran vanas , p o r- descarriada por una senda llena de peligros y de precipicios, de tero. Los enemigos sin ninguna garantía mas que esa oferta es­ |ue averiguado estaba que habia diferencia entre el co ntraban - donde será conveniente, si la dis…</t>
  </si>
  <si>
    <t>…icho que era extraño que el Gobierno no se h u ­ gase su asentimiento. Con este motivo manifestó las medidas ar­ toy oyendo decir muchos tiempos hace ea bien desenvuelta teo­ biera anticipado á hacer alguna recompensa al general Espar­ bitrarias adoptadas por el Gobierno de suspender un periódico ría) es la economía, la conservación de los intereses público* Síc. tero por un hecho tan grandioso. Suplico al Sr. Presidente man­ y haber desterrado á nn periodista que se suponía extrangero, &amp;c. &amp; c.; pues precitamente, señores…</t>
  </si>
  <si>
    <t>Esparlero, Baldomero</t>
  </si>
  <si>
    <t>Baldomero Esparlero</t>
  </si>
  <si>
    <t>PDF p. 8</t>
  </si>
  <si>
    <t>…de indecible alegría á dioso, Señora, es debido á las sabias disposiciones de Y. M. y Dígnese Y. M. recibir esta respetuosa manifestación del todas Jas clases de la sociedad: secundadas de altos funcionarios al ilustre general D. Baldomero Esparlero, digno hijo predilecto cuerpo municipal de la Carolina , en prueba de su entusiasmo del Estado y otras personas de dignidad han elevado á Y. M. de esta provincia y de la nación entera. Sírvase V. M. recibir benignamente esta sincera manifesta­ yúltimosamor á V. M ., corno órgano…</t>
  </si>
  <si>
    <t>Esparo, Valentín</t>
  </si>
  <si>
    <t>Valentín Esparo</t>
  </si>
  <si>
    <t>…correspondiente á detalles. Por Real orden de 7 de Setiembre último se ha servido dicha testamentaría, situada en término de lá ciudad de P la - La B erlina d e l E m igra do no se ap arta en nada de la co­ S. M. conceder á D. Valentín Esparo, v ecino, fabricante y del sencia, de 20 fanegas de primera calidad , con árboles: un mún r u tin a, principal distintivo de esta e scuela; los caracte­ comercio de Barcelona, Real cédula de certificado de in tro duc­ prado cercado de pared , de treinta fanegas de sembradura de res…</t>
  </si>
  <si>
    <t>Espartero</t>
  </si>
  <si>
    <t>…los que nos afligen , imitando á los valientes del timientos de aprecio al celo é inteligencia con que el capitán por los legisladores de la escuela moderna, ¿se ha hecho provi­ ejército del N orte al mando del dignísim o general Espartero. D . Gabriel de M ódena dirige el establecimiento m ilitar que tie­ sión de las armas de los hombres libres para defender los dere­ Por esta parte no ocurre mas novedad que la de haber pasado ne á su c a r g o , ha dispuesto se inserte esta com unicación en la chos constitucionales, legado…</t>
  </si>
  <si>
    <t>…lalobos, Santón ja , R a­ como están , ó como estaban ; de m anera que el pensamiento del nadie. Veamos si no qué es lo que dice el art. 1.° " P i d o ai mírez Arellano , M iran d a , Gómez Pardo , García (D. L u c a s ), general Espartero ha sido que se concedan ó modifiquen con a r ­ Congreso autorice al Gobierno de S. M. para que adopte y lle­ M estre, M a s c a ro s, Guillen y Gras , M ontesino , Sánchez del reglo á la Constitución. ve desde luego á efecto las medidas que considere necesarias P ozo , Acedo R ico , F e rr…</t>
  </si>
  <si>
    <t>…ebe el reglamento. E s­ nuestra idolatrada Reina, á la Constitución, al sabio Gobier­ ^4CRUZ. A las siete y media de la noche. Se ejecutará úna tas han sido sus palabras , que he nido con mucha impresión, no y al ilustre general Espartero que con tanta gloria nos ha función extraordinaria, distribuida del modo siguiente: y que me parece que ningún Sr. Diputado dirá que altero en conducido á la paz. lo mas mínimo. Y al Sr. A rteta, que es tan delicado, ¿&gt;o P rim era p a rte . Je parecen inculpaciones dichos de esta especi…</t>
  </si>
  <si>
    <t>…experimentan algún mejor trato de parte de los ene­ esto no haría mas que inquietar é indisponer mas á los chinos, no puede usar mas fácilmente de los medios de corrupción , t a n ­ migos: tal vez las comunicaciones del general Espartero h a y a n y que el reunir alli algunos buques de guerra sin instrucciones to mas, cuanto el orden de la nobleza se compone en g ran parte obtenido de Cabrera este favor á la humanidad. del Gobierno para obrar enérgicamente en caso necesario, no de funcionarios públicos y de cortesanos. A…</t>
  </si>
  <si>
    <t>…paz. Sres. D iputados con Sa lectura de este documento que es una titución y que no se la menoscabe en lo mas mín im o posible, Todos los partidos, todos sin exceptuar n i n g u n o ; todos los alocución de despedida del general Espartero á los alaveses, y y que continúe i itacta é ilesa como hasta a q u i , y ciertamente Gobiernos sin exceptuar n i n g u n o ; todos han tenido por único contestación de la dip utación provin cial. no sé a n a o pueda concillarse esa manifestación tan solemne fi n , por objeto predilecto e…</t>
  </si>
  <si>
    <t>…el asunto de los fueros. territorio se le ocurrió jamas hablar de ios fueros hasta que el »ido por las hordas de vándalos que vinieron del Norte y des- El Sr. M E N D I Z A B A L suplicó al Sr. Presidente mandase invicto general Espartero lo hizo en su proclama de M ayo de 57, ;ruyeron el imperio romano. leer la cabeza de las actas de los dias anteriores desde q u e a u u n - y entonces fue cuando esta p alab ra, que tan buenos resultados He dicho , señores, que el proyecto nada ofrece á las pro­ ció la cuestión de fueros…</t>
  </si>
  <si>
    <t>…cluye con la toma de H ernani, Irun y Nosotros preferiríamos dos compañías de verso ; pero de Fuenterrabía, disolución de la legión inglesa, expedición del nó ser esto posible, creemos lo mas ventajoso una de verso en el general Espartero á Pamplona, y reflexiones generales sobre la Príncipe, y la de ópera en la Cruz.Nos atrevemos á insinuar­ situación política de España. Se suscribe en Madrid en la li­ lo asi áJos señores del ayuntamiento, que no creemos despre­ brería de Sojo, calle de Carrtetas, y en las de la viuda de P…</t>
  </si>
  <si>
    <t>…y en su caso se decida definitivam ente. por el temporal. de la guarnición, por haber él mismo ocupado un De Real o rd e n lo digo á V. S. para su inteligencia, la pliego á un paisano, que aquellos infelices dirigian al general Espartero avisándole del camino que debia to m a r, punto que de ese trib u n a l y efectos consiguientes. Dios g u a rd e á V. S. debia ocupar y hora en que debía presentarse para facilitarle m uchos años. M adrid 5 de N oviem bre de 1839. — A rra - A su tiempo anunciamos á nuestros lectores los pa…</t>
  </si>
  <si>
    <t>…ellano, la guerra 3 y por todas partes se muestra la merecida y general tud , dispensarán haga público lo expresado. S. S. S. Q. S. M. B.= no ha sido por culpa mia. En mis viajes, en mis publicaciones, gratitud á) ilustre general Espartero que ha llevado á término Palafox, duque de Zaragoza.=Sr« editor y director de la Gaceta he invertido una parte considerable de mi fortuna. Si hubiese feliz tan difíciles negociaciones. de M adrid. hallado en Paris un editor que quisiese im prim ir mis obras en El Congreso no admira solo e…</t>
  </si>
  <si>
    <t>…A pesar de querer ocultar la la guerra ; y por todas partes se muestra la merecida y general Siria entre Hamer y Latakia. (M essager.) gran pérdida que han su frid o, do han p od ido, pues los p a ­ gratitud al ilustre general Espartero que ha llevado á térm ino dres y parientes de los muchos que han muerto ■manifestaban feliz tan difíciles negociaciones. con sus lloros y lamentos su irreparable pérdida. Cuentan que El Congreso no admira solo en é l , como otras veces, el va­ HOLANDA. el tigre tortosin estuvo en el m…</t>
  </si>
  <si>
    <t>…la presente ley. abandonado á Baimaseda y Arciniega, villas de poca conside­ ( Debats .) ración que se hallan fortificadas y cubren la V izcaya, y las En la sesión del 5 la Cámara de Diputados ha discutido y tropas del mariscal Espartero (i) han tomado posesión de Ordu - aprobado la ley relativa al reemplazo de 803 hombres pertene­ ñ a , que se halla mas adelante; pero es de notar que el ejército cientes al año de 1858. enem igo, en vez de retroceder tan to , no haya tratado de apo­ Se nos comunica el extracto siguiente…</t>
  </si>
  <si>
    <t>…e el cielo Lucio en V e r g a r a el arco iris, anuncio de paz y de v e n ­ reservó á V . A I., á vuestro sabio y prudente Gobierno y al tu ra: sus brillantes rayos llevaron tan fausta n ueva á los mas ilustre é invicto general Espartero. A petición del ex-infante de España D . Sebastian se le han apaitados lugares: todos elevan sus brazos al cielo en señal Seño ra: desde que se supo el convenio firmado en V e r g a ­ concedido pasaportes para Ñapóles, y ha partido antes de ayer de agradecimiento por taato bien: vitorean…</t>
  </si>
  <si>
    <t>…el mal punto importante se torne la palabra únicamente para dism i­ temporal. En las Merindades se hallan cuatro de nuestros ba­ D IORAM A. nuir la importancia del suceso, y cree que no es buena política tallones , y el general Espartero mandó tener prontas en V i- la que aconseja en im buir en los ánimos de los españoles el con­ llarcayo 703 raciones, en cuyo punto se esperaba el 8 del cor­ Establecimiento de un género enteramente nuevo eo Espa­ vencimiento deque no importa mucho la pérdida. riente. ña situado á la entr…</t>
  </si>
  <si>
    <t>…egu alda desmayada , antes Dicen de Santander con fecha del 16 que aquella diputación tran por la puerta de las tapias muchos españoles armados de de entrar el obispo de Darien : habia acordado la noche antes regalar al general Espartero una arcabuces, con los cuales apuntan á los in dios, y detras de ellos Yo tengo la c u lp a , y o : espada con el siguiente lema : " L a diputación provincial de un guerrero armado con la espada desnuda y la visera calada. de una manera distinta Santander al general Espartero, vencedor…</t>
  </si>
  <si>
    <t>…opas de M u ñ a g o r r i . p re lim in a r del tratado. Este p re lim in ar se c o n v irtió luego en en ella la solución qu e ofrece , soy de dictá m e n que aprobando Pero aqu ella t e n t a tiv a dejó semillas que el general Espartero, condición sin alteración a lg u n a , y no h a y mas que ver el a r ­ sin d istin ció n el a rt. 2 .° se om ite enteram ente el 1 .° ; porque, como todos los generales que h a n tenido influjo en las g u e rra s tículo 1.° del convenio (lo ley ó ); y por ello verá el Sr. R a m o ­ vamos…</t>
  </si>
  <si>
    <t>…no. Vinieron después los sucesos de Estella , que die­ cuando hay en un pueblo ese amor á las instituciones que cons­ palabra dada por el ilustre general que manda los ejércitos es­ ron mayor impulso al pensamiento. Y el general Espartero, á tantemente están dispuestos á sacrificarse por ellas; este es el pañoles; todos quieren el cumplimiento de los compromisos con­ quien cabe la gloria del primer pensamiento, pues aunque no verdadero espíritu público y nacional. Por eso, yo que tan cerca traídos por el Gobierno con el l…</t>
  </si>
  <si>
    <t>…ularmente consuelo en todas las autoridades, patriotas entusiastas, y par­ pales de la ciudad el libro de la Constitución de 1857 t y los en las malhadadas familias de Gandesa y su par­ retratos de nuestras Reinas y del general Espartero; un inmen­ batallones que se esperaban. A los demás que no tenían otras tido, y concluida misa se cantó el Te Deum , y se hicieron so pueblo victoreando á estos objetos de nuestra veneración se­ armas que palos les aconsejó qi^e se fuesen á sus casas luego durante la misa laslasalvas de…</t>
  </si>
  <si>
    <t>…que antes se obtenían : la mejor nota diplomática son 10CK que hubiera llamado la del Congreso, y este unido á ia comi­ I en mi coacepto retirarlo, porque era menester retirar las perso- bayonetas y la estrella feliz del general Espartero. sión, íá llamara al Gobierno, á fin de que tomase medidas opor* I cas que lo habían concebido. El Sr. González Alonso ha hablado de las provincias de U l­ tunas para ponerlo en armonía, I De consiguiente nuestra posición no ha variado nada , los tra m a r: también levantaré yo mi voz cu…</t>
  </si>
  <si>
    <t>…debido á la previsión de V . M . y su Gobierno, y al tino &gt;¡ez.ciFelix Casabal.=José Gonzalez.zrJacinto A ntuñano.=Se- ctit ? re^ome” cja r á V. S ., como de su R eal o rden lo eje^ y patrióticos sentimientos dél Valiente general Espartero , que astian Arechavala. ad q u isició n d el pitado p e rió d ic o , p ara que p e r- tantos dias de gloria ha proporcionado á la heroica dfccion, ®nílpse de su u tilid a d las d ip utacio n es p ro vin ciales, cuyos destinos están confiados á la maternal solicitud de V . M. Señera: El…</t>
  </si>
  <si>
    <t>…ustrado G o b ier­ ñora , el tributo de reconocimiento con que la corporación se xandez Bueno.rzPedro de Aparicio.=Tomas Diez Ocaña.=Es- n o , y esfuerzos del caudillo y victoriosas tropas que sostienen dirige al digno general Espartero, de que acompaña copia para eban M artin Asensio.—Pedro Alcántara Maillo.r:Fraocisco Z u - los derechos de la patria , son debidos tan abundantes frutos, su satisfacción soberana-, y bien merecida la eterna gratitud á íiga. =: Antonio A n aya.zz J u a n Sánchez Cerrado.—Francisco precur…</t>
  </si>
  <si>
    <t>…s del gran cordon de la legión de H onor, que el Rey de los la ley, en que se dice , que los oficiales mutilados tienen entrada to y de placer tienen el alto honor de felicitar á Y. M. por e Franceses acaba de conferir al general Espartero, duque de la en dicho establecimiento. convenio celebrado entre los generales D. Baldomero Esparterc Victoria y general en gefe de los ejércitos españoles. El Gobierno podrá muy bien decir que se hallan cubiertas y D. Rafael Maroto. Este hecho, para siempre memorable, que (Le Temps.) las p…</t>
  </si>
  <si>
    <t>…nunciará esta fór­ contra la autoridad. m u l a : w Abrese el juicio público.” L ogroñ o 25 d e S etiem bre. Consentíamos, aunque no con Lo mismo se hará con.el que profiera voces ó amenazas d i ­ toda seguridad, que el general Espartero vendría á hacernos Art. 95. Sentados todos los jueces, hará relación el escri­ rigidas á coartar la libertad de los jueces. una pequeña visita el dia 2 7 ; pero esta mañana hemos tenido bano de las actuaciones, leyendo á la letra la d e n u n cia, el im ­ A rt. 115. El juez que presida…</t>
  </si>
  <si>
    <t>…un diverto sainete. Cotización del dia 19 á las tres de la tarde • conseguido? aumentar el derramamiento de sangre-, y de san­ gre española! ¿Pero ha podido contener la marcha Victoriosa del Af e c t o s b u b l ic o s . general Espartero? Bien lo habei* visto; todo ha cedido al fin á las armas de la Reina nuestra Señora, y el soló fruto de su Inscripciones en el gran libro á 5 por 100 00. CRUZ. A las ocho y media de la noche. Se volverá á po­ obstinación se ha marcado en la quema horrenda dé Ramales y Títulos al portador d…</t>
  </si>
  <si>
    <t>…s principios constitucionales. Supongo yo que ha sido que en esto no habrán podido menos de tener parte todos los Eran las cinco menos cuarto. euviado por el ministerio, aunque no con carácter oficial; quie­ Ministros. Al general Espartero le cabe gran gloria, el pueblo ro suponer ademas que se ha sacado dinero de las cajas del Es­ todo lo hubiera sacrificado á la paz; pero aquel ha necesitado tado; el Gobierno habrá dicho: necesitamos quitar á D. Carlos también cooperadores. los medios de subsistir ; necesitamos inclinar á…</t>
  </si>
  <si>
    <t>…dividuos , y apelo á la cita de consultas pertenecer á uno de ellos. necesidad perentoria , para acabar la guerra , para conseguir con que han sido adornados los discursos del Sr. Ministro de Que en cuanto á la carta del general Espartero á que se ha esa terminación tan deseada, y hé aqui donde aparece la mejor Gracia y Justicia , apelo á sus palabras ; se consultó al tribunal referido el Sr. Alvaro en el expediente que obra en la secretaría defensa del Gabinete; una razón que convence bastante, mucho supremo de Guerra y Ma…</t>
  </si>
  <si>
    <t>Espartero, B.ildomero</t>
  </si>
  <si>
    <t>B.ildomero Espartero</t>
  </si>
  <si>
    <t>…en una de las notas dice, y ya en otra parte tenia m uy anteriormente consignado, w_el caos de las costumbres incoherentes de las historias y de las legisla­ Real decreto nombrando duque de la Victoria al capitán ge­ neral D. B.ildomero Espartero. (Ndm. 1666.) MODERNO ESPAÑOL. ciones de la edad llamada media , descrito y presentado de tan - n o m b ra n do conde de Belascoain á D. Diego León. (Id.) UNA NOCHE DE M ASCARAS, diversas maneras por infinidad de escritores de todos los pai­ Circular del ministerio de la Gobern…</t>
  </si>
  <si>
    <t>Espartero, Baldomero</t>
  </si>
  <si>
    <t>Baldomero Espartero</t>
  </si>
  <si>
    <t>…casamiento entre el esperaba el reverendo cura y venerable clero, por quien ante la Príncipe de Joinviüe y una Princesa brasileña, y se habla m u­ Magestad se entonó un solemne y devoto rF e Deitm0 después El capitán general D. Baldomero Espartero d los habitan­ cho de la futura alianza del Rey de Holanda con la fam ilia de del cual y restituidos á la sala capitular de que habian salido, tes de Aragón , Valencia y Murcia. Oultremont. se dispuso y tuvo lugar en tres noches consecutivas una ilu m i­ Esta fam ilia, según n…</t>
  </si>
  <si>
    <t>…Guardia Real. (Núm . Í 488 .) ^ ^ - so négocip que Ólavarria no piensa abandonar jamas. . , nombrando comandante general :en gefe de la Guardia C o tiza ció n d e l d ia d Tas tr e s d e l á tarde* V Real al capitán general D. Baldomero Espartero; (Id ;) ' ’ ■ . . * ,i¿ii ' . ú _ _ suprimiendaJa ¡unta auxiliar de gobierno para la direc­ ' v E F E C T O S P U B L IC O S . _ ción de la guerra. (Id.) • .... ¿i .'•íXí-'í,/.X í Real orden relativa á. mejorar la situación de los ejércitos. (Id .) In s e rip c io n e s en el g…</t>
  </si>
  <si>
    <t>…1815 á 1820 puedan decir que no Secretaría de Estado de Negocios del R e i n o . p i t a » g e - del Senado con los votos particulares de los Sres. Lleopart y soy bastante fuerista , que no tuvieron bastante valor cívico ral D. Baldomero Espartero, duque de la Victoria. Yo la R e i­ marques de V ilum a. para defender esas libertades , como yo lo hice en aquel tiem ­ na de Portugal y de los Algarbes &amp;e.nQueriendo daros un se­ Eu seguida se leyó también la lista de los señores que tenían p o, y que si ahora pasan por amigos…</t>
  </si>
  <si>
    <t>…ufacturas Reina constitucional, á su augusta Madre la Reina Goberna­ to que discutir. Las secciones podrán reunirse para nombrar de la nación española que lleguen á la Nueva Granada desde dora, y al Excroo. Sr. capitán general D. Baldomero Espartero, algunas comisiones, y despachar otros negocios, si el Congreso el dia 1.° de Julio del presente año. Dado en Bogotá á 25 de que con su decisión , lealtad y política habia proporcionado el lo resuelve asi. Abril de 1 85 9—El Presidente del Senado, José CorneÜo V a­ momento feliz…</t>
  </si>
  <si>
    <t>…s españoles, la paz era cientes acontecimientos ocurridos en las provincias Vasconga­ Zaragoza 25 de Setiembre de 1839.—Señora.—A L. R. P. de el deseo íntim o, el voto unánime y la mas urgente necesidad di das entre el general D. Baldomero Espartero , duque de la Vic­ V. M.^:Antonio Rafael de Oviedo y Portal, presidente.—Juan esta nación desgraciada. El convenio celebrado en Vergara poi toria, y el teniente general D. Rafael Maroto. Estos, Señora, José Llamas.^Mariano Rafael Lopez.^Mariano Montañés.—Es­ el ilustre duque de l…</t>
  </si>
  <si>
    <t>…comido también á un aldeano. A cierta es la unión que tienen entre sí la verdad, la virtud y la unos labradores que cruzaban por otra parte de aquel territorio, belleza! El verdadero buen gusto es la virtud de la im ag in a­ D. Baldomero Espartero, grande de España de primera les salieron hasta 10 lobos que pudieron espantarlos á pedradas ción. Si esta se pervierte, no están m uy seguros ni el corazón clase, duque de la V icto ria, conde de L u ch an a, gentil hombre y con otros defensivos; pero no pudieron evitar que á u…</t>
  </si>
  <si>
    <t>Espartero, José de San Millan. Baldotnero</t>
  </si>
  <si>
    <t>José de San Millan. Baldotnero Espartero</t>
  </si>
  <si>
    <t>…do de la Real m ano.= En Palacio á 13 de Setiem­ tración y p atriotism o de vuestro c a p itá n general y e n gefe Don P a sa lo d o s, d i p u t a d o . ^ P o r acuerdo de la d i p u t a c i ó n , Ram ón b re de 1 8 3 9 . = A D. José de San Millan. Baldotnero Espartero. M a e s t r e , secretario. L le n a de gozo y de entusiasm o consideran á V . M . todos los esp año les, porque a n im a d a de su bienestar y t r a n q u i l id a d , S e ñ o r a : E l a y u n ta m ie n to con stitu cion al de C i u d a d - R e a l En n…</t>
  </si>
  <si>
    <t>Españ</t>
  </si>
  <si>
    <t>…seme­ L o s E s c a l o n e s N a t u r a l e s se precipita en una suce­ y el Infante D. Carlos. jante tá una herradura, no puede tener menos de 800 sión de cascadas de 10 ó 12 pies cada una. Comunicación notable del ex-conde de Españ a al Gobierno. varas en su concavidad. Según las mas exactas ob­ Es t as cascadas ó escalones se han formado gr a­ Escrito del obispo de L e o n .á S» M . , negándose á la ju ra de servaciones hedías por viajeros científicos , la al­ dualmente por la accesión de las aguas que recibe la princes…</t>
  </si>
  <si>
    <t>España, Sálvese</t>
  </si>
  <si>
    <t>Sálvese España</t>
  </si>
  <si>
    <t>…o* sin lesión en la Constitución de la monarquía, y sin desdoro ni Gon igual fecha dice el mismo general segundo ca b o , con mengua de la soberanía nacional. referencia al gobernador de la Seo de U r g e l , que el capitán del Sálvese España, y sálvese su libertad y su honor, y Se l l e ­ EXPOSICION A S. M. LA REINA GOBERNADORA. segundo batallón franco D , Marcos Santa con una partida de narán de coníusion y verg üenza los que vociferan que no es­ su cuerpo consiguió aprehender el dia 26 del pasado al gefe de tamos á la…</t>
  </si>
  <si>
    <t>España.z</t>
  </si>
  <si>
    <t>…de 1859. =3 Compendio de la legislación y jurisprudencia española, pre­ Zaragoza 8 de Noviembre.^zCausas de la destitución de Manuel Ortiz de Taranco. cedido de un resuenen de historia de la legislación castellana y ex-conde de España.z^Ee la Emancipación del 4? periódi­ legionenre, deducido de las obras de los autores de mas nota co de Tolosa de Francia , leemos: que han escrito sobre esta materia, por D. J. de V. Estando el ex-conde de España pasando revista á las tropa Esta obra no solo comprende la parte dispositiva d…</t>
  </si>
  <si>
    <t>ESPAÑOL, MODERNO</t>
  </si>
  <si>
    <t>MODERNO ESPAÑOL</t>
  </si>
  <si>
    <t>…s Mélida, D. Martin López Sala- DE LOS TEATROS zar, D. Eduardo Arenas, D. Cayetano de Dilio y Rubio, Don forma esos preciosos dibu jos, esos a preciables cu ad riles con Rauion Guerra, D. Román Matute , D Bernardina Eraña , Don MODERNO ESPAÑOL Y EXTRANGERO. que se enriquecen todas las colecciones de los particulares Tadeo Sánchez Escandola y D . J osé Eugenio E guizabai, quie­ de Francia y del extrangero. Cuando el artista se e n ­ nes por unanimidad declararon haber lugar á la formación de Con este t ítu lo se p u b li…</t>
  </si>
  <si>
    <t>Espero, Reina.</t>
  </si>
  <si>
    <t>Reina. Espero</t>
  </si>
  <si>
    <t>…. G. aseguró á S. M . del entusiasmo y decisión de que S. M. debe téuer la justa consideración en sus servicios, en versario. , sus tropas, prornetiéndose deshacer á Espartero , si se interna p articular e! contraído con la Sra. Reina. Espero ocasión para Se halla de venta en esta corte en la librería de la v iuda de en V iz c a y a , en donde su numerosa caballería no podrá cubrir manifestárselos y sea Y . atendido como se merece. Lo mismo con C ru z , frente las Covachuelas de San Felipe , á 2 rs. su infantería desalent…</t>
  </si>
  <si>
    <t>Espin</t>
  </si>
  <si>
    <t>…banzos 4,016 2 23 P la tilla s ......................................... " . . . 25,782 4 del pasado ha sido una de las mejores á que hemos asistido Harina de trigo 367,347 4 mucho tiempo hace. A la actividad y diligencia del Sr. Espin, Harina de maíz............................................ 42,364 Punta y encajes 625 7 26 maestro director de ella, se debió en gran parte su brillantez. Ler. cería no comprendida en las clasifica­ Las piezas que se cantaron fueron las siguientes: M*iz..................................... 6…</t>
  </si>
  <si>
    <t>Espina, Juan</t>
  </si>
  <si>
    <t>Juan Espina</t>
  </si>
  <si>
    <t>…mo, que se ira* repartien­ 13. Muerte violenta de Doña María del Rosario Nargane&lt;¡, go. Esta ocurrencia ha producido bastante inquietud en los á n i ­ do en sus respectivos domicilios desde luego á los Sres. suscrip- muger de D. Juan Espina, vecinos de la villa de Ampuera en mos de los enfermos, siendo esto causa sin duda alguna de que tores en esta cor¿e. Si alguno hubiese mudado de habitación , se la provincia de Santander, acaecida la noche del 5 de Agosto los carruages de la corte hayan venido casi vacíos en tres ex­ se…</t>
  </si>
  <si>
    <t>Espinosa, Diego</t>
  </si>
  <si>
    <t>Diego Espinosa</t>
  </si>
  <si>
    <t>…1 . cional, Felipe Morala Rodríguez. provincias de Andalucía; y cumpliendo con el expresado Otra id. en dicha sierra, Balsanueva, término de Berja, mandato, tengo el honor de manifestar á V. E. que á San José de Alhama, por D. Diego Espinosa, en 1 1 . consecuencia de lo dispuesto en Real orden de 26 del Otra id. en el mismo sitio, Mayor dolor, por D. Josc Gar­ J U N T A DE VENTAS D E BIENES NACIONALES. mes último tuve una nueva conferencia con el director cía , en 19. ? general de caminos, el cual me dijo de palabra y…</t>
  </si>
  <si>
    <t>Espinosa, José</t>
  </si>
  <si>
    <t>José Espinosa</t>
  </si>
  <si>
    <t>…la acompaña en que avisa haberse dado dia 7 , y ya esperan para el domingo otro obsequio de parte Según los periódicos del Canadá , se ha abierto la navega­ principio á los trabajos de la carretera de esta capital á Ante- de D. José Espinosa, administrador del estado del duque de ción del rio Saint L aurent, y han llegado á él 15 buques, la quera. Testigo ocular de cuanto en ambas se manifiesta, creo Fernannuñez. mayor parte procedentes de Lóndres. Los asuntos comerciales conveniente, repetir á V. E. que nada hay de exag…</t>
  </si>
  <si>
    <t>Espinosa, Juan Duro</t>
  </si>
  <si>
    <t>Juan Duro Espinosa</t>
  </si>
  <si>
    <t>…rid. te de cura de la Puerta del Golpe.......................... 8 Sr. regente D. Juan Ramón Oses.. . . . . . . . . . . ; . . 20 5 ,414 * • • • 5 0 0 /...... Idem. Id. D. Pedro Bajado Villate. ................. 4 Sr. ministro D. Juan Duro Espinosa.. . . . . . . ,/V 10 6 ,2 9 6 .... 500............ Algeciras. La R. madre priora y comunidad de Sta. Catalina. 4** ^ Sr. ministro D. José Serapio Mojairieta. * . . . . . i 10 El presbítero D. Rafael Al varado 4** 2 Sr. fiscal D. Fernando Perez Rozas. ............. 10 La dirección…</t>
  </si>
  <si>
    <t>Espinosa, Mariano Nicolás</t>
  </si>
  <si>
    <t>Mariano Nicolás Espinosa</t>
  </si>
  <si>
    <t>…laboriosidad del re­ con los cortesanos cuando los recibe p or huéspedes; les sugetos siguientes: D. Gregorio M iota, D. Juan Genieys, Don dactor de dicho periódico, que según tenernos entendido es el d ice : Manuel Herclaes, D. Mariano Nicolás Espinosa , D. Dom ingo Sr. D. Manuel Benito A gu irre, oficial primero de la inspec­ «Caballeros de alta guisa, Pereda, D. Ventura Martínez Ramón, D. Augel Peralta, Don ción general de la Milicia nacional del reino, y oficial también Dios os dé bienes y honores; Pedro Alvarez y D…</t>
  </si>
  <si>
    <t>Espinosa, Vicente</t>
  </si>
  <si>
    <t>Vicente Espinosa</t>
  </si>
  <si>
    <t>…ope. nos, y aun le sobraban unas cuatro varas de cordel; y esto de­ tros no meoos célebres ; y como fiesta española principió por un muestra que se le ataria alguna piedra para que se mantuviese himno á U paz, música del socio D. Vicente Espinosa , mere­ Cuerpo de estado mayor, rzCoronel de infantería teniente en el hondo, que sin duda se desató por la fuerza de la cor­ cedor de los aplausos que le tributó la concurrencia por la no­ coronel del cuerpo, D. Rarnon Martínez de Campos, propuesto riente. Los de Coll de Nargó dier…</t>
  </si>
  <si>
    <t>Espinóla, Antonio</t>
  </si>
  <si>
    <t>Antonio Espinóla</t>
  </si>
  <si>
    <t>…cárcel por seis meses con rado de Doña María Manuela de Ribera: Doña Bárbara Gó­ dadaComedia en tres actos en verso , del célebre Picard , acomo­ giau perjuicio de sus labores , y siempre con mucho cui­ mez Talayera, viuda de D. Antonio Espinóla: D. Dimaso de en lasal librerías teatro español por D. Bautista Calleja. Véndele á 6 rs. de Escamilla, calle de Carretas, y de Cuesta dado por no tener te tigos que probaran su declaración. Rueda y Tejada , apoderado de D. Manuel Ventura Irure: frente á Ls Covachuelas. Que entia ca…</t>
  </si>
  <si>
    <t>Esplugas, Torcuato</t>
  </si>
  <si>
    <t>Torcuato Esplugas</t>
  </si>
  <si>
    <t>…sus alumnos un dis­ toda yeron y tradujeron en el traductor ingles los de la segunda* curso en ingles, que también tradujo al castellano, que no dejó ríamospropiedad el título de desaplicadas, porque no compensa­ Al cargo de D. Torcuato Esplugas se halla la clase de di­ que desear; siendo de advertir que dos de ellos son de los cos­ tareas, entonces con el aprovechamiento las asiduas y penosas bujo natural ,que cuenta siete niños, los cuales presentaron sus trabajos que fueron examinados y celebrados los progresos que te…</t>
  </si>
  <si>
    <t>Espronceda</t>
  </si>
  <si>
    <t>…curioso, y ble acogida, poco deberá tardar en vez la pública luz una nue­ de Carretas, y de Cuesta, calle M ayor, frente á las Covachue­ hallar amplia materia para sus investigaciones el literato. va obra que ha comenzado el Sr. Espronceda bajo, los mejores las; y en las provincias en los puntos siguientes: El texto, es decir, el diálogo de los dramas que se den en auspicios y con general aplauso, cuya lectura dejó una profun­ Cádiz en la de llortal y Compañía. Barcelona, Piferrer. Va­ r.sta colección, irá .arreglado á las…</t>
  </si>
  <si>
    <t>…ENCIA DE LA GACETA. institución que solo en tiempos de paz y de concordia se habría el desempeño de su cátedra. L a de Literatura moderpa compa­ establecido en otros pueblos: cada vez que esto vemos nos senti­ rada, por el Sr. Espronceda, está aun tana! principio que nada mos mas orgullosos del nombre de españoles, de ese nombre que B ilbao 12 d e M arzo. En la noche del 10 hizo una salida nos atrevemos á decir acerca de e lla , asi como tampoco de la como sinónimo de virtud , de valor y de heroísmo nos han tras­ á la…</t>
  </si>
  <si>
    <t>Espéte</t>
  </si>
  <si>
    <t>…ués de algunas breve? observaciones de ios 5,res. Mi­ la majoráa de tas dos terreras partes de votos presen,tes en tes manera ninguna mas qne al Gobierno, considerado como ente nistro- de la G oberaadb»conde de Gfália y conde de Espéte­ Cortes, concurriendo precisamente á la votación- k mitad! mas moral» abstrayendo tas personas que pudieran ser Ministros ea. la , se decidí© que bu» se votase por partes el ■articulo, como no» á 1© buhos fie los individuos fie cada cuerpo co legislador. aquella ú otra época» Gomo rao. era p…</t>
  </si>
  <si>
    <t>Esquer, Francisco</t>
  </si>
  <si>
    <t>Francisco Esquer</t>
  </si>
  <si>
    <t>…isma previene, tocó á los sugetos siguientes: D. José Lá­ nes de física del conservatorio de Artes en el local acostumbra­ analogía , pues se bastardean coit ha mésela de su pelen; yapar*- zaro, D. José Pombo, D. José Laplana, D. Francisco Esquer­ do calle del T urco, y continuarán hasta concluir el curso los ra evitar ó corregir contratiempos y dirigir la cria de lofe aut¿- ra , D. Manuel Viejo, D. Alberto Tolosa, D. Joaquin Alcal­ martes , viernes y sábados dé cada semana de doce á dos. males que necesitan; ya en fio , par…</t>
  </si>
  <si>
    <t>Esquive</t>
  </si>
  <si>
    <t>…su* deseos de conservar su Constitución intacta. de un A rtista , que tanta analogía tiene con la circunstancia - i * * # &gt;-li yh i :.• j La asamblea contestó por su parte de un modo igualm ente desgraciada que ha privado ai Sr. Esquive! de la vista , y á las En la sesión de la primera Cámara de los Est^doS. del 25 . conciliadorprom eiiend,o -sepultar .en el olvido Lodos ios pasa- artes españolas de uno de sus hijos predilectos. Seria hacer ag ra­ del co rriente, M M ^Z iegler y-KlfpphatMen han propuesto á la^ l dos motiv…</t>
  </si>
  <si>
    <t>ESS</t>
  </si>
  <si>
    <t>…la lib rería de Escamillla , calle de C arretas; 19 de J u n i o . l ,o d e Enero de I 84O. y de Cuesta, frente á las C o v a c h u e la s , en c u y o s puntos se v e o - 7 de A gosto. Y DE L A S DIRECCIONES Y A U T O R ID A D E S SUPERIORES. de la astronom ía del célebre A r a g ó . El pasaje á N u e v a Y o rk en las c á m a ra s p rim e ras de popa Entrega del mes de DICIEMBRE anterior con el apén­ es de 4 9 g u i n e a s : en las otras segun d as es 55 g u in e as. dice, índice general y portada, que todo forma mas…</t>
  </si>
  <si>
    <t>…rs. cada uno eu las librerías lle g ¡r un correo de S. Petersburgo portador de la satisfactoria de Escarnida y de Cuesta. . noticia de que el Shah de Persia ha accedido a todas las d e - Y DE L A S DIRECCIONES Y A U T O R ID A D E S SUPERIORES. inanuasdel Gobierno ingles. Tal es el primer resultado que ha producido la expedición de lord Auckland. No h ay tiempo E n t r e g a de S E T IE M B R E d e 1 8 3 9 . para rr.^s pormenores pues vo á salir el correo. JU N A V IE JA ! El Shah accede igualmente á firmar un tratado de c…</t>
  </si>
  <si>
    <t>…le de Id. en los meses an­ ORDENES Y REGLAMENTOS DEL GOBIERNO Carretas, y de Cuesta frente á las Covachuelas. terio res............ . 21111 446875475.25! ‘955264280.. 4 Total hasta fin de Y DE LAS DIRECCIONES Y A U T O R ID A D E S SUPERIORES. , , E n la librería de Dona Antonia Sajo calle de las:Carretas&gt; Junio de 1839. 21655 455825005.. 1 5 | 982747353..28 E n tr e g a de MAYO de 1839. Se halla á 3 rs. tanto en rama como en rústica en él , , se hallan de venta los siguientes opúsculos 'impresos años y h á de D. M…</t>
  </si>
  <si>
    <t>…M IL IA N UEV A . ORDENES Y REGLAMENTOS D E L GOBIERNO los jóvenes que aprenden el l a t in , todo lo que se hallará en la primera parte que es objeto de este anuncio, sino que también Y DE LA S DIRECCIONES Y A U T O R ID A D E S SUPERIORES* con la segunda y tercera parte se tendrá un diccionario caste- A las ocho de la noche. Se volverá á poner en escena llano-catalan , otro castellano-latino , otro castellauo-frances, el drama original en cinco actos, de D. Antonio García Gu­ E n t r e g a de F E B R E R O d e 18301*…</t>
  </si>
  <si>
    <t>…idelidad de un perro. Infanticidios multipli­ Hectárea=27 fanegas de Madrid. 100 areas. ORDENES Y REGLAMENTOS DEL GOBIERNO cados. M edidas p a r a só lid o s . 4.a Causa de conspiración. Y DE L A S DIRECCIONES Y A U T O R ID A D E S SUPERIORES. 5 a Informe fLcal del Sr. Gutiérrez de la Huerta sobre el Decisterio................................... ..................... de metro cúbico. modo de proceder en las causas criminales de los delitos atroces Esterio, medida usual.............................. 1 metro cúbico. E n t r…</t>
  </si>
  <si>
    <t>…rar exámenes públicos para ORDENES Y REGLAMENTOS DEL GOBIERNO Otra id. , barranco de la Monterilla, término de Benadux, maestros y maestras de instrucción primaria , empezando el do­ . T DE L A S D IRECCION ES Y A U T O R ID A D E S SU P E R IO R E S. L u cas, ahora Santiago, por José de Plaza , en 29. mingo 21 del corriente á las nueve de la mañana en el salón del colegio de sordo-mudos,, calle del Turco. Madrid i i de J u ­ E n tre g a de MAYO de 1839. . R egistros lio de I859,=3ebastian Eugenio Y eta, vocal secretar…</t>
  </si>
  <si>
    <t>…el conde de A randa, calle de L uzon , nú** ademas de ser los mas ilustres en sus carreras respectivas, mero 4 5 cuarto principal. sabran que tienen la precisa obligación de poner el ma­ Y DK LA S DIRECCIONES Y A U T O R ID A D E S SUPERIORES» Cuantos han concurrido á los dos bailes anteriores no han yor esmero en que los proyectos de ley salgan bien m edi­ podido menos de quedar complacidos; por lo que la empresa no tados y redactados, porque si no lo hiciesen a si, faltarían Entrega del mes N OVIEM BRE anterior . omite g…</t>
  </si>
  <si>
    <t>…y g u a r ­ ORDENES Y REGLAMENTOS DEL G O B IE R N O P a r is , 16-6. G r a n a d a , 1-1 papel id. dará la justicia que tu v ie r e , y en otro caso, pasado dicho tér- M á l a g a , \ d. Y DE L A S DIRECCIONES Y A U TO R ID A D E S SUPERIORES*. n iñ o , se sustanciará la causa en su ausencia y rebeld ía, parán­ S a n ta n d e r , ± d. dole el perjuicio que h aya lugar y continuándose la causa en A lican te, 1 d. S a n t ia g o , 1| á 2 id. os estrados de la audiencia. E ntrega de F E B R E R O de 1 8 3 9 . Barcelona, á p…</t>
  </si>
  <si>
    <t>…. REALES DECRETOS, 1 4 .5 2 2 ... • 500................ Barcelona. 5 .1 8 8 .... 500................ Madrid. ORDENES Y REGLAMENTOS DEL GOBIERNO 7 1 6 . .. . 500............... Idem. T DJS L A S DIRECCIONES T A U T O R ID A D E S SUPERIORES. 1 4 .7 9 4 .... 500................ Haro. 7 .7 8 1 .... 500............... M adrid. VACANTES 7 1 4 .... 500............... Idem. E n trega de FEBRERO de 1839. 5 .4 9 0 .... 5 0 0 . . . . . . . Cádiz. L A escuela de primeras letras de esta ciudad de segunda cla- 2 1 .2 5 8 .... 5…</t>
  </si>
  <si>
    <t>…ado. De las disposiciones testam entarias. TEATROS. ORDENES Y REGLAMENTOS DEL GOBIERNO De los contratos en general. De los juicios en general. P R IN C IP E . H oy no h a y fu n ció n . T DE L A S DIRECCIONES T A U TO R ID A D E S SUPERIORES. T rám ites del juicio ejecutivo. Se h alla concluida y de venta en la im prenta y lib rería de E n tre g a de ABRIL de 1839. B o ix , calle de C arretas, á 2^ rs. en rústica. C R U Z . A las ocho y inedia de la noche. Se pondrá en Se halla á 3 rs. tanto en rama como en rustica en…</t>
  </si>
  <si>
    <t>…l año. d i m i n u t a aquella colección en e x t r e m o , excluidos c apr i c h os a­ ORDENES Y REGLAMENTOS DEL GOBIERNO mente de ella poetas de alto ren ombr e, y busqadas con poco Y D£ L A S DIRECCIONES Y A U T O R ID A D E S SUPERIORES. acierto o con poco gusto , para una de las secciones en que se d i v i d í a , comedias que no son las que mas h onr a n á sus a u t o ­ P R O V ID E N C I A S JUDICIALES. r e s , u n a segunda edición de la obra de I Iuer t « * qu e hace inu«fc E n t r e g a d e 'A B R IL d e 1…</t>
  </si>
  <si>
    <t>…OS D E L G O B IE R N O Ú n a crónica. ; empresario. Enterado este de tal n ov e d a d , y cerciorado de la v Se suscribe en M a d r i d en. la lib r e r í a dé C u e s t a , frente á las Y DE L A S DIRECCIONES Y A U TO R ID A D E S SUPERIORES. j usti ci a con que los señores gefes reconocedores y perito de la C o v a c h u e la s ; en la estam p ería de V a l l e , c alle de C a r r e t a s 4 y ! admi ni str aci ón mi l i t a r ha bi an desechado el expresado número en la r e d a c c ió n , calle del P r í n c i p e , n ú…</t>
  </si>
  <si>
    <t>…, y 18 p. y 4 u para que le deduzcan en forma legal por el dicho juzgado y de ancho. Precio antiguo 46 rs., y moderno 30. escribanía , parándoles eo otro caso el perjuicio que haya lugar. T DE LAS DIRECCIONES Y A U T O R ID A D E S SUPERIORES. p O R providencia del Sr. D. Benito Serrano y Aliaga iuez * de primera instancia de esta villa . refrendada de D J a ­ Entrega de MAYO de 1839. TEATROS. cinto Gaon- y Loeches escribano del número de la misma , se Se halla á 3 rs. tanto en rama como en rústica en el PR IN C IPE . Hoy…</t>
  </si>
  <si>
    <t>…diversión y comodidad que encuentra en el misma. tilla» f3' 1 Los billetes se despachan en el mismo local y en la. calle di? El Sr. A R G U E L L E S dice que se ve obligado á hacer va­ Y DE LA S DIRECCIONES Y A U T O R ID A D E S SU PERIORES. Carretas, frente á correos, tienda del tasador de joyas Gaseo, rias observaciones para que el Gobierno las tenga presentes al donde se expenden los de los toros. presentar el. proyecto de ley sobre este asunto, á fin de que no Entrega del mes de NOVIEMBRE anterior. se perjudiquen de…</t>
  </si>
  <si>
    <t>…geometría y dinámica , y la astronomía; y el segundo ticias que comprende: dos tomos en 8.°, á 50 rs. en pasta y 26 la mecánica, con algunas reflexiones generales sobre las má­ en rústica. Y DE LAS DIRECCIONES Y A U T O R ID A D E S SU PE RIO RES. quinas. Los que quieran tomar estas obras en cantidad , podrán di­ rigirse á casa de su autor, calle de A lcalá, núm. 4 4 , cuarto Entrega de F E B R E R O de 1839. principal, ó á la imprenta de Repullés, plazuela del A ngel, y rP A B L A S botánicas en que se explican sumariamen…</t>
  </si>
  <si>
    <t>…a y unido el esmero y limpieza de la impresión á la buena calidad emplaza por término de 20 dias , contados desde la publica­ del pape!. La fundición se ha elegido metida y pequeña, á fin T DE L A S DIRECCIONES Y A U T O R ID A D E S SUPERIORES. ción en la G aceta, á todos los que se conceptúen acreedores de q u e , cabiendo en menor número de pliegos, pueda expen­ á los bienes quedados por fallecimiento de D. Gregorio y E n t r e g a d e JULIO d e 1839. derse con mayor conveniencia en beneficio del público. El retra­ D. Ca…</t>
  </si>
  <si>
    <t>…a aliviar el ánimo fatigado con la lucha continua de gran­ des y fuertes pasioues, solo las felices inspiraciones de una jQ lC C IO N A R IO de medicina y de cirugía prácticas. Entre­ Y D B L A S D IRECCIONES Y A U T O R ID A D E S SUPER I0R E8. fantasía creadora consiguen cautivar por poco tiempo la aten­ ga segunda del tomo 5.° Continúa abierta la suscripción ción del público con la novedad y el halago de sus encantos. en la botica de Olinedilla, calle de Carretas, núm. 2 2 , y en Entrega de JULIO de 1839. Si á tanto n…</t>
  </si>
  <si>
    <t>…DEL GOBIERNO y 2 1 p. y 7 1. de aacho: precio antiguo 54 r s. , y moderno 20 . Oslende y Bélgica , I o y 15 de cada mes: 20 horas. Rotterdam y Rusia Renana, 5 , 10 , 15 , 2 0 , 25 y fines Y DE LAS DIRECCIONES Y A U T O R ID A D E S SUPERIORES. Santa Cecilia. de cada mes: 2/¡ á 50 horas. Ilamburgo y Alemania del N o rte, cada sábado: 50 á 60 Entrega de A B R IL de 1839. Obra del celebre pintor Guido R.eni, cuyo nombre basta horas. para recomendarla. Representa á la santa tocando un violon­ San P etersbu rg o , 1.° de cada…</t>
  </si>
  <si>
    <t>…inserte este anuncio en h ORDENES Y REGLAMENTOS DEL GOBIERNO Granada la contrata de 2 0 3 quintales de plomo para las aten­ Gaceta del G o b ie rn o , pues que pasados y no haberlo hecho T D E LAS DIRECCIONES Y A U TO R ID A D E S SU P ER IO R ES. ciones del ramo de g u e rra , y para su celebración se ha seña­ les parará el perju icio que hubiese lu g a r , y con tin uará la cau ­ lado el dia 2 7 del mes de Ju n io próxim o v enid ero, en el que sa sin mas citarles ni emplazarles. se ha de verificar en los estrados de…</t>
  </si>
  <si>
    <t>…T a n celosas se han manifestado de esta fabricación las na­ rastradas á un centro mayor de actividad y de tra ba jo, n ciones mas adelantadas, que han procurado ocultar sus procedi­ Y D E L A S DIRECCION ES Y A U T O R ID A D E S SU PE RIO RES. abrazaron un número mayor de cuestiones. E s permitido tam* mientos mecánicos para no exponerse á perder el exclusivo ejer­ biea el afirmar que los archivos parlamentarios de la Franci cicio que hacían de ella, y de consiguiente nosotros hemos sido E n tr e g a de O C T U B R E…</t>
  </si>
  <si>
    <t>…ió ; y á fin de salvar las vidas de los desgraciados que hasta ca de sí tiene las que merecen opinión, no solo entre nosotros; hoy han podido resistir á semejante tratam iento, y quitar á V. Y DE LAS DIRECCIONES Y AU T O R ID A D E S SUPERIORES* llámelas Y. M. á su lado para la dirección y consejo en todos el menor pretexto para concluir con ellos, no creo hum illación E n treg a del m es de D IC IE M B R E an te rio r con el ap én­ los asuntos que particularmente en el dia nos a g itan , y Y. M. ni debilidad el proponerle c…</t>
  </si>
  <si>
    <t>…DEL GOBIERNO con sus semejantes y coa sus f a m i l i a s ; la observancia de las le­ BIBLIOGRAFÍA. y e s , el respeto á las a u t o r id a d e s , el am or al trab ajo y la a v e r ­ Y DE L A S DIRECCIONES Y A U T O R ID A D E S SUPERIORES. sión á la ocio sidad, en e m ig a declarada del saber , y por ú ltim o de que experim ente por sí y en si mismo las inm ensas ventajas E n tre g a de AGOSTO de 18 3 9 . R ODRI G O , últim o R e y de los godos. Drama o r i g i n a l es­ que proporciona á c ada i n d iv id u o de la…</t>
  </si>
  <si>
    <t>…GLAM ENTOS DEL G O B IE R N O traordinaria , á beneficio del primer actor D . José García L u ­ ra la India de la Persia , ios rusos de ios ingleses. na f distribuida del modo siguiente: Y DE LA S DIRECCIONES Y A U T O R ID A D E S SU PERIO RES. Idem IT de Octubre. A lo que dije á Y V . en mi última 1.° Sinfonía en la ópera B E L IS A R IO , del maestro D a— de 18 del pasado no tengo mas que añadir sino que corre la nizetti. voz de que Herat se ha rendido al Shah de Persia; que el ge­ E n trega del mes ¿ /¿ N O V IE M B…</t>
  </si>
  <si>
    <t>Essex</t>
  </si>
  <si>
    <t>…de la t r i p u l a ­ Escriben de Londres el 25 de A b r i l : se ha señalado esta feria en ri quezas y a bu n d a n c i a que no sé ción i ndispensable. En la confianza de que la C á m a r a h a rá e n ­ El respetable conde de Essex, que nació el Í 5 de N o v i e m ­ 1 adve r t í a muchos años hace. tender al a l mi r a nt a z g o la necesidad de compl etar la t r i pu l a c i ón bre de 1 7 5 7 , acaba de fallecer á la edad de 8 2 añ os : casó ú l t i ­ de nuestros buques , voto por la mocion. ma ment e con la célebre c…</t>
  </si>
  <si>
    <t>ESSUP</t>
  </si>
  <si>
    <t>…remisión. En las provincias do este establecimiento nacional. O R D EN ES Y REGLAMENTOS DEL GO BIERNO estará abierta la suscripciou en casa de los comisionados de la agencia literaria. Y D E LAS DIRECCIONES Y A U T O R ID A D E S S U PER IO R ES. Se insertarán á precios convencionales los artículos con que­ jas y reclamaciones sobre injusticias y demas objetos de interés BOLETIN DE COMERCIO. Entrega de EN ERO de 1839. general; y en punto á dichos precios deben contar con una pre­ ferencia los Sres. suscri ptores. BO…</t>
  </si>
  <si>
    <t>Esta</t>
  </si>
  <si>
    <t>…á V. E. muchos años. Santander 5 i de Marzo de 1859.= ña y el aposentador de la división D. Joaquín Morales Reyes y brigada del del Norte que concurrieron á esta acción, y es­ Excmo. Sr.=Rafael de Hereño.=Excmo. Sr. Secretario de Esta­ ejecutaron y comunicaron mis órdenes con la actividad y celo pera las propuestas que ofrece remitir el general en gefe en fa­ do y del Despacho de la Gobernación de la Península. mas recomendable: 'debiendo marcar en igualdad á estos vor de los que mas se distinguieron, para acordarles la reco…</t>
  </si>
  <si>
    <t>…pera vencer cuantas dificultades puedan ofrecerse hasta la conclusión de una obra tan interesante a! país. Dios guarde á Y. E. muchos años. Logroño 1.° de Mayo de 1859.=^ Excmo. Sr.—Joaquín Berrueta zzExcmo. Sr. Secretario de Esta­ do y del Despacho de la Gobernación de la Península. Gobierno político de la provincia de Falencia.=:Excrao. se­ ñor: Me cabe l a satisfacción de participar á V. E. que él ilus­ tre ayuntamiento de esta ciudad , no obstante la penuria y es­ casez de fondos en que se encuentra , á la comun…</t>
  </si>
  <si>
    <t>Normanby, antiguo lord lugarteniente de Irlanda bajo el 6fr rs. importan.................................................... 52920 RESUMEN. nombre de conde Mulgrave, y actualmente secretario de Esta­ do de las Colonias. Esto seria modificar el ministerio en un DATA. Total producto de! concierto 52920 sentido mas favorable á los radicales. {Id.) Id. de la exposición......................... 6684 Alquiler del salón en la noche del con­ cierto, como también en los días de Id. de limosnas…</t>
  </si>
  <si>
    <t>…reto suspendiendo las sesiones de las Cortes hasta el dia ce mantendrá el sacristán y sus hordas hasta la primavera. 20 del mismo. (Núm. 1818 .) unos quintos. (Id.) Real decreto declarando comprendidos en el indulto general de Esta tarde ha entrado huyendo alguna gente de las inme­ Circular del ministerio de la Gobernación para que los gefes políticos cuiden en sus respectivas provincias que por ningún 10 de Octubre último todos los individuos del fuero m ilitar diaciones de la V alí, por haber corrido la voz que se dir…</t>
  </si>
  <si>
    <t>…entre la m ilicia de la Nueva Brunswick y la del cia que el recibimiento del gobernador general por el R ajah M a i n e , calamidad que esperamos con confianza será cortada y Sir S. C an ning : Ruego al noble lord , secretario de Esta­ R u n je t-S in g h en la ciudad de Lahora ha sido de los mas lison­ prevenida , 110 seria probablemente su consecuencia una guerra do de Negocios extrangeros, que tenga á bien decir si ha jeros. Pero muchos temen que todos estos cumplimientos y esta entre las dos naciones. Está en el ínteres…</t>
  </si>
  <si>
    <t>Esta, Antonio Gil de Zarate.</t>
  </si>
  <si>
    <t>Antonio Gil de Zarate. Esta</t>
  </si>
  <si>
    <t>…e , teniente escrita en francés por M r. Casimir D e la v ig n e , y arre gla­ tado de mis observaciones en los términos mas claros y con­ coronel sir Carlos R. O ’Donnel, ha asistido últimamente á una da al teatro español por D. Antonio Gil de Zarate. Esta co­ cisos.” asamblea especial de los magistrados de Mansfield , habiendo media que ha merecido siempre extraordinaria aceptación en Cuando se reflexiona que el médico que habla de esta m a­ llegado á dicho distrito un gran número de agentes de policía todas sus representa…</t>
  </si>
  <si>
    <t>…do. Trescientos reales vellón al que establezca en la misma un ta­ sionero. L A. Escuela de los Viejos, comedia en cinco actos y en ver­ so, escrita en francés por Mr. Casimir Dalavigne, y ar­ reglada al teatro español por D. Antonio Gil de Zarate. Esta ller donde se dé á las piezas de metal y madera barniz fabricado Logroño 18 de Marzo . Urbistondo llegó á Estella el mar­ comedia, que ha merecido siempre extraordinarios aplausos en en el pais, igual ó superior en bondad y hermosura al que tie­ tes 12, y al dia siguien…</t>
  </si>
  <si>
    <t>Esta, Argúelles.</t>
  </si>
  <si>
    <t>Argúelles. Esta</t>
  </si>
  <si>
    <t>…favor del Preten­ diente. El Sr. Ministro de G R ACIA Y JUSTICIA : No me he no leNoquieren: gobernarán con la anarquía, ni con el desorden porque no quieren gobernar sobreestados de sitio, esto equivocado según he oido al Sr. Argúelles. Esta cuestión tan Contestando á lo expuesto por el Sr. Iznardi acerca de que delicada como personal, la reduciré á dos puntos, el voto de la conoce el Gobierno que es el caballo de batalla. el conde de Cleonard habia amenazado con su animadversión al m inoría, y la cuestión de Gobierno…</t>
  </si>
  <si>
    <t>Esta, Bernardo María de Calzada.</t>
  </si>
  <si>
    <t>Bernardo María de Calzada. Esta</t>
  </si>
  <si>
    <t>…tarios que hayan de emprender obras en sus fincas, á la juven­ BOLSA D E M A D R ID . E N S A Y O sobre la educación de la nobleza , que trasladó al tud estudiosa, y en general á toda clase de personas curiosas y castellano D. Bernardo María de Calzada. Esta obra es aplicadas. Los hombres profundos en las ciencias tendrán en es­ Cotización del dia 18 a las tres de la tarde recomendable por las interesantes materias que trata, pues ade­ ta obra un repertorio, y los demas encontrarán asunto dé fácil mas de las instruccion…</t>
  </si>
  <si>
    <t>Esta, Carlos.</t>
  </si>
  <si>
    <t>Carlos. Esta</t>
  </si>
  <si>
    <t>…precaución aconsejada por la aproximación de los batallones na­ y las libertades de la nación, ha cabido en suerte con el pri­ na de Santa Elena: detras del trono estaba el sepulcro. varros que todavía subsisten á devoción de D. Carlos. Esta ma­ mer extracto de la de este dia á Doña Amalia Abad , hija de La restauración atrajo de nuevo á la antigua aristocracia, ñana debían volver las tropas á Andoain á traer la artillería, D. Francisco, coronel de caballería, muerto en el campo del respetando con todo á la moderna. Sin e…</t>
  </si>
  <si>
    <t>Esta, Doña</t>
  </si>
  <si>
    <t>Doña Esta</t>
  </si>
  <si>
    <t>…dé Bustos y Castillo. M A D R I D 1 8 DE JUNIO. Por poner y quitar la alfombra de la 587. Una parra dentro de un fanal, al Sr. D. José de Saft escalera.............. 200 Millan. 696. Un calientapiés de paño bordado, á la Sra. Doña Esta tarde á las siete se ha dignado S. M. la augusta Por el gasto en el ramo de carpintería Vicenta González. R eina Gobernadora pasar revista a tres batallones de in­ con inclusión de la pintura de los atriles, y 10 libras de cuerda para 780. Un gorro griego bordado de oro y sedas, al Excm…</t>
  </si>
  <si>
    <t>Esta, Joao Francisco Siñeriz. NB.</t>
  </si>
  <si>
    <t>Joao Francisco Siñeriz. NB. Esta</t>
  </si>
  <si>
    <t>…M a d r id ) , por L a buena acogida que el público ha dispensado á esta obra Vales Reales no consolidados , 00. es el mejor elogio que de ella se puede hacer* sus revelaciones Deuda negociable de 5 por 100 á p a p e l, 00. D. Joao Francisco Siñeriz. NB. Esta obra he tal vez a mais ab alizada, d iv e r t id a , e útil acerca de la s e c t a d e l o s c a r b o n a r i o s , sus pintorescas descrip­ Idem sin interés, 6 $ , § , \ y á v. f. ó vol. nueva. ciones de Italia , tan risueña y fecunda en recuerdos , la i n ­ Acc…</t>
  </si>
  <si>
    <t>Esta, José Luis Casaseca.</t>
  </si>
  <si>
    <t>José Luis Casaseca. Esta</t>
  </si>
  <si>
    <t>…el alma de un sa­ do de pureza ; obra escrita en francés por A. Busy, y traducida original. Tiene 17 p. de alto, y 15 p. y 5 1. de ancho: precio cerdote. El grabado está hecho en Paris por Nibault (F.) Tiene al castellano por D. José Luis Casaseca. Esta obra es suma­ antiguo 20 rs., y moderno 14* 14 p- de alto, y 11 p. y 6 1. de ancho: precio antiguo 20 rea­ mente útil á los profesores de farmacia y drogueros, pues tiene por objeto no solo dar á conocer las numerosas falsificaciones Venus y Adonis. . les , y moderno 1 4 *…</t>
  </si>
  <si>
    <t>Esta, Juan Eugenio Hartzembusch.</t>
  </si>
  <si>
    <t>Juan Eugenio Hartzembusch. Esta</t>
  </si>
  <si>
    <t>…erm ino sin haberlo e je c u ta d o , s e d a r á á los auto s lleva por título de d ich a testamentaria el curso que corre sp o n d a , y les p a r a r á p erju ic io , J r REVISTA DE MADRID. L A REDOMA ENCANTADA. Su autor D. Juan Eugenio Hartzembusch. Esta im p o rta n te p u b lic a c ió n , á c u y o crédito y sostenimien­ to h a n co n trib u id o y sig ue n c o n tribu yendo la m a y o r p arte de BIBLIO G RAFIA. nuestros mejores escritores y lite ra to s , sale en cuadernos de 12 CRUZ. Hoy no hay función» plie…</t>
  </si>
  <si>
    <t>Esta, Lalande.</t>
  </si>
  <si>
    <t>Lalande. Esta</t>
  </si>
  <si>
    <t>…as medallas y lazos que teneis Beischo, y ha fondeado á algunas millas de donde se halla la Art. 3.° Por los m inisterios de la G uerra y de la G o­ delante, y que os van á ser colocados eo el pecho , es el distin­ del almirante Lalande. Esta noticiaba llegado á Malta por tivo mas honroso que pueda daros en pago de vuestras hermo­ bernación de la Península se co m un icaran las órdenes el conducto del steamer La H i d r a , expedido por el almirante sas tareas esta sociedad, y que cuando lleguéis á la edad peli­ oportunas p…</t>
  </si>
  <si>
    <t>Esta, Nicolás Casas.</t>
  </si>
  <si>
    <t>Nicolás Casas. Esta</t>
  </si>
  <si>
    <t>…mero y cuidado* compuesta de los Síes. D. Antonio Sandalío de Arias, Don a demostrar que no es posible adq uirir los 63 caballos qüe que necesitan emplear los criadores para sostener y «lle­ José Antonio Ponzoa y el referido D. Nicolás Casas. Esta se necesitan en el dia para cubrir las bajas y reforzar la var adelante una grangería tan poco lucrativa como a r ­ comisiou presentó su dictamen sobre tan importante obje­ caballería de nuestro ejército, au nq u e se requisen los de ios riesgada", mientras no goce de la justa l…</t>
  </si>
  <si>
    <t>Esta, Rusia.</t>
  </si>
  <si>
    <t>Rusia. Esta</t>
  </si>
  <si>
    <t>…cerca de la princesa María de Hesse Darmstadt, destina­ propuestos son, según é l , peores que la enfermedad: nías v a l­ L o r d Palmerston*. Los últimos despachos an u n c ian que da según se dice á ser esposa del gran duque de Rusia. Esta d ría atenerse al bilí de reforma en su origen que no tratar de continúa el bloqueo. Añadiré sin embargo que el Gobierno de princesa nació el 8 de Agosto de 1 8 2 4 , y no tiene por conse­ reformarlo. Casi todas las innovaciones carecen de objeto f y S. M . ha hecho los posibles esfuerzo…</t>
  </si>
  <si>
    <t>Esta, Van-den-Bosch.</t>
  </si>
  <si>
    <t>Van-den-Bosch. Esta</t>
  </si>
  <si>
    <t>…desea en el dis­ dencia de las colonias holandesas por consecuencia de la mar­ dad de 5,51 por 100 en 1855 , y de 7,15 por 100 en 1856: curso preliminar al Real decreto para el arreglo provisional de cha para la India del general Van-den-Bosch. Esta noticia te­ entre los huérfanos de 2,45 por 100 en 1855, y de 5,57 por estudios , debe darse en combinación con otras ciencias, como nia unos visos de verdad que no podia contradecirse; y todos, 100 en 1856: entre los colonos libres y empleados de 1,56 por se hace en la universi…</t>
  </si>
  <si>
    <t>Esta, Yalée.</t>
  </si>
  <si>
    <t>Yalée. Esta</t>
  </si>
  <si>
    <t>…ha Muchos periódicos han anunciado que se trataba por el Go­ sos de los caballeros alumnos, porque nunca pensábamos que tunado voluntariamente las armas, y está resuelto á no dejarlas bierno de nombrar quien sucediese al mariscal Yalée. Esta no­ pudieran adelantar mucho, en razón á los diferentes ramos á que de la mano hasta que la seguridad y la legalidad queden res­ ticia es absolutamente falsa. El mariscal Valée, á quien reco­ se extendía la enseñanza y á la falta de profesores. Tocamos el tablecida?. Nos apresuramos á pa…</t>
  </si>
  <si>
    <t>Estaba</t>
  </si>
  <si>
    <t>…la n a t u ­ cuantos acentos salgan de sus labios. Asi ella como la anterior de artes hemos hablado hoy al público, séanos permitido ma­ raleza, simple y clara en sus medios, pero vigorosa é irresistible son discípulas del Sr. Estaba , y á la últim a acompañó el señor nifestar el sentimiento que nos causa que para aquella brillan­ en sus resultados. Argelich. O tro tanto verificó el Sr. de L am ad rid con la seño­ te sesión no hubiese estado y a en Sevilla el distinguido artis­ E ntre la m u ltitu d de escritos que la f…</t>
  </si>
  <si>
    <t>Estadh</t>
  </si>
  <si>
    <t>…o admitiárrdole á D. Domingo Rüíz dé lérYé'gW la l Asimismo álguaos ejetíapiares con .la de^ litigantes, ' eú tafi^ aprobado poi* S.'M ; (Id.) ^ lete yIpasta fipa. - XiV.^r-'í &gt; ?x^ nr&gt; ■ .. dimisión del .cargo de Secretario de Estadh* y del Despachó ÍL-t-' modificando los déréchós imptléstos sobre él gánado á su de Gracia y Justicia; (Núm; 1486 .) ( 4 y«¿ -v-Lp íh j ¡ n ti introducción en el reino.' (Idi) • [ r. - . admitiendo la dimisiou del cargo de Secretario dé Estádó Real décreto fijando los requisitos que deben exi…</t>
  </si>
  <si>
    <t>ESTADO</t>
  </si>
  <si>
    <t>…de una manera quiso aclimatar en España la píaota extrangera del despotismo píritu público. positiva , y tanto que es público y notorio en toda Europa ilustrado. En el penúltimo párrafo de su memoria dice así: El Sr. Ministro de ESTADO contestando al Sr. Arguelles: que el Gobierno constitucional español ha dado una mi sioa á "Hombres monárquicos, súbditos fieles, defensores escru­ Suplico la indulgencia deí Congreso. Un catarro tenaz dismi­ un personaje español, que creo no habia jurado ni reconocido pulosos de los principi…</t>
  </si>
  <si>
    <t>ESTADO, AN AL</t>
  </si>
  <si>
    <t>AN AL ESTADO</t>
  </si>
  <si>
    <t>…que apoderándose estas de los sucesos de la edad media en quiebra , quedando obligados los que los obtuvieron á la de­ para asunto de sus fábulas, incurrían en un verdadero anacro­ PA R A R EALIZAR LA COBRANZA DE LO QUE A DEU D AN AL ESTADO volución de las rentas percibidas, y al abono de cualquier des­ nismo; porque sus autores no podían de modo alguno trasla­ perfecto que se hubiese causado en las fincas. darse á épocas tan oscuras, ni participar del entusiasmo dé LOS COMPRADORES DE BIENES NACIONALES VENDIDOS Art. 4 °…</t>
  </si>
  <si>
    <t>ESTALP</t>
  </si>
  <si>
    <t>….... 1,000 T R A S LA DA D O DE LUXOR Á F R A N C I A , A n u a l, el Almanaque para la isla.. 20,000 G uia de Forasteros............................... 400 F era cru z 11 de M ayo. ffi H A LE V A N TA D O SOBRE E S T E P E D E S T A L POR M R. L E B A S , I N G E N I E R O , M ovim iento de la población en esta ciudad y sus barrios EN MEOIO DE LOS APLAUSOS Parece sé está disponiendo todo para empezar la deseada extram uros el ario de 1856 • composición de nuestro muelle. El Sr. general de ingenieros DE UN PUEBLO IN…</t>
  </si>
  <si>
    <t>ESTANCADAS, DE RENTAS</t>
  </si>
  <si>
    <t>DE RENTAS ESTANCADAS</t>
  </si>
  <si>
    <t>…s, porque la conveniencia Esta es la palabra que me ha escandalizado. Cuidado, señores, pública lo reclamase, y a lo entiendo; pero yo no alcanzo, oi con la palabra devolución; alguna vez se ha pronunciado aqui DIRECCION GENERAL DE RENTAS ESTANCADAS. he podido alcanzar, por qué motivos la nación ha podido apo­ y ha producido un efecto m uy sensible para nuestro crédito. derarse de esos bienes. Se ha querido decir-que se las daba una , pensión (pidieron la pala bra e l Sr. P erez d e R i v a s co m o d e la co m isió n…</t>
  </si>
  <si>
    <t>ESTAPO</t>
  </si>
  <si>
    <t>…parece que el nuevo código sancionará la abolición completa de estos tormen­ La Cámara de los Diputados empieza á ocuparse de las tos, é introducirá un sistema de castigos que esté en armouía PARTE RECIBIDO EN LA SECRETARIA D E S T A P O cuestiones políticas que interesan á los extrangeros. El D ipu­ con las costumbres y los sentimientos de nuestra época. Dicho tado por el distrito de Bichar ha hecho una proposición pa­ edicto hace también mención del sistema penitenciario que va Y DEL DESPACHO DE LA GUERRA. ra que se…</t>
  </si>
  <si>
    <t>Estas, Agustín Moreto.</t>
  </si>
  <si>
    <t>Agustín Moreto. Estas</t>
  </si>
  <si>
    <t>…s mas escogidos autores, dan­ un mes, asi como antescualquiera se puede declinar y conjugar en necesitaba un año, y la experiencia dos, están también sostenidos con la maestría que acostumbra do principio por las del célebre D. Agustín Moreto. Estas co­ lo demuestra asi en los primeros ensayos el autor de Catalina H ow ard y de Teresa, Sin embargo el medias estaran á cargo, para la dirección y corrección, del se­ toy haciendo en el Instituto de política y que de mi método es­ comercio, nuevamen­ público juzgará , y solo s…</t>
  </si>
  <si>
    <t>Estas, José</t>
  </si>
  <si>
    <t>José Estas</t>
  </si>
  <si>
    <t>…la socie­ mañana de ayer con la columna de su digno mando, la de dibujo natural y lineal: taquigrafía y baile. d ad , el freno de las pasiones, y la única que puede regu­ operaciones de Alava , la del comandante de infantería D. José Estas clases se tendrán de once á una, y podrán asis­ lar los movimientos desordenados del corazón humano. ..lillag Itibe y el regimiento provincial de Soria por el camino de Cas- tir á. ellas alumnos internos y extérnem eos jsien^rgA il£üP3^ en el -co«oeimiento tropa p.e^/&gt; el rio morchando…</t>
  </si>
  <si>
    <t>Este</t>
  </si>
  <si>
    <t>…n administrado Raudales públicos ó tan perfecta y grandiosa , le han tributado los mas justos aplau­ manente. . ■ •• '*■ ; •.. .. _ bieues sécqestrados de resulias de los disturbios de la presente sos. Artistas del mérito del Sr. Este/e y de tanta constancia y Con el mismo fin importantísimo propone la comisión qu| lucha. Í i v 3 K amor al arte, que emprenden y siguen con tesón y llevan á c a ­ se cierre la puerta á las quejas y reclamaciones de particulares A rt. 9.° Si las circunstancias no permitiesen aplicar esta bo con…</t>
  </si>
  <si>
    <t>…de porte, en las provincias. nos de insistir en su dictamen , mientras d o se presentase una Santander, par din. d. La entrega 24? correspondiente al domingo 15 de Setiem­ reclamación formalizada contra la aptitud legal del Sr. Este­ Alicante, $ din. b. Santiago, á 2 id. bre ^ , contiene los artículos siguientes : ban : que si el Sr. González Alonso la presentaba, como en otra Exceso de compasión de una monja, anécdota. ocasión lo hizo el Sr. Benavides con respecto al Sr. Gómez Par­ Barcelona á ps. fs., | á $ id. Sevilla…</t>
  </si>
  <si>
    <t>Este, Allard.</t>
  </si>
  <si>
    <t>Allard. Este</t>
  </si>
  <si>
    <t>…Brest con fecha 3 de A b r il: La G aceta d e D elhi de 23 de Febrero anuncia la muerte bre y Octubre, anunciaba al parecer un frío precoz y r ig u r o - L a corbeta de trasoorte el Adour recibid ay e r muchos m a ­ del general Allard. Este hom bre, c u y a vida ha sido una no­ s° ; y la sucesión no interrumpida de siete años de temple in ­ rinos con destino á Buenos-Aires. Los buques anclados en la v e la , ha sucumbido como Bonaparte, de una afección del h í­ ferior al promedio de las tablas desde 1852 hasta 1858. En act…</t>
  </si>
  <si>
    <t>Este, Antonio</t>
  </si>
  <si>
    <t>Antonio Este</t>
  </si>
  <si>
    <t>…. 28,785 , de Paris. Confio el el cuidado de estos documentos á Mr. Le- elerg, holandés, que queria llevarse consigo. El 17 de solamente con dulzura: «Eso es contrario á todas mis no­ rs. vu. 455, 46O y 9 mrs. , como también á D. Antonio Este­ Abiil de 181 í, Mr. Moret, duque de Bassano, fue nom­ ticias; pero si vos me decís, Sr. de Caulincourt, que lo ban, para que en el término de nueve dias se presenten á pres­ haré yo también por creerlo.” Hé aquí el final del tar sus respectivas declaraciones en la causa que se sigue s…</t>
  </si>
  <si>
    <t>Este, D. Tomás Pacheco.</t>
  </si>
  <si>
    <t>D. Tomás Pacheco. Este</t>
  </si>
  <si>
    <t>…J - Sichel, pasarán i la librería él 67 manzanas. de la viuda de Razóla á recoger las entregas cuarta y quinta Acciones del banco español de S. Fernando, 00. JUZGADO DE MARAVILLAS. de dicha obra. CAMBIOS. Hoy d cargo del Sr. D. Tomás Pacheco. Este juzgado principia en la puerta de Bilbao ó de los Po­ Londres, á 90 dias, 5 8 | á f. C oruña, l f á 2 d. zos, y sube por la calle de Fuencarral , acera de la derecha, calle de la Montira , Puerta del Sol , calle del Arenal, plaza de Oriente, calle d: los Caños, cuesta de los…</t>
  </si>
  <si>
    <t>Este, Dj. Francisco</t>
  </si>
  <si>
    <t>Dj. Francisco Este</t>
  </si>
  <si>
    <t>…ciedad, y seis por favor dé la preceptora. Los ramos de ense­ Al paso que tuvimos un grande sentimiento, cuando nos ñanza son doctrina, lectura, gramática castellana, aritmética, vimos obligados a anunciar la traslación del Sr. Dj. Francisco Este tuvo lugar en los dias 16 y 17, y consta de 4 I alum­ costuras pondieron y bordados, y todas ellas en sus respectivos ramos res­ García Hidalgo á la intendencia de la. provincia de Soria, co­ con bastante perfección; dando muestras de las pla­ nocidas las recomendables prendas…</t>
  </si>
  <si>
    <t>Este, Esquivel.</t>
  </si>
  <si>
    <t>Esquivel. Este</t>
  </si>
  <si>
    <t>…licación debida de ellos. Los E n cuanto á la exposición, puede decirse que la hizo casi toda espera y que empeorará de día en dia ; acordaos que sois espa­ demas ramos del saber encierran casi siu saberlo el gérm éa dé el Sr. Esquivel. Este gran a rtista , cu ya im aginación es tan ñoles, y que la Reina , siempre nuestra M a d r e , está dispuesta los principios de gobierno , y todos m iran la guerra como Su valiente como fecunda , presentó solo él nueve cu ad ro s , á sa - á olviuar extravíos mas propios de las circun…</t>
  </si>
  <si>
    <t>Este, Hoyos.</t>
  </si>
  <si>
    <t>Hoyos. Este</t>
  </si>
  <si>
    <t>…después del citado d ecreto , y en era esperar que pudiese concurrir al ataque geoeral la división go la seguridad en que el berganiin español Ib eria , su su consecuencia concurriendo en ellos los requisitos exi­ del brigadier Hoyos. Este gefe marchaba con ía fuerza de su capitán Sustacha, despachado últimamente en lastre de gidos por el mismo. mando sobre la derecha del camino que seguía el convoy que L o n d re s, y se halla actualm ente en este puerto á la carga iba á introducirse en Lucena , cuidando asi de su segur…</t>
  </si>
  <si>
    <t>Este, James C. Ross.</t>
  </si>
  <si>
    <t>James C. Ross. Este</t>
  </si>
  <si>
    <t>…del fuerte y barca de Ciriza, que han sido poco después destinados á practicar descubrimientos científicos en las la titu ­ Isabel it, lie tenido por conveniente en su Real nom ­ destruidos. des meridionales, al mando del capitán James C. Ross. Este bre admitir la dimisión que ha hecho del cargo de proyecto ha sido concebido por la Real sociedad de ciencias, y Secretario de Estado y del Despacho de Hacienda El capitán general de Galicia en oficio del 2 da parte de las el Gobierno ha cedido para que se lleve á cabo el proyect…</t>
  </si>
  <si>
    <t>Este, Rafael Maroto.</t>
  </si>
  <si>
    <t>Rafael Maroto. Este</t>
  </si>
  <si>
    <t>…l Espartero, duque de la en dicho establecimiento. convenio celebrado entre los generales D. Baldomero Esparterc Victoria y general en gefe de los ejércitos españoles. El Gobierno podrá muy bien decir que se hallan cubiertas y D. Rafael Maroto. Este hecho, para siempre memorable, que (Le Temps.) las plazas, y que por lo tanto no hay cabida ; pero tiene dere­ confunde los cálculos de la fria política de los fanáticos disi­ cho á la pensión que le corresponde. A si, señores , yo me opon­ dentes que esperaban el soñado triunfo…</t>
  </si>
  <si>
    <t>Este, Sebastian.</t>
  </si>
  <si>
    <t>Sebastian. Este</t>
  </si>
  <si>
    <t>…Sr. Ministro de Es­ F rancia, y losufre por amor á la causa de S. M. Falta á la verdad, no ha sido promulgada dod veces, ha tado mi súplica para que se sirva contestar si es cierto ó no Se ha dicho.que se ha dadp pasaporte á D. Sebastian. Este sido tres: dos veces destruida, pero la tercera vez fue procla­ que D. Francisco de Zea Bermudez ha obtenido del Gobierno Príncipe se,ha marchado irritado contra D. Cárlos y contra su mada por la nación. constitucional español una misión cerca de las cortes que no madre, y pesaroso…</t>
  </si>
  <si>
    <t>Este, WelÜngton.</t>
  </si>
  <si>
    <t>WelÜngton. Este</t>
  </si>
  <si>
    <t>…e. de la m arina, lo cual produjo un debate en que tomaron parte 10. El intendente de la provincia respectiva dispondrá que ción es á quien somos deudores de e lla ? La toma de Venloo; el el marques de Lansdovvne y el duque de WelÜngton. Este ú l­ por dependientes de su confianza, y de quienes pueda respon­ bloqueo de Maestricht ; el desarme de las guarniciones holande­ timo ha hablado con energía acerca de lo impolítico que seria d er, se escolten los tabacos que salgan de los almacenes hasta sas en Arlon y eu Boisill…</t>
  </si>
  <si>
    <t>Esteban</t>
  </si>
  <si>
    <t>…rimer punto los del regimiento infantería de A fri­ ción. (Id.) tado á dichos presidiarios tres armas de fuego que llevaban, ca y los de Coraceros de la G uardia Real y regimiento Reina Real decreto separando de sus destinos á D. Esteban A y ala, Ies obligó á marchar con él en dirección á Congosto. Este fora- Gobernadora; á M orella los del de Córdoba, y á Benifasar to­ D. Antonio U lib a rri, D. Cárlos Ortiz de Taranco y D. Isi­ gido no para un solo dia en ningún pueblo, obstruyendo por dos los sargentos y soldados, excepto…</t>
  </si>
  <si>
    <t>…ferido estableci­ de Agosto. clararon haber lu g a r á la formación de c a u s a ” , y asi lo fir­ miento, y de intervenir los pagos de sus viudedades que En seguida el Excmo. Sr. vicepresidente ordenó que el se­ maron doctor D. Esteban M a r ía Ortiz Gallardo.—Isidro Mateos éjecuta el tesoro público; he tenido á bien mandar, con­ c r e t a r io ley e se , como se v e rific ó , el expresado Real decreto de A g u a d o . := Francisco Iíe rn an dez.zzS an tiago Rodriguez. = Sim ón 15 de Marzo y la iustruccion de 12 de A g o…</t>
  </si>
  <si>
    <t>…el estado de barbarie en que estaban temporal, cuyas copiosas lluvias si no hubiese sobrevenido un recio verde, juez de primera instancia de Getafe y su partido, y embarazan los trabajos que han por la escribanía numeraria de D. Esteban M oraleja; aperci­ los indios, al de una civilización mas perfecta; haciendo de facilitar el paso á la artillería gruesa contra el fuerte de bidos que en otro caso les parará entero perjuicio. con dicho régimen felices a unos hombres que, semejantes Guardamino. Sin embargo, se nota movimient…</t>
  </si>
  <si>
    <t>…clase de cesantes co n los d erech os qu e p o r Rey D . Valentín Palacios, el teniente D . M iguel González Se dcaban de recibir todas las actas de la Conferencia dé la ley y Reales órd en es les c o r r e s p o n d a n , á D. Esteban B rav o, y el subteniente D . Francisco Bovadilla de cazadores Londres. En ninguna de las notas que forman los adjunto# sé A y a la , con tad or general de la renta de C o r r e o s ; D. A n to­ de E cija; los bizarros sargentos de caballería del 5.° ligero, el trata, como algunos periódic…</t>
  </si>
  <si>
    <t>…an el dias al palacio de Randans en A uv ern ia , donde deberá espe­ biendo sido elegido Diputado en el mismo en el escrutinio g e ­ principe Luis Napoleón y su amigo el vizconde de Persigny. neral para la segunda elección el Sr. Esteban , comisario orde­ rarla madama Adelaida , la Princesa Clementina y los P rín ­ Cerca del castillo y pegado á uno de sus cuerpos avanzados cipes que irán allá en todo el mes corriente. A fines del mes nador honorario, y existiendo un labrador del mismo nombre se ha construido un gran pabel…</t>
  </si>
  <si>
    <t>…alabra , es una especie alarm an te, altamente reac­ decir que el Gobierno no se halla en este momento en disposi­ viendo engranerar el trigo de svis tierras , y ellas precisadas á cionaria, permítaseme esta expresión. ( E l Sr. Esteban p id e la ción de contestar: cuando llegue el caso contestará satisfacto­ mendigar el p a n ; vender el aceite de su cosecha, y ellas sin po­ palabra p a r a d e s h a c e r una equivocación.) El Sr. Esteban no riamente á lo que los Sres. Diputados tengan á bien p re g u n ­ der sostener s…</t>
  </si>
  <si>
    <t>…o c-stú Pasó á la comisión de A c ta s. tad de los electores de! distrito de C e r v e r a , sus votos no deben conforme c oa la C onstitución ni la ley elector:;!: ha dicho A la mism a pasó un oficio de i g u a l clase del Sr. Esteban, a n u l a r s e ; tanto m a s , cuanto que si no se h u b ie ra excluido íil que cuando no h a y reclamaciones en d acta basta e*ta c ir c u n s­ p or Toledo , en que solicitaba su e n tra d a en el Congreso como com isionado de ese d istrito , la m a y o ría de 17 h u b ie ra p revale­ ta…</t>
  </si>
  <si>
    <t>…cqn- estaba el punto suficientemente d iscutido, y se declaró que lo tiv ar esos terrenos, y atender por otra parte al sosten de su f a ­ cluyendo con manifestar que carece de la estadística de que el estaba. milia , dice : Sr. Esteban habló. Se dio cuenta del nombramiento de varias comisiones. Hay en España algunas provincias qué tienen tierras de Rectificados algunos hechos por los Sres. E stéban, Alvfiro Se leyó y quedó sobre la mesa un proyecto de ley presen­ propios en gran cantidad que se reparten en süertes: estas…</t>
  </si>
  <si>
    <t>…á 100 hombres, la mayor parte de caballería, que le debe su organización y su brillante disciplina. desde Chelva se dirigía á la Mancha cruzando esta provincia, 78. Doña M aría Dolores Castañares de O rio , viuda , hace El Sr. Esteban ha merecido las bendiciones tanto de sus su­ y confirmado de oficio el movimiento ; el Sr. comandante de presente ha perdido sus hijos en defensa de la justa causa, y bordinados como de los pueblos que han estado á su cargo. El armas , encargado de la comandancia general de la misma , en­ ad…</t>
  </si>
  <si>
    <t>…de los hechos, que ha deser­ una persona que co conocía, aunque muy respetable para mí, ce como capitán general, lo dice en un documento gubernati­ vir para mirar la cuestión desde su verdadero punto de vista. me refiero al Sr. Esteban, luego no podrá decirse que hay aqui vo , circunstancia que no debemos olvidar. No lo dice como Al oficiarse á D. Francisco de Paula Alvarez su nombra­ parcialidad, sino que ruis principios son esos, principios que juez, no lo dice valiéndose del dictámen de su auditor, cir­ miento de D ip…</t>
  </si>
  <si>
    <t>…de ninguna manera podía ser ofen­ dido menos de reproducir su dictámen proponiendo la a d m i­ El método que se observa en la colección que publica la siva la excitación que se hiciese al Gobierno , porque sabido es sión del Sr. Esteban , porque todos los motivos que presentó el Imprenta Nacional hace 25 años es el s ig u ie n te : orden de fe­ lo recargadas que están las Secretarías del despacho de ne­ Sr. González A lonso, dado caso de que fueran ciertos, no obs­ chas ; y ea una misma el de m in isterios, eo esta forma :…</t>
  </si>
  <si>
    <t>…ESO DE D IPUTAD O S. i fam ilia son servicios de ínteres, y que están excitados también provincias Yascongadas y N avarra. El Congreso quedó en­ | por ei Ínteres mutuo? terado. PRESIDENCIA DEL SEÑOR C A L A T R A V A . I El Sr. Esteban ha presentado para el cultivo la dificultad Se acordó que se avisaría al Gobierno para que contestase ¡ de ser el terreno montuoso : en el condado de Niebla , en el co­ á una interpelación que le anunciaron los Sres. Gutiérrez C e - Sesión d el dia 22 d e O ctubre. razón de Sierra Morena ,…</t>
  </si>
  <si>
    <t>Esteban, Antonio</t>
  </si>
  <si>
    <t>Antonio Esteban</t>
  </si>
  <si>
    <t>…a? ¿hará menos por una nación cisco Ortiz y Flores, Sr. marques de Cerralbo, D. Antonio risdicción Real ordinaria. Por D. J u a n M artin Carrarnolioo. am iga y vecina á que se halla ligada por los vínculos mas Conde González, D. Antonio Esteban, D. A gustín Seco, Don Cornp¡ende la sustanciacion de todas las instancias y demas re­ santos y los mas solemnes tratados, y sobre todo cuando la Rafael del Rio y D. J u a n U trilla , quienes declararon no cursos ordinarios y extraordinarios de que conocen las au d ie n ­ inerte de…</t>
  </si>
  <si>
    <t>Esteban, Epifanio</t>
  </si>
  <si>
    <t>Epifanio Esteban</t>
  </si>
  <si>
    <t>…o han prosperado, ó comisión de A c ta s ; relativo el primero á la identidad de la cuestión para la discusión de los presupuestos, y si a11i volv ie­ han sido exterminadas. Bien puede leerlo el Sr. O choa, y ¿e s persona de D. Epifanio Esteban , electo Diputado por la pro­ se en efecto á tocarse, el Gobierno contestará como la pruden­ cierto que h ayan prosperado en la generalidad de las provincias? vincia de Toledo, y otro sobre las elecciones de C á d iz , en que cia y la naturaleza del asunto lo permita. El Sr. O C H…</t>
  </si>
  <si>
    <t>…a formar idea de las Alvaro Gómez B ecerra, que ha sido nombrado Sen ado r; y el proponer al Congreso la nulidad de estas elecciones. elecciones no examinar uno á uno todos los puntos que tuviesen otro que se adm ita también á D. Epifanio Esteban, Diputado La parte de coacción de que me falta que t r a t a r , es la de en contra , sino considerarlos todos juntos para decidir la con­ por la provincia de Toledo, por no estimarse justa la reclama­ la autoridad civil y gub ernativ a; y antes de hablar de e lla , lo secuencia fo…</t>
  </si>
  <si>
    <t>Esteban, Pedro</t>
  </si>
  <si>
    <t>Pedro Esteban</t>
  </si>
  <si>
    <t>…sta sepa­ una vez fueron muralla de las balas rebeldes , mojados de sus lagon , que murió después, y era el regulador y director de las ración otra causa que la verdadera. Desgraciadamente no se lágrimas, asi como los ojos de D. Pedro Esteban. operaciones fratricidas de la M an ch a, es el resultado de la ex­ efectuó la separación proyectada; en Diciembre último hicie­ Este pequeño recuerdo que se tributa al que fue comandante pedición, según lo que ya se sabe. ron testamento uno y otro. El miércoles en la tarde se quedó d…</t>
  </si>
  <si>
    <t>Esteban, Ramón</t>
  </si>
  <si>
    <t>Ramón Esteban</t>
  </si>
  <si>
    <t>…extensión los méritos de su habían llevado preso , con objeto ai parecer de fusilarlo, al pa­ velarla algún dia con las naciones mas favorecidas del globo. esclarecido individuo. Las demas corporaciones á que pertene­ triota D. Ramón Esteban M e n g o t, cura párroco del pueblo de La botánica fue entre tod¿rs las ciénciáí U que iUmó con cía el difunto se esmerarán en tributarle iguales honores. Pero j G á to v a , destacó anteayer al subteniente de partida franca Don p articularidad la atención de nuestro sa b io , y en…</t>
  </si>
  <si>
    <t>Estebau</t>
  </si>
  <si>
    <t>…a P e ñ a , com andante de arm as de esta c iu d ad de S a n ­ blos para cuando vuelva la facción. g e n e ra l; ignoráis que he pedido tres veces al M o n aica por con­ t i a g o , con asistencia del asesor de la com andancia D. Estebau H o y salen de aqu i para esa tres facciosos que hace dos dias ducto de respetables personas que están á mi lado la separación de M e n d o z a, y en el que se hallaron de jueces los que se expre­ se presentaron en Buñol. de un mando que no p reten d í, pero que una vez adm itido no san en l…</t>
  </si>
  <si>
    <t>Estella</t>
  </si>
  <si>
    <t>…ares. Dios guarde la 4»° La diferencia de mayor número que resulte por una y R. P. de V. M. dilatados años para bien de sus vasallos. C uar­ otra parte será cangeada tan pronto como la otra lo proponga, ANUNCIOS. tel general de Estella 20 de Febrero de í839 .= S eño r.-A L. R. por tenerlos ya en su poder , y en ningún caso se podrá ne­ P. de Y. M .=Su vasallo y general, Rafael Maroto.z=Es copia. gar ninguna de ellos á verificarlo. Liceo artístico y literario . 5 ° Desde la fecha de este convenio cuantos se pasea á una N…</t>
  </si>
  <si>
    <t>…salud. de V .NM.:=:Mariano de Briones. nios de la general a le g r ía , viendo afirm ada la p az, por la que todos suspiraban. Dios guarde á Y . E. muchos años. C uartel EXPOSICIONES A S. M. LA REINA GOBERNADORA.’ general de Estella 22 de Setiembre de 1839.=:Excmo. Sr.rrE l Excmo. S r .: L as faustas noticias de los memorables aconte­ duque de la V icto ria. = Excmo. Sr. Secretario de Estado y del cim ientos del N orte han llenado de jú b ilo á los empleados de Despacho de la G uerra. S eñ o ra: L a consoladora voz d…</t>
  </si>
  <si>
    <t>ESTEVAN</t>
  </si>
  <si>
    <t>…ados dió el Sr. L u j a n ; aun cuando fuera perando que esta no fuese in grata y desagradecida. de Labiana , el comisionado del mismo confesó varios de los cierto que existieran tantos millones de fincas y tierras perte­ El Sr. E S T E V A N : Laudable es el objeto que se proponen actos celebrados a lli, siendo el primero el que los electores to­necientes á baldíos, realengos y propios como dijo S. S . , es ne­ los autores del proyecto que se discute , y laudable también el maban la papeleta de la mesa , y pasaban á escrib…</t>
  </si>
  <si>
    <t>Estevan, Manuel</t>
  </si>
  <si>
    <t>Manuel Estevan</t>
  </si>
  <si>
    <t>…udadanos que se unen con tal pro­ en dar cuenta á Y. S. de los que presentó el establecimiento de posito y lo siguen con perseverancia á pesar de los influjos del obra exclusiva de los preceptistas! asi cómo cree que precisa­ D. Manuel Estevan, en los dias 8 y 9 del corriente, porque Interes privado y otras inevitables contradicciones ! mente se debe al quebrantamiento de esas reglas los mas escogi­ recuerda con gusto el bello cuadro de una niñez interesante por Llegada la hora de regresar se reembarcó la comitiva, tras­ di…</t>
  </si>
  <si>
    <t>Esteve</t>
  </si>
  <si>
    <t>…l ha sido el Real decréto expedido por V . M . con fecha P roy ecto d e ley . admirable dibujo de magnitud no común. 1 8 de! corrien te, por el cual se ha servido mandar que cesen Pero no bastaba este triunfo á la ambición del Sr Esteve: ne­ todos los secuestros y embargos de bienes por motivos políticos, A rt. í . ° Se concede amnistía general y completa por los cesitaba publicarlo por el mundo multiplicando la felicísima co- en l a s provincias que se hayan sometido ai convenio de Y e r - delitos políticos cometidos durant…</t>
  </si>
  <si>
    <t>…no queremos que el público opinión de un periódico tan acreditado acer­ y los buenos principios que rigen acerca de establecimientos pe­ Gordales, el cual , según los prácticos, ha profundizado cerca ca de la última obra del Sr. Esteve, ni dejar de tributar este nitenciarios. Se había solicitado en vano de los pasados a y u n ­ de cuatro palmos mas en su canalizo, y siete inmediato á la débil homenaje á tan distinguido artista.</t>
  </si>
  <si>
    <t>…mo una no vedad en grabado la estampa la corrección del estilo, la d elicad eza de la expresión y de Moisés tocando una roca con su va ra , hecho de un cua­ En el Constitucional se lee lo sigu ien te: dro de M unllo por el Sr. Esteve, artista español. La fidelidad el conocimiento profundo y filosófico de las pasiones. No En un discurso que M r. R oyer-Collard ha dirigido á los con que se conservan en la estampa los toques del pintor y el h ay en los dos poemas de Hom ero un pasaje com parable electores de Y it r y , ata…</t>
  </si>
  <si>
    <t>Esteve, Rafael</t>
  </si>
  <si>
    <t>Rafael Esteve</t>
  </si>
  <si>
    <t>…o á socorrer á Vich que se ha­ Cuadro pintado con mucha inteligencia porBarbieri (F.), y Establecidas estas condiciones, se eligieron diferentes géne­ llaba amenazada por las facciones acaudilladas por el ex-conde grabado por D. Rafael Esteve, grabador de Cámara de S. M ., ros de trabajo , v se decidieron de preferencia los hilados de lana de España , las que no esperaron á nuestros valientes. Dicho cou franqueza y ternura. Tiene 14 p« 5 I. de alto, y 18 p. 2 1. y la fabricación de medías . por los motivos de que esta nece­…</t>
  </si>
  <si>
    <t>Estos</t>
  </si>
  <si>
    <t>…qut con el Rey y la Real familia se notaban los Ministros; lo cia de Marsella. ja m á s recobrarán. mariscales ; el canciller de Francia , Presidente de la Cámara (£ Alejandría 16 de Julio.zzEl cónsul general al Presidente del Estos hombres ambiciosos, que el Monarca se ha apresura­ los Pares; el Presidente de la de Diputados; los primeros pre­ Consejo.—La escuadra turca llegó aqui el 14 al mando del capi­ do á alejar de su lado apenas los conoció, han enviado uno d( sidentes del tribunal da Casación , del de Cuentas y d…</t>
  </si>
  <si>
    <t>Estos, Rafael Maroto.</t>
  </si>
  <si>
    <t>Rafael Maroto. Estos</t>
  </si>
  <si>
    <t>…necesidad di das entre el general D. Baldomero Espartero , duque de la Vic­ V. M.^:Antonio Rafael de Oviedo y Portal, presidente.—Juan esta nación desgraciada. El convenio celebrado en Vergara poi toria, y el teniente general D. Rafael Maroto. Estos, Señora, José Llamas.^Mariano Rafael Lopez.^Mariano Montañés.—Es­ el ilustre duque de la Victoria nos la promete ya segura y hon­ como españoles, han dado un ejemplo de virtudes sociales y teban Morer.—Rarnon Lafuente.—losé de Landaburu.rrManuel rosa, y con ella y en muy cercana…</t>
  </si>
  <si>
    <t>Estos, Simons.</t>
  </si>
  <si>
    <t>Simons. Estos</t>
  </si>
  <si>
    <t>…tropa y marine­ minada contra la población de Beck si tenia la audacia de dar seis meses, de haber sido consejeros de la Corona; á todos los ría de ambas armas. Todo lo que participo á Y . E. para su su­ una serenata al Diputado Simons. Estos actos despóticos no ha­ capitanes generales de ejército y arm ada; á los metropolitanos; perior conocimiento. á todos los que hubiesen sido ministros plenipotenciarios en el cen mas que excitar el entusiasmo de los limburgueses. extrangero, en Y ien a, Londres y Paris por espacio de…</t>
  </si>
  <si>
    <t>Estrada</t>
  </si>
  <si>
    <t>…proposición, me llegaría mi turno de hablar. Pero discutir antes ó después la enmienda, veo que hay una distan­ da á los autores de una proposición, sobre la que no ha recaído señores, nada valen mis buenos deseos, ni los del Sr. Estrada* cia inmensa, y á los iodividuos que hemos tenido la desgracia dictámen de cornision, las mismas facultades que á los indivi­ ni los de nadie cuando á ellos se oponen naturalmente las cosas! de pertenecer á la comisión, no nos queda otro recurso que ex­ duos de esta , y que por consiguiente…</t>
  </si>
  <si>
    <t>…sección. Presidente el Sr. Z u m a la c a rre g u i: V icepresi­ d irig id o hoy S. E. sobre L ecum berri; y con el fin de que estas tido vivamente la determinación de las Potencias. dente el Sr. Fuente Herrero: Secretario el Sr. Estrada : V ic e ­ o peraciones y las sucesivas produzcan todo el efecto que se de­ secretario el Sr. Temprado. sea, ha determinado que el general D. Ramón Castañeda ven­ 7.a sección. Presidente el Sr. Sancho: Vicesecretario el se­ ga á Vitoria , á cuya plaza ha llegado esta tarde ; y que reunien­ U…</t>
  </si>
  <si>
    <t>…leyes ea todo su vigor. al discurso de la C oron a , y la segunda del Sr. O sea, acogida los sentimientos que mas contribuyen á la felicidad del hom­ S S. -cotrtíusía haciendo varias observaciones y expoae la después por el Sr. Estrada , pidiendo coa el mismo objeto que b r e : el amor á la religión y á las instituciones que nos rigen. rrecesniad de concluir cuanto antes una cuestión que es la mas las sesiones se celebrasen ó horas diferentes de las que tiene el ¿d*pm*ui¿te que hasta ahora se ha presentado en España. Senad…</t>
  </si>
  <si>
    <t>Estrada, Alvaro Florez</t>
  </si>
  <si>
    <t>Alvaro Florez Estrada</t>
  </si>
  <si>
    <t>…la luz pública, de acuerdo con uno de turbarse un acto tan solemne. (Ndrn. 1662.) honor. nuestros sabios de mas subida reputación , que también es eu­ del mismo ministerio encargando á los gefes políticos el ropea, el señor D. Alvaro Florez Estrada, no ha querido dejar, exacto cumplimiento, y vigilen sobre el puntual cumplimien­ por mas respetable y elevada que sea la celebridad del au tor, B IB L IO G R A FIA . de am pliar, aclarar y aua contradecir lo que ha juzgado con­ to de las leyes de imprenta. (Niím. I 664.) ve…</t>
  </si>
  <si>
    <t>Estrada, José</t>
  </si>
  <si>
    <t>José Estrada</t>
  </si>
  <si>
    <t>…te ra d a de las ex posiciones.O-iie^ m e Jhain di rígido; ía, rantazgo, ha tenido áJbien. eonceder la cruz de distineioiT de la ju n ta de C oniercio yv la ;socie&lt;^ad.?económ ica de A migos, ; ni^ripfa^a.1 capitán de, fragata D. José Estrada , comapd.ante .del d el P ais dq l^aUorcst,.- U]anjíestarció los;;:perjuÍQ Ío¿que o ri­ • b^rga^itin htéroe ^el ascenso de feniente de navio de lá artqáda Junta de liquidación de la deuda del Estado . g in a a, la a g ric u ltu ra y al com ercjo . d e j a s Ishis, R aleares J nacional…</t>
  </si>
  <si>
    <t>Estrada, José Finat y D. Pedro</t>
  </si>
  <si>
    <t>José Finat y D. Pedro Estrada</t>
  </si>
  <si>
    <t>…eneral de Caminos los gastos de Manuel Labraña , D. Francisco de las Casas, D. Cleto E g u i- mados por dos jueces criminales á declarar si se consideraban trasporte, saber los puntos en que se establecen las en­ zabal, midad D. José Finat y D. Pedro Estrada, quienes por unani­ aun como declararon no haber lugar á la formación de causa, y diputados, y que se negaron á responder acerca de fermerías, V convenir también la conducción de enfermos el Sr. presidente publicó la votación. este puoto. El doctor Cristiani fue á ver…</t>
  </si>
  <si>
    <t>Estu</t>
  </si>
  <si>
    <t>…uría general en algunos países extrangeros, y que tanto se desea. Pablo Montesino que se copia á continuación; pero antes del Ministerio-entregase 35 ¡rs. mensuales desde el dia en En tal estado manifestó lá dirección general de Estu­ 110 parecerá inoportuno hacer una reseña de los diferen­ que estuviese abierto el establecimiento. dios que la pagaduría general del Ministerio habia hecho tes tramites que ha llevado este negocio, desde que se Entre tanto se publicó la nueva ley de Instrucción pri­ presente la imposibilidad…</t>
  </si>
  <si>
    <t>…trabajos de la empresa. Ademas nuel M ariño, los cuales asesinaron el dia antes á un paisano de Estudios. de esto , y no siendo el de menos momento la escasez de brazos portugués. Ar:. 2.° Se form ará en la dirección general de Estu que existe eu el presidio de Saulúcar de Barrameda por los m u­ Que también fue cogido por las mismas tropas un portu­ dios una seccioic q u e entienda -en*, dicha, enseñanza^ en los chos inútiles que hay entre los confinados y las bajas ocurridas gués compañero de Guillade. m ism os térm inos…</t>
  </si>
  <si>
    <t>Estudios</t>
  </si>
  <si>
    <t>…r 100 la pérdida de sus en fe rm o s, es una prueba con­ señanza de estas facu ltades y cuan to tiene relación con ellas las doce en p unto del medio d i a , y en su secretaría se h a ll a r á á c argo de la dirección general de Estudios. (N ú m . 1 6 2 4 0 de manifiesto el p liego de condiciones aprobado por S. M . con vincente de los interesantes .servicios que presta á la p atria el Real decreto para que desde í . ° de Enero del presente año se este objeto. cuerpo de sanidad m i l it a r en su a ctu al o rg an izac ió…</t>
  </si>
  <si>
    <t>…enerse aqui en probar la utilidad de esta Al propio tiempo y con la misma fecha se dijo á la de que ayuden con toda eficacia á la realización de urt nueva institución: su objeto, y las ventajas que ha de re­ dirección general de Estudios que en atención á que las pensamiento del que depende que la instrucción primaria portar á nuestra patria, están sabiamente expuestos en el pensiones de los alumnos no bastarían acaso para todos los llegue en España al grado de perfección que se adviene discurso pronunciado por el directo…</t>
  </si>
  <si>
    <t>n o n es. Ni toda la 'autoridad é influencia , ni todos los res- se alejó de aquella pobre criatura, cuya locura entristecía á su mado en arroyo por Calatea; aun ?e ven sus olas agitadas por pelos &lt;!&lt;? la dilección general de Estudios, tan celosa en alm a, y huyendo de Africa por miedo á la peste, torrió de un estremecimiento de am or; y las lavanderas sicilianas, c u y a esia m ateria, Lan podido atajar este desorden; y si no que nuevo en un navio las olas del Mediterráneo , y desembarcó en hermosura puede rivalizar co…</t>
  </si>
  <si>
    <t>…ga, juez * de primera instancia de e&gt;ta capital, se ha declarado sin ífecto el remate celebrado en 51 de Octubre último de la mitad TEA TRO S. le una casa situada en esta corte y su calle ancha de S. Ber­ Dirección general de Estudios. nardo, señalada con el núm. 5 antiguo, y 4I nuevo, de la PRINCIPE. A las siete de la noche. Después de una bri manz. 499, que se compone toda ella de 5810 pies cuadrados liante sinfonía, se ejecutará la 18.a representación de la come­ Los sugetos que á consecuencia del anuncio inserto en…</t>
  </si>
  <si>
    <t>…obtiene la fiscalía de V a- S. M. la R ein a ., su augusta Madre la R ein a G obern a­ so de los negocios la circunstancia de haberse subrogado lladolid: para esta resulta á D. Mariano Rodríguez Elgucra, la dirección general de Estudios al director del conserva­ que reúne los requisitos prevenidos en la circular de 29 de D i­ ciembre último: para la plaza de ministro de la audiencia de dora y la Serma. Sra. Infátita Doña María Luisa Fernan­ torio en los asuntos relativos á las enseñanzas y sus de­ Cáceres, vacante por tra…</t>
  </si>
  <si>
    <t>…cum plidos, con veciodad ó residencia fija en esta corte, en el F uga del mariscal de campo D. Santos Ladrón de V a l l a - zuela solicitaba un empleo, todo lo cual era de cargo del Go­ término que señale la dirección general de Estudios. dolid. bierno, extrañaba que la comisión fuese de dictámen en este Lo que trascribo á V. S. con acuerdo de la dirección para Manifiesto de la Pieina Gobernadora á la nación. que pasaje la instancia al Gobierno, y en aquel que no hubie­ su inteligencia y cum p lim iento ; advirtiéndole al p…</t>
  </si>
  <si>
    <t>…provideucia gía, de Farmacia y facultad Veterinaria; de la Imprenta gados,1ségun el indicado art. 12 del decr^tp de 9 de, No­ dictada fpor'm í con acuerdo’ def asesor de dicho juzgado én los nacional; de la dirección general de Estudios; de la B i­ viembre de 1820, se solventarán en los mismos plazos de expedientes que contra cada uno dé ellos se está siguiendo p e r; blioteca nacional; de las academias de Nobles Artes, de la los G0 y 120 dias; y si no lo verificasen, los frutos y ren­ la misma escribanía ; apercibidos q…</t>
  </si>
  <si>
    <t>…ió n de las ju n ta s superiores gubernativas de m edicina y orden de 8 del actual que V. E. ha tenido á bien comunicar­ rey ; quedando en nuestro poder un caballo, dos yeguas y u u cirugía y de farmacia á la dirección general de Estudios; me, mandándome por ella S. M. que descendiendo á examinar sable. oido el dictam en de esta, como asimismo el de una com i­ minuciosamente la? causas que entorpecen los trabajos del ca­ Que el comandante de la derecha del Miño emprendió el 18 sión m ixta que tuve a bien n o m b ra r al efec…</t>
  </si>
  <si>
    <t>…BARBIERE D I SIVIGLIA. Rectorado de la universidad literaria de Madrid. causa criminal que se sigue en dicho juzgado sobre falsificación de una lámina de deuda sin ioteres contra el Estado , número Por la dirección general de Estudios se ha comunicado á 106,593, de rs. vn. 18,999 4 i*rs.; apercibidos que de no veri­ esta universidad literaria ia orden circular que dice asi: ficarlo les parará el perjuicio que haya lugar. * ,</t>
  </si>
  <si>
    <t>…tud en que se vive, es la mala educación y la Í£ de 1839.—Hompancra de Cos.=Sr. presidente de la direc­ Bajo este aspecto se ha mirado en todas partes este ne noraneia del pueblo; convencidas de que solo una buen ción general de Estudios. gocio, y se ha confiado á hombres benéficos y decididos educación moral, religiosa, intelectual é industrial, put por la causa de la hum anidad el sublime encargo de pro de disminuir los males (pie afligen a la sociedad actual , REGLAMENTO PROVISIONAL curar los adelantamientos de la raz…</t>
  </si>
  <si>
    <t>…a designada por esta, concurrirá precisamen­ providencias emanadas del Gobierno de S. M. y de la di­ Art. 2G. Consultaran con la misma dirección las dudas te al examen mensual que deben hacer los maestros con rección general de Estudios. que Ies ocurran en el desempeño de sus funciones, man­ Art. 3.° El ge te político, ó quien haga sus veces en la teniendo con esta corporación una correspondencia en to­ arreglo cuelas, á lo dispuesto en el art. 31 del reglamento de es­ observando ó examinando por sí los adelantamien­ p…</t>
  </si>
  <si>
    <t>Estudios, Je</t>
  </si>
  <si>
    <t>Je Estudios</t>
  </si>
  <si>
    <t>…e 21 de Marzo, lo ejecuten inmediatamente quería S. M. que aquella cantidad se deposite en la direc­ truidos, establezcan los buenos métodos en las provincias. y antes del 1.° de Noviembre, debiendo en el caso de no ción general Je Estudios, la cual hara los pagos de las 3.° Los alumnos vivirán en el edificio de la escuela, y hacerlo, manifestar los motivos que se lo im piden, y cui­ mensualidades en sus respectivas épocas, con todos los de­ observarán el reglamento que se forme. dando el gefe político de que asi se verif…</t>
  </si>
  <si>
    <t>Estéban</t>
  </si>
  <si>
    <t>…cia. Otra i d . , sierra de G ador, M onterilla, término de Bena- sano juicio disgustan sobéranaménte. Decíamos qué en nuésíro 4*° La del Sr. P irad o r, Diputado por Gerona. dux , el Tigre (alias Consolación de U trera), por D. Estéban teatro del siglo xviit, y cuando en el-se distinguían/áuh Tas 5.° La del Sr. Matheu , cuarto suplente por Barcelona. Jiménez , en 7. brillantes aureolas de Lope de Vega y -M o reto toleraron 6 .° Reproduciendo el dictámen dado sobre las actas de N a ­ Otra id., barranco Pinalbo, término de…</t>
  </si>
  <si>
    <t>…l juez es al mismo El Sr. M EN D E Z V IG O : Pues, señores, yo repito lo que que se han falsificado varios documentos de la deuda del Esta­ tiempo parte y hasta v erd ug o ; y el carcelero que lo g u a r d a , ha dicho el Sr. Estéban, que es la in hu m anid ad de las in h u ­ do. Sobre esto quisiera hacer la interpelación: mis preguntas cabo que fue de realistas y procesado por delitos in fam es, su manidades dejar en este abandono a las religiosas, y digo mas, serán poquísimas, porque creo que se habrán tomado sobre…</t>
  </si>
  <si>
    <t>…e la riqueza que poseen los pueblos con el nombre de bie­ económico-políticos, hice presente en la comisión el deseo del nes de propios. , Gobierno de hacer ejecutivas las promesas , aunque propuse Dada esta contestación al Sr. Estéban, crecerá su ad m ira ­ otros medios; porque nos encontramos como el padre de f a m i­ TEATROS. ción y asombro en su opinión al ver que el ministerio se halla lia , en c u y a casa ha ocurrido una grau calamidad que ha con­ conforme con el proyecto de ley : fuerza es pues que el m in is­ su…</t>
  </si>
  <si>
    <t>…n el cuartel de que mejor conciba , que deberá formar parte de esta ley. aptitud legal, y por lo mismo propone su admisión; sin em ­ inválidos, y son los dos reales que se les dan, ó que se les darán Por un Sr. D iputado, el Sr. Estéban , se preguntó al Go­ bargo si algún Sr. Diputado la hace no tiene inconveniente en cuando se pueda, porque tampoco es«stosino para cuando haya bierno qué datos estadísticos tenia reunidos para poder asegu­ tomarla en consideración. paz. ¿ Y sabe el Sr. Benavides lo que importan los dos rea…</t>
  </si>
  <si>
    <t>…el feliz desenlace de la sesión del 7 de pectivos cargos los Sres. Carramoiino , Secretario de Instado y dei para que se calcule esa ganancia. Octubre. D e sp a c h o de la Gobernación de la Península , y Primo de R i ­ El Sr. Estéban nos ha presentado la idea de un cúralo todo, El Sr. P R E SID E N T E anunció que mañana después del vera, de M a r i n a , Comercio y Gobernación de Ultramar, nom­ y yo no le agradezco esa medicina general con que concluyó su despacho ordinario se abrirá la discusión sobre ei proyecto de…</t>
  </si>
  <si>
    <t>ETado</t>
  </si>
  <si>
    <t>…a. El ayuntamiento constitucional, pues, para dar una prueba ctEn la insurrección de ayer el pueblo tomó por asalto él inequívoca del placer que experimenta esta capital por tan arsenal y la casa de ayuntamiento. Un consejero de ETado ha Señora j H oy, que el genio consolador de la paz nos hace grandiosos hechos, ha dispuesto diversos festejos públicos que sido muerto por un soldado en el acto de querer arengar al ya sentir su benéfico influjo: hoy, que empiezan á agotarse loa se están verificando con el mayor órdeo; y apr…</t>
  </si>
  <si>
    <t>ETEATROS</t>
  </si>
  <si>
    <t>…pción del edificio ) el lujo lándose otra para el invierno. muu " • — ..., „ . ............... sin igual de aquellas salas, y_el haber visto museos de es­ tátuas en otras capitales. L a impresión en la segunda y CRO N IC A D E T E A T R O S . tercera visita fue diferente, hallando que aquella riqueza L a G lyptoteca de Munich. de adorno daba realce á los objetos alii exhibidos ; d e Principe . El sábado 26 se estrenó en este coliseo la come­ modo que en el prim er dia éramos de la opinión de los dia de magia titulada…</t>
  </si>
  <si>
    <t>…y las cartas, fr a n ­ Otra id ., id , i d . , Sr. de Misericordia, por D . Nicolás, Alanza 110, en 4 . EL ENTREACTO. cas de porte. B.a*sa nueva » término del Presidio, S. Patricio, por D. Bonifacio Amoraga , en 5. PERIODICO D E T E A T R O S , L I T E R A T U R A Y ARTES- Otra id., Guijarrales, término del Presidio, la Leona ó L u c ia , por Pedro Cabrera, en 4* TEATROS. Sale jueves y domingos á las ocho de la mañana en elegan- Otra i d . , loma del V ica rio , término de i d . , Potrillas, por tísimo papel y esmerada…</t>
  </si>
  <si>
    <t>…ENTREACTO. Títulos al portador del 4 por 100, 00. subasta las conducciones de efectos estancados , bajo las reglas Vales Reales no consolidados, 00. que prescriben, se ha de celebrar el dia i.° de M ayo próximo PE R IO D IC O D E T E A T R O S , L IT E R A T U R A Y ARTES. Deuda negociable de 5 por 100 á p a p e l, 00. y hora de las once á las doce de su mañana, en los estrados de Idem sin interés, nuevas: 5 quince dieziseisavos al con­ esta intendencia, y en un solo remate, la de las conducciones Sale jueves y domingos…</t>
  </si>
  <si>
    <t>…vol. y ra anunciarlo al público, si las mismas no lo rehúsan. Madrid firme: 2 1 , £ y 2 1 | á v. f. ó vol. y prima de \ por 100 con 15 de Abril de 1859. z= El administrador del establecimiento, los 5 cupones vencidos. PERIODICO D E T E A T R O S, L IT E R A T U R A Y A R TES. Antonio de Galvez Padilla. Inscripciones en el gran libro á 4 Por 1 0 0 , 00. Títulos al portador del 4 p°r 1 0 0 , 00. Sale jueves y domingos en elegantísimo papel y esmerada Vales Reales 110 consolidados, 00. impresión. El total de la publicación co…</t>
  </si>
  <si>
    <t>…rle de allí con todas sus fuer­ precio antiguo 2 4 rs., y moderno 18. zas. Grabó este cuadro en Paris Mr. Viel (P.)con bastante fran­ Santa Rosa de Lima. queza é inteligencia del claro oscuro. Tiene 16 p. y 6 I. de PERIODICO D E T E A T R O S , L IT E R A T U R A Y A RTE S. alto, y 14 p. 9 1. de ancho :&gt; precio antiguo 50 rs., moder­ El tierno y gracioso Murillo (B.) pintó este lindísimo cua­ no 20. dro , en el cual se ve á la Santa que con la mano derecha tiene Sale jueves y domingos á las ocho de la mañana. Céfialo y…</t>
  </si>
  <si>
    <t>…y toda Pero algunos nos opondrán una objeción que no carece de EL ENTREACTO. la división del cabecilla se retiró de todos ellos á los sucesivos fuerza. wEl objeto, nos d irán , que habéis atribuido á la poesía, P E R IO D IC O D E T E A T R O S , L IT E R A T U R A Y A R T ES. ataques de nuestros valientes, que siguiendo con entusiasmo al es harto frívolo y mezquino. Esta divina arte con el hechizo de ardoroso general A yerve, tuvieron el gusto de hacer correr á la sus form as, con la tnágia de la versificación , con la sub…</t>
  </si>
  <si>
    <t>…osavos y 2 l § á v. f. ó vol.: 21 cinco dieziseisavos y 2 l f á v. f. ó vol. á prirna de i y | A licante, Carratalá: A lm ería, Santamaría: Barcelona, por 100: 2 i f y 22 á 60 d. f. ó vol. antiguos con cupones. PE R IO D IC O D E T E A T R O S , L IT E R A T U R A Y ARTES. Bergnes, Sauri y O liva: Badajoz, viuda de Carrillo y sobrinos: Inscripciones en el gran libro á 4 P°r 10 0 , 0Q. Barbastro, Lafita : Bilbao, García : Cádiz, Sres. Hortal y com­ Títulos al portador del 4 por 1 0 0 , 00. Saldra todos los jueves y doming…</t>
  </si>
  <si>
    <t>…azó diciéndole: buscaba uno para cierto personaje de vues­ hombre antes de morir!.. Ah!., bien conozco que esto ya no EL ENTREACTO, tra profesión , y no sabéis el favor que me hacéis revelándome tiene remedio!.. PE R IO D IC O D E T E A T R O S , L IT E R A T U R A Y A R T E S. el vuestro. La tristeza de esta confianza arrancó lágrimas á Barón , que Sale jueves y domingos en elegantísimo papel y esmerada El b &gt;ticario que hay en E l Enferm o de aprensión se lla­ le reconvino amistosamente, á fin de quitarle de la cabeza el…</t>
  </si>
  <si>
    <t>…s siete de la noche. Se pondrá en escena IV TOÜS I.IEUX # SAISIK DES «OWTREFACONS ET APPLTCATIO* EL ENTREACTO. el drama nuevo bíblico, en cinco actos, titulado DE i/lB E N D E ET DES PE1WES VOULUES PAR LA LOI. PE R IO D IC O D E T E A T R O S , L IT E R A T U R A Y A R T ES. L A D E G O L L A C IO N D E LOS IN O C E N T E S. Esta publicación interesante reúne la amenidad y la doc­ Desde que desaparecieron los autos sacramentales, y las de­ mas composiciones del género místico, no se ha presentado al SOUS-J U PES-OUDINO…</t>
  </si>
  <si>
    <t>ETEATROSYDELI</t>
  </si>
  <si>
    <t>…que ha hecho el de la Cámara de Diputados. N ueva ocurrencia la tro -in d ustrial. mismo ofrecimiento en cuanto se lo permita el estado de su salud. En la m a fr n r de anteayer se presentó en una platería de B O L E T IN D E T E A T R O S Y D E L IT E R A T U R A . Se nos ha asegurado que al celo y actividad de D . José calle Linrros un sugeto, al parecer caballero , y escudri­ García Luna se debe la organización de esta sociedad; dando ñando cu la carpeta de las alhajas que acostumbran tener á la TEA TRO DEL PR ÍNC…</t>
  </si>
  <si>
    <t>ETEJEDA</t>
  </si>
  <si>
    <t>…O jero , conde za , y saliesen alcanzados; porque los ayuntam ientos como cor­ p o ra ció n , como personal rn o ra l, pueden ser deudores por las REDACCION DE LA GACETA. de Campo A la n g e y C a la tra v a . El Sr. D IE Z D E T E J E D A dice que nada encuentra tan justo contribuciones que están obligados á recaud ar: pero que si el como el que se apremie al deudor, por c ualquier concepto que alcalde ó un regidor estuviese encargado expresamente de la sea al p a g o ; pero que uo puede disculpar el que se h a y a te…</t>
  </si>
  <si>
    <t>EUDA</t>
  </si>
  <si>
    <t>…ado tres filas le duraba poco, porque al g ú n inventor ha concebido originalmente la idea de su inven ­ momento se formaba un doble ó triple círculo al rededor del ción , sino que la han to m ado , rumiado y traído á un buen D EUDA N A CIO NA L DE INGLATERRA esforzado fu g iti vo , y á los golpes de tantas bayonetas , y con uso , y al que esto ha hecho se deben todos los beneficios de su el peso de media docena de indios que se ponian de pies enci­ invención. Dernos pues la gloria del telescopio á Galileo que EN EL ANO…</t>
  </si>
  <si>
    <t>EUDOR</t>
  </si>
  <si>
    <t>…........ 5504099. . 6 guerra. Los enemigos han perdido su artillería huyendo ver­ gonzosamente de su formidable posición: nuestras valientes tro­ 2 1 5 5 8 4 9 .. 1 pas se han cubierto de gloria. Lo que pongo en conocimiento D E U D O RE S. de V. S. Logroño 1.° de Mayo de 1859,—El director, Manuel de Santa Cruz. Por lo que han quedado debiendo en fin de dicho mes diferentes Yo me apresuro á comunicarlo al publico para su satisfac­ administradores alcanzados, y que pasa á ser cargo de la cuen­ ción. Logroño 2 de Mayo de…</t>
  </si>
  <si>
    <t>Eufrasio</t>
  </si>
  <si>
    <t>…batimiento en que precisos, contados teresante servicio que presta á la causa nacional? la han colocado el genio del mal y los efectos de la guerra im ­ Gobierno, se cita ydesde el en que se anuncie en la Gaceta del emplaza á D. Eufrasio D ia z , para que se pía que tiene conmovida esta nación magnánima. Relación de los individuos prisioneros pertenecientes d De esperar es que cese tan violento estado; y con los traba­ presentemandada en dicho juzgado y escribanía á evacuar cierta decla­ nuestras Jilas que han sido cang…</t>
  </si>
  <si>
    <t>Euge</t>
  </si>
  <si>
    <t>…l Presidente de la junta directiva Sr. d u ­ González, y que para reemplazarlos proponía á los Sres. Do* cuelas. que de G or, teniendo á sus lados á los Sres. marqués de Santa Antonio Saodalio de Arias, D. Gerónimo del Campo, D. Euge­ Lo expendido en las obras hechas para preparar las cuatro Cruz y D. Manuel José Quintana , y el Sr. secretario general nio Perez González, cura párroco de S. Ginés (reelegidos), Don existentes asciende á '18,946 rs. Por arrendamiento hasta fin del D. Mateo Seoane leyó el acta de la primera ju…</t>
  </si>
  <si>
    <t>…icial mandado por el Sr. D. Francisco Amorós y López, juez de de caballería y el empleado de la Hacienda militar lleva­ Exémo. S r.: Con Real orden de esta fecha* com unico á primera instancia por ante el escribano del número D. Euge­ ran por separado otro registro para dar las noticias que los capitanes generales de las provincias, generales en gefe nio del Castillo, publicar el presente anuncio por término de necesiten á los gefes de que dependan. de los ejércitos y demas autoridades y corporaciones de­ diez d ia s, par…</t>
  </si>
  <si>
    <t>Euge, Cervellon y Sr. D.</t>
  </si>
  <si>
    <t>Cervellon y Sr. D. Euge</t>
  </si>
  <si>
    <t>…a an­ Corno la causa de esta determinación consintió en la corta guientes : gosta del mismo nombre , se ha mudado á la primera esquina existencia que aparecía de la cuenta de 1857, trató la direc­ Directores.=Excmo. Sr. conde de Cervellon y Sr. D. Euge­ opuesta á la casa que ha dejado, núm. 2 , cuarto entresuelo, ción de realizar á la mayor brevedad el referido repartimiento. nio Ladrón de Guevara. donde hay un almacén de calzado , por el que se entra á la ha­ Para lograrlo dispuso el Sr. contador todo lo conveniente á la C…</t>
  </si>
  <si>
    <t>Euge, D.</t>
  </si>
  <si>
    <t>D. Euge</t>
  </si>
  <si>
    <t>…causa de esta determinación consintió en la corta guientes : gosta del mismo nombre , se ha mudado á la primera esquina existencia que aparecía de la cuenta de 1857, trató la direc­ Directores.=Excmo. Sr. conde de Cervellon y Sr. D. Euge­ opuesta á la casa que ha dejado, núm. 2 , cuarto entresuelo, ción de realizar á la mayor brevedad el referido repartimiento. nio Ladrón de Guevara. donde hay un almacén de calzado , por el que se entra á la ha­ Para lograrlo dispuso el Sr. contador todo lo conveniente á la Contador.=Sr. D.…</t>
  </si>
  <si>
    <t>Eugenio</t>
  </si>
  <si>
    <t>…. } p ho Tq^e, .costumbre, varias cuadrillas dq ; . i 1,608.. . . , u o o ; . . . . . . Madrid; ..... ceda, eí viernes 8 dél mismo. .¿Lj ^ esm^monotonía, deteniéndose datante 17,565.... v«? 400. Barcelona. La de crítica,-por D. Eugenio -Moreno, se traslada pira 20 ,7 1 2 .... ; 400. . . . . . Madrid. los sábados. de cada casa para ejecutar sonatas de cánticos sagrados ó ; 6,645. , , . 400............ Córdoba. La de principio^ genérales de literatura, por D. Patricio «detidír. prbfm áís 1 lo que*agrada mucho ;á los haii…</t>
  </si>
  <si>
    <t>…sta, que en el fon do es muy sanciila, L O S suscriptores á la obra titulada Febrero Novísim o, refer­ Tortosa 20 de M ayo . Una fuerza enemiga llegada en el muy bella, y muy poco acomodada para los recienvenidos id mado por D. Eugenio T apia, pasarán á la librería de la [lia de ayer al cerrar las puertas de esta plaza, ha intentado es­ a la academia francesa, es menester haber estado en G éno­ viuda de Razóla á recoger el tomo 9.° y último de dicha ta pasada noche sorprender esta fortaleza , al parecer en alguna va, y…</t>
  </si>
  <si>
    <t>…n la deducción de esta D. José de U r ia r té , D. Andrés M ora , D. Norberto Zinza, observatorio. En la parte mas alta del ángulo que corresponde por las distancias lunares. D. J u a n R u b io , D. Antonio S e g a le r v a , D. Eugenio S o u b i- á la puerta de la torre h ay la siguiente inscripción : D octrinam Satisfizo completamente las preguntas relativas á determi­ ron , D. Felipe B e n a , D. Angel Iñiguez y D. José Oliver , se e t justiliam d ir ig e J e h o v a in co r d en i c o r o n a d Christiani n ar la longi…</t>
  </si>
  <si>
    <t>…os impuestos al ganado extrangero á su entrada en F R A N C IA . M r. Lebrun , miembro del Instituto. el reino. El marques de L u s ig n a n , Diputado. P arís 7 d e N oviem bre. El barón de Malaret , antiguo Diputado. El conde Eugenio M e r lin , antiguo D ip u ta d o , teniente ge­ P O L O N IA . Fondos públicos. Cinco por 1 0 0 , 110 f r . , 85 c. neral. 0 Tres id. 81 90. M r. P ersil, antiguo D iputado y antiguo ministro. C racovia 2 6 d e O ctubre. Accione» del banco, 2940. El conde J u lio de la Rochefoucauld, ant…</t>
  </si>
  <si>
    <t>…clio; por la de M adrid a D. Juan cumentos la moneda que se conduzca de un puerto á otro señalLadecuestión un de Oriente no ha llegado á ser la causa ó la cambio de Gabinete, como se ha dicho. Solo ha M nguiro c Irib arren y D. Eugenio L adrón de G uevara, de la P enínsula, y la que transite dentro de la línea de y por la de Zaragoza al duque de Zaragoza , reelegidos cuatro leguas en las fronteras y dos en las costas, siem pre introducido en el seno del Consejo algunas divergencias de opi­ niones sobre los medios de ejecu…</t>
  </si>
  <si>
    <t>…e de destinos. Para la plaza de ministro de la a u ­ instrucciones relativas d sus contiendas con el cónsul ingles. Las titución de la monarquía , y£ habiendo tocado ia suerte diencia de Sevilla, también vacante por muerte de D. Eugenio noticias de Trípoli son del 9 : ha habido varios encuentros en­ para la actual renovación de los de esa provincia á............. Rufino Hernández, á D. Joaquiu Azcon y Ferraz , que lo es tre las tropas turcas y los revoltosos de la Mechie (campiña); en el sorteo celebrado en el Senado con ar…</t>
  </si>
  <si>
    <t>EUiot</t>
  </si>
  <si>
    <t>…el asunto de Real se valen m uy á menudo de este nuevo medio de comu­ dos en disposición de poder rechazar todo ataque que intenta­ líannover. La proposición di este diputado tenia por objeto nicación. sen los chinos. El capitán EUiot habia tenido que habilitar el llamar la atención de la asamblea acerca de la últim a resolución buque mercante Cam bridge corno buque de guerra , lo cual de la Dieta germánica. Después de un largo debate, en que to­ En la Tkevista de P a rís se lee lo sigu ien te: habrá costado de 4 á 50 libra…</t>
  </si>
  <si>
    <t>Eulogio</t>
  </si>
  <si>
    <t>…reso nacional forme su juicio acerca de los desig­ En 22 de Mayo del misrno año dejó de existir el general lia sola del navio Congreso enteramente sumergida. Debiera nios del Gobierno, y pueda con mayor sabiduría dar la últi- D. Eulogio Y ii la rr utia , subdirector de la enseñanza primaria existir también armados la corbeta Ig u a la , bergantín Itiírbifo tna mano á su obra. del ejército , á la que cooperó con indecible afaa , y le sucedió y goleta B ra vo ; pero según las noticias que ha recibido'^, Es muy probable que…</t>
  </si>
  <si>
    <t>EULTRAMAR</t>
  </si>
  <si>
    <t>…rinipos mas afectuosos por los SUIZA. grandes servicios que ha hecho al Estado y á los estudios, y le anuncia que ha ordenado que los sueldos de las dos plazas que M IN IS T E R IO DE M A R IN A , CO M E R C IO Y GOBERNACION D E U L T R A M A R ha ocupado con tanta distinción, se le conserven íntegramente Z urich 14 d e F eb rero . á título de pensión. E l gobernador capitán general de la isla de C uba con : M r. de Hammer tiene intención, según se dice, de reti­ E l g ra n C o n s e jo de Estado ha examinado hoy los…</t>
  </si>
  <si>
    <t>…ños. ‘ di^ el coronel Rodriguez pasó pof Burgos, y fue á pernoctar á d r id Í de Marzo d é 1839;^i^tá.=±= Séc d ir e c to r 'g e n e r a F d e ' V illadiego. A duanas. -cr.: M INISTERIO DE M A R IN A , 'COMERCIO Y GOBERNACION. D E U L T R A M A R . . Real decreto citado en la orden anterior,* ; . A N U N C IO S O F IC IA L E S . S .M . d e c n fo rm id a d c o n la o p in io n d e la ju u n ta d e a lm i­ E n te ra d a de las ex posiciones.O-iie^ m e Jhain di rígido; ía, rantazgo, ha tenido áJbien. eonceder la cruz de d…</t>
  </si>
  <si>
    <t>EUNARTI</t>
  </si>
  <si>
    <t>…o de la villa de Beoavarre, en la provin­ F A IN C IPE . A las siete de la noche. Bilbao, d. V alencia, par. cia de Huesca , solicita se le exonere por esta vez del pago de la C á d is, £ b. Zaragoza, 1 | á 2 d. L A M U G E R D E U N A R T IS T A , contribución extraordinaria de guerra , en atención de haberse creado en aquella villa una compañía de 80 voluntarios de in ­ fantería y una sección de 10 caballos; de haber edificado una Descuento de letras, á 6 por 100 al año. comedia m uy acreditada, en dos actos, original de…</t>
  </si>
  <si>
    <t>EUNHOMBRE</t>
  </si>
  <si>
    <t>…otros, po para fastidiarse, porque entonces tenemos que vivir con. y que tampoco ha declarado jamas de una manera_ bien clara á dos vidas. qué quería atenerse. La Inglaterra ha defioido mejor sus pre­ LA. R E S U R R E C C IO N D E U N H O M B R E , En cuarto lugar, sabemos que Enrique siente una pena tensiones; pero sin ningún éxito. interior que le deja inhábil para el gozo; pero ¿ de d ón d e 2.° &gt;i¿Cuál es pues el límite territorial que hubiéramos po­ poema o rig in a l , canto 1.° por D. M iguel Tenorio . Se­ procede e…</t>
  </si>
  <si>
    <t>Europa</t>
  </si>
  <si>
    <t>…ilmente eludida. á un Monarca que como L u is Felipe hace cuanto puede por que no se podrá arreglar aqui. Las noticias anteriores nos h i ­ Cuando un sacerdote católico se niega á consagrar el matrimo­ conservar la paz general de Europa. cieron creer al principio que la Francia había aceptado la me­ nio de u n católico con una pro$és£aote, no h a y mas que escri­ diación de la Inglaterra , y se decía que M r. de M audeville, bir algunas líneas al Gobierno para pedirle su permiso , y este nuestro ministro , habia indicado al…</t>
  </si>
  <si>
    <t>Eusebio</t>
  </si>
  <si>
    <t>…......................................... 20 Jueves.=De siete á oc h o , D. Manuel Santaella, geología. Primera parte . Dos señoritas herm anas. ................................................ 40 Viernes.z:De siete á ocho, D. Eusebio M aría del Valle, Una viuda...................... Se pondrá en escena la ópera nueva, b u fa, en un acto, D . José Gelabert ........................ 8 economía política. música de D. Basilio Basili, titulada IL C A R R O Z Z IN O D A Sra. coiídesa de la Vega del Pozo....................…</t>
  </si>
  <si>
    <t>…te de de S. G io é s, D. José Escario, D. Francisco López Olabarrieta, No siendo nuestro objeto al presente describir los otros puen­ su hermano? Sois libres, añadió , de negar vuestra refren­ D. J u a n Manuel Ballesteros y D. Eusebio M aría del V a ll e , se tes de piedra , aun mas magníficos que el mencionado, solo h a ­ dación á una conmutación de pena ; pero nunca pondré mi fir­ blaremos de uno de los dos de hierro. ma en esa condena. hizo la inauguración del local, entrando en é l , primero los 52 niños que se han m…</t>
  </si>
  <si>
    <t>…gravamen que pesa sobre este vecindario N U EV O FANAL á nombre suyo por los socios D . Vicente G om alez A r*\ desde que en un momento de distracción se desviaron al- ' E S T A B L E C I D O AL K. D E CAYO H UES O. nao y D. Eusebio A laria del V a lle , en respuesta de la guu tanto del camino recto que venia trazado sus capitu­ consulta que le hizo el ayuntam iento de M a d rid sobre la lares del año de 1825. Asi el ayuntamiento no dudara en «É l anuncio que sigue es extracto de una carta di­ conveniencia de establec…</t>
  </si>
  <si>
    <t>Eusebio, Pedro Saioz de Baranda y D.</t>
  </si>
  <si>
    <t>Pedro Saioz de Baranda y D. Eusebio</t>
  </si>
  <si>
    <t>…rar la educación del pueblo. nifestó pues á la sociedad, que habiendo renunciado sus pues­ tos hechos exclusivamente para la preparación, conservación y Ayer 4 á las once de la mañana celebró esta sociedad su se­ tos los Sres. D. Pedro Saioz de Baranda y D. Eusebio C am pu- arrendamiento de las escuelas: 2 .° en los gastos de recaudación: gunda junta general en el salón de la compañía de Filipinas, 3.° en los de impresiones: 4.0 en los generales de la sociedad, y habiendo asistido á eila una concurrencia no muy numerosa zano…</t>
  </si>
  <si>
    <t>Eustaquio</t>
  </si>
  <si>
    <t>…no estamos mal informados, los se­ D. Eugenio Hárlzembusch , bibliotecario. Idem Melchor G erona, empleo de mayor del batallón. ñores D. Fermín Apezechea , D . Antouio Rosales, D . N. S a n - D , Luis Pastor , contador. Idem D. Eustaquio H errán, cruz de S. Fernando de p ri­ clemente y D . N. Becquer. mera clase. E l director parece decidido á no escasear gasto alguno pa­ Sección de literatura. Tenientes D . Luis Coll, D. José Navarro y D . Angei Bar­ ra que los profesores sean dignos en todos conceptos de sil es­ bería ,…</t>
  </si>
  <si>
    <t>Eustaquio, S.</t>
  </si>
  <si>
    <t>S. Eustaquio</t>
  </si>
  <si>
    <t>…o. Sin embargo, habia ¿de tiempo á la inhumación de M oliere, y aquel tuvo que ceder A principios del año de 1(375 apareció el E nferm o de Boileau á recordarle su promesa , y Moliere no creyó poder aunque prohibiendo al cura de S. Eustaquio que recibiese el aprensión. dispensarse de cumplirla. cuerpo del gran autor en su iglesia» D o s eclesiásticos le acom­ El mismo Luis xiv dio á Moliere el título de casi todas Aunque reconciliado hacia algún tiempo con su asuger, se pañaron únicamente a-1 cementerio. sus comedias, y…</t>
  </si>
  <si>
    <t>Eva</t>
  </si>
  <si>
    <t>…para su cumplimiento.=Está rubricado de la Real 3-° El actay que un Diputado un suplente por la provincia de Madrid. cae este ministerio, se le escapa el poder de las manos y entra mano.=En Palacio á 30 de Octubre de 1839.=A D. Eva­ pidiendo su admisión presentaba un Sr. Diputado por Orense otro del color opuesto, y dice el Sr. Alvaro : tampoco á este le risto Perez de Castro, Presidente del Consejo de Ministros. 4.0 Una exposiciónendelel Congreso. quiero porque no hace mas que quitar á los empleados que an­ ayuntamiento…</t>
  </si>
  <si>
    <t>EVALLADOLI</t>
  </si>
  <si>
    <t>…evistas, ha sembrado regular , á 32 rs. rústica. Se ha publicado ya el 1.°, y se está José García de V illalta en cinco actos, titulado Jorge Sand abundante poesía y no poca pasión ; la mas linda acabando el 2.° EL ASTRO LO GO D E V A L L A D O L ID . en mi opinión es La Marquesa . Pero estamos en mala coyu n ­ tura para juzgar las n ovelas, porque las detestamos de corazón. N u evo D evocionario y ejercicio cotidiano. Recopilado por Terminará la función con boleras a seis. L a prensa cotidiana hace algunos meses que abusa…</t>
  </si>
  <si>
    <t>EVARIASM</t>
  </si>
  <si>
    <t>se traíase ele las tres cabritillas de Postum o, que refiere • R E S A B I O S , M A N I A S , E X T R A V A G A N C I A S Y COST U M B RE S D E V A R I A S Mr. de L am ennais a su traje color de castaña , d e g e n era­ M arcial, era preciso dirigirles la palabra para hacer una P E R S O N A S C E L E B R E S DR E S T A E P O C A . do ya en uniform e. apostrofe ó una prosopopeya. S em ejante método de em e- - Mr. Gastil-Blace, el m ú sic…</t>
  </si>
  <si>
    <t>Evaristo</t>
  </si>
  <si>
    <t>…t Yalery y las autoridades. bricado de la Real mano. = En Palacio á 3 de S etiem bre ciosos, los cuales confiesan seguirán su ejemplo otros muchos. Después de la recepción fue el Rey á visitar el canal de la d e 1 8 3 9 .= A D. Evaristo P erez de C a stro , P residen te del Somme, y en seguida el hospicio, atravesando á pie toda la Consejo de M inistros. ciudad de Saint Yalery. i PARTE NO OFICIAL. Después de haber sido cumplimentado por el prefecto, se trasladó S. M. á lá fonda de Inglaterra, donde recibió á las autor…</t>
  </si>
  <si>
    <t>…E n Palacio á 1.° de J u n io de 1 8 3 9 .= tura de Mr. Mauuen-Sultou , y hace resaltar la notable con­ Finalmente dice que se han presentado acogiéndose á i n ­ tradicción que existe entre su discurso de Í 8 i 9 y su nueva A D. Evaristo P erez de C astro , Secretario del D espacho dulto en diferentes puntos los facciosos Francisco García, de­ d e Estado y P residen te del Consejo de Ministros. doctrina. sertor del segundo batallón de voluntarios de Galicia ; Simón La imparcialidad , prosigue Mr. Handley, es el primer de—…</t>
  </si>
  <si>
    <t>…ib de O lávafría ha d e- i L O B E R I A P I U M I ^ i y A W A C I0 3 &gt; U L . t duque de Friás y de Uceda : nombrando pára que le reemplaT ducido eD el tribunaV^upréq^o de justicia y : a.nte el trono, ce en «ambos cargos á D. Evaristo P^rez de Castró: man­ « . E n , Ja ex tra cc ió n celeb rad a e a el d ia 14 K a n s a lid o A g r a ­ sobre; que no;se de obIígue á úombrar5prbciiiradór'“para Hítigarf dando que hasta su presentación en esta corte se encargue de ciados los n ú in e ro s s ig u ie n t e s : 5 s i ./• v w…</t>
  </si>
  <si>
    <t>…jandro Aniceto M adrid.—El contador plim iento.— Está ru b ricad o de la Real m a n o .^ E n Palacio interino, Ramón Crogun.rzEl administrador, José Sánchez Sesión del dia 15 de Setiembre . á 15 de Setiem bre de 1 8 3 9 .= A D. Evaristo P erez de Cas­ Torres.idEl tesorero, José M. dé Palacio. tr o , Presiden te del Consejo de Ministros. Se abrió á la una menos siete minutos. El Sr. Secretario Caballero leyó el acta de la anterior. Diputación provincial de León.— Señora : La diputación mención, El Sr. conde de las N A V…</t>
  </si>
  <si>
    <t>…Panzacola. nientes a su cumplimiento Esta rubricado de la Real ma­ rando que la comisión de Pesth debe proceder inmediatamente Hasta ahora se habia puesto en duda que una fragata corro no.—En Palacio a 20 de Agosto de 1839.=A D. Evaristo á la elección Je un Diputado en reemplazo del conde Raday, la Nereida pudiese pasar la barra que existe á la entrada de, contra quien se está procediendo criminalmente. este solo puerto de todo el golfo de Méjico , donde los grandes Perez de Castro, Presidente del Consejo de Ministros. nav…</t>
  </si>
  <si>
    <t>EVE</t>
  </si>
  <si>
    <t>…servaciones. Yo tom a ré á mi cargo cida emigración, adonde hay muchísimos establecidos como el redactarlas y publicarías en beneficio de todos en g e ­ agricultores y tenderos, no se ve jamas nna oauger china. T o ­ J U N TA D E V EN TA S DE B IEN ES NACIONALES. neral , y d e l cultivo en particular. dos van á aquellas islas con intención de volver á su pais, y No me retrae n de llam ar la atención del púb lic o n i la muchos lo hacen asi después de 10 ó 12 años cuando han hecho M ayo de 1859. «po ca, ni los dias en que…</t>
  </si>
  <si>
    <t>EVERONA</t>
  </si>
  <si>
    <t>…olución del Congreso, pleguen en ellos un celo, que mas que en provecho propio , ceda y que manifestará la comisión en el caso del debate, si fuera en bien del cornun. Alerta con el peso y m edida, pues yo lo p L C O N G R E SO D E V E R O N A , guerra de E sp añ a, ne- preciso: la comisión juzga innecesaria la propuesta del S r.M u ­ estaré, y mucho, de aquellos que acaricien en vez de castigar á gociaciones, colonias españolas. Obra escrita por el viz­ ro , y propone al Congreso no se admita. los que den falto el pan, la c…</t>
  </si>
  <si>
    <t>EVI</t>
  </si>
  <si>
    <t>…ciones, el Real decreto que los proyectos de ley que presente el G obiern o tendrán me­ establece varias reglas para la administración de justicia, sustituyendo otros artículos á los del reglam ento provisio­ G R A N S A L O N D E V IL L A H E R M O S A . nos cosas que deban ser reformadas por ios Sres. Senado­ res y Diputados, y por otra unos y otros no se verán en nal de justicia; el relativo á recursos de segunda suplica­ Hoy domingo 13 de Enero de 1839 á las once de la noche la precisión de ejercer frecuentemente la ini…</t>
  </si>
  <si>
    <t>…de los respectivos m i ­ E L sobrino del d if u n to D , José de B r u n , d e l comercio de li­ GRAN BAILE DE MASCARAS EL DOMINGO DE PIÑATA nisterios. bros que fue en esta c o rte , ha trasladado su librería bajo EN E L SALON D E V IL L A H E R M O S A . A rt. 9.° En ausencia del Rey , R eina , Regente ó Regencia el título de Castillo y Brun á la calle de la Concepción G eró— del re in o , presidirá el Consejo de Estado u n decano de n o m ­ n i r a a , núrn. 1 8 , frente á la plazuela de las m o n ja s, donde se Se rifa…</t>
  </si>
  <si>
    <t>EVISTA</t>
  </si>
  <si>
    <t>…el Consejo Barcelona á ps. f s . , ¿ papel b. Sevilla , par. de S. M . , su secretario con ejercicio de decretos, auditor ho­ B ilb ao , 1 d. V a le n c ia , £ d. norario de G uerra, y asesor general de la G uardia R.eal y su D E V I S T A mensual de medicina y cirugía. La utilidad bien C á d iz , i papel d. Z aragoza, par. juzgado privilegiado. __ conocida de e&gt;tos periódicos nos ha hecho su falta en E s- Por el presente se cita, llama y emplaza á los sugetos que se pana : á esta falta debe atribuirse el no sernos conoci…</t>
  </si>
  <si>
    <t>EWI</t>
  </si>
  <si>
    <t>…e que guarde á Y. E. todas las consideraciones y respetos que El juez de primera instancia de I lleseas da parte en 29 de se merece por su elevada clase. Diciembre último de haber logrado capturar eu la noche de 27 EN LA IS L A D E W IG H T . Lo que traslado á Y. S. para su conocimiento y que se sir­ del mismo en la alquería llamada de Banuelos al cabecilla Deo- va observar la conducta del expresado general con el decoro gracias, el de Villaluenga, y al trompeta de G anda, titulado Instituto de la Santísima Trinidad. — Lond…</t>
  </si>
  <si>
    <t>Excelen-</t>
  </si>
  <si>
    <t>…res á la historia general de España por él 544* Unos tirantes bordados. VACANTES P. Juan de M ariana, aumentada coa las tablas del autqr 654* Una pantalla bordada para chimenea. y H ALLANDOSE vacante la plaza de secretario del Excelen- una narración de sucesosla continuación de M iñana, y adicionada en esta edición con 255. Uu guarda-labores. * tísimo ayuntamiento constitucional de la ciudad de San­ desde 1600 hasta 1855 , y un escrito 195. Una bolsa de terciopelo con un perrito bordado de tander, cuya dotación es de |Q…</t>
  </si>
  <si>
    <t>Excmo</t>
  </si>
  <si>
    <t>…la nación entera. Se lee también en un periódico de G alveston, T ejas, de Valls 28 de de Setiembre de 1829.:rSeñora.—A L. R. P. de fecha 6 de Agosto lo que sigue : V. M .—José T e ll, alcalde primero. =Domingo Folhc , alcalde Excmo. S r .: El ayuntam iento constitucional de P alead a Acabamos de recibir noticias de Galveston de 25 de Julio segundo.z=José T arrag o , regidor.zrFrancisco P allas, regidor.r: tiene el honor de d irig ir á V . E. la adjunta felicitación que último. Parece que pronto van á ocurrir cambios imp…</t>
  </si>
  <si>
    <t>…la posesión hereditaria del Egipto y de las otras provincias que se hallan actualmente bajo BOLETIN DE COMERCIO. su dominación , ha sido objeto de una viva discusión en el di­ ñor Tenemos á la vista cartas del cuartel general del Excmo. se­ van. El Sultán mismo, asi como el viejo K osrew -bajá, se han que duque de la V ictoria, fechas 11 y 12 en Las Parras, sin ocurriese cosa particular; solo se estaba esperando el gran pronunciado de uoa manera bastante favorable á Mehemet-Alí. convoy BOLSA D E M A D R ID . J&gt;as comunicac…</t>
  </si>
  <si>
    <t>EXTR, MARITIMA. COMERCIO COMERCIO</t>
  </si>
  <si>
    <t>MARITIMA. COMERCIO COMERCIO EXTR</t>
  </si>
  <si>
    <t>…Totales.. 399.061. X ¿52-107 1 -- J 4.793.901.. 2 5.2A6.008. x ¡ 401,009.. * 852,246..:5 —9- * a RESU M EN . Importación. ., . 5.246,008.. %r Exportación. * . 852,246.. 5 Total pesos. . 6.098,254.. 5* • EXPORTACION GENERAL MARITIMA. COMERCIO COMERCIO EXTR A W G E R O . N A C IO N A L. ÍU E R T O S . En buques En buques |1Para las ciu - Parapuer- P‘ara los Esta- Para Para Para Para los Para Pora DEPÓSITO, nacionales. nacionales. &lt;iades Anseá­ tos disi- dos-U nidos de Francia. Inglaterra. Italia. Paises-Ba- Portug…</t>
  </si>
  <si>
    <t>EXTRANGERAS, NOTICIAS</t>
  </si>
  <si>
    <t>NOTICIAS EXTRANGERAS</t>
  </si>
  <si>
    <t>…frecido el resultado de d e - | españoles los incesantes desvelos y afanes de V . M . por la sa­ j a r sobre el campo 28 m u e rto s , coger 3o caballos y yeg uas, j l u d de la patria. G ratitu d eterna al ilustre caudillo duque NOTICIAS EXTRANGERAS. 81 bagajes m a y o r e s , varios ganados vacunos, y un sin íin de de la V i c t o r i a , que con el valiente ejército nos ha propor­ arm as, cananas y monturas, habiendo dispuesto que las p re ­ cionado tanto b i e n , y al G o b ier n o , que con tanto tino y acier­ FR A N C…</t>
  </si>
  <si>
    <t>EXTRANGERAS, Ovéjero. NOTICIAS</t>
  </si>
  <si>
    <t>Ovéjero. NOTICIAS EXTRANGERAS</t>
  </si>
  <si>
    <t>…que podría invalidarla. Pero om itiendo para cuando lle­ cuestión de este d ia, y creó que esta la podrá resolver el Con­ gue la discusión del dictámen entrar en otras cuestiones de la greso desechando el voto particular del Sr. Ovéjero. NOTICIAS EXTRANGERAS. mayor im portancia, y omitiendo la larga historia del canal de El Sr. C A M A L E Ñ O : L a m ayoría de la comisión á que Castilla desde que se comenzó hasta la época en que se hizo esa tengo el honor de pertenecer, no ha podido avenirse al dicta­ F R A N C IA . con…</t>
  </si>
  <si>
    <t>Extrangero, Dalmacia.</t>
  </si>
  <si>
    <t>Dalmacia. Extrangero</t>
  </si>
  <si>
    <t>…star una parte de aquellos que hacían opo­ Artículo único. Se aumenta el presupuesto de Hacien­ tirá siendo arreglada. sición al Gobierno, da con la cantidad de 123 rs. vn. anuales para una pen­ El Rey llamó al mariscal duque de Dalmacia. Extrangero á sión en favor de Doña María del Carmen Pizarro, viuda F&gt;OR el presente se cita , llama y emplaza á D. Manuel D a - las luchas de los últimos tiempos, el ilustre general parecía na­ del conde de Donadío, muerto en acto del servicio cum­ * miau y M adrid, pagador que fue de cami…</t>
  </si>
  <si>
    <t>Extrem</t>
  </si>
  <si>
    <t>…fue muerto en el campo por un escopetero general de la n ació n , y desear esta algú n extrangero. de M enásalbas el cabecilla Dámaso García. Este es el quin to mando de provincia ó plaza que V . M . se C ap itan ía general de Extrem adura.zrSeñora : El capitán ge­ Que el com andante de la segunda columna de operaciones há dign ado confiar al celo del exponente, sin solicitud de su tuvo un choque el d ia 19 en los montes de Piedruela con una p a r te , duran te esta lucha , cuyo térm ino quieren ver los cora­ neral de Ext…</t>
  </si>
  <si>
    <t>Extremad</t>
  </si>
  <si>
    <t>…mater­ la Guerra. gracias á los individuos que contribuyeron al logro de aquellos. nal de Y . M. y .la enseña de la Constitución de 1857: ahora que ve aproximarse aquella con la espontánea y voluntaria re­ Capitanía general de Extremad ura.= Seño ra: El capitán g e ­ M INISTERIO DE LA GOBERNACION DE LA PEN ÍN SULA. conciliación que ha empezado á verificarse , cree de su deber neral de Extremadura desmentiría su decidida adhesión á Diputación provincial de Segovia.=Señora: Los interesan­ renovar sus sentimientos de lealta…</t>
  </si>
  <si>
    <t>…a subasta, son los reino de Portugal, w Camino de Olmedo d Valladolid. que produzcan las fábricas en sus elaboraciones, los que proce­ dan de comisos, si no se pudiesen aprovechar en aquellas, y Número 1.° Capitanía general de Extremad ura.=Excelentí- A consecuencia de la Real orden que se sirvió V. E. comu­ los que declarados en estado de absoluta inutilidad en las mis— simo Se.: Por los adjuntos partes y demás documentos que ten» nicarme con fecha 18 del corriente, previniéndome le remita mas, no puedaú\ tener aprovech…</t>
  </si>
  <si>
    <t>Extremadura</t>
  </si>
  <si>
    <t>…LA GUERRA» jo en W indsor al que ha asistido la Reina. La mayor parte de genieros. los Ministros estaban presentes á excepción de lord Jhon Rus­ N o podemos menos de celebrar esta disposición del señor du­ El capitán general de Extremadura con fecha 25 del pasa­ sell, sin duda por la muerte del duque de Bedford. que de la V ictoria, ya porque esta fuerza ha de hacer servicios do dice , que los escopeteros de Zarza Capilla han muerto dos importantísimos en el principado, ya porque ha echado maco facciosos , de los cuales un…</t>
  </si>
  <si>
    <t>…miento de una partida de escopeteros ó vecinos ar­ da octava parle del impue*&lt;to de los remates el papel de la d e u ­ podemos tener un conocimiento perfecto de la riqueza de la na­ mados , mandada crear por el capitán general de Extremadura da sin Ínteres, los vales no consolidados y la deuda negociable ción ; pero tenemos un censo de población , que aunque inexac­ en 17 de Abril del año anterior. del 5 por 100 en pape! , como acordaron las Cortes por la ley t o , hubiera podido servir en esta ocasión para arreglar los re ­…</t>
  </si>
  <si>
    <t>…L A G U E R R A . que cubrir para sostener en pie de guerra un numeroso ejército, motivo en una carta particular ae Liorna del 20 de Octubre. desaparecen cuando esta sucumbe. Las ciencias ostentan entonces El capitán general de Extremadura con fecha 50 del pasa­ El P ap a, visto el apuro del tesoro público, ha resuelto ce­ su raagestad haciendo que la ilustración cunda por todas par­ do da parte de haberse presentado á indulto al comandante ge­ der á un empresario la explotación del comercio del trapo v ie­ tes. Las arte…</t>
  </si>
  <si>
    <t>…las generosas fa ti­ tantes de esta provincia han manifestado recibir la noticia de gas de nuestros denodados ejércitos y del sábio Gobierno tan feliz acontecimiento , ha creído de su deber el felicitar al C apitanía general de Extremadura.=Excmo. Sr.=Por el ex­ de Y. M. digno general que asi ha contribuido al bien de la patria , y traordinario que pasó ayer para Lisboa de la legación portu­ Estos, Señora, son los votos y tiernos sentimientos de esta con este objeto le ha dirigid o el escrito de que acompaña copia. guesa e…</t>
  </si>
  <si>
    <t>…pretación dada por fecunda en acon!p&lt; nnienfos de ía um vor importancia política, nuestro Gabinete á la resolución de la Dieta no ha sido de la 1*0 os hable mas que de e cudas y de diccionarios ; pues e-to El capitán general de Extremadura con fecha 9 del actual aprobación de un gran número de Estados alemanes. El capitán consiste ea que mi posición no me da tiempo p;ra ocuparme dice que el cabecilla Felipe Muñoz se ha presentado al coman­ Boese no ha sido arrestado; pero por uua orden del ministerio de los asuntos general…</t>
  </si>
  <si>
    <t>…nrarse para « Asistimos, señores, á una grande manifest&amp;cioit déte estado- PARTES. siempre. No deis lugar á que se pueda decir: E l Gobierno y critico de nuestro pais , que lleva tras de sí el rumor de los El capitán general de Extremadura con fecha 11 del actual las Cámaras belgas nos han vendido. debates parlamentarios. La agitación producida por la revolu­ traslada el parte que le dio con la del 7 del mismo desde Yal- Los temores de guerra carecen de fundamento: no tenemos ción de Julio, lanzada de las calles adonde ha…</t>
  </si>
  <si>
    <t>…del a yu ntam ien to , Juan Y D EL DESPACHO DE L A G U E R R A . dilatados años la vida de Y . M . y ia de vuestra augusta H ija Antonio R o d r íg u e z de C a n cio, secretario. la Reina Nuestra Señora. El capitán general de Extremadura con fecha 14 del actnal U n iversidad de T o le d o 17 de Octubre de i 8 3 9 —Señora.— dico haberse presentado á indulto en los últimos dias al co­ mandante general de la línea de la Mancha, que opera sobre los montes de T oledo, 41 facciosos de diferentes partidas de aquella provincia,…</t>
  </si>
  <si>
    <t>…e me ha sido expuesto por mi Con­ n a r q u í a , y un testimonio positivo de que los actos sejo de Ministros relativamente á la necesidad de consultar del Go b ie rn o serán siempre conformes a su letra y á El capitán general de Extremadura dice con fecha 14 que la voluntad nacional, mediante á los grandiosos aconteci­ su espíritu. la gavilla de Montejo quedaba exterminada, pues se habian mientos (pie han cam biado absolutamente el aspecto de las L o s enemigos del reposo publi co y de nuestras presentado su sobrino y tres…</t>
  </si>
  <si>
    <t>…obsequiar una obligación, al me­ Islas Baleares, después de algunas observaciones sobre la nos por delicadeza y orgullo nacional: el enemigo encontraba responsabilidad impuesta en el decreto de 27 de Octubre El capitán general de Extremadura trascribe un parte del apoyo y auxilios en donde no podia prometerse hallar mas que del año último á los sustituidos por otros en el servicio gobernador del fuerte de G uadalupe, fecha 23 del ac tu a l, en contrarios, celosos defensores de la dignidad de su patria. E n de reemplazar á su…</t>
  </si>
  <si>
    <t>EYALLADOLI</t>
  </si>
  <si>
    <t>…ad de m e tro s, titu la d o unos 6 0 0 , de los cuales h an sido en viados á G a ld á ca n o sobre unos tOO que pertenecen á los batallones de V iz c a y a para dis­ trib u irlos á sus respectivos cuerpos. EL A STR O LO G O D E Y A L L A D O L ID . H abiéndose a proxim ado ayer tarde una partida de facciosos á las Arenas al frente d o P o rtu g a le te á la otra parte de la ría , ANUNCIOS. L os Sres. L a torre (D . Carlos) y G uzm an (D . A n to n io ) se han encargado de los papeles respectivos en obsequio del inte­…</t>
  </si>
  <si>
    <t>EYI</t>
  </si>
  <si>
    <t>…hos que son de opinión c ió n $ c . # c. G R A N B A IL E D E M A S C A R A S de que el Gobierno de esta colonia no está preparado para sos­ tener tres guerras de tanta importancia en tan opuestos y leja­ EN E L SUNTUOSO SALON D E Y IL L A H ER M O SA . nos puntos. Habiendo estado poco tiempo en Malabar , y ha­ ciendo apenas un mes que me hallo en Bengala, no me atrevo H o y jueves 31 de Enero se verificará el cuarto baile de los ANUNCIOS, á formar por mí mismo presagio alguno de los graves sucesos anunciados en este lo c…</t>
  </si>
  <si>
    <t>EZ, PÉR</t>
  </si>
  <si>
    <t>PÉR EZ</t>
  </si>
  <si>
    <t>…e Samanie- sías, teatro, discursos, oraciones, dictámenes, memorias, re­ provincia de Soria . que decia que dehian aprobarse. go.=Valentín Olano , secretario. presentaciones, instrucciones, elogios, escritos gubernativos, El Sr. PÉR EZ D E R lV A S le impugnó por haberse consti­ idera sueltos, cartas, correspondencia literaria, artística y fa­ tuido la tnesa del distrito electoral de S. Esteban por aclama­ miliar , é informes. Al fin de cada tomo van las notas corres­ Con noticia que tuvo el señor alcalde primero constituc…</t>
  </si>
  <si>
    <t>Ezequiel</t>
  </si>
  <si>
    <t>…como hasta aquí de la exención absoluta de toda Los exámenes públicos de n á u t ic a de la escuela g r a t u i t a de clase de impuestos, se ha servido d eclarar, en conformi­ esta ju n ta de C o m ercio , de que es maestro D. Ezequiel C a lb e t, E l M on iteu r de 19 de J u n i o de 1859 contiene u n a n u n - alférez de navio g ra d u a d o de la a rm a d a nacio nal , segun d o p i ­ dad de esta disposición, que las remas de las fincas rús­ io acerca de un a a p arició n sobre el nivel del m ar de un g r u - loto r…</t>
  </si>
  <si>
    <t>Ezpeieta</t>
  </si>
  <si>
    <t>…ancisco R u- Prévias unas ligeras observaciones de los Sres. Garelly,Fer- actaSedeabrió la á las doce y media con la lectura y aprobación del anterior. fun.=Juan Flores rrJuan Molero.izJosé Rod*do.=Joaquin M ar­ rer y conde de Ezpeieta, se acordó que la sección á quien cor­ tínez Saiitos.=íguacio Peñaranda.^Nicolás F¿gueroa.=Mariano respondiese nombrase interinamente un individuo que reempla­ Sr. Se acordó llamar al suplente por Barcelona en reemplazo del Arguelles , que optó por Madrid. Fernandez M ontes, secretario.…</t>
  </si>
  <si>
    <t>Ezpelcta</t>
  </si>
  <si>
    <t>…e n ció n , y de que se acom paña un ejem plar autorizado , cas y piadosas miras de la a u g usta M ad re de los españoles. im p ortan tes 2 0 . 148,000 rs. de vn. REDACCION DE LA GACETA. M adrid 16 de Enero de 1859 = El conde de Ezpelcta. =José Satisfecha c u m p lidam en te la ju n ta y el público de la ope­ de i s l a Fernandez.=Gaspar de ( )ndovilla.= Francisco Ram onet.= r a c i ó n , el Sr. vicepresidente dio por concluido el a c to , confór­ J o a q u ín Diaz Caueja. tele á lo que previene el art. 15 de la misma inst…</t>
  </si>
  <si>
    <t>Ezpeleta</t>
  </si>
  <si>
    <t>…o allí dos bombardas de Vapor francesas de paso para Veracruz. {(ti.) V icepresidente. « D . José M anuel Vadillo. D. Juan José Bonel y Orbe , obispo de Córdoba. « D . Pedro Antonio A cuña. D. José M aría de Ezpeleta , conde de Ezpeleta. « D . Luis Balanzat. SUECÍA. León. S ecreta rios. « D . Francisco Verea Cornejo. Stokolmo 1 d e D iciem bre. «M arques de Falces. «D . Joaquín D íaz Caneja. «D . José de Isla Fernandez. D. A yer á las cinco de la tarde partió S. M. el R.éV para Sue­ «Conde de V igo. Lérida. cia o&lt;cid…</t>
  </si>
  <si>
    <t>…marques viudo de Pontejos, conde d e V i - Secretario marques de Campo de A la n g e , Vicesecretario Fer­ dios de llevar á cabo tan in ú til proyecto. g o , Ojero y duque de Frías. nandez Vallesa. 4*a Sres. Presidente conde de Ezpeleta, Vicepresidente P e - Nuestro compañero de redacción encargado de hacer la de 3.a Sres. Va Ilesa, Mala , F e r r e r , duque de Bailen , R u iz de las bases de organización de la sociedad , dió cuenta de su pro­ la V e g a , marques de Vallgnrnera , C h a c ó n , conde de Cara po legrin…</t>
  </si>
  <si>
    <t>…umplimiento de los nuevos empeños que convenga contraer á la nación. teriores 9 y se abrirán los puertos á los buques de las naciones nadora con motivo de la festividad de R e y e s; y su presidente, que lo era el Sr. conde de Ezpeleta, tuvo el honor de dir igir á El crédito es una necesidad de los Estados modernos; y to­ amigas. « E l 2 5 de Abril último se concluyó y firmó en esta ciu­ S. M. la alocución siguiente: das las naciones cultas procuran su conservación y acrecenta­ dad un convenio para fijar los límites en…</t>
  </si>
  <si>
    <t>…io á aquellos que no llegasen gundos contribuyentes. d o , pero que constará en el D ia rio , hizo una proposición acu­ á tener noticia de dichas resoluciones; y segundo que ademas de Se dió cuenta de una adición del Sr. conde de Ezpeleta á sando al Sr. conde por actos de m alversación y abusos de su las jun tas provinciales debería haber juo tas de p artid o , porque este artíc u lo , la que fue tomada en consideración , y pasó á la auto rid ad ; pero no fue tomada en consideración esta acusación de esta m anera la cobran…</t>
  </si>
  <si>
    <t>…l­ y oportuna la proposición de los Sres. duque de Bailen , du que pueblo de Alcaudele. El parte que elevé al Gobierno de mente , com o los verdaderos elegidos. El secretario de Estado de Castroterreño , conde de V i g o , conde Ezpeleta , y D . José Y. M. se halla inserto en la Gaceta del dia 8 de Diciem­ de Pensilvanía, que habia denunciado altamente los fraudes c o ­ Isla Fernandez acerca de que se eleve un mensaje á S. M . para bre siguiente, y la simple lectura de este documento es metidos por el partido dem ocrático…</t>
  </si>
  <si>
    <t>…entido : que creyendo que la sociedad no podia Rectificó varios hechos el Sr. Ferrer. privilegios y preeminencias , de fueros y concesiones distintas permitir que siguieran adelante estos abusos, esas familias de­ El Sr. conde de Ezpeleta hace igualmente algunas justifica­ de los demas pueblos de la monarquía? No puede existir la mis­ bían entrar en mancomunidad, y debían ser admitidas en todos ciones. ma índole, no puede haber unidad constitucional. los oficios. Asi decia la ley, y aun hay m as; se puso pena al El Sr. L A…</t>
  </si>
  <si>
    <t>…fueran para el bien de los pueblos, lo aplico yo también vicios eu aquel distrito , se presentará á desempeñar el cargo de á las leyes. Diputado para que ha sido elegido por la provincia de M álaga. después de haber oido al Sr. Ezpeleta pronunciarse a s i , y h u ­ biera insistido en ello si S. S. no hubiera concluido de una ma­ Uno de los fueros que mas han comprometido la tra n q u ili­ Se leyó y pasó á la comisión de Peticiones la lista de las nera que me ha obligado á usar de la palabra. dad de aquellas provincias, p…</t>
  </si>
  <si>
    <t>…o b ie r­ otro rum bo distin to del que y o s u p u s e , y habiend o entendido mam ente detenido y prolijo, m u y superior á mis débiles fuerzas. no , se manifestó por a lgu no s D iputados el temor de qu e por al Sr. conde de Ezpeleta que creia S. S. que toda la cuestión A s i pues, y o me ceñ iré á manifestar ligeram ente lo que t i e ­ esta concesión se atacase el sistema actu al de Gobierno y la que nos ocupa se h a lla en el a rtícu lo 2.°, lo mismo que al se­ ne conexión con el ú lt im o período de nuestra h istori…</t>
  </si>
  <si>
    <t>…io, é indudablemente llegará fábrica platería de Martínez , en el que se ve por ahora: sin novedad á su destino, habiendo entrado en esta plaza á las Prospecto. El suntuoso monasterio del Escorial. tres de su tarde el general Ezpeleta,que viene á tomare! mando de las cuatro provincias, y á organizar el ejército de Reserva, El coro con su bellísima iglesia, en la que se oye el órga­ La excelente reputación científica que tanto en España co­ no con un singular efecto. \* cuyo 5.° batallón provisional cuenta ya con í2Q0…</t>
  </si>
  <si>
    <t>…mismo, labra en contra , le corresponde á la comisión, y de consiguien­ bían ceder al voto de las personas de cierta clase y teorías, si Por consiguiente ea esta parte podrá estar satisfecho el señor te la tiene el Sr. conde de Ezpeleta. hubiera oido al Sr. D. Antonio González, tal vez me habría conde de Ezpeleta y todos los individuos que hayan tenido Se leyó ei art. í. ° puesto acorde con S. S. y otros señores; pero oimos al Sr* Lleo- parte en aquellas Cortes, que merecen toda mi consideración. E! Sr. conde de E Z P E…</t>
  </si>
  <si>
    <t>EZPELETA</t>
  </si>
  <si>
    <t>…beneficios, del Emperador, que ordena educar á los hijos de estos m atri­ Se leyó el 64 » y hará que reuniéndose todos en derredor del trono excelso monios en la religión griega, mientras que las leyes de su Igle­ El Sr. conde de EZPELETA manifiesta que la comisión de­ de Y. M. sea una sola la voluntad para que cuanto antes se sia prescriben lo contrario. El Czar se ha irritado vivamente bería haber hecho una expresión de todos los casos, y no pre­ lleve á cabo la grande obra de nuestra regeneración política. contra el obisp…</t>
  </si>
  <si>
    <t>Ezpeleta, Fermín</t>
  </si>
  <si>
    <t>Fermín Ezpeleta</t>
  </si>
  <si>
    <t>…obo , n ú ­ dias , contados desde la fecha , se presenten á deducir su dere­ mero 8 , cuarto 2.®; apercibidos que de no hacerlo les causará cho habilitados en forma legal, pues de lo contrario se dará á E l mariscal de campo D. Fermín Ezpeleta con fecha 28 de entero p e rju ic io , pues se solicita su retención por haber grandes dicha herencia (de la cual se está formando inventario) el des­ Marzo da parte á este ministerio de que el comandante general sospechas de que sean falsificadas. tino correspondiente. Y para que co…</t>
  </si>
  <si>
    <t>…e la primera compañía de fusileros de este ba­ la provincia de A la v a , y á quien reemplazará áqui el de igual ieren l a dirección de los negocios de mi pais. tallón de mi man do y en este dia me da el parta siguiente. clase D. Fermín Ezpeleta ; debiendo pasar á Santander el bri­ Se acusa á los antiguos servidores de la corona de haber he­ El capitón de la prirnenrd# pSsfte * Y . como en la m adruga­ gadier Quintana , y á S. Sebastian el de la misma graduación cho, con todos los enemigos del Gobierno una coalición para a…</t>
  </si>
  <si>
    <t>EZVI</t>
  </si>
  <si>
    <t>…de la administración. Frontera, dice que desde hace 10 meses se ve injustam ente per­ drid la noticia m u y funesta para el crédito de la n ación , de seguido con uoa causa criminal , en la que el juez es al mismo El Sr. M EN D E Z V IG O : Pues, señores, yo repito lo que que se han falsificado varios documentos de la deuda del Esta­ tiempo parte y hasta v erd ug o ; y el carcelero que lo g u a r d a , ha dicho el Sr. Estéban, que es la in hu m anid ad de las in h u ­ do. Sobre esto quisiera hacer la interpelación: mis…</t>
  </si>
  <si>
    <t>Fabian</t>
  </si>
  <si>
    <t>…a al objeto que pronunciará tiembre últim o, que todos los acreedores á los bieaes de la men­ ó»; resultas de heiidas recibidas en los "Cu nipos de Gueri y Pa- D. Francisco Puche y Bautista. cionada testamentaría y quiebra del D. Fabian , presenten en r* ’^ea hallándose mandando la tercera división del ejército de 4.0 Desde las nueve de la noche hasta las dos de la m adru­ el término de 4^ dias ante los síndicos nombrados D. José Ig­ Catahiña, ?u plica al Congreso que en atención á los muchos gada del siguiente dia habrá bai…</t>
  </si>
  <si>
    <t>…, se ha padecido la de pouer folio i 0 , debiendo dia 28 del pasado Setiembre, se c i t a , llama y empRza á todos ier 12. Todo lo que se hace saber al público para su gobierno. los que se crean tener derecho á la quiebra de D. Fabian G ran­ El Sr. López recordándom e la lectura de Bentham roe re­ cordó tam bién un sofisma * yo no sé qu ién pueda en esto levan­ d e , vecino y del comercio que fue del Real sitio de Aranjuez,, tar el dedo: lo que digo s í, que no es el Sr. López. Y o he te­ para que en el preciso é improrog…</t>
  </si>
  <si>
    <t>Fabiani</t>
  </si>
  <si>
    <t>…é sejamos trate de adquirir mayor flexibilidad y soltura en indisciplina, que forzosamente han de conducirlos á su entrega CRUZ. A las ocho de la noche. Restablecida ya de su in­ los modales. Decir queia Sra. Llórente y el Sr. Fabiani han ó presentación ; y aun cuando asi no fuese, poco podrían resis­ disposición la Sra. Campos, se volverá á poner en escena la estado admirables nos parece excusado. La Sra. Bravo ha tir al numeroso, valiente y aguerrido ejército que está pronto aplaudida ópera bufa en dos actos, del maest…</t>
  </si>
  <si>
    <t>Fabiani, María</t>
  </si>
  <si>
    <t>María Fabiani</t>
  </si>
  <si>
    <t>…ccfeo repre­ sado, los colores aparecieron todos apagados; unos sin vida, D oña Teodora Lamadrid. sentante del Sr. fiscal eclesiástico, que por enfermedad no pudo si no es que se perdieron absolutamente. Algunos salones fue­ Doña María Fabiani. aú*tir. C &gt;mo dos horas duró su peroración, en la que no ha ron renovados del todo: el patio de las Muñecas quedó con­ Doña Concepción Lapuerta. dejado de desplegar vastos conocimientos en legislación y su cluido, cuya operación está ejecutada con inteligencia y gus­ Doña María Vierge…</t>
  </si>
  <si>
    <t>Fabiau</t>
  </si>
  <si>
    <t>…os corrientes dar á estos mismo: tos de testamentaría de los bienes que han quedado por la de­ 5.° L A CASA E N V E N T A , divertida comedia en un acto. niños y demás pobres del establecimiento una abundante comida función de D. Fabiau G rande, vecino y del comercio que fue 5.° En el mismo dia 6 , hora de las nueve y media, cele­ del Real sitio de A ranjuez, en los cuales se ha mandado por el brar una solemne función de iglesia, en la de San Bartolomé Sr. juez D. Ramón de Lizarzaburu en providencia de 28 de Se­</t>
  </si>
  <si>
    <t>Fabre</t>
  </si>
  <si>
    <t>…contiene. Asi es que mientra* vemos otro* establecimientos De ingles el Sr. Olivan. lumna que opera en ei valle del Tietar á las órdenes del coman­ nacer y morir casi en un punto, y algunos vivir pero cou una De geografía el Sr. Fabre. dante D. Luis Serrano , tuvo noticia como eu el pueblo de Fres- vida valetudinaria y achacosa , el nuestro se alimenta , pros­ De árabe el Sr. Berinudez. nadilla se hallaba el cabecilla Navarro el dia 27 con 4 O hom­ pera y promete una larga y robusta virilidad. De economía política el Sr. V…</t>
  </si>
  <si>
    <t>…lecciones son provechosas, y de una inm ediata u ti­ ventaja está de vuestra p arte, puesto que yo os escucho á san­ seria difícil al distinguido talento é instrucción del Sr. de San­ lidad. Esta cátedra es desempeñada por el Sr. Fabre. gre fria,co m o escucharía los delirios de un enferm o, y cada taella. 1 Idiomas.=Se hallan instaladas finalmente en el Ateneo v a­ respuesta mia os hace un mal horroroso? ” _^.Sí: convenero en Fisiologia.=Otro de los ramos que al paso que entra en una rias cátedras, en las que se enseñan lo…</t>
  </si>
  <si>
    <t>Fabre, Francisco José</t>
  </si>
  <si>
    <t>Francisco José Fabre</t>
  </si>
  <si>
    <t>…....................... 8 Lunes.=De siete á ocho, D. Juan Mieg , aleman. pales librerías, adelantando el importe de ua mes. Sra. marquesa de Valdejeroa................................................ 20 Idem.=:De ocho á nueve, D. Francisco José Fabre, geo­ El que gustase suscribirse podrá verificarlo en adelante al D . Angel Casimiro Govantes. .•.. .................................... 40 grafía. corriente de la publicación, tomando los cuadernos atrasados á D . Autonio P e r e z .......................................... 4Q…</t>
  </si>
  <si>
    <t>…intermedio de b aile; terminando la función coo Ateneo de M a d rid . Han ingresado en este dia , depositados por 157 la graciosa y divertida comedia en un acto, cuyo título ea individuos , de los cuales 12 han sido nuevos D. Francisco José Fabre, catedrático de geografía en este imponentes..................................................................... 29,425 MI TIO EL JO RO BADO . establecimiento , continuara sus lecciones los lunes y jueves á 9e han devuelto á solicitud de 4 interesados.. . . 4 ^ 9 ». 2 las och…</t>
  </si>
  <si>
    <t>FACde</t>
  </si>
  <si>
    <t>…artículos en particular. Doña Ventura González Romeo........................................... 80 El Sr. P R E S ID E N T E anuncio que mañana continuaria la discusiou de los asuntos pendientes, y levantó la sesión á las Doña F. A. C. de M ............................................................... Doña R. II. y P ......................................................................... 380 20 CORRESPONDENCIA DE LA GACETA. cinco. La Sra. marquesa viuda de San M artin.......................... 80 Valencia 1.° de…</t>
  </si>
  <si>
    <t>Facunda</t>
  </si>
  <si>
    <t>…de la de Noviembre de l859.=D iego Bahamonde.=Por su mandado, Huertas después del 25 de Julio de 1834, se servirá dar aviso villa de Taraocon el comandante de su cantoa D. José Valen- Bernardino del Pozo y Mora. á su hermana Doña Facunda., que habita calle de Preciados, zuela con la tropa de caballería de su mando en dirección al núm. 6 0 , cuarto 5.° de la izquierda. monte de Santa Cruz de la Zarza , en donde se le dió aviso exis­ ___ tía una partida de latro-facciosos que se habian apoderado de " ¿KJSatm&amp;mmuHMmmm— ^ r-…</t>
  </si>
  <si>
    <t>Facundo</t>
  </si>
  <si>
    <t>…ional que el de guerra. El conocido patriotismo y la pru­ Los antiguos y nuevos individuos pertenecientes de la re­ víveres que experimentan , la que solo guarnecen los paisanos dencia de mi sucesor el Excmo. Sr. segundo cabo D. Facundo unión de los 2 2 L , han sido convocados para esta noche en ca­ que han tomado las arm as: continúan el foso exterior que Infante, queda con la noble misión de hacer brillar la justicia sa del genera! Jacqueminot. Ademas de los Diputados que se abren por la parte del Eludió , en el que traba…</t>
  </si>
  <si>
    <t>Fadrique</t>
  </si>
  <si>
    <t>…los facciosos, dos de los cuales cayeron luego en poder del comandante de armas y de la Milicia nacional de la Puebia dora y la Serm a. Sra. Infanta D o ña María Luisa F e r ­ cha 25 del actual me cotnunica lo siguiente: de Don Fadrique, que con 50 Nacionales y cuatro caballos sa­ n a n d a , c o n tin ú a n en esta corte sin n o v ed a d en su im ­ visiónExcmo. Sr. í El Excmo. Sr. comandante general de la 2.a di­ lió en persecución dicha gavilla. de este ejército con fecha de antes de ayer me dice lo Que en dos encuentr…</t>
  </si>
  <si>
    <t>…isto situaciones graciosas y María Fernandez. Esta composición es de un mérito correspon­ de documentos de la deuda pública, con arreglo al Real bien desenvueltas , y no se ha curado de buscar filosofía , quizás diente al de Don Fadrique, obra también del autor; en ambas \ | decreto de 15 de Marzo de 1857 é instrucciones posteriores, porque ignora lo que esto quiere decir; porque el público uosabe se conoce su gusto por el clasicismo y por el romanticismo , por I j compuesta de su vicepresidente el Excaso. Sr. D. Autouio Ra…</t>
  </si>
  <si>
    <t>…ar oportunamente del beneficio de la licencia que El salón que corre en frente de la puerta principal se tiene tidos. S. M . me concede: circúlese á las autoridades, corporaciones, por el lugar en qué acometieron los maceros á D. Fadrique por intendencias y subdelegacion de Matanzas con este decreto; p u - primera vez; alli hay una reja que da al ja rd ín , que tal vez S. M . la Reina Gobernadora en su vista se ha servido biíquese todo en los periódicos para general n oticia, y tómese seria la puerta del corral, en el que…</t>
  </si>
  <si>
    <t>Fagel</t>
  </si>
  <si>
    <t>…mente habéis cor­ tranquilidad ha sido la consecuencia de nuestra sumisión á las* respondido á la convocación que os ha reunido en sesión ex­ leyes, y del respeto á las autoridades constituidas; y la riqueza El general barón de Fagel , enviado extraordinario y m i­ traordinaria, es una nueva prenda de vuestro amor al pais. y prosperidad , fruto necesario y precioso dé la seguridad, tam­ nistro plenipotenciario de S. M. el Rey de los Paises-Bajos, ha » A las materias que os he sometido , está unida una cuestión bién ha eman…</t>
  </si>
  <si>
    <t>Fagoaga, Joaquin</t>
  </si>
  <si>
    <t>Joaquin Fagoaga</t>
  </si>
  <si>
    <t>…en posesión agena hasta encontrarse con los Contador.=zSr. D. Antonio Guillermo Moreno. señores maestros libreros, mancebos y aprendices; y necesaria trabajos de otro. l)e este m odo se trabajaba con cierta no­ Tesorero.szSr. D. Joaquin Fagoaga. á todas las personas amantes de las bellas arles. Escrito eo bleza que hoy se ha perdido con no poca influencia en la Secretario.—Sr. D. Ramón Mesonero y Romanos. francés por L. Sebastian-le-Normand , profesor de ciencias desm oralización de los mineros. Yocales.zzExcmo, Sr. duque d…</t>
  </si>
  <si>
    <t>Faiguerra, Manuel Perez</t>
  </si>
  <si>
    <t>Manuel Perez Faiguerra</t>
  </si>
  <si>
    <t>F.l caballero Francisco Morales, clérigo de menores. 8.. 4 provincia de Santiago de Cuba, cantidad lí­ 1 ,6 6 0 .... 5 0 0 ............. Cádiz. El presbítero D. Manuel Perez Faiguerra , teniente quida............................. . . ......................... . . . . . . . 290.¿ 5£ 1 9 ,9 3 4 .... 500.............. M adrid. de cura déla Chorrera............................................ .. 8.. 4 Los Sres. regente, magistrados, dependientes de la 1 8 ,7 9…</t>
  </si>
  <si>
    <t>Fairbrother</t>
  </si>
  <si>
    <t>…atallón; D e la r u e , capitán de caballería; B o re l, capitán de es­ S. M. la R e i n a , s u augusta Madre la R e i n a G ob ern a­ L a sociedad filantrópica de Bristol ha concedido la medalla tado mayor. de plata al doctor Fairbrother , de Cliston, por haber vuelto á Estado m ayor general.—Perrot, teniente coronel, gefe de dora y la Serma. Sra. Infanta Doña María Luisa Fer­ la vida á un joven que había estado bajo del agua por espacio estado mayor gen eral; V ale ry de S iz iaqu e, gefe de escuadrón; nanda, continúan…</t>
  </si>
  <si>
    <t>Fairfield</t>
  </si>
  <si>
    <t>…elegirme un defensor dependía precisamente de vos. de alcanzasen sus recursos. De las últimas noticias de M aine Londres 16 d e M ayo. I El co r reg id o r xNombrad un defensor, y le h a r é v enir a l aparece que el gobernador Fairfield seguía mandando su M i l i ­ Ayer, noche se ha celebrado en el café de la Corona y del ! momento. cia hácia la frontera; y de las de las provincias, que estaban en Ancora una reunión general de la asociación de ios p r e c u r s o ­ . I Mr, Vincentx Esto no es fácil, porque yo no conozco…</t>
  </si>
  <si>
    <t>Fairíield</t>
  </si>
  <si>
    <t>…omunes de interpelar con el Gobierno de Maine para ejecutar las disposiciones fija­ y censurar al Gobierno en las circunstancias que exigen seme­ Y DEL DESPACHO DE L A GOBERNACION DE LA PE NINSULA. das por ellos. El gobernador Fairíield ha dirigido al cuerpo le­ jante medida , y examinaré si es necesaria una averiguación. Dirección general de Presidíos.= Excmo. Sr.=E n varios pe­ gislativo de M a in e, bajo la forma de m ensaje, un documento Se pretende que la mocion que presento es un atentado á los riódicos de esta cap…</t>
  </si>
  <si>
    <t>FALCES</t>
  </si>
  <si>
    <t>…s para conocimiento del público. riqueza industrial y comercial. po de extender su dictamen. Art. 49. Por el resultado de los documentos que se puntua- Art. 62. Se admitirán á los pueblos en data de este cargo: El Sr. Secretario FALCES observó que estando pendiente lizan en los artículos anteriores, regularán los ayuntamientos 1.° las cantidades que consten debidamente satisfechas por las de discusión este dictámen desde la legislatura pasada, se estaba de los pueblos el valor en metálico á que ascienda la mitad del buenas…</t>
  </si>
  <si>
    <t>FALCES, Secretario</t>
  </si>
  <si>
    <t>Secretario FALCES</t>
  </si>
  <si>
    <t>…es oficiales para conocimiento del público. riqueza industrial y comercial. po de extender su dictamen. Art. 49. Por el resultado de los documentos que se puntua- Art. 62. Se admitirán á los pueblos en data de este cargo: El Sr. Secretario FALCES observó que estando pendiente lizan en los artículos anteriores, regularán los ayuntamientos 1.° las cantidades que consten debidamente satisfechas por las de discusión este dictámen desde la legislatura pasada, se estaba de los pueblos el valor en metálico á que ascienda la mitad…</t>
  </si>
  <si>
    <t>Falcó, Bernardo</t>
  </si>
  <si>
    <t>Bernardo Falcó</t>
  </si>
  <si>
    <t>…cosas no ha variado ; pero los diarios inglesés repiten que el al­ D. mirante francés sé ha apoderado de la isla dé M artin (iárcía. « D . Joaquín Patiño. (Sun.) Castellón d e la Plana • D. « D . Diego Medrano. Salam anca. D. Bernardo Falcó. « D . José Cafranga. FR A N C IA . Marques de Espeja. C iudad-R eal. Santander. Paris 25 de D iciem bre. Conde de Luchana. «M arques de Santa Crnz. «Conde de Casa-Puente. Con motivo de ser domingo no há habido bolsa ni han ce- «M arques dé Miraflores. « D . José de Isla Fernande…</t>
  </si>
  <si>
    <t>Fandoas</t>
  </si>
  <si>
    <t>…en sus aposentos, salieron de ellos el 21 por la tarde: los idem ; compañía de zapadores del segundo regimiento. grabadores saldrán el 5 1 ; los escultores el 9 de Setiem bre, y ios D ivisión de cab allería.—Teniente general de Fandoas. ^3 por el de Cuenca , dictó las órdenes mas enérgicas para su cap­ arquitectos el 16. El 4 empezará la exposición. Primera b riga d a: mariscal de c a m p o , V id al de L e r y ; regi­ t u r a ; y en su virtud la M ilic ia nacional de la villa del Pozue­ miento núm. 5.° de lanceros; núm.…</t>
  </si>
  <si>
    <t>Fano, Antonio</t>
  </si>
  <si>
    <t>Antonio Fano</t>
  </si>
  <si>
    <t>…gualdad ante Dios. llegó á esta con el correo general, y salió ayer para Cádiz, el ' número, en el término de 20 dias; en inteligencia que el re­ Un domingo, antes de vísperas, entraron en la iglesia con capitán de artillería D. Antonio Fano, quien por orden del mate se verificará el 28 del corriente á las doce de la mañana os sombreros puestos, sin que manifestasen la menor provoca­ Gobierno pasa á Londres con el objeto dé reconocer y recibir en la habitación de su señoría, sita en la calle de Santiago, ron. A las reconven…</t>
  </si>
  <si>
    <t>Faro</t>
  </si>
  <si>
    <t>…ngue. Santa Cruz, sin embar­ de operaciones de la octava división militar. aprehendido á un desertor y presentádose otros tres implorando go de su derrota, fue recibido en Lima con mil pruebas de Está conforme. Cuartel general de Faro í.° de Julio de la gracia de indulto : y que en una casa del pueblo de la G a - aprecio. 1859.=CC. Pedroso , teniente coronel, gefe de estado mayor. teira ha sido encontrado por el juez de primera instancia del Se habla de levantamientos en el N orte, cerca de Trujillo, partido de la Lama el ex…</t>
  </si>
  <si>
    <t>Fascite</t>
  </si>
  <si>
    <t>…re la ciudad de Argel si no nos lle­ desde 14 de Febrero de 1794 &gt; J ^ doctor Domingo Ileo eres, legua y media de distancia de nuestras murallas ,’una columna gan refuerzos cuanto antes. El msl tiempo y los enemigos ha­ obispo de Fascite, coadjutor desde 8 de Setiembre de 1890) han del ejército de A bd-el-K ader, dirigiéndose desde los alrededo­ cen tan difíciles las comunicaciones, que el mariscal teme no po­ sido arrestados y decapitados en el oses de Julio último. Siete res de la Maison Carree al campamento de los zuavos…</t>
  </si>
  <si>
    <t>Fcsoj</t>
  </si>
  <si>
    <t>…pero no por eso ha de deducirse que aquellas razas fuesen incapaces de adelantar; debe Los suscriptores á la Revista mensual de medicina y cirugía atribuirse a otras causas. En G recia, donde la religión no Dirección general del Fcsoj^o público. que se publica en Cádiz, pueden recoger el cuaderno 6.° y ade­ era otra cosa que una serie de festividades en honor de lantar el importe del 7.° á la misma librería. deidades placenteras, el arte no podia permanecer estacio­ Los billetes que siguen procedentes del contrato de víve…</t>
  </si>
  <si>
    <t>Fe, Infanta Doña María Luisa</t>
  </si>
  <si>
    <t>Infanta Doña María Luisa Fe</t>
  </si>
  <si>
    <t>…las negociaciones directam ente con M e h e m e t - A l í , y que un t á r ­ S . M. la R e i n a , s u augusta Madre la R ein a G obern taro ha salido y a para aquella ciu d a d con este objeto. Los m u ­ dora y la Serm a. Sra. Infanta Doña María Luisa Fe sulm anes están contentísimos del nuevo aspecto que han tomado BELG ICA. las c o s a s, y en p a rtic u la r los comerciantes. Se cree que la es­ n an d a, continúan en esta corte sin novedad en su ir B ruselas 20 d e N o viem b re. c u a d ra otomana volverá m u y p ro…</t>
  </si>
  <si>
    <t>Fe, Sabas</t>
  </si>
  <si>
    <t>Sabas Fe</t>
  </si>
  <si>
    <t>…const i tuci ón física por resultas del descui do en sus primeros i zqui erdo. l egua y medi a á la derecha de la c i u d a d se remonta el volcan cóni* a ñ o s , y de las i deas equi voca da s de las personas á c u y o cargo D. Sabas Fe r n a nd e z , de nueve años de e d a d , moni t or de co del Vesubi o, á c u y o pie reposan las vi ll as de Pórtici y Re s i ­ cor re, se ha dedicado á sa l va r aquellos d e fe c t o s ; porque en ver­ la sépti ma cl as e, por su apli caci ón y méri to sobresaliente eu los na, si t uada…</t>
  </si>
  <si>
    <t>FE, Secretario</t>
  </si>
  <si>
    <t>Secretario FE</t>
  </si>
  <si>
    <t>…aqui las razones que yo be tenido para presentar mi en­ Leido el dictamen de la comisión sobre anulación de las que la de Bilbao. m ienda, porque quiero que la responsabilidad que pudiera ha­ elecciones de Huesca , dijo El Sr. Secretario FE L IU : No se ha recibido otra exposición ber en esto la lleve el Gobierno y no los Cuerpos colegisladores El Sr. conde de las N A V A S que hubiera deseado que la que la de que se ha dado cuen ta, firmada por mas de 900 in­ haciéndoles perder el prestigio, comisión concluyese su dict…</t>
  </si>
  <si>
    <t>Federico</t>
  </si>
  <si>
    <t>…los que se po sus talentos y esmerada aplicación. No h ay escalones, á imitación de la Giralda de S e v i ll a , y la presentan para determ in arla; el empeño que por esta razón han En seguida fueron también llamados á la mesa D. Federico cuesta es tan espaciosa que el Rey Cristiano iv subió en su co­ tomado los Gobiernos de Europa, ofreciendo grandes premios M o lin a , D. M anuel M o lio a , D. Tomas Trigueros y D. José de c h e , acompañado con varios señores á caballo. La torre termina para estimúlar la atención de los…</t>
  </si>
  <si>
    <t>…le inclinaba reos &amp; c., produciendo todo medio m illón de pesos poco mas ó comparable general en su siglo, nació en 1508. Fue hijo de su genio inflexible, y con su rigor mantuvo su autoridad. D u ­ menos. D. García y nieto de D. Federico, primer duque de Alba de rante el Gobierno suave de Margarita de Partna, regente por Tal es el estado ruinoso de hacienda pública á que han re­ Tormes, y primo hermano del Rey Fernando el Católico. Su Felipe en los Paises Bajos, comenzó la sublevación ; el duque de ducido aquel rico pais lo…</t>
  </si>
  <si>
    <t>…N avarrete, contuso, y su caballo muerto. tad de zapadores, mandada por su capitán D . Juan Campuza- El teniente D. José Curtoy, su caballo herido. n o ,q u e con su actividad é instrucción facilitó cuanto le fue El alterez D. Federico B eruug, contuso. posible la marcha de la artillería. Totales, í gete herido: 1 oficial m uerto, 12 idem heridos: PARTE RECIBIDO EN LA SECRETARIA DE ESTADO El enemigo, acechando el momento de poder echarse sobre 5 idem contusos: 5 caballos muertos, 5 idem heridos. Y DEL DESPACHO DE LA GOB…</t>
  </si>
  <si>
    <t>Siendo pues el tipo de la p in tu ra la im itación de la n a t u ­ de las figuras feliz, de buen d ib u j o , y el colorido natural. Esta ' Segundo año de id.ziD. Lorenzo Ir¿:izo , D. Federico raleza, y la perfección de aquella la belleza de esta, claro es que señorita promete mucho , sí no abandona el buen camino q ue zarro y D . Anselmo Alvarez. todo lo que se separe de ella se opone al recto juicio de la r a ­ ha em p r e n d id o , pues no adolece de manera. Clase de de geo…</t>
  </si>
  <si>
    <t>…o heroicos del ejercito. D iputados . en 6 de Marzo último en el lugar de Q uintana Redonda , p ro ­ También es fecundo en buenos resultados y grato á pechos vincia de Soria , para que acudan á deducirle en el término de 1.° D. Federico V ito ria de Lecea. verdaderamente españoles, que los mas (si no todos por desgra­ 50 dias en el juzgado de primera instancia de esta capital al 2*° D. José M aría de Gortázar. cia) de los que en este suelo combatieron tanto nuestra regene­ cargo del Sr. D. M iguel de D uran y escribanía v…</t>
  </si>
  <si>
    <t>…ado el error que destruye el principio de este ra que no se crea apasionado, si en todo aquel artículo nen del 36 es inferiorísima, y acaso entre todos los echados no célebre filósofo. hay una sola alabanza de mas en favor de D. Federico hay un genio menos compadecido ni mas odiado que él. T al­ Manifestó que á pesar de todo esto se cree aun que los co­ mente repugna á mi carácter todo lo que puede oler á perso­ metas pueden enmedio de su carrera chocar con los planetas, en Madrazo. Pasemos ahora a exam inar si la composi…</t>
  </si>
  <si>
    <t>Feijas</t>
  </si>
  <si>
    <t>…Puebla, y el mayorazgo de Rofar y Mora, cuta. Será desempeñada música del maestro M ehui, que hace ya muchos años no se eje­ que actualmente disfruta la mencionada Sra. condesa , y que co , García , Caballero, Galan por la Sra. Feijas, y por los Sres. Blas­ antes los poseyó todos reunidos la última Sra. condesa de M ora, y Casado. Liceo artístico y literario de M adrid . se ha dictado providencia por el Sr. D. Joan José Rodríguez 5 .° Manchegas nuevas, sobre un tema de la ópera II conte Valdeosera, juez de primera insta…</t>
  </si>
  <si>
    <t>…dero música del maestro M ehul, que hace ya muchos años no se eje­ día para celebrar el jurado, se ha calificado el papel denuncia­ se ignora, para que comparezca en la audiencia de dicho Señor, cuta. Será desempeñada por la Sra. Feijas, y por los Sres. Blas­ do por los Sres. jueces de hecho que lo compusieron del modo sita en la plaza de la Constitución, repeso que fue de villa, en co , G arcía, Caballero, Galan y Casado. siguiente: el término de quince d ia s, contados desde el en que se inserte 5.° Manchegas nuevas, sobre…</t>
  </si>
  <si>
    <t>…licitado, música del maestro M ehul, que hace ya muchos años no se eje­ propusieron abrir á sus expensas este canal, y ahora últim a­ M E M O R IA en que se trata de algunos puntos relativos al cuta. Será desempeñada por la Sra. Feijas, y por los Sr es. Blas­ mente la construcción de un camino de hierro. Pero prudentes co , G arcía, Caballero, Galan y Casado. sistema del mundo y formación del globo terrestre que Manchegas nuevas sobre un tema de la ópera II conte avisos, semejantes á los del antiguo oráculo consultado po…</t>
  </si>
  <si>
    <t>Feijóo, Bernardo Placer</t>
  </si>
  <si>
    <t>Bernardo Placer Feijóo</t>
  </si>
  <si>
    <t>…ezca la discu­ Mariano Asensio; y para la promotoría fiscal del juzgado de A Rodríguez Valdeosera, ministro togado de la audiencia sión , procurará redactarlo con aquellas modificaciones que se Bande, vacante por traslación de D. Bernardo Placer Feijóo territorial de Zaragoza , y juez de primera instancia de esta cor­ consideren indispensables. Sin embargo no se persuada el Con­ que la desempeñaba, á D. Tomas Teijeiro. te, refrendada de D. Manuel Fernandez de Pazos, escribano de greso, ni crean los Sres. D iputados, que deje…</t>
  </si>
  <si>
    <t>Feijóo, D. Ricardo Henry. Sr. D. Manuel</t>
  </si>
  <si>
    <t>D. Ricardo Henry. Sr. D. Manuel Feijóo</t>
  </si>
  <si>
    <t>…Calderón Collantes. Sr. D. Luis Pose. Sr. D. Josc Moure. Presidente. Sr. D. Francisco Javier Ferro Montaos. Sr. D. José Valladares. Sr. D. Nicolás Fernandez Bolado. Sr. D. Mauricio García. Sr. D. Francisco Javier Istdriz. Sr. D. Ricardo Henry. Sr. D. Manuel Feijóo y Rio. Vicepresidentes. Sr. D. Nicolás de la Riva. Sr. D. Tomas de Prada , electo. Sr. D. Manuel de la Rivaherrera. Sr. D. José Fermin Muro , Secretario 4»° Oviedo. Sr. duque de Gor. Sr. D. Ramón de la Sagra.¡ Sr. D. Joaquin Rey. Sr. D. Antonio Loriga. Sr.…</t>
  </si>
  <si>
    <t>Feito, José</t>
  </si>
  <si>
    <t>José Feito</t>
  </si>
  <si>
    <t>…refrendada del escribano del número D. Eu­ Comprende varios decretos, órdenes y circulares del el perjuicio que haya lugar. genio del Castillo , se ha señalado el dia 20 del corriente para celebrar juuta de los acreedores de D. José Feito , la que ha Gobierno y de las direcciones generales. de verificarse en la casa habitación de dicho Sr. juez , que la Por providencia del Sr. intendente de rentas de esta pro­ tiene en la plazuela de S. M iguel, ndm. 6 , á las diez de di­ vincia se cita , llotna y emplaza á Ú, Pedro Tor…</t>
  </si>
  <si>
    <t>Fel</t>
  </si>
  <si>
    <t>…sto suceda espera de vosotros, jóvenes toledanos, con derecho á los bienes que quedaron por la defunción de Tercera compañía.=:Soldados: Juan R iera, Antonio Sort. esta asociación patriótica, que continuareis haciendo los mas D. Fel i pe Pedro M oreno, presbítero, canónigo que fue de la Cuarta compañía.—Soldados: Gerónimo Contiche, Sebas­ rápidos progresos en el dibujo con la asiduidad y aplicación santa iglesia primada de esta dicha ciu dad, para que en el tian F o rt, José Baldií, Vicente Nadal. que hasta el dia. Penetrá…</t>
  </si>
  <si>
    <t>FELI</t>
  </si>
  <si>
    <t>…s otros, á los cuales, como á estos, animase una misma intención A LAS CORTES. calles y su fácil propagación, son causa de que ambos géneros y un recto proceder. de escritos se confundan muchas veces , y de que con nombre El Sr. F E L IU : Interpelado por el Sr. Benavides, me veo El estado en que se encuentra la libertad de imprenta hace de hojas sueltas se hayan publicado verdaderos periódicos sin en la necesidad de contestarle. S. S. lo ha hecho con el tacto indispensable una reforma completa en la legislación vigente los…</t>
  </si>
  <si>
    <t>Feliciano</t>
  </si>
  <si>
    <t>…de la Encarnación de Nestares, por 55452 rs.: Doña María del sensual Jorge iv. el endurecido guerrero toda la expresión de la fuerza Amalia de V iegas, por 3154 rs.: la viuda y herederos d? Don Manuel de U lloa, por 180 rs.: D. Feliciano dé Lara , por 500 Veamos pues si el siglo sabe desem peñar su cargo. La material exaltada é impetuosa sometida á la dom inación reales: D. José Ordovás, por 84OO rs.: los herederos de D. A n ­ cuestión queda resuelta con solo no em peñarnos en cerrar moral de la creencia. D os bellísimo…</t>
  </si>
  <si>
    <t>Felipe</t>
  </si>
  <si>
    <t>…distancias lunares. D. J u a n R u b io , D. Antonio S e g a le r v a , D. Eugenio S o u b i- á la puerta de la torre h ay la siguiente inscripción : D octrinam Satisfizo completamente las preguntas relativas á determi­ ron , D. Felipe B e n a , D. Angel Iñiguez y D. José Oliver , se e t justiliam d ir ig e J e h o v a in co r d en i c o r o n a d Christiani n ar la longitud por ambos medios, y principios en que se fun ­ les manifestó que en razón á lo bien que lo habían hecho, y q u a rti , 1642. wD ir ig e , Señor , el co…</t>
  </si>
  <si>
    <t>…vas.=:Alcon —Gutiérrez de Ce- Otra id. en loma de la Fuente , término H u ércal, la Guer­ vallos.—Conde de las Navas.=Sanchez de la Pneaie.^Sautüüja.zz Núm. 42. El obispo y cabildo de la santa iglesia de S a la ­ rera , por D. Felipe V iciana , en 20. I ñ i g o , secretario. Uoa fábrica de fundición plomiza , Jo y u elas, término de manca remiten un tanto de una exposición que á S. M. d f i i - D alias, por D. Francisco Daza , en 24 . gio sobre la Rea! orden de 19 de J u n io último para llevar á Num. 56. D. M anuel Jo…</t>
  </si>
  <si>
    <t>…ca-p ian o .= :D . M an uel S e r r a , D. Federico P i ­ estas deben ser casi inperceptibles y de tal delicadeza, que solo se bor á D av id Teniers y á Y a n -H o s ta d e . Todos son preciosos, z a r r o , D. José C a s i, D. Felipe V a rg as y D . R odrigo Vargas. distingan co?nparándolas unas con o tr a s , por hallarse todas su­ coa especialidad la vista del rio Manzanares por la parte de la Clase de dibujo.z=D. Federico P iz a r r o , D. R odrigo V argas, jetas á la idea de un solo tono , en cualquiera de los diver…</t>
  </si>
  <si>
    <t>…el pueblo que tanta ventaja les ofrecía; y que el ayudante cantidades de 5 0 , 100, 500 y 13 r s ., los que serán entre­ cios que presta la Milicia nacional, se ha servido S. M. de E. M. capitán de la Guardia Real provincial D. Felipe A l- gados por las intendencias en cam bio de los certificados mandar que los capitanes generales de las provincias y varez de Sotomayor, acompañado del capitán teniente del cuer­ expedidos por las comisiones de requisición al mes de su los generales en gefe de los ejércitos expongan á S. M.…</t>
  </si>
  <si>
    <t>…oso , D. M ariano Lorente, D. Carlos tantemente eu cuanto interese al bienestar de la c iu d a d , y de­ han llegado unas hasta acabar la primera p a r t e , y las otras del Boseh y R o m a n a , D . Ju a n Diego M a rtín e z, D. Felipe dicando toda nuestra atención en realizarlo. hasta la lección 11 inclusive. Ruiz C ach u p ín , D . José Mazario Molina y D . Rainon de Nuestros sentimientos cou respecto á este punto son los mis­ Lectura.—Son tres las secciones, y se instruyen por el mé­ G alindez; habiendo declarado no habe…</t>
  </si>
  <si>
    <t>…nio Campos M a r in e e n 19. celona, C i u d a d - R e a l, Castellón , Valencia , Osuna , T u y , T o ­ Otra id., loma de la Fuente, término de H uercal, la Guer­ BIB LIO GR AFIA. ledo , G eron a, M urcia y Lu go, rera, por D. Felipe V icia na, en 19. Otra id., tas Hoyuelas, término de Dalias, fábrica de fu n ­ R ELA CIO N A U TE N TIC A DE L A B A T A L L A DE P A - dición , por D. Francisco Daza M árquez, en 22. V I A , publicada por el Consejo del Emperador y Rey Otra id., sierra Almagrera, barranco Jaroso, término d…</t>
  </si>
  <si>
    <t>…te la R ei­ g rim a s , y rem ediar los males de que por espacio de seis años n a , donde fueron licenciados los in d ivid uo s de tropa. hemos sido testigo s; añadiendo V . M . este título mas á los m u­ El teniente general D. Felipe R ivero queda en el mando S . M . la R e i n a , s u augusta Madre la R e i n a G o b e r n a ­ chos que y a tiene para empeñarse la g ra titu d y consideración en gefe de las tropas que dejo en estas provincias con las in s­ de todos los españoles. Ruego á V . M . se d igne acoger benign…</t>
  </si>
  <si>
    <t>…dente de Rentas de esta pro­ V ida de Napoleo» Bonaparte, coa notes sobre sus hechos vincia se cita , llama y emplaza por tercer edicto y término en E spaña, y consecuencias que h a » tenido: un tomito en 8.° de nueve dias á D. Felipe O ehayta y com pañía, D. José R i­ H istoria del rebelde Gome* al interior de E spaña, escrita Z a r a go z a 25 d e J u n io . vera y A ndrade, D. Vicente M artel, D. Lorenzo Garrigós y por su gefe de Estado m ayor para presentarla al Pretendiente Suarez y D. Manuel M aría de la O rden, en…</t>
  </si>
  <si>
    <t>…ritánica y el de coraceros de la brero último. Cartas de Tahiti anuncian que la fragata V e ­ Guardia , mandados por sus comandantes D. Guillermo Ho- nus habia llegado á aquella isla con objeto de pedir satisfacción gresve y D. Felipe C hiva, que habia hecho marchar en su de los insultos y crueldades cometidos con los misioneros fran­ Se ha dicho estos dias que Mahamud era hijo de una fran­ apoyo , cargaron á los euemigos , arrollándolos completamente, ceses cuando fueron arrojados poj* el populacho de la casa del cesa. T…</t>
  </si>
  <si>
    <t>…de Crónica general de España , que recopilaba el maestro F lo- c an a lla, á I» que causaron algunos muertos, varios heridos, y la Imprenta Nacional. El remate se verificará el jueves 2 6 de rian de Ocatnpo, coronista del R.ey D. Felipe tt, y posterior­ cog-idole la brigada ele acémilas con diferentes equip ajes, efec­ Setiembre á las diee de su mañana. mente continuó el maestro Ambrosio de M orales, con los tres tos y f u s i l e s , haciéndole también prisionero al famoso alp arg a­ tomos de opúsculos del mismo Morales. So…</t>
  </si>
  <si>
    <t>Felipe, D.</t>
  </si>
  <si>
    <t>D. Felipe</t>
  </si>
  <si>
    <t>…en una m o n t a n a , y n u n c a halla d a s en o t r o para­ tados por la corona de España con las Potencias extrangeras' j e a l g u n o , a u n q u e poseído de las mismas c irc u n sta n c ia s de desde el reinado del Sr. D. Felipe v. Tres tomos en f o l i o , edi­ t e r r e n o y c lim a, lin t re los m u chos e je m g lo s {pie c o n firm a n T ribun al m ayor d e ‘c uentas d el reino. ción de 1 7 9 6 , á 144 rs* en rústica. este h e c h o , esco gerem o s a q u í s olam en te el lamoso c ed ro Tomos sueltes, cada…</t>
  </si>
  <si>
    <t>Feliu</t>
  </si>
  <si>
    <t>…eguida continuará la discusión sobre fueros. niendo 2 6 el Sr. Temprado , y 17 el Sr. L u jan . bertad de llevarla á ejecución , haciendo las modificaciones que Se levanta la sesión. Para cuarto Secretario resultó electo el Sr. Feliu por 77 vo­ crea convenientes, sin sujetarse á ningun a disposición de las Eran las cinco menos cuarto. tos del total de 9 7 , resultando con 7 el Sr. Egaña , 7 el señor Cortes; libertad ó facultad q u e, por m uy am plia que sea, no M a d o z , 2 el Sr. L a C a l l e , y 1 cada uno de ios Sr…</t>
  </si>
  <si>
    <t>FELIU</t>
  </si>
  <si>
    <t>…o Vergara en 51 de Agosto del presente año entre el finitivamente votado el asunto. danos de la invicta B ilbao, cuyo número llega á 9 0 0 , de ese ilustre capitán general duque de la Victoria y el teniente ge­ El Sr. Secretario FELIU dice que ha declarado la votación pueblo heroico que tiene todas mis afecciones y la considera­ neral D. Rafael M afoto, respetando la Constitución política en sentido de que no se lea la enmienda. ción de la nación entera , que ha contribuido con su resistencia de la Monarquía de 1857, qué to…</t>
  </si>
  <si>
    <t>…se halla en un caso igual para impugnar el que tos del total de 66 votantes. «n las suyas está este arreglo con sola una restricción. Podrá hora se discute con las mismas arenas que me suministra, y Para cuarto Secretario el Sr. Feliu por 52 votos del total «n esto haber habido pasiones , como el Sr. Madoz preten­ ara demostrar á la comisión que há incurrido en una contra- de 69 votantes. de; pero nunca ilegalidad. ¿ H a y ó no el número de distri­ iccion evidente. Ocuoaron en seguida sus asientos los Sres. Secretarios nue­…</t>
  </si>
  <si>
    <t>…ubre su generoso des­ mismas láminas que me permitió este hacer tirar de mi cuen­ citnirnto al Congreso* prendimiento á favor de la benemérita clase que simboliza y ta , y que ya van caminando para M adrid &amp;c. El Sr. Secretario Feliu ocupó la tribuna y leyó una propo­ presenta las glorias y heroísmo del ejército nacional ; asi ruego La Real sociedad económica matritense, á cuyo cargo se sición suscrita por 85 Sres. D iputados, en la que se propone el á V. se sirva insertar en la Gaceta de m añana, si es posible, halla el…</t>
  </si>
  <si>
    <t>…v a y a n inscribiendo los nombres en la sección respectiva. necesarias, y el Sr. Calderón de la Barca y otros varios señores Se leyó y quedó publicada como ley en el Senado, acor­ Verificado el sorteo, publicó el Sr. Secretario Feliu su resul­ hicieron la proposición sig u ie n te: dándose que se archivaría copia de la ley sancionada por S. M. t a d o , quedando dividido el Cougreso de la m asera siguiente: Pedimos que al art. 57 de la ley electoral se añada que no en Febrero anterior sobre extracción del corcho de Salaman…</t>
  </si>
  <si>
    <t>…ción del Sr. Pascual Labia sido porque hoy se firmado , y la comisión por lo tanto no lo ha podido tomar en testación al discurso de la C o ro n a , uo se presentarían cuestio­ leería y la apoyaría S. &amp; ; sin embargo rogó al Sr. Feliu que consideración, pues no sabe de dónde v ie n e ; oficialmente uada nes relativas á política y ad m in is tra tiv a s , y el Gobierno sin la leyese para que se viese su conformidad coa lo que decia le consta á la conúsion , porque no tiene n in gú n documento. embargo ha visto que esto no…</t>
  </si>
  <si>
    <t>…e tener pre- Infinitas son las circunstancias que hacen notable esta bella supuesto del año 59. ents que los errores en política dan por resultado una lucha ó posesión, entre las que se distinguen una magnífica casa, gran El Sr. FELIU : La mesa contesta que no hay esa autori­ 3na sumisión. El Pretendiente existe todavía con su descenden- parte de dos abundantes minas de agua , plantíos de árboles zación. :ia; ha excitado las simpatías de un partido poderoso; las sus­ frutales de toda especie , y en una palabra , todo cuanto…</t>
  </si>
  <si>
    <t>…e dispensarme el Congreso , deseando rebatir a l g u ­ Talavera, González, la primera víctima que trató de sacrificar hogares, ó bien se les forme causa y castigue, si á ella han nas expresiones que he oido de mi compañero el Sr. Feliu , que á su furor fue al peticionario D. Antonio Resino y Estrada. dado lugar. me parece que en el calor de la improvisación no haya querido Añadió que tres veces habia recurrido al Congreso en el año El Sr. Ministro de la G U E R R A : El Sr. Yila empezó al ofender á personas que tienen la re…</t>
  </si>
  <si>
    <t>…inua vigilancia. podría contestarme el Sr. beliu, si usando yo de sus armas d i­ Atendiendo á las razones que me habéis expuesto acerca de El título 4.0 está destinado á definir las diferentes clases de jese: yo creo que el Sr. Feliu no representa la autoridad de la necesidad de hacer una reforma completa en la legislación i impresos para los efectos legales, á especificar las circunstancias una provincia , sino la de un parlido? ¿N o se quejaría y con actual sobre libertad de imprenta, como Reina Gobernado^ necesarias par…</t>
  </si>
  <si>
    <t>Feliu, José</t>
  </si>
  <si>
    <t>José Feliu</t>
  </si>
  <si>
    <t>…° O pinan do por la admisión de los suplentes por G ra n a ­ y repetidos servicios ? ¿Seria prudente separarlos gra dualmen- debilidad y la flaqueza que ha de conservar luego toda su vida. da y Gerona D. Césa reo María Saenz y D. José Feliu M i r a - menle, según propone la sociedad, para irlos castrando, esto El cuello se le adelgaza; los músculos pierden aquellas formas Hes, por renuncia de los Diputados propietarios electos por es, para ir haciendo malos á los buenos, exponerse á perder cuadradas que anuncian el vigor; el…</t>
  </si>
  <si>
    <t>FELIU, Secretario</t>
  </si>
  <si>
    <t>Secretario FELIU</t>
  </si>
  <si>
    <t>…celebrado eo Vergara en 51 de Agosto del presente año entre el finitivamente votado el asunto. danos de la invicta B ilbao, cuyo número llega á 9 0 0 , de ese ilustre capitán general duque de la Victoria y el teniente ge­ El Sr. Secretario FELIU dice que ha declarado la votación pueblo heroico que tiene todas mis afecciones y la considera­ neral D. Rafael M afoto, respetando la Constitución política en sentido de que no se lea la enmienda. ción de la nación entera , que ha contribuido con su resistencia de la Monarquía de 1…</t>
  </si>
  <si>
    <t>Feliu, Secretario</t>
  </si>
  <si>
    <t>Secretario Feliu</t>
  </si>
  <si>
    <t>…o con que cubre su generoso des­ mismas láminas que me permitió este hacer tirar de mi cuen­ citnirnto al Congreso* prendimiento á favor de la benemérita clase que simboliza y ta , y que ya van caminando para M adrid &amp;c. El Sr. Secretario Feliu ocupó la tribuna y leyó una propo­ presenta las glorias y heroísmo del ejército nacional ; asi ruego La Real sociedad económica matritense, á cuyo cargo se sición suscrita por 85 Sres. D iputados, en la que se propone el á V. se sirva insertar en la Gaceta de m añana, si es posible…</t>
  </si>
  <si>
    <t>…on agrado. v a y a n inscribiendo los nombres en la sección respectiva. necesarias, y el Sr. Calderón de la Barca y otros varios señores Se leyó y quedó publicada como ley en el Senado, acor­ Verificado el sorteo, publicó el Sr. Secretario Feliu su resul­ hicieron la proposición sig u ie n te: dándose que se archivaría copia de la ley sancionada por S. M. t a d o , quedando dividido el Cougreso de la m asera siguiente: Pedimos que al art. 57 de la ley electoral se añada que no en Febrero anterior sobre extracción del corcho…</t>
  </si>
  <si>
    <t>Feliú</t>
  </si>
  <si>
    <t>…as mas se presentaron, pido que Sesión d e l día 11 d e S etiem b re . con este objeto, presentó una proposición, c uya lectura se ve­ se lean. rificó á petición s u y a , pidiendo que la cuestión de fueros se El Sr. Secretario Feliú leyó las siguientes adiciones presen­ Se abrió á la una menos cuarto; y leida el acta de la ante­ discutiese con prioridad á la de contestación al discurso del tadas en aquella é p o c a: rior , fue aprobada. tronó. J . a Del Sr. Calderón de la Barca y otros varios Sres. D ip u ­ Ju r a ro n…</t>
  </si>
  <si>
    <t>Feliú, Secretario</t>
  </si>
  <si>
    <t>Secretario Feliú</t>
  </si>
  <si>
    <t>…: A lgu n as mas se presentaron, pido que Sesión d e l día 11 d e S etiem b re . con este objeto, presentó una proposición, c uya lectura se ve­ se lean. rificó á petición s u y a , pidiendo que la cuestión de fueros se El Sr. Secretario Feliú leyó las siguientes adiciones presen­ Se abrió á la una menos cuarto; y leida el acta de la ante­ discutiese con prioridad á la de contestación al discurso del tadas en aquella é p o c a: rior , fue aprobada. tronó. J . a Del Sr. Calderón de la Barca y otros varios Sres. D ip u ­…</t>
  </si>
  <si>
    <t>Fer</t>
  </si>
  <si>
    <t>…reseñé elogiar el inteligen­ T e n em o s a la v ista, y h em o s leid o co n to d a la a ten cio n q u e te celo desplegado por el primer consiliario de fe junta guber** tan delicado asunto merece el plan de educación que el Sr. Fer** nativa D . Patricio, de la Escosura, ú quien es el L iceo deudor gefe B0)&gt;ticp^ que ha. $ido detesta,,proviqcia, se* propone se­ MADRID 1 .° DE MARZO. no solo de solícitos desvelos, sino también de mas de un* 1* ^ guir en su cpjegio. Noest^Q. deb^w^ qpmp el d^ Aqdo jieriodisfe, jora positiva,…</t>
  </si>
  <si>
    <t>…L D E R O N GO LLA NTES observa que no se ha fue elegido,Diputado, era oficial de la secretaría de Gracia y piedad, no la jurisdicción : hoy la adquiere ; luego adquiere gra­ concedido ningún honor, grado ni condecoración al Sr. Fer­ Justicia , es decir, que tenia un empleo equivalente al de oidor de la audiencia de Madrid , que, como lodos saben, es de as­ cia que le sujeta á reelección. Otras razones pudiera alegar; nandez Baeza, pues el artículo de la Constitución solo sujeta á censo. Antes de s í r el Sr. Baeza ofici…</t>
  </si>
  <si>
    <t>…le he linda composición á una rosa: otra del Sr. Valdeloraar de asun­ se ha puesto la Real orden de 2 de Octubre por la cual se de­ enterado de cuanto ha sabido y se sabe. to religioso, titulada la Manifestación del Señor: el Sr. Fer­ roga la preferencia que a la clase que representa se daba por la P. D . Hoy ha llegado el jabeque de Málaga y ha traido nandez de Córdoba otra á las ruinas de Mérida , justo tributo ley de 24 de Julio respecto ai repartimiento de los intereses una Real orden por la que ae manda volver á la pla…</t>
  </si>
  <si>
    <t>…a, Hidalgo: Santiago, Rey Romero: V aleó cía, Jimeno : V i­ Paris, I 6-6 á 7. Granada, 11 papel id. toria , Barrio: Zaragoza, Yagüé; y eú Miadrid, librería de M álaga, i á f id. Contiene: Correspondencia secreta entre el Rey D. Fer­ Yiana calle de Carretas. - Santander, £ á £ id. nando vii y el Infante D. Carlos. Alicante, i i } d. Santiago, 1£ á 2 id. Anónimos sobre el estado político de Cádiz y la Isla , pro­ Barcelona á ps. fs., £ id. Bilbao, t papel id. Cádiz, \ id. Sevilla , £ á f id. Valencia, £ din. id. Zara…</t>
  </si>
  <si>
    <t>…:Ja copiuoicaciou de esta capital con lo corte. ; Sr Alfousa Gertrudis Mauáilla., viuda en primeras nupcias ñez de G u z m á n , D. F r. Bartolomé de las C asas, Francisco Sán­ de D.:Maouel Antonio Gavera » y é a ségúadas de. D. Fer na or­ chez, D . Alfonso de Villegas. do Rafael: Moreno ,, v&amp;ino que iu e de e^ta^oíte, y falleció én 15. Ñ u ñ o N ú ñ e z R asura , L a in C a lv o , Pedro N a v a r r o , ellad 4 de Noviembre de i 894 jopará qu^e dentro de 30 días, D , J u a n Bautista P erez, D. G erónim o Gómez de H u e r…</t>
  </si>
  <si>
    <t>…rtes; no teniendo el menor antecedente de que este ayun- temiento hubiese procedido con tanta ligereza, á pesar de que Una carta de Hannóver de 15 de Noviembre contiene los neral del cam po de G ibraltar, al teniente general D. Fer­ estoy al alcance de todo lo que se habla; y pareciéodome por siguientes detalles: nando Góm ez de B u trón , y declararle en cuartel con re­ lo tanto que los asertos del Eco notenian otra tendencia que el El Rey Ernesto no es un Monarca indolente: cada dia fra­ sidencia en G ra n a d a , ín…</t>
  </si>
  <si>
    <t>Fer, Gaspar</t>
  </si>
  <si>
    <t>Gaspar Fer</t>
  </si>
  <si>
    <t>…as libre­ de Escamilla y Cuesta el drama en cinco actos titulado Se dividirá en cuadernos, y cada semana saldrá uno. se vende á 18 rs. en rústica, en M adrid en la librería de Sojo, Diana de Chibri9 traducido del francés por D. Gaspar Fer­ Comprenderá de ocho á diez cuadernos de 40 páginas cada calle de C arretas, y ea las proviocias á 2 0 rs. nando Coll. uno, á 2 rs. en Madrid, y 2¿ en las provincias, franco de porte. Obras que se publican por suscripción en la misma impren­ ta y librería de Boix . CONSTITUCION EUROPEA,…</t>
  </si>
  <si>
    <t>Fer, Infama Doña María Luisa</t>
  </si>
  <si>
    <t>Infama Doña María Luisa Fer</t>
  </si>
  <si>
    <t>…rte, si causas pro­ Guerra. SVM. la R e i n a , su augusta Madre la R e i n a G o b e r ­ badas aconsejaren la reforma de esta disposición á S. M. la augusta Reina Gobernadora , que con la m ayor sa­ n a d o r a y la Serma. Sra. Infama Doña María Luisa Fer­ beneficio del Estado y de los particulares. Art* 10. La contaduría general de Valores acti­ tisfacción se ha enterado del triunfo que las valientes tropas nanda , continúan en esta corte sin novedad en su impor­ vará por cuantos medios eslen á su alcance, la ave­ del e…</t>
  </si>
  <si>
    <t>Fer, Infanta Dona María Luisa</t>
  </si>
  <si>
    <t>Infanta Dona María Luisa Fer</t>
  </si>
  <si>
    <t>…ustración, secretariok sagacidad y patriotismo de los dignos consejeros de la corona: S. M. la R e i n a , su augusta Madre la R eina G oberna ­ ellos arrancan mil y mil bendiciones á favor de los heroicos dora y la Serma. Sra. Infanta Dona María Luisa Fer­ Diputación provincial de Málaga.z±3eñora: Contaba ya sei; ejército y caudillos, que sin mediación extraña han adm irado- nanda, continúan en esta corte sin novedad en su im­ años de duración la guerra mas cruel y asoladora de que harár al mundo y dado la paz á la patria…</t>
  </si>
  <si>
    <t>Fer, Infanta Doña María Luisa</t>
  </si>
  <si>
    <t>Infanta Doña María Luisa Fer</t>
  </si>
  <si>
    <t>…p artir. S. M. la R e i n a , s u augusta Madre la R e i n a G o b e rn a ­ general á que me refiero, sino á participar de la gravedad de la situ ació n , ínterin su Real ánimo resuelve ío que aconsejan d o ra y la Serma. Sra. Infanta Doña María Luisa Fer­ las circunstancias y exigen la opinión y bien del pais. Como m ilitar y como español, procuraré llenar mi deber HOLANDA. nanda, continúan en esta corte sin novedad en su im ­ en el tiempo que h a y a de durar mi encargo á satisfacción de portante salud. la Corona y de…</t>
  </si>
  <si>
    <t>…fusiles y 12® cional.^Valentin Cortina.^Leonardo L am as, propietario. S. M. la R e in a , su augusta Madre la R e in a G o bernacartuchos; habiendo tenido por nuestra parte cinco muertos y 11­ heridos. d o ra y la Serma. Sra. Infanta Doña María Luisa Fer­ A ñade el, segundo cabo que el 24 llegó á L iria el general Azpirr z Con tres batallones y un escuadrón, y que el general Señora: Los españoles quieren paz, y con el orden la liber­ nanda, continúan en esta coVte sin novedad en su im­ tad. Y. M. se afana porque esto te…</t>
  </si>
  <si>
    <t>…Saucerre. á levantar de nuevo en esta asamblea nuestra apostólica voz por S. M. la R e i n a , s u augusta Madre la R e i n a G o b e r n a ­ causa de otros sucesos ocurridos en el propio reino de Pruúa d o r a y la Serma. Sra. Infanta Doña María Luisa Fer­ contra los derechos y libertades de la iglesia , especialmente en El Monitor Parisiense se explica en estos términos con lo que concierne á nuestro respetable hermano Martin , ¿rzobis- nanda, continúan en esta corte sin novedad en su im ­ lotivo del singular incidente…</t>
  </si>
  <si>
    <t>…guerra cuando la ocasión lo ha mercio, he dispuesto el aumento de sus fuerzas navales exigido, y émula del valiente ejército, merece como él la por medio de la construcción de vapores, y de las de tier­ d o r a y la Serma. Sra. Infanta Doña María Luisa Fer­ gratitud y reconocimiento de los pueblos. ra con la creación de algunos escuadrones y un regimien­ nanda, continúan en esta corte sin novedad en su im­ La mano creadora de la administración , detenida á ca­ to de infantería recientemente organizado en la Península po…</t>
  </si>
  <si>
    <t>…=:El S. M. la R e i n a , s u augusta Madre la R e in a G o b e r n a ­ Hija en el trono de S. Fernando; y la lealtad , el valor y la cons­ ntendente, Felipe S icilia.:^ osendo Clemente Zam oranr.izM a- d o r a y la Serma. Sra. Infanta Doña María Luisa Fer­ tancia la han sostenido en é l, en medio de la mas porfiada y luel E stoz=R am on Jumílla.:z:EI marques de Camachos zrJoa- sangrienta lucha. La justicia y la humanidad han triunfado al juin Moreno.rrPedro Cayuela.zsP. A . D . L. D . D iego Rubio nanda, continúan en es…</t>
  </si>
  <si>
    <t>…miento de la ley de lo de Noviembre de 1854, y Real orden de 18 de A bril próximo pasado. S. M. la R e i n a , su augusta Madre la R e i n a G o b er­ N ú m e r o de N u m erac ió n c r é d it o s , ó bo nadora y la Serma. Sra. Infanta Doña María Luisa Fer­ d e l a s b o la s S e r i e s con q u e e s t á n nos q u e h a n que represen­ d i s t i n g u i d o s l o s créd i-r sid o p r e m i a ­ Im p orte de cada bono Im p o rte de cada lo te nanda, continúan en esta corte sin novedad en su impor­ tan los l o t e s . to s…</t>
  </si>
  <si>
    <t>…evket con el C a p u - K ia y a de M e h e m e t- A lí, para notificar S. M. la R e i n a , su augusta Madre la R e i n a G o b e r n a ­ á este último las intenciones de las cinco Potencias. Se cree ge­ d o r a y la Serma. Sra. Infanta Doña María Luisa Fer­ L a prorogacion del Parlamento tendrá lugar el martes, y no neralmente que las Potencias mediadoras, sin tratar de privar nanda, continúan en esta corte sin novedad en su im­ ; el miércoles, como se habia dicho. á M eheraet-A lí de todo el fruto de la victoria de Nezib…</t>
  </si>
  <si>
    <t>…rovincias del S. M. la R e i n a , s u augusta Madre la R e i n a G o b e r n a ­ do y se ha alojado en casa del cónsul geaeral de Rusia. Con el Oeste: no se detiene en ninguna p arte , y cuando salió de su dora y la Serma. Sra. Infanta Doña María Luisa Fer­ mismo ha llegado M r. Horacio Vernet. campamento M r. R oche, estaba m uy inquieto con motivo del nanda, continúan en esta corte sin novedad en s u im­ movimiento de nuestras tropas desde Constantina á A r g e l , te­ miendo que fuesen á recocer las contribuciones que…</t>
  </si>
  <si>
    <t>…resentante de este pais en España desde el extrangeros de este pais? ¿H ab ría prescindido del solemne pac­ principio de la guerra civil en 1833. to con que la Inglaterra está ligada con la Reina de España? dora y la Serma. Sra. Infanta Doña María Luisa Fer­ M ilores: El noble marques ha informado á V V . SS. de los ¿H ab ría admitido á D. C árlos, cualquiera que sea su opinión nanda, continúan en esta corte sin novedad en su im­ motivos que ha creído le debían impulsar á llamar la atención sobre los derechos de este prínci…</t>
  </si>
  <si>
    <t>…ota en el cion, y ella y sus representados sacrificarán gustosos sus inte­ ministerio de Gracia y Justicia de este distinguido servicio reses para sostener el heroico ejército, que tantas glorias nos ha d o r a y la Serma. Sra. Infanta Doña María Luisa Fer­ para que les sirva de mérito en su respetiva carrera. dado y prepara , consolidando el trono de nuestra inocente Rei­ nanda, continúan en esta corte sin novedad en su im­ na y la Constitución de 1837 que hemos jurado. Estos son , Se­ ñora , los sentimientos que animan…</t>
  </si>
  <si>
    <t>…e r n a ­ 75 heridos. En los siguientes dias hasta el sitio in clu siv e , las rindieron á discreción , dejando en nuestro poder cuanto en ellos se encerraba , y se expresa en los documentos que acompa­ d o r a y la Serma. Sra. Infanta Doña María Luisa Fer­ fuerzas de Cabrera permanecieron pasivas en sus posiciones, y ño. Asi concluyó esta feliz jo rn ada, que hizo conocer á Cabre­ nanda, c o n t i n ú a n en esta corte sin novedad en su im= únicamente los fuertes d irig ía n casi constantemente sus dispa­ ra , á sus parti…</t>
  </si>
  <si>
    <t>…lientes, de nuestros hermanos. S. M. la R e i n a , s u augusta Madre la R e in a G o b e r n a ­ Llegó por fin el venturoso dia en que un caudillo ilustre, PRESIDENCIA DEL S E Ñ O R C A L A T R A V AS. d o r a y la Serma. Sra. Infanta Doña María Luisa Fer­ exento de extrangeras influencias, y correspondiendo dignamen­ te á la confianza que Y. M. en él depositará , ha reconciliado á Sesión del dia 5 de Octubre. nanda, continúan en esta corte sin novedad en su im­ los españoles, afianzando con ello el trono de la legitimi…</t>
  </si>
  <si>
    <t>…, en 14* ñoz, en 1 1 . S. M. la R e i n a . , s u augusta Madre la R eina G ober­ Otra id. en la loma del Sueño , de este térm ino, Campecha­ Otra plomiza en sierra de G ador, pecho de la P a r ra , tér­ nadora y la Serma. Sra. Infanta Doña María Luisa Fer­ na (a) Aparecida , por Salvador Sánchez, en 14. mino de esta villa , Santa Ana , por Antonio Sánchez Fernan­ Otra id. en el cerro del T o r i l , en Barjalí, término de P a - dez , en 1 1 . nanda, continúan en esta corte sin novedad en su impor­ dules, mina del A g u a…</t>
  </si>
  <si>
    <t>…que este sea filia­ guerre, rodeados de la siguiente inscripción: De arte mérito. S. M. la R e in a , su augusta Madre la R e in a G o berna ­ do en el cuerpo donde se haga st¡ entrega. {Constitutionnel,) d or a y la Serma. Sra. Infanta Doña María Luisa Fer­ De Real orden lo comunico á Y. E. para su conoci­ nanda, continúan en esta corte sin novedad en su im­ cargo. miento y efectos correspondientes en el ministerio de su portante salud. Y de la misma Real orden , comunicada por el referi­ CORTES. do Sr. Secretario del Des…</t>
  </si>
  <si>
    <t>…inistros. Ademas de las solturas verificadas en la semana ú ltim a, la S. M. la R e i n a , s u augusta Madre la R e i n a G o b e r n a ­ :otnision del tribunal de los Pares ha decretado, según se dice, d o r a y la Serma. Sra. Infanta Doña María Luisa Fer­ a soltura de cerca de 50 detenidos, que hoy ó mañana verán nanda, continúan en esta corte sin novedad en su im­ Ú término de su cautiverio. De resultas de esta providencia aun La noticia de la enfermedad del Gran Duque hereditario, permanecerán eo las prisiones como un…</t>
  </si>
  <si>
    <t>…ión que provincias. S. M. la R e i n a , s u augusta Madre la R e i n a G oberna­ Yertamente no era de fueros, sino la de libertad ó despotismo, Aquellas provincias, señores, desde el dia en que sus fueros dora y la Serma. Sra. Infanta Doña María Luisa Fer­ porque sabido es, señores, que la guerra civil que nos devora, »ean confirmados tendrán un régimen que no se oponga á la y continúa todavía devorándonos, no fue producida por el g r i ­ co nstitu ció n , y no puede oponerse porque su sistema , sus nanda, continúan en e…</t>
  </si>
  <si>
    <t>…ondiciones de este convenio. bajadores de las cinco grandes Potencias pasaron á la Puerta S. M. la R e i n a , sit augusta Madre la R e i n a G o b e r n a ­ én 28 de J u lio ú lt im o , y es la siguiente: dora y la Serma. Sra. Infanta Doña María Luisa Fer¿ Los abajo firmados han recibido esta mañana instrucciones de El torneo de Eglington ocupa exclusivamente la atención nanda, continúan en esta corte sin novedad en su im­ Sus respectivos Gobiernos, én virtud de las cuales tienen el ho­ nor de an unciar á la sublime Pue…</t>
  </si>
  <si>
    <t>…¡a junta ha adjudicadc S. M. la R e in a , su augusta Madre la R ein a G oberna ­ que desempeña una de las fiscalías de la audiencia de Sevilla: en dicho mes á los mejores postores, según loa resultados di dora y la Serma. Sra. Infanta Doña María Luisa Fer­ para esta vacante á D. Miguel García Camba, fiscal de la de nanda, continúan en esta corte sin novedad en su im­ Valencia: en reemplazo de Camba á D. Andrés Ruiz Merque- anteriores, los remates, comprendiéndose también el total de los mesei cho, que sirve igual destino…</t>
  </si>
  <si>
    <t>…los administradores S. M. la R e in a , su augusta Madre la R e in a G oberna ­ S Ei fuerte de Ouchtnandil, guardado por 50 hombres, ha caído generales de distrito, manifestándoles con este motivo lo si­ d o ra y la Serma. Sra. Infanta Doña María Luisa Fer­ en poder de los árabes. guiente: Varios de nuestros campamentos están bloqueados, y no pue­ í.° Que el sistema de la administración actual será mante­ nanda, continúan en esta corte sin novedad en su im­ den recibir víveres ni municiones. ner en todo su vigor la Consti…</t>
  </si>
  <si>
    <t>…a R e i n a , s u augusta Madre la R e i n a G oberna­ ciones de guerra corno las autoridades de Us provincias u l t r a ­ F R A N C IA . marinas de donde salen esclavos, tienen las órdenes mas r ig o r o ­ dora y la Serma. Sra. Infanta Doña María Luisa Fer­ sas para capturar y perseguir los navios que soliciten sacarlos P a r ís 1.° de Agosto. de alli. nanda, continúan en esta corte sin novedad en su im­ De consiguiente estos hechos prueban que el fundamento de dicho bilí no pasa de una aserción g r a t u i t a , y es de…</t>
  </si>
  <si>
    <t>…o sin levantar S. M. la R e i n a , s u augusta Madre la R e i n a G o b e r n a ­ curso que la novedad y el ansia de ver confundidas bajo un mano en los trabajos necesarios para presentar un proyecto de d o r a y la Serma. Sra. Infanta Doña María Luisa Fer­ pabellón las armas que durante seis años se han estado hacien­ ley sobre el particular. do la guerra mas encarnizada. El Sr. G U IL L E N Y R O D A : En razón áque no está cons­ nanda, continúan en esta corte sin novedad en su im­ Pasada la revufa, les he dirigido una…</t>
  </si>
  <si>
    <t>…i enfermedad al­ S. M. la R e in a , s u augusta Madre la R e in a G o b e rn a ­ Soltero con soltera........................................ 286 guna , habiendo muerto sin calentura, y solo en fuerza de.su dora y la Serma. Sra. Infanta Doña María Luisa Fer­ Idem con viuda........................................... 52 senectud. No tuvo mas que dos hijos: el uno, que fue fi» expre­ Viudo con soltera....................................... 58 sado Andrés, falleció á los 70 años, v el otro murió en su in ­ nanda, continúan en…</t>
  </si>
  <si>
    <t>…lett Thomson y ha­ gurar Sir Jorge Arthur había ido á Montreal para ofrecer sus res­ que el Rey Guillermo debe á la sociedad general uoa su­ ma que por sentencia del tribunal de Bruselas se ha fijado en d o r a y la Serma. Sra. Infanta Doña María Luisa Fer­ bía regresado en seguida á Toronto, en cuyo punto se propone unos 17 millones de francos, prestados bajo la garantía perso­ nanda, continúan en esta corte sin novedad en su im- j este ultimo pasar el invierno. Se asegura que el nuevo gober­ nal del Rey antes de 1850 par…</t>
  </si>
  <si>
    <t>…bre de genio , de su misma creencia, afo r­ S. M. la R e i n a , s u augusta Madre la R e in a G o b e r n a ­ m inar los papeles del ex-conde. tunado, poderoso, y que tiene de su parte al verdadero Dios d o r a y la Serma. Sra. Infanta Doña María Luisa Fer­ Parece que se ha convenido en guardar s ig il o , como que el de los fatalistas, los sucesos. El estado de marasmo puede aun 2 8 aun no se sabia nada en Berga. prolongarse. Cooitantinopla lo sabe; ella fue testigo de la lar­ nanda, continúan en esta corte sin novedad e…</t>
  </si>
  <si>
    <t>…salvación, la misericordia y la bendición sean con S. M. la R e i n a , su aogusta Madre la R e in a G oberna " N o podía lisonjearme de evitar todas las desgracias: los ara- \ aquel que sigue la verdad. d o r a y la Serma. Sra. Infanta Doña María Luisa Fer­ bes especialmente, cuya desidia es tan notoria, debían sufrir j Hemos recibido vuestra primera y vuestra última carta, las consecuencias de su imprevisión. ; liemos entendido su contenido. Ya os he escrito que todos los nanda, continúan en esta corte sin novedad en su…</t>
  </si>
  <si>
    <t>…gunas" i armas de fuego , lanzas, todas süs monturas y caballos. Lo que S . M. la R e i n a , s u augusta Madre la R e i n a G o b e r n a ­ tengo el honor de elevar al superior conocimiento de V . E. d o r a y la Serma. Sra. Infanta Doña María Luisa Fer­ Dios &amp;c* G uadalajara M ayo 7 de l8 5 9 .^ R afael N avárre- . , %£ ti Upa carta de la China de 7 de A bril que inserta el te.:= Excmo. Sr. M inistro de la Guerra y M arina. M or/ iín g-tjera ld , se lee lo siguiente: nanda, continúan en esta corte sin novedad en su i…</t>
  </si>
  <si>
    <t>…ugusta Madre la R e in a G o b e rn a ­ cipales, que arrestaron á 1 6 , de los cuales dos parece que eran N O T IC IA S EX TRA N G ER A S. los promovedores del alboroto. Los presos pertenecen á diferen­ d o r a y la Serma. Sra. Infanta Doña María Luisa Fer­ tes barrios y á toda clase de estados. H oy lunes se han toma­ nanda, continúan en esta corte sin novedad en su im- A U S T R IA . do las medidas mas eficaces para evitar ó reprimir semejantes tentativas , si es que intantasen renovarlas los revolucionarios. nortante s…</t>
  </si>
  <si>
    <t>…entos de in ­ S. M. la R e i n a , su augusta Madre la R e i n a G o b e r n a ­ lentísimo Sr. Secretario de Estado y del Despacho de la Gober­ fluencias extrangera*, guiaro n , como por un encanto que ad­ dora y la Serma. Sra. Infanta Doña María Luisa Fer­ nación de la Península. m irará el mundo, al ilustre guerrero, feliz en 100 batallas, á nanda, continúan en esta corte sin novedad en su im­ formar un convenio en V ergara, cuyos inmediatos resultados Señora: La diputación provincial de Teruel tiene la honra han sjdo v…</t>
  </si>
  <si>
    <t>…ocimiento. ñor Sánchez Tosca no. S. M. la R e i n a , s u augusta Madre l a R e i n a G o b e rn a ­ A. T h ie r s, Diputado del distrito de Aix. 2 .a sección. Presidente el Sr. López de Pedrajas: Vicepre­ dora y la Serma. Sra. Infanta Doña María Luisa Fer­ sidente el Sr. Luzuriaga : Secretario el Sr. A y aía y Mi rla: nanda, continúan en esta corte sin novedad en su im­ El ministerio sé h alla distribuido del modo siguiente: con Vicesecretario el Sr. Guillen y Roda. 5 a sección. Presidente el Sr. Montesino: Vicepresident…</t>
  </si>
  <si>
    <t>…y prós­ S . M. la R e i n a , s u augusta Madre la R e i n a G o b e r n a ­ asegurado asi el trono legítimo y la causa nacional, estos tan peros sucesos, esperando que la completa pacificación de la mo­ d o r a y la Serma. Sra. Infanta Doña María Luisa Fer­ leales como decididos vecinos se entregaron al mas completo narquía permitirá á los pueblos disfrutar de los beneficios de nanda, continúan en esta corte sin novedad en su im­ júbilo, celebrando con el mayor entusiasmo la pacificación de un Gobierno representativo. port…</t>
  </si>
  <si>
    <t>…. 9 j 4* • 4 S. M. la R e i n a , s u augusta Madre la R e i n a G o b e r n a ­ G Espejos, cada pieza...................................................... Estaño en bruto, fioo y trabajado, el 8 5. . 22 dora y la Serma. Sra. Infanta Doña María Luisa Fer­ schipon 24 II nanda, continúan en esta corte sin novedad en su im­ Caballos, cada uno. .......... .................... . 56 16. . 15 dicho en planchas, el schipon 12 5. . 17 Cables y cuerdas, el schipon......................... 6 2. . 25 Esteras, las 100 piezas 15 6. .…</t>
  </si>
  <si>
    <t>…S. M. la R e i n a , s u augusta Madre la R e i n a G o b e r n a ­ Un ratón pesa por lo común cerca de media onza, y se le F R A N C IA . puede mantener por espacio de cinco semanas con dos cuartos de d o r a y la Serma. Sra. Infanta Doña María Luisa Fer­ harina de cebada. En este tiempo hila 5850 hilos. Sir Halton nanda, continúan en esta corte sin novedad en su im­ Taris 5 de Agosto. trata de alquilar un antiguo edificio de 100 pies de largo por 50 de ancho y otros tantos de altura , donde podrá colocar 100 portante s…</t>
  </si>
  <si>
    <t>…pesos; y 5.° que si el cion.=:Smith. mantenimiento del buque dejare pérdida , esta sea de cuenta S. M. la R e i n a , s u augusta Madre la R e i n a G o b e r n a ­ del Gobierno por el término de dos años. dora y la Serma. Sra. Infanta Doña María Luisa Fer­ Secretaría de Hacienda.rzCaracas Agosto 2 de 1859.—A los (El Liberal de Caracas.) Sres. Guillermo Ackers y Leandro M iran d a, administradores nanda, continúan en esta corte sin novedad en su im­ del banco colonial en esta capital. portante salud. Señores: Tengo el hon…</t>
  </si>
  <si>
    <t>…15 dichos muy ordinarios de Osnabruck S . M. la R e i n a , s u augusta Madre la R e i n a G o b e r n a ­ del B rasil, de Fernanbuco, de é Inglaterra , ias 24 piezas........................ 50 15. .3 0 d o r a y la Serma. Sra. Infanta Doña María Luisa Fer­ Jap ó n , las1000 libras 30 1 3 .. ^&gt;0 Orillos de paño, ¡as 50 docenas de Madera de Campeche, deG ayac y S. M ar­ piezas............................................................. 30 i 1 3 .. 30 nanda, continúan en esta corte sin novedad en su im ­ tin , id 56 16. .…</t>
  </si>
  <si>
    <t>…G o b é rn a - iores. sin 1a que ni el trono de vuestra excelsa Hija , ni la regencia Dígnese V. M. admitir benignamente esta respetuosa expo­ de Y. M. pueden progresar, ni la Constitución de í 837 pro­ d o r a y la Serma. Sra. Infanta Doña María Luisa Fer­ sición , como una nueva prueba de la constante fidelidad de ducir todos sus resultados. A sostener estos tres caros objetos nanda, continúan en esta corte sin novedad en su im­ iste ayuntamiento, que órgano fiel de los sentimientos de sus están del todo dispuestos , obe…</t>
  </si>
  <si>
    <t>…semana. acción del Gobierno de V . M . , que ha sabido llevar los nego­ S. M. la R e i n a , s u augusta Madre la R e i n a G o b e r n a ­ cios al deseado térm ino de un a reconciliación , que deja ver d o r a y la Serma. Sra. Infanta Doña María Luisa Fer­ los hermosos días p o r q u e suspiraba nuestra a f lig id a E spaña, des­ El T iem po ha hablado a y e r á sus lectores de a lgu no s p ro ­ nanda, continúan en esta corte sin novedad en su im­ pués de tantos de c a la m id a d y de l á g r i m a s : por eso no ha d u…</t>
  </si>
  <si>
    <t>…l burgo maesue S. M. la R e i n a , s u augusta Madre la R e i n a G o b e r n a ­ El U niverso anuncia que M r. Rodolfo de A p p on y, emba­ y á todos los individuos del consejo m unicipal, como también d o r a y la Serma. Sra. Infanta Doña María Luisa Fer­ jador de Austria en Paris, va á contraer matrimonio con la se­ el clero católico y protestante , el colegio de los notables de la ñorita Beckendorff, h ija del ministro de policía en Rusia , y ciudad y de las diputaciones de las corporaciones de los artes y nanda, con…</t>
  </si>
  <si>
    <t>…sta Madre la R e in a G o b e r n trios a­ que se podrán destinar al mismo objeto, proponién­ para11.el extrangero, Respecto al plomo y salitre que tengan destino se observaran las disposiciones vigen­ d o r a y la Serma. Sra. Infanta Doña María Luisa Fer­ dolos á mi Gobierno para la resolución correspondiente. tes para el comercio de exportación. Art. 12. Todo lo relativo á instrucción primaria que­ nanda, continúan en esta corte sin novedad en su im­ dará á cargo de la comisión especial del ratm&gt; que debe y en12.el Lo…</t>
  </si>
  <si>
    <t>…M. engrandecerse una acción en que los primeros han obtenido ventajas. S. M. la R e i n a , s u augusta Madre la R e i n a G o b e r n a ­ esta desgraciada, pero heroica nación, que tan señaladas prue­ d o r a y la Serma. Sra. Infanta Doña María Luisa Fer­ bas ha dado de su civismo y generosidad en la penosa lucha que ha sostenido contra las huestes de un príncipe seducido, nanda, continúan en esta corte sin novedad en su im- y que ninguna idea tenía del carácter español ni del acendrado nortante salud. amor que tiene…</t>
  </si>
  <si>
    <t>…xima la termi­ S. M. la R e i n a , s u augusta Madre la R e i n a G o b e r n a ­ GV.u tiérre z, segundo alcalde.=R am on C arreño, regidor pri- nación de la guerra que por tanto tiempo los ha afligido. d o r a y la Serma. Sra. Infanta Doña María Luisa Fer­ m e ro .= Bonifacio de la Riva , regidor segundo. = Antonio de Dia lO = V anguardia , una brigada de la primera diviúon nanda, continúan en esta corte sin novedad en su im cuarto. Llano Q ueipo, regidor tercero. = Ramón Oclioa , regidor y cuartel general en Belchite.—L…</t>
  </si>
  <si>
    <t>…n a , s u augusta Madre la R e i n a G o b e r n a de Pozo-Lorente 6 de Diciembre de i859.=Señora.=A L. R. P. de V. M.=Antonio Corredor, alcalde.=Pedro Cebrian , regidor una goleta y un barco de vapor. d o r a y la Serma. Sra. Infanta Doña María Luisa Fer primero. = Juan Monteagudo, regidor seguncTo.= José Jiménez nanda, continúan en esta corte sin novedad en su im Cuellar, Síndico.—Erancisco Félix H uerta, Secretario. DINAM ARCA. portante salud. ---------------------------------------------------------------------------…</t>
  </si>
  <si>
    <t>…tentativa probable­ S. M. la R e i n a , s u augusta Madre la R e i n a G oberna­ tiguo Gobierno habían hecho esta posición fuerte y significati­ mente habrá evitado que se lleven adelante otras, pues has­ dora y la Serma. Sra. Infanta Doña María Luisa Fer­ va. Pero coa un Gobierno que, como el que ahora tenemos, po­ ta ahora no hemos sabido que se haya alterado la tranquili­ see la confianza del pueblo, la importancia del comité debia de­ dad en otros puntos. Según las últimas noticias que hemos re­ nanda, continúan en e…</t>
  </si>
  <si>
    <t>…por los acertados de­ S. M. la R e in a , su augusta Madre la R ein a G oberna ­ cretos de 18 de Noviembre último. Completando el ministerio con personas de fidelidad, nunca desmentida , y acendrado amor dora y la Serma. Sra. Infanta Doña María Luisa Fer­ al orden, y apelando al voto público para la nueva elección de nanda, continúan en esta corte sin novedad en su im­ representantes del pueblo en estos dias venturosos de paz que PARTE NO OFICIAL. portante salud. asoman, ha llenado Y. M. los deseos de los hombres honr…</t>
  </si>
  <si>
    <t>…augusta Madre la R eina G oberna ­ pre la desolación y ruin a que amagaban an iq u ilar esta nación término feliz á que ha dirigido siempre sus votos, la unión, heroica. la p az, y el olvido de lo pasado. d ora y la Serma. Sra. Infanta Doña María Luisa Fer­ Próximo está y a , Señora , el dia ansiado por los leales cas­ Estos mismos son, Señora, los de vuestra Guardia R.eal e x ­ nanda, continúan en esta corte sin novedad en su im- tellanos de la reconciliación de todos los españoles: y no lejano terior, que tan generosa e…</t>
  </si>
  <si>
    <t>…u augusta Madre la R e i n a G o b e r n a - siempre dispuesta á c o n trib u ir en el estrecho círculo de sus a t r i ­ G o rb a la n , presbítero y pro pietario .= L o pe C a r r e ñ o , p ro p ie ta­ d o r a y la Serma. Sra. Infanta Doña María Luisa Fer­ buciones constitucionales al gran d e objeto de la pacificación, rio. = V ic e n te Escamez , p r o p ie ta r io .= J u a n E^carnez B a u tis t a , al tr iu n fo de las leyes y á la conservación del órdeu. cabo de m a r in a re tirad o .= Alfonso F e r n a n d t z , N…</t>
  </si>
  <si>
    <t>…e la R e i n a G o b e r n a ­ catedrales, y en su defecto en la colegial ó parroquial de los tos ambos de su mas profunda veneración y respeto. La Milicia de esta capital oo cree engañarse, interpretan­ d o r a y la Serma. Sra. Infanta Doña María Luisa Fer­ demas pueblos del reino, designándose de antemano donde do asi el sentimiento nacional; y al expresar á Y. M. el rego- hubiere varias, con asistencia de las autoridades de todas nanda, continúan en esta corte sin novedad en su im­ clases, de las corporaciones y persona…</t>
  </si>
  <si>
    <t>…Madre la R su G ­ cha sección en el colegio de D uancos, fue atacada por la mis­ eina oberna reconquistar el puesto á que la llama su destino. ma gavilla y la de Castro Astariz, quemando tres puertas del dora y la Serma. Sra. Infanta Doña María Luisa Fer­ edificio, en cuyo acto cargados por nuestros soldados á la ba­ Dígnese Y . M. aceptar el homenaje de profunda gratitud de esta c o rp o ra ció n , y recibir con innata bondad la e x p r e ­ nanda, continúan en esta corte sin novedad en su im­ yoneta , fueron dispersad…</t>
  </si>
  <si>
    <t>…ero que habia pasado á Ber­ S. M. la R e in a , su augusta Madre la R e in a G o b e r n a ­ mandar S. M. la Reina Gobernadora que los magis­ lín, no ha podido conseguir una audiencia del Gobierno. Otra d o r a y la Serma. Sra. Infanta Doña María Luisa Fer­ trados, jueces, fiscales, promotores fiscales y demas diputación compuesta de habitantes civiles, está para salir á nanda, continúan en esta corte sin novedad en su im­ individuos que dependen de este ministerio de mi cargo, que se hallen disfrutando licencia, ó que ha…</t>
  </si>
  <si>
    <t>…, es con­ con la obligación de convocar otras C ortes, y r e u n iría s dentro dición necesaria que dicho prófugo sea del mismo pueblo, de tres meses , es m u y term inan te en el art. 26. El co n o cim ien ­ dora la Serma. Sra. Infanta Doña María Luisa Fer­ y to de causa para acordarla p riv a tiv o de V. M . : su s a b id u r ía , ó al menos de la misma provincia del quinto que lo apre­ nanda, continúan en esta corte sin novedad en su im­ su m aternal celo y v i g i l a n c i a , la previsión y p ru d e n cia de su he…</t>
  </si>
  <si>
    <t>…ultra-c^rlic- S. M. la R e i n a , s u augusta Madre la R e i n a G o b e r n a ­ Al terminar dijo que el Gobierno llegaria á ahogar la agita­ ta no han hallado en Cabrera las disposiciones favorable c n d o r a y la Serma. Sra. Infanta Doña María Luisa Fer­ ción que reina en este momento , desplegando un gran rigor; que contaban. Este gefe ha manifestado una gran fiialdad, so­ pero que tarde ó temprano sucumbiría. La asamblea se ha sepa­ bre todo desde la derrota de Lucena. Comienza achinas á ma­ nanda, continúan en esta…</t>
  </si>
  <si>
    <t>…iría D . Juan de Zavala. S . M. la R e in a , su augusta Madre la R e in a G o b e r n a ­ en su caso la responsabilidad á los que resultasen culpa­ Estas cargas fueron simultáneamente seguidas por la de d o r a y la Serma. Sra. Infanta Doña María Luisa Fer­ bles de los defectos que se reconociesen. parte de mi escolta en cuanto lo permitia el escabroso terreno, nanda, continúan en esta corte sin novedad en su im­ Pero no basta que en las fabricas se procure con ce­ completando la derrota del enemigo, que se precipitó sobre…</t>
  </si>
  <si>
    <t>…a parte un herido y un contuso de la compañía m o viliz ad a , y extraviado honrados; pero extermínese á los asesinos insaciables de san­ g r e , y la paz de España será duradera y honrosa. Sí lo será, d o r a y la Serma. Sra. Infanta Doña María Luisa Fer­ el teniente de la misma. señora , porque se deberá á nuestros propios esfuerzos , sin nanda, continúan en esta corte sin novedad en su im­ E l expresado comandante recomienda el buen comporta­ miento de dicha compañía y el de la de Córdoba, que se halló retroceso en J…</t>
  </si>
  <si>
    <t>…n lo si­ El Rey de D inam arca Federico vi habia nacido el 28 de S. M. la R e i n a , s u augusta Madre la R e i n a G o b e r n a ­ guiente: Enero de 1768; declarado co-regente de su padre Cristiano v n d o r a y la Senna. Sra. Infanta Doña María Luisa Fer­ He dado cuenta á la Reina Gobernadora de lo ex­ en 1 7 8 4 , le sucedió en el trono el 15 de Marzo de 1808. puesto por la diputación provincial de Badajoz, consul­ (Constilutionnel.) nanda, continúan en esta corte sin novedad en su im­ tando si han de libertarse o no…</t>
  </si>
  <si>
    <t>…Puente sobre el rio Nora, de 48 pies de luz en arco ciones de la provincia de Lugo. escarzano: están construidos los estribos hasta los arranques. Se procedió al orden del dia continuando la discusión pen­ dora y la Serma. Sra. Infanta Doña María Luisa Fer­ ( 8) Una de las alcantarillas es de dos bocas. diente sobre los fueros de las provincias Vascongadas y N a­ nanda, continúan en esta corte sin novedad en su im ­ ( 9) Este puente sobre el rio Noreña será de *5 pies de varra. portante salud. luz en arco escarzano: tiene…</t>
  </si>
  <si>
    <t>…Guerra se ha comunicado á esta determinación mia , en lo cual he imitado á San Pedro, este de la Gobernación en 7 del actual una Real orden príncipe de los Apóstoles, y la del gran apóstol San Pablo, asi d o r a y la Serma. Sra. Infanta Doña María Luisa Fer­ dirigida con la misma fecha al intendente general mili­ como el de infinitos obispos de los primeros siglos de la igle­ nanda, continúan en esta corte sin novedad en su im ­ tar, y es como sigue: sia, espero firmemente que V. M. me hará justicia, y no per­ portante salu…</t>
  </si>
  <si>
    <t>…su estado mayor. S. M. la R e i n a , s u augusta Madre la R e i n a G o b e r n a ­ bían perdonar sacrificio de ninguna clase para obtener el sus­ El Gran Señor vive en un palacio situado en la punta del dora y la Serma. Sra. Infanta Doña María Luisa Fer­ pirado é inapreciable bien de la paz, ve que hay algunos que serrallo. No tuvimos por consiguiente que remar mucho para no conspiran á este sagrado fin, instigando á los pueblos á que desembarcar. Esperábamos algunos caballos muy ñacos y po­ nanda, continúan en esta…</t>
  </si>
  <si>
    <t>…mos depo­ S. M. la R e i n a , s u augusta Madre la R e i n a G o b e r n a ­ Todavía no se ha adoptado en el Consejo ninguna resolución ner las armas inmediatamente si el Piey se traslada á Estella sin d o r a y la Serma. Sra. Infanta Doña María Luisa Fer­ acerca de los asuntos de Oriente. L is ministros se reunieron el mas escolta que la nuestra : al llegar á Estella nos someteremos á nanda, continúan en esta corte sin novedad en su im­ viernes en las T ullerías, y después de una larga deliberación su voluntad soberana…</t>
  </si>
  <si>
    <t>…leguas. S. M. la R e i n a , su augusta Madre la R e i n a G o b e r n a ­ siempre á salvar en las mas crudas luchas las vidas de los que Forcadell estaba ayer en M i r a , por lo que es de creer no fue d o r a y la Serma. Sra. Infanta Doña María Luisa Fer­ alcanzaba las puntas de sus aceradas lanzas, tienen tanto que su intento unirse á Cabrera , ó temió verificarlo por hallarse admirar y que aprender en esa muestra de generosidad y gran­ entre ambos nuestro general en gtfe. nanda, continúan en esta corte sin novedad en…</t>
  </si>
  <si>
    <t>…para su inteligencia, S. M. la R e i n a , su augusta Madre la R e in a G o b e r n a ­ oido el tribunal supremo de G uerra y Marina, y confor­ la de esa diputación y efectos consiguientes, de cuyo cum­ d o r a y la Serma. Sra. Infanta Doña María Luisa Fer­ mándose con su dictamen en acordada de 31 de Octubre plimiento deberá V. S. dar cuenta á este ministerio, acom­ últim o, se ha servido S. M. resolver que los facultativos pañando nota de los facultativos responsables que en la nanda, continúan en esta corte sin noveda…</t>
  </si>
  <si>
    <t>…lares; pero los que del mayor jubilo por los satisfactorios acontecimientos sucedi­ entre ellos, ademas de la cualidad de prisioneros, tengan dos en el campo de Yergara, se dirigen revereutes á felicitar d o r a y la Serma. Sra. Infanta Doña María Luisa Fer­ la de encausados por delitos no exceptuados, tendrán de­ nanda, continúan en esta corte sin novedad en su im­ recho á este indulto solo en cuanto á estos delitos. á V. M. Art. 8.° Los sargentos, cabos, soldados y gente de mar tinuando Quiera el cielo el seguimiento de…</t>
  </si>
  <si>
    <t>…es inauditas cometidas por los Audiencia dada por el Papa al duque de Burdeos.=Las ins­ con los prisioneros franceses, y hasta con los cadáveres. tancias de la Reina viuda de Cerdeña han podido mas que la !&gt; ora y la Serma. Sra. Infanta Doña María Luisa Fer­ Ayer fue cogido un árabe que llevaba escondida una pro­ habilidad de Mr. de Latour-Maubourg. El duque de Burdeos ha nanda, continúan en esta corte sin novedad en su im­ clama de Abd-el-K ader, en la cual llama á todos los naturales sido recibido por el Santo Padre sin c…</t>
  </si>
  <si>
    <t>…policía no marcha ya sino en pe- oto nes de 15 hombres. Una fuerza imponente está situada en GRAN BRETAÑA. * ciudad y los alrededores. (Standard.) S. M. la R eina , su augusta Madre la R ein a G oberna ­ dora y la Serma. Sra. Infanta Doña María Luisa Fer­ Lóndres 13 de Agosto. Malta 27 de Julio. nanda, continúan en esta corte sin novedad en su im* En la sesión de la Cárhara de los Lores del 15, lord portante salud. Brougham ha presentado una petición en favor de tres senten­ Un oficial dé la escuadra del almirante Stop…</t>
  </si>
  <si>
    <t>…petables símbolos de S. M. la R e i n a , s u augusta Madre la R e i n a G o b e r n a ­ contra los que sordos á la voz de su patria y de su Reiua, Religión y Rey, supo atraer á su bando no pocos prosé - p o r a y la Serma. Sra. Infanta Doña María Luisa Fer que los llama á la reconciliación, quieran con nuevas litos, sirvió de pretexto á varios Gabinetes para prolon­ tentativas renovar escenas que deben mandarse al olvido, gar una obstinación lamentable y poco arreglada á los nanda, continúan en esta corte sin novedad en s…</t>
  </si>
  <si>
    <t>…carlista. sus faustos acontecimientos. Paz conviene á los españoles, paz S. M. la R e i n a , su augusta Madre la R e i n a G o b e k n a * á los partidarios del obcecado P rín cipe, y paz les proporciona dora y la Serma. Sra. Infanta Doña María Luisa Fer­ el magnánimo corazón de V* M. con el dichoso tratado de Ejércitos reunidos. = E. M . G. == Situación de las tropas V erga ra y la fuga del Pretendiente. nanda, continúan en esta corte sin novedad en su im­ Si por momentos pudo este Príncipe creer estable su re­ pata…</t>
  </si>
  <si>
    <t>…Llóren­ S. M. la R e i n a , s u augusta Madre la R e i n a G o b e r n a ­ te y M endizab al, procurador síndico de Rincón.—Manuel G u­ mersindo B r ie v a , secretario del ayuntamiento de Rincón.zzRa- d o ra y la Serma. Sra. Infanta Doña María Luisa Fer­ naon R in có n , escribano.zzManuel G arc ía , secretario del a y u n ­ NOTICIAS EXTRANGERAS. nanda, continúan en esta corte sin novedad en su im­ tamiento constitucional de esta ciudad.zzTomás M orales, maestro de postas.zzJosé Alonso, merino de Salam an ca , hacenda…</t>
  </si>
  <si>
    <t>…sociedades, tales como las de los S. M. la R b í n a , s u augusta Madre la R e in a G o b e r n a la junta y efectos consiguientes. Dios guarde á V. E. m u­ Borgoiiones, lo» Amigos de la igualdad (¡di) d o r a y la Serma. Sra. Infanta Doña María Luisa Fer­ chos años. Madrid 17 de Julio de l839.=Carramolino.=— nanda, continúan en esta corte sin novedad en su im­ Sr. gefe político de M adrid, presidente de la junta direc­ tiva de la caja de ahorros. Las diferencias dé la Francia con Buenos Aires parecen to­ portante salu…</t>
  </si>
  <si>
    <t>…da someterlos d u ­ S. M. la R e i n a , s u augusta Madre la R e i n a G oberna­ del últim o accidente de peste. El buque que la traiga será a d ­ rante el viaje á las medidas convenientes de desinfección. dora y la Serma. Sra. Infanta Doña María Luisa Fer­ m itido inmediatamente á la libre plática con sus pasajeros, tri­ A rt. 8.° Los buques provenientes del mar N e g ro , tanto pulación y cargamento. cargados corno vacíos, con patente sospechosa ó sucia, tomarán nanda, continúan en esta corte sin novedad en su im­ Se t…</t>
  </si>
  <si>
    <t>…M. la R e in a , su augusta Madre la R e in a G oberna ­ NOTICIAS EXTRANGERAS. necesaria era en el Piamonte la reforma del código penal, bas­ tará saber que hasta el año de 1851 estuvieron vigentes el su­ d o ra y la Serma. Sra. Infanta Doña María Luisa Fer­ plicios de la rueda y otras penas atroces. És cierto que Garlos HUNGRIA. nanda, continúan en esta corte sin novedad en su im­ Alberto al subir al trono abolió algunos de estos bárbaros su­ portante salud. Tresburgo 50 de Noviembre . plicio; pero según el edicto á que n…</t>
  </si>
  <si>
    <t>…io. Este claro testimonio de mi benevolencia imperial será \a a S. M . la R e i n a , s u augusta Madre la R e i n a G o b e r n a ­ tí un motivo mas de redoblar tu celo por el servicio públiuo, TURQUIA. dora y la Serma. Sra. Infanta Doña María Luisa Fer­ y cuidar de concierto con los otros funcionarios públicos n i . nanda, consinúan en esta corte sin novedad en su in&gt; Constantinopla 24 d e J u lio . eu los medios de acrecentar el poder y ti bienestar del irr.p m •&gt;, conformándose siempre á las disposiciones de nuestr…</t>
  </si>
  <si>
    <t>…de la villa do S. M. la R e i n a , s u augusta Madre la R e i n a G oberna­ arrojo en los combates, su generosidad en los triunfos , su cor­ Albuñol y todos sus leales habitantes; y al elevarlos á V . M . dora y la Serma. Sra. Infanta Doña María Luisa Fer­ dura en las negociaciones y la severidad en la disciplina , ha para felicitarle por un triunfo tan admirable, humildemente sabido añadir á sus gloriosos timbres el de inmortal y pacifi­ le suplica se digne acogerlos con su acostumbrada benevolen­ nanda, continúan en es…</t>
  </si>
  <si>
    <t>…veía S. M. la R e i n a , s u augusta Madre la R e i n a G o b e r n a ­ crisis tan fatal para el comercio. Hé aqui las bases de las ins­ al duque de Burdeos , hácia quien se d irig ían todas las m ira­ d o r a y la Serma. Sra. Infanta Doña María Luisa Fer­ trucciones que ha recibido el cónsul: se las trasmito á ustedes das. He oido á varios extrangeros de distintas naciones que ex­ nanda, continúan en esta corte sin novedad en su im­ tales como circulan aqui. clamaban unánimes: ¡qué bello joven !” portante salud. | Parece…</t>
  </si>
  <si>
    <t>…dice el Comercio francés se escribe de aquella Los habitantes pacíficos temen que el pueblo se entregue al capital lo que á continuación copiamos: desenfreno, mas hasta ahora no ha habido el menor des— d o r a y la Serma. Sra. Infanta Doña María Luisa Fer­ Ayer reunió el Emperador en Petershoff en consejo íntimo órdeu. nanda, continúan en esta corte sin novedad en su im­ de Estado á los Ministros y Senadores; cosa que muy rara vez Middleton . En esta ciudad los artesanos han suspendido sucede. Duró el consejo desde las…</t>
  </si>
  <si>
    <t>…icientes á concluir la fratricida lucha en que estábamos em­ S. M. la R e i n a , s u augusta Madre la R e i n a G o b e r n a ­ llegaron á su noticia los plausibles acontecimientos del ejército peñados. d o r a y la Serma. Sra. Infanta Doña María Luisa Fer­ del N o r te , precursores de la paz tan deseada de los españole: Nada imposible, Señora, seria á este ayuntam iento pintar nanda, continúan en esta corte sin novedad en su im­ para entrar en una nueva era de tranquilidad y de reposo, er el cuadro en que se hallaban tod…</t>
  </si>
  <si>
    <t>…u augusta Madre la R e in a G o b e r n a ­ Se lee en el Globe : chazando sobre la cubierta, ha alcanzado y lastimado la cabeza No se duda de que la Inglaterra reconocerá en breve á Te­ á S. M. la Reina. d o r a y la Serma. Sra. Infanta Doña María Luisa Fer­ El autor de este atentado era una muger que inmediata­ jas, como ha hecho Francia. La negociación para un emprés­ nanda, continúan en esta corte sin novedad en su im­ tito es un buen camino. Una casa de Londres hará un adelan­ mente ha sido arrestada. portante salud. ;…</t>
  </si>
  <si>
    <t>…ación de las interesantes S. M. la R e i n a , s u augusta Madre la R e i n a G o b ern a­ M iguel Flores López, por D. Pedro Palomar y por m í, Matías vidas de nuestra Reina Doña Isabel n y la de Y . M . d o ra y la Serma. Sra. Infanta Doña María Luisa Fer­ Palomar. =Como apoderado del conde de Adanero , y por mí, Lucar y Noviembre 10 de 1859. = Señora. = A L. R. P. de Gregorio Erehuet Requeoa. =Como apoderado del conde de V. M .= Antoaio Encinas.—Manuel Cuevos.r: Antonio M arios =2 nanda, continúan en esta corte sin nove…</t>
  </si>
  <si>
    <t>…a G o b e r n a ­ dente de Rioseco , Pablo Sainz de Quevedo.=jSl presidente de Los ministros turcos no pueden emprender nada sin hallarse rodeados de lazos tendidos por I03 agentes rusos á quienes cono­ d o r a y l a Serma. Sra. Infanta Doña María Luisa Fer­ Saso , J u a n M anuel de los Rics.r:E l alcalde de Valdeoca, Pedro cen , pero no se atreven á deshacerse de ellos, porque temen á su nanda, continúan en esta corte sin novedad en s u i m - García Corral Mayo.zrEI alcalde presidente de Y uso , Francisco poderosa vecirra…</t>
  </si>
  <si>
    <t>…sideración en gefe de las tropas que dejo en estas provincias con las in s­ de todos los españoles. Ruego á V . M . se d igne acoger benign a­ trucciones necesarias para mantener la tranquidad , y m añana d o ra y la Serma. Sra. Infanta Doña María Luisa Fer­ mente esta respetuosa m anifestación de la sinceridad de mis continúo la m archa para A ra g ó n , esperando de que en breve nanda, continúan en esta corte sin novedad en su im­ sentim ientos. quede aquel pais libre de enemigos. C h in ch illa 25 de Setiem bre de 1859…</t>
  </si>
  <si>
    <t>…ras, mo­ na nuestra neda del Gran Señor (según el cambio actual 11 mrs.) por necesita paraSeñora Dios nuestro Señor conserve la importante vid a de la R e i ­ y de Y . M . los muchos años que la nación d o r a y la Serma. Sra. Infanta Doña María Luisa Fer­ cada tonelada el derecho que deberán pagar en adelante de O ctubre de su1 3 3felicidad y gloria de V Y . M M . M a d r id 12 9 .—Señora.— A L. R. P. de V . M — Mariano nanda, continúan en esta corte sin novedad en su im­ todos los buques que pasen el mar Negro, para s…</t>
  </si>
  <si>
    <t>…o en que se ciendo V. M. uso de sus prerogativas, ha calmudo la a g ita ­ veian los consejeros de V. M ., las doctrinas y principios sos­ ción y ansiedad en que se hallaban los españoles leales, los ver­ d o r a y la Serma. Sra. Infanta Doña María Luisa Fer­ tenidos por la m ayoría del C o ogreso,y la lucha peligrosa y daderos amantes de la Constitución y del trono de vuestra ex­ nanda, continúan en esta corte sin novedad en su im­ destemplada que se habia empeñado con grave daño de la causa celsa H ija , desde el fatal dia…</t>
  </si>
  <si>
    <t>…positados los des­ ajos de las víctimas, se están reparando los túmulos y ele- ando monumentos fúnebres en forma piramidal. S. M. la R , eina augusta Madre la R su G ­ eina oberna NOTICIAS EXTRANGERAS. dora y la Serma. Sra. Infanta Doña María Luisa Fer­ Mr. D u p in , m ay o r, uno de los individuos mas antiguos nanda, continúan en esta corte sin novedad en su im ­ GR A N BRETAÑA. el Consejo privado del R ey, ha sido nombrado Presidente del portante salud. úsmo Consejo en reemplazo de Mr. Borel de Bretisel9 sucesor Ló…</t>
  </si>
  <si>
    <t>…osé M a r ia ­ S. M. la R e i n a , s u augusta Madre la R eina Gobeuna- Excmo. Sr.zrGregnrio Piquero Argúelles.=Excmo, Sr. Secretario no V allejo , los Sres. D. Pedro E y t i e r , alcalde primero consti­ dora y la Serma. Sra. Infanta Doña María Luisa Fer­ de Estado y del Despacho de la G ue rra . tucional y presidente de dicho ilustre a y u n ta m ie n t o ; D. M a r ­ tin José de Ríaya , D. Jacinto Belda , D. A n ton io de Z ? fra , nanda, continúan en esta corte sin novedad en su im ­ D. francisco Sastre, D . Nicolá…</t>
  </si>
  <si>
    <t>…nado con otro S . M. la R e i n a , s u augusta Madre la R e i n a G o b e r n a ­ tas se fijen en las puertas de las casas de ayuntamiento é en que tanto el Gobierno de V . M . , como los representantes d o r a y la Serma. Sra. Infanta Doña María Luisa Fer­ iglesias de los pueblos, y permanezcan expuestas al pú­ de la nación española, han demostrado á la E uro pa y al mun­ blico por espacio de 15 dias consecutivos, teniendo ade­ do entero de cuánto son capaces los corazones magnánimos y nanda, continúan en esta corte sin…</t>
  </si>
  <si>
    <t>…que se sirva | sos impresos excitando á los mejicanos á que le apÜquea los su­ elevarlo al conocimiento supremo del Exccmo. Sr. general pre- | fragios que les dic*e su piedad. Mucho honor hace á Méjico es­ dora y la Serm a. Sra. Infanta Doña María Luisa Fer sidente, manifestándole que con anterioridad se ha mandado j ta conducta hosp italaria, y seria muy de desear que algunos can da, continúan en esta corte sin novedad en su im ­ retirar la sección que se halla á las órdenes del Sr. Maldonado, \ eclesiásticos de probidad…</t>
  </si>
  <si>
    <t>…, las propieda- S. M. la R e in a , su augusta Madre la R e in a G o b e rn pas a tres facciosos , y se han presentado á indulto 25 cor¿ 11 l des y opiniones de todos. Locarno 9 de Diciembre de 1859. =3 d o ra y la Serma. Sra. Infanta Doña María Luisa Fer­ caballos y 25 arm as, entre los cuales se cuentan un comandan­ * Por el Gobierno provisional, Franscini, presidente. te, un capitán y un alférez. nanda, continúan en esta corte sin novedad en su im­ portante salud. GRAN BRETAÑA. El general segundo cabo de Cataluña man…</t>
  </si>
  <si>
    <t>…cada pa'gina S. M. la R e i n a , s u augusta Madre la R e i n a G o b e r n a ­ y que forma su conclusión , se parece á esas otras idea s n apo­ londe dice: "cuando el duque de Orleans iba á salir para L is ­ y la Serma. Sra. Infanta Doña María Luisa Fer­ boa &amp;c.” , léase "p ara Libourne.” Igual corrección debe h a ­ dora león ica s á quienes y a ha hecho completa justicia la sensatez pública. cerse un poco mas abajo. nanda, continúan en esta corte sin novedad en su im­ portante salud. Sabemos que las cinco grandes Pot…</t>
  </si>
  <si>
    <t>…la corona en las S. M. la R e i n a , s u augusta Madre la R e i n a G oberna­ Los ganaderos del re in o , representados por el Presidente y sienes de vuestra augusta H i j a , y la existencia de la Consti­ dora y la Serma. Sra. Infanta Doña María Luisa Fer­ comisión permanente de esta asociación general , se co ngratu­ tución de 1857. El rnodo de obtener la p¿z es inaudito. Solo lan con Y . M . por la feliz terminación de la g u e r r a , verificada cabe en pechos españoles el rasgo generoso y sublime de arrojar nanda, co…</t>
  </si>
  <si>
    <t>…ntusiasmo, fecun­ S. M. la R e i n a , s u augusta Madre la R e i n a G oberna­ y mil guerre ros derramaron al estrecharse en amistoso abra ­ dará las semillas del bien que V . M. ha sembrado; las fuentes dora y la Serm a. Sra. Infanta Doña María Luisa Fer­ z o , bañaron sus rostros ennegrecidos en la atmosfera de otros de la riqueza pública correrán en copiosos raudales: la frater­ tantos combates. nidad colocará su asiento entre nosotros: un óiden estable de nanda, continúan en esta corte sin novedad en su im­ L a p a…</t>
  </si>
  <si>
    <t>…Bolsa del 21. Cinco por 100 consolidados* último cambio, S . M. la R e i n a , s u augusta Madre la R e i n a G o b e r n a ­ roso conserve la vida de Y. M. dilatados años para bien de la 111 fr., 15 c. d o r a y la Serma. Sra. Infanta Doña María Luisa Fer­ monarquía. Tres por 100 id*, 82 fr. Cuenca 26 de Noviembre de 1859.~Señora.:=:A L. R. P. de Fondos españoles: deuda activa * 26§. nanda, continúan en esta corte sin novedad en su im­ V. M.=G. P. I., Antonio Villaralvo y Fiias.rzJoaquin María Pasiva, 6 j, portante sal…</t>
  </si>
  <si>
    <t>…ítica que debia seguirse sobre la cues­ S. M. la R e i n a , s u augusta Madre la R e i n a G oberna­ oficial de la D ie ta , lo que sig u e : tión de Oriente. La Inglaterra insiste en sus miras relativas á dora y la Berma. Sra. Infanta Doña María Luisa Fer­ 1 Después de la retirada de Mr. Nebenius se ha manifestado la necesidad de reducir á M ehcm et-A lí al raogo de bajá. La una Oposición m uy violenta por parle de los periódicos bade- Fr ancia se ha negado hasta ahora á unirse á este sistema ; y nanda, continúan en esta…</t>
  </si>
  <si>
    <t>…o b e r n a ­ los granos, y que esta será libre, asi como la de harinas, como por Escriben sus de Italia que un hombre bien conocido en Francia escritos políticos y por las persecuciones que le han va­ d o r a y la Serma. Sra. Infanta Doña María Luisa Fer­ lo ha sido antiguamente. lido de parte de la autoridad, ejerce ahora en Roma con muy nanda, continúan en esta corte sin novedad en su im­ buen éxito la medicina. Mr. Berard, editor de las Quejas rea­ portante salud. listas , ha renunciado á la política para dedicarse á…</t>
  </si>
  <si>
    <t>…G ob ern a­ L a sociedad filantrópica de Bristol ha concedido la medalla tado mayor. de plata al doctor Fairbrother , de Cliston, por haber vuelto á Estado m ayor general.—Perrot, teniente coronel, gefe de dora y la Serma. Sra. Infanta Doña María Luisa Fer­ la vida á un joven que había estado bajo del agua por espacio estado mayor gen eral; V ale ry de S iz iaqu e, gefe de escuadrón; nanda, continúan en esta corte sin novedad en su im- de un cuarto de hora , y que no habia podido recibir los so­ de M a c - M a k o n , c a…</t>
  </si>
  <si>
    <t>Fer, José Sierra</t>
  </si>
  <si>
    <t>José Sierra Fer</t>
  </si>
  <si>
    <t>…El mismo oyó con agrado las exposiciones del ayuntamiento podia lanzarse un anatema contra el Diputado que alzase aqui tificaciones y modificaciones que creía debían ponerse, á fin de constitucional de Alcira y del presbítero D. José Sierra Fer­ su voz en contra de ella. Pero nada de eso; estamos en absolu­ que la ley saliese lo mas perfecta posible, puesto que habiendo nandez, vecino de Medina de Rioseco, felicitándole por los ta libertad, no solo de hablar, sino de votar esta ley. No tene­ emitido sus pensamientos y doct…</t>
  </si>
  <si>
    <t>Fer, Luis</t>
  </si>
  <si>
    <t>Luis Fer</t>
  </si>
  <si>
    <t>…ncisco rio, colecturía general del fondo pió beneficial, junta de fino José de Castilla , juez fiscal de la causa que se sigue Elias, primer escultor de cámara. (El Entreacto .) en sumario contra el Excmo. Sr. teniente general D. Luis Fer­ beneficencia, hospitales generales, asociación de caridad nandez de Córdoba, cu vo nombramiento le está hecho por el y casa de beneficencia, la inclusa, la hermandad del re­ Excmo. Sr. capitán general de este distrito, el teniente general fugio, la del pecado mortal, la asociación del B…</t>
  </si>
  <si>
    <t>Fer, Manuel</t>
  </si>
  <si>
    <t>Manuel Fer</t>
  </si>
  <si>
    <t>…afael Cañaveral, D. Francisco Ja­ Real orden Acbericana de Isabel la Católica , juez togado de EL LIBRO DE LOS NIÑOS, vier Sánchez y D. Juan José G il, que aparecen endosantes de primera instancia de esta corte, refrendada de D. Manuel Fer­ varios créditos de deuda sin Ínteres contra el Estado, para que nandez de Pazos, escribano de S. M., del numero del crimen de POR D. FRANCISCO M ARTINEZ DE LA ROSA» en el término de nueve di*s se presenten en la escribanía ma­ la misma, se cita, llama y emplaza por tercer y ultimo edic…</t>
  </si>
  <si>
    <t>Fer, María Luisa</t>
  </si>
  <si>
    <t>María Luisa Fer</t>
  </si>
  <si>
    <t>…de que ni las contradicciones ni los peligros me arredrar» prestan su ihílujo á tan ruines intereses , levantan él clamor del cuando se me llama á la defensa de los derechos mas sagrados de d o r a y la Berma. Sra; Infanta Doña María Luisa Fer­ cocodrilo para atraer háciá sí la víctima que intentan devorar. la República. nanda, continúan en ésta corté sin novedad en su im­ El orden está reñido con sus tortuosas m iras, y esta es la ver­ Conducta del ejército. En la memoria que presenté á las portante salud. dadera causa…</t>
  </si>
  <si>
    <t>…la R e i n a , s u augusta Madre la R e i n a G o b e r n a ­ Y erg ara, que le ratificó después. Fiel a su promesa, presento probar que nuestras actuales instituciones no presentan suficien­ d o r a y la Serma. 8ra. Infanta Doña María Luisa Fer­ luego á las Cortes el proyecto de confirmación de fueros de las tes garantías contra los abusos del poder. ('T em p s .) provincias Vascongadas y N avarra. El Gobierno de Y . M . lo nanda, continúan en esta corte sin novedad en su im­ ha sostenido con tesón y en ergía: votado por…</t>
  </si>
  <si>
    <t>…de a y e r. Cinco por 100 consolidado, 110 fr. 90 c. S. M. la R e i n a , s u augusta Madre la R e i n a G oberna­ Una orden del Rey de H annóver, para llevar á efecto una Tres id ., 81 -75 . dora y la Serma. Sra» Infanta Doña María Luisa Fer­ determinación de la Dieta germ ánica, proscribe la obra de Fondos españoles: deuda a c tiv a , 50. M r. Venedey titu la d a : la P ru sia y e l espíritu prusiano. Id. pasiva, 7f. nanda, continúan en esta corte sin novedad en su im­ (ConstitutionneL) D iferida sin in terés, 15. port…</t>
  </si>
  <si>
    <t>…. la R e i n a , s u augusta Madre la R e i n a G o b e r n a ­ inopinados sucesos en el Norte de la Península, en donde el in­ cie , pues el mismo, acero que no se envainó en las provincia? d o r a y la Serma. Sra. infanta Doña María Luisa Fer­ mortal caudillo de su ejército acaba de cimentar la unión y coa* del Norte hasta su pacificación , tampoco se envainará hasta nanda, continúan en esta corte sin novedad en su im­ cordia de españoles , que se miraban poco há como irreconci­ que suceda lo mismo en toda la monarquía ,…</t>
  </si>
  <si>
    <t>…s, y S . M. la R e i n a , s u augusta Madre la R e i n a G oberna­ bacion. Los Lores han declarado ademas á los peticionarios que de la naturaleza de la conspiración. Parece que este asunto no dora y la Serma. Sra. luíanla Doña María Luisa Fer­ el Gobierno de S. M. , después de haber examinado este negó- i es de tan poca importancia como pretenden algunos oficiales ció con detención, ha resuelto no someterlo al Parlamento. rusos residentes actualmente en esta capital, y que el complot no nanda, continúan en esta corte sin…</t>
  </si>
  <si>
    <t>Fer, Rodrigo</t>
  </si>
  <si>
    <t>Rodrigo Fer</t>
  </si>
  <si>
    <t>…a: y se invita á los señores curas para su retención en la caja de amortización. plaza á los que *e crean con derecho al patronato de legos, fun­ párrocos de esta corte, para que se sirvan sum inistrar y dado por el licenciado D. Rodrigo Fer»aodez, en Yillanueva de rem itir á la imprenta Nacional, dentro de la fecha expre­ Un título al portador del 5 por 100, núm. 55,006 la Cañada, vacante por defunción de la última poseedora M i­ sada, los estados que en los años anteriores se ha acos­ Otro con cupones del 18 al 24 , de rs.…</t>
  </si>
  <si>
    <t>Fer-</t>
  </si>
  <si>
    <t>…ren cuan­ m os, de los que reputen en algo el pudor y la dignidad de do menos con desden las de su p atria? nuestra especie , de los que crean ú til y necesaria una religión Tal es el pensamiento exclusivo que ha animado al Sr. Fer- nel al erigir este colegio $ y á pesar de ofender su delicadeza, PROVIDENCIAS JUDICIALES. que refrene á los humanos en lo escondido de su alma , y has­ ta de los que por egoísmo apetezcan una legislación y un orden nos atrevemos á decir que por realizarlo acaba de renunciar un P OR providencia…</t>
  </si>
  <si>
    <t>Fer-, Infanta Doña María Luisa</t>
  </si>
  <si>
    <t>Infanta Doña María Luisa Fer-</t>
  </si>
  <si>
    <t>…no en vano se ha con­ S . M . la R e i n a , s u augusta Madre la R e i n a G o b e r n a ­ que se haga una edición de las listas electorales rectificadas, sagrado al servicio del Trono y de la patria, d o r a y la Serma. Sra. Infanta Doña María Luisa Fer- poniéndola en venta á un precio módico en todos los pue­ De Real orden lo digo a V, S. para su inteligencia y blos de la provincia, sin perjuicio de los avisos y anun­ cumplimiento. Dios guarde á Y. S. muchos años Madrid 5 nanda, continúan en esta corte sin novedad e…</t>
  </si>
  <si>
    <t>Feral</t>
  </si>
  <si>
    <t>…sos media de Seribe, en dos actos, titulada Estela ó el Padre generales a todos los pueblos y á todas las sociedades mo­ y la títja ; traducida por el Sr. García Gutiérrez, y ejecu­ CAMBIOS. dernas. Esto es lo que ha hecho el Sr. Feral: no traducir tada hace dos años en el teatro del Príncipe. Solo dire­ al pie de la letra el original dejándole los rasgos pura­ mos de ella, porque ya manifestamos nuestra opinión cuan­ Londres, á 90 dias, 5 8 | din. í t i | &lt;h mente locales que contiene, sino reemplazar estos con do se ejecut…</t>
  </si>
  <si>
    <t>Feriian-, IrifSailta Dóitá María Luísa</t>
  </si>
  <si>
    <t>IrifSailta Dóitá María Luísa Feriian-</t>
  </si>
  <si>
    <t>…M . la R e in a , s u a u g u s ta ■. -A-. i - - / ' ‘ ..7 •• .----- r - . II. ■!&gt; M a d re la R e in a G o b e r n a ­ - Brasileños ?7£, f ' ‘ ;;i ficará,’ y hacq qye inspire .confianza en las operaciones, pues d o ra y Sra. IrifSailta Dóitá María Luísa Feriian- / Golómbianos 26*.; * ’ habiendo una junt^. que examine las proposiciones que sobre es- Mejicanos 2 3 f: ' ta qiateria sq hagan , despuesf de $u eximen es cuando el Go­ dá* cóñtináan eú esta corte sin novedad e&amp;&gt;su importante Holandeses, 5 por 1 0 0 , 1 0 0 |…</t>
  </si>
  <si>
    <t>Ferm</t>
  </si>
  <si>
    <t>…bordado para que se abstengan de unos procedimientos tan incompatibles |®ra 9 y sí él la alcanzase en d ia s , para este caso nombró por su de oro. A si que se sentó en el trono la echaron sobre las espal­ heredero á su h ijo D. Ferm in M in u tria ; y habiendo fallecido das el manto de Estado. A l aparecer el Presidente de la Cam a­ con las amistosas relaciones que existen entre la Gran Bretaña a usu fructuaria y estos, por el presente se cita , llam a y em­ ra de los Com unes, se puso de rodillas ante la R eina el lord y…</t>
  </si>
  <si>
    <t>…reota nacional se inserte en la Gaceta , de .m a n ­ sentes las teorías del Sr. L ard iz a b a l ; insertándose las penas que generalis. Este a uto r desenvuelve luminosos p ri n c i p i o s , y e sta ­ dato del juez comisario D. Ferm ín Castaño doy este que s i g ­ se imponen e a la p r á c t i c a , á c on tin uació n de k s disposiciones blece coa sum a e x a c titu d los lím ites de e n tram bas potestades, no y firmo en A r a n ju e z á 12 de O ctubre de 1 8 5 9 .—José A r e - ¡ leg islativas de nuestros códigos por hab…</t>
  </si>
  <si>
    <t>FERN</t>
  </si>
  <si>
    <t>…estiones del momento que han obstrui­ A petición del Sr. Laodero se leyó el art. 2 í del reglamento u q proyecto al Congreso? ¿No está dado este dictámen? Y do el camino ,en el cual el Presidente habia puesto á discusión El Sr. FERN A N D EZ BAEZA empezó diciendo que si la desde entonces ¿no se ha empezado á discutir ¿Por qué no ha cuestión que presentaba el Sr. A rteta, se limitase á decir si el esta cuestión. de ocupar su lugar una ley tan importante? La ley de ayun­ Congreso juzgaba Ó no de importancia la discusión de…</t>
  </si>
  <si>
    <t>Ferna, Isla</t>
  </si>
  <si>
    <t>Isla Ferna</t>
  </si>
  <si>
    <t>…S: Eli Sr* Diputado qne hizo ayer ia Sas, quedará aprobado el. proyecto de ley. A rt 92. En los casos de excitaste® i la sucesión de 1a caro­ impaginación 9 y siento no se, baile presente, irae obligo á to­ A peí; teten del Sr. Isla Ferna mitas, se tejó el i r t 57 de b sa de que traía la facultad sega oda del art. 4# de ta Goosti- mar k palabra » porque algunas equivocaciones que tuvieron Cursi» torio» , cuy© contenido &gt;es el siguiente: tucte® , tas Cortes, tomarán la resolución conveniente por ma­ lugar era., su discurs…</t>
  </si>
  <si>
    <t>Fernan</t>
  </si>
  <si>
    <t>…iero por eso el rigor llevado á un ex­ de magistrado razones creo qüe el Congreso teudrá por conveniente no apro­ tremo, como lo lleva la comisión, la cual no ha hecho mas que dez Baeza, del para la audiencia de la Coruña del Sr. Fernan­ cual aparece que S. M. ha tenido á bien conce­ bar el dictámen que se discute. presentar una resolución enteramente contraria á la que el otro der á dicho señor esa plaza conservando el carácter de oficial El Sr. C ^ R R A M O L IiN O : La comisión se decide á soste­ dia proponía. Es mene…</t>
  </si>
  <si>
    <t>Fernan, Antonio</t>
  </si>
  <si>
    <t>Antonio Fernan</t>
  </si>
  <si>
    <t>…­ mento se aproximó la corbeta: se trasladó á mi bordo un oficial, lución adoptada el 21 de Marzo por la Cámara de los Lores, me cumplimentó en nombre del príncipe de Joinviile, y me pre­ Atendiendo á las instancias de) consejero Antonio Fernan­ y en seguida sobre la adición que ha puesto en vuestro cono­ vino que le entregase los súbditos mejicanos que tuviese á bor­ dez Coello para que le exonerase del cargo que interinamente cimiento el muy honorable Sir Roberto Peel. Existen en la con­ do de mi buque, asi como el piloto.…</t>
  </si>
  <si>
    <t>Fernan, D.</t>
  </si>
  <si>
    <t>D. Fernan</t>
  </si>
  <si>
    <t>…l infante D. Carlos á Portugal , y corresponden­ proponiendo la exclusión de unos votos que en su dictamen a n ­ el dia forman parte del cláustro de profesores de la u n iv e r si­ cia secreta con su augusto hermano y Rey el Sr. D. Fernan­ terior dijo que eran válidos. dad de M adrid. 5.° Los doctores sueltos en número igu a l á la do vir. £1 Sr. C O R T IN A manifestó que cuando la comisión ex­ tercera parte del que resulte de las dos clases anterio res, a d m i­ V arias invectivas y otros documentos anónimos contra el…</t>
  </si>
  <si>
    <t>Fernan, Infama Doña María Luisa</t>
  </si>
  <si>
    <t>Infama Doña María Luisa Fernan</t>
  </si>
  <si>
    <t>…d ie z c u a r t o s . S. M. la R e i n a , s u augusta Madre la R e i n a G o b e r n a ­ la venta de tabaco de todas clases se hallaban establecidos 2.° En dos m araved^ p^h cada arroba de géneros que igual­ y la Serma. Sra. Infama Doña María Luisa Fernan­ al tiempo de la sanción de la citada ley, y por ella queda­ mente se embarque ó desembarqué. dora ron aprobados. 5.° En tres y medio reales por cada bota de vino que se im ­ da, continúan en esta corte sin novedad en su importante Art. 3.° En todas las provincias d…</t>
  </si>
  <si>
    <t>Fernan, Infanta Dona María Luisa</t>
  </si>
  <si>
    <t>Infanta Dona María Luisa Fernan</t>
  </si>
  <si>
    <t>…de ese puerto que volanjUj*|áraepU sefpr^tp augusta Madre la R e i n a G o b e r n a ­ primera vista se ofrezcan en cualquiera provincia ó parti­ do del buque, y auxiliarle fuese necesario. £ .poc&lt;* d o r a , y la Serma. ,Sra. Infanta Dona María Luisa Fernan­ do para verificar el deslinde prevenido, deberán exami­ momentos salieron dos laqcháÉ|fié Laredo , que. con valentía y da, continúan en esta corte sin novedad en su importante narse y resolverse por quien corresponda precisamente an- arrojo, salvando la jjragyHramf…</t>
  </si>
  <si>
    <t>…compra de útiles para las mismas, y gastos de S. M. la R e in a . , su augusta Madre la R e in a G o b e r n a ­ escritorio de la oficina del distrito........................ 5215. . 2 8 NOTICIAS EXTRANGERAS. y la Serma. Sra. Infanta Dona María Luisa Fernan­ d o ra M ina d e la p u erta d e Arenas. da, continúan en esta corte sin novedad en su importante G RAN B R E T A Ñ A . salud. , Por 480£ jornales satisfechos á los canteros, bar­ reneros y herreros que trabajan en la mina de L ondres 11 d e M a y o . la puerta de…</t>
  </si>
  <si>
    <t>…a ­ lado Juncal de La n d i a s , y la de la Gu a r d i a Real quedó en po­ cando. sición inmediata al reducto. Yo me adelanté con el cuartel ge­ Mi entras tanto llamaba también mucho mi atención la p o ­ dora y la Serma. Sra. Infanta Dona María Luisa Fernan­ neral á las Peñas de la Lobera ó Mortera de Bu s t o , para reco­ sesión de la C u e v a , porque de otra suerte era imponible t r a n ­ nocer la situación y estado de Ramales y G u a r d a m i n o , el qu&lt; sitar la carretera sin que las víctimas fuesen infinitas pe…</t>
  </si>
  <si>
    <t>Fernan, Infanta Doria María Luisa</t>
  </si>
  <si>
    <t>Infanta Doria María Luisa Fernan</t>
  </si>
  <si>
    <t>…R e i n a , s u augusta Madre la R e i n a . G o b e r n a ­ «C o ntin úo recibiendo de las potencias extrangeras h ala­ REDACCION DE LA GACETA. güeñas seguridades de sus deseos de conservar conmigo las mas dora y la Serma. Sra. Infanta Doria María Luisa Fernan­ amistosas relaciones. da, continúan en esta corte sin novedad en su importante «H e concluido un tratado de comercio con el Emperador de A u s tria , el cual confio que contribuirá á extender y m ejo­ salud. NOTICIAS EXTRANGERAS. rar las m útuas relaciones entre mi…</t>
  </si>
  <si>
    <t>Fernan, Infanta Doña María Luisa</t>
  </si>
  <si>
    <t>Infanta Doña María Luisa Fernan</t>
  </si>
  <si>
    <t>…r t o s . S . M. la R e i n a , su augusta Madre la R e i n a G o b e r n a ­ de evitar los males de que se quejaba dicho ayuntam iento, de nar la verdad de los hechos, algunos de los cuales tienen mu-' d o r a y la Serma. Sra. Infanta Doña María Luisa Fernan­ las cuales esperaba ver S. M. muy en breve ventajosos resultados. cha relación con la cuestión del d ía, y sirven para la irnpug-» _ A propuesta de! Sr. Ovejero se acordó que se reprodujera y nación que rae propongo hacer del voto particular sometido á da»continúan…</t>
  </si>
  <si>
    <t>…ivo se dice que el cargado S. S. que os rem ita, para instrucción de la junta que Sultán ha dado orden autorizando una leva de hasta 20 traba­ dirige los negocios de L loyd, la copia de una circular dé fe­ dora y la Serma. Sra. Infanta Doña María Luisa Fernan­ jadores. El voto general de los valacos, asi como el de todos cha 22 de Diciembre de lo 58 , que el almirante B audin, co­ da, continúan en esta corte sin novedad en su importante los pueblos de la orilla derecha del D anubio sujetos á la domi­ mandante de las fuerz…</t>
  </si>
  <si>
    <t>…la R e i n a , s u augusta Madre la R e i n a G o b e r n a ­ P OR el juez de paz de la feligresía de Santa M a ría m ay o r ANUNCIOS OFICIALES. de la villa de Vianna de M iñ o , se convoca y llama á to­ d o r a y la Serma. Sra. Infanta Doña María Luisa Fernan­ das las personas que se juzguen con derecho, tanto en su c a li­ J u z g a d o d e Amortización. dad de herederos como en la de acreedores, á la herencia que da , continúan en esta corte sin novedad en su importante ha dejado J o s é Benito B la n co , natural de l…</t>
  </si>
  <si>
    <t>…ectivo á la se­ S. M. la R e in a , su augusta Madre la R e i n a G o b e r n a ­ sus muebles para pago del impuesto personal , han entablado gunda solicitud, debeis d irigirla al alm irantazgo, mediante á dora y la Serma. Sra. Infanta Doña María Luisa Fernan­ una demanda de restitución contra los magistrados. Para elle que los navios de S. M. que navegan en las aguas del M editer­ da, continúan en esta corte sin novedad en su importante alegan que según lo prevenido en la Constitución las accione? ráneo están colocados ba…</t>
  </si>
  <si>
    <t>…rque aquel G a­ con sacrificios que no atacaran ni los derechos ni el honor de binete no habia nombrado para la nueva negociación á su an­ ninguna de las dos partes. Los pecuniarios debían ser los pri­ d o r a . y la Serma. Sra. Infanta Doña María Luisa Fernan­ tiguo ministro el barón Deffaudis. Por errados que fueran es­ meros que se presentaran á Méjico como los mas oportunos , y tos raciocinios y falsos los hechos en que se apoyaban , yo no debia resolverse á hacerlos con generosidad. Entrar en un aná­ da , continúan en…</t>
  </si>
  <si>
    <t>…o de V. E. D. José M artín ez, titulado cirujano del regimiento infantería q u e, ademas de los ocho individuos que aprehendí, les lomé 2.° de línea ; D. YValdo Gornez , subteniente del regimiento i n ­ d o r a y la Serraa. Sra. Infanta Doña María Luisa Fernan­ también varias arm as, objetos de los destinados al culto d i v i­ fantería de A m érica, 14 de línea; Miguel Antonio Pozoseco, da, continúan en esta corte sin novedad en su importante no robados á las iglesias, y el caballo del portugués y la muía quinto por el cuer…</t>
  </si>
  <si>
    <t>…. d ie z c u a r t o s . S. M. ia R e i n a , s u augusta Madre la R e in a G ob er n a ­ militares que deben formalizar las propuestas de recom­ te por Real resolución que aquel expidió en 4 de Octubre d o r a y laS érm a. Sra. Infanta Doña María Luisa Fernan­ pensas por acciones de guerra, y no compitiendo su for­ ultimo con el fin de remontar los cuerpos de caballería da 9 continúan en esta corte sin novedad en su importante Comprendido mación á los inspectores generales de las armas, quedará del ejército, y otro ejempla…</t>
  </si>
  <si>
    <t>…z cu artos. que se titula teniente vicario general de los Reales ejérci­ piaron a' desfilar y desalojarlo con tal celeridad , que no pudo S. M. la R e i n a , su augusta Madre la R e i n a G o b e r n a ­ d o ray la Serma. Sra. Infanta Doña María Luisa Fernan­ tos, cuyos documentos originales se remitieron al supre­ arrojárseles las granadas de mano que al efecto le tenían pre­ mo tribunal de Justicia. Y habiendo consultado dicho t r i ­ paradas ; pero en cambio les hizo un vivo fuego de fusilería, y da, continúan en esta…</t>
  </si>
  <si>
    <t>…E 1839. DIEZ CUARTOS. que se cobró en el del estado respectivo, y lo que resulta Art. 18. La contaduría general de Valores, la de Dis­ S . M . la R e in a , s u augusta Madre la R e in a G o b e r n a ­ d o r a y la Serma. Sra. Infanta Doña María Luisa Fernan­ por cobrar para el siguiente. tribución y las de ramos especiales remitirán a este Minis­ 2.° En cuanto ávrentas y ramos de producto eventual, da , continúan en esta corte sin novedad en su importante los productos de cada una de ellas en el mes á que cor­ trativo t…</t>
  </si>
  <si>
    <t>…ARTOS# S. M. l a R e i n a , s u augusta Madre la R e i n a . G o b e r n a ­ remate que para contratar el suministro de víveres de ios ejér­ satisfacer mensualrnente el importe de los artículos de suminis­ dora y la Serma. Sra. Infanta Doña María Luisa Fernan­ citos de operaciones del Norte y Centro desde 1.° de Marzo tro que se contraten, el ministerio de Hacienda ha manifesta­ da, continúan en esta corte sin novedad en su importante hasta fin de Setiembre próximos se convocó en los estrados de do al de la Guerra en Real…</t>
  </si>
  <si>
    <t>…1839. DIEZCUARTOS. S. M. la Reina, s u augusta Madre la Reina G o b e r n a ­ su tolerancia en él á la perpetración de todo exceso, se­ fijasen edictos en los parajes públicos y acostumbrados de ella, d o r a y la Serina. Sra. Infanta Doña María Luisa Fernan­ gún ya se previno en el artículo 16 de la citada Real or­ anunciándose también en la Gaceta general de la nación, á fin den: los que no obtengan de las rentas, derechos é im­ de que llegase á noticia de todos los parientes que fueren del da, continúan en esta cort…</t>
  </si>
  <si>
    <t>…spuso haber d irig id o al Sr. W . G. Ouseley , encargado de negocios el Sr. vicepresidente se abrieran los paquetes que contenían los d e S . M .B . , su nota con fecha de hoy relativam ente al escanda­ d o r a y la Serma. Sra. Infanta Doña María Luisa Fernan­ docum entos; y am ontonados, se les pegó fuego y movió en dis­ loso suceso ocurrido en la barca de vapor la E sp ecu la d o ra , da, continúan en esta corte sin novedad en su importante tin tas direcciones, hasta que quedaron reducidos á cenizas to­ recibió la que l…</t>
  </si>
  <si>
    <t>…cisco Bermejo , quienes por unanimidad declararon Otra id. en dicha sierra , loma de la Breba , término del no haber lugar á la formación de causa. Presidio, Demasía para San Miguel de Granada, á D. José d o r a y la Serma. Sra. Infanta Doña María Luisa Fernan­ Lozano , en id. da, continúan en esta corte sin novedad en su importante Berja y Diciembre l.° de 1858.=:P. A. D. S. I ., el primer salud. DIRECCION GENERAL DE MINAS. ayudante Bernabé Sánchez Dalp. Inspección de minas del distrito de Riotinto. - Mes de D i ­ J u z…</t>
  </si>
  <si>
    <t>…39. d ie z c u a r t o s . S. M . la R e i n a , s u augusta Madre la R e in a G o b e rn a ­ De orden de S. M. lo digo á Y. S. para su puntual nir á estas disposiciones. Dios guarde á V. S. muchos años. d o r a y la Serma. Sra. Infanta Doña María Luisa Fernan­ cumplimiento; en la inteligencia de quedar V. S. respon­ Madrid 27 de Enero de 1839.=Hompanera de Cos.¡=Se- da, continúan en esta corte sin novedad en su importante sable con su destino para el caso inesperado de contrave­ ñor gefe político de...... salud. GOBIERNO…</t>
  </si>
  <si>
    <t>N.° 1570. LUNES 4 DE MARZO DE 1839. d ie z cu artos. S. M. la R e i n a , s u augusta Madre la R e i n a G o b e r n a ­ ora y la Serma. Sra. Infanta Doña María Luisa Fernan­ REDACCION DE LA GACETA. clases son nocivas, no solamente á los fabricantes, sino también i las agrícolas. No debe autorizarse el oir á 1&gt;s consejos de los pe. ticionarios, que corresponden á las clases industriales: seria tam ­ da , continúan en esta corte sin n…</t>
  </si>
  <si>
    <t>…n a G o b e r n a ­ ción que encuentra oculta manejos políticos y un plan de cou- trarevolucion, y teniendo ademas poca confianza eo las mili­ Maine se mostraría tan descontento de este paso como él. Desa­ dora y la Serma. Sra. Infanta Doña María Luisa Fernan­ cias prueba la marcha seguida por el presidente, y pregunta por da, continúan en esta corte sin novedad en su importante obtener cantonales, se ha dirigido á muchos cantones vecinos para jué, después de lo que ha pasado en el Congreso, nq ha óbra­ salud. de ellos un…</t>
  </si>
  <si>
    <t>…no desplegue tanta severi­ Una compañía de caballería del Rey con la de cazadores dad y energía, cuanta la Nación tiene derecho a exigir, y I del In fan te, y á su cabeza el valiente gefe de E. M. , dio la do ra y la Serma. Sra. Infanta Doña María Luisa Fernan­ brillante carga que al frente de las masas ocupó esta posición, las circunstancias hagan necesaria en ocasión tan crítica y reuniéndose arriba ccn las compañías de carabineros y tirado­ da, continúan en esta corte sin novedad en su importante trascendental. Dios gu…</t>
  </si>
  <si>
    <t>…ien a d q u irid o s, queremos que los de nuestros fie­ solemnemente en esta Cámara. les Estados queden también garantidos. El derecho es sagrado á Se trata de la continuación de la guerra civil en España, dora y la Serma. Sra. Infanta Doña María Luisa Fernan­ nuestros ojos, y es nuestra voluntad que siguiendo este princi­ del cum p lim iento , de acuerdo con In glaterra, del tratado de la pio, del que jamás nos hemos ap artad o , nuestros fieles súbditos cuádruple alianza que ha reclamado toda la solicitud del G o ­ d a…</t>
  </si>
  <si>
    <t>…os que el mismo m o d o , espero se sirva V. E. manifestarme en v irtu d de Gobierno de S. M . podría g u a r d a r al Sr. general N aivaez. qué órden permanece á las su yas el citado gefe ; en el concep­ dora yd aS erijia. Sra. Infanta Doña María Luisa Fernan­ Habiendo llenado y a esta sagrada obligación , es tiempo to de que si no tuviese a lgu n a en debida fo rm a , le h a iá V. E. da, continúan en esta córte sin novedad en su importante le que piense en lo que me pertenece. entender se presente en esta c a p ita n ía…</t>
  </si>
  <si>
    <t>…dia nacional anunció la llegada de la fúnebre co­ S. M. la R e i n a , s u augusta Madre la R e i n a G o b e r n a ­ REDACCION DE LA GACETA. m itiva. Los funcionarios y el clero la salieron al encuentro, y dora y la Serma. Sra. Infanta Doña María Luisa Fernan­ en todas partes se manifestaron las desmostraciones de una pro­ d a, continúan en esta corte sin novedad en su importante funda tristeza y de un religioso respeto. NOTICIAS EXTRANGERAS. El cadáver quedó depositado en la iglesia , en la que debían salud. celebrarse l…</t>
  </si>
  <si>
    <t>…E MARZO DE 1839. DIEZ CUARTOS. S. M. la R eina., su augusta Madre la R eina . G oberna­ levantar mano se acelerase todo lo mas posible la conclu­ de infantería, que hasta el día estaban bajo el pie de paz. dora y la Serma. Sra. Infanta Doña María Luisa Fernan­ sión de este asunto: que por contestación le habia mani­ Asi es, que á excepción de la artillería, todas las tropas de festado dicho gefe que la demora consistía en la aclara­ linea, aun los regimientos de reserva de los dos cuerpos de da, continúan en esta corte s…</t>
  </si>
  <si>
    <t>…d ie z c u a r t o s . S. M. la R e i n a , s u augusta Madre la R e i n a G o b e r n a ­ esta corte como en las provincias, de las disposiciones que de la hacienda, y por lo mismo las comprendieren en los dora y la Serma. Sra. Infanta Doña María Luisa Fernan­ anteceden. De orden de S. M. lo digo á V. S. para su in­ pliegos que formarán, en todos han de consignarse los teligencia y puntual cumplimiento.” principios generales siguientes: da , continúan en esta corte sin novedad en su importante En su consecuencia, y á fin…</t>
  </si>
  <si>
    <t>…por el abogado V a u te le t, y el abo­ S. M. la R e i n a , s u augusta Madre la R e i n a G o b e r n a ­ queña colum na que el com andante de la derecha del T ajo puso gado Lezaek replicará al fiscal. d o ra y la Serma. Sra. Infanta Doña María Luisa Fernan­ á sus órdenes para verificar dicha operación. En los primeros B artels se presenta como un republicano el mas desinteresa­ da, continúan en esta corte sin novedad en su importante dias esta batida general no produjo éxito por no encontrarse do. No qu ería , d ice, ma…</t>
  </si>
  <si>
    <t>…R e í n a , su augusta Madre la R e i n a G o b e r n a ­ NOTICIAS EXTRANGERAS. bierno , y la justificación cou que procedería el Congreso al ocuparse de este asunto, ha podido creer la legación de Fran­ d o r a y la Serma. Sra. Infanta Doña María Luisa Fernan­ cia que dicha comunicación uo dejaba esperanza de un arreglo MEJICO. satisfactorio. da , continúan en esta corte sin novedad en su importante El ministerio habia sostenido, es verdad, que la República «alud. Concluye la exposición del ex Ministro de Relaciones ex -…</t>
  </si>
  <si>
    <t>…O DE 1839. d ie z c u a r t o s . S. M. la R e i n a * su augusta Madre la R e i n a G oberna ­ 6.a Facilidad y dulzura en los aforos de los géneros deberá quedar revocada, sin distinción de nacionales ni dora . y la Serma. Sra. Infanta Doña María Luisa Fernan­ que entran en las aduanas. extrangeros. 7.a Rebaja en los derechos para disminuir los alicien­ A pesar de lo conveniente y justo de la anterior me­ da, continúan en esta corte sin novedad en su importante tes del contrabando. dida, y de que en la citada memoria el…</t>
  </si>
  <si>
    <t>…ie z cu a rtos . S. M. la R e i n a , s u augustaM adre l a R e i n a G o b e r n a - das las noticias y documentos necesarios para llevar á nasen , á fin de comprobar la exactitud de su contenido con la torla y la Serma. Sra. Infanta Doña María Luisa Fernan­ efecto esta disposición. indicación del suplemento. da , continúan en esta corte sin novedad en su importante Art. 2.° Los sueldos y gastos de la secretaría de la jun­ Y no dirigiéndose n in g u n a demanda á pesar de las reite­ ta del expresado monte pió, hasta aqu…</t>
  </si>
  <si>
    <t>…nuestros soldados. S. M. l a R e i n a , s u augusta Madre la R e i n a G o b e r n a ­ de que so incluyan en ellas todos los ciudadanos que ten­ gan las calidades que requiere la ley para se rlo , y sola­ dora y la Serma. Sra. Infanta Doña María Luisa Fernan­ mente estos; y los g e í e s políticos tomarán las medidas que d a , continúan en esta corte sin novedad en su importante juzguen oportunas para que esta operación se verifique PARTE NO OFICIAL. con toda urgencia, escrupulosidad y exactitud.. salud. 5.a Los promoto…</t>
  </si>
  <si>
    <t>…adre la R u n a G o b e r n a ­ dos extrangeros, y esto á un precio m uy subido. statu quo , y nada descuida para hacer prevalecer su opinión. Sucédense casi sin interrupción los consejos en la Puerta, y d o r a y la Serma. Sra. Infanta Doña María Luisa Fernan­ con frecuencia no se trata en ellos mas que de las exigencias de da , continúan en esta corte sin novedad en su importante FR A N C IA . la situación actual. La diplomacia no permanece inactiva en semejantes momentos, y estos dias ha tenido el embajador de salud. Fr…</t>
  </si>
  <si>
    <t>…DE ENERO DE 1839.DIEZCUARTOS S. M. la R e in a , su augusta Madre la R e in a G o b e r n a ­ Articulo 1.° Se nombrará una comisión con título de bajo otros diferentes pretextos, sin acreditar préviamente dora y la Serma. Sra. Infanta Doña María Luisa Fernan­ Regia de tres ó cinco individuos que me propondrá el en muchos casos si realmente son de su pertenencia. En­ da , continúan en esta corte sin novedad en su importante Consejo de Ministros, para que trasladándose a la isla de terada de todo S. M., y teniendo en consid…</t>
  </si>
  <si>
    <t>N.° 1573. JUEVES 7 DE MARZO DE 1839. DIEZ CUARTOS. S. M. la R e i n a , s u augusta Madre la R e i n a G o b e r n a ­ de lo indicado por las comisiones del Congreso que exa­ MINISTERIO DE LA G UERRA. d o r a y la Serma. Sra. Infanta Doña María Luisa Fernan­ minaron los presupuestos del ministerio de vuestro cargo para los años pasados de 1837 y 1838, como Reina Re­ Real orden. da, continúan en esta corte sin novedad en su importante gente y Gobernadora, á nombre de mi augusta Hija la salud. Reina Doña Isabel n , ven…</t>
  </si>
  <si>
    <t>…dios están en mi mano de ° v,iedo ° renf 1 1 1500 2 1 1500 S. M. la R e i n a , s u augusta Madre la R e in a G o b e r n a ­ proporcionar libros, instrumentos, colecciones y demas ne­ Pa ¡ e n c ía 2 L d o r a y la Serma. Sra. Infanta Doña María Luisa Fernan­ cesario para la mas útil enseñanza. Entre tanto los profeso­ ron tev ed ra........................... res de física, ele historia natural y geografía proporcionan ®a,amaJnca da , continúan en esta corte sin novedad en su importante por sí mismos lo mas preciso. ^ a…</t>
  </si>
  <si>
    <t>…nistración. S. M. la R e i n a . , su augusta Madre la R e i n a G o b e r n a ­ diezmos y primicias se han pagado hasta ahora , y se harán pun­ Art. 27. La exacción de tazmías ó relaciones individuales d o r a y la Serma. Sra. Infanta Doña María Luisa Fernan­ tualmente efectivos, según se hayan devengado y devenguen se hará por los colectores, debiendo entregar cada contribuyen - da, continúan en esta corte sin novedad en su importante desde 1 .° de Marzo del corriente año hasta la determinación de te la suya dentro de u…</t>
  </si>
  <si>
    <t>…ARTOS. S. M. la R e i n a , s u augusta Madre la R e i n a G oberna­ CORTES. útil y conveniente, sino porque creia que se atacaba el derecho de los Senadores que se nombrasen para componer la comisión d o r a y la Serma. Sra. Infanta Doña María Luisa Fernan­ que ge pedia , obligándoles á que improvisasen una ley contra da, continúan en esta corte sin novedad en su importante SENADO. su voluntad. salud. El Sr. I S L A F E R N A N D E Z manifestó que habiendo conve­ PRESIDENCIA DEL SEÑOR MOSCOSO DE ALTAMIRAé nido los s…</t>
  </si>
  <si>
    <t>…d ie z c uaeto s. S. M. la R e i n a , s u augusta Madre la R e i n a G o b e r n a ­ á los que voluntariamente quieran ingresar en dicho cuer­ pueblos de su demarcación respectiva, bien por medio del dora y la S e r m a . Sra. Infanta Doña María Luisa Fernan­ po, pasando los capitanes generales ai inspector general de Boletín oficial donde le hubiere, ó por vereda si no ha­ infantería las relaciones y medias filiaciones de los que se llasen otro tan eficaz y menos gravoso para los mismos da, continúan en esta corte sin…</t>
  </si>
  <si>
    <t>…lm edo á V alladolid . Del extracto de la sesión de la Cámara de los Lores, que S. M. la R e i n a , s u augusta Madre la R e in a G o b e r n a ­ concluyó á las cuatro de esta m añana, que la misma Cámara dora y la Serma. Sra. Infanta Doña María Luisa Fernan­ Examinados los planos y cálculos que ha formado el inge­ ha nombrado una comisión especial de pesquisa sobre el estado niero 2.° D. A gustín Marcoartu en la junta consultiva de esta de la Irlanda desde 1835, relativamente á los crímenes y de­ da, continúan en esta c…</t>
  </si>
  <si>
    <t>…Madre la R e in a G oberna ­ El capitán general de Castilla la Vieja con fecha 5 trasla­ da un parte del comandante general de Palencia , en que ma­ El gran Duque hereditario de Rusia se ha suscrito con la dora y la Serma. Sra. Infanta Doña María Luisa Fernan­ nifiesta que el gefe de carabineros de Hacienda D. Manuel suma de 500 libras esterlinas al monumento que debe elevarse da , continúan en esta corte sin novedad en su importante Carande persiguió el dia 2 desde el pueblo de Velilla hasta en honor del duque de VVellin…</t>
  </si>
  <si>
    <t>…valezca un sistema d i ­ n at u r a l de M o n t - brison (Loi ra), residente en Parí s, calle de H a u - feren te, y esta falta de u n id a d en los consejos ha causado males t e - F e u i l l e , núm. 9. d o ray la Serma. Sra. Infanta Doña María Luisa Fernan­ de la m a y o r consideración á los intereses de la I n g la te rr a . Asi Ño n g u e s (Pedro Lui s Teófilo), de edad de 2 5 años, i mpresor, da , continúan en esta corte sin novedad en su importante pues, solo por medio de un a em igra ció n mejor e n te n d id a s…</t>
  </si>
  <si>
    <t>…s u augusta Madre la R e i n a G o b e r n a ­ El Senado quedó enterado de una comunicación del Sr. de resolución que fuere de su Real agrado. Rubianes , en que como albacea testamentario del Sr. Senador d o r a y la Serma. Sra. Infanta Doña María Luisa Fernan­ Dios guarde á Y. E. muchos años. Yapor Isabel 11 en San- D. Pedro Allende Salazar, participaba el fallecimiento del ex­ da , continúan en esta corte sin novedad en su importante toña 30 de Enero de l839.r:Excmo. Sr.ziJosé Morales de los presado Sr. Salazar. Rios.=E…</t>
  </si>
  <si>
    <t>…de la obra. do unas 85 en el antiguo cauce de dicho arroyo. Jaén 24 de S. M. la R e in a , su augusta Madre la R e in a G o b e r n a ­ Marzo de 1859^=Francisco Muñoz y Andrade. P uente d e Guadalbullon . dora y la Serma. Sra. Infanta Doña María Luisa Fernan­ Dos albañiles á 10 r s ., 2 id. á 7, y 1 id. á 6 , en la cons­ da , continúan en esta corte sin novedad en su importante trucción de machones y muros de sostenimiento. El gobernador capitán general de la Isla de Cuba participa salud. Dos canteros á 14 rs. en el asie…</t>
  </si>
  <si>
    <t>…e cree que el S. M. la R e i n a , su augusta Madre la R e i n a G o b e r n a ­ miso para volver á los dominios de su fam ilia situados en el lenguaje moderado que últimamente usa el Estado del M ain e d o r a y la Serma. Sra. Infanta Doña María Luisa Fernan­ país de M u n s te r , y es probable que á esta fecha h ay a salido de consiste en la falta de los fondos necesarios para continuar las inden. En estos últimos dias ha sufrido el prelado tan vio­ operaciones ofensivas que habian empezado. Cuantos esfuerzos da, cont…</t>
  </si>
  <si>
    <t>…adre la R e i n a G o b e r n a ­ dose presentado ayer y hoy algunos de ellos, entre los cuales PARTE RECIBIDO EN LA SECRETARIA DE ESTADO hay varios soldados del ejército que habían sida hechos prisio-1 d o r a y la Senjia. Sra. Infanta Doña María Luisa Fernan­ ñeros y agregados á sus filas, quienes co se habían separado Y DEL DESPACHO DE LA GUERRA* por falta de oportunidad. da, continúan en esta corte sin novedad en su importante Hasta ahora no sé con certeza e! rumbo que efectivamente en I t u l El comandante general de…</t>
  </si>
  <si>
    <t>…o: en su consecuencia he dispuesto que nador por la provincia de Orense al Sr. D. Gregorio Sanz de tenga efecto dicho remate el dia 15 del corriente mes en los ­ Villbvieja, obispo electo de Yich. oberna dora y la Serma. Sra. Infanta Doña María Luisa Fernan­ estrados de esta intendencia militar desde las doce de su ma­ Asimismo lo quedó de otra comunicación ’del Sr. Secretario da, continúan en esta corte sin novedad en s u importante ñana en adelante, bajo las condiciones que se manifestarán en del Despacho de Hacienda,…</t>
  </si>
  <si>
    <t>…RO DE 1830. Diez Cuartos. S. M. la R e i n a , s u augusta Madre la R e i n a G o b e r n a ­ El Sr. Ministro de la Guerra en 28 de este mes dice Que el dia 6 fueron aprehendidos en Valdetnozárabes seis d o ra. y la Serma. Sra. Infanta Doña María Luisa Fernan­ d de la Gobernación de la Península de Real orden lo facciosos, y al conducirlos á Toledo desde Almonacid trataron da , continúan en esta corte sin novedad en su importante úguiente: de fugarse á la vista de una gavilla que se presentó con objeto «Con esta fecha dig…</t>
  </si>
  <si>
    <t>…o n - lu c ta? El padre honrado, aunque pobre, puede con constante S. M . la R e i n a . , su augusta Madre la R e i n a . G o b e r n a ­ olicitud formar una dote para su h i j a ; depositar parte de i&gt;us dora y la Serma. Sra. Infanta Doña María Luisa Fernan­ ¡horros, y con ellos facilitar herramientas y objetos necesarios á da , continúan en esta corte sin novedad en su importante us hijos luego que estos h ayan aprendido el oficio á que son salud. lestinados. Un duro al roes consumido en viciosas algazaras, de EMPRESA…</t>
  </si>
  <si>
    <t>…guerra fran­ cés; pero este acontecimiento ha sido puramente accidental. S. M. la R e in a , su augusta Madre la R e in a G o b e rn a ­ Asi que han sido conocidas las circunstancias, ha dado el oficial d o r a y la Serma. Sra. Infanta Doña María Luisa Fernan­ H ay actualmente en la Cámara de los Pares tres individuos francés todas las disculpas posibles acerca de las consecuencias de que han desempeñado las funciones de presidente de la de los este accidente. Esta vez puedo responder mas satisfactoriamen­ da , continúan…</t>
  </si>
  <si>
    <t>…Madre la R u n a G o b e rn a ­ enérgica que se remitiría á la embajada inglesa. 5.° Que dirigiese una memoria justificativa á todos los in­ emplazado (aunque ausente), y condenado á muerte . Esta sen­ .D O R a y la Serma. Sra. Infanta Doña María Luisa Fernan­ dividuos del cuerpo diplomático. tencia se ha hecho pública, como también algunos detalles sobre los crímenes de que se le acusan. Dicen los miembros de la so­ da, continúan en esta corte sin novedad en su importante habiaMr.recibido: Zographos ha obrado conforme…</t>
  </si>
  <si>
    <t>N.° 1518. VIERNES 11 DE ENERO DE 1839. d ie z c u ar to s. S. M. la R e in a , su augusta Madre la R e in a G oberna ­ ro Sarmiento, del comercio de ropería con tiendas en la calle dora y la Serma. Sra. Infanta Doña María Luisa Fernan­ de Atocha frente ¿ Sto. Tomas de esta corte, de la que se ha REDACCION DE LA GACETA. fugado; y entre las disposiciones acordadas lo es que ninguna da, continúan en esta corte sin novedad en su importante persona le haga pagos ni entregas de ninguna especie, ni á per…</t>
  </si>
  <si>
    <t>…Z C U AR TO S S. M. la R e i n a , su augusta Madre la R e i n a . G o b e r n a ­ dientes propios de la jurisdicción ordinaria. De Real or­ y D. Vicente Hernández, después de haber sido oidas las par­ d o r a y la Serma. Sra. Infanta Doña María Luisa Fernan­ den lo comunico á V. para su inteligencia y cum plim ien­ tes , y reasumido por dicho señor juez de primera Distancia» separados los jueces de calificación y conferenciado, pa%aron d to. Dios guarde á V. muchos años. Madrid 6 de Febrero da, continúan en esta cor…</t>
  </si>
  <si>
    <t>…gusta Madre la R e i n a G o b e r n a ­ mería.=Mes de Enero de 1839.rrRelacioo de los denuncios y Alcaldía segunda constitucional de León• registros de minas admitidos en dicho mes, y de las denomina­ d o r a y la Serma. Sra. Infanta Doña María Luisa Fernan­ ciones dadas en él. Habiéndose denunciado ante el alcalde segundo constitucio­ da, continúan en esta corte sin novedad en su importante Denuncios. nal de esta capital por D. José María de Prado, vecino del salud. pueblo de Santiago de Millas en esta provincia , e…</t>
  </si>
  <si>
    <t>…ahora se han gobernado por sí solos. Al efecto se servirá dría á su marcha, pues conociendo la necesidad de batirle an ­ V. S. disponer: tes de atacar la plaéa , deseaba que le ofreciere la batalla; mas d o r a y la Serma. Sra. Infanta Doña María Luisa Fernan­ 1.° Que se gire inmediatamente una visita compuesta tuvo el sentimiento de que no sucediese asi , ni de ver, basta que llegó á Segura, mas que al cabecilla con unos 50 caballos d a , c o n tin ú a n en esta corte sin novedad en su importante de dos empleados que mer…</t>
  </si>
  <si>
    <t>…abiendo cesado la lluvia el dia antes , determinó S. M. la R e i n a , s u augusta Madre la R e in a G o b e r n a ­ continuar las operaciones, para lo que se pusieron las tropas en NOTICIAS EXTRANGERAS. d o r a y la Serma. Sra. Infanta Doña María Luisa Fernan­ movimiento á las dos de ia mañana , y aunque una densa nie­ FR A N C IA . da , continúan en esta corte sin novedad en su importante recio bla no fue bastante á hacerle desistir, convertida aquella en un temporal, vióse obligado á suspender la acción iatentada salud…</t>
  </si>
  <si>
    <t>…les los vínculos que á la madre P atria, vuestra prosperidad será su gloria, acerca de las intenciones del Gobierno. Lord Melbourne 110 ha explicado nada. Sin embargo , no temo por nuestras institucio­ d o r a y la Serma. Sra. Infanta Doña María Luisa Fernan­ da, continúan en esta corte sin novedad en su importante hasta aquimejor y esta el apoyo de aquella, permaneciendo todos como adictos y fieles al trono augusto de Isabel n. M ani­ nes bajo el régimen del bilí de reforma. Si esta medida contri­ buye á asegurar la p…</t>
  </si>
  <si>
    <t>…ir en Paris. S. M. la R e i n a , s u augusta Madre la R e i n a G o b e r n a ­ ánimos débiles ó mal intencionados, debo manifestar que el Rey desaprueba altamente estas infames tentativas , y que está d o r a y la Serma. Sra. Infanta Doña María Luisa Fernan­ firmemente decidido á castigar con mano fuerte á cuaotos pres­ El U niverso relig io so asegura que el ministerio ha reci­ da, continúan en esta corte sin novedad en su importante tasen oidos á semejantes maquinaciones. Por esto encargo á Y. bido la noticia de la lle…</t>
  </si>
  <si>
    <t>….................. 701 y Milicia nacional que esten en campaña), artillería é inge­ Barcelona.............................................. 1438 nieros de los que hacen el servicio activo en los regimien­ dora y la Serma. Sra. Infanta Doña María Luisa Fernan­ Burgos.................. 776 tos, y de los batallones de marina destinados al ejército, da, continúan en esta cprte sin novedad en su importante Cáceres.............................. 790 8.° Uno por cada uno de los tres gefes de sanidad mi­ salud. Cádiz...........…</t>
  </si>
  <si>
    <t>…a r to s . S . M . la R e i n a , s u augusta Madre la R e in a G o b e rn a ­ los arquitectos D. Bartolomé Tejada Diez y D. Pedro Blas de é inconciliables, representante de antecedentes, de principios, d o r a y la Serma. Sra. Infanta Doña María Luisa Fernan­ Uranga: otra en la de D. Pedro, que hace esquina y vuelve á de esperanzas contrarias ; conducida por gefes que habian ex­ la de San Isidro, señalada por la primera con el núm. 11 nue­ tendido por toda la Francia el rumor de sus debates, no era, da , continúan en est…</t>
  </si>
  <si>
    <t>…. MARTES 12 DE MARZO DE 1839. d ie z c u a r t o s . S. M . la R e i n a , s u augusta Madre l á R e i n a G o b e r n a r ANUNCIOS OFICIALES. dia 28,852 rs. v n.} impuestos por 106 individuos, de los cuá­ dora y la Serma. Sra. Infanta Doña María Luisa Fernan­ les los 64 han sido nuevos imponentes. da, continúan ep esta corte sin novedad en su,importante; Caja de ahorros de Madrid. El director de semana, marques viudo de Póntejos.=:El con­ tador , Antonio Guillermo Moreno.=El tesorero, Joaquín de salud. ‘ Domingo 10 de…</t>
  </si>
  <si>
    <t>…e r n a ­ fuerzas y baterías. de Guadalajara de 10 del corriente resulta que la facción de Los enemigos habían vivaqueado á mi frente, y desde el Cabrera se retira en dirección de Priego y Cañaveras ; y que l.i y la Serma. Sra. Infanta Doña María Luisa Fernan­ campamento que ocupaban nuestras brigadas se dejaron cono­ columna del mando del general Amor , que venia en su segui­ cer sus disposiciones para defenderse con tesón; pero di la señal dora de ataque, y el fuego de nuestra artillería y el de todas las ba­ miento,…</t>
  </si>
  <si>
    <t>…stra ció n la menor q u eja. El b il í , ha a ñ a d i ­ I l o y se a nunci a como cierta la destituci ón de M r . Bresson. do M r . L a b o u c h e r e , ofrece á la le g isla tu ra de la J a m a ic a la d o r a y la Serma. Sra. Infanta Doña María Luisa Fernan­ Pocos di as hace que h a bi i corrido esta n ot i c i a, y quer í amos d u ­ ocasión mas favorable de a h o r r a r al P arlam e n to la penosa tarea darl a por honor del ministerio. Hoy se afirma que el M i n i s t r o da , continúan en esta corte sin novedad en su…</t>
  </si>
  <si>
    <t>…a R e in a G o b e rn a ­ aquellos a que están exclusivamente destinados, y son las sidio , organizado ya con arreglo á la ordenanza general del atenciones de ios ejércitos en actividad, para lo cual han d o r a y la Serma. Sra. Infanta Doña María Luisa Fernan­ de ser entregados forzosa y exclusivamente á los comisio­ ramo, y en el de tnañana saldré, si el tiempo lo permite, con la 1.a, 2.a y 5.a brigadas compuestas de 30Q hombres, 24 ca­ da , continúan en esta corte sin novedad en su importante nados del Banco. bos y tres…</t>
  </si>
  <si>
    <t>…a R e i n a G o b e r n a ­ Tres y medio id. reducidos, 100. esto, y con dolor, que el ascendiente político de una na­ Nuevo 5 | por 100, iO li. ción vecina haya extendido y hecho casi universal su idio­ d o r a y la Serma. Sra. Infanta Doña María Luisa Fernan­ Fondo indiano, 257. m a, tal vez con menoscabo del nuestro, y ciertamente con da , continúan en esta corte sin novedad en su importante Bonos de la India , 27. perjuicio de nuestra industria tipográfica. Se escribe en Bonos del echiquier, 27 , 26. {Sun*) salud. fran…</t>
  </si>
  <si>
    <t>…aran tía sierra, esparciendo la alarm a én M ontan y otros pueblos h ab i­ a lg u n a , sino que la efectuó confiado en la hum anidad y bue­ tualmente dominados por la canalla. En este últim o pueblo ma­ d o r a y la Serma. Sra. Infanta Doña María Luisa Fernan­ na fe de los gefes del pais. tó un centinela Faccioso. En una p alab ra, los facciosos hasta da, continúan en esta corte sin novedad en su importante Este suceso, dice S. E ., prueba por sí solo el estado de ahora se habian encargado de sorprender, mas ahora tienen…</t>
  </si>
  <si>
    <t>…O DE 1839. DIEZCUARTOS . S ; M . la R e in a , su augusta Madre la R k i s a G o b k r w a - ley de 10 de Enero último. Con igual plaqer se ha ente­ Almería y Marzo 1.° de 1859. — El presidente, Francisco do ra y la Serma. Sra. Infanta Doña María Luisa Fernan­ rado S. M. de la alocución dirigida p or la diputación a ios García Hidalgo.^:Francisco de Paula Aquioo.r: Juan de Yebra da; coniinúanea esta corte sin novedad en su importante leales y decididos habitantes de esa p rov in cia , recom en­ García.—José Bordiu y Góngo…</t>
  </si>
  <si>
    <t>…en seguida á S. M. la R e in a , su augusta Madre la R e in a G o b e r n a ­ su resultado, le encargo que conferencie y se ponga de acuer­ a calle South cubriéndola en toda su extensión, y basta la ace­ do ra y la Serma. Sra. Infanta Doña María Luisa Fernan­ do, asi en esto como para las .escoltas y demas con el gefe po­ ra con dos y tres pies de profundidad: por las encrucijada* de lítico de Málaga que tan buenas disposiciones manifiesta , se­ da, continúan en esta corte sin novedad en su importante gún lo que V. E. s…</t>
  </si>
  <si>
    <t>…a l, en virtud de un derecho que le es in h eren te, expedir de­ S. M. la R e i n a , s u augusta Madre la R e in a G o b e r n a ­ lehm aun. cretos y hacer reglamentos en contradicción con los cánones de dora y la Serraa. Sra. Infanta Doña María Luisa Fernan­ la Ig le sia: de suerte que sus leyes y su constitución deben ce­ Los electores de O snabruk acaban de d ir ig ir á la D ieta g e r­ der al orden temporal. Por consecuencia aq u i se ve que en el da , continúan en esta corte sin novedad en su importante caso de una…</t>
  </si>
  <si>
    <t>…dice que el Gran Duque de Diré de un modo positivo que toda medida que tenga por ob­ durante su perraarencia en Inglaterra , ha distribuido jeto introducir una reforma útil , encontrará en roí un celoso d o r a y la Serma. Sra. Infanta Doña María Luisa Fernan­ mas de 5003 fr. á los diferentes establecimientos de caridad. y decidido defensor; pero ja roas modificaré mis opiniones por* da , continúan en esta corte sin novedad en su importante Si los peiiódicos torys, siendo eco de su partido, prodigan el ínteres de mi posi…</t>
  </si>
  <si>
    <t>…nes de primera necesidad vienen de las provincias del Norte. S. M. la R e i n a , su augusta Madre la R e in a G o b er n a ­ NOTICIAS EXTRANGERAS. La ciudad de Rio-Grande continúa con la misma tranqui­ d o r a y la Serma. Sra. Infanta Doña María Luisa Fernan­ lidad. (Periódicos de New-York.) da, continúan en esta corte sin novedad en su importante .E S T A D O S U N ID O S . salud. N ew York 4 de Mayo . GRECIA. Buques de vapor del Este . Nuestros amigos de Boston Maurocordato, embajador del Rey Othon en M unich, será M…</t>
  </si>
  <si>
    <t>…a; por lo contrario, los fon­ que hubiese hoy alguna comunicación diplomática ; mas á con­ dos belgas han estado débiles y en baja. (Debats.) secuencia de dos Consejos de Ministros presididos por el Bey, d o r a y la Serma. Sra. Infanta Doña María Luisa Fernan­ uno de los cuales se celebró después de la llegada de Mr. Van da, continúan en esta corte sin novedad en su importante Praet, que hacia ocho dias estaba en Londres, se resolvió 110 Escriben de Roma con fecha de 19 de Enero: diferir un instante su comunicación á las…</t>
  </si>
  <si>
    <t>…l juzgado del referido Después de firmado este p arte, que me tomo la libertad de Sr. D. Fraucisco Amorós y López, y escribanía de D. Santiago no rehacer por mis muchas ocupaciones , recibo una com unica­ dora y la Ser nía. Sra. Infanta Doña María Luisa Fernan­ M anuel de A lb ó m ga, ó bien al deí Sr. D. M iguei M aría de ción de Montesinos fechada en G ranada el 9 de este mes á las da, continúan en esta corte sin novedad en su importante Ip a rra g u irre , juez de prim era instancia de dicha ciudad , den­ once de la noch…</t>
  </si>
  <si>
    <t>…t rata , esta pronto á Sir R.oberto Peel, contestando á un brindis propuesto en su llamar licitadores e-.i la Gaceta del G obierno, para lo mor, ha dado gracias á los magistrados de la ciudad de L o o - d o r a y la Serm a. Sra. Infanta Doña María Luisa Fernan­ 'es por el cordial apoyo y la franca cooperación que !e baldan cual deberá la misma diputación proponer inmediatamen da , continúan en esta corte sin novedad en su importante te y de una manera explícita y definitiva los recursos 'estado en diversas circunstancias d…</t>
  </si>
  <si>
    <t>…e l a R ein a G oberna ­ A pertura d el cam ino en tre G uadiel y Bailen . tu quo. En su consecuencia los embajadores de F ra n c ia y de In g la te rr a han expedido nuevas instrucciones á los cónsules re­ dora y la Serma. Sra. Infanta Doña María Luisa Fernan­ En esta obra se han invertido 65 trabajadores, y han ex­ sidentes en el C a ir o , y se cree haberse re m itido al E gip to las planado 56 varas lineales en relleno de 4 O pies de latitud y bases de un tratado definitivo. A d e m a s , el e m bajador ruso h a d a ,…</t>
  </si>
  <si>
    <t>…es, y en todo lo que tiene relación con la nueva car­ e in a su e in a oberna G ­ mayor júbilo esta diputación provincial, tiene la satisfacción retera, preparándose ya para abrir los ramales de comunica** dora y la Serma. Sra. Infanta Doña María Luisa Fernan­ de anunciar á V. E. que el dia 5 del corriente se dió princi­ ción con ella para disfrutar las inmensas ventajas que calculan da , continúan en esta corte sin novedad en su importante pio á los trabajos de la carretera desde esta ciudad á la de Má­ y se prometen. la…</t>
  </si>
  <si>
    <t>…o b e r n a ­ torrentes de sangre. Dice que aquella carta , escrita antes de I ires que se cubren con el manto de la política para saquear, &gt;ara degollará ciudadanos indefensos; que tienen la audacia de d o r a y la Serma. Sra. Infanta Doña María Luisa Fernan­ cometerse el crimen , era una prueba manifiesta de que Barbés | iresentar estos crímenes como consecuencia de una maquinación da, continúan en esta corte sin novedad en su importante estaba en el secreto; y que si no ha sido cómplice, por lo menos | )olítica, ¡han de…</t>
  </si>
  <si>
    <t>…EBRERO DE 1839. DIEZ CUARTOS. S . M. la R e in a , su augusta Madre la R e in a G o b e rn a ­ militares que deben formalizar las propuestas de recom­ Intendencia militar del distrito de Castilla la Nueva. dora y la Serma. Sra. Infanta Doña María Luisa Fernan­ pensas por acciones de guerra, y no compitiendo su forma­ da , continúan en esta corte sin novedad en su importante ción á los inspectores generales de las armas, quedará com­ prendida en la regla general establecida el inspector ge­ Por Real orden de 15 del actual…</t>
  </si>
  <si>
    <t>…ito de Marbelia se enterará á los interesados llama y emplaza á los que como acreedores tengan derecho á de las condiciones de la subasta* los bienes pertenecientes al abintestato de D . Pedro Pascual D íaz dora y la Serna. Sra. Infanta Doña María Luisa Fernan­ G rum eta, vecino que fue de esta corte, para que al término de da, eAntimian en esta corte sin novedad en su importante 50 dias le deduzcan en dicho juzgado y expresada escribanía, p O R providencia del tribunal supremo de Justicia de 1.° del y pasado dicho término…</t>
  </si>
  <si>
    <t>…R e i n a , su augusta Madre la R e i n a G o b e r n a ­ ciones de sir John Russell. Sin embargo, la franqueza de este es GRAN BRETAÑA. un b ien , y permite á las diferentes opiniones organizar su sis­ d o r a y la Serma. Sra. Infanta Doña María Luisa Fernan­ tema y su plan. da , continúan en esta corte sin novedad en su importante L ondres 5 d e Ju nio . Los torys han cometido grandes faltas eo estos últimos tiempos: pero si han sucumbido momentáneamente, mas tarde nlud* tomarán su revancha. Es imposible que &gt;a situac…</t>
  </si>
  <si>
    <t>…» Por lo tanto S. M. la Reina Goberna­ S. M. la R e i n a , s u augusta Madre la R e in a G o b e r n reconocido a­ en el muelle por los vistas ó peritos que se dora se ha servido resolver lo siguiente: d o r a y la Serma. Sra. Infanta Doña María Luisa Fernan­ nombren, los cuales pondrán en la factura que está con­ 1.° Que las diputaciones provinciales que al recibo de forme con ella la cantidad, y que el grano y harina es da, continúan en esta corte sin novedad en su importante producción del pais. Sin este requisito y…</t>
  </si>
  <si>
    <t>…la R e in a , su augusta Madre la R eina G oberna­ el alcalde y su secretario. Los enemigos, c o n tin ú a , estuvieron sin Francisco G a r rid o , D. M an u e l U IÍbarri,D . J u l i á n J a v i e r , Don do ra y la Serma. Sra. Infanta Doña María Luisa Fernan­ cesar de hacer f u e g o , tanteando la parte de m u ralla mas débil Cristóbal A lg a b a , D. V en tu ra L lo re n s, D. Tomas M a r ía V i z - ’ paéa asaltarla con escalas; mas el acertado fuego y serenidad manos y D. francisco López O lavarrieta , los cuates decl…</t>
  </si>
  <si>
    <t>…simo puente de Almaraz; en de Córdoba , Islas Baleares y Canarias por no haberse recibido 14 del corriente hice presente á Y. E. lo que me parecía los documentos necesarios para ello. Madrid 16 de Marzo d o r a y la Serma. Sra. Infanta Doña María Luisa Fernan­ sobre este particular. de 1859.=Miguel María Fuentes. da, continúan en esta corte sin novedad en su importante Dios guarde á V. E. muchos años. Madrid 16 de Mar­ salud. zo de 1839.=Excmo. Sr.=José Agustín de Larramendi.=: Ayuntamiento constitucional de Madrid. Exc…</t>
  </si>
  <si>
    <t>…eneral en gefe. neral, que las disposiciones y providencias que dicten los S. M. la R e i n a , s u augusta Madre la R e i n a G o b e r n a ­ ayuntamientos , y en su caso las diputaciones provinciales, d o ra y la Serma. Sra. Infanta Doña María Luisa Fernan­ en los negocios que pertenecen á sus atribuciones según C om andan cia general de los ejércitos reunidos.—S ecretaría da , continúan en esta corte sin novedad en su importante de c a m p a ñ a .—Orden general del 15 de M a y o de 1 8 5 9 en el las leyes forman esta…</t>
  </si>
  <si>
    <t>…R e i n a , s u augusta Madre la R e in a G o b e r n a ­ Aguas-Buenas, donde el general Jacqueminot le tiene prepara­ PARTE NO OFICIAL. da otra nueva fiesta. Desde alli irá S. A. R. á Canterets, pasan­ d o r a y la Serma. Sra. Infanta Doña María Luisa Fernan­ do por la montaña. da , continúan en esta corte sin novedad en su importante La efusión de las palabras del Príncipe nos prueba que salud. NOTICIAS EXTRANGERAS. S. A. R. ha quedado contento de la acogida que se le ha hecho en la ciudad de Enrique iv. (M emorial des…</t>
  </si>
  <si>
    <t>…rdo constase en el acta el voto de los Sres, Bravo M u - diente del resguardo y un g u a rd a m o n t e , los cuales h an teuido r i l l o , A y a m a n s , Pérez H ernán d ez, Pon y M o r e l l , couforme dora y la Serm a. Sra. Infanta Doña María Luisa Fernan­ entrada en el depósito de prisioneros de Pam plona. con la proposición del Sr. A rteta y otros Sres, D iputados apro­ da, continúan en esta corte sin novedad en su importante bada ay er por el Congreso. salud. Se dio cuenta de que el Sr. Alonso ( D . M i l la n ) qu…</t>
  </si>
  <si>
    <t>…elo, y procuran terminarlas breve­ V. S. puede usar de las facultades que le compelen como mente, ayudados de la autoridad de V, S. para vencer las autoridad superior de la provincia para corregir la mas d o r a y la Serma. Sra. Infanta Doña María Luisa Fernan­ dificultades que el ínteres privado pueda suscitar. leve lalia que se cometa, y dar cuenta á esta dirección, da, continúan en esto corte sin novedad en su importante A las comisiones agricultoras no debe pedírselas dic­ si lo conceptuase necesario. tamen sobre subd…</t>
  </si>
  <si>
    <t>…obierno; S. M. l a R e i n a , s u augusta Madre la R e i n a G o b e r n a ­ M aría de Bustamante.=:ManueI de la Peña y Peña.rzJ. Cirilo este, obrando en consonancia con los principios que había esta­ d o r a y la Serrua. Sra. Infanta Doña María Luisa Fernan­ Gómez de A u a y a .r:F r a n c is c o M anuel Sánchez de T a g le , se­ blecido, se prestó á las conferencias, y nombró un ministro da, continúan en esta corte sin novedad en su importante cretario. que se dirigió á Jalapa para tratar con el de S. M. el Rey de sal…</t>
  </si>
  <si>
    <t>…r n a ­ compañero del asesino R om ero, apoderándose de su caballo y desagradable hemos tenido que v en tilar con algu n a Potencia arm as. ex tran gera: todas hacen justicia á la lealtad y francos procedi­ dora y la Serma. Sra. Infanta Doña María Luisa Fernan­ Que el juez de prim era instan cia de Bande aprehendió el mientos del Gobierno, y reposan en la firme persuasión de que da, continúan en esta corte sin novedad en su importante 28 del anterior al famoso ladrón Ramón Cortés , alias Capelo, sus derechos serán respetad…</t>
  </si>
  <si>
    <t>…G o b e r n a ­ ra tom ar el castillo de San Ju a n de U lúa y la isla de Sacri­ tas naciones católicas de la Europa y de la América. ficios !!! Las Cámaras deben ocuparse de dar un nuevo arancel de los d o r a y la Serma. Sra. Infanta Doña María Luisa Fernan­ Que esten meditando una expedición secreta, no lo d u ­ derechos de iglesia , y eximir á los curas del gravám en de pa­ da , continúan en esta corte sin novedad en su importante dam os; pero será para poner sus bultos á salvo en pais ex- gar cuartas episcopales. tr…</t>
  </si>
  <si>
    <t>…mby se ha visto rial. Fuera de esta cuestión existían diferencias que era preciso obligado á reconocer que nunca han sido ejecutadas las leyes tomar en consideración. La no ejecución por espacio de siete d o r a y la Serma. Sra. Infanta Doña María Luisa Fernan­ mas rigorosamente que bajo sus auspicios. (Aplausos.) años era también un hecho grave, cuyo beneficio habia que re-* da, continúan en esta corte sin novedad en su importante El orador no habia terminado su explicación á la salida clamar sin distinción. salud. del cor…</t>
  </si>
  <si>
    <t>…po que necesitaba pa­ blo de Rosales , por donde dirigió su marcha , le encontró ra reunir todas sus fuerzas; pero se mantenía inm óvil sobre efectivamente con su partida , compuesta de 500 infantes y 25 d o r a y la Serma. Sra. Infanta Doña María Luisa Fernan­ las suyas. Corria el tiempo sin que el fuego de mis guerrillas caballos , colocado en posición en las alturas de la Ribera: que da , continúan en esta corte sin novedad en su importante le incitara al com bate, por lo que emprendí mi retirada á las en vista de esto…</t>
  </si>
  <si>
    <t>…, su augusta Madre la R e i n a G o b e r n a ­ los asuntos del pais , por el eminente espíritu de }uvfée¿4 *.y por el respeto á los derechos que ha caracterizado sus actos y sus de­ Se lee eo el Globei d o r a y la Serma. Sra. Infanta Doña María Luisa Fernan­ cisiones , y por la solicitud en fin con que ha procurado dis­ Continúan recibiéndose noticias alarmantes con motivo de minuir y socorrer las calamidades del pueblo. Le co­ los padecimientos s i e n p a u m e n t o de los pobres en algunos da, continúan en esta cor…</t>
  </si>
  <si>
    <t>N.° 1 5 5 8 . MIERCOLES 20 DE FEBRERO DE 1839. DIEZ C U AR T O S. S. M. la R e i n a , su augusta Madre la R e i n a G o b e r n a ­ REDACCION DE LA GACETA. Portugueses 5 por 100 , 57| Colombianos 29|. d o ra y la Serma. Sra. Infanta Doña María Luisa Fernan­ Bonos del tesoro 66 , 64 . da , continúan en esta corte sin novedad en su importante Acciones de banco 205. N O TICIAS E X T R A N G E R A S. Fondo indio 252. salud. Belga 9 8 J B A V IE R A . Holandés 5 por 1 0 0 , 1 0 2 , 78 ; id. 2 | , 5 4 f. Brasileño 79^. M…</t>
  </si>
  <si>
    <t>…RZO DE 1839. DIEZCUARTOS. S. M. la R e in a , su augusta Madre la R e in a G o b e r n a ­ y puntual noticia del movimiento y estado de las rentas y Saturnino en numero de 150 caballos, tuvimos la desgracia dora y la Serma. Sra. Infanta Doña María Luisa Fernan­ vidarse y su administración, llegando el reprensible caso de ol­ de perder al valiente coronel D. Joaquín Cayuela , que fue de lo que sobre la materia está prevenido, y de muerto ea una de las diferentes cargas que se dieron á los re­ da, continúan en esta corte sin…</t>
  </si>
  <si>
    <t>…á su ingenioso autor ; las observacio­ S. M. la R e i n a , s u augusta Madre la R e i n a G o b e r n a ­ N O T IC IA S E XT R AN G E R AS. nes que este oficial distinguido ha podido hacer sobre los d i ­ dora y la Serma. Sra. Infanta Doña María Luisa Fernan­ versos pormenores del armamento del V eloz le han indicado FR A N C IA . ademas otras muchas cosas que deben aumentar sus ventajas; y da, continúan en esta corte sin novedad en su importante todo anuncia que la administración de la marina deberá a l e ­ salud P a…</t>
  </si>
  <si>
    <t>…la R e i n a , s u augusta Madre la R e i n a G o b e r n a ­ M e d io pie v a r o n i l , de tam añ o n a t u r a l , desde el carpo á la de todos sexos y edades. Tcdo el dia 2 9 con tin uó hostiliz ando d o r a y la Serma. Sra. Infanta Doña María Luisa Fernan­ e x tre m id a d ; pieza suelta que se ve estaba a ñ a d id a á la estatua al fuerte , que se defendió con valor y constancia , sin em b argo á que perteneció: mérito de la e je c u c ió n , y d ib u jo ad m irab le: de haber sido herido su com andante D. C emente A…</t>
  </si>
  <si>
    <t>…S. M. la R e i n a , s u augusta Madre la R e i n a G o b e r n a ­ rio en cuestión; pero que renuncia por el momento el ejercicio mente sobre dos ó tres hom bres, entre los cuales A h m e d - F e t l i — d ora y la Serma. Sra. Infanta Doña María Luisa Fernan­ de este derecho mientras que se aplicase á los terrenos, cuya b a j á , em bajad or actual en Paris, y atm go particular del S u i - posesión pertenece hasta ahora á la Inglaterra. Sin embargo, el tan , y R es ch id -b a já , que es quizás el hombre mas á p r o p o…</t>
  </si>
  <si>
    <t>…peraozas de los violenta confederación. Una victoria espléndida alcanzada por buenos patriotas: el general Florez en su brillante discurso al el ejército unido restaurador, apoyado de la opinión pública, ha dora y la Serma. Sra. Infanta Doña María Luisa Fernan­ Congreso, y en su posterior alocución á los pueblos, ha con­ desbaratado todo ese edificio que Santacruz habia formado con­ da, continúan en esta corte sin novedad en su importante signado principios eminentemente republicanos, hecho prome­ tra las exigencias de la c…</t>
  </si>
  <si>
    <t>…D E 1839. D IE Z C U A R TO S. S. M. la Reina, su augusta Madre la Reina Goberna­ blos, conforme á la disposición contenida en el art. 67, para que asi se ejecute se ha servido S. M. mandar se observen las dora y la Serma. Sra. Infanta Doña María Luisa Fernan­ sea satisfecho en metálico en los seis meses siguientes. reglas siguientes: Art. 74. Con el fin de hacer menos sensible la exacción de 1.a En los primeros dias del mes, principiando desde da , continúan en esta corte sin novedad en su importante esta contribución, s…</t>
  </si>
  <si>
    <t>…abe: encima es­ S. M. la R e i n a , su augusta Madre la R e i n a G o b e r n a ­ manifestado mas de una vez; ó si no, tómese otro cualquier ar­ ta un corredor con balaustrada de m árm ol, columnas y arcos dora y la Serma. Sra. Infanta Doña María Luisa Fernan­ bitrio constitucional que encierre el menor número posible de sencillos y comunes, que hace malíbimo contraste con el del p i­ inconvenientes, y que nos salve de la crisis que nos aflige. so bajo. De dicha obra hablaremos mas adelante. da , continúan en esta corte s…</t>
  </si>
  <si>
    <t>…ia del carácter y derramado su sangre en defensa de nuestras instituciones, de imparcialidad , que es su mas noble a trib u to : 5.° También h ay a renunciado á su pais natal por el nuestro, en donde tiene d o ray la Serma. Sra. Infanta Doña María Luisa Fernan­ resulta el grave perjuicio de qué un lit ig a n t e , siguiendo una esposa , hijos y bienes? da , continúan en esta corte sin novedad en su importante causa justa contra una parte que sostiene un pleito injusto ty Pretender privarles por envidia ó por mezquines pasio…</t>
  </si>
  <si>
    <t>…. M. la R e in a , su augusta Madre la R e in a G o b e r n a ­ NOTICIAS EXTRANGERAS. su defectuosa adm inistración, carecen totalmente de ellos. Las últimas noticias de Constantiaopla son todas de gu erra, dora y la Serma. Sra. Infanta Doña María Luisa Fernan­ pues según se dice ha declarado el Sultán á los embajadores de GRAN BRETAÑA. las Potencias que quería absolutamente vengarse de M ehem et- da, continúan en esta corte sin novedad en su importante A lí y romper el deplorable statu quoi esta resolución hace se­ salud.…</t>
  </si>
  <si>
    <t>…istas. Si es los negocios de las provincias del R hin que dependían de su de­ a s i, esta adición es m uy buena, y el ministerio no podrá echar partam ento, y se atrib uía esta medida al estado actual de d o r a y la Serma. Sra. Infanta Doña María Luisa Fernan­ en cara á sus adversarios una táctica que él mismo ha venido aquellas provincias á consecuencia de las diferencias religiosas da, continúan en esta corte sin novedad en su importante á adoptar. que se han suscitado allí entre el Gobierno y una gran parte salud. Un e…</t>
  </si>
  <si>
    <t>…ado, pongo el presente que signo Doña Antonia Fernandez Cabello, hijos los dos primeros, y y firmo en M adrid á 19 de Marzo de 1839.=iManuel W ebre. esta nieta de Diego José Cabello y de Doña Francisca M a­ dora y la Serma. Sra. Infanta Doña María Luisa Fernan­ ría de Figueroa , naturales y vecinos que estos fueron de la da , continúan en esta corte sin novedad en su importante villa de P uerto-R eal, para que ea el término de cuatro meses É vN virtud de lo resuelto por la audiencia territorial de M a - contados desde hoy…</t>
  </si>
  <si>
    <t>…e i n a G o b e r n a ­ M r. E w art, declara en seguida que para presentar todas las Según el parte que me da el ingeniero D. V alentín M aría correspondencias seguidas con los Gobiernos extraogeros acerca dora y la Serma. Sra. Infanta Doña María Luisa Fernan­ del Rio en 11 del corriente, se habia adelantado m uy poco en de la ley de cereales, seria preciso publicar dos ó tres volúme­ los trabajos preliminares de esta carretera , sin embargo de nes: con todo, añade el M inistro, no será difícil conseguir de da, continúan…</t>
  </si>
  <si>
    <t>…in a G o b e r n a ­ El ramo de contribución de indígenas puede adelantar bas­ vas mas circunstancias las mayores ventajas posibles, y los medios seguros son perfeccionar el cultivo de nuestros variados d o r a y la Serma. Sra. Infanta Doña María Luisa Fernan­ tante con el siguiente arreglo: frutos y atraer brazos útiles para aumentar los valores dé la 1.° Que se haga una nueva numeración dé los indígenas da, continúan en esta corte sin novedad en su importante que deben pagar, ;cón distinción de los entrantes, clases y p…</t>
  </si>
  <si>
    <t>…os han aguardado á que el tribunal de los Pares pronunciase S. M. la R , augusta Madre la R G ­ Nos escriben de Canterets con fecha 15 de Julio lo que la sentencia. (C. P.) sigue: e in a su ein a oberna dora y la Serma. Sra. Infanta Doña María Luisa Fernan­ El Sr. duque de Nemours ha llegado esta mañana á Cante­ da, continúan en esta corte sin novedad en su importante rets, procedente de Aguas Buenas por la montaña. S. A. R. Esta mañana se adelantó hácia el palacio Borbon (Cámara habia dormido la noche anterior en Arg…</t>
  </si>
  <si>
    <t>…n a , s u augusta Madre l a R e i n a G oberna­ cantidad de deuda cpn interés jjr; sfo é l ; .persuadid a .tam­ bién de que el sistema^pflñpufefcto. á las Cortea en él pro­ A N U N C IO S O F IC IA L E S . dora y la Serma. Sra. Infanta Doña María Luisa Fernan­ yecto de ley que de mi ór.den .presentasteis en;25 de Ene­ da, continúan en esta corte sin novedad en su importante ro último es el mas adecuado al objeto y de conocida uti Intendencia m ilitar del distrito de Castilla la Nueva. saludé lidad para los mismos cómpraTI…</t>
  </si>
  <si>
    <t>…ri—: Provincia de Numero de la guia. banía de número de D. Francisco Montoya , se ha servido con­ N O T A . Se comprenderán también los efectos que se conducen de puerto á puerto en registro de cabotaje. dora y la Serma. Sra. Infanta Doña María Luisa Fernan­ vocar á junta general de acreedores de dicha testamentaría para da, continúan en esta corte sin novedad en su importante el lunes 1.° de Abril próximo á las diez de su m añan a ren el piso bajo de la audiencia territorial. -&gt; 600 N ota de las guias que se han exp…</t>
  </si>
  <si>
    <t>…ara reunir fondos disponiendo que las administracio­ T aris 14 d e A bril . S. M. la R e i n a , s u augusta Madre la R e i n a G o b e r n a ­ nes de correos hagan efectivos todas las existencias y débitos dora y la Serma. Sra. Infanta Doña María Luisa Fernan­ que el arbitrio que recaudaban para los caminos de Granada, El C o n n e r inglés se expresa en estos términos sobre los r u ­ y reuniendo las noticias que pidió sobre las existencias de lo, mores que hao corrido relativamente á una grave enfermedad da, continúan en…</t>
  </si>
  <si>
    <t>…amiliar de barro negro, de dos azum­ S. M. la R ein a, su augusta Madre la Reina Goberna­ 9.° Procurara la misma junta averiguar las fundacio­ bres de cabida ; su forma es un óvalo truncado por la base* d o r a y la Serma. Sra. Infanta Doña María Luisa Fernan­ nes que puedan ser aplicadas en la provincia al Instituto, con su asa correspondiente ; psrtenece á la época árabe; está y examinara qué otros arbitrios se podran adoptar para entero. da , continúan en esta corte sin novedad en su importante aumentar los fondos de…</t>
  </si>
  <si>
    <t>…39. d ie z c u a r t o s . S. M. la R e i n a , s u augusta Madre la R e i n a G o b e r n a ­ tome posesión; pero será satisfecha por la caja de líqui­ M artin Martínez, Manuel Martínez Espinosa, Juan Mata dora y la Serma. Sra. Infanta Doña María Luisa Fernan­ dos, aunque el destino del encausado corresponda á la de y Domingo Castalio, cabos primeros. totales, y en ambos casos se cargará én la primera al im­ Cirilo Pascual, Rafael Lesa, José Cárdenas y Lucas Mem- da , continúan en esta corte sin novedad en su importante p…</t>
  </si>
  <si>
    <t>…s el resultado S. M. la R e i n a , su augusta Madre la R e in a G o b e r n a ­ ser uno de los desertores del 5.° de ligeros de caballería, 11a- de un choque que amenaza de cerca entre las tropas del gene­ dora y la Serma. Sra. Infanta Doña María Luisa Fernan­ l mado Narciso de Liras, pertenecientes ambos á la gavilla de ral Bustamante y las del general Urrea que parece han salido á Saturnino. Que la columna de Orense dió muerte al faccioso encontrarse, y deberá decidir de la suerte política de la Repú­ da, continúan en e…</t>
  </si>
  <si>
    <t>…terio de lord Melbourne. Algunos celosos partidarios de S. M. la R e i n a , s u augusta Madre la R e i n a G o b e r n a ­ Bancos d e Nueva York, las nuevas reformas insistieron en poner como condición del dora y la Serma. Sra. Infanta Doña María Luisa Fernan­ apoyo que prestarían al m inisterio, que por lo menos se pusie­ El cuadro comparativo siguiente da la suma de la circula­ se á la orden del dia el voto por escrutinio en las cuestiones da , continúan én esta corte sin novedad en su importante ción y de las especies…</t>
  </si>
  <si>
    <t>…z c u a r t o s . se verifiquen con toda celeridad compatible con el orden pañar los comprobantes que la legitimen, poniendo de.esa ma­ S. M. la R e i n a , su augusta Madre la R e i n a G o b e r n a ­ d o r a y la Serma. Sra. Infanta Doña María Luisa Fernan­ tanto para que cuanto antes quede desembarazado el pro nera á sus alcaldes en el de poder cumplir puntualmente los ducto de la quinta de esta atención de preferencia, come exhortos ú oficios que se les remitan para la recta administración da, continúan en esta cort…</t>
  </si>
  <si>
    <t>…escribano de S. M. y de Se asegura haberse dirigido á la Dieta germánica una pro­ su juzgado D. Manuel Fernandez de Pazos, se hace saber á to­ testa firmada por 29 individuos. Se habla hoy de una próxima d o r a y la Serma. Sra. Infanta Doña María Luisa Fernan­ das las personas que hayan empeñado desde Julio de 1857 disolución de la segunda Cámara de los Estados. Con efecto, da, continúan en esta corte sin novedad en su importante hasta Abril de 1858 ropas, alhajas y efectos por mediación solo se cuenta con 26 Diputados pr…</t>
  </si>
  <si>
    <t>…vocas; S. M. la R e i n a , s u augusta Madre la R e i n a G o b e r n a ­ dulto al comandante general de Orense con sus armas los f a c ­ pero los intereses del país se hallan demasiado ligados á toda d o r a y la Serma. Sra. Infanta Doña María Luisa Fernan­ ciosos Antonio Espino y Manuel C a lv o ; el primero procedente cuestión relativa á una modificación completa del Gobierno n a ­ da , continúan en esta corte sin novedad en su importante de los Pontones de Lisboa , hombre de prestigio entre los suyos. cional , y ha…</t>
  </si>
  <si>
    <t>…han resultado tantas víctim as, una S. M. la R e i n a , su augusta Madre la R e in a G o b er n a ­ ion: cada general parece aguardar el ataque. eunion tan casual y momentánea de algunos centenares de mal- dora y la Serma. Sra. Infanta Doña María Luisa Fernan­ Damos también el texto de la circular dirigida por Soliman- echores entregándose al asesinato y al pillaje tan solo por el ajá (antiguo coronel Selves) á los cónsules europeos, y en la que leseo de saciar deseos particulares de venganza y de codicia: to­ da, continú…</t>
  </si>
  <si>
    <t>…1839. d ie z c u a r t o s . S. M. la R e in a , s u augusta Madre la R e in a G o b e r n a ­ Posteriormente se han dictado las providencias opor­ La negativa de algunos habitantes de Osnabruck á pagar d o r a y la Serma. Sra. Infanta Doña María Luisa Fernan­ tunas, se han hecho los preparativos, y se han tomado el impuesto, mas bien se considera como una demostración po­ todas las medidas necesarias para que pueda procederse lítica que como una seria resistencia á las medidas coercitivas da , continúan en esta corte sin…</t>
  </si>
  <si>
    <t>…ris i 7 de Abril. la frecuencia que V. E. se sirve prevenirme. Dios guarde á S. M. la R e i n a , su augusta Madre la R e in a G o b e r n a - V. E. muchos años. Soria 20 de Abril de I839.=:Excmo. Sr.iz d o r a y la Serma. Sra. Infanta Doña María Luisa Fernan­ Juan de la Tejera.zzExcmo. Sr. Secretario de Estado y del Des­ Fondos públicos. Cinco por 100, 109 fr. 10 c. pacho de la Gobernación de la Península. Cuatro id., 10í , 50. da , continúan en esta corte sin novedad en su importante Tres id ., 8 í , 15. salud. Copia d…</t>
  </si>
  <si>
    <t>…n ITarvey. Confiamos i á ninguna persona por menos de un chelín (5 rs.), lo que ha que la recomendación del Presidente y del Ministro británico, j producido una gruesa suma en favor de la asociación. A las d o ray la Serma. Sra. Infanta Doña María Luisa Fernan­ después de un poco de reflexión, contendrá, al menos por un I ocho y media ocupó la silla de la presidencia el p recu rso r g e ­ da , continúan en esta corte sin novedad en su importante poco de tiempo, aquellos movimientos belicosos. Hé aqu i el p ár- I neral Danie…</t>
  </si>
  <si>
    <t>…a de los Pares de la causa que se le sometió por decreto R eal del 4 de M ayo generoso por confesión del mismo que enviaba al suplicio ; ese anciano tan elocuente por su silencio y su continua taciturni­ d o ray la Serma. Sra. Infanta Doña María Luisa Fernan­ de 1859. d ad , ha perecido sin que ninguna voz de la turba e túpida que CARTA DE MARC DUFRAISSE* preenciaba su muerte haya lanzado un grito de consuelo, ó mas da , continúan en esta corte sin novedad en su importante bien de admiración, y no ha habido un periódico…</t>
  </si>
  <si>
    <t>…de Drouineau. Los defensores han dado inme­ diatamente conocimiento de esta declaración al guarda-selloi. ( Messager.) S. M. la R e i n a , s u augusta Madre la R e i n a G o b e r n a ­ F R A N C IA . d o r a y la Serma. Sra. Infanta Doña María Luisa Fernan­ P aris 17 de Julio . Se cita con relación á Barbes el hecho siguiente: da, continúan en esta corte sin novedad en su importante Barbes tenia un pariente que le dejó por su muerte una he­ salud. La discusión del presupuesto de lo Interior ha continuado rencia de 500$…</t>
  </si>
  <si>
    <t>…ra las caba­ en el primero se conseguirá la p a z , y una paz que corone nues­ llerías , y dando salida á las aguas que destrozaban el camino, tros nobles esfuerzos: mas en el segundo extremo daremos a l d o r a y la Serma. Sra. Infanta Doña María Luisa Fernan­ con lo cual queda expedito el paso ínterin se efectúa por el nue­ mundo entero otra prueba de que nuestra conducta no tiene da , continúan en esta corte sin novedad en su importante vo trazado. ni ha tenido otro móvil que la conciencia de nuestro deber; y D e Granad…</t>
  </si>
  <si>
    <t>…a idea del rigorismo británico en do las cartas no están firmadas; cuando su autor se ha f u ­ cuanto á observar la festividad del domingo. gado ; cuando la llegada de Barbés á Paris se verificó á los po­ d o ra y la Serma. Sra. Infanta Doña María Luisa Fernan­ John W e l l i s , cochero del R. Daniel W i l s o n , vicario de Is- cos dias de recibidas; cuando él rehúsa dar explicaciones sobre lingston, fue conducido ayer ante el magistrado de H alto n- este p un to ; cuantas circunstancias se han reunido en la ins­ d a , c…</t>
  </si>
  <si>
    <t>…ey de 10 del corriente, circulada por el ejércitos : procederán inmediatamente á examinarlos y á cote­ propio Ministerio en el mismo dia. jarlos con las relaciones con que se hubieren presentado ; y cor­ d o r a y la Serma. Sra. Infanta Doña María Luisa Fernan­ Art. 10. Para que pueda tener efecto este abono, se pre­ rigiendo los defectos que noten, expedirán en favor de los mis­ sentarán originales en las oficinas de provincia los recibos que mos pueblos las certificaciones abonables con la expresión y for­ da, continúan…</t>
  </si>
  <si>
    <t>…ES 28 DE FEBRERO DE 1839. DIEZ CUARTOS. S. M. la R e in a , su augusta Madre la R ein a G oberna ­ tar á V. E. que consiguiente á lo dispuesto en Real or­ Excmo. S r.: El coronel D. Martin Zurbano, que como dora y la Serma. Sra. Infanta Doña María Luisa Fernan­ den de 22 de Enero último, conferencié con el director participé á Y. E. había salido anoche con la columna, acaba general de Caminos acerca de los medios y modo de faci­ de regresar ahora , que es la una , con 4*2 prisioneros de la cla­ d a , continúan en esta cort…</t>
  </si>
  <si>
    <t>…E 1839. DIEZCUARTOS. S. M. la R e i n a , s u augusta Madre la R e in a G o b e rn a ­ de penuria en que se ve el tesoro, que se demore con igual clase, en la provincia de Valencia : para esta judicatura d o r a y la Serma. Sra. Infanta Doña María Luisa Fernan­ prolongados trámites. á D. Juan Antonio Benjumea, que sirve la de Colmenar V ie­ Y 5.° Finalmente, que si todas estas obligaciones im­ jo, también de entrada , en la provincia de M adrid; y para da , continúan en esta corte sin novedad en su importante periosas grav…</t>
  </si>
  <si>
    <t>…en la sesiou S. M. la R e i n a , su augusta Madre la R e i n a G o b e r n a ­ que tomará en consideración las propuestas que se formen para de la Cámara de los Comunes antes de a ye r que el dia 50 del d o r a y la Serma. Sra. Infanta Doña María Luisa Fernan­ recompensar los hechos de señalado valor que h ay an tenido corriente presentaría una rnocion acerca del sistema que con­ lugar. viene adoptar con respecto á la J a m a ic a , y que el 51 pediria da, continúan en esta corte sin novedad en su importante un crédito p…</t>
  </si>
  <si>
    <t>…alería de los cuadros) á las once y media de la mañana. El llamamiento nomioal se verificará á las once en punto. S. M. la R e i n a , su augusta Madre la R e i n a G o b e r n a ­ {Idem.) F R A N C IA . dora y la Serma. Sra. Infanta Doña María Luisa Fernan­ da , continúan en esta corte sin novedad en su importante París 19 de Junto . A un no se saben los nombres de todos los defensores que talud. asistirán ante el tribunal á los 18 acusados, cuyo proceso va á Bolsa de hoy. Cinco por 100 consolidado, 111 fr. 25 c. comen…</t>
  </si>
  <si>
    <t>…, s u augusta Madre la R e i n a G o b e r n a " REDACCION DE LA GACETA. de la feliz terminación que ha tenido , habiéndose verificado la entrada de los trenes de pasajeros y de carga en la villa de G üi­ D o ray la Serma. Sra. Infanta Doña María Luisa Fernan­ n es, punto extremo de la línea , el 19 del corriente, dia de la da, continúan en esta corte sin novedad en su importante Reina nuestra Señora Doña Isabel n , á los tres años y 10 dias salud. justos de haberse principiado los trabajos. Los que conozcan NOTICIAS EXT…</t>
  </si>
  <si>
    <t>…augusta Madre la R e in a G o berna ­ te al Sultán ; pero ha probado después de la manera mas irre­ Tres id ., 79 fr. 60. fragable que aconsejaba á la Puerta la moderación, y que se Acciones de banco, 2650. dora y la Serma. Sra. Infanta Doña María Luisa Fernan­ valia de todo su influjo para asegurar el mantenimiento de la España: deuda activa, 2 l | . da, continúan en esta corte sin novedad en su importante paz. Ha dirigido una nota al D iv an , en la que declara termi­ Pasiva 5£. nantemente que si la Puerta comete algún a…</t>
  </si>
  <si>
    <t>…■■■■■■■ ■■■■■■■ ■ S. M. la R e i n a , s u augusta Madre la R e in a G o b e r n a ­ de 1825 se establecieron entre nosotros con el título de te aplicación. Tratarán después de establecer escuelas don­ d o r a y la Sérica. Sra. Infanta Doña María Luisa Fernan­ juntas de capital y de pueblo, precisamente en la época en de falten, á fin de que las clases mas pobres puedan cul­ da , continúan en esta corte sin novedad en su importante que era menos de esperar. Tan grande es la fuerza de la tivar su razón hasta el punto necesa…</t>
  </si>
  <si>
    <t>…a G obern a ­ Madrid 22 de Junio de í839.=Carramolino. = Sr. gefe Grandes riesgos y padecimientos, que consideraba como mo­ político de...~ destos títulos á la gratitud , se habian convertido en cargos que dora y la Serma. Sra. Infanta Doña María Luisa Fernan­ me lastimaron gravemente, porque ponían en cuestión mi amor da , continúan en esta corte sin novedad en su importante PARTE RECIBIDO EN LA SECRETARIA DE ESTADO a la patria, á cuyo servicio he consagrado mi vida, y aquella fidelidad que he probado al frente de todos…</t>
  </si>
  <si>
    <t>…9 8 . SÁBADO 30 DE MARZO DE 1839. d ie z c u a r t o s . ■ ................................. S. M. la R e i n a , su augusta Madre la R e i n a G o b e r n a ­ D irección g en er a l d e Rentas estancadas. dora y la Serma. Sra. Infanta Doña María Luisa Fernan­ REDACCION DE LA GACETA. Por Real orden de 28 de Enero último se ha servido resol­ da , continúan en esta corte sin novedad en su importante ver S. M . que se subasten por provincias las conducciones m a­ salud. rítim as y terrestres de los efectos estancados, tomán…</t>
  </si>
  <si>
    <t>…i n a , s u augusta Madre la R e i n a G o b e r n a ­ en misteriosas sociedades. La policía debe dirigir particularmen­ FR A N C IA . te todos sus esfuerzos contra los peligros de esta clase ; pero ne­ d o r a y la Serma. Sra. Infanta Doña María Luisa Fernan­ cesita recursos, y solo con ellos puede utilizar su trabajo. da, continúan en esta corte sin novedad en su importante París 21 de Mayo . « No existe para los fondos secretos, como su mismo nom­ bre lo indica, ninguna intervención: asi es que solo la confian­ salud.…</t>
  </si>
  <si>
    <t>…DE MARZO DE 1839. d ie z cuartos. S. M. la R e i n a , s u augusta Madre la R e i n a G o b e r n a ­ Préstamos al 5 por 100 cuatro meses. que no sufriría que ninguna Potencia interviniese entre la Ho«* d o r a y la Serma. Sra. Infanta Doña María Luisa Fernan­ Meses. Personas socorridas. Préstamo rs. vn. lauda y nosotros: que tampoco abandonaba la Inglaterra á la da, continúan en esta corte sin novedad en su importante Bélgica, siendo este mismo ministerio el que ha secuestrado salud. Noviembre de 1858. 1612 con...........…</t>
  </si>
  <si>
    <t>…f (Debats.) , S. M. la R e i n a , s u augusta Madre la R e in a G o b e r n a ­ nalla, rescatadas algunas caballerías, y cogidas muchas armas, habiendo sido levemente herido por nuestra parte el sargento dora y la Serma. Sra. Infanta Doña María Luisa Fernan­ de la Guardia Lorenzo Ruiz. Dice que se distinguió en este encuentro el capitán D. Tirso Escriben de Roma con fecha 1.° de M ay o : da, continúan en esta corte siii, novedad en su importante Guindulain , alférez de lanceros, y que merecen particular men­ A yer S. M.…</t>
  </si>
  <si>
    <t>Fernan, Infanta Dtifga María Luisa</t>
  </si>
  <si>
    <t>Infanta Dtifga María Luisa Fernan</t>
  </si>
  <si>
    <t>…xcmo. Sr. M i- S. M . la R e i n a , s u augusta Madre la R e in a G o b e r n a ­ pensas al mérito , he dado las debidas gracias en nombre de la listro de Guerra y Marina =Es copia.=Cuartel general de Aia- dora y la Serma. Sra. Infanta Dtifga María Luisa Fernan­ nación y del Excmo. Sr. Presidente al general en gefe, á los ete Mayo 5 de 1859=Juan de Dios Peza. da , continúan en esta corte sin novedad en sti importante generales de las brigadas, á los gefes, oficiales y tropa que con­ Es copia.rrMéjico Mayo 4 de I839.=J. L.…</t>
  </si>
  <si>
    <t>Fernan, Infátita Doña María Luisa</t>
  </si>
  <si>
    <t>Infátita Doña María Luisa Fernan</t>
  </si>
  <si>
    <t>…o Rodríguez Elgucra, la dirección general de Estudios al director del conserva­ que reúne los requisitos prevenidos en la circular de 29 de D i­ ciembre último: para la plaza de ministro de la audiencia de dora y la Serma. Sra. Infátita Doña María Luisa Fernan­ torio en los asuntos relativos á las enseñanzas y sus de­ Cáceres, vacante por traslación de D. Antonio Benavides y N a- da, continúan en esta corte sin novedad en su importante pendencias, y el decano y junta de profesores en los que varrete, á D. Miguel Tenorio, q…</t>
  </si>
  <si>
    <t>Fernan, Manuel Jacobo</t>
  </si>
  <si>
    <t>Manuel Jacobo Fernan</t>
  </si>
  <si>
    <t>…prima de y desde 1.° de Setiembre á fin de Octubre. P ro vin cia d e P o n tev ed ra . por 100 nuevas. Acciones del banco españ &gt;1 de S. F e r n a n d o ,0 0 . P ro vin cia d e B a rcelon a , Caldas de Pieyes y de Cuntís..=-D. Manuel Jacobo Fernan­ CAMBIOS. dez, en S an tiag o : desde 1.° de J u lio á fin de Setiembre. Caldas de M om buy.izD. Ignacio Graells, en Barcelona : p ri­ Caldelas de T u y .n D . Victor González y Esteban, en V igo : Londres, á 90 dias, 5 8 f . C o r u ñ a , l f á 2 d. mera temporada desde 1 °…</t>
  </si>
  <si>
    <t>Fernan, María Luisa</t>
  </si>
  <si>
    <t>María Luisa Fernan</t>
  </si>
  <si>
    <t>…ron un hombre sensato, es preciso sorprenderse al ver empeñada algunos heridos, y dejaron en nuestro poder siete armas de I una legación, cuyo principal cuidado ha debido ser el dec u lt i- d o r a y la Serma. Sra, Infanta Doña María Luisa Fernan­ f u e g o , dos caballos y otros efectos. | var las relaciones entre los dos países, en formar un proceso Dice igualmente que el comandante de Eideati persiguió el S contra la República mejicana , y preparar gradualmente el cú- da, continúan en esta corte sin novedad en su impo…</t>
  </si>
  <si>
    <t>…ein a G oberna ­ ocho meses que pasen sin tomar una determinación definitiva el estadola comisión brado que debe examinar el proyecto de ley sobre mayor génerál del ejército de tierra. (Id.) dora y la Serma¿ Sra; Infanta Doña María Luisa Fernan­ sobre esta cuestión* serian una pérdida dé tiempo irreparable. Én una pálábra * por mi parte yo no roe contentaré cón úna da, continúan en esta corté siti üovfcdad en su importante simple declaración de principios con motivo de la linion de los dos Canadás: deseo todavía mas.…</t>
  </si>
  <si>
    <t>…dre la R e in a G o b e rn a ­ En cumplimiento del decreto legislativo de 11 de Febrero tos de la República» de 1 8 3 7 , propuse á nombre del Ecuador una mediación amis* fesTibo M ILITAR* d o r a y la Serma* Sra* Infanta Doña María Luisa Fernan­ tosa á las repúblicas de Chile y de la Confederación P eru -B o - liviana con el fin de evitar la guerra entre dos naciones am i­ Si eá altamente satisfactorio observar que la revolución de da, continúan efl esta fcorte sin novedad en su importante g as, y cuya prosperidad es e…</t>
  </si>
  <si>
    <t>…S . M . la R e in a ., s u augusta Madre la R e in a G o b e rn a ­ las funestas consecuencias que todos temen ha de producir esta bien persuadidos, siendo muy digno de recomendarse su ínte­ d o r a y la Serma. Sra. infanta Doña María Luisa Fernan­ guerra, no desconfiamos de que el Sultán adopte ideas mas pa­ res eu los adelantos. d a , continúan en esta corte sin novedad en s u importante cíficas á consecuencia de las observaciones francas y leales del Las labores propias del sexo femenino finalizaron el examen, s a lu d .…</t>
  </si>
  <si>
    <t>Fernanda, Iafanta Doña Luisa</t>
  </si>
  <si>
    <t>Iafanta Doña Luisa Fernanda</t>
  </si>
  <si>
    <t>…ada de vanguardia y c u a r­ Palacio S. M. la Reina Doña Isabel it y su augusta Hermana oficiales de la secretaría y demas empleados del gobierno po­ tel general en Muniesa , Plou , Cortes , Mallen y Blesa.—Segu? — la Serma. Sra. Iafanta Doña Luisa Fernanda por mano del lítico de la misma felicitamos á V. M. por los asombrosos da división en Guesa, Monebo y Moyuela.~Tercera idem en Excmo. Sr. Patriarca de las Indias, con asistencia de S. M. la acontecimientos la Providencia tenia reservados para co­ Calamocha.—Cuarta ídem en…</t>
  </si>
  <si>
    <t>Fernanda, Luisa</t>
  </si>
  <si>
    <t>Luisa Fernanda</t>
  </si>
  <si>
    <t>…ncluir la grande obra de la pacificación d dichas de Y. M ., de la Reina Doña Isabel ii y de la Infanta y los otros, en qqe no se hubiese verificado la contestación España. Prontos estamos para concurrir para ello con cuant&lt; Doña Luisa Fernanda, vuestras augustas Hijas. Verin N oviem ­ á la época indicada, se pasarán para su continuación esté en nuestras facultades. bre 24 de l859.=:Señora z z A L. R. P. de Y. M.—E. A. P. Fran­ á los juzgados de la Hacienda pública. Si hay desórdenes, al Gobierno de V . M . toca reprim irlos…</t>
  </si>
  <si>
    <t>Fernanda, María Luisa</t>
  </si>
  <si>
    <t>María Luisa Fernanda</t>
  </si>
  <si>
    <t>…. la R e i n a , s u augusta Madre la R e i n a G o b e r n a d o r a y la Serma. Sra. Infanta satisfecho á los jugadores á cuenta de los 207,586 rs. que les correspondieron, aumentados 28 rs. porrectificación de listas. Í4 Doña María Luisa Fernanda, continúan en esta corte sin novedad en su importante Por l f billetes deLsorteo de 28 de Junio se les han satisfecho por id. de los 655,560 rs. id. id ................................................... salud* _ _ _ Por § billete del sorteo de 12 de Julio se les han satisfecho…</t>
  </si>
  <si>
    <t>N.° 1635. MIERCOLES 8 DE MAYO DE 1839. DIEZCUARTOS. PARTE OFICIAL. Su Magestad la R e i n a . , s u augusta Madre la R e i n a G obern adora y la Serenísima Señora Infanta Doña María Luisa Fernanda, continúan e n e s t a c o r t e sin n o v e d a d e n su importante salud. T E N E D U R IA D E L IB R O S Ganancias d los jugadores. d e lo t e r ía s n acionales. M es de Diciembre de 1838. Por i billete del sorteo de 8 de Enero de 1858 se han satisfe­ cho á los jugadores á…</t>
  </si>
  <si>
    <t>…a , s u augusta Madre la R e i n a G o b e r n a d o r a y la Serma. Sra. In fan ­ * tisfecho á los jugadores por cuenta de los 6 5 0 ,9 6 0 rs. que Ies correspondieron.............................................. 80 ^ ta Doña María Luisa Fernanda, continúan en esta corte sin novedad en su importante Por 1 pagaré de la extracción de 5 de Noviembre id de 125,928 salud. id. i d . . . . ..................................... 28 Por i billete del sorteo de 15 del mismo seles han satisfecho por T E N E D U R IA D E L IB R O…</t>
  </si>
  <si>
    <t>…o de I 4 de Mayo de 1838 se han satis- S M. la R e i n a . , s u augusta Madre la R e i n a G o b e r n a d o r a y la Serma. Sra. Infan­ techo a los jugadores por cuenta de los 6 4 7 ,6 0 0 rs. que lea correspondieron ta Doña María Luisa Fernanda, continúan en esta corte sin novedad en su importante 12 0 \ Por i billete del sorteo de 15 de Noviembre id. de 6 8 7 .8 4 0 rs. salud. id. id ........................ 100 Por X billete del sorteo de 15 de Diciembre id. de 4 4 7 ,1 0 0 rs. T E N E D U R IA . D E L IB R O S…</t>
  </si>
  <si>
    <t>…íes han sa­ tisfecho á los jugadores á cuenta dé los 597,640 rs. que les cor- S. M. la R e i n a , s u augusta Madre la R e i n a G o b e r n a d o r a y la Sérma. Sra. Infanta réspondieron............................. gQ Doña María Luisa Fernanda^ continúan en esta corte sin novedad en su importante Por ¿ billete del sorteo de 28 de M ayo se les han satisfecho salud. por id. de 616,700 rs. i d . , . . , . . . . .......................................... 120 Por i billete del sorteo de 25 de Agosto se les han satisfecho…</t>
  </si>
  <si>
    <t>…a Madre la R e i n a G o b e r n a d o r a y la Serraa. Sra. Infan­ Por id. á los de esta corte sobre 257,440 rs. i d . ............................ 3577..18 Por id. á los dé provincia sobre 674,220 rs. que importan las ta Doña María Luisa Fernanda, continúan en esta corte sin novedad en su importante ventas hechas para el sorteo de 27 de id........................................ 20226.. 61 Por id. á los de esta corte sobre 255,200 rs. id.............................. 5797.. 29 salud. , Por id. á los de provincia sobre…</t>
  </si>
  <si>
    <t>Fernanda, María Líuisa</t>
  </si>
  <si>
    <t>María Líuisa Fernanda</t>
  </si>
  <si>
    <t>…......... ............... ................................. 40 , S. M. la R e i n a .., su augusta Madre la R e i n a G obernadora y la Serma. Sra. Infan­ Por 1 pagaré de la extracción de 15 de Abril de 1839 se les han ta Doña María Líuisa Fernanda, continúan en esta corte sin novedad en su importante satisfecho por id. de 165,412 rs. id. id................................... 584 s a liiíT '' Por £ billete del sorteo de 10 de Junio se les han satisfecho por id. de 655,100 rs. id. id.....................................…</t>
  </si>
  <si>
    <t>Fernandez</t>
  </si>
  <si>
    <t>…o pasar por las armas á Feli- ! B IB L IO G R A F IA . tre algunas defectuosas , las cuales no se han incluido en esta pe Alcocer sin las formalidades que previene la ordenanza. (Idem.) colección; porque siendo la idea del Sr. Fernandez publicar R E G L A M E N T O de la Milicia nacional , adicionado con un únicamente lo que pudiese servir de modelo y dar una alta idea Real decreto por el que se establece en Tudela un instituto ele­ de nuestra poesía á los extrangeros, el publicarlas todas habría mental de segunda enseñ…</t>
  </si>
  <si>
    <t>…coraciones &amp; c., por el mero hecho de admitirlos queda dictámenes .que ha presentado, y principalmente el que nos ocu­ ido al extremo contrario, y yo para combatirle no voy á dar sujeto á reelección, ereia la cornision que el Sr. Fernandez B¿e- p a , que es el del Sr. Fernandez Baeza. Lo espera con tanta mas muchas razones: con una basta. El artículo de la Constitución za estaba comprendido en este caso, y por lo tanto esperaba confianza , cuanto que no puede presumir ni mucho menos re­ sujeta á reelección al Diputado que re…</t>
  </si>
  <si>
    <t>…fallo pueda adm itirse reclam ación ulterior. el depositario que usurpó á las arcas públicas en 1857 m edio d i j o en la legislatura pasada , si n o nos es infiel la m e m o ­ N o se tom ó en con sideración una adición del Sr. Fernandez m illón de reales que conservará en su p od er, con una corta ria , q u e le dieran ca b a llo s , y él pod ía asegurar la s a l­ Baeza pid ien d o que después de la frase ' “ m ayoría a b solu ta ,’ 9 cantidad podrá adq u irir el papel suficiente á cu brir el m edio se añadiese: " c o n a…</t>
  </si>
  <si>
    <t>…da y D. Alejandro López, individuos de la diputación 1 que ras de solaz y lícito recreo; y en fin, porque algunos escritores creen su deber es respetar todo lo que emana de persona tan acre­ na y Gallegos; esto prueba que el Sr. Fernandez rinde con su I provincial; el Excuso. Sr. D. Luis Sorela, presidente de la jun- ¡ memoria justo tributo á estos maestros de tan opuestas épocas. j ta de liquidación de la deuda del Estado ; D. Félix D ’Qihaber- ditada el autor come el Sr. Bretón, y que la censura solo debe usarse coa nov…</t>
  </si>
  <si>
    <t>…Yendres del Príncipe Real se ha fijado ñor Alfonso. para el 12 próximo. 5.a sección. Presidente el Sr. Chacón: Vicepresidente el S e ­ Comandancia general de la provincia de Alava.zzExcelentí- ñor L ab o rd a: Secretario el Sr. Fernandez: Vicesecretario el sirno Sr.: Según rae avisa el Excmo. Sr. general en gefe con fe­ Sr. Ramírez de AreMano. c h a de ayer desde su cuartel general de Tolosa, debe haberse Una carta de Alejandría asegura que M ehem et-A lí ha sen­ 6.a sección. Presidente el Sr. Z u m a la c a rre g u i: V i…</t>
  </si>
  <si>
    <t>FERNANDEZ</t>
  </si>
  <si>
    <t>…deán y cabil­ mente por el ministerio de la Gobernación; y después que en rio de la Guerra. do de la iglesia catedral de Avila pidiendo al Congreso se sir­ este se les clasifica y otorga la gracia, es cuando se pasan lis­ El Sr. F E R N A N D E Z pidió que se hiciese la pregunta de va reformar la ley de 29 de Julio de 1857 que declara de la tas al de la Guerra para que se expidan los correspondientes si habia lugar á deliberar sobre esta petición. nación los bienes del clero secular. despachos. N o he creído oportuno pasa…</t>
  </si>
  <si>
    <t>…solicitud de Don Esto es dejar la cuestión en el mismo estado. Hace dos años que L u is Bravo , que no se necesita saber si es el redactor del pe­ no tiene Hannóver representación l e g a l, pues los electores se 4»° Otro del Sr. Fernandez C a n o , D ip utado electo por la provincia de B a d a jo z , solicitando su admisión en el Congreso. riódico ú otro ciudadano cualquiera. El Congreso no puede ver niegan á votar por no reconocer implícitamente la Constitución otra cosa en la petición que se discute mas que un ciudadano…</t>
  </si>
  <si>
    <t>Fernandez, Alonso.</t>
  </si>
  <si>
    <t>Alonso. Fernandez</t>
  </si>
  <si>
    <t>…ales brindis que se han verificado: Sin mas resultado fue aprobada el acta , habiéndose salido ipgidor noveno.zzVicente de T ay b o , regidor diez.^Francisco B. El Sr. embajador de España: " A SS. MM. la Reina Isabel antes el Sr. Alonso. Fernandez, regidor once.zzFrancisco A sias, regidor doce.^sJosé le Borbon y á su augusta Madre la Reina Regente; á S. M. el Pasó á la comisión de Actas las de algunos distritos de la Benito de Castro, síndico primero.—Eduardo Santos, síndico üey de los franceses, y á S. M. la Reina de Inglat…</t>
  </si>
  <si>
    <t>Fernandez, D. Felipe</t>
  </si>
  <si>
    <t>D. Felipe Fernandez</t>
  </si>
  <si>
    <t>…se ins­ Pero lo que tenemos que comunicaros en la reunión presente en fundo abismo.” truye causa criminal á virtud de la denuncia interpuesta por medio de las aflicciones y luto de la iglesia, es de tal naturale­ parte del Sr. D. Felipe Fernandez, coronel del regimiento ca­ za que supera en gran manera la am argura de los males que á la Ya veis, venerables hermanos, por esta cruel herida hecha ; ballería de la R eina, 2.° de línea, á un artículo inserto en el iglesia católica, cual es la situación de nuestro espíritu, y…</t>
  </si>
  <si>
    <t>Fernandez, D. José Valladares. Sr. D. Nicolás</t>
  </si>
  <si>
    <t>D. José Valladares. Sr. D. Nicolás Fernandez</t>
  </si>
  <si>
    <t>…nio Ramírez y Arellauo, electo. Sr. D. Miguel de Fuentes. Orense. CONGRESO DE DIPUTADOS. Coruña. Sr. D. Saturnino Calderón Collantes. Sr. D. Luis Pose. Sr. D. Josc Moure. Presidente. Sr. D. Francisco Javier Ferro Montaos. Sr. D. José Valladares. Sr. D. Nicolás Fernandez Bolado. Sr. D. Mauricio García. Sr. D. Francisco Javier Istdriz. Sr. D. Ricardo Henry. Sr. D. Manuel Feijóo y Rio. Vicepresidentes. Sr. D. Nicolás de la Riva. Sr. D. Tomas de Prada , electo. Sr. D. Manuel de la Rivaherrera. Sr. D. José Fermin Muro , S…</t>
  </si>
  <si>
    <t>Fernandez, Domingo García</t>
  </si>
  <si>
    <t>Domingo García Fernandez</t>
  </si>
  <si>
    <t>…tre nosotros á la colocación de los acentos. Tales son es­ de cristal por medio del ácido fluórico, por el C. Decroizilles: siglo xvi. Tai es eí verso de once sílabas, que tiene acen­ tos de Horacio: traducido del francés por D. Domingo García Fernandez, edi­ tuada la cuarta y la séptima, corno el siguiente de Garci- ción de 1796. U q tomo en 8.° marquilla á 9 rs. en pasta común. la s o : Quam Jocus circumvolat et Cupido Esta obra, según su traductor, debe considerarse como ua complemento del arte de teñir. Tus claros o…</t>
  </si>
  <si>
    <t>Fernandez, Esteban</t>
  </si>
  <si>
    <t>Esteban Fernandez</t>
  </si>
  <si>
    <t>…ra el 1.° de D iciem bre p ró x im o , pues al paso que ción de la quiebra de D. Ramón Sedre, radicada en su juzga­ E L ROBO D E L A B URRA . por este medio se espera conseguir m ayor ex actitu d , no do , se cita y emplaza a D. Esteban Fernandez, residente que se dice en esta corte , para que en el término perm ite tampoco io adelantado del tiem po que se e x tien ­ contado desde el en que se inserte este anuncio en la Gaceta, de tercero dia dan órdenes á todos los establecimientos ó corporaciones. se presente en la esc…</t>
  </si>
  <si>
    <t>Fernandez, Eugenio</t>
  </si>
  <si>
    <t>Eugenio Fernandez</t>
  </si>
  <si>
    <t>…editado caudillo de nues­ en Llodio, y las fuerzas de su mando ocupan las mismas po­ tra libertad: su decisión por esta le hace digno del aprecio de siciones, sin lotra novedad que la de haberse adelantado hasta A instancia de D. Eugenio Fernandez, presbítero de la villa todos los buenos; y y o, como militar y como español, me hon­ Amurrio , según se asegura, el primer batallón de Navarra, de Parla , y Bernardo Rodríguez, de Torrejon de la Cal­ raré en tenerle por gefe, porque su espada está siempre dis­ que antes se hallaba…</t>
  </si>
  <si>
    <t>Fernandez, Felipe</t>
  </si>
  <si>
    <t>Felipe Fernandez</t>
  </si>
  <si>
    <t>…podido ser engañados con 3 por D. José Vigil y D. Juan Pardo, autorizados competí-ate­ bió coa los griegos el famoso decreto de u n ió n , y aunque artificios, ni aterrados con amenazas, ni seducidos con elejetn- j neo te por D. Felipe Fernandez, coronel dei regimiento cabaile- poco después se frustró el plan por los desórdenes que se origi­ pío, y que han perseverado firmes en los vínculos de la corau- J ’ía de la Reina , 2.° de línea, á un artículo inserto en el pe- luz se adherían mas obstinadamente al cisma ; /sin emb…</t>
  </si>
  <si>
    <t>Fernandez, Francisco</t>
  </si>
  <si>
    <t>Francisco Fernandez</t>
  </si>
  <si>
    <t>…icio, y suplican se conceda todos: lleva al fin el ordinario de la misa también en castella- permiso á los que se hallan en aquel caso para redim ir su suerte no, y oraciones para antes y después de la confesión y sagra­ 81. D. Francisco Fernandez Y allejo, vecino de B riones,en por la cantidad que se tuviese á bien señalar. da com unión, por D. José Leglisa y P inedo, presbítero: un la provincia de Logroño , en una sencilla y sentida representa­ Como hay una ley vigente en la materia á la que deben ar­ tomo en 16.Q de ma…</t>
  </si>
  <si>
    <t>Fernandez, Genaro</t>
  </si>
  <si>
    <t>Genaro Fernandez</t>
  </si>
  <si>
    <t>…maravillosos del magnetismo animal, El 22 la columna de Meira y M arinas, al mando del co­ partos del cuerpo , sin excitación alguna considerable ni en el reducidos á compendio, porque sus escritores son muy difusos mandante D. Genaro Fernandez G il, dio alcance en las parro­ si* tema vascular y digestivo , ni en los órganos de la secreción: en su descripción. No ignoramos que nuestros lectores no cree­ quias de Brume y Bisoño á tres rebeldes, los que fueron muer­ 2.° Una excitación suave sobre toda la superficie del cuerp…</t>
  </si>
  <si>
    <t>Fernandez, Gregorio</t>
  </si>
  <si>
    <t>Gregorio Fernandez</t>
  </si>
  <si>
    <t>…ido Hostal de la Granota. vedades fecha 2 del actual dice que el capitán del regimiento aprobación i varios bilis que le presentó el presidente, Tan luego como hube llegado al del G rapals, y avisté los provincial de Monterey D. Gregorio Fernandez sostuvo el 29 ydióensuseguida enemigos , principiaron estos á hacerme desde aquel y su cir­ del anterior un choque con los rebeldes de la provincia de O ren­ ciller presentóarrodillándose á S. M. una á los pies del trono, el lord Can­ copia del discurso siguiente que cunferenc…</t>
  </si>
  <si>
    <t>Fernandez, Ida</t>
  </si>
  <si>
    <t>Ida Fernandez</t>
  </si>
  <si>
    <t>…z de la V ega El Senado quedó enterado de una comunicación del señor y Ondovilla , que habían obtenido mayor n ú m e r o de votos. marques de Malpica , en que participa al mismo para los efec­ Hecho el escrutinio, obtuvo el Sr. Ida Fernandez 32 votos; tos conducentes que en últimos de J u n io S. M . se sirvió nom­ el Sr. Ondovilla 2 9 , el Sr. Iluiz de la V ega 23 y el Sr. Tor­ brarle caballerizo mayor de su Real Casa. MADRID 2 DE SETIEMBRE. res Solanot 1 6; quedando por consiguiente electos Secretarios Se maudó pasar á…</t>
  </si>
  <si>
    <t>Fernandez, Isla</t>
  </si>
  <si>
    <t>Isla Fernandez</t>
  </si>
  <si>
    <t>…e Real órden remite el Sr. Se­ Se dió cuenta y mandó archiv ar la copia del discurso pro­ t e s , tuvieron votos: cretario del Despacho de Gracia y Ju stic ia. nunciado por S. M . eo la apertura de Cortes, que remitía el El Sr. Isla Fernandez 1(5, el Sr. duque de F iv a s 1 2 , el se­ Se acordó pasase á la comisión de Actas un oficio del señor Sr. M inistro de Gracia y Justicia en cumplimiento del art. 11 ñor Ruiz dé la Vega 1 6 , el Sr. Ondovilla 1 2 , el Sr. C h a - D. Pió Pita P iz arro , en que manifiesta que habiendo…</t>
  </si>
  <si>
    <t>…odo por las turbulencias. del Gobierno , concluyó diciendo que solo le había movido á Dice que esta cuestión se ha equivocado desde que usó de la tom ar la palabra el deseo de que se dejase expedita la acción del pab bra el Sr. Isla Fernandez, pues que lo que únicamente de- CO N G RESO D E D IPU T A D O S . G obierno, porque lo necesitaba. IL haber ocupado al Senado era la idea del m ensaje, mas 110 El Sr. FU EN TE S expuso que el artículo estaba en su lugar, hah rse e trometido en otros objetos que no son de la cuestión.…</t>
  </si>
  <si>
    <t>FERNANDEZ, ISLA</t>
  </si>
  <si>
    <t>ISLA FERNANDEZ</t>
  </si>
  <si>
    <t>…ictám en, por la cual se le sujeta á la reelección, he y quedó aprobado. .. las instrucciones que dé, querido dar estas breves razones siquiera para que conste que Igualmente lo fueron sin discusión los dos que siguen de El Sr. ISLA FERNANDEZ dice que el Senado tendrá pre­ he deseado servir al señor conde, y en que en ello recibo la la misma comisión. sente que en el año pasado cuando se discutió esta contribución mayor honra. Al Sr. N avia Osorio se le concedió por Real decreto de 4 hizo ver el perjuicio que se seguiaá la…</t>
  </si>
  <si>
    <t>…iempo oportuno, no para pedir la el modo de regularizar la guerra, con el voto particular al mis­ Extraña que se hayan visto deportaciones dictadas por la responsabilidad , sino para que sirva de luí en la cuestión de ino del Sr. Isla Fernandez. autoridad local, porque esta impone obligaciones, pero no atri­ estados de sitio. Que la comisión no entra en si fue el partido buye delitos, pues el magistrado que asi procede falta á su de­ ardiente el que autorizó esa legislación ; pero que lo que debe 2.° De la de informar sobr…</t>
  </si>
  <si>
    <t>…es perso­ 110 habiendo el Senado tomado en consideración el Voto p a rti­ Real nombre al gefe político de P a l e a d a y á los demas i n d i­ nales ; sin e m b a r g o , he de dar una noticia n u e v a , reciente. cular del Sr. Isla Fernandez á la parte quin ta. v i d u o s que concurrieron á d icha aprehensión , y que se publi­ Cabrera no fusila y a á los prisioneros; ¿ p e r o que hace ese Se leyó la totalidad del mensaje , y el Senado la encontró qu e en la G aceta pa ra satisfacción de los interesados. m o n s t r u…</t>
  </si>
  <si>
    <t>…el Gobier­ quiere decir. cepto el 5 6 que retiró la comisión en vista de una sencilla ob­ no ninguna relación que pueda perjudicar á nuestros intereses, Se iejó una enmienda de dicho señor, reducida " á que se servación del Sr. Isla Fernandez. sino para que se convenza de que sin necesidad de recursos, no- entienda por traje de ceremonia para los actos de que se trata, Se leyó el 6 5 que dice : "L o s proyectos de ley aprobados tas y comunicaciones reservadas., hay otra clase de com unica­ el que se exige para los besamano…</t>
  </si>
  <si>
    <t>Fernandez, José</t>
  </si>
  <si>
    <t>José Fernandez</t>
  </si>
  <si>
    <t>…mas Jo rd án , A sim ism o se c i t a , llama y emplaza á D. A n to n io L A z a b a l, escuelas y de todas las s e c ta s; presentar su etim ología , é i n d i ­ calle de C arretas, frente á la Imprenta nacional; y e n la de D. José Fernandez A c u ñ a , D. M a n u e l M u ñ o z , D. J u a n B a u - | car su acepción p r i m i t i v a , y después las que les h a n dado uno la viuda de P a z , calle M a y o r, frente á las G radas de San tista Gorocochea, D. J u a n L a r a ñ a , D. Andrés IMeodez y P a re ja , ó muchos a u…</t>
  </si>
  <si>
    <t>Fernandez, José de Jesús</t>
  </si>
  <si>
    <t>José de Jesús Fernandez</t>
  </si>
  <si>
    <t>…..... 500.................... 6500 Id. D. Valeriano Ayala 2.. 1 Licenciado D. Antonio G alv ez.................. 5 66 . . . . . . . . d e.. 50................... 5500 D. José Mariano Ramírez y Notario , eclesiástico Licenciado D. José de Jesús Fernandez. ........... 5 114 d e.. 24................... 2756 de la vicaria de Piñal del Rio 4 .. 2 Licenciado D. José de la Rocha................................ 5 40 x ............ d e .. 16. . . . • • • . • 6448 Presbítero D. José Ramón Alfonso, teniente de Licenciado D. José de Si…</t>
  </si>
  <si>
    <t>Fernandez, José María</t>
  </si>
  <si>
    <t>José María Fernandez</t>
  </si>
  <si>
    <t>…olución. La razón fortalece los principios en unos y los modifica en otros: Victor Hu­ Escuela de adultos, Desde que desaparecieron los autos sacramentales, y las de­ go, halagado con las fantasmas de su mente , dió á la es­ D. José María Fernandez, diarias de seis á ocho. mas composiciones del género místico, no se ha presentado al cena esos cuadros tan admirables como horribles que lla­ publico una pieza nueva que reúna al interés dramático, que mó dramas; no faltaron prosélitos de sus doctrinas, que exige actualmente…</t>
  </si>
  <si>
    <t>Fernandez, José Menchaca y D. Joaquin</t>
  </si>
  <si>
    <t>José Menchaca y D. Joaquin Fernandez</t>
  </si>
  <si>
    <t>…fue del semina­ nacional, solicitando se les exima de este servicio. rero último, á su hijo Joaquin. rio de Santiago, condenado á cuatro años deservicio en uno 211. Varios vecinos de Cádiz, quejándose de los perjuicios I 250. D. José Menchaca y D. Joaquin Fernandez, médicos de los hospitales de Ceuta , pidiendo se le ponga en libertad y que les causa la no admisión por las oficinas y comercio de las lirectores de baños, pidiendo se anule la Real orden de 16 de devuelva su plaza. 169. José Antonio Martínez y N ieto, sobre…</t>
  </si>
  <si>
    <t>Fernandez, Manuel</t>
  </si>
  <si>
    <t>Manuel Fernandez</t>
  </si>
  <si>
    <t>…en iOt/a 5. id ., sierra de Gador , collado del A g u a, término de das y escarpadas, buscando siempre parajes tan inaccesi­ deza , se deleita en las mas hediondas osamentas, y brutal Berja , santa Rosalía del A g u a , por D. Manuel Fernandez, bles, que parece no haberse descubierto nunca sus hue­ en su apetito, se sacia hasta imposibilitar su vuelo. en 17. vos, pues que no han sido descritos todavía. El con d u ro , e! gigante de la especie vullerina , el ma­ Otra id., sierra Almagrera , barranco Pinalbo, término de…</t>
  </si>
  <si>
    <t>…en dos encuentros que tuvo con los rebeldes los días p o rta n te salud. que copio: 27 y 51 del anterior liria partida de Nacionales movilizados del Al Excmo. Sr. general en gefe digo con esta fecha lo que Viso, al mando de D. Manuel Fernandez, resultaron muertos sigue: en el campo cuatro facciosos: uno de los cuales, natural de REAL DECRETO. Excmo. S r.: Ayer desde Montblanch me propuse batir d los Navarra , fue el que reemplazó á Orejita eu el mando de su cabecillas Torres y Favot en su inas constante guarida, que es…</t>
  </si>
  <si>
    <t>…ó se vuelva á citar por última vez, Otra id . , cerro,de la Monterilla, término de Benadux, San como se hace, y término dé 30 dias, contados desde el en que CRUZ. A las ocho y media de la noche. Se pondrá en Buenaventura, por D. Manuel Fernandez, en 24. se anuncie en los mismos periódicos de Gaceta y Diario , para escena la grande ópera nueva del maestro D onizetti, en cinco Otra id., sierra de Montroi, término de Cuevas, S. José, que los referidos cuatro acreedores, sus herederos ó represen­ actos, titulada por Esteban C…</t>
  </si>
  <si>
    <t>Fernandez, María</t>
  </si>
  <si>
    <t>María Fernandez</t>
  </si>
  <si>
    <t>…amiento debió dirigirse á dejar en sus here­ deros, por medio de una buena educación, unos continuadores amor de su hermana; su rabia al ver que la obedece; su fue Se avisa á los herederos de D. Manuel Alonso, marido que de Doña María Fernandez (que residía en Madrid el mes de la grande obra de que él no ha podido dejar mas que el d i­fingida inclinación á Carlos, á quien los celos han hecho de Marzo de 1822), que pueden dirigirse á D. Ildefonso Pi­ seño, y buscar en sus yernos unos auxiliares y firmes apoyos. discreto con…</t>
  </si>
  <si>
    <t>Fernandez, Nicolás</t>
  </si>
  <si>
    <t>Nicolás Fernandez</t>
  </si>
  <si>
    <t>…e s t u v o también animada. Pintaron cuitad veterinaria, asociación general de ganaderos, con­ los Sres. Bravo, Menendez * M ffei , Barrios y ÍVotondo. El es­ servatorio de artes, academia nacional de ciencias natura­ cultor D. Nicolás Fernandez modeló un precioso medallón, re­ les, academias de la corte, la biblioteca nacional, junta de PROVIDENCIAS JUDICIALES# trato de una señorita de la reunión. damas académicas para gobierno de los estudios de dibu­ Tenernos noticia dé que la mesa de artes se halla ya consti­ jo, soci…</t>
  </si>
  <si>
    <t>Fernandez, Ramón</t>
  </si>
  <si>
    <t>Ramón Fernandez</t>
  </si>
  <si>
    <t>…ho de Obras que se hallan de venta en e l despacho y almacén pea ge. (Niím. 1721.) de la Im prenta Nacional, Circular para que los buques españoles que conduzcan aguar­ BOLETIN DE COMERCIO. Colección de poetas castellanos por D. Ramón Fernandez. dientes á cualquier puerto de los Estados-Unidos lo lleven Diez y nueve tomos en 8 .° y un cuaderno á 153 rs. en rditica. en barriles de mas de 15 galones, pues de lo contrario no Esta colección está compuesta de los autores y materias si­ BO LSA D E M A D R I D . se les permiti…</t>
  </si>
  <si>
    <t>Fernandez, Ramón AgUilar</t>
  </si>
  <si>
    <t>Ramón AgUilar Fernandez</t>
  </si>
  <si>
    <t>…illa y G il, canónigo doc­ de B ravo, Rey y Escalera. El mismo en 29 entró en V illadiego la imprenta nacional. to ral; Di Manuel Gómez.y D. Rafael de L a ra , canónigos; con tres prisioneros y ocho caballos. LOS CORTESANOS D. Ramón AgUilar Fernandez d,e Córdoba , ex^colegial del ma­ yor de S. Bartolomé de Salamanca; D. Juan María de'G racia, F alencia 2 d e Junio. La facción de Rey y demas cabeci­ antiguo catedrático de filosofía y matemáticas; D. Francesco llas que había tenido un encuentro con la'colum ba de Burgos…</t>
  </si>
  <si>
    <t>Fernandez, Rincon.zzJulian</t>
  </si>
  <si>
    <t>Rincon.zzJulian Fernandez</t>
  </si>
  <si>
    <t>N.º 1 8 7 1 . MARTES 24 DE DICIEMBRE DE 1839. d ie z c u a r t o s . PARTE OFICIAL. sia.zzNorberto M edrano, alcalde de Rincon.zzJulian Fernandez, regidor primero de Rincón.zzAndres Martínez de Azagra , re­ PARTE NO OFICIAL. gidor de Rincón.zzMacuel M endizabal, regidor tercero de R in ­ cón.—Antonio L ló re n le , regidor de R in c ó n —Antonio Llóren­ S. M. la R e i n a , s u augusta Madre la R e i n a G o b e…</t>
  </si>
  <si>
    <t>Fernandez, Rufino Rascón</t>
  </si>
  <si>
    <t>Rufino Rascón Fernandez</t>
  </si>
  <si>
    <t>….................... 48 68i38l..25 687797..20 á V. M. dirige acciones de gracias á la Divina Providencia, Oviedo • • • 2 12466..22 12466..22 rogándole por la prosperidad de Y. M. y la de nuestra inocen­ ^ Habiendo solicitado D. Rufino Rascón Fernandez, juez de Pontevedra 40 776781..29 876781..29 te Reiné y Señora, para que sentadas por largos años en el so­ primera instancia de Astudillo , que se le trasladase á otro juz*v lio afirme la dicha y bienestar de la naciot}. Alicante 5 de Oc­ gado, se ha servido S. M. la Reina G…</t>
  </si>
  <si>
    <t>Fernandez, Sabas</t>
  </si>
  <si>
    <t>Sabas Fernandez</t>
  </si>
  <si>
    <t>…hasta la g r a d a in fe­ a las que había, a fin de observar las excisiones que han esta­ tado izquierdo. rior del trono, y luego SS. MM. acompañadas de ios Mi­ llado entre los marotistas y los apostólicos. Por este tnedio po­ D. Sabas Fernandez, de nueve años de edad , monitor de nistros y gefes de Palacio. v dra hacerse respetar el territorio francés en el caso que uno de la sétima clase, por su aplicación y mérito sobresaliente en los Jos dos partidos sea rechazado. Art. 8 .° La entrada de los maceros en el salón q gun -…</t>
  </si>
  <si>
    <t>FERNANDEZB</t>
  </si>
  <si>
    <t>…nuevas opiniones, es­ secretaria, y ha cambiado su destino con un magistrado. ¿ Y gunas aclaraciones. tableciendo nueva jurisprudencia, hoy hayan de apartarse de hay aqui comisión con sueldo ? ¿Q ué aumento de sueldo ni de El Sr. F E R N A N D E Z BAEZA observó que estaba en la ella, faltando á los pfincipiós establecidos. Parecerá una con­ carácter , si no hay nada? Yo no veo nada de lo que obliga á creencia de que conservar, no era admitir; pero que habiendo tradicción chocante, quizá reprensible, hasta injusta, como la re…</t>
  </si>
  <si>
    <t>N.° 1817. JUEVES 31 DE OCTUBRE DE 1839. d ie z c u a r t o s . PARTE OFICIAL. PARTE NO OFICIAL. raciones electorales; y los que quedaron, con arreglo á la ley, po­ dían decidir todos los casos. El Sr. F E R N A N D E Z BA EZA rogó al Congreso que pues­ to que se esperaba otra discusión mas interesante, se sirviese suspender esta. S. M. la R e i n a , s u augusta Madre la R e i n a G o b e r n a ­ NOTICIAS NACIONALES. El Sr. Ministro de Gracia y Justicia se hallaba presente. d o r a y la Serma…</t>
  </si>
  <si>
    <t>FERNANDEZBAE</t>
  </si>
  <si>
    <t>…mbres de las personas y Jos objetos que han presen­ Se lee el relativo á las ¿lecciones dé León. dirección administrativa en el ministerio de la Guerra son tan­ tado acreditan que se ha excitado una emulación plausible en­ El Sr. F E R N A N D E Z B A EZA le apoya brevemente. 5 to mas vituperables, cuanto que no siendo ya hostiles las po­ tre los propietarios cultivadores y aficionados de varios puntos Se suspende ¿sta discusipn. blaciones en A frica, los convoyes ordinarios no han debido ex­ que al ver los productos reunido…</t>
  </si>
  <si>
    <t>FERNANDEZBAEZ</t>
  </si>
  <si>
    <t>…proceder á la elección de Diputados á Cortes vez de " negocios políticos” , se diga: "negocios políticos ge­ se habia propuesto. envuelve no pocas cuestiones políticas; la manera de organizar nerales ó de orden general.” El Sr. F E R N A N D E Z B A E Z A dijo que aunque conforme la fuerza ciudadana es otra cuestión política que afecta al inte­ El Sr. SA N C H O dice que era constante que todo español en un todo con lo que se habia manifestado por los señores de rés general, y en el que pueden tener un interés mas ó menos…</t>
  </si>
  <si>
    <t>FERNANDEZDEL</t>
  </si>
  <si>
    <t>…he tenido y que podrán conven­ de equidad y de justicia: por eso, ó nos equivocamos m u­ caciones. cer al Congreso de la necesidad de aprobar mi voto particular, c h o , ó esa ley ha de ser bien recibida por los Diputados El Sr. F E R N A N D E Z D E LOS RÍOS dice que el camino diciendo desde luego que á las cinco villas se las ponga en la de Santander a' Reinosa ha sido desatendido por muchos años, posesión en que estaban , y respecto al arbitrio de los cuatro y por los Senadores, estando pronto en disposición de ser porqu…</t>
  </si>
  <si>
    <t>Fernando</t>
  </si>
  <si>
    <t>…ir los derechos de a r a n c e l, ó cuando menos la seña­ Otra id. en loma de la Fuente, término de A lm ería, San­ al S»r. Secretario de Estado y del Despacho de la Gobernación. lada á sus agentes fiscales. ta C ecilia, por D. Fernando O riguela , en 20. ^ Otra id. en barranco de C ucharas, término de A lm ería, la La comisión opina que esta solicitud se tenga presente en N úm . 57. D. José M aría Muela y Conejo, preso en las tiempo oportuno. d e 'P g S 6’ PW. D ‘ Manuel , en 2 2 . - Adra 2 de Octubre cárc jles de Jere…</t>
  </si>
  <si>
    <t>…as y aranceles que acaba de ponerse en práctica Real decreto nombrando subsecretario del ministerio de la Guer­ el genio ita lia n o , eximió al maestro de la conscripción que le en aquel reino. (Núm. 1568.)* ra en propiedad á D. Fernando N orzagaray , por falleci­ habia tocado, y que debia hacerle p artir para los países bárba­ Circular del ministerio de Gracia y J u s t ic i a , en la que se de­ miento de D. Benito M a ría M iran da. (Núm. 1594-) ros de b Bohemia. claran comprendidos en el art. 5.° de la instrucción de 51…</t>
  </si>
  <si>
    <t>…comercial. A falta de no­ S. A. R. el duque de Sajonia C o b u rg o -G o th a, padre de S. M. Barceloneses y pueblos de esta provincia: para conseguir ticias positivas se recurre á las eventualidades de toda especie. el R ey D. Fernando, acompañado de los Serenísimos Príncipes tamaños bienes, el aumento de las rentas nacionales y su exac­ Nosotros quisiéramos que las noticias fuesen menos vagas y sus h ijo s, Augusto Luis Y ic t o r , Leopoldo Francisco J u l i o , y ta recaudación , cuento con la sensatez y apoyo de toda…</t>
  </si>
  <si>
    <t>…ignorancia é indiscreta presunción. Por sucesos desde 1600 hasta 1835, ó sea hasta la muerte del Rey cia de diferentes batallones guipuzcoanos, que hace bastante esta obra se ve que las artes de la charlatanería cultivadas con D. Fernando v n ; un resúmen cronológico de los sucesos mas ttempo estaban con M aroto, y que antes de ayer llegaron de esmero en los paises que gratuitamente quieren llamarse civili­ notables, sumamente necesario para metodizar el estudio de L regreso á Azpeitia. zados son las únicas en que llevamos v…</t>
  </si>
  <si>
    <t>…n 4* que creemos será preferida la presente edición. Otra id. en sierra de G ador, loma y término dicho, Virgen Londres, á 90 días, 5 8 |. C oruña, 1 d. La obra constará de 10 tomos 8.° mayor de unas 500 pá- del Milagro , por D. Fernando O rihuela, en id. Paris, 16-5 papel. Granada, 1¿ id. ginas, de impresión compacta, legible y hermosa; adornado"s Otra id. en dicha sierra , cerro de las Fuentecillas, término M álag a, par. con varios retratos de Emperadores, Reyes y personajes que de Huerca!, S. Urbano n , por José Escame…</t>
  </si>
  <si>
    <t>…d las tres de la tarde • cha compañía D. M anuel Soler destacó una partida de N acio­ Otra id ., i d . , loma de la Fuente, término de A lm ería, nales de la misma para que vadeando desde luego el rio poco Santa Cecilia , por D. Fernando O rih uela, en 8. EFECTOS PÚBLICOS. mas arriba de aquel punto lograsen introducirse en él sin ser Otra id ., sierra de Gador , en los Colorados , término del vistos, y capturasen al expresado Llam bert; y á pesar de ha­ Presidio, Santa L ib rad a, por Vicente G utiérrez, del Presidio, Inscr…</t>
  </si>
  <si>
    <t>…en el mismo d ia fueron batidos 22 facciosos de caba­ cibim iento que pasado , les parará entero perjuicio y procederá actual comunica á la dirección la Real orden siguiente: llería por el subteniente de tiradores de C astilla D. Fernando á lo que h a y a lu gar. B anigas, hiriendo al cabecilla, y se les cogió dos caballos, lográn­ «He dado cuenta á S. M. la Reina Gobernadora del ex­ dose la muerte del faccioso A ntonio V equia. pediente que han promovido los empleados del tribunal Que en ta provincia de T oledo, el sargen…</t>
  </si>
  <si>
    <t>…clusión.) p O R providencia del Sr. D. Benito Serrano y A liaga, juez sucesos desdé 1600 hasta 1833* ó. hasta, la pugrjte dei- 7 : É l ngjvío h o s p i^ l. ; { s- 1 i • de primera instancia de esta villa, refrendada de D. Ja­ D. Fernando v n ; un resúméq cronológico de h)s .sqcespSj mna/j Sf^u^Cri^ al Semanario eq, las librerías de Jorcan , calle de cinto Gaona y Loeches, escribano del número de la misma, se notables, sumamente necesario para metodizar él estudiode&gt;a&gt;. ; - V ; b&gt; - ■ a • ha suspendido el remate señalado p…</t>
  </si>
  <si>
    <t>…de Hombreiro: en Santiago, ciendo pasar la brillante comitiva y séquito de los Reyes que se casa del Excmo. Sr. D. José Ozores, Sr. de Rubianes: en la dam ento, es el que ha influido en nosotros para que le­ villa de Rivadeo D. Fernando M artínez; y en Mondoñedo el verán postrados adorando al Niño Dios recien nacido, á quien vantemos la voz antes de que sucediéndose los aconteci­ escribano D. Fernando Paz Vivero. de cuando en cuando tocarán y cantarán villancicos los pas— mientos con una rapidez espantosa, nos encontrem…</t>
  </si>
  <si>
    <t>…leito entre Antonio H erranz, vecino otros objetos los edificios referidos, no há lugar á deliberar. de Sangarcía ; D. José Albarran # vecino de esta ciudad, y Don por el Sr. juez de primera instancia del partido al Sr. alcalde Fernando primero constitucional la denuncia hecha por D. José M axi­ derecho losGdos arcía, curador de Doña Emilia su sobrina, sobre primeros á suceder en el vínculo que fundó Do­ Núm . 15. Varios vecinos de Puebla Nueva se dirigen al mino del Castillo, vecino del Ferrol, de parte de un folleto i…</t>
  </si>
  <si>
    <t>…. Trem entina, los 6 schipones............................ 36 Y ha sido tan feliz eu casamientos como la de Coburgo. El duque actual, gefe de la casa, debió el ducado de Gotba en 1825 1 6 .. 15 á su muger: su hermano el duque Fernando se casó con la Trigo (véase Granos). Yerba colorada para tintes, los 6 fardos ú Princesa Je Koiary , debiéndola inmensos dominios. Leopoldo, Toallas (véase Lienzos). 800 libras......................................................... 36 16.. 15 el hermano mas jóyen, se casó con la hereder…</t>
  </si>
  <si>
    <t>…dición del convenio, ha solicitado se cite, lia- Continuación de la correspondencia secreta entre el Rey tasados el primero ea 29,34^ rs., y el segundo en 125,104 rs. me y emplace, como lo ejecuto, á todas las personas que por D. Fernando vn y el Infante D. Cárlos. por los agrimensores aprobados D. Félix. Nuñez y Trenas y créditos ú otras causas se crean con derecho á dichos bienes, Jura de la Serma. Infanta primogénita. D. José Martin Almagro, y la casilla, pozos y norias en para que ea el improrogable término de 80 dias, c…</t>
  </si>
  <si>
    <t>…al y Memorial farmacéutico; por cesos desde 1600 hasta 1855, ó sea hasta la muerte del Rey á 10 rs. cada uno de ellos, los que se despacharán en las adm i­ siderablemente L.porCadet de Cassicourt. Ultima edición alargada con­ D. Fernando v n ; un resúmen cronológico de los sucesos mas S. Cottereau y L. Delamortiere , doctores notables, sumamente necesario para metodizar el estudio de la nistraciones de Loterías Nacionales. en medicina de la Facultad de Paris. Traducido y aumentado historia : por D. José María Gutiérrez de…</t>
  </si>
  <si>
    <t>…ce el triste espectáculo de la injus­ tado conocido que tenían en la época del fallecimiento del señor completo término la grandiosa obra comenzada. No será esta ticia y lu imbecilidad, una Señora honra en sus manos el ce­ Rey D. Fernando vn. corporación la primera ni la única que haya hecho ostentación tro , y justifica la previsión de la ley que no excluye á su sexo Art. 2.° El Gobierno propondrá á las Cortes en tiempo de sus deseos; pero sí lo es de las que con especialidad deben del trono de Castilla , y el voto nacional…</t>
  </si>
  <si>
    <t>…ltad viene y vá, y constante asi. é incertidumbre en el derecho que puede llamarse Novísimo , esto es, en el que se halla establecido desde el fallecimiento del se­ Otras usa de construcciones enteramente desconocidas á ñor D. Fernando vn hasta el dia, época en que se han hecho Poesías de D. José Z o rrilla , tomos ir y r. M adrid \ 1339. nuestros verbos, como tantas y tan importantes reformasen todo el sistema de nuestra legislación. Era pues, no solo conveniente sino necesario reunir Déjese sin fuerza, hidalgo, en un…</t>
  </si>
  <si>
    <t>…lítico de cabecilla. tadas de las extremidades inferiores pueden no obstante apli­ la provincia de Palencia. Conatos subversivos en Madrid. carse á labores de mano, he creído ser el medio mas oportuno Reales decretos de S. M. D. Fernando v ii al volverse á en­ ocuparlas en tan piadoso servicio, pue3 si en actos de caridad cargar de la dirección de los negocios del Estado. libran ellas su existencia, justo es que á su vez la ejerzan tam­ Junta revolucionaria que proyecta instalarse en la Seo de bién, trabajando en alivio de…</t>
  </si>
  <si>
    <t>…ase, re ­ El 6 del corriente poco después de las tres de la tarde tillanos, excitado por su alcalde primero y por otras personas presentación é in d u jo ; y agradezco á V. 5. m u y p a rtic u lar­ SS. M M . la Reina y el Rey D. Fernando, acompañados de sus interesadas en la empresa, facilitaron recursos pecuniarios, y mente la invitación especial que me hace en su atento oficio de augusto, huéspedes, se dignaron visitar el magnífico y útilísimo en pocos dias y a se vieron vestidas las otras dos brigadas y en este dia para…</t>
  </si>
  <si>
    <t>…dido llenos de contento, admiran su hermosura, y se acercan servicios han de prestar á los que la ocupen: una retribución cada cerdo , con el objeto de acumular mas recursos. con gran respeto para adorarle. Grabó este cuadro D. Fernando tan pequeña defenderá los derechos abandonados de muchos años Castellón 11 de Julio . A las siete d« la tarde del 8 entró Selma , con pureza de buril y buen acorde. Tiene 22 p. de alto, por falta de relaciones para seguirlos: ahorra á las corporacio­ en esta ciudad la división que venia de…</t>
  </si>
  <si>
    <t>…primeras letras, y las ventajas que se ha­ cesos desde 1600 hasta 1855 , ó sea hasta la muerte del Rey Contiene ademas una introducción y un apéndice, en que se bían conseguido en las establecidas y regidas según las superio­ D. Fernando v il; un resúman cronológico de los sucesos mas trata del consejo de Estado, de los ministerios y direcciones ge­ res órdenes del Gobierno. notables sumamente necesario para, metodizar el estudio de la nerales; un prontuario de la legislación adm inistrativa vigente historia , por D. José…</t>
  </si>
  <si>
    <t>…unos pueblos ó contri­ de oposición: todos los que no lo hubieren realizado á la an te ­ intereses de la provincia que tengo la honra de representar. buyentes, sufrirán el recargo correspondiente en metálico rio r vacante de D. Fernando M a r ía Jim é n ez C o ro n a d o , se El Sr. Larram en di se permitió igu alm en te un a alusión per­ en los seis meses siguientes. presentarán en la secretaría de mi cargo á las doce de su m a ­ sonal ofensiva, porque d i j o , ó dio á e n te n d e r, que y o mas Art. 8.° Los intenden…</t>
  </si>
  <si>
    <t>…y particulares que se encuentran nalmente, llamaron la atención tres bodegones pintados por Merece de justicia que hagamos en este lugar particular en ellas están valuadas en 2445.150,000 libras esterlinas. D. Eduardo Ca no y D. Fernando V id a , compañeros ambos y mención y demos las gracias en nombre de todos los aficio;.. - La administración de estos países cuesta cerca de 25 millo­ discípulos de Becquer, que siendo los primeros cuadros que dos á los encargados de los bailes de máscaras (para cuya do nes de libras ester…</t>
  </si>
  <si>
    <t>…A manifestó que esta comisión tiene bas­ provincias han tenido y gozado por muchos añ o s, fijando la abusar de la paciencia del Senado. tante adelantados sus trabajos, y Que no ha menester para con­ época de la muerte del Rey D. Fernando v n ; otros reservando Dice S. S. que se concederá un nuevo fuero; y con efecto cluir su dictámen mas que un documento que ha pedido ai Go­ para después el arreglo definitivo ; mientras que otros han creí­ un nuevo fuero es lo que las Cortes conceden aprobando el Se­ bierno, y este no le ha…</t>
  </si>
  <si>
    <t>…o: Que por el limo, cabildo eclesiástico de esta tampa una casulla que el santo recibe puesto de rodillas. La es­ santa iglesia catedral se denunciaron ante el Sr. alcalde prime­ Selma, de este hermoso cuadro está grabada por D. Fernando con aquella maestría que se descubre en todas las obras LA ST R A N IER A , ro constitucional D. Rafael Gragera como injuriosos y ofensivos esmeradas de este distinguido artista, quien supo conservar en que será exornada en trajes, decoraciones y acompañamientos al buen concepto y opínio…</t>
  </si>
  <si>
    <t>…zó*: como igualmente lo fueron D. Joaquín Mosquera, alias en el mencionado pueblo, habiendo sido imposible averiguar estos le han dejado; la curación y remedio está en manos de sus Santan, sobrino del cura de Carballeda , y D. Fernando M e- con certeza los ejecutores del hecho, á causa de las rigurosas mismos naturales, y no se requiere para ejecutarla sino celo, ac­ déla, de Baldomar; habiendo sido herido gravemente el mismo órdenes de pena de la vida impuesta por el rebelde Ros de E ró­ tividad, energía, y sobre todo p…</t>
  </si>
  <si>
    <t>…ecibir el jugo , evitando que se evapóre. El cogo­ historia de España desde su orijen hasta el reinado del s e ­ 103 r s ., cobrados por el a y u n ta m ie n t o constitucional en tre los llo es una comida fresca y gustosa. ñor D Fernando v il 9 por D . A. G. llanera , que se ha p u ­ vecinos intervolentes. El facultativo que quiera solicitarlo d i ­ Las árabes hacen un jarabe m uy agradable con los dátiles blicado adornada de preciosas láminas y con extremo mejorada rigirá la instancia á la secretaría, en inteligencia que…</t>
  </si>
  <si>
    <t>Fernando, D.</t>
  </si>
  <si>
    <t>D. Fernando</t>
  </si>
  <si>
    <t>…oña Leonor nos parece m o, esto e s, en el que se halla establecido desde el fallecimien­ do y escribanía á deducir las acciones que les asistan ; en inte­ mas completo y difícil que el de Andrómaca. Toda la grandeza to del Sr. D. Fernando v n hasta el d i a , época en que se han ligencia que pasado dicho término sin haberlo hecho, les parará de las costumbres heroicas de la antigüedad griega y romana, el perjuicio que h a y a lugar. hecho tantas y tau importantes reformas en todo el sistema de toda la nobleza y elevaci…</t>
  </si>
  <si>
    <t>…caridad del barrio en que vivía. Id em 11. en las filas de la lealtad, porque en Diciembre de dicho E n 11 de Julio de 1822 fue nombrado mayordomo año de 1808 , á pesar de haber entrado en la capitulación mayor de S. M. el Sr. D. Fernando vn. Eran nesesarias V a n llegando á esta ciudad hace dos ó tres dias algunas que hicieron nuestras tropas con las francesas en esta cor­ muchas páginas para hacer el elogio del Sr. marques por fam ilias de las expulsadas en los pueblos por la facción: vienen te, fue preso de orden del…</t>
  </si>
  <si>
    <t>…ue amenazaban tom ar, caso que el Gobierno no re­ la Habana. (ConstilutionneL ) irR E V E compendio de la historia de E spaña, desde su origen vocase la ordenanza del nombramiento clel celebre Scrzyoecki. hasta el reinado del Sr. D. Fernando v n . Extractado de Dichos diplomáticos, que habían hecho preparar sus equipa­ las obras mas acreditadas de autores nacionales y extrangeros, jes y teñera punto sus coches para marchar ayer tard e, per­ y seguido de unos elemeutos de geografía política y económica manecen aun en Bruselas…</t>
  </si>
  <si>
    <t>…están los su­ Tomando el orador la historia de esta cuestión desde que en cantidad ni extensión; y o , que veo reproducirse el suceso de blevados, ó tienen que entregarse á los moros ó rendirse á las el año 1831 decidió el Sr. D. Fernando v n que se prosiguie­ A/ihucetnas ea otra plaza importante , cual es según las cartas armas de la Reina ; pero entre tanto los niales son de conse­ ran las obras del canal de C a stilla , para lo que se sirvió nom­ de M á la g a , en el Peñón de la Gomera, la cuafidad de D iputa­ cuenci…</t>
  </si>
  <si>
    <t>…les y contrarios á los intereses de nuestra legíti­ : : 9 m , 28 9998.. 20 257, Ung raesita de laca , al Sr. D. José Rojas y Cenon. ma Reina, y cooperar con los cruceros españoles al mismo 844 * Üú acerico con un pájaro, al Sr. D. Fernando N ico- Liquidó prod ucto del ¿óttéiéitó, . ‘r. . .. 42921., 1 4 fin , y al de vigilar la navegación extrangera: se extende- lant. . rán también a mandar que las fuerzas navales francesas, Cuenta del producto y gastos de la exposición de los objetos 797. &gt; Una cartera de terciopelo verd…</t>
  </si>
  <si>
    <t>…ron comisio­ los iv y Doña Luisa de Borbon , su augusta Esposa , y la jura dePiferrer: en Zaragoza, en la de Yagúes en Valencia , en la nes de ciudadanos para hacer en esta capital una cuesta de corno Príncipe de Asturias del Sr. D. Fernando vn , adornada de Mallen: en Sevilla , en la de Hidalgo. aquellos efectos, que produjo en poquísimas horas el resultado con 11 estampas finas en qne se describen los ornatos que hubo que se deseaba, dando una recolección de vendas, hilas y lien­ en diversas casas de la carrera que llevaro…</t>
  </si>
  <si>
    <t>…amírez de la Pisciaa.=Excino. señor años. Real de Durango 51 de M ayo de 18 &gt;9.=iPaulino R a m í­ nible, seria una gran cosa para nuestra causa; y quizá si t u ­ conde de la A lcudia. (Se c o nt i nuar á. ) rez de la Piscina.—Sr. D. Fernando M aría Peñaranda. viéramos algunos medios, por pocos que fuesen , se haría un esfuerzo, y aqui con prontitud se fabricarían a r m a s ; y si con (I) El marques de Lalande. Número/f.° una oportunidad pudiesen pasar aqui los jóvenes á recogerlas, evitaríamos los grandes inconvenientes q…</t>
  </si>
  <si>
    <t>…on el testamento espiritual del alma Descuento de letras , á 6 por 400 al año. Sale todos los domingos por la mañana. Su precio en Ma­ drid, llevado á casa délos suscriptores, es el de 2 rs. al mes, Decretos del Rey nuestro Sr. D. Fernando v ir, recopilados y 10 por un trimestre, franco de porte, en las provincias. por los Sres. D. Fermín Martin de Balrnaseda , y D. José Ma­ La entrega 54 correspondiente al 24 de Noviembre contie­ ría de Nieva, desde 4 de Mayo de Í 8 I 4 hasta 51 de Diciem­ GUIA DE FORASTEROS. ne los ar…</t>
  </si>
  <si>
    <t>…instancia en todas «Disce p u e r , virtutem ex m e , verum que taborem La academia sevillana de buenas letras , fundada y prote­ las composiciones literarias: esto e s, al oido. Q u ien des­ Fortunam ex aliis.” gida por el Sr. D. Fernando v i, y adelantada y favorecida por precia ese cu id a d o , no escribirá nunca como C icerón, augustos sucesores suyos , se presentó la última vez al público Fenelon ó Racine. «La virtud y la gloria de mi aprende: fu los años de 1835 y 1854 , no ya , por impedirlo la penuria L a teoría d…</t>
  </si>
  <si>
    <t>…está en error. L a na por esas Potencias. Yo me hallaba de M inistro en V ien a también lo soy de la mia , creo que S. S. no puede creer eso, razón que les ha movido es el creer que los derechos de D. C á r ­ cuando murió el Sr. D. Fernando vir. T uve el honor de pre­ porque sé de positivo que se dió: si S. S. cree lo contrario, créa­ los eran preferibles, y asi es que en el año de 1 8 5 5 , cuando sentar las credenciales de S. M . la Reina Doña Isabel n , y po­ lo enhorabuena. nerlas sobre la mesa del príncipe de Metterni…</t>
  </si>
  <si>
    <t>FERNANDO, EM IA DE SAN</t>
  </si>
  <si>
    <t>EM IA DE SAN FERNANDO</t>
  </si>
  <si>
    <t>…den aque­ ro n principio , esos fu eros no podían contener grandes g a r a n ­ llos seres sobrenaturales, reflejándose en el guerrero y en el tías que el estado moderno de la sociedad ha conquistado. Asi EXPOSICION D E LA. ACA D EM IA DE SAN FERNANDO. terreno con tal maestría, con tal saber, que el efecto no puede q ue , en toda esta parte de la Constitución no hay restricción ser mas sorprendente, ui la armonía mejor entendida. ¿ Y qué ninguna de aq uellas que podrían p e r j u d ic a r á esas provin cia s; Numerosa es la…</t>
  </si>
  <si>
    <t>Fernando, Manuela</t>
  </si>
  <si>
    <t>Manuela Fernando</t>
  </si>
  <si>
    <t>…á los La hermana del famoso cura Merino ha muerto el dia 19 España pintoresca. = El observatorio astronómico de San profesores de arquitectura el único autor que, según Paladio, de Diciembre en el hospicio de la Yieillesse. Doña Manuela Fernando. había quedado de la antigüedad en este importantísimo arte; se Msximina Merino nació en 1795 en la Guardia de Toledo, Crónica nacional.=:La batalla de las Navas. propuso recorrer, y recorrió después de haber empezado la tra­ Jprovincia de la Mancha , y cuando el ejército francés se…</t>
  </si>
  <si>
    <t>Fernaodo, D.</t>
  </si>
  <si>
    <t>D. Fernaodo</t>
  </si>
  <si>
    <t>…ha creado, señores , una legislación de 22 leguas de canal 52 años y 74 millones de reales, cuando previene si las peticiones sou ó no dignas de tomarse en consi­ consuetudinaria, y la han aplicado los individuos según sus el Sr. D. Fernaodo vii en su regreso de Cataluña pasó por Pa- deración, y que los D iputados, aprovechándose de esta medida opiniones; asi pues, yo quisiera que reuunciasen la palabra los lencia doude se detuvo algunos dias, en los cuales varias perso­ reglamentaria, exponen lo que creen conveniente. que l…</t>
  </si>
  <si>
    <t>Fernel</t>
  </si>
  <si>
    <t>…nas mas res­ Isabel Luisa. tención por algunos, si es que siquiera los honores de la refu­ petables de nuestra ciudad se han apresurado á proporcionar tación merece. Idem Antonio Almansa , Matías González, José Sánchez, al Sr. Fernel, por medio de acciones bastante considerables, Copiamos también á continuación la lista de las personas Salvador G arcía, Benito Perez, Mariano García , Aniceto Ro­ una parte de los fondos que necesita para el establecimiento de que componen las juntas gubernativa y las de las secciones; en…</t>
  </si>
  <si>
    <t>…agón.) se deja comprender por la simple lectura del prospecto, que ha dado el Sr. ex-gefe político D, Alejandro F ern e!, director del POESIAS colegio. No se ha echado en olvido tampoco la religió n , pues bien convencido el Sr. Fernel que por esta y por la moral es el M A D R ID 6 DE M A R Z O . hombre honrado y virtuoso , la ha colocado en primer térm i­ DE DON ALBERTO LISTA, n o , como base de toda la enseñanza. En esta vemos también m ultitud de ramos de las ciencias AUMENTADAS cuyo estudio era bastante espinoso, por n…</t>
  </si>
  <si>
    <t>…íveres El oficial segundo tercero de este gobierno civil Don Ivo de q ue g u a rd en y h a g an guardar, c u m p lir y ejecutar la p re ­ que caian con las caballerías que las conducían, por el mal ca­ la Cortina presentó al Sr. Fernel, último gefe político, una sente léylén todas sus partes. T endréislo en tendid o para su mino. memoria acerca de la importancia que podrían adquirir las ar­ c u m p lim ie n to , y dispondréis se im p rim a , p u b liq u e y e ir - Vuestros dignos compañeros de armas que componían la tes e…</t>
  </si>
  <si>
    <t>Fernel, Francisco Alejandro</t>
  </si>
  <si>
    <t>Francisco Alejandro Fernel</t>
  </si>
  <si>
    <t>…or comedimiento y orden se ha guardado en este ficiencia de esta cantidad. [Debuts.) dad y acierto en esta manera de pintar. De ella vimos también baile á pesar de la licencia que prestan ios disfraces y las aca­ un ensayo de D. Francisco Alejandro Fernel, ex-gefe político loradas imaginaciones. Era de esperar que sucediese asi, y des­ de esta provincia ; pero ensayo tal, que justifica la reputación de luego nos persuadimos de ello al ver las personas que tanto que de sus obras habíamos oido : nos complacemos en anunciar…</t>
  </si>
  <si>
    <t>Fernán</t>
  </si>
  <si>
    <t>…onetas#;i -porque cuando era una injusticia, tenían introducción de muías lechales. ñor Ileros, y concluye haciendo verla necesidad, convenien­ medio de resistir á la fuerza misma. El Sr., MADOZ: Señores, la interpelación del Sr. Fernán, cia y utilidad de este proyecto, y que por lo tanto el Senado El Congreso' tomó en coosideracioa la referida proposición, dea Baeza hubiera tenido el apoyo de todos mis digaos compa­ no debe te roer ni ngu na dificultad en aproba r!o. acordando que pasase a las secciones. ñeros los Diputados…</t>
  </si>
  <si>
    <t>Fernán, Infanta Doña María Luisa</t>
  </si>
  <si>
    <t>Infanta Doña María Luisa Fernán</t>
  </si>
  <si>
    <t>…ida provisional hasta la reunión de las Excm o. S r .: S M. la Reina G obernadora se ha servi­ Cortes á las obligaciones del culto y clero y otras do relevar á V. K. del cargo de inspector general de la d o r a y la Serma. Sra. Infanta Doña María Luisa Fernán, Milicia nacional del rein o, nom brando para sucederle en ¡ atenciones perentorias por medio de una anticipa­ da , continúan en esta corte sin novedad en su importante ció n á buena cuenta de lo que aquellas decreten para este destino al mariscal de cam po D. Franci…</t>
  </si>
  <si>
    <t>…. M. la R e ín a , su augusta Madre la R e in a G o b ern a ­ NOTICIAS EXTRANGERAS. que otros curiosos , aunque en corto número , se detuvieron igualmente; pero á cosa de tnedio dia no llegaba á 100 el nú­ dora y la Serraa. Sra. Infanta Doña María Luisa Fernán** mero de personas paradas delante de la puerta. El jardín ha PRUSÍA. permanecido abierto para el público, aunque las puertas esta­ da, continúan en esta corte sin novedad en su importante Berlín 16 de Junio . ban medio cerradas, y habia pocas personas paseándose. s…</t>
  </si>
  <si>
    <t>…tor de a q u ella , obteniendo este in d iv id u o seis d o n del Senado que ha de poner en sus Reales manos tres pro­ votos de los 10 que se hallaban presentes, y tres M r. D e b e lle y - yectos de ley. d o ra y la Serma. Sra. Infanta Doña María Luisa Fernán, me. M r. Etieune ha dado su v oto á M r. Passy. Los Sres. M inistros de la G o b ern a ción , G racia y Justicia da, continúan en esta corte sin novedad en su importante (&lt;Üonstitutionnel.) y Hacienda com unican al Señado la nota de los in d ivid u os que salud. ha…</t>
  </si>
  <si>
    <t>…e r n a ­ B ulla, de la misma felig resía, se avisa al público para que si rioso con que los exige, aun deseando satisfacerlos, seria igno­ ilguna persona se considerase con derecho á ios bienes del d i­ d o r a y la Serma. Sra. Infanta Doña María Luisa Fernán, minioso á cualquier individuo; y una nación que representa á funto se presente á justificarlo. tan to s, muy justos son sus motivos para negarse, con dema­ da, continúan en esta corte sin novedad en su importante siada m oderación, á obedecerlos. No hay palabras c…</t>
  </si>
  <si>
    <t>…39. d ie z cu a rto s. S. M. la R e in a , su augusta Madre la R e in a G oberna ­ ian restituidos á sus dueños luego que justiíicaséu su perte- jue las es tan propia, y en pocas horas llevando á la cabeza do ra y la Serma. Sra. Infanta Doña María Luisa Fernán, lencia. »u digno general Castañeda, dominaron á Lim pias, Ampuero Que el ayudante del 4*° batallón franco D. José Jimeno y M arrón, y el Marina disparó un cañonazo á un grupo de da , continúan en esta corte sin novedad en su importante iprehendió con las armas en l…</t>
  </si>
  <si>
    <t>…será aplicable á los que en la anterior q u ili­ S. M. la R e i n a , su augusta Madre la R e i n a G o b e r n a ­ puesto á la mayor brevedad. n a de 1838 sentaron plaza voluntariamente en la aru iie- d o r a y la Serma. Sra. Infanta Doña María Luisa Fernán, D : Antonio'Arríete ha remitido ya el resultado de su co­ j ría de m arina, sin que por ello salgan del cuerpo en qua da, continúan en esta corte siü novedad en su importante misión dé Luarca con su plano correspondiente: lo he pasado í;esten filiados. al subinspe…</t>
  </si>
  <si>
    <t>…ue cada tres dispensan de ser considerados como segundos contribuyentes. meses se publica acerca de la situación del banco. Del expresado Que eTas observaciones las encuentra m u y ju s t a s , pero que á d o ra y 4a Serma. Sra. Infanta Doña María Luisa Fernán, documento aparece haber d ism in uid o la circulación en 2 6 8 $ fi­ s-i entender correspondían á los artícu lo s, pues no bastaba que d a , continúan en esta corte sin novedad en su importante bras esterlinas, y aum entado los depósitos á 2 8 2 3 libras e sfei- el…</t>
  </si>
  <si>
    <t>…1839. DIEZ CUARTOS. S. M. la R e i n a , s u augusta Madre la R e i n a G o b e r n a ­ las Cortes de 27 de Diciembre de 1836; y conformándose Marzo próximo si se contentarán en lo sucesivo con un ínteres d ora y la Serma. Sra. Infanta Doña María Luisa Fernán­ S. M. con la opinión unánime que han expresado sobre de por 100 en lugar de 4 por HW. En caso de negativa, da , continúan en esta corte sin novedad en su importante la materia el director general de Rentas y arbitrios de habrá reembolso. Si el Gobierno creyese que l…</t>
  </si>
  <si>
    <t>…adre la R eina G oberna del Padul, punto señalado por el referido ingeniero. La fuerza im portancia, sin que haya habido por nuestra parte otra des­ gracia que la caida por un derrumbadero del comandante de dora y la Serma. Sra. Infanta Doña María Luisa Fernán» que debe escoltarlas está prevenida y adoptadas cuantas dispo­ la columna D. Carlos Moure , de cuyas resultas se halla aun siciones conceptúo necesarias para la ejecución de esta medida. indispuesto. da, continúan en esta corte sin novedad en su importante En lo&lt; ci…</t>
  </si>
  <si>
    <t>…gancia de sus revolución para podernos entender: deseo tájmbien que sepan el armas y por su aspecto marcial y ga lla r d o , cerrando la comi­ que Mejía perjudica demasiado, porque está desacreditado coa d o r a y la Serma. Sra. Infanta Doña María Luisa Fernán* tiva un carruaje con cuatro damas distinguidas para embellecer todos los partidos.—Luis Cortázar. da r continúan en esta corte sin novedad en su importante roas la reunión y hacer mas memorable el acto que iba á prin­ cipiarse. Toda la población y las afueras se pu…</t>
  </si>
  <si>
    <t>N ° 1538. JUEV ES 31 DE ENERO DE 1839. d ie z cu ar to s. S. M. la R e i n a , s u augusta Madre la R e i n a G o b e r n a ­ Prim era sección.-—Circular dora y la Serma. Sra. Infanta Doña María Luisa Fernán, REDACCION DE LA GACETA. da, continúan en esta corte sin novedad en su importante El Sr. Ministro de Hacienda comunicó á este ministe­ salud. rio en 6 de Diciembre último la Real orden siguiente: «Habiendo dado cuenta á S. M. la Reina Gobernadora de una consulta qu…</t>
  </si>
  <si>
    <t>Fernán, María Luisa</t>
  </si>
  <si>
    <t>María Luisa Fernán</t>
  </si>
  <si>
    <t>…terminación que estime. Demarcaciones.zzÜna mina plomiza y cobriza en el cerró Con la misma fecha me dice también Montesinos que des­ de la Atalaya, término de Bailen, dada á Francisco Aguado do ra y la Serma. 8ra. Infanta Doña María Luisa Fernán® pués de puesta en el correo la comunicación anterior habían ea 8 de Febrero. da, continúan en esta corte sin novedad en su importante llegado sin novedad las cuatro brigadas procedentes de Málaga, las cuales se habían alojado en el cuartel del presidio de Grana­ salud. da , y…</t>
  </si>
  <si>
    <t>…. la R e i n a , s u augusta Madre la R e i n a G o b e r n a ­ ¡uisieron que dejara el mando para volver al orden; y habién- pueblas del interior, y que era uno de los principales cabecillas d o r a y la Serma. Sra„ Infanta Doña María Luisa Fernán iose retirado del puesto, y dejado encargado al coronel D. D o - ríe los revoltosos. Por mi parte solo tuve seis muertos de los de­ aingo Ugartechea , á los tres dias volvieron á sublevarse, se- fensores de la patria de infantería, cinco del Saltillo y uno de d a , continúan en e…</t>
  </si>
  <si>
    <t>Fernán-</t>
  </si>
  <si>
    <t>…os, sita en el arroyo del Quejigo, pasada para la Siendo las tres de la ta rd e , y habiéndose suspendido la au- diegcia por algunos minutos , volvió á continuar esta, en la hacienda Camoja , de este término, que perteneció á D. Fernán-, que,fueron;examinados otros testigos, después de lo cual te do Acosta y consortes, de este domicilio; la cual le fue admi- procedió al interrogatorio del acusado Bonnet. tida en providencia Óel mismo dia. , t Este dijo quo nueve mesés antes del 12 de.Mayo viví» en Idem 5. Marbelia 1.° de…</t>
  </si>
  <si>
    <t>Fernán-, Infanta Doña María Luisa</t>
  </si>
  <si>
    <t>Infanta Doña María Luisa Fernán-</t>
  </si>
  <si>
    <t>…EZCUARTOS. 4'S/M .' la 'R e i n a , su augusta Madre la R e in a G o b e r n a - ! patria , deberán acudir por el conducto correspondiente '! ción de este anuncio, un parador situado en el lugar de Fuen- d o r a y la Serma. Sra. Infanta Doña María Luisa Fernán- j al inspector general del arma, autorizado por Real orden carral, á la salida de la calle Real y camino de Yalverde, qu-í de 3 del actual para hacer estas declaraciones. Dios guar­ comprende 25,8(51 pies superficiales, tasado en 156,892 rs. ve ­ ¿ á , continúan en…</t>
  </si>
  <si>
    <t>…e una mis­ custodiadas en las arcas de totales hasta que se reciban de las ma provincia, y abonable su importe en los pagos de esta con­ oficinas de ejército del distrito las cartas de pago equivalentes. d o r a y la Serma. Sra. Infanta Doña María Luisa Fernán- tribución extraordinaria por cuenta del último tenedor, las Art. 24 . Sin perjuicio de que tenga cumplido efecto la ex­ da, continúan en esta corte sin novedad en s u importante contadurías de provincia los comprobarán con los registros de presada disposición, quedar…</t>
  </si>
  <si>
    <t>…esta dirección la Real orden siguiente: conducta que le haga indigno de llevar el uniforme de la «Al intendente de Cádiz dice con esta fecha el señor arm ada, podrá el comandante general del departamento d o r a y la Serma. Sra. Infanta Doña María Luisa Fernán- j negársele, dando parte á este ministerio para la determi­ Ministro de Hacienda lo siguiente: Enterada S. M. la Rei­ da, continúan en esta corte sin novedad en su importante na Gobernadora del expediente promovido por D. José nación que fuere del agrado de S. M., y…</t>
  </si>
  <si>
    <t>Feroandioa</t>
  </si>
  <si>
    <t>…000.............. Algeciras. buque. D. José Ricardo Ofarrill.................................................. 54 1 9 .5 8 5 .... 1000.................. Valencia. Empezarán á las cuatro y media de la tarde y siete y me­ Conde de Feroandioa......................................................... 51 8.275.. .. 1000.................. Madrid. dia de la noche; media hora antes tocará la música en el balcón El iutendente general de Hacienda de la isla de 3 6 7 .... 600.............. Valladolid. del establecimiento: el despacho…</t>
  </si>
  <si>
    <t>Ferrar</t>
  </si>
  <si>
    <t>…sig­ cinas habían de juzgar por los términos de la ley. rentas „ arbitrios y otros cualesquiera, derechos que la constitu­ nadas hasta fin de 1857 es dos estados generales ó resúmenes, I ladead ose cargo de ¡o.a argumento del Sr. Ferrar dijo que yen basta fia de 1837» se liquidarán precisa é improrogaiWe- y demostró que lodo «ate asueto quedaba reducid© á ¡la. enti­ creía que se había dado i -esta disensión el giro que correspon­ meate ea los cuatro' primeros; meses de 1839... dad , teniendo un total de deuda. que podía cons…</t>
  </si>
  <si>
    <t>Ferrari</t>
  </si>
  <si>
    <t>…privados: los amores de la Iufanta D o ­ distinguirle por sus caractéres esenciales de todas las demas épo­ Calleja é hijos; V a len cia , P a u l i; C á d i z , H o r t a l ; S ev illa , H i ­ na Isabel con el rebozado paje D. Ferrari, avivan y excitan el cas que la siguen y la precedieron. dalgo y compañía; M ála ga , señora viuda de A g u i l a r ; Z ara­ interés del espectador , que mas que un paje adivina en él , si El pensamiento de Mr. Quizot es tan original como vasto, goza , Polo y M o nge; Valladolid , señora vi…</t>
  </si>
  <si>
    <t>FERRAZ</t>
  </si>
  <si>
    <t>…ce mas era razón de penas corporales en p ecuniarias: la legislación de multas es lo que h a y . un 10 á 100. Por consiguiente, no sé porqué se ha de levantar tan antigua como las legislaciones; y la romana m ism a , tipo El Sr. F E R R A Z dice que en la dirección del te oro se hace la voz contra una cosa que está dando tan buenos resultados, de tantas o tras, reconocía ciertos delitos cuyas penas eran con­ la distribución para cada ministerio, y que el tesoro no recibe y q u e , malo ó bueno, es uno de los recursos que p…</t>
  </si>
  <si>
    <t>Ferraz</t>
  </si>
  <si>
    <t>…nandez. á las dos y cuarto. preciso, como el mas grato deber, no diferir tan feliz coyun­ Quedó agregado á la 5.a sección el Sr. marques de Montesa, tura para dirigirse á V. M. por sí y á nombre de este vecin­ y á la 1.a el Sr. Ferraz. dario , que rebosa de júbilo en anunciar tan sencilla felicitación, Pasó á las secciones una proposición del Sr. Ramonet para rogando á V. M. se digne acogerla con su nunca desmentida que se nombre una comisión de Corrección de estilo. C O NG R ESO D E D IP U T A D O S . benevolencia , en…</t>
  </si>
  <si>
    <t>…Alcázar de San Badajoz que presenta el Sr. M uñoz, Diputado electo por la Señora: El ayuntam iento constitucional y clero de vuestra J u a n , lleno de júbilo y entusiasmo por los recientes y felices m ism a; y un oficio del Sr. Ferraz , participando al Congreso' villa de Argatnasilla de Calatrava, provincia de Ciudad-Real, sucesos acaecidos en las provincias del N o rte , no puede dejar que por sus muchas ocupaciones le ha sido preciso admitir el trasportados de gozo y respetuosamente llegan al trono de de dirigirse á V. M…</t>
  </si>
  <si>
    <t>Ferraz, José</t>
  </si>
  <si>
    <t>José Ferraz</t>
  </si>
  <si>
    <t>…e^tas son, ía, Reina Doña Isabel n, de acuerdo con lo propuesto por este juzgado y escribanía m ayor de R en tas, sita en el piso ba­ la una respecto á las provincias que sufren sobre sí todo el peso el Consejo de Ministros, á D. José Ferraz, oficial que fue jo de la a d u a n a á contestar á los cargos que le resultan en una d é la guerra c iv il, las cuales no pueden d isfrutar beneficio a lg u ­ depla secretaría dé Estado y del Despacho de la Guerra causa pendiente contra’ él mismo por delito de contrabando y no de las le…</t>
  </si>
  <si>
    <t>…emos á nuestros lectores las demas noti­ bia servido nombrar para la dirección general del tesoro pú­ Estado de las relaciones diplomáticas entro Francia y cias que contengan dichos periódicos: su poca impojcl^ocia e&amp; blico á D. José Ferraz, Diputado á Cortes por la provincia España 9 explicado por el carácter de tas alianzas euro- la causa de que hoy no lo verifiquemos. de Valencia. Con motivo de la festividad del primero de año estuvo di­ peas. Por D. Juan Donoso Cortés. Se accedió por el Congreso á una comunicación de…</t>
  </si>
  <si>
    <t>…D. Domingo Ximenez del cargo de Secretario de Estado y particular la siguiente carta délas fronteras de España, escrita del Despacho de Hacienda; y nombro para que le reem­ d 12 de Agosto. place interinamente en dicho cargo á D. José Ferraz, di­ A las conferencias que se han verificado entre lord John rector general del tesoro. Tendréislo entendido, y dispon­ Hay y M aroto, asi como á la entrevista que este lord ha teni- Despacho del dia. telegráfico del 13 de Agosto de 1839 a la una dréis lo conveniente á su cumplimiento.…</t>
  </si>
  <si>
    <t>…inado. Inscripciones en el gran libro á 4 Por * 9 9 , 90. La iglesia de Atocha con su imágen y banderas. Real decreto nombrando director general del Tesoro público á Títulos al portador del 4 por 1 0 0 , 18 á 60 d. f. ó vol. D. José Ferraz. (Núm. 1520.) El coro de capuchinos de Roma con toda su comunidad. antiguos y modernos con cupones. Está abierto todos los dias desde las diez de la m añana has­ Circular del ministerio de la Gobernación de la Península, re­ Vales Reales no consolidados, 00. produciendo la publicada en…</t>
  </si>
  <si>
    <t>FERRE</t>
  </si>
  <si>
    <t>…to iliiico que puede hacerse es vedterse á leer,. k traslado «o pues del art* 9®,. q 11®- Ito pasado á ser '8 .° k Se Jejó segó «da ves; dicho artículo. C onstitaciou, se dejan las garantías fuera de la posibilidad de E l Sr. F E R R E 11: La comisión „ tendeado presente el deseo C O N G R ES O D E D IP U T A D O S . toda suspensión: así que, no pueden suspenderse de «legoo mo­ de los Sres. Senadores , ha creído de su deber acceder á los pun­ do fas. garantías que e! art* 9 .° concede, cuales so* las de qou tos princip…</t>
  </si>
  <si>
    <t>Ferrer</t>
  </si>
  <si>
    <t>…. por tan faustas nue­ cirlos; y al ir á hacer uso de la palabra sobre el particular el pies de alto y 52 de circunferencia , en estado de perfecta ma­ al ilustre caudillo que hasehecho aun debia votar una acción de gracias Sr. Ferrer, llegó la comunicación del Srv Presidente del Consejo durez. Apreciando como es debido las ventajas de* la cuvlturs do lo juzga oportuno , dirigir á S.estaM.negociación; y si el Sena­ de Ministros manifestando en ella que S. M. habia tenido á de esta nueva planta , ha pedido granos de ella…</t>
  </si>
  <si>
    <t>FERRER</t>
  </si>
  <si>
    <t>…ara los in d ivid uo s citados. Por cu yas das las leyes para que no puedan o cu rrir dudas. S ev illa * acerca de las causas que les han im pedido presentarse razones quiere S. S. que le d iga la comisión si podrán renun­ El Sr. F E R R E R expuso que si efectivam ente estuviera el en el Congreso. c iar esos cargos , tanto los in dividuo s de ayun tam ien to como el artículo redactado en los térm inos que habia indicado el señor Se le y ó , prévia la autorización de las com isiones, una pro­ letrado consultor y el secretari…</t>
  </si>
  <si>
    <t>…os; ei Sr. Moroder , el han socorrido...................................................................... 145 #7 Sigue asegurándose la muerte de A rriam banda; pero como Sr. Santa María , el Sr. Comes, el Sr. Carruana y el Sr. Ferrer, los montañeses evitan darnos las noticias que nos son favora­ ambos del comercio, y el Sr. D u p u y , que ha presentado capu­ Total data 101904.. 7 bles, nunca puede decirse como cosa positiva. Sin embargo, llos blancos de semilla de la China que le proporcionó el señor parece que la de Cha…</t>
  </si>
  <si>
    <t>…IA S: Señores, la corona de Isabel n se Se leyó el párrafo 8,°, y á continuación una adición del nientes. El primero es que no parece oportuno ni aun bastante halla y a firme sobre sus sienes. El Príncipe que se la disputaba Sr. Ferrer que apoyó S. S . , manifestando lo conveniente de obsequioso que tratándose de unas mismas cosas variemos sin ha huido á territorio extrangero. Príncipes que habiendo com­ reanimar las esperanzas, y dar una idea consoladora á los necesidad el nombre propio con que se designan por la corona;…</t>
  </si>
  <si>
    <t>…ero no tensión; y convencida sin duda la comisión de la fuerza de es­ ré á cuantas impugnaciones puedan hacerse. tas observaciones, tuvo ¿ bien retirarle. porque h ay a esa diferencia se altera la unidad constitucional. El Sr. F E R R E R : Señores, ademas de la gravedad é impor­ Las provincias Vascongadas, señores, han co n trib uid o , y tal Sin discusión fue aprobado el de la comisión de Actas re­ tancia de esta cuestión, me obliga á tomar la palabra en ella, vez con mas de lo que las pertenecían por la población y ri…</t>
  </si>
  <si>
    <t>…paz que asoma por nuestro horizonte, el termino de los in­ $odo lo que se ha dicho no me convence. cesaria su asistencia; pero que si haciendo uso la Corona de la mensos males que por tanto tiempo han agobiado al país, se El Sr. Ferrer ha hecho un largo discurso, en el cual no p o ­ prerogativa que le concede la Constitución quedaba privado el unen los salmos que en los tem plos entonan los ministros d el taré seguí He , ni intentaré hacerlo. Congreso de una discusión tan solemne como la que se habia altar; con los acentos…</t>
  </si>
  <si>
    <t>…a s, un mism o poder legislativo , una representación resultados, y es dign a de tomarse en consideración. C on tin u an d o la discusión pendiente sobre los fueros de las nacional com ún. I I ¡zo tam bién otro argumento el Sr. Ferrer sobre si de esas pro vin cia? V ascon gadas y N a v a r r a , dijo L a s con stituciones, señores, son una colección de principios pro vin cias habia habido el pensamiento de hacer una pequeña E l Sr. M inistro de G R A C IA Y J U S T I C I A : A prim era sancionados: su desenvolvim iento de…</t>
  </si>
  <si>
    <t>…han sido tantas que me tranqui­ trar cu la cuestión haré alguna. puede concederse. licen del todo, y espero que si lo tiene por conveniente contes­ Sabe el Sr. Ferrer y muchos de mis compañeros que no soy Ayer aunque dijo el Sr. Ferrer que estaba , digámoslo asi ' te, y con nuevas explicaciones concurriré á la aprobación uná­ fuerista, y que estoy distante de serlo; y en todas las cuestiones autorizado por su provincia ó parte de ella , yo precisa menté nime si puede ser, capitales saben mi modo de pensar , y que si aquí se…</t>
  </si>
  <si>
    <t>…os anos. Zamora 14 de Se leyó el párrafo que se anadia después del 9.° á conse­ atención á que debía considerarse con mayores datos al Go­ Setiembre de 1859.r: Señora. —A- L, R. P. de Y. M.—El conta­ cuencia de la adición del Sr. Ferrer; y después de dar dicho se­ bierno. dor I. L , Antonio Rodríguez Soiiilo.=:Tornas García dclReal — ñor gracias á la comisión por haber acogido una adición tan S. S. continuó haciendo otras varias observaciones, y con­ El administrador de rentas, José Lorenzo Cuesco.—E. S. D. S. C. importante…</t>
  </si>
  <si>
    <t>…nización de la coja de amortización ha nombrado Presidente al mentó, porque la cornision no tenia facultades para presentar un p o r a r s e en su cuerp o ; pero que el alférez Mena , menos fiel á Sr. Egea , y secretario al Sr. Ferrer. dictámen que fuese distinto á lo acordado por el Senado al to­ 3a causa que elios, habia tomado parte con el enemigo. E l Sr. P R E S I D E N ! £ : Orden del dia. Contin úa la d is c u ­ marse en consideración la proposición. C u a n d o me h ac ía n esta relación se me incorporo también e…</t>
  </si>
  <si>
    <t>…­ rencia. (Le Temps.) . .. .%• , , : • posicipn que aquellos queno los tienen?¿Cómo ha de existir ünh chas y ®uy amplias; aqui se ha dicho que no se oponen los _______ /ir dad señores i Cuandd4os derechos no son iguales? El Sr. Ferrer ¿íi fúeros, que todos caben en la Constitucjon ; aqui se ha creído ^$u la r^o discurso fue pasando be vista á muchos de t e fuerós de que deben reconocerse con la mayor amplitud, y se han dicho El 7 de Octubre ha tenido sesión en Francfort la Dieta ger-* las provincias, y sé entretuvo S. S.…</t>
  </si>
  <si>
    <t>…amente persuadido que después de lo que había dicho el festó opiniones muy distintas de las que emitió ay er, y cuan­ cipios y deberes que creían no debia traspasar. En primer lu­ Sr. Ministro de Gracia y Justicia y el mismo Sr. Ferrer , a u n ­ do estábamos tratando del asunto llegó á mis manos un pro­ gar diré á S. S. que un hecho particular no destruye el hecho que d o estamos enteramente acordes; pero en las interpretacio­ yecto de una comisión que hubo en el año de 1 8 1 5 sobre los sentado por roí. El donativo, he di…</t>
  </si>
  <si>
    <t>…e habían impugnado el ron exceptuados de él los segundos coutribuyente,------------------ ción diel Gobierno. proyecto convenían es que so objeto era mmaman# útil y lau­ El Sr. GOMEZ BECERRA maaifestó que aunque ron toda El Sr. FERRER indicó que segas unos'señores era escan­ dable. la urbanidad y cortesía posibles, ino- pedia dejar' de decir que" daloso e! atraso que resoltaba» y según otros tan insi guiñea ule Recordando en seguida los punios principales i qae se ha­ teaia una queja muy sentida de los señores de k comisió…</t>
  </si>
  <si>
    <t>…cha una consulta se daria providencia. celes generales de aduanas anunciados por el Gobierno. la admisión que solicitaba hasta la terminación del procedimien­ Que en su consecuencia habiendo acudido al Gobierno de S. M ., Ei Sr. F E R R E R pidió que pasase esta proposición á la co­ to que se sigue en la audiencia de Sevilla acerca del exámen de que á su parecer fue en Febrero del año pasado , solicitando se misión para que no se decidiese eu materias de esta especie con su conducta en el descubrimiento, recuento y depósito…</t>
  </si>
  <si>
    <t>…­ Se p re g u m ó A Senado si la tomaba , y acordó que sí. y los estorbos que h abia para las artes y el comercio h a n des­ ceda con todo el tin o y circunspección posibles para a d q u i r i r el Puesta a discusión la del Sr. Ferrer, aparecido. Y cuando esto se debe al a c tu a l Gabinete que ha .p re stig io que necesita, y que h a perdido a l g ú n t a n to en el á n i ­ El Sr. d uq ue de £ i\ I A S dice que es menester g u a r d a r la tenido tanta parte en ello , ¡no se hace u u elogio de él expresán­ mo de los p u…</t>
  </si>
  <si>
    <t>Ferrer, D. Antonio</t>
  </si>
  <si>
    <t>D. Antonio Ferrer</t>
  </si>
  <si>
    <t>…stía variado, m iró al fondo, tín num. 8 7 2 , los medios que debían emplearse, según el dic- D. Leopoldo O-Donnell con su estado mayor. ( Id.) y se en contró sobre un m ar blancuzco con m anchas negras, ameo emitido por el Sr. D. Antonio Ferrer, vocal de la Exce­ sem ejante al Banco de B a h a m a , dirigiéndose á proa para lentísima diputación de esta provincia, haciéndose á los al­ descu brir m e jo r, en cuyo m om ento subió toda la gente u d e s constitucionales varias prevenciones sobre este asunto. Idem 18. sobre…</t>
  </si>
  <si>
    <t>Ferrer, D. Guillermo</t>
  </si>
  <si>
    <t>D. Guillermo Ferrer</t>
  </si>
  <si>
    <t>…despacho de la Imprenta Na­ corte, para la celebración de dicha ju n ta , previniendo se an u n ­ cional a 16 rs. pasta y 13 en rama. cie por la Gaceta y Diario de avisos para los ausentes e ig n o ­ ^cribano requirido por el Sr. D. Guillermo Ferrer por no sa­ rados, y que parará el perjuicio que h ay a lugar á los que nc ber escribir. Es una bella edición, hecha con el m ayor esmero y concurriesen. Palma 25 de Enero de 1859.—Habiéndose observado en este con suma corrección, teniendo presente para esto últim o juicio todos…</t>
  </si>
  <si>
    <t>Ferrer, José</t>
  </si>
  <si>
    <t>José Ferrer</t>
  </si>
  <si>
    <t>…n recio ventarrón á legua y media toria ni de los demas géneros en prosa. Los períodos en de la costa , con pérdida de nueve hombres de los doce que lle­ que Cicerón describe el suplicio de C abio, están llenos A rn edillo.= D. José Ferrer ¿ en Astorga : desde i . ° de M a ­ vaba de tripulación , y por consiguiente están paralizadas las de sonidos flébiles, hijos de la compasión, ó de arranques y ó á fin de Octubre. operaciones, que sin aquel accidente h abrian tenido lu e ar pro­ furiosos, dictados por la ira contra el…</t>
  </si>
  <si>
    <t>Ferrer, Luis</t>
  </si>
  <si>
    <t>Luis Ferrer</t>
  </si>
  <si>
    <t>…para las que por desgracia no dió des­ núm. 21 moderno y 9 antiguo, manzana 451 que pertenece rez, cuando esta ciudad era frontera de los moros. pués espacio lo adelantado déla hora, volvió á la tribuna el al teniente coronel D. Luis Ferrer, y tiene de sitio 2497 pies Es menester no equivocarse. Nada de cuanto digan ó jóven Campo-amor, y propuso la cuestión crítica de averiguar fijan las histoiias y novelas francesas ó inglesas sobre el quien podria ser el verdadero autor de las poesías que correa ytidad un octavo de otro…</t>
  </si>
  <si>
    <t>Ferrer, Narciso</t>
  </si>
  <si>
    <t>Narciso Ferrer</t>
  </si>
  <si>
    <t>…- pañol. segunda parte, recibieron el premio que merecen la aplicación ñor teniente de Rey de esta plaza. Postdata importante.rrEl comisionado de la junta rebelde, y el esmero; premio que no dejará de servir de estímulo á los D. Narciso Ferrer, se volvió á Berga al día siguiente de la eje­ Sres. Reig y Meoenciano, y á otros muchos de sus consocios. cución ó ahogamiento del que fue su presidente, el ex-conde de Mas numeroso aplauso merecieron la señorita de Alcaráz y el España. Puede que la junta le nombrase escribano para…</t>
  </si>
  <si>
    <t>Ferrer, Viceute</t>
  </si>
  <si>
    <t>Viceute Ferrer</t>
  </si>
  <si>
    <t>…nuestros soldados se halla­ des de Parcent, de Casal y de Castellá, Isidro Comes , barón dt El Sr. S E R R A N O anuncia otra al Sr. Ministro de la G uer­ ban enfermos, y donde carecían las tropas de los objetos de Andilla, y D. Viceute Ferrer, por diferentes artículos ó varie­ ra para que manifieste las medidas que ha tomado para refor­ primera necesidad y de las medicinas necesarias. Ha llamado dades de frutos especiales que han presentado. zar el ejército, de Cataluña , y mejorar la triste situación de la atención de S…</t>
  </si>
  <si>
    <t>Ferreteen</t>
  </si>
  <si>
    <t>…respira saña, rencor y la com isión , como los que han suscrito los votos particulares, extrañaba que en esos críticos momentos dijese el Gobierno que muerte. E l labrador honrado ansioso de trabajo y fatiga y aiftimamente el Sr. Ferreteen su discurso, todos están en d i ­ no podia asistir. abandonó sus hogares. E l jov en am ante, celebrando su hime­ ferente modo de pensar , siendo esto sumamente lamentable en Que no se necesita ser un Cicerón para defender los actos n eo, escuchó en el tálamo nupcial el estruendo de las ar…</t>
  </si>
  <si>
    <t>Ferriol, José</t>
  </si>
  <si>
    <t>José Ferriol</t>
  </si>
  <si>
    <t>…te. ronde - floseubland , M inistro de Ju stic ia ; el conde Stjemeld, A licante. M inistro de Negocios éxtrangeros; el conde Lovenhieim y el Lugo. «D . Melchor Astiz. conde Adelsward. El Rey va acompañado en su viaje por el D. José Ferriol. « D . José M aría Moscoso de A ltam ira. maris- al del reino conde Brake y los condés Loevenhaujot y D. Antonio M ira Perceval. D. Jav ier M artín ez, marques viudo de V alladares. YVeidemann. «D . José M aría Reig. «Conde de O falia. Durante la ausencia del Rey mandará las fuerzas…</t>
  </si>
  <si>
    <t>Ferro</t>
  </si>
  <si>
    <t>…ven­ 7.a sección. Presidente el Sr. Sancho: Vicesecretario el se­ ga á Vitoria , á cuya plaza ha llegado esta tarde ; y que reunien­ Un incendio terrible ha estallado en Constantiñopla: I 4OO ñor Alcalá Z amora: Secretario el Sr. Ferro M ontaos: V icese­ do á los cinco batallones que trae consigo otros dos que deben casas que corresponden la mayor parte á habitantes cristiano', cretario el Sr. Vargas. venir de la izquierda, opere en combinación con las fuerzas de han quedado reducidas á escombros. El Príncipe de J o in v ill…</t>
  </si>
  <si>
    <t>FERROMONTAOS</t>
  </si>
  <si>
    <t>…s partidos pueden disputar el bien con persuasiones, bien con el indujo de la amis­ gracia. mañana. Dios guarde ¿ Y. E. muchos años. Logroño 5 de Setiembre tad; esto es legal, lo que no es cuando media la fuerza ú otras El Sr. F E R R O M O N T A O S : Yo respeto como el que mas malas artes. Yiniendo legalmente tendrá fuerza legal y pres­ de 1859.—Excmo. Sr.^El P. Joaquin Berrueta.nJosé Ordoyo.— las disposiciones del reglamento; pero sin embargo, tratándose tigio este Congreso, cuya institución á todos los partidos nos Ma…</t>
  </si>
  <si>
    <t>Ferrés, José</t>
  </si>
  <si>
    <t>José Ferrés</t>
  </si>
  <si>
    <t>…Losada. = D. Rafael A g u i r r e , D o n r L licenciado D . V icente H e r n á n d e z , juez de prim era i n s - tez y pasta de color; sin que esto se oponga á sus excelentes E n riq u e E g u iza b a l, D . A ngel Pereda y D. José Ferrés. tancia de esta villa de Ledesrna y su p a r t i d o , que de ser máximas de precisión en el dibujo. E n compendio de Filosofía moral. =zD. Venancio Barrero, asi y estar en el actual ejercicio el infrascrito escribano da fé: El Sr. Madrazo (padre) demuestra en su Sagra d a F a m ilia D…</t>
  </si>
  <si>
    <t>Fezensac, Montesquieu</t>
  </si>
  <si>
    <t>Montesquieu Fezensac</t>
  </si>
  <si>
    <t>…en que os per­ Rey de Cerdeña , embajador cerca de S. M. la Reina de Espa­ nunca podemos adm itir como una justificación del hecho se­ suadiréis hoy que no deliro cuando creo que no vereis en Bar­ ñ a , en reemplazo del duque de Montesquieu Fezensac. mejantes razones: todavía adelantamos mas nuestro discurso, y bés un acusado, siuo un hombre político. N o, yo no deliro, Y al marques de D alm acia, antiguo enviado extraordina­ sostenemos que ese cuadro es falso: los jornaleros han po­ cuaudo trayendo a mi memoria vuestra jur…</t>
  </si>
  <si>
    <t>Fietcher</t>
  </si>
  <si>
    <t>…, y podrá , como la Reina Isabel , trasladarse sin es­ Diarbekir la noticia de que Iiafiz-bajá ha pasado la frontera comenzado otras diferentes averiguaciones políticas. {Id.) colta de Saint-Paul á Whitehall. de Siria. El doctor Fietcher ha sostenido la misma tesis: ha pre­ tendido que el derecho del pueblo era incontestable ; ha pro­ El almirante Roussin, embajador francés, ha cangeado puesto á título deenmienda á la mocion de Mr. Richardson, que hoy 1*s ratificaciones del tratado de comercio entre Francia y j D U C A D…</t>
  </si>
  <si>
    <t>Figueroa</t>
  </si>
  <si>
    <t>…prepara el Felipe ii ó Isabel de ¡ I riague y Blanco, director de la caja nacional de Amortización; D. Damaso A paricio, procurador síndico del ayuntam iento y espinosa senda que se llama la carrera dramática. V alois , del Sr. Figueroa , como ya auuncié á usted. El pdbli- |¡ constitucional de esta M. H. villa; D. Joaquin de Fagoaga, con N i se d o s replique con la sabida expresión de Lope de Vega co espera ver una cosa buena , porque tiene esta idea del talen­ acerca del gusto del público , mucho menos cuando él mismo de…</t>
  </si>
  <si>
    <t>…e en los primeros momentos La sección de poesías presento sucesivamente versos de m u­ cer que se tenga presente en tiempo oportuno. se pensó trasladarlos á la isla Verde, y el distinguido asegura­ chos de sus individuos: del Sr. Figueroa un soneto á su amigo do en uu calabozo. La vigilancia extraordinaria por parte de D . Fermín de la Puente y Apezechea, con ccasion del falleci­ 102. Los párrocos de Hecho y A ngúes, diócesis de Jaca, los gefes, aun ha continuado esta noche, permaneciendo toda miento. de su^ prometida esposa…</t>
  </si>
  <si>
    <t>Figueroa, Josc Lorenzo</t>
  </si>
  <si>
    <t>Josc Lorenzo Figueroa</t>
  </si>
  <si>
    <t>…cimientos y afición al trabajo. Cádiz, 1 | d. Zaragoza , id. En la noche del 9 se ejecutó el drama en cinco actos, ori­ cas Alcaldes: primero D. Juan Romero y Tello, segundo D. Lu­ Piñeiro, tercero D. Manuel Teruel. ginal de D. Josc Lorenzo Figueroa, su título Isabel de la Descuento de letras , á 6 por 100 al año. Paz. Regidores: primero D. Rafael Urries, segundo D. Tadeo Sentimos sobremanera que los cortos límites de nuestro pe­ López Rebolledo, tercero D. Santos Sanz, cuarto D. Manuel ! ■■«■"I.' ■. ■■■ riódico y los muc…</t>
  </si>
  <si>
    <t>Figueroa, Ramón María</t>
  </si>
  <si>
    <t>Ramón María Figueroa</t>
  </si>
  <si>
    <t>…ediaban sobre entrega de intereses, de la cual resultó el señor Real y Toledo, fecha del 4 , manifiesta que al regresar el capi­ Laborda acreedor de 2039 rs., habiendo convenido en ceder Don tán del 5.° ligero de caballería, D. Ramón María Figueroa, de Miguel Galindo y D. Manuel de Ozcoydi con su muger Doña escoltar á Manzanares los caballos requisados, tuvo aviso de ON Vicente Sessé y Calvet, comisario ordenador, ministro Margarita Galindo por tiempo de ocho años á contar dede i.° D hallarse una partida de facciosos ro…</t>
  </si>
  <si>
    <t>Finestra, Felipa</t>
  </si>
  <si>
    <t>Felipa Finestra</t>
  </si>
  <si>
    <t>…n núm. 148 . partido de Almendralejo, quejándose de los abusos y excesos II tracion de justicia. 247. D. Francisco Perez de Mesa , comandante de artillería que dice cometidos por el capitán general de Badajoz y el co­ 208. Doña Felipa Finestra , viuda del teniente graduado n la plaza de Alicante , somete á la calificación del Congreso mandante de aquel cantón , marques de Monsalud. D. Juan Flores M urillo, en solicitud á pensión. 1 conducta que observó en la misma en los últimos aconteci- 165. Doña Josefa Echeverz,en sol…</t>
  </si>
  <si>
    <t>Fingal</t>
  </si>
  <si>
    <t>…ados por sir L ord P alm erston se levanta y dice: De orden de S. M . b ar g o , espera que el ministerio conocerá la necesidad de v ariar acabo de depositar sobre la mesa varios papeles relativos al ne­ de sistema. El conde de Fingal dijo que n ingún ministerio se F. Larnb y lord Ponsomby en favor de la conclusión de los a gocio del paquebote L*E xpress en Méjico. Estos documentos habia honrado hasta ahora con una administración tan im p ar— tratados de comercio entre Inglaterra y el A ustria y entre I n - 6 contienen l…</t>
  </si>
  <si>
    <t>Fioussin</t>
  </si>
  <si>
    <t>…objeto asegurar una paz definitiva al pais. Aun se espera que y han salido, el duque de Nemours por el camino de Cette , y obligado á destacar cuatro batallones de su ejército para re­ las representaciones del honorable almirante Fioussin produzcan el príncipe de Joinville por eldeTolon. Un pueblo numeroso les forzar la guarnición de Estella. Al mismo tiempo el coronel tin resultado satisfactorio. Por último, no hay aqui ninguna ha acompañado constantemente en todos los puntos por donde Zurbano, guerrillero constitucional y…</t>
  </si>
  <si>
    <t>Fitor, Joaquin</t>
  </si>
  <si>
    <t>Joaquin Fitor</t>
  </si>
  <si>
    <t>…rte periódico que remite al ministerio de la llas , y en otras faenas necesarias. G u erra, fecha 7 del a ctu al, que la cuarta columna al mando Veinte peones á 5 rs. y 4 id. menores á 5 en hacer mezclas, del bizarro coronel D. Joaquin Fitor ha batido la facción de arrim ar piedra á los albañiles, conducir cantería al asiento, y PARTE NO OFICIAL. Revenga , logrando dar muerte á cuatro rebeldes, entre los que en m il otras cosas necesarias para la obra. según noticias, se cuenta al cabecilla y su h ijo ; quedando ade­ O…</t>
  </si>
  <si>
    <t>Fitzgeral</t>
  </si>
  <si>
    <t>…as para cal­ Esta semana ha entrado en este puerto el bergantín de par ninguna ocasión de acudir ai socorro de los grandes desas­ mar vuestra justa impaciencia; pero la causa pública pudiera guerra ingles Buzzard, su comandante Fitzgeral trayendo tres, se ha apresurado á dulcificar tantas desgracias. Con este sufrir con mas explicaciones. He forzado á los enemigos á le­ dos buques negreros apresados sobre la costa de Africa! Los objeto se ha puesto á disposición del Ministro de la Agricul­ vantar el bloqueo de Moya : he a…</t>
  </si>
  <si>
    <t>Flandés</t>
  </si>
  <si>
    <t>…algún estudio íntimamente ligado Wifredo i, relativos á su casamiento con una hija de Bal- tad largos servicios y probada fidelidad concedían la mayor liber­ con el examen ó dirección de los movimientos políticos duino, conde de Flandés. W inidilda, esposa del Velloso, cimientos , y cuyas sencillas ó picantes observaciones sobre-los aconte— de los pueblos, es el de la historia, señaladamente el de fue hija de Seniefredo, hombre poderoso en la Marca es­ hombre habia políticos divertirán simplemente á su, señor. ,Aquel entra…</t>
  </si>
  <si>
    <t>Fletcher</t>
  </si>
  <si>
    <t>…onvención nacional, celebrada ayer, M arques del Risco: fue concedido sobre el castillo, lu g a r ó El expresado comandante general recomienda al Sr. conde territorio del Risco, en Aragón , y en el año de 1742 sucedió al doctor Fletcher se ha expresado eu los términos siguientes: de Cumbres A l t a s ; al comandante graduado y capitán de t i r a ­ linealmente en él D. Pedro Alcántara López. ccYo no aconsejo á mis am igos, como el doctor Mac-Dovvell, dores D. Vicente L a g u n e r o ; al teniente graduado alférez Don que…</t>
  </si>
  <si>
    <t>Fleuri</t>
  </si>
  <si>
    <t>…del D iccion ario del labrador, 8 .°, seis tomos...................... 78 edad de o r o , la de los ejércitos im aginarios, ¿ por qué nos e n - Segre, acaba de pasar á la parte opuesta de este r io , é in ter- Discursos del abad Fleuri sobre la Historia eclesiástica, €&lt;ii.tan siuo porque parece que estarnos viendo los objetos? nádose en la huerta de esta ciudad. 8.°, dos tomos...................................................................... 28 L o inistno decimos de cualquier otro pasaje de buena poe­ El estudiante v…</t>
  </si>
  <si>
    <t>…C A T E C I S M O de las fiestas y observancias de la Iglesia. Cora- te del sol por varios d i a s , hasta quedar tan secos que puedan ha demostrado embelleciendo y perfeccionando en lo posible su | puesto en francés por el abad Fleuri , confesor de S. M. fácilm ente reducirse.’á polvo ó h arin a, la cual bien apretada en útilísimo libro. Cristianísima Luis xv , y trad ucid o al castellano por el Ilus­ sacos, y libre d% h u m ed ad , d u ra por mucho tiem po conser­ trísimo Sr. A m a t , arzobispo de Palm ira. Recomendamo…</t>
  </si>
  <si>
    <t>Fleury</t>
  </si>
  <si>
    <t>…humedecidos en agua grada desde la creación del mundo hasta nuestros dias, para el por algunas horas se comienza luego a menear con palillos Gobierno superior político de Z am ora, uso é instrucción de los criados , por el Abad Fleury , á 8 rs. para impedir qué el aire de los poros de ios moldes forme en rústica y 10 en pasta. ampollas en la superficie de los panes de azúcar. Cuando Cumpliendo en 3 1 de Agosto próximo la contrata celebrada para la publicación del Boletín oficial de la provincia de Zamo­ los panes se ha…</t>
  </si>
  <si>
    <t>…aplazado para el dia blica opinión. Si debe ser esta , como de continuo se repite, la de h o y , en que probablemente se terminará. reguladora del paso del Gobierno y la norma de los legisladores, contiene el Caiecisrno del abad Fleury hasta la institución de {Diario d e Sevilla.) pocas cosas puede haber tan necesarias como c uid ar de que Ia los Sacramentos, respondiendo exactamente á cuantas preguntas voz de la opinión sea fie l, y no mentida ; que sea el eco de la hicimos. Otra clase de gram ática castellana contestó á…</t>
  </si>
  <si>
    <t>FLLI</t>
  </si>
  <si>
    <t>…buciones, a la ley fundamental. El Gobierno ha querido educación, y cuya opinión era de mas peso. de un periódico se ha de empezar por entregar un ejemplar a f apresurarse a castigar un periódico; pero el Gobierno ha sido El Sr. F L L IU dijo que el Sr. Arteta mas bien que haber gefe político ; pues b ien: puesto que el decreto dado por el M i ­ torpe, débil e inconstitucional: torpe, porque para castigar un hablado en p ro , habia usado de la palabra en contra, pues nistro de la Gobernación no hace otra cosa que marcar qu…</t>
  </si>
  <si>
    <t>Flo</t>
  </si>
  <si>
    <t>…l gran duque, y el resto se ha reunido con varias sus­ una muerte gloriosa y brillante que inspiró una composición Circulan rumores de que Mr. Schneyder se propone dejar el cripciones. El 5 de Octubre ha llegado el gran duque de Flo­ muy linda á uuo de nuestros poetas, al joven barón de Bi- ministerio de la Guerra. Pero tal vez estos rumores se disipa­ rencia para asistir á la asamblea general. El príncipe Masig- güezal. rá n , y el ministerio se presentará á las Cámaras sin modifica­ nano ha propuesto la reunión para el añ…</t>
  </si>
  <si>
    <t>Flo-, Manuel Fernandez</t>
  </si>
  <si>
    <t>Manuel Fernandez Flo-</t>
  </si>
  <si>
    <t>…d e .......... 500................... 6000 moneda y cobrería de Jubia á D. Francisco Rodríguez de agradado en sus anteriores representaciones. 285 ................. d e .. 24............. 684O la V eg a, por fallecimiento de D. Manuel Fernandez Flo- 6 .° Boleras á 12 , llamadas del M arinerito. 2 9 5 ................. d e .. 16------’......... 4720 rez. (Id.) 7.° L A CASA E N V E N T A , divertida comedia en un acto. 2 Aproximaciones de 20 pesos fuertes - nombrando intendente de la provincia de C iudad-R eal N o ta . Par…</t>
  </si>
  <si>
    <t>Florencio</t>
  </si>
  <si>
    <t>…tisfacción que brado primer M in is t r o , y R au ff-b ajá Presidente del Consejo gadier Carinona, id. id.: general Pablo id. id : general G u e r - su disciplina en las marchas era igu al á su ardor en los com­ guá id. id .: D Florencio S * n z , primer secretario de la g u e r r a , supremo. bates. Cuando los resultados son tan satisfactorios puede omi­ conducido á muerte por Maroto: brigadier M a tio L. Eche­ tirse el encomiar la buena conducta de los que han tenido par­ verría , muerto eu la batalla de Puente la R e…</t>
  </si>
  <si>
    <t>…imera instancia de esta villa , se cita? CUADERNO X V II. segunda y cuarta clase de la orden militar de San Fernan­ llama y emplaza por término de 50 dias á las personas que se crean con derecho á los bienes del abintestato de D. Florencio do, se verifique en todas sus partes con arreglo á la letra Abril y Peña, vecino que fue de esta corte, á fia de que den­ Contiene los artículos siguientes: y al espíritu de sus estatutos. tro de el se presenten á hacer sns reclamaciones, conforme á Proclama del infante D. Carlos para alar…</t>
  </si>
  <si>
    <t>Florencio, Julián Romea. El Sr.</t>
  </si>
  <si>
    <t>Julián Romea. El Sr. Florencio</t>
  </si>
  <si>
    <t>…e es la m a rc h a seguida La ejecución de la pieza fue buena. La Sra. Diez estuvo correos, donde se despachan los de los toros, y en el mismo lo- hasta ahora por los actuales consejeros del trono. muy feliz, no menos que el Sr. Julián Romea. El Sr. Florencio cal del baile. N in g ú n m inisterio ha dado en tan corto espacio de caracterizó perfectamente el atolondrado galanteador conde de tiem po disposiciones mas acertadas é im po rtam es para O rgaz; asi como el Sr. Cairon el del linchado portugués: las conseguir la ter…</t>
  </si>
  <si>
    <t>Flores</t>
  </si>
  <si>
    <t>…e ganado que poseían Francisco Calzada.“ Santiago Herrera. En la Nueva Granada el presidente es el general Márquez; los colonos y los indígenas, han sido robadas mas de 209. en Venezuela el general Paez; en el Ecuador el general Flores; En el Brasil D. Pedro n Emperador, durante cuya minoría el Señora: Los que suscriben, vecinos de la capital de Orense, imperio está administrado por un regente. En Buenos Aires es Los tiradores de nuevo modelo de Vincennes han recibido y que pertenecen en los distintos ramos de propiedad á…</t>
  </si>
  <si>
    <t>Flores, Diego Abellau</t>
  </si>
  <si>
    <t>Diego Abellau Flores</t>
  </si>
  <si>
    <t>…rque avisa­ Otra id ., sierra A lm agrera, barranco Pinalbo , término de tado: 21 un dieziseisavo , 20 treintaiuno treintaidosavos, * do aquel foragido por sus favoritos, logro evadirse del lazo que C uevas, la L ib ertad, por D. Diego Abellau Flores, en 10. y 20 quince dieziseisavos á v. f. vol.: 2 l § , i y 21 tres diezisei- se le tenia preparado, fugándose trepando por las elevadas Otra id. , cerro del A lgarrobo, término de P u lp i, Santa savos á v. f. ó vol. á prima de ¿ , £ y \ por 100 con cupones^ montañas que circun…</t>
  </si>
  <si>
    <t>Flores, Gil</t>
  </si>
  <si>
    <t>Gil Flores</t>
  </si>
  <si>
    <t>…ón excelente, ejecución suave y acabada. m onturas, rescatando ademas cinco bueyes que habían robado del Despacho de la Gobernación de la Península. | Un relieve de bronce que representa una matrona con una de la ganadería de D. Gil Flores, veciuo de A lcaráz, CSta- to</t>
  </si>
  <si>
    <t>Flores, Juan</t>
  </si>
  <si>
    <t>Juan Flores</t>
  </si>
  <si>
    <t>…dice cometidos por el capitán general de Badajoz y el co­ 208. Doña Felipa Finestra , viuda del teniente graduado n la plaza de Alicante , somete á la calificación del Congreso mandante de aquel cantón , marques de Monsalud. D. Juan Flores M urillo, en solicitud á pensión. 1 conducta que observó en la misma en los últimos aconteci- 165. Doña Josefa Echeverz,en solicitud á pensión. 209. La diputación provincial de Santander, pidiendo se lientos ocurridos en ella. 166 . La diputación provincial de Santander, sobre form a­…</t>
  </si>
  <si>
    <t>Florez</t>
  </si>
  <si>
    <t>…ra an terior, cuando dignos D ip u ­ N o rte, acordó felicitar en cuerpo á S. M. por tau prósperos su­ p riirer plazo de la cuota de entrada antes del 30 de J u n io ú l ­ tados presentaron uoa proposición , y entre ellos el Sr. Florez cesos , si S. M. le dispensaba esta honra , y d ir ig ir al ilustre timo para que acudan á hacer el pago del dividendo que les E strada, para que los bienes nacionales se diesen á enfitéusis. duque de la Victoria una comunicación participándole los sen­ h a y a tocado por sus respectivas acc…</t>
  </si>
  <si>
    <t>…ra aliada, am i­ pueblos. dro José Abad y Escudero, juez que ha servido la de la A l- ga y vecina por tan hermosa perspectiva de dicha y felicidad, Gloria á Chile y su Gobierno , cuya energía y firmeza les xnunia. y al Presidente Florez, no solo por la confianza que ha depo­ dan tantos títulos á la consideración y aprecio de los amantes Asimismo se ha dignado mandar que D. José Coll y Cres- sitado aquella República en sus talentos, patriotismo y expe­ de la libertad! Gratitud ilimitada al ejército vencedor, que tan p i , qu…</t>
  </si>
  <si>
    <t>Florez, D. Jacobo</t>
  </si>
  <si>
    <t>D. Jacobo Florez</t>
  </si>
  <si>
    <t>…Sr. D. Manuel de la Rivaherrera. Sr. D. José Fermin Muro , Secretario 4»° Oviedo. Sr. duque de Gor. Sr. D. Ramón de la Sagra.¡ Sr. D. Joaquin Rey. Sr. D. Antonio Loriga. Sr. D. Pablo Mata Vigil. Sr. D. Agustín Armendariz. Sr. D. Jacobo Florez, electo. Sr. D. Alvaro Florez Estrada. Secretarios. Cuenca. Sr. conde de Toreno. Sr. D. J osé María Navia Osorio. Sr. D. Mariano Miguel de Reinoso. Sr. D. Andrés Martinez del Peral. Sr. D. Juan de Posada Arguelles. Sr. D. Luis Mayans y Enriquez. Sr. D. Fermin Caballero. Sr. D. W…</t>
  </si>
  <si>
    <t>Florez, José Segundo</t>
  </si>
  <si>
    <t>José Segundo Florez</t>
  </si>
  <si>
    <t>…gra­ y sólidos; y cuando los medios lo permitan se pasará á la agri­ D. Diego Gallardo , aritmética. cias nos han obligado á descuidar este y otros ramos de civili­ mensura como ejercicio práctico. Aprenderán también y simul­ D. José Segundo Florez , geografía é historia. zación y pública prosperidad; y nos han puesto en el caso de táneamente los principios de dibujo, por cuyo medio grabarán D. Diego G allardo, maestro regente de la espuela práctica marchar con alguna celeridad para recobrar lo perdido. en su ánimo las di…</t>
  </si>
  <si>
    <t>Floridabianca</t>
  </si>
  <si>
    <t>…mo ayuntamiento constitucional de la ciudad de San­ desde 1600 hasta 1855 , y un escrito 195. Una bolsa de terciopelo con un perrito bordado de tander, cuya dotación es de |Q© *rs. anuales , pagados mensual- clásico del conde de Floridabianca á Carlos m que contiene lo relieve. mente dé los fondos de propios, ha dispuesto la corporación se acaecido durante su ministerio , por D. José María Gutiérrez de , 65. Ur» cuadro pintado á la aguada. la Pena , acudirán á recoger el tomo 5.° en M adrid en U libré- Note, El producto…</t>
  </si>
  <si>
    <t>Floridablanca</t>
  </si>
  <si>
    <t>…estudio de la historia, por D. José María Gutiérrez de la Pe­ con el mejor gusto y brillantez, siendo de notar que no se ha Otra id. en el cerro de las Mmillas , término de E nix, Santa ña, y un escrito clásico del Sr. conde de Floridablanca á Don estrenado. Calle de S. A n tó n , núm. 9 , cuarto segundo interior Teresa , á Nicolás M artínez, en 10. Cárlos n i , que contiene lo acaecido durante su ministerio. de la izquierda , darán razón. Fábrica dé fundición plomiza en la Artichuela , haza de la C ru z, término de E n i…</t>
  </si>
  <si>
    <t>…a; y un escrito Al dia siguiente de realizarse el sorteo se darán al público con las listas impresas de los números que hayan conseguido pre­ uso almuchas formulas de varios preparados, que no estaban en clásico del Sr conde de Floridablanca á D. Cárlos n i que con­ salir la ultima edición francesa, y se emplean por dife­ tiene lo acaecido durante su ministerio. m io , y por ellas, y no por ningún otro documento, se satis­ rentes farán las ganancias en las mismas administraciones donde h u ­ cionalesprácticos del arte de…</t>
  </si>
  <si>
    <t>…de la nerales; un prontuario de la legislación adm inistrativa vigente historia , por D. José M aría Gutiérrez de la Peña; y un escri­ por orden de materias y cronológico; una lista bibliográfica, y to clásico del Sr. conde de Floridablanca á D. Cárlos m , que un índice muy circunstanciado de materias. Dominicas, ferias y fiestas movibles del año cristiano de contiene lo acaecido durante su ministerio. España, por D. Joaquín Lorenzo V illauueva. Seis tomos e n 8.° Nota. Esta obra se escribió contando con que vería la luz…</t>
  </si>
  <si>
    <t>…delgado, pro­ toria , por D. José M aría Gutiérrez de la P eñ a; y un escrito te al cuidado de los huevos y educación de los hijuelos, espe­ bablemente el husillo para h ilar, compuesto de varios tobillos clásico del Sr. conde de Floridablanca á D. Cárlos m , que con­ cialmente aquellas que viven en sociedad. Llegado el período de longitudinales , y terminando en un solo orificio, por el que el tiene lo acaecido durante su M inisterio. la fomeotacioo completa del huevo, rompe la larva su prisión ó gusano arroja los hilos de…</t>
  </si>
  <si>
    <t>…181 8 __________ 15 1 85 5 ......................... 19 19. D. Diego de A lav a y B eau m on t, el conde de Gondo- mar , Pedro de Rivadeneira , el obispo de Orense, el conde de B O L SA DE M A D R I D . Campomanes, el conde de Floridablanca. 49 81 Cada cuaderno de seis retratos con el epítome de su vida. Cotización d e l día 27 á las tres d e la tarde Precio antiguo 50 r s . , moderno 44* 4 .a Qne el número de personas ahogadasen cada uno de los •años especificados, ademas de las tripulaciones e n te r a s , según Ca…</t>
  </si>
  <si>
    <t>Floridablaoca</t>
  </si>
  <si>
    <t>…Azpeitia. zados son las únicas en que llevamos veutaja á los otomanos; historia , por D. José Maria Gutiérrez de la Peña; y un escri­ pero que las de positivo Ínteres social, las que conducen á este, to clásico del Sr. conde de Floridablaoca á D. Cárlos m , que A v ila 31 de Julio. Cerca del pueblo de Naval peral, en á la moralidad y al bienestar del género h u m a n o , son mejor contiene lo acaecido durante su Ministerio. el sitio llamado el Despoblado de ¿aIbelIido y Dehesa de las conocidas, eotendidas y practicadas en…</t>
  </si>
  <si>
    <t>Florido</t>
  </si>
  <si>
    <t>…ue el actual Gobier­ viduos nombrados; y especialmente entre los comerciantes, que los sermones, Esto es sumamente difícil, y tanto mas, cuanto todos no legará á los sucesores del Rey actual. tan bien conocen la honradez del Sr. Florido, se manifestó el por necesidad señaladamente sobre asuntos los morales, han de versar conocidos del auditorio, tri­ mas extraordinario contento. La J^edeta^ que con motivo de las ocurrencias mas triviales acostumbra dar suplementos, y llados á fuerza de repetirse, y por lo mismo casi inc…</t>
  </si>
  <si>
    <t>Flotcher</t>
  </si>
  <si>
    <t>…er. Se habia levantado una plataforma para los oradores. zot ha insistido en la necesidad de mantener el im p e rio 'tuteó: un papel m u y im port an te entre las repúblicas italianas. Pisa, Habiendo sido in vit a d o el doctor Flotcher con la presiden­ Mr. Th iers en la de decid ir desde ahora un sistema fijo. que atribuye el h o n o r de su fu n d a ció n á los g r ie g o s , conserva cia , propuso ai meeting las diferentes cuestiones publicadas en M r . G u izo t ha hecho com prender toda la im port ancia del aun en…</t>
  </si>
  <si>
    <t>Flotvéll</t>
  </si>
  <si>
    <t>…emente en la esfera que le está desig­ se á la elevada inteligencia política de M r. O ’Connell. nada.” ■ ' • '• “ Se pretende que después de haber tenido algunas conferen­ ^ AN UN CIO S O F IC IA L E S. cias con él presidente Flotvéll, he ofrecido dar' al clero de la E l S tandard presenta la siguiente estadística acerca de los diócesis otras instrucciones revocando mrs circulares de 20 de diversos partidos de la Cámara de los Comunes en la discusión Enero y de 27 dé Febrero. A esto respondo que se ha omitido *p O R…</t>
  </si>
  <si>
    <t>Flórez, Juan José</t>
  </si>
  <si>
    <t>Juan José Flórez</t>
  </si>
  <si>
    <t>…r 100, 7 2 , 10. antecedentes del Sr. Seoane. [Guardia Nacional.) Deuda activa española , 1 9 | A bordo de la fragata Samará® á la entrada en el golfo de Guayaquil , Marzo 9 de 1859. Segorbe 11 de Julio . Excmo. Sr. general D. Juan José Flórez:: M i amado amí- gn: El desenlace que han tenido maestros negocios era Boli via y Correspondencia general.=11 de Julio 1859. rn el Sur del Perú, y de cuyos pormenores se instruirá Y. por Ayer se ha ocupado el tribunal de los Pares en proceder in­ A yer á las cinco de la tarde llegar…</t>
  </si>
  <si>
    <t>Foltz</t>
  </si>
  <si>
    <t>…ento constitucional de esta villa de Torrenueva, provincia di 1.° A una pensión y poderla cobrar en el pueblo de su domi­ la Mancha, por sí y á nombre de sus administrados , y que nc Ayer ha partido de aqui para España el capitán Foltz, ay u­ cilio, según previene la ley de retiros: 2.° Tiene derecho á ser celen á nadie en amor y adhesión al trono legítimo de vuestrí dante de campo del presidente del Consejo, llevando las insig­ empleado en el cuartel de inválidos , en virtud del art. 4.0 de excelsa Hija Doña María Isabel ir…</t>
  </si>
  <si>
    <t>Fondo, DE MINAS.</t>
  </si>
  <si>
    <t>DE MINAS. Fondo</t>
  </si>
  <si>
    <t>…ión, dando una prueba Idem de las Indias, en baja , 45. pública este nuevo presidio de que la disciplina militar intro­ Acciones del banco, 197|. ducida en é l , con arreglo á lo prevenido en los arts. 19 y 20 DIRECCION GENERAL DE MINAS. Fondo indiano, 256. de la ordenanza, llena su objeto. : Deuda española activa, 2 0 , Al paso por Alhendin se presentó la justicia al expresado Provincia de Santander.- Año de 1839.—Relación de los Pasiva y diferida , sin variación. Sr. gefe político, quien la hizo varias preguntas acer…</t>
  </si>
  <si>
    <t>Fondos, Mores.</t>
  </si>
  <si>
    <t>Mores. Fondos</t>
  </si>
  <si>
    <t>…ones exteriores de la N ueva Granada Bolsa de hoy. Cinco por 100 al contado, 11 i fr. 9 60 c. franqueza militar que distingue á un general de los honrosos id. tires por i 00 , 79 fr. 45 c. Carta deí general Santacruz al general Mores. Fondos belgas, 5 por 100, 7 2 , 10. antecedentes del Sr. Seoane. [Guardia Nacional.) Deuda activa española , 1 9 | A bordo de la fragata Samará® á la entrada en el golfo de Guayaquil , Marzo 9 de 1859. Segorbe 11 de Julio . Excmo. Sr. general D. Juan José Flórez:: M i amado amí- gn: El des…</t>
  </si>
  <si>
    <t>Fontoura</t>
  </si>
  <si>
    <t>…itg limo. S r.: Me apresuro á participar á V . S. para que lo á una comunicación del 6 del alcalde constitucional de C o - venida de Orleans el 7 del corriente , trae una Gaceta de aquel ponga en conocimiento de S. E. el coronel Fontoura, coronel frentes, que la facción de Arévalo compuesta de unos 800 in­ puerto, que da la uoticia de la próxima llegada de un vapor de la fuerza armada y de operaciones de la octava división, co­ fantes y 50 caballos habia atacado aquel pueblo en el mismo de guerra tejano, que deberá conduc…</t>
  </si>
  <si>
    <t>…epuesto las D. Justo y la V iuda andaluza, especiales adornos de esta del número del crimen D. Manuel Fernandez de Pazos, se cita, armas. llama y emplaza á Francisco Mas y Guerrero, conocido vul­ Por la comunicación del coronel Fontoura, inserta en este segunda parte, son creaciones bastante afortunadas y ver­ garmente por Maset, vecino del pueblo de Torrente , vendedor periódico, se ve el estado en que se encuentran allí las guerri­ daderas á todas luces; la última sobre todo. de agua , para que comparezca en el juzgado…</t>
  </si>
  <si>
    <t>Fornieles, Antonio</t>
  </si>
  <si>
    <t>Antonio Fornieles</t>
  </si>
  <si>
    <t>…. Francisco P in to r, en 11. Otra de hierro en sierra Nevada , umbría de Pallarin, tér­ Otra id. en la loma de Higuera , término de i d . , San F a­ mino de Besnar, Virgen del Carmen, por Ju a n Lorenzo M u ­ b i á n , por D. Antonio Fornieles, en 14* ñoz, en 1 1 . S. M. la R e i n a . , s u augusta Madre la R eina G ober­ Otra id. en la loma del Sueño , de este térm ino, Campecha­ Otra plomiza en sierra de G ador, pecho de la P a r ra , tér­ nadora y la Serma. Sra. Infanta Doña María Luisa Fer­ na (a) Aparecida , por…</t>
  </si>
  <si>
    <t>Forns, Ramón</t>
  </si>
  <si>
    <t>Ramón Forns</t>
  </si>
  <si>
    <t>Desempeña la de geografía D. Ramón Forns, y los alum­ Establecimiento denominado S. Fernando que regentea Don I momento tan precioso, repito, el maestro recoge sazonados los nos que en ella tiene dieron pruebas inequívocas de sus adelan­ Francisco Furcia , costeado por la. Real sociedad patrió - drutos que tantas fatigas le ha…</t>
  </si>
  <si>
    <t>Fortanete</t>
  </si>
  <si>
    <t>…y los objetos mejor iluminados ofrecían menos que una media El Excmo. Sr. general en gefe del ejército del Centro Don tin ta , y frecuentemente quedaban sombreados por las nubes. Leopoldo O^Donnell desde su cuartel general de Fortanete con Asi fue que calculado todo con la mayor prolijidad, se tu ­ CORRESPONDENCIA DE LA GACETA. fecha 11 del que rige, participa continuar las tropas de su vo expuesta la lámina á la influencia de la luz por espacio de iüinediato mando en aquel punto y en la Cañada. Que en T e­ 60 minutos.…</t>
  </si>
  <si>
    <t>…ias brillaba por ra.=N dm . 128 = O rden general del 2 de Noviembre de 1859 en ñanza tica. completa, metódica y racional del arte de la gimnás­ &amp; primera vez en el horizonte de nuestra España. El concierto el cuartel general de Fortanete. 2.° Que por medio de ingeniosas combinaciones, ha llega­ dado en el teatro de la Universidad á beneficio de los prisio­ Deseando el Exmo. Sr. general en gefe de este ejército da r­ neros del Horcajo ha sido causa de que esta sesión no haya po­ le un nuevo testimonio del aprecio con que mi…</t>
  </si>
  <si>
    <t>Fortescue, Telesforo Balparda.</t>
  </si>
  <si>
    <t>Telesforo Balparda. Fortescue</t>
  </si>
  <si>
    <t>…elen- tivos que me obligan á preguntar á la Cámara de los Comu­ Subteniente D. Ramón Ruiz Delgado. tísimo Sr. M inistro de la Gobernación de la Península. nes si está determinada á autorizar á mi noble amigo el lord Capellán D. Telesforo Balparda. Fortescue (el nuevo lord teniente de Irlanda) para continuar el Sargentos prim eros, M atías Morales y Pedro González. sistema seguido hasta el dia eo Irlanda. Idem segundo , Fernando Sordo. El noble lord, como su predecesor , hará que se ejecuten Soldados, Bernabé Laviña , Jo…</t>
  </si>
  <si>
    <t>Fortesme</t>
  </si>
  <si>
    <t>…eja 21 de Febrero de 1859. press estaba de regreso en Inglaterra. :onsecuencia S. S. será- llamado á la Cápiara de los Pares con Señores : No nps extenderemos en reflexiones sobre la crisis M r . C. JVood: Sí. ;l título de barón Fortesme dtí C astle-IIiíl, en el condado de :omercial é in d u strial, poique es conocida, y se agrava todos L o rd Ingestrie: Yo ignoraba su vuelta, y creía, según lo Devor. Lord Ebrington es bien conocido por sus virtudes y pa~ losdias; pero ¿quién se atrevería á calcular las consecuencias que…</t>
  </si>
  <si>
    <t>Fortique, Dr. Alejo</t>
  </si>
  <si>
    <t>Dr. Alejo Fortique</t>
  </si>
  <si>
    <t>…e acceder al cL su compañero. viva solicitud en esta importante cuestión, y que en la próxi­ periódicos de esta capital, tuvo á bien el poder ejecutivo nom­ ma legislatura se presentarán á las Cámaras proyectos de ley brar al Sr. Dr. Alejo Fortique para que procediese á celebrar para comenzar su solución. Esta promesa del Sr. Ministro será otro en unión del Sr. barón Gros. Ignoramos las instrucciones acogida coa satisfacción por el pais. ( Moniteur Parisién.) que al efecto se comunicaron por la administración á nuestro E n e…</t>
  </si>
  <si>
    <t>Fortun, Epifanio</t>
  </si>
  <si>
    <t>Epifanio Fortun</t>
  </si>
  <si>
    <t>…a d ­ m ism a: por la de L érida á D. Luis S ano n , en reem plazo su p riv ile g ia d o su e lo , y qu e en gran d ece su feliz situ a c ió n geo ­ m it ir la expresión de su p ro fu ndo y eterno reconocim iento. E te r­ de D. Epifanio Fortun : por la de O viedo á D. A ntonio g r á f ic a , se c o n g ra tu la v iv am e n te éon V . M . por el próxim o no será , Señora , porque m ien tras ex ista un v izcaín o no se bor­ Peón Heredia , en reem plazo de D. Manuel María Aceve- térm in o de la em presa g ra n d io sa aco m…</t>
  </si>
  <si>
    <t>Foxá, Antonio Juan</t>
  </si>
  <si>
    <t>Antonio Juan Foxá</t>
  </si>
  <si>
    <t>…ce mas ventajas que la de Cardona, .si van matriculando en el instituto nuevos alumnos, y en lacla­ doba* fuera fácil establecer en este punto los almacenes de víveres y se de pensionistas se cuentan ya mas de 40. Tarragona. = D. Antonio Juan Foxá. muoiciones. El camino es el mas practicable; ofrece la ventaja Los padres que deseen inscribir á sus hijos en este liceo para Teruel. — D. Marcelino Oráa. de no ser dominado , y lo apreciable de la corta distancia que alguno de los estudios mayores que sedan en cursos completos,…</t>
  </si>
  <si>
    <t>Fra, Mr. Shaw Lefevre. Habieudo</t>
  </si>
  <si>
    <t>Mr. Shaw Lefevre. Habieudo Fra</t>
  </si>
  <si>
    <t>…ropuesto por Cerca de la barra se ven algunas señoras; entre ellas se halla *‘ sa perteneciente á su hermano el conde de Iloudetot, Par de los dos honorables individuos, segúrame uto merece todos los la muger del nuevo presidente Mr. Shaw Lefevre. Habieudo Fra ncia. elogios que se le han tributado. [Aplausos.) Pero debo declamar aparecido este en la barra , dice Este debate ha quedado diferido hasta pasado mañana sá­ enérgicamente contra ios indecentes ataques de que ha .sido ob­ E l lord Canciller : Milores y señores de la…</t>
  </si>
  <si>
    <t>Fraile</t>
  </si>
  <si>
    <t>…igieron armados á la facción, han sido alcanzados de esta provincia se cita y emplaza á D . Tomas Martínez lamente se han añadido un considerable número de capítulos, por el valiente comandante de salvaguardias de infantería Don Fraile, para que dentro &lt;^el término de nueve días comparezca sino que han sido reformados muchos de los que ya habia ante­ José Cándido del Riego cerca de Villanueva de Alcoroo , y han al juzgado paré reintegrar á los arbitrios de amortización de riormente, y en la que entre las muchas innovacion…</t>
  </si>
  <si>
    <t>Fraile, Margarita Antonia</t>
  </si>
  <si>
    <t>Margarita Antonia Fraile</t>
  </si>
  <si>
    <t>…ara la abolición de aquel ins María Martin de Jorge, natural de esta corte, hija de D. José Nada manifiesta mejor q ue esta instrucción ios senti­ titu to ; sino p o rq u e desde e x tin g u ir una o rd e n religiosa y de Doña Margarita Antonia Fraile, para que en el término m ientos patrióticos de aq u e l buen Rey. «La circunstancia hasta la c ru e ldad de c o n d u c ir a to d o s sus individu os c o ­ de oí) días, contados desda la publicación de e&gt;te anun cio, le d e reservad a, dice cou m u c h a razón el Sr. M ur…</t>
  </si>
  <si>
    <t>Fraisonous</t>
  </si>
  <si>
    <t>…do de la pintura, aun­ TAEFENSA del cristianismo ó conferencias sobre la religión Entre las muchas ideas que sobresalen en esta obra es una, que la alegoría os haya parecido de las mas ingeniosas. •*- por el Exctno. Sr. conde de Fraisonous, obispo de H er- acaso la menos notable, la diferente acepción de la palabra o/V Sin em bargo, no puede negarse que en todos los poemas mópolis &amp;c. &amp; c., traducida al castellano, cuatro, tomos e n 8.° ta lm ia , que denotando á juicio de la mayor parte de los mé­ se encuentra una parte…</t>
  </si>
  <si>
    <t>Fran</t>
  </si>
  <si>
    <t>…s infelices helenos sucumbiesen formalidades que la misma previene, tocó á los sugetos siguien ­ bajo el hierre de los turcos; y la Francia de la revolución ¿será tes: D. Pantaleon M u n tio n , D. José d é la Q u in t a n a , D. Fran­ del método actual de la sustanciacion civil y crim inal en la j u ­ menos g ran d e, trenos generosa? ¿hará menos por una nación cisco Ortiz y Flores, Sr. marques de Cerralbo, D. Antonio risdicción Real ordinaria. Por D. J u a n M artin Carrarnolioo. am iga y vecina á que se halla ligada por l…</t>
  </si>
  <si>
    <t>…habían ya verificado algQnas pri*3* •sufriendo un horroroso fuego, que solo fue contestado por las Guerra. siones de los que se creían principales agentes y perturbadores: guerrillas y batería rodada , mandada por su capitán D. Fran­ las causas se seguían con actividad , y la espada de la ley de­ cisco Reyes {que asi como los de la montaña dirigidos por el Ejército del C entro^E stado mayor general.=2 a División.::* berá caer infaliblemente sobre los culpables. Para evitar la con* teniente D . Francisco M a s , surtieron…</t>
  </si>
  <si>
    <t>…presentación de un bilí adicionando el I degenerada y pervertida que se la quiera suponer. Los del capitán , teniente de granaderos de la Guardia Real pro­ bilí de reforma. vincial , D. José María Arnauta , de los capitanes D. Fran­ da la proposiciónDespués por una de una corta discusión , fue desecha- 1 mayoría de 85 votos contra 50. A I i n g l e s e s estiman todavía á su M illón, los italianos á su cisco Javier Naneti y D. Pedro M arin; del capitán de caba­ las nueve y media se procedió á la votación nominal acerca…</t>
  </si>
  <si>
    <t>…entajosas para el publico, villa como en las cuatro provincias Vascongadas desde el año siendo la menos admisible la de pedir los dos teatros, no ohli- L ’ELISSIR D ’AMORE. de 1850 hasta el de 1857. Obra escrita en ingles por D. Fran­ gáhdose á tener abierto sino el del Príncipe, y ese tampoco en cisco Bacon, y traducida al español por Victor Luis de G a- los meses de verano, destinando el otro para almacén : esta pro­ minde. Esta obra constará de tres tomos en 4*° de 200 páginas posición es tanto mas descabellada , cuanto…</t>
  </si>
  <si>
    <t>…te á las nueve de su mañana en la REALES DECRETOS, de eAa provincia juez dé amortización* refrendada por el es­ casa posada de S. S., sita en la calle de Bordadores, ndm. 12 cribano mayor del ramo , se cita , llama y emplaza á D. Fran­ moderno, cuarto sagundo, para junta general de acreedores al O RD EN ES Y REGLAM ENTOS D E L G O BIER N O cisco Troncoso Avalle y demas patronos del fundado por Don concurso de D. Francisco Rojo, vecino que fue de esta corte, Alonso Perez Alrnansa , para que en el término de nueve dias y anunc…</t>
  </si>
  <si>
    <t>…ama y emplaza por el término de 20 dias, conta­ Daguerre, procedimientos, escrita en francés por el inventor -Mr. y traducida al castellano por D. Eugenio de (Dchoa. TEATROS. dos desde esta publicación, á los herederos de Doña Fran­ cisca Alvarez, muger que fue en seguudas nupcias de D. Luis una recompensaá nacional Acompaña esta explicación el proyecto de ley que señala á Mr, D aguerre, los informes dados A las siéte d é la noche, Se dará principio con una sin­ Fernandez Viltamil, difunta , por el testamento que oto…</t>
  </si>
  <si>
    <t>…. nombrar á D. Manuel Alisal para la promotoría corte, de doce á dos de su tarde, con el fin de hacerle saber un dad era siempre un absurdo, porque dijo que una inatnovili- fiscal del juzgado de Baltanás, vacante por salida de D. Fran­ despacho librado por el Sr. juez de primera instancia de Torre- dad quiere decir poder irresponsable, y que desde el momento cisco García Semoiinos ; para la del juzgado de D. Benito á laguna , pues de lo contrario le parará el perjuicio que haya que se declara que un empleado es inam ovible,…</t>
  </si>
  <si>
    <t>…de las titucionai D. Tomas Fernandez Vallejo por el promotor B asco , en 5. provincias y del extrangero. fiscal D. Regino Proales en concepto de sediciosos los párrafos Otra i d . , cuesta Colorada , por bajo de la liaza de D. Fran­ contenidos en el artículo de fo n d o , y en el comprendido bajo el cisco , termino de Dalias , fábrica la Abana , por D . Felipe V i ­ epígrafe Tenazazos del periódico titulado EL Diablo suelto , P recio de suscripción. ciaría , en 5. niírn. 7, fecha de ayer, que empiezan, el primero "E sto s…</t>
  </si>
  <si>
    <t>…rina que rompió con la serenidad é inteligencia que acos­ sea cualquiera su denom inación, hasta que pueda presen­ para ello á juicio del gefe político, dispondrá este que tumbra el valiente y hábil tercer piloto de la armada D. Fran­ tarse á las Cortes el presupuesto de gastos del ramo de pasen á otro, ó que cesen interinamente eu su encargo, cisco Muñoz, que desde el primer tiro de fusil qne oyó largó los cables-por «nano, y tomó una posición tal que frustró los montes; considerándose los agentes que. sean indispensa­…</t>
  </si>
  <si>
    <t>…acen sentir la falta que en todas partes reina de dos en M urviedro agujereaban las paredes de su encierro , sin conocimientos acerca de la naturaleza de la riqueza, de la pro­ El comandante de la partida volante de Peñíscola D. Fran­ duda para ver la claridad y tomar las de V illadiego; pero la ducción, de las ganancias, de la in d u stria, de la formación de cisco Roure (a lias V alero) participa desde Vinaroz con fecha vigilan te guardia lo notó y quedó frustrado el plan de los ma­ los capitales, de las rentas, de los c…</t>
  </si>
  <si>
    <t>…ará Y. E. de la evasión que ha hecho de la pla­ cuenta de este en almacenes fuera de las fábricas, embarricadoa za de Badajoz el teniente general D. Luis Fernandez de Córdo­ reconocimiento y cálculo que en el año de 1826 hizo D. Fran­ ó enserados, teniendo una llave de ellos los gefes de' dichos es­ ba , presentándose en la de Yejves, en el vecino reino,* según cisco Javier Barra, he mandado al ingeniero Mascoartú en 21 tablecimientos. comunicación de su gobernador que también i ocluyo» Lo que del corriente, y repetido ho…</t>
  </si>
  <si>
    <t>…aron por fallecimiento intestado de Doña Ramona Benet verificarlo dentro del término que se les deja señalado se toma­ La confianza en la protección de V. A, á un sexo que se y Tormos, natural que fue de Barcelona, y viuda de D. Fran­ ha acostumbrado á sufrir una tiranía que ni el tiempo ni la cisco Juan y C antabella, ocurrido en la v illa de Castellón de rá la providencia que corresponda, y parará el perjuicio que h aya lugar. prescripción pueden auto rizar, nos mueve á solicitar su re­ la Plana eu 19 de Setiembre de 18…</t>
  </si>
  <si>
    <t>…e con el Sr. ingeniero encargado D. Elias Aquino, á las formalidades que la misma previene, tocó á los sugetos si­ fin de recoger ó tener prontas las ollas y demas útiles que guientes: D. Juan R u iz , D. José Figuer y Cubero, D. Fran­ los penados pueden y deben llevar consigo, economizan­ cisco Antonio de P a n d o , D. Felipe López Yaldemoro, Don Se sabe que Mr. Detmod y el doctor Cristiaoi fueron inti­ do asi á la dirección general de Caminos los gastos de Manuel Labraña , D. Francisco de las Casas, D. Cleto E g u i- mado…</t>
  </si>
  <si>
    <t>…para agramar cáñamos y linos, inventada por los docto­ cio de cuatro años, impele á reiterar su aouncio, mayormente Después de las referidas acciones salió de Cervera el señor res en medicina D. Francisco Salvá y Campillo, y D. Fran­ efectuándose 1a cura pronta y radical de esta afección morbosa, general en gefe con las Tuerzas de Clemente hacia Igualada, el cisco Sarnpons y Roca. Un cuaderno en 4.0 impreso en 1784, y general Borso para el campo de Tarragoua, y la división As- adornado con dos láminas en que se describe…</t>
  </si>
  <si>
    <t>…del 4 P°r 1 0 0 , 00. A . Richard, adornados de I 64 figuras intercaladas en el Francisco Piferrer: Búrgos, D. Ramón de Villanueva: Cádiz, Vales Reales no consolidados, 00. texto. Traducidos de la quinta edición francesa, por D. Fran­ Sres. Hortal y compañía: Cartagena, D . Vicente Benedicto: Deuda negociable de 5 por 100 á papel, 00. cisco Oliveres y M orera, profesor de medicina y cirugía. Córdoba , D. Antonio Berard : Coruña , D . José María Perez: Idem sin interés, 00. Cuando el ilustre nombre del sabio que va al fren…</t>
  </si>
  <si>
    <t>…Contestó Moliere: está interesado mi honor en se­ rior; á D. Trinidad Alvarez , capitán de infantería; D . Pedro dor todo el espíritu de la comedia. guir en la compañía. Tellez, capitán segundo del regimiento suizo de Z e y ; D. Fran­ La acción se presenta por sí misma, ha dicho Boileau , y Bravo honor, exclamó el satírico, que se cifra en pintarse cisco Mellado , teniente de infantería en espectacion de retiro; el monólogo de A rgan, por muy largo que sea , no lo parece, todos los dias el rostro para hacerse unos bigotes…</t>
  </si>
  <si>
    <t>Fran, D.</t>
  </si>
  <si>
    <t>D. Fran</t>
  </si>
  <si>
    <t>…nto, cios artistas del Liceo, y cábenos grande satisfacción en LICEO. de su gloria, son nuestros: los frutos de sus desveles es- tener que prodigar no mas que sinceras alabanzas. Todos Representación de la comedia nueva del Sr. D. Fran­ tan en parte recogidos; los vicios que castigó en sus y cada uno de los actores han estado inimitables en sus cisco Martínez de la Rosa, titulada La Boda y el Duelo. obras han desaparecido de la sociedad del siglo x ix , sea respectivos papeles : la señorita Romea mal podia des­ Axioma es…</t>
  </si>
  <si>
    <t>…oro , al cuando la ocasión lo exija, queden á disposición de mies- tifiados en el concierto. Sr. D. Matías Ruiz de Alegría. . tras autoridades en los pueblos marítimos para asegurar 134* Un cuadro pintado al óleo, al Excmo. Sr. D. Fran­ las comunicaciones de un puerto á o t r o , y para facilitar CARGO. cisco Javier Iztúriz. el éxito de nuestras operaciones militares, ora trasportan­ 407. Un tirador de campanilla bordado de sedas , d la se­ ñora Doña Antonia Carriaga. do tropas y municiones á los puntos donde se neces…</t>
  </si>
  <si>
    <t>Fran, Doña</t>
  </si>
  <si>
    <t>Doña Fran</t>
  </si>
  <si>
    <t>…­ exposición.............. 600 847. Un cuadro pintado al óleo, al Sr. D. Joaquin Reguer. roso, que ninguna simpatía puede tener con el rebelde Por 26 varas de bayeta verde á í i rs., 582. Un acerico bordado al pasado, á la Sra. Doña Fran­ y obcecado principe; coadyuvarán con su votó á que se 22 id. á 9 f y una amarilla á 1 1 ... 506 cisca Bindis. realice en beneficio nuestro la buena voluntad del Mo­ Gratificación al conserje y al que re­ 762. Unas babuchas bordadas, al Excmo. Sr. D* José narca que tan gloriosa y digna…</t>
  </si>
  <si>
    <t>Fran, Estado</t>
  </si>
  <si>
    <t>Estado Fran</t>
  </si>
  <si>
    <t>…a. (Id.) Después de la entrada de la tropa eo Lucarno se form ó una ción que tendrá que pagar para el sostenimiento del m arido de ju n ta de gobierno pro v isio n al, siendo nombrado presidente el la R eina. (Sun.) consejero de Estado Fran cin i. L a nuera de M e h e m e t-A lí, cuya salida de A lejandría para Los miembros de aquel gobierno improvisado se presenta­ C ontantinopla se a n u n c ió , ha llegado á esta últim a ciudad. Se ron al pueblo en la plaza del M ercad o, y fueron saludados con dice que el v iaje de la…</t>
  </si>
  <si>
    <t>Fran, Ignacio García Cabrero y D.</t>
  </si>
  <si>
    <t>Ignacio García Cabrero y D. Fran</t>
  </si>
  <si>
    <t>….......... de.. 100. . . . . . . . . 2400 260................ de.. 20 . ............... 5200 Asimismo se cita y emplaza á D. Angel Morales, D. Joa­ 500................ de.. 16..................... 48 OO quín María Sanguino y D. Ignacio García Cabrero y D. Fran­ cisco Laserna, para que en el término de nueve dias, que por TEATROS. 600 33000 último se les señala /comparezcan en el juzgado á hacer sus de­ PRINCIPE. A las siete de la noche. Se ejecutará la comedia fensas en causa criminal qué se sigue en el mismo sobre su­…</t>
  </si>
  <si>
    <t>Francesco</t>
  </si>
  <si>
    <t>…. Ramón AgUilar Fernandez d,e Córdoba , ex^colegial del ma­ yor de S. Bartolomé de Salamanca; D. Juan María de'G racia, F alencia 2 d e Junio. La facción de Rey y demas cabeci­ antiguo catedrático de filosofía y matemáticas; D. Francesco llas que había tenido un encuentro con la'colum ba de Burgos Borja Pavón, farmacéutico mayor del, hospital general; Don en el pueblo de Villanueva de la Peña sin resultado alguno, Mariano Portichuelo, facultativo matemático, y los Sres. in ­ volvió á ser alcanzada el 27 por la misma fuer…</t>
  </si>
  <si>
    <t>FRANCI</t>
  </si>
  <si>
    <t>…ilicianos seráa nombrados por elección , se­ POR. ción que corresponda y quiera usar el agraviado ante los t r i ­ gún previene el art. 1 4 6 . bunales competentes. Art. 1 4 8 . Todos los elegidos para estos cargos h an de ser D. F R A N C IS C O M A R T I N E Z DE L A R O S A . Art. 129. Tanto en el caso de que trata el artículo anterior mayores de 25 años, y distinguirse por sus buenas costumbres como en otro cualquiera , cuando por declaración del consejo de y comportamiento en el servicio. Si no fuere a s i, la autorida…</t>
  </si>
  <si>
    <t>Francia</t>
  </si>
  <si>
    <t>…, y aun en esta misma cam­ general de ejército, dignidad militar suprema inamovible cprao g aterri, partirá para Londres mañana por la mañana , lle- paña ha causado admiración que emplease 15 ó 18 dias en apo­ la de mariscal de Francia , y que no debe confundirse con el de X \ „ T S' ^ u ^ t3SJ e ratificacio" tratado de paz entre derarse de una aldea y de algunas rocas fortificadas. Pero es capitán general de provincia , que es un cargo temporal equiva­ ® J la Holanda, que seráu firmadas esta tarde por el necesario hacer…</t>
  </si>
  <si>
    <t>…la batalla de S. Jacinto. Ghika. A rt . 1.° T od o s los d e r e c h o s , privilegios é in m u nid ades Cuestión de la frontera de Maine. que han sido acordados á los súbditos ó á los buques franceses En el Diario general de Francia se lee lo que sigue: por las capitulaciones y los tratados existentes, quedan co n fir­ Nada tenemos que comunicar á nuestros lectores de mas im­ Reschid-bajá, embajador extraordinario del Sultán M ah - mados h o y y para siempre, excepto los q ue por el presente tra­ portancia sino que la…</t>
  </si>
  <si>
    <t>…r á las Potencias. El paso de SS. A A. RR. el duque y la duquesa de Orleans Parece que estas explicaciones no han satisfecho al cónsul V iena 6 de Agosto. dejará largos recuerdos en Tours, donde han sido acogidos con general de Francia , habiendo resultado de ello observacio­ el mas cordial entusiasmo. Las gracias y la afabilidad de la Prin­ nes bastante vivas. Pasados unos m inutos, Mr. Medem m a­ Las preroga ti vas de que goza la sultana Validé inspiran cesa han conquistado todos los corazones. nifestó al bajá de parte…</t>
  </si>
  <si>
    <t>…tros objetos de público interés. r í a s , M ayor, Puerta del Sol y C a r re ra de S an G erónim o, Con esta convicción, amados niños, seguid aprovechando regresando por las mismas. , Malta 10 de Agosto. ü E l cónsul general de Francia al señor con la aplicación que hasta hoy os ha sabido inculcar vuestro ministro de Negocios extrangeros. Art. 2.° P reced erán á SS. MM. los gefes de Palacio y señor maestro. Corresponder al afan y tierna solicitud de este la servidum b re. La escuadra inglesa llegó el 5 del corriente á la…</t>
  </si>
  <si>
    <t>Francis</t>
  </si>
  <si>
    <t>…r­ Excmo. Sr.: Por mi comunicación del 16 V . E. se habrá den lo digo á V. S. para su inteligencia y por resolución enterado que en aquella fecha quedó aceptado el tratado de eva­ al expediente promovido sobre la materia por D. Francis­ cuación con las modificaciones hechas por el Excmo. Sr. capi­ ACTAS DEL GOBIERNO. co Carbonell, vecino de Valencia. Dios guarde á Y. S. muchos años. Madrid 28 de Marzo de 183 9 .= P ita.— Se­ tán general de Granada. Aquel mismo dia refrescó el viento al O. N. O. en términos que me hizo…</t>
  </si>
  <si>
    <t>…idencia del Sr. intendente de rentas de esta p ro v in - coordinándolas de manera que en cada grado ó instancia , en Ín teres g&lt;neraL se reúnen y m ilitan en favor de nuestra de­ * cía , se cita y emplaza á D. José M artínez y D. Francis­ cada materia y asunto y en las atribuciones de cada funcionario manda. Nos atrevemos á esperar que os dignareis concedernos co O lazabal, para que en el término preciso de seis dias se pre­ ju d i c i a l , se encuentren lógicamente redactadas las que ahora se vuestra protección y benevolen…</t>
  </si>
  <si>
    <t>…a­ las artes, redactados con arreglo á las últimas ediciones j u e z . . . . . . . . Luego fuisteis........ ñado; antes brillaba terso y puro, haciéndose respetar de todos. de los tratados de O rjila , T henar y D um as , por D. Francis­ p. tello. Yo no f u i . Para formarse una idea de la actividad del Emperador, bastará co Alvarez, profesor de medicina y cirugía. Dos gruesos volú­ ju e z . Decid pues ¿quién le mató? decir que casi siempre á la cabeza de sus ejércitos hizo nueve menes en 4»° con sus correspondientes lámi…</t>
  </si>
  <si>
    <t>…ación de la de segundas elecciones Una mina plomiza sita en el cerro del Castillejo* término ciertas ideas. - ^ ! de la Coruña, y admisión de los Srei. Lasaña y Abascal por la de Guejar, titulada la Maza (aiias los Reye¿), por D. Francis­ En los tiempos en que^el buen Cornelia Tlótecia en nués- misma provincia. co de Paula Gómez, en 1 .° de Agosto. tra p á tria , para provecho suyo y menguié de ésta , pudo mtiy 2.° Proponiendo que el acta de uno de los distritos de la Otra id. en sierra de Gador , cueva Horada , término del…</t>
  </si>
  <si>
    <t>…cuyo remate principiará en 20 de Diciembre Tierras, esta provincia, juez de Amortización, refrendada por el escri­ próximo á las once de su mañana en la posada del Sr. auditor bano mayor del ramo , se cita , llama y emplaza á D. Francis­ de guerra,calle de Relatores, núm. 7, cuarto segundo: Una tierra de 8 fanegas, tasada en 1,280 rs. co Troncoso Avalle y demás patronatos del fundado por Don Otra llamada de la L aguoa,su cabida 11 fanegas 10 cele­ Alonso Perez Almansa , para que en el término de nueve dias, Filia de Horta…</t>
  </si>
  <si>
    <t>…veinte y cinco de cazadores , y se d iv i­ dieziseisavo y 20 ^ á v. f. ó vol. y firme: 20 ¿ , 2 ig- y 20 á en la redacción, calle del P rín c ip e , núm. 1 5 , cuarto entre­ dirá en cinco b rigad as, mandadas por el brigadier D. Francis­ v. f. ó vol. á prima de \ y i por 100 con cupones. suelo, adonde se d ir ig ir á n las reclamaciones y las cartas fran ­ co Guajardo y los coroneles D. Francisco Alameda , D. Lean­ Inscripciones en el gran libro á 4 por 1 0 0 , 00. cas de porte. dro Quiros, D. M iguel M a u d u i t y D. Jos…</t>
  </si>
  <si>
    <t>Francis, D.</t>
  </si>
  <si>
    <t>D. Francis</t>
  </si>
  <si>
    <t>…Congreso el avLo que acababa de darle el capitán general de poco concitar pasiones: [hartos disgustos nos rodean inherentes «Al director general de R entas unidas dice con esta Andalucía, conde de Cleouard , del arresto del Sr. D. Francis­ á nuestro estado para que yo me proponga aumentarlos! pero fecha el Sr. Ministro de Hacienda lo que sigue: He dado co de Paula Alvarez, Diputado por la provincia de Huelva, creo con todo indispensable Calificar e*tos hechos tales como cuenta a S. M. la Reina G o b ern ad o ra de la expos…</t>
  </si>
  <si>
    <t>Francis-, D.</t>
  </si>
  <si>
    <t>D. Francis-</t>
  </si>
  <si>
    <t>…habían incurrido. Lo relativo al Sr. García Conde lo dejo PARTE OFICIAL. imas de su ignorante temeridad. Los pronunciados de M o n - I í la resolución del Excmo. Sr. Presidente. lova , tomando por pretexto el que el Excmo. Sr. D. Francis- B Los enemigos sufrieron la pérdida de 17 m uertos, 58 h e ­ 0 García C onde, quien también salió herido levemente, no ridos y 66 prisioneros: entre los muertos se encontró á D . José lodia ser gobernador por no ser oriundo del departamento, María de la Garza , hombre de proporciones é…</t>
  </si>
  <si>
    <t>Francisca</t>
  </si>
  <si>
    <t>…r n a ­ de la Gaceta como está m andado, pongo el presente que signo Doña Antonia Fernandez Cabello, hijos los dos primeros, y y firmo en M adrid á 19 de Marzo de 1839.=iManuel W ebre. esta nieta de Diego José Cabello y de Doña Francisca M a­ dora y la Serma. Sra. Infanta Doña María Luisa Fernan­ ría de Figueroa , naturales y vecinos que estos fueron de la da , continúan en esta corte sin novedad en su importante villa de P uerto-R eal, para que ea el término de cuatro meses É vN virtud de lo resuelto por la audiencia te…</t>
  </si>
  <si>
    <t>…banía T aris I 4 d e E nero . L l u a , sugiere á uno de nuestros suscriptores reflexiones, c u ­ numeraria del infrascrito se siguen autos de testamentaría á y a sustancia es esta : los bienes quedados por fallecimiento de Doña Francisca G al- F ondos públicos. Cinco por 100 110 c. 40, El art. í.° que fija en 1 $ hombres solamente el número de vez, vecina que fue de esta ciudad , en los cuales, presentadas Cuatro por 100 102 c. 4 O. tropas que Rincón puede dejar en Yeracruz, es una prueba de por D. J u a u Bautista Perez G…</t>
  </si>
  <si>
    <t>Francisco</t>
  </si>
  <si>
    <t>…Vega , del 4.0 ligero. el pago de sus lanzas hipotecó una heredad titulada la Balfas- trepitosos aplausos.) (Globe.) Asimismo elogia la actividad del coronel del provincial de tas y sus agregados , término de Huesca. Laredo D. Francisco J a v ie r García P ared es, que con las com­ Conde de F u e n te -R o ja : por muerte en 1834 F&gt;. Pedro Se lee en el Sun: pañías de su regimiento marchó siempre en pos del enemigo de la Fuente y R ojas, sucedió en este título D J u lio J o s é , su La Cámara de los Comunes ha votado a y…</t>
  </si>
  <si>
    <t>…u e reinó , y la expresión , d ig á ­ se supusieron en A m éric a, el proyecto de f u n d a r a 11i una r N virtud dé providencia del Sr. juez de primera irutampia m ona rq uía 8¡c. Y no porque el autor deje de conocer q u e D. Francisco A moros y López se cita y emplaza á los que moslo asi, de cuanto habia h ec h o antes y meditaba h ac er t P i i g n r » derecho á los bienes que á su fallecimiento dejó Doña tm lo sucesivo para la p rosperid ad de la m onarquía. existían motivos fundados para la abolición de aquel ins…</t>
  </si>
  <si>
    <t>…lazo de D. Pedro Anto­ T DEL DESPACHO DE L A G U E R R A . esperanzas que los pasos dados por dicho lord han hecho conce­ bir tienen mas consistencia eo las provin cias ocupadas en parto nio A c u ñ a ; y por la de Segovia á D. Francisco J a v ie r Az- C o m an d a n c ia general de la p ro v in c ia de A l a v a .—Excelen­ por los c a r lis ta s , que en las personas menos interesadas ó menos piroz, en reemplazo de D. Ignacio de la Pezuela. Tendréislo tísim o S r . : Acabo de recibir com unicació n del Excrno. Sr. d u ­…</t>
  </si>
  <si>
    <t>…trando los p rin c i­ l a n g a , D. M anuel Soubiron , D. Gerónimo C ortés, D. Cristó­ Desde esta época se introdujo la práctica de construir ob­ pios en que está fundada la construcción de las cartas esféricas, bal Alarcon y D. Francisco R u iz , y el señor presidente les co­ servatorios en los parajes mas oportunos junto á las capitales, y resolvió todos ios problemas que le fueron propuestos, con locó á cada uno una medalla de plata de distinción con el le­ habiéndose multiplicado después en Europa en tal g ra d o , que…</t>
  </si>
  <si>
    <t>…pera de la filantropía paña copias de los documentos citados. Otra de carbón mineral en el barranco del Chucho, térm i­ del Congreso. La comisión ha examinado con detención esta solicitud , la no del V a lo r, la P a z , por D. Francisco C au tillo , en 10. L a comisión no puede ver sin la mas viva conmoción el deplo­ cree m u y digna de tomarse eu consideración, y puesto que en rable estado ¿ que quedan reducidos multitud de ciuchaaoos y ella se trata de infracciones de los artículos 7.°, 9.° y 75 Je la D em arcacion es…</t>
  </si>
  <si>
    <t>…n o r de p r o p o n e r á V . M . para su a proba ción n om bró pará que le reem place en d ich o cargo al maris­ En Rochdale y en sus cercanías continúan los cartistas el adju n to p ro y e c to de decreto. cal d e c a m p o D. Francisco N arvaez, gobernador de esta comprando armas. N o distante de Rochdale hay una aldea M a d rid í.° de J u n io de í839.rrSeñ ora,=A L . R . c o r te , en consideración ^ sus servicios y circunstancias. compuesta tan solo de 55 adultos, de entre los C u a le s 46 tie­ P . de V . M .n E v a…</t>
  </si>
  <si>
    <t>…siada confianza y se tache de teme­ cional del reino al teniente general D. Antonio Q uiroga, y los números siguientes: ridad. Hay los en la obra oscuros, difíciles de comprender, y nombrando en su lugar al mariscal de campo D. Francisco tal vez atestiguados con hechos que puedan ponerse en duda y Narvaez. (Id.) Circular de! ministerio de la Gobernación disponiendo se cele­ 37 , 12, 45 , 32 , 25 . ser considerados bajo diferentes aspectos: especialmente cuaudíj bren las elecciones de Diputados á Cortes el día 2 J de Ju…</t>
  </si>
  <si>
    <t>…so continuo abrióle la cubierta correspondiente que debía conte­ Señores Senadores y D iputados: La nación tiene fijas genio acoü,..¡ó la anarquía republicaua , y reunió en un solo ner el oorabre del autor; y vi*to que lo era D. Francisco P u - haz todas la* fuerzas nacionales que una impotente y charlata­ ñed , se acordó publicarse en los diarios de esta ciudad la adju­ en vosotros sus esperanzas. Yo también lo espero todo de na democracia había enervado y esparcido. dicación del premio á favor del mismo. La academia hub…</t>
  </si>
  <si>
    <t>…nco mas. ¿ Y sitio 5, 810 pies con de f a c h a d a : tiene pozo de a b u n d a n t es á real de vellón cada ejemplar. quién responde de la autoridad y exactitud de estos títulos y ag u a s , y esta retasada por el arqui tecto D. Francisco L in o H e r ­ leyes? D. J . de V ., y n ing ún o tro , porque no ha sido censu­ nández en 104-112 r s . , sin mas c a r g a que la de Gr ol y sereno. rado su Compendio. Quien quisiere hacer postura a c uda por la c i t a da escribanía. No Se deja conocer solamente en esto lo suficiente…</t>
  </si>
  <si>
    <t>…para llenar sus debe­ en 1.° propio partido 3 por D. M iguel Saler, en 5. res , lo que afirma el aumento considerable de valores, no con­ O irá id ., sierra de G ador, Balsa n ueva, término del Fon- Otra de id ., en i d ., por D. Francisco O liveras , en 5. tando mas que con 10 pueblos que son los fortificados. don, Fortuna , por D. Andrés Cecilio de M oya , en i.° Otra de id ., eu el término de O gassa, del nombrado p a rti­ (Z&gt;. M. d e V.) Otra id ., i d . , collado del A gua , término de Berja , Cruz do y proviocia , por…</t>
  </si>
  <si>
    <t>N.º 1760. SABADO 7 DE SETIEMBRE DE 1839. DIEZ CUARTOS. Seoane.—Excmo. Sr. Secretario de Estado y del Despacho de la Que el alférez del 5.° ligero de caballería D. Francisco N e ­ Guerra. g r o , habiendo perseguido y cargado á otro grupo de rebeldes, consiguió dispersarlo, abandonando en su fuga 55 personas, cinco carros, siete acémilas y un rebaño de ganado que llevaban Ejercito de Cataluña.zrFstado mayor general.=:3eccion cen- S. M. la R e in a , su au…</t>
  </si>
  <si>
    <t>…o E n discursos pronunciados en los exámenes.—D. Rafael cio pudiese d u d s r por un momento de la exactitud de esta ob­ de Teniers de S. P edro librado d e la prisión p o r un á n g el es A g u irre , D. M anuel A g u irr e y D. Francisco M illan. servación , wo tiene m a s q u e com parar las producciones del se­ muy exacta , porque conserva el toque y finura de aquel Agraciados por suerte con la medalla de plata , cuy o a n ­ ñor López con las de los expresados grandes maestros para con­ maestro. verso dice: Colegio de h…</t>
  </si>
  <si>
    <t>…a r i n a de e ^ e d e ­ h a desplegado eu él su geni o ent eramente c r e a d or , y en tan Anteayer se haitüba.éaí&gt;rera eo L/ttdecooa.. tenienxlo tréa batallones eo San M ateo, CeaiaCj dernaa pnebl03: dijosc que partamento D. Francisco R o d r í g u e z G i l a v e r les dió u u opí pa ro corto espacio de tiempo h a organizado una a d mi ni s t r a ci ón de</t>
  </si>
  <si>
    <t>…o para re­ El paraje es central, inmediato á la calle de la Montera y la después de haber cesado de iluminar la parte mas sistir la rociadura que viene por todas partes. E n la puerta del Sol. D a rá n razón en la librería de D. Francisco R o ­ baja de la grandiosa escena. misma casa hay un libro para insertar los nombres m e ra l, calle de Jacometrezo, esquina á la del Carbón. A distancias irregulares hay varias rocas inclina­ de los audaces que tienen la temeridad de engolfarse das, y al parecer de una sustancia indest…</t>
  </si>
  <si>
    <t>…u g e r muchos titulados actores. ¿Qué diremos del noble desprendimien­ la seda puede producir á la isla de Cuba, lo mucho que contri­ para con la sociedad y Real jun ta de Fomento quedará cubier­ to de que ha usado el jóven D. Francisco J av ie r Foxá cedien­ buiría á su prosperidad, la influencia que tendría en el bienestaj ta con los resultados del acto que va á principiarse. do á la academia la propiedad de un crecido número de obras, de las familias pobres, las mejoras que introduciría en las cos­ La Real sociedad pa…</t>
  </si>
  <si>
    <t>…sición, que el excesi­ Por Granada : Sres. Guillen y Roda , Gutiérrez de Ceballos, de nuestra caballería, son en mi corto entender diametralmente vo número de caballos enteros ha sido una de las causas que "Villalobos, López (D. Francisco) y Alcalá Zamora. opuestos á los fines que se desean. Para probarlo , no con preo­ vhan contribuido á bastardear las caitas, pues se destina cual­ Por Guipúzcoa: Sres. Zumalacarregui y Luzufiaga. cupaciones, como equivocadamente supone aquel escrito, sino quiera para padre, aunque carezca…</t>
  </si>
  <si>
    <t>FRANCISCO</t>
  </si>
  <si>
    <t>…G il, que aparecen endosantes de primera instancia de esta corte, refrendada de D. Manuel Fer­ varios créditos de deuda sin Ínteres contra el Estado, para que nandez de Pazos, escribano de S. M., del numero del crimen de POR D. FRANCISCO M ARTINEZ DE LA ROSA» en el término de nueve di*s se presenten en la escribanía ma­ la misma, se cita, llama y emplaza por tercer y ultimo edicto yor de amortización , calle del Lobo , ndm. 8 , piso segundo, á y término de nueve dias á Manuel López M arín, natural de Se vende á 2 rs. en…</t>
  </si>
  <si>
    <t>…de esta anuncio eo la Gaceta die esta capital, acu­ estos trabajosy ; necesitaba cía el Rey, instituciones , ¿qué Consejo. ¿Y qué' será si organizado el Corasejo de Estad© confor­ día «i á deducirle debida merale ante el Sr, D. Francisco A moros quiere decir Consejo de Estado? ^actuales pero en nuestras me á los principios del actual Gabinete, viene otro de princi­ y Lope®, juez de primera i insta ocia era esta villa, por La es­ que tenia en tiempo del Sr. D. Garlos iv? No.laElsignificación Podrá ¡tener Consejo de pios…</t>
  </si>
  <si>
    <t>…nd» tantos apasionados de su mérito, como amigos de sus excelen­ fecha 22 del corriente me dice lo que sigue: se cumplan las ofertas de sus directores para honra y proveeh» tes cualidades. El comandante de la columna de Arzúa D. Francisco A n­ suyo, y utilidad general. Habana y Enero i.° de 1859. = Juai Quisiéramos nosotros á la verdad que los talentos del gran tonio Valdés avistó el dia 19 eu la parroquia de Brates á cua­ Agustín de Ferrety.—Licenciado Antonio Bachiller.—José M a ­ profesor el Sr. de Sanclemente fuesen o…</t>
  </si>
  <si>
    <t>…o r t asistían a el 3 t , donde pernoctaron las divisiones de infantería del maris­ de Braganza , cuyas altas virtudf s hacen tan caro y «••■»» r e s p a ­ banquete. El vizconde Gage ha sido nombrado mariscal de cal de campo D. Francisco J a v ie r A zp iro z, la provisional del ldé su nombre para todos los portugueses, ha sido día ú e torneo. brigadier D. Isidoro H o y o s, y la de caballería con su coman­ gala. (D iario do Governo.) dante general el brigadier D. Ricardo Shelly, El Couríer desmiente formalmente la noti…</t>
  </si>
  <si>
    <t>…precio de suscripción al tiempo de D, Ramón G¡raido, D. Lorenzo Villanueva, D. José Alonso, de 1837 de la ciudad de Murcia , para solo el efecto, por aho­ hacerla por el tomo ó tomos siguientes. D. Francisco Gutiérrez Soss-a, D. Francisco !&gt;ala, D. Juan A n­ ra , de que inmediatamente le dé el correspondiente aviso por Continúa aquella abierta en los términos y por el precio drés de Segó vía , D. Antonio Saenz de Vizrnanos (fiscal), y medio de su escribano de Cámara D. Manuel de Carranza del que se anunció en el prospecto,…</t>
  </si>
  <si>
    <t>…enen descendien­ la an helad a paz. Después del despacho o rd in a ria tomó la m ostrar los inconvenientes y peligros del am or en tre per­ do á ciertas cuestiones y particularidades. La villa de Almadeq palabra el presidente D. Francisco iM aitinezde la Rosa, y sonas de diferente esfera; entre el noble de ilustre cuna y me ha honrado con sus votos, y aunque no fuera mas que por presentó una proposición suya, aprobada por la ju n ta de la plebeya de oscuro origen. Esta idea tiene mas de ¿til esta sola circunstancia debo a…</t>
  </si>
  <si>
    <t>…subsisten á devoción de D. Carlos. Esta ma­ mer extracto de la de este dia á Doña Amalia Abad , hija de La restauración atrajo de nuevo á la antigua aristocracia, ñana debían volver las tropas á Andoain á traer la artillería, D. Francisco, coronel de caballería, muerto en el campo del respetando con todo á la moderna. Sin embargo, esta fu­ y destruir las fortificaciones. Las autoridades y las gentes del honor. sión que á ambas debió hacerlas iguales, que á ambas pueblo, lejos de ausentarse como sucedía antes, han recibido…</t>
  </si>
  <si>
    <t>…o n - gueses. Si algunos pasajeros se quisiesen enterar dé las circunstan­ íideradas aislad am en te y en com binación m u tu a para la fo r m a - Deuda española activa , 19. cias del buque y pasajes en él, podrán acudir á D. Francisco non del todo de un ejército ; tratando en esta cu estión tan im ­ Fondos portugueses con una ligera baja, 55. de Paula Barrero, en la calle de Alcalá, número 28 , cuarto ter­ portante del estado m ayor, no com o un cuerpo a p a rte, sin o co­ Tres por 1 0 0 ,2 1 $ . cero, quien desea e…</t>
  </si>
  <si>
    <t>…Santiago, 1£ á 2 id. presa. Otra id , Bdsa blanca, término del F o n d o n , Andrés G o ­ Barcelona, á ps. f s . ,i papel d. Sevilla, i d. Los redactores del E ntreacto son: D . Juan Eugenio H a r t - do &gt; fa lias Once), por D. Francisco G o d o y , en 24» Bilbao, \ á £ d. Valencia, \ d. zerobusch.—D. Ventura de la Vega.—D. José María D ia z .n D o u Otra id.,cañ*d« de la Sinelva, término del Presidio, el En­ Cádiz, ¿ id. Zaragoza, par. Patricio de la Escosura.^D. Juan d-el Peral.zzD. José Zorrilla.ra gaño, po. Antonio Cu…</t>
  </si>
  <si>
    <t>…en lo mo­ expresado partido de Vaídeorras, en la provincia de Órense. Y 2.® La diferencia del peso específico de sus aguas y el de ral é intelectual , descuide ó comprima esta existencia , será fal- Boriqes, 4 En 29 de M ayo, D. Francisco E n t u ñ a , cura párroco de las que proceden de U&amp; lluvias; p u a to f apoyado* cu el racioci­ ! sa en su principio, y no podrá llenar su objeto; y dando á este en el concejo de F*loña , pidió la. concesión de, uoa</t>
  </si>
  <si>
    <t>…echazando toda idea de re­ jico han hecho proposiciones al nuevo Estado de reunirse á él. t precioso, digno únicamente de un gran capitán y de un cam­ conciliación, ahora repentinamente se abrazan á los leales con Se decia que D. Francisco V ed d u ri, gobernador de Coalm iia, peón todo español. toda la efusión del mas sincero afecto, sin reservas ni condi­ habia llegado á Honston con objeto de negociar esta unión en Una paz honrosa, propia del pundonor español, el trono de ciones. nombre de Nuevo León, T am aulipas , Cbil…</t>
  </si>
  <si>
    <t>…da oposición, porque ni un solo compuesta de los Sres. D. José Aivarez Pestaña , D. Joaquin PAR TE RECIBIDO EN LA SE CR E T AR IA DE ESTADO ápice se ha intercalado en la contestación. Nunca respuesta fue Eugenio de Castro y D. Francisco A gustín Silvela. mas benigna ; nunca se ha escrito discurso menos significativo. T D E L DE SPACHO DE L A G U E R R A . Las audiencias de Búrgos y Pamplona lo han efectuado por (La F r e s se.) medio de representaciones, y en los propios términos los ju z g a­ El comandante general de C…</t>
  </si>
  <si>
    <t>…ra , para donde venia esta fuerza desti­ fuere acreedor. fecha 5 , en que participa que aquel dia habia hecho una sa­ nada. De orden de S. M. lo comunico á V. S. para su inteli­ lida el capitán de la compañía franca deV iana D. Francisco gencia y puntual cumplimiento en la parte que le toca D o ls, con ánimo de sorprender la partida del R ayo; pero que «El de Málaga pasará revista este mes organizado también Dios guarde á V. S. muchos años. Madrid í i de Abril frustrado su proyecto por haberse auseutado de aquel pais di­…</t>
  </si>
  <si>
    <t>…una casa, sita en esta dicha villa y su calle del P rado , núme­ yor comodidad , aunque se halle convaleciente ó tenga alguna la Real voluntad ha de comunicarse á las ofrecidas leyes, espe­ ro 4, manz. 220, propia que fue del D. Francisco; apercibidos enfermedad crónica, los que serán asistidos por un excelente ciales de manera q u e , acomodándose á nuestra índole , rrestiiüu- que de no verilicarlo, trascurso el término designado, sed ará profesor de medicina (s i les conviniese); asimismo se recibe ciones y contraidos háb…</t>
  </si>
  <si>
    <t>…protagonistas la Sra. C ar­ instaucia de esta corte, que lo es de la testamentaría del se­ primera instancia de este paitido con auto de 28 de Enero lota S p u n t o n i, de edad de 10 años , y el Sr. Tomas P i ó , de 1 L ñor D. Francisco d e C a b a rr ú s, conde del mismo título, se con­ último dado en el expediente de su referencia, que firmo de mi voca á junta general de acreedores á ella para el dia 9 de J u ­ mano en Palma de Mallorca á 5 de Febrero de 1859. = José N O T A . Se está e n sayan do , para ejecutarse á la…</t>
  </si>
  <si>
    <t>…esta institución* brigada Parra, que con los siete que lleva el expresado general, 6.° Estado de los ramos que abrazará. saldrían hacia Teruel desde luego. 7.° Sus mas necesarias mejoras. Asimismo se cita , llama y emplaza á D. Francisco M ira- 8.° Resúmen y noticias generales. llés para que tan luego como este anuncio llegue á su noticia, Universidad de Valencia. se presente en la escribanía principal de amortización, sita en Universidad de Vitoria. BOLETIN DE COMERCIO. la calle del Lobo, número 8 , piso segundo, á fin…</t>
  </si>
  <si>
    <t>…na de este Prospecto. El poco tiempo en que se agotaron los 2 3 ejem ­ teatro Doña A ntonia C am p o s, acom pañada del prim er bajo B IB L IO G R A F IA . plares de la edición que publicamos á fines de 1 8 5 6 , es la prue­ D. Francisco S a la s , encargado del papel de Tomásso. ba mas positiva que cuantas pudieran buscarse, de la fav o ra­ L O S suscriptores á la obra titu lad a M em orias del D ia b lo , por ble acogida que recibió la G ram ática del Sr. C hantreau con las Federico S o u lié , pasarán á la lib rería d…</t>
  </si>
  <si>
    <t>…ndose realizado con las formalidades que la misma pre­ viene, tocó á los sugetos siguientes: D. Alejandro Peña Villa- toando en esta provincia pudo con un puñado de soldados con­ rejo, D. José María Alvarez, D. Benito Ochoa, D. Francisco tener á las hordas facciosas en los límites de sus guaridas , y López, D. Juan Tejada y Lozano, D. José María M altrana, uuuca osaron pisar esta fértil vega, ni fhvadir los ricos pue­ D. Eugenio Hernández Borbon, D. Juan Bautista Verdegal, blos de 1a Ribera. Es el mismo que al frente de…</t>
  </si>
  <si>
    <t>…tra n do? c arta s ó r ­ p o r t u n a , ¿ I n o p o r t u n a ? ¿ P u e s c u án do quieren que se ponga un ción de la m o n a rq u ía ; luego nos entenderemos sobre lo mas ó denes y siete lib ranzas d i r i g i d a s contra D. Francisco T e ja d * coto á les ab u so s? ¿ Se h a visto un solo ejemplo de que uu a b u ­ lo menos. Entre españoles cabe lo que se ha visto en V e r g a r a , desde la c iu d a d de A l i c a n t e , firmadas las dos prim eras por Don so consum ado h a y a vuelto a t r á s , se h a y a n tomado…</t>
  </si>
  <si>
    <t>…s d e la ta rd e . teatro a n t ig u o ; y pueden anunciar ademas desde luego que, C arre tas, y de V ia n a , calle dé la C ru z ; en V ale n c ia, en la de EFECTOS PUBLICOS. contando con los conocidos talentos del profesor D. Francisco M allen y sobrinos, y en las demas provincias en las principa­ L u cin i , secundados por los de un escritor d istin gu id o , dispo­ les librerías. Inscripciones en el gran libro á 5 por 100, 00. nen una función que proporcione el lucimiento de ambos, y que Títulos al portador del 5 po…</t>
  </si>
  <si>
    <t>…e una legua de la r g o , y poco mas de un cuarto de an cho, donde están fondea­ Esta noche ha pernoctado en Alm enara el Sr. comandante dos sin aparejos y cubiertos con tablas los mayores navios de general de esta provincia D. Francisco J a v ie r S a r a v i a , que va D el p u erto d e Plim outh y su fa m o s o pa ra m a r, la M a rin a , casi todos de tres puentes. Es un fondeadero tan se­ recorriendo los pueblos de la misma para ver si se han llevado guro y resguardado de todos vientos, por estar tan adentro del á efe…</t>
  </si>
  <si>
    <t>j D. Angel de Llano y Cordon , D. Francisco B u s t ú n a n t e , Don de aquellos ricos y opulentos p a í s e s , los inas im p o r ta n te s del á S ¡i M ateo , c i r o u v j d ó d Qst a úl ti ma v;i!a nuestra caballería, al amanecer del día 9 del acta; . ! , y l l e g a d a míe fue la^ i n f a n t e ­ ! Pí a mor. N a r a n j o ,…</t>
  </si>
  <si>
    <t>…o -lite ra ria de que h a ­ dad deducido por D, Manuel Jesús Díaz de Cosío de la sen­ pleta orquesta , con la suntuosa decoración de tem plo; ejecuta-, b lam o s tencia de revista dada por la audiencia de Burgos en 9 de da por D. Francisco L u c in i, de cuyo profesor son también las P arécen o s, é injusto fuera pen sar otra co sa, que el Abril de este año; y condenándole como le condena-han en las principales vistas que se servirán para las derlas piezas. P eí ayo será recibido con el aprecio j ven eración tie que costas…</t>
  </si>
  <si>
    <t>…onzález que y dio cuenta de los dictámenes que e*ta tenia despachados. En el discurso se h abla de que en nuestras relaciones hemos deseche la idea en q u e está como equivo cad a , pues manifiesta Se aprobó la adm isió n de D. Francisco N avaez. adelantado con a lg u n a s Potencias que no h a n reconocido al G o­ que si bien es c ierto lo que d i c e , tam bién lo es que no se pue­ A peLicion del Sr. Ileros quedó sobre la mesa el d ictam en bierno de S. M . y de qu e este tiene esperanza de q u e se t r i u n ­ de e v i…</t>
  </si>
  <si>
    <t>…stos principios mismos á referirme á otra persona ín­ Mis amigos, que me conocen bastante , es preciso hayan di­ que se ven los intendentes para conseguir por todos los medios timamente conexa al trouo ; hablo del Sr. luíante D. Francisco, cho en su interior: ctes forzoso que este hombre, á la verdad na­ que están á su alcance el cobro de ios impuestos. Por otra parte y desde ahora anuncio que cuando se discutan los presupuestos da sanguinario, tenga grandes razones, ó que esté casi desespe­ un «efe. político tiene otras…</t>
  </si>
  <si>
    <t>…su madre. (Id.) i aten d ien d o á la ap titu d y dem as circun stan cias que con­ ipresxdo un buque americano que quería violar el bloqueo del cu rre n en e l ten ien te g en era l de los ejércitos n acionales úo de ia Plata. D. Francisco N arvaez, vengo en co n ferirle la propiedad MADRID 1 6 DE ¡NOVIEM BRE. d el destino de Secretario de Estado y del Despacho de la G uerra que in terin am en te d esem p eñ a.= T en d réislo en ten ­ Escriben de Vieua con fecha 51 de Octubre que las noticias d id o , y dispondréis lo necesa…</t>
  </si>
  <si>
    <t>…paz, y el trono constitución se dirigió allá, y encontró que el tiroteo era con la pequeña acostumbran, ha dado por resultado que son ya en mi poder 1 pal dé vuestra excelsa Hija. columna del Yallés, al mando de su comandante D. Francisco una culebrina de á 4* cuatro piezas del mismo calibre, dos es­ y Ruegan á Y. M. se digne admitir benignamente esta sen­ Bellera, á quien desde la mañana había enviado en aquella di­ meriles, todo el parque, equipajes, bagajes y prisioneros. En cilla manifestación, que es el voto de todos…</t>
  </si>
  <si>
    <t>…portuno. torcí líos, cuyos cantos y órgano se o irán también en la iglest* bado á este puerto para hacer algunas reparaciones. A los po­ del Escorial. - J * cos dias volvió á salir para reunirse á la escuadra del alm iran­ 99. D. Francisco T rinidad Ubeda, M iliciano nacional , na­ L a entrada á 8 rs. y 4 los niños. te Baudin. tural y vecino de M anzanares, pide se dé la licencia absoluta La fragata A slrea se ocupa en este momento en reparar á su hijo Pedro U beda, soldado de la compañía de granaderos mayores avenas que ha…</t>
  </si>
  <si>
    <t>…, y h a ­ NUEVA G RAN AD A. A u n no ha ratificado Venezuela el tratado de am istad , ce p articu lar mención del comandante general de esta el b ri­ alianza , comercio, navegación y lím ites celebrados desde 1 85 3 , gad ier D. Francisco Y aldés , y de otros gefes y o ficiales, y M ensaje d el P resid en te d e la república d e N ueva G rana­ y aprobado por el Congreso gran ad in o desde 1854- Q uizá en con mas especialidad del indicado teniente D. José Gómez por da ai C ongreso d e 1839. este año no quedarán frustradas nu…</t>
  </si>
  <si>
    <t>…e puertos, facturas supues­ pleta orquesta , con la suntuosa decoración de templo, ejecuta­ los estrados de la intendencia, advirtiéndose que está tasado en tas de compra , cuadros sinópticos, mares, cabos, rios, lagos, da por D. Francisco L u c i n i , de cuyo profesor son también las renta en 72 rs. anuales, y hecha proposición de 60 rs. mas so­ estanques &amp; c ., de modo que ademas de ser indispensable esta principales vistas que se servirán para las demás piezas. obra para los comerciantes, fabricantes, mercaderes, corred…</t>
  </si>
  <si>
    <t>…pezar el Sr. Cortina, y cuando ha entrado ya habia dridmayor para que se lo estorbe. Es claro que necesita estar en M a­ que pueda juzgarse de su aptitud personal ; asi lo d e­ ha recaído aqui auto de prisión? N o , señores: D. Francisco pasado la mayor parte de su discurso. claró el Coogreso en la legislatura anterior, cuando queriéndose de Paula Alvarez estaba arrestado entonces, arrestado se encuen­ En la cuestión electoral no tengo que recordar al Sr. Cor­ tratar de la admisión del Sr. Silvela, que estaba de gefe polít…</t>
  </si>
  <si>
    <t>…estros en preva­ ch o , D. Gabriel A z c árate, D. J u a n S u arez , D. M anuel Be­ para aspirar á la dominación , sino para libertarse de los tor­ lerse de la ignorancia ó credulidad de los que les obedecen y nito Fernandez, D. Francisco A rango y D. M a rtin Montes, á mentos; pero antes que rebeldes, preferían ser mártires. atacan ? quienes se les premió con banda de dicha inscricion y un do­ A la vuelta de los tiempos, y tomando todas las in stitu ­ A u n sube de punto este riesgo , si se considera que en el blón de dos…</t>
  </si>
  <si>
    <t>…. ayuntamiento, á término de 30 dias acudan á deducirle ante dicho señor por la da uno de estos en párrafos, que llevan la numeración pecu­ fin de que examinasen el impreso denunciado , para declarar si escribanía de número de D. Francisco M o n to sa; apercibidos liar de cada libro. En la primera solo habia un sumario para habia ó no lugar á formación de causa ; y habiendo concurrido que pasado sin haberlo hecho les parará el perjuicio que haya toda la obra; en esta se encuentra al principio de cada libro Á dicho edificio á…</t>
  </si>
  <si>
    <t>…mivtéí d é ©tro* pueblo; y considerando que ampliar aquél Dios g u a r d e á Y . E. muchos años. J a é n 15 de D ic ie m b re derecho á estos mismos mozos ya soldados de; uii cuerpo, de i8 3 9 .= E x é m o . S r.= E l |presidente Francisco M u ñ o z y A n - fuera dar á la le y jin a extensión que no se encuentra en d rade.zrJosé de Robles F o n te c ilie .= Por acuerdo de la d i p u t a ­ S e ñ o r a : El a y u n t a m ie n t o , c a p ita l de p a r t id o , de S. M a r t i n la precisión de los términos en que esta circuns…</t>
  </si>
  <si>
    <t>…rcio y Gobernado» de Ultramar á viaja actualmente por Alemania. (Id.) fueron aplaudidos con eutusiasmo , se disolvió la reunión. D. Manuel Montes de Oca, cesando en el Despacho interino de dicho ministerio el teniente general D. Francisco N ar­ vaez. (Núm. 1854.) nombrando en propiedad Secretario de Estado y del Des* I Los periódicos ingleses , cuyos nombres citamos á continua­ pacho de la Gobernación de la Península á D. Saturnino Cal­ NOTICIAS NACIONALES. ción, han pagado al fisco por derechos sobre los anuncios in­ d…</t>
  </si>
  <si>
    <t>…tar los progresos y la utilidad de aquel ¿Q u ién cumple mejor con la religión cristiaua que nos A rgem il, por la partida al mando del subteniente del provincial noble instituto. manda hasta amar á nuestros enemigos? de Lugo D. Francisco V ilo n , cogiéndole sus armas. Con ellos entraron también 19 facciosos que sobraron de los El comandante de los cantones de la izquierda del M iño Cuando en todas partes y por donde quiera que tendamos prevenidos para el cange, por no haber mas de los nuestros en avisa haber sido muertos…</t>
  </si>
  <si>
    <t>…roducción al estudio de la geografía : motivo por que to­ tra el alférez de granaderos á caballo de la G uardia Real dos los establecimientos y casas de educación pueden adoptarla das sus propiedades en arrendamiento. (Id.) D. Francisco V ien n e, y por el cual se le absuelve de todo para que en el 15 de Febrero hayan de haber ingresado para que sirva de texto en la enseñanza. Véndese á 14 rs. en cargo. (Id.) en caja los cupos de los pueblos respectivos a la quinta de las librerías de Escarnida, calle de C arretas; y de…</t>
  </si>
  <si>
    <t>…a­ a quien corresponda.= Eslá rubricado de la Real m ano.= de Junio último, todos los gefes, secretarios, oficiales y de­ pital de los bancos de la Union sea el de 450 millones de do­ En Palacio á 19 de Noviembre de 1839.= A D. Francisco mas dependientes de los gobiernos políticos que se hallen bían llars. Esta pérdida debe empobrecer á muchas personas que ha­ Narvaez. disfrutando de licencia, cualquiera que sea la causa por colocado todas sus economías en estos bancos, y arruinar que la hayan obtenido, ó que con posteri…</t>
  </si>
  <si>
    <t>…resente se destina y se pone á su disposición,’ ten te, comisionó el expresado segundo cabo al mariscal de para el objeto de cumplir con las dispoúciones de esta acta: y Varios profesores de música han hecho presente á campo D. Francisco J a v ie r de Azpiroz para prevenirles que se para proporcionarla queda autorizado el secretario del tesoro S. M. la Reina Gobernadora la necesidad de una disposi­ retirasen. para tomar dinero prestado sobre el crédito de los Estados U n i­ ción que ampare la propiedad de las obras origina…</t>
  </si>
  <si>
    <t>…gar. ^ ; niente de salvaguardias dé la provincia D. Félix G usano, y úna pena proporcionada según la sentencia por su grado dé 3.° La ración de pienso señalada á la clase de oficia­ él otro por el alférez del escuadrón franco D. Francisco A lvá- participación en el atentado, recuérdese él crimen dé Mr. dé les de ad m inistración m ilita r y del m inisterio de cuenta rez, circunvaló el pueblo con ló restante dé la caballería , al Polignac y de los deinas Ministros de Garlos x, y costara tra­ y razón de artillería y á los f…</t>
  </si>
  <si>
    <t>…las dos precitadas contusiones. S egu n d a p a r t e . g e n ia . El P a p a C le m e n te v u i salió a c u m p lim e n t a r la a su El Sr. G a r n ic a , á pesar de sentirse h erid o , llamaba á su Novela histórica , por D. Francisco M artínez de la Rosa. paisano M ie r a , para que si no podia contener la jaca en la paso por F e r r a r a , y la casó por poderes. Pasó después a Un tomo en 8 .° m ayor con una lá m in a : su precio 20 rs. carrera , le arrojase sobre ella una pistola con el objeto sin d u ­ G e n o v…</t>
  </si>
  <si>
    <t>…en que Ja Gobernación de la Península á J D . Miguel Puche y aun no se ha nombrado comisario, dirigirán sus solicitudes á sentencia tan plenamente absolutoria como sé; éxige éh Rautísta-, ^qnfjriendq a l. aptjual .¡coutador D. Francisco M artí­ la secretaría de dicha Real junta, establecida en esta corte, pla­ ÍVeal orden de 21 de Octubre de 1834, únicamente ten­ nez J^ujan la, plaza de oficiaf prim éfo,de la dirección general zuela déla Leña, núm. 2 5 , cuarto principal. Las diócesis en drán derecho durante el tiempo d…</t>
  </si>
  <si>
    <t>…ino Fallero, Roberto el Diablo, Puritani y’ Scara- EFEC T O S PU B L IC O S. Por providencia del señor intendente de Rentas de esta pro­ mucia , a 5 rs. cada tanda. Mazurcas y galop sacadas de las vincia se cita y emplaza á D. Francisco M urga , escribiente que mismas operas^ Se hallará en el almacén de música de Lodre, Inscripciones en el gran libro á 5 por 100 , 00. fue de la oficina de Liquidación de atrasos en el tribunal de carrera de S. Gerónimo, núm. 2 6 , antes 15. Títulos al portador del 5 por 100, 20 con cupon…</t>
  </si>
  <si>
    <t>…e 15 de J u ­ P r o v in cia d e C d ceres, nio á 15 de Setiembre. o Quinto. z:D. Cirilo de Castro y La p lana, interino por Real Ju n ta d e quem a d e d o cu m en to s d e la d eu d a p ú b lica . Baños de M ontemayor.= D. Francisco M artínez, en M ad rid : orden de 5 de Noviembre de 1 8 5 6 , en Barbastro: desde 1.° Con arreglo á lo dispuesto en el Real decreto de 15 de M a r ­ desde 1.° de J u n io á fin de Setiembre. de Ju n io á fin de Setiembre. zo de 1857, se ha servido S. M . señalar el dia 27 del c o m en te</t>
  </si>
  <si>
    <t>…tema federal desde el de escuadrón D. Miguel R a m o s, capitán de la segunda com ­ se replegasen en la dirección de Cañete. lia 15 del mes anterior , reunieron sus fuerzas en número de pañía de caballería activa de Nuevo León D. Francisco R a d a , &gt;00 hombres , los mas de las compañías presidíales, y puesto á y el alférez de este departamento D . Víctores Mareoo , son d i g ­ a cabeza de ellos el teniente coronel D . Severo R u i z , amagaron nos de recomendarlos á V. E. muy particularmente por el v a ­ [ esta c a p i t…</t>
  </si>
  <si>
    <t>…do sus individuos los Sres. artistas de cámara y di­ a esta, colegio de sordo-mudos, ateneo científico y litera­ E l brigadier de caballería de los ejércitos nacionales D. Ru­ rector de las academias de esta corte, entre ellos D. Francisco rio, colecturía general del fondo pió beneficial, junta de fino José de Castilla , juez fiscal de la causa que se sigue Elias, primer escultor de cámara. (El Entreacto .) en sumario contra el Excmo. Sr. teniente general D. Luis Fer­ beneficencia, hospitales generales, asociación de carida…</t>
  </si>
  <si>
    <t>…ada según los diversos órganos. esta corte, refrendada por el escribano del número del crimen ce otro medio de evitar la propagación del contagio que acudir L a d ig e s ti ó n , esta es la vida del anim al y vegetal. No prin­ D. Francisco A lgarra , se c i t a , llama y emplaza á los parientes lo mas pronto, aun en caso de mera sospecha, al correctivo ca­ cipia á tener vida el embrión recluso aun en su ovo materno, mas cercanos de Maroto García , hijo de Francisco García y de paz de neutralizar la infección. hasta que pri…</t>
  </si>
  <si>
    <t>…que le sirve de E FE C TOS P U B LICO S. texto para sus explicaciones de química aplicada á las artes, D . Marcos M a rín ................................................... 160 cada cuaderno debe anticiparse á aquellas. D. Francisco L ujan............................................... 80 Inscripciones en el gran libro á 5 por 1 0 0 , 00. Se suscribe en esta corte en la librería de la viuda de Razo- í). Juan José García Carrasco........................... 520 Títulos al portador del 5 por 1 0 0 , 17£ con cupones al c…</t>
  </si>
  <si>
    <t>…ia , pende expediente de testamentaría , formado á resultas Otra en el Bermejizo , de seis fanegas y ocho cele­ v in c ia l: resultando uno de ellos J u a n G u ija r r o , conocido por del fallecimiento del capitán graduado D. Francisco B ell, sub­ mines y un cuartillo con seis olivos , e n . 5 00 0 Sueforia , que en la actualidad se halla sirviendo de soldado teniente de infantería retirado en esta plaza ; y por decreto de Otra erial en el valle de S. Pedro , de una fanega sustituto en el ejercito de la nación, se ruega…</t>
  </si>
  <si>
    <t>…n­ estamos resueltos á satisfacer los deseos del Sr. Presidente del D. J u a n Azernar , por idern. jeros y de M a r in a , he tenido á bien nombrarle Presidente del Consejo. Aguardaremos los actos de su administración , y por D. Francisco J av ie r de C am p s, por idem. Consejo de Ministro . El consejero &amp;c. (Diario do Guverno.) ellos juzgaremos, deseando ardientemente que nunca llegue el D. José R e x ac h , por idem. caso de que nos veamos en la precisión, cumpliendo con nues­ D. Rafael C om as, por idem. tro deber de…</t>
  </si>
  <si>
    <t>…unos, y que habian sido robados al mismo tiem­ subalternos del tribunal, á saber: Real despacho de relator de po que las armas: todas estas distribuciones se verificaban en el D. Francisco Luis Vallejo, y el de igual cíase de D. Francisco (t) La entrega se verifico en el acto de prestar su declara- seno mismo de la revuelta, detrás de las barricadas, y en el acto Caballero Iufaute, y nombramiento de relator del Real Acuer­ ion los hermanos Lepage ante el comisario de policía del cuar­ del combate. do hecho en el mismo por…</t>
  </si>
  <si>
    <t>…a ciu d a d p o r e l d i­ al mismo premio. libertad de 60 personas. Pocos dias antes hubo igual resolución r e c t o r d e la so cie d a d ec o n ó m ic a d e am igos d e e s t e p a is D. Matías Perez, de once años de edad , D. Francisco R u a ­ too respecto a 70 individuos contra quienes no había lugar á a l d a r p rincipio á la adju dicación d e p r em io s á Los a lu m ­ no. de edad de doce, auxiliadores á la clase de monitores, por proceder. nos d e la es cu e la p rim a ria p o r e l m éto d o d e L a n ca s ter , su…</t>
  </si>
  <si>
    <t>…yan considerado admisibles en cuenta de ella, debe Sigüenza , de ascenso, en la provincia REAL DECRETO. principiar á verse el resultado de los ingresos que en me­ te por proraocion de D. Tomas H uet, deá Guadalajara , vacan­ D. Francisco M artí­ tálico se han de realizar. Cualquiera omisión, el menor nez Pelayo, juez que ha sido de Medina del Campo. Hallándose vacante la subsecretaría del ministerio de descuido va consigo ó negligencia en negocio de tal importancia lle­ una terrible responsabilidad, por mas que la vues…</t>
  </si>
  <si>
    <t>…no 8. PROVIDENCIAS JUDICIALES. do asegurados, no h ay cómo averigu ar su número ni valor. Un cuaderno de los caballos de Velazquez , grabados al 8 .a Que toda la pérdida en barcos ingleses, idos á pique ó ag u a fuerte por D. Francisco1Goya. Precio an tigu o ¿{í rs., mo­ E N el juzgado de primera instancia del partido de Q uin tanar derno 50. de cualquier modo naufragados, puede estimarse en 5 0 09,000 de la Orden , y por la escribanía de D. Diego López Guer­ Dos vistas del Prado de M ad rid . Precio an tigu o 50 real…</t>
  </si>
  <si>
    <t>…en grandes resultados tampoco do en la sección de literatura del Ateneo español por su presi­ mitido consagrarse al exámen de esta materia con mas deteni­ nos faltan : si hay pues entre nosotros espíritu de nacionalidad, dente D. Francisco M artinez de la Rosa , sobre el influjo de la m iento, confia sin embargo, y con razón, haber dado á cono­ si él nos anim a á acometer una empresa y preside al juicio que religión cristiaua en la literatura. Daremos cuenta de él en otro cer el objeto con estas breves pinceladas. Nosotros n…</t>
  </si>
  <si>
    <t>…ba, Berard : G ranada, San z: Jaén , Orozco: Jerez, Bueno: León, Fernandez: L ugo , Masía: M álaga, Quin- TEATROS. el fin de alentarlas para el combate, y desempeñada esta m i­ coces: M u rcia, Benedicto: Oviedo , Longoria ( D. Francisco): PRINCIPE. A las ocho y media de la noche. Se ejecuta­ sión volvió para comer á A rrancudiaga , regresando enseguida Palma , Guasp: Piasencia , P is : Reus , Roca : Salam anca, Blan­ rá una función en el orden sigu ien te: por la tarde á la carretera de D urango, y aunque pasó de Gal­ co…</t>
  </si>
  <si>
    <t>…a.rzLegendre, coronel del 4-° regimiento de a r tille ­ t r o , fecha 27 del a c t u a l, resulta que el 25 el mariscal de cam­ tos debajo del agu a . r í a , com andante; G u e r in , gefe de escuadrón del 2 o de a r t i ­ po D. Francisco J a v ie r Aspiroz introdujo en Lucena un con­ llería ; Guiahon , gefe de escuadrón del 10 de artillería* v o y de víveres, c u y a operación y la de relevar la guarnición Ingenieros.=Mouthier , capitán. dé aquel punto se ejecutaron sin necesidad de disparar un El dia 20 de Agosto 20 cajon…</t>
  </si>
  <si>
    <t>Francisco, D.</t>
  </si>
  <si>
    <t>D. Francisco</t>
  </si>
  <si>
    <t>…ente, denunciados por el promo­ mide dos y media fan eg as, á 160 rs. tor fiscal D. Patricio Joaquín de A vila , se celebró el juicio p ú ­ Y otra en la vereda del B u trón , que mide una fa n eg a , en blico, que presidió el Sr. D. Francisco A m orósy López, juez de 200 rs. primeia instancia en esta corte; y precedido el juramento pre­ P v IC C IO N A R IO de medicina y de cirugía prácticas.=Eotre&lt;- venido en la ley de imprenta , hecha relación por mí el in fras­ ga 3.a del tom o 5.° Continúa abierta la suscripción en la cr…</t>
  </si>
  <si>
    <t>…anguinario de los cio lia de ser del m ayor n ú m ero posible de m ercaderías, caudillos de D. Cárlos. Gaceta de 28 de O ctubre: en su orden y por providencia del con tal qu e las dem an d e el consum o, y no aleeien a nues­ Sr. D. Francisco A moros y López, magistrado honorario de ¿N o seria este un noble m edio, si abandonamos la Bélgica tra in d u s tria , tam bién se o cu p ará la junta en ex a m in a r si la audiencia de Albacete, y juez de primera instancia en esta demostrar en otra parte que la Francia no abandona en…</t>
  </si>
  <si>
    <t>…rg a Como es tan diestro m ari­ |a ON Agustín Manuel de la Torre, vecino de esta corte, ha a d q u ir ir la s hasta las personas menos acomodadas. n ero , es diíieil abordarle en esta m an io b ra; y al tomar acudido ante el Sr. D. Francisco A moros y López, juez P ersuadido su ed ito r de que no puede menos de a b r i r sus­ tie rra, después de haberle ju g ad o esta b u r la , dice que ha de primera instancia en la misma, haciendo dimisión de bienes c ripción por las m u ch as personas q u e se interesan en la obra, sid…</t>
  </si>
  <si>
    <t>…acer postura á todas ó cada una de d i­ d r e c tific a r la s id ea s que s e tien en en la a ctu a lid a d en Es­ ria, pero si no estoy equivocado, podría asegurar que en el mi­ chas fincas, acudirán al juzgado del referido Sr. D. Francisco p a ñ a a c e r c a d e la im p o rta n cia y n e ce s id a d d e su m arina , nisterio se ie diria: C&lt;E1 Congreso con esta fecha me comunica Amorós y López y escribanía de Albóniga , ó bien al del señor co n sid era d a co m o uno d e los m ed io s d e a s e g u r a r su p o ­ lo sigui…</t>
  </si>
  <si>
    <t>…e la verdad,” y concluye: “ su obediencia seria un a los cuerpos de la Milicia nacional de esta provincia la alocu­ delito” ; se procedió á celebrar el sorteo de los nueve jueces de ción que dirige á la del reino el Excrao. Sr. D. Francisco N ar- hecho que con arreglo á la ley debiau componer el jurado, y vaez , como inspector general de la misma , debo recordar que este get'-e valiente y benemérito es el mismo que durante su MADRID 1 4 DE JUNIO. habiéndose realizado con las formalidades que la misma pre­ viene, tocó á…</t>
  </si>
  <si>
    <t>…m p ortunidad habia yo tanto solicitado , y que siem­ nado. ñores taq u íg rafo s, que si no me oyen ó no me en tien d en , que pre diferian las mudanzas ministeriales; porque cuando un m i­ Entró á ju rar y tomó asiento el Sr. D. Francisco N arvaez, me h agan el favor de no tomar n o tas, porque no quiero que nisterio amenazaba caer, los cuidados que le rodeaban eran ex­ Sanador por la provincia de A v ila. salga mi discurso lleno de contradicciones y disparates. cusa para ocuparse del Duero; y cuando aparecía el nuevo m…</t>
  </si>
  <si>
    <t>…q u e , sin perjuicio lará ni renovará ningún sorteo por reclamación extem po­ de atender á la dirección de las obras del camino-carbonero de ránea sobre inclusión ó exclusión de individuos en los N virtud de providencia del Sr. D. Francisco A moros y L ó ­ Langreo á Gijon, y de la comisión que por Real orden de 21 de alistamientos correspondientes; ni menos se im pondrán E pez, magistrado hon orario de la audiencia territorial de Diciembre se le habia dado para el reconocimiento del puerto por aquel m otivo penas que la m…</t>
  </si>
  <si>
    <t>…de los estudios de d ib u ­ A ccnsecuencia de la dimisión de sus bienes hecha en favor Su autor D. Juan Eugenio Hartzembusch. j o , suciedad económica m atritense, ju n ta de damas unid a de sus acreedores, en el juzgado del Sr. D. Francisco a e s ta , colegio de sordo-mudos, ateneo científico y litera­ Amoros y López, juez de primera instancia de esta villa y es­ rio , colecturía general del fundo pió beneíicial, ju n ta de cribanía vacaute de D. Julián García H uerta, por D. Andrés CRUZ. A las siete de la noche. Se volv…</t>
  </si>
  <si>
    <t>…s de A bril á las doce M r. C unin-G ridaine era uno de los gefes de los 221 en U del d ia se verificará la subasta en pública concurrencia. últim a Cámara de Diputados. Habia sido llevado á la vicepre— T&gt;OR providencia del Sr. D. Francisco M aría Castejon, m a- sidencia por el ministerio de 15 de Agosto , y sostenido por el '*■ gistrado honorario de la audiencia territorial de Barcelo­ partido conservador. Parecería pues, extraño generalmente que na , y juez primero de primera instancia de la ciudad de Za­ el primer G a…</t>
  </si>
  <si>
    <t>Francisco, D. Felipe Gómez Acebo. Sr. D.</t>
  </si>
  <si>
    <t>D. Felipe Gómez Acebo. Sr. D. Francisco</t>
  </si>
  <si>
    <t>…Sr. D. Miguel Chacón y D uran. Guipúzcoa. Sr. D. José Sánchez de la Fuente. Sr. D. José Jover. Sr. D. Miguel Antonio de Zumalacarregui. Sr. D. José Agustín Cañavate. Sr. D. Agustín de Larramendi. Santander. Avila. Huelva. Sr. D. Felipe Gómez Acebo. Sr. D. Francisco Agustín Sil vela. Sr. D. Angel Fernandez de los Rios. Sr. D. Juan Martin Carramolino. Sr. D. Francisco de Paula Alvarez. Sr. D. Vicente Trueba Cosío. Sr. D. Agustín Mela. Sr. D. Angel Iznardi., Segovia. Badajoz• Sr. D. Joaquin Garrido. Huesca. Sr. D. José…</t>
  </si>
  <si>
    <t>Francisco, D. Josc Moure. Presidente. Sr. D.</t>
  </si>
  <si>
    <t>D. Josc Moure. Presidente. Sr. D. Francisco</t>
  </si>
  <si>
    <t>…Sr. D. Antonio Valera. Sr. I). Luis Fernandez de Córdoba. Sr. D. Antonio Ramírez y Arellauo, electo. Sr. D. Miguel de Fuentes. Orense. CONGRESO DE DIPUTADOS. Coruña. Sr. D. Saturnino Calderón Collantes. Sr. D. Luis Pose. Sr. D. Josc Moure. Presidente. Sr. D. Francisco Javier Ferro Montaos. Sr. D. José Valladares. Sr. D. Nicolás Fernandez Bolado. Sr. D. Mauricio García. Sr. D. Francisco Javier Istdriz. Sr. D. Ricardo Henry. Sr. D. Manuel Feijóo y Rio. Vicepresidentes. Sr. D. Nicolás de la Riva. Sr. D. Tomas de Prada…</t>
  </si>
  <si>
    <t>Francisco, D. Pedro Juan Morell. Sr. D.</t>
  </si>
  <si>
    <t>D. Pedro Juan Morell. Sr. D. Francisco</t>
  </si>
  <si>
    <t>…én. Sr. D. Rarnon María Narvaez. Baleares {islas). Sr. D. Joaquin Francisco Pacheco. Sr. D. Bartolomé Marin y Tauste. Sr. D. Juan Morales Cortina. Sr. conde de Ayamans. Sr. D. Antonio Benavides. Sr. marques de la Motilla. Sr. D. Pedro Juan Morell. Sr. D. Francisco Curado y Fajardo. Sr. D. Juan Bravo Murillo. Sr. D. Miguel Salvá y Cardell. Sr. D. Pablo Ayala y Moría. Sr. D, Francisco Armero y Peñaranda. Sr. D. Juan Burguez Zaforteza. Sr. Sr. D. Nicolás Rípoli. León. Soria. . Barcelona. Sr. D. And rés Leal. Sr. D. Seg…</t>
  </si>
  <si>
    <t>Francisco, Joaquin</t>
  </si>
  <si>
    <t>Joaquin Francisco</t>
  </si>
  <si>
    <t>…ociendo la gra­ Y^ONGRESO de Verona por M r. de C hateaubriand, tradti- vedad del hecho, interpeló al Gobierno y cumplió coa m ani­ Santander 15 d e E n ero . El cabecilla Castor levantó táci­ ^ cida , anotada y aumentada por D. Joaquin Francisco festar en términos claros la importancia que podia tener el pun­ tamente la orden que habia dado á los pueblos para que á la Campuzano. to de M el illa y Alhucemas, el cual podría servir de base de aproximación de nuestras tropas emigrasen los habitantes que Acaba de publicarse e…</t>
  </si>
  <si>
    <t>Francisco, Joaquín</t>
  </si>
  <si>
    <t>Joaquín Francisco</t>
  </si>
  <si>
    <t>…CO N G R ESO de Verona por M. de Chateaubriand, tra d u ­ yes con sus tratados de legislación civil y penal. Las doctrinas | ción á la par de los cánticos guerreros,dey libertad para reasumirlo en cido, anotado y aumentado por D. Joaquín Francisco ' que ellos se contienen han sido acogidas con entusiasmo por I una frase poética , predicando libertad en los tacos del cañón. Campuzano. Esta obra constará de dos tomos en 4*° de 48O á los legisladores, los magistrados y los jurisconsultos de todos 1 Atrevida parecerá la empresa…</t>
  </si>
  <si>
    <t>Francisco, Juan Manuel de Linares y D.</t>
  </si>
  <si>
    <t>Juan Manuel de Linares y D. Francisco</t>
  </si>
  <si>
    <t>…arro, D. Toribio Guillermo Monreal, D. Bia9 López, cinco años de ed ad , número siete de la p ri­ y conteniendo 11 monedas de plata. Todo indica qüe esta ocul­ tación se hizo al tiempo de la invasión de los suecos. Las unas no D. Juan Manuel de Linares y D. Francisco Galvez , quienes mera clase, por su aplicación en ei ramo de leer en la clave y manifestaron á la sociedad lo satisfechos que habían quedado, saber formar la mayor parte de las letras en la mesa de la are­ tienen efigie, otras la tienen. Las hay del reinado de…</t>
  </si>
  <si>
    <t>Francisco, Pablo</t>
  </si>
  <si>
    <t>Pablo Francisco</t>
  </si>
  <si>
    <t>…ma a c t u a l me n t e, que p r i nc i pi a : c a rá n nunca á conduci r á buen termi no estas colonizaciones, si "Di f í ci l y borrascosa es la si t uación de 3os pueblos que se ri gen res á la herencia del teniente coronel D. Pablo Francisco R u b i - 210 son d i r i gi da s por un hombre corno el general . Los e mpl ea­ por Gobierji.os representativos” ; y c o n c l u y e : " Me r e c e io h on ­ do , vecino que ha sido de esta ci u dad , he señalado el di a 12 dos superiores y subal t er nos, no obstante lo acreedores…</t>
  </si>
  <si>
    <t>Francisco, Ramón Soler y D.</t>
  </si>
  <si>
    <t>Ramón Soler y D. Francisco</t>
  </si>
  <si>
    <t>…o consolidados, 00. secuencia de un despacho librado por el de igual clase de la Deuda negociable de 5 por 100 a papel, 00* ciudad de Oviedo, se cita , llama y emplaza por este primer VACANTES. Idem sin interés, 00. edicto á D. Ramón Soler y D. Francisco G il, vecinos que dije­ Acciones del banco español de San Fernando, 00. ron ser de Zaragoza * para que en el término de 50 dias con­ S E halla vacante el partido de cirujano-médico de la villa de tados desde el de su publicación , ocurran por sí ó por medio ^ Villafranca…</t>
  </si>
  <si>
    <t>Francisco..Es</t>
  </si>
  <si>
    <t>…o, por p a ja , vecino deFuenlabrada : Manuel Á y u - ría del‘Gobierno protector de la segunda Isabel de Castilla. carlistas, evacuó aquel ebfúerté, dejándolo á disposición dé la' so , por carbón: Alfonso Gutiérrez , por pan: D. Francisco..Es­ San»Sebastian 19 dé Mayo de l859.r=Vue$tro gefe político, misma fuerza que e.stuvó prisionera momentánea mente, y reti­ teban O yarzabal, por aceite: Manuel Aragón y Ju a n Cansegre, Eustasio Amilibia. y ? &lt; -' y rándose á Sara, bajo cierta ^capitulación que se celebró, y*ea por leñ…</t>
  </si>
  <si>
    <t>Franco</t>
  </si>
  <si>
    <t>…Serafin Costa &gt; oficial de co ntabilid ad.= M a- Se acordó llamar al suplente por Alicante en reemplazo del bierno y el de la mayoría y minoría de la comisión. ¿Se ha nuel Alonso. == Alonso de la Espina, administrador de cor- Sr. Franco, que ha optado por Valencia. entrado en alguno de estos tres proyectos ? N o ; lo que se ha reos.=Pcdro Jiménez de M u ñ a n a, oficial de contabilidad.— El Congreso quedó enterado de una felicitación de la dipu­ hecho es únicamente empezar por la enmienda pfeseotada por A n tonio Sastre R e…</t>
  </si>
  <si>
    <t>…to al cobro de la suma fijada por el presente, previe­ Deuda activa española , 51. me at suplente por la provincia de A licante, en reemplazo del ne sea satisfecha cuando los buques que pasen al mar Diferida sin Ínteres, 15. Sr. Franco, que ha optado por Vaieocia. Negro reciban su firman ó permiso de tránsito, previas Pasiva, 7~. Se dió cuenta de otro acerca de una exposición del presi­ Diferida antigua , 8 . dente y escrutadores de Orense, en que se vindican de varios ciertas formalidades, sobre las cuales, asi como sob…</t>
  </si>
  <si>
    <t>Franco, Manuel José</t>
  </si>
  <si>
    <t>Manuel José Franco</t>
  </si>
  <si>
    <t>…la nación núm. 498 del periódico titulado El M u n d o , denunciado en 27 cas , procuraré que mis disposiciones adm inistrativas sean siem­ los autores de una nueva deserción. Hé aqu i, venerables her­ de Ju lio de 1857 por D. Manuel José Franco , la ley absuelve pre prudentes, y justas mis resoluciones, porque la justicia es manos, lo que nos tiene en una penosa ansiedad: eso es lo que á los Sres. D. Cesáreo M aría Saenz , D. Diego López Balleste­ la primera necesidad de los pueblos; declarando, para que sirva aument…</t>
  </si>
  <si>
    <t>Franco, Nieto y D. Manuel José</t>
  </si>
  <si>
    <t>Nieto y D. Manuel José Franco</t>
  </si>
  <si>
    <t>…a de Avapies en esta corte , sita en la calle de Bordadores, nú­ mero 12 nuevo, cuarto segundo, para notificarle varias pro­ BIBLIOGRAFÍA. REGLAMENTOS videncias por el escribano D. Juan Cuervo en autos seguidos entre el mismo Sr. Nieto y D. Manuel José Franco. T OS suscriptores á los Recuerdos y bellezas de España acudi- ^ rán á recoger los cuadernos 4*^ hasta el 9.°, ambos inclu­ DE LAS ORDENES MILITARES sive , á la librería de Sanz , calle de Carretas, donde se adm i­ DE SAN FERNANDO IG N O R A N D O S E el paradero d…</t>
  </si>
  <si>
    <t>Francos</t>
  </si>
  <si>
    <t>…da á las producciones litera­ Pardal.rrJacinto Mateo.=José de Ogesto y Puerto.= Antonio L ord A b erd een : Me propongo hacer al noble lord que rias y artísticas, recomiendan principalmente una pronta d eli­ Madrazo.^EI conde de Francos.=Julian Mateo.=Manuel M ar­ dirige los negocios del Estado (lord Melbourne) algunas pre­ beración sobre los proyectos de ley que nos anunciáis. tínez. = Primo Sobrino. = Manuel Isidro. = Rodrigo Fernandez guntas relativas al tratado de comercio con el A ustria. No com­ Nos felicitamos con…</t>
  </si>
  <si>
    <t>Fraticisco</t>
  </si>
  <si>
    <t>…t o s , t r a d2 — oche del 5añáda de las Encinas , lindando por el norte con la mina de u c id o p o r su p u e sto d e l fra n cés. de del jueves 10 del corriente para el besamanos por el cum­ ple años de su augusta Hija. D. Fraticisco R oldan, y teniendo una escavacion hecha por el hoy Siabatida el teatro de nuestros dias, si la pobre escena española, y desmermada como ninguna, han de tener un Pasó á la comisión de Actas otra del mismo Sr. Ministro, [nismo á distancia de 30 varas. objeto, un fin cualquiera, 110, conc…</t>
  </si>
  <si>
    <t>Frau, Ramón</t>
  </si>
  <si>
    <t>Ramón Frau</t>
  </si>
  <si>
    <t>…J par. Sevilla, f á J id. trar en mi objeto alegar en apoyo de éste aserto ejemplos his­ Bilbao, 1 papel d. Valencia, par. de tantas naciones y tan vastos imperios que no presen- C ádiz, i á | id. Z aragoza, id. ,. , E l Dr. D Ramón Frau catedrático de fisiología en el tóricos trn boy día sino ruinas y desolación, efecto de la inmoralidad Ateneo terminó la última lección del curso de este año y soltura de costumbres. Dígalo Roma si no; y nuestra España con el discurso siguiente : Descuento de letras , á 6 por 100 aí año…</t>
  </si>
  <si>
    <t>Freijo</t>
  </si>
  <si>
    <t>…e ese tumulto de bajas pasiones y de corrup­ por el ardor con que persiguieron al enemigo por espacio de Colombianos, 51. ciones de toda especie, se mezcle el nombre de nuestra augusta tres leguas. Se ignora la suerte del cura de Freijo cuya muía ha Mejicanos , 28$. Soberana invocado por el espíritu de partido. Espero que mis quedado en nuestro poder. Holandeses , 1 0 2 |, £ , 5 6§, nobles amigos sentirán lo mismo que yo la necesidad de protes­ Los rebeldes presentaron 150 caballos, habiendo marchado Escasea el metálico en…</t>
  </si>
  <si>
    <t>FRES</t>
  </si>
  <si>
    <t>…ña. Senado. Anoche se ejecutó en el lic e o , según habíamos anunciado, Se suspendió esta discusión. El Sr. L O P E Z , ea na extenso discurso, manifestó sus de­ la comedia nueva del Sr. M artínez 3e la Rosa. Su éxito ha Ei Sr. FRES! D E N T E señaló para la de mañana el dicta­ seos de que el Gobierno se hallase presente á la discusión de la sido brillante com o se debia suponer. Solo faltó para que la men de com isión de Peticiones que habia quedado sobre la contestación, porque habia que hacerle graves cargos; y d ijo ,…</t>
  </si>
  <si>
    <t>FRESIDENTE</t>
  </si>
  <si>
    <t>…i dad. A si este como todos loa demás aprobados Los iioseirta,remas tica los. .otro dia. Fuero*) aprobadlos sin discusión los seis de qu« consta, dicho Según la regla de briba na les, jo creo qne serla me&gt;ir a a mentar E t Sr. F R E S I D E N T E a n ai oció q im oon ll a a a ha la d I seo,s k i provecto, el cual se leyó a! Senado j lo halló conforme con lo esta coHmisioía coa tira lad ívld n o ó irías para que fuera Eióanero del arí. 1.° del proyecto sobre estados excepcionales. im p a r; asá que , seria usas equitativ…</t>
  </si>
  <si>
    <t>FRIAS</t>
  </si>
  <si>
    <t>…compañado de un agente vestido de paisano. Quedó enterado él Senado de los dos Reales decretÓs que inserta en su artículo de oficio la Gaceta de este dia. La princesa Lapoushine, sobrina de Potemkirs, y la últim El Sr. duque de FRIAS rectificó una equivocacioa cometi­ dama de honor viviente de Catalina 1 1 , acaba de morir. (Id.) da en el Diario de las Sesiones. El Rey de los belgas ha llegado de incógnito el 17 á Colo­ El Sr. P R E S ID E N T E anunció que habiendo suficiente nú­ nia. S. M. viaja bajo el nombre de conde…</t>
  </si>
  <si>
    <t>Frias</t>
  </si>
  <si>
    <t>…de Santa Cruz , Vicepresiden­ esta sociedad se halla y a constituida aunque no definitiva­ res Solanot , Caamaño Pardo, Diez Tejeda , Salas Omaña , Ve- mente. rea Cornejo, Llenpart, Ondovilla y Francisco Navarrete. te duque de Frias , Secretario Ojero , Vicesecretario Rich. 3.a Sres. Presidente duque de Bailen , Vicepresidente Ochoa, Reuniéronse antes de ay e r en nuestra redacción los señores 2 .a Sres. Quintana , Rich , G arelly, Marques de Santa Cruz, que y a otra vez nombrarnos para seguir tratando de los me­ M ed…</t>
  </si>
  <si>
    <t>…e se* Excrnos. Sres. Presidente deí Senado; conde de V ig o , y á publicar el bando de que remito á V. EE. ejemplares, por el habían observado? N o , señores, no procedió con ligereza, ni D. Diego M edrano, Secretarios; duque de Frias , marques de cual he levantado el estado de guerra de Córdoba, Huelva y tampoco por lo q u e su buena razón la d ic tab a ; examinó los TorreaIta , D. Alvaro Gómez Becerra, D. José M a iía Reig, Cádiz , exceptuando la isla de San Fernando ; he creído conve­ hechos que habían dado lugar á la fo…</t>
  </si>
  <si>
    <t>…do de que soy órgano de los sentimientos que ani­ 6 de id. de mano. vuelta hasta fines de este año. (Id.) man á todos los individuos del Senado espero, que la proposi­ M etralla . ción tendrá un voto universal. El Sr. duque de FRIAS: Pido la palabra. 4 botes del calibre de á ¿\. El Sr. PR ESID EN TE: Sin que pase adelante la discusión Armas de fuego y blancas* NOTICIAS NACIONALES. va á leerse una proposición presentada por el Sr. González, y advertiré que el Senado no puede deliberar en proposiciones 57 fusiles españo…</t>
  </si>
  <si>
    <t>…imientos de la ración. putación encargada de llevar el mensaje á S. M. y son : cooperación del Senado en cuanto pueda contribuir á consoli­ La tercera fue tomada y pasó á Ja comisión , la c ua l se re­ Sres. Presidente, duque de Frias , D . Martin Fernandez dar la paz de la nación española , y mantener el brillo del tro­ feria ¿ que se presentasen por el Gobierno, según señala el ar­ Navarrete, duque de Bailen, arzobispo electo de Toledo, Don no constitucional de nuestra Reina. (B ien, bien,) tículo 75 de la Constitución,…</t>
  </si>
  <si>
    <t>…nvenia en la cantidad y en los plazos en que gradas. La Constitución del año 12 no rige, tuvo sus defectos, labra. se debia entregar. se reformó ; pero por eso no se dirá que era mala. El Sr. P R E S ID E N T E : El Sr. duque de Frias se servirá Se me podrá decir que estas son frases de esas generales que El orador continúa haciendo otras observaciones acerca de contraerse á la cuestión, aunque no por eso digo que se haga se­ se usan y no se llevan á efecto. Yo puedo citar dos hechos, el lo dicho por el Sr. González de qu…</t>
  </si>
  <si>
    <t>…udiosa, y nos duele la presidencia al palco grande del centro , sin perjuicio de que putacion encargada de recibir á S. M. , y son los siguientes: quede á disposición de S. M. siempre que guste honrar el tea­ .'tenores duque de Frias, arzobispo de Valencia, marques sobremanera que deslustren y afeen tan apreciable obri- tro con su presencia , á fin de que haya mas localidades para de Viluma Salas Omaña , conde de Pinofiel, Torres Solanot, ta las erratas tipográficas en que abunda. el público, y que los establecimientos de…</t>
  </si>
  <si>
    <t>Friburgo</t>
  </si>
  <si>
    <t>…los que pos católicos de la Prusia se han declarado abiertamente con­ que está, meditando su total ruioa , ó por lo menos la de su in­ faltan: ademas acaba de darle un golpe á sus franquicias, gol­ tra el Gobierno: el obispo de Friburgo, en Brisgaw, publica significante política , y también al Austria , enemiga declarada pe que aun las personas mas aferradas en las ideas absolutistas de oficio su adhesión á los principios que profesa el arzobispo de las nuevas instituciones que acababan de darse. Bien lo com­ procuran re…</t>
  </si>
  <si>
    <t>Froilan</t>
  </si>
  <si>
    <t>…e estado mayor y de cuatro tenientes, en torpes insultos. calidad de representantes de la F ran c ia; de M r. SheíFeld y de Ideto del proyecto de ley sobre concesión de una pensión á Doña Luisa Oraa y Erice, viuda del general D. Froilan M é n ­ Y entonces dígasenos ¿si la crítica no ha de ser v e r ­ un representante del gran ducado. Los trabajos de la comisión dez Vigo. d a dera , para qué sirve? ¿ Si no ha de ser i m p a rc ia l, para están para terminarse , y prometen un feliz resultado. (Id.) qué es necesaria? Reem pl…</t>
  </si>
  <si>
    <t>Frutos</t>
  </si>
  <si>
    <t>…un da suplicación de i n j u s ­ de dos tomos en 8 .° toridad la señora marquesa de Cusano por medio de su a p o ­ t ic ia notoria y de n u lid a d . Estas obras fueron señaladas p ara sus respectivas a s i g n a t u ­ derado D. Frutos R e c io , intentando celebrar ju icio de conci­ P a ra la m a y o r propiedad y acierto en las d ifin ic io n es, f u n ­ ras en el plan de estudios de los años 22 y 2 5 , y se venden en liación con los dueños , propietarios del pozo de la nieve y tie r­ damentos legales y en k elección de l…</t>
  </si>
  <si>
    <t>Frías</t>
  </si>
  <si>
    <t>…ra seguir tratando de los me­ M ed ran o , González, marques viudo de Pontejos, conde d e V i - Secretario marques de Campo de A la n g e , Vicesecretario Fer­ dios de llevar á cabo tan in ú til proyecto. g o , Ojero y duque de Frías. nandez Vallesa. 4*a Sres. Presidente conde de Ezpeleta, Vicepresidente P e - Nuestro compañero de redacción encargado de hacer la de 3.a Sres. Va Ilesa, Mala , F e r r e r , duque de Bailen , R u iz de las bases de organización de la sociedad , dió cuenta de su pro­ la V e g a , marques d…</t>
  </si>
  <si>
    <t>…b a o , 1|- d. j •; c: ío ^ le n c i^ , ¿ id . ^ dei E s c o ria l. Real decreto nombrando Senador por la provincia de Léón ái C á d iz , i id . , , ,..j .. i^ar^goza^ 1 papel id . . : La entrada á* 8 rs. y 4 ^s niños. duque de Frías; (Nüm . 1494 .) Real orden relativa á las contadurías de hipotecas. (Id.) Descuento dé letras , á i6 pcír 100 á l año. -j ■ :••• .j.f.M- r Lli ^ /• ■'■'•■i 'v : ■ ’X '* : « - mandando que se proceda inmedíátaméúte á averiguar las causas que produjeron losdesgraciados sucesos de Mdrellá. (…</t>
  </si>
  <si>
    <t>…n su táñeos ó sucesores suyos, eran simples imitadores de los g rie­ cho de su drama. consecuencia el convenio de 21 de M ayo. Desde entonces acá gos. N o he querido d e cir, con tin u ó, que rio haya reglas; sino El Sr. duque de Frías habló de los rómánticos y del falso nada ha ocurrido que pueda libertar á la Bélgica de sus com ­ que asi com o Aristóteles las sacó del estudio y observación de modo de ver que tienen al desempeñar sus asuntos , diciendo que promisos con las cinco Potencias. los modelos g rieg os, de la misma…</t>
  </si>
  <si>
    <t>FríésV</t>
  </si>
  <si>
    <t>…io para hacer siquiera una indicación. ¿ Y en qué consiste Aas err que proponía Ja admLÚnFde D. Bonifacio M ir , D ip u - que después del convenio de V ergara hay proyectos en Europa, Pasóse á votar la enmienda del Sr. duque de FríésV redírói^ ¿ tfidp jelecto por la proy i ocia de. Lérida. a y se dice que es necesario arreglar las cosas de España ? Pues la da a que después de las últimas palabras se añ ad a: " ó mandar | Prestaron juraaiéuto d°s'Sres.. Diputados. , . España 110 necesita que nadie la arregle. que se lea p…</t>
  </si>
  <si>
    <t>Fualdes</t>
  </si>
  <si>
    <t>…ignas de publicarse; tal vez falte de algunas, y en bala de fusil, que entrándole por un lado del hombro le des­ tal caso agradecerán cualquiera indicación que se les haga por Causa t.a Proceso contra los asesinos del magistrado Fualdes t r u y ó parte del espinazo. conducto de su presidente, que vive en Mad rid, calle de A l ­ 2.a Despojo de una sucesión atribuido á un magistrado. * Llevado á Inglaterra, fue depositado enGreenw ich, y des­ calá , núm. 48, cuarto principal de la derecha. 5.a Proceso contra Luis Augusto Pa…</t>
  </si>
  <si>
    <t>Fue, Bassa.</t>
  </si>
  <si>
    <t>Bassa. Fue</t>
  </si>
  <si>
    <t>…. Se dió cuenta de que las secciones h ab ían calculado de ú til y oportuna una proposición re lativ a á que se conceda una Se leyó el 6.° Proyecto de ley p ara el establecim iento de un Consejo de pensión á la viuda del general Bassa. Fue tomada en considera­ El Sr. conde de E Z PE L E T A d ijo , que según su opinión Estado. ción y pasó á las secciones para que nombrasen la comisión. no podia el Senado aprobar el artículo por falta de explicación El Sr. G O N ZALEZ dijo que tenia que m anifestar con sen­ precisamente en…</t>
  </si>
  <si>
    <t>Fuente</t>
  </si>
  <si>
    <t>…e Diputados, asi propietarios como suplen­ men, se acordó que su votación fuese nominal á petición del diatamente con un arlLulo constitucional, que es el 73, creyó tes, que habían de nombrarse en las próximas elecciones que Sr. Fuente A ndrés, apoyado por suficiente número de señores también el Gobierno que no debia permitirse que los pueblos habían de verificarse, al paso que en el art. 4 »° se determina de Diputados; y verificada , resultó aprobado por 68 votos con­ por sí se abrogaran cosas y derechos de que los mismos…</t>
  </si>
  <si>
    <t>…30 , tres diezi- memoriales francos de porte. jueces de primera instancia intervengan eri ellas? Y si no la seisavos , f , $ , 29 tres dtcaisciaavoa , 30§ , siete d iez ise is- hay ¿ por qué se supone, como acaba de hacer el Sr. Fuente avos y 30¿ á v. f. ó vol. con cupones: 50 %, 2 9 | , 5 0 , 3 1 , 5 0 f , Heriero, que el regente de la audiencia de Yalladolíd ha influi­ 31£ 9 y á v. f. ó vol. á prima de l f , f , f y 1 por 100 con do en las elecciones? ¿ Dónde está la queja ó reclamación sobre cupones. M USICA. ti particul…</t>
  </si>
  <si>
    <t>FUENTEA</t>
  </si>
  <si>
    <t>…ona á quien se alude se preparaba á entrar con conoci­ tamiento tfüe pide al cielo guarde la vida de la augusta Isabel miento de que se trataba de su admisión. y de V. M. para gloria y felicidad de las Españas. Coruña su El Sr. F U E N T E ANDR.ES dice que si bien es cierto que ayuntamiento de 20 de Setiembre de 1859.—Señora.—A L. R. P. Los principales españoles residentes en París en la actuali- ha estado sentado á su lado el Sr. Alonso, también lo es que de Y. M —Vicente A lsina, alcalde primero.—Camilo de Gam­ la d ,…</t>
  </si>
  <si>
    <t>Fuentecilla</t>
  </si>
  <si>
    <t>…icamente ha sucedido es alguna oficiosidad Se dió cuenta y el Congreso quedó enterado de un oficio del Centeno,-—Síndico segundo , Rafael García V aldecasas.=E I por parte del gefe político , oficiosidad que no puede menos de Sr. Fuentecilla , Diputado electo por la provincia de Jaén ma­ secretario -, José María Cervora. llamársela innecesaria, pero que de ningún modo puede tachar­ nifestando que se presentaría á tomar asiento tan pronto como se de coacción. su salud se lo permitiera. Que respecto á lo que se ha dicho sobr…</t>
  </si>
  <si>
    <t>FUENTEH</t>
  </si>
  <si>
    <t>…a; sin embargo de los testimonios de júbilo de que está poseída por unos resulta­ que nuestras tropas en su marcha tuvieron que atravesar el rio dos que libran á la nación de la ansiedad inseparable de la con­ el Sr.El conde Sr. F U E N T E HER.RERO: Sobre lo que acaba de decir de las Navas. No puede constar en el acta.... Este, vulgarmente llamado M arles, y vencer otros obstáculos, tingencia de los sucesos , y aseguran de un modo estable el tro­ El Sr. P R E S ID E N T E : El Sr. conde ya se ha conformado, hijos de la…</t>
  </si>
  <si>
    <t>FUENTEHERRERO</t>
  </si>
  <si>
    <t>…a s , que antes de procederse á Siguiendo la discusión el Sr. López rectificó varios hechos. El Sr. B E N A V I D E S : Que se lea todo el título 10 que es el la votación se invitase á venir al Sr. Cortázar por si quería El Sr. F U E N T E H E R R E R O dijo que h ab ría renunciado que trata de las proposiciones. hablar en u n asunto que le era personal, visto que la ley le á la palabra á no haber oido defender una cir cular de que ta n ­ Se leyó. concede esa facultad. V arios de los señores que me escuchan d i ­ to se ha…</t>
  </si>
  <si>
    <t>…os y tiempo que acata la divina Providencia, protectora de una cau­ El Congreso asi lo acordó. hasta el mismo Hostal que los servia de cuartel, se atreviese á sa justa , ruega á V. M. se digne acoger benignamente sus sen­ El Sr. F U E N T E H E R R E R O : Pido la palabra. esperarlas ni osare disparar un tiro , ni aun presentarse sobre timientos de adhesión y de respeto, y permitir que á ellos una El Sr. P R E S ID E N T E : ¿Sobre qué? la m archa, tanto á la ida como á la vuelta; sin embargo de los testimonios de júbilo…</t>
  </si>
  <si>
    <t>FUENTES</t>
  </si>
  <si>
    <t>…guientes: recho por los ay untamientos en tiempo del Gobierno despótico, gún las leyes lo mandasen. A rt. 9.° Se agregarán al ayuntamiento los vecinos mayores seria cosa bien extraña á la verdad que en el Gobierno repre­ El Sr. F U E N T E S insistió en que se añadiese al artículo la contribuyentes que se hallen en el pueblo ó distrito municipal, sentativo se les privase de él, mucho mas cuando ningún per­ palabra recaudación. _ en número igual al de los concejales para decidirse á establecer juicio se sigue de que se con…</t>
  </si>
  <si>
    <t>Fuentes</t>
  </si>
  <si>
    <t>…del respecto A rrójase á él y le m ata: la muger huye. Fernán Ruiz busca á es menos ciego que m udo: la cómplice ; halla á Estefanía durmiendo tranquilamente en su mas como en mi fé no dudo, A l fin de este acto da el conde de Fuentes á los amotinados lecho; cree que lo finge; mas se detiene á m ira rla , y exclama: loco á Jacin ta se g u í, su bajilla en calidad de socorro mientras llegan las p agas: los ¡o h engaño hermoso dormido! soldados la rehúsan , porque ¡ oh veneno lisonjero! Los soldados españoles (1) Aquel…</t>
  </si>
  <si>
    <t>…obligados á frontera á defender su independencia y su libertad en un mo­ Se leyó el art. 9.° pagarles. mento en que la disputaban mas de 1003 bayonetas. Asi que, El Sr. marques de G U A D A L C A Z A R manifestó que desea­ El Sr. F U E N T E S: El S r. V aldés en realidad no ha im p u g ­ entiendo que si pudiera buscarse otro medio para atender á esa ba saber desde cuándo se consideraban los caballos destinados nado el d ictám en , puesto que su im pugnación se h a d irig id ^ necesidad u rg e n te , imperiosa de caballería…</t>
  </si>
  <si>
    <t>…ección de troduciendo en el animo de su discípulo los gérmenes que tan tímidos son , tan bajos, pérfidos y despreciables. ¿Quién Moot-Saint-Michél. El otro en la de D jublens. el tiempo debia madurar y desarrollar. es un conde de Fuentes, a quien pinta viejo y ridicula­ (:Diario de Los Debates,) La naturaleza habia dado a Mahamud un alma de su­ mente enamorado de Margarita, cuando nadie ignora que perior temple, una voluntad firme e impetuosa, a quien se veneraba entonces la sangre de nuestros Reyes con un 110 debían arre…</t>
  </si>
  <si>
    <t>Fuentes, José Rafael</t>
  </si>
  <si>
    <t>José Rafael Fuentes</t>
  </si>
  <si>
    <t>…. . . 290.¿ 5£ 1 9 ,9 3 4 .... 500.............. M adrid. de cura déla Chorrera............................................ .. 8.. 4 Los Sres. regente, magistrados, dependientes de la 1 8 ,7 9 5 .... 5 0 0 ....... Cádiz. Id. D. José Rafael Fuentes, colector de Granabacoa. 8.. 4 audiencia y abogados del colegio de Puerto Prín­ 4 ,4 8 7 .... 5 0 0 ....... Zaragoza. Id. D. Ignacio María Olea.......................................... 8.. 4 cipe . 271 3 ,2 5 8 .... 5 0 0 ....... Madrid. “ Id. D. Antonio José González, cura párr…</t>
  </si>
  <si>
    <t>Fuerza, Malet.</t>
  </si>
  <si>
    <t>Malet. Fuerza</t>
  </si>
  <si>
    <t>…uel. 2.a Causa política del siglo xix. Proceso seguido contra los E n la India.................................... 9 10. Religionarios fugitivos , ó bien sea cuestión sobre si la patriotas de 1816. 5.a Proceso contra el general Malet. Fuerza militar.............................................. adquisición de bienes pertenecientes á individuos ó corporacio­ 4.a Principio sobre las separaciones matrimoniales, bien se nes religiosas, habida en consecuencia de órdenes del Gobierno3 trate de la separación de personas, bien d…</t>
  </si>
  <si>
    <t>Fábregas</t>
  </si>
  <si>
    <t>…a G a n a r perdiendo. cia del Sr. D r. D. Carlos Pares de Vaiverde , juez de primera ha llenado t a n cum plidam ente su objeto. El C alíg u la. instancia de) citado G etafe y su p a r t i d o , lo que asi está m a n ­ El Sr. Fábregas, conocido ya ventajosamente del público por La C u ñ a d a . dado en su pro videncia, refrendada del escribano de su nú m e­ las diversas obras científicas que ha dado á luz, y por los ramos L os C o rte s a n o s d e D. J u a n n. ro D . Esteban M oraleda. de instrucción pública á que se…</t>
  </si>
  <si>
    <t>Fábregas, Antón</t>
  </si>
  <si>
    <t>Antón Fábregas</t>
  </si>
  <si>
    <t>…untual observancia en de profesores que de jóvenes principiantes, y después de haber tedas sus partes, dándole la debida publicidad á fin que lo Diferencia á favor de la p o b lació n . ....................... 1692 el alumno D. Antón Fábregas C aneny, que por casualidad se dueños y habitantes de las casas de campo y demas á quiene hallaba en la p izarra, pronunciando un sucinto pero elocuente comprende no puedan alegar ig n o ran cia, debiendo también acu­ Cádiz 27 de Ju lio de 1859. = Alejandro González V illa lo ­ d is…</t>
  </si>
  <si>
    <t>Fábregas, Sebastian</t>
  </si>
  <si>
    <t>Sebastian Fábregas</t>
  </si>
  <si>
    <t>…. en dicha sierra Umbría del Eslepar, término de B A L B I compendio de geografía universal, traducido del tica en Barcelona y demas puntos. En el acto de suscribirse se Dalias, Escarola, por Diego H errera, en 25. francés por D. Sebastian Fábregas. recibirá el primer tom o, debiendo entregar por adelantado ei Otra id. en sierra de Acenacas, cerro del Algarrobo, tér­ Los editores de esta interesante obra advierten á los señores importe del segundo, y asi sucesivamente. mino de Pulpí, Santa O laya, por Francisco Morales Ponc…</t>
  </si>
  <si>
    <t>…á ocho. se repartirá en la próxima semana. be , elevándose á la altura de ios tronos con su heroismo; Geografía, Carlos Moor, creando una especie de república de ladro­ nes; y en fin , Fiesco, muriendo asesinado por no seguir D. Sebastian Fábregas, id. id. de ocho á nueve. francamente la causa republicana, son clara muestra de Matemáticas elementales, TEATROS sus doctrinas; son la personificación de sus ideas, y la expresión mas amplia de ellas. D. José María Salazar, martes y jueves de cinco á siete. en PRINCIPE. escena…</t>
  </si>
  <si>
    <t>Féfix</t>
  </si>
  <si>
    <t>…s­ vincial ; el Excrao. Sr. D. Luis Soreh , presidente de la junta culo sagrado. Todo esto se aprende después ea virtud de análi­ pectáculo variado del campo en una hermosa mañana de pri­ de liquidación de la deuda del Estado; D. Féfix D ’Olh^berria- sis, raciocinio* y experiencias. mavera , ó en una tarde apacible del otoño? ¿ A l ver ei curso gus y Blanco, director de fa caja naciónál do Atuortisariroi; El hombre tiene el sentimiento innato de su dependencia, al eterno de lo* ríos? ¿L o a diverso* juego* de k§ fuente* y a…</t>
  </si>
  <si>
    <t>Fél</t>
  </si>
  <si>
    <t>…­ &lt;la idea de miedo. ¿ Q u i é a d u d a r á tampoco lo interesante que Cristina. lle está ocupado por el castillo n u e v o , que describiremos des­ c • al hombre en mu c h a s ocasiones el tener a g i l i d a d , destreza; D. Fél i x Gómez , de 11 años de edad , moni t or de la q u i n ­ p ué s, y el fondo de la escena ter mi na en la cadeoa de los r a ou- « c a s o , acaso pa r a salvarse de g ra ndes peligros ? E a el colegio ta clase , y D. L c o a Ne g r o , de edad de 12 a ñ o s , que lo es de tes Ap e n i no s .</t>
  </si>
  <si>
    <t>Féli</t>
  </si>
  <si>
    <t>…de c á ma r a , se d i r i ­ tado , que hasta el mas i n s i g ui ó .ante personaje e»tá si empre en mas a ba j a da s de i puebl o , pueden servi r tambi én para ensayos g i r á el que q u i e r a apr ovec har esta ocasión á D. Féli x de A g u r ­ su puesto?.... Entonces ¿ á qué hemos de repeti r esto m i s m o , si de les pri nci pi antes* Sobrado buc a concepte óos merece el señor r e , del comercio de S a n t a n d e r , consi gnat ari o de dicho buque.</t>
  </si>
  <si>
    <t>…asociación para presenciar y escribir en la mesa de la arena y encerado, en la lectura de la La sal ud de A b d u l - M e d j i d no es , como se d i c e , tan de l i ­ j uz g a r de los Exámenes sus señores i n d i vi du o s D. Féli x Gar cí a c lase, se ha hecho acreedor al pri mer premio de la tercera y ú l ­ cada y débil que le i m p i d a e m p u ñ a r las riendas del imperio. C u e r v a , D. Br a ul io G u i j a r r o , D. Tori bi o Gu i l l e r mo M o n - t i ma clase , que consiste en u a lazo de los colores de la…</t>
  </si>
  <si>
    <t>Félix</t>
  </si>
  <si>
    <t>…a Tempradc. Sr. D. Manuel de la Rivaherrera, Vicepresidente 1.° Sr. D. Salustiano de Olózaga. Sr. D. Joaquin Romero y Domingo. Sr. D. Santiago Azuela. Sr. marques de Someruelos. Sr. D. Ramón de Santillan. Lugo. Toledo. Sr. D. Félix M artin. Cáceres. Sr. D. Antonio María M iranda, electo. Sr. D. Julián Iluelves. Sr. D. Antonio Perez Aloe. Sr. D , Manuel Vázquez Queipo; &gt; Sr. D. Mariano Jaén. Sr. D. Gonzalo Carvajal y IIIloa. Sr. D. Gregorio Quiroga y Frias. Sr. D. Juan José ligarte. Sr. D. Rufino García Carrasco. Sr.…</t>
  </si>
  <si>
    <t>…gera diferida , con arreglo á la ley de 16 dé Noviembre de 18 5 4 , compuesta de su presidente el 65 , F .. 514 2057 á -2 5 7 0 • ' 4800 ' 2467200 ExcmOí'Sr. D. Antonio Barata , consejero de Estado , y de Ioí ! i Sres. vocales D. Félix D ’O lhaberriague y Blanco, director gene­ i ¡ ral de la caja nacional de Amortización , D Manuel Gonzales A llen d e, en representación del banco español de S. Fernando .6 ; L otes que comprenden 3681 Documentos de deuda difeirida premiados importantes. 5184800 y .D . José Ilig in io A rch e,…</t>
  </si>
  <si>
    <t>…nte, se dice con referencia al N a cion al I huega ha sido destruida completamente por los salvaguardias TEATROS. de Cádiz del 20 del anterior, haber llegado á noticia de I á caballo de esta provincia , al mando de su alférez D. Félix sus redactores: «que S. M. ha firmado una orden para que I Gusano , que habiendo salido de la capital en la m añana de ayer, CRUZ. A 1as ocho de la noche. Se pondrá en escena la vuelva á su antiguo estado el derecho de bandera en la I después de 14 leguas sin descanso alg u u o , la alcanzar…</t>
  </si>
  <si>
    <t>…jurado ha sido en la corte de España. (Courier.) López, individuo de la diputación provincial; el Excmo. Señor por unanim idad, [Constituíionnel.) D . Luis Sorela, presidente de la junta de liquidación de la deuda del Estado; D. Félix D ’Olhaberriague y Blanco, direc­ A yer noche se verificó el gran banquete y la fiesta ofrecida tor de la caja nacional de Am ortización; D. Dámaso Aparicio, á S. A. L el gran Duque heredero de R usia por el marques y procurador síndico del ayuntam iento constitucional de esta GRAN BRETAÑA. la…</t>
  </si>
  <si>
    <t>…R IZ: He dicho que no la he visto, (/''a- cial ; el Excmo. Sr. D. Luis Sorela, presidente de la junta de hubo toda la imparcialidad necesaria; pero no ve pruebas cla­ rias voces : N o , no.) liquidación de la deuda del Estado; D. Félix D ’OIhaberriágue ras de parcialidad. Señores, que no admitió emigrados. ¿Por El Sr. CA BA LLERO : El acta está con los demás docu­ y Blanco, director de la caja nacional de Amortización; Don, qué? ¿Porque no residían en el pueblo de su naturaleza? No es mentos. Dámaso Aparicio, procurador sínd…</t>
  </si>
  <si>
    <t>…os; esto prueba que el Sr. Fernandez rinde con su I provincial; el Excuso. Sr. D. Luis Sorela, presidente de la jun- ¡ memoria justo tributo á estos maestros de tan opuestas épocas. j ta de liquidación de la deuda del Estado ; D. Félix D ’Qihaber- ditada el autor come el Sr. Bretón, y que la censura solo debe usarse coa novel, con el que da sus pr;meros pasos por esa larga Para el lunes próximo se prepara el Felipe ii ó Isabel de ¡ I riague y Blanco, director de la caja nacional de Amortización; D. Damaso A paricio, proc…</t>
  </si>
  <si>
    <t>…e mérito no le ha faltado mucho an­ Sres. vocales D . Pedro Sainz de Baranda y D. Alejandro L ó­ Pena de los bancarrotas. tes que vosotros. No rehúsa seguiros en la senda de las ex­ pez, individuos de la diputación provincial; D. Félix D ’Olha- Eugenio Scribe , biografía contemporánea. periencias; pero sí quiere que se conserve su gramática, verriague y Blanco, director de la caja nacional de Amortiza­ Un casamiento ch in o, costumbres. ción ; D , Damaso Aparicio y D. Fernando Corradi , procura­ Soneto de D. José Zorrilla.…</t>
  </si>
  <si>
    <t>…D. Luis Almoina y Pardo; y para la de Calamocha, tribución de una rogativa de 40 dias, aprobada por el arzobis­ Estas proposiciones concebidas con la mira de conciliar las vacante también por renuncia de D. Carlos R ivera, á D. Félix po, la cual tiene por objeto rogar á Dios* por medio de la in­ opiniones y de llegar á una solución pacífica , no han reunido Rubio. tercesión de la Santa V irgen, la exaltación de la santa Iglesia, el voto unánime del Consejo; pues lejos de esto, la falta de con­ la conversión de los pecado…</t>
  </si>
  <si>
    <t>…q u e su p e ru vidida en dos trozos, de lós cuales uno iba mandado) por el te­ Si es al gefe de la rebelión al que sé ha querido castigar coA m an en cia h a b ría de d a r lugar. ^ ; niente de salvaguardias dé la provincia D. Félix G usano, y úna pena proporcionada según la sentencia por su grado dé 3.° La ración de pienso señalada á la clase de oficia­ él otro por el alférez del escuadrón franco D. Francisco A lvá- participación en el atentado, recuérdese él crimen dé Mr. dé les de ad m inistración m ilita r y del m i…</t>
  </si>
  <si>
    <t>…t in o , y otras que como este su troquel bastante deteriorado, po de las elecciones. dél Despacho de Ja Gobernación de Ja Peoíusula. y ios monogramas y exergos gastados valen poco. El Congreso queda enterado de un oficio de D. Félix M a r ­ Tres grandes bronces; uno de N e ró n , cuyo busto y carac­ Relación detallada de los objetos extraídos de las excavacio- tin , en que manifiesta que una dolencia de su esposa le im p i­ téres del monograma se ven m u y b ien , asi como en el reverso o egqve se efectúan en Itálica p…</t>
  </si>
  <si>
    <t>Félix, D.</t>
  </si>
  <si>
    <t>D. Félix</t>
  </si>
  <si>
    <t>…ulado DES* admitido , y franco el correo en la remisión. En las provincias Pastoral sobre la Biblia, un cuaderno en rústica 2 HONRA POR HERENCIA. estará abierta la suscripción en casa de los comisionados de la Vida del llrno. Sr. D. Félix A m at, arzobispo de Palmi­ Los repetidos aplausos que ha recibido en los centenares de agencia literaria. ra , un tomo en 4*° mavor................................................. representaciones que de él se han hecho en los teatros de Pa­ Se insertarán á precios convencionales los art…</t>
  </si>
  <si>
    <t>…se p re ­ sidad que tenia el pueblo español de una nueva traducción de suprimido los libros de Tobías, de J u d it, la Sabiduría, el viene á las corporaciones, establecimientos depend ientes la Biblia, presentaron á S. M. al Sr. D. Félix T añes Acnat co­ Edeúast. , Baruch y los Macabeos, ha creído de su deber re­ de su m inisterio, cuyos gefes y dem ás em pleados de R eal mo persona capaz de llev**- á cabo aquella ernpie&gt;;a,el cual por cordar á todos: que la Iglesia prohíbe con justicia la lectura de n om bram ien to se inc…</t>
  </si>
  <si>
    <t>Férnan-, Infanta Doña María Luisa</t>
  </si>
  <si>
    <t>Infanta Doña María Luisa Férnan-</t>
  </si>
  <si>
    <t>…z c u a r t o s . S. M. la R e i n a , s u augusta Madre la R e in a G o b e rn a ­ tantes de las montañas de Saffeth se han reunido á las cua­ de entrada en la aduana dé Lóndres, desde las dos hasta las d o r a y la Serma. Sra. Infanta Doña María Luisa Férnan- drillas de insurgentes. Se les ha atacado por orden de Ibrahim, pero sin resultado, creyéndose generalmente que sí no se des­ tres, y para las demas declaraciones, de una y inedia á tres, lo que es una mejora importante para las transacciones relativas al da, conti…</t>
  </si>
  <si>
    <t>Ga'rsi, Rátnón</t>
  </si>
  <si>
    <t>Rátnón Ga'rsi</t>
  </si>
  <si>
    <t>…á que me rem ito; y§ este pueblo en donde se hallaba el faccioso Carrera con todos para entregar á los síndicos, á fin de que puedan disponer su| sus cómplices y ^secuaces en número de 3400* Formé mi plan, ^ é d á co W tra *D. Rátnón Ga'rsi;^feditor responsable-déf períóífiGc inserción en la Gaceta delVeino , signó y firmo el presente. Cá-f di las órdenes respectivas, y la píaza fue atacada con iut*¿pidez ' iX &amp; uirtgáy , por dénúrrcíá dé úú ártícÓló injertó en el núme- diz 18 de Febrero de l8 3 9 .= D o y fe.=Ricardo Le…</t>
  </si>
  <si>
    <t>Ga, Meliton</t>
  </si>
  <si>
    <t>Meliton Ga</t>
  </si>
  <si>
    <t>…tiempo si debía mado Obispo, natural del mismo pueblo. colocarse entre las novelas ó entre las epopeyas. Su objeto .El 1 9 , que invadió Palillos la casa de los Hervideros, que cons­ El alférez del escuadrón ligero de Madrid D. Meliton Ga­ conocida, muy distante de la futilidad del género de S c u ­ truyó el príncipe rebelde, y guarida habitual de los enemigos, llego , destacado con 14 caballos en Villatobas, noticioso de que fue seguido.por varias columnas, y la 5.a (comandante Pára­ d e r y , era nada menos que e n s e…</t>
  </si>
  <si>
    <t>Ga-, Valentín</t>
  </si>
  <si>
    <t>Valentín Ga-</t>
  </si>
  <si>
    <t>…El soldado qui­ do Brockmann , D. José Soiis y D. Manuel Docavo. hombres entre soldados y marineros, d e m odo-que el gol­ so responder con un bayonetazo, pero se lo impidieron los que Materna ti jas. D. Guillermo Macpherson, D. Valentín Ga- j fo de Lepanto estuvo por algunos dias temido de sangre* le rodeaban. larza , D. Manuel Maderne y D. Jaime Santacana. El pintor fue preso y conducido á la cárcel de Boun Go~ Primer año de filosofía. D. Anselmo Mateo y D . José Toda la Europa resonó con gritos de victoria y alabanzas…</t>
  </si>
  <si>
    <t>Ga-r</t>
  </si>
  <si>
    <t>…ento y otras autorida­ SECCION DE LITERATURA. por lo tanto se habia abstenido de emitir opinión alguna sobre des y personas invitadas.,Siguió la expedición hasta mas allá la materia; pero á pesar de eso le habia combatido el Sr. Ga-r^ del Portal de Jerez , y volviendo desembarcaron en aquel sitio, Sesión del viernes 22 de Febrero . liano creyéndole sectario de una ortodoxia literaria de que no en el cual se hallaban también las autoridades de Jerez y otras pudo haber dado el menor indicio. El Sr. Galiano, continuó, El tema…</t>
  </si>
  <si>
    <t>Ga.v-, Víctor García</t>
  </si>
  <si>
    <t>Víctor García Ga.v-</t>
  </si>
  <si>
    <t>…de concederle Humanidades. D. Ernesto Brockinann y D. Anselmo Mateo. exclamó en un religioso éx tasis: F u it hamo missws á D so gracia plena y entera , despucs de una detención preventiva de Dibujo. D. Guillermo Macpherson , D. Víctor García Ga.v- cajas nomen erat Jo a n m s . mas de un mes. ton, D. Ramón Viilaiba, D. José Gómez y D. José Garrido. E l uso de galeras para batallas navales parece que cesó Música. D. Jaime Santacaua , D. Fernando Gargollo, Eion después de la acción de L ep anto: pues vemos que el fa­ Salva…</t>
  </si>
  <si>
    <t>Gabanes</t>
  </si>
  <si>
    <t>…en 1500 r s ., y en renta en 45. De Bruselas nos escriben con fecha del 9 : rante. Otra de cinco fanegas y media en término de Chamartin Se asegura corno cierto que el Gabinete se presentará en las Tengo el honor &amp;C.—EI cura de Gabanes, Galibert. y sitio de la Alcubilla, linda á Oriente con tierra de los here­ támaras en el estado en que se encuentra ¿ y que no se com- La carta de este venerable eclesiástico,y sobre todo las úl­ deros de Domingo A gui, y al Mediodía con tierra de la cape­ )letará hasta que haya concluido l…</t>
  </si>
  <si>
    <t>Gabinete</t>
  </si>
  <si>
    <t>…y conformada Títulos al portador del 4 Por 1 00 , 00. español; la correspondencia seguida entre Chateaubriand y el la dilección con esta idea quedan definitivamente arregladas es- Vales Reales no consolidados, 00. Presidente del Gabinete francés Mr. de Villele sobre la oportu­ las definitivamente. Deuda negociable de 5 por 100 á papel , 00. nidad de la guerra ; las intrigas del famoso O ubrar en Verona También se ha atendido en contestar á diferentes consultas Idem sin ínteres, 5£ al contado: 5 l y 5^ á 60 d. f. ó vol.: y…</t>
  </si>
  <si>
    <t>Gabriel</t>
  </si>
  <si>
    <t>…cuyo interés habia de comenzar en 1.° ta Doña Carlota con D. Juan, príncipe del Brasil, y del 1 pe lo hubiese imaginado, no hubiera mandado á su general de Abril siguiente ,'á cuyo período se puso eft circulación uná infante D. Gabriel con Doña Mariana de Portugal , tuvo pedir el tal perdoó. nueva suma de 5 .580,000 pesos. Resulta pues que L d^uda rx- ya Carlos m pensamiento de que se reuniesen un dia los La rebelión de losPaises Bajos empezó á manifestarse en 1560. trangera de Méjico montará en 1.° de Abril de Í 856 á 4…</t>
  </si>
  <si>
    <t>…agradable nueva de los recientes triunfos al­ canzados por el tjercito del Norte en los campos de Elizondo y des que la misma previene, tocó á los sugetos siguientes: Don TEATROS. Antonio María Corbalan , D. Aotonio Redondo, D. Gabriel U rdax; y para solemnizarla de un modo conforme á su alta importancia, el ayuntamiento de esta capital acordó se cele­ de la Calle M a c ía , D. Ju lián Ja v ie r , D. José María Vildosola, PRINCIPE. A las siete y media de la noche. Después de brasen los regocijos y festejos públicos que…</t>
  </si>
  <si>
    <t>…la nación como Cárlos m , era por eso tros participasen de las mismas ideas, y esto parece mas natu coniieuen la completa derrota de los facciosos que á las órdenes mas necesario de Mejía atacaron la división del Sr. general D. Gabriel V a­ ción. Para ello ocuparse se necesita de su reinado con escrupulosa deten­ ral, que atribuirlo sin otros datos á desprecio ó aversión. Re­ no so|o buen juicio, sino prodigiosa unidas por ellos y con un Monarca como Cárlos it i , los pro­ lencia en la hacienda de S. Miguel. Si es satis…</t>
  </si>
  <si>
    <t>…p ro ­ vincia de Lo gro ño , el cual no ha podido ser habido para pren­ R egid ores electos. derle. A l efecto exhorto y requiero á todos los Sres. jueces del E L D E L A T O R ó L A B E R L IN A D E L E M IG R A D O . 1.° D. Gabriel M aría de Orbegozo. reino de parte de la Reina N. Sra. (Q. D. G.), c u y a ju r is ­ T erm inará la función con baile nacional. 2 o D. J u a n Ramón de Arana. dicción en su Real nombre ejerzo, y de la inia les pido y en ­ 5.° Eugenio de Lezama Leguizamon. cargo , que tan pronto como tenga…</t>
  </si>
  <si>
    <t>…os en favor del bien público, rez, D. Nicolás Castellano , IX Pablo P rie t o , O. Genaro C a­ enemigos. Los primitivos fieles se congregaban en secreto, no sino por ser mas audaces, mas astutos , mas diestros en preva­ ch o , D. Gabriel A z c árate, D. J u a n S u arez , D. M anuel Be­ para aspirar á la dominación , sino para libertarse de los tor­ lerse de la ignorancia ó credulidad de los que les obedecen y nito Fernandez, D. Francisco A rango y D. M a rtin Montes, á mentos; pero antes que rebeldes, preferían ser mártires…</t>
  </si>
  <si>
    <t>GAL</t>
  </si>
  <si>
    <t>…or turno el uso de la palabra al Sr. Ros y (Ma­ no, se la cede, y dice frido el cambio mas feliz, debido primero á la derrota de Cál­ vente y después á los infatigables desvelos y acertadas disposi­ L A ESTRELLA DE ORO. El Sr. G A LIA N O : El Congreso es testigo de con cuán poca voluntad entro en este asunto; hubiera deseado seguir en ciones de este comandante general. Posesionado apenas de su silencio, porque mi voz no es digna de ser oida entre la de destino marchó inmediatamente á la villa de Moinbeltran y Se estren…</t>
  </si>
  <si>
    <t>Gal, Francisco</t>
  </si>
  <si>
    <t>Francisco Gal</t>
  </si>
  <si>
    <t>…l l e r mo M o n - t i ma clase , que consiste en u a lazo de los colores de la bandera A b d u l - M e d j i d es m u y j o v e n , p a r t ic u l ar i da d que no d e j i de re a l , D. J u a n M a n u e l de L i na r e s y D. Francisco Gal vez, naci onal . c ausar i n q u i e t u d e s , sobre todo si se c ompa r a su edad con el quienes mani festaron á la sociedad lo satisfechos que ha bí an D. Blas L ó p e z, cinco años de e d a d , número siete de la p r i ­ inmenso peso del i mper i o otomano que carga sobre sus h…</t>
  </si>
  <si>
    <t>Gala-</t>
  </si>
  <si>
    <t>…tado i este Conseja» En esta do puede ha­ este última cuerpo fueron los que en el «raes de Agosto de 1851 hizo v er, y rao tarde, y lo confies© con sinceridad * que la insti­ ber disputa, coaud© era el proyecto que propone el Sr. Gala- ©pusieron tara fuer le resistencia á los esfuerzos de tres divisio­ tución del Consejo de Estad© fue rano de líos mayores desaciertos nes holandesas. que pudieron cometerse. Lejos de mí toda idea que pueda parecer Ira va adopto esta misma de no® i nación,. Tu rabonat se baila ocupado por un e…</t>
  </si>
  <si>
    <t>Galan, Petronila Luisa</t>
  </si>
  <si>
    <t>Petronila Luisa Galan</t>
  </si>
  <si>
    <t>…rias y Prada , viuda de D. Juan Rosen­ viese en prisión; mas pareciéndole que la prisión seria do González: D &gt;ña Teresa y Doña Josefa Camacho, hijas de para este, que era un jornalero, de menos importancia que D. Bonifacio: Doña Petronila Luisa Galan , viuda de D. Jo ­ para el como hacendado, habia dejado seguir el curso de la las MercedesPicó: sé Ramón Doña Francisca de Paula y Doña María de I IBRO^.rzPublicaciones nuevas.—La autoridad Real, según Márquez de la Plata , hijas de D. Rodrigo: Doña las leyes divinas y natura…</t>
  </si>
  <si>
    <t>Galardi, José Agustín</t>
  </si>
  <si>
    <t>José Agustín Galardi</t>
  </si>
  <si>
    <t>…reso recordará que tra los enemigos de la causa constitucional; e&gt;as person ¿9 han discusión. cuando tuve el honor de hablar sobre la misma materia, hice vuelto al momento, los deportados 110 . Cuando se imponen me­ Nüm. 68. D. José Agustín Galardi, por sí y como cura­ presente al Gobierno que mis deseos eran que cesasen en sus des­ didas contra los carlistas, no se invocan tanto como cuando dor de su sobrino menor D. Luis Manuel G alardi, después de tinos los confinados. Pero tengo motivo para decir que esta pe­ se aplic…</t>
  </si>
  <si>
    <t>Galarza, Fernando</t>
  </si>
  <si>
    <t>Fernando Galarza</t>
  </si>
  <si>
    <t>…ano Ibañez, juez de Olmedo: para esta ju d ic atu ra , de igual tres piezas gruesas en batería. La inteligencia y el celo del bri­ I cieron aquellas moles hasta los cimientos, quedando yo satisfe- clase en la de Valladolid , á D. Fernando Galarza , que lo es de gadier D. José P a u lin , y los esfuerzos, buena voluntad y ejem­ í cho de la buena dirección é inteligencia desplegada por el co - A lc añ ice s, de la misma dase en la provincia de Zamora : para plo de los oficiales de a r tille r ía , allanaron todos los obstáculo…</t>
  </si>
  <si>
    <t>Galarza, Manuel Maderne y D. Valentín</t>
  </si>
  <si>
    <t>Manuel Maderne y D. Valentín Galarza</t>
  </si>
  <si>
    <t>…tan­ dado. tos libres.,, (l) Propiedad latina. D. Anselmo M ateo, D. José Saochez, Uchalí se escapó con las galeras que m a n d a b a r en n u ­ Escriben de Piorna. El 6 de Junio último, octava del Corpus, un joven pintor D. Manuel Maderne y D. Valentín Galarza. mero de 30. El resultado de esta m em orable jorn ada fue francés se encontró con una de 1as numerosas procesiones que Idioma francés, D. Ramón Yillaiba y D. Juan Pablo L a ­ la toma de 130 g a l e r a turcas, y m ayor el num ero de las en este dia recorren la…</t>
  </si>
  <si>
    <t>Galarza, Valentín</t>
  </si>
  <si>
    <t>Valentín Galarza</t>
  </si>
  <si>
    <t>…n la quedó sin embargo reducida á la de los procedimientos de he­ cio Fernandez de la Somera. soberanía de aquellas provincias: D. Ju a n la reh u só, y cho cometidos contra un militar en ejercicio de su misión. El Comercio. D. Valentín Galarza , D. Ignacio Fernandez de partió luego á la conquista de Túnez. Guando el Papa oyó tribunal sentenció al acucado á un año de prisión ; pero á pe­ la Somera y D. Manuel Maderne. las noticias de una victoria tan gloriosa para la cristiandad tición de la embajada francesa el Papa aca…</t>
  </si>
  <si>
    <t>GALATRAVA</t>
  </si>
  <si>
    <t>…por k causa de la libertad refirió 9 pagando ría del gravamen que tiene, suelo de cesa o lito un tribu te de justicia á los Bn.a»es de caá tro hijos de la Doña El Sr. ISLA F E R N A N D E Z : El Senado "habrá oído que E l Sr. G A L A T R A V A : Puesto qne so está presente el se­ M uría D olores, muertas es defensa de h patria.. el Sr. Meros no lia hablado de la cuestión ; dioica, mea te ha tra­ ñor M in istro de Hacienda, do me haré cargo de una poco cor­ Los Sres. Cara Ibronero y M adoz, xnaaífestoiido qoe la co- t…</t>
  </si>
  <si>
    <t>GALATRAYA</t>
  </si>
  <si>
    <t>…dado i -esta disensión el giro que correspon­ meate ea los cuatro' primeros; meses de 1839... dad , teniendo un total de deuda. que podía considerarse como día» y la prueba de ello era qoe los unos se había# opuesto i la, El Sr. GALATRAYA, sis impugnar d fondo del articu­ me cobrable. idea principal del 'proyecto; y los otros, aun admitiéndole^ creían la , rogó á la coutistoa que se sirviese hacer aquella aclaración Examisaiado en seguida él sistema, qne ¡se) presentaba para que estaba tas mal desenvuelta en los ¡artícelos…</t>
  </si>
  <si>
    <t>Galbois</t>
  </si>
  <si>
    <t>…o inferior al calculado por el escaseces; pero la guarnición francesa no carece de nada. convocado para examinar los principios y las autoridades en expresado número de años. El año de 1858 tuvo la misma tem­ El teniente general Galbois ha distribuido varias tierras a que apoyaba su defensa, tuvo que ceñir su discurso á la cues­ peratura media que 1805 y 1 8 5 0 , aunque con diferente dis­ la guarnición, y en la actualidad h a y á corta distancia de Cons­ tión. tribución de calor en sns estaciones. Toinaudo desde 1.° de D i…</t>
  </si>
  <si>
    <t>…cia y del desarrollo del estableci­ miento de S e tif , queda en adelante asegurada la tranquilidad En V iena todo el mundo pregunta si el viaje del duque de L ó n d res 16 d e N oviem bre. de esta parte de la colonia. El general Galbois ha debido llegar Burdeos se ha verificado sin anuencia de los Gobiernos austría­ el 2 ó el 5 de Noviembre á Setif. Un cuerpo de reserva se h a­ co y francés. En Goritz se han concebido algunos temores, pues A las cu a tr o . Consolidados á cuenta , 9 0 § ó 4. llaba reunido bajo las murallas…</t>
  </si>
  <si>
    <t>…del quilidad. Al saber ios gefes de mayor influencia la declaración reunidas 2 5 años hace para resistir, en una santa alianza 9 para poder de u * modo precipitado; pero hay ardiente* partidarios de guerra, han escrito al general Galbois, protestando de su contener los movimientos de los pueblos de O ccidente, asistían de su basdo que están impaciente* por llegar cuaato astea á fidelidad á la Francia. Los kabilas han recibido con mucha fria l­ á la promulgación, á la lectura del programa de la revolución dad á los emisarios…</t>
  </si>
  <si>
    <t>Gali</t>
  </si>
  <si>
    <t>…campo D. Laureano Sanz, comandante general y e g u a , tres retacos y tres escopetas, con otras a rm a s, m un icio ­ juzgado m ilitar de esta p laza, situada eu el Postigo de San de Burgos, vengo en nombrarle capitán general de Gali­ nes y efectos &gt;quedando muerto en el campo el famoso E varis­ M a rtin , núm . 7 , piso bajo, con el fia de hacerle saber cierta to , a lias el mudo de G ran átula. providencia jud icial. cia, en reemplazo del de la misma clase D. Antonio Seoa-, Que en M anzanares efectuaron otra salida los…</t>
  </si>
  <si>
    <t>GALI</t>
  </si>
  <si>
    <t>…yo creo que el gar se ha dicho ayer que estas operaciones de la caja no pue­ jetarlo á reelección. Sr. conde de Toreno se resentiría de que no se le dejase sujeto den perjudicar á nadie. Señores, todo el mundo conoce las El Sr. G A L IA N O : Señores, este es un asunto sumamente á reelección, y bajo este punto de vista es como miro yo la ventajas del crédito; á ellas se deben los progresos que ha hecho sencillo, sintiendo sobremanera disentir del dictámen de la co­ cuestión. El Sr. conde de Toreno está en el caso de recib…</t>
  </si>
  <si>
    <t>Gali, D. Antonio Satorras. Sr. D. Pablo</t>
  </si>
  <si>
    <t>D. Antonio Satorras. Sr. D. Pablo Gali</t>
  </si>
  <si>
    <t>…nio Flaquer. Sr. D. León Ilerques. 7 1arragona. Sr. D. Carlos de Martí. Sr. D. Santiago Alonso Cordero. Sr. D. Baltasar de Toda. Sr. D. José Almirall. Sr. Sr, D. Joaquin Borras. Sr. D. José G ispert, Secretario 5.° Lérida. Sr. D. Antonio Satorras. Sr. D. Pablo Gali. Sr. D. Juan Anguera. Sr. D. Pedro Moret. Sr. D. Antonio Viadera. Sr. D. Miguel de Córdoba. Sr. D. Ramón dé Bacardí. Sr. D. Pascual Madoz. Sr. D. Ramón Salvato. Sr. Teruel. Logroño. Sr. D. Ambrosio Sánchez. Burgos. Sr. D. Miguel Alejos Burrie!. Sr. D. Pa…</t>
  </si>
  <si>
    <t>Galiano</t>
  </si>
  <si>
    <t>…andes progresos, quedan reducidos casi siempre á la tarea Sr. Lasagra de vario* ramos de moral y educación pública; y valor y algunas armas, esperando de la decisión y lealtad de útilísima pero poco gloriosa de conservar. el Sr. Galiano ha explicado derecho político. estos habitantes concluirá» su existencia esta, infame gavilla de Nadie tachará de vanagloria al Ateneo de Madrid , si re­ El público, que con tanta asiduidad ha asistido á las ex­ asesiuos en esta benemérita provincia. clama uno de los primeros puestos, entre…</t>
  </si>
  <si>
    <t>…eso de Verona. Guerra de España. Negociaciones. españolas. Obra escrita por el vizconde de Cha­ teaubriand, y traducida al castellano por D. Cayetano Cortés. un cierto sabor a Morado, que al momento se peicibe. INo tir del Sr. Galiano, Picard es quien mas se acerca al m é ­ Ocioso seria encarecer el interés é importancia de una obra como lian (altado con todo críticos de cuenta, que ieconociendo rito del escritor que analizamos. Tal es, conceptuamos, nuestro Moratin; poeta con tí­ esta, tan rica en revelaciones y descu…</t>
  </si>
  <si>
    <t>…embarcaron en aquel sitio, Sesión del viernes 22 de Febrero . liano creyéndole sectario de una ortodoxia literaria de que no en el cual se hallaban también las autoridades de Jerez y otras pudo haber dado el menor indicio. El Sr. Galiano, continuó, El tema señalado para la conferencia era el exámen de las fia apoyado algunos dramas porque en ellos se vea quebranta­ personas.xonvidadas, y varias mesas cubiertas de manjares que unidades dramáticas propuesto por el Sr. Segó vía , á quien das las reglas; pero no por eso ha prob…</t>
  </si>
  <si>
    <t>…gas radi­ plos palpables en las tragedias de Racine y de Corueille. calmente, á 2 rs. : para desterrar los sabañones á 2 rs. pastilla: H asta ahora han salido á lu z 11 núm eros de este periódico» Concluida la ampliación del Sr. Galiano, y juzgándose con­ fosfores de cristal , á 4 rs* ciento: apreciable líquido para Se ve por una sim p le lectura que el redactor tien e por o b jeto, veniente trasladar la conferencia á otra sesión, se dió por ter- quitar toda clase de manchas y la mugre de los cuellos, á 2 como lo ha in d ic…</t>
  </si>
  <si>
    <t>…ienhechor. De consiguiente yo creo que estas conside­ que se conceda facultad á la caja de Amortización para hacer que resulta haber recaído providencia en cierta causa pendien­ raciones no pueden pesar tanto en el ánimo del Sr. Galiano co­ operaciones extraordinarias de crédito, y que lejos de producir te para la prisión y embargo de bienes de un Sr. Diputado. mo en el inio, que lejos de disminuirse crecen con el tiempo; esta facultad ventajas , produce inconvenientes. El Sr. SEOANE pidió se leyera dicho testimonio. pero…</t>
  </si>
  <si>
    <t>Galiano, Alcalá</t>
  </si>
  <si>
    <t>Alcalá Galiano</t>
  </si>
  <si>
    <t>…d tan justa­ es difícil el conciliarias. mente celebrada. También deseo esteis íutimamente persuadidos S ev ero, si bien ilustrado y erudito crítico, se mostró de cuánto es mi entusiasmo por la acogida que se me ha hecho el Sr. Alcalá Galiano con Moratin: mas indulgente y casi en Inglaterra; y como la parte principal de mis estudios es la de apasionado por la fama del autor del Sí de las Niñas es­ H U N G R IA . las leyes de las diferentes naciones, me contemplo feliz y aun en­ tuvo el Sr. P id a l: y conciliador cual s…</t>
  </si>
  <si>
    <t>…on­ «cha de menos donde mas debiera hallarse. Este unánime senti­ tal quebrantamiento de los mismos. junto de una composición de cualquier naturaleza que sea, miento apareció unísono en todos los brindis que se sucedieron, El Sr. Alcalá Galiano9después de aplaudir la modestia del cuando, carece .de, la unidad indispensable. Y que si bien no m e­ «o que después de los usuales entre patriotas españoles recorda­ Sr. preopinante, á través de la cual dijo se descubría su cono­ recen ser observadas con todo rigor las de tiempo y l…</t>
  </si>
  <si>
    <t>Galiano, Antonio Alcalá</t>
  </si>
  <si>
    <t>Antonio Alcalá Galiano</t>
  </si>
  <si>
    <t>…Joaquín Francisco Pacheco, D . Ramón Ortiz Otañez........................... 10 derecho penal. o . de v ............................................................................... y y y 20 recho político. ocho á nueve , D. Antonio Alcalá Galiano , de­ Idem.inDe 20 D. F. G ....................................................................................... CRUZ. A las siete y media de la noche. Se ejecutará una D . S. V. y M .............................................................................. 40 Miérc…</t>
  </si>
  <si>
    <t>Galicia</t>
  </si>
  <si>
    <t>…habiendo hecho la guerra en Cataluña Se lee en el Globe. mucho tiempo. {E, de A .) Anunciamos con sentimiento la muerte del duque de Bed­ ford, cabeza de la ilustre casa de Russell, verificada el domin­ El capitán general de Galicia dice con la misma fecha que go último á la una del dia en sus posesiones de Escocia. Tenia el coronel D. Nicolás de Luna con su columna dio alcance á 74 años, y nació el 6 de Julio de 1766. Entró en el goce de MADRID 1 .° DE NOVIEMBRE. los facciosos á la inmediación de Feas , siendo el resul…</t>
  </si>
  <si>
    <t>…e labranza necesarios para el culti­ picios; ademas , el Gobierno adquiría al cabo el derecho vo. Ademas hay que tener en cuenta que la tierra nueva­ de 110 pagar nada, habiendo verificado las entregas con­ Capitanía general de Galicia.—Estado m a y o r: Ayer se pre­ mente confiada á sus manos produce muy poco en los pri­ venidas durante 16 años. sentaron en Sarria para disfrutar de la gracia de iodulto el ti­ meros años inmediatos al desmonte. Nuestra intención al trazar este ligero bosquejo ha tulado capitán D . Antonio…</t>
  </si>
  <si>
    <t>…a de las Tejas, término de V iato r, L im ­ PARTES. habitar , causándoles la pérdida de dos muertos, siendo uno pia y P ura, por D. Manuel D iaz, en 17. Otra id. en Sierra de Gador, barranco de Juan Alonso, El capitán general de Galicia participa con fecha 26 de Vicente López, de la Fuente del Fresno, alias Tiña , desertor término de Almería , Purísima Concepción, por D. Manuel Enero últim o, que el comandante general D. Joaquín Cayueia de coraceros, y cogidoles cinco caballos y una yegua , buenos, G alluzo, en 18. dispersó…</t>
  </si>
  <si>
    <t>…ndría su existencia El duque de Cleveland fue ayer recibido caballero de la or­ en peligro: en este caso no le faltará el apoyo enérgico de la den de la Jarretiere. Sir Williarn, rey de armas, arrodillado, El capitán general de Galicia dice en comunicación del 26 Rusia ; y Mehemet Alí, á pesar de todas sus alianzas con las tenia la jarretiere que tornaron los duques de Sussex y de Cam­ del anterior que aquel dia habia recibido dos partes del co­ Potencias marítimas, se verá en lá necesidad de entrar en los bridge, los dos…</t>
  </si>
  <si>
    <t>…l orden que sigue: «El Sr. Secretario del Despacho de la Guerra dice con la augusta mano de Y. M ., que aun en medio de las convul­ jes. Los gefes de las principales casas de comercio de aquella esta fecha al capilan general de Galicia lo siguiente: He elsiones políticas que nos han circundado, ha sabido adquirirse ciudad han firmado la petición dirigida al Ministro de Marina renombre de tutelar de todos los españoles, lleoaudo de ad­ dado cuenta á la Reina Gobernadora de la exposición en miración á ios leales, y de conf…</t>
  </si>
  <si>
    <t>…e el remate se ha de verificar el dia 27 del corriente, El clero español en 1859 (artículo dign o de leerse.) aparato correspondiente. i las doce de su mañana, en la sala de juntas del almirantazgo Com unicado de un Sr. abad de Galicia sobre la alusión he­ que está establecida en la casa llamada de los Consejos, piso cha del Madrideño en el Discurso canónico» legal. prin cip al, á presencia del Sr. D. Pedro Julián A u p etit, au di­ Noticias extrangeras. tor de M a iiu a , honorario de Guerra y asesor general del ramo Id…</t>
  </si>
  <si>
    <t>…ho de navegar sobre el «El Sr. Secretario del Despacho de la Guerra dice con Plombiere-., donde y a están M M. Mole y Montaiivet. Mr. Thier M editerráneo, y que ademas sus órdenes eran precisas. esta fecha al capitán general de Galicia lo siguiente: se encuentra en Cantcrets; Madama Duchatel en B a g n e r e s ;M r El almirante Lalande volvió á bordo y dio orden inmedia­ He dado cuenta á la Reina Gobernadora de la exposi­ Jacquemmot ea Boa a ; y el general Bernard en Balaroe. tamente al buque de vapor le Papin de que part…</t>
  </si>
  <si>
    <t>…ual espero que merecerá la aprobación de Por el parte periódico que coa fecha del 27 ultimo d irig e el Entrerios , y atacar la retaguardia de estos , procurando cortar­ todos mis queridos súbditos.” ( Globe.) capitán general de Galicia , aparece que las columnas de operacio­ les la retirada y el paso del r i o , en caso de que fuesen derro­ nes y demas tropas de aquel pais han conseguido causar al ene­ tadas y perseguidas por Rivera. (T im es.) migo 15 muertos, cogerle 25 armas y cinco caballos, h ab ién ­ dose presentado…</t>
  </si>
  <si>
    <t>…ARIA DB ESTADO CUceres 2 57724 107900 neral, que el beneficio de trasbordo concedido en Real Y DEL DESPACHO DE LA GUERRA. Córdoba 60 1242965 2957816 orden de 15 de Agosto último, se amplíe con las formali­ El capitán general de Galicia con fecha í.° del actual, re­ Castellón 8 202905 654500 dades y precauciones en ella establecidas, no solo á los firiéndose á un parte del comandante general interino de la Ciudad-Real 1 171000 213000 buques que procedentes de Terranova toquen en otros pun­ provincia de Lugo, dice: que not…</t>
  </si>
  <si>
    <t>…zmente nos rige nardo María Rignon.zdPor la clase de sargentos de infantería y gratitud sincera á cuantos han contribuido á llevar á cabo l¡ y artillería, Ruperto R.3guette.“ Bautista PereUó.nFrancisco Ga- El espitan general de Galicia da parte desde Lugo con fe­ grandiosa obra de la reconciliación, que nos proporciona la tai José iiano y Campos.=Por la clase de cabos de infantería y artillería, cha 4 del actual que el coronel comandante de los cantones de suspirada paz, y promete una verdadera y sólida felicidad. Romague…</t>
  </si>
  <si>
    <t>…ea saldrá esta ncche. déla administración pública , continuando los trabajos princi­ Cuatro compañías sueltas de militares han salido esta m a- piados por los anteriores ministerios, á fia de atender de un El capitán general de Galicia con fecha 50 del anterior y \ ñaña , y en todo el dia se han armado seis mas que deben salir modo eficaz á la prosperidad de los pueblos y á sus usas urgen­ 1.° del actual dice, que desde su parte del 26 las columnas que 1] esta noche. Aqui no quedan mas tropas que las necesarias para tes n…</t>
  </si>
  <si>
    <t>…la suerte con perjuicio del ser­ ACTAS DEL GOBIERNO. vicio algunos caballos de los que deben tener ingreso en la que Elunacapitán batida caballería del ejército por no ser de los exceptuados por dante de la columna general de Galicia con fecha 2 del actual dice practicada el 29 del mes anterior por el coman­ a ley, se lia servido S. M. mandar que poniéndose de un faccioso de caballería de Cabruy, dió por resultado la muerte de REAL DECRETO. icuerdo el inspector general de caballería con los capita­ monturas, armas y o…</t>
  </si>
  <si>
    <t>…izabal. ridad, igualmente la garantiza durante las tempestades po­ líticas. PARTES RECIBIDOS EN LA SECRETARIA DE ESTADO Mi opinión, bien lo sé, no cuenta en la Cámara numero­ y DEL DESPACHO DE LA GUERRA. El capitán general de Galicia con fecha 5 del actual trasla­ PARTE NO OFICIAL. sos partidarios; pero ella es en mí el fruto de una profunda convicción. Yo ignoro si las convicciones ministeriales se ha­ llan tan sólidamente establecidas; pero 110 puedo menos de se­ da el parte que ha recibido del comandante general in…</t>
  </si>
  <si>
    <t>…los cristianos de vuestro país, '/ entonces podréis volver á él, Y DEL DESPACHO DE LA GUERRA. los atacaron eo gran vigor. El comanda de las tropas fran­ pues que Dios nos ha prometido siempre la victoria. El capitán general de Galicia da parte con fechas 4 Y 5 del cesas iateetó haberlas formar el cuadro y refugiarse asi ai cam­ (Moniieur.) actual de haberse presentado á indulto 20 rebeldes, contándo­ pamento; pero este movimiento, ejecutado con irresolución, tue se entre ellos los cabecillas D. Do mingo Agrias Castro Y…</t>
  </si>
  <si>
    <t>…y memoria en el pais. Traición fue el limo, y Excmo. Sr.: Tengo el honor de pasar á manos de grito de algunos del ejército de Santa Cruz, aunque el resulta­ V . E. la copia del oficio del mayor Luna, comandante dé la general de Galicia. do ha sido funesto para ambas divisiones. quinta sección militar, que me ha dirigido con fecha de h oy , A los cinco dias por la noche entró dicho general en Lima en la cual me participa la muerte del guerrillero Rachado por acompañado de solos cuatro oficiales y otros tantos soldados, l…</t>
  </si>
  <si>
    <t>…áxim o de las de guerra, donde acostumbran ir los convoyes, se presentaron delante de a liona b l e Jpor el tesoro público, para sí y sus seis hijos Lucena j y sostuvieron mucho tiempo un vivo fuego con su El capitán general de Galicia dice en 6 del actual que el huérfanos; quienes asi como la m adre p e rd e rá n él d e re­ guarniciori y Nacionales; mas al arrojo de estos tuvo que ceder faccioso José Lombardia fue‘muerto en la resistencia que hizo ch o á gozarla en los casos y tiem pos que p a ra las del m on­ el enemig…</t>
  </si>
  <si>
    <t>…o Jos tribunalps[? y pro-; Áútonio Cáiron y D i Juan Bautista Cozzer. mover la mas pronta administraciqn.^éúu^^ (ídO , ; E n t r e g á * d e l fneS d e N O V IE M B R E á á te r io t. / Real decreto nombrándd capitán general de Galicia al maris-j "44.,1, - cal de campo, D. Antonio Seoanev(Núm. 14 *9 9.) . , E n el despachoJd« dicha lm p ren ta se halla d e vem a W Real orden relativa al sistema administrativo de todos los pre­ citada entrega á 3 rs. ^ tanto en 'ram a; eofao e n rástica; C R ÍI? . Á las Séte, ¿fe la nóché…</t>
  </si>
  <si>
    <t>…hos, empezará el 15 de examinado con emoción la cuna de eu abuelo, y ha parecido Julio. muy complacido al contemplar la vista que se descubre desde El Sun que hemos recibido por extraordinario refiere los El capitán general de Galicia trascribe el 9 una comuni­ lo alto de la torre de Gastón Phoebus. pormenores siguientes: cación del comandante general de L ugo, fecha del 7 del actual, Después de haber visitado S. A. R. otros diferentes esta­ Birmingham 5 de Julio. A las diez de la noche de ayer el en que participa que e…</t>
  </si>
  <si>
    <t>…s contenidos, y des­ cargos é impugnaciones á tales papeles, por él capitañ general de Andalucía y gobernador de Cádiz. Expurgo de voluntarios realistas en varios puntos, y co­ municaciones interesantes del capitán general de Galicia con el TEATROS. PRINCIPE. Hoy uo hay funcio#. % 1 ’ r . •r Gobierne sobre el particular. * Fuga deí administrador general del cabildo de Zaragoza con grandes caudales. ‘ v p ro v id en cia s j u d i c i a l e s .;;/ Preparativos de sublevación en varios puntos de Aragón y Rió ja, y ma…</t>
  </si>
  <si>
    <t>…eqns, y que salió de Tampico el 18 tido. El ha pagado ya tantos crímenes espirando en .el patíbulo hecho prisiónero 11 de M ayo, la noticia de que en efecto fue el general Urrea, y llevado á la capital de El capitán general de Galicia dice desde Santiago el 15 de que habia merecido. Méjico herido. Igualmente se asegura por muy cierto que las este mes, que el 9 fue atacada por el destacamento de Cástrelo S. E. el Presidente regresará mañana para Puebla; y estan­ tropas del Gobierno al mando del general Arista se hallaban…</t>
  </si>
  <si>
    <t>…después de una corta resisten­ El sensible retraso con que se remiten por las ofici­ cia, sin que por nuestra parte hubiese resultado en la expedi­ nas de provincia las noticias, datos y estados que se hace El capitán general de Galicia da parte á este Ministerio ción roas desgracia que la de un soldado herido, habiendo re­ sultado también igualmente herido un caballo. indispensable pedir para curtíplir las órdenes del Gobier­ con fecha 12 del aptua! que en él encuentro que tuvo el dia 10 Ninguna noticia cierta tengo del p…</t>
  </si>
  <si>
    <t>…ope­ Europa y de América. raciones electorales , remita a este ministerio las actas de Eu el mismo año se han publicado en Petersburgo, sin con­ que trata el art. 36 de la referida ley, con el objeto de fa­ El capitán general de Galicia con la del 15 dice que el 11 tar los periódicos , 777 obras origioales y 116 traducciones, cilitar la oportuna reunión de los Senadores que fueren se presentaron en Monforte pidiendo la gracia de indulto el ti­ que presentan sobre las publicaciones del año anterior (1837) nombrados. tulado c…</t>
  </si>
  <si>
    <t>…olsa, se fundaba en la noticia de las pesquisas de tumbres recibidas en sus iglesias. que era objeto por parte de la policía. N in g ú n dato tenemos De Real orden lo digo á V. para su inteligencia y efec­ El capitán general de Galicia con fecha 8 del actual m ani­ sobre este particular (1). tos convenientes. Dios guarde á V. muchos años. Ma­ fiesta que el destacamento de Sigueiro y los Nacionales del Lo que sabemos, ó al menos lo que nos aseguran,, es que drid 18 de Diciembre de 1839.=Arrazola. mismo aprehendieron el di…</t>
  </si>
  <si>
    <t>…ta n ti o a , Bu- nas, como lo hace coa todas las demas audiencias que da 8 . S. gía, Gigeüy , Stora , Philippeville , Bona, Laballe, Constanti- Asi pues, barias muy mal de alarmarse en Francia por tan po­ El capitán general de Galicia, con fecha 14 del actual, raa na, Milah , 12 campamentos y varios puntos fortificados: en ca cosa, pues no es ciertamente culpa de la corte de Roma , si ni fiesta que en diferentes puntos del distrito han sido muertoi la provincia de Oran , M ostaganes , Oran , Arsew y tres cam­ según dicea,…</t>
  </si>
  <si>
    <t>…didos durante encaminaba á los talleres. El mismo día á las ocho de la noche mas de tres dias después de recibida la presente resolución, con­ se verificó en Thann un ensayo semejante en medio de las acla­ El capitán general de Galicia con fecha 15 del actual, al cluiré de aquí que tiene el proyecto de retener comó rehenes referir las disposiciones que habia adoptado para prevenir una á los súbditos británicos, arrancándoles concesiones perjudicia­ maciones de la multitud. reunión que proyectaban los rebeldes, dice que la…</t>
  </si>
  <si>
    <t>…n, aunque ya se la pre­ F erro l, Señora, fiel admirador del honor nacional, al contem­ senta una aurora brillante. Acaso me valdré de un ejemplo plar tan próxim o, y sin necesidad de intervenciones extran­ E l capitán general de Galicia con fecha 17 del actual muy tribial y com ún; y cuando voy á usar de él, haré présente je r a s , el término de la desoladora guerra que por seis años dice que el comandante de la columna de Sarria dió alcance que trato de recordar la célebre sesión del 7 de Octubre, que no hizo correr á tor…</t>
  </si>
  <si>
    <t>…(Idem.) tardará ea ponerse «a ejecución la medida ministerial. Desda el 5 de Diciembre próximo, es d e c ir , antes de año n u e v o , épo­ ca de aumento d e la circulación de c artas, se reducirá el pre­ El capitán general de Galicia dice con fecha del 18 que el F R A N C IA . cio de las cartas « a el interior. La popularidad de que va á go­ estado actual de la guerra civil en su distrito no puede ser mas zar en Inglaterra esta medida contrabalancear y acaso neutra­ lisonjero, habiéndose presentado a' indulto desde el…</t>
  </si>
  <si>
    <t>…cónicos, pero expresivos y afectuosos, blecerá una completa tranquilidad en este pais. e“ bre’ devolviéndose después á sus dueños respectivos, por el regreso á Segovia del indicado establecimiento. Contestó­ Capitanía general de Galicia. — Estado m ayor.rzE l coronet úmeado su mérito relativo, se concederán, á los que se juz- les aquel gefe con la urbanidad y educación propios de los in ­ D. José Moure, comandante general de operaciones en la línea §&gt;en acreedores, títulos, medallas, ..distinciones ó gratificacio- dividuos…</t>
  </si>
  <si>
    <t>…e Pentecostés^ dificultades contra las cuales teudria que lu c h a r ; pero añadí S ir R. P e e l (con voz con m ovida ): Sr. Presidente, rae ha­ que habiendo participado en la Cámara de los Comunes de la E l capitán general de Galicia, dice en . comunicación de 19 bía reservado hoy mismo y en esta Cámara el dar las explica­ discusión y votación que habia producido el estado de cosas del actual que el comandante,del,destacamento de Sequeiro per­ ciones que creo deber raio presentarle , acerca de las razones presente, dedi…</t>
  </si>
  <si>
    <t>…entre las naciones, á adoptarse en los Estados de Cerdeña. Quiera el cielo que este pero no ha indicado los medios que habria que emplear para sistema se ponga en planta en un sentido recto, y que bajo la El capitán general de Galicia, con fecha 18 del actual, di­ conseguir su deseo. Otro Diputado ha propuesto á la Cámara apariencia de una intención filantrópica, no se agraven mas ce que desde el 15 han m uerto, en diferentes encuentros teni­ Que se dirija una exposición á S. M. el Emperador , rogándole las penas de los s…</t>
  </si>
  <si>
    <t>…se habían cometido; pero Es la primera la relativa á la audiencia de Ultramar. El que habia llegado á su colmo su sorpresa cuando al esperar que Congreso recordará que el Sr. González Alonso habló de este El capitán general de Galicia con fecha 20 dice que en d i­ se articulasen los cargos , habia visto que personas tan amaes­ particular presentándole bajo dos aspectos: primero la conve­ ferentes encuentros, habidos entre nuestras tropas y las partidas tradas en las luchas parlamentarias, por mas esfuerzos que ha­ nienci…</t>
  </si>
  <si>
    <t>…escribanía de número que de^emneña años. Madrid 25 de Febrero de 1 8 3 9 .= A la ix . = S r. capi­ Otra erial en dicho p a r a je , de tres fanegas y tres D. Ramón de Rozas y Monte. Lugo 20 de Febrero de 1359.= tán general de Galicia. celemines, en ........................ 512 El juez de primera instancia Benito Casielles Meana. Otra en dicho sitio , e r ia l , tiene tres fanegas y dos celemines. .................... 500 ANUNCIOS OFICIALES. Otra en el sitio de la cañada del Espino , de siete E N el juzgado de primera…</t>
  </si>
  <si>
    <t>…orrespon­ tad as, S. M . , en vista de los servicios prestados por las tropas ci­ co ncernientes á la p o lic ía, gobierno y econom ía de las fa­ diente custodia y seguridad al punto de Bonanza. ha prevenido al capitán general de Galicia que pro­ cu ltades, consultando sin em bargo á la dirección entera, ponga, con arreglo á la instrucción vigeute, las recompensas No obstante estas diligencias, he puesto en juego también que contemple de justicia. y rem itiéndose á sus decisiones en aquellos casos que á su la de llamar al e…</t>
  </si>
  <si>
    <t>…una potencia igual i El general en gefe del ejército del Centro en Comunicación si mismo dá 16777216 Reducida al ai á isis por los adeptos or­ de 23 del actualdesde Valencia trascribe la que con la del 21 El capitán general de Galicia dice en comunicación de 18 dinarios de la ciencia, dariá e*ta cuestiou la ecuación siguiente: le dirige el Segundo cabo de aquella capitanía general copiando del que rige que el comandante de los cantones de Mesía y Ma­ x* = 16777216 — 8 es el numero que se pide. á la letra el parte qué l…</t>
  </si>
  <si>
    <t>…años. Madrid 20 de Mar­ empeño á salvar el trono y la libertad proclamada. Tam­ zo de 1839.= Domingo Jiménez. = Sr. intendente de la poco las necesitan los gefes beneméritos y buenos emplea­ provincia de.... El capitán general de Galicia participa con fecha 2 0 , que dos; empero voy á permitirme observar á V. S., que en en la madrugada del 17 una partida del primer batallón vo­ las circunstancias extraordinarias en que nos hallamos, luntarios de G alicia,al mando del capitán del mismo cuerpo son extraordinarios también los s…</t>
  </si>
  <si>
    <t>…ico que la incredulidad. ventivas del nuevo Exorno. Sr- capitán general del distrito. N o es difícil de adivinar Ja razón de este privilegio. Las de­ Hemos hecho ver que el cristianismo introdujo en la lite­ Capitanía general de Galicia.=:E. M.—Deseando metodizar más religiones tienen dogmas, pero sin coherencia alguna con ratura dos géneros enteramente nuevos, á saber, la elocuencia el sistema que debe seguirse eu la imposición de m ultas, he te­ la m o ral, cuando menos; y cuando mas, contrarios á ella. No del pulpito y l…</t>
  </si>
  <si>
    <t>…O DE LA GUERRA. Por nuestra parte, prometemos, como si prestásemos un so­ lemne juramento, consagrar todos nuestros esfuerzos á garan­ tizar el respeto de la santa religión católica y de su clero; á res- El capitán general de Galicia con fecha 21 del actual dice g petar las relaciones pacíficas con las Potencias vecinas y amibas que desde el 18 del mismo han sido muertos por nuestras tro­ I de la Confederación suiza, y á respetar 1a vida , las propieda- S. M. la R e in a , su augusta Madre la R e in a G o b e rn pas a…</t>
  </si>
  <si>
    <t>Galicia.r</t>
  </si>
  <si>
    <t>…e, Pontevedra 50 de Octubre. la marina de su pais se compone de siete hermosas fragatas. Cuando va á viút3r al virey se levanta cuando se retira en se­ Remito á V V . ei adjunto program a de las funciones que Capitanía general de Galicia.r:Estado m ayor.—La columna ñal de respeto. (Temps.) han de celebrarse en esta ciudad el dia 5 de NoYÍscabre, como de Sarria dió vista el 6 d&amp;l presente entre Castro M uige y F m - aniversario de la heroica acción ds V arg a s, y ea celebridad de ginde a! com andante titulado del partido de…</t>
  </si>
  <si>
    <t>Galiciaen</t>
  </si>
  <si>
    <t>…último dirigió cazadores del tercer batallón de Zamora, l.* de América, i.° de á S. M. un corto discurso, en el cual hizo una recapitulación Bailen , la partida de Balsareny, y 4O caballos del Infante, 4*° El capitán general de Galiciaen .su parte periódico de no­ délos trabajos de que se ha ocupado la actual legislatura. 8. M. de línea , al referido Hostal de la Granota. vedades fecha 2 del actual dice que el capitán del regimiento aprobación i varios bilis que le presentó el presidente, Tan luego como hube llegado al d…</t>
  </si>
  <si>
    <t>Galindo, Margarita</t>
  </si>
  <si>
    <t>Margarita Galindo</t>
  </si>
  <si>
    <t>…5.° ligero de caballería, D. Ramón María Figueroa, de Miguel Galindo y D. Manuel de Ozcoydi con su muger Doña escoltar á Manzanares los caballos requisados, tuvo aviso de ON Vicente Sessé y Calvet, comisario ordenador, ministro Margarita Galindo por tiempo de ocho años á contar dede i.° D hallarse una partida de facciosos robando ¿ unos carreteros en principal de Marina del departamento del Ferrol &amp;c. Hago de Mayo último todas las rentas y usufructo de su propiedad la venta Quemada, y apresurando aquel su marcha cargó d…</t>
  </si>
  <si>
    <t>Galiquo, Alcalá</t>
  </si>
  <si>
    <t>Alcalá Galiquo</t>
  </si>
  <si>
    <t>…ndro B om as. cion y guardada* ‘ en generaFcon particular cuidado. Q ue1sF bien» y aun cuando lo fu ese, debíamos resistir. ¿ N o tenemos un ejército dispuesto á com batir? ¿ N o , volarán en su apoyo m i­ Para contestar el Sr. Alcalá Galiquo á lo qu e acababa de las^ demas no se observan con igual esmero , tampoco poaáb: llares de jovenes ansiosos de defender á su patria? La Bélgica manifestar el Sr. C orradi, diciendo q p e e n l a época i íd e g lr ^ en contrario ejemplos ni aun de los;'in is ijio $ p r é c ^ fe - tas…</t>
  </si>
  <si>
    <t>Gallan, Pascual</t>
  </si>
  <si>
    <t>Pascual Gallan</t>
  </si>
  <si>
    <t>…en la m arina y desempeñado bajos, el capitán y ‘s ubteniente de zapadores 13. Vicente Casa — nuestra Señora , y con la formación de ayuntam ientos que se­ un puesto elevado en la secretaría de este departamento. Se novas y D. Pascual Gallan que los ejecutaron, se han distin­ pan regir bien sus respectivas poblacioues. El Gobierno pater­ negó á servir bajo el ministerio de M e n d iz ab al; y los revolu­ guido de un modo digno de recompensa , asi corno el sargento na! de la Hija primogénita de Fernando v n Doña Isabel 11…</t>
  </si>
  <si>
    <t>Gallarda, Isidro</t>
  </si>
  <si>
    <t>Isidro Gallarda</t>
  </si>
  <si>
    <t>…primer Rey del mundo fue un asesino, que naturales y artes de esta ciudad en el día 15 de Marzo último de intereses. Los que esto creyeron se engañaron misera­ no escogió el color de púrpura mas que para ocultar las el socio D. Isidro Gallarda llenó el turno correspondiente con blemente: el público repudió todo designio político en la manchas de sangre de que estaba salpicado.” Semejantes una memoria relativa á varias aplicaciones interesantes de la literatura; y sin desconocer la importancia de esta en el máximas disolve…</t>
  </si>
  <si>
    <t>Gallardo</t>
  </si>
  <si>
    <t>…a comisión en su primer tiene que sujetar necesariamente á reelección. Dice S, M. que comisión no se desquita presentando este dictamen. dictámen que no debía quedar sujeto á reelección por las razo­ nombra para tal empleo al Sr. Gallardo, y para el otro al se­ Yoy á rebatir otro argumento del Sr. Sancho, que es la nes que en él tuvo el honor de exponer al Congreso Ahora cree ñor Baeza : los nombramientos sujetan á reelección ; luego el otra observación á que se ha reducido su discurso. Ha dicho la comisión que este señor…</t>
  </si>
  <si>
    <t>Gallardo, Angel Villalobos y D. Diego</t>
  </si>
  <si>
    <t>Angel Villalobos y D. Diego Gallardo</t>
  </si>
  <si>
    <t>…ntos de Instrucción pública, debiendo aque­ Entre tanto habían pasado á Inglaterra dos jovenes c o ­ Gobierno provea las plazas , en el concepto de que los lla reintegrarlos cuando el estado de sus fondos lo per­ misionados, D. Angel Villalobos y D. Diego Gallardo, nombrados por cualquiera de estos dos modos estarán su­ mita. para instruirse en los diferentes métodos de instrucción jetos á las mismas obligaciones que prescribe el articulo Al propio tiempo se mandó á la.dirección general de primaria. principalmente el lan…</t>
  </si>
  <si>
    <t>Gallardo, Bartolomé</t>
  </si>
  <si>
    <t>Bartolomé Gallardo</t>
  </si>
  <si>
    <t>…. A las ocho y media de la noche. Se ejecuta­ (1) Consigno aqui este hecho á fin de que no se pierda. tura. Las ideas son el alma de la poesía; pero el estilo es rá la comedia nueva, en dos actos, traducida del francés y ti­ D. Bartolomé Gallardo, Diputado que ha sido en las Cortes su cuerpo; y sin formas corpóreas no es posible grabarse tulada de España y antiguo bibliotecario, distribuyó en la sesión del los pensamientos en la fantasía. Grandes ingenios, de los DOS PADRES PARA UNA HIJA. 19 de Enero último una circular…</t>
  </si>
  <si>
    <t>Gallardo, D. Simón Fernandez</t>
  </si>
  <si>
    <t>D. Simón Fernandez Gallardo</t>
  </si>
  <si>
    <t>…cel existente con el ñor D. Rafael Altaron ací y Mora, Diputado electo por Jaén el sistema de concesiones mutuas., uoa junta ó trabajos prepara­ que habia dejado de existir, para hacer ver que lo que Catalu­ en reemplazo del Sr. D. Simón Fernandez Gallardo. torios del Gobierno para variar estos mismos aranceles, de ios ña pedia y deseaba estaba en armonía con lo que el Sr. Baeza Se leyeron varias enmiendas al proyecto sobre atribuciones ue se había valido el Gobierno para sustituir ,.y no por. medio deseaba para su provinc…</t>
  </si>
  <si>
    <t>Gallardo, D. Tiburcio García</t>
  </si>
  <si>
    <t>D. Tiburcio García Gallardo</t>
  </si>
  <si>
    <t>…y de que el remate ha de verifi­ privilegio. Se halla venal en la librería de la viuda de M iyar,, Sentencia.=En la ciudad de Badajoz á 16 de Mayo de 1859: carse á las doce en punto del citado dia 5 en los estrados de la El Sr. D. Tiburcio García Gallardo, juez de primera instancia intendencia general, adjudicándose este servicio al mejor postor calle cuarto del Príncipe, y en la calle de las H uertas, núm. 4O, principal derecho. Precio de la cabeza , 20 rs. de la misma y su partido, por ante mi el escribano dijo: Que en…</t>
  </si>
  <si>
    <t>Gallardo, Diego</t>
  </si>
  <si>
    <t>Diego Gallardo</t>
  </si>
  <si>
    <t>…emplo; resolución mas ne­ completo como sea posible de la geometría de las líneas , pianos lineal. cesaria entre nosotros por cuanto nuestras prolongadas desgra­ y sólidos; y cuando los medios lo permitan se pasará á la agri­ D. Diego Gallardo , aritmética. cias nos han obligado á descuidar este y otros ramos de civili­ mensura como ejercicio práctico. Aprenderán también y simul­ D. José Segundo Florez , geografía é historia. zación y pública prosperidad; y nos han puesto en el caso de táneamente los principios de dibujo,…</t>
  </si>
  <si>
    <t>Gallardo, Felipe</t>
  </si>
  <si>
    <t>Felipe Gallardo</t>
  </si>
  <si>
    <t>…mucho tiempo acá no habían visto actividad y sigilo igual Otra id ., sierra de G ador, pecho de las L astras, término a l de ahora. Por Lucena quedan solo algunos grupos in sign i­ de B erja, San Jo sé, alias C h ico ria, por D. Felipe Gallardo, ficantes, y Cabrera se mantiene en observación de O-Douel), en 25. La dirección general de Caminos ha acordado sacar á pii / á quien ha aprendido á respetar. (Id .) R egistros. blica subasta el arrendamiento del portazgo de Santa Cruz de Múdela por tiempo de tres años, y la cantida…</t>
  </si>
  <si>
    <t>Gallardo, Manuel García</t>
  </si>
  <si>
    <t>Manuel García Gallardo</t>
  </si>
  <si>
    <t>…capricho de un expresando el artículo constitucional mas que ascensos de M inistro, ha pasado á magistrado y ha adquirido independen­ el carácter y prerogativas de oficial de la Secretaría de Gracia y Ju sticia, en lugar de D. Manuel García Gallardo, que vino escala en la misma carréra, es claro que el Sr. Baeza , pasando cia; lo concedo , luego no debe sujetarse á reelección: no con­ de la secretaría á la m agistratura, obtiene un empleo que le vengo con esto, porque el Sr. Seijas, al pasar de una plaza amo. á desempeña…</t>
  </si>
  <si>
    <t>Gallardo, Tiburcio García</t>
  </si>
  <si>
    <t>Tiburcio García Gallardo</t>
  </si>
  <si>
    <t>…parecido que con de­ D.iña Mercedes Irigo yen de Fiids...................................... 20 2 tas 1 cátedras, otras no menos útiles á la juventud estudiosa. cir esto se decia todo, porque no hay necesidad de hacer la de­ D. Tiburcio García Gallardo............................................... 100 En los periódicos se anunciará al público el dia preciso en claración de si la Constitución ha de regir en aq • el pais; pues Excma. Sra. Doña María de la Candelaria Saavedra &lt;que se abren aquellas cátedras que no puedan pr…</t>
  </si>
  <si>
    <t>Gallego</t>
  </si>
  <si>
    <t>…omprenderla, seria bien al lenguaje de todos ios poetas de aquel tiempo. recibido como artículo de periódico. En la cuarta, sexta y octava. Herrera emprendió su obra con mas tino, con mas conoci­ Habiendo visto ahora el del Sr. Gallego , inserto en el ú l­ miento del arte y con coas caudal de erudición que su antece­ timo número de la Revista , contraido á las reglas del sáfico y Cuando las mésas, sigue , yó le sirvo.zzVillegas. sor, el cual apenas habia hecho otra cosa que introducir voces del adónico con ocasión de los…</t>
  </si>
  <si>
    <t>…adherirse á repartieron, 2158 al Sr. Arteta ; 1592 al Sr. Perez Pastor; 785 todo trance, como lo manifiesta esa proclama que ha publicado escritos, se veiar» las juntas, que no solo se ocupaban de nego­ a otro señor; 575 al Sr. Gallego, y 22 ai Sr. D. Diego Valle- m Bilbao, al convenio que se le proponía. Veamos ah o ra, seño­ cios pequeños , sino de asuntos criminales. - g etc&gt;, 4 ue se dice que no sirve. Que estos votos suman Después se ha variado la legislación; y aun cuando antes 4^12: en las segundas elecciones resu…</t>
  </si>
  <si>
    <t>Galletas, José García de Villalta.</t>
  </si>
  <si>
    <t>José García de Villalta. Galletas</t>
  </si>
  <si>
    <t>…sde el día que me muera. quedaron nombrados por crecidísima mayoría los Sres. siguientes: Dulces.............................................................. i 570/f /). Enrique. ¿Desde que os muráis? pues m uerto Presidente. D. José García de Villalta. Galletas............................................................ 15/)02 6 55 de que os sirve? D. Lucas Tengan cuenta: Vicepresidente. D. Eugenio Moreno. Papas 11,857 7 17 pues ¿cómo queréis que mande Consiliario. D. José de Espronceda. Pastas harina....................…</t>
  </si>
  <si>
    <t>Galoinarde, Tadeo</t>
  </si>
  <si>
    <t>Tadeo Galoinarde</t>
  </si>
  <si>
    <t>…ez con dicho nos útiles y libros, prefijando al preceptor el corto período de acreedor á igual premio que el anterior. emir si quisiese empezar la guerra en el Geste. tres meses, para que presentando dentro de él sus alumnos á D. Tadeo Galoinarde, siete años de edad, número primero examen público, pudiera la sociedad con todo acierto adoptar de la primera clase , por su aplicación y ser el sobresaliente en una medida benéfica que tanto anhelaba. escribir en la mesa de la arena y encerado , en leer en la clave, Destinados…</t>
  </si>
  <si>
    <t>Galvez, Francisco</t>
  </si>
  <si>
    <t>Francisco Galvez</t>
  </si>
  <si>
    <t>…de estaban los facciosos, se L E L I S S I R D ’A M O R E . Art. 4*° Los expedientes de redención , que se hallen incoa­ dos en las oficinas generales ó particulares de la Hacienda p ú­ presentó también el diputado provincial D. Francisco Galvez blica hasta la fecha de la presente le y , se despacharán con la con otros siete caballos de la M ilicia de M o ra; y roto el fuego mayor urgencia, y los censatarios satisfarán el capital de su im ­ por una y otra parte , se puso á cuerpo descubierto á la puerta G R A N S A L O N DE…</t>
  </si>
  <si>
    <t>Galíano</t>
  </si>
  <si>
    <t>…de lo ofrecid o en el referido a n u n c io , y por lo ta n to se adi­ veniencia literaria. embajadores relativamente á dichas colonias, y otros asuntos del vierte que desde h o y en adelante el precio se aum entará de mr £1 Sr. Galíano volvió á hacer uso de la palabra para enun­ mayor Ínteres. Esta edición solo constará de dos tomos en 8.° real en los tres casos in d ic a d o s , á saber: sin cam a 9 r s .; con ciar otra idea acerca de las unidades de tiempo y lugar. En es­ regular de buen papel é impresión, divididos en o…</t>
  </si>
  <si>
    <t>Gamafeib</t>
  </si>
  <si>
    <t>…discusión fuera por artácute 9 y lia. rotación par párrafos. ñures, ¿lo que se concede a todo español, pwiri negarse cotí ira- menlc lo que se hace es distribuir y tk ñ m r mejor estas alrifam- Vuelto a leer -el, urtkn'M, el Sr. Gamafeib dijo que su» i M,oia cmrpera¡,cmm que está elegida y representa un vecánda- dones 9 ¡qme se da á todos t e concejales todas las atribuciones coñudo había voto particular, ya era voto de- la mayori»* rioJ ¿Acaso eíi pedir es ejercer aJlgun acto de autoridad? No por q«e tEwieroe „ y por 'úl…</t>
  </si>
  <si>
    <t>GAMALEÑO</t>
  </si>
  <si>
    <t>…■■ Ts 1 -■ " ■ .T . fi drá dificultad en hacer aquellas modificaciones que se juzguen « Y asi opina Ja comisión que el expediente se devuelva al oportunas. : » Gobierno para que reuniendo los datos necesarios y con au­ E l Sr. G A M A L E Ñ O se-opone 'al p royecto, diciendo que diencia de los directores de la empresa , se sirva presentar á las en. su sentir, de aprobarse e! proyecto tal como está, la Consti­ Ho v naiércoles 2 5 se dará el leg tw d a .baile. Cortes el proyecto de ley que estime conveniente para el arreg…</t>
  </si>
  <si>
    <t>Gamarra</t>
  </si>
  <si>
    <t>…e Carreira y del conde primero con la carga de 8-400,000 florines, y en seguida con P erú, contra los cuales se manifiesta m u y hostil el Gobierno. de V illareal, que han sido nombrados para ellos; asimismo S. M . El Presidente Gamarra , dice la orden , me ha encargado que la de 5 .0 00,000 de florines de Ínteres anuales como equivalente ha elegido para el ministerio de Negocios eclesiásticos y de J u s ­ anuncie á los Ministros y cónsules extraogeros que ios súbditos de lo que tenia que pagar por su contingente de la deu…</t>
  </si>
  <si>
    <t>Gaminde, Benito Felipe</t>
  </si>
  <si>
    <t>Benito Felipe Gaminde</t>
  </si>
  <si>
    <t>…nta los siguientes opúsculos , impresos años cada una 8 rs., y moderno 6 . h á , de D . M artin Fernandez de N a varrete , director del depósito H idrográfico y de la academia de La H istoria. 1 OS testamentarios del difunto D. Benito Felipe Gaminde, E n cuartilla de la misma marca • vecino que fue de Bilbao, y últimamente de la ciudad de EN C U A R T O . Salamenca, estando practicando el inventario, cuenta y p arti­ El N iño Jesús de p asió n , 4 rs. ción extrajudicial ante el escribano de esta ciudad D. Blas Perez Las c…</t>
  </si>
  <si>
    <t>Gampuzano, José Luciano</t>
  </si>
  <si>
    <t>José Luciano Gampuzano</t>
  </si>
  <si>
    <t>…a de ia m edia firma Sun M illan en todos los oficios, órden es, c é ­ Llena ; pero basto para hacérselas dejar el arrojo de mi van­ d u la s, pasaportes y dem as docum entos que expidáis para guardia, mandada por el coronel D. José Luciano Gampuzano, E sp aña y para U ltr a m a r ; ex ceptu ando aquellos en que gefe de estado mayor y accidental de la primera brigada, que T o ponga U m ia, en ios cuales y en los otros casos en que desde que rompió el fuego nunca detuvo su paso un instante: lo h an hecho vuestros anteces…</t>
  </si>
  <si>
    <t>Gancedo, Santos</t>
  </si>
  <si>
    <t>Santos Gancedo</t>
  </si>
  <si>
    <t>…ejecución es lo mas admi­ procurador en forma en la causa pendiente por la escribanía de ag rad ab le de dar interés á sus noticias eruditas, y de tras­ rable: 10 ó 12 minutos en invierno son bastantes para tornar la cámara de D. Santos Gancedo, en grado de segunda instancia, m itir a la posteridad sus ideas, sentimientos y juicios a cer­ vista de un edificio, un paisaje &amp; c., y este tietopo puede re­ formada por el Sr. subdelegado de Rentas de esta provincia ca de las diferentes épocas de la -historia de ia G ran-B re­ du…</t>
  </si>
  <si>
    <t>Gandara</t>
  </si>
  <si>
    <t>…, de á 12 y 16, y 150 granadas, oficial y algunos de los últimos; habiéndolo sido levemente el de la Suiza. En ella se encuentra de todo; hay hasta piano y ci­ que ademas de reducir á escombros muchas casas del pueblo comandante Gandara , á quien mataron el caballo. garro*. ¡O siglo admirable de civilización y de progreso! habian abierto una brecha practicable de mas de 4O pies de la­ regresó Se dice que Maroto estuvo el 12 en Ramales, desde donde Hace tres años que pase la noche en una altura casi igual titud , y seguían…</t>
  </si>
  <si>
    <t>Gandía</t>
  </si>
  <si>
    <t>sagrado por la Iglesia á la memoria del tan santo como ilustre tan como unos 200 los que solicitaron esta gracia desde el 1.° moderno, de !a manzana 57, que comprende de sitio 7,400J y bizarro caballero español el iv duque de Gandía, no le per­ del corriente. El Excmo. Sr. capitán geoeral de este ejército y pies superficiales, tasada en la cantidad de 6 1 ,0/p . rs. vn, miten aun dirigir la nave del Estado , su inocencia, perseguida distrito, que salió de esta capital la mañana del 19, llegó á la Quien quisiere hacer pos…</t>
  </si>
  <si>
    <t>Ganeja</t>
  </si>
  <si>
    <t>…ados, go” pósito. que quisiera que no lo fuesen, porque estos señores disponen á Después de unas ligeras observaciones del Sr. Ondovilla, á la vez de la vida y hacienda de los ciudadanos de su distrito. las que contestó el Sr. Ganeja , se preguntó si se tomaba en con­ nes Habiendo propuesto el Sr. Ondovilla que estas disposicio­ E 11 virtud de estas razones que tuvieron presentes las Cortes, se discutiesen por partes, se hizo la pregunta y se decidió los jueces de primera instancia se declararon incapacitados, se­ sider…</t>
  </si>
  <si>
    <t>GAR</t>
  </si>
  <si>
    <t>…omingo Antonio Areuas y demas individuos de tropa y m arinería, tengo el honor de manifestar­ PRESIDENCIA DEL SEÑOR MOSCOSO DE A L T A M IR A . le consultase. lo á Y . E. con la recomendación á que de justicia se han hecho El Sr. G A RELLY, contestando al Sr. Heros, dice que le­ acreedores por este nuevo servicio que han prestado á la causa Sesión d e l dia 8 d e F eb rero . jos de tener este proyecto sabor á extrangerismo, como parece nacional , rodeados de privaciones y sufrimientos , mas con el Se abrió á la una y cuarto…</t>
  </si>
  <si>
    <t>Gar, Fernando</t>
  </si>
  <si>
    <t>Fernando Gar</t>
  </si>
  <si>
    <t>…í a de que el ú n i ­ Descuento de l etras , á 6 por 1 0 0 a l año. de esta p r o v i n c i a , juez de A m o r t i z a c i ó n , se cita , l lama y e m ­ co medio de llevar á cabo un a empresa tan v a s t a , tan com­ plaza á D. Fernando Gar cí a , due ño que parece ser de la casi* p l i c ada y tan difícil , es la de confiarla á la conducta de un hombr e emi nente y d i s t i n g u i d o , que á todas las c ual i dades de , calle de la C a v a - B » j a , r.úrn. 2 1 manz. 1 4 9 , para que c ompa ­ rezca dentro de nueve…</t>
  </si>
  <si>
    <t>Gar, Josc</t>
  </si>
  <si>
    <t>Josc Gar</t>
  </si>
  <si>
    <t>…eva, término de Berja, mandato, tengo el honor de manifestar á V. E. que á San José de Alhama, por D. Diego Espinosa, en 1 1 . consecuencia de lo dispuesto en Real orden de 26 del Otra id. en el mismo sitio, Mayor dolor, por D. Josc Gar­ J U N T A DE VENTAS D E BIENES NACIONALES. mes último tuve una nueva conferencia con el director cía , en 19. ? general de caminos, el cual me dijo de palabra y luego Otra id. en dicha sierra, cerro de Alcora , término de Can- Estado demostrativo de las fincas vendidas en las provincias…</t>
  </si>
  <si>
    <t>Gar, José Severo</t>
  </si>
  <si>
    <t>José Severo Gar</t>
  </si>
  <si>
    <t>…tades, y esta admi rabl e concepción de un j Por la af i r mat i va D. Ma r i a n o Be l mo n t e, D. Francisco Sol ano •patriotismo poderoso, se sacarán con el tiempo mar avi l l os as \ de la T o r r e , D. José de la Roca , D. José Severo Gar cí a , Don En cel ebridad del d i a estará el teatro i l u m i n a d o . ! ventaj as de esas ciases tan mi serabl es, tan g r a v o s a s, doble pl a­ Mar cos P e ñ a , D. José de B u r g o s , D. M a n u e l de L u n a . — Por g a r e las sociedades modernas, á saber: ios me ndi g…</t>
  </si>
  <si>
    <t>Gar, Vicente</t>
  </si>
  <si>
    <t>Vicente Gar</t>
  </si>
  <si>
    <t>…do por un conducto chos piquetes en las casas Contiguas &lt;al Luxemburgo. Enterada S. M. la Reina Gobernadora de que á las seguro* Se ha establecido también un cuerpo de Guardia nacional buenas disposiciones, celo y eficacia de D. Vicente Gar­ El tribunal encargado de juzgar al arzobispo no se ha ocu­ para el servicio del palacio. (Id.) cía, contador de I\entas de la provincia de Málaga, se han pado las en el asunto de los matrimonios mistos, ni en ninguna de convicciones religiosas del prelado; sus funciones se han li­ de…</t>
  </si>
  <si>
    <t>Garande</t>
  </si>
  <si>
    <t>…ele 27 de Abril último en que por na del capricho de los ambiciosos, de pretextos políticos mal S. M. en su vista ha resuelto se den las gracias al expresa­ el mismo me fue remitida la referida consulta para la re­ do comandante Garande é individuos que tuvieron parte en es­ disfrazados, de voces seductoras, de promesas que jamas se cum­ plen. Antes se invocabaa personas, y ahora principios mal en­ solución de S. M. Dios guarde á V. E. muchos años. Ma­ te ventajoso encuentro. tendidos y siniestramente aplicados. Los que ay…</t>
  </si>
  <si>
    <t>Garande, Manuel</t>
  </si>
  <si>
    <t>Manuel Garande</t>
  </si>
  <si>
    <t>…siva, 5. ? rece mayor consideración, no solamente porque aumenta en gran ayer se hallaba en Castrejou, se ha mandado que el valiente y manera la actividad industrial, sino también porque iofiúye acreditado gefe del resguardo D. Manuel Garande, salga ma­ benéficamente en toda la agricultura, y le da al mismo tiempo ñana con la fuerza mootada del resguardo y 20 infantes con mucho vigor. A la institución dél arancel vigente se debe, áe- el único fin de exterminarle. Me prometo que no desmentirá en ANUNCIOS. gun la comisión…</t>
  </si>
  <si>
    <t>Garavantes</t>
  </si>
  <si>
    <t>…e entrarse en inculpaciones de Se anunció que el Sr. Sardá quedaba agregado á la 5.a sec­ las que aquel edificio ha estado colgado é ilum inado, han sido ningún género; pero S. S. cree que no pueden hacerse mejoras, ció n, el Sr. Garavantes á la 6.a y el Sr. Roy á la 7.a las demostraciones por cuyo medio se ha desahogado en parte la tnieutras no haya fondos ni recursos para ello é independientes Se dió cuenta de los siguientes uombramientos hechos por alegría del vecindario. En medio de estos regocijos no se ha de esto, mejo…</t>
  </si>
  <si>
    <t>Garci</t>
  </si>
  <si>
    <t>…ad de las ciencias de Mompeller, es­ A los pocog dias se ejecutará también en el mismo coliseo , y á nistraciones de correos y principales librerías. crita por el abate D. José T oaldo, traducida é ilustrada con beneficio del Sr. Garci* Luna , D. Alvaro de Luna , drama en vanas notas por el capitán D. Vicente Alcalá Galiauo. Un to­ cinco actos y ea verso ; tenemos muy buenas noticias de esta mo en 4 .0, edición de 1 7 8 6 , á 15 rs. ea pasta común. obra, que se atribuye al autor de Carlos u y de Rosmunda, SEMANARIO Los diez…</t>
  </si>
  <si>
    <t>García</t>
  </si>
  <si>
    <t>…ros como la habíamos visto allá. Todos los actores merecen elogios; mismo la condición exterior de los pueblos; que el progreso del varios casos de la indulgencia é imparcialidad de dicha empresa pero con mas razón el celoso Sr. García L u n a , que ha dado á indiv iduo se ha convertido en bien de la sociedad, asi como el podríamos cita r, pero preferimos gu ardar silencio, porque no su papel su colorido peculiar y determinado. de la sociedad en bien del individuo. Sin embargo , uno ú otro se crea que el propio Ínteres ó…</t>
  </si>
  <si>
    <t>…s ó poseedores de dichos 5.° Cavatina bufa en la ópera Coradino , del maestro R os- tricularse, pueden acudir á la secretaría "del establecimiento de censos la existencia y estado de estos autos, para que lo que sini, por el Sr. García , con decoración y traje. diez á dos por la mañana. en ellos se fallare les sirva de conocimiento, y les pare el per­ tirá6.°el primero Se sortearán dos premios entre la concurrencia. Consis­ en un precioso abanico de última moda, y el juicio que haya lugar. segundo en una petaca de plata…</t>
  </si>
  <si>
    <t>…é incurrirá en la multa de cuatro 5.° Cavatina bufa en la ópera Coradino , del maestro Ros- tonio Deus, D. José María Y ile la ,D . Gerónimo V idal, Don ducados, parándole ademas el perjuicio que haya lugar. s i n i , por el Sr. García , con decoración y traje. Pedro Perez Tapia. 6.° Se sortearán dos premios entre la concurrencia. Consis­ Reunidos en el salón del hospital de esta ciudad los señores tirá el primero en un precioso abanico de última moda, y el jueces de hecho que al margen se expresan, habiendo jurado Subdele…</t>
  </si>
  <si>
    <t>…es tan insidio­ de G ra n a d a , y de cualesquiera otros metales en el resto de la sas , sino que ha debido resistir á la expresa voluntad del Sul­ Península, leída en la sección de ciencias matemáticas y físi­ sini, por el Sr. García , con decoración y traje. tán , por la cual se le mandaba facilitase el paso por el Egipto cas del ateneo de Madrid en los dias 20 de Junio y 4 y 18 de 6.° E L N O V IO SIN N O V I A , tonadilla á tres, de las mas á las tropas inglesas que se dirigían á las Indias. Mas pruden­ Julio de 1859…</t>
  </si>
  <si>
    <t>…ntroducirme á las doce de la noche del dia de ayer al cen­ León. Es copia.=:Méjico Marzo 2 de i 8 5 9 . ^ J o a q u i n Yelasque de tro de esta ciudad sin ser sentido por el enemigo , y cediéndo­ me en el acto el mando el Sr. García C ond e, reuní a mis fuer­ zas 240 hombres entre infantería y caballería de los defensores Idem 15. NOTICIAS EXTRANGERAS. de la patria de este departamento, con que contaba aquel. Al amanecer de este dia tomé posesión de una ermita que domina A l presentar á la Cámara de D iputados el Excr…</t>
  </si>
  <si>
    <t>García, Andrés</t>
  </si>
  <si>
    <t>Andrés García</t>
  </si>
  <si>
    <t>…2 1. preciar nuestros agricultores ni tampoco el Gobierno, cu y a G utié rre z, D. Nicolás R u iz y G allego , D. J u a n de Igualado, suerte será inseparable de la de aquellos por todo el tiempo que D. Andrés de Z a y a s , D. Andrés García , D. Francisco J a v ie r Gusanos d e sed a y rem o la ch a d e az úcar . la industria fabril permanezca entre nosotros tan atrasada res­ A n g u lo , D. Luciano V id al , D. M anuel R a m íre z , D. M anuel pecto de las otras naciones. Por él vemos que los norte-ameri­ Vizcaíno y D.…</t>
  </si>
  <si>
    <t>García, Antonio</t>
  </si>
  <si>
    <t>Antonio García</t>
  </si>
  <si>
    <t>…as á razón 161 1 16 id. id. y d e l tea tr o ex tra rv gero . de 90 rs. cada una. 161476 id. id . 166071 id. id. Estela ó el padre y la h i j a , en dos actos, por el célebre S c ri- be , arreglado al teatro e sp añ o l, por D. Antonio García G u­ 166098 id. id. tié rrez: precio 2 rs. vn. Se halla de venta en la imprenta y li ­ PROVIDENCIAS JUDICI ALES, 170446 id. id . brería de B o ix , calle de C arre ta s, núm. 8 , con las demas del 170 7 96 id. id. Repertorio. TAON Bernardo L ato rre , benemérito de la p a tr ia…</t>
  </si>
  <si>
    <t>…o su modestia y su valor; después d&lt; dio Díaz , D. Juan Nepooiuceno Blasco, D. Esteban de N a - Mr. ée Jaoobis, laz'irista, nombrado prefecto apostólico d&lt; las pruebas de afecto que ha recibido en Brest y en todo él ca­ vea y D. Antonio García. U misión que se va á abrir en Abisinia, se halla en este mo­ mino que ha corrido hasta T aris ,solo: faltaba al jó ven coman El dia 9 se destinó al exámen de las clases de geografía , in^ mento en Ron»., de donde debe partir dentro de algunas se- dante de la Croilla el tributo ord…</t>
  </si>
  <si>
    <t>…ópera I Capuleti ed i Monteccki , D , Andrés Torres Moreno, Sr. conde de P rie g n e , D. Mateo temente , á las diez de la mañana; apercibido que de no hacerlo se por las Sras. Feijas y Antúoez. Hernández, D. José Rui Suarez , D. Antonio García , D. A n ­ dará el juicio por intentado é incurrirá en la multa de cuatro 5.° Cavatina bufa en la ópera Coradino , del maestro Ros- tonio Deus, D. José María Y ile la ,D . Gerónimo V idal, Don ducados, parándole ademas el perjuicio que haya lugar. s i n i , por el Sr. García , con dec…</t>
  </si>
  <si>
    <t>…poderes También se ha dignado S. M . nombrar para la promotoría La carencia de justicia que se observa en los trib un ales, se toca rectificar este extravío de opinión , que promueven la m a -, fiscal del juzgado de Almansa á D. Antonio García , que lo es extiende á todos los ramos que están enlazados con la causa p ú ­ lignidad y la ignorancia , y que tanto nos desacredita en el de J i j o n a , y para esta vacante á D. J u a n M artínez y M a r t í­ blica, entra en las oficinas, circula por el clero, se nota en los mundo…</t>
  </si>
  <si>
    <t>García, Antonio Valenzuela</t>
  </si>
  <si>
    <t>Antonio Valenzuela García</t>
  </si>
  <si>
    <t>…el juzgado de primera instancia de Chinchón , de as­ ller. Para cada una de estas cátedras se nombrará un ayu­ Albacete.. . . . . . . 8 12 115807..22 censo, en la provincia de Madrid , vacante por prornoeion de 1 69578-28 D. Antonio Valenzuela García , ha tenido á bien nombrar S. M, dante capaz de reemplazar al respectivo profesor en sus Cádiz, i . . . . . . . . 17 609951 990276 á D. Ramón Lizarzaburu, que reúne los requisitos prevenidos ausencias y enfermedades. Habrá un conserge conservador Córdoba. .-. . . . 52 401…</t>
  </si>
  <si>
    <t>García, Basilio</t>
  </si>
  <si>
    <t>Basilio García</t>
  </si>
  <si>
    <t>…manden copiar sus escritos de maoo a gen a, carse aquellas h*ce ya algún tiempo en el verdadero sentido acuerdo inmediatamente con D. Juan Echevarría. de la palabra; y siendo cie«to que las Potencias están de acuer­ El general D. Basilio García ha tomado el mando d é la s observando las formalidades de ocultar su nombre en cubierta tropas insurgentes. cerrada y demas estilo académico, y quedando excluidos dé do sobre el principio fundamental de una traosacion entre la Puerta otomana y Mchem et-Ah, y que este último ha acept…</t>
  </si>
  <si>
    <t>García, Cristóbal Ramón</t>
  </si>
  <si>
    <t>Cristóbal Ramón García</t>
  </si>
  <si>
    <t>…cual , según han enten­ Otra plomiza, loma de la Fuente, término de Huércal, San- perando saliera el nuevo reglamento para las comisiones espe­ dido los exponentes, consultó al Gobierno algunas dudas , y M W ? de Casia , por D. Cristóbal Ramón García , en 2 0 . ciales de exámenes, y que coocluyera con dichas infracciones este mandó suspender la resolución hasta la decisión de las.Cor­ Otra id. en barranco Jaro so , término de C u evas, la Diosa, de l t y ; mas viendo que no sale , le ha parecido oportuno ha­ tes. Y en est…</t>
  </si>
  <si>
    <t>García, Francisco</t>
  </si>
  <si>
    <t>Francisco García</t>
  </si>
  <si>
    <t>…etalles de las ceremonias groño siempre se ha considerado este oficia) como n avarro ): ge­ lloso. A»i tuvo cumplido efecto; y y o que por primera vez veia que siguieron á la muerte del Sultán. KusrefF bajá ha sido nom­ neral D. Francisco García , fusiLdo por orden de M aroto: bri­ batirse estas tropas me convencí con indecible satisfacción que brado primer M in is t r o , y R au ff-b ajá Presidente del Consejo gadier Carinona, id. id.: general Pablo id. id : general G u e r - su disciplina en las marchas era igu al á su…</t>
  </si>
  <si>
    <t>…a de un oficial contuso, ocho individuos de ¡afir de T a m a u iip a s, me hicieron acceder á las instancias del deración, felicitándolo por el triunfo que han logrado las a r ­ tropa heridos y dos caballos. jomandante general D. Francisco García C o n d e, y prestarme mas del supremo Gobierno. D ios &amp;c. Saltillo Febrero "25 de 1 8 5 9 .= D o m in g o de U g a r - 1 venir en su auxilio desde Monterey con lí)0 hombres de in— :antería y caballería de defensores de la patria y dos piezas li­ techea.nExcmo. Sr. Ministro de Gu…</t>
  </si>
  <si>
    <t>…les : tam bién es verdad que no dejan de ser El presbítero D. Mariano Aranejo..................... 51 do los heridos, y con el objeto de llevar la artillería gruesa originales estas traducciones, pues dejan el texto tan en Id. D. Francisco García , cura párroco de M atan­ para batir el fuerte de Segura. francés como se estaba. zas, por s í, y lo contribuido por los eclesiásticos No nos acordamos si es en Bocacio ó en M il y una no­ de la jurisdicción 9 í., 6 che donde hemos leido el cuento de un príncipe que por Id. D. Mar…</t>
  </si>
  <si>
    <t>García, Francisco de Paula</t>
  </si>
  <si>
    <t>Francisco de Paula García</t>
  </si>
  <si>
    <t>…ores seglares. fijados por la presente Real resolución los trámites que de­ las formalidades que la misma previene, tocó á los sugetos ben observarse para la distribución de los premios milita­ siguientes: D . Cosme de Mora, D. Francisco de Paula García, res, todos los documentos que para la calificación de los D. Ignacio Perez de Soto, Exctno. Sr. conde de Sástago, Don méritos sé juzgue conveniente que se tengan presentes, Mariano A stiz, D. Angel Polo, D. Juan Escorial y G il, Don RUSIA E ING LATERRA . obrarán en las…</t>
  </si>
  <si>
    <t>García, Félix</t>
  </si>
  <si>
    <t>Félix García</t>
  </si>
  <si>
    <t>…a, se cita, llama y emplaza á D. Angel Mo­ su paradero........................................... 7 rales, D. Jorge Mancebo y N avia, D. José María Gómez y 25 228 A las ocho de la noche. Que existen aun prisioneros en dife­ D. Félix García , para que en el término de nueve dias se pre­ Se dará principio con una brillante sinfonía. rentes puntos. ................................ 1 5 senten en la escribanía principal de Amortización , calle del 57 A continuación se ejecutará la comedia nueva, en cuatro Lobo, ndm. 8 , pi…</t>
  </si>
  <si>
    <t>…ados por la asociación para presenciar y clase , que consiste en un lazo de los colores de la bandera na­ A lttviller, cerca de Saint-Avold , se ha encontrado en lo inte­ cional. juzgar de los exámenes sus señores individuos D. Félix García rior de la pared uaa bolsa usada por el tiempo y la humedad, Cuerva, D. Braulio G uijarro, D. Toribio Guillermo Monreal, D. Bia9 López, cinco años de ed ad , número siete de la p ri­ y conteniendo 11 monedas de plata. Todo indica qüe esta ocul­ tación se hizo al tiempo de la invasión d…</t>
  </si>
  <si>
    <t>García, Gabriel José</t>
  </si>
  <si>
    <t>Gabriel José García</t>
  </si>
  <si>
    <t>…blicación ge­ . T arrag o n a,. . . En 2 5 de D ic. No con sta.. . . En 28 de Dic, á D. Gregorio Sanz de Y illavieja, obispo electo de Y ic h ,é n neral de las coodiciones fundamentales del empréstito, la admi­ reemplazo de D. Gabriel José García. sión durant^ un termino fijo de todas las proposiciones sobre él, Madrid 10 de Enero dé T83 9 .= González Brabo. Se dió cuenta de los dictámenes de la comisión de Revisión examen, deliberación é informe sobre la oferta mas ventajosa, de actas, relativos á las de los Sres. Neir…</t>
  </si>
  <si>
    <t>García, Ignacio</t>
  </si>
  <si>
    <t>Ignacio García</t>
  </si>
  <si>
    <t>…c ia , se cita y emplaza á D. Angel M orales, D. Francisco presión y papel es de lo mas esmerado. Se hallan de venta en los reglamentos é instrucciones que se citen en el cuaderno p rin - Laserna , D. Joaquín M ana Sanguino y D. Ignacio García M adrid en la librería de Cuesta; en Barcelona en la de O liva, c ip a l, y que por su extensión dejen de copiarse al pie de los Cabrero, para que en el término preciso de nueve dias se pre­ y en las principales librerías de las capitales de provincia. trasladados artículos para no in…</t>
  </si>
  <si>
    <t>García, Joaquin Dueños y D. Rafael</t>
  </si>
  <si>
    <t>Joaquin Dueños y D. Rafael García</t>
  </si>
  <si>
    <t>…íamos hace tres años, que nos parecieron tres siglos. El ene­ del V alle, secretario. esta sesión. Pero paisanos y amigos suyos, tememos decir poco migo se ha dicho se hallaba en 8ot, que para nosotros equivale D irigido por D. Joaquin Dueños y D. Rafael García hac para lo que muchos desearían, y mucho acaso para algunos á á Pequin. (D, M. de Falencia.) poco tiempo este instituto de educación primaria y secundaria quienes nada de casa parece bien. Confesando pues de buen gra­ no ha presentado grandes resultados. Los dire…</t>
  </si>
  <si>
    <t>García, José</t>
  </si>
  <si>
    <t>José García</t>
  </si>
  <si>
    <t>…cia ó en las comisarías la paz. g a , juez de primera instancia , refreudada del escribano de guerra de la plaza de Olivenza , Cáceres, T ru jillo y Puebla Guardo por la mezquina cantidad de tres ó cuatro m illo ­ del número D. José García V a r e la , se saca á pública subasta de Alcocer , autorizadas para recibir las parciales, las cuales de­ nes , cuyo d e r e c h o es m uy cuestionable , se hace la guerra á M é ­ por 2 0 dias una parte de casa calle de S. J u a n al P ra d o , núm e­ berán rem itir á mis manos los resp…</t>
  </si>
  <si>
    <t>…ta prisioneros cuatro mas. Que apoderados nuestros soldados del criptores; como igualmente una hermosa litografía con el re­ las dos de la tarde. caballo de J o v e , y después de haber destruido la fábrica de trato del actor D. José García L u n a , según sale en el A rte d e El tota! de los prisioneros nuestros recibidos asciende á 658 salitres y la de armas que también tenían establecida, se d ir i ­ con spira r. individuos. El de los enemigos entregados á 862 , cuyo exceso gieron á la Granadella sin que fuesen molesta…</t>
  </si>
  <si>
    <t>…hacen sus depre­ antes Mayor Otra id. id ., Balsa nueva, término de Berja, Hércules, Remontado el buitre en el cielo casi hasta perderse de daciones éii la oscuridad de la ñóché. Éstos salteadores noc­ de 1859. d o lo r, por D. José García, en 19 de Enero vista, se mueve en grandes círculos, mantenido sobre el turnos, fallos de disposición parar buscar abiertamente su Otra id. id ., loma de M irto s, término de L au ja r, San­ pabellón de sus alas, y escudriña atentamente la superfi­ •presa, ó avergonzados de ser vistos…</t>
  </si>
  <si>
    <t>…nhorabuena PR IN C IPE. A las ocho y media de la noche. Habiendo las cejas al leer la profesión literaria del autor? ¿por qué las ideas intermedias en las composiciones poéticas; pero regresado á e sta capital el primer actor D. José García L u n a, le ha de dar epítetos que no seau de su gusto, ni apuntar en un prólogo no sienta bien el estilo de la fiionisa. y no queriendo diferirse su salida , se presentará p hoy con Jgr su nombre en libros de mal agüero, ni prepararle perse­ Tampoco quisiéramos que en él se diese tant…</t>
  </si>
  <si>
    <t>….................... ........................ durarán toda esta semana y tal vez parte de la otra. El pueblo M A D R ID 5 D E O C T U B R E . F. P ............. 20 de esta provincia saluda con entusiasmo la venida de la paz, D. José García............................................................................ 4 porque ha sentido y siente cruelmente los horrores de la guer­ -. . . " ■■■■■ - — ' — - ^— — ■■ D. Nicolás Cipriano López................................................... 60 ra. El Excmo. Sr. general en gef…</t>
  </si>
  <si>
    <t>…el n ú ­ de Cuesta : consta de las tres comedias titu lad as: ribada por un terremoto. J u s t in ia n o , sin em b argo , la resta­ mero suficiente, y se acordó se convocase nuevamente con ca­ El Astrólogo de Valladolid , de D. José García V illalta . bleció á su primitivo esplendor , y en el trigésirnosexto año de lidad de que no dejaría de celebrarse por esta c au sa, parando á Un dia de campo, ó el T utor y el A m a n te , de D. M anuel su reinado celebró la segunda dedicación de un templo que des­ los no concurrentes e…</t>
  </si>
  <si>
    <t>…otros desempeñados por los mejores le Paris. La estampa que se ha dado en el primer mes, ha DIRECCION GENERAL DE LO TE RIAS NACIONALES. S an tand er 7 d e M ayo. Las operaciones de nuestro ejército ido el retrato del actor D. José García L u n a , según sale en el sobre Ramales no tuvieron efecto tampoco el dia 5 del corrien­ Iraraa El A rte d e co n sp ira r. La que se dará en este, será el N oticia d e lo s p u eb lo s y a d m in istra cion es d o n d e han ca b id o te . dispuestas las tres divisiones desde el amane…</t>
  </si>
  <si>
    <t>…o de letras, á 6 por 100 al año. mente la obra de D. J. de V. tiene una tercera parte roas de impresión que la de Siñeriz. Bilbao 8 de Noviembre. Ayer concluyeron los festejos pú­ Se halla de venta á 25 rs. en la librería de D. José García, blicos con el mismo sosiego y alegría con que principiaron , y calle de Coloreros , y en la de Cuesta, hoy se ha retirado toda la gente forastera á sus pueblos. No P R O V ID E N C IA S JU D IC IA L E S . hay en el mundo gente mas tranquila que los vascongados. No se couoce que acaba…</t>
  </si>
  <si>
    <t>…endo de maoera alguna en las los sugetos siguientes: D. Dámaso A paricio, D . Andrés Fer­ se sacan nuevamente á pública subasta las fincas y efectos si­ elecciones, para que estas fuesen libres y espontaneas. Yo no sé nandez, D. José García M artínez, D . Antonio Bermejo, Don guientes: cómo manifestar mi sorpresa cuando vi esa circular de un M i­ Manuel de Maltrana , D . Manuel Escolar , D. Rito Garrido. Primeramente la mitad de una casa, sita en el lugar de nistro encargado del mantenimiento de las leyes, mientras que D…</t>
  </si>
  <si>
    <t>…r título E L á la altura de su grandeza y poderío; asi como no fuera menos A R T IC U L O 9 60 , en la que la beneficiada desempeñará un p a ­ ocioso afanarse por demostrar que el anhelo mismo de la i m i ­ pel de hom bre, y D. José García L u n a uno característico. BOLETIN DE COMERCIO. Al poner en escena , con desconfianza del acierto , uno de los tación, si no lleva al buen gusto y á la razón por g u i a , pue­ de arrastrar tal vez hasta un extremo vituperable. Conviene mas célebres sucesos de la historia n acion al,…</t>
  </si>
  <si>
    <t>…L O S U E L T O , periódico satírico y de costumbres que se publica cuatro veces al mes. ANTIGUO Y MODERNO AETOR ESPAÑOL, El número 10, ya publicado, comprende los artículos si­ tancia , refrendada del escribano del número D. José García guientes: Vareia, se saca á pública subasta por término de 20 dias una Y DEL TEATRO EXTRANGERO. Remitido: Teatros. casa sita en esta población , y su calle de Sta. Brígida , núme­ Sigue la periodiquería. El objeto de esta publicación es dar á luz reunidas ó sepa­ ros 5 viejo y 25 nuevo…</t>
  </si>
  <si>
    <t>…título E L Cádiz, i | d. Z aragoza, id. A R T IC U L O 9 6 0 , en la que la Sra. Baus desempeñará un pa­ D. Salvador María Perez, escribano de S. M . , del colegio Descuento de letras , á 6 por 100 al año. pel de hom bre, y D. José García L u n a uno característico. de esta ciudad y de ndtnero interino en la misma y su parti­ do &amp;c. Certifico: Que en el juzgado de primera instancia de esta ciud ad, y por la escribanía de número interino de mi cargo PROVIDENCIAS JUDICIALES. pende expediente formado á solicitud de D. José…</t>
  </si>
  <si>
    <t>…T IC ULaL Ocomedia 4«° 9 6 0 , nueva , en un acto, qae lleva por título E L en la que la Sra. Baus desempeñará un pa­ de- la creación de un canal de reunión que trasmitiese á la pos­ lo tercero y último. pel de hom bre, y D. José García L una uno característico. teridad la mas remota la gloria de su ilustre fundador. Poesía.^Impresiones de la noche, por D. J. de Zorrilla. La dificultad material de abrir , y mas que todo la de sos­ Se suscribe al Semanario en las librerías de Jo rd á n , calle de tener este canal, es…</t>
  </si>
  <si>
    <t>…sus anterio­ reales los que se han de dar á cada uno de ellos, resulta que la res representaciones, y en el que desempeña la parte de pro­ cantidad que habrá que destinar para este objeto será la de tagonista el primer actor D. José García L una. **,, 21.600,000 rs. Colegio- seminario de humanidades incorporado Intermedio de baile; terminando la función coa la divertí-* Que suponiendo que la tierra que se les adjudique sea de de la universidad . da comedia en dos actos, titulada tercera calidad, y que valga á 80 rs. la…</t>
  </si>
  <si>
    <t>García, José María</t>
  </si>
  <si>
    <t>José María García</t>
  </si>
  <si>
    <t>…capitán general D. Joaquín de Ezpeleta ha tica está á cargo de D. Roque J. V aldés/y la segunda al de conservación. Con esto no hacemos otra cosa que cumplir con construido frente al fondo de la nueva cárcel en la última glo­ D. José María García: la de gramática ai de D¿ Manuel A n- ciedad económicaimpone los deberes que el agradecimiento. Plauteada la Real so­ rieta del antiguo paseo en reemplazo de la de los Génios, que gulo, y director deí instituto, como todas las demas, excep­ todo trance la felicidad sabias , sus…</t>
  </si>
  <si>
    <t>García, Juan</t>
  </si>
  <si>
    <t>Juan García</t>
  </si>
  <si>
    <t>…— determina el modo cómo se han de hacer y por quién se han de Segundo teniente, José Muñoz.—Doctor D. José V Ícente Na^ NOTICIAS NACIONALES. áacer las elecciones, que por cierto es diferente del que se obser­ vas, Piírroco.—D. Juan García , presbítero. = L1 Subteniente va para las diputaciones forales. primero, Baltasar Rodríguez.—Él segundo alférez, Antonio Valencia 15 de Octubre . Adem as, sabido es que lo mas importante de este fuero Alarcon. :onsiste en las facultades de estas diputaciones,que son extraor- Podemos…</t>
  </si>
  <si>
    <t>García, Jubao</t>
  </si>
  <si>
    <t>Jubao García</t>
  </si>
  <si>
    <t>…villa , refren­ llini titulada pital á disfrutar de la gracia de indulto, de modo que se cuen- dada del escribano de número de la misma D. Carlos Rodrí­ guez de Moya , que por ahora despacha la escribanía vacante NORM A. de D. Jubao García H uerta, se saca á pública subasta por tér­ (í) Jerswi., c. 15. mino de 50 dias, contados desde hoy, una casa sita en esta corte y su calle dei Mesón de Paredes, núm, 12 antiguo y 59</t>
  </si>
  <si>
    <t>García, Julián</t>
  </si>
  <si>
    <t>Julián García</t>
  </si>
  <si>
    <t>…Sr. D. Francisco a e s ta , colegio de sordo-mudos, ateneo científico y litera­ Amoros y López, juez de primera instancia de esta villa y es­ rio , colecturía general del fundo pió beneíicial, ju n ta de cribanía vacaute de D. Julián García H uerta, por D. Andrés CRUZ. A las siete de la noche. Se volverá i po­ beneficencia, hospitales generales, asociación de caridad de Iza, maestro ebanista y vecino de esta corte, ha señalado ner en escena la aploudida ópera en dos actos, del inaestro y casa de beneficencia, la inclusa…</t>
  </si>
  <si>
    <t>García, León</t>
  </si>
  <si>
    <t>León García</t>
  </si>
  <si>
    <t>…icos que constan del progra­ D. Rafael Misfavila , D. Juan de Cengotita Bengoa , Sr. conde una brillante sinfonía , se pondrá en escena el melodrama nue­ m a, pudiendo asegurar á Y. que el vehemente deseo de una de Saceda , y D. León García V illareal, quienes declararon por v o , de grande espectáculo, en cinco actos, titulado honrosa paz es tan general en esta provincia, que no podrán unanimidad no haber lugar á la formación de causa. disminuirlo en lo mas mínimo las sugestiones ni los ocultos EL D E L A T O R , manejo…</t>
  </si>
  <si>
    <t>García, Manuel</t>
  </si>
  <si>
    <t>Manuel García</t>
  </si>
  <si>
    <t>…por lo mismo ella misma recomendará ha mandado asimismo que se haga mención honorífica del ex­ al medio de sobrecargar á los pueblos con otros nuevos. á su tiempo las ventajas de su construcción: baste a V. E. presado capitán D. Manuel García M orente, á cuyo celo y 2.° Que estando estos tan trabajados, es preciso dul­ de que se está horadando una durísima roca de actividad se ha debido este encuentro y sus resultados. cificar en lo posible las exacciones, apelando á su patrio­ la44 idea varas de espesor con una luz de 40…</t>
  </si>
  <si>
    <t>…ro 1 con los 8000 ps. fs ., la La R. madre abadesa de Sta. Clara y su comunidad. 17 Id. D. Jesualdo Gayá.................................................... 5 aproximación anterior será el 22000; y si este obtuviese igual Id. D. Manuel García ........................... 5 premio, la posterior será el 1 . Los Sres. generales, gefes, oficiales y cuerpos de la isla de Id. D. Gervasio Puentes............................................... 5 Los 22^ billetes estarán subdivididos en la clase de cuartos, Cuba han contribuido en la…</t>
  </si>
  <si>
    <t>García, Manuel Antonio</t>
  </si>
  <si>
    <t>Manuel Antonio García</t>
  </si>
  <si>
    <t>…e bienes nacionales. Van publicados hasta esta fecha 560 nú­ en ía capital del concejo, quien dispuso saliese una partida dias, que por todos términos he fijado , contados desde la pu­ meros. de 16 hombres al mando del oficial D. Manuel Antonio García blicación del presente edicto, acudan á mi juzgado, y expe­ en su persecución, el que logró alcanzarlos y capturarlos el diente de administración de los bienes de la herencia de aquel, mismo dia sin haber pasado su resistencia del primer amago. á deducir el derecho que á los mi…</t>
  </si>
  <si>
    <t>García, Mariano</t>
  </si>
  <si>
    <t>Mariano García</t>
  </si>
  <si>
    <t>…osquera, de esta vecindad , cuyo paradero un desenlace inesperado, hé aqui lo que el drama presenta á tamiento próximo, fie ahí los nombres. primera vista, lo que en el público no pudo menos de sorpren­ nuelAlcaldes: primero D. Mariano García, segundo D. Ma­ sita en la plaza que se ignora, para de comparezca en la audiencia de dicho Señor, la Constitución, repeso que fue de villa , en der y agradar. Villanueva. el término de quince dias contados desde el en que se inserte Regidores: primero D. Tomas Situé , segundo •…</t>
  </si>
  <si>
    <t>García, Mariano de la Paz</t>
  </si>
  <si>
    <t>Mariano de la Paz García</t>
  </si>
  <si>
    <t>…usa­ otra mitad si fuesen absueltos plenamente. D. Manuel Quintana, D. Santiago Alonso Cordero, D, Ro­ dos igualmente; y con presencia de lo que acerca del par­ 10. Los jubilados á quienes se forme causa continua­ mán López y D. Mariano de la Paz García , quienes por una­ ticular han expuesto la contaduría general de Valores, la rán percibiendo íntegramente el haber que disfrutaren elnimidad declararon no haber lugar á la formación de causa, y referida de Distribución y la comisión auxiliar consultiva por su jubilación co…</t>
  </si>
  <si>
    <t>García, María Josefa</t>
  </si>
  <si>
    <t>María Josefa García</t>
  </si>
  <si>
    <t>…FIA . medias que nuevamente se traduzcan , muchas de las que han D . Domingo Diaz , vecino que fue del lugar de Barreiro , rei­ sido ya publicadas. Este nuevo arreglo le permite fijar un pre­ no de Galicia, como heredero de Doña María Josefa García, S USCRIPCION. Compendio práctico de las enfermedades de cio mas económico que el que en otro caso habría debido esta­ y á un libramiento de intereses vencidos de dicha imposición ^ la piel, por MM . Alphee Cazenave y H. E. Schedel, tra­ blecer, al mismo tiempo que podrán los sus…</t>
  </si>
  <si>
    <t>García, Melchor</t>
  </si>
  <si>
    <t>Melchor García</t>
  </si>
  <si>
    <t>…ieron nuestras tropas el malidades que la misma previene, tocó á los habiéndose realizado con las for­ W ashington (Ñ. C.), varó en el banco del Oeste, y salió bien fuego en las inmediaciones de Mootalvan contra las facciones D. Melchor García, D. Francisco Romeral, sugetos siguientes: después de arrojar al agua 250 barriles de carga y largar las reunidas, durando aquel hasta las tres de la tarde, y según ca Santipetri, D. Pedro Porras, D. Felipe López VadeIdem D. Juan la Ro­ dos cadenas: la goleta O rear, procedente de S.…</t>
  </si>
  <si>
    <t>García, Máximo</t>
  </si>
  <si>
    <t>Máximo García</t>
  </si>
  <si>
    <t>…n el carruaje la duquesa cuando ocurrió este acon­ gunda columna D. Rafael Muyalde quedaron muertos en el tecimiento. campo los rebeldes Isidro Aguila, alias Chicharra , y Juan Ro­ bledo , alias Piernas. Que el subteniente D. Máximo García , del batallón de M i­ El Rey y la familia Real, asi como la com itiva, han ido S . M. la R e i n a , s u augusta M adre la R e i n a G o b e r n a ­ licia Nacional de Madridejos, con noticias que tuvo de que á T report, donde han sido recibidos á su llegada por el corre­ d o r a y l…</t>
  </si>
  <si>
    <t>García, Paz</t>
  </si>
  <si>
    <t>Paz García</t>
  </si>
  <si>
    <t>…gaciones dades de religiosas sus propiedades si no se las pagaba ; pero Santiago de la ciudad de la Habana pide que los. censos que á corno preferentes, y entre estas tiene su lugar la de que se ve­ habiendo usado dé eila el Sr. Paz García antes que me llegase favor de dicho piadoso establecimiento pagan ciertos p articula­ rifique el pago de las religiosas, pago á que el Gobierno ha el tu r n o , S. S. ha manifestado sobre ese particular cuanto yo res , y sus pagos se hallan entorpecidos por distraer los produc­ querido…</t>
  </si>
  <si>
    <t>García, Polonia</t>
  </si>
  <si>
    <t>Polonia García</t>
  </si>
  <si>
    <t>…Doña M aiij Patrocinio Chacón............................... El C. F. P. P ............................................................................... 80 20 columnas militares, y no encontrando en los pueblos el apoyo Doña Polonia García „ ........ * P. E ............................. 20 10 que antes, han tenido que abindonar el pais, que empieza á D. Nicolás Bohorques.............................................................. F. M ..................................................................................…</t>
  </si>
  <si>
    <t>García, Rafael</t>
  </si>
  <si>
    <t>Rafael García</t>
  </si>
  <si>
    <t>…or el expresado Sr. Mi­ I mes de Diciem­ El capitán general de Castilla la Nueva participa que el bre......................... 1516 15252967..16* 55569821..14 nistro de la Gobernación, lo traslado á Y. S. para su co­ capitán D. Rafael García, del batallón franco de tiradores del I Id. en los meses an­ nocimiento, el de la diputación provincial y ayuntamien­ distrito, alcanzó la mañana del dia 4 á un grupo de rebeldes; teriores 14257 566546252.-29 75S887568..29¿ tos de los pueblos y efectos correspondientes. Dios guarde y…</t>
  </si>
  <si>
    <t>García, Raimundo González y D. José</t>
  </si>
  <si>
    <t>Raimundo González y D. José García</t>
  </si>
  <si>
    <t>…Juan Antonio Montero, en 14* ro, alcaide de la cárcel Nacional de corte, en unión de Don pies superficiales, tasada con fecha 2 de Junio del año último Otra id ., sierra de Gador, loma del G uijo, término de Francisco R oiz, D. Raimundo González y D. José García V a­ en 77815 rs. vii., á rebajar cargas, está señalado el dia 18 del Berja, S. Francisco, para llamarse Felicidad, por Francisco Fé- lero, en concepto de injurioso en primer grado el artículo in­ corriente á las doce y inedia de su mañana en la casa consular, li…</t>
  </si>
  <si>
    <t>García, Silvestre</t>
  </si>
  <si>
    <t>Silvestre García</t>
  </si>
  <si>
    <t>…tual. la retaguardia , amenazando al mismo tiempo envolver nuestra plegó obedeciendo la orden del citado general H oyos: alli fu e A r tiller ía . izquierda. El general Azpiroz tomó con serenidad y viveza sus herido el sargento Silvestre García, y mandado retirar contestó disposiciones, y el buen continente de las tropas detuvo á los con frialdad wy a en mi situación se pierde menos que en otro; 1 morterete de bronce de á 5 p u lg a d a s , fundido en C an - enem igos, que refrenados, se contentaron con observar el mo­ d…</t>
  </si>
  <si>
    <t>García, Tomas</t>
  </si>
  <si>
    <t>Tomas García</t>
  </si>
  <si>
    <t>…nor suyo. Mucho Estado de la legislación penal en E spañ a, y reformas que y a botado al a g u a , el cual se llamará la ciu d a d d e M e t z , de­ celebramos este triunfo del vate aragorés , y deseamos que su necesita, por D. Tomas García L u na. biendo m u y en breve empezar á via ja r entre este último pun­ drama obtenga los honores de la representación en el coliseo de L a democracia nueva: de Mr. Alletz, por D. A ugusto A m ­ to y Treves. M r. C h a rp in , auxiliado de las administraciones esta capital. blard. dep…</t>
  </si>
  <si>
    <t>Garelly</t>
  </si>
  <si>
    <t>…nadora, y gloria al caudillo excelso que ha sabido unir á la la de Exámen de Actas habia nombrado elección de nuevo diputado, pues Mr. Baring lo es de aquella constancia y valor en los combates tanto tino y prudencia para mo Sr. Garelly, y para secretario al Sr. para Egea. presidente al mis­ ciudad. El Sr. PRESIDENTE manifestó que mientras llegaba la El Parlamento debe ser prorogado el 27 de Agosto. La^Rei- llevarmanera á cabo tan importante negociación, y llevarla de una tan noble para la nación española, sin humillar…</t>
  </si>
  <si>
    <t>GARELLY</t>
  </si>
  <si>
    <t>…nsejo de Es­ los autores de esta rebelión sufran el mas pronto y ejemplar los 15 dias primeros siguientes al de este anuncio , después de tado , dijo castigo. los cuales propondrá ó S. M . el mismo tribunal los sugetos que El Sr. GARELLY que estando conforme el Gobierno con considere mas idóneos. el dictámen presentado por la comisión , también estaba de acuerdo con una pequeña adición que la comisión habia juzga­ PARTE RECIBIDO EN LA SECRETARIA DE ESTADO do conveniente hacer: que diciéndose en el art. 3.° que para ser P…</t>
  </si>
  <si>
    <t>…ste párrafo trono. acerca de la propiedad del lenguaje empleado en el mismo, á se dice que el Senado se ocupará en la discusión de los códigos Volvieron por segunda vez los Sres. Senadores á victorear á las que satisfizo el Sr. Garelly, después de lo cual se dio el pun­ con sus apéndices de aranceles y ley de notariato. En esta ul­ los mismos sagrados objetos que lo habían hecho antes. to por suficientemente discutido, y quedó aprobado el párrafo. tima versión de ley de notariato encuentro yo dos inconve­ El Sr. duque de…</t>
  </si>
  <si>
    <t>…alcalde se­ Los Sres. Canéja y Lleopart deshacen algunas equivoca­ Sesión del dia 25 de Octubre• gundo, Antonio B arranco.= E l regidor prim ero, José Perez ciones. Arco.—El regidor segundo, M anuel de A vila.= E 1 regidor El Sr. G A R E L L Y apoya el dictamen de la comisión, di­ Se abrió á la una menos cuarto, y leida el acta de la ante­ quinto, José Maxfil.— El regidor sexto, José de M i r a .^ E l ciendo que no ha habido coacción alguna en las elecciones, si­ rior quedó aprobada. regidor octavo , Juan de Gracia.—Síndico…</t>
  </si>
  <si>
    <t>…nad^ de cargos presentaré. tad o , y en la lista nom inal, se dice: Sr. duque de A hum a­ que malos consejos ó consejeros de la 11 pueden hacer que se D igo que el Ministro actual no tiene que responder de eso da , 40 3 rs.: Sr. Garelly , /¡Qd rs.: Sr. marques de Santa Cruz, desmembre la m onarquía, porque no sea fuerte, grande, no al Congreso; este es el estado que tiene ese asunto. 48Q rs. : Sr. C aro, 40$ rs.: Sr. conde de O falia , 40 3 rs.: señor valga la España nada entre las naciones de Europa. El duque de Alba es pa…</t>
  </si>
  <si>
    <t>…era instan­ consulta, la cual pasó al supremo tribunal de Justicia , quien se pasó á la comisión. cia de la misma ; creyendo el Diputado que tiene el honor de la pasó á los fiscales, los cuales dieron su dictámen que iba á El Sr Garelly ocupó en seguida la trib u n a, y leyó el dic­ proponer este dictamen que los indicados acuerdos fueron dic­ leer (lo leyó). tamen de la comisión encargada de informar sobre el proyecto tados en consideración á los respetos debidos al mismo Congre­ Evacuada la consulta por el tribunal suprem…</t>
  </si>
  <si>
    <t>GARELLY, He- El Sr.</t>
  </si>
  <si>
    <t>He- El Sr. GARELLY</t>
  </si>
  <si>
    <t>…e la* correspondientes á del Norte. nifestado un Sr. Senador que ha ocupado el puesto de S. S., en cada año.” ■Se leyó y -aprobó sin discusión mi dictamen de la comisión cuyo tiempo no puede menos de alabar la marcha que el Sr. He- El Sr. GARELLY contestó que con lo que la comisión in­ de I'clic ion es acerca de la de D. José Castro, vecino de Barce­ ros adoptó; pero que entonces no había bases sólidas para la tercalaba en el párrafo se llenaban los deseos del Sr. Rich. lona, solicitando se acuerde la publicación de la l…</t>
  </si>
  <si>
    <t>Gargamala, Sebastian</t>
  </si>
  <si>
    <t>Sebastian Gargamala</t>
  </si>
  <si>
    <t>…ínteres de P o r providencia del Sr. vicario eclesiástico de esta corte se de los derechos de la Reina Isabel y de las libertades patrias, esas provincias con los de las demas, y se pondrán en armonía cita, llama y emplaza a D. Sebastian Gargamala, que re­ sino con una transacción para ponerse de acuerdo, para conci­ con la Constitución , y ha sido un escrúpulo del que ha dictado sidió en Madrid en el año de 1825 , para que por sí ó apodera­ liar todas las voluntades, y para que aquellos que han tomado esa cláusula exigi…</t>
  </si>
  <si>
    <t>Gargollo, Fernando</t>
  </si>
  <si>
    <t>Fernando Gargollo</t>
  </si>
  <si>
    <t>…Macpherson , D. Víctor García Ga.v- cajas nomen erat Jo a n m s . mas de un mes. ton, D. Ramón Viilaiba, D. José Gómez y D. José Garrido. E l uso de galeras para batallas navales parece que cesó Música. D. Jaime Santacaua , D. Fernando Gargollo, Eion después de la acción de L ep anto: pues vemos que el fa­ Salvador Viniegra y D. Ignacio Fernandez de la Somera. Clot bey, médico del virey de Egipto, ha tenido una au­ moso a rm a m e n to , llam ado la arm ad a invencible , q u e Baile. D. Juan Riquer , D. Guillermo Ghesi…</t>
  </si>
  <si>
    <t>Gargollo, José Fontagud</t>
  </si>
  <si>
    <t>José Fontagud Gargollo</t>
  </si>
  <si>
    <t>…á su bordo, y segün se dice, encargado de plenos poderes «D uque de R ivas. P atencia. para servir de mediador éntre la Francia y Méjico. (Globe .) «D . J osé Primo de Rivera. D. M iguel Tacón. « D . Nicolás M aría G arelly. D. José Fontagud Gargollo. « D . José Ojero. Los periódicos ingleses publican noticias de Buenos Aires P on teved ra . y deyMontevideo del 17 y del 20 de Oetubré. El estado de las Canarias (Islas). «M arques de Santa Cruz de R ivadulla. D. « D . Antonio M aría Montenegro. cosas no ha variado ; pero…</t>
  </si>
  <si>
    <t>…net de Paris, ha comprado tas en favor de franceses, de mejicanos y de extra» ge ros que un cristo de V a n -D itk , puesto en venta por el precio de un serán llamados á decidir sobre el número de indemnizaciones reemplazo de D. José Fontagud Gargollo: por la de Má­ franco. Una hora después de la compra la autenticidad del cua­ reclamadas. laga a D. José Balbiani, en reemplazo de D. Gaspar R e­ dro estaba reconocida por Mr. Gerad , de P aris, bien conocido 5.° Asegurar á la Francia las satisfacciones que ha pedido misa: por…</t>
  </si>
  <si>
    <t>…de rastrojera é ití- merecedores del aprecio común, y honran en alto grado Conde de Adanero........................... ...................... Cáceres. ^ vernadero del monte titulado de VilSamanrique, el de la a sus autores. D. José Fontagud Gargollo......................................Cádiz. Veguilla de los Bodegones, y el de la dehesa A larilla, pertenecien­ Como quiera es tarea difícil, y no poco á la verdad, Marques de Miraílores.. . . . . . . . . . . . . . . . . . . Ciudad-Real. tes á lá encomienda mayor de Castilla…</t>
  </si>
  <si>
    <t>Garibaldi</t>
  </si>
  <si>
    <t>…es y denalato. El Sr. Tosti continuará manejando las rentas del Es­ Criolla no ha experimentado la menor avería. Ha vuelto é G onzaez, demostraron su aprovechamiento resolviendo los^pro­ tado con el titulo de pro-tesorero. El Sr. Garibaldi, intemuncú Brest como había salido ligera y andadora, notable por la pre­ blemas que desde el conocimiento de la numeración hasta las «ii París, debe volver aqui para ocupar la plaza de tesorero, qu&lt; cisión y la osadía con que ejecuta sus maniobras , y sin qu&lt; proporciones se les propusier…</t>
  </si>
  <si>
    <t>Garlache, Mérode y Mr.</t>
  </si>
  <si>
    <t>Mérode y Mr. Garlache</t>
  </si>
  <si>
    <t>…rtículo que si como movilizados durante la lucha actual, y disfrutarán A N U N C IO S O F IC IA L E S * tuviese el carácter de oficial, desesperarla á los patriotas belgas; el haber de tales. helo aquij &lt;c3e duda que el conde de Mérode y Mr. Garlache logren que tenga buen éxito la comisión de que están encarga­ Por tanto mandamos á todos los tribunales, justicias, dos en favor de la Bélgica cerca de los Gabinetes de Paris y da gefes, gobernadores y demas autoridades, asi civiles coma Intendencia militar de Castilla la N…</t>
  </si>
  <si>
    <t>Garlos</t>
  </si>
  <si>
    <t>…paises de E uropa; y como ble en lo sucesivo el despotismo que hasta ahora habían sufrido. mún que amenazaba al pais. Digó pues, señores, que los espa­ la cuestión española se mira y se juzga aqui generalmente por A un cuando D. Garlos se seula¿é en él trono no podría resta­ ñoles conocen y aprecian el valor del Gobierno representativo, nuestra propia experiencia y por analogías tomadas de la histo­ blecerle: lo intentan? acaso, lo intentaría mas que él el sangui­ y van éntrando eu su espíritu. ria de otros paises, la cuest…</t>
  </si>
  <si>
    <t>…M. esta Señora: Vuestro comandante general de esta provincia de everente y cordial exposición para consignar en ella del modo ñas explícito un testimonio irrefragable de su júbilo por la in­ cruenta derrota del ex-infante D. Garlos, y una demostración PARTE NO OFICIAL. Córdoba en unión con los demas gefes y oficiales que se hallan le su gratitud á V. M., cuyos maternales desvelos por la feli­ en ella tienen el honor de dirigir á las augustas personas de cidad de los pueblos que en nombre de su excelsa Hija gobier- Y. M…</t>
  </si>
  <si>
    <t>…uadro, al Sr. D. Juan Carlint. ora oponiéndose con movimientos combinados de propósi­ en los dias que duró la exposición, á 519. Un cuadro, á la Excma. Sra. de Fernandez del Pino. to á los de los partidarios ó auxiliares de D. Garlos. dos reales ............................. • 6684 885. Una cartera de terciopelo bordada de oro y plata , al En* la comunicación donde se part icipa: todo esto á DATA. Sr. marques de Leis. nuestro embajador en Paris, asegura el Gobierno francés 518. Un cogin de paño bordado de lana, á la Sr…</t>
  </si>
  <si>
    <t>…y p are ce , según las ú ltim a s noticias , que ambos se Verde laurel que coronando á Febo petente fianza de que semejante ca n tid a d e x tra o rd in a r ia de v a ­ h an i d o á Sucnbilla : ú ltim a m e n te , parece que D. Garlos ha salido es sijas son destinadas á llenarlas de aceite de cocos, ó para otros con dirección á V e r a . V a r g a s , que estaba m an d an d o en ausencia fines de lícito comercio. Verde laurel de I t u r r i a g a , mandó seis ú ocho com pañías de preferencia para 7.° Una c a n tid a d…</t>
  </si>
  <si>
    <t>Garlos, D.</t>
  </si>
  <si>
    <t>D. Garlos</t>
  </si>
  <si>
    <t>…isco A moros quiere decir Consejo de Estado? ^actuales pero en nuestras me á los principios del actual Gabinete, viene otro de princi­ y Lope®, juez de primera i insta ocia era esta villa, por La es­ que tenia en tiempo del Sr. D. Garlos iv? No.laElsignificación Podrá ¡tener Consejo de pios opuestos ? (E l Sr. Ministro de la Guerra entró en el sa­ cribanía. de. número del citado establecimiento del Dr. Don Estado, bajo una Constitución como la que tenemos mi lón.) ¿ Ei Consejo de Estada nombrado por un Ministro del co­ Cl…</t>
  </si>
  <si>
    <t>Garmen-, Juan Francisco</t>
  </si>
  <si>
    <t>Juan Francisco Garmen-</t>
  </si>
  <si>
    <t>…concurso de P . M arti ó dé Irazoqui y se cita y emplaza á cobardía propia de un asesino, pues habiéndosele presentado la asientu ei Presidente: pagada lista*-resultaron 70 Diputados pre- , los acreedores D. Jo$é!Francisco y- D. Juan Francisco Garmen- oportunidad de batirse.con solo mi caballería, aunque inferior sentes. % .. . . dia y D. José María Yergara yparaque en el termino de cuatro eri: número, se contentó con que sus tiradores , aprovechándose Se abrió la ¡sesión á la uua. Up Secretario hizo el análisis meses con…</t>
  </si>
  <si>
    <t>Garnica</t>
  </si>
  <si>
    <t>…faccioso, que no habia podido satisfacer L a novela de costumbres de P aul de Cokc, la Muger y los n o r ó M a r g a r it a : María de R w i e r a , m a d r e de a m b a s , e l i ­ con M iera sus deseos, se dirige sobre el Sr. Garnica; y dicién­ dos a m ig o s, que publican los mismos editores, concluye en el g ió á la m e n o r , q u e era M a r g a r it a , p orqu e su c o m p le ­ dole r í n d e t e , le contestó con sangre fria no m e d o y : sin mas próximo Agosto. V an repartidas cinco entregas. x ió n , mas in e…</t>
  </si>
  <si>
    <t>Garralaga, Rafael</t>
  </si>
  <si>
    <t>Rafael Garralaga</t>
  </si>
  <si>
    <t>…or su bizarro comandante barón de | Quinto batallón de Aragon.=:Teniente graduado de capitán mitida en otras naciones, y ya ventajosamente ensayada i P u r g o ld ; verificóse a s i , y con un valor que honra á la causa de 5| D. Rafael Garralaga , de Albalate.=:Soldados: Prudencio M o - en la nuestra, de formarse candidaturas y entenderse los I la libertad , coronaron nuestras tropas la culminante peña, doa- ! rales, León M o n je , Antonio Lintenez, de Alcocer; Jo a q u ín ciudadanos con el fin de ilustrar y d irigir la o…</t>
  </si>
  <si>
    <t>Garrido, Francisco</t>
  </si>
  <si>
    <t>Francisco Garrido</t>
  </si>
  <si>
    <t>…(p$ate.jie.l Gobierno, queuo do l imos, no obstante,hubiera es­ cisco Astiz, D. Jo¿é Francisco Falcó , D. Pedro Laplana, Don te j &gt;» Gado á la circulación de tan clásico libro al hubiese sido Juan Geriseis, D. Antonio A ngulo, D. Francisco Garrido, p N Castilla virtud de providencia del Excrao. Sr. capitán general de la Nueva se cita y convoca á todos los acreedo­ ueie.jrio. D. Manuel T one y C ano, D. Tadeo Sánchez Escandon y Don res del difunto D. Manuel M oreda, del comercio de esta corte,</t>
  </si>
  <si>
    <t>Garrido, José Gómez y D. José</t>
  </si>
  <si>
    <t>José Gómez y D. José Garrido</t>
  </si>
  <si>
    <t>…éx tasis: F u it hamo missws á D so gracia plena y entera , despucs de una detención preventiva de Dibujo. D. Guillermo Macpherson , D. Víctor García Ga.v- cajas nomen erat Jo a n m s . mas de un mes. ton, D. Ramón Viilaiba, D. José Gómez y D. José Garrido. E l uso de galeras para batallas navales parece que cesó Música. D. Jaime Santacaua , D. Fernando Gargollo, Eion después de la acción de L ep anto: pues vemos que el fa­ Salvador Viniegra y D. Ignacio Fernandez de la Somera. Clot bey, médico del virey de Egipto, ha t…</t>
  </si>
  <si>
    <t>Garro</t>
  </si>
  <si>
    <t>…dias; pero el 22 volverá S. A. S. á Presburgo. día 7 de Abril entregaron los franceses el castillo de ü lú a á las las sus relaciones. tropas mejicanas, y que la escuadra francesa iba á salir el N i los repetidos avisos del Sr. Garro , ni las exigencias de dia 15 del mismo para Europa. El día 6 sucedió la desgracia . a etiqueta diplomática fueron bastantes para que S. M. el Rey de que se prendiese fuego la aduana de V eracruz, quemándose le los franceses le recibiése en la forma acostumbrada; y no Nos escriben de Trieste…</t>
  </si>
  <si>
    <t>Garro, D. Máximo</t>
  </si>
  <si>
    <t>D. Máximo Garro</t>
  </si>
  <si>
    <t>…s bien co­ bía llegado á C a n t ó n , donde los oficiales fueron tratados con nocidas terio y de cuantos han leído la correspondencia entre el minis­ la legación de Francia. particular distinción. Se nombró en efecto al Sr. D. Máximo Garro ministro ple­ A U ST R IA . lia habido una pendencia á bordo de un buque infles nom­ nipotenciario, y se tuvieron muy presentes su justificación, brado el JohnBull , en la que fue herido el segundo. Viena 5 de Junio. Un edicto del Emperador expedido enPekin establece la pe­ franqu…</t>
  </si>
  <si>
    <t>Garríea, José</t>
  </si>
  <si>
    <t>José Garríea</t>
  </si>
  <si>
    <t>…sa y verso, que lleva presbítero IX Pedro García de la Huerta. Un tomo eo 8.° edi­ por título ción de 1795, á 5 rs. en rústica y 9 en pasta común. La aurora de Colon, LA REDOM A ENCANTADA. Curso elemental de meteorología, por D. José Garríea. U n drama endecinco cuadros, escrito en diferentes metros por Don CRUZ. Hoy no hay función. tomo eo 8.°, edición de 179/,, á 5 rs. en rústica y 9 eo pasta Patricio la Escosura. Véndese á 8 rs. en las librerías de Esca­ rnida , calle de Carretas, y de C uesta, frente á las Cova­ común.…</t>
  </si>
  <si>
    <t>Gas</t>
  </si>
  <si>
    <t>…El comandante general de Burgos traslada con fecha 17 te y dura de 20 pies de luz y 16 de altura hasta el arranque ligencia r y efectos correspondientes. Dios guarde á .V. S. ana comuhicacion delxomandante general de Ja sierra D. Gas­ del arco que lá Cubré para (Jue pase el caminó, porque ha de­ muchos años. M adrid 14 de Marzo de 1839.«=:El subsecre­ par Antonio Rodríguez * que había recibido en la madrugada; mostrado la experiencia ser insuficientes los mu rallones sobre ta rio , J u a n EeíipeJVlartinez.==Sr. gefe polít…</t>
  </si>
  <si>
    <t>Gas-</t>
  </si>
  <si>
    <t>…sto el aparato para volar. El segundo segmento del En este juzgado privativo de la G uardia R ea l, de que soy cuerpo no exhibe tampoco eí escudo que se halla en la imago asesor general, penden autos entre el Excmo. Sr. duque de Gas- 2.° Introducción en la ópera Elena é M alvina , del maes­ en aquella situación, como sucede en las varias tribus de lan­ troterreño, capitán director de la Real compañía de Guardias tro C am icer, por la Sra. V illó , el Sr. Salas y coristas; con de­ gostas, langostinos, cigarrones, grillos &amp;…</t>
  </si>
  <si>
    <t>Gasablanca</t>
  </si>
  <si>
    <t>…de cesantía : se refiere fe) lera , Pacheco , G a l i , Cebados , I z u a r d i , J u r a d o , Santouja , L ó ­ hecho. Si esto satisface al Sr. López V ázquez, baste; si p p , yo pez (D. J .) , Villaverde , ■H u e t , barón de Gasablanca , C. de la d aré á S. S. todas las explicaciones que desee.- f / R o s a , Salamanca , C am b ron ero , Camateño , Florez Estrada, El Sr. P R E S I D E N T E : Tiene la palabra el Sr. Ministro El general en gefe del ejército del Centro en 28 del mismo Mela , Valdés. de Hacienda. dice de…</t>
  </si>
  <si>
    <t>Gasas</t>
  </si>
  <si>
    <t>…e r m i n a r á la f un c i ón con u n li ndo terceto compuesto I r a d o s , filantrópicos y ac t i vo s , el sistema del general se re a l i- j d e nunc i a por siete votos contra dos que di si nt i er on ; á saber: por el Sr. Gasas zará con menos di li cul tades, y esta admi rabl e concepción de un j Por la af i r mat i va D. Ma r i a n o Be l mo n t e, D. Francisco Sol ano •patriotismo poderoso, se sacarán con el tiempo mar avi l l os as \ de la T o r r e , D. José de la Roca , D. José Severo Gar cí a , Don En cel ebri…</t>
  </si>
  <si>
    <t>Gaspar</t>
  </si>
  <si>
    <t>…egóse al último grado de cinismo próximo pasado por el falucho guarda-costas el Pluton y de lubricidad, hasta que al fin se consiguió realizar las Ayer se han dado pasos p*ra componer un Gabinete del que al mando del capitán D. Gaspar O rtuño, de la empresa infernales creaciones del filosofismo. Mr. Thiers no debia formar parte. Ors y García, el falucho contrabandista, nombrado San Tras de la locura vino el escarmiento, y la novela va­ Esta tentativa ha sido infructuosa. Se dice que Mr. Guizot ha sido encargado por el Re…</t>
  </si>
  <si>
    <t>…los Sres. viuda y herederos de D . Juan Sainz de Santa yana, vilegio que con el estruendo de las armas y estremecimien­ todo el efecto de la verdad misma. El paladín cristia­ por 5500 rs.: D. Antonio de la T orre, por lJfOO: D. Gaspar to del orbe entero empezó el coloso de la revolu ción fran­ no arrodillado sobre la cum bre del m onte sagrado mos­ de Manuz y Baldor, vecino de Santander , por 50532 rs.: D on cesa, y a esta la tolerancia religio a que un ciudadano ir­ traba en su n ob le figura el pensamiento entero que p…</t>
  </si>
  <si>
    <t>…án llamados á decidir sobre el número de indemnizaciones reemplazo de D. José Fontagud Gargollo: por la de Má­ franco. Una hora después de la compra la autenticidad del cua­ reclamadas. laga a D. José Balbiani, en reemplazo de D. Gaspar R e­ dro estaba reconocida por Mr. Gerad , de P aris, bien conocido 5.° Asegurar á la Francia las satisfacciones que ha pedido misa: por la de Valencia á D. Andrés García Camba , en de todo el mundo artista: en seguida fue también reconocida con la destitución de ciertos funcionarios civiles…</t>
  </si>
  <si>
    <t>…ón de los titulados exaltados la comisión de A ctas, en que proponía se admitiese á tomar ! Declarado el punto suficientemente discutido , quedó ap ro ­ que iban incorporados: todos se prestaron gustosos. U na in ­ asiento á D. Gaspar E lu rd i, Diputado electo por la provincia bado el dictamen de la comisión. mensa m ayoría de los concurrentes se agolpó al mismo tiempo, de N avarra ; y segundo, otro de la comisión encargada de Se leyó el artículo 5.° relativo á que las tierras que han de pues parecía que todos esperaban…</t>
  </si>
  <si>
    <t>…ancia de esta c i u d a d , dictada ante mí en autos que 16 de Mayo último , y siento, sin hallar manera de remediar­ nos del Norte, parque han tomado con indiferencia nuestros siguen los representantes de la testamentaría de D. Gaspar le , el atraso que según el contenido del primero experimenta V . E. en el recibo de mi correspondencia, pues siendo preciso trastornos , é yo m uy desconsolado porque no veo quién trate Amenabar sobre retención y depósito de 6 2 9 galápagos de es­ de prestar dinero, que tan, preciso es para…</t>
  </si>
  <si>
    <t>Gauche, María Teresa</t>
  </si>
  <si>
    <t>María Teresa Gauche</t>
  </si>
  <si>
    <t>…iproca conveniencia. Por el presente hago saber: Que en dicho mi tribunal y d a en la de Mallen, y en las mas principales de todo el reino* Está abierto por mañana y tarde, y provisto en abundan­ testamentaría de la difunta Doña María Teresa Gauche M on- Los señores del comercio de libros que se suscriban por 25 cia de todo lo mas usual y necesario, igualmente que de los es­ ro y , en la que están interesados en la cuarta parte y demas de ejemplares recibirán 2 8 , y los que se suscriban por 50 recibi­ cudos de armas Reales…</t>
  </si>
  <si>
    <t>Gayá, Jesualdo</t>
  </si>
  <si>
    <t>Jesualdo Gayá</t>
  </si>
  <si>
    <t>…..................................... 1 Id. D. Bartolomé Puigdoller....................................... 4 Caso de salir premiado el número 1 con los 8000 ps. fs ., la La R. madre abadesa de Sta. Clara y su comunidad. 17 Id. D. Jesualdo Gayá.................................................... 5 aproximación anterior será el 22000; y si este obtuviese igual Id. D. Manuel García ........................... 5 premio, la posterior será el 1 . Los Sres. generales, gefes, oficiales y cuerpos de la isla de Id. D. Gervasio Puente…</t>
  </si>
  <si>
    <t>Gctmez, Féhx</t>
  </si>
  <si>
    <t>Féhx Gctmez</t>
  </si>
  <si>
    <t>…. h ay an tomado asiento,' cuencia de su movimiento sobre Vera á desguarnecer la línea Cristina. de defensa de Estella , Diego León salió inmediatamente de Pam- quedan do en pie los iMinistro3 y gefes de P a l a c io , lo to­ D. Féhx Gctmez, de 11 años de edad , monitor de la quin­ rnarán ig ualm en te en sus respectivos puestos los Sres. P re ­ p»osa con intención de aprovecharse de esta circunstancia. Se ta clase* y D. León Negro, de edad de 12 a ñ o s, qué lo es de sidente y demas in div id uo s de ambos Cuerpos colegis…</t>
  </si>
  <si>
    <t>Ge, D.</t>
  </si>
  <si>
    <t>D. Ge</t>
  </si>
  <si>
    <t>…claridad el h a ­ que no constituyen un hecho idéntico, al cual hayan todos dad de estas provincias. bla castellana, libre del aceuto provincial, que es tan marca­ concurrido. Los honrosos antecedentes políticos del Excmo. Sr. D. Ge­ do en las Andalucías. En derecho la conexión de los crímenes y delitos no exige rónimo Valdés, adquiridos en su larga y distinguida carrera Sabemos que las demas clases serán desempeñadas por pro­ de un tnodo absoluto la unidad de la acusación y de los deba­ militar, son una prenda de confi…</t>
  </si>
  <si>
    <t>Geaoo</t>
  </si>
  <si>
    <t>…g u sta n . Lo que se propone eo el proyecto de la minoría es bien co­ el de la minoría de la misma y la enmieoda del Sr. V iia. nocido ; con él se quieren conceder los fueros de las provincias Número 50. D. Ramón A leso a y D. Geaoo M a ría Ada^a*</t>
  </si>
  <si>
    <t>Geismar</t>
  </si>
  <si>
    <t>…lo que permitía el Ínteres dél servicio, se ha en­ Y entre tus uñas de granates llevas españoles para merecer el título de genuinos? cargado de sus funciones otro geoeral. Es cierto que muchos oficiales del ejército del general Geismar se han visto precisa­ ni de otros 16 que no citamos por evitar prolijidad, en latino como que Se dirá un nosotros leemos el principio de un sáfico adónico español, por cuanto la primer sí­ dos á dar cuenta de su conducta , mas ha sido por un motivo dos composiciones no muy largas, tienen…</t>
  </si>
  <si>
    <t>…iesgo de comprometer la autoridad, mente descubierta en el cuerpo de ejército que mandaba el te­ el Gobierno de Saint-Gall obra de un modo enteramente dis­ Gobierno superior político de la provincia de Murcia. =3 niente general Geismar. tinto: la autoridad manifiesta firmeza, y resiste á todas Jas pe­ Excmo. S r.: D. Leandro Ega , oficial primero de la sección de Hace algunos dias que M r. L aval, secretario íntimo para ticiones relativas al convento de Peffer. contabilidad de este gobierno político, y los curasde Santa M…</t>
  </si>
  <si>
    <t>Geistnar</t>
  </si>
  <si>
    <t>…uadas la cuarta y la octava, pero no la primera: asi no Parece que en esta narración nada hay de verídico, y el hecho Si de mis ansias el ardor supiste siguió la ley de comenzar por un adónico. cierto es el siguiente: el general Geistnar, residente en la ac­ Asi los dioses con amor paterno Y en nuestro entender hizo muy bien. Ni los griegos tualidad en Alemania , ha obtenido probablemente á petición Asi los cielos con amor benigno ni los latinos comenzaron sus sáficos por un adónico: solo suya una próroga de la licencia qu…</t>
  </si>
  <si>
    <t>Gelabert</t>
  </si>
  <si>
    <t>…nos del colegio se encargaron de la cho el Ateneo durante el año que va á terminar. A propuesta guras, adoptando al mismo tiempo el diíicil género de un asun­ enseñanza de los presos; en Boston muchos vecinos respetables del Sr. Gelabert se acordó imprimir dicho documento, y que se to sacado de la historia sagrada. no se desdeñan de entrar en la prisión y de hacer el oficio de circule con profusión para que vea la nación lo que deben las Parécenos que este joven artista es mas digno de elogio por­ maestros ; en W ashingto…</t>
  </si>
  <si>
    <t>Gelabert, D. José</t>
  </si>
  <si>
    <t>D. José Gelabert</t>
  </si>
  <si>
    <t>…uelo, y cuando en fin podría haber lacion profusa no podría menos de producir grandes bienes. á admitir los que han de servir de monitores en la de la calle algún recelo acerca del buen éxito de tal empresa en las circuns­ El Sr. D. José Gelabert, conviniendo en esta misma idea, del R io, que se denominará la tercera , y que se ha abierto el tancias actuales, no pudo dudar un momento deque seria mas costear propuso que se abriese entre los socios una suscripción para j.° de este mes. la impresión de la memoria , pues no cr…</t>
  </si>
  <si>
    <t>Genaro</t>
  </si>
  <si>
    <t>…del indicado aviso estoy espe­ El coronel teniente coronel del cuerpo , gefe de E. M. de la di­ heridos: tres individuos de tropa m uertos, 44 idem heridos, rando; y ha recaído el nombramiento en los Diputados D. Jo­ visión D. Genaro M orata, el teniente coronel graduado coman­ Dcho idem contusos. sé Ortiz de la Torre y D. Cornelio Escalante. dante del mismo D. Cárlos María de la T o rre , que aguardan­ Tercero id. id. id.=Dos oficiales heridos: cuatro individuos Sin perjuicio délo demas que acuerde la comisión m ixta, do…</t>
  </si>
  <si>
    <t>…im p onentes......................................... 44*732 bres , pero debidos elogios. cutados con gracia y facilidad. D e los cuadros nos parece Se h a n devuelto á solicitud de 6 in te re sa d o s.. . . 5 , 4 0 2 . . 16 D. Genaro V illaamil ha presentado cinco cuadros de re g u ­ el mejor el de la r i ñ a d n a v a ja , presenciada por varias gentes lar tam año y otros pequeños. E n cada exposición se ve d ar á del pueblo. El colorido de este es mas entonado que el de los E l director de se m a n a , m arques v iu d…</t>
  </si>
  <si>
    <t>…aliv iar la suerte del desgraciado emos á conocer sus progresos. ciego. Un noble sentimiento de co nfratern id ad, que de por sí se piar aqui el verso latino que el célebre foiletinista J u lio J a n in e x p lica , impulsó á D. Genaro V iilaam il á hacer la primera, ía colocado debajo del retrato de la famosa escritora, hecho por ” "^21 Dharpentier ; dice a s í : que también entre otros firmó el Sr. D. J u a n Nicasio Gallegos, pidiendo que se abriese una suscripción entre los socios de la CR O N IC A D R A M A T I C A .…</t>
  </si>
  <si>
    <t>…an símbolos de con­ elevado á bordo el ojo del observador 12 pies, se alcanza cordia y de paz; llamaba la atención entre todas una ejecuta­ á ver en distancia de 11 millas, Sus arrum bam ientos son da por el acreditado artista D. Genaro Y i 1la mi 1, que repre­ los siguientes, todos de la ag u ja: del fanal de la Punta sentaba el adm irab le, el sublime acto que presenciaron los cam­ P R O V ID E N C I A S JU D I C I A L E S . S c a g e m ó Scaw al S 16Q 15 0 , distancia 15 m illas; del pos de Y ergara el 31 de Agosto último…</t>
  </si>
  <si>
    <t>Gene</t>
  </si>
  <si>
    <t>…do eo 36 horas, perjudiciales al servicio y seguridad del ejército en el ac­ dominios para su observancia en la parte que á cada uno sar á Francia. Cou ellay está parte tomando lastre y agua para regre­ Mr. Durand, capitán del Gene­ tual estado de guerra , quedaran sujetos á la determina­ toque, y á fin de que llegue á noticia de todos. Tendréis- roso, para restablecer su quebrantada ción del supremo tribunal de guerra y marina , ei que er lo entendido, y dispondréis lo necesario á su cumplimien- vamente sentida por tod…</t>
  </si>
  <si>
    <t>Genieys, Juan</t>
  </si>
  <si>
    <t>Juan Genieys</t>
  </si>
  <si>
    <t>…realizado con las formalidades que la misma previene, tocó á los disposiciones de esta, es debido al celo y laboriosidad del re­ con los cortesanos cuando los recibe p or huéspedes; les sugetos siguientes: D. Gregorio M iota, D. Juan Genieys, Don dactor de dicho periódico, que según tenernos entendido es el d ice : Manuel Herclaes, D. Mariano Nicolás Espinosa , D. Dom ingo Sr. D. Manuel Benito A gu irre, oficial primero de la inspec­ «Caballeros de alta guisa, Pereda, D. Ventura Martínez Ramón, D. Augel Peralta, Don ción…</t>
  </si>
  <si>
    <t>Genio</t>
  </si>
  <si>
    <t>…pudiesen verificarlo, protestaudocontrá la,diyisipn dej vtefritorio. ^ ^ finitivamente sus respectivos créditos, y percibir la cántidad lás primeras boinas del enemigo.,;y a Jos tres minutos y a.esta­ 5.° J^^al ;poticion deb Sr. Genio ^ empleado? en la pncina de que en dinero ó especie les corresponda, apercibidos de que pa­ ba la compañía de tiradores de la Al.buera persiguiéndole. El contribuciones»; u ,.J: ■. sado aquel término sin verificarlo se aplicará lo que á los mis­ enemigo dejó sobre la marcha ,un caballo iouti…</t>
  </si>
  <si>
    <t>Gerando</t>
  </si>
  <si>
    <t>…ón ape­ mana. E n esta fabrica se ocupan 45 operarios, [id.) i R osa: la otra es el p rim e r lom o del P clayc , poema épi­ lan hoy al consejo de Estado. co del Sr. D. D om ingo Uuiz de la V e g a, y acerca del cual El barón de Gerando presenta los antecedentes sobre este ya m anifestam os ligeram ente nuestra opin ión cu ando se asunto. El doctor Jam es, el mismo que asistió á Soufílard, acaba pub licaron su prospecto y alg unas m uestras de .versifica*- Mr. Galiset, abogado de la familia Napoleón, presenta eu de someter…</t>
  </si>
  <si>
    <t>Gerard</t>
  </si>
  <si>
    <t>…era* gí J a que e ¡ ! a elección tendrí a en la C á ma r a . cisco do Ar mas. La junta ha encontrado la correspondencia mas con los accionistas, porque solo se t rat a de hacer el cami no, La buena vol unt ad con que el mariscal Gerard ha a c e p t a ­ benévola y los .servicios mas desinteresados en dichos señores, y como patriotas interesados en el bien g e n e r a l , sin a i i i g i r ni do úl ti ma me nt e el cargo de coma nd a n t e de la Gu a rd i a n a c i o ­ no puede o mi ti r la ocasión de mani festarl es su recon…</t>
  </si>
  <si>
    <t>…aba de guardia en el palacio de Justicia y dos soldados han perecido. tes que la m ueven, quiza estas diversas razones me darían bién. La historia de los antiguos reinos nos dem uestra que Sabemos en este momento que el mariscal Gerard ha toma­ 'TuTfTñTsTíficientes para atreverm e á tratar de m aterias de los principios han variado de m ucho tiem po aca acerca de do el mando de todas las tropas de la guarnición. tan grave im portancia; pero al mism o tiem po conozco esto, ó por mejor d ecir, que en ello no habia p rin cipio…</t>
  </si>
  <si>
    <t>…objeto tiene el cial extraviado. ■ / Id. consolidado, 95^. Gobierno un auxiliar rnuy poderoso en el ilustre gefe de la N ueve individuos de tropa heridos. Tres y medio por 1 0 0 , lO O f. G uardia nacional de Paris, el mariscal Gerard , quien después Provincial de Jaen.zzUn oficial herido. Fondo indiano, 256. de haberse consagrado con tanto celo al restablecimiento del Seis individuos de tropa heridos y un extiaviado. Bonos id. , 56. orden , quiere poner el colmo á su obra , presentando al recono­ Id. de Chinchilla,=iUn…</t>
  </si>
  <si>
    <t>Gerboles, Ramón</t>
  </si>
  <si>
    <t>Ramón Gerboles</t>
  </si>
  <si>
    <t>…nio C a­ Quintana de Triaba , su procurador J o sé T eijeiro, demandan- x Gutiérrez de la T orre, D. Manuel Abascal , D. Mariano Oso- ballero, en id. te de una parte: Andrés Diaz Pardo y mas testamentarios de rio de Moscoso, D. Ramón Gerboles, D. Manuel Fernandez Otra id. en dicho s itio , la Solera . á D. José G arc ía, en id. D. José Diaz de Caucio, vecino que ha sido de Riveras de A u -</t>
  </si>
  <si>
    <t>Germán, S.</t>
  </si>
  <si>
    <t>S. Germán</t>
  </si>
  <si>
    <t>…mismo he visto todo ses y otros extrangeros que habian conocido personalmente á chos , es decir, que algunos de sus compañeros de esclavitud esto oculto entre la vela; también arrojaron en seguida las en­ Cagliostro y al conde de S. Germán , y podemos citar una habían sido asesinados durante la travesía, y que su carne ha­ trañas dei cadáver al m ar, y le ataron en seguida á un palo. aventura extraordinaria que demuestra hasta dónde puede ex­ bía servido para alimentar á sus compañeros. A la mañana siguiente nos dieron carne…</t>
  </si>
  <si>
    <t>Germán, San</t>
  </si>
  <si>
    <t>San Germán</t>
  </si>
  <si>
    <t>…s que pedir á la Cámara la adopción sobre el vidrio. Se han construido á expensas de Mr. Deoserson, ha declarado contestando á una interpelación del corregidor de nuevas medidas sin una absoluta necesidad. Efectivamente: cura de San Germán le A uxerrois, y corresponsal de la com i­ que nada tenia que decir en su defensa. Las deposiciones, dijo, el objeto de los individuos que tratan de pervertir al pueblo y sión histórica de artes y monumentos. (Debats.) 110 me tocan personalmente. que le incitan á armarse es tan patentem…</t>
  </si>
  <si>
    <t>Gervasio</t>
  </si>
  <si>
    <t>…ez de Castro. i a ten dería a de doce á una de su tarde. útil á la ciencia c o ^ o á los e stu d ia n t e s , y a u n á los prácticos, D . P a tricio de la Escosura. que á esda momento experim en tan la necesidad de buscar la D. Gervasio G iro n ella. significación de las palabras c u y o valor v u l g a r ig n o ra n , ó j a ­ D u q u e de R iv a s. Por provid encia del Sr, intendente subdelegado de rentas de mas las h an oído p ro nu nciar. Es ademas otro medio de f a c i l i ­ D* M a n u e l Alonso V ia d o . esta p ro…</t>
  </si>
  <si>
    <t>Geró</t>
  </si>
  <si>
    <t>…. al mes, llevado á casa de los las principales librerías del reino, á 6 y de la de S. Fernando g£c. £jc. vela para Cádiz el 15 de Marzo de 1817 con un convoy reales franco de porte. Nacido en Cádiz en 13 de Ab il de (772 de D. Geró­ de 42 velas; llegó sin el menor* contratiempo el 9 de Ma­ nimo Enrile y de Doña María de la Concepción Alcedo, yo, y se trasladó á esta corte en 1.® de Junio á dar cuen­ marqueses deGasa-Eurile, y educado'en liorna en el colegio ta de todo al Gobierno. Clomentino, entró á servir de guardia mar…</t>
  </si>
  <si>
    <t>Gerónimo</t>
  </si>
  <si>
    <t>…restre sobre un plano ca , D. M anuel Gómez, D. J u a n S eg a le r v a , D. M anuel B er- do asiduamente su ciencia favorita. para determinar la línea del rum b o , demostrando los p rin c i­ l a n g a , D. M anuel Soubiron , D. Gerónimo C ortés, D. Cristó­ Desde esta época se introdujo la práctica de construir ob­ pios en que está fundada la construcción de las cartas esféricas, bal Alarcon y D. Francisco R u iz , y el señor presidente les co­ servatorios en los parajes mas oportunos junto á las capitales, y resolvió todos…</t>
  </si>
  <si>
    <t>…endez V i*o , m uer­ D. Antonio del R io , D. Ignacio de la R iv a , D . Blas M ena y 43 p ies, 54 de altu ra , y de 54 á 87 de larg o ; el pavim en­ to en defensa del orden p úb lico , una pensión de 2 0 $ reales. O liv e r, D. Gerónimo D íaguez , D . Isidoro Fernandez de A n ­ to de argamasa finísim a; las jam bas y dinteles de las p u er­ (N úm . 1815.) g u lo , D. M anuel A g u ilar , D. M auel Estevez de R iv e r a , Don tas, con toda la parte baja de las paredes como vara y C ircu lar del m inisterio de H acienda pa…</t>
  </si>
  <si>
    <t>…isp- s i c i j n a ; D. Jo.c Tllcscas, alcalde constitucional y *«agi &gt;tr.sd'&gt; hono­ n es d e l ra m o d e Pósitos ex p ed id a s hasta J in d e l año d e 1826. rario de lá audiencia de .Qraoada ; O. José Garrido y Portilla, D. Gerónimo V illarrubia batió cerca de Oastrejon á la facción Véndese á 8 rs. en papel y 9 en rústica en el despacho de canonizo m agistral; I). Andrés Trevilla y G il, canónigo doc­ de B ravo, Rey y Escalera. El mismo en 29 entró en V illadiego la imprenta nacional. to ral; Di Manuel Gómez.y D. Ra…</t>
  </si>
  <si>
    <t>…y la Habana, I ). Antonio det R i o , D. Ignacio de la R i v a , D. R a s M e o a y a c tu al y a n t i g u o de cada expresión del v o cabulario m éd ico ; en las administraciones de correos; en Paris en casa de Mes- O liver, D. Gerónimo D ia g u e z , D. Isidoro F ern andez de A n g u l o , señalar con cuid ad o los muchos é im p ortan tes cambios que i n ­ sieurs G irard F reres, libraires, rué de Richelieu , 14 , prés l D. M anuel A g u i l a r , D. M an uel Estevez do R i v e r a , D. J u a n troduce d ia ria m e n te e…</t>
  </si>
  <si>
    <t>…os pormenores de e lla , como la época fija en que ha en I ta lia , en esa patria hermosa de las bellas ai tes, donde se de celebrarse, se anunciarán á su debido tiem po; pero ha p a ­ /COMPENDIO de la historia de España: por D. Gerónimo pueden com pararlas copias con los mejores o rigin ales, y donde recido conveniente anticipar este auupcio, en la firmísima co á- ^ de la Escosura. Segunda impresión. La favorable acogida por lo mismo es mas honrosa la aceptación que obtiene. Decirnos fiaoza de que nunca se llam a en vauo…</t>
  </si>
  <si>
    <t>Ghaiguiaud, Pedro</t>
  </si>
  <si>
    <t>Pedro Ghaiguiaud</t>
  </si>
  <si>
    <t>…gado de p ra algunos pueblos, también resultarían beneficios para otros, REAL DECRETO. J Rentas de esta provincia , se cita , llama y emplaza por porque iban á verse satisfechos de algunos créditos que eran le­ últim a vez á D. Pedro Ghaiguiaud^ de nación francés, residen­ gítimos. No descenderé á hablar de otros pormenores: única­ Bailándose vacante la dirección general del Tesoro pú­ te en pais extrangero , pará que en el término preciso de dos mente me lim itaré á manifestar que no se puede desconocer, blico, vengo en…</t>
  </si>
  <si>
    <t>Gheli</t>
  </si>
  <si>
    <t>…para esta va­ do el enemigo; pero corno las señales del camino no confirma­ Se abren los cimientos y se allegan los materiales para la cante á D. Toma A Huet y A ller; juez de primera instancia del sen su idea, ofició-al coronel Gheli para que dejando/su 4 nía n - construcción de una alcantarilla en el sitió del Regajo grande, partido de Sigüeoza. teiria en Santa Cruz de Juarros, pasase con solo la caballería éntre el rio Guadiel y Bailen. Asimismo se ha dignado nombrar á propuesta de la audien­ forzando la marcha á Huert…</t>
  </si>
  <si>
    <t>Ghesio, Guillermo</t>
  </si>
  <si>
    <t>Guillermo Ghesio</t>
  </si>
  <si>
    <t>…to: pues vemos que el fa­ Salvador Viniegra y D. Ignacio Fernandez de la Somera. Clot bey, médico del virey de Egipto, ha tenido una au­ moso a rm a m e n to , llam ado la arm ad a invencible , q u e Baile. D. Juan Riquer , D. Guillermo Ghesio, D. Ma-nuel diencia del Santo Padre, en la cual le ha presentado libros re­ María Simó y D. Andrés Anglada. hizo Felipe n en L i s b o a , y destinado contra Inglaterra, ligiosos de los drusos. Su Santidad le ha regalado en cambio El premio de conducta, que es el primero del coleg…</t>
  </si>
  <si>
    <t>Gil</t>
  </si>
  <si>
    <t>…bsoluta 55. comenzar las tareas para el aumento de la sociedad y la reu­ cha 2 8 del pagado, trasladando otra del dia 27 del miseno del nión de (Jatos y noticias necesarias para conseguir su filantró­ Quinto in d ivid uo el Sr. Gil por 77 votos, resultando con 20 Sr. D. José María Calatrava eo que manifiesta renuncia el car­ el Sr. Cortázar, con 5 el Sr. López (D. Jo a q u ín M aría), y con 1 pico objeto, y se hicieron los nombramientos siguientes: go de Senador para el que ha sido nombrado por la provincia los Sres. M o…</t>
  </si>
  <si>
    <t>…tajarme en patriotism o; si, pués á los Sres. Arrazola y Carramolino. Otro grupo , en el No es la guerra la que desea el Gobierno, es la paz, la Sr. O ló zag a, estoes imposible; y los cargos de V . S. son an­ que se veia al Sr. Gil (D. Pedro), conduce al Sr. Alaix al asien­ unión, la armonía: por eso he dicho , y repito, que me felici­ ticipados , infundados; yo los rechazo....(Fatal divergencia ¡Por to del Sr. Arguelles, y uno y otro se abrazan también cor­ to cuando la cuestión se trata en este sentido. una palabra que…</t>
  </si>
  <si>
    <t>ó MADRID 20 DE DICIEMBRE. ros. el de costumbres y el de intriga. Su mérito es de diferente clase. Acaso nos riamos mas con D. Gil que con e l M isán tropo ; tan frecuentemente hallados en los tratado? sobre insectos. har~ va significa m áscara, y se aplica al primer estado del insecto pero la risa que este excita es de mejor tono, y sobre todo salido del huevo, porque parece como enmascarado; pupa sig ­ mas liti!. nifi…</t>
  </si>
  <si>
    <t>GIL</t>
  </si>
  <si>
    <t>…lecer, su efecto será siempre lento , lejano se sentaron aqui en representación de aquella provincia. una época en que la libertad era naciente, y en que todavía y de aquellos que pueden admitir la razón y la conveniencia El Sr. GIL manifiesta que no pueden cousiderar e como el ver­ atormentaban los ánimos recuerdos de la opresión en que antes pública; pues si al fin prevalecen , es porque una y otra en­ dadero resultado de la voluntad de una provincia aquellos D ipu­ yaciera el pensamiento, careciendo de saber y de experie…</t>
  </si>
  <si>
    <t>El Sr. Gil posee una de esas imaginaciones atrevidas, qué lado acogerá; los espectadores habian proscrito el León,” suscrito por D. Valentín de Santiago Guzman; se reu­ fecundas y flexibles que no conocen los obstáculos sino pa­ drama de Victor Hugo y el de Dumas; la comedia de Mo- nió el jurado de acusac…</t>
  </si>
  <si>
    <t>Gil, Gaspar Fernando Coll y D. Isidoro</t>
  </si>
  <si>
    <t>Gaspar Fernando Coll y D. Isidoro Gil</t>
  </si>
  <si>
    <t>…ra apostólica nos quej amos i ncesan temen- dó su ejecución para la noche del 2 4 , habiéndose encargado de camente puede hallarse salvación. e de la deserción de los rusos, y sobre todo de los obispos, y traducirlo los Sres. D. Gaspar Fernando Coll y D. Isidoro Gil. Porque hacia el fin del siglo x v i los obispos rusos que es­ os echamos en cara con energía la in ju ria que su atentado ha El dia 1 2 , según se nos ha asegurado, iban y a traducidos cua­ taban sometidos á la dominación civil del piadoso Segism un­ lecho á…</t>
  </si>
  <si>
    <t>Gil, Manuel</t>
  </si>
  <si>
    <t>Manuel Gil</t>
  </si>
  <si>
    <t>…EÑANZA PÚBLICA. distrito de Lugano. FR A N C IA . Hemos asistido con gusto á lo9 exámenes de los alumnos de Un acto despótico y arbitrario, procedido de infracción de Paris 5 de Diciembre . la casa de educación dirigida por D. Manuel Gil. E a obsequio nuestras leyes, y evidentemente tolerado por el poder que debía de la verdad debemos decir que nos han sorprendido los progre­ reprimirlo, ha suscitado la indignación del pueblo, el cual ha Muchos periódicos han anunciado que se trataba por el Go­ sos de los caballeros alumn…</t>
  </si>
  <si>
    <t>Gimé</t>
  </si>
  <si>
    <t>…trar misión encargada de examinar el proyecto de ley del Sr. Gon­ las a c tas, hallándose la circular y el del 17. en la interpretación de su espíritu. Expone que al Senado no zález Alonso, habia nombrado por su presidente al Sr. Gimé­ S. S. hizo algunas otras observaciones, deduciendo de ellas le consta legalmente el que el Congreso h ay a variado de opi­ nez , y por secretario al Sr. Sanz. que el Congreso debia declarar nulas las elecciones de la pro­ nión , porque no tiene otros medios para ello que el resultado Se lee la…</t>
  </si>
  <si>
    <t>Girón, Pedro Alcántara Tellez</t>
  </si>
  <si>
    <t>Pedro Alcántara Tellez Girón</t>
  </si>
  <si>
    <t>…sada en 1,500 rs. por los síndicos de la quiebra y testamentaría del Excmo. señor centes, situada en los dos caminos bajo y alto de Madrid , que Otra en el camino de San Sebastian, de una fanega, valua­ duque que fue de Osuna; D. Pedro Alcántara Tellez Girón, con tiene dicha casa palacio 21,804 pies superficiales, y la indi­ da en 250 rs. el citado D. Francisco y los síndicos del concurso de D. Ma­ cada huerta jardín 16 fanegas de tierra dividida por unos Otra en dicho camino, de 4 fanegas , tasada en 880 rs. nuel de Moreda…</t>
  </si>
  <si>
    <t>GISPERT</t>
  </si>
  <si>
    <t>…quedase la renta , y que no siendo esto suficiente re dar á entender quéTa pensión es por vida. Ministro de Hacienda se presentó al Congreso por primera vez para llenar el objeto que se propone en el art. 17 de ia Consti­ El Sr. GISPERT: El Sr. Infante ha hecho la observación nos anunció de una manera solemne que era triste el estado de tución, y en el j 6 de la ley electoral, el Senado no podría me­ de si la comisión ha tenido presente que los que mueren en la nación y el de nuestra hacienda ; pero que S. S. se prometía…</t>
  </si>
  <si>
    <t>…para sujetarse á reelección, es necesario que Vázquez por haber obtenido gracias del Gobierno. verdad; pero téngase presente que ni las hipotecas ni las reatqs preceda la admisión de la gracia que haya sido concedida. Que El Sr. GISPERT: Es un deber de la mesa convencer al Se­ son las que responden de los resultados felices de un empréstito, ha sabido que el Sr. Castro no ha admitido el destino que se le ñor Montoya. No hay voto particular en este dictámen de la y si no véase lo qué ha sucedido asi en Francia como m Ingla­…</t>
  </si>
  <si>
    <t>Giuvani</t>
  </si>
  <si>
    <t>…rebeldes que recorren aquel ximo. El teatro se estrenará en el mes de Setiembre siguiente satisfecha del^ celo y lealtad con que le ha desempe­ territorio se reunieron 200 caballos y 500 infantes, con ei ob­ con la ópera de Don Giuvani , ó le Noze di Fígaro, de M o - ñado. Tendréislo entendido, y dispondréis lo con­ jeto, según noticias de sus confidentes, de atacar á la tercera zart. (Id.) veniente á su cumplimiento. = Está rubricado de la columna al mando del comandante D. José Páramo situado so­ Real mano. = Palacio 10…</t>
  </si>
  <si>
    <t>Glelgud</t>
  </si>
  <si>
    <t>…...... Blanco. composición, ayudan infinito á expresarlos debidamente mos­ C h lapo w A i pasó por el territorio prusiano coa el cuerpo del S ign ifica ción . trando los escollos que deben evitarse, y la segunda porque no general Glelgud. h a y sentimiento alguno del corazón hum ano, que no pueda y Se han dejado ver grupos de enemigos en este p a rtid o ; con­ Los polacos exaltados consideraron este hecho como una deba ser objeto de las investigaciones de la filosofía racional, y viene que se retiren las labores á los pue…</t>
  </si>
  <si>
    <t>Gleonard</t>
  </si>
  <si>
    <t>…una Y si bien se suscitó en la comisión la. especie de si el capi­ rebelión manifiesta , no es mi objeto manifestar cuáles han sido por primer término se les ha señalado, conforme al decreto de tán general de Andalucía, conde de Gleonard , en el arresto del los delincuentes, esto corresponde á los tribunales; pero es im­ las Cortes de 15 de M ayo de 1821 , se presenten por sí ó por Sr. Diputado Alvarez, pudo ó no proceder de otro mejor mo­ portante calificar de esta manera estos acontecimientos, sien­ medio de apoderados en…</t>
  </si>
  <si>
    <t>Go-, Ramón</t>
  </si>
  <si>
    <t>Ramón Go-</t>
  </si>
  <si>
    <t>…o en el lu­ rescatado una vacada que robaron en Almodovar del Campo. El Sr. IÑ IC O : La lectura del art. 7.° me ha movido á ha­ gar correspondiente á su esmero en procurar á la Hacien­ Y finalmente, que la columna al mando de D. Ramón Go- cer esta proposición, contra la cu al, apenas acabada de Uerf da pública los mayores beneficios y menores quebrantos dió lovardas , capitán del tercer batallón de C euta, 19 de línea, tres ó cuatro Sres. Diputados han pedido !a palabra. posibles. De orden de S. M. lo digo á V. S. para su p…</t>
  </si>
  <si>
    <t>Goaza</t>
  </si>
  <si>
    <t>…cer cargos al Gobierno ? So fensa , sino porque cree deber hacerlo. do sus medidas los Gabinetes que han precedido á este, á pesa dia llegará, y el Gobierno no rehusará en ese día tomar sob e -,í Habló en seguida de Roma el Sr. Goaza¡ez Alonso , y como de que ¡as han intentado; pero han hallado en ellas mas mate ¡ la responsabilidad ; y mas diré, que d¿ tan buena como es su de- en otro discurso se tocó este asunto , lo reservo para cuando á él que bienes. El mismo Gabinete actual trató , enterado bien di ¡ feosa es mala p…</t>
  </si>
  <si>
    <t>Gobernador</t>
  </si>
  <si>
    <t>…a lo ha hecho, ha sido por temor á Mehemet-Alí, Este incidente y la actividad que desplega para la fortifi­ B arcelon a 22 d e A gosto . cación de Canfranc y la de Berdum ó Javierre G a y , que tiene solicitada dicho Excmo. Sr. Gobernador, son hechos dignos de N acional academ ia d e m edicina y ciru gía d e Barcelo~ elogio, con lo que manifiesta los deseos de que se halla anima­ FRANCIA. rttf.=;Sesion extraordinaria del i7 de Agosto de 1859. =iR eu- do en proteger aquel país libré; pera la escasa fuerza con que nida la…</t>
  </si>
  <si>
    <t>Gobier</t>
  </si>
  <si>
    <t>…nda especialmente en el decreto expedido con este objetó « D . Fausto de Otazu. D. Epifanio Fortun. la observancia de la ley fundamental y de las ordenanzas. A lbacete. L ogroño. El Príncipe R.eal ha sido nombrado Presidente del Gobier­ «D . José M aría C alatrava. « D . Pedro González V allejo, arzobispo electo de Toledo. no, que se compone de cuatro consejeros de Estado, á saber: el D. Angel Ramírez. «D . M artin Fernandez N avarrete. ronde - floseubland , M inistro de Ju stic ia ; el conde Stjemeld, A licante. M inistr…</t>
  </si>
  <si>
    <t>…otro hoy en la oposición no solamente por una y Jord Howick suscitará una viva dbcusioíi, y producirá tal constitución es menester que ante todas cosas el Gobierno revise la cuestión particular,.sino por una tendencia general del Gobier­ del Consejo legislativo. Debe sobre todo procurar no en lo interior y exterior. Me encuentro hoy en la oposición,</t>
  </si>
  <si>
    <t>Gobierno, Antonio López</t>
  </si>
  <si>
    <t>Antonio López Gobierno</t>
  </si>
  <si>
    <t>…io y confianza universal que han manifestado los meji­ nuevo plenipotenciario francés , el ultim átum y a no existia. El que hemos nacido se sostendrá palmo á p alm o , y ni un solo canos en esta época á la persona del general D. Antonio López Gobierno vió consignada en este paso del gabinete de las T u - mejicano digno de este nombre dejará de tomar las arm as, de Santa Ana por sus últimos hechos y decisión patriótica en l le ría s , la concesión de la justicia coa que Méjico habia proce­ ahora que se ven comprometidos dere…</t>
  </si>
  <si>
    <t>Gobierno, DE LOTERIAS NACIONALES.</t>
  </si>
  <si>
    <t>DE LOTERIAS NACIONALES. Gobierno</t>
  </si>
  <si>
    <t>…la palabra , d ijo: de gentes , haciéndole conocer toda la extensión del crimen c o ­ El Sr. Secretario dei Despacho de la G O B E R N A C IO N : El metido por Balmaseda, justificado plenamente en la sumaria DIRECCION GENERAL DE LOTERIAS NACIONALES. Gobierno retira los artículos 28 , 55 , 4^ j 4^ J 46 de orgánica de ayuntamientos que se habian suspendido por acuer­ que tuve la atención de acompañarle , para que en^ lo sucesivo hiciese cum plir lo pactado, evitando actos semejantes; pero Noticia de los pueblos y admini…</t>
  </si>
  <si>
    <t>Gobierno, Gracia y Justicia. El</t>
  </si>
  <si>
    <t>Gracia y Justicia. El Gobierno</t>
  </si>
  <si>
    <t>…, porque las Señores, á mi humilde persona es á la que ha aludido en los he pronunciado; ahora si el Sr. Ministro quiere que se pros­ circunstancias no son desemejantes, sino hasta idénticas en este esta parte el Sr. Ministro de Gracia y Justicia. El Gobierno me criba aqui el nombre de Isabel ir, S. S. mismo lo ha infringi­ caso. Pero estas expresiones del Sr. Mioistro de Gracia y Justi­ hizo el honor de nombrarme para esa comisión; no sabiendo do cuantas veces nos ha leido esas circulares. No parece sino que yo lo que pas…</t>
  </si>
  <si>
    <t>Gobierno, Maison. El</t>
  </si>
  <si>
    <t>Maison. El Gobierno</t>
  </si>
  <si>
    <t>…como hombres de 1859, os ha­ bioete del que era individuo ; y cuyo Gabinete presidia Mr. Laf- á la Cámara la carta del teniente Croke? en el caso de aceptarla. Asi pues debeis buscar los elemen­ fitte , y era Ministro el mariscal Maison. El Gobierno francés I M r. C fVood: Yo me opondría á la producción de todo lláis tos de vuestra convicción , bien en los recuerdos de 1850, ó en ha creido que desde 1815 el Luxemburgo tenia de hecho y de ¡ documento nuevo sobre este negocio hasta que este se halle mas las realidades de 1859…</t>
  </si>
  <si>
    <t>Gobierno, Ministro de Gracia y Justicia. El</t>
  </si>
  <si>
    <t>Ministro de Gracia y Justicia. El Gobierno</t>
  </si>
  <si>
    <t>…smas razones, porque las Señores, á mi humilde persona es á la que ha aludido en los he pronunciado; ahora si el Sr. Ministro quiere que se pros­ circunstancias no son desemejantes, sino hasta idénticas en este esta parte el Sr. Ministro de Gracia y Justicia. El Gobierno me criba aqui el nombre de Isabel ir, S. S. mismo lo ha infringi­ caso. Pero estas expresiones del Sr. Mioistro de Gracia y Justi­ hizo el honor de nombrarme para esa comisión; no sabiendo do cuantas veces nos ha leido esas circulares. No parece sino que y…</t>
  </si>
  <si>
    <t>Godoy, Francisco</t>
  </si>
  <si>
    <t>Francisco Godoy</t>
  </si>
  <si>
    <t>…gar á la formación de cau­ Otra id. en dicha sierra, loma del Vicario, término del sa. León 28 de Febrero de 1839.2 El alcalde segundo constilu* finados para las carreteras mandadas construir en algunas Presidio, El Sol, por D. Francisco Godoy, en 1 1 . cional, Felipe Morala Rodríguez. provincias de Andalucía; y cumpliendo con el expresado Otra id. en dicha sierra, Balsanueva, término de Berja, mandato, tengo el honor de manifestar á V. E. que á San José de Alhama, por D. Diego Espinosa, en 1 1 . consecuencia de lo dis…</t>
  </si>
  <si>
    <t>Godoy, Rafael</t>
  </si>
  <si>
    <t>Rafael Godoy</t>
  </si>
  <si>
    <t>…Fornieles, en 14 de id. id. vista, ó. por una sensibilidad extraordinaria de olfato? do silencio, y apenas se siente el movimiento de sus alas; antes los M Otra id. id., Balsa nueva, término del Fondon , el Sigilo, oyas, por D. Rafael Godoy, en 20 id. id. Esto es lo que vamos a examinar. pero luego que han atrapado a la descuidada víctima y sa­ Otra id., llano de Flores, término de Alm ería, Alianza, Los escritores clásicos antiguos a tribuyeron unánim e­ ciado su apetito, revolean contentas y proclaman su infa­ por D. M…</t>
  </si>
  <si>
    <t>…Castilla, en 18. Otra id. en el cerro vertiente del Barranco de Puerca, tér­ tante salud. Otra id. en Balsablanca , término del Fondon , Los Moyas mino de Huercal, Virgen de las Angustias, por Francisco Se­ (a) el Sigilo, por D. Rafael Godoy, en 20. gura Sánchez, en 15. Otra id. en Cerro de Q u in ta n a, término de C aojayar, La O tra id. en llano de Flores, término de dicha ciudad , la DIRECCION GENERAL DE M IN AS. G rande, por D. Cristóbal C a n e t, en 21. Traslación , por D. Manuel Pagan , en 15. Otra id. en Sierra…</t>
  </si>
  <si>
    <t>Goedeke</t>
  </si>
  <si>
    <t>…hechos de la exposición del consejo de Regencia con el siguiente rescripto L a cornision examinó este instituto en tas tardes de los dias la historia. Quisiéramos que hubiere citado alguno, desde dirigido al teniente general de Goedeke, presidente de la com i­ 21 y 2 2 de Diciembre último. Consta de 5 5 alumnas externas fines del siglo xi hasta el xvi, que contrariase nuestro sión del Gobierno gran ducal: pensionistas, cinco pupilas también pensionistas,y seis que apren­ principio. En la primera época eran ya cristianas,…</t>
  </si>
  <si>
    <t>Goiri, Eusebio</t>
  </si>
  <si>
    <t>Eusebio Goiri</t>
  </si>
  <si>
    <t>…12 rs. babadores * ^ r0°da ^ ^ dereclla ^asta el Portill° de Em - vincia se cita, llama y emplaza por segundo edicto y tér­ guo La6 rs.Madre del Divino Redentor, por Bruneti, precio anti­ , y moderno 4. mino de nueve dias á D. Eusebio Goiri para que Comprende los barrios de Sto. Tomas , S. Cayetano, la Co- la escribanía principal de Amortización, calle del Lobo, nú­ se presente en El Salvador del m uado, por el mismo profesor, precio an* tiguo 6 rs., y moderno 4. pr,“ erV eCCÍ0Q’ Ave María &gt;segunda sec- mero 8 , piso s…</t>
  </si>
  <si>
    <t>…yo Por providencia del Sr. intendente de rentas de esta pro­ tonces la facultad saludante gozará de una luz sempiterna. Con­ sabéis cuán esencial es el íijar el verdadero principio de la me­ vincia se cita , llama y emplaza á D. Eusebio Goiri para que greso ilustre que merecido habéis el título de padres de Ja h u ­ dicina para que esta progrese. Yo faltaría á la consideración en el término de nueve dias se presente en la escribanía p r in ­ m anidad, oídme estas ligeras rtlJcxioi.es: debida á vuestra respetable asamblea si…</t>
  </si>
  <si>
    <t>Golbert</t>
  </si>
  <si>
    <t>…periódicos han dado una noticia la mas inexacta. PARTE OFICIAL. bajador de T urq uía en P a r is , no saldrá de dicha capital hasta S. A. R . el duque de Nemours, comandante superiores ñn del mes. Ayudantes de cam po: el conde Golbert, teniente general ; B o - y e r , mariscal de campo.—Oficiales ordenanzas: Boerio, gefe de batallón; D e la r u e , capitán de caballería; B o re l, capitán de es­ S. M. la R e i n a , s u augusta Madre la R e i n a G ob ern a­ L a sociedad filantrópica de Bristol ha concedido la medalla…</t>
  </si>
  <si>
    <t>Golfantes, Calderón</t>
  </si>
  <si>
    <t>Calderón Golfantes</t>
  </si>
  <si>
    <t>…eso en su caso. Yo veo en men de la comisión tiene una f a iu en mi concepto. Por lo pron­ crea que el Congreso puede mandar venir á un Diputado que el ataque dado á la persona de un in d iv id u o , que ha sido D i ­ to el Sr. Calderón Golfantes ha dado explicaciones equivocadas esté procesado * y declarar nulo todo el procedimiento que se putado , atacada hasta la existencia del Gobierno. de los artículos 42 y 45 de la Constitución. ha hecho. Esto co es posible considerarlo asi ; se mandará si se A qu i hubo una exclare…</t>
  </si>
  <si>
    <t>Golovardas, Lorenzo Sancho y D. José</t>
  </si>
  <si>
    <t>Lorenzo Sancho y D. José Golovardas</t>
  </si>
  <si>
    <t>…Z anon , Don BIB LIO G R A FIA . enemigos hacia el extremo izquierdo de la línea de nuestro ejér­ Luis Martínez Leganés, D. Miguel Serralde, D. Lorenzo Me­ cito del N orte, alguna gente castellana en fuerza de dos ó tres lero, D. Lorenzo Sancho y D. José Golovardas, quienes decla­ E L ca B UEN T O N O . Periódico de artes y oficios que se publi­ batallones, incluyéndose en ellos cerca de unos 60Ó hombres raron por unanimidad no haber Jugar á 4a forinaciou de causa ro 7 , queeu acabaesta corte él 15 y último de cada mes: su n…</t>
  </si>
  <si>
    <t>Golovine</t>
  </si>
  <si>
    <t>…reinan las calenturas de otoño que hacen grandes estragos entre va teu r d e l Est habia anunciado que la ciudad de Sion habia dos memorias que ha recibido sobre el programa publicado de los m ilitares, de suerte que el general Golovine, que manda en declarado al consejo de Estado del Bajo Y alais que si no hacia si pu ed en cla sifica rse los p o eta s españ oles p o r escu ela com o aquellos países, pide refuerzos á toda prisa , ios cuales, según que se restableciese el orden , h aria causa común con el Alto los filó s…</t>
  </si>
  <si>
    <t>Golowine</t>
  </si>
  <si>
    <t>…do el proyecto de reunir una asamblea de plenipoten­ Tifflis 2 0 d e F eb rero . ciarios de las Repúblicas del continente a m e rican o , para arre ­ glar el derecho internacional de estas, y a d q u ir ir por su unión El general Golowine permanece en esta ciudad para pedir la fuerza que pudiera f a ltarle s, aislando el poder y los recur­ I dem i . ° d e Abril. instrucciones, lo que hace creer que estamos en vísperas de gran ­ sos de cada una de ellas. La guerra en que se han empeñado des acontecimientos. El Emperador trat…</t>
  </si>
  <si>
    <t>…los circasianos, y concluir con ellos P o r e l sim ple visto . Senadores, pueda procederse á la renovación de las in d i­ un tratado de paz, v á lo menos una tregua de algunos meses. cadas corporaciones. Dícese que el general Golowine será el encargado de llevar Buques de la cabida de 1 á 13 kilogram os.. . . . . Piastras. 1 Idem de la de 1,001 á 33............................................. De Real orden lo digo á V. S. para su in teligen cia, la 5 á cabo las negociaciones con los gefes de los montañeses , y de Idem…</t>
  </si>
  <si>
    <t>Gomara, Bonifacio</t>
  </si>
  <si>
    <t>Bonifacio Gomara</t>
  </si>
  <si>
    <t>…d e la alca n ta rilla d el R egajo g ra n d e . forzados en Siberia los propietarios Kakoszewlez, Rudzewicz, pués por el ayudante de E. M. D. Nicolás García y alférez Concza y Romera. Veinte estudiantes de la universidad de D. Bonifacio Gomara , los cuales libertaron al mismo tiempo á Cuatro sacadores de piedra á 9 r s ., sacando piedra en la K iew han sido trasladados al Cáucaso para incorporarlos allí siete sugetos que llevaban presos. cantera de Zocuecar. como soldados en los regimientos. (Gazette d e A ugsbourg .) V…</t>
  </si>
  <si>
    <t>GOME</t>
  </si>
  <si>
    <t>…e en el de 16 del propio mes, r la s atribuciones con conocimiento de los ayuntam ientos.” derá dando cuenta m o tivada al mismo gefe político para que núro. 7 7 , al folio 2 .°, vuelve á tomarme por juguete el oculto ca­ El Sr. G O M EZ A C E B O : Señores, la adición está reduci­ en vista de sus observaciones dicte la resolución correspon­ l u m n i a d o r , tributando nuevos inciensos al ejército que ni come da á que al final del art. 1 1 se añada que los alcaldes desem­ diente. con ellos, ni con ellos cubre su desnu…</t>
  </si>
  <si>
    <t>…stos que su destino es en comisión, ruega al Congreso tenga á bien hombres eran asistentes ó son, porque desde 50de Diciembre acá negar su dictamen. CAMBIOS. poco tiempo ha mediado ; son asistentes, digo, 65 : hay 15 or­ El Sr. G O M EZ ACEBO dice que le es indiferente el que Londres , á 90 dias , 58¿. Coruña , i d. denanzas; con licencia 8 , y hasta dos cadetes estaban en el de­ se sujete ó no á reelección al Sr. Valladares; pero que no pue­ París, 16-^5 papel. G ranada, l f id. pósito de tran euntes; los demas están en…</t>
  </si>
  <si>
    <t>…ANGERAS. el art. 19 de la ley orgánica de la caja de Amortisacion, que ñórés Castro, Salamanca y López Vázquez. G RA N BRETA Ñ A. habia quedado pendiente en la anterior. Se leyó el relativo al Sr. Castro, que dice a s i: El Sr. G O M EZ A C E B O : El artículo que se discute con­ Al Sr. Castro por Real decreto de 6 de Setiembre último se Londres 1.° d e E nero. tiene una base , la- cual de ninguna manera puede ser desechada le concedió la cruz de la Real y distinguida orden de Carlos m , por el Congreso. Aquel podia modi…</t>
  </si>
  <si>
    <t>…como los que se hallan en Morella , si bien dará las gracias y procederá con mas amplitud. darse al público dicho D iario , esta circunstancia es indispensa­ los soldados de este depósito no están tan mal de ropa como los El Sr. G O M EZ A CEBO dijo respecto al Sr. Mendizabal, ble si ha de salir con la perfección que se requiere. Palacio del del primer punto, á quienes dentro de dos ó tres dias se envia­ 3 ue la comisión le contestarla y de una manera victoriosa, aña- iendo que el qué se opusiese á esta parte de la le y ,…</t>
  </si>
  <si>
    <t>GOMEZ</t>
  </si>
  <si>
    <t>…ecciones para nom­ lítico era un motivo de coacción, pues que proscribía la candi­ pendientes. brar las comisiones que deben dar dictámen sobre el proyecto datura c o n traria, mandando formar sum aria á los que la h u ­ El Sr. GOMEZ B E C E R R A manifiesta que en todo lo que de ley orgánica de sanidad , y acerca de la proposición del se­ biesen extendido; y que ademas el mismo funcionario excitaba ha leido S. S. no ha encontrado mas que un proyecto que h a ­ ñor conde de Y ig o para que se señale término á los nombrados…</t>
  </si>
  <si>
    <t>…ero que le parecía que debia hacerse una explicación bastante clara regidor.r= Manuel de L a ra , regidor. =Jose Quirós, síndico.'= sobre el particular. SENADO. Francisco Aguirre y U rbina, regidor.—Agustín de Rojas, se- El Sr. GOMEZ B E C E R R A , después de contestar brevemen­ cretario.rzEl comandante del batallón conde de la Camorra.z: PRESIDENCIA DEL SEÑOR MOSCOSO DE A L T A M lR A . te al Sr. San M ig u el, manifestó que 110 habia necesidad de mas El mayor del batallón José' M aría M oratilla —Por la clase de explica…</t>
  </si>
  <si>
    <t>…S. S . , sito piso bajo de la audiencia territorial de Sr. Ondovilla. PRESIDENCIA DEL SEÑOR MOSCOSO DE ALTA M IRA * Puesta á discusión la disposición cuarta, esta corte, de doce á dos de la tard e ; bien entendido que de El Sr. GOMEZ B EC E RRA dijo que á su parecer las pala­ no comparecer le parará el perjuicio que h a y a lugar, en las d i­ Sesión d e l dia 29 d e Enero. bras "ó abogados que el tribunal juzgue á propósito” chocaban ligencias á que es referente este anuncio. Se abrió á la una y media, y leida el acta de…</t>
  </si>
  <si>
    <t>GOMEZA</t>
  </si>
  <si>
    <t>…nuando la discusión pen­ autorizada concurran á dicha junta, con apercibimiento que diente del art. 2.° sobre el proyecto de ley orgánica de la caja de no hacerlo les parará el perjuicio que haya lugar. de Amortización. El Sr. G O M E Z ACEBO : La comisión no formará un em­ En el despacho de 29 de Diciembre último ha tenido á peño particular en que se sostenga el artículo tal corno se pre­ bien S. M. la Re i oa Gobernadora nombrar á D. Blas Catalan sen ta, y por lo tanto oirá gustosa á los Sres. Diputados que lo para una…</t>
  </si>
  <si>
    <t>GOMEZACERO</t>
  </si>
  <si>
    <t>…de E n e ro . lia llegado á esta plaza el general presente las observaciones que ha indicado. que se suprima de Da tercera facultad la cláusula "p o r medio Narvaez escapado de España , y viene en su compañía un ayu ­ E l Sr. G O M E Z A C E R O : El Sr. preopinante acaba de ha­ de negociaciones &amp; c . y dice que dos soo los modos de hacer dante suyo llamado Cañaveral. Habiendo pedido permiso para cer tres discursos, uno sobre las rentas del Estado, otro atacando la amortización de la deuda , uno cumpliendo con lo que se…</t>
  </si>
  <si>
    <t>GOMEZB</t>
  </si>
  <si>
    <t>…ce nombre de paz, el enojo y el encono que la caba- haber en él razones de legalidad y conveniencia. leria española en los campos de batalla demostraba contra el El batallón faccioso que estaba eo Loza salid ayer con d i­ El Sr. G O M E Z BEC ERR A insiste en la misma opinión</t>
  </si>
  <si>
    <t>GOMEZBECERRA</t>
  </si>
  <si>
    <t>…el de­ r e s , e xc e d ié n d o se de las s u y a s , hag an e x a c ció n alg u n a de recho que la Constitución en esta parte concedia al Senado, c a u d a le s , una vez satisfecha la c o n sig n a ció n detallada á El Sr. G O M E Z B E C E R R A demostró que la coinisiou tra­ ese e jé r c it o ó distrito. D e la p u ntual e je c u c ió n de tal m é - CORTES. tando de poner en armonía este artículo con el constitucional, dida d ep en d e en g r a n m a n e r a q ue en m e d io de la escasez se habia ceñido estrictam…</t>
  </si>
  <si>
    <t>…a g o este tribu to en la primera ocasión que se me pre­ en su consecuencia prosiguió la discusión. El objeto de la pregunta es si ha habido juntas ilegales. senta ; y por si no me es dado por el prim er correo hacer la E l Sr. G O M E Z B E C E R R A : En la im pug n ac ión que me R e pito que el Gobierno no puede entrar en explicaciones por­ recomendación que se merecen al Gobierno de 8. M . , lo tenga propongo hacer al dictámen que se discute no pienso seguir el que lo cree perjudicial ; si los término; en que e¿tá con…</t>
  </si>
  <si>
    <t>…as que componen el distrito de mi los pueblos trastornos y ga ,tos; con c u y as a d i c i o n e s d i c e , no tendría inconveniente en aprobar el proyecto. S. M. resolver que V. E. prevenga á los comandantes de mando. El Sr. G O M E Z B E C E R R A expone (pie al ver el proyecto las Lropas que en el distrito de su cargo se ocupen en dar ' P ara e v ita r toda d u d a , esta disposición tendrá efecto en del G obierno, en que se manifiesta que h a y débitos de m u ch a escoltas á los convoyes, que hagan observar á aquel…</t>
  </si>
  <si>
    <t>…otra auu cuan ­ E l orador sostiene que en la actual posición de la nación Puesta á discusión esa enmienda , do se hubiese disueito el Congreso de D iputados.” es m uy probable que se consiga lo qhe no^ha podido lograrse El Sr. G O M E Z B E C E R R A impugna la enmienda , pues El Sr. duque de R IV A S le impugnó por creer que por este hasta ahora ; pero que de todos modos el Gobierno debe procu­ Cree que seguo está redactado el artículo comprende bien lo que articu ló se atacaba un principio constitucional , puesto que ra…</t>
  </si>
  <si>
    <t>…y de sus con se c u e n c ias, que no tienen n ada q u e ver *tado.zz Alvaro Gómez. C u a re n ta y ocho batallones a g u e r r i d o s , 4 $ batallones que con la conducta que puede haber tenido el G obierno en la a d ­ El Sr. G O M E Z B E C E R R A la ap o y a m anifestan d o que ha h a b ía n hecho im penetrable á nuestras tropas el centro de las m in istració n del Estado , trasp asan do la C o n stitu ció n y 1^9 creído necesario a ñ a d ir después de ju r a m en to las palabras y pro vin cias V a s c o n g a d a s…</t>
  </si>
  <si>
    <t>Gon</t>
  </si>
  <si>
    <t>…e la G O B E R N A C I O N : t a r al Senado si estamos en situación de en tra r á t r a t a r de m a ­ en estado excepcional , y se cree q u e no podrá gobernarse sin H e tenido el disgusto de haber llegado cua n d o y a el Sr. Gon­ t e r ia tan importante. este m e d i o ; véase como por el c o n trario al momento que se zález h ab ia comenzado su discurso. M e parece que S. S. h a b la ­ El Sr. P R E S I D E N T E : L a asistencia del Gobierno á estas aplicó la ley fu e todo conclu ido sin comprometer la t r a n q u i…</t>
  </si>
  <si>
    <t>…y que se vieran esos documentos que ha rase su d ic tám e n , pues obrando con consecuencia, debia h a ­ presentado el Sr. Benavides; pero como quiera que sobre los cerlo , como lo hizo a y e r , por una mera indicación del Sr. Gon­ VACANTES* tres casos principales á que se debe atender para desaprobar las zález Alonso. elecciones, no presenta S. S. nada en contrario, me parece que Después de haber mediado algunas contestaciones entre los C E halla vacante la plaza de cirujano del sitio de Aranjuez, debe poner de una ve…</t>
  </si>
  <si>
    <t>…el Congreso quedó enterado , de que la co­ juicio y que no causasen la ruio a de su patria , no estaba en su letra está tan clara y term in an te , que no da lugar á entrar misión encargada de examinar el proyecto de ley del Sr. Gon­ las a c tas, hallándose la circular y el del 17. en la interpretación de su espíritu. Expone que al Senado no zález Alonso, habia nombrado por su presidente al Sr. Gimé­ S. S. hizo algunas otras observaciones, deduciendo de ellas le consta legalmente el que el Congreso h ay a variado de opi­ ne…</t>
  </si>
  <si>
    <t>…tar á lo prevenido en el artículo 3 .° de la ley de 12 art. 8 6 : **y documentos necesarios cuya falta sea notable.” de Julio de 1857 , que dice que presidirá el de mayor edad. Después de unas ligeras observaciones del mismo Sr. Gon­ PARTE NO OFICIAL. El Sr. ONDOYILLA entiende que en ese caso presidiría el que lo fuese en propiedad ; pero que sin embargo, si S. S. que- zález como autor de ella , fue tomada en consideración y se acordó pasase á la comisión. ria hacer alguna adición, la examinaría la comisión. Suspendida…</t>
  </si>
  <si>
    <t>Gon, D. Juan</t>
  </si>
  <si>
    <t>D. Juan Gon</t>
  </si>
  <si>
    <t>…l público la siguiente noticia y; " Por insertarle en el D iario., . . .. l 5t * González Salábrias. Deseando el 'Gobierna de S.; Mv el Rey de los' fraiícesés^ ebavisoym id. panu que 637. Un tiesto de china con un rosal, al Sr. D. Juan Gon­ hacer mas eficaces en nuestro favor los servicios de da^ tni-| ten ¿ recoger los premios.. . . . . . . . 8 zález Caborreluz, receptor de S. JVL riña Real de Francia que cruza en las costas de la Penjín-f Por cuatro velas de sebo que gastó el 622. Un dibujo de tinta de china, al Sr. D.…</t>
  </si>
  <si>
    <t>Gon, Diego</t>
  </si>
  <si>
    <t>Diego Gon</t>
  </si>
  <si>
    <t>…rá y aprobará por la junta directiva en los primeros dias clopedia, por D iAlem bert: publícala en el idioma es­ ra , Zugarramurdi y algún otro pueblo del Bastan, sin que del mes de Enero. pañol con una introducción y apéndice D. Diego Gon­ hasta ahora se hayan vuelto á la obediencia ; que el Preten­ Contendrá dicho estado: zález Alunso (1). diente se halla en Vergara , y Maroto en Elgueta. 1.° El número de libretas existentes en 1.° de Enero del año, Cualquiera que sea el juicio que se forme de la E nci­ 2.° El número de…</t>
  </si>
  <si>
    <t>Gon, Domingo</t>
  </si>
  <si>
    <t>Domingo Gon</t>
  </si>
  <si>
    <t>…odos los que sean tales acreedores, y especialmente al Otros tres árabes están en su compañía ; á saber, un cheik, 1 8 3 9 — .E l comandante gefe interino de estado m a y o r, Pedro representante de las memorias de O rbe, y á D. Domingo Gon­ llamado Lamri , el que salvó á dos oficiales franceses que se h a ­ Ortiz de Pinedo.—Sr. coronel comandante general interino de zález Chavarri y los suyos, para que al término de 50 dias se bían aventurado solos y distantes en los grupos enemigos; ade­ la provincia de Toledo.—Es copia…</t>
  </si>
  <si>
    <t>…=Laureano Gutierrez.zzPor mandado de S. S ., José llama y emplaza á los que sean tales, y especialmente á los re­ D. Mariano Nicolás Perez, catedrático de lengua fancesÉ María Gallego. presentantes de las memorias de Orbe y á D. Domingo Gon­ en este establecimieoto, dará principio á sus lecciones los mar­ zález Chavarri y los suyos, para que al término de 50 dias se tes y jueves, de seis á siete de la noche, desde el dia 5 d&lt; presenten á deducir su derecho en el juzgado de primera ins­ Diciembre próximo. Esta clase será…</t>
  </si>
  <si>
    <t>Gon, Joaquin</t>
  </si>
  <si>
    <t>Joaquin Gon</t>
  </si>
  <si>
    <t>…triquera que han si­ 4.° El H O M B R E G O R D O , comedia en un acto, en la Descuento de letras , á 6 por 100 al año. do publicados hasta en el d ia , y que será igualmente necesario que desempeñara el papel de protagonista D. Joaquin Gon­ tanto al que practica el arte de c u ra r, como al que se entrega zález, que sin llegar su talla á cinco pies pesa 18 arrobas. al ejercicio de la farmacia. La hermosa y bien acreditada fragata española , nueva, Condiciones. CRUZ. A las ocho y media de la noche. Se volverá á po­ S. Fe…</t>
  </si>
  <si>
    <t>Gon, José</t>
  </si>
  <si>
    <t>José Gon</t>
  </si>
  <si>
    <t>…172 zan deque el estímulo y el ejemplo deben partir de las clases quemando en aquella casa. Domingo 51 idem •• 24102 ilustradas á las que no lo son, las cuales les retribuirán en Inmediatamente dió aviso de esto al escribano D. José Gon­ agradecimiento y buen servicio el que reciban de aquellos con­ zález , el que con orden de un señor juez de primera instancia, T o t a l . . . . . . . .............. 195741____ sejos. ». /. , • y acompañado de varios m igúeteles, se constituyó en dicha ca­ Los empleados, cuya suerte preca…</t>
  </si>
  <si>
    <t>…gundo edicto y término de nueve dias, conta­ D. José Santos Ariztnendi, el escribano D. Ramón l i r i a , y el dose que muchos de ellos llevaban pistolas debajo de las blusas; dos desde la publicación del presente an un cio, á D. José Gon­ pero como no hacían ninguna demostración hostil, la tropa es­ enunciado miguelete sobre el robo de 2 0 $ pesos, hecho por el zález C a r v a ja l, á fin d eque se presente en la escribanía prin­ primero á la citada marquesa , y complicidad de los últimos en calonada en las casas inmediata…</t>
  </si>
  <si>
    <t>Gon, José María</t>
  </si>
  <si>
    <t>José María Gon</t>
  </si>
  <si>
    <t>…poco io adelantado del tiem po que se e x tien ­ contado desde el en que se inserte este anuncio en la Gaceta, de tercero dia dan órdenes á todos los establecimientos ó corporaciones. se presente en la escribanía numeraria de D. José María Gon­ Las que particularm ente están com prendidas en esta d is- zález de Castro , de doce á dos, en inteligencia de que pasa­ A las ocho de la noche. Después de una brillante sinfonía, }&gt;osicion son las siguientes: ay untam iento de M adrid, fa­ do sin hacerlo se devolverán las diligenc…</t>
  </si>
  <si>
    <t>Gon, Ramón</t>
  </si>
  <si>
    <t>Ramón Gon</t>
  </si>
  <si>
    <t>…! los celadores de la parroquia de Meilan con un grupo de re­ ras en un teatro que debió ser todo de gloria. Un soldado viejo la órdén oportuna á la dirección general de Aduanas pan beldes resultó muerto el faccioso presbítero D. Ramón Gon­ es un tesoro, porque es el maestro de los reclutas, y porque s ia que disponga lo conveniente á la prohibición referida ei zález Conde, de Otero de R e y ; y que en otro encuentro ocur­ cuadros de soldados antiguos no se organizan cuerpos nuevos los términos que quedan expresados. De Re…</t>
  </si>
  <si>
    <t>Gondo-</t>
  </si>
  <si>
    <t>…...................... 19 1 8 5 4 ............... 24 BOLETIN DE COM ERCIO do de V alb u e n a, D. Felipe Gil de Taboada. 181 8 __________ 15 1 85 5 ......................... 19 19. D. Diego de A lav a y B eau m on t, el conde de Gondo- mar , Pedro de Rivadeneira , el obispo de Orense, el conde de B O L SA DE M A D R I D . Campomanes, el conde de Floridablanca. 49 81 Cada cuaderno de seis retratos con el epítome de su vida. Cotización d e l día 27 á las tres d e la tarde Precio antiguo 50 r s . , moderno 44* 4 .a Qne e…</t>
  </si>
  <si>
    <t>GONZ</t>
  </si>
  <si>
    <t>…rriente al júbilo que inunda todos los co­ dos. más Esto es por la observancia del reglamento, que por lo de­ todos abrigamos los sentimientos del Sr. González. razones, que andarse saludando, dándose la enhorabuena , y El Sr. G O N ZA LEZ: El Sr. duque de R vas me ha preve­ 12 arrobas y 12 libras, peso castellano, de Irigo, én 5 sacos. oyendo á los muchachos y juventud exaltada que alza el grito nido en todo lo que yo podia manifestar al Senado para apoyar 5 id. de alubias, en I id. ál cielo con fervorosos vivas á la P…</t>
  </si>
  <si>
    <t>…ssa. Fue tomada en considera­ El Sr. conde de E Z PE L E T A d ijo , que según su opinión Estado. ción y pasó á las secciones para que nombrasen la comisión. no podia el Senado aprobar el artículo por falta de explicación El Sr. G O N ZALEZ dijo que tenia que m anifestar con sen­ precisamente en el punto mas im portante de la le y , en la clase CO N G RE SO D E D IP U T A D O S. tim iento que no desistia de la enm ienda que h ab ia hecho al p ro - de créditos que habían de adm itirse para la compensación : base yecto de ext…</t>
  </si>
  <si>
    <t>…congadas y de Navarra dia la tragedia de Eschilo, de Eurípides y de Plauto no podría oportuno. Dicha comisión se halla dividida en dos fracciones; y la ma­ aplaudirse en nuestra escena , ni aun tolerarse. Esta considera­ El Sr. G O N ZA LEZ ALONSO pidió que esta instancia yoría , compuesta de los Sres. Arguelles, Zuinalacárregui, Díaz ción nos recuerda naturalmente una idea que hemos oido en pasase á la comisión de Economías, creada en virtud de una pro­ G il, y Ferro M ontaos, presenta á la deliberación del Congreso boca…</t>
  </si>
  <si>
    <t>GONZA</t>
  </si>
  <si>
    <t>…arse que no se hubiera hecho dades que dejan de percibir por la enagenacion de las mismas ninguna redamación. tierras. Cotización del dia 2 2 a l as tres de la tarde. El Sr. GO NZALEZ ALO N SO insistió en que desde luego El Sr. G O N Z ALE Z A L O N SO empezó su discurso m a n i­ EFECTOS PÚBLICOS. debía el Congreso anular esas elecciones para evitar que no ten - festando que habia pensado retirar esta enmienda ; pero que se g i u L g » r en lo sucesivo los abusos que en ellas ha habido. había levantado á ap o yarla porqu…</t>
  </si>
  <si>
    <t>GONZAL</t>
  </si>
  <si>
    <t>…entado, lo cual eo su concepto no puede en ios documentos que presentó el Sr. González Alonso. correspondía; y que no habiendo quien presidiese, fue necesario en manera algun a aprobarse , y que en vez de invitarle al Go­ El Sr. G O N Z A LE Z A L O N S O , protestando que no tenia disolver la jun ta. .. bierno á que reproduzca los proyectos , se ponga en su conoci­ resentimiento ninguno personal contra D. E pifauio Esteban, El Sr. Roda hizo algun as rectificaciones. miento el proyecto que se va á d isc u tir, dándole el…</t>
  </si>
  <si>
    <t>…como se habia hecho con otras muchas El Sr. Esteban volvió a y e r á repetir su primer discurso con medidas. A lic a n te , \ b. S a n t ia g o , 1£ á 2 d. algunas pequeñas variaciones , y y o , si á contestarle fuera sin El Sr. G O N Z A LE Z A L O N SO manifestó que no habiendo Barcelona, á ps. f s . , i á par id. Sevilla , f á 1 id. grau trabajo , no tendría mas que tomar el que tuve el honor merecido contestación su discurso, pues que nada habia dichc B ilb ao , par d. V a l e n c ia , | din. b. de pronunciar cuando s…</t>
  </si>
  <si>
    <t>Gonzales, Manuel</t>
  </si>
  <si>
    <t>Manuel Gonzales</t>
  </si>
  <si>
    <t>…65 , F .. 514 2057 á -2 5 7 0 • ' 4800 ' 2467200 ExcmOí'Sr. D. Antonio Barata , consejero de Estado , y de Ioí ! i Sres. vocales D. Félix D ’O lhaberriague y Blanco, director gene­ i ¡ ral de la caja nacional de Amortización , D Manuel Gonzales A llen d e, en representación del banco español de S. Fernando .6 ; L otes que comprenden 3681 Documentos de deuda difeirida premiados importantes. 5184800 y .D . José Ilig in io A rch e, contador general de la misma cajs K . . . . de Amortización , vocal secretario, se procedió al s…</t>
  </si>
  <si>
    <t>GONZALEZ</t>
  </si>
  <si>
    <t>…isfruta. 8 0 millones , ¿e s extraño que falte para algunos? No es pues quedaba enterado, dijo La comisión, en vista de los servicios de este interesado, y cargo para el Ministro de Gracia y Ju stic ia que las clases que El Sr. G O N Z A L E Z , que le parecía que debía pasar á la de las Reales órdenes á su f a v o r , es de dictámen que por con­ de él dependen se encuentren en ese atraso. El M inistro que comisión de actas , á fin de que esta diese un dictámen que con ducto del Sr. M inistro de la Guerra pase al de Graci…</t>
  </si>
  <si>
    <t>…lo están El Sr. BARRIO A Y U SO : N o sé de quién es la enmienda, el caso de admitir la enmienda. todos los habitantes de A lm en ara, y lo patentiza esta reve­ ni á qué se reduce; pero por la práctica observada puedo de­ El Sr. GONZALEZ A LO N SO : Cuando hace , un m es. se rente exposición, se dediquen cada uno en los trabajos de su cir, que mientras no sé entre en la discusión puede tener lugar está clamando por que se entre en la discusión de fueros, y ha­ profesión, sin que jamas se altere la tranquilidsd en punto la…</t>
  </si>
  <si>
    <t>…. encargada de informar sobre la proposición del Sr. Alcalá Za­ Vuelto á leer el art. 1 .° dijo mora para que se exija la responsabilidad al M inisterio por los Les Sieurs Candaudap L e ó n , LafFatigue, Je a n Baptiste, El Sr. GONZALEZ A L O N S O : Cuando voy á hablar con­ atropellamientos cometidos contra su persona, habia nombrado E yharchet Jean , et Puissan G auderie, sont prévenus q u ’ils ont tra el primer artículo del proyecto que con todo celo , con todo por su presidente al Sr. Campuzano, y por secretario al se…</t>
  </si>
  <si>
    <t>…es á España. t a r á a q u ella parte que h ab ia llegado á tiem po de oir. d isc utirlas. Asi p u e s , señores, la conducta que con nosotros observa esta Se hace c argo de la observación re la tiv a á la corte de P o r­ El Sr. G O N Z A L E Z propuso seria oportuno nom brar un a P o te n c ia , no creo que sea tan satisfacto ria. t u g a l , y dice que en ella se enc u e n tra un e ncarg ad o de n e g o - comisión para que las e x a m in e , con lo c u a l se podria e v it a r L a comisión no puede tener un a idea de tod…</t>
  </si>
  <si>
    <t>…ocio. la que contiene á los hombres dentro de los límites de sus de­ medida acerca de este punto. Haciéndose cargo de la libertad de imprenta manifestó que beres. j Ojalá que la sociedad española estuviese en tal estado! El Sr. G O N Z A L E Z hizo algunas aclaraciones. aunque celosísimo partidario de ella, deseria si fuera posible Pero desgraciadamente solo un cargo material puede hacer que El Sr. Ministro de la G U E R R A : El Sr. González poco ha que existiese hasta sin ley; sin embargo si se le convencía de la cada u…</t>
  </si>
  <si>
    <t>…e­ garantía roas sólida al trono legítimo , á la libertad y á la unión entrar en mas detalles. liciano Cordero. ~ El oficial tercero de administración, Pablo fraternal de todos los españoles. Dios guarde la importante vida El Sr. G O N Z A L E Z se opone á la base primera porque Camarón y Amayo.rzEI oficial cuarto de adm inistración, Pe­ ie V. M. dilatados años para felicidad de la naciou. Madrid 20 dice que para ello se vale de la misma consecuencia que ha sa­ dro Berrandon.—EI tesorero, Juan de Agar.izEl oficial de la Je S…</t>
  </si>
  <si>
    <t>…onerse el sol los 1,001 tiros de fusil que saludan los Continuando la pendiente sobre fueros dijo: pero hay que tener en cuenta los que no se han sometido é colores nacionales cuando se bajan, el sonido de los pífanos, el El Sr. G O N Z A L E Z : Después de todo lo que se ha dicho han combatido hasta la última hora hasta dejar el término movimiento continuo de los botes que rodean los navios , el en ­ ;n esta larga discusión, después de tantos razonamientos como de la línea de España. trar y salir de ios buques de comerci…</t>
  </si>
  <si>
    <t>…dores. las leyes, quedarían nulas. A las teorías se responde con he­ tal cual está puede aprobarse. Se levantó la sesión á las tres y media , quedando el Senado chos. Efectivamente, á primera vista parece que ninguna ley El Sr. G O N Z A L E Z : Ante todas cosas, señores, debo decir en secreta. podría salir no estando todos acordes; pero este mismo defecto que agradezco mucho la distinguida consideración con que el está aqui , y no es una cosa nueva el que uno de los tres bra­ Sr. coude de Ezpeleta ha citado algunos hecho…</t>
  </si>
  <si>
    <t>…y fue aprobado. subio ; de tres fragatas, Partenope, Isabela y Urania ; dé que se habia de verificar. Juraron y tornaron asiento los Sres. Carabantes y Sarda'. una corbeta, Cristina , y de un bergantín, E l Catabres , se El Sr. G O N Z A L E Z sostuvo el dictám en, reproduciendo Se aprobó el dictámen de la comisión de Actas acerca de halla en Génova hace algunos dias. Se forman conjeturas acer­ en cuanto á las observaciones del Sr. marques de Falces lo ya las elecciones ca del destino de esta escuadra. Unos pretenden que…</t>
  </si>
  <si>
    <t>…empW** el secretario Manuel Velazquez y 16 individuos mas de la par­ que pudiese decirse contraria á lo prevenido en la ley electoral. y moderación con que creo debe hablarse siempre enceste lu­ tida de Gervasio Serrano. El Sr. G O N Z A L E Z manifiesta que nunca ha querido to­ gar , hablando á la razón de los Sres. Diputados, sin ffconer en Con referencia al gefe político de Teruel, dice esta misma mar parte en las cuestiones de elecciones, y por la misma ra­ juego las pasiones, que no me parece que es el lenguaje en qu…</t>
  </si>
  <si>
    <t>…hacerlo, buen nombre, tengo un derecho á defenderme, mucho mas • poyaba et artículo conforme está aprobado por el Congreso. porque el reglamento me !o prohíbe. habiendo tenido el honor hace 17 años, cuando contaba 28, de El Sr. G O N Z A L E Z , oponiéndose al proyecto por creerlo El Sr. P U C H E , haciendo aclaraciones, dijo que su ánimo ocupar un asiento en estos escaños. Sin em bargo, al pedir la impolítico y a iit ¡económico , dijo que la razón de po’ítica por no habia sido hacer inculpación alguna á la mesa. palabra…</t>
  </si>
  <si>
    <t>GONZALEZALONS</t>
  </si>
  <si>
    <t>…tar todos sus súbditos, aun á aquellos que accidentalmente por las indicadas causas hayan podido faltar á sus deberes , he parecer que debe aprobarse. ’ conforme con las medidas que habéis propuesto para la conser­ tenido El Sr. G O N Z A L E Z A L O N S O : Antes de entrar á im pug­ vación del orden , la represión del crimen y la mejor adminis­ artículosá bien ordenar se cumplan y lleven á debido efecto los siguientes: nar el dictamen de la comisión debo protestar que no roe pre­ tración de justicia en esta metrópoli , y…</t>
  </si>
  <si>
    <t>…ealtad de des sostenían una lucha, que si bien no podían menos de reco­ Se leyó dicho proyecto. esta ciudad siempre fiel. Dios guarde á V. E. muchos años. M o­ nocer injusta y que al fin debia serles contraria, medraban á El Sr. G O N Z A L E Z A L O N SO dijo que no podia menos tril en su ayuntamiento á 1.° de Octubre de l839.=Excelentísi- su sombra y les aseguraba su fortuna en el caso de sufrir una de oponerse al dictámen, á pesar de sus sentimientos con res­ ieío Sr,—Presidente, Francisco IMamilla,—Francisco J. Pintor…</t>
  </si>
  <si>
    <t>…ágrimas, tantas escenas de he creído que cuando el Congreso toma una resolución hay pueda dar un dictámen acertado.” devastación y ruinas ; y los españoles todos, reunidos eu derre­ que insertar íntegro lo que se refiere. El Sr. G O N Z A L E Z A L O N S O : La proposición , señores, dor del trono legítimo, verán llenos de gozo purísimo enlazados El Sr. P R E S ID E N T E : Señores, yo no puedo hablar de la tiene dos partes; y ante todo es necesario que imitemos el ejem­ á los ricos florones que eutreíegen la inmarce.scibl…</t>
  </si>
  <si>
    <t>…o s ; a u n q u e se dice que bajo esí© por P alen c ia puede h a b l a r , si gusta. C onvengo con S. S. en q u e es un un al el que se h a g a n terce­ nombre se comprenden tam bién los Diputados s u p le n t e ;, y o El Sr. G O N Z A L E Z A L O N S O : Con gusto se e n tra á i m ­ ras elecciones: ciertam ente es u n m a l ; pero mal preciso, i n d i s ­ sostengo que h a y partes de esa m ism a ley en que se hace uso p u g n a r esta clase de d ic t á m e n e s , porque se puede m u y bien pensable para e v it a r otr…</t>
  </si>
  <si>
    <t>…maciones. gentísima para salvar el Estado. Heroicos sacrificios de nuestra nación magnánima prepararon el mágico efecto de aquel insig­ ne hecho de valor y de política , que tiene alborozada á V. R. M. PARTE NO OFICIAL. El Sr. G O N Z A L E Z A L O N SO : N o puedo menos de elo­ giar la imparcialidad de la comisión en todos cuantos dictá­ menes ha presentado hasta ahora; y ha observado cierta medi­ y á todos sus leales súbditos. El abrazo de Vergara, Señora, d a, que se muestra bien claramente en las discusiones que ha…</t>
  </si>
  <si>
    <t>…taba el propi etario de O l í a s , a d m i t i é n d o ­ El Sr. P R E S I D E N T E : Habi endo tenido todos los señores sele por lo tanto en el Congreso. Senadores la satisfacción de escuchar de los a ug us t os labios El Sr. G O N Z A L E Z A L O N S O , reconociendo que eran j u s ­ de S. M . la Rei na Gobernadora la contestación que se ha d i g ­ tas las razones que mo ví an á la comisión á extender su d i c t a ­ S e v i l l a no s : El d l t i r a o d i a de Agost o será eterno en nuestra nado d a r al mensaje vot…</t>
  </si>
  <si>
    <t>…io Pous. lista de los señores que tenían pedida la palabra eta contra , la del F e r r o l, congratulándose con el tratado de Y e r g a r a , no obtuvo el primero puede menos de dirigirse á V . M. felicitándola por aconte­ El Sr. G O N Z A L E Z A L O N S O : Señores, quisiera ser tan cimiento tan grandioso, que dando por resultado la consola­ Han felicitado á S. M . con motivo de los faustos sucesos lacónico en la impugnación que hago á la contestación qué dora p a z, afianza el trono de la inocente Isabel , asegura las de…</t>
  </si>
  <si>
    <t>…ongreso , y ño h a podido separarse E l Sr. P a sc u a l rectificó u n hecho. El S r. O S C A : Yo creia que h a b ia derecho de p e tic ió n , y de ellos. Sabe que en a lg u n a s a c t a s , y creo que u n a de ellas es El Sr. G O N Z A L E Z A L O N S O rep ro dujo los a rg u m en to s a h o ra creo que no lo h a y . la de Soria , aparece que se h ab ia n escrito papeletas fu era del del Sr. Sánchez de la F u e n t e , añ ad ie n d o qu e un D ip u t a d o solo El Sr. S A N C H O : Todo Sr. D ip u t a d o tiene facultad…</t>
  </si>
  <si>
    <t>…oca lo que he oido , me doy por resado otras dos veces con la misma solicitud. ñor Lujan. satisfecho. El Sr. I Ñ I G O contestó que aunque 1ü u y bien pudiera ser Se leyó la petición núm. 27 que D. Manuel T o m as, p ro ­ El Sr. G O N Z A L E Z A L O N S O dice que está en su lugar pietario del pueblo de S. Gervasio del Llano de Barcelona , y quépase esta exposición al Sr. Ministro de la Gobernación; pero cierto lo que acababa de manifestar el Sr. Cortina, la comisión capitán no podia extenderse á mas en su dictámen porque…</t>
  </si>
  <si>
    <t>…bien el Gobierno, ó cualquier Sr. D i­ Spina. —Vicente Hernández. = Pedro Corrales.— Juan Manuel putado presente su provecto de ley. Fernandez —Vicente Clemente.— Hermenegildo Moreno.—Diego Sesión del dia 29 de Setiembre , El Sr. G O N Z A L E Z A L O N S O : Habia pedid o la palabra G il!—Santiago Sánchez de Mora.—José Cecilio Dernet y Gar­ con el fin de que la comisión rectificase una equivocación en cía , secretario. Abierta á la una menos cuarto, se lee y es aprobada el que ha incurrido en el dictámen, y ahora debía habe…</t>
  </si>
  <si>
    <t>Gonzalo</t>
  </si>
  <si>
    <t>…rasgo de genio. Doña Leonor Mientras que gime la virtud hollada. to. El autor del drama debia no solo hacer aparecer con las manifiesta á D. Pedro sus temores y sospechas; le responde con D . Fernán Este es mi anhelo, ilustre D. Gonzalo, mas negras tintas la muerte de Doña Leonor, debia saber pe­ entereza que jamás entregará á su h ijo; D. Pedro le anuncia Sánchez . . . . . Esta la idea que mi pecho inflama, netrar del mas vivo ínteres hacia ella todos los corazones gene­ con la mas fiera indignación que ambos m o rirán, y…</t>
  </si>
  <si>
    <t>…alderón ó de un Lope. Nosotros hemos oido literatura, y saborear las be­ na Mencía, fiera , orgullosa, altiva, reprende en su creí­ tachar de largos, de pesados los diálogos de los dos pri­ El noble y caballeresco carácter de D. Gonzalo, y el da hermana ese sentimiento puro, inefable del alma; meros actos; pa récenos esto una blasfemia literaria que el original y gracioso de Chacón, asi como el de D. Gutier­ re, completan el conjunto animado y armonioso del dra- público en lo general no ha sancionado. Dígasenos si no, ma…</t>
  </si>
  <si>
    <t>Gonzalo, Manuel</t>
  </si>
  <si>
    <t>Manuel Gonzalo</t>
  </si>
  <si>
    <t>…entre las dos. Guando Las dos autoridades militar y civil parece se hallaban ins­ los que á continuación por clases y nombres se expresan. Hioja llama a. un poderoso truidas del movimiento, y trataron de evitarlo tomando las D. Manuel Gonzalo, oficial.Auacleto Gavidia , sargento «El ídolo á quien hace sacrificios.” tpedida.s que les parecieron oportunas. Anduvo el brigadier se­ primero.=±Soidados Hipólito Martínez, Nicolás Arana, Jorge. gundo cabo recorriendo la ciudad durante la noche. Informado Vidal, Juan Fernandez, M…</t>
  </si>
  <si>
    <t>Gonzá</t>
  </si>
  <si>
    <t>…fin de que se sir­ ciones, manifestó que no pudo haber nulidad de derecho ni de va oisponer queden en libertad las personas á que se refiere el Sesión del dia 6 de Setiembre. hecho como se decía en el documento citado por el Sr. Gonzá­ precedente escrito. Dios guarde á V. E. muchos años. Barcelo­ lez Alonso. na 29 de Agostode 18:&gt;9-A ntonio Seoane.=Excmo. Sr. capi- Se abrió á las doce y inedia con la lectura del acta de la an­ El Sr. B E N A V ID E S : Se ha pedido por el Sr. Guillen y tan general de las Islas Baleares. ' r…</t>
  </si>
  <si>
    <t>…haber justificado la comisión sus dos extremos, seguir para tener unidad con los cuerpos colegisladores. estos destinos , no solo es necesario tener intención , sino peri­ paso á contestar ligeramente á las observaciones del Sr. Gonzá­ ¿Podrá el ministerio acercarse según su sistema, y gobernar cia , y esta verdaderamente , sin que yo ofenda á S. S . , según lez Alonso , y digo ligeram ente, porque habrán visto los señore* una mayoría que sea compatible con las circunstancias actuales? he visto los principios, no la tiene.…</t>
  </si>
  <si>
    <t>Gonzá, Joaquin</t>
  </si>
  <si>
    <t>Joaquin Gonzá</t>
  </si>
  <si>
    <t>…iptores á la colección de no­ E L HOM BRE G O R DO , , componen los Cuerpos colegisladores, y leída la lista de los Se­ velas, que publica la misma empresa, la última entrega de la in­ encargándose de la parte de protagonista D. Joaquin Gonzá­ ñores Senadores y Diputados que cotnponian la diputación que teresante novela de costumbres lez, que sin llegar su talla á cinco pies , pesa 18 arrobas. había de recibir á Sí&gt;. M M ., el Sr. Presidente les invitó á que L A M UGER Y LOS DO S AM IGOS, Si su sola presencia se ha creído…</t>
  </si>
  <si>
    <t>Gonzá, Joaquín</t>
  </si>
  <si>
    <t>Joaquín Gonzá</t>
  </si>
  <si>
    <t>…O R D O , 2 .1 1 3 ...............400.............. Madrid. que los que aspirasen á la plaza efectúeo su instancia documen­ tada en el término de un mes de esta fecha por conducto del encargándose de la parte de protagonista D. Joaquín Gonzá­ La dirección general ha dispuesto que el sorteo que ha d suscrito secretario de él. Santurce y Agosto 11 de 1839.=Gre- lez, que sin llegar su talla á cinco pies, pesa 18 arrobas. verificarse el dia I 4 de Setiembre próximo, sea bajo el fondo d gorio de Balparda , secretario. 5.° Bole…</t>
  </si>
  <si>
    <t>González</t>
  </si>
  <si>
    <t>…e unas muestras de las por su chiste, agudeza y originalidad ha merecido siempre la ría lo dispuesto en la Real orden de 22 de Noviembre del ediciones antiguas de T irso, en todo 370 páginas de lectura en mayor aceptación El Sr. González al presentarse en este ano ultimo á los cumplidos del ejército del arma de caballe­ tamaño de 8.* rnarquilla. teatro no pretende de ningún modo rivalizar con el acredi­ ría. (Ndm. 1740.) Precio de cada torno 14 rs. tado actor que felizmente ha creado el papel de el hombre gor­ _ _ del mi…</t>
  </si>
  <si>
    <t>…renos generosa? ¿hará menos por una nación cisco Ortiz y Flores, Sr. marques de Cerralbo, D. Antonio risdicción Real ordinaria. Por D. J u a n M artin Carrarnolioo. am iga y vecina á que se halla ligada por los vínculos mas Conde González, D. Antonio Esteban, D. A gustín Seco, Don Cornp¡ende la sustanciacion de todas las instancias y demas re­ santos y los mas solemnes tratados, y sobre todo cuando la Rafael del Rio y D. J u a n U trilla , quienes declararon no cursos ordinarios y extraordinarios de que conocen las au d ie n…</t>
  </si>
  <si>
    <t>…isma. coa 1 1, el Sr. Tmres Solanot 1 9 , el Sr. Salas Omaña 2 , el se­ elegido por la provincia de Pootevedra, y elegido al propio El Sr. Presidente anunció que mañana á las doce se reuni­ ñor marques de V ilu m a 1 2 , el Sr. González 1 , el Sr. Ileros 1 tiempo Diputado por dicha provincia , d ir ig ía copia del acta ría e! Congreso para discutir los dictámenes que presente la co­ y el Sr. marques de V allgo racra i . para que el Senado se sirviese decidir sobre la validez de la misión de los cinco acerca de las actas d…</t>
  </si>
  <si>
    <t>…al. El Sr. duque de FRIAS: Pido la palabra. 4 botes del calibre de á ¿\. El Sr. PR ESID EN TE: Sin que pase adelante la discusión Armas de fuego y blancas* NOTICIAS NACIONALES. va á leerse una proposición presentada por el Sr. González, y advertiré que el Senado no puede deliberar en proposiciones 57 fusiles españoles c ingleses coo sus bayonetas. Logroño 3 1 de Agosto. que no sean por escrito , en cuyo caso seguirá los trámites del 25 chuzos enastados. Mi amigo: Maroto capituló con 2 i batallones y siete escua­ reglam…</t>
  </si>
  <si>
    <t>…o de Diputados y suplentes que debían si seno de la patria por seis años de desolación y trastornos de Se dio cuenta del dictamen de la comisión encargada de la ser nombrados por cada proviucia. Lodo género. proposición del Sr. González, reducido á que debia aprobarse; Goncluida la lectura, dijo « E l Senado felicita á V. M. al considerar próximo el m o ­ y después de haber pronunciado un breve discurso el Sr. uuque El Sr. S A N C H O : Por lo qüe acaba de oir el Congreso se mento deseado de la general reconciliación de l…</t>
  </si>
  <si>
    <t>…debe estremecer nues­ m enta esta ley de represalias, no se podrá cu mplir. rasco.—José Sánchez de la F u ente, secretario. tro corazón. Sucedió la desgracia de M aella, y después de ren­ Después de im pugnar el proyecto el Sr. González, repro­ El Sr. P R E S ID E N T E : C ontinúa la discusión de ayer. dida nuestra caballería ha sido degollada: á poco tiempo han duciendo las ideas de los señores que han usado la palabra en Se leyó el artículo que dice: sido asesinados noventa y tantos sargentos. En la ribera del Ja- co…</t>
  </si>
  <si>
    <t>…Lérida y Barcelona, costada 10 libras esterlinas. optaba por la primera de dichas provincias. Se acordó llamar GRAN BRETAÑA. al suplente por la segunda. Se lee en la P r e s s e i Pasó á la comisión de Actis otra igual del Sr. González L ó n d r e s 3 0 d e A g o sto . Es sabido que una cláusula del tratado concluido con M é ­ Alonso optando por la provincia de Cáceres, por no estar apro­ El torneo d e E g lin g to n . El célebre torneo de Egliogton jico reserva al Rey de los franceses la facultad de elegir la Po­ badas…</t>
  </si>
  <si>
    <t>…Dios guarde á Y. S. muchos años. M adrid 10 de M ayo ryllis longiscapa , y una elegante polígala , presentadas por el Entregado en dos veces al Excmo. ayuntamiento de 1859.=:Marcial Antonio Lopez.=Sr. gefe político de la ciu­ Sr. González, han llamado la atención de los inteligentes. La han constitucional de la ciudad de Zaragoza para dad de Córdoba. (La Paz.) Estado del comercio y navegación de H o lan d a con E spaña y sus provincias de U ltram ar Importaciones de Canarias. en el añ o de 1838. En bandera nacional. En 6 bu…</t>
  </si>
  <si>
    <t>…de unas lig e ras observaciones del Sr. P re sid e n te , á m a n if e s t a r é ; pero en c uan to á a d m in is tra ció n no puede h acer­ nes de p rim e r orden le h a c ía n capaz de desempeñar su misiou que satisfizo el Sr. González , c u y a opinión apoyó el Sr. d u q u e lo de n in g ú n m o d o ; y supuesto que se h a lla presente el G o­ en aquel punto ; pero que el no haberse conseguido lo que S. S. de R i v a s , se acordó quedasen sobre la mesa hasta que i m p r i ­ b ie rn o , me contestará sobre ello, si he po…</t>
  </si>
  <si>
    <t>…l ir ^e dio cuenta de haber sido destinado á la tercera sección ñores Diputados con otras varias. el dia que se abrieron las Cortes , y toe llené de júbilo al verla D. Pedio M iranda, Diputado por Madrid. Ha dicho también el Sr. González que el Gobierno, separán­ alzada y robusta, porque en mis principios entra que en lle­ El Sr. P R E S ID E N T E : El Sr. conde de las Navas tiene la dose de un rumbo que había adoptado habia vuelto á segregar gando el caso de elegir esposo podamos elevarnos al carácter de palabra para apoy…</t>
  </si>
  <si>
    <t>…ar de los p árrafo s, y contestado que s í, fueron ha de seguir este ó el otro cam ino? cual después de aprobado formaría parte integrante del tratado. aprobados sin discusión el primero y segundo. Pasa S. S. á contestar al Sr. González respecto á las demas España nombró prontamente sus dos comisionados; no asi Por­ Se leyó el párrafo 5.°, y una adición del Sr. González, y observaciones que hizo en su discurso de a y e r , y dice que á la t u g a l , á pesar de las vivas instancias de la legación de S. M ., apoyada brevem…</t>
  </si>
  <si>
    <t>…toria cubiertos Se tomó en consideración y pasó á la comisión. Senado la ha de felicitar con el plausible motivo del feliz su­ con la oliva de la paz , de la paz tan necesaria á los españoles. Y Se leyeron tres adiciones del Sr. González al párrafo 1.° La ceso comunicado á este cuerpo. la generación presente trasmitirá á las venideras el reconoci­ primera fue tomada en consideración, que era relativa á que Se dió cuenta de una proposición del Sr. Caamaño Pardo miento á los inmensos beneficios que la Reina Doña Ma: ía se r…</t>
  </si>
  <si>
    <t>…dea justa­ en este párrafo una apostilla in ú t i l, un rozonamiento innecesa­ El Sr. M inistro de G R A C I A Y J U S T I C I A : Con mucho mente combatida aqui. Si no se hubiera eslableciJo el medio rio. La buena razón del Sr. González hallará disimulado al gusto. diezmo, las clases que están con 20 meses de atraso estarian través de esas formas un pensamiento que tiene poco de lison­ El Sr. O C H O A : Y o no he dicho sino que si yo fuese M i ­ con 21. Prescíndase pues de que el medio diezmo se h a y a a p li­ jero ,…</t>
  </si>
  <si>
    <t>…meros años siguientes á la adjudicación de fas propiedades. ti rucio a de I8 l2 y nadie, si se habrán puesto los tiene, por drid 17 de Octubre de 1859. z= El Presidente del Consejo de A continuación se leyó una enmienda del Sr. González «so se remediaron, pero nadie ha tachado de ilegal aquella ley M inistros, Perez de Castro. = A los Excmos. Sres. Presidente y Alonso , relativa á pedir se dijese después de la palabra tasa­ fu nda mental. Y o me hallo aqui con la misma legalidad que el Secretarios nel Congreso de D iputa…</t>
  </si>
  <si>
    <t>…da d , el d í a en que d e s a p a r e z ­ O RDEN DEL DIA del dictarnen , rechazo corno apócri f as y enteramente falsas las can p i r a siempre nombres é intereses de partidos. Españoles, expresiones que h abi a vert i do el Sr. González A lon s o. solo españoles nos l lamemos en los di as de v e nt ur a qu e nos es­ PARA LA SESION D 5 L VIERNES 20 DE SETIEMBRE DE 1839. Sostuvo que en la direcci ón del canal de Castilla habi a pro­ per an, deponiendo con mot i vo tan plausible odiosos recuerdos, Di scusión del d i ct a me…</t>
  </si>
  <si>
    <t>…dado. con ella. Eo este último período entiende la comisión queda expresada El Sr. DIEZ DE TEJEDA hace varias aclaraciones. PARA LA SESION DEL SABADO 21 DE SETIEMBRE DE 1839. y satisfecha la idea contenida en la adición del Sr. González al siguiente párrafo 10. Rectificaron varios hechos los Sres. Ileros y Ministro de la A las once sé reunirán las secciones para calificar la pro­ Gobernación. posición del Sr. conde de Vigo sobre señalamiento de término En cuanto á la adición á dicho párrafo 10, propuesta por el Sr. Tar…</t>
  </si>
  <si>
    <t>del Sr. González, y cree que con exam in ar la ley de Í9 de J u ­ c u arto , anunciando quedaba el Senado en secreta, y el si­ no habia sido un motivo de coacción, pues que no contenía ai nio de 1857 se sale de la cuestión actual. guiente promesas ni amenazas. Que h ay que tener presente que ahora existe u…</t>
  </si>
  <si>
    <t>…rarlo asi, y U discusión ha seguido. Con este se m a desatendidos, porque si bien yo respeto todas las opinio­ asi porque no teoian presupuestos. A qui, antes de votarse una motivo han hablado varios señores , entre ellos el Sr. González nes , nunca permitiré ciartfls expresiones que lastimen las ins­ contribución , pedimos el presupuesto 9 indagamos las causas y ítci amigo y compañero de comisión el Sr. Macía Lieopart. tituciones de ua pais que han hecho su felicidad, y que aun­ por qué se pide y sabemos en qué se va á em…</t>
  </si>
  <si>
    <t>…, tratándose de la l a r , y del modo que tenga de usar de la palabra. tiene el duque de la V ic to ria, y coa sus arm as, para poder comisión régia para U ltram ar, y continuó. Antes de proceder á contestar al discurso del Sr. González d e c ir, como dije en 1 8 2 2 , que la España era independiente , v Señores, vergonzoso es decirlo, pero he leido q u e , tratándo­ Alonso, antes de manifestar la comisión su modo de pensar res­ que y a no necesitaba andadores para correr suelta por su suelo, se de defender ia t ir a n í…</t>
  </si>
  <si>
    <t>…o entraré en mi discurso por la misma puerta que ha en la m arin a? Al oir el discurso de la corona, nadie creerá sino La España se ha hecho respetar de esa corte, ¿ y hay razo­ trado el Sr. L ujan. Nos ha dicho S. S. que el Sr. González A lon­ que estamos en tiempos brillantes. Está en el mayor abandono nes para que sufran los españoles esos abusos de la corte de Ro­ so ha contraido su ataque á dos puntos: 1.° El retardo de 1; esta clase, y consiste en ciertas preferencias que se han dado; ¿y ma, corrompiendo las costumbr…</t>
  </si>
  <si>
    <t>…jamás en cuestión puramente legal que interesa mucho al público dársela Rodríguez; y la de reserva del ejército del C entro, á las órde­ tnala parte. á conocer, y en la cual guardaré toda la consideración debida, nes del coronel González, está destinada á evitar en el señorío Esta consideración deseo , señores, se tenga presente en el sin que sea mi ánimo ofender á persona determinada, no obs­ de Molina y Alcarria las correrías de los vándalos. ánimo de los Sres. Diputados porque tal vez la naturaleza de tante su e rro r,…</t>
  </si>
  <si>
    <t>…por 100 nuevas. por su c h i s t e , agudeza y originalidad ha merecido siempre la Acciones del banco español de S. F e r n a n d o , 0 0 . Bosquejo médico de la Sinochus m a lig n a , ó la fiebre m a ­ mayor aceptación E l Sr. González al presentarse en este ligna contagiosa que se manifestó en Filadelfia , con una rela­ Teatro no pretende de ningún modo rivalizar con el ac redi­ CAM BIOS. ción de los fenómenos morbosos que se observaron en los cadá­ tado actor que felizmente ha creado el papel de el hombre gor­ veres…</t>
  </si>
  <si>
    <t>…e que no quieren que rija este sistema. agregado á la cuarta sección. coostaba, no lo ignoraba: esas precauciones fueron tomadas Disueltas las Cortes una vez y consultada la voluntad, na­ Dióse cuenta de una proposición del Sr. González para que por otra autoridad; ¿y con qué objeto? ¿se trataba de oponer cional, parece que debe seguirse esa voluntad; porque sin ella se pidan al Congreso antecedentes cobre las actas de Huelva. esa fuerza á un pueblo tan respetable y tan juicioso? no era es imposible gobernar bien. Si el m…</t>
  </si>
  <si>
    <t>…ia que cial para los recieonacidos, nodrizas, enfermos que se reconta- por su ch iste, agudeza y originalidad ha merecido siempre la gian á si mismos por ojos, boca y nariz &amp; c .; para parteros que mayor aceptación ?.,.. El Sr. González al presentarse en este trasmiten el contagio con sus dedos á muchas parturientas (de teatro no pretende de ningún modo rivalizar con el acred i­ que cita muchos ejemplares S w ed ieau r); para los profesores en C A JA DE AHORROS D E M A D R ID . tado actor que felizmente ha creado el pape…</t>
  </si>
  <si>
    <t>…ura en una comedia que la ciudad del mismo nombre. Ademas les aprehendieron 10 rantías. por su ch iste, agudeza y originalidad ha merecido siempre la fusiles recortados, una corneta y bastante ropa. mayor aceptación?.... El Sr. González al presentarse en este El comandante general de esta provincia reunió en esta teatro no pretende de ningún modo riv alizar con el acredi­ capital antes de ayer las columnas de Páramo y M ayalde v tado actor que felizmente ha creado el papel de el hombre gor­ con la poca tropa que pudo sa…</t>
  </si>
  <si>
    <t>…fue leve relám pago q ue d e b ió so rp ren d e r un m om ento, C ádiz, Sevilla y otros. agua c la ra , habiénd ose llev ad o las partes terrosas, lo que p o rq u e deslum braba. G u an d o la vista del ho m b re volvió «El Sr. González tiene 29 años ; a la edad de 18 era tom a com o u n cu arto de h o ra; entonces se arro jan afuert a su estado n o rm a l, supo d istin g u ir y re p u d ia r aquello que un hom bre n a t u r a l , y en la actualidad pesa D IE Z Y con la m an o las p ie d ra s g ra n d e s, y luego se ex…</t>
  </si>
  <si>
    <t>…el papel propio de su figura en una comedia que to entresuelo de la izquierda , 'para hacerles saber una provi­ por su ch iste , agudeza y originalidad ha merecido siempre U CORRESPONDENCIA DE LA GACETA. mayor aceptación El Sr. González al presentarse en este dencia asesorada dictada en los expedientes que contra c; la uno de ellos se está instruyendo, apercibidos que no haciéndolo teatro no pretende de ningún modo rivalizar con el acredi - C a stelló n 2 2 de A gosto . El 16 Befó Cabrera á la Val! de tado actor que fel…</t>
  </si>
  <si>
    <t>…ifiesta que á su ción cualquiera ó dirigir un mensaje al trono. nio de Palma.“ Por la clase de soldados del escuadrón, José parecer no está previsto en este artículo el caso de que asista el En seguida se leyó una adición del Sr. González, que di­ Casero. presidente de un cuerpo y el vicepresidente de otro por no po­ ce asi: derlo hacer el presidente en propiedad , y duda si en este caso Pido al Senado que se sirva admitir la adición siguiente al se deberá estar á lo prevenido en el artículo 3 .° de la ley de 12 art. 8 6 :…</t>
  </si>
  <si>
    <t>…restaron juramento dos Sres. diputados. año (El o r a d o r Lee un l a r g o a r tícu lo d e e s e p e r i ó d i c o , en Yo he firmado de confianza como firma todo el que es M i ­ El Congreso quedó enterado de un oficio del Sr. González que s e hablaba y h a cía n co m e n t a r i o s d e la m isión d e l se iio r nistro. ¿Cómo se habían de firmar si no 500 6 i d documentos Alonso que participaba no poder asistir á la sesión por su que* Z e a B erm u dez .) en un d i a ? ¿Q u ié n no sabe esto? El que lo dude que venga á…</t>
  </si>
  <si>
    <t>…o­ El Sr. O T A Z U manifestó que la comisión estaba entera­ men de la comisión de Actas sobre las del Sr. D. Antonio Ra­ nal para la administración de justicia; pero que al mismo tiem­ mente conforme con los principios del Sr. González; pero que mírez de Arellano, Diputado electo por la provincia de Cór­ po si habia alguna acusación contra m í, pedia se afianzase de era necesario que tuviese presente el Senado que este era un ar- doba; consecuente á lo acordado por el Congreso , se ha dado calumnia. A los dos ó tres días…</t>
  </si>
  <si>
    <t>González, Antonio</t>
  </si>
  <si>
    <t>Antonio González</t>
  </si>
  <si>
    <t>…z de di­ vincia se cita , llotna y emplaza á Ú, Pedro Torreas y M iral- cho dia. B IB L IO G R A F ÍA . da , D. José de Acebo, D. Clemente Bernaídez, D. José Arau- jo y Alcaide, D. Joaquín de Echavarría , D. Ricardo López, D. Antonio González , D. José de Castejon, D. Miguel M ar- p O R el presente y providencia dictada por el Sr. D. Juan qüés y Villegas, D , Lorenzo Marau , D. Andrés M artí, Don José Rodríguez Yaldeosera, caballero comendador de la Juan Garay y Casal, D. Rafael Cañaveral, D. Francisco Ja­ Real orden A…</t>
  </si>
  <si>
    <t>…am, admitiéndole la dimisión de lá secretaría dé Estado y dél él inforthe f ^réiblúéióriésl déi trfbúnál y de S. M . ^ u é Úfirécéi4 É l premio de 2500 rs. Vn. concedidos en cada extracción,á Despacho de Gracia y Justicia á D. Antonio González, y- las huérfanas dé militares^ Guardias nacionales y patriotas que un'^sq^practico,.idel estaaeifííe^ U , justicia ;en M adrid. ;^ ; .: nombrando á D. Lorenzo Arrazola para que desempeñe én murieron en la guerra de ía independencia, y en la gloriosa propiedad.dicha secretaría.…</t>
  </si>
  <si>
    <t>…clase , tan instructi­ D. José de Acevo, D. Clemente Bernaldez, D. Joaquín de Tratado histórico práctico de la vacuna, por D. Vicente va como agradable para todas las de la sociedad , nos decidie­ Echavarría, D. Ricardo López, D. Antonio González, D. J o ­ Martínez: un tomo en 8 .° rústica , á 2 rs. ron á ocuparnos de este trabajo que no nos toca calificar. Bas­ sé Casfejon, D. Miguel Márquez y Villegas, D. Lorenzo M a- ta el nombre del célebre filósofo Mr. Bouvier, de cuyas obras raci, D. Andrés M a rti, D. Ju a n Garay y…</t>
  </si>
  <si>
    <t>…sición : en su curso se encuentran sareny y Berga ; lo que hará uu total de 17,500 infantes y Guipúzcoa. = D. Joaquín M aría de Ferrer. ademas barrancos de dificil acceso , dominados por un flanco , y 500 caballos. Huelva. z=D. Antonio González. éFdificil paso del puente de Míralles sobre el Llobregat, que fa­ Los 17,500 hombres necesitan en los 50 dias 8750 racioues; Huesca. — D. M ariano Torres y Solánot. cilitaría al enemigo una tenaz resistencia. y presupuestando 1250 para las eventualidades, será el núm e­ Jaén. :=…</t>
  </si>
  <si>
    <t>González, Antonio Felipe</t>
  </si>
  <si>
    <t>Antonio Felipe González</t>
  </si>
  <si>
    <t>…s en favor de la masa , y que todas aquellas SENADO. ACTAS DEL GORIERNO. en cuyo poder existan pertenencias del fallido hagan manifes­ tación y entrega de ellos por medio de notas que pasarán al se­ O R D E N D E L D IA ñor D. Antonio Felipe González , cónsul del tribunal, juez co­ misario, que vive calle de Atocha, núm. 53, cuarto principal, P A R A LA SESION DEL VIERNES I I DE ENERO DE 1839. pena las que no lo hicieren de ser tenidas por ocultadores y cóm­ REAL DECRETO plices en la quiebra. Madrid 10 de Enero de 1839…</t>
  </si>
  <si>
    <t>González, Antonio José</t>
  </si>
  <si>
    <t>Antonio José González</t>
  </si>
  <si>
    <t>…bacoa. 8.. 4 audiencia y abogados del colegio de Puerto Prín­ 4 ,4 8 7 .... 5 0 0 ....... Zaragoza. Id. D. Ignacio María Olea.......................................... 8.. 4 cipe . 271 3 ,2 5 8 .... 5 0 0 ....... Madrid. “ Id. D. Antonio José González, cura párroco de 1 1 ,8 2 2 .... 5 0 0 ....... Sevilla. Consolación 8 .. 4 La suscripción abierta en la audiencia de Puerto Rico ha 1 2 ,1 9 2 .... 5 0 0 ;...... Palma. La R. madre priora y comunidad de Carmelitas producido cantidad liquida 112 pesos: los suscriptores han 8 ,4…</t>
  </si>
  <si>
    <t>González, Benito</t>
  </si>
  <si>
    <t>Benito González</t>
  </si>
  <si>
    <t>…bajo sus dedos mágicos , un torrente de armonía y de alegría y participa funciones religiosas con que Sevilla ha solemnizado siempre es­ de pasión. Nada diremos de su admirable ejecución, capaz de la columnaquede elC hteniente D. Benito González, comandante de an ta d a, recorriendo alcanzó y dio muerte al tos privilegiados dias. Todas las hermandades que han hecho desesperar á los que se pueden envanecer de tenerla perfecta; faccioso Ramón Gamallo, y aunque iba otro con él no pudo estación á la iglesia catedral, han rivali…</t>
  </si>
  <si>
    <t>González, D. Antonio</t>
  </si>
  <si>
    <t>D. Antonio González</t>
  </si>
  <si>
    <t>…orresponde á la comisión, y de consiguien­ bían ceder al voto de las personas de cierta clase y teorías, si Por consiguiente ea esta parte podrá estar satisfecho el señor te la tiene el Sr. conde de Ezpeleta. hubiera oido al Sr. D. Antonio González, tal vez me habría conde de Ezpeleta y todos los individuos que hayan tenido Se leyó ei art. í. ° puesto acorde con S. S. y otros señores; pero oimos al Sr* Lleo- parte en aquellas Cortes, que merecen toda mi consideración. E! Sr. conde de E Z P E L E T A i Guando antes de ayer…</t>
  </si>
  <si>
    <t>González, D. Leonardo</t>
  </si>
  <si>
    <t>D. Leonardo González</t>
  </si>
  <si>
    <t>…ara h alag ar la recibe la acción de la luz debe extenderse sobre una plancha de im aginación de los lectores. Este escritor nos hace viajar, cobre, cubierta de una hoja sutil de plata; la plancha para un p N providencia del Sr. D. Leonardo González, alcalde cons- digámoslo a s i , por las edades pasadas. Nos describe cos­ cuadro de 9 ó 10 pulgadas de alto, y 6 ó 7 de ancho, costará ^ titucional de esta villa de La G uardia, en la provincia tum bres, usos y caracteres de oíros tiempos y de oíros si­ 5 francos 50 céntimos.…</t>
  </si>
  <si>
    <t>González, D. Pedro</t>
  </si>
  <si>
    <t>D. Pedro González</t>
  </si>
  <si>
    <t>…y Alvarez, y D. Francisco JaVief *Váai-Bamberghen L A M IN 05 A S. lU IC IO analítico sobre el discursio canónicó-legal que dió á en la cantidad de 2 í 1,252 rs. 29 rors. vh. á revajár Cargas. Y ** , luz el Excmo. é' Ilmo. Sr. D. Pedro González V allejo, a r­ para su remate se ha señalado el día 50 del corriente á las do- zobispo presentado para Toledo. Lo pubiicá un prelado espa­ Se suscribe en M adrid en la librería de Sojo, calle de Car­ ‘ ce de su mañané en la posada deI Sr. ádditoír dé guerra calle ñol. Se vende en…</t>
  </si>
  <si>
    <t>González, Estébao</t>
  </si>
  <si>
    <t>Estébao González</t>
  </si>
  <si>
    <t>…astos de 167. El ayuntamiento de la Coruña , pidiendo se le conceda y á los arbitrios solo con el cinco. jeretaría del gobierno militar de la misma provincia. la recaudación de la cuota de la contribución extraordinaria 210. D. Estébao González , por sí y á nombre de los demas 249. D. Manuel de Leza, solicitándose le declare exento de de guerra sobre consumos. licenciados del ejército que se hallan sirviendo en la Milicia 1 quinta de 403 hombres, sancionada por S. M. en 27 d e F e - 168. D. Sebastian de Souto , confesor…</t>
  </si>
  <si>
    <t>González, Fernando</t>
  </si>
  <si>
    <t>Fernando González</t>
  </si>
  <si>
    <t>…n cuanto pue­ que se determinen. El parte citado es el siguiente: da pertenecer á su oficio: un tomo en 8.° Hállase dé venta á 12 A rt. 14 . La inspección inm ediata de estos establecimientos Comandancia general. = El capitán D. Fernando González, reales en pasta en la librería dé la viuda dé Caílejá é h ijo s , ca­ en sus provincias respectivas estará á cargo de comisiones que del provincial de M onterrey, comandante de la línea de Celanova, lle de Carretas. ' - nombrará el G obierno, análogas á las establecidas por la ley…</t>
  </si>
  <si>
    <t>González, Fernán</t>
  </si>
  <si>
    <t>Fernán González</t>
  </si>
  <si>
    <t>…sus antiguos vates. ínteger vitae scelerísque púrus. primeros rudos ensayos de nuestra poesía, de los poemas del Melendez no puso grande atención al dialecto poético en Es el estádo que de sí contento.—Bermudez. Cid y del conde Fernán González : aunque hablemos de Ber- sus primeras composiciones, consagradas casi todas al amor. Dúlce vecíoo de la vérde selva.—Villegas. ceo V del arcipreste de Hita , ¿quién negará que sus versos, tal Después fue mas atrevido , pero sin desfigurar el idioma. No vez muy poéticos en cuanto a…</t>
  </si>
  <si>
    <t>González, Francisco</t>
  </si>
  <si>
    <t>Francisco González</t>
  </si>
  <si>
    <t>…car. Triunfen legalmente las drones del regimiento del Rey , á c u y a cabeza estaba su bravo j El comisionado del Gobierno británico cerca de esta d i v i — ideas, las doctrinas, el sistema que represente la volun­ | coronel D. Francisco González, y una sección de cánones de mon- j sio n, M r. W illia m A sk u v itte , se ha ocupado incesantemente tad nacional, y que sea la expresión libre y espontanea ! taña. Los cuatro batallones restantes con h&gt; caballería del 6.° y | en ios puntos de mayor riesgo. de la opinión públi…</t>
  </si>
  <si>
    <t>…ero, no quedarían para­ y la tolerancia de la otra , hemos logrado adm inistrar y gober­ Teniente coronel capitán D. Prudencio Larragan. dos por su parte. nar la Irlanda de un modo capaz de asegurar la felicidad de Capitares D. Francisco González, D. Ju an Robledo, Don Dios guarde á V. E. muchos años. M adrid 6 de A bril esta parte del reino (prolongados aplausos). Tales son los mo­ Rafael López Espinosa. de l839.=Excmo. Sr.=José Agustín de Larram endi.=Excelen- tivos que me obligan á preguntar á la Cámara de los Comu­ Su…</t>
  </si>
  <si>
    <t>…ntes se hallan en las prisiones bajo la de­ D. Francisco del Herrero , D. Fernando de Palacios, D. Ma­ O RD EN ES Y REGLAM ENTOS D E L GOBIERNO nominación de criminales, cuya aserción es tan inexacta , cuan­ nuel Castresana y D. Francisco González M ontes, resultando do menos, como esta otra del mismo Dr. Julius, expresada en por ocho votos contra uno haber lugar á la formación de Y DE LAS DIRECCIONES Y AUTORIDADES SUPERIORES. la carta que últimamente ha dirigido á Mr. W . Crawford , ha­ causa. blando de los establecimie…</t>
  </si>
  <si>
    <t>…g u a r i d a s se h a n agotado todos los recursos , y la miseria Jo s echa del p a is : asi es que y a se determ in an á hacer nuevas expediciones, y cuando han tocado mi tenaz resisten­ á que el com andante de N acionales D. Francisco González, fis­ cia á tam año desprecio de vuestras vidas han recurrido á la expediciones nocturnas en pequeñas p artid a s á algu no s pueblos cal de este proceso, tomase in fo rm a c io n es, confrontaciones y re­ traició n y medios infames para a lu c in a ro s: ellos han escrito y de…</t>
  </si>
  <si>
    <t>González, Isidro</t>
  </si>
  <si>
    <t>Isidro González</t>
  </si>
  <si>
    <t>…D. Pedro de la Encina , D . Rafael A g u irr e , en vez de argentina ó dorada; como que estas dos son mas co n ­ puede ser mas fiel, tanto que casi parece el orig inal reducido D. M a nu el Carrascosa, D. Francisco S e rr a , D. Isidro González, formes al origen de la luz que procede del sol. En el cuadro á pequeñas dimensiones. D. Federico P iz a rro , D . Francisco R e c io , D. Nicolás Tejero y de la F i r g en ofende la vista aquel fondo tan crudo por el a b u ­ E! retrato de E íb o, de u n niño sentado sobre un banco d…</t>
  </si>
  <si>
    <t>González, Joaquín</t>
  </si>
  <si>
    <t>Joaquín González</t>
  </si>
  <si>
    <t>…isma clase que la anterior, llamada del Toca­ PRINCIPE. A las ocho de la noche. Hallándose de paso en 28 15 35 4,395 L u b e i......................... dor , con dos longueras, de caber 8 fanegas y 8 celem ines, en esta corte D. Joaquín González, de edad de 29 años , que por 57 45 82 10,675 5,466 rs. y 24 mrs. su obesidad enorme ha llamado la atención en todas las partes Otra mas abajo de la que precede, y de la misma calidad, donde ha estado, la sociedad ha dispuesto una variada función, Total. . . . 5,257 ¡ 5,548 i 10,…</t>
  </si>
  <si>
    <t>…que se vendia á las puertas del coliseo, c u atro indiv iduos t ic o s todos los q ue h a b ia en m anos de te, que puede da r lugar á que se fije la opin ión del p ú b li­ y dice lo siguiente: los vecinos del in te rio r. «D. Joaquín González, hijo de D. J o a q u ín , p rim e r co, y á que prevalezca u u sistema literario sólido , fuerte y b a rb a que fue de los teatros de A ndalucía, y de Doña Ma­ A veriguado el hecho de h a b e r d iam antes en el Brasil, d u ra d e ro . ría C orrales, nació en Cádiz el dia 7 de E…</t>
  </si>
  <si>
    <t>González, Juan Luis</t>
  </si>
  <si>
    <t>Juan Luis González</t>
  </si>
  <si>
    <t>…ente.” viene está ya previsto de antem ano por el Gobierno. vo de un expediente seguido de antemano de resultas de una pe­ Se puso á discusión el art. 2.° El Sr. ÍIE R O S dice que renuncia ta palabra en atención á tición de D. Juan Luis González, párroco déla ciudad deB ae- El Sr. BEN AVI D E S , después de m anifestarla sorpresa qué que todos convienen en la necesidad de las represalias, y cree z a ; y en los documentos remitidos ha hallado cuanto deseaba le había causado, asi á él como á otros Diputados la presenta­ que…</t>
  </si>
  <si>
    <t>González, Luis</t>
  </si>
  <si>
    <t>Luis González</t>
  </si>
  <si>
    <t>…nombrado toda vía sus Diputados, pero cuya elección ea pañaron; pero hace particular mención del teniente del 1 .° de rela.—Manuel de Villota.=P. E. D .nJuan de Gumucio. = José ;favor de la oposición no es dudosa. ¿ Castilla. D. Luis González, de D. Francisco Cañas, alférez Cano Sainz.—Datnaso Aparicio.rrJo^quin de Fagoaga.=José TL ' Oposicion.ziPrimer colegio, 1334 votantes, 'Odiion Bar- del resguardo , y del auxiliar de dicho gobierno político Don Arche. rot 509. Juan Cordon. Ministerio.^:Jacqueminot 817. El capitán gene…</t>
  </si>
  <si>
    <t>González, Manuel</t>
  </si>
  <si>
    <t>Manuel González</t>
  </si>
  <si>
    <t>…1.) Castilla la N u e v a , é ignorándose la habitación en esta propósito que hacer comunes, con repetidas ediciones , los ex­ Real orden del ministerio de la Guerra para que por ningún corte del capitán de artillería retirado D. Manuel González celentes modelos de la buena poesía , de que abundó nuestra trib u n a l, justicia ni autoridad alguna se sentencie al servi­ Gaseo, se le da este aviso para que tan luego como llegue á su nación en el siglo xvi y principios del siguiente. Partiendo pues cio de las armas a reo algu…</t>
  </si>
  <si>
    <t>…n otro tiempo deoominábaisel de las declarar cesante con el sueldo que le corresponda por cla­ deber del soldado es la obediencia y la disciplina. rancias ideas revolucionarias , le llamáis hoy del progreso y de sificación á D. Manuel González B rabo, director general Mr. Doignon , Diputado de Tournai, reemplaza en la tri­ las Feformas. ¡A h , repetimos una y mil veces, cuánto mal ha­ de rentas provinciales, nom brando para que desempeñe buna al general W illm a r, y en su discurso, que duró mas de béis-causado en poco ti…</t>
  </si>
  <si>
    <t>González, Manuel Movillon</t>
  </si>
  <si>
    <t>Manuel Movillon González</t>
  </si>
  <si>
    <t>…registradas en este distrito en el mes Con fecha 27 del expresado raes de Abril me participa el de M 2rzo próximo pasado. PARTE RECIBIDO EN LA SECRETARIA DE ESTADO mismo Montesinos que las brigadas procedentes de Málaga que D. Manuel Movillon González, natural y vecino de A.lge- Y DEL DESPACHO DE LA GOBERNACION DE LA PENÍNSULA. debieron salir el día anterior para la venta de Elizalds, en la ciras y de su comercio , por sí y á nombre del teniente corone! que deben acuartelarse , no pudieron efectuarlo á causa de ha­ de…</t>
  </si>
  <si>
    <t>González, Maximiano</t>
  </si>
  <si>
    <t>Maximiano González</t>
  </si>
  <si>
    <t>…ectos , sin que por ini parte h aya habido mas novedad José M en cia, D. Ju an José Enrique , D. Ambrosio Laviano, gún efecto en la asamblea. que la de dos tiradores heridos de. sable, un caballo herido y D. Joaquín A sensio, D. Maximiano González, D. Ju an de Bruselas está tranquilo. {Debáis.) otro extraviado. Dios guarde á V. muchos años. Santibañez M ata Illaua, D. Cárlos Marrón y D. Antonio Tomé y O ndar- 27 de Marzo &lt;je í8 59.r:E l comandante general.nG aspar A n ­ r e ta , quienes por unanim idad declararon haber lug…</t>
  </si>
  <si>
    <t>González, Pablo</t>
  </si>
  <si>
    <t>Pablo González</t>
  </si>
  <si>
    <t>…érito, se han hecho acreedores ción ha tomado un aumento de 129,027 personas, habiendo dis­ añadiéndose que Estella iba á ser atacada. á igual premio que el anterior. minuido el número de indigentes en 4?959 , cuyo resultado D. Pablo González, de ocho años de edad , monitor de la debe sin duda atribuirse á la vigilancia con que se persigue la tercera clase, por su aplicación y mérito en los ramos de lectura falsa indigencia. en prosa y verso, calografía, aritm ética, doctrina cristiana, Se habla de un nuevo alboroto ent…</t>
  </si>
  <si>
    <t>…ito cui da do que requieren res á i gu a l premio que el anterior. &lt;-e Cit .3 e mb a j a da oficiales del estado m a y o r , literatos y p i n t o ­ los pocos anos de los a l u m n o s , se les enseña á sacar todo el p a r ­ D. Pablo González, de 8 años de edad, moni t or de la terce- res. (G a z ette.) tido de que es susceptible la organi zaci ón del hombre* r a cl as e, por su aplicación y mérito en los ramos de l ectura eu U l t i m a m e n t e , ha sabido c omb i ná r s e l o úti l con lo a g r a d a ­ prosa y vers…</t>
  </si>
  <si>
    <t>González, Pedro</t>
  </si>
  <si>
    <t>Pedro González</t>
  </si>
  <si>
    <t>…nte to­ de Agosto de 1 8 3 9 . ~ C a r r a m o li n a .= S r . gefe político de,. tros, he tenido á bien nom brar Senadores: por la pro­ da v ía no están mas que bosquejados, no obstante la im p o r ta n ­ vincia de Logroño á D. Pedro González V a llejo, arzobis­ cia que al parecer les d an la p a rticipació n mas ó menos re al, po electo de Toledo, y por la de Pontevedra á D. Joa* mas ó menos a c tiv a de lord J o h n H a y , y por consecuencia, PARTE RECIBIDO EN LA SECRETARIA DE ESTADO al menos en concepto de m u c h o s…</t>
  </si>
  <si>
    <t>…atedrático de arqueología en esta co rte, por D. F r a n ­ cena la aplaudida ópera, en dos actos, del maestro Ricci , ti­ cimientos ha echado en el anterior, y trata del delito. Da es­ tulada cisco B ermudez de Sotom ayor, y D. Pedro González M ate , te nombre á la in fr a cció n im pu table , capaz d e s e r e s t i - ambos aficionados al estudio de las antigüedades y coleccio­ U N ' A V V E N T U R A DI S C A R A M U C C IA . m ad a p o r la ju sticia humana e inevitable sin la sanción p e ­ nistas de m e d a lla s, pr…</t>
  </si>
  <si>
    <t>…e con motivo de la extinción de la junta del monte pió de Reales oficinas y su secretaría con­ L A D E G O L L A C IO N DE LO S INO CENTES. Por el presente convoco , llamo y emplazo á los parientes ac­ tuales del licenciado D. Pedro González O reltan a, presbítero, ta d u r ía , para continuación de goces, declaración de pensiones, liquidación y demas incidencias de este ramo por lo respectivo Desde que desaparecieron los autos sacramentales y las de­ cura que fue de la perroquial de esta villa , llamados al goce á emp…</t>
  </si>
  <si>
    <t>González, Prudencio</t>
  </si>
  <si>
    <t>Prudencio González</t>
  </si>
  <si>
    <t>…Pujol, y en loa hacer pago á los fondos públicos de caminos de 53359 rs. 8 demas puntos en las principales librerías; no se admiten sus­ Secretaría de la obra pia de Jerusalen.=La dirección de la maravedís que quedó á deber D. Prudencio González, de re­ cripciones. obra pia de los santos lugares de Jerusalen , en cumplimiento de sultas del arrendamiento que tuvo á su cargo del portazgo de lo mandado por Real orden, está decidida á remediar los da­ la Puerta de Hierro, se saca á pública subasta una casa sita en ños hech…</t>
  </si>
  <si>
    <t>González, Rafael</t>
  </si>
  <si>
    <t>Rafael González</t>
  </si>
  <si>
    <t>…eedor á cipe Real. Las esperanzas que entonces concibiera esta asociación no igual premio que el anterior. Se trata de marchar contra los Bibans para llegar á Setif, fueron á la verdad tan grandes que se arrojase á plantear á D. Rafael González, de cinco años de edad , número pri­ par* estar de este modo continuamente en comunicación con toda costa tan ventajoso establecimiento, sin que previamente mero de la tercera clase , por su aplicación y mérito en leer eri Constantina. Ultimamente parece estarse decidido á dirigirse…</t>
  </si>
  <si>
    <t>González, Ramón</t>
  </si>
  <si>
    <t>Ramón González</t>
  </si>
  <si>
    <t>…tido. Acaso se han pro­ de la Mata , vacante por no haber tomado posesión de ella Don vamente el partido parlamentario. Esto es una ficción en la cual nunciado palabras imprudentes en un lado de la Cámara e n el Pedro Perez, á D. Ramón González que la desempeña in te r i­ no puede e n t r a r la C á m a ra , porque n ingun a fracción de la que no tengo el honor de sentarme; pero es preciso tener cuenta namente. Cámara tiene derecho á llamarse mas parlamentaria que la otra: con las circunstancias, y la lucha p roongada en vir…</t>
  </si>
  <si>
    <t>González, Ricardo</t>
  </si>
  <si>
    <t>Ricardo González</t>
  </si>
  <si>
    <t>…rería de Boix, calle CRUZ. Hoy no hay función. de C arretas, núm. 8 , y en las principales librerías del reino y administraciones de correos. N U EVOS elementos de patología general, dispuestos para uso de las escuelas, por D. Ricardo González M uzquiz, doc­ Precio de suscripción: M adrid 20 rs. por trimestre,y 28 en las provincias franco de porte.</t>
  </si>
  <si>
    <t>González, Senador</t>
  </si>
  <si>
    <t>Senador González</t>
  </si>
  <si>
    <t>…ibertad se esconda la tiranía, mucho mas temible que si se bernación, lejos de ser cuantiosos como se ha dicho. manos de sangre. presentase como es en sí, porque para aquella siempre hay en Con este motivo ha recomendado el Sr. Senador González al El Sr. P R E S ID E N T E interrumpió al orador manifestando defensa de la libertad corazones bien templados; pero para con- Gobierno la centralización de fondos. Punto grave es este so­ que no consentiría que nadie se atreviese á calificar de esa ma­ trarestar á la tiranía ocul…</t>
  </si>
  <si>
    <t>González, Serafina</t>
  </si>
  <si>
    <t>Serafina González</t>
  </si>
  <si>
    <t>…ando el prisionero habia sido to­ de D.hija de D. Tomas Onofre: Doña Tomasa Almarza , viuda Miguel de Vidarreta y Echegaray : D. Vicente Rodrí­ mado como sospechoso de haber causado la muerte. Que guez, en representación de Doña Serafina González: D. Ma­ habiendo acabado de pasar la visita de juez en aquel con­ nuel Ribera , heredero de Doña Josefa Correa: Doña María GALERÍA DRAMÁTICA. dado (l), si él se hubiera entregado al magistrado como Leocadia Salgado, hija de D. Mateo: D. Ramón Ortigosa, causador de aquella muerte, a…</t>
  </si>
  <si>
    <t>Goozalez, Doña Josefa Vargas de Azcuénaga.zzManuel</t>
  </si>
  <si>
    <t>Doña Josefa Vargas de Azcuénaga.zzManuel Goozalez</t>
  </si>
  <si>
    <t>…da causa del rey selvático. (Diario mercantil.) mores se han exagerado mas que cuando menos podían te­ me dado sobre los exámenes hechos en la academia que dirige merse; y nunca la alarma y las mas funestas invenciones la Sra. Doña Josefa Vargas de Azcuénaga.zzManuel Goozalez se ham llevado tan al extremo. del Valle, secretario. Idem 24. En este estado, el Gobierno que fia gustoso el juicio Sr. presidente de la sección de educacion.=Nombrados por de sus actos á la razón y la templanza de todos los hombres V. S. para p…</t>
  </si>
  <si>
    <t>Gor</t>
  </si>
  <si>
    <t>…Santón ja. Sr. Guadalcjara. Salamanca. Almería. Sr. D. José Muñoz Maldonado. Sr. D. Joaquin de Vilches. Sr. D. Santos López Pelegrin. Sr. D. Manuel José Perez. Sr. D. José Salamanca. Sr. D. Manuel Hidalgo Calvo. Sr. duque de Gor, Vicepresidente 2.° Sr. conde de las Navas. Sr. D. Miguel Chacón y D uran. Guipúzcoa. Sr. D. José Sánchez de la Fuente. Sr. D. José Jover. Sr. D. Miguel Antonio de Zumalacarregui. Sr. D. José Agustín Cañavate. Sr. D. Agustín de Larramendi. Santander. Avila. Huelva. Sr. D. Felipe Gómez Acebo…</t>
  </si>
  <si>
    <t>…to eo bleza que hoy se ha perdido con no poca influencia en la Secretario.—Sr. D. Ramón Mesonero y Romanos. francés por L. Sebastian-le-Normand , profesor de ciencias desm oralización de los mineros. Yocales.zzExcmo, Sr. duque de Gor. físico-químicas aplicadas á las artes. Traducido al castellano La ordenanza actual quiere por el contrario que se Sr. D. Andrés Caballero. Prospecto. Pocas o ninguna obra existe hasta el presente m idan los terrenos lo m ism o en el centro que en la su ­ Sr. D . Francisco Travesedo. para norma…</t>
  </si>
  <si>
    <t>…os en que manifiesta haber acordado este hallarse pron­ greso de mucho respeto y veneración, no se han alegado razo­ titución, ¿cómo pues se interpreta de ese modo? El Sr. Carra- to á contestar á la interpelación del Sr. duque de Gor sobre la nes, no hay pues, motivos para que dejemos de interpretar el molino ha citado lo que dijo este señor y lo que dijo el otro; fuerza del ejército de Reserva y el número de raciones que sacó art. 45 de la Constitución, como lo hemos interpretado hasta estos son argumentos que nada prueba…</t>
  </si>
  <si>
    <t>…dos los abusos que existen si misma provincia y debía quedar sujeto á reelección : ahora in ­ por un medio ó por otro no llegan á su noticia. siste en su primer dictámen y por ello opina que el Congreso Al hacer el Sr. duque de Gor su interpelación, ha manifes­ debe acordarlo asi. MADRID 5 DE ENERO. tado una porción de datos, y habiéndomelos mostrado S. S ., El Sr. M U R O : Ya se considere el art, 45 Je la Constitu­ puedo asegurar que el número de raciones que se están dando ción en su objeto ó en su espíritu , el Sr. V…</t>
  </si>
  <si>
    <t>…esta ne­ fuerza de reglamento á los 13 miserables regim ientos de caba­ greso , la aprobación dada á la enm ienda propuesta por el señor cesidad , á pesar de no haber calculado las necesidades de una llería que existen. duque de Gor ha destruido todo el proyecto , y por consi­ guerra y de una guerra tan extraordinaria. Los caballos que V arias son las causas que han concurrido en un deterioro guiente el Gobierno se ve en la precisión de retirarle , sin que ella produjo aum entaron nuestras fuerzas en el espacio de seis ta…</t>
  </si>
  <si>
    <t>…aquellos nitivamente establecida el 1 .° de Julio próximo. M adrid 25 de se somete á sus mandatos, aunque sea la víctima ; pero si nos gastos , pudiese ser mayor el número de escuelas. Para conse­ Junio de l859.z=J. El duque de Gor, presidente.—Mateo Seoa- mostrásemos insensibles á sus padecimientos, ¿no contribuiría­ guir este último resultado, el principal á que se han dirigido ue , secretario general. mos á que hollase con sus plantas la injusta ley hum ana que le las tareas de la ju n ta , se ocupó por largo tiempo e…</t>
  </si>
  <si>
    <t>Gordon</t>
  </si>
  <si>
    <t>…al nombre á cuantos tuvie­ :ado én Junio de 1805 con lady Georgina Gordon, quinta Estado demostrativo de las fincas que la junta ha adjudicado ron parte en él, y que el capitán general proponga las recom­ bija del cuarto duque de Gordon, que le ha sobrevivido, ha en dicho mes á los mejores postores, según los resultados de pensas que contemple de justicia con arreglo á la instrucción lejado 10 hijos. El difunto duque era duque y conde de Bed­ los remates, comprendiéndose también el total de los meses vigente. anteriores, seg…</t>
  </si>
  <si>
    <t>Gordon, José</t>
  </si>
  <si>
    <t>José Gordon</t>
  </si>
  <si>
    <t>…ras tropas un soldado muerto y naon Zalduendo, juez de primera instancia de Lorca, y para ros que conducen materiales; compra de estos y 10 heridos, siendo de mayor consideración la pérdida del ene- este juzgado de término , á D. José Gordon, juez de Tarrago- de útiles, saca y labra de la cantería, todo para migo , pues solo dejó ocho cadáveres en el campo , y retiró á la accediendo á su solicitud. el puente del Guadalhullon 27,092. . 18 vista de nuestras tropas 30 heridea. Collado de Manga de Lobo, PARTE RECIBIDO EN LA S…</t>
  </si>
  <si>
    <t>Gornez, José</t>
  </si>
  <si>
    <t>José Gornez</t>
  </si>
  <si>
    <t>…3.° PARTE NO OFICIAL. jico ha experimentado otras hostilidades: se tem ian en Buenos A ir e s , y no es fácil pronosticar con seguridad cuál será el té r ­ ligero á las órdenes del teniente graduado de cap itán del m is­ mo D. José Gornez , que se destacó á cargar su retagu a rd ia, mino de la guerra del Perú, ¡ Q uiera el cielo alejar de aquellas repúblicas, hermanas y am igas nuestras, los tristes males de tan logró apresarle nueve caballos , cinco arm as y otros efectos. NOTICIAS EXTRANGERAS. funesto azote, y hacer qu…</t>
  </si>
  <si>
    <t>Gornez, YValdo</t>
  </si>
  <si>
    <t>YValdo Gornez</t>
  </si>
  <si>
    <t>…i n a G o b e r n a ­ el parte se me pasó poner en el superior conocimiento de V. E. D. José M artín ez, titulado cirujano del regimiento infantería q u e, ademas de los ocho individuos que aprehendí, les lomé 2.° de línea ; D. YValdo Gornez , subteniente del regimiento i n ­ d o r a y la Serraa. Sra. Infanta Doña María Luisa Fernan­ también varias arm as, objetos de los destinados al culto d i v i­ fantería de A m érica, 14 de línea; Miguel Antonio Pozoseco, da, continúan en esta corte sin novedad en su importante no roba…</t>
  </si>
  <si>
    <t>Gosse</t>
  </si>
  <si>
    <t>…los á quienes á él se cado 48 OO hombres. {Id.) ta indemnización en metálico. condena. lié aqui el por qué no gusto del sistema de Auburn. lié aquí en pocas palabras la historia exterior de la D ina­ Creo también cora el doctor Gosse, que la soledad continua marca bajo el reinado de Federico vr. Sus resultados son la pér­ agrava por necesidad ios efectos de la reclusión era el cuerpo y dida de una provincia proporcionaimeote muy importante, y ea el alma ; que influye poderosamente era el desarrollo de los MADRID 22 DE D…</t>
  </si>
  <si>
    <t>Gourgaud</t>
  </si>
  <si>
    <t>…­ El Diario de Módena dice que la duquesa de Berry ha á la antigua guardia imperial. Presidió la tnesa del banquete el lo ó escuelas de párvulos. (Id.) llegado á aquella ciudad el 26 de Noviembre por la noche, y teniente general Gourgaud, antiguo ayudante de campo de N a ­ Real decreto para que la redacción del presupuesto general de que ha asistido á la opera con la familia del duque, volviendo poleón, teniendo á su lado á los generales Fautin des Odoards los gastos del Estado, y la del plan de contribuciones para á partir…</t>
  </si>
  <si>
    <t>Goya, Francisco</t>
  </si>
  <si>
    <t>Francisco Goya</t>
  </si>
  <si>
    <t>…, 20 trece diesiseisavos Número de personas ahogadas en cada año t d e los barcos ventados y grabados a l ag u a fuerte con aguadas de resina por con cupones al contado: 2 0 ^ , 21 ün dieziseisavo, 21 y 2 1 ^ á ■mencionados, D. Francisco Goya. v. f. ó vol. y firm e: 2 0| y 2 H á v. f. ó vol. y firme á prima Su dimensión arreglada al grabado es de ocho p ulgadas de de i y | por 100 cor* cupones. 1 8 1 6 ... 945 1 8 5 5 .............. 572 Inscripciones en el gran libro á 4 p or 100 , 00é alto y cinco pulgadas y seis líne…</t>
  </si>
  <si>
    <t>Goñi</t>
  </si>
  <si>
    <t>…in t o r , decía en su aflicción: “ Estoy en R o­ esta m a ñ a n a desde la carretera de O rd u ñ a para la de D u ra n g o PINTO RES CO ESPAÑOL. m a ; pero me parece no estarlo desde que mi pobre Rafael no el titu lad o general Goñi , y se aseguraba á su paso que iba para existe.” M a non m i pare esser á Roma , perche non v i e piu N a v a rra á tom ar el mando de una división. E N TRE G A 15 DE LA SEGUNDA SERTE, 11 mió poveretto RaffaeloV... El mismo León x vertió lágrim as Zavala , de cuyo paradero nadie daba razón d u…</t>
  </si>
  <si>
    <t>…sa de elevan sobre el horizonte á la salida del s o l, y por la afluencia pasado estos dias á ocupar su anterior acantonamiento del Ber­ los Sres. suscriplores, de 6 rs. al mes; y 8 para las provincias ro». El titulado general Goñi se halla en Balmaseda ; y por lo franco de porte. Los números sueltos se venderán á 4 rs. de gentes y ganados que se ven andar por los caminos hacia ei demas ni hacia la parte del confín de esta provincia con la de portal de Be ten, se ha dispuesto enriquecer este cuadro ha­ Se suscribe en Ma…</t>
  </si>
  <si>
    <t>Goñi, Francisco</t>
  </si>
  <si>
    <t>Francisco Goñi</t>
  </si>
  <si>
    <t>…hacerlo les parará entero perjuicio la sustancia- res no solo que le representasen cosas agradables, sino que cuencia. cion del sumario. hubiese orden y verosim ilitud en los lances é incidentes. Asimismo se cita y emplaza á D. Francisco Goñi para que ¿Por qué nos representa en m uchas de sus comedias á en el término preciso de tres dias se presente á proponer sus de­ H abia pasado la época de Ju a n de la Cueva y de Yirues, las herm anas celosas unas de otras, y tratándose con tan fensas en la causa que se sigue sobre…</t>
  </si>
  <si>
    <t>Goñi, José Antonio Olalde y D. Francisco</t>
  </si>
  <si>
    <t>José Antonio Olalde y D. Francisco Goñi</t>
  </si>
  <si>
    <t>…aciones y delitos que, siendo ciertos, vincia se cita y em plaza, por tercero y último término de deducción del 8 por 100 mandado rebajar el año común del les harían tanto mas dignos de ejemplar castigo, cuanto nueve dias , á D. José Antonio Olalde y D. Francisco Goñi producto.que en los tres trascurridos desde 1.° de Marzo Je que reunirían á la vez las feas notas de infieles al Estado para que se presenten en cualquiera de las cárceles de esta 1855 á fin de Febrero de 1858 han ofrecido á la Hacienda pú­ que los mantiene,…</t>
  </si>
  <si>
    <t>Gra</t>
  </si>
  <si>
    <t>…n la que coasignán- Pasó en seguida á hacerse cargo de las observaciones expues­ tículo de una ley que pende en el Congreso. H e dich o que el ty 6 e abonarse á los pueblos y particulares las sumas que tas por él Sr. Ministro de Gra cia y J us tic ia , m an if estan do que artículo de esa ley, citado por mí, versa sobre que se abone á lo; íesen adelantadas por diezmo solo, se les descontó en p ro- la cuestión que debía ventilarse era la de que habiendo satisfecho pueblos la diferencia que puede haber entr e la can tid ad q…</t>
  </si>
  <si>
    <t>…con cuantas sino de un hecho particular. 9 El Sr. P R E S I D E N T E : E l Sr. Cortázar tiene la palabra noticias hubiere. (El Sr. Pascual vuelve á hacer la misma in d i­ D ij e al principio que desearía que el Sr. Ministro de Gra­ «tediante al acuerdo hecho ayer por el Congreso. cación.) Es la voluntad de S. M . que la presente resolución se cia y Ju s t ic ia concurriese á la sesión porque veo enlazados has­ E l Sr. C O R T A Z A R : Señ ores, deber uno es ante todas co­ comunique por medio de circulares á los jueces…</t>
  </si>
  <si>
    <t>…ro de M A R IN A dice que la mayor parte de ticia deben decidir, h ay otras puramente gubernativas, y*.al­ por circunstancias particulares de un pueblo, no señores*- se los buques e^tan en Barcelona , y que el capitán general de Gra­ gun as para las cuales será necesaria la intervención del poder trata de si hemos de ver tranquilos, si hemos de estar mudos nada no los tiene. Que el Gobierno ha dispuesto que se armen legislativo. al contemplar que la monarquía se desmorona. dos fragatas en el Ferrol, y que el Sr. Ministro…</t>
  </si>
  <si>
    <t>…la sesión á las cinco y cuarto. Bilbao, 1| d. V alen cia, £ d. s.is políticas; los medios de evitarlos son esos. No entraré tam - C ádiz, ¿ din. id. Z aragoza, 1£ id. pnco á contestar á las inculpaciones del capitán general de Gra­ nada ; solo diré que no las creo justas ni merecidas; pero tengo Descuento de le tra s, á 6 por 100 al año. entendido que las sublevaciones han sido en unos mismos dias. MADRID 1 9 DE ENERO. líe dicho esto, porque no es cuestión política; el males gra ve ; pero no tanto como se cree; el Gob…</t>
  </si>
  <si>
    <t>…xa­ taciones dadas respecto á cada uno de ellos. nada en Sarriod, cuya fortificación se estaba concluyendo. mina la legalidad de las elecciones y la calidad de los individuos Los Sres. Diputados recordarán que el Sr. Ministro de Gra­ que le componen , el Senado no podia examinar la legalidad de cia y Justicia dió principio á su discurso respondiendo en pri­ las elecciones de Huelva por la razón sencilla de que le falta­ mer lugar á lo que el Sr. González Alonso habia dicho; en se­ El brigadier segundo cabo de Valencia en…</t>
  </si>
  <si>
    <t>Grabbe</t>
  </si>
  <si>
    <t>…amente por lucro El Emperador ha remitido las insignias del orden de San mercantil.” Menester es enviar á esos señores á la escuela para Señora: Los gefes, oficiales y demas individuos del regi­ cito Alejandro Newski al general Grabbe , general en gefe del ejér­ estudiar mejor la historia, la del último medio siglo sobre todo. del Cáucaso. Un periódico, volviendo al asunto de la Nueva Zelanda* miento provincial de Monterrey P. A L. R. P. de V. M. tie­ afirma, según la narración de un viajero, que nuestro compa-! nen el…</t>
  </si>
  <si>
    <t>…uienes consulta vos. {Id.) siempre que quiere dar un golpe de importancia á sus enemi­ B asilea 19 d e N oviembre. g o s; pero que le repugna mucho dar á sus guerreros una orga­ nización m ilitar á la europea. El teniente general Grabbe , que Los Representantes de la Dieta habian invitado al consejo manda ea gefe el ejército delCáucaso , ha mandado á todos sus de estado del Alto Valais a reponer en sus funciones de inten­ NOTICIAS NACIONALES. coiacos que se retiren á las fortalezas y á tos campamentos dente de la junta al ab…</t>
  </si>
  <si>
    <t>GRACI</t>
  </si>
  <si>
    <t>…ase como el Congreso no se ha descuidado en nada. Dice el conde tución. Yo voy á probar que semejante infracción no existe. relativamente al arresto del Diputado de Cleonard en sus contestaciones al Gobierno, El Sr. Ministro de GRACI \ Y JUSTICIA: Lo que he d i­ Dice el artículo: {Lo leyó.) Alvarez: « L a rebelión cho en mi discurso no ha sido de ninguna manera para hacer El sr. Diputado Alvarez fue hallado infraganti , luego continúa v iv a , aun después de haberse reasumido 1a autori­ dad. Quiere decir que el conde de…</t>
  </si>
  <si>
    <t>GRACIA</t>
  </si>
  <si>
    <t>…s quiere base, que el Gobierno utilizando las doctrinas y opiniones, res­ gunos. ilustrar: una cosa es la que no se quiere, y otra lo que no se pectivamente manifestadas por medio de la tribuna y de la preu. El vSr. Ministro de GRACIA Y JUSTICIA : Al Gobierno puede ni se debe. Sabe S. S. que esto es una verdad, y lo digo sa , acerca del nombramiento, elección ó designación de los con- ¡ no le es bastante conocida todavía la idea del Sr. Mendizabal: con tanta mas confianza, cuanto que S. S. ha estado en estos ban­ cejales…</t>
  </si>
  <si>
    <t>…o que el se- ' actas de sos juntas, y tanto el uno como el otro cuerpo proce­ ñor Mosoeno de Altomiira hubiese admitido, no ®e ustabu cu e l ' derán á nombrar ©tras cinco iodiiidnos para que formen k 00- . CWr El Sr. Ministro de GRACIA Y JUSTJOA; SeSores, tttre caso.' ále sa jetársele i reelección. i misan t cesando ks primer©* ma este, eacargob ayer el honor de decir si Congreso, y hoy r e p e t ir é $u.e «• El Sr», GONZALEZ expone que 1© mus aeurtndo seria que I -Si Umjmoe IhuMere amyoria cmlie loa i® ¡mUriduos de esta,…</t>
  </si>
  <si>
    <t>…pero que el Sr. Ministro, dan­ contribuciones sin haber autorización para cobrarlas...... bres de buena fé. Esto ha sido , señores , lo que me ha hecho* do una prueba de patriotismo y generosidad, haga esa ex­ El Sr. Ministro de GRACIA Y JUSTICIA : Me parece que pedir la palabra, y ha hecho expresarme en los términos que plicación. no es esa la cuestión que nos ocupa. De fueros se trata hoy. el Congreso ha oido. La causa constitucional nadie puede El Sr. Ministro de GRACIA Y JUSTICIA: El Sr. Quinto El Sr. OLOZAGA: Cuando…</t>
  </si>
  <si>
    <t>…ra sido por el deseo ria atacada , y podría muy bien sostenerse esta con los fueros. dicho al Sr. Sancho: "ahora no se puede formular el principio; que Eltodos teníamos de ver terminada felizmente esta cuestión. Sr. Ministro de GRACIA Y JUSTICIA : El Sr. con­ H oy, hoy, hoy cuando mi buena fe ha sido sorprendida, pero se consignará á su tiempo, cuando entremos en la discu­ de de las Navas no ha entendido, como creia , mi discurso : en h &gt;y cuando después de las alegres emanaciones de ese placer sión del proyecto de la mi…</t>
  </si>
  <si>
    <t>Gracia</t>
  </si>
  <si>
    <t>…de !a exac­ sido comunicada la orden ni al interesado ni al tribunal. El Sr. Castro es víis tin to ; no se apele* ál ingenio , no á las titud de cuanto ha manifestado el Sr. Pelegrin, se ha olvidado El Sr. Castro era Ministro de Gracia* v Justicia en 6 de sutilezas, sino á la búena fe, al sentido cotnun, al recto enten­ de una circunstancia de la que no se ha hecho cargo ; y esta es Setiembre del ano anterior, en cuyo dia S. M, tuvó á bien ad­ dimiento de todos los Sres. Diputados, p#ra que digan si se que en el Real decret…</t>
  </si>
  <si>
    <t>…pinión que tuve, puesto que cho. Yo dudé ayer de si el Sr. Zea, después de lo que oí al se­ titución.... yo no sé si hubo unanimidad en la comisión. ñor ministro de Estado, habia tenido ó no misión en el viaje El Sr. Ministro de GRACIA Y JUSTICIA: Pido la pala­ El Sr. ministro de GRACIA Y JUSTICIA : Lo que yo di­ que ha hecho á Alemania. S. S. ha insistido en una negativa bra para una aclaración. je en aquella sesión, eu el punto relativo á la oportunidad para completa; y yo, concediendo esa negativa que hizo ayer el señor…</t>
  </si>
  <si>
    <t>…recido tanto, pero tampoco le El Sr. O LOZAG A: Con mucho gusto: me siento para eso. que debe impedir la expendiclon del periódico, y está sometido ha faltado del todo. Todo el mundo sabe cómo queda la guerra, El Sr. Ministro de GRACIA Y JU ST IC IA : La falta del para examinar si será ó no perjudicial al orden público, y en­ hasta dónde se ha adelantado, cuando los individuos del Ga­ Sr. A laix ; se ha dicho. Ha asistido , corno ha visto el Congre­ tonces está facultada pór la ley para retenerlo. Llámese eso binete vuelv…</t>
  </si>
  <si>
    <t>Graells, Mariano de la Paz</t>
  </si>
  <si>
    <t>Mariano de la Paz Graells</t>
  </si>
  <si>
    <t>…do contrario cuando la voz desciende. mica y farmacia del colegio de Pam plona, auxiliado por los ciabíe ventaja se encuentra mucho mérito en las notas , porque Tales son los principales medios empleados para hacer con­ Sres. D. Mariano de la Paz Graells, catedrático de zoología en aprovechando la incidencia de iguales materias tratadas por fi­ cordar las vibraciones del tubo vocal con las de la glotis; pero la academia de Ciencias naturales de Madrid , y D. José Camps, lósofos célebres, manifiesta la conformidad de sus op…</t>
  </si>
  <si>
    <t>Gragera, Rafael</t>
  </si>
  <si>
    <t>Rafael Gragera</t>
  </si>
  <si>
    <t>…a es­ santa iglesia catedral se denunciaron ante el Sr. alcalde prime­ Selma, de este hermoso cuadro está grabada por D. Fernando con aquella maestría que se descubre en todas las obras LA ST R A N IER A , ro constitucional D. Rafael Gragera como injuriosos y ofensivos esmeradas de este distinguido artista, quien supo conservar en que será exornada en trajes, decoraciones y acompañamientos al buen concepto y opínion de aquella corporación, los artícu­ esta la gracia y ternura que constituyen el carácter peculiar de los…</t>
  </si>
  <si>
    <t>Granada</t>
  </si>
  <si>
    <t>…berlo verificado, bajo el su­ te del bloqueo, llegó efectivamente ¿ Málaga, según parte del principiar los trabajos de la carretera de Motril el dia 2 del puesto de que quedara suspenso de empleo el gefe que lo capitán general de Granada, llevando á su bordo 8 4 rebeldes, próximo mes, provistas de las herramientas necesarias que ya consintiere y el contador que lo tolerase. De Real orden entre ellos seis titulados oficiales, habiendo saltado en tierra 59 ha proporcionado el ingeniero D. Elías Aquino. lo digo á Y. S. para su…</t>
  </si>
  <si>
    <t>…RECIBIDO EN LA SECRETARIA DE ESTADO \ de Trípoli quedarán bajo la dominación de la Puerta. Francia que quisiera conquistar toda la costa mediterránea de j 1 ♦ Y DEL DESPACHO DE LA G U E R R A . A frica. El capitán general de Granada dice con fecha 24 del ante­ | El doctor M r. Eusehio de Salles, orientalista distinguido, El M orn in g Post sostiene que h ay datos positivos sobre el r i o r , que habiendo solicitado el alcalde de A lc au c í» del coman­ ha llegado el miércoles de Constantinopla en el buque de v a­ proy…</t>
  </si>
  <si>
    <t>…favor de los expresados cuerpos provinciales las dispo­ cómo de Real orden lo ejecuto, á fin de que se sirva dis­ de la puerta de Arenas, siciones contenidas en el proyecto de decreto que adjunto poner que el capitán general de Granada proporcione los Me he puesto también de acuerdo con el director ge­ tengo la honra de presentar por acuerdo del Consejo de 500 soldados que deben distribuirse en las dos carreteras, neral de presidios sobre el modo de reunir sucesivamente Ministros , por si mereciese la aprobación de Y, M.…</t>
  </si>
  <si>
    <t>…y teniéndoles que hacer saber el contenido de un des­ des contra la Hacienda pública. Las secciones tercera y cuarta El Sr. Z A R C O D E L V A L L E : Señores, ocioso parecerá pacho librado por el Excmo. Sr. capitán general de Granada, decían 110 ser útil y oportuna. empeñar la discusión sobre la totalidad del proyecto sometido se les da este aviso para que tan pronto como llegué á su noti­ El Sr. P R E S I D E N T E : Coa arreglo al reglamento va á ha­ á nuestro exámen , pues desde luego puede presagiarse que el c i a…</t>
  </si>
  <si>
    <t>…jército se com ponian de h ag o s, viciosos y mal entretenidos recogidos en las levas, Se ha señalado definitivamente el viernes 9 del corriente de jóvenes reclutados por las partidas de b a n d e r a , y de El capitán general de Granada con fecha 7 del actual dice para la salida del duque de Orleans, con motivo del viaje que la clase mas m iserable del estado, en quien venia á recaer que teniendo formada en la plaza de Andújar el teniente Don debe hacer al Mediodía de la Francia. La duquesa de Orleans en las quintas la suer…</t>
  </si>
  <si>
    <t>…la manera con que están razonadas continuasen los presidiarios. En tal estado, y á los pocos meses D estruida esta d ific u ltad , en la ley no h ay mas que una estas cuentas. de practicada esta operación, el capitán general de Granada se cuestión que puede d iv id irn o s, que es la del nombramiento de D ije ayer que para esta obra se habían destinado 7003 rea­ llevó el presidio, y quedaron los caminos sin poder continuar. los alcaldes:- en esto será lo que podrá ofrecer algunos incon­ les, previo presupuesto que se h…</t>
  </si>
  <si>
    <t>…d del Gobierno español, si se ha pasado orden para que prom etió? Tampoco. ¿Podemos de c ir: la empresa puede con­ si el asunto grave que le motiva , la trascendencia que en sí haya buques disponibles* ó si el espitan general de Granada tin u a r en sus obras? Tampoco podemos hacerlo. El Gobierno, tiene, y las circunstancias particulares del territorio á que se cuaudo el suceso de Alhucemas tuvo que pedir favor á un bu­ que tiene todos los datos convenientes para ilustrar esta cuestión refiere, no rtye hubieran obligado á…</t>
  </si>
  <si>
    <t>…ndo del mando de capitán general de A nda­ Almenara 10 de Diciembre. lucía al teniente general D. José Carratalá. (Núm. 1858.) Ayer á las tres de la tarde entró la brigada de reserva en I _ relevando de la capitanía general de Granada al teniente El buque correo número 1.° de la empresa de los de la H a- I general D. Antonio María Alvarez. (Id.) M urviedro, en donde se hallaba preparado un convoy de mu­ I baña, saldrá del puerto de Cádiz el dia 2 de Enero del próximo I .... nombrando capitán general de Andalucía al mar…</t>
  </si>
  <si>
    <t>…ELO; pensa que la comisión propone, porque siendo 1509 los solda­ hacerle saber el contenido de cierto despacho librado por el E x­ dos que, según un cálculo aproximado, la obtendrán, y I 44 O celentísimo Sr. capitán general de Granada. drama en dos actos, que tan aplaudido ha sido en sus anterio­ reales los que se han de dar á cada uno de ellos, resulta que la res representaciones, y en el que desempeña la parte de pro­ cantidad que habrá que destinar para este objeto será la de tagonista el primer actor D. José García…</t>
  </si>
  <si>
    <t>…de espesor con una luz de 40 pies. tismo con frecuentes recuerdos y mayor trabajo de las El tránsito de Bailen á Menjivar, único trozo que fal­ oficinas, que á menudo deben presentar ¿ V. S. pruebas ta para El capitán general de Granada, en comunicación de 25 del de sus tareas incesantes y relaciones de descubiertos, des­ Granada que esté corriente la carretera desde esa corte á actual , se mejora mucho su estado; y si se pudiese dar del velachero desde Málaga , da parte á este ministerio que el patrón pués de haber cump…</t>
  </si>
  <si>
    <t>…os periódico una contestación dada por dicho señor, le hizo saber 1.a Que sustituye á la regla I4 del art. 51. cinco ministros el mas antiguo de los que asistieron á la vista. que era auditor de guerra de la capitanía general de Granada,; La sentencia definitiva será notificada á estas inmediata­ 5.a Para hacer sentencia en las causas de que tratan las dos y habiendo examinado la Guia del presente añ o, ha confirma- mente, y apelen ó no, se remitirán desde luego los autos ori­ disposiciones anteriores, bastarán tres votos…</t>
  </si>
  <si>
    <t>Granada, Marcos de Aras</t>
  </si>
  <si>
    <t>Marcos de Aras Granada</t>
  </si>
  <si>
    <t>…ente mienda el valor de las tropas que lo ejecutaron , y en particu­ Con fecha 50 de Marzo último me dice el gefe político de el tiempo que mereciese la confianza de la Cámara de los Co­ lar la serenidad del comandante graduado D Marcos de Aras Granada que el dia 2 del presente mes marcharán las brigadas munes (&lt;aplausos ), creo de mi deber, sin dejar este encargo á y el atrevido arrojo de su ayudante D. Toribio A nistegui. organizadas de aquel presidio peninsular á principiar los tra­ cualquiera honorable individuo que no p…</t>
  </si>
  <si>
    <t>Grandallana, Francisco</t>
  </si>
  <si>
    <t>Francisco Grandallana</t>
  </si>
  <si>
    <t>…lera. = José Antonio Gallardo. = Rafael Sebastian. portante salud. yentes, y por m í , J u a n Abalet.—Manuel Ulioa.rzCooso apode­ Cecilio Galera Maregosa , secretario. rado del conde de Cervellon, de D. Pedro Castañeda, de Don Francisco Grandallana , de varios otros contribuyentes, y por m í , Yicente Maestre.=Isidro Guija.=José Campon. = Fernando EXPOSICIONES A S. M. LA REINA GOBERNADORA. García Becerra. = Pedro de M ora.—José de Obando y Porres. =z PARTE NO OFICIAL. M anuel Martínez. = Como apoderado del marques de C…</t>
  </si>
  <si>
    <t>Grande, María Isabel</t>
  </si>
  <si>
    <t>María Isabel Grande</t>
  </si>
  <si>
    <t>…bellísimo ro - núm. 46, y de la Cruz del Espíritu Santo, núm. 51 , per- i y emborracharse. No basta que un suceso sea probable, mance que arrancó repetidos aplausos, á cuya lectura hizo pre­ tenecientes á la testamentaría de Doña María Isabel Grande, para que se inserte en esta clase de novelas: es menester ceder un elegante y erudito discurso sobre la historia, vicisi­ cuya Octubre subasta se anunció en el Diario y Gaceta de 15 y 17 de último , han señalado los Sres. D. Tomas Pacheco que sea conforme á las costumbres de…</t>
  </si>
  <si>
    <t>Granville</t>
  </si>
  <si>
    <t>N.° 1813. DOMINGO 27 DE OCTUBRE DE 1839. d ie z c u a r t o s . PARTE OFICIAL. El conde de Granville, embajador en la corte de las Tulle- ruaje en que iba el Rey acompañado de la Reina y la princesa rías, debe partir el 15 de Londres para Paris. Adelaida , acababa de llegar á la inmediación de las verjas del jardín sobre el muelle de las Fullerías una piedra gruesa ar­ rojada con viole…</t>
  </si>
  <si>
    <t>Grasas, Calvet.</t>
  </si>
  <si>
    <t>Calvet. Grasas</t>
  </si>
  <si>
    <t>….................. 4,899 5 12 del tercer acto. Total.............. 574,461 6 2 2.° Cavatina del Saladino; por la señorita Toledano. Total 895,959 5 29 5.° Tercetto de la V estal; por las Sras. Lema y Colomer y Peletería. el Sr. Calvet. Grasas. 4.0 Dúo de arpa y piano; por las señoritas Jardín y Botas y borceguíes.................. • .................. 5,696 Rodajo. Aceite de pescado.. . .................................... 2 089 2 17 Cueros de res al pelo................ ................... 26,675 6 7- 5.° Introducción d…</t>
  </si>
  <si>
    <t>Gre</t>
  </si>
  <si>
    <t>…pensión propuesta para la plaza de director espiritual , por Real or­ &lt; 2.a Los elegidos deberán solo tener la edad de 18 de que gozaba sobre aquella mitra el suprimido seminario den de 22 de Febrero S. M. se sirvió nombrar á D. Gre­ á 20 años, conocer lamedura, escritura y aritmética como cristino. gorio Sanz de Villavieja, Vocal de la misma dirección, debe conocerlas un mediano maestro de primeras letras, 8.a Que del sobrante de la misma Jetra se entreguen obispo electo y canónigo de Valencia. con algunos rudimentos de…</t>
  </si>
  <si>
    <t>…da.................... 2.674,287..5£ blicación de este anuncio en la Gaceta, á todos los que se crean E n tre g a de SETIEMBRE de 1839. -------------------- 20.471,102..4I acreedores á los bienes quedados por fallecimiento de D. Gre­ gorio y D. Carlos de la Vega, vecinos que fueron de esta corte, Se halla á 3 rs. tanto en rama como en rústica en el Diferencia entre la importación y exporta­ para que dentro del referido término acudan á deducir sus re­ ción. Ps. fs...........................................................…</t>
  </si>
  <si>
    <t>Grego-</t>
  </si>
  <si>
    <t>…sas 2o p. arcia : Jacinto Ibañez: D. Mariano Adán: D. Loren- dia el Senado mandar se lleve á efecto la suspensión de dichos reclamaciones que hubo por haberse disuelto el dia 17. ii p rra: Luis Igartuburu: D. Benito Picardo: D. Grego- proyectos de ley ó reglamento, conforme lo acordó en la legis­ Que no habiendo llegado á noticia de aquellos electores su atabal: IX Pedro Martínez:. D. Matías Oiave; D. Manuel latura anterior en igual caso. expulsión hasta el 21 , no pudieron hacer valer su derecho ha­ d ar*A?: ^08&lt;l u*0 U…</t>
  </si>
  <si>
    <t>Gregori</t>
  </si>
  <si>
    <t>…n te s del á S ¡i M ateo , c i r o u v j d ó d Qst a úl ti ma v;i!a nuestra caballería, al amanecer del día 9 del acta; . ! , y l l e g a d a míe fue la^ i n f a n t e ­ ! Pí a mor. N a r a n j o , D. M a r t i n D u q u e , D. Gregori o de Pablo N u e v o - M u n d o , y c u y a h isto ria por otra p arte está l ig a d a á la ría , penetro en la pobl aci ón, hacicjuiü prisionero tocio el des- S a u z , D. Ant oni o Eernandez L r r u l i a , D. An g el Mo r e n o , Don de los viajes y colonias m en ores; de modo que sab i…</t>
  </si>
  <si>
    <t>Gregorio</t>
  </si>
  <si>
    <t>…Rodríguez V era , Zu ma!aca¿iwgu j, CtttnSS. Domino nos tro Gre- 1838.—Habiendo sido expuesto á Iñ ig o , C u ra d o , S a ly a tp , -Gañavate, P i d a !, B ú L e rra, can d ^ d ^ gario , d i unna Providentia nuestro Srrtn. Sr. Gregorio xvi, la Rosa , López (D . B las), A n g u e ra , Guillen y G ras. PP . x r i expo sitian fu erit , p ro tim futura quadrages - por la divin a Providencia Papa, que en la próxima cuaresma del REDACCION DE LA GACETA: 5.a Sres. R odríguez del V alle , O lo z a g a , Baeza , Maprtin^ L u…</t>
  </si>
  <si>
    <t>…e abren los cimientos de la verdadera felicidad , y teniéndose en ellos y en los diversos resultados que han produ­ que siendo la suerte de los niños pobres en esta parte tan de­ M em oria sobre las fuentes ascendentes , por D. Gregorio cido según los hechos que presenta, describe los dos métodos plorable como en la física , es indispensable dirigir to los los es­ de Borjas Tarrius. principales que se ponen en práctica, el artesiano y el chino, fuerzos á mejorarla, no omitiendo nada que sea capaz de corre­ poniendo de ma…</t>
  </si>
  <si>
    <t>…as d e M érida con buenos pensamientos, y el señor Tenorio dió fin con unos fragmentos del señor Adán á las ño­ recho de que están, ó se creen estar revestidos varios particula­ Hoy ha llegado á este punto el bizarro capitán D. Gregorio ras inquietas ; aun no conocía el público los versos de este se­ Carra á encargarse del mando de esta comandancia, lo que se res para recobrar la poseiion de las fincas con que sus anteceso­ ñor; su moderación no le habia permitido enseñarlos hasta res fundaron ó enriquecieron algunas de…</t>
  </si>
  <si>
    <t>…sta causa hostilid ad al Go­ de la contribución extraordinaria de guerra, se aplicará D. R am ó n Red on do , D. Benito de la Torre , D. M a n u e l G a r ­ bierno. inmediata y exclusivamente al pago y manutención de los cía y D. Gregorio R e v e n g a , que en 15 de J u n i o del año p a ­ N ada diré sobre la ir re g u la rid a d de este proceder: solo h aré ejércitos en actividad , sin que por ningún título pueda sado de 18 2 8 eran vecinos de la m is m a , y aparece fueron tes­ presente á S. S. para su t r a n q u i l id…</t>
  </si>
  <si>
    <t>…meras conversaciones realizado con las formalidades que la misma previene, tocó á los disposiciones de esta, es debido al celo y laboriosidad del re­ con los cortesanos cuando los recibe p or huéspedes; les sugetos siguientes: D. Gregorio M iota, D. Juan Genieys, Don dactor de dicho periódico, que según tenernos entendido es el d ice : Manuel Herclaes, D. Mariano Nicolás Espinosa , D. Dom ingo Sr. D. Manuel Benito A gu irre, oficial primero de la inspec­ «Caballeros de alta guisa, Pereda, D. Ventura Martínez Ramón, D. Augel…</t>
  </si>
  <si>
    <t>Gregorio, Ventura de la Vega y D.</t>
  </si>
  <si>
    <t>Ventura de la Vega y D. Gregorio</t>
  </si>
  <si>
    <t>…nio Gil de Z árate, vice^ fantería. sear; pues sabemos que con dificultad habrá en España perso­ presidentes* Sargento primero graduado de subteniente D . Pedro G a­ na que le iguale en estos y otros muchos conocimientos. Nos D. Ventura de la Vega y D. Gregorio Romero Larr#ñ#ga, llan , cruz de S. Fernando. ha parecido que la carrera literaria se halla algún tanto sobre­ consiliarios* Sargentos segundos Ju an Antonio M agariñu y Santiago cargada, si se ha de tener cuenta con la comprensión y corta D. Enrique Gil y p , Juan…</t>
  </si>
  <si>
    <t>GrenfeO</t>
  </si>
  <si>
    <t>…sejo. la noticia de haberse reunido alli los rebeldes en gran número, blicación en el Boletín oficial de esa provincia para que llegue á noticia del com ercio; dando V. S. aviso de ha­ y estar fortificando la ciudad. El capitán GrenfeO, de la escua­ A Pezzoni. Sello de S. E. el Presidente dra im p erial, habia apresado algunas lanchas cañoneras en R io Ed. de Cadalvene. Hifzi M ustafá-bajá. berlo verificado. Dios guarde á Y. S. muchos años. Ma­ G rande; pero no se saben á punto fijo los pormenores. Se h a­ Ant. de Raab…</t>
  </si>
  <si>
    <t>Grey</t>
  </si>
  <si>
    <t>…on el mayor afecto al conde Spencer contra las reuniones de personas armadas con. palos ó picas: los colonos enno términos artillería, que si la guerra volviera; á- encenderse, sentado detrás del banco de la tesorería. El conde Grey , el d u ­ pues bien, en ambas ocasiones la publicación de aquel Real de- j hadjoutas que tendrían con que temer las osadas incursiones de los frecuencia avanzaban hasta las puertas de que de Cambridge y el duque de Sussex se hallaban presentes. creto ha producido el. mejor efecto. Convengo…</t>
  </si>
  <si>
    <t>Grillo, Dámaso</t>
  </si>
  <si>
    <t>Dámaso Grillo</t>
  </si>
  <si>
    <t>…to titulado San Nicolás, que costea la. Real elemento masesencial quees la aptitud en las alumnas; pues que de 1858.=Jorgc José Colon.=José Toribio de Arazoza. .' (Diario de la Habana¿) sociedad patriótica , y estad cargo de D. Dámaso Grillo. consecuencia essalvado estas no han aun la raya de la edad infantil, y pof Obvia la razón que impide llevar al cabo la eje- cucion del proyecto. Tuvo efecto su examen el dia 20 del propio. Consta este de 51^ niños, de los cuales 25 son por Ja sociedad , y 8 que se en­ llena losco…</t>
  </si>
  <si>
    <t>Grovestins</t>
  </si>
  <si>
    <t>…uencia , S. M. el Rey Gui­ , - ■ ¡ El primero que escapó, descolgándose por unos cordeles, fue el llermo ha nombrado su encargado de negocios en esta cor­ famoso ladrón Salvador M aiquez, quien apenas tocó con los te al barón de Grovestins, que ejercía el mismo cargo en NOTICIAS EXTRANGERASv pies al suelo, montó en un caballo que le tenían p rep arad o , y el año de 1833, y permaneció en Madrid hasta el de 1836. se marchó. O tro llamado N . G uerrero no tuvo tan buena suer­ Del mismo modo la augusta Reina Gobernadora ha dis…</t>
  </si>
  <si>
    <t>Groñen, Joaquín</t>
  </si>
  <si>
    <t>Joaquín Groñen</t>
  </si>
  <si>
    <t>…acha de la Imprenta Nacional á 24 rs. en rústica. premo tribunal, por medio de procurador con poder bastante, á MADRID 1 2 DE NOVIEMBRE. usar del derecho que crea competente en la causa que se sigue sobre heridas causadas á D. Joaquín Groñen , teniente de la Milicia nacional de Monzon, y al sargento de la misma Felipe TEATROS. Capitanía y dirección del Real cuerpodgaislb­ M artínez, de las que resultó la muerte al prim ero; apercibido P R IN C IPE . A las siete de la noche. Después de una bri­ deros , quede no hacerlo…</t>
  </si>
  <si>
    <t>Grr, Mariano</t>
  </si>
  <si>
    <t>Mariano Grr</t>
  </si>
  <si>
    <t>…lebrada por la academia de ciencias igualEnclase la propia sesión el socio Rosés leyó una carta del de por algunos disparos de las piezas de montaña enemigas, con­ naturales y artes de esta ciudad en el dia 12 de Junio último D. Mariano Grr&gt;el!s, catedrático del museo de M a­ testados por nuestras baterías sin efecto notable. Nuestros va­ el socio D. José Arran y Barba , profesor de pintura é indivi­ drid , en la que dice haber concluido su curso con una lección lientes se hallan entusiasmados, y con deseos de escarmentar…</t>
  </si>
  <si>
    <t>Gruyel, Domingo</t>
  </si>
  <si>
    <t>Domingo Gruyel</t>
  </si>
  <si>
    <t>…ectores,de;Pafi^han coúiprendido dí^namenté&gt;su mi-^ copiada, dice asi : &gt; •« duzcan a Cíonmel y Límérict.jLós trabajos, soguil las disposi­ sion* Q e.jps ,14 ‘colegiqs jdei/ daparjtawenUdh d á r ^ n a h 12 h an Denunciado por D. Domingo Gruyel un artículo inserto en ciones del Hilí sometido á la Cámara , serán ejecutados bajo la nombrado Hoy mismo sus D iputados, y ocho de las elecciones el Boletin oficial de esta provincia, núm. 1510, tomado de la dirección de lá intendencia de obras públicasi La línea proyec­ qqe han hech…</t>
  </si>
  <si>
    <t>Gtrgollo, Fernando</t>
  </si>
  <si>
    <t>Fernando Gtrgollo</t>
  </si>
  <si>
    <t>…habiéndolo hecho inmediatamente el joven, le Geografía. D. Francisco de Mier y Teran, D. Federico Se­ vos que rem aban en ios barcos en em igo s obtuvieron su descargó el granadero un puñetazo en el pecho y al que se le g u í, D Fernando Gtrgollo, D. Angel Retortillo, D. Leopol­ libertad. La pérdida de los cristianos fue estimada en 10$ contestó con otro bastante violento en la cara. El soldado qui­ do Brockmann , D. José Soiis y D. Manuel Docavo. hombres entre soldados y marineros, d e m odo-que el gol­ so responder con…</t>
  </si>
  <si>
    <t>Gu, Antonio García</t>
  </si>
  <si>
    <t>Antonio García Gu</t>
  </si>
  <si>
    <t>…IORES* con la segunda y tercera parte se tendrá un diccionario caste- A las ocho de la noche. Se volverá á poner en escena llano-catalan , otro castellano-latino , otro castellauo-frances, el drama original en cinco actos, de D. Antonio García Gu­ E n t r e g a de F E B R E R O d e 18301* y otro castellano italiano, y el castellano francés y viceversa tiérrez, titulado de Taboada, todo por la mitad del precio de lo que cuestan al­ E L R E Y M O N JE . S e h a lla á 3 rs. tanto en ram a como en rústica en el gunos de esto…</t>
  </si>
  <si>
    <t>Gu, Tomas</t>
  </si>
  <si>
    <t>Tomas Gu</t>
  </si>
  <si>
    <t>…caela Fernandea, para que en el término de 30 dias , acudan á tum brado insertar en la Guía de Forasteros, pues en ello Otro id. id. id. núm. 55,968 con los cupones de id .. 2,000 dicho juagado de Navalcarnero y escribanía de D. Tomas Gu­ harán un servicio agradable é interesante al publico. del 4 por 100 , núm. 121,127 con cupo­ tiérrez de Páramo á deducir el que les asista , con apercibi­ Las personas particulares que deseen hacer alguna rec­ Unnesresiduo id................................................................…</t>
  </si>
  <si>
    <t>Guadalajara</t>
  </si>
  <si>
    <t>…pe Mani- inos, dos sustitutos con todas las circunstancias y condi­ nez.=Sr. gefe político de esta provine ia. m i n is t e r io d e e s t a d o . ciones que deben tener los que lo son, á satisfacción del comandante general de Guadalajara; quedando ademas Igual comunicación se ha hecho al gefe político de Por la primera secretaria de Estado se ha dirigido á los expresados facultativos inhabilitados para desempeñar Ciudad Real. los demas ministerios y á todos los agentes diplomáticos en lo sucesivo comisiones de esta esp…</t>
  </si>
  <si>
    <t>…b e r n a - ios pueblos de esa provincia. Dios g u ard e á Y. S. m uchos en éste ventajoso encuentro, y ha resuelto asimismo S. M. qué años. M adrid í o de J u lio de 183 9.= E 1 subsecretario, J u a n elconcomandante general de Guadalajara formalíce la propuesta arreglo al reglamento vigente para recompensar el mérito » ó r a y la Serraa. Sra. Infanta D o ñ a María Luisa F e r ­ Felipe Martínez.— Sr. gefe político de..,.. úe los que más se hubiesen distinguido en él. n a n d a , c o n tin ú a n e n esta corté sin n o v e…</t>
  </si>
  <si>
    <t>…a sitiando aquel fu e rte , h a n sido cogidos,por up a partida de S i l v a , Alonso C a n o , Bartolomé de M u r i l í o , J u a n de H e r ­ de cahalleria que desde Molina y por orden def Sr. c om and a n ­ rera. te general de Guadalajara había satído con esté, o b je t o : solo 15. D . Iñig o López de M e n d o z a , J u a n G inés de S e p ú lv e - tipo de aquellos ha debido á ía fuga su s alv ac ió n .É s de espe­ rar qtté el celo de dicho Sr. comandanté general co ntrib u irá PRO VID EN CIA SJU D ICIA LES. d…</t>
  </si>
  <si>
    <t>Guadalajara, Federico Madrazo. El</t>
  </si>
  <si>
    <t>Federico Madrazo. El Guadalajara</t>
  </si>
  <si>
    <t>…a al nos á balazos y pedradas. guían su pobreza, sü juventud y su valor. óleo, que representa un retrato ideal de la Madlle. de Belle Isle, La lengua francesa no es esclava de un sistema ó de debido al pincel de nuestro amigo D. Federico Madrazo. El Guadalajara i i de Mayo . Hoy ha salido de esta capital una opinión: es una reina que proteje á todos, á la que tomo estará encuadernado en terciopelo blanco con las armas de el general en gefe del ejército del Centro, y lo ha verificado todos pueden invocar, y que para todos ab…</t>
  </si>
  <si>
    <t>Guadalupe</t>
  </si>
  <si>
    <t>…ores se ha pre­ ayer eutre el expresado Sr. Baudin y el Sr. comandante general consolidadas sus consecuencias, nada debe reprim ir y a los no­ sentado hoy á las Cámaras , y en ambas ha pronunciado el dis­ de este departamento D. Guadalupe V ic t o r ia ; y si V . E. lo bles sentimientos de gratitud y de orgullo nacional que nos re­ curso que s i g u e : tiene á b ie n , puede mandar darle publicidad para conocimien­ cuerdan á Bolívar, que h ay mas de ocho años que descendió al Señor presidente: Solicitada por el Gobierno…</t>
  </si>
  <si>
    <t>…a R ondil, paragüero; M ialon , de edad de 56 años, jornalero República de Méjico á los Sres. D. Manuel Eduardo de Goros- condenado á reclusión y cumplida su condena; Lemierre (Luis tiz a, Ministro de Negocios extrangeros, y D. Guadalupe V ic­ José); Philippet; Detrade , tornero , herido ; G uilberto, de edad . c á m a r a d e lo s l o r e s S esión d e l 11 d e Junio. toria , general de división. de 56 años, zurrador; Longuet; Auste» ; Bonnet; N ouguet; Y S. M . el Rey de los franceses á M r. Carlos Baudin , con­ E l…</t>
  </si>
  <si>
    <t>…7 , cuando se enarboló distin gu id as personas, llegaron á aquella ciudad en la mañana el pabellón nacional sobre los muros de Ulúa , el Excrno. se­ del 1 8 , al propio tiempo que el gefe político y el diputado dé ñor general D. Guadalupe V ic to r ia , comandante general del departamento, y eo gefe de las tropas de operaciones, d ir ig ió provincia D. José A v in o ; y después de convenir que á las seis de la mañana del siguiente dia 19 se hiciese la apertura del ca­ PARTE NO OFICIAL.. á las mismas la siguiente proclama:…</t>
  </si>
  <si>
    <t>Gualiart, José María</t>
  </si>
  <si>
    <t>José María Gualiart</t>
  </si>
  <si>
    <t>…i *ron dimisión; pero tro cuadrados superficiales, y se ha retasado igualmente por no habian sido vencidos en la luetta parlamentaria. Sus princi­ Doña Isabel n por la gracia de Dios y por la Consti­ dichos arquitectos y por D. José María Gualiart, que también pios habian triunfado constantemente; sus actos acababan de tución de la monarquía española Reina de las Españas, lo es, en 43644 rs« vn. á deducir cargas, cuyas tres casas son recibir una sanción solemne. La Corona, defendida por ellos y en su nombre Doña María Cris…</t>
  </si>
  <si>
    <t>Guardia, Corradi.</t>
  </si>
  <si>
    <t>Corradi. Guardia</t>
  </si>
  <si>
    <t>…nciones que le han sido confiadas. De'historia de España el Sr. Benavides. plan , dicho comandante cogió 20 caballos de cazadores de la La primera sección ha empleado varias sesiones en investigar De literatura extrangera el Sr. Corradi. Guardia con el teniente de dicho cuerpo Montenegro , y á todo el estado actual de nuestra nación , con respecto á su opimon De fisiología el Sr. Frau. escape fue tras de ellos, y á pesar de su larga distancia y el m oral, política y religiosa, y á los demas ramos que consti­ De literatura…</t>
  </si>
  <si>
    <t>Guardia, Juan Antonio</t>
  </si>
  <si>
    <t>Juan Antonio Guardia</t>
  </si>
  <si>
    <t>…Doña María GALERÍA DRAMÁTICA. dado (l), si él se hubiera entregado al magistrado como Leocadia Salgado, hija de D. Mateo: D. Ramón Ortigosa, causador de aquella muerte, aunque no dudaba hubiera hijo de D. Manuel : los hijos de D. Juan Antonio Guardia: FUNCION DE BODA SIN BODA. &gt;ii\ ' hallado reo solo de homicidio involuntario, seria D. José González de Gomara : D. Gerónimo Coliantes, apode­ ¡ lénipre necesario estar en la cárcel por seis meses con rado de Doña María Manuela de Ribera: Doña Bárbara Gó­ dadaComedia en tres act…</t>
  </si>
  <si>
    <t>Guardo, VVellington.</t>
  </si>
  <si>
    <t>VVellington. Guardo</t>
  </si>
  <si>
    <t>…neros de Hacienda D. Manuel suma de 500 libras esterlinas al monumento que debe elevarse da , continúan en esta corte sin novedad en su importante Carande persiguió el dia 2 desde el pueblo de Velilla hasta en honor del duque de VVellington. Guardo al cabecilla Pastor, que con otros cinco mas acababa de talud. salir del primero; y siguiendo sus huellas hasta muy cerca de la noche, logró alcanzar á dichos seis rebeldes y capturarlos. Se lee en el Courier : R E A L E S D E C R E T O S. S. M. enterada y satisfecha se ha di…</t>
  </si>
  <si>
    <t>Gue, Bernardo</t>
  </si>
  <si>
    <t>Bernardo Gue</t>
  </si>
  <si>
    <t>…mismo, se ha señalado nuevamente para el remate público de ha alcanzado, sin duda por la poderosa intercesión de su abue­ ahora se haya negado ningún habitante de esta provincia al la casa correspondiente á la testamentaría de D. Bernardo Gue­ lo: hablo de Fernando m de Castilla , del Santo, del que está pago de los cupos que les corresponden , y rae persuado que deja el dia 15 de Diciembre, y hora de las doce, en las casas con nosotros en este su templo. A nombre de Sevilla, y aun de siempre seguirán semejante conducta, pue…</t>
  </si>
  <si>
    <t>Guehenenc</t>
  </si>
  <si>
    <t>…aun dentro de su mismo pais si intentara volver á tomar las ar­ que tenga á bien suspender sus sesiones hasta el lunes 27 de rumores de armamento del pueblo: estoy seguro de que r»o se mas contra la Francia. El teniente general Guehenenc , que go­ M a y o , en cuyo dia , si el digno Presidente actual de la Cáma­ han comprado en toda Inglaterra mas que unos 50 fusiles ó p i ­ bierna en la provincia de O ra n , acaba de hacer un pequeño ra persiste, con grande pesar nuestro, en su resolución dé de­ cas: el pueblo ingles no…</t>
  </si>
  <si>
    <t>Guehesuc</t>
  </si>
  <si>
    <t>…odrigo, arzobispo de Toledo, pasó en­ tonces á Roma como embajador de Alonso v m , y consiguió Escriben de Oran con fecha del 17: no solo indulgencia, sino también cruzada para aquella ESTUDIOS HISTORICOS Y CRITICOS El general Guehesuc, comandante de la división, acompa­ guerra: lo que reforzó con gente muy escogida de Francia ñado de su gefe de estado mayor y del de ingenieros , salió el y de otras partes el ejército que consiguió la señalada vic­ SOBRE EL ARTE DRAMATICO. 7 de esta escoltado por un grueso destacamento…</t>
  </si>
  <si>
    <t>Guer, Diego López</t>
  </si>
  <si>
    <t>Diego López Guer</t>
  </si>
  <si>
    <t>…por D. Francisco1Goya. Precio an tigu o ¿{í rs., mo­ E N el juzgado de primera instancia del partido de Q uin tanar derno 50. de cualquier modo naufragados, puede estimarse en 5 0 09,000 de la Orden , y por la escribanía de D. Diego López Guer­ Dos vistas del Prado de M ad rid . Precio an tigu o 50 reales, de libras esterlinas cada año ; un valor de propiedad q u e , a u n ­ rero , se instruye causa con motivo del hallazgo de un cadáver moderno 2 0 . que recobrada por los dueños ea virtud de sus seguros, siempre eo la…</t>
  </si>
  <si>
    <t>Guerra</t>
  </si>
  <si>
    <t>…Gobier­ El Sr. L U JA N : Empiezo por manifestar que es sensible no extraviados españoles, de las provincias del Norte, le han re­ no mismo que á la vez supieron hacer sacrificios sin cuentos se halle presente el Sr. Ministro de Guerra , para que dijese conocido de corazón , cuyas impregnaciones son debidas á V. M. para obtener la salvación de la patria. qué razones habia habido para negar á este interesado lo q ue al valor de nuestras tropas, y al de su ilustre caudillo el ge­ El cielo prospere la vida de V. M. y la de la…</t>
  </si>
  <si>
    <t>Guerra, D. Basilio</t>
  </si>
  <si>
    <t>D. Basilio Guerra</t>
  </si>
  <si>
    <t>…ea ios paLe* como Inglaterra y Norte-A m érica , sino eu el Acepte V. E. con tal motivo las seguridades de mi conside­ mismo imperio otomano que habia sido siempre enemigo acér­ ración y aprecio. rimo de los cristianos. El Sr. D. Basilio Guerra , que ha sido el NOTICIAS EXTRANGERAS. Dios &amp;c. Oajaea Ju lio 29 de 1859. ==J u a n Vicente de A r ­ principal agente de los s er vi ci os y auxilios que se prestaron al rióla. =Excroo. Sr . ministro de Guerra y M arina. virtuoso P. Aaron en vida y en muerte, e3 acreedor á pai t…</t>
  </si>
  <si>
    <t>Guerrero, Pedro</t>
  </si>
  <si>
    <t>Pedro Guerrero</t>
  </si>
  <si>
    <t>…da negociable de 5 por 100 á papel, 00. Será éxornada con todo el aparato que su argumento re-1 U. Juan Mesia. ° Idem sin interés, 6* y 6£ nuevas al contado: 6± y 6 | á v. quiere. Regidores: primero D. Vicente Borja , segundo D Pedro Guerrero, tercero D. Cristóbal Tey, cuarto D. Juan Antonio f. ó Accionesvol.: 7 á 60 d. f. ó vol. á prima de | por i 00 nuevas. ¿el banco español de S.aa Fernando, 00.</t>
  </si>
  <si>
    <t>GUI</t>
  </si>
  <si>
    <t>…rabajos necesarios para presentar un proyecto de d o r a y la Serma. Sra. Infanta Doña María Luisa Fer­ pabellón las armas que durante seis años se han estado hacien­ ley sobre el particular. do la guerra mas encarnizada. El Sr. G U IL L E N Y R O D A : En razón áque no está cons­ nanda, continúan en esta corte sin novedad en su im­ Pasada la revufa, les he dirigido una alocución análoga á tituido el Congreso, la mesa opina que este convenio deberá portante salud. las circunstancias, y he visto con placer que todos sin dist…</t>
  </si>
  <si>
    <t>…tierras será de oficio, y por coasiguiente no podrá exigirse can­ contrar la que se necesita para recompensar á los soldados. D euda negociable de 5 por 100 á papel, 00. tidad alguna por ellas á los soldados agraciados.” El Sr. G U IL L E N Y R O D A manifestó que se oponía al Idem sin interés, 1 0 | á 60 d. f. ó vol.: ,§ y 6 Se procedió á la orden del dia, continuando la discusión que artículo en cuestión, porque en muchas provincias era imposi­ tres dieziseisavos á v. f. ó vol. nuevas. quedó pendiente sobre premios mil…</t>
  </si>
  <si>
    <t>…hace encontrarán ahora embarazados , como también el Gobierno dificultad en que fuese admitido. á principios de año, y en otras se espera á cada caso, y reuni­ para la cobranza de la contribución extraordinaria de guerra, El Sr. G U IL L E N Y G R AS dijo que á ser cierto lo que do el tribunal pleno para arreglar las salas, es cuando se cal­ que ó bien dejará de cobrarse, ó si la fuerza de la autoridad acababa de manifestar el Sr. Perez de Rivas se desmentía en cula el numero de jueces que falta, y entonces viendo la nece­…</t>
  </si>
  <si>
    <t>Gui, Juan</t>
  </si>
  <si>
    <t>Juan Gui</t>
  </si>
  <si>
    <t>…d. la Excma. Sra. condesa de M iranda, en la casa audiencia de Ntra. Sra. de Gracia Manuela Cirugeda , natural de Montal- Conocidos son ya del público los personajes principa­ S. S., en cuyo juzgado pende por la escribanía de D. Juan Gui­ van, de 22 años de edad , soltera, hija de Manuel y de María Ga lea , difunta, conducida e»i una parihuela por cuatro sol­ les de los Cortesanos y la Revolución: poco nos detendre­ llermo Sánchez Molero, con el fin de nombrar administrador á los bienes y rentas de dicha testamentaría, q…</t>
  </si>
  <si>
    <t>Guillemioot</t>
  </si>
  <si>
    <t>…! general en gefe ha mandado que se le remitan sus ducta y política de la regencia provisional, asi como la se­ fábrica platería de M artinez, en el que se ve por a h o ra : equipages á Lodosa. guida entre el primero y el general Guillemioot sobre las ope­ El suntuoso monasterio del Escorial. raciones de la guerra. El Ínteres que habrá encontrado el pú­ El coro con su bellísima Iglesia , en la que se oye el órga­ Zaragoza 28 de Febrero. Por carta particular de T ude- blico en la lectura de esta parte tan interesante de la…</t>
  </si>
  <si>
    <t>Guillen</t>
  </si>
  <si>
    <t>…sión que ha de informar sobre el censo de la población augusta Madre la Reina Gobernadora , de su gratitud victo­ son nombrados libremente por el Gobierno ni por ninguna otra de Granada. Presidente el Sr. Saenz, secretario el Sr. Guillen reando el nombre del general en gefe duque de la V ictoria, y autoridad, son oficios, como ha dicho muy bien el Sr. Minis­ y Roda. de su sensatez y cordura rio manchando estos actos de acendra­ tro , enagenados de la corona , como antes se decia, ó enagena- Comisión que entiende en la prop…</t>
  </si>
  <si>
    <t>Guiller</t>
  </si>
  <si>
    <t>…mbién sus desventajas, hemos obervado 18 39 .= A rrazo la. El Emperador de Rusia ha conferido el mando del regi­ que les efectos de las fuerzas favorables al movimiento sobre­ miento de los huíanos, vacante por muerte del Duque Guiller­ pujan á los efectos de las fuerzas que le contrarían. Habiendo mo de Nassau , al Archiduque Alberto de A u s tria , nombrán­ estudiado igualmente la resistencia de las partes que componen dole en propiedad. {id.) la máquina, nos ha parecido que presentaba todas las condi­ ciones de solid…</t>
  </si>
  <si>
    <t>…sma comisión, en vista de la comunicación del Go­ s a 1®* En una tienda de campaña separada se colocarán los facción de 200 caballos y algunos in fan te s, prevalidos de la bierno de S. M . , participando el fallecimiento de D. Guiller­ ls as y los periodistas que acudan á las justas para dar luego baja de los rios por la sequía. Reunidos los Nacionales del dis­ mo O l iv e r , Diputado por la provincia de Barcelona, es de dic- al püblico de lo que han visto. t r it o , cayeron sobre los rebeldes , y les causaron varios…</t>
  </si>
  <si>
    <t>Guiller, Caylus. El Rey de Prusia Federico</t>
  </si>
  <si>
    <t>Caylus. El Rey de Prusia Federico Guiller</t>
  </si>
  <si>
    <t>…ducido por un vano error, llegó á la. La carne que nos daban era roja y olía mal. Conocimos que persuadirse que estaba dotado del poder de evocar á las som­ era humana viendo á los portugueses quitar á una pierna la El conde de Caylus. El Rey de Prusia Federico Guiller­ bras. piel y arrojarla al m ar; entonces nos negamos á comerla. Yo mo y el cómico Fleuri. vi matar á otro hombre: los marineros habían hecho descender desde el principio las cuerdas con que se liaban, en seguida se A fines del siglo xvm presentaba la Fra…</t>
  </si>
  <si>
    <t>Guillermo</t>
  </si>
  <si>
    <t>…D. José A balo, discípulo del propio establecim iento, que trabajado en esta segunda parte del año por llevar el instituto blar de los medios de resistencia que el pais podría oponer; po­ dirige la segunda de gram ática , y á D. Guillermo D iaz que á la línea de las primeras academias , instalando las clases cor­ dríamos recordar los diversos sistemas que se han expuesto en el hace lo mismo con la tercera de aritm ética , también discípulo respondientes á la educación secundaria; pero falta el elemento otro recinto para s…</t>
  </si>
  <si>
    <t>…Casca- gefe político de Barcelona , con fecha 10 del corriente, se le C o rtáz ar, propuso la comisión su admisión en el Congreso- jares. pero que por la indicación hecha por el Sr. Mendez V ig o re­ participaba la muerte de D. Guillermo O liver, Diputado electo por aquella p ro v in c ia , y lo pouia en conocimiento de las Cor­ tiró su dictamen. Que habiéndolo e x am in ad o , se inclina á creer CORTES. tes para los efectos consiguientes. Se acordó constase en el acta que el Sr. P ita Pizarro se que debe ser admitido…</t>
  </si>
  <si>
    <t>Guim, José</t>
  </si>
  <si>
    <t>José Guim</t>
  </si>
  <si>
    <t>…tos mas sagrados cuan­ nición del fuerte atacado con dos compañías de infantería al do los trazan con pincel delicadísimo y vigoroso unos hombres B a rcelon a 19 d e D iciem bre. mando del bravo y decidido coronel comandante D. José Guim­ entusiastas por las bellas artes: la cena de Leonardo V io c i, ¡a barda, á cuyo valor y serenidad es debido, á no d u d arlo , que de R afael, esos preciosos frescos del V aticano, tantas sacras f a ­ Acaba de regresar á esta ciudad el Sr. D. M auricio P erre- la guarnición ao sucumbie…</t>
  </si>
  <si>
    <t>Guinea, Manuel</t>
  </si>
  <si>
    <t>Manuel Guinea</t>
  </si>
  <si>
    <t>…formalidades que la misma previene , tocó á los gen del Carmen, por José Fernandez, en 18. sugetos siguientes: D. Juan Castelló y Roca , D Antonio Gó­ Otra id . , sierra de L u ja r, loma del Cordero, término de mez y Paran, D. Manuel Guinea , D. José de Mesa, D. A n­ Velez , S. Antonio , por Nicolás Cabrera , en 22. tonio Marte! y Nuñez, D. Francisco Gómez Acebo, D. Pedro Otra i d . , calar de Guejar Sierra , término de i d . , S. T r i- Ibañez, D. Ventura Martínez Remoa y D. Francisco Astiz, IM P R E N T A N A C IO N…</t>
  </si>
  <si>
    <t>Guipúzcoa</t>
  </si>
  <si>
    <t>…, TEATROS. El Sr. P R E S ID E N T E señaló para la discusión de mañana no obstante que el titulado general Pedro José Iturriza ha tras­ la interpelación suspendida sobre los caminos de Granada y ladado al comandante general de Guipúzcoa D . Fermin de E z- P R IN C IP E . A las siete de la noche. M álaga, y los demás asuntos pendientes; con lo que levantó la peleta una determinación por la que su pretendido Rey ame­ Se dará principio, con una brillante sinfonía ; y á continua­ naza que si se ejecuta, sortee de nuestros o…</t>
  </si>
  <si>
    <t>Guisasola, Basilia</t>
  </si>
  <si>
    <t>Basilia Guisasola</t>
  </si>
  <si>
    <t>…n y las libertades de la nación, ha cabido en suerte con el Ñapóles como la tercera ó cuarta entre las capitales de Europa. Nápoles no sirven mas que de cuarteles para tropa ; y el único primer extracto de la de este dia á Doña Basilia Guisasola, El duque de Alba, durante su vireinato en Ñapóles, hizo castillo llamado propiameute asi es el de Santelmo, erigido so­ hija de D. José, voluntario nacioaal de Oviedo, muerto en el )á Strada de Toledo, y no solo es la calle mas principal de la bre una colina que domina toda la c…</t>
  </si>
  <si>
    <t>Gumarra</t>
  </si>
  <si>
    <t>…10 es mancomunada entre todos los bienes parte en esta acción se componían de 63 chilenos al mando del varios soldados , que llevaban, en el brazo porción de galones de los expresados prófugos la responsabilidad al resar­ general Gumarra , y 63 peruvianos y bolivianos mandados por que denotaban sus muchos años de servicio. Su afabilidad ha cimiento y subsanacion de los daños y perjuicios de cada el general Santa Cruz. La pérdida entre muertos y heridos ha agradado á todo el mundo. uno de sus suplentes. llegado á cerca de 150…</t>
  </si>
  <si>
    <t>Gumberland</t>
  </si>
  <si>
    <t>…y que Dicho buque vino aqui para conducir á un oficial de esta­ solo contiene el anuncio de su matrimonio con el Príncipe de do mayor encargado de tratar de la compra de algunos cente­ Coburgo. Sabido es que el anciano duque de Gumberland, ó su nares de caballos para la remonta de caballería de A frica y G RAN BRETAÑ A. descendencia, subirían al trono de Inglaterra si la Reina no tu* para el nuevo regimiento de cazadores que se va á formar en viese heredero. (T em ps ) Bona. Este oficial,, acompañado de Mr. L ag so , n…</t>
  </si>
  <si>
    <t>Gumucio, Juan</t>
  </si>
  <si>
    <t>Juan Gumucio</t>
  </si>
  <si>
    <t>…D. Luis So- duce desde luego a esto: ¿Se quiere ó no que haya caminos de que concluía el informe-leído pór Mr. Dolez en nóúibré de la rela, presidente de la junta de liquidación de la deuda del Es­ hierro en Irlanda ? tado; D. Juan Gumucio, que desempeña la dirección de la caja Muchos oradores; y principalmente Mr. O ’Connell que apo­ sección central de U Qámara de Représentá utés&gt;dé lá Bélgica" acerca del proyecto de ley relativo á lá aceptación dél tratado nacional de Amortización por ausencia del propietario; D. Dá­…</t>
  </si>
  <si>
    <t>Gusano, Félix</t>
  </si>
  <si>
    <t>Félix Gusano</t>
  </si>
  <si>
    <t>…a provincia de Guadalajar* éri Las cartas de Alejandría de 26 de Ju n io , publicadas en los comunicación de 23 del actual desde Molina dice que habien­ do comisiouado al teniente de salvaguardias de caballería de la provincia D. Félix Gusano párd que cort su fuerZá y lá de in­ PARTE NO OFICIAL. periódicos de Marsella del 1 5 , que acabamos de recibir por conducto extraordinario* confirman las noticias que hemos dado ryer, refiriéodónos á nuestros corresponsales. fantería del mismo instituto pásase al partido de Cifuentes…</t>
  </si>
  <si>
    <t>Gusáno, Félix</t>
  </si>
  <si>
    <t>Félix Gusáno</t>
  </si>
  <si>
    <t>N.° 1716. SABADO 27 DE JULIO DE 1839. DIEZ CUARTOS. PARTE OFICIAL. rito contraido en este suceso por el citado teniente D. Félix Gusáno, y el dé la propiá clase de salvaguardias de infantería D» ‘J osé Cándido Riego t que coadyuvó á este resultado, al excitó Vito Mangiameli en el seno del Instituto cuando fue presentado por su profesor el Dr. Comparato. Mr. Arago pro­ puso al joven calculador las cuestiones que apu…</t>
  </si>
  <si>
    <t>Gutier</t>
  </si>
  <si>
    <t>…e los dos pri­ El noble y caballeresco carácter de D. Gonzalo, y el da hermana ese sentimiento puro, inefable del alma; meros actos; pa récenos esto una blasfemia literaria que el original y gracioso de Chacón, asi como el de D. Gutier­ re, completan el conjunto animado y armonioso del dra- público en lo general no ha sancionado. Dígasenos si no, ma, y pintan con vivos colores la época en que aquel se (1) Con este epígrafe publicaremos una serie de artículos ¿ha demanifestado aquel disgusto al escucharlos? ¿Ha deja­ supo…</t>
  </si>
  <si>
    <t>Gutierre</t>
  </si>
  <si>
    <t>…dado ya el grito de "m u e­ Doña Juana . ¡ Suerte funesta! D. Pedro . . . . Pues asi se ha de cu m p lir, ra el R e y .” D. Enrique . . ¡ Y vuestro h on or! ¿sabes que él Rey os a m a ? D . G u tierre; asi se h a rá , E o tra D. Gutierre anunciando que la sedición ha estallado; ¿Sabéis que sus pasiones violentas Que soy el Rey de Castilla $ el espectador toca ya el termino de sus pesares y va á entre­ U ltrajan la virtud , sin que se alcance Tf aquesa mi voluntad. garse al dulce placer de ver á su héroe salvo y victorio…</t>
  </si>
  <si>
    <t>Gutierre, Manuel María</t>
  </si>
  <si>
    <t>Manuel María Gutierre</t>
  </si>
  <si>
    <t>…ausa la ley de aranceles á la SE da enarriendoóenventa real una botica montada á la nación en general, á la Cataluña en particular y á las mismas antigua, bien provista de medicamentos y enseres para fabricas catalanas, por D. Manuel María Gutierre*, un tomo -i '</t>
  </si>
  <si>
    <t>Gutiérrez, A. García</t>
  </si>
  <si>
    <t>A. García Gutiérrez</t>
  </si>
  <si>
    <t>…re Scribe, traducida por D. A. García Gutiérrez. El amor que es el afecto con que mas pronto simpati­ El Vampiro , comedia en un acto, del mismo Scribe, tra­ za el corazón humano, no debe en el teatro tener un éxi­ ducida por D. A. García Gutiérrez. to feliz, sino en la comedia urbana, donde por lo común Aviso d los almacenes y tiendas de quincalla. se pinta como realmente existe en la sociedad, acompaña­ do de la prudencia , de la raútua estimación y de la vir- La señora viuda de Garreta., no queriendo seguir con el tud. P…</t>
  </si>
  <si>
    <t>Gutiérrez, Antonio</t>
  </si>
  <si>
    <t>Antonio Gutiérrez</t>
  </si>
  <si>
    <t>…para surtirla de ellas se hao expresada dirección por su escribanía principal , donde estarán buscado y formado un dejpó$ito (no sin gastos de consideración) de manifiesto las condiciones bajo las que se ha de celebrar la Nos D. Antonio Gutiérrez V aldés, presbítero canónigo de en un vallecito inmediato. El director de las obras que han sido subasta; en inteligencia de que para su único remate está seña­ esta santa iglesia catedral, gobernador eclesiástico de su obis­ proyectadas y llevadas a cabo con inteligencia , es e…</t>
  </si>
  <si>
    <t>Gutiérrez, Antonio García</t>
  </si>
  <si>
    <t>Antonio García Gutiérrez</t>
  </si>
  <si>
    <t>…de U salida del correo. COLECCION DE LEYES, Contiene las tres producciones siguien tes: No ganamos para sustos.=De D. M anuel Bretón de los Noticia im portante d e l Oriente. Herreros. r e a LES d e c r e t o s , Samuel.=De D. Antonio García Gutiérrez. L a redoma encantada.zzDe D. J u a n Eugenio Hartzenbusch. Apenas tengo tiempo para comunicar á usted que acaba do ORDENES Y REGLAMENTOS DEL GOBIERNO Se halla cou los anteriores á 2 0 rs. cada uno eu las librerías lle g ¡r un correo de S. Petersburgo portador de la satisf…</t>
  </si>
  <si>
    <t>…a. 1 ............... . de. . 3000 ................... 5000 que para Guardamino. D. Ramón de Navarrete. 4 ................. . d e . . 6 0 0 . .................. 2400 Cuesta mucho á nuestros gefes contener el ardor de sus sol­ D. Antonio García Gutiérrez. 4 ............... ... d e . . 500..................... 2000 dados, por cuyos deseos se hubieran asaltado todos los fuertes Los artistas encargados en Madrid del desempeño de las lá- 4 .................. d e . . 4 OO..................... 1600 desde el primer d ia , y mucho…</t>
  </si>
  <si>
    <t>Gutiérrez, Francisco Celestino</t>
  </si>
  <si>
    <t>Francisco Celestino Gutiérrez</t>
  </si>
  <si>
    <t>…milias introduci­ cia y Gaceta del Gobierno, firmo esta en Laredo á 5 de Julio y continuad &gt;n de id; á 5úd . : aria d e xbajo á ‘6 ; y para canto ’ daspor. ellos. Y en virtud del convenio los colonos habían de de 1859.—Licenciado Francisco Celestino Gutiérrez. = P. S. M. las mismas piezas y la ópera reunida dé ambos rafodos seEven­ recibir las escrituras de sus tierras respectivas directamente del Francisco de Tagley Cacho. , den en el almacén de música dé G arrafa; cálle dtel Principé,- G obierno, luego que hubiesen obtenid…</t>
  </si>
  <si>
    <t>Gutiérrez, García</t>
  </si>
  <si>
    <t>García Gutiérrez</t>
  </si>
  <si>
    <t>…de S. Fernando, 00. vicios, si no exclusivo patrimonio nuestro, fuesen de esos media de Seribe, en dos actos, titulada Estela ó el Padre generales a todos los pueblos y á todas las sociedades mo­ y la títja ; traducida por el Sr. García Gutiérrez, y ejecu­ CAMBIOS. dernas. Esto es lo que ha hecho el Sr. Feral: no traducir tada hace dos años en el teatro del Príncipe. Solo dire­ al pie de la letra el original dejándole los rasgos pura­ mos de ella, porque ya manifestamos nuestra opinión cuan­ Londres, á 90 dias, 5 8 | din. í…</t>
  </si>
  <si>
    <t>Gutiérrez, Juana</t>
  </si>
  <si>
    <t>Juana Gutiérrez</t>
  </si>
  <si>
    <t>…M aría Antonia Gutiérrez de Prio , del Iug3r de Barcenillas, clase; y al formar el program a, no solo ha excluido lo q u e fibra hum ana está e x e n ta ; y cuando hay en cu alq u iera sobre invalidación de lo dispuesto por Doña Juana Gutiérrez creía redundante ó i nút i l , y procurado que todas sus partes dotes y cualidades tan relevan tes como en el P elu y o , d e­ de Prio en la cláusula cuarta del testamento cerrado que otor­ sean de sobresaliente y reconocido m érito , sino que lia limitado gó en 14 de Febrero de 18…</t>
  </si>
  <si>
    <t>Gutiérrez, Laureano</t>
  </si>
  <si>
    <t>Laureano Gutiérrez</t>
  </si>
  <si>
    <t>…al enemigo será propiedad su va, los turcos jamas pudieron ejercer sobre ellos m asqu e un domi­ que se valorizará y repartirá entre todos ea proporción á "los nio de corta duración. £1 hijo del sheik actual, que ha tenido cia D. Laureano Gutiérrez observaba cou disgusto la angustio sa sUuacion de este establecimiento de beneficencia, por los es haberes de sus clases respectivas. ’ que entregar á la fuerza la ciudad á los ingleses , ha enviado casos fondos que produce la suscripción del vecindario y algu El aspecto de los m…</t>
  </si>
  <si>
    <t>Gutiérrez, Lucio</t>
  </si>
  <si>
    <t>Lucio Gutiérrez</t>
  </si>
  <si>
    <t>N.° 1658. VIERNES 31 DE MAYO DE 1839. d ie z c u ar t o s. Real D. Lucio Gutiérrez; y en el choque que este encuentro Cuatro i d . , 10 1 , 80. PARTE OFICIAL. produjo quedaron muertos en el campo cinco facciosos, cuyos Tres id., 8 1 , 25 , 50. nombres y pueblos de su naturaleza c it a , y fueron salvados dos Acciones del banco, 2 7 i0 . Nacionales de Fuentenarro…</t>
  </si>
  <si>
    <t>Gutiérrez, ON Laureano</t>
  </si>
  <si>
    <t>ON Laureano Gutiérrez</t>
  </si>
  <si>
    <t>…DE LEYES, de su gratitud, casi nada nos queda de ellas, el tiempo, ó PROVIDENCIAS JUDICIALES. REALES DECRETOS, mas bien el fmatismo . lo han destruido todo.Si aun se re­ pitiesen algunos autos de f é en aquellas ruinas que tes­ D ON Laureano Gutiérrez , del consejo de S. M., su secretario O RD EN ES Y REGLAMENTOS D E L GOBIERNO tifican que en otro tiempo florecía alli una poderosa civi­ honorario de decretos, individuo de varias sociedades eco­ nómicas lización, desaparecían d é la superficie de la tierra con el en esta pro…</t>
  </si>
  <si>
    <t>Gutiérrez, Yictoria</t>
  </si>
  <si>
    <t>Yictoria Gutiérrez</t>
  </si>
  <si>
    <t>…11 y las libertades de la nación, ha cabido en suerte con el mitan : no descuidando tener á sus lectores al corriente de to­ las bellas artes es el mismo; y ¿por qué no ha de ser necesaric primer extracto de la de este dia á Doña Yictoria Gutiérrez, do cuanto en este punto ofrezca la capital. para la mas noble de todas el estudio que lo es para las demas' hija de D. Mariano, teniente de la Milicia nacional de Y a- Siempre que la importancia de una obra dramática que se A. L. (.El Tiempo .) lladolid. __________ ejecute en los…</t>
  </si>
  <si>
    <t>Gutiérrez.r, Antonio García</t>
  </si>
  <si>
    <t>Antonio García Gutiérrez.r</t>
  </si>
  <si>
    <t>…ia z .n D o u Otra id.,cañ*d« de la Sinelva, término del Presidio, el En­ Cádiz, ¿ id. Zaragoza, par. Patricio de la Escosura.^D. Juan d-el Peral.zzD. José Zorrilla.ra gaño, po. Antonio Cuesta , en 27. D . Ramón de Navarrete.—D. Antonio García Gutiérrez.r=Lo? Descuento de letras , á 6 por 100 al año. artistas encargados en Madrid del desempeño de las lámiaa5t Registros* D . A ntonio Cavanna.nD. Antonio Gómez. Los Sres. suscriptores al periódico tienen Una mina plomiza , cumbre de Cifuares, hoya de la Para- na , término…</t>
  </si>
  <si>
    <t>Guzman</t>
  </si>
  <si>
    <t>…ino en todo &amp;c. Lia ejecución fue buena en lo general; distinguiéndose espe­ gran desembarazo. Los demas actores contribuyeron eficazmen­ En la misma columna , último párrafo, línea 2.a, donde se cialmente la Sra. Perez y el Sr. Guzman. te al buen éxito de la comedia. Creemos que iá representación dice que es falso que la poesía castellana del siglo xvi sea un ¿Y qué diremos de ese infortunado Plan-plan que apenas de esta ha sido un feliz ensayo para resucitar, ó por mejor de­ reflejo de la latina, debe leerse: un reflejo…</t>
  </si>
  <si>
    <t>Guzman, Valentín de Santiago</t>
  </si>
  <si>
    <t>Valentín de Santiago Guzman</t>
  </si>
  <si>
    <t>El Sr. Gil posee una de esas imaginaciones atrevidas, qué lado acogerá; los espectadores habian proscrito el León,” suscrito por D. Valentín de Santiago Guzman; se reu­ fecundas y flexibles que no conocen los obstáculos sino pa­ drama de Victor Hugo y el de Dumas; la comedia de Mo- nió el jurado de acusación el dia 18 del corriente, y declaró ra vencerlos; que se crean las dificultades para mostrar su ratin no respondia á las…</t>
  </si>
  <si>
    <t>Guzmao</t>
  </si>
  <si>
    <t>…lgunos can da, continúan en esta corte sin novedad en su im ­ retirar la sección que se halla á las órdenes del Sr. Maldonado, \ eclesiásticos de probidad y celo se encomendasen de recoger las quedando solo á las del Sr. coronel Guzmao una partida de 25 j limosuas que se habían ofrecido y las demás que se pudieran , y portante salud. dragoues, como dije á V . E. en oficio de 25 del actual , pues i ¡as remitiesen á aquellos hermanos nuestros bastante necesitados con e¿te suceso importante se disfruta de una paz octavia na…</t>
  </si>
  <si>
    <t>GUÍ</t>
  </si>
  <si>
    <t>…D ip u tad o , no sé yo tuos. Decíase en el primero que las provincias nombrarían tan­ oportuno. hasta qué punto afectaría á la elección de los de la misma pro­ tos Diputados y Senadores cuantos marca el estado que acom­ El Sr. G U ÍL L E N Y G R A S , después de manifestar las vincia que ya están sentados en el Congreso , y el suplente ter­ paña á la misma ley electoral , y mal pudo acompañar tal es­ razones que le habían asistido para pedir que se suspendiese esta cero no tiene gran diferencia de votos con el 4 *° tado…</t>
  </si>
  <si>
    <t>GUÍLLEN</t>
  </si>
  <si>
    <t>…de los artículos anteriores, eu este que tengo proporción lo Sr. Ministro de Hacienda que la contribución extraordinaria de digo. guerra que antes tenia sus descuentos por la ley de 50 de Ju ­ Sesión del día 9 de Enero. El Sr. GUÍLLEN Y GRAS quiere que se exprese que las nio , se hiciese efectiva hasta la cantidad de 500 millones. El pensiones que disfrutan los hijos se tomen en cuenta. Congreso sabe cuál fue el dictámen de la comisión, y podrá Leida el acta de la anterior, quedó aprobada. El Sr. PID AL dice que las per…</t>
  </si>
  <si>
    <t>Guílíauma, Vicente</t>
  </si>
  <si>
    <t>Vicente Guílíauma</t>
  </si>
  <si>
    <t>…aceta d e A ugsburgo.) en comunicación de 27. del actual desde Cariñena de que ha­ cho mérito conseguidas sobre los enemigos de la justa causa. biendo salido de Albalate en la mañana del 20 á hacer la des­ cubierta el teniente D. Vicente Guílíauma con 20 soldados, halló ocupada la ermita de Santa Bárbara por igual número Se lee en el Morning-Chronicle. de facciosos, que encerrados en e lla , y teniéndola aspillerada, PARTE NO OFICIAL. Las noticias que hemos recibido de Birminghara son en ex­ la defendieron, resistiéndose á l…</t>
  </si>
  <si>
    <t>Gárlos</t>
  </si>
  <si>
    <t>…aun existen PRINCIPE. A las cuatro de la tarde. Se volverá á poner prisioneros pertenecientes todos á la roerindad de Sangüesa y en escena el acreditado drama en tres actos, dividido en seis que lidiaron bajo las banderas de D. Gárlos. cuadros titnlado Gefes, Oficiales. Tropa, PROVIDENCIAS JUDICIALES QUINCE AÑOS HA Presentados i efecto de la disolución Juzgado de Amortización . O LOS INCENDIARIOS DE PARIS. de la facción navarra......................... 5 25 1626 Muertos en la cam paña. ............... 4 21 Por providenci…</t>
  </si>
  <si>
    <t>Géronihio'</t>
  </si>
  <si>
    <t>…tóco ¿ áyé^ noche á róis j!)álábrás por el noble lord , secretario de Es­ hw ^ g é tb s s||fuícntés: DÍ Rósébio Rodríguez: Estreméra, Don tado del departamento de lo In te rio r; nO me ha satisfecho en Joaqéri fí ^Aséh si o , D. Géronihio' M aría Bete^oU, t). Rartíón niáfiera/alguna^ Lord John Russéll ha dicho que el L uxem b ur- ! B R ¥ T A Ñ A ., ' ^ r ’ ó:- : " V él Lim burgo pertenecieroii en Su origen á la Hol in d a: sin G^rcíá; S e r v i a , nD/ Jiiáiri ^ v illa n b , D ’ Lorenzo Iruegas , Don .r»tí!) ai.» £-,-&gt;-.0…</t>
  </si>
  <si>
    <t>Gó, Antonio</t>
  </si>
  <si>
    <t>Antonio Gó</t>
  </si>
  <si>
    <t>…l louqania , e superior vantagem ó grande dependencia con que está escrita , y las dos litografías que la CAMBIOS. genio do author do D. Qaixote de la Mancha , ó i inmortal Cer­ ado rnan, ejecutadas por el distinguido artista D. Antonio Gó­ vantes. Esta dirige-se a patentear, re fu ta r , e convencer c lara­ mez , la hacen ocupar el rango de una de las obras de roas Londres, á 90 dias, 38| papel. Coruña, 1 d. mente os erros da falsa filosofía-modero a , e os funestos frúctos novedad , instrucción y elegancia que hasta el d…</t>
  </si>
  <si>
    <t>…biéndose rea­ Otra id., rambla del Perionciilo , término de Dalias, V ir­ lizado con las formalidades que la misma previene , tocó á los gen del Carmen, por José Fernandez, en 18. sugetos siguientes: D. Juan Castelló y Roca , D Antonio Gó­ Otra id . , sierra de L u ja r, loma del Cordero, término de mez y Paran, D. Manuel Guinea , D. José de Mesa, D. A n­ Velez , S. Antonio , por Nicolás Cabrera , en 22. tonio Marte! y Nuñez, D. Francisco Gómez Acebo, D. Pedro Otra i d . , calar de Guejar Sierra , término de i d . , S.…</t>
  </si>
  <si>
    <t>Gó, Bárbara</t>
  </si>
  <si>
    <t>Bárbara Gó</t>
  </si>
  <si>
    <t>…DA SIN BODA. &gt;ii\ ' hallado reo solo de homicidio involuntario, seria D. José González de Gomara : D. Gerónimo Coliantes, apode­ ¡ lénipre necesario estar en la cárcel por seis meses con rado de Doña María Manuela de Ribera: Doña Bárbara Gó­ dadaComedia en tres actos en verso , del célebre Picard , acomo­ giau perjuicio de sus labores , y siempre con mucho cui­ mez Talayera, viuda de D. Antonio Espinóla: D. Dimaso de en lasal librerías teatro español por D. Bautista Calleja. Véndele á 6 rs. de Escamilla, calle de Carretas,…</t>
  </si>
  <si>
    <t>Gó, Julio</t>
  </si>
  <si>
    <t>Julio Gó</t>
  </si>
  <si>
    <t>…de á Y. E. Secretaría de Estado del Despacho de tro pais. Los niños de esta clase ilustraron sus proposiciones con demuestra ai pie, pues que con esta circunstancia cuidará la ad­ la Guerra 5 de Julio de 1859 irdlmo. y Excmo. Sr. Julio Gó­ toda clase de ejemplos, demostrando ademas en la pizarra sus ministración de correos de Marsella, conforme á las prevencio­ mez de Silva Sánchez, barón de Ribeira de Sabrosa. conocimientos en la partida doble. nes que se le hagan por el citado cónsul francés, y bajo el cré­ * (Diario do G…</t>
  </si>
  <si>
    <t>Gó, Pío</t>
  </si>
  <si>
    <t>Pío Gó</t>
  </si>
  <si>
    <t>…anifestando y preseutando documentos que comprueban los Idem sin interés, 6 cinco dieziseisavos á 24 d. f. ó vol. razones que meditaron para ponerle tal ó cual título cuando servicios y méritos contraidos por su difunto esposo D. Pío Gó­ Acciones del banco español de 8. F ernando, 00. por vez primera tuvo la honra de ver la luz pública / ni me­ mez Gutiérrez, teniente retirado del cuerpo de artillería , con nos interesan al lector los detalles de la historia de este libro goce de sueldo , quien en una salida que hizo como Na…</t>
  </si>
  <si>
    <t>Gómez</t>
  </si>
  <si>
    <t>…rcía U-si» en CRONICA DE MADRID. de colocar este su nombre en ^‘ws fastos al lado d*i los de el drama E l arte de conspirar. Essa delicada lámina* eje­ Kean, Eekain y Maiquez; pero dedica sus esfuerzas a e n ­ cutada por el Sr. Gómez, acreditado pintor, y te&gt;grafia&gt;dk REPERTORIO DRAMATICO. PRIMERA ENTREGA. ( I ) . señar a su hija lsabel, que manifiesta felices disposiciones, por el Sr. Bachiller, es quizás la mejor que se ha publica­ y á preparar su salida en un teatro principal. do en España, y digna de competir con las…</t>
  </si>
  <si>
    <t>…icaciones dadas por el Sr. Ministro de Hacienda, tengo que leí diezmo pagado se debia abonar. Entonces no se hizo esa dis- El Sr. FERNANDEZ BAEZA (desde ¿a tribuna) dijo que poner la cuestión en un terreno mas práctico que el Sr. Gómez incion, sino que se cargó coa todo. solo habia hecho esta interpelación porque creía que afectaba á Acebo. El Congreso ha visto por la lectura de la discusión que En este estado encontré yo las cosas, y me encontré suma- intereses particulares de provincias que no pueden menos de ser ha pedi…</t>
  </si>
  <si>
    <t>…u edaron sobre la mesa los siguien tes d ic t á m e n e s : Respecto de la segunda diré que ei Sr. González Alonso h a lo e s t á : esta es la verdadera opinió n ó concepto de la ley. H a s­ 1.° Acerca de la a d m isió n del Sr. Gómez P a r d o , suplente reclamado del Congreso cierta g ra c ia á favo r de los D ip u ta d o s ta a q u i m i opinión en esta m ateria , que juzgo la mas con for­ p or M a d r id , en que o pinaba la comisión q u e , m ediante á haber nombrados por esa provin cia, que no pueden conceder ni los…</t>
  </si>
  <si>
    <t>…: E l Sr. C ortina, que tan bien se acuer­ diga si ese convenio existe ó no ; si no existe, y o por mi parte k institución de la M ilicia nac ion a l, de esa M ilicia que tan­ da de las pocas expresiones que dije respecto al Sr. Gómez P a r ­ roe felicitaré de que se m eja n te Operación no se efectú e, y si tas glorias ha dado á la patria y derramado su sangre en defe n­ d o , se ha olvidado de la réplica m i a , pues y o dije lo mismo existiese debe traer los docu m entos, para que de este roodo se fije U cu estión, y po…</t>
  </si>
  <si>
    <t>…ial , no puede acusársele de que defienda su propia provincia desde mi comunicación del último correo, como no causa ; pero que no es un adversario sistemático de todos los sea el haber sido puesto en libertad el titulado general Gómez, intereses materiales. Alude á la prosperidad de que gozaba la Vinaroz 8 de M arzo . que hace tiempo se hallaba arrestado en el fuerte del alto de Bélgica , y se detiene en demostrar que esla prosperidad ha de­ bido su influencia á la sociedad en general: admirándose de los La partida de caba…</t>
  </si>
  <si>
    <t>Gómez, Agapito</t>
  </si>
  <si>
    <t>Agapito Gómez</t>
  </si>
  <si>
    <t>…ubprefecto de Bayona y el cónsul español se han trasla­ se ha hecho acreedor a igual premio que el antedicho. c iara la p ro xim idad de SS. MM., y todos ios concurrentes dado también a aquellos parajes. El 17 llegaron á Sara. D. Agapito Gómez, de 11 años de edad, monitor de la sex­ á este solemne acto se p ondrán en pie. ta clase, por su aplicación y méritos en los místaos ramos que Art. 9.° SS. MM. se colocarán en el trono dispuesto a l los dos anteriores y cuidado de su clase, se ha hecho acreedor efecto: detrás de las…</t>
  </si>
  <si>
    <t>Gómez, Antonio</t>
  </si>
  <si>
    <t>Antonio Gómez</t>
  </si>
  <si>
    <t>…eu- Ramales y Marrón. Que sin embargo de haber repetido los re­ Otra id ., sierra de Gador , dicho término, llano del plomo, terio Carrascosa, en 11 . beldes las órdenes prohibitivas de comunicación con nuestro Sta. Tecla, á D. Antonio Gómez, en id. Otra id. en dicha sierra, Pecho de la H ig u era, término territorio, se cree que esta medida dure pocos dias. Otra id ., Pecho del M uerto, término de Benadux, S. Ale­ de B erja, Virgen del Cármen ó M olineros, por José López, jo , á Antonio Romero, en id. También anuncia qu…</t>
  </si>
  <si>
    <t>…0 .................. d e . . 200 ..................... 2000 un temporal tan deshecho. D. Autonio Cavanna. 2 4 ................. . d e .. 100 ..................... 2400 Habia ya abierta una brecha en una de las casas y dos en D. Antonio Gómez. 5 2 ............... .► d e . . 5 0 ..................... 2600 o t r a , ocupando nuestras guerrillas sus inmediaciones á tiro de 400 .................. d e . . 20 ..................... 8000 pistola. PRE C IO DE SU SC R IPC IO N . Posteriormente se ha sabido la ocupación de Ramales…</t>
  </si>
  <si>
    <t>Gómez, Eugenio</t>
  </si>
  <si>
    <t>Eugenio Gómez</t>
  </si>
  <si>
    <t>…Hertz. Y cediendo á las damas sus bien q ue algunos periódicos de esta capital h a n pin ta d o lo merecidos laureles, supo recogerlos bien brillantes para sí el se­ o c u rrid o ú ltim am ente en una provincia de Grecia. ñor D. Eugenio Gómez, á quien deben su educación música El pensamiento de estos dos últimos versos, q u e q u ita ­ muchas de las señoritas que son brillante adorno del Liceo. El Atenas 26 de Abril de 1859.n E l día 20 del corriente una da la simetría de b a ja ra y ascendiera n o estaria mal en distinguid…</t>
  </si>
  <si>
    <t>Gómez, Felipe</t>
  </si>
  <si>
    <t>Felipe Gómez</t>
  </si>
  <si>
    <t>…istas de la compañía de hecho de un impreso que ha publicado el Dr. D. Ju a n Ramón ópera. Se distribuirá del modo siguiente: de Barcia, relativo á la vida de Doña Rita Castillo, hermana A virtud de providencia del Sr. alcalde D. Felipe Gómez 1.° Sinfonía característica española del maestro Mercadante. de aquel, cuyo expediente ha sido sustanciado por los trámites Acebo , y para celebrar juicio de conciliación, se cita por el 2.° E L E N G A Ñ A D O R E N G A Ñ A D O ; ópera.ea nn acto, prescritos en las leyes de libertad de…</t>
  </si>
  <si>
    <t>…ldía constitucional.—Primera demarcación. esta capital. riosos , amantes de nuestras Reinas y afectos á las instituciones Baste á nuestro propósito el consignar en estas líneas toda de A virtud de providencia del Sr. alcalde D. Felipe Gómez nuestra admiración , todo nuestro entusiasmo. 1857, han merecido en esta capital no solo los votos de los Acebo Una acción bien manejada, unos caracteres bien delineados, electores, sino de todo el vecindario para individuos del ayun­ presente, áy D. para celebrar juicio de conciliació…</t>
  </si>
  <si>
    <t>…oix, calle de Carretas , y M inutria , calle de Toledo. * Vifió y los Sres. Unanue y Salas ; con decoración y trajes. Alcaldía constitucional, Primera demarcación . "' Segunda parte* . A virtud de providencia del Sr. alcalde D. Felipe Gómez C U E ST IO N fundamental sobre la sucesión á la corona de Es- 1.° Sinfonía nueva del maestro Carnicer, escrita expresa­ Acebo, y para celebrar juicio de conciliación, se cita por el paña. Colección de varios documentos que han circulado mente para este beneficio. presente á D. Jo«é Mos…</t>
  </si>
  <si>
    <t>Gómez, Fernando</t>
  </si>
  <si>
    <t>Fernando Gómez</t>
  </si>
  <si>
    <t>…. (Id.) pasen á verificarlo en su respectivo cuartel. (Núm. 1821,.) Real decreto relevando del cargo de comand.»-.te general de! del ministerio de la Gobernación de la Península, repro­ Campo de Gibraltar al tenieote general D. Fernando Gómez duciendo la que en 15 del anterior pasó al mismo el minis­ de Butrón. (Núm. 1845.) MADRID 18 DE D ICIEM BRE. I terio de la G uerra, acerca de los que se mutilen voluntaria­ nombrando comandante general del Campo de Gibraltar al teniente general D. Luis Carondelet y Castaños. (Id.)…</t>
  </si>
  <si>
    <t>…e necesario, pues al priacipiar Loureiro y llanadas de Lamas de Aguada, he batido y con­ digo con esta fecha lo que sigue: los males es cuando deben cortarse, á fin de evitar su aumento cluido con el estado mayor del cabecilla D. Fernando Gómez, Excmo. S r.: Por comunicaciones que acabo de recibir del y consecuencia; sobre cuyo particular no permitiré la mas pe­ alias Ebanista, dando muerte á cinco; entre ellos fueron reco­ Sr. gobernador de la plaza de la,Seo de Urgel, no cabe ya la me­ queña omisión,, y u^aré al efecto del…</t>
  </si>
  <si>
    <t>Gómez, Francisco</t>
  </si>
  <si>
    <t>Francisco Gómez</t>
  </si>
  <si>
    <t>…{Id.) sión de la instalación de la sociedad. Regidores: D. Juan Patricio Sebastian, comerciaste: Don Juan de Mata Escolar, hacendado: D» Casimiro Calle: D. So- BASES DE ORGANIZACION DE LA SOCIEDAD. tero Sabaaz», comerciante: D. Francisco Gómez, carpintero, capitalista: D. Simo» R u iz , comerciante. NOTICIAS n a c i o n a l e s . 1.a Se establece una sociedad filantrópica con el objeto ex­ Procurador síndico: D. Simeón A guirre, hacendado y co­ clusivo de mejorar el sistema carcelario, correccional y penal merciante. M…</t>
  </si>
  <si>
    <t>Gómez, Isabel</t>
  </si>
  <si>
    <t>Isabel Gómez</t>
  </si>
  <si>
    <t>…marques de Monte- dudad de L u g o , por sí y á nombre de D. Antonio López, Celoso el ayuntamiento constitucional de Colmenar de Ore­ s a , Diaz Caneja, L leopart; y Secretarios, conde de V ig o , y residente en Barbeitos, y Doña Isabel Gómez , vecina de Cas­ ja del bien de la España, regentada por la augusta Reina G o­ Medrano. tañedo, los tres hacendados en la provincia de L u g o , ha pe- bernadora en nombre de su excelsa Hija Doña Isabel n , y con El Sr. P R E S ID E N T E advirtió que los Sres. de la diputa­ lido la co…</t>
  </si>
  <si>
    <t>Gómez, Jaim e Vicente</t>
  </si>
  <si>
    <t>Jaim e Vicente Gómez</t>
  </si>
  <si>
    <t>…ezca mas denuncia de un artículo impreso en el E co d e A ragón del dia 2 6 t i g u a s , hallaremos que este era el único medio por el que se razonable, sin hacer caso de lo que otros digan. de J u n io ú lt im o , hecha por D. Jaim e Vicente Gómez, coman­ podía comunicar algu n a verdad á los déspotas, y empleado á El ru iseñ or y e l cazador. Un ruiseñor cayó en una tram ­ dante de Nacionales de M o n ta lv an , que resultó ser su autor veces con mucha eficacia para calmar á un pueblo amotinado. pa , y para recobrar su…</t>
  </si>
  <si>
    <t>Gómez, Joaquín</t>
  </si>
  <si>
    <t>Joaquín Gómez</t>
  </si>
  <si>
    <t>…ad en Asimismo se ha dignado nombrar gefe político de la pro­ Art. 7.° La dirección general de E studios, oyendo á la que estaba del grueso de las fuerzas enemigas. Concluye dicien­ vincia de Ciudad-Real al que lo era cesante D. Joaquín Gómez. sección de negocios m édicos, p ro p o n d rá al G o b ie rn o los do que nuestra pérdida en dicha jornada consistió en tres muer­ dep en d ien tes que h a y a m enester para la instrucció n y tos y 15 heridos, ignorando la del enem igo, si bien la gradúa despacho de dichos negocios,…</t>
  </si>
  <si>
    <t>…de luego los señores que la componen, DIRECCION GENERAL DE LOTERIAS NACIONALES. en la proporción siguiente: Noticia de los pueblos y administraciones donde han cabido ciones EMBAJADORES. Hoy domingo habrá dos excelentes fun­ D. Joaquín Gómez.............................................................. 51 los 20 premios mayores de los 602 que comprende el sor­ buenos dedicadas á la Milicia nacional de esta corte y á los españoles, en los términos siguientes : D. José Cadaval................................................…</t>
  </si>
  <si>
    <t>Gómez, José</t>
  </si>
  <si>
    <t>José Gómez</t>
  </si>
  <si>
    <t>…es zrEstado mayor.=Por Real orden de 19 del presen­ Otra id ., en la D ehesa, Solana del Puntal de los M ache- CAM BIOS. te mes se ha servido S. M. la Reina Gobernadora conferirme el ros, término de D ila r , la A legría , por D. José Gómez M aga­ toando m ilitar de esta provincia y el de las tropas de opera­ ña , en 19. Londres, á 90 d ia s, 38| á f . C o ru ñ a, 1 £ á 2 d. ciones de ella en relevo del Sr. brigadier D. M artin José I ria r- O tra id ., sierra de G ador, loma de la Fuente, término de P a ris, 16-6. G ran ad…</t>
  </si>
  <si>
    <t>…r D. Francisco Y aldés , y de otros gefes y o ficiales, y M ensaje d el P resid en te d e la república d e N ueva G rana­ y aprobado por el Congreso gran ad in o desde 1854- Q uizá en con mas especialidad del indicado teniente D. José Gómez por da ai C ongreso d e 1839. este año no quedarán frustradas nuestras esperanzas de recibir el arrojo con que cargó al enem igo. de aquella República un acto dem audado por la ju stic ia y por Conciudadanos del Senado y de la C ám ara de representan­ la recíproca conveniencia. S. M .…</t>
  </si>
  <si>
    <t>…sco Fernandez, guno se halla agitado de un furor mas v io le n to , cuando sabe que le es permitida la venganza. Esta com binación Títulos al portador del 5 por 100, 20J y 2 0 f con cupones mayor presidente, D. Ramón R odrigo, D. José Gómez, D on al contado: 20¿ , once dieziseisavos, quince treintaidosavos, Javier N olibós, presbítero, D. José M arco, D. Manuel Sanz, bastaba para form ar un drama excelen te, y no era nece­ trece dieziseisavos, nueve dieziseisavos, f- , quince dieziseisavos D . Ignacio Lobez, D . Roque Sánc…</t>
  </si>
  <si>
    <t>Gómez, Lorenzo</t>
  </si>
  <si>
    <t>Lorenzo Gómez</t>
  </si>
  <si>
    <t>…onvento de Quedó sobre la mesa el nuevo dictamen de la comisión de Ac­ protección que tan justamente reclaman y que la guerra ha­ Loyola , busca también un asilo en Francia. El famoso T rista- tas sobre las circunstancias de D. Lorenzo Gómez P ardo, D i ­ cia impracticable. La instrucción pública, menguada por el es­ ny, alias Mosen Benet, ha podido en trar, pero al traspasar la putado por Madrid. trépito de las armas desde la guerra de la independencia, some­ línea le han desnudado, y en cambio un soldado le ha dado Anu…</t>
  </si>
  <si>
    <t>Gómez, Martiniano</t>
  </si>
  <si>
    <t>Martiniano Gómez</t>
  </si>
  <si>
    <t>…miento de El tasador general D. Manuel Camuñas................... 1 lanceros........................................................................... i El procurador D. José Saturnino Blanco................. 1 602 53000 Id. D. Martiniano Gómez, capellán del castillo El escribano de número D. Bartolomé N uñez.. . . 4 de Atarás .......................................................... 1 Id. D. Bartolomé Puigdoller....................................... 4 Caso de salir premiado el número 1 con los 8000 ps. fs ., la La R. m…</t>
  </si>
  <si>
    <t>Gómez, Pió</t>
  </si>
  <si>
    <t>Pió Gómez</t>
  </si>
  <si>
    <t>…eda enterado. ñor M inistro de la Guerra una exposición de Doña Bernarda Fuente y Pedro M u ñ o z , y el gefe político, secretario y oficia­ Recomiendo á los presidentes de las secciones que se sirvan Segura y A lb a, viuda de D. Pió Gómez G u tié rre z , teniente re­ les del gobierno de Sevilla. reunirías para examinar el primer proyecto de ley leido en la tirado de artille ría, que solicita que por los muchos servicios de sesión de hoy. No habiendo asuntos pendientes, se avisará á su esposo , que murió como Nacional volun…</t>
  </si>
  <si>
    <t>Gómez, Saturnino</t>
  </si>
  <si>
    <t>Saturnino Gómez</t>
  </si>
  <si>
    <t>…to en la pla­ total de premiados 150 9, no llegan á tres millones las fanegas zuela de S. M artin de M adrid, núm. 8 , se halla bajo la d i­ de tierra que hay que entregar por esta recompensa, cuyo nú­ rección del presbítero D. Saturnino Gómez, quien después de CRUZ. H oy no hay función. mero es muy corto en comparación de las fanegas de tierra que haber sido once años director principal de un colegio de esco­ tenemos en baldíos, realengos Sec ., según la memoria que el lapios, y haber estado tres mas agregado en clase d…</t>
  </si>
  <si>
    <t>Gómez, Vicente</t>
  </si>
  <si>
    <t>Vicente Gómez</t>
  </si>
  <si>
    <t>…co Luis González, en 11. Otra id ., puntal de Parra, término de Berja , Gaditano, de Junio de 1859.—Pedro Julián Contreras.—V.° B.°=Pedro M a­ reales 22 mrs. v o ., á rebajar cargas, está señalado el dia 18 ahora Palomo, por D. Vicente Gómez, en 1 1 . ría Zubiaga. del corriente á las doce y media de su mañana en la casa con­ Otra id., hoyos de Mancha, término del Presidio, Fortu­ sular, calle M a y o r , edificio que fue convento de S. Felipe el n a , por Juan Buendia, en 13. Real. Q uien quisiere hacer postura acuda á l…</t>
  </si>
  <si>
    <t>Góngora, Manuel</t>
  </si>
  <si>
    <t>Manuel Góngora</t>
  </si>
  <si>
    <t>…con caer de lo alto para que muera del gofpe contra las pie­ Otra plomiza, sierra Alham illa, cuesta de las Tejas, tér­ la tierra. dra?, y saciar luego su apetito. Si la extrema necesidad le mino de V iato r, la Fortuna , por D. Manuel Góngora , en 29, En la vecindad de Gibraltar se ven bandadas atrave­ obliga á atacar una ternera, se junta un escuadrón para el Otra id. , sierra Almagrera , barranco Pinalbo , término de sando de Africa a E uropa, y de Europa á Africa, de mo­ ataque, con la vil circunstancia de herir prime…</t>
  </si>
  <si>
    <t>Gúzma.n, Garlos</t>
  </si>
  <si>
    <t>Garlos Gúzma.n</t>
  </si>
  <si>
    <t>…rá por los medios que tiene á su alcancé, mera clase. • ■ : ¿ .• '■ , y . circular de la biblioteca, ascienden á 166 volúmenes en 4*° m a­ para que preste los auxilios que por espacio de cinco años está ArfiIlerí,a.s:Ten¡ente D. Garlos Gúzma.n , grado de capitán y o r , encuadernados en tafilete encarnado sin cortar los cantos. prestando la de ese benemérita capital, pues en sus principios de infantería. ' • : *• .. El papel es de cartas muy fino: cada hoja está escrita por una no dejaron de prestarla los de la ribera , v…</t>
  </si>
  <si>
    <t>GüILLElN</t>
  </si>
  <si>
    <t>…ñores mismos á presentar los títulos den­ al buen gobierno de los pueblos: todo acto de ejecución cor­ aun podia dar en este asunto. tro de un cierto término: en otro caso es al revés. ¿Saben los responde á los alcaldes. El Sr. GüILLElN Y G R AS manifestó que el Sr. Ministro Sres. Diputados si los reclamantes se hallan en ese caso, y está habia padecido una equivocación al decir que los pueblos se ha­ decidido y claro que el patrimonio no obtuviera esos derechos, T IT U L O II. bían apropiado por sí esos derechos, pues q…</t>
  </si>
  <si>
    <t>H, Carlos G.</t>
  </si>
  <si>
    <t>Carlos G. H</t>
  </si>
  <si>
    <t>…Habiendo quedado vacante el empleo de cónsul de Suecia Art. 4 1 . En los pueblos donde los diezmos hubieren estado bos de las cantidades de especies y metálico que por la decima­ y de Noruega en Málaga , por fallecimiento de D. Carlos G. H. administrados por cuenta del Estado, se admitirán á los parti­ cion hubieren entregado con la expresión y formalidad que se K rauel, que lo obtenía, podrán presentarse las solicitudes de culares contribuyentes tos recibos que presenten dados por los expresa en el art. 4 L Los que se h…</t>
  </si>
  <si>
    <t>Ha, DE LOTERIAS NACIONALES.</t>
  </si>
  <si>
    <t>DE LOTERIAS NACIONALES. Ha</t>
  </si>
  <si>
    <t>…eto s, órdenes y circu lares p u b lica ­ las ideas en todas sus divisiones hasta el influjo que ejerce el dos en este p erió d ico en e l mes a n terio r. alma sobre el cuerpo, y su uoion y relaciones con él. DIRECCION GENERAL DE LOTERIAS NACIONALES. Ha sido adoptado por texto en varias universidades y co­ Real decreto nombrando Senadores por varias provincias. (N ú ­ legios de enseñanza. Consta de un tomo en 8.° prolongado. N oticia de los pueblos y adm inistraciones donde han cabido mero 1755.) Se vende en M adrid en…</t>
  </si>
  <si>
    <t>Ha, Gracia y Justicia.</t>
  </si>
  <si>
    <t>Gracia y Justicia. Ha</t>
  </si>
  <si>
    <t>…y cuá­ Nayas; hablen por mí los sentimientos que en lodos ha pro­ la discordia a este recinto? La relación que ha hecho el se­ les son estas? Las adiciones que comprende el primer artículo ducido la conducta del Sr. Ministro de Gracia y Justicia. Ha ñor Madoz es tan fiel, que no necesita testimonio; he sido del proyecto de la minoría, que casi no me equivoco si digo que padecido una equivocación S. S. aí expresar que yo he dicho testigo presencial de todo. yo le formulé, y me refiero al Sr. A rteta; ya desde entonces que…</t>
  </si>
  <si>
    <t>Ha, Ministro de Gracia y Justicia.</t>
  </si>
  <si>
    <t>Ministro de Gracia y Justicia. Ha</t>
  </si>
  <si>
    <t>…e disputa; ¿ y cuá­ Nayas; hablen por mí los sentimientos que en lodos ha pro­ la discordia a este recinto? La relación que ha hecho el se­ les son estas? Las adiciones que comprende el primer artículo ducido la conducta del Sr. Ministro de Gracia y Justicia. Ha ñor Madoz es tan fiel, que no necesita testimonio; he sido del proyecto de la minoría, que casi no me equivoco si digo que padecido una equivocación S. S. aí expresar que yo he dicho testigo presencial de todo. yo le formulé, y me refiero al Sr. A rteta; ya desde…</t>
  </si>
  <si>
    <t>Ha, Sancho.</t>
  </si>
  <si>
    <t>Sancho. Ha</t>
  </si>
  <si>
    <t>…e suma importancia el he pedido la palabra para contestar únicamente á una expre­ Gobierno, y particularmente al Ministro actual que no ha te­ asunto que ocupaba al Congreso , y que habiendo sido bastan­ sión del discurso del Sr. Sancho. Ha dicho S. S. que estábamos nido para tiempo para ser responsable; antes al contrario, lo digo excitarle sobre un punto de importancia, persuadido yo te dilucidado por el Sr. Mendizabal, no hubiera tomado la pa­ en un caso extraordinario, y que era uu delirio pensar el sal­ que con su pru…</t>
  </si>
  <si>
    <t>Ha, Soult.</t>
  </si>
  <si>
    <t>Soult. Ha</t>
  </si>
  <si>
    <t>…encia, le encargóS. M. se ocupase en la for­ procedentes de arbitrios especiales establecidos en las pro­ suficientes para reparar el piso de la barca Santa Isabel, cuando mación biendo de un Gabinete de acuerdo con el mariscal Soult. Ha­ hablado Mr. Passy de la necesidad de que entrase Mr* vincias con el únicp y exclusivo objeto de atender á la con­ sea preciso, y se ha abierto una zanja para el muro de caida de Thiers en este Gabinete, servación y mejora de sus comunicaciones interiores, y un badén que debe construirse…</t>
  </si>
  <si>
    <t>Haarlen</t>
  </si>
  <si>
    <t>…uerido deshacer lo hecho, y Constitución de 1857 con sus legítimas consecuencias. ni trasladar todos los establecimientos provinciales ni la residen­ El ayuntam iento, Señora, tiene la mayor satisfacción en cia del gobernador de Haarlen á Amsterdan. Sin em bargo, hoy En virtud de ordenanza del 30 de N oviem bre, las somas poder responder á Y. M. de esta verdad , y de que estos pue­ se empieza á creer que el Gobierno, mas dócil, escuchará por fin pagadas por el Gobierno de la república de M éjico, en ejecu­ blos no cesarán d…</t>
  </si>
  <si>
    <t>Haase</t>
  </si>
  <si>
    <t>…ra al director del círculo de Gorsdorf, y vicepresi­ noticia de todos los habitantes de la provincia, nadie alegue los almacenes del ejército del mediodía, y los otros conducirán dente al burgo ^maestre doctor Deutrich. El doctor Haase ha ignorancia. J á Constantinopla las armas fabricadas eu Tula por cuenta del sido nombrado presidente de la segunda Cámara. San Sebastian 10 de Noviembre de 18 39.:=:Eustasio A a ji- Gobierno turco. (G. de Leipsich.) libia.</t>
  </si>
  <si>
    <t>Habana, Juan Muñoz.</t>
  </si>
  <si>
    <t>Juan Muñoz. Habana</t>
  </si>
  <si>
    <t>…posible dar piensan haber ya cumplido con la mitad de su compromiso te­ ción de nuestro amigo el Sr. conde de Mopox y Jaruco , que un elem ento com ún á todos los verbos, com o quiera que niendo entre ellos al ya mencionado D. Juan Muñoz. Habana allá á mas de 25 leguas de esta capital, y en el cuidado y ade­ cada uno ha procedido de la diversidad de las acciones, y Abril 29 de 1 8 5 9 .= Felipe Poey.—Ramón de Armas. lanto de sus intereses, no se aparta'por eso de la sociedad, co­ ( Mem . de la Real sociedad patriótica .…</t>
  </si>
  <si>
    <t>Haber, Vi</t>
  </si>
  <si>
    <t>Vi Haber</t>
  </si>
  <si>
    <t>…será arreglada por ara­ Sigue abierta la m atrícula en la secretaría del L iceo, en casa bordinación y á la anarquía, ha fusilado sin preceder forma­ bas partes lo mas pronto posible, nombrándose los comisiona­ del Sr. duque de Vi Haber mosa. M adrid 28 de Febrero de 1838.— ción de causa á generales cubiertos de gloria en esta lucha y á dos al efecto provistos de las listas clasificadas que cada uno El secretario general, Narciso P. Colomer. servidores beneméritos por sus servicios y fidelidad acendrada, debe tener de lo…</t>
  </si>
  <si>
    <t>Habiendo, Carlos.</t>
  </si>
  <si>
    <t>Carlos. Habiendo</t>
  </si>
  <si>
    <t>…á su provincia confiado á D. Miguel para que desembarcara en Portugal , lo iglesia, que se celebró bajo las suntuosas bóvedas de esta cate­ favorita de Brandeburgo. La dirección de Colonia no vio nin­ que hubiera favorecido á D. Carlos. Habiendo caído este antes dral gótica , y nos sorprendió agradablemente con una plática gún otro medio de salvar su empresa que hacer un tratado muy de que el otro hiciera sus preparativos, D. Miguel ha guar­ improvisada, llena de unción y de caridad evangélica , en la oneroso para ella con…</t>
  </si>
  <si>
    <t>Habiendo, Soult.</t>
  </si>
  <si>
    <t>Soult. Habiendo</t>
  </si>
  <si>
    <t>…ección. — Circular* sigue, creería haber obtenido la victoria mas im portante, que Se lee esta noche en el Messeger : al mismo tiempo impide á Mehemet Alí mantenerse en Siria. IToy ha habido muchas reuniones eo casa del mariscal Soult. Habiendo hecho presente algunos gefes políticos la ne­ Ciertamente se hallaría lbrahim en una situación embarazosa El mariscal ha ido tres veces á ver al Rey para tratar de cesidad de que se señalen las facultades que les compe­ si fuesen interceptadas sus comunicaciones por mar ; pero la es…</t>
  </si>
  <si>
    <t>Había, Arguelles.</t>
  </si>
  <si>
    <t>Arguelles. Había</t>
  </si>
  <si>
    <t>ta á los documentos oficiales, y ya manifesté ayer también que clinatoria de jurisdicción s, no era ¡n z^do competente el de ta eran exactos los que había presentado el Sr. Arguelles. Había hará una proposición á su tiem po, la cual cree que será firma- metro poli; era otro el extraordinario de hacer recursos de fuer­ da por algunos Sres. Diputados. asimismo empezado ayer á decir, que el origen de la disensión za si se violaban las formas judiciales establecidas por…</t>
  </si>
  <si>
    <t>Hacien</t>
  </si>
  <si>
    <t>…stión porque era imposible adoptar una regla esta parte era solo correspondiente á la agricultura. La ley de anticipar esta acusación á la venida del Sr. conde, y espero que que comprendiese todos los casos, y el Sr. Ministro de Hacien­ 15 de Setiembre en su art. 6 .° dice : {leyó.) Aqui se ve bien ex­ el Congreso, convencido de la indispensable necesidad en que da en el artículo 59 de la instrucción ha decidido un caso que plícitamente mandado por la ley, que solo la clase de labrado­ me he hallado de acusar á un hombre…</t>
  </si>
  <si>
    <t>…el Gobierno dar por sí, y que por lo tan­ á sus valientes defensores. En el nlimero de aquellos debe con­ directo, pues sollo trató de favorecer á'Cataluña , á quien se be- to se ha excedido desús facultades. El Sr. Ministro de Hacien­ tarse á la villa de Gerri en la provincia de Lérida, cuyos ha­ neficiaba con esta Introduccion, en cuyo caso ta mbien. debía da ha manifestado ya que la cuestión de la utilidad ó ir utili­ bita ules compartieron con su corta guarnición y Milicia nació- tenerse en cuenta que se beneficiaria…</t>
  </si>
  <si>
    <t>…con la que remitía el acta de segundas elecciones de Salamanca. Murbella 2 de Setiembre de 1839. =: Francisco de Sales sulte de la representación de melodramas como el que vamos A la de Presupuestos un oficio del Sr. Ministro de Hacien­ García. á juzgar ahora. La casualidad y el fatalism o, bases sobre da , acompañando una adición al artículo 2.°, segunda sección, que reposan casi exclusivamente esta clase de obras , no son capítulo 2 .°, título 6 .° del presupuesto general de gastos del defectos ni preocupaciones que pueda…</t>
  </si>
  <si>
    <t>…iento de nuevos electores. Se dice en la carta de convocación , que habiéndose negado los electores hasta el d ía á Estado n inguna bula pontificia sin el asentim iento del poder remitan á esta secretaría para que el Ministro de Hacien­ temporal. Se añade que el Soberano temporal tiene el derecho de ejercer sus derechos, han renunciado á ellos por esta ra zó n ; y da ponga en cada una de ellas su visto bueno con firma que los depositarios de los poderes quedan advertidos de que si prohibir á los católicos presten obedieoc…</t>
  </si>
  <si>
    <t>…en afir­ Terminada su lectura , dijo y Villaloa. mar que tal es el sentimiento de los habitantes de e.^ta leal pro­ El Sr. B E N A V ID E S : Aun no he visto el D ia rio ; pero veo "Asegurándose de público que por el Ministro de Hacien­ vincia , muy en armonía por cierto coa el de los españoles to­ en la redacción dei acta que no se han insertado literalmente da se ha verificado un convenio con una casa de comercio de dos; sentimiento que solo puede explicarse debid:»snente por el las dos proposiciones que ayer tuve el hono…</t>
  </si>
  <si>
    <t>…e 1859.-S. M. la Reina Gobernadora Por.......................................................................... Art. 72. De la mitad de este resto , que los pueblos pueden se ha servido aprobar esta instrucción.=:El Ministro de Hacien­ Por.......................................................................... satisfacer en papel, conforme se previene en el art. 7.° de la ley da, Pió Pita. de esta fecha, se formará cargo con separación, dividiéndole en Total.......... cinco partes iguales , que corresponden á los cinco m…</t>
  </si>
  <si>
    <t>…calificando á apoyado vivamente el marques de R odes, el conde Baillet y el Alcañiz 1 8 de Noviembre . los modernos de eruditos á la violeta ; pues en todos tiempos conde Yilain. Según el discurso pronunciado por el ministro de Hacien­ Hoy salen de aqui expulsadas las familias de los que se ha­ han sido muy pocos los que han profesado los ramos de instruc­ da que presentó los presupuestos generales de gastos é ingresos llan ó sirven en la facción ; lo que ya han practicado en Galan- ción, n i’todos pueden tampoco profundiz…</t>
  </si>
  <si>
    <t>Hacienda</t>
  </si>
  <si>
    <t>…gustos nos rodean inherentes «Al director general de R entas unidas dice con esta Andalucía, conde de Cleouard , del arresto del Sr. D. Francis­ á nuestro estado para que yo me proponga aumentarlos! pero fecha el Sr. Ministro de Hacienda lo que sigue: He dado co de Paula Alvarez, Diputado por la provincia de Huelva, creo con todo indispensable Calificar e*tos hechos tales como cuenta a S. M. la Reina G o b ern ad o ra de la exposición de creyó ante todo necesario reclamar con urgencia del mismo Go- son , porque aunque este…</t>
  </si>
  <si>
    <t>…La de elaborados en la Península.......................... 60 presupuesto. Precisamente las rentas mas pingües, y que mas necesita­ La de los mistos............................................................. 36 El Ministro de Hacienda, á quien se consultó también so­ ron del apoyo del Gobierno para obtener los rendimientos La de los comunes de tripa y capa de Virginia. . 24 bre el particular, ha manifestado que las direcciones generales que exigian con justicia las urgencias del erario, fueron las La de tusas de G oate…</t>
  </si>
  <si>
    <t>…dividuos del centro izquierdo ; esto no era tan ámplio quinta de 800 hombres. plicaciones: tampoco he debido eludirlas, y puesto que se nos ni tan fuerte, pero podia bastar. La presidencia de Mr. Barrot En seguida el Ministro de Hacienda presentó los presu­ crea á todos el deber parlamentario de explicarnos ante la C á ­ no era ya una necesidad, sino una conveniencia. puestos para el año de Í 84 O. mara , voy á hacerlo con la moderación que los hombres polí­ Ahora llego á los hechos relativos á las negociaciones que Habien…</t>
  </si>
  <si>
    <t>N.º 1721. JUEVES 1.° DE AGOSTO DE 1839. D IEZ CUARTOS. del ministro de Hacienda * en atención á qué el referido ca­ j se alojaron á la vista de los puestos avanzados edemigos^ PARTE OFICIAL. pitán ignoraba esta medida* lo que le ha causado una de­ ¡ Al siguiente oía ai -amanecer forrearon las trou-,^: inmedia- mora perjudicial; y para que en lo sucesivo no se encuen­…</t>
  </si>
  <si>
    <t>…ran d o a c tiv a m e n te , y hace m an iob rar en N a v a r r a rem itirse á la plaza.de V i t o r ia , y á este fin me m a n d a o cu p ar á su teniente D . D iego L e ó n : de forma que da motivo á creer El Sr. Ministro de Hacienda me dice en 31 de Ju lio con las fuerzas de mi m ando las posiciones de A r la b a n y desfi­ qu e tra ta de estrechar viv am e n te á los c a rlistas, ó por lo menos próximo pasado, que con aquella fecha comunica al di­ ladero del boquete de S alin as. ence rarlos en un círculo que no pued…</t>
  </si>
  <si>
    <t>…ección está compuesta de los autores y materias si­ BO LSA D E M A D R I D . se les permitirá hacer el desembarco del género sin una or­ guientes, que se venden sueltos en la forma y precios que se den especial del Ministro de Hacienda. (Id.) Cotización d e l dia 3 1 d las tres de la ta rd e expresarán. - - del Ministerio de Gracia y Justicia declarando que el 1.° Poesías de Francisco de F ig u ero a, llamado el Divino. art. 11 de 29 de Diciembre de 1858 sobre cualidades de jue­ EFECTOS PÚBLICOS. Un cuaderno impreso en I…</t>
  </si>
  <si>
    <t>…la hu­ mingo IJraide, Cecilio Otaola, Domingo Arza , José Bollo- Y de la misma Real orden comunicada por dicho Se manidad disponga anunciar en el Boletín oficial de su quin y Tomas González, soldados de id. id. ñor Ministro de Hacienda lo traslado á V. S. para su cono provincia »que las interesadas que se hallen en el caso de Presumen. Un capitán, dos subtenientes, un sargento pri­ cimiento y gobierno. Dios guarde á Y. S. muchos años. optar al citado premio de 2500 rs., le presenten solicitud mero, un segundo, un cabo pr…</t>
  </si>
  <si>
    <t>…ondiente al año 5 7 , y que á pesar d e q u e la asocia­ Siento que después de una discusión que se ha prolongado dos y viudas la porción de bienes nacionales que fuese suficien­ ción de ganaderos ha acudido al señor ministro de Hacienda, no bastante, y en la cual el Sr. Ministro de Gracia y Justicia h a te , procurando que esten situados en la provincia en que resi­ se les habia hecho justicia , mediante á que la orden dad a so­ hablado dos ó tres veces, no h ay a dado una palabra de c o n s u e ­ dan los interesados en…</t>
  </si>
  <si>
    <t>…diré algo Se lee y pasa á la comisión de Actas: por sí, ni prohijar, ni dar curso á exposiciones sobre negocios sobre lo principal, por si puede tener término la cuestión que sobre 1.° Un testimonio que remite el Sr. Ministro de Hacienda políticos, ni acordar medidas, ni otorgar peticiones algunas en ¿e agita. cierta causa en que entiende el intendente de León, á fin semejantes materias, bajo su responsabilidad. de tenerle presente al tratar de las actas de elecciones de D ip u ­ El Sr. Ministro de la Gobernación ha dado…</t>
  </si>
  <si>
    <t>…tente y nulo. A completar el dos de intereses de la deuda nacional. Seguo el mismo docu­ gos, sin ponerles obstáculo en lo que concierna á la pro­ logro de tan grandioso fin tienden los esfuerzos de Y. M. y mento del Ministro de Hacienda, en 1855 quedó también un so­ tección del comercio y de los nacionales sardos dentro de Gobierno, y la corporación que suscribe está dispuesta á secun­ brante de 213,000 duros, y en 1836 otro de unos 219 ,00 0; de los límites ordinarios de las atribuciones consulares. modo que en el espaci…</t>
  </si>
  <si>
    <t>…ización á las Cortes. t a r i o ^ sí solo una pequeña parte. Señores, hay en Madrid Añade S. S. que tiene pensado hacer una proposición para mas de 200 asistentes de mugeres de militares que todos toman que el señor Ministro de Hacienda remita una lista de los que ración de pan y el haber de soldado, y hé aqui otra de las cau­ han sido colocados después de la ley de 15 de Febrero, á fin de sas por que en el estado que tiene en su poder el Sr. duque de ver si reúnen los requisitos necesarios que previene la ley. ANUNCIOS…</t>
  </si>
  <si>
    <t>…ciones del quinquenio que con­ mas de justificarse legal y competentemente, resulten de guiente: cluyó con el año de 1832, cuyo término medio ha de ser la inspección que los administradores é interventores de «El Sr. Ministro de Hacienda dice con esta fecha al de la base de las subastas. La dirección y contaduría general rentas habrán de practicar en las primeras 24 horas que la Gobernación de la Península lo que sigue: S. M. la esperan que unos documentos tan esenciales para que no medien desde que los buques hubieren ancl…</t>
  </si>
  <si>
    <t>…enterado y acdrdó que se archivase una co­ ción al voto de los Diputados. serta c o m u n ic a c i ó n para q ue le sirva de g o b i e r n o , y le Añadió que á pesar de eso no veia ninguna razón ni de pia que el Sr. Ministro de Hacienda remitía del Real decreto p re v e n g a al propio t i e m p o , com o de sü R e a l o rd e n lo v e ­ por el que se comete á lá dirección general de rentas provincia- decoro del Senado, ni de conveniencia pública , ni de seguri­ r i f i c o , q u e d e p e n d i e n d o , según queda e n u…</t>
  </si>
  <si>
    <t>…vieren que de­ mino fie 50 días para k presentación de los 'Diputados electos, btteion em las 50# utaitarae», Pues snpoufjaun», señares, que se liberar pira adoptar alguna resolución común ,, lo harán sepa­ ' El Sr. Ministro de Hacienda remite de Real orden copia: .de[ fa ra a esta mnisioA mista, y ■»» se conforma ai con los 4.-0H ra di meo-te, y juntos despues darán su voto tes Senadores J decreto fie S. M. , por el cuiai se somete á la dirección fie ren­ mi coa los 50# milloaes, y propone 5tl0 ó 45(1 Este dicta «mío D…</t>
  </si>
  <si>
    <t>…aron en Tejas acaba­ asi con fecha 3 descorriente, con la de 14 del mismo m&lt; gado por sus crímenes. Que en un choque que tuvieron el 25 ban de formarse, y este fue el principio de nuestras desventu­ participa el Sr. Ministro de Hacienda haber comunicad! los celadores de la parroquia de Meilan con un grupo de re­ ras en un teatro que debió ser todo de gloria. Un soldado viejo la órdén oportuna á la dirección general de Aduanas pan beldes resultó muerto el faccioso presbítero D. Ramón Gon­ es un tesoro, porque es el maestro…</t>
  </si>
  <si>
    <t>…e facciosos, guientes é este anuncio , se presenten en dicho juzgado y por la Sección centraL —C ircular. y dieron muerte á dos de ellos. escribanía de José M iranda á exponer de su derecho ; con aper­ El Excmo. Sr. Ministro de Hacienda con fecha 24 del Que en el mismo d ia fueron batidos 22 facciosos de caba­ cibim iento que pasado , les parará entero perjuicio y procederá actual comunica á la dirección la Real orden siguiente: llería por el subteniente de tiradores de C astilla D. Fernando á lo que h a y a lu gar. B ani…</t>
  </si>
  <si>
    <t>…ra, ha de ser abonable á los propietarios ó á los a r ­ una observación al Congreso; y es que asi , en los término, que de mi obligación llenar el deber que habia contraido conmigo rendatarios, es d e c ir, que el Sr. Ministro de Hacienda ha re­ he leido, seria una verdadera acusación, y una acusación no m ism o, y en 15 de Noviembre, siete dias después de abiertas, suelto que debe ser solo abonable á los arrendatarios; y en con­ es una interpelación. El Gobierno entiende que interpelar es dije lo que el Congreso tendrá la b…</t>
  </si>
  <si>
    <t>…ión. Acer­ ción extraordinaria de guerra , y me persuadí lo mismo que ha también que las resoluciones mias citadas por el Sr. Ministro ca de las palabras mas ó menos fuertes que se hallan en ese ofi­ explicado el Sr. Ministro de Hacienda, que habia una especie de Hacienda para ponerme en contradicción con lo que ha di* cio , nada puedo decir, porque las lia oido el Congreso, y no de redundancia en este articulo, y que era supéríluo. Después cho y cou aquella ley , no tienen aplicación ninguna al caso creo que la susceptib…</t>
  </si>
  <si>
    <t>…este momento d e sign ar, ni Se interrumpió un momento esta discusión para que el se­ madres que, llevadas de su pasión, disputan sobre la hermosura aun el Gobierno m ism o, cuáles de estos fueros son los que se ñor ministro de Hacienda leyese un proyecto de ley p 3 ra la y las gracias de sus h i j a s , llegando quizás á un punto de que oponen á la unidad de la Monarquía ? ¿ Q u é de investigaciones :reacion de títulos al portador, con arreglo á lo prevenido en la tuviéram os que arrepentimos. no serán necesarias? ¿q u…</t>
  </si>
  <si>
    <t>…scusión para continuarla mañana , con El Sr. FERNANDEZ BAEZA: No hallándose presente el asi como el de que estoy conforme con S. S. en el principio Ib cual el Sr. Presidente levantó la sesión á las cuatro y media, Sr. Ministro de Hacienda,, regaría al Sr. Presidente-que se sus­ constitucional de que el ministerio por sí ni podo ni debió señalando d siguiente pendiese hasta que diicho Sr. Ministro se presente. hacer esta reforma. Pero con todo f de ninguna manera hu­ El Sr, PRESIDENTE: Pues continúa la discusión del ar­ bier…</t>
  </si>
  <si>
    <t>…p¿ra Quinta sección.—Circular. aprovechar una coyuntura favorable si se presentaba. En Buenos Aires hubo grandes regocijos ¿iluminaciones por noche, La sección salió de aqui el misrno dia 6 á las diez de la El Sr. Ministro de Hacienda comunica al de la Gober­ la derrota y ayer 7 me dice desde Jalacingo Estéves á las diez de nación de la Península con fecha de 17 de Julio próximo chilenos. Sedelhabían protector 'anta Cruz en el Perú á manos de los la mañana que llegó á las cinco de la madrugada sin novedad, hecho proposi…</t>
  </si>
  <si>
    <t>…z.—El teniente coronel comandante de ingenieros de esta tecimiento de Vergara. Acto el mas sublime que consignará i i conocerá también la sinceridad de los votos de esta corporación provincia , Gabriel Gómez Lobo.—El ministro de Hacienda m i­ sus páginas de oro la historia. La leerán, Señora, con asómb &gt; por ver terminada la guerra fratricida, y reunidos eu derredor</t>
  </si>
  <si>
    <t>…e menor edad, pues si no , parece que se quie­ que temo que mis observaciones sean insuficientes. Cuando el luego que lo quedase la renta , y que no siendo esto suficiente re dar á entender quéTa pensión es por vida. Ministro de Hacienda se presentó al Congreso por primera vez para llenar el objeto que se propone en el art. 17 de ia Consti­ El Sr. GISPERT: El Sr. Infante ha hecho la observación nos anunció de una manera solemne que era triste el estado de tución, y en el j 6 de la ley electoral, el Senado no podría me­ de…</t>
  </si>
  <si>
    <t>…á 6 rs. en rústica en la librería redenciones de todas las c a r g a s, ora fuesen al quitar ó perpetuas. Art. 2.° Los colegios electorales se reunirán el 2 de Marzo de Cuesta , frente á S. Felipe el Real. El actual Ministro de Hacienda tiene la honra de manifes­ próximo para elegir sus respectivos Diputados. Los dos cole­ tar á tas Cortes que abunda en tos principios emitidos por la gios electorales de la Córcega se reunirán para el mismo efecto dirección general de Amortización, en junta de ventas de bie­ el 6 de Marzo p…</t>
  </si>
  <si>
    <t>…el Sr. conde de las N a ­ bo los deseos del Sr. Iñigo , .pero yo veo la cuestión de distinto personal,) Nodehay Rivas pidió la palabra para una alusión alusión al Sr. Perez de Rivas, y lo espero vas acerca de si el Ministro de Hacienda, Jim énez, ha ¿oíluido modo que S. S .; asi pues ruego al Coogreso *e sirva aprobar con tanta serenidad como la espera un amigo que dice la ver­ roas ó menos en las elecciones, y roe he admirado de que una el dictamen de La coroiúon. El Sr. JÑ IG O : A llo m a r yo la palabra para apoyar…</t>
  </si>
  <si>
    <t>…a. con los ojos vivos, la sonrisa en los labios, pelo rizado y guan­ tación en la caja de amortización , parece que debe buscarse la tes amarillos: de forma que el retrato viene á simbolizar el c ar- Reconoce que el Ministro de Hacienda tiene un título á la cabeza de este banco, y no al que dirige sus operaciones. consideración del Congreso por ese despojo que parece ha he­ n a v a l , y una docena de ejemplares son una verdadera masca­ El Sr. M EN D IZA B A L insistió en que el comisario régio rada ; sin que el público s…</t>
  </si>
  <si>
    <t>…a, á Ja cual se la recarga siempre en todas las contribuciones; y tampoco puedo yo pasar por sospechoso al Sr. conde de Tore­ al mismo tiempo que esta condecoración se les dio á varios ofi­ que cuando esto expuso, el Ministro de Hacienda que era en­ no de que no sea yo su am ig o , pues me hallo dispuesto á sos­ ciales de la división del general R ivero, por el mérito que con­ tonces, contestó que á su tiempo se haria la rectificación con­ tenerle con aquella firmeza y energía de que soy capaz. trajeron en la constante y ac…</t>
  </si>
  <si>
    <t>…tar al ANUNCIOS. París del 2 de ¡Enero. Poco adelantan en noticias á las que ya Sr. Arguelles largamente, y juzgaba muy conveniente la pre- sabíamos, pues aun no se habia reunido la Cámara de los D i­ sencia del Sr. Ministro de Hacienda, que podia ilustrar la m a- R e v i s t a d e M A D R ID .=E nero de 1859.=Tom o 2.°= N u - putados para la lectura de la adresse , y la situación del pais teiia. m ero 8 .°:=Contiene este número los artículos siguientes: era la misma : el ministerio preparándose para el debate en la El…</t>
  </si>
  <si>
    <t>…sión cree muy digna de tomarse en consideración el edificio de la reforma? ¿Sabe S. S. que si se seotase ese pre­ ayer, y si hubiere tiempo el dictámen de la comisión de Actas esta petición , y propone se pase al Sr. Ministro de Hacienda. cedente, los religiosos exclaustrados vendrían alegando derechos que ha quedado sobre la mesa. Se levanta la sesión. El Sr. ESTEBA.N : Bien veo que mi débil voz poco podrá de propiedad , porque creo que lo que poseian era por legítimo Eran las tres y media. in fluir en beneficio de esas…</t>
  </si>
  <si>
    <t>…E N T A S PR O V IN C IA LE S. Gacela. Dios guarde á V. S. m uchos áños. Madrid 12 de Cuarta sección. Marzo de 1839.=H om panera de C os.= S r. gefe p olítico de MINISTERIO DE HACIENDA. Alm ería. *" El Excmo. Sr. Ministro de Hacienda con fecha 28 de La alocución que se cita en la anterior Real orden es la Febrero próxim o pasado ha com unicado á esta direcciou Tercera sección. — Real orden. siguiente: la Real orden siguiente: He ciado cuenta á S. M. la Réina ^Gobernadora del ex­ Diputación provincial de Almería.rzÁI…</t>
  </si>
  <si>
    <t>…s, ó tos dias acerca de un manifiesto del Sultán contra M ehemet- grandes jueces de la Anatolia y de Romelio; á corta distancia A lí, sin,q.ue hasta ahora se haya confirmado esta noticia de un V A R I E D A D E S . el ministro de Hacienda ( Defterdar-Effendi); el vicecanciller modo positivo. Lo que está fuera de duda es que por el últi­ del imperio (Beylicktchi-Eífendi), y á la derecha el guarda-se­ mo vapor expedido para la Siria el bajá ha dado los mas am ­ Memorias del Oriente. llos (Nichandgi). Halctt-Effendi que estuvo…</t>
  </si>
  <si>
    <t>…a corte para proporcionar recursos al tesoro , pedimos al Con­ eco uríseno y consolador de la paz , voz magrea y encantadora, Congreso, y que e^te tuvo á bien desechar. Yo desearía que se greso se sirva acordar que el Ministro de Hacienda remita al que su esperanza próxima ha hecho entregarse á los trasportes insertasen íntegras, porque esto es conforme al reglamento y Congreso el convenio que hubiese hecho , y que ha tenido lu­ del mas ardiente y arrebatado júbilo. conforme á la imparcialidad que debe tener siempre la mesa…</t>
  </si>
  <si>
    <t>…ediente íntegro alGonsejo de Gobierno, que entonces no P a r í s 5 de E n eró . había d e ja d o e x i s t i r ; y previa qpusulta de este y del Consejo MINISTERIO DE LA GOBERNACIÓN DE LA PENÍNSULA de Ministros, el Ministro de Hacienda se decidió por la pro- La Cámara de los Diputados no se reunira hasta él lunes 7 josicion que le pareoip mas ventajosa. Y cuando últimamente G ob iern o su p erior p olitico d e la p ro v in cia d e L érid a. = E x ­ del actual para la discusión del prbyéctódé contestación al dis­ celen…</t>
  </si>
  <si>
    <t>…llegará á vérificarse ningún empréstito en las circunstancia £¡t las Órdenes? Pues mientras no se pruebe que le ha admitido, este año, y después en comisión sin sueldo por otro de 21 del que nos encontramos. Para él Ministro de Hacienda que merece ni probando tampoco su admisión el qué su nombramiento se mismo mes y año, se le ba admitido la renuncia que ha hecho L eon fianza de la corona y de los cuérpos colegí si adores, iba** insertase en la Gaceta , creo que el dictamen de la comisión está de este destinó, según que…</t>
  </si>
  <si>
    <t>…es; y á los infelices que han sido él crédito. y a n s, secretario iuterino. El Sr; P R E S ID E N T E : Se suspende esta discusión: tiene la conducidos á Benifasar se remitirán también 50 pantalones y palabra el Sr. Ministro de Hacienda. 50 chaquetas con unos 300 pares de pantalones que el coman­ dante del batallón que guarnece esta plaza ha facilitado de de­ El Sr. Ministro de H A C IE N D A ocupó Ja tribuna y leyó dos proyectos de ley que S. M. la Reina Gobernadora, con­ Dictámenes de la comisión de Peticiones aprobado…</t>
  </si>
  <si>
    <t>…­ la conversión de los pecadores, de los protestantes, particular­ formidad , á la que se atribuye la dimisión que habían ofrecido mente los de Inglaterra, y de los incrédulos. Ha dado princi­ el barón d T lu a r t, Ministro de Hacienda, y Mr. E rust, M i­ ANUNCIOS OFICIALES. pio el 25 de Enero, pero cada uno podrá agregarse á ella á nistro de Justicia, dichos Ministros se han opuesto, según se medida que llegue á su noticia. dice, á toda transacción de semejante género. «Ya hemos dado cuenta de los ejercicios que deben…</t>
  </si>
  <si>
    <t>…tam bién que no ha sido culpa su­ terar los tipos esenciales de aquellas. Pero ¿quién prohíbe do su valor nomioal, pero con la precisa condición de que el ya lo que se ha dicho, en no conquistar una mayoría uni­ á un Ministro de Hacienda recaudar las ya votadas; in­ mismo pago se realice y resulte ejecutado en esta forma: una da y compacta semejante á la que sostuvo con vigor y has­ vertirlas en los gastos tam bién votados, cuando están pen­ tercera parte en títulos ó documentos de la deuda ya consolida­ ta desesperadamente…</t>
  </si>
  <si>
    <t>…, segura de que son estos sus mas sinceros En seguida se dió cuenta: cual era evidente que las observaciones de S. S. no podian ser votos y los de este leal vecindario, que ruega á Dios guarde 1.° De un oficio del Sr. ministro de Hacienda , remitiendo aplicables al caso presente. por m uy dilatados años las importantes vidas de Y. M. y de 150 ejemplares de los documentos de la deuda pública no endo­ El orador prosiguió haciendo otras observaciones, insistien­ su excelsa Hija nuestra Reina para felicidad de esta monar­ sa ble…</t>
  </si>
  <si>
    <t>…, £ papel d. ta á consecuencia de las vicisitudes que ha experimentado la na­ bierno presentase un proyecto de ley sobre la m a t e r ia , porque ción desde principios del siglo. S a n t a n d e r , par á £ b. el Sr. ministro de Hacienda habia dicho en la comisión que A lic a n te , \ b. S a n t ia g o , 1£ á 2 d. El consejo de Ca-tilla por los años 60 á 70 del siglo pasado aquel estaba conforme con lo esencial del proyecto, y que h a ­ Barcelona, á ps. f s . , £ á par id. Sevilla , | á 1 id. formó t n reglamento de propi…</t>
  </si>
  <si>
    <t>…n Real orden de 24 del próximo an­ comprensión de sus distritos respectivos, no solo para ex­ terior* informe y proponga el mismo á S. M. la medida citar y sostener con aquel objeto el celo patriótico que las El Sr. Ministro de Hacienda, en 23 de Diciembre úl­ que mas convenga para que el reemplazo de los cuerpos distingue, sino también para allanar con el auxilio de la tim o, me dice de Real orden lo que sigue: peninsulares de Ultramar por enganches y recluta volun­ fuerza m ilitar los obstáculos que se opongan al logro…</t>
  </si>
  <si>
    <t>…o , la conveniencia pú­ El Sr. coude de las N A Y A S anunció una interpelación al fluencia material y moral la casa de Rotschild, y en los mezqui­ blica exigía que obrase de esta manera; los artículos están aqui, Sr. Ministro de Hacienda sobre fondos de juros para pago de nos que puede tener una casa española por fuerte que sea, la pero los he quebrantado, porque en circunstancias extraordi­ lanzas. proposición de Rotschild había de ser ventajosamente admitida; narias es meuester resolución para gobernar ó dejar el puesto.…</t>
  </si>
  <si>
    <t>…a Tercera sección.— Circular • gociantes que falten á las obligaciones que se les impo­ menor edad de mi augusta Hija la Reina Doña Isabel n lo n en, lo serán igualmente como culpables de contrabando siguiente: El Sr. Ministro de Hacienda con fecha 23 del actual de primer grado, y con arreglo á lo dispuesto por la ley Art. l.° Se establece en Tudela un instituto elemental dice al director general de Rentas provinciales lo que penal de 3 de Mayo de 1830; y los que, abusando en una de segunda enseñanza. sigue: escala mayor de…</t>
  </si>
  <si>
    <t>…ites; si no hubiera una discu­ raciones y probarlo con hechos. Este es el primer escrúpulo , y desearía que por la mism?. sión acerca de las causas que ponen á los peticionarios en el caso El Sr. A Y L L O N : El Sr. Ministro de Hacienda ha tratado razón de ser un asunto de muchísima gravedad é importancia, de molestar á las Cortes; si no hubiera, d ig o , está discusión, en de combatir lo que yo he manifestado al Congreso sobre que que puede traer perjuicio de tercero, el Congreso resolviese que que se ponen de manifiest…</t>
  </si>
  <si>
    <t>…sado en las pieza: "á"Las Cortes no representan la opinión pública” , y con­ cajas de totales en las tesorerías y depositarías del reino en el cluye los mandatos de los actuales Ministros,” se procedió El Excmo. Sr. Ministro de Hacienda ha comunicado á indicado mes , y de la distribución que de ellos se ha ejecutado áglocelebrar á la el sorteo de los nueve jueces de hecho que con arre­ ley debian componer el jurado, y habiéndose realizado esta dirección con fecha 7 del actual la Reál orden si- con arreglo á Reales órden…</t>
  </si>
  <si>
    <t>…esar la junta diocesana d* Cartagena. La comisión es de parecer que estas condiciones, fueron los pueblos atropellados, no se les lo prim ero: que en tiem po de guerras civiles y de discor­ esta solicitud pase al Sr. Ministro de Hacienda á los efectos oyó, ni se tuvo presente , como he dicho antes, la Real cédula. dias interiores, son m uchas veces necesarios los estados de convenientes. E n esta se dice que se tengan presentes las delincaciones ante­ guerra y de sitio para robustecer en u n caso de ap u ro á riores, hec…</t>
  </si>
  <si>
    <t>…lie el pronto despacho ducción que deben sufrir las testamentarías por la manumisión de las causas fiscales, con la economía de gastos en este ramo. de esclavos, es inconexo con el resto de la ley, y se ha intro­ El Ministro de Hacienda os presentará un proyecto de ley que ducido sin que venga al caso. Este artículo merece por sí solo llene estas condiciones. FRANCIA. una ley especial: su objeto es muy recomendable, muy plausi­ El buen arreglo de la Hacienda reclama el establecimiento París 9 de Junio. ble y muy digno d…</t>
  </si>
  <si>
    <t>…, y el disparar un tiro , habie ndo h ech o entrega de los expresados efec­ Los ch in os son grandes gloto nes , y toda su ansia es e n g o r ­ resto es de ladrillos de colo r pard uzco y uua mezcla blanca su­ tos al ministro de Hacienda militar de Alcañiz. d a r ; la naturaleza parece haberles dota do con prodigiosas f a ­ mamente dura. cultades d ig e s t iv a s ; un es tóm ago c h in o es una gran retorta D u Halde asegura que esta, obra prodigiosa fue construida A v ila 15 Je Julio . El com an dan te genera! de esta p…</t>
  </si>
  <si>
    <t>…solfeo y canto para todas vo­ El Sr. Ministro de la G O B E R N A C IO N : Estando ausente ñor Arguelles en una alusión que habia tenido por convenien­ ces, que se ha adoptado por la enseñanza de los alumnos del el Ministro de Hacienda, lo pondré en su conocimiento, y con te dirigir á su humilde persona, decia que todos los Diputados arreglo á lo que previene el reglamento se contestará. conservatorio de M aría Cristina, del cual es maestro de canto debían haber tenido una lección de infortunio. dicho profesor , sabemos q…</t>
  </si>
  <si>
    <t>…lla á sus inspiracio­ fiesta al Congreso con fecha 7 de Diciembre próximo pasado, tró su amigo D. José de Becquer , que sobresaliendo como siem­ nes. Esperamos que su recuerdo servirá de estímulo á los ar­ que el Sr. Ministro de Hacienda le ofreció verbalmente pre­ pre por la inimitable gracia de sus escenas de costumbres, pre­ tistas para no desfallecer en la empresa, y á la buena sociedad sentar un proyecto de ley en favor suyo , y concluye pidiendo sentó un bautizo de gracioso efecto y admirable verdad que los de Sevill…</t>
  </si>
  <si>
    <t>…de miende eso. Juró y tomó asiento en el Congreso el Sr. Campuzaoo. la mi sipa comisión relativos á las provincias de Sevilla, Lcort El Sr. G A R E L L Y contestó brevemente á S. S. manifes­ Se leyó un oficio del Sr. Ministro de Hacienda participando y Badajoz , quedando por consiguiente admitidos como Sena­ tando que la idea de la comisión había sido abrazar los dos ex­ que se apresuraría el Gobierno á presentar al Congreso el con­ dores los Síes. D. Narciso Loptz, D. Juan Diaz Carreja y Don tremos; pero que sin embargo…</t>
  </si>
  <si>
    <t>…r. menor omisión en este punto, los Sres. intendentes darán hacia el Burgo de Osma por Vadillo, contiuuando nuestias aviso circunstanciado á ia contaduría general de Valores columnas en su persecución. El Excmo. Sr. Ministro de Hacienda con fecha 9 del de haber quedado cumplimentada esta orden en el prefi­ actual ha comunicado á esta dirección general la Real or­ jado término de los 15 dias, acusando desde luego su re­ den siguiente: cibo, y comunicándola sin demora á los gefes a quienes PARTE RECIBIDO EN LA SECRETARIA DE…</t>
  </si>
  <si>
    <t>…or lo tanto anuncio una interpelación para que cuando lo se hallaba siempre á cooperar á cuanto pudiese contribuir al fuerza de la opinión y la imperiosa ley de la necesidad , y que tenga por conveniente venga el Sr. Ministro de Hacienda á dar bien público. aunque no lo fuese se trataba de generales cuya conducta las explicaciones que sean del caso ; y mediante á que en dicha El resultado ha hecho ver que Calatrava tiene alguna vez aprobaba el Gobierno y no tocaba al Senado calificar. instrucción se concede un breve termi…</t>
  </si>
  <si>
    <t>…e á nueve gidas y fortificaciones de primer orden. p aisan o: los Sres. Teste, guarda-sellos; Duchatel , ministro de con la gente de color. Finalmente, para que no les falte recomendación , reúnen lo Interior; P assy, ministro de Hacienda ; C u n in -G rid a in e , de El trascurso de 2 i años ofrece una población computada hasta la circunstancia de que cuando vuelva España á ser g ra n ­ Comercio; D u f a u r e , de Trabajos públicos, llevan también un en 8 5 0 ,0 0 0 habitantes, siendo de ocho á nueve la relación de de pote…</t>
  </si>
  <si>
    <t>…e llegue de la H a b an a, ú otro en su ca­ Los Diputados de la provincia de Salamanca han tenido ya en el caso de aprobarla. so, saldrá del puerto de la Coruña el dia 6 del próximo mes de una conferencia con el Sr. Ministro de Hacienda sobre este mis­ El Sr. ESTEB AN dijo que con el artículo que se discute des­ Noviembre con la correspondencia del Gobierno y de particu­ mo asunto, para manifestar á S. S. que no habia en esto nin­ aparece la oferta que en el primero se haceá ios soldados, porque lares para Canarias, Puert…</t>
  </si>
  <si>
    <t>iqu« no habien do ellos q u e r id o tom ar parte con el bando rebelde | Igualm ente de otra del Sr. Ministro de Hacienda , relativa esta digresión vuelvo á mi primer propósito. M i objeto es i m ­ a pésar de las excitaciones qne les hizo la facción , que no cons­ d que las oficinas del Gobierno sean colocadas en los conveutos p u g n a r por otro camino el dictámen de la comisión. t a b a entonce ya m a s q…</t>
  </si>
  <si>
    <t>…su al­ ya un población eminentemente locuaz hace del uso de la palabra placer incesante, su prohibición debe ser un grande y mor­ ma abatida, á inspirarle sentimientos nobles, y á educarle en tificante castigo. El Ministro de Hacienda dará audiencia al martes próximo, los principios de la moral social y de la dignidad humana.** y todos los siguientes. (Id.) En De esta consideración capital se desprende na toral mente co^*- cion y el temor los mismos EstadosUnidos se observa que la prescrip- del castigo parecen bastant…</t>
  </si>
  <si>
    <t>…parece fundada en buenos principios; Leida el acta de la an terio r, quedó aprobada. Yo quisiera que los estados excepcionales, no fuera la au ­ pero desgraciadamente se puede decir que lo que alcanza á sal­ El Sr. Ministro de Hacienda remite al Congreso 250 ejem­ toridad m ilitar quien solo los declarase, siuo que seiia m uy var el principio civil de Inglaterra , no es aplicable á E s p a ñ a : plares del proyecto de ley relativo a) diezmo. conveniente que la autoridad m ilitar oyese á la autoridad c i­ esta es una verda…</t>
  </si>
  <si>
    <t>&amp;r. 'Ministro de Hacienda atibre la ley de dotación Ael culto y , seguiría el Gobierne sn objeto &amp; una manera menos costosa, ] la mitad de ellos» y creerá que habrá hecho u n servicio á m. clero,, iross pronta, y qoe obviaba ronchas lineo»venientes. patria , pues en las circunstancias actuales , cuando el Gobier­…</t>
  </si>
  <si>
    <t>…estra situación son .Y f^ , y la del núm. 7.° escrita por D. Juan José Marcó del ver al malvado guarecerse de esta m áxim a, acaso hayais esta­ susceptibles estos establecimientos, la junta va ensayando (y en P on t, Ministro de Hacienda, en Durango. La del núrn. 6 .°, es­ do inclinados á dudar de la existencia del autor de la natura­ su dictám encon muy buen éxito) los medios con que se han crita por Montenegro á Cabrera, es también importante por des­ leza, no blasfeméis su santo nombre, n o ; no es él, fuente de couseg…</t>
  </si>
  <si>
    <t>…e voy á deshacer que son correspondientes á alusiones que se han Gobierno en consideración , ver que ese príncipe ahí no está detalla en los prospectos que se han fijado en distintas partes hecho á mi discurso: El Sr. Ministro de Hacienda ha dicho que fien, y que es un instrumento d eq u e puede valerse parte de de esta ciudad. no hay preferencia en los pagos, ni en favor de personas, ni en a Europa para darnos la ley, y arrebatarnos el triunfo que he­ El despacho de billetes debidamente sellados y rubricados, favor de corpo…</t>
  </si>
  <si>
    <t>…desdeEnCortes el día con fecha 25 del actual me dice lo siguiente: de hoy han recibido siete batallones enemigos á DIRECCION GENERAL DE RENTAS PROVINCIALES. bra todos los meses bajo la presidencia del Excmo. Señor ministro de Hacienda, creo inútil hacer áV.S. otra indica­ las órdenes del famoso Cabrera una buena lección, de cuyos Sección central.—Circular. ción que la de quedar muy lisonjeado con la idea de que resultados daré á V. S. conocimiento mas despacio, concretán­ dome á decir á V. S. por ahora , que colocado e…</t>
  </si>
  <si>
    <t>…ndente de Cádiz dice con esta fecha el señor arm ada, podrá el comandante general del departamento d o r a y la Serma. Sra. Infanta Doña María Luisa Fernán- j negársele, dando parte á este ministerio para la determi­ Ministro de Hacienda lo siguiente: Enterada S. M. la Rei­ da, continúan en esta corte sin novedad en su importante na Gobernadora del expediente promovido por D. José nación que fuere del agrado de S. M., y esto mismo ve­ salud. de Vega , vecino de esa ciudad, manifestando lo3 perjui­ rificará si después de exa…</t>
  </si>
  <si>
    <t>…servido d eclarar, de conformi­ Y la dirección lo inserta á V. S. para los fines consi­ Quiñones* dad con lo manifestado por el asesor de la superintenden­ guientes, y que disponga su publicación para que llegue cia general de Hacienda, que no ha debido dar márgen á noticia del comercio; dando aviso de haberlo verifi­ a ninguna duda la aplicación de la segunda de dichas cado. Reales órdenes, por cuanto es una verdad legal y un Dios guarde á V. S. muchos años. Madrid 17 de Oc­ principio de derecho, que entre dos leyes o…</t>
  </si>
  <si>
    <t>…titucionales, que eo países E a 11 de Diciembre de 185 4 ? siendo el Sr. conde de T o - precedido ya en todos los argumentos y reflexiones que deben que tienen este género de gobierno se usan , di¡o el Sr. López reno Ministro de Hacienda , sin embargo de que tenia presen­ hacerse en este grave negocio , me ha hecho vacilar sobre si que eí ministerio, luego que vió que el resultado de las eleccio­ tados los presupuestos generales para el año 1 8 5 5 , presentó á deberia renunciar la palabra ó usar de ella. Pero viendo que…</t>
  </si>
  <si>
    <t>…l señor PARTE NO OFICIAL. Los males han llegado á su colmo: cesarán si se obra con el vi­ gor y energía que exigen las circunstancias verdaderamente ex­ traordinarias en que nos hallamos : hacerlo es mi deber y m i Ministro de Hacienda á este Ministerio de mi cargo una Real orden, por la cual se ha servido S. M. m andar, que NOTICIAS EXTRANGERAS. propósito. todas las autoridades dependientes de él auxilien á los en­ La opinión se ha generalizado acerca de la necesidad dé re­ cargados de la persecución y represión del c…</t>
  </si>
  <si>
    <t>…jueces quede excluida to­ que es de la competencia del Congreso. Van pasados ocho dias Congreso la admisión de este Sr. Diputado. Que todo lo que da arbitrariedad, si es que hablando de tribunales colegiados y el Sr. Ministro de Hacienda no ha contestado ni ha indicado resultaba del voluminoso expediente que se habia tenido á la como estos, podernos permitirnos semejante presunción; pero el dia que podría venir á hacerse cargo de esta interpelación. vista era que habia un procedimiento contra el Sr. Ptamirez sea a s i; es b…</t>
  </si>
  <si>
    <t>…u augusta Madre la R e i n a G o b e r n a ­ Prim era sección.-—Circular dora y la Serma. Sra. Infanta Doña María Luisa Fernán, REDACCION DE LA GACETA. da, continúan en esta corte sin novedad en su importante El Sr. Ministro de Hacienda comunicó á este ministe­ salud. rio en 6 de Diciembre último la Real orden siguiente: «Habiendo dado cuenta á S. M. la Reina Gobernadora de una consulta que en 6 de Noviembre último hizo la N O T IC IA S EXTRAN GERAS. junta principal de diezmos, manifestando con referencia ACTAS DEL GOB…</t>
  </si>
  <si>
    <t>…Melilla, y todo el mundo sa­ tubre de 1859, dice que se habia hecho un contrato por el se­ Él br. B A R R IO AY USO : Ruego á V. S ., Sr. Presidente, be que perdimos esa plaza que encerraba 260 piezas. Bieo pron­ ñor Ministro de Hacienda, como dije antes predilecto de S. S. que me conceda la palabra , porqae tiene al espíritu de alusión to en Ceuta se notó un síntoma de insurrección : mucho elogio el Sr. Alvaro; y que este contrato se habia hecho entre el Go­ personal. merecen sus autoridades. bierno de una parte y D. Lui…</t>
  </si>
  <si>
    <t>…Recuérdese que tiene 12 el guardasellos solo: verdad condujese, tomando todas las precauciones que dicte la p ru ­ vor de los mismos que le persiguieron y aherrojaron: y si no de es que quiere reducirlos á cinco. El ministro de Hacienda pre­ dencia para evitar fraudes, disponiendo se proceda á iostruir la las mismas personas, porque acaso ya no existirán , á favor por sentará 10, de los que cuatro le parecen ademas muy urgentes, competente sumaria , que será terminada dentro del término de lo menos de los q u e, p en san…</t>
  </si>
  <si>
    <t>Hacienda, Real</t>
  </si>
  <si>
    <t>Real Hacienda</t>
  </si>
  <si>
    <t>…en conviene a u m e n tar el cáñamo y lino en la provincia, E n sesión celebrada el 2 5 del corriente bajo la presidencia ^os pueblos que tienen redoadís y H u erras, como los R ábanos, del Excmo. Sr. superintendente general de Real Hacienda con­ Jan Felices, El B u rg o , Y aldelubiel, Y ald e n a rro s, M onasterio’ de de V illa n u ev a, instruida la corporación, con a grado, de las berlanga, A lm en ar, M onteagudo y otros, son los mejor habidos. útiles ideas que la proponen los Sres. magistrado fiscal de Real Soria…</t>
  </si>
  <si>
    <t>Hacieuda</t>
  </si>
  <si>
    <t>…­ Reina Doña Isabel n. ficit de mas de 3003 duros á fines de 1836 , cuando por el doT cerlo en Cerdeña,^segun va dicho, con las mismas condi­ Dígnese V. M. acoger benignamente estos sentimientos de cumento citado del Ministro de Hacieuda hubo en dicho año ciones y con iguafgoce los súbditos españoles. g r a titu d , adhesión y obediencia que animan á estos vecinos, un sobraute de 2l9 ,0 0 0 duros. Lo que comunico á Y. E. de Real orden para su cono­ cuyo fiel óigin o son los individuos que tienen el honor de re­ presentarl…</t>
  </si>
  <si>
    <t>Hacket</t>
  </si>
  <si>
    <t>…l ayuntamiento hubiese acordado la suspen­ acogido en un viaje que acaba de hacer por el Harz. da.=E stá rubricado de la Real m a n o.= E n Palacio á 26 de sión del pago de contribuciones, ya para vindicar á la corpo­ El general Hacket ha partido á toda prisa para Osoabruck: N oviem bre de 1 8 3 9 .= A D. Francisco Narvaez. ración municipal de una imputación calumniosa , yá también se dice que en este principado una pretendida gran-conspira- para destruir el efecto que en la provincia hubiese podido pro­ cion , cuyo objet…</t>
  </si>
  <si>
    <t>Hactzerabusch</t>
  </si>
  <si>
    <t>…os radiosos astros, cuyo esplendor no hao darlos todos. nodriza el cuento del descuartizado que cayó por el agujero del podido amenguar el tiempo ni el adelantamiento de las ideas!... No concluiré sin encomiar la modestia del Sr. Hactzerabusch hogar , el de Los tres d eseos , el de la cueva encantada , y otros D. Enrique sale de la Redoma amoroso y apasionado, que que tan á las claras se muestra en el prólogo de ia comedia, ni infinitos que ora os hacían reir, ora erizaban el cabello sobre si la losa de los sepulcros apaga l…</t>
  </si>
  <si>
    <t>Haden</t>
  </si>
  <si>
    <t>…pero esta iníluencia no ha tenido aumento respondedme al punto.’* riores. alguno con la emancipación. (Siguen aqui algunos versos alemanes, cuyo seotido es que Nosotros admitimos de buena gana la hipótesis del elí­ E l conde de Haden impugna al noble lord , y manifiesta el Austria y la Prusia, desdeñando toda discordia, deben unirse xir y la de su con dición: porque entramos siempre con que no encuentra en el bilí las ventajas que S. 3. tanto ha pon­ con el mismo objeto y no formar por decirlo asi mas que un placer en el m…</t>
  </si>
  <si>
    <t>Haerne</t>
  </si>
  <si>
    <t>…parse La lucha electoral ha comenzado ya en Courtray:el parti­ Deseoso de activar por mi parte el pronto principio de los tra­ en él alivio y prosperidad de los pueblos, y su infatigable celo do exaltado quiere nombrar al abad de Haerne, que después de bajos de las carreteras de Granada á Motril y á esta plaza, re­ y conato por hacerlos mas afortunados. haber vacilado, ha aceptado al fin la candidatura que se le ha comendados tan particularmente por V. E .: vista también en S. M ., por la significada Real orden, ha tenido á…</t>
  </si>
  <si>
    <t>Hafiz</t>
  </si>
  <si>
    <t>…e sabe que hace algún fiel al sistema adoptado por las Potencias. Los armamentos en como si se hubiese tratado de una potencia de tercera clase, y tiempo se han entablado negociaciones para hacer un tratado el cuartel general de Hafiz bajá , los aprestos militares que se no de la Gran Bretaña. de comercio entre la Francia y el Estado de Tejas. Parece in d u ­ hacen en Constantinopla, tanto para el ejército como para la dable que los sucesos de Méjico han contribuido mucho á acele­ arm ada, confirman estas duda.s. Sin emba…</t>
  </si>
  <si>
    <t>HAGIE.TNDA</t>
  </si>
  <si>
    <t>…dar expuso qoe se contenía en el .artículo porque la junta cuerpos leg i sila i i v os. que diese o na justa compensación entre un acreedor y un deu­ adonde iban liquidados los documentos debía hacer una nueva El Sr. Ministro de HAGIE.TNDA cotí testó que las jo utas o® dor eo ambos casos, desembarazar la acción del Gobierno eli­ liquidación del último resaltado. Que ademas ao se hablaba de Hqnidarian créditos' si»© débitos, y que no podíab entender e», minando estas partidas que se embrollaban,, poner término á la los alc…</t>
  </si>
  <si>
    <t>Hago</t>
  </si>
  <si>
    <t>…virtud de providencia del Sr. D. Miguel M aría D uran, ^ ministro honorario de la audiencia de Granada y juez de Tj^L intendente militar del distrito de Extremadura. primera instancia de esta villa , refrendada del escribano de Hago saber: Que finalizando en fin de Junio de este año la jos y grabados originales. Usos y trajes provinciales: los montañeses de León. Historia de España. número del crimen D. José López Arias, se cita , llama y em­ actual contrata con D. Pedro Martínez Crespo, por la cual, se Geografía y viaj…</t>
  </si>
  <si>
    <t>Haití</t>
  </si>
  <si>
    <t>…s órga­ de sus adeptos. Hoy leemos en una caria dirigida á un periódico se eo los reglamentos eclesiásticos adoptados en Polonia. La cor­ nos de la publicidad cuotidiana, el deseo de volver á esa mode­ ingles que el presidente de Haití , Boyer, redobla los golpes de te de Roma ha avanzado demasiado para que pueda volver atras ración de forma y de lenguaje, que lejos de atenuar la fueiza Estado. No creyendo suficientes sus violencias contra las insti­ sobre estos puntos. y la gravedad del fondo, le realza y da luz. tuciones,…</t>
  </si>
  <si>
    <t>Hamporda, Juan</t>
  </si>
  <si>
    <t>Juan Hamporda</t>
  </si>
  <si>
    <t>…ste plan, el ruido sordo que debe producir la esta provincia, juez de amortización, se cita , llama y emplaza él -nuevo harem , está ocupado por todas las que esta o en máquina corriendo por los carriles, que rio podra menos á D. Juan Hamporda, cuya habitación se ignora, para que com­ favor del Señor. "Todas las mugeres del harem imperial son de distraer á los lectores. Este inconveniente, sin em bar­ parezca en dicho juzgado dentro del término de nueve dias que esclavas , traídas por lo general de Lia Ciireasi» y de la go,…</t>
  </si>
  <si>
    <t>Hamtn’e</t>
  </si>
  <si>
    <t>…tín sobre la salud dé S. M. leyes y órdenes que rigen en este ramo de industria, cui­ -Escriben de Viena con fecha 5 de Febrero ¿ dan dó dé qué no sé exijan á jos ganaderos itías derechos N uestro célebre orientalista el barón de Hamtn’e r de P u rg s- ta ll, que tiene actuálmeoté 65 años de edad , queriendo con-* que los legitimamente establecidos, ni multas indebidas, La diputación provincial;de Luneburgo, no tiene intención, sagrar el resto de sus días á la continuación de las observación ni se rehúse facilitarles los d…</t>
  </si>
  <si>
    <t>Han, Rusia.</t>
  </si>
  <si>
    <t>Rusia. Han</t>
  </si>
  <si>
    <t>…iro en los brazos de extraordinarios expedidos de Petersburgo ál conde M ed em , cón­ heredero y el Príncipe de los Paises-Bajos pasarán al palacio sus hermanos el Príncipe de Monfort y un a de sus h ija s , qu ie­ sul general de Rusia. Han sido traídos por un expresó que te­ de W indsord, en donde 83. A A .se proponen permanecer hasta nes la han prodigado las mas cuidadosas atenciones: otra de nia órdeil de no entregar su despacho sino al cónsul ó vicecón­ el miércoles por la tarde. ( M o r n in g -H e r a ld .) sus h i ja…</t>
  </si>
  <si>
    <t>Handerson</t>
  </si>
  <si>
    <t>…número de 1.° del corriente, decía estaba entablada una desalojándolos sucesivamente de cuantas posiciones tenían ocu­ El gobernador militar de Jérica dice en oficio de anteayer negociación entre el Gobierno francés y el general Handerson padas en las alturas inmediatas detra's de los parapetos que para que Cabrera ocupaba el mismo dia á Algimia, desde donde mar­ para coocluir un tratado de amistad y comercio con T ejas, y el efecto tenían construidos, sin que el feroz Cabrera, á pesar chó hácia Alcublas con dos batallones,…</t>
  </si>
  <si>
    <t>Hannóver</t>
  </si>
  <si>
    <t>…y, Mr. Temple, el ministro de los Estados-U nidos, do de justificar unos actos tan contrarios al derecho de gentes. al coronel, el dicho declaró que no respondía al mentís de M r. Mraa. Stewenson, el conde Pollon , el ministro de Hannóver, 2.° Si el Estado de M aine persistiese en llevar su idea ade­ H u m e, porque le despreciaba y le miraba como m uy inferior á el conde y la condesa de T a n c arv ille , lord Ossulton , la con­ la n te , la guerra con todas las calamidades que le son anejas él. El Presidente creyó de su de…</t>
  </si>
  <si>
    <t>HAPouparty</t>
  </si>
  <si>
    <t>…y la nos de la escuela de nobles artes que corre bajo su amparo y f , i , 21 y 2 l j á v. f. ó vol. á prima de i , § y por 100 adquisición de una buena pronunciación. D arán razón en la protección. con cupones. librería de Doña H. A. Poupart y compañía , calle del Arenal, Dia feliz ciertamente, porque á la par que recuerda con Inscripciones en el gran libro á 4 P°r 1 0 0 , 00. núm. 9 , frente á la plazuela de Celenque. júbilo el cumpleaños de S. M. la Reina Gobernadora , de \a Títulos al portador del 4 Por 10 0 , 00. in…</t>
  </si>
  <si>
    <t>…ítero , vecino de la villa y en las de las personas que gusten. Darán razón en la liljFie— riesgos para salvar la tripulación del buque mercante francés de U tiel, pide se le oiga en el juzgado de primera instancia de ría de Doña H. A. Poupart y compañía, calle dél A renal , pú* el l i t a s , que naufragó el 6 de Agosto en las costas de la is­ aquel partido ú otro c iv il, sobre el derecho que pretende te­ mero 9, frente á la plazuela de Celenque. * la de Schouwer. ner á una capellanía. La comisión opiua que no ha lugar á…</t>
  </si>
  <si>
    <t>Haremos, García Gutiérrez.</t>
  </si>
  <si>
    <t>García Gutiérrez. Haremos</t>
  </si>
  <si>
    <t>…el mas adecuado. Si el hábil colorista no la hija , comedia en dos actos, de Scribe, y traducida por el se medido en su imaginación. En este caso el acto del en­ visto, hiciese mas que repasar en ia memoria los colores que ha Sr. García Gutiérrez. Haremos un ligero análisis de cada una tendimiento precede al de la voz. ¿Puede creerse que la y el órden en que los ha visto colocados, hasta dar de las piezas qne formen esta colección. con ei que mejor conviene á un color dado, no poseería l a e s p a ñ a m a r í t i m a . El…</t>
  </si>
  <si>
    <t>Hariban</t>
  </si>
  <si>
    <t>…us vastas atenciones, se retiró S. E. manifestando á entonces de la ciudad y acompañó al almirante á la isla de H a- de los Gobiernos la seguridad d eque no abrigan proyectos hos­ rak. Después se ha disculpado el gobernador del Hariban con aquel general gobernador quedar m uy satisfecho del buen esta­ tiles ; y a que todas las demostraciones son de guerra , que las do de aquel recinto militar. el alm ir a n te , y según las últimas noticias volvía sir Federi­ escuadras van á s a l i r , que Ibrahitn y Hañz no pueden per…</t>
  </si>
  <si>
    <t>Harispe</t>
  </si>
  <si>
    <t>…os los bravos numantinos de Cataluña. daline y T albot, hermana de lady M ary, y lady Carolina La salvación de A m posta, debida al arrojo de V. E. y de Shirley; la primera se ha casado con el Príncipe Sulmona , hijo El general Harispe ha marchado á Paris para tomar parte en las tropas que en número insignificante hicieron frente á las del Príncipe de Borghese , y la segunda coa el duque Sforza- los trabajos de la Cámara de los Pares. Le reemplazará duran­ armas de Cabrera que pasaban de 50 con cinco piezas de a r ti­ Ce…</t>
  </si>
  <si>
    <t>…ta de las cuentas que están á mi cargo. Y para que conste, y obre los efectos cor- Burdeos 10 de Agosto. rwpondientei, firmo este extracto en Madrid ¿27 de Julio de i859.z:EI tenedor de libros , Ra­ fael RuixOrdoñex. El general Harispe ha llegado ayer por la tarde á esta cía* dad. (Courrier de B.) Nota. No se han comprendido en este extracto los ingresos y pagos de la administración de Palma de Mallorca en el referido mes de Marzo por no haberse recibido sus cuentas. París 8 de Agosto. REA LES DECRETOS. en las costas…</t>
  </si>
  <si>
    <t>…con los París 14deAgosto. 20 de Agosto de i839.=Excrao. Sr.^Gregorio Piquero Argüe- súbditos ingleses residentes en Cantón, relativamente al asunto lles.z= Excmo. Sr. Secretario de Estado y del Despacho de la del opio. El general Harispe ha partido el 11 para los Pirineos» Guerra. El 23 de Marzo Sir Carlos E lliot, superintendente en gefe del comercio británico en la India, ha dirigido á Macao él si­ guiente aviso á los súbditos británicos residentes en Cantón. El consejo municipal de A ix ha decidido que sé coloque un El…</t>
  </si>
  <si>
    <t>Haro</t>
  </si>
  <si>
    <t>…ón de h o y , de la R eina Gobernadora. Dios guarde á Y . E. muchos años. E stado, y está fiscalizada por la contaduría general de D istri­ y pasaran a las secciones para los efectos correspondientes. bución. C uartel general de Haro 4 de Enero de 1 8 3 9 . - Excmo. Sr. = P erm itién d olo todavía la hora , in v ito á los Sres. presiden­ El conde de Luchana. — Excmo. Sr. Secretario de Estado y del Estos dos brazos 00 son verdaderamente suficientes para a l­ tes de las secciones para que las reúnan y exam inen estos p ro­ c…</t>
  </si>
  <si>
    <t>Hartzem</t>
  </si>
  <si>
    <t>…ánticos, sultado fe liz , citó en prueba de él lo Los Amantes de T eru el , ra : toda esperanza está perdida , y es llegado el momento de re­ añ ad ió, siguiendo una senda equ ivocada, están cnuy lejos de drama escrito por el Sr. Hartzem busch, en donde la escena signarse. La discusión del proyecto de contestación á la corona ser lo que pretenden. Los verdaderos románticos fueron los cambia á vísta del espectador trasladándose esta repentinamen­ en las Cámaras francesas, ha demostrado que aun cuando lle­ griegos; y lo eran s…</t>
  </si>
  <si>
    <t>Hartzembuscb</t>
  </si>
  <si>
    <t>…ia le queda el derecho de dudar de elbs. Por eso , no de adu­ no es fausto ni gentileza , lador ni de parcial puede acusarse á quien acate el mérito del Españoles.................. .................................. 776 691 Sr. Hartzembuscb, sino solo de justo y de sincero. ni títulos ni dinero: Americanos..................................................... 14^4 14^3 Tibio amigo siempre de referir menudamente el asunto prin­ quien merece mi afición , Ingleses............................................................. 19…</t>
  </si>
  <si>
    <t>Hartzembusch</t>
  </si>
  <si>
    <t>…a de esta arma en provecho de y es una concesión hecha á la escuela moderna; concesión no con arreglo á las mas exageradas, abundante en bellezas las instituciones del pais, sean los que fueren; cuando menos disculpable en el Sr. Hartzembusch que tantos me­ de un género superior, asi en efectos como en poesía, no dirige sus conatos á ilustrar la opinión pública apartán­ dios posee de hacerse aplaudir sin recurrir á estos extre­ puédemenos de ser una solemnidad literaria. En un tiem­ mos. Nosotros, no obstante, hemos explicad…</t>
  </si>
  <si>
    <t>…inión juzgaba p o r el contrario que es un deber ecerá con ella , y que vale mas sacrificar 4000 belgas que cua­ de los escritores pintar las pasio és bajo el carácter que se supo­ los poetas para llegar á la perfección. El Sr. Hartzembusch ¿ iz o también-algunas observaciones*? co millones de habitantes. Mas ¿d e dcude se saca la probabili- ne en el personaje, y no jpesen *r este bajo todos sus aspectos. lad de todos esos males cori que se nos quiere atemorizar? Y o Reasumiendo por últrnto ct arito habia manifestadopace…</t>
  </si>
  <si>
    <t>Hartzembusch, Juan Eugenio</t>
  </si>
  <si>
    <t>Juan Eugenio Hartzembusch</t>
  </si>
  <si>
    <t>…italiano. El traductor, que quiso guardar el anónimo Lobo, núm. 8 , piso 2.°, principal á prestar de Amortización, calle del una declaración en causa con las siglas L). A. iv. I., en una prevención al amigo lector, Su autor D. Juan Eugenio Hartzembusch. que antecede á la pieza, nos da este hermoso trozo de elo­ criminalrecibo de que se sigue en dicho juzgado por falsificación de un intereses de vales, núm. 17, de 11,371 rs. 17 mrs.; cuencia : bien entendido que de no comparecer le parará el perjuicio que £olo preten…</t>
  </si>
  <si>
    <t>…programa que deberán someter al nuevamente el jueves 14 del corriente mes á las doce de su ma­ examen y juLiO de las personas designadas al efecto por la ñana en la audiencia del mismo señor juez, que la tiene en el Su autor D. Juan Eugenio Hartzembusch. misma, según lo prevenido en el citado annnrio. piso bajo del tribunal territorial, local que antes fue repeso de corte. CRUZ. Hoy no hay función. Intendencia de la provincia de Madrid. p O R el presente se citan , llaman y emplazan á todos los que El Excmo. Sr. D. I…</t>
  </si>
  <si>
    <t>…sentar á la irrisión pública el censo de da á la traducción del A m im a y del P astor Fido por Jáu- Roma 6 la salsa negra de los espartanos. Nada de lo que regui y Suarez de Figueroa. Todas las notas relativas á es­ Su autor D. Juan Eugenio Hartzembusch. ha contribuido á inspirar á los hombres sentimientos de ta materia encierran muy escogida erudición, y prueban honor y de virtud es despreciable ni indigno de la consi­ el gusto correcto del Sr. Clemencin en la literatura. deración del filósofo. Solo nos falla ya dar no…</t>
  </si>
  <si>
    <t>…A ENCANTADA. Las personas particulares que deseen hacer alg una rec­ El artista ciego, poesía. tificación, podran dirigirse a dicha im p ren ta Nacional Se suscribe en M adrid en la librería de Cuesta , frente á las Su autor D. Juan Eugenio Hartzembusch. hasta el 10 de Diciembre, E n celebridad de los dias de S. M. la Reina D oña Isabel ir Covachuelas; en la estampería de Valle, calle de Carretas, y en estará iluminado eQeatro. la redacción calle del Príncipe, número 15 , cuarto seguudo de la izquierda. En las: provinc…</t>
  </si>
  <si>
    <t>…spectáculo degradante del hombre moral, vencido de su ministerio, cuyos gefes y demas empleados de Real siempre en la lucha de la pasión con el deber: espectácu­ nombramiento se incluyen en la Guia de Forasteros, que Su autor D. Juan Eugenio Hartzembusch. lo tan común en las novelas y dramas que ahora se lla­ para la del año de 1840 se sirvan pasar notas certificadas man románticos. Los afectos que intervienen en las nove­ en la forma que se han extendido en los años anteriores las de este tomito son el amor verdadero, e…</t>
  </si>
  <si>
    <t>…ias n atu ra­ LA REDOM A ENCANTADA. les, academias de la corte, la biblioteca nacional, junta de dam as académicas para gobierno de los estudios de d ib u ­ A ccnsecuencia de la dimisión de sus bienes hecha en favor Su autor D. Juan Eugenio Hartzembusch. j o , suciedad económica m atritense, ju n ta de damas unid a de sus acreedores, en el juzgado del Sr. D. Francisco a e s ta , colegio de sordo-mudos, ateneo científico y litera­ Amoros y López, juez de primera instancia de esta villa y es­ rio , colecturía general del…</t>
  </si>
  <si>
    <t>…por título En negro á 6 id. LA REDOMA ENCANTADA. El director de semana, Manuel Mafia de Gtfiri. Número '5.* Máquina para devanar varias madejas 4 la vez. Dos grúas para descargar barcos. Un cuaderno con dos «stam- Su autor D. Juan Eugenio Hartzembusch. pas en negro, á 5 rs. en rústica. GUIA DE FORASTEROS. Iluminadas, á Ó id. Número 4 0 Descripción de varias carretillas. Id. de uti car­ CRUZ. Hoy no hay función. De orden del Sr. Ministro de la Gobernación se p re­ cilla. Untrasportar ro para cuaderno tierra. Id. de…</t>
  </si>
  <si>
    <t>Hartzenbusch</t>
  </si>
  <si>
    <t>…tán muy lejos de igua­ tiempo que fácil de adquirir; y el excelente prólogo que nas. Estas columnas tienen vara y cuarta de diámetro, del lárseles; no tienen mas de dos pulgadas de grueso, y están le antecede, y el nombre del Sr. Hartzenbusch, autor de rico orden corintio, y han sufrido poco por el estrago del tan bien cocidos como la sustancia llamada por los italianos los Amantes de Teruel, ofrecen garantías de que se corre­ tiem po, y hasta se han librado de la violencia del hom­ Terra colta. Están puestos horizontalmente…</t>
  </si>
  <si>
    <t>Hasta, Isabel H.</t>
  </si>
  <si>
    <t>Isabel H. Hasta</t>
  </si>
  <si>
    <t>…e del sick dicen se cree que el Gabinete de Berlín no tardará en re­ sados ni arrestados durante las sesiones sin permiso del respec­ dicta mea es enteramente contraria al artículo 42 de la Cons­ conocer á la Reina de España Doña Isabel H. Hasta se asegura tivo cuerpo colegislador, á no ser hallados in f r a g a n t i ; pero titución. y a que hay nombrado embajador cerca de la corte de M ad rid , en este caso (en el de hallarse in f r a g a n t i ) , y en el de ser pro­ Pasemos á ver la segunda, en la cual se hace una indica…</t>
  </si>
  <si>
    <t>Hay, IC IA LES.</t>
  </si>
  <si>
    <t>IC IA LES. Hay</t>
  </si>
  <si>
    <t>…eales fielmen­ te sacados por D . José A ntonio de Abreu y Bertodano. Doce tomos en f o li o , edición de 1 7 4 9 , á 2 9 4 rs* en rústica. C R U Z . H o y á las ocho y media de la noche se volverá á P R O V ID E N C IA S JU D IC IA LES. Hay algunos tomos sueltos en pasta , que por si pudiesen poner en.escena la grande ópera en cin co actos, del maestro ser útiles á algunos 5res. diplomáticos ó letrados , se darán por D o n i c e t t i , titulada un moderado precio. P o r providencia del Sr. D. Julian P a u l , regidor…</t>
  </si>
  <si>
    <t>He, Cea Beruiudez.</t>
  </si>
  <si>
    <t>Cea Beruiudez. He</t>
  </si>
  <si>
    <t>…con los fondos cuan­ la Reina. Yo creo, señores, que se habla de la misión ó emba­ to cortar mi proyecto de ley ; los Ministros , los Gobiernos toa­ tiosos del ministerio de la Gobernación ; cuantiosos serian si la jada del Sr. Cea Beruiudez. He leido un papel publicado en dos, porque en todos ellos he visto que la Constitución del Es­ recaudación fuese efectiva ; pero se resienten los ramos destina­ Berlín con fecha de 2 de Febrero, que según creo ha dado á tado, bien sea la del año 57 , bien el Estatuto ó cualquiera do…</t>
  </si>
  <si>
    <t>He, Cárlos.</t>
  </si>
  <si>
    <t>Cárlos. He</t>
  </si>
  <si>
    <t>…Sobre todo en el momento del combate, porque de antema­ otros documentos siempre que se ha necesitado saber cuál era una misión tan importante, entre varios argumentos que em­ no se conocían las intrigas de los partidarios de D. Cárlos. He­ la creencia , la fe política del Gobierno, este ha contestado, la pleó para probar el derecho con que la nación habia reconoci­ mos subsistido en la brecha, y hemos visto la necesidad de des­ Reina Doña Isabel ti , su augusta madre la Reina Gobernado­ do siempre el de las hembras á la…</t>
  </si>
  <si>
    <t>HefFaudis</t>
  </si>
  <si>
    <t>…, según puede de­ RUSIA. la obra , queda encerrado con una pared de seis varas de ele­ ducirse de las comunicaciones oficíales de la legación y del ul­ vación y fres cuartas de espesor. Santipouce i.° de Junio timátum del barón HefFaudis; y las multiplicadas quejas de los San Petersburgo 1.° de Junio. de I8a9,—El director, Ivo de la Cortina.z=Es copia. = AIba. franceses residentes en la República, asi como la representación que dirigieron al presidente del consejo del Rey, conde Mole, no Con motivo de los dias de S. M. l…</t>
  </si>
  <si>
    <t>Hegetsweiler, Estado</t>
  </si>
  <si>
    <t>Estado Hegetsweiler</t>
  </si>
  <si>
    <t>…ntes los vivas oportunos y salieron todas las autoridades y pueblo, muertos y 15 heridos. precedidos de una banda de música, para la catedral donde se bailaron y danzaron haciendo las mudanzas y evoluciones con El consejero de Estado Hegetsweiler sigue algo mejor que tanta destreza y agilidad que causó la mayor admiración á los cauto el f e Deum con solemnidad. Restituidos á la casa capi­ ayer , pero todavía no está fuera de peligro. Esta tarde empie­ concurrentes, siguiendo las diferentes sonatas de la música. Por tular…</t>
  </si>
  <si>
    <t>Hellin</t>
  </si>
  <si>
    <t>…variada elocución , la verdad sierra , habiéndole cogido una carga de vino. una persecución activa encontró á cinco que cargó é hizo ren­ con que estaban pintadas las costumbres, usos y caracte­ . La octava columna ( comandante Hellin ) dividida en sec­ dirse ; y cuando se volvió al pueblo con su presa divisó otros res de la época que describia. Entonces se puede decir q u e ciones ha tenido varios encuentros al E. del camino re a l, en siete que cargó é hizo rendir igualmente , cogiendo vivos á los nació la verdadera nov…</t>
  </si>
  <si>
    <t>Hemos, Luis Fabiani.</t>
  </si>
  <si>
    <t>Luis Fabiani. Hemos</t>
  </si>
  <si>
    <t>…uitectos con sueldos correspondientes, que se lia D. Juan Lorabia. 5 BUENA—VISTA . inaban maestros mayores, y estos cuidaban de su conservacio D. Pedro López. y reparo : uno de ellos fue el arquitecto Ju a n de Mijares, y an D. Luis Fabiani. Hemos asistido á algunas funciones de este teatro, y he­ tes de este Gaspar de la Vega, sobrino de Luis. Lo mismo suce D. Antonio Campos. mos salido bastante complacidos de ellas. La compañía que dia en Granada. En el reinado de Felipe m se construyó 1 D. José Perez Pió. tiene es bas…</t>
  </si>
  <si>
    <t>Henares, Eduardo</t>
  </si>
  <si>
    <t>Eduardo Henares</t>
  </si>
  <si>
    <t>…d e M arzo d e 1830. P ro v in cia d e M álaga. tinuada, una afectación reprensible en la oratoria. Mas bien conviene á esta y á los demas géneros prosáicos la Azúcar mitad y m ita d , 8 á 12 á 10 y 14 arroba. Carratraca.izi D. Eduardo Henares, en G r a n a d a : desde 20 Id. blanco solo , 12 á 14 id. armonía general, esto es, el buen sonido de la frase con de J u n io á 2 0 de Setiembre. desinencias variadas, y si puede ser, acomodando los to­ Id. quebrado id ., 8 á 9| id. nos al espíritu y carácter de los pensamientos; m…</t>
  </si>
  <si>
    <t>Henderson</t>
  </si>
  <si>
    <t>…conclusión de este tratad o , porque hemos visto anunciado co desmiente de la manera mas formal estos rum o res, publi­ Las noticias recibidas en la mañana de este dia de la A m é­ en el N ew-Y orh E vening Stard que el general Henderson , re­ cando que estos armamentos no tienen otro objeto que el reem­ rica del Norte han producido alguna sensación en la bolsa: no presentante del Gobierno de Tejas ha firmado un tratad o , en el plazo ordinario del ejército; pero las noticias recibidas del ejér­ obstante, la baja en el cur…</t>
  </si>
  <si>
    <t>Henry</t>
  </si>
  <si>
    <t>…a PROVINCIAS. : ' Coruña, dando cuenta de los dias que ha prefijado, y en los que satisfizo el Sr. Gómez Acebo , dicho señor en nombre de la . Riqueza t e r r i t o - Riqueza fndus- cuales debe celebrarse la reelección del Sr. Henry. c o m i s i ó n presentó el artículo nuevamente redactado en estos r ia l. Consumos. trial. Asimismo se leyó un oficio del propio Sr. Secretario del términos: Despacho, manifestando que S. M. la Reina Gobernadora h a - Para todo contrato de empréstito en la nación ó en el ex* b ii tenido á…</t>
  </si>
  <si>
    <t>HER</t>
  </si>
  <si>
    <t>…por ella, to de ley, su u t ilid a d , necesidad y conveniencia, y combate la tirle en su seno. son m u y dignos de recompensa; mas creo sin embargo que en idea del Sr. Alvaro , de que hasta que se concluya la guerra no El Sr. H E RO S dijo que todo lo que el acta de la provinciael dia es imposible la realización de aquella promesa, y a por se debe tomar n inguna determinación sobre el p a r tic u la r , y de Pontevedra tenia de sencillo, otro tanto tenia de complicado las circunstancias particulares en que se encuentra l…</t>
  </si>
  <si>
    <t>…on dificultades en gobernar , debían haber de­ El Sr. G O N Z A L E Z deshace una equivocación. ganizar la segunda enseñanza en todo el reino, que se acordó jado el cargo; porque, señores, el que no se sienta con fuerza» El Sr. HER O S: Cuantos me escuchar» saben como yo que pasara á las secciones. para ello, asi debe hacerlo, que á ninguno se le pone un puñal ciertos escritores y ciertas gentes por contrariar el triunfo de El Sr. Presidente invitó á los presidentes de las secciones á al pecho, y yo antes de todo miraría…</t>
  </si>
  <si>
    <t>Her, Faustino</t>
  </si>
  <si>
    <t>Faustino Her</t>
  </si>
  <si>
    <t>…pusiesen en ejecu­ Coronel D. Joaquín Nava Campomanes. de M ála g a, en la cuesta del Padul y bajada al rio de D úlcar: ción medidas legislativas. Confieso con la mayor franqueza que Teniente coronel comandante de caballería D. Faustino Her­ que los que puedan llegar de M adrid , y aun hasta el número no hemos podido conseguir que el Parlamento aprobase todas rero. de 19 hombres, lo tendrán desde D úlcar á T á la ra , compren­ las medidas que creíamos útiles y oportunas. Pero apoyados eu Teniente coronel D. Ramón Lamelino…</t>
  </si>
  <si>
    <t>Heredia, María Monte</t>
  </si>
  <si>
    <t>María Monte Heredia</t>
  </si>
  <si>
    <t>…en el Boletín oficial, niím. 106 , y vinculados la queden á la Doña E m ilia, como herencia de la ral de caballos y yeguas abonándose su importe á los dueños. que se procediese por medio de otros á la nueva calificación : y Doña María Monte Heredia , según esta dispuso en su testa­ L 3 comirion á pesar de los sentimientos patrióticos que reco­ presentando ademas el D. Maximino solicitud á dicho Sr. al­ mento, y á cuyo fin comenzó por sí la demanda con el A nto­ noce en estos individuos, cree no haber lugar á deliberar sob…</t>
  </si>
  <si>
    <t>Hermenegildo</t>
  </si>
  <si>
    <t>…l trono algún voto por el buen éxito ejércitos en activid ad , sin que por ningún título pueda R eina Gobernadora. de la causa constitucional al fin del párrafo relativo á España. distraerse á otro objeto ni la menor cantidad. D. Hermenegildo Q uintana, D. Antonio Casasola y D. V i­ (V oces: ¡ Es in ú til , es in ú til !..) cente P ro vinciales, subtenientes que y a se hallaban en este de­ Los dos párrafos acerca de España se ponen a votaciou , y P or tanto mandamos á todos los tribunales, justicias, son adoptados por una…</t>
  </si>
  <si>
    <t>Hermógenes</t>
  </si>
  <si>
    <t>…eta que debe tenerse en estima, y cuyos el poetastro tan honrado y cándido com o ignorante, el muchos de los errores y equivocaciones padecidos por Chateau­ trabajos han sido sumamente útiles al teatro nacional. Pre­ pedanton D. Hermógenes, que tanto divierte al públi­ briand; algunas notas se han puesto; pero se necesitaban mi­ ciso es haber leido las desatinadas producciones de los co con su pésima é intempestiva erudición, el sarcastico les de ellas para destruir todos los hechos truncados ó falsos Cornelia, de los Zam…</t>
  </si>
  <si>
    <t>Hermópolis</t>
  </si>
  <si>
    <t>…ra pequeña para la grande afluen­ ¡ Dulces y alegres c u a n d o Dios queria I lado izquierdo.) Que en cuanto á la concurrencia de Mr. C u- que acudió. m rí-G ridaiu e, podían pasarse sin ella, y era en su concepto El obispo de Hermópolis asistía á la ceremonia; el abate E v a n d ro , viendo m u e rto á su hijo P ala n te, exclam a: 'Wuy racional y política. Dubois h a pronunciado el discurso. Mr. Dupin impugoa algunas de las observaciones hechas Besáronseles los pies á los misioneros que deben p artir, y Non haecj o P…</t>
  </si>
  <si>
    <t>Hernando, Victoriano</t>
  </si>
  <si>
    <t>Victoriano Hernando</t>
  </si>
  <si>
    <t>…ro artículo último que el pro­ También creemos de nuestro deber hacer público el acto pa­ bido mas que una paga, y eso que este departamento era el yecto de ley sobre estados excepcionales presentado por triótico del impresor D. Victoriano Hernando que queriendo primero que debía pagarse, dijo que al mismo tiempo tenia el Gobierno y adoptado en sus bases por la comisión, era coutribiiir por su parte al laudable objeto de la función, no una satisfacción en dirigirse á un Ministro de M arina, que mejor proyecto posible: cua…</t>
  </si>
  <si>
    <t>Hernández, Antonio</t>
  </si>
  <si>
    <t>Antonio Hernández</t>
  </si>
  <si>
    <t>…o con un denuedo admi­ de 16 del actual participa que el subteniente de la compañía mas nuestras instituciones, á remover los estorbos que haya rable, y lo mismo S. E. el Presidente de la República. franca de aquella provincia D. Antonio Hernández, que pro­ manifestado la experiencia en los diversos ramos del servicio Al comunicará Y. S. esta plausible noticia no puedo me­ cedente de la facción se presentó á nuestras filas con toda su público, y á promover en fia por todos los medios posibles el nos de felicitar al Perú ente…</t>
  </si>
  <si>
    <t>Hernández, Blas</t>
  </si>
  <si>
    <t>Blas Hernández</t>
  </si>
  <si>
    <t>…científicas de una nación que marcha al frente de Segovia, D. Domingo Alejandro: Sevilla, Sres. José Hidalgo París, 1 6 -6 id. Granada, 1| id. la ilustración europea han acogido con tanto interés al autor y compañía: Toledo, D. Blas Hernández: Valencia, D. Juan M álaga, i id. y á su obra, poniendo á esta en manos de los jóvenes que se Bautista Jimeno: Valladolid, Sra. viuda de Roldan: Zaragoza, Santander, par á { id. dedican á este interesante ramo del saber humano; cuando por D. Joaquín Yagüe. Alicante, 1 á £ d. Santia…</t>
  </si>
  <si>
    <t>Hernández, D. Mariano</t>
  </si>
  <si>
    <t>D. Mariano Hernández</t>
  </si>
  <si>
    <t>…endida equivocación. actual , pide que se atienda á su clase con la preferencia debi­ Después de una reforma tan esencial como suprimir el tí­ da , pues experimentando un atraso en sus pagas de 58 meses, p O R providencia del Sr. D. Mariano Hernández, cónsul p r i- tulo dé Nuevo Chantreau , hemos descendido tambiéú á me­ gimen en la mas dura miseria, y se ven expuestos á una mendi­ jorar el todo con el mismo esmero que en cada una de las edi­ cidad vergonzosa , sin tener ni aun cama que ofrecer á los alo­ Valencia, mero por…</t>
  </si>
  <si>
    <t>Hernández, Fermín Diez</t>
  </si>
  <si>
    <t>Fermín Diez Hernández</t>
  </si>
  <si>
    <t>…de la Monterilla , término G uinea, D. José Sandoval , D. Francisco Arra tia, D. Juan pues basta fijar la consideración en que el abono á cualquier de Iluercal , S. Nicolás, por D Francisco Salmerón , en 8. Pedro A y e g u i, D. Fermín Diez Hernández, D. Benito Corta - gabinete de lectura , que nuestros suscriptores tienen gratis, Otra i d . , sierra Almagrera, barranco Jaroso, término de zar , D . Basilio Ramos, D . Antonio Prieto; quienes declararon cuesta 20 rs. al menos mensualmente. Cuevas, las Animas, por D. Miguel S…</t>
  </si>
  <si>
    <t>Hernández, Gabriel Gómez</t>
  </si>
  <si>
    <t>Gabriel Gómez Hernández</t>
  </si>
  <si>
    <t>…e responder esta parte á los facultativos que tienen puestos alli pectivas au d ie n c ias, para la promotoría fiscal del juzgado de la empresa. Los confinados oyeron con alegría las ofertas que para su inspección el ingeniero D. Gabriel Gómez Hernández, Yelez M á la g a á D. José Fernandez del Castillo , y para la de se les hicieron de que serian tratados con h um anidad y ju sti­ dice está concluida la mitad del camino de Sanlúcar de B a rr a ­ L u a rc a á D. Modesto Cascos Aranero. cia , y de que se les proporcionarían t…</t>
  </si>
  <si>
    <t>Hernández, Juan de Dios</t>
  </si>
  <si>
    <t>Juan de Dios Hernández</t>
  </si>
  <si>
    <t>…. perder momento todas las precauciones que^éstaban &amp; su alcance Tribunal mayor de cuentas. Se leyó dicho dictám en, y habiéndose presentado en este para conservar aquel punto á toda costa de sus enemigos in ­ Por promocion de D. Juan de Dios Hernández á tesorero tiempo el correspondiente á fas enmiendas al respectivo á la teriores y exteriores; siendo una de las medidas que adoptó la de la provincia de Logroño , se halla vacante en la comisión en­ comunicación entre los dos cuerpos colegisladores y el Gobier­ formación de c…</t>
  </si>
  <si>
    <t>Hernández, Justo</t>
  </si>
  <si>
    <t>Justo Hernández</t>
  </si>
  <si>
    <t>…odoro García Pinillos, D. Yicente Martínez, D. An­ expediente promovido en virtud de la duda suscitada por Existencia que resultó en fin de Diciembre úl­ timo.............................. tonio 10887747..12 Baltasar Elola, D. Justo Hernández, D. Domingo del Rio, Don el intendente de Rarcelona sobre si los comerciantes titula­ Recibido por provinciales. 8897157.. 50 González, D, Antonio Castro, D. Pedro Garrido y dos de la carrera de América están sujetos al pago del Por equivalentes................................. D.…</t>
  </si>
  <si>
    <t>Hernández, Perez</t>
  </si>
  <si>
    <t>Perez Hernández</t>
  </si>
  <si>
    <t>…ias á quienes no aflige este azoíe, isla de Cuba habia nombrado presidente al señor marques de liese por suplemento á la Gaceta. creia que para los casos que-se.previenen en la ley se debía aper* Somcruelos, y secretario al Sr. Perez Hernández. E l Sr. P R E S I D E N T E dijo que la comisión, de Gobierno lar á los gefes m ilitares, y ora para resistir á los facciosos ó El Sr. Kios fue agregado á la primera sección. interior apreciaba mucho las observaciones del Sr. Sancho , y para prevenir los tumultos que pudieran ocu r…</t>
  </si>
  <si>
    <t>Hernández, Vicente</t>
  </si>
  <si>
    <t>Vicente Hernández</t>
  </si>
  <si>
    <t>N.° 1549. LUNES 11 DE FEBRERO DE 1839. DIEZ C U AR TO S S. M. la R e i n a , su augusta Madre la R e i n a . G o b e r n a ­ dientes propios de la jurisdicción ordinaria. De Real or­ y D. Vicente Hernández, después de haber sido oidas las par­ d o r a y la Serma. Sra. Infanta Doña María Luisa Fernan­ den lo comunico á V. para su inteligencia y cum plim ien­ tes , y reasumido por dicho señor juez de primera Distancia» separados los jueces de calificación y conferenciado, pa%aron d…</t>
  </si>
  <si>
    <t>HERO</t>
  </si>
  <si>
    <t>…z.rzManuel M aría de G oiri.“ F rancis­ del R ey menor N. Asi Dios me ayu d e, ó si no me lo demande.” L a R eal orden de 20 de J u lio de 1833 que se c ita en co Cano.zzM iguel López del Postigo.zzAmbrosio E guiluz.“ Pe- El Sr. HERO S expuso que en su entender este artículo e u - l a anterior es como sig u e : dro B aranda.“ Ramón Gérvoles.“ Blas Sierra.zzDomingo D iaz volvia una cuestión de surua gravedad , á saber, si la Reina dei V alle.“ Cárlos G utiérrez de la Torre.=:José de Mena. R egente, irresponsable por la C on…</t>
  </si>
  <si>
    <t>Heros</t>
  </si>
  <si>
    <t>…individuos de tropa y m arinería, tengo el honor de manifestar­ PRESIDENCIA DEL SEÑOR MOSCOSO DE A L T A M IR A . le consultase. lo á Y . E. con la recomendación á que de justicia se han hecho El Sr. G A RELLY, contestando al Sr. Heros, dice que le­ acreedores por este nuevo servicio que han prestado á la causa Sesión d e l dia 8 d e F eb rero . jos de tener este proyecto sabor á extrangerismo, como parece nacional , rodeados de privaciones y sufrimientos , mas con el Se abrió á la una y cuarto; y leida el acta de la anteri…</t>
  </si>
  <si>
    <t>…elogiado por las Cortes y la nación. Respecto de si senten. buciones de 1857 y 38 en suministros, y los ayuntamientos se | es conveniente ó no, eso se verá ; y sí encuentra que no lo es Sigue S. S. impugnando el discurso del Sr. Heros, y en cuan­ .hallaban en el mayor conllicto por haberse dado efecto retroac­ no encontrará dificultad en deshacer lo hecho. Como algunos to á la extrangeroinania i que dice aludió S. S. , observa que tivo á esa orden. Después de extenderse en estas observaciones, señores Diputados han pedido l…</t>
  </si>
  <si>
    <t>…enas ha de­ en ella zo aparecía protesta ni reclamación alguna. Respecto á llenado de alegría á la nación entera. La paz, Señora, vos jado de llover, sino hoy, y aun ahora al entrar la noche esta­ la observación principal del Sr. Heros no creyó tan imposible dulce y encantadora, va á resonar en breve por todos los án­ mos amenazados, se hacen fiestas, las gentes se divierten , se que tomase parte en la elección el número á que se habia refe­ gulos de la Península. El ilustre caudillo á quien tuvo á bien vitorea á Espartero e…</t>
  </si>
  <si>
    <t>…m­ en su vista saber si h ay ó no nulidad en las elecciones. fincas. H ay población pues que tiene muchos bienes; pero tam­ pre alabaré al ministerio que le dic tó ; hubo en él m u y buena El Sr. C A N E J A contestó que el Sr. Heros tenia razón en bién muchas deudas. f e , m uy buenos deseos. cuanto á que las actas de la provincia de Oviedo presentan la H ay o tras, y tal sucede con las pequeñas, que tienen un Entonces no se tuvo presente mas que el en tusiasm o , á lo mayor confusión , lo cual la comisión no habia olvi…</t>
  </si>
  <si>
    <t>…biado todo. Va á empe­ lios pecuniarios de aquellas Potencias. El rumbo seguido en es­ día aprobar el reglamento, mientras encerrase artículosen opo­ gar una senda hermosa, florida, por la cual debemos caminar te punto por el Sr. Heros no nos conduciría á la necesaria re­ sición coa la legislación v igente, propuso la legación dé España todos á buscar esa paz con los brazos abiertos; y cuando de­ conciliación , á la unión de todos los españoles. que se eliminasen del reglamento todos los artículos en que tu ­ bemos buscar un…</t>
  </si>
  <si>
    <t>…sobre las elecciones de C á d iz , en que cia y la naturaleza del asunto lo permita. El Sr. O C H O A : Es que se dice en el p árrafo : "reuaciendo propone sean aprobadas, y admitidos D. Olegario de los Cue­ Refiriéndose el Sr. Heros al párrafo que trata de las Poten­ por lo tanto la tranquilidad de los pueblos” , y .... tos, D. Aotonio Fajardo y otro Sr. Diputado electo por la cias del N orte, nombró S. S. á una persona por nombre pro­ El Sr. P R E S ID E N T E : Sr. O choa, yo no puedo perm itir misma. p io, agravándol…</t>
  </si>
  <si>
    <t>…gando á los señores de Se abrió á la una y veinte minutos, y leída el acta de la algunas indicaciones. la comisión tuvieran á bien añadir después de las palabras "y anterior quedó aprobada. En cuanto á lo que había dicho el Sr. Heros sobre la desi­ cuentas que se hallen ya finiquitadas por el tribunal de la con­ El Senado oyó con agrado una exposición de la diputación gualdad que notaba en los fondos de Gobernación , dice que no taduría mayor” las siguientes: "sin perjuicio de dar un cono­ provincial de Valencia felicitá…</t>
  </si>
  <si>
    <t>HEROS</t>
  </si>
  <si>
    <t>…l sistema que punto que no puede ser indiferente á los españoles. cusión en la totalidad, y dijo allí existe no es español. Yo no entraré en todos los pormenores La guerra que hace cinco años aflige á la nación, encrude­ El Sr. HEROS: Señores, cuando hace pocos dias pedí la necesarios para probar esta proposicioa ; me basta decir que en cida con mil sucesos frecuentes por desgracia en esta especie de palabra en contra del proyecto de mensaje sometido hoy á la el período de 15 dias que he permanecido en aquel pueblo no he…</t>
  </si>
  <si>
    <t>…e deten idam en te, porque podría creerse ofendido el Go­ ac tu alm e n te , tanto la de la Imprenta Nacional como la otra, bierno con esta excitación. nadie. no "presentan la legislación que compilan con método alg u ­ El Sr. H E R O S apoyó la enmienda propuesta por el señor El Sr. C O R T IN A manifestó que la comisión no habia po­ no , bueno ni malo.*’ González, manifestando que de ninguna manera podía ser ofen­ dido menos de reproducir su dictámen proponiendo la a d m i­ El método que se observa en la colección que…</t>
  </si>
  <si>
    <t>…riótica oferta, se ha servido igualmente mandar que se den las gracias al interesado en su Real nombre por su un todo conforme con el aprobado por el Congreso* los distritos y á los comisarios de guerra, ministros de ha­ El Sr. H E R O S : Señores, no es ni para recordar hechos des­ generoso desprendimiento, y que se anuncie en la Gaceta. cienda militar de las diferentes provincias del reino, pa­ ra que arrollando toda clase de obstáculos , den el mas agradables , ni ofender d las personas de que setrata, ni con­ trad…</t>
  </si>
  <si>
    <t>…rtículos del proyecto S. S. co n tio ú a: Veo que á la par que crecen nuestros triu n ­ de ley para las comunicaciones de los cuerpos colegisladores en­ fos se aumenta en toda la E urop a un .no sé q u é , una especie de El Sr. H E R O S manifiesta que aunque se alegraría de que tre sí y coa el G obierno; y concluida ésta, la de los relativos al conmoción como si les pesara de nuestras fo rtu n as; y eo lugar asi fuese, no le parece que debe partir ese homenaje del mismo Senado. aniversario de la jura de la Constitución ,…</t>
  </si>
  <si>
    <t>…an desaparecido en lo p r i n c i p a l , y hasta el mismo P a ­ Se le)’ó el dirfnm en. ! P R E SID E N C IA D E L SEÑOR V IC E P R E SID E N T E Z U M A L A C A R R E G U I . lillos se ve casi ab andonado de los suyos. E! Sr. H E R O S manifiesta que en política es uno de los me­ En el extrangero , nos h a n dicho los periódicos del mismo nos poéticos, y que el Senado h a oido declam ar contra la m u l ­ Sesión d e l dia 2 9 d e O ctubre . que el R e y de H olan da h a reconocido á S. M . la R ein a Doña tit u d de pap…</t>
  </si>
  <si>
    <t>HEROS, El Sr.</t>
  </si>
  <si>
    <t>El Sr. HEROS</t>
  </si>
  <si>
    <t>…acciones arb itrarias, á fin de que en el término tan pequeña, creia que no debia pasar á la comisión. sentó en las alturas de las arenas un grupo de facciosos tirando de 50 dias que se le señalan comparezca ante el Sr. Ministro El Sr. HEROS dice que á un corazón sinceramente español tiros á la guardia del mismo nombre, á cuya hora acordó el mas antiguo de dicha sala D» Manuel Leonardo Vizmanos, y no puede menos de afligirle el furor que se observa en adm i­ Sr. coronel gobernador de esta plaza D. Joaquín Y ara de Rey se…</t>
  </si>
  <si>
    <t>HEROS, Ministro El Sr.</t>
  </si>
  <si>
    <t>Ministro El Sr. HEROS</t>
  </si>
  <si>
    <t>…tino y exacciones arb itrarias, á fin de que en el término tan pequeña, creia que no debia pasar á la comisión. sentó en las alturas de las arenas un grupo de facciosos tirando de 50 dias que se le señalan comparezca ante el Sr. Ministro El Sr. HEROS dice que á un corazón sinceramente español tiros á la guardia del mismo nombre, á cuya hora acordó el mas antiguo de dicha sala D» Manuel Leonardo Vizmanos, y no puede menos de afligirle el furor que se observa en adm i­ Sr. coronel gobernador de esta plaza D. Joaquín Y ara d…</t>
  </si>
  <si>
    <t>Herrera, Francisco García</t>
  </si>
  <si>
    <t>Francisco García Herrera</t>
  </si>
  <si>
    <t>…100 2.a 23591 ¿25690 200 20000 &gt;210 30000 viembre de 1834 j que los Sres. Serra, hermanos , del comercio sincero deseo que le anima del acierto en esta materia , y que 10 3.a 15877 ¿15886 500 5000 J de Barcelona, remitían á D. Francisco García Herrera por el lejos de encontrarse aferrado en su o p inión, desea oir la de los correo que debió llegar á esta corte el martes 1.° del actual y demas Sres. Diputados para formar la su y a, me estimula á ^ ha sido interceptado por los facciosos el 29 de Diciembre último presentar…</t>
  </si>
  <si>
    <t>Herrera, José Posada</t>
  </si>
  <si>
    <t>José Posada Herrera</t>
  </si>
  <si>
    <t>…á los bra con título de universidad. La política de este Príncipe t u ­ frutos de la primera enseñanza , obra de D. Nicolás Cantón, vo una influencia m uy feliz en la a g r ic u ltn r a , fáb ricas, co­ que recitó en su nombre D. José Posada Herrera , y que tanto Córdoba 26 d e N oviem bre . mercio y n avegació n , y la prosperidad de los pueblos levantó á contribuyó á realzar esta función verdaderamente patriótica. los ciudadanos de Portugal al nivel de la nobleza feudal y del Habitantes de esta pro v in cia: No cum pliría…</t>
  </si>
  <si>
    <t>Herrero, Fuente</t>
  </si>
  <si>
    <t>Fuente Herrero</t>
  </si>
  <si>
    <t>…osa. Se halla venal en el establecimiento de obras de pri­ empeño eo llevarle adelante si el Congreso se opone á él. EFECTOS PUBLICOS. mera educación, calle de Carretas, uúm. 1 4 , casa de Filipi­ Rectificado un hecho por el Sr. Fuente Herrero, y no ha­ Inscripciones en el gran libro á 5 por 100, 00. nas, á 2 rs. biendo ningún otro Sr. D í putado que tu viese pedida la palabra e»i contra, se declaió haber lugar á deliberar sobre el dicta- con Títulos al portador del 5 por 100, 2 8 f, f, 29£, f , f y 2 9 | cupones: 29 ant…</t>
  </si>
  <si>
    <t>el Congreso, se halla en el caso de sostener su dictamen á toda que no hay cuestiones de orden en el reglamento; que quede NOTICIAS NACIONALES. costa, y rebatir las razones en que el Sr. Fuente Herrero apoya consignado esto. su opinión. El Sr. conde de las N A V A S: En uso de mi derecho pido Zaragoza. 5 de Setiembre Yo creo que S. S. ha confundido dos cosas que deben dis­ que se discuta esa palabra preferente . La persona interesada tinguirse: ha confundido el Ministro de Gracia…</t>
  </si>
  <si>
    <t>…ra que M ehem et-A lí ha sen­ 6.a sección. Presidente el Sr. Z u m a la c a rre g u i: V icepresi­ d irig id o hoy S. E. sobre L ecum berri; y con el fin de que estas tido vivamente la determinación de las Potencias. dente el Sr. Fuente Herrero: Secretario el Sr. Estrada : V ic e ­ o peraciones y las sucesivas produzcan todo el efecto que se de­ secretario el Sr. Temprado. sea, ha determinado que el general D. Ramón Castañeda ven­ 7.a sección. Presidente el Sr. Sancho: Vicesecretario el se­ ga á Vitoria , á cuya plaza ha lle…</t>
  </si>
  <si>
    <t>…reros unidos «3 art. 2.® hicieran entender al Gobierno que debia usar otro lenguaje. cual herm anos, repitieron la voz de p a z, y celebraron eter­ II :ciéndose cargo en seguida de algunas de las observaciones A petición del Sr. Fuente Herrero se leyó el acta de la se­ na alianza en el foco de los combates.” •expne-Us eri la discusión , dijo entre otras cosas, contestando al sión del 11 de Julio de 1820. Felicitam os al Sr. Arenas por lo patriótico de su discur­ Sr. Ferrer , que no era extraño que las provincias no se -hubi…</t>
  </si>
  <si>
    <t>Herrero, Félix</t>
  </si>
  <si>
    <t>Félix Herrero</t>
  </si>
  <si>
    <t>…s D. Manuel de la Gándara, supremo de Ju stic ia , se cita , llama y emplaza al R. obispo de tas tentativas probaran á viva fuerza: con este motivo se d i­ que con un tercio de su partida y una compañía franca de So­ Orihuela D. Félix Herrero V alv erde, cuyo paradero se ignora, vidió el recinto en uueve partes, y cada uno fue á ocupar el ria al mando de su capitán D. José M anuel de Ribera , tam ­ para que en el término de nueve dias que por tercero y último que le deparó su suerte, quedando en la plaza un reten. A si-:…</t>
  </si>
  <si>
    <t>Herrge, Cristiano</t>
  </si>
  <si>
    <t>Cristiano Herrge</t>
  </si>
  <si>
    <t>…n pasar notas certificadas de la escuela de Werner, y aumentada con observaciones hechas 5.° Otra colúCóion de V a hes de Straus , por la orquesta. en la forma que se han extendido en los años anteriores en la Per ínsula, por D. Cristiano Herrge», para uso del Real 6 .° Una cavatina cantada por la señorita Ibarrondo. á la imprenta Nacional, donde deberán hallarse precisa­ estudio de Mineralogía de esta corte. Uo tomo en 8 .° marqui­ 7.° Dúo del Posto Abbandonalo por la señorita García y mente para el l.° de Diciembre próx…</t>
  </si>
  <si>
    <t>Herrgen, Christiano</t>
  </si>
  <si>
    <t>Christiano Herrgen</t>
  </si>
  <si>
    <t>…luma del Sr. Martí­ 11,147.. • 400. ............ Algeciras. Anales de Historia natural, redactados de orden superior nez de la Rosa : la aparición del mozo Venegas también 6 ,8 4 1 .... 400 .............. Madrid. por los Sres. D. Christiano Herrgen, D. Luis Proust, D. Do­ excita vivamente la atención, y presagia mas extraños 1 ,0 5 6 .... 4 0 0 . . . . . . . Barcelona. mingo Fernandez y D. Antonio José Cabanilles, adornados de lances y aventuras. 8 ,8 5 8 .... 4OO.............. Zaragoza. muchas y preciosas láminas que facili…</t>
  </si>
  <si>
    <t>Hes-</t>
  </si>
  <si>
    <t>…a sus ordenes un schooner de guerra para proteger efectos. El enviado de Hannóver á la Dieta ha pedido á nuestra el pabellón de Norte América. Hace algunos años , añade el autoridades que se someta á un juicio criminal al doctor Hes- corresponsal nuestro, que un agente político ingles se halla es­ sember por haber excitado al pueblo á un alboroto. Después de tablecido en dicha bahía. {Id.) haber examinado una petición á la D ieta, ha invitado á una PARTE NO OFICIAL. corporación por medio de una carta á que no abandonase…</t>
  </si>
  <si>
    <t>Hesse-Darmstadt</t>
  </si>
  <si>
    <t>…e E nero0. v e r la Cámara. De la prim era, la elección de Ministros, y a sa­ béis si la coalición ha dejado al Rey la menor parte. Se han Gobierno político de esta provincia.=:EI Sr. Ministro de U M r. Glaubrech, Diputado de Hesse-Darmstadt, ha d ir ig i­ dispuesto las cosas de manera que en este punto no quede al Gobernación de la Peuínsula me dice con fécha 15 del corrien­ do al presidente de la Union de Osnabruc una carta concer­ Rey ni aun una sombra de libertad; se le ha cercado, se le ha te lo que sigue: niente…</t>
  </si>
  <si>
    <t>Hessem</t>
  </si>
  <si>
    <t>…Gobernadora se ha servido resolver Gobierno para que recobren las leyes su fuerza y su v igo r. El un obispo de una diócesis católica en P ru sia no pueda expedir que las libranzas que con arreglo al art. 3.° del Real de­ doctor Hessem berg, de F rancfort, ha quedado encargado de re­ nuevos decretos en materias religiosa y eclesiástica sin estar para ello autorizado por el G obierno, y que no tiene derecho de creto de 26 de Abril próximo pasado debe expedir esa m itir á la D ieta la memoria de los electores de O snabruk.…</t>
  </si>
  <si>
    <t>Hessenber</t>
  </si>
  <si>
    <t>gunas semanas que por el doctor Hessenber se presentó á la alta j pertenecer: de donde era menester formar un ministerio, por­ al radicalismo, comprimir á tiempo esa baja y grosera dema­ asamblea un memorial de los individuos de la oposición de la que la mayoría tauto fuera como dentro del Parlamento, está gogia que se agita bajo…</t>
  </si>
  <si>
    <t>Hidalgo, Angel</t>
  </si>
  <si>
    <t>Angel Hidalgo</t>
  </si>
  <si>
    <t>…e apoderan de las ca­ preso en 15 de A b ril, publicado por los doctores D. Juan R a­ ña Isabel Herranz de M ontalvo, y la última en solicitud de bañerías de los particulares para hacernos la guerra y evadirse món de Barcia y D. Angel Hidalgo, declarando nulo con a u ­ que se declare extinguida la vinculación , conforme al decreto de las tropas nacionales; y á fin de remediar este mal proponen diencia del promotor fiscal del juzgado el laudo de los anterio­ de las Cortes de 15 de Mayo de 1821, y que como bienes des­ que e…</t>
  </si>
  <si>
    <t>…l billete de entrada. tillo , su señora é hijas han dispuesto los doctores D. Juan Ramón del Lobo , núm. 8 , piso segundo, á prestar sus respectivas de­ Regulándose cinco personas para cada palco, los que tomen bi­ de Barcia y D. Angel Hidalgo” , después de conferenciar entre sí claraciones en causa criminal que se sigue por falsificación de lletes de estas localidades recibirán cinco tarjetas, cada una el asunto, lo declaran libelo infam atorio, injurioso en tercer cierta lámina de deuda sin Ínteres contra el Estado; aperci…</t>
  </si>
  <si>
    <t>Hidalgo, García</t>
  </si>
  <si>
    <t>García Hidalgo</t>
  </si>
  <si>
    <t>las muestras de afecto y sincera amistad que le han sido prodi- 1 El día o entraron 2oij tusiles procedentes de falencia; y en teatro del Príncipe á beneficio de D. Antonio Guztnan. Vénde­ gadas ; y si como es de esperar el Sr. García Hidalgo sigue en el mismo dia salieron para Logroño 160 quintos; esperándose se á 8 rs. en las librerías de Escamilla, calle de Carretas, y de su administración la marcha que él mismo se trazó anterior­ también de hoy á mañana un gran convoy de esa corte, y es Cuesta, frente á las Covachuelas…</t>
  </si>
  <si>
    <t>Hierro</t>
  </si>
  <si>
    <t>…el depósito de S. Pablo, con y muerto á otro que intentó fugarse. mas tres movilizados de la guardia que habia en el mismo. En Moneada se han presentado á indulto siete facciosos con su armamento. (Id .) El 5 se hallaba el cura Hierro con su gavilla en Robledo, partido de Sedaño. El 6 condujeron á esta capital cinco facciosos compañeros COLECCION ídem 10. de los 18 anteriores: dos de ellos fueron capturados por la guar­ nición de Monasterio , y los otros tres , que son oficiales, lo fue­ DE REALES DECRETOS, ORDENES…</t>
  </si>
  <si>
    <t>…a que en el término preciso de unirse en la sierra, y acosados por las tropas que los perseguían. ternos que componen su trama y desenlace, sirven harte 50 dias se presente á dar noticias de ellas al juzgado ; en la in­ El cura Hierro ha quedado con solo 14 caballos. Rey fue heri­ mejor al propósito del Sr. Tapia, que no ei arrebato de teligencia de que están dadas las órdenes oportunas á la caja de do en el ultimo encuentro, y las facciones de aquella provincia las pasiones y la vehemencia de los sentimientos, que en amo…</t>
  </si>
  <si>
    <t>Higinio, José</t>
  </si>
  <si>
    <t>José Higinio</t>
  </si>
  <si>
    <t>…ámbula. poder universal en una base indestructible. roica villa; D. Manuel Villota y D. José Cano Sainz, del co­ Un lance apurado, anécdota. El estilo dramático fundado en el siglo x v i i , debilita­ mercio de esta corte, y D. José Higinio A rche, contador ge­ Primeros órganos en España. do alguna vez en el xvm , jamás se ha abatido; este estilo neral de la caja nacional de amortización, vocal secretario; y Una crónica con varios artículos. participa de la inviolabilidad que cubre nuestra lengua colocada en el estrado pre…</t>
  </si>
  <si>
    <t>Hijar</t>
  </si>
  <si>
    <t>…e no derramaron! ¡qué de batallas uo Anteayer se desplomó en este pueblo el antiguo palacio del ce en desplegar su talento para n arrar, y verosímiles , con­ dieron, disputando la posesión de un país, en el que la natu­ duque de Hijar, sacando maderas y aprovechando escombros dición necesaria de toda narración. No le basta ser verda­ raleza habia derramado sus mas preciosos dones, y en el que, que alii había; y ha habido algunas desgracias. , es preciso ademas que unos sucesos se expliquen por como dice el sabio Fenelon, pa…</t>
  </si>
  <si>
    <t>Hildeobrand</t>
  </si>
  <si>
    <t>…Pastor y 1 Guia. vados en la parte del Bastan continúan en el mismo estado, 1 Lago, con 1 Lobo marino, y í Barca de pasaje con Tri­ y que habiéndoseles propuesto por disposición del Pretendiente T¿*atado del tifo, por el doctor Hildeobrand, traducido y pulación. el que se trasladasen al pueblo de Alsasua para tratar del ar­ anotado por D. Félix Janer. Un tomito en 8.° Se vende en la 1 Arroyo de juncos con i Garza. reglo de sus diferencias, no se han avenido á realizar esta mar­ misma librería á 5 rs. rústica. 2 Perros s…</t>
  </si>
  <si>
    <t>Ho-, Guillermo</t>
  </si>
  <si>
    <t>Guillermo Ho-</t>
  </si>
  <si>
    <t>…­ del Sur noticias de las islas de Sandwich hasta el 10 de Fe­ drón de la brigada auxiliar británica y el de coraceros de la brero último. Cartas de Tahiti anuncian que la fragata V e ­ Guardia , mandados por sus comandantes D. Guillermo Ho- nus habia llegado á aquella isla con objeto de pedir satisfacción gresve y D. Felipe C hiva, que habia hecho marchar en su de los insultos y crueldades cometidos con los misioneros fran­ Se ha dicho estos dias que Mahamud era hijo de una fran­ apoyo , cargaron á los euemigos , arroll…</t>
  </si>
  <si>
    <t>Hodgson, Isaac</t>
  </si>
  <si>
    <t>Isaac Hodgson</t>
  </si>
  <si>
    <t>…ue interesa viva­ ños contraídos por ios comerciantes son de m uy corta conside­ * * Nuestra ciudad en agitación durante todo el dia. El mayor mente á la A lem ania, no ha podido resolverse de otro modo ración. (Glube.) general Isaac Hodgson ha recibido esta mañana orden del go­ á pesar de todos los esfuerzos del Gobierno. El M inistro conclu­ bernador Fairfieid para enviar hombres de su división al yó su discurso en estos términos: distrito en que se encuentra ya una fuerza al mando del agen- "Los que os proponen resist…</t>
  </si>
  <si>
    <t>Hodsdon</t>
  </si>
  <si>
    <t>…ado de 16 de Agosto han determinado á lord P o n - nglaterra no se muestre muy pacífica y humilde. impuesto en la misma provincia para sus cam inos, y que soinby á introducir algunas modificaciones en las disposiciones El general Hodsdon se ha dirigido desde Iloulton al indebidamente se aplicaban á otras atenciones. que conciernen á los artículos de exportación. L a cuestión de Lroostook, donde se fortificará en la península ; 550 hombres de Sin em bargo, cuando se trataba de dar cumplimiento la guerra toma cada dia un car…</t>
  </si>
  <si>
    <t>Holandeses</t>
  </si>
  <si>
    <t>…por un r a to ; pero con­ del re in o , se presenten en esta ciudad por sí ó por legítimas B e lg a s , 102. tin uando después corriendo por espesos pinares y cuestas, se representaciones á D. M anuel de Urmeneta y P arra y Don Holandeses, 2| por 1 0 0 , 5 5J. d irigió por el collado que va de Galvez á B e ld ip in illo , y si­ Manuel I n d a r t , síndicos de dicho concurso, para liquidar de­ Bonos del tesoro, 62. guiendo por la Huerta y el Hordal , pasó á Bustares de A lto - finitivamente sus respectivos créditos, y perc…</t>
  </si>
  <si>
    <t>Holberg-Soeder</t>
  </si>
  <si>
    <t>…cciones que de ello se rector general de montes &amp; c ., el conde V o n -d e r-D e c k e n , el mera b rig a d a , Bourkolz, mariscal de ca m p o ; segunda b rig a­ saca son sumamente inexactos, y el respeto y veneración conde de Holberg-Soeder. da , M eslin, idem. que debemos á un nombre augusto, nos obliga á rectifi­ Cuarta división en L il a : el teniente general B u g e a u d ; gefe carlos, prévia la correspondiente autorización. de estado m a y o r, el coronel Reven. Primera b r ig a d a , de L a s - En el año pasado…</t>
  </si>
  <si>
    <t>Hora</t>
  </si>
  <si>
    <t>…obispo que Man toja (D * J u a a ) , se sus pendí ó la dlscusica,. C o tiz a ció n d e l d ía 6 á la s tr e s d e la ta r d e, lia ja incidido en proposiciones de b «atórale** de las del señor Eotró á jurar y tomó astéalo el Sr. Hora panera,, Diputado EFECTOS PÚBLICOS. O r t ig o » .; pero sí diré «1 Sr* Arguelles que no porque ef esta- reelecto -por 1» provincia de Patencia. ideci miento de Ib tnquisfcioQ, uo porque este tribunal se * bra­ Se acordó imprimir y que se seña I» ría día para la discosioa Inscripciones en el gr…</t>
  </si>
  <si>
    <t>Hore, D. Andrés</t>
  </si>
  <si>
    <t>D. Andrés Hore</t>
  </si>
  <si>
    <t>…un d i­ lla estampado el edicto original que dice: En virtud de pro­ que vino de Tartaria á establecerse en R usia, llegó aqui en in­ choso porvenir bajo el Gobierno justo y protector de la Reina videncia dada por S. S. el Sr. D. Andrés Hore, ministro hono­ vierno— Y qué pudo influir la estación en el título que se le Doña Isabel ii y de la regencia de su Madre augusta, Madre rario de la audiencia de Oviedo, y juez de primera instancia d ió ? Es que cuando un noble tártaro aparecía por primera asimismo y Madre bienhech…</t>
  </si>
  <si>
    <t>Hormanchuelos</t>
  </si>
  <si>
    <t>…s y cual­ j^nia en P a ris , han llegado el 2 á Francfort. El Corresponsal de la Cañada, continuando el 3 el Excmo. Sr. duque de la Vic­ quedados por defunciónreclamar tenga que algún crédito contra los bienes del Sr. conde de Hormanchuelos, para de Nitremberg anuncia que la reunión de MM. de Bussiere y toria en Parras, Luco y Bordou. Que los enemigos tenían sus que de Rermeritz tiene por objeto un casamiento entre el duque fuerzas divididas en observación de las nuestras, habiendo pa­ dias los que sean se presenten á ve…</t>
  </si>
  <si>
    <t>Howland</t>
  </si>
  <si>
    <t>…ndose también el total de los meses vigente. anteriores, según está mandado. ford, marques de Tavistock; barón Russell de Cheueys, barón Por último dice el mismo capitán general que en diferentes Russell de Thorhangh y barón de Howland, de Streatham, tí­ puntos de aquel distrito se han presentado á indulto siete re­ tulos todos al que va anejo el de Par de la Gran Bretaña. S. G. Número beldes, y han muerto en el campo en los encuentros tenidos ;ra también caballero de la orden de la Jarretiera, individuo de fincas Valor en…</t>
  </si>
  <si>
    <t>Hoy</t>
  </si>
  <si>
    <t>…e zados. La división provisional se liábia formado en tres colurn- TnaHTcula"delqMStenéuf, procedente de B a rce ío ñ a , debo po-, víveres aqpel punto, y hacer qüe ,se mé -unieséd las tropas que „«vas á las órdenes del brigadier Hoy os * coro nel, D^ Cácaos, (^xolin et* cbnoéimiéñró de Y . Evv que ha hiendo traído 125 i gdli sé encerraban. \ '. , t " y teniente coronel Fañosa. Su marcha constan te mente vicfñrj(j&gt;a há¥rilé§ de a^Ü árdíeuté, rnb lé fué perm itido déséiiibarcár^ /G efecto él 15 me d jrig í hacía Y ih afa m…</t>
  </si>
  <si>
    <t>…na por la de N a ­ m io , y por ellas, y no por nin g ú n otro docum ento, se satis­ varra. (Núm . 1769.) farán las ganancias en las mismas administraciones doude h u ­ . confirmando las disposiciones adoptadas por el duque de Hoy, con motivo del cumpleaños de S. ¡VI. la Reiría biesen sido expendidos los billetes, con la puntualidad que tie— la Victoria en las provincias del N orte sobre alzamiento de Doña Isabel n, ha sido dia dé gala con uniform e, y ha ne acreditado este establecimiento. secuestros y devolución de sus…</t>
  </si>
  <si>
    <t>Hoy, CRUZ.</t>
  </si>
  <si>
    <t>CRUZ. Hoy</t>
  </si>
  <si>
    <t>…i­ por título ción de 1795, á 5 rs. en rústica y 9 en pasta común. La aurora de Colon, LA REDOM A ENCANTADA. Curso elemental de meteorología, por D. José Garríea. U n drama endecinco cuadros, escrito en diferentes metros por Don CRUZ. Hoy no hay función. tomo eo 8.°, edición de 179/,, á 5 rs. en rústica y 9 eo pasta Patricio la Escosura. Véndese á 8 rs. en las librerías de Esca­ rnida , calle de Carretas, y de C uesta, frente á las Cova­ común. * r chuelas.</t>
  </si>
  <si>
    <t>…a d i r á , si el jurado do , ó de cualquier modo que sea , podrá fijarse en los parajes lo estima conveniente , la de con circu n sta n cia s a g r a v a n t e s , públicos, á no estar préviamente autorizado por el alcalde del CRUZ. Hoy no hay función. ó con circun stan cias atenuantes, pueblo, quien será responsable de las consecuencias que t u v ie ­ Art. 101. Hecha la calificación, extendida por escrito y re esta publicación. firmada por todos, saldrán al tribunal los jueces de h e ch o , y 8 e exceptúan los edictos…</t>
  </si>
  <si>
    <t>Hoy, Juan Alonso y CRUZ.</t>
  </si>
  <si>
    <t>Juan Alonso y CRUZ. Hoy</t>
  </si>
  <si>
    <t>…SUiollz, hermanos, de la misma y Su comercio, er» el dia 6 de Junio denunció la mioa de plomo nombrada Nuestra Señora de los Dolores, sita en Sierrablanca, Juzgado de Amortización . término de esta ciudad , que perteneció á D. Juan Alonso y CRUZ. Hoy no hay función. Mañana viernes se pondrá llen era que la tenia abandonada hacia dos años, cuya denun­ Por providencia del Sr. intendente de Rentas de esta provin­ en escena la muy acreditada ópera en dos actos del maestro Ric- cia le foe admitida en providencia del mismo di…</t>
  </si>
  <si>
    <t>Hoy, Pny.</t>
  </si>
  <si>
    <t>Pny. Hoy</t>
  </si>
  <si>
    <t>…n extraordinaria. El del álgebra. Gobierno francés ha propuesto para el capelo á Mr. de BonalJ, En ta traducción de las obras da ciencias y a rte', par a ex­ Enterada coa satisfacción S. M., se ha servido resolver que obispo de Pny. Hoy ha dado el Papa audiencia con toda so­ presar ¡deas nuevas ó para nombrar nuevos objetos , ha habtd &gt; se den las gracias en su Real nombre á los que hayan tenido lemnidad á la duquesa de Berry cu el palacio Q uerinal. {Id.) que crear palabras nuevas, tomándolas cié los idiomas de nues­ par…</t>
  </si>
  <si>
    <t>Hoyos</t>
  </si>
  <si>
    <t>…so de impedir el intento del enemigo, si con fuerzas se dirigía á desordenarlo ó á banquear la primera céntim os ó sean 15 sueldos por tonelada. jueces de audiencia de igual categoría á la en que ejercian división. El brigadier Hoyos observó en su marcha que nada Tengo la honra de poner esta novedad en el superior aquel en Cargo, se les cuente la antigüedad desde la men- debia temer en la dirección que seguía , y en su consecuencia, conocim iento de V. E ., habiendo dado parte de ella al se­ cionadu fecha de 29 de Dicie…</t>
  </si>
  <si>
    <t>…i os. . . . . . . . * • 176,558 El fuerte dé Manzanera probablemente será atacado muy Id. cigarros. .............................. 65 392/2 •• 23,555 Monedas de oro............... • * . • 3,605 pronto por la división del general Hoyos, que está acantonada Id. en polvo........................ 16 ¡ 9 y .• 1,378 Dichas de p lata............... •• •• 127 en Sarrion. D roguerías................................ . . ■1 . . . 536,595 •• 38.304,602 La sierra de Albarracin se verá también libre de las p arti­ das que la recorren y…</t>
  </si>
  <si>
    <t>…despejando el frente C ab o s, 8. de cazadores de la división del general Azpiroz , apoyada por con ig u a l bravura. Tambores , 5. un batallón, ocupó las de la izquierda , desalojando á las fuer­ Verificado esto, el general Hoyos se d irigió con rapidez al Soldados, 40. zas destinadas á defenderlas. Inmediatamente procedí con los pueblo de T ales: un batallón de la R e in a , 2.° de línea , los se­ Onda 15 de Agosto de 1 859.z:M anuel C h am p an e r.= E * comandantes generales de ingenieros y artillería á realizar m…</t>
  </si>
  <si>
    <t>…n sus León avanzaba á le entrada de los puertos de Beceiíe. L a d i v i ­ á 10 rs. cada uno de ellos, los que se despacharán en las a d m i­ solicitudes francas de porte á la secretaría del ayun tam ien to has­ sión del brigadier Hoyos liego con efecto á Camarillas el dia 29. nistraciones de Loterías Nacionales. ta el 50 del que rige; Las facciones de Polo y Forcadell continúan en los mismos Al dia siguiente de realizarse el sorteo se darán al público puntos de Pi a que y la C añ ada; Llangostera con cinco bata­ las listas…</t>
  </si>
  <si>
    <t>…frente y flancos. tola de los parapetos, pronunciándose entonces la fuga de los La división del general Azpiroz marchó al amanecer á en­ enemigos por toda la cumbre hasta precipitarse en el profundo volverlas, y la del brigadier Hoyos secundaba el movimiento. barranco, desde el cual se eleva la cordillera de Arlaban y las Sin gran resistencia fueron ocupadas y rodeados los fuertes: escarpadas de Aramayona que tuvieron tiempo de ganar , por­ después han sido muy reiterados y vivos los ataques en fuerza que ia segunda eminenc…</t>
  </si>
  <si>
    <t>…con cinco batallones, media batería rodada y tres escua­ dad. Santacruz, Miller, Cerdeña , R iva-A güero, García del Casi todos los buques armados que se hallan en el puerto de drones de caballería. Acompañan á 8. E. el brigadier Hoyos u o , rizara y vanos otros. Tal es el deseolace del triste drama T ol°n han recibido orden de partir sucesivamente para Levan­ y el mayor general de caballería nuevamente nombrado. En la de la confederación. Por los partes que Olmedo remite al Go- te. Se asegura que dentro de pocos dias la es…</t>
  </si>
  <si>
    <t>…a del expresado dia se supo en la ciu­ y en este momento entran prisioneros en esta capital, incluso Exposición pública . dad que los caballeros cadetes habían salido de San Ildefonso, y el referido gefe. La división del general Hoyos se ocupa en la que su entrada seria muy luego por la poca distancia que me­ conducción de víveres, con cuyo objeto salió de esta plaza La sociedad recibirá todos los artículos que se presenten dia entre las dos poblaciones ; en el momento cunde la noticia, ayer un batallón con un convoy de r…</t>
  </si>
  <si>
    <t>…brigadier Clavcría coa el geaeral ea gefe del ejército del Cea- tido, se hubiera evitado esta discusión. Que diciéndose en el ar­ de vista los argumentos de que se ha hecho uso, y las contes­ 1ro 9 y que la divisioo del general Hoyos se hallaba acanto­ tículo 29 de la Constitución que cada cuerpo colegislador exa­ taciones dadas respecto á cada uno de ellos. nada en Sarriod, cuya fortificación se estaba concluyendo. mina la legalidad de las elecciones y la calidad de los individuos Los Sres. Diputados recordarán que el Sr…</t>
  </si>
  <si>
    <t>…su­ tísimo Sr. duque de la Victoria se hallaba el 6 en Parras: que dulzura de su claro acento, comparable solo con la cadencia, ministren las instrucciones de su médico, como acaba de hacer­ en la noche del 11 dispuso el general Hoyos saliesen dos com­ rotundidad y armonía de sus animados períodos, supo desper­ lo conocer por la carta publicada en la Gaceta médica de los pañías de cazadores y algunos caballos á recorrer las masas del tar sentimientos tan patrióticos, y apoderarse del corazón de tal hospitales. término de Ca…</t>
  </si>
  <si>
    <t>…e según comu­ con las reformas de Zurich. A los miembros del Gobierno se les nicación del general en gefe del ejército fecha el 14 9 la noche considera como vendidos á una camarilla , porque ciertos hom­ del 11 dispuso el general Hoyos que dos compañías de cazada- bres han sido excluidos de los negocios. Para librarse de todas res y algunos caballos saliesen á recorrer las inmediaciones de NOTICIAS EXTRANGERAS. estas animosidades no queda otro medio al pueblo de Zurich que Camarillas , cuyas tropas consiguieron hacer prision…</t>
  </si>
  <si>
    <t>…idéis que preciosos manantiales conservados por siglos recorren estos pueblos. tan solo en el extrangero se cuida de esta parte de la educa­ se han secado cuando la mano destructora acabó con los montes Hoy ha salido el brigadier Hoyos para el reino de V alen­ ción , que no por carecer de viva im portancia, deja de ser útil de su derredor. Entre esos mismos montes hay las yerbas me­ cia con cuatro batallones, y han entrado 16 prisioneros faccio­ é indispensable. dicinales mas recomendadas en la botánica por sus virtudes, sos…</t>
  </si>
  <si>
    <t>Hoyos, Sacramento</t>
  </si>
  <si>
    <t>Sacramento Hoyos</t>
  </si>
  <si>
    <t>…ente: 5.° En la formación y propuesta del plan general de y hecho asomar la autora de la paz que tanto anhelaba, bajo contribuciones y medios. la bandera de la unión sin mediar iutervencioa extrangera; faldaAldehacendado un D. Sacramento Hoyos se le han secado eo una cacahual mas de 500 árboles de la noche á la ma­ 6.° En el despacho de los informes y encargos análo- anunciándose los mas felices dias de prosperidad y ventura que ñana, y en una línea recta. Los criados dicen que sintieron ur.a logos á su objeto que le p…</t>
  </si>
  <si>
    <t>Huelva</t>
  </si>
  <si>
    <t>…existencias que resultaron para el inmediato ; formado con presencia de Guadalajara. . ................. 90684.•13 56556.. 7 127240..20 los remitidos por las contadurías de provincia y asientos de intervención de esta general de Huelva.................. ............. 181600 54474 100115..11 316187.. 11 mi cargo; á saber : Huesca................................. 507250 ,, 507250 Jaén .. ................................ 1156.. 16 1545900 ,, 1545056.. 16 CARGO. Reales vellón. León.................................... 1456800…</t>
  </si>
  <si>
    <t>Huerta</t>
  </si>
  <si>
    <t>…pequeñez mi­ Catálogo de las mejores estampas que se hallan de venta en LA ESPERANZA, croscópica , ocurrió desde luego que seria á propósito para ello la calcografía de la Imprenta Nacional. el tratado de los sinónimos del Sr. Huerta, ya porque no es ma­ PERIODICO LITERARIO. teria que por su enlace empeñe á los lectores á seguir una lar­ E l nacimiento del Hijo de Dios. ga narración que podría causarles cansancio en la vista, ya por Sale todos los domingos por la mañana: su precio en Ma­ el aprecio que hacen de este tr…</t>
  </si>
  <si>
    <t>Huerta, Julián García</t>
  </si>
  <si>
    <t>Julián García Huerta</t>
  </si>
  <si>
    <t>…de que los individuos del escribano del número D. Carlos Rodríguez de M o y a , que tropea , y obtenido de ella el punto con las formalidades y con­ que pertenecieron á la Milicia nacional en 1823, y que despacha \u vacante de D. Julián García Huerta , se saca á pú­ secuencias inherentes á este paso. se crean con derecho á ser declarados beneméritos de la blica subasta por término de 30 dias, contados desde la publica­ Y para que llegue á noticia de los vecinos de esta capital y</t>
  </si>
  <si>
    <t>…rs. en pasta que habia tomado mas de lo que d eb ia, y que varias ve- da del escribano de número D. Cárlos Rodríguez de Moya que común. ce* le habia hecho esta injusticia, obrando ademas de un despacha la escribanía vacante de D. Julián García Huerta, cita, llama y emplaza á los interesados en el monte pío de seda,Siendo tan preciosa para la España la cria del gusano de la modo muy arbitrario. Que la mañana en que habia ocur- se criados distinguidos de la grandeza de España que han sido re­ excusado es eocarecer la importan…</t>
  </si>
  <si>
    <t>…uez de primera instancia de esta villa, refrenda del Pragmática sanción de 1789. la imprenta nacional. escribano de número D. Carlos Rodríguez de M o y a , que des­ Nota final del editor español. pecha la escribanía vacante de D. Julián García Huerta , se cita y emplaza á todos los interesados al monte pío de criados distinguidos de la grandeza de España para que á las diez de la maña «a del domingo 4 de Agosto próximo venidero se pre­ V J AN UAL clásico de filosofía, escrito en francés por Mr. LES AVENTURES 111 Siervant B…</t>
  </si>
  <si>
    <t>Huertas, Francisca</t>
  </si>
  <si>
    <t>Francisca Huertas</t>
  </si>
  <si>
    <t>…prestar una declaración en causa criminal que se sigue en dicho dicionalmente y matricule en el inmediato de su respectiva juzgado por falsificación de un recibo de intereses de vales, re­ Habiendo fallecido en esta corte Doña Francisca Huertas* carrera, sin pérjuicio dé lo que sobre el particular se determi­ gistro 185, núm. 17, de 11,371 rs. 17 m rs., bien entendido viuda de D. Manuel Solana , vecino que fue y dél comercio de ne en la ley cuyo proyecto presentará el Gobierno á las Cor­ jue de no comparecer le parará el…</t>
  </si>
  <si>
    <t>HUET</t>
  </si>
  <si>
    <t>…muy clara, , Quedó enterado este de una comunicación del Sr. Ministro vas , Borrego é Iznardi. • porque puede acontecer que sea posible hallar un Diputado en de la*Guerra , en que manifestaba que enterada S. M. de la ex­ El Sr. H U E T : Señores, la primera vez que uso de la pala­ un delito infraganti y no pueda ser preso en el acto. La cali­ posición del ayuntamiento constitucional de Toledo había nom­ bra en el Congreso , me es sumamente sensible-tomarla en una dad de infraganti supone dos cosas: primera que el cargo sea…</t>
  </si>
  <si>
    <t>Huet</t>
  </si>
  <si>
    <t>…manifes­ Sevilla el general segundo cabo, nombrado por el capitán ge­ un principio de delicadeza. tando que el objeto de la menoría de la comisión en su voto neral, halló la ju n ta , y para convencerse de esto no hay mas El Sr. Huet ha dicho que se ataca á la autoridad alli esta­ particular, se dirige á que no constando las razones por que el que referirse al parte del mismo general. ( L ey ó un trozo d e blecida, no por las arbitrariedades que com eten, sino porque capitán general de Andalucía habia preso al Sr. Alvarez,…</t>
  </si>
  <si>
    <t>Hufeland</t>
  </si>
  <si>
    <t>…unicipales consentía, y ducido al castellano por D. Ignacio V i d a l , profesor de medi­ 5 0 , 7 3 , 1 0 , 5 1 , 58 . cuanto ha estado en sus facultades para vencer inconvenientes cina. Con esta obra que ha dado á luz el doctor Hufeland po­ y dism inuir obstáculos. Creen también que sus esfuerzos les co antes de term inar su vida y su larga carrera m é d ic a , ha a u ­ El premio de 2500 rs. vn. concedidos en cada extracción á atraerán la protección del Gobierno supremo. las huérfanas de militares, Guardias nacionales y…</t>
  </si>
  <si>
    <t>HUMANOS, Silvela. DE LOS SENTIMIENTOS</t>
  </si>
  <si>
    <t>Silvela. DE LOS SENTIMIENTOS HUMANOS</t>
  </si>
  <si>
    <t>…ndo 19 el Sr. Ballesteros. de la Gobernación de la Península , acompañando las actas y Ferro Montaos por 79, habiendo obtenido 18 el Sr. H u a - escrutinios generales correspondientes á las provincias que ex­ g o o , y 2 el Sr. Silvela. DE LOS SENTIMIENTOS HUMANOS. presa en una nota ad ju n ta, y son: A la v a , Alicante ^ A lm ería, j L u jan por 7 6 , habiendo obtenido 17 el Sr. A le so n , y 1 el A v i l a , Búrgos , C áceies, C á d iz , C an arias, Córdoba , Cuenca, ] Sr. Sancho. ' ATT ICULO PRIMERO. G eroua, G r a…</t>
  </si>
  <si>
    <t>Humbold</t>
  </si>
  <si>
    <t>…nuestra nación, comienza por vilipen­ bilitar aquella parte de la tierra en la opinión de los eu­ tan violento que por el fuego. En el tercero por un viento diar el nombre respetable de Mariana , y por insultar á ropeos. El Sr. Humbold ha probado que la formación de cuarto por un diluvio, delá cual despojó la tierra de vegetales; y en el solo escaparon dos perso­ un varón tan benemérito de nuestra literatura , y cuya re­ aquel gran continente databa de la misma época en que nas, una de cada sexo, en un barco de ciprés.…</t>
  </si>
  <si>
    <t>Hurtado, Pedro</t>
  </si>
  <si>
    <t>Pedro Hurtado</t>
  </si>
  <si>
    <t>…la corona de laurel que lo remata. El sitio que ocupa está al muestran mayores disposiciones para la enseñanza , sirven de de los exámenes, se consultan estos archivos de la escuela para costado del teatro, entre los cafés de D. Pedro Hurtado, el del repetidores á los niños de la clase de los principiantes. Los saber quiénes son los niños, á los cuales deben concederse pre­ comercio y las casas de en frente. Por ornato y defensa tendrá utensilios de las tres escuelas son en un todo semejantes: ade­ mios y recompensas. O tro…</t>
  </si>
  <si>
    <t>Husson</t>
  </si>
  <si>
    <t>…, sacó de los bolsi­ tropa de línea salieron del corregimiento del 6 .° distrito á las alguna , con ló cual marcharon los dos destacamentos, el uno llos un polvo sucio mezclado con pólvora , como se justificó órdenes del coronel Husson para atacar la barricada. Mr. S a io t- en dirección al corregimiento del 6 .a d istrito , y el otro á la en presencia del mismo L b a r z ic por las pequeñas explosiones Leger , capitán del 28 de línea , declara que por su profesión de caserna de los Mínimos. que produjo el contacto del fueg…</t>
  </si>
  <si>
    <t>Hárlzembusch, Eugenio</t>
  </si>
  <si>
    <t>Eugenio Hárlzembusch</t>
  </si>
  <si>
    <t>…anuel Cidron y D . Mateo M o ra n , grado encuentran entre ellos algunos de nuestros mas ilustrados con­ D . Pablo Cabrero , depositario. de comandante de infantería. ciudadanos, como son, si no estamos mal informados, los se­ D. Eugenio Hárlzembusch , bibliotecario. Idem Melchor G erona, empleo de mayor del batallón. ñores D. Fermín Apezechea , D . Antouio Rosales, D . N. S a n - D , Luis Pastor , contador. Idem D. Eustaquio H errán, cruz de S. Fernando de p ri­ clemente y D . N. Becquer. mera clase. E l director parece d…</t>
  </si>
  <si>
    <t>Hómpottierá.-, Antonio</t>
  </si>
  <si>
    <t>Antonio Hómpottierá.-</t>
  </si>
  <si>
    <t>…de Estado y del Despachó dé la Gobernación de la Península, y nombrando para que lo primer exJtracto.tde ,1^:'(d^-$ $ $ &amp; }*&lt; '£ Slferga, hija de D . Juan , administrador de salinas .de rMúag|ai|il^ desempeñé en propiedad á D. Antonio Hómpottierá.-(Id.) ^RÓ^iíó^iíiérité a^iidió Ofebarría *s^ r e ef/p^rtíici^ar ¿ ‘Tai re so lvien d o que hasta la presentación en esta corte dél muerto en gl icaaipo ^ L ^ p p o r^ , , í ^ rv » ¿;,j. . . '. 'n " f V• ' ¿■.iít.lfi í Í- ¿ • &lt;? Cortea ;r|Tv% su GiSngr^é-desDi^ gefe de escuad…</t>
  </si>
  <si>
    <t>IA, IC</t>
  </si>
  <si>
    <t>IC IA</t>
  </si>
  <si>
    <t>…ni las palabras mas tiernas que de rodillas le Y DEL TEATRO EXTR A N G ER O . dirige su desolada esposa , alteran la fria serenidad del guer­ rero; nada le obliga á dar un paso que pueda ofrecer la mas P R O V ID E N C IA S J U D IC IA L E S . Los suscriptores a este últim o pasarán á recoger á las libre­ ligera sombra de temor. Pero el amor inspira á D oña Juana la rías de Escamilla y Cuesta el drama en tres actos titulado salvación de su esposo ; ella le recuerda la venganza de su ma­ Juzgado de Amortización . dre. Sus m…</t>
  </si>
  <si>
    <t>…ión) de la novela de B a !za c,e! Alquimista fia me neo. Se ad­ BOLSA DE M A D R ID . vierte á los últim os suscriptores qt?e, habiéndose concluido la Cotización del dia 5 d las tres de la tarde • P R O V I D E N C I A S J U D IC IA L E S . edición del primer cu a d ern o, no se podrá repartir este hasta el 6 del corriente, en que estará reimpreso. EFECTOS PU BLICO S. | 7N virtud de providencia del Sr. D . Manuel L u ce ñ o , juez Sigue abierta la suscripción en la librería extrangera , calle de primera instancia de es…</t>
  </si>
  <si>
    <t>…o sin tener á su cuidado la barba, que queda libre para Está en prensa el tom o segu n do, el cual comprende las c o ­ que lo haga el que le acomode rasurar: ademas del salario in ­ medias siguientes: P R O V ID E N C IA S JU D IC IA L E S dicado se proveerá al profesor que sea agraciado con casa g ra ­ Palabras y plumas. tis 9 y quedará exento de toda gabela vecinal. Esta población La Celosa de sí misma. D O N Manuel U rru tia, vecino de la ciudad de T íld ela, pro­ vincia de Navarra , fideicomisario elegido por Doña S…</t>
  </si>
  <si>
    <t>…6 por 100 al año. peranza, y mas alia estari sus mares del Sur. hl pueblo de Knghien está en la costa de Al rica; el establecim iento NUEVA SUSCRIPCION. de baños es su San Pedro de Miguelon. Rs preciso que se PROVIDENCIAS JU D IC IA L E S. loque con la mayor fuerza la cam pana con que se avisa la hora de la comida, para que su sonido llegue mas allá del A yuntamiento constitucional d e M a d r id . tídpico de Capricornio. Si el artista ha pasado el Ecuador . no hay otro medio para hacerle que dé la v e l a , que ir le…</t>
  </si>
  <si>
    <t>…el San­ trueque de ver que continuaba aquella, ha resucito mantener dalio en la cárcel nacional de corte á responder á los cargos que que abierta la suscripción, aunque estableciéndola bajo otras bases PR O V ID E N C IA S JU D IC IA L E S. le resultan; apercibido que de no comparecer pasado dicho tér­ gado aminoren los sacrificios que hasta ahora se ha visto obli­ á hacer para proseguirla. mino, le parará el perjuicio que haya lugar , y se continuará Corno por otra parte hay también muchos que desearían se . la causa e…</t>
  </si>
  <si>
    <t>…ento de letras , á 6 pór 100 ál año. guientes: 6 G uadalajara.. . . . 74265.. 5 285212 Modas. 57 35605 106 145 Un sacrificio (novela). Huesca. ................ 5 J a é n ................. 19450 19658 P R O V ID E N C IA S JU D IC IA L E S . Carlos el Temerario (biografía). 4 La lonja en Palma. León. 1 210600 910300 L é rid a .................. 1 16200 21400 E N virtud de providencia del Excmo. Sr. capítan general de La prisión por deudas en Londres. 40549 74000 esta provincia de Castilla la Nueva , se cita , llama y em­…</t>
  </si>
  <si>
    <t>…ca de los Emperadores no de Laujar, San Antonio de Lozano, por José Lozano, en 7. romanos y Reyes godos que fueron Señores de E sp aña, con­ Otra id. en sierra Almagrera , cabeza de los Garrobos , tér­ P R O V ID E N C IA S JU D IC IA L E S . tiene el tomo primero la relación de la parte geográfica anti­ mino de Pulpí, Las Maravillas, por D. Gabriel Oliver, en 13. g u a , y de los primeros pobladores de España y diversas y ex­ Otra id. en dicho térm ino, en el Aquilón, puerto de los D N José Alfonso, abogado de los tribuna…</t>
  </si>
  <si>
    <t>…a verisim ilitud , y con el am or que solo habia comenzado por despique y fingi­ tal que produjese efecto, poco le im portaban los medios de miento. Semejantes amoríos , hijos del capricho y de la in ­ P R O V ID E N C IA S JU D IC IA L E S. que se valia. constancia, son de baja ley, y no ¿e adm iten en el dram a Juzgado de am ortización. No puede negarse que Tirso en la mayor parte de sus del género noble y caballeroso. ¡C uánto mejor lo hace Cal­ fábulas siguió la m archa irreg u lar de su maestro, y aun la derón en su…</t>
  </si>
  <si>
    <t>…. Ademas, que han manejado, esto es* dirigido este ramo e a E spañ a; pero tepgo testimonios de que tampoco ha ocurrido tal desastre en el presente golpe con que se la ha amenazado a h o r a , y que fe­ P R O V ID E N C IA S JU D IC IA L E S» eitos últimos tiempos, y acaso sí respecto de los machos por la lizmente no llegará á verificarse, seria el mas funesto , porque falta de consumos á causa de la g u e r r a , y por los robos y re­ concluiría por muchos años hasta con el buen nombre de la Juzgado de Amortización. 4 qui…</t>
  </si>
  <si>
    <t>…; con apercibimiento de que pasado Descuento de letras, á 6 por 100 al año. aquel término, sin mas citarles ni emplazarles, se resolverá se­ gún corresponda y les parará el perjuicio que b aja lugar. P R O V ID E N C IA S JU D IC IA L E S. 'C'N virtud de providencia del Sr. D. Manuel Luceño, juez de primera instancia de esta villa, refrendada del escriba­ COLECCION IM LDE LEYES, PRENTACO J uzgado de Amortización . no del numeró de la misma D. Juan Manuel Aguado, se ha se­ Por providencia del Sr. intendente subdelega…</t>
  </si>
  <si>
    <t>…mente reside en jante al imperio germánico. Yo las habia tenido , añade , por la confinante parroquia de Jestoso , perteneciente á la provincia mucho mas distintas e independientes entonces que ahora. P R O V ID E N C IA S J U D IC IA L E S . de la Coruña, había concebido el proyecto de invadir su ter­ Mucho se equivoca nuestro preguntador. Ahora se unen y se­ rito rio, vivieron desde entonces con la mayor vigilancia y casi paran las nacioues por sus intereses materiales, bien ó mal en­ Juzgado de A m ortización . en al…</t>
  </si>
  <si>
    <t>simple efecto , corno las descritas hasta ahora , y las máquinas , J &gt; O R el presente se cita , llama y emplaza á Leonarda C sta, de doble efecto inventadas por M r. W a t t , son ^una misma en P R O V ID E N C IA S JU D IC IA L E S I ^ natural de D aim iel, para que dentro de tres dias siguien- sus disposiciones generales; toda la diferencia consiste en que la tes^al de !a publicación de este anuncio que por últim o térm ino caldera y el condensador se comunican ambas con la parte su ­ T \ Q N L aureano Gutiérrez…</t>
  </si>
  <si>
    <t>…Los Sres. suscriptores al periódico tienen Una mina plomiza , cumbre de Cifuares, hoya de la Para- na , término de O ria , 3. Antonio de Sánchez, por Antonio ENTRADA G R A TIS 3 ncuez, en 5 de Abril. P R O V ID E N C IA S JU D IC IA L E S . Oha id., loma de la Fuente, término A lm e r ía , Dolores, por José Zapata , en 5. en un gabinete particular de lectura, donde están á su disposi­ H A B I E N D O S E denunciado ante el Sr. alcalde primero cons- Gira i d . , id. id. t S. Pedro en Gracia , por D . José Prats ción á t…</t>
  </si>
  <si>
    <t>pertenencia (pequeña) sobre el criadero de carbón del Prado de de Almería, Virgen del M ilagro , por D. Fernando Orihuela, en 4 de Febrero de 1859. P R O V I D E N C I A S J U D IC IA L E S . la Rectoría, término de dicho Borincs,en Pilona, partido del Iafiesto , en la p r o v i n c i a de Oviedo. Rivadeo i.° de Junio Otra id., loma del Pocico, término de Huercal, Chiripa, P OR providencia del Sr. D. Ju an José Rodríguez Valdeosera, de 1839.—Guillermo Schulz. por D. Luis P…</t>
  </si>
  <si>
    <t>…rs. en la librería de D. José García, blicos con el mismo sosiego y alegría con que principiaron , y calle de Coloreros , y en la de Cuesta, hoy se ha retirado toda la gente forastera á sus pueblos. No P R O V ID E N C IA S JU D IC IA L E S . hay en el mundo gente mas tranquila que los vascongados. No se couoce que acaba de concluirse la guerra civil. Todos se de­ dican á sus tareas como en tiempos anteriores. OOR providencia del Sr. D. Benito Serrano y Aliaga, juez * de primera instancia de e&gt;ta capital, se ha declarad…</t>
  </si>
  <si>
    <t>…etas, á 8 cuartos. cial , que á nada conduce, y yo Ministro de Gracia y Justicia no la hubiera expedido. N o molestaré mas al Congreso , admí­ taseme ó no; respetaré su decisioo, aunque no podré menos de PR O V ID EN C IA S JU D IC IA L ES. sentir no sentarme en estos bancos por mí y por la provincia de Zamora; pero el Congreso á mi parecer puede resolver que Juzgado de Am ortización . TEATROS. esta cuestión debe darse por terminada y no tratarse mas de Por el presente se cita, llama y emplaza á D . José María anunciado…</t>
  </si>
  <si>
    <t>…las siete y media de la noche. man á la corporación mercautil con motivo de los faustos suce­ 1.° N O E R A A E L L A , comedia en un acto. sos de la guerra que han de asegurar la suspirada paz, objete P R O V ID E N C IA S JU D IC IA L E S . 2.° Sinfonía. del entusiasmo de todos los buenos españoles, ha acordado 5.° ¡¡U N L IB E R A L !! drama en un acto, que tanto ha 1.° D ar vestido completo á 65 niños de la casa de benefi­ P N el juzgado de primera instancia del partido de Chinchón agradado en sus anteriores represent…</t>
  </si>
  <si>
    <t>…e habitan en el serrallo están empleado, que la hace volver con el libro a la alacena íervidas por criadas esclavas, y guardadas por eunucos ne­ donde se halla el asistente pronto á recibirle. Por este P R O V ID E N C IA S J U D IC IA L E S . gros* modo ingenioso se ahorra á los empleados mucho trabajo, ■ En el serrallo hay dos lia rem es; uno llamadlo el viejo y al publico mucho tiempo que de otro modo perderia Juzgado de Amortización . hafem , destinado para las. mogeres de los sultanes ante­ agualdando el libro. riores…</t>
  </si>
  <si>
    <t>…os los demas ha sido abandonado. Se dice que está los remates , comprendiéndose también el total de los meses corno loco, no sabiendo á quien creer, ni atreviéndose á confiar anteriores, según está mandado. PRO V ID EN CIA S JU D IC IA L E S. de los que le siguen. Número E n virtud de providencia del juzgado de la subdeíegacion de de fincas Valor en tasación. Id. en venta. rentas de la provincia , se publica por término de 30 dias Provincias. rústicas y Reales vellón. Reales vellón, El general Moreno , cuya muerte hemos…</t>
  </si>
  <si>
    <t>…ratificado por el Gobierno meji­ su cabildo nombre al comisionado q u e la recaude y distribuya veotos de ambos sexos. cano el tratado de 10 de M arzo, cuya noticia se recibió en V é- entre lo&amp; respectivos partícipes. PODER JU D IC IA L . •" , racruz el 2 5 , justamente en el dia en que debia espirar el té r­ H a llegado el tiempo de que lasCátparas determinen el n ú ­ m ino convenido al efecto. D e este modo han quedado arregla­ mero de sacerdotes que j a República debe sostener, y que esta­ La imparcial adm inistración…</t>
  </si>
  <si>
    <t>…la percepción y la memoria, es preciso recono­ cer aqui facultades diferentes de la naturaleza, y no dife­ rencias de grados, pues que el grado superior debe siem­ pre comprender los grados inferiores. P R O V ID E N C IA S JU D IC IA L E S. TEATROS. Según los psycológicos, la percepción, la memoria y la E N virtud de providencia del Sr. D. Juan José Rodríguez escena el gracioso y acreditado PRINCIPE. A 1as ocho de la noche. Se volverá á poner en imaginación no son grados de una sola y una misma fa­ Á Valdeosera, caballero…</t>
  </si>
  <si>
    <t>…stos D. José Madrazo rm i m el P endón, no tenia las pésimas costumbres ni la abyec­ ción que se le atribuye. Este abatimiento é inmoralidad, y D. Genaro Villaamil, trabajaron en sus artes respectivas, P R O V ID E N C IA S JU D IC IA L E S . esta p ille ría , que nos parece la voz propia, no es de aquel mientras que ocupando la tribuna el Sr. Campo-amor , leyó siglo: pertenece á épocas posteriores; y correspondería una linda composición poética en su estilo fluido y dulce. P N virtud de providencia del Excrao. Sr. capitán…</t>
  </si>
  <si>
    <t>…s, original de Mr. Bayaurd , autor del Bonos de las Indias, 4$. ri iLitelo de la n s , traducida y arreglada á nuestro teatro por Fondos indianos, 251. D . Juan del Peral. r Acciones de banco , 196-L P R O V ID E N C IA S JU D IC IA L E S. Esta comedia, la primera del Repertorio, impresa en una Deuda activa española , 20. forina enteramente nueva y de una edición hermosa y elegan­ Portugueses, 5 5 |; 5 por 1 0 0 , 2 ÍJ . E n virtud de providencia del señor intendente subdelegado de te, l.eva un grabado en madera que rep…</t>
  </si>
  <si>
    <t>…para los niños. ^ S. M. se ha dignado expedir una Real orden (copiada en la primera hoja) que bastaría para que se adoptase en las ca­ sas de educación, si su lectura no convenciese la utilidad. Se P R O V ID E N C IA S JU D IC IA L E S. halla en las librerías de Sojo, calle de Carretas; en la de la SU B A ST A S. viuda de Cruz, frente á San Felipe el Real; y en el puesto junto á la iglesia de San Luis á 5 rs. Juzgado de Amortización. Intendencia general militar. Tresillo: cuaderno en 4*° á 4 rs* Por providencia del…</t>
  </si>
  <si>
    <t>…lares del mero 45. G obiern o y de las direcciones generales. San Juan Bautista. Este cuadro, pintado por el famoso Ribera (José) con su acostumbrada fuerza de p in cel, representa á S. Juan sentado P R O V ID E N C IA S J U D IC IA L E S . Catalogo de las mejores estampas que se hallan de venta en junto á un árbol, y entretenido con mucha gracia en dar con la calcografía de la Imprenta nacional. la mano derecha unas yerbecillas á un cordero; y en la izquier­ d a , levantado el brazo , tiene una caña en forma de cruz. E…</t>
  </si>
  <si>
    <t>…quinto de LUCREZIA BORGIA. 8 .8 2 5 .... 1000............... Madrid. 5.° Escena y aria en la ópera 1L FANATICO, del maes­ 7 . 2 4 2 .... 1000. . . . . . . Cartagena. tro Guglielmi, por el Sr. Salas. P R O V ID E N C IA S JU D IC IA L E S. 4 5 2 .... 1000. .......... Guadalajara. 6 .° Escena y rondó de L’ESULE, de Donizetti. 7 .1 7 5 .... 5 0 0.............. Cádiz. H ABIENDO sido rematado en la cantidad de 2110 r s. anua­ 8 6 5 .... 500............ Madrid. les el arrendamiento deb portazgo de Guadarrama , se ha 7,640&gt;.…</t>
  </si>
  <si>
    <t>…e clase, que a l los 155 y 156. Si no llegase á formar uoa compañía completa, toque de generala ó en caso de alarma no acudiese al sitio de­ se considerará como parte de la infantería del mismo pueblo, P R O V ID E N C IA S JU D IC IA L E S . signado para la reunión sin legitimo impedim ento, que ju sti­ concurriendo al efecto sus individuos á la formación del con­ fica rá enmpetentemeote, deberá sufrir un arresto ó prisión pro­ sejo. porcionada á la f a lta , según sus circunstancias, y una multa T ribunal d e co m e r ci…</t>
  </si>
  <si>
    <t>…senti­ sellado y los demas efectos estancados, se dan al mismo precio do de la frase, pues parece in d ic a r que la ley adolece de u n al pie de fábrica , ó donde se im prim en ó se sella, que en los P R O V ID E N C I A S JU D IC IA L E S vicio que no o bstan te produce ios mas hermosos resultados que extremos de la Península. ¿ P o r qué pues esta falta de conside­ pueden apetecerse. L a generación actual de la Holanda , gene­ ración únicam ente con 1a correspondencia pública , cuando es ración llena de probidad y re lig…</t>
  </si>
  <si>
    <t>IACIONESDELAI</t>
  </si>
  <si>
    <t>…e acudió al re­ Algunos i nd i v i d u o s de la r e un i ón f uer on de parec er que 1( medio sobrecargando los consumos de este vecindario con avanzado de las sesiones, y en el estado en qu e se encont r abar A L A S I N M E D I A C I O N E S D E L A I S L A D E L A V A C A , A L S D E LA D E nuevos derechos á su entrada por las puertas. Desde e n ­ ]os á n i m o s , no era o p o r t un o someter el i n f o r me á la C á m a r a S A N I O DOMINGO. tonces paga Madrid un aumento de contribución m unici­ ni presentar una cu…</t>
  </si>
  <si>
    <t>IANADECHI</t>
  </si>
  <si>
    <t>…en cinco actos, de Federico Soulié, ro 1 4 , cuarto bajo, y en la librería de R ios, calle de Carretas, y 9 1. de ancho: Precio aniiguo 50 rs., y moderno 20. titulado frente á la Imprenta Nacional. En las provincias 28 rs. por D I A N A D E C H IV R I. . . trimestre, franco de porte, en las principales librerías y adm i­ San Bartolomé apóstol. Sea cual fuere el gusto de la época, el influjo de la moda y nistraciones de Correos. el ascendiente de las costumbres, existirán siempre resortes en Pintó este cuadro el célebre Rib…</t>
  </si>
  <si>
    <t>IAS</t>
  </si>
  <si>
    <t>…ns cr i pci ones en el g r a n l i bro a' 5 por ÍOQ, 0 0. la c a l c o g r a f í a d e la Im p ren ta N a cio n a l Tí t u l os al portador del 5 por 1 0 0 , 20| con cu pones al c o n ­ COLECCION DE L A S M E J O R E S C O M E D I A S tado: 20§ , | y 2 0 once dieziseisa vos á v. f. ó vol. y fir­ m e : 2 0 $ , | y 2 0 f i d . á p r i ma de f , ¿ | y | por 100 con c u ­ La f r a g u a d e Vule ano . pones. D EL TEATRO I ns cripciones en el g r a n l i bro á L por 1 0 0 , 0 0 . T a mb i én pinto. D. . Di ego VeJazquez est…</t>
  </si>
  <si>
    <t>IAS, Faustino NO TIC</t>
  </si>
  <si>
    <t>Faustino NO TIC IAS</t>
  </si>
  <si>
    <t>…L A P E N Í N S U L A . cante por fallecimiento de D. Mariano García Bajo, á D. José Poveda, electo de Santiago ; y para el de M álaga, también v a­ Segunda sección.—Circular. cante por muerte de D. José Yelasco de Castró, á D. Faustino NO TIC IAS E X TR A N G ER A S. A rranz, que sirve el de Burgos. P o r el rninisterio: de la G uerra en 7 de este mes se ha Para el juzgado de Líllo , en la proviocía Je Toledo, v a­ FR A N C IA . co m unicado al de la G o bernación dé la P en ínsula la Real cante por ascenso de D. José J…</t>
  </si>
  <si>
    <t>Iba</t>
  </si>
  <si>
    <t>…se den las gracias á las tropas tengo a bien concederos a n o m b re de mi augusta Hija ia cabeza de u n a, y con ella á las cinco horas de marcha encontré y Nacionales á quieues son debidas las veutajas de que hace R em a Doña Iba bel n la gracia y facultad de usar de la alperarme, enemigo en la Pobla de Ciervolet. Alii tuvo la osadía de es­ mérito el parte que antecede. aunque en posiciones ventajosas sobre la sierra de ia m edia firma Sun M illan en todos los oficios, órden es, c é ­ Llena ; pero basto para hacérselas…</t>
  </si>
  <si>
    <t>Ibar-, Melchor</t>
  </si>
  <si>
    <t>Melchor Ibar-</t>
  </si>
  <si>
    <t>…ntado millares de tomos, estudiado con a h in ­ digno de que circule por todas las clases de la sociedad. Se halla co sitio s, pueblos, id io m a , monumentos del p ais, cuaudo so­ venal en casa del profesor de cirugía médica D. Melchor Ibar- brevinieron circunstancias imprevistas que me empeñaron aun ron do , calle de A l c a l á , número 1 0 , cuarto principal. Pre­ cio 6 rs. mas á emprender la publicación de una historia que abarcase todo lo sucedido en la Península hispánica. Corríale priesa al A R R IE N D O . libre…</t>
  </si>
  <si>
    <t>Ibarra, Simón</t>
  </si>
  <si>
    <t>Simón Ibarra</t>
  </si>
  <si>
    <t>…undo edicto y DE INSTRUCCION PUBLICA. de Africa que se encuentran en esta ciudad van a relevar al término de nueve dias, contados desde la publicación dél pre­ tercer batallón del mismo nombre y el de San Fernando que sente, á D. Simón Ibarra , para que se presente en cualquiera Por D, Juan Miguel de los Rios , profesor de la univer­ están en guarniciones, á fin de que estos salgan á campaña. de las cárceles Nacionales de esta corte á dar sus descargos y sidad matritense * Idem 10. A las once de la noche del 8 del corriente…</t>
  </si>
  <si>
    <t>…r, les p arará entero perjuicio. Yo no soy tan rigoroso ; aun con sinalefa percibo distintos los dos versos. Números. Plazos. Rs. vn. 2.° Pero esta división , que es la cesura del verso, y mas Igualmente se cita y emplaza á D. Simón Ibarra , para que necesaria que en los demas endecasílabos donde tal vez no lo es, 4 ,9 7 4 2 meses. 6 0,00 0 5,007 5 id. 6 0 ,0 0 0 en el término de nueve d ia s , que por tercero y último se le como en este: señala, se presente en la escribanía principal de Amortización, 5,040 4 id. 6 0…</t>
  </si>
  <si>
    <t>…amente Por providencia del Sr. intendente de rentas de esta provin- comprendidas en los libramientos no cobrados se destinarán al en las provincias habitualcnente amenazadas poi* los facciosos. :ia , se cita, llama y emplaza á D. Simón Ibarra para que en cumplimiento de otras obligaciones, con arreglo á lo acordado Enterada S. M. se ha servido disponer qué á todos los que d término de nueve dias se presente en la escribanía principal por la junta. se hallen en este caso se les examine del curso que hubieren es­ le Amortizaci…</t>
  </si>
  <si>
    <t>…ipriano P asaron, vecino que fue fuertes en la forma sig u ie n te : término de nueve dias para su presentación en cualquiera de dé esta ciu d ad , natural de S. Pedro de B u gallid o , provincia las cárceles de esta corte, á D. Simón Ibarra , á fin de que dé de Santiago en G alic ia , para que en el término de 50 dias, con­ sus descargos en la causa crim inal que se le sigue por falsifica­ tados desde la fecha , parezcan por sí ó representados le gam en te Premios, Pesos. ción de una certificación de deuda sin interés,…</t>
  </si>
  <si>
    <t>Ibarra, Siraon</t>
  </si>
  <si>
    <t>Siraon Ibarra</t>
  </si>
  <si>
    <t>…una brillante sinfonía, Madrid una comedia de intriga, intitulada Los tres M elli­ se ejecutará la 16.a representación de la comedia nueva de ma­ zos , imitación exagerada de los Menechmos de Plauto; pero se cita y emplaza á D. Siraon Ibarra para que gia , en cuatro actos, en prosa y verso, que lleva por título no original española , sino traducción de algún teatro extran­ en elIgualmente término de nueve dias, que por segundo se le señala, se je r o , que no se dijo al público cuál era, aunque sospecharnos presente en…</t>
  </si>
  <si>
    <t>Ibarra, Tomas Domingo</t>
  </si>
  <si>
    <t>Tomas Domingo Ibarra</t>
  </si>
  <si>
    <t>…ho término sin cumplir coa este La serna, D. José Alvarez Crespo, D. José Sagiista, este servicio, ó encomendar al éxito de un sorteo el seña­ llamamiento, se le conducirá á esta capital en calidad de preso Moyana, D.Martínez D. Tomas Domingo Ibarra, D. Joaquín Alcalde, D. Basilio del Rio y D. Manuel Labraña , quienes lamiento de los individuos que han de componer dicho de justicia en justicia por su inobediencia á los preceptos judi­ por unanimidad declararon no haber lugar á la formación de batallón, ha preferido sin…</t>
  </si>
  <si>
    <t>Ibarzabal</t>
  </si>
  <si>
    <t>…la , A lm irall, B acardi, Flaqtier , Satorras, A n - desde Galdácano en refuerzo de Castor cuatro compañías enemi­ ban de enagenar. guera, R e y , Rivaherrera , duque de Veraguas, G a li, M oret, gas al mando del rebelde cura Ibarzabal, con m otivo de haber­ El Sr. E L O ED I manifestó que adhiriéndose en un todo á H id a lg o, Córdoba, Martínez Ayaía , Saraaniego, J a é n , Q uin­ se aproxim ado , se gú n p a r e ce , algunas fuerzas de nuestro ejér­ lo propuesto por el Sr, A rteta, desearía que el Gobierno le d i­ to…</t>
  </si>
  <si>
    <t>Ibañez, Eugenio</t>
  </si>
  <si>
    <t>Eugenio Ibañez</t>
  </si>
  <si>
    <t>…a introducirse en la tienda. Garrion de los Con j e s , asimismo vacante por laV de D . Félix La Cámara se ha ocupado en seguida en un proyecto de ley Después, y á cosa de las seis, Mr. A rm a n d , armero , calle Mantilla , á D. Eugenio Ibañez. &gt; &lt;|ue tiene por objeto elevar el camino de Thionville á Sierck al de Roule, cuyo nombre aparecía en la lista de Blanqui después rango de camino Real. La comisión desechaba esta idea. El del de Lepage, fue víctima de igual violencia. Lo propio suce­ Ministro de Trabajos públicos ,…</t>
  </si>
  <si>
    <t>Ibe-</t>
  </si>
  <si>
    <t>…solo viven dos varones y una hembra. Fue aprobada. . vanagloriará siempre de haber sido consiguiente á su juramen­ de una naturaleza tan robusta , de una musculatura tan mar­ El Senado quedó enterado de una comunicación del Sr. Ibe- to de no reconocer mas trono que el de Isabel, mas regencia cada , y de tan extraordinaria fuerza, que traía del campo á sidente del Consejo de Ministros, participando 'que S. M. U ?ueueronla dede sutanaugusta M adre, ni mas enemigos que los que lo caros objetos, cuyo juramento ratifica de n…</t>
  </si>
  <si>
    <t>IC, ED</t>
  </si>
  <si>
    <t>ED IC</t>
  </si>
  <si>
    <t>Señores Senadores y Diputados: En el o])uesto: para la explicación de las cosas, y cantidad de grabados para d En cumplimiento del cite reto que ac-! o de leer eúa ce rra­ D ED IC A D O POR JU L IA N RO M EA M A T IL D E dibujo. da la sesión ordinaria del año de 1859 de las Cortes generales D IEZ Y FLORENCIO ROM EA. El círculo de que he hablado es muy útil para enseñar la de la nación portuguesa. formación de las palabras: hay escritas en su circunferencia El Sr. Presi…</t>
  </si>
  <si>
    <t>IC, IÑ</t>
  </si>
  <si>
    <t>IÑ IC</t>
  </si>
  <si>
    <t>…se Manuel de Silva, habiéndoseles cogido las armas y caballos,.y greso, conforme al art. 7.° del reglamento. demuestre su equivocación, y quede el Gobierno en el lu­ rescatado una vacada que robaron en Almodovar del Campo. El Sr. IÑ IC O : La lectura del art. 7.° me ha movido á ha­ gar correspondiente á su esmero en procurar á la Hacien­ Y finalmente, que la columna al mando de D. Ramón Go- cer esta proposición, contra la cu al, apenas acabada de Uerf da pública los mayores beneficios y menores quebrantos dió lovardas , capi…</t>
  </si>
  <si>
    <t>ICA</t>
  </si>
  <si>
    <t>…lia g a , dictada á ins­ Estos mismos, la Europa entera empieza á probar los re­ tancia de D. Francisco Gil de Velasco, se c i ta , llama y em­ sultados, sintiendo ahora y culpando todo el peso del desacier­ CR ÓN ICA JU R Í D I C A . plaza á D. José María V argas, administrador que fue de Ren­ to que cometió en el malhadado combate de N a v a rin o , y en tas de la ciudad de Jerez de los Caballeros , cuyo paradero se prestar su apoyo al ilegítimo alzamiento y ridicula emancipa­ T O M O P R IM E R O . = N U M . 7 .° = (…</t>
  </si>
  <si>
    <t>…dinariamente á la elíptica , cuando las estrellas fi­ PROVIDENCIAS JUDICIALES. Maraña y el Caballero de industria. jas se refieren casi exclusivamente al ecuador por medio de su AgradecidoI Pextraordinariamente U R IT A N I E D I C Ael Beditor A L IE RdeI, esta empresa declinación y ascensión recta, sin que obste para eso ni la nu­ p O R el juzgado de primera instancia de Infantes, provin­ al favor y benevolencia con que ha sido acogida según han ma­ tación ni el movimiento anuo de la tierra: pues es fácil corre­ cia de C…</t>
  </si>
  <si>
    <t>ICABALI</t>
  </si>
  <si>
    <t>…la noche. Se pondrá en escena la sigue; para sanar el cuerpo. grande ópera en tres actos, titulada Todos los dias á las dos y media de la mañana tomo En aquellos postreros momentos habian ido á llamar á nn I P U R IT A N I E D I C A B A L IE R I, dos cucharadas y media de jalapa con una cierta cantidad de sacerdote á la iglesia de S. Eustaquio, á fin de que suminis­ elixir. Duermo en seguida perfectamente hasta las siete. E n­ trase al enfermo los socorros de la religión. Dos eclesiástico! música del maestro Bellini; ex…</t>
  </si>
  <si>
    <t>ICABALIERI</t>
  </si>
  <si>
    <t>…ocimientos mas exactos. Se contesta á las calum­ n i, titulada nias de sus enem igos, y se muestran los servicios del autor, que reducido h oy á la pobreza ofrece un ejemplo memorable de DE DON ALBERTO LISTA, I P U R IT A N I E D I C A B A L I E R I , las vicisitudes humanas. AUM EN TAD AS exornada con todo el aparato que exige su argumento. EN ESTA SEGU N D A E D IC IO N . £ ^ C T A V A D E L CO RPU S. Versión parafrástica castellana A ctores: Sras. V illó y Lom bía. Sres. R am os, C a lvet, R e - del oficio y misa de l…</t>
  </si>
  <si>
    <t>ICADOR</t>
  </si>
  <si>
    <t>…ene el n un acto , titulad a 7 ,5 4 8 .... 400 ................ Cádiz. m ayor número de medicamentos usados hasta el dia y muchos 5 ,5 5 9 .... de los últimamente descubiertos, habiéndose elegido un carác­ O TR O DIABLO P R E D I C A D O R , 400 ................ M ad rid . ter de letra lleno y vistoso. El precio de la colección es 54 rs. Ó EL LIB E R A L POR FUERZA. Epitome historiae sacrae ad usuin tyro n um lin gu a e latinae. L a dirección -general h a dispuesto que el sorteo que ha de Esta obrita contiene una cole…</t>
  </si>
  <si>
    <t>ICCIO</t>
  </si>
  <si>
    <t>…on la d iv i­ de in d u stria, si no se m antiene prohibida la extracción de la sión de reserva , aum entada con los dos batallones que h an re­ expresada corteza. forzado este ejército , salió ay e r de m añana con dirección á D ICCIO N A RI O de m edicina y de c iru g ía práctica.=:Entre- Añaden que cuando á la casa del Sr. Casal se le concedió V a le n c ia , porque, según se d e c ía , el grueso d e la facción se ga 11.a del tomo 2 .a= C ootinúa abierta la suscripción en licencia de exportarla salieron del reino 6 0 0 0…</t>
  </si>
  <si>
    <t>…stigar el desarrollo de la carcoma en­ y no se parecen en oada á las antenas del insecto en perfecto cerrada en el huevo- pero la extremada pequenez de los objetos estada. Son en general m uy cortas, compuestas de tres ó cuatro D ICCIO N A RIO frances-español y español-frances de T a— h a s i d o hasta ahora una dificultad insuperable , y por esto se articulaciones. ^ boada , 2 tomos , 90 rs. ha hecho peco progreso en este ramo de la entomología. Sin em­ Los ojos de las larvas no están formados en series de lentes Les fibles…</t>
  </si>
  <si>
    <t>…a del barranco de Morella , en medio de los da enemiga al mando de Simón Torre que ocupaba á Zalla, caminos de la Puebla y Cabanes, y á la distancia de medio Ochavan y otros puntos de aquel contorno , se d i r i g í a para los D ICCIO N ARIO de medicina y de c iru gía prácticas. E n tre- tiro de fu sil, hacían un continuo fuego gr a n e a d o , y con repe­ sitios amenazados. 15 del tomo 2.° Continúa abierta la suscripción en la tidas descargas cerradas consiguió abrir en pocas horas una bre­ Parece que las brigadas de Z a…</t>
  </si>
  <si>
    <t>ICCIONARIO</t>
  </si>
  <si>
    <t>…novar las ideas que en las cátedras ¿e adquieren mediante la Lo que se hace notorio para conocimiento de los licitadores que explicación de los profesores, ha trabajado este en obsequio de quieraa interesarse en dicha subasta. D ICCIONARIO razonado de legislación y jurisprudencia, la juventud estudiosa, extractando á las mejores obras elemen­ por D. Joaquín Escriche, abogado de los tribunales del tales y con la concisión que exige un prontuario aquellas no­ reino. Dos tomos en folio: segunda edición corregida y aumen­cion…</t>
  </si>
  <si>
    <t>m ic h o del colmillo hasta la ú l t i m a vc-rtehra caudal , y des­ *204 pru ebas y dem as que sea necesario p ara asegu rar la fid elid ad D I C C I O N A R I O d e m ed icina y de c i r u g í a prá ctica s. E n t r e g a de ía falan geta anterio r has ta el apófisis espinal de la prim era de la ed ició n . 8 . a del tom o 3 .° C o n t i n ú a abierta la su sc rip ció n eo la bo­ vért eb ra dorsal. tica de Oloaedilla , calle de C a r r…</t>
  </si>
  <si>
    <t>ICI</t>
  </si>
  <si>
    <t>…esta ciudad. 5.a Si algún vecino de los que no estuvieren conducidos A continuación se tocará una sin fon ía; terminando la f u n ­ necesitare los auxilios del profesor, tendrá la obligación de asis­ P R O V ID E N C IA S JU D I C IA L E S . ción con el melodrama en dos actos, de grande espectáculo, t i­ tir le , recibiendo por cada visita 2 rs. vn. tulado ^6. En las consultas facultativas tendrán derecho á perci­ "J7N virtud de providencia del Sr. D. Tomas Pacheco , juez de JO C O ó E L O R A N G U T A N G , bir 40 rs…</t>
  </si>
  <si>
    <t>…París 14 de Junio . gajadas las principales partes de las ramas de los corpulentos chopos de las a lam e d as, que se in vertían en leña para quem ar. Escriben de Bolonia con fecha 4 de Ju n io : A G U A S M I N E R O - M E D I C IN A L E S DE T R I L L O . Los edificios de baños y el hospital se hallaban m u y deteriora­ El día del Corpus se trabó una riña sangrienta en Ferrara dos; y el de la Piscina ruinoso. Las paredes interiores y exte­ entre los suizos y la guarnición austríaca de la fortaleza, de la B r ev e noti…</t>
  </si>
  <si>
    <t>ICIALES</t>
  </si>
  <si>
    <t>…en física al rechazo de los cuerpos elásticos? Los partici­ pios pasivos, que em pezaron significando una situación, B E REALES DECRETOS, ORDENES lutn llegado pues á representar m uy propiam ente una P R O V ID E N C IA S JU D I C I A L E S . pasión . Y CIRCULARES Es innegable pue*, que la idea de la existencia entra «o la composición de todos los verbos activos o pasivos, y q u e , ideológicamente h a b lan d o , no hay mas que un verbo, E N virtud de providencia del Sr. D. Tomas Pacheco, juez de primera instancia e…</t>
  </si>
  <si>
    <t>…sados algunos años erigió la grande iglesia de Santa Sofía junto á Irene, de cuyas dimensiones no hay noticia exacta , habiendo sido des­ truida por un fuego durante r.u alboroto en el reinado de Jus- P R O V ID E N C IA S J U D I C I A L E S . GALERÍA DRAMATICA. tmiano. Sosegado el tu m u lto , este piadoso Emperador resolvió A instancia del síndico del concurso de D. Pedro M ig u e l CO LE C C IO N DE L A S M E J O R E S O B R A S reedificar una basílica que excediese en grandeza á la anterior. G u ic h o t, D. Ignacio Es…</t>
  </si>
  <si>
    <t>…usan , y en la audiencia de S. S . , sita en el piso bajo de la territorial. en fin, el solo punto en que se separan. Difiere esencialmente el drama romántic.o del melodrama en que en el prim ero se P R O V ID E N C IA S J U D I C I A L E S . suelen pintar con negros colores á todos los personajes menos F&gt;OR el presente, y en virtud dé providencia del Sr. D. J u a n .a uno; mientras que en el segundo todos son por lo común A consecuencia de orden de la dirección general de R e n tas, y José Rodríguez Valdeosera, magist…</t>
  </si>
  <si>
    <t>…m ientos son da por el acreditado artista D. Genaro Y i 1la mi 1, que repre­ los siguientes, todos de la ag u ja: del fanal de la Punta sentaba el adm irab le, el sublime acto que presenciaron los cam­ P R O V ID E N C I A S JU D I C I A L E S . S c a g e m ó Scaw al S 16Q 15 0 , distancia 15 m illas; del pos de Y ergara el 31 de Agosto último. La brillante im aginación del artista ha adivinado aquel acto TT ABIENDO fallecido D. José M artínez V a c a , vecino de la pueblo F redericksh aw al N 16° 1 5 'E , 4 m illa s; del f…</t>
  </si>
  <si>
    <t>…sabor y olor. mento la vista en el lisonjero espectáculo que preseuta la caja Todas estas condiciones se encuentran reunidas en las cá p ­ servida gratuitamente hasta en sus mas minuciosas operaciones P R O V ID E N C I A S J U D I C I A L E S sulas que anunciamos, cuyo autor ha sido el único que hasta de contabilidad, no solamente por los individuos que compo­ ahora ha llegado á la perfección en este punto , por lo cual ha nen la junta de gobierno, sino también por otro gran número de personas de las mas respetables gerarqu…</t>
  </si>
  <si>
    <t>…de la indej én den cia, en que los pueblos se vieron acosados por tas virtudes heroicas, y hacer efectivo el cumplimiento de una la urgente necesidad de acudir al mantenimiento de los ejérci­ promesa. P R O V ID E N C IA S J U D I C I A L E S . tos que defendían la independencia del p ais; la resolución de He tomado la p ala b ra, principalmente por la especie de las Cortes de Cádiz en el año de i 811 permitiendo la enagena- interpelación que me ha dirigido el Sr. Mendizabal. Sabe m uy P o r providencia del Sr. M axim ino…</t>
  </si>
  <si>
    <t>…par id. ra permanente , previniendo al mismo tiempo á los fiscales las Descuento de letras , á 6 por 100 al año. lleven con toda actividad. J a m 10 d e A bril . Habiéndose dado parte á este Sr. gefe P R O V ID E N C IA S J U D I C I A L E S . 10 por 100 . 11 Cada función en Cada función en Cada función en Cada función en Cada función en Cada función en Cada función en Cada función en Cad!a función en Cada función en un abono de 15 un abono de 30 un abono de 45 un abono de 60 un abono de 7$ un abono de 90 un abono de 1…</t>
  </si>
  <si>
    <t>…gidas que al vincias del N orte, hubo repique general de campanas, las ba­ mismo tiempo publica, que en vista de las repetidas reclamacio­ terías hicieron salvas , y la población entera expresó su ale­ P R O V ID E N C IA S J U D I C I A L E S . nes tanto de Madrid como de las provincias, á causa déla pe­ gría en términos difíciles de describir. Toda la tarde y hasta A instancia de los patronos de las memorias que en el con- quenez del tamaño eo que hasta ahora ha salido á luz, ha de­ la madrugada de hoy han recorrido las ca…</t>
  </si>
  <si>
    <t>…us maestros, dedicarse á la enseñanza, sea en la escuela este establecimiento. aneja al establecimiento, ó en otra cualquiera de la ciudad que He visitado en Groninga una escuela de pobres dividida en P R O V ID E N C IA S J U D I C I A L E S . se le designe, mas de ningún modo en las casas particulares ; y dos clases: una para las niños de corta edad, y otra para los por últim o, á no exigir ninguna retribución en el caso que se adultos. En la primera se enseñan los principios de la lectura, D ON Rafael Jiménez F ro n tí…</t>
  </si>
  <si>
    <t>como laterales, estas últimas causadas por los vientos, y aque­ guo y moderno, según los tres célebres fisionas J u l i a e o , M e - llas por pasos medidos y reiterados. El efecto de la vibración P R O V ID E N C IA S JU D I C I A L E S . tonico y G regoriano, adoptado por m ir a r a into-ic* Igíeda lateral causada por el viento fue experimentado en el muelle para el gobi erno de su c a l e n d a r i o , por D P- Rr» He! Rio. Un de Brighton f y el de la vibración vertical en el puente sus­ tomo en 4.0, edición de 1 7…</t>
  </si>
  <si>
    <t>…e V. S. si es digno de recom­ »oaga.z:El secretario, Ramón de Mesonero Romanos. pensa el brillante comportamiento de tan bizarra guarnición. El 15 á la* tres y media de la tarde se presentó á la vista P R O V ID E N C IA S J U D I C I A L E S . de este fuerte por el camino de la Barona el rebelde Cabrera: con cuatro batallones y tres escuadrones, acampando á la en­ CORRESPOND ENCIA DE LA GACETA. P O R providencia del Sr. D. Benito Serrano y A l i a g a , juez trada del olivar á la distancia de media legua , avanzando has­ d…</t>
  </si>
  <si>
    <t>ICIEMBRE</t>
  </si>
  <si>
    <t>…la oratoria sagrada, verdadera­ misión de Jesucristo; de la causa de la propagación del Evan­ mente simbolizado en el panal y el león de Sansón. Sus gelio; de los hechos con que se manifiesta que la obra del es­ MADRID 1 9 DE D I C I E M B R E . dotes esenciales son la fuerza y la dulzura , comprendidas tablecimiento y propagación del Evangelio no ha podido ser bajo el nombre de unción con que se designa en ios ser­ invención del hombre; de los hechos que prueban no deber sus mones buenos la calidad de atraer y fortifica…</t>
  </si>
  <si>
    <t>…la revolución ; del p ro - rio da G racia algunas personas que ss h allaban en una casita g«e~o que todavía hoy hacen consistir muchas gentes en la re­ solar de su territorio, cuando un niño de cinco años de edad MADRID 2 1 DE D I C I E M B R E . lajación délo s vínculos sociales, en el abatimiento del poder cayó en un pozo á aquella contigua , del que fue ya extraído R e a l, en una guerra incesante contra todo ¡o que conserva mi cadáver, y dado parte de la ocurrencia entrada y a la noche ; á poco de prestigio y do sutoric…</t>
  </si>
  <si>
    <t>ICINA</t>
  </si>
  <si>
    <t>…do que encerrarse en las no rnas fuertes de Odeida y Moka; todo espíritu de patriotismo é independencia, y la im posibili­ y bien pronto todo el poder de M ehem et-A lí en la Arabia hu­ dad de una insurrección nacional. jl í E D I C I N A , leyes, literatura y fa r m a c ia s En un vasto lo - biera consistido en cuatro ó cinco establecimientos sobre el mar, Las tropas, conocidas bajo el nombre de fipayos , están cal sito entre el Prado y la Puerta del S ol, y que ade­ que podían ser atacados y tomados de las manos de esta…</t>
  </si>
  <si>
    <t>ICIONMAGNÍFIC</t>
  </si>
  <si>
    <t>…, 3 2 | , 3 4 55| y 3 3 § á v. f. d vol. á prima de f y i por 100 ^d DESANTILLANA e c i l e l a s Un pobre..................................................................................................... 4 con cupones. E D I C I O N M A G N Í F I C A P. M .............................................................................................................. 60 Inscripciones en el g r a n libro á 4 Por 1 0 0 , 00. Doña Demetria Perez............................................................................. 4…</t>
  </si>
  <si>
    <t>ICO</t>
  </si>
  <si>
    <t>…estas diversiones, no ha habido la menor in ju ria per­ sonal ni acontecimiento alguno desagradable, dando con ello J u z g a d o d e A m ortización , LA ESPERANZA, estos habitantes una prueba de su sensatez y cordura. PERIO D ICO L I T E R A R IO . Por providencia del Sr. intendente subdelegado de Rentas de esta p ro v in cia, se c it a , llama y emplaza á D. L u is Perce- Sale todos los domingos por la mañana. Su precio en M a ­ D ir e c c ió n g e n e r a l d e C o r r e o s . b a l, para que en el término preciso d…</t>
  </si>
  <si>
    <t>…a del Océano. H abiéndose acordado por la dirección gen eral de cam inos LA ESPERANZA, J u a n v fue ani mado del mi smo espíritu que Fe'ipe n , siendo sacar á pública subasta por tiem po de dos años y la c a n t id a d PERIO D ICO L IT E R A R IO . M a f r a una i mi taci ón del Escorial. El edificio se d i vi d e en un menos adm isible de 6 2 , 5 0 0 rs. vn. a n u a l e s , el a rren d a m ie n to t e mpl o, un pal a c i o, y un monasterio. En el templo h a y seis del portazgo de S an ta E le n a , ha señalado para su…</t>
  </si>
  <si>
    <t>…in go 5 d e M a y o . LA ESPERANZA, mandante militar do Puente la Reina a! Sr. comandante gene­ ral de ambas Rioias. El Excmo. Sr. vi rey ei?. cargos de Navar­ Comprende los artículos siguientes, adornado con dibujos y PERIO D ICO L IT E R A R IO . ra ha atravesado esta mañana á las siete y media victoriosamen­ grabados originales. te el rio Arga por la parte ele BeSascoaiu; Ioí enemigos huyen España pintoresca : las Batuecas, tercero y último artículo. Costumbres valencianas: moros y cristianos. Sale todos los d o m i…</t>
  </si>
  <si>
    <t>…A, reemplazo de! Sr. A y llo u , quien manifestó optaba por la de truid o s en la célebre fáb ric a de la G r a n ja , y son de tres varas de elevación y dos de a n c h u r a . L as c o lg a d u ra s de preciosas t e ­ PE RIO D ICO L IT E R A R IO . C uenca , donde también había sido nombrado. Habiéndose leido el expediente pedido por el Sr. O s e a , se las de seda tam bién de fá b ric a española. En los c u a tro á n g u lo s por rinconeras enormes jarrones de c h in a sobre pedestales de ^ S ale todos los d o m ing o…</t>
  </si>
  <si>
    <t>…o e - siendo a r r e g l a d a s , en el concepto que concluido el re m ate no se LA ESPERANZA, í o , y áurnentados aquellos hasta el nume r o de 1 4 salieron a y e r o irán mas proposiciones por ventajosas qu e sean. PERIO D ICO L IT E R A R IO . para el ejército. El 10 se presentó en esta plaza u n faccioso a rm a d o que v e ­ S ale todos los d o m ing o s p o r la m a ñ a n a . S u precio en M a ­ nia de Or du ña . d r i d llevado á casa de los suscriptores es el de 2 reales al mes, y 10 por u n t r im e s t r e ,…</t>
  </si>
  <si>
    <t>…y a lugar. s b ntos refieren y las ciencias físicas explican cómo esa tierra de LA ESPERANZA, prosperidad y de delicias se convirtió en soledad de espantosa aridez, Gocnorra , Sodoma y otros pueblos, que flotaban, por P ERIO D ICO L I T E R A R I O . decirlo a s i , sobre inmensa mole de aguas subterráneas, minas de azufre y pozos d e betún , edificadas ellas mismas con piedras Sale todos los domingos por la m añana. Su precio en M a­ IMPRENTA NACIONAL bituminosas, apa.ecian risueñas en el valle de Siddin. Cierto día ,…</t>
  </si>
  <si>
    <t>…desde que ha salido de su casa no ha oido un solo tiro. LA ESPERANZA, El cónsul francés ofició á Maroto dias atrás. Este contestó, las profesiones humanas. y de sus resultas el cónsul salió de Bilbao á conferenciar con PERIO D ICO L I T E R A R IO . En la medícatura n aciente, dominada por la alquimia y dicho gefe carlista. No se sabe en qué punto debia ser la con­ fLica erróneas, que no presentaba sino hechos inconexos y con­ ferencia ni lo que se trata. Ignoro si el cónsul ha regresado á Sale todos los domingos por l…</t>
  </si>
  <si>
    <t>ICO, PERIOD</t>
  </si>
  <si>
    <t>PERIOD ICO</t>
  </si>
  <si>
    <t>…nos al a r t e , hemos venido á entretener al nal y de familia , sí que por causas en que á la vez se intere­ Liceo valenciano con nuestro corazón y nuestras esperanzas. saba la causa de la nación y de la humanidad. El conde de PERIOD ICO L I T E R A R I O . Trajtamara d e b ia, no solo vengar la muerte de una madre y de un hermano; debia satisfacer los ardientes y generosos im ­ Sale todos los domingos por la mañana. Su precio en M a - pulsos de su corazón en la herida mas profunda que debia re­ Irid llevado á casa de…</t>
  </si>
  <si>
    <t>ICOLI</t>
  </si>
  <si>
    <t>…ta clase &amp; c ., residente en la ciudad de M ilá n , para que com pa­ LA ESPERANZA, corle. rezcan por sí ó por sus apoderados á ejecutarlo en el juzgado segundo de primera instancia de esta ciudad y por mi escribanía P E R I O D I C O L IT E R A R IO . Hoy Hmartes es el último dia que se despachan bille­ en el térm ino de ocho meses: bajo apercibimiento que no hacién­ Sale todos los domingos por la m añana. Su precio en M a ­ tes de esta r ifa , á 2 rs. cada u n o , en los dos cajones si­ dolo se dictará la providencia qu…</t>
  </si>
  <si>
    <t>ICOMENSUAL</t>
  </si>
  <si>
    <t>…ver­ que tiene su monotonía y su pesadez, con añadidura insu­ EL MADRIDEÑO CATOLICO, so de Iriarte: frible de cuatro consonantes seguidos, como se encuentra en las rimas de Bercéo y en el poema de A lejandro. T ri­ P E R IO D I C O M E N S U A L , Las maravillas de aquel arle canto gueros y algunos poetas peores que él solicitaron resta­ blecerlo á fines del siglo pasado: empresa para ia cual no POR D O N INOCENCIO MARIA RIESCO L E -G R A N D . cuando á su autor parecía un verdadero sáficó. Lo mas bastaría el genio de…</t>
  </si>
  <si>
    <t>ID, IC</t>
  </si>
  <si>
    <t>IC ID</t>
  </si>
  <si>
    <t>…do S. M. señalar el dia 5 0 del-cor­ FUNCION EXTRAORDINARIA, riente á las nueve de la mañana para que en la plaza de la O b r a s que se h allan d e v en ta en e l d esp a ch o y alm acén A B E N E FIC IO DEL A SIL O D E M E N D IC ID A D Eonstitucion se efectúe la solemne quema de documentos de la d e la Im p ren ta N a cion al. deuda pública endosable contenidos en el suplemento á la G a ­ ceta de 2 2 de Abril últim o; habiéndose segregado el señalado Convención para e x p lic a r , ampliar y hacer efectivo lo es­ DE SAN…</t>
  </si>
  <si>
    <t>ID, IR IG</t>
  </si>
  <si>
    <t>IR IG ID</t>
  </si>
  <si>
    <t>…él los v e ; por­ que los hombres solo se mueven por simpatía ; luego ha de pin­ DE LOS ASUNTOS DE ESPAÑA, tar lo que tiene en su im aginación ; es d ecir, ha de imitar los modelos que le ha presentado la naturaleza. ANUNCIOS. D IR IG ID A A 8. A . E L P R IN C ÍP E D E M E T T E R N IC H — L o mismo decimos del poema didáctico. ¿Q u ién lee á C o - Juwela sino los que quieren estudiar la historia del arte precio­ E L concierto en que han de rifarse las labores y objetos p ri­ POR D. JOSE GARCIA DE VILLALTA. so de la agri…</t>
  </si>
  <si>
    <t>…e­ cido en el hospital general de esta corte en 4 de Febrero último, para que se presenten en este juzgado á hacer las reclamaciones DOS PALABRAS Primera parte . que crean convenientes, y se les administrará justicia en lo que D IR IG ID A S A L C LE R O E S P A Ñ O L í.° Sinfonía en la ópera Guglielmo T ell , del maestro* R os- la tuvieren. s io i, á completa orquesta , exornada con una magnifica deco­ SOBRE ración de pais nevado , con claro de luna. i 2.° Introducción en la ópera Elena é Malvina , del maes­ P O R provid…</t>
  </si>
  <si>
    <t>Id, José Román</t>
  </si>
  <si>
    <t>José Román Id</t>
  </si>
  <si>
    <t>…endo preciso trastornos , é yo m uy desconsolado porque no veo quién trate Amenabar sobre retención y depósito de 6 2 9 galápagos de es­ de prestar dinero, que tan, preciso es para lograr no se desmaye taño de la propiedad de D. José Román Id iaq u ez , y 6664 rs. que en rn jehos puntos de Francia vayan mientras ocultamente, la tropa , que seguu aseguró Maroto en la junta h arán su de­ 16 ni rs. r n . , producto líquido de otros 6 8 galápagos del pro­ no pueden ir con la prontitud que las que lleva el correo, por mas activ…</t>
  </si>
  <si>
    <t>Id, Juan</t>
  </si>
  <si>
    <t>Juan Id</t>
  </si>
  <si>
    <t>…incial de Burgos contuviesen Consignaciones á fábricas. ................................. 1 .2 5 5 ,4 7 4 - 7 los fuegos del primer parapeto, dejando para protegerlas la da dro López , individuos de la diputación provincial; D. Juan Id. al banco de S. Fernando por tercera y tiradores de caballería del 6 .° de ligeros, mandada por su capi­ Gumucio, que desempeña la dirección de la caja nacional de quinta parte de tabacos y papel sellado. . . 1 .3 7 2 ,7 1 6 - 2 5 tán el denodado joven D. Rafael Acedo Rico , cuyo caballo…</t>
  </si>
  <si>
    <t>Idem</t>
  </si>
  <si>
    <t>…t demasiado absoluto para prestarse á seme­ 50 De varones blancos............................... jantes manejos. D e hembras...................................... 55 2.° Que el almirante inglés ha debido intimar al almirante Idem 14» turco que se vuelva á los Dardanelos. Yarones de c o lo r................................... 6 Dudamos que el almirante Stopfort haya podido hacer lo Hembras de i d .................................. 1 En lo que llevamos pasado de este año, se ha notado m u­ Total de niños..............…</t>
  </si>
  <si>
    <t>…la facción en las provincias y Rioja. Vales Reales no consolidados, 00. cie^n. Deuda negociable de 5 por 100 á p a p e l, 00. Pronunciamiento de Eraso á favor de D. Cárlos. Se leyó el dictámen sobre la petición número 59 de Don Idem sin in terés, 64 nuevas al contado: 1 0 J , 4 , 5 diezi- Situación de) infante D. Cárlos en P o r tu g a l, y copia de Francisco Perez de Mesa , teniente coronel de artillería , en que varios partes que se le rffier^n. eisavos y 104 á v. f. ó vol.: 64 y 6 f á v. f. ó vol. nuevas. solicita se d…</t>
  </si>
  <si>
    <t>…r 100 á p a p e l, 0 0 . responde la calificación de los escritos. Y con efecto , el a g ra ­ tonces de ella, absolverían todos los escritos; y desde aquel ba­ v ia d o , bien sea la sociedad á cuyo nombre presenta el fiscal la Idem sin in terés, 6 | á v. f. ó vo l.: 6 trece dieziseisavosal luarte de la im piedad se podría inundar la nación de libelos 6 de N oviem bre próximo ó vol. á prim a de £ por 100 nueva. denun cia, bien sea un p articu la r, tiene derecho á que se tome irreligiosos. A cciones del banco españ ol de…</t>
  </si>
  <si>
    <t>…ando razón eu el cuaderno (le tr a //, m o d elo nú­ C. Idem para los reintegros aplazados. Corresponde á la Caja. 4 m e r o ). contaduría. Monte de piedad. Cuenta general de imponentes. D e la cu en ta d e l in te r é s . D. Idem para anotar los reintegros que se efectúen al con­ tado. Corresponde al tesorero. Gastos generales. Art. 61. Las sumas impuestas en la Caja de ahorros ganan E . Idem para tomar razón de los reintegros por pagar en Ganancias y pérdidas. el ioterés de 4 Por 100 ®l año , á contar desde una seman…</t>
  </si>
  <si>
    <t>…mes carga y pasajeros, para los que tiene exceleute* comodidades Deuda negociable de 5 por 100 á papel, 00. y 10 por un trimestre, franco de porte, en las provincias. en su espaciosa cámara. Se despacha por su consignatario Don Idem sin interés, 10 al contado: 6 nuevas id.: 10 y 10 ? La entrega 30 correspondiente al domingo 27 de Octubre Francisco X . Haraony, calle de Linares, núm. 91 , donde po­ V"a • a í? á 22 d- f- ó vol. á prima de * por 10 0 . * :ontiene los artículos siguientes: drán dar mas informes sobre el prtic…</t>
  </si>
  <si>
    <t>Ideoa, Antoni</t>
  </si>
  <si>
    <t>Antoni Ideoa</t>
  </si>
  <si>
    <t>…d a Vales Reales no consolidados, 00. C H 1A R A DI R O SE M B E R G . El a rtista D . José de Elvo ha cedido para que se rif e e Deuda negociable de 5 por 100 á papel, 00. el L iceo en beneficio de su desgraciado compañero D. Antoni Ideoa sin interés, 00. María Esquive!) que ha quedado c ie g o , un cuadro de costura Acciones del banco español de S. Fernando, 00.</t>
  </si>
  <si>
    <t>Idiaquez, José Román</t>
  </si>
  <si>
    <t>José Román Idiaquez</t>
  </si>
  <si>
    <t>…albaceas y mas ordene; que se les den al efecto; y asi es que yo experimento el mismo atraso en las cartas que me vienen de fuera , habiendo ellos mismos se están indisponiendo. La cartita que se me re­ herederos del referido D. José Román Idiaquez, para que den­ recibido antes de ayer ¡untos los dos últimos oficios de Y. E. de mite para Alcalde se la m a n d a ré , y si pone á mi disposición tro del término de un año, contado desde la publicación del pre­ lo líquido , será distribuido por este Señor, dándole á Y . cuen­ s…</t>
  </si>
  <si>
    <t>IE, IC</t>
  </si>
  <si>
    <t>IC IE</t>
  </si>
  <si>
    <t>…ocurrir con la entrada de dichos auxiliares , y parece ofrecen Pontevedra, 55 4^5627.. 15 4 ^ 9 5 7 4 « l2 reintegrarles de ello dentro de dos años. Esto no deja de causar en nuestro favor algún buen efecto, M A D R ID 6 D E D IC IE M B R E . Total de foros adjudicados pues se han de persuadir los vecinos de la montaña que con en el mes de O c tu b r e ... 98 1015407..12 1107002..26 continuas engañifas se les irá pasando, hasta que dejándoles en Id. anteriormente. . . . . . 735 7586464-51 8927268..20 camisa , se les…</t>
  </si>
  <si>
    <t>…pirar direc­ REVÍSTA DE MADRID. y no podia ser sino la que estaba en el confesonario distante. ta ni indirectamente al p rem io , debiendo reducirse ún ic am e n ­ Este joven lo comunicó á otros, los que frecuentando la ig le ­ D IC IE M B R E DE 1 8 39 .= S E G UN D A SE RIE . te el oficio de este cuerpo á examinar y juzgar con im p arciali­ sia oian la confesión de todos los penitentes, resultando hacer­ dad las obras que se presentaren. se públicos los pecados confesados en sigilo. La maligna curio ­ 2 .a El autor de la…</t>
  </si>
  <si>
    <t>…o podía menos de jurando las tempestades que nos amenazan por donde quie­ decir S. S. por los antecedentes que resultan que el director ra. Con este motivo séanos perm itido protestar aqu i, no e&gt;tá justificado. N U M . 9 .°= D IC IE M B R E D E 1858. contra el uso de las interpelaciones, puesto que son un Que respecto á los fondos que dice el Sr. marques ha to­ derecho consagrado por nuestra ley fundam ental, sino Contiene este número los artículos siguientes: mado la dirección de caminos puede disculparse, pues una…</t>
  </si>
  <si>
    <t>…am iento, y quitar á V. Y DE LAS DIRECCIONES Y AU T O R ID A D E S SUPERIORES* llámelas Y. M. á su lado para la dirección y consejo en todos el menor pretexto para concluir con ellos, no creo hum illación E n treg a del m es de D IC IE M B R E an te rio r con el ap én­ los asuntos que particularmente en el dia nos a g itan , y Y. M. ni debilidad el proponerle como te propongo, pronto á cum ­ se convencerá de haber dado el punto mas prudente y acertado. plirlo religiosamente por mi parte, los artículos siguientes: d ic e, índ…</t>
  </si>
  <si>
    <t>…efectos ó sin ellos á pais ocupado habitualm en- El recuerdo del santo Caballero español San Francisco de te por los eoemigos, asi como venir de aquel á el en que se en­ cuentran las tropas de S. M. la Reina. M A D R ID 30 DE D IC IE M B R E . Borja es precioso en esta ocasión; porque la causa de la h ija de cien Reyes debe ser defendida por todos los que conserven en 2.° El que contraviniese á lo prevenido en el anterior ar­ su corazón alguna centella del antiguo honor castellano. Nos ticulo sufrirá la pérdida de los e…</t>
  </si>
  <si>
    <t>Ies</t>
  </si>
  <si>
    <t>…se legitim arán como tales al instante que pie hamburgués que sale el buque , y á la verdad sin conside­ 20 caballos; se detuvo unas seis horas, saliendo al dia siguiente lleguen á bordo de un b u q u e , y h arán que el capitán Ies dé ración á que los buques lleven tablas para orzar del modo si­ en dirección de Nabaleno. Según noticias no causaron extorsio­ por escrito, tan pronto como sea dable, el calado del buque: guiente ; y se podrá pagar en dinero corriente danés o en N § nes de ninguu genero, pidiendo solo una fane…</t>
  </si>
  <si>
    <t>IEZ</t>
  </si>
  <si>
    <t>N.° 1662 . MARTES 4 DE JUNIO DE 1839. D IEZ C U AR T O S. ejecución , asi como el orden y la legalidad, toca proteger á ! g o , que tomado también á la bayoneta, le obligó á p ro n unciar PARTE OFICIAL. V. S. eficazmente y bajo la mas estrecha y grave responsa­ l su retirada en derrota, abandonando á nuestros bravos el cana- bilidad; b…</t>
  </si>
  <si>
    <t>…n de las cosas, y cantidad de grabados para d En cumplimiento del cite reto que ac-! o de leer eúa ce rra­ D ED IC A D O POR JU L IA N RO M EA M A T IL D E dibujo. da la sesión ordinaria del año de 1859 de las Cortes generales D IEZ Y FLORENCIO ROM EA. El círculo de que he hablado es muy útil para enseñar la de la nación portuguesa. formación de las palabras: hay escritas en su circunferencia El Sr. Presidente de la Asamblea dijo en seguida: Costado derecho t gran cantidad de sílabas simples y dobles: cuando se le hace gi­…</t>
  </si>
  <si>
    <t>IEZC</t>
  </si>
  <si>
    <t>N.° 1773. JUEVES 19 DE SETIEMBRE DE 1839. D I E Z CUARTOS. PARTE OFICIAL. y que al mismo tiempo se implore el divino auxilio para exageración y encontrados intereses de los partidos, recogiesen la pronta y completa pacificación de la monarquía, se ha el fruto de su sensatez, de su lealtad , de los inmensos sacrifi­ dignado mandar que con l…</t>
  </si>
  <si>
    <t>IEZCUARTOSS</t>
  </si>
  <si>
    <t>N . º 1 5 2 2 M A R T E S 1 5 D E E N E R O D E 1 8 3 9 . D I E Z C U A R T O S S . M . la R e in a , s u a u g u s ta ■. -A-. i - - / ' ‘ ..7 •• .----- r - . II. ■!&gt; M a d re la R e in a G o b e r n a ­ - Brasileños ?7£, f ' ‘ ;;i ficará,’ y hacq qye inspire .confianza en las operaciones, pues d o ra y Sra. IrifSailta Dóitá María Luísa Feriian- / Golómb…</t>
  </si>
  <si>
    <t>Ig, D.</t>
  </si>
  <si>
    <t>D. Ig</t>
  </si>
  <si>
    <t>…o de lanas, a de su mañana en la posada del Sr. auditor de guerra del mis­ la Exorna. Sra. marquesa de Belmonte. mo ejército y provincia, calle de Relatores, oiiou 7 , cuarto 22, TJn eogmeíto bordado de felpillas y oro , al Sr. D. Ig— seguudo. REPERTORIO DRAMÁTICO. nació P«rez.. 24&gt;. 'Un librito de memoria bordado, á la Sra. Doña Lui­ COLECCION DE LAS M EJORES OBRAS sa Elhtuar de Martínez. O O R providencia del Sr. D, Benito Serrano y Aliaga , juez 12. Un ejemplar del espíritu del siglo y otras obras, al se­ * de prime…</t>
  </si>
  <si>
    <t>IG, IL</t>
  </si>
  <si>
    <t>IL IG</t>
  </si>
  <si>
    <t>…premios 35000 pesos representada hace síeis años, arreglada á nuestro teatro por fuertes, en la forma siguiente: CIVIL Y CRIMINAL D . Ventura de la Vega , titulada Premios. Pesos. A C E R T A R E R R A N D O 6 E L CAM BIO DE D IL IG E N C IA . EN LA JURISDICCION REAL ORDINARIA. 1.................. d e .. 8000 ps. f s . . . . 8000 1 . . . ............ d e ..... 5000................. 3000 2........ d e .. 1000 . . . . .......... 2000 Por D, Juan Martin Carramolino. CRUZ. A las ocho y media de la noche. Se pondrá en es**…</t>
  </si>
  <si>
    <t>…rre­ hubo ninguna desgracia en ambos eucueutros de parte de d i­ glada á nuestro teatro por D. Ventura de la Vega , titulada chas secciones, (ü . M . de V .) BOLETIN DE COMERCIO. A C E R T A R E R R A N D O t&gt; EL CA M B IO D E D IL IG E N C IA . BOLSA D E M A D R ID . V a lenda 2 l de M ayo . Intermedio de baile nacional; terminando la función con Cotización del dia 28 d las tres de la tarde. un divertido sainete. (Extracto de partes recibidos en la capitanía general.) EFECTOS PÚBLICOS. El enmendante militar de Gérica…</t>
  </si>
  <si>
    <t>IG, IÑ</t>
  </si>
  <si>
    <t>IÑ IG</t>
  </si>
  <si>
    <t>…dado los varios señores que han usado la palabra en pro. Por de redactado en los mismos términos que el anterior. ciones al Gobierno sobre tal ó cual asunto. contado tenemos que la cuestión no es constitucional , sino de El Sr. IÑ IG O creyó que debia aprobarse el artículo, por­ N o se les impide que para el buen manejo del patrimonio atribuciones de los ayuntamientos para el régimen interior de que teniendo como teuian los ayuntam ientos una ILta de los del pueblo, para su policía urbana, y cuanto concierna al bien ellos…</t>
  </si>
  <si>
    <t>…ium tan - año solam ente, observándose en Consejo. to m a r á esa hora su s itio ; el Congreso determ inará. -r ¡A tmnmodo anmnn benigno todo la form a de las precéden- , M r. T h ie rs, M inistro de N egocios extrangeros. El Sr. IÑ IG O dijo que no podia menosAe excitar? la p u n tu a­ p ro ro gn v it, sé rv a la in om~ tes concesiones. Sin que obsten M r. G u izo t, de lo Interior. lidad de los Sres. D ip u tad os, á fin de que se abriese la seúpu á nihus furnia praecedentium de ni ngun modo cualesquiera co- M r. D u c h…</t>
  </si>
  <si>
    <t>…ndo manifestado ayer mi opinión tu n o , remitiéndose copia al Ministerio de Gracia y Justicia. medida de justicia y equidad en esta contribución, que me pa­ acerca de este asunto, poco tengo hoy que añadir. Sin embargo, El Sr. IÑ IG O apoyó el contenido de la exposición, hacien­ rece que no pueden desatender los Diputados. El Gobierno ha para principiar á impugnar este; artículo, 110 precisamente para do ver los perjuicios que necesariamente se siguen con los esta­ pedido una requisición de muías, con el mismo fin y del…</t>
  </si>
  <si>
    <t>…dicho que no tenemos mas de la monarquía.” Ya he dicho con respecto á eso lo que pien­ equivocado.^ obligación que cumplir que conceder la modificación, y de san los demas señores firmantes: es cuestión que no debe anti­ El Sr. IÑ IG O : Señores, yo debo advertir ante todo que er esta manera separó la cuestión del terreno en que se hallaba. ciparle: cuando llague el caso de discutirse el artículo 1.° en­ la cuestión que nos ocupa son mas poderosos en roí los senti­ Si solo les concedemos la modificación, ¿es e4e el modo g…</t>
  </si>
  <si>
    <t>…an los documentos necesarios posición. al Coogreso que no tomé en consideración la pro* timo pedir *?“ ^ P ' l ' u U d a s cuya admisión la couusion aprueba. para dejar caer un anatema tan fuerte como se necesita á quien El Sr. IÑ IG O : Yo no pedí la palabra para im pugnar la J DK IUVAS: Señores, tengo la satisfacción abusó del poder asi, y que no pueda volver á ser D ip utado : si admisión de los cuatro Sres. Diputados , sino única y exclusi­ de haber merecido por segunda vex el honor de representar á inocente fuese, l…</t>
  </si>
  <si>
    <t>…u e atacarla de hubiesen renunciado.” este m od o es n o querer iey ninguna , p orqu e si la a u tori­ El Sr. M A R T IN im pugnó el dictamen creyendo que el término que se señalaba era demasiado largo, y con el cual po­ El Sr. IÑ IG O manifestó que en el artículo no se hablaba dad c iv il lia de tomar la iniciativa en estas d eclaracion es, dría resultar que un D iputado pudiese continuar algún tiempo de otras gracias sino de las del art. 45 de la Constitución , pues y si los tribunales ordinarios han de ju zg ar a los d…</t>
  </si>
  <si>
    <t>Ig, José</t>
  </si>
  <si>
    <t>José Ig</t>
  </si>
  <si>
    <t>…testamentaría y quiebra del D. Fabian , presenten en r* ’^ea hallándose mandando la tercera división del ejército de 4.0 Desde las nueve de la noche hasta las dos de la m adru­ el término de 4^ dias ante los síndicos nombrados D. José Ig­ Catahiña, ?u plica al Congreso que en atención á los muchos gada del siguiente dia habrá baile por convite, de disfraz, en el nacio de Ibarrola y D. Mateo de M ollinedo, vecinos y del co­ servicios que prestó mi difunto padre tanto en la Península co­ salón del Estado. mercio de dicho A ran…</t>
  </si>
  <si>
    <t>IG, JÑ</t>
  </si>
  <si>
    <t>JÑ IG</t>
  </si>
  <si>
    <t>…¿oíluido modo que S. S .; asi pues ruego al Coogreso *e sirva aprobar con tanta serenidad como la espera un amigo que dice la ver­ roas ó menos en las elecciones, y roe he admirado de que una el dictamen de La coroiúon. El Sr. JÑ IG O : A llo m a r yo la palabra para apoyar la dad; me esfuerza la razón y mi valor para denunciar como persona poco conocida eq la escena política se haya presentado proposición he estado muy lejos de ser yo capaz de im pugnar siempre los abusos, donde quiera que se encuentren; cuando corno ca…</t>
  </si>
  <si>
    <t>Igarre, Urbano</t>
  </si>
  <si>
    <t>Urbano Igarre</t>
  </si>
  <si>
    <t>…en d i ha crcido que yo he padecido e q u iv o ­ dro las com pañías de segurid ad al mando de su capitán com an­ Sesión del dia 17 de Enero de 1839. cación respecto de los arb itrio s, y que he c onfundido los a r b i ­ dante D. Urbano Igarre ta sobre el valle de Ulzarna para hacer efectivo el pedido de racion es, hizo prisioneros en la m a d r u ­ Se abrió á la u n a, y leida el acta de la anterior, quedó trios provinciales con los generales. Esto no es exacto. Y o he aprobada. hablado de los arbitrios especiales para los…</t>
  </si>
  <si>
    <t>Igarreta, Urbano</t>
  </si>
  <si>
    <t>Urbano Igarreta</t>
  </si>
  <si>
    <t>…dro ha­ ciendo pasar la brillan te com itiva y séquito de los R eyes que se Pamplona 6 d e Enero, El 'com andante de las compañías verán postrados adorando al N iño Dios recien n a c id o , á quien de seguridad de esta plaza D. Urbano Igarreta , marchó desde Se halla de venta en dicho despacho á los precios siguientes: de cuando en cuando tocarán y can tarán villancicos los pas- la misma la noche del 2 al 5 del a c tu a l, é internándose en el De lujo............................... 24 O torcillos, cuyos cantos y órgano se…</t>
  </si>
  <si>
    <t>Iglesias, Fernando</t>
  </si>
  <si>
    <t>Fernando Iglesias</t>
  </si>
  <si>
    <t>…e la ciencia de gobierno y vincia se cita , llama y emplaza por tercer edicto y término de adm inistración p úb lica, obra escrita en francés por Bourbon- Habiendo salido de Zaragoza, según las últim as noticias nueve dias á D. Fernando Iglesias, D. Andrés G utiérrez, Don L e b la n c ,y trad u cid »al castellano por D. E. de S. P .: segunda que tengo de aquella ciudad, porción de prisioneros facciosos Manuel Domínguez, Doña Teresa Romeroso, y D. M anuel edición española, á 10 rs. en rústica. para ser cangeados por igual n…</t>
  </si>
  <si>
    <t>…ros debates que se re- de esta provincia, se cita, llama y emplaza por segundo edicto nes, de amenazas, de acriminaciones que tendian a pro­ ferian á otro asunto. Acabada la lectura se guardó la m e­ y término de nueve dias á D. Fernando Iglesias, D. Andrés bar que en los debates había sido el agresor Pió vn. Hé moria en él bolsillo, buscó con la vísta al hombre que le Gutiérrez, D. Manuel D. Manuel Domioguez, Doña Teresa Romeroso y María de la Orden para que comparezcan én la es­ aqui algunos fragmentos de aquellas: «E…</t>
  </si>
  <si>
    <t>Iglesias, Josefa</t>
  </si>
  <si>
    <t>Josefa Iglesias</t>
  </si>
  <si>
    <t>…trosa, sin que se note la me­ nor muestra de rencor ó resentimiento por pasados agravios. El Certifico: que en el.expediente de inventario formado por muer­ ¿ Y me permitirá Y. M. I. que le diga la verdadera razón de te de Doña Josefa Iglesias, viuda de D. Antonio M a s i, se ha­ esto?—Sin duda. Pues es porque aquel de mis antepasados regocijo mas puro y las esperanzas mas halagüeñas de un d i­ lla estampado el edicto original que dice: En virtud de pro­ que vino de Tartaria á establecerse en R usia, llegó aqui en in­ c…</t>
  </si>
  <si>
    <t>Iglesias, Ramón</t>
  </si>
  <si>
    <t>Ramón Iglesias</t>
  </si>
  <si>
    <t>…Doña Josefa Iglesias, refren­ «1 lítale de príncipe. Mi abuelo llegó en invierno rigoroso, y tenia en una agitación penosa á todos los ánimos, contribu­ yendo no poco á resultados tan felices y satisfactorios ciertas dada de D. Ramón Iglesias, escribano de número, se cita y tuvo la ocurrenci?. de preferir la pelliza. Pablo se rió mucho emplaza á todos los que se crean con algún derecho á su finca­ de esta contestación, y luego dirigiéndose á los príncipes pre­ disposiciones de bien entendida política que el ínclito duque…</t>
  </si>
  <si>
    <t>Ign</t>
  </si>
  <si>
    <t>…onio G arcía G u tiérrez. Y la 5 .a será: L a u r a , en cinco actos y en verso , con pró­ CORRESPONDENCIA DE LA GACETA, LICEO ARTÍSTICO Y LITERARIO logo y e p ílo g o , o ri g i n a l de D. Jo sé M a r ía D ia z. El editor D. Ign a c io Boix ha a d q u ir id o y a varios preciosos Santander 50 d e AhriL Nuestra artillería estaba ayer co­ m anuscritos de los autores modernos de mas n o t a , y de piezas locada al frente de Ramales, en cuyo punto ss me asegura se DE L A CIUDAD DE MURCIA. que se van á r e p r e s e n t a…</t>
  </si>
  <si>
    <t>Igna, Ernesto Brockmann y D.</t>
  </si>
  <si>
    <t>Ernesto Brockmann y D. Igna</t>
  </si>
  <si>
    <t>…y alabanzas al héroe español , declarado entonces el mayor general yerno. Ea acusación que se extendió al principio basta la de Sánchez. profanación de la re igion y resistencia á la fuerza armada, Tercer año de filosofía. D. Ernesto Brockmann y D. Igna­ del siglo. Los macedonios y los a Iba nos le ofrecieron la quedó sin embargo reducida á la de los procedimientos de he­ cio Fernandez de la Somera. soberanía de aquellas provincias: D. Ju a n la reh u só, y cho cometidos contra un militar en ejercicio de su misión. El…</t>
  </si>
  <si>
    <t>Ignaci</t>
  </si>
  <si>
    <t>…u l t i p l i c a n d o los ejemplares repara eAos (2) Se su scribe á esta obra en el despacho de libros de su dueños de los ma l ame n t e us urpados. desastres. A u n son tnas seguros los di pl omas que las medallas, editor D. Ignaci o Boix , calle de C a r r e t as , núm. 8.</t>
  </si>
  <si>
    <t>Ignacio</t>
  </si>
  <si>
    <t>…a del Lago), que el autor le legó La M ilicia de toda ésta pro v in cia necesita de núeva o rg á- &gt; i Lanceros dé A ragón.^A lférez, ayudante de órdenes del gefe como una memoria. nizacion, y esperamos que el Sr. gefe político D. Ignacio L ó­ ^deí k brigada D ..Lorenzo A d u ar,, cru?;de S.,Ferpando de p ri­ Estos mauuscritos, colocados ahora en la gran galería semi­ pez P into la procurará por los medios que tiene á su alcancé, mera clase. • ■ : ¿ .• '■ , y . circular de la biblioteca, ascienden á 166 volúmenes en 4*° m a…</t>
  </si>
  <si>
    <t>…a de t u d ! ¡V o lv e rá o las tu r b u le n c ia s , S e ñ o ra ; se eocenderá q u iz ás las islas Baleares á D. Joaq u in R e v , en reem plazo de u n a g u e rra de desesperación! y entonces ¡ a y d é la E sp añ a! ¡ A y D. Ignacio T ru yo ls, y á D. P ed ro José M oya, en el de de los pueblos que v iveo bajo el cetro benéfico de la excelsa L os H oyo s (p ro v in c ia de Cáceres) 2 7 de Setiem b re de 1 8 3 9 .= D. Ju a n A ntonio Fuster. T endréislo entendido y lo co­ E xcm o. S r . : M i estim ad o S r .: L a a d…</t>
  </si>
  <si>
    <t>…cuartel general para que se | Correo; y de B run , calle M ayo r, frente á las Covachuelas. Los de esta divergeucia cesó mas pronto que en nuestra Península* realice el cange general. I pedidos para las provincias se harán á D. Ignacio B o ix , calle Pelayo creyó oponerse con un corto número de hombres á de Carretas , núm. 8* las falanges que en tres años arruinaron la poderosa monarquía B á rg o s 5 d e Abril. Antes de ayer entraron 4 IO quintos I de los visigodos. Sa f a n a t i s m o era pues , mas delirante que el en…</t>
  </si>
  <si>
    <t>…García Semoiinos ; para la del juzgado de D. Benito á laguna , pues de lo contrario le parará el perjuicio que haya que se declara que un empleado es inam ovible, se declara que D. José Alvarez Roldan , y para la de Figueras á D. Ignacio lugar. no es responsable; pero esta es una equi vocación, porque cuan­ Sans y Roca. to mas se asegura la propiedad en un destino, mayor es la res­ ponsabilidad; y esto es tan cierto, cuanto que si bien en el ar­ tículo se declara que esos empleados sean nombrados con ese PARTES. p O R pro…</t>
  </si>
  <si>
    <t>…elemental de las enfermedades de las mugeres, o ensa­ tico de clínica en la universidad de B erlin , y primer médico yo para un nuevo método de clasificación y estudio de las en­ del Rey de Prusia. Traducido al castellano por D. Ignacio V i ­ ESTADO MILITAR fermedades de este sexo, compuesto en trances por José María dal , profesor de medicina. Los Sres. suscriptores podrán acudir V iga rou s, profesor de medicina en M om peller, traducida al á recoger el tomo 2.° en M adrid á las librerías de S o jo , calle castellano p…</t>
  </si>
  <si>
    <t>…a n ta s , y catedrático de la escuela m ercan­ H U n a lm a d e A rtista . A B I E N D O S E hecho concurso de acreedores á los bienes de til de la jun ta de comercio de M ad rid . P a b lo el M a r i n o . . los consortes D. Ignacio V ergara y D oña Bárbara H e r­ Del análisis que h an hecho de esta obra los profesores de D on J u a n d e M arañ a. reros, vecinos de G e ta fe ; se ha señalado para la celebración demas ^ nota resulta que entre todas las gram áticas que hasta a h o ­ El C abal! e ro de i n d u s tr i a…</t>
  </si>
  <si>
    <t>…ión se expresan, los que fueron remitidos por los Sres. v iu ­ asilo en las villas fortificadas ó en esta y esa capital. ¡ Cuándo Agradóme la vista de las mesas y los correspondientes ban­ da dfe P elay o , hijos y compañía á D. Ignacio G iro n a, del co­ se arrasará ese infam e M aestrazgo! cos de asiento al rededor de ellas enclavados sólidamente á la mercio de B arcelona, por el correo que salió de esta corte para p ared , y en uno de los ángulos del refectorio una grande to - Ahora se ha presentado el tigre en frente…</t>
  </si>
  <si>
    <t>…encia to para con el Excmo. a y u n ta m ie n to , que ha hecho en su fa­ A de cincuenta añ o s; por Crist. Guillermo H u fe lan d , t r a ­ vor cuanto el apuro de los fondos municipales consentía, y ducido al castellano por D. Ignacio V i d a l , profesor de medi­ 5 0 , 7 3 , 1 0 , 5 1 , 58 . cuanto ha estado en sus facultades para vencer inconvenientes cina. Con esta obra que ha dado á luz el doctor Hufeland po­ y dism inuir obstáculos. Creen también que sus esfuerzos les co antes de term inar su vida y su larga carrer…</t>
  </si>
  <si>
    <t>…do como inm i­ hay grabados unos 50señaladamente Habiéndose denunciado ante el señor alcalde constitucional nente manjiferos, en las de zoología, donde otras tantas aves, muchos de esta muy heroica villa D. Angel Mazon, por D. Ignacio M a­ interior, una coalición entre Mehemet-Alí y la Inglaterra en lo peces, reptiles é invertebrados. Todo ejecutado con el mayor ría Asensio, como apoderado de los Sres. D. Francisco Nuñez, acerca dedelalacual A rabia, no asegura la exactitud de esta noticia^ esmero. no ha recibido mas por…</t>
  </si>
  <si>
    <t>…s un d iam an ­ de Fastas esp a ñ oles se publica en la imprenta - librería de su yas obras nos son conocidas en nuestros primeros estudios, los te que tengo en la h ig a d illa , con el que te hubieras e n riq u e c i­ editor D. Ignacio B a ix , y al mismo tiempo justifica el s in g u ­ que ambos fueron esclavos, y quizás formaron estas composi­ do.” Al oir esto el cazador, se arrebató tanto con la im a g in a ­ lar aprecio que ha merecido por la inteligencia y esmero con ciones mientras se hallaban en aquella situación par…</t>
  </si>
  <si>
    <t>…clínica en la universidad de Berlin , y primer médico del Rey Dies y nueve mi) doscientos catorce reales impuestos en la caja con la misma detención y esmero que las de Anacreonte y Sa­ de Prusia. Traducido al castellano por D. Ignacio V idal, pro­ de Ahorros por 112 individuos son un dato numérico que se­ fo: el original griego está compuesto eo dísticos, y la traduc­ fesor de medicina: cuatro tomos en 8.° Con esta obra que ha guramente no han ofrecido el dia de su apertura acaso ningu­ ción se ha puesto en tercetos. Pr…</t>
  </si>
  <si>
    <t>Ignacio'A</t>
  </si>
  <si>
    <t>…, para que en el término de nuev© rías adiciones , y por un orden mas conform e;esjip^rafcadoj Las personas á quienes pertenezcan los billetes premiados se dias presente en la escribanía principal de Amortización , calle por D. Ignacio'A ntonio de Soto y Áraujo. Un "tomo en'A*.6* presentará con ellos en el referido establecimiento, y compro­ del Lobo, núm. 8 , piso 2.°, dicha lámina , con calidad de de­ edición de 1794 5 4.21 rs. jen pasta común*:. . bada su identidad , recibirán inmediatamente las respectivas volución, á…</t>
  </si>
  <si>
    <t>Ignacio, D.</t>
  </si>
  <si>
    <t>D. Ignacio</t>
  </si>
  <si>
    <t>…hará de la suya , acompañando un testiroooio de las mera iustancia de esta ciudad , y la presencia del que suscribe, ber cogido la primera avanzada nuestra. El batallón de O por­ sucesiones ocurridas desde el referido Excmo. Sr. D. Ignacio, á instancia de Francisco Siviane, como marido de Doña María to, que coa la partida de Campillo se hallaban en dicho pue­ cuyos documentos deberán obrar en dicha oficina eo el preciso de la Concepción Romero, de este vecindario, sobre la división blo, se vieron envueltos al despertarse; p…</t>
  </si>
  <si>
    <t>Ignacio, D. Diego López Ballesteros. Sr. D.</t>
  </si>
  <si>
    <t>D. Diego López Ballesteros. Sr. D. Ignacio</t>
  </si>
  <si>
    <t>…Camps y Ros , electo. Sr. D. Román Ovejero. Sr. D. Diego Montoya. Sr. Sr. D. Bartolomé Amor , electo. Sr. D. Francisco Javier Rodríguez de Vera* Granada. Pontevedra. Alicante • Sr. D. Miguel de Roda. Sr. D. José Guillen. Sr. D. Diego López Ballesteros. Sr. D. Ignacio Puigmoltó. Sr. D. Francisco Martinez de la Rosa* Sr. D. Domingo Fontan. Sr. D. Antonio Sereix. Sr. D. Francisco Egaña, electo. Sr. D. Juan José Cadaval. Sr. D. Jorge Gisbert. Sr. D. Francisco de Paula Castro. Sr. marques de Villagarcía. Sr. D . Manuel F…</t>
  </si>
  <si>
    <t>Ignacio, Ramón Villatba y D.</t>
  </si>
  <si>
    <t>Ramón Villatba y D. Ignacio</t>
  </si>
  <si>
    <t>…nuestro hombre se disponía á p ag ar, le d i- 1 Aritmética, D. J u a a Aldaz. lución de atacar la capitana de Malta, y tuvo la fortuna de j o : __ ¿Cuántas libras de algodón lleváis? — Doce, contestó el j Gramática castellana. D. Ramón Villatba y D. Ignacio rendirla , no habiendo quedado en ella mas de tres c a b a ­ comprador ¿Estáis cierto?... Yo creía que habLi» pedido mas. Fernandez de la Somera. lleros vivos, aunque muy mal heridos. El capitán A ndrea Permitidme... y tomando el saco , lo puso en la balanza , y ha - Calo…</t>
  </si>
  <si>
    <t>Igualmente</t>
  </si>
  <si>
    <t>…, no pudieron hacer valer su derecho ha­ d ar*A?: ^08&lt;l u*0 U rtetegui: D. José de la Viésca: D. A n- . Aprobado sin discusión. llándose disuelta la diputaciou provincial. es varez: D . Manuel Leiras: D. Pedro Pascual Vela: Don Igualmente lo fue el siguiente respectivo á la cuarta, que Que en cuanto á coacción, estaba probada con eí hecho que uan Escribano: D . Joaquín Rubio: D. José María Ruiz de dice asi confesó el Sr. Benavides en el dia eo que se trató de e^e nego­ *U á L rcz: D. Agustín de la Lama. (E l Tiempo.) 4*a…</t>
  </si>
  <si>
    <t>II, Isabel</t>
  </si>
  <si>
    <t>Isabel II</t>
  </si>
  <si>
    <t>…nte en tenientes coroneles ó comandantes de infan­ lla capital á Motril, y en su vista se ha servido resolver tería con la denominación de comandantes primeros gefes que con esta fecha se traslade al mencionado capitán ge­ Doña Isabel II por la gracia de Dios y por la Consti­ de Milicias provinciales y la efectividad de tenientes co­ neral lo que Y. E. manifestó, previniéndole en consecuen­ tución de la monarquía española Reina de las Españas, roneles de la referida arma de infantería con sueldo de cia lo siguiente: y en…</t>
  </si>
  <si>
    <t>…n de hacer alto, se ha asegura­ aquellos fondos servirán para establecer un banco nacional en co tiempo despuésla han M. de qué herida de la Reina no era peligrosa, y po­ continuado su camino hacia Saint- Tejas. Cloud. Doña Isabel II por la gracia de Dioá y póf la Constitu­ FRANCIA. Entre tanto se ha reunido una multitud considerable de ción de la monarquía española Reina de las Éspañás, gentes alrededor del coche de S. M ., dando muestras del mas y en su nombre Doña María Cristina de Borbon, Reina Paris 19 de Octubre.…</t>
  </si>
  <si>
    <t>IIE</t>
  </si>
  <si>
    <t>…me manifiestan que no está tan bía ponerse én el artículo "se digne leerle ó mandarle leer.” tamiento cous,tituci(&gt;naJ,; de M urcia , maaiféstando sus sentí- cerca eí triunfo como nos lisonjeamos: se dirá que el proferir El Sr. IIE R O S se opuso, por parecerlé á S. S. que no esta­ mientos coa motivo de haberse .publicado en ciertos periódicos’ estas expresiones es una im prudencia; no es sino pura pruden­ rían bien en boca de los M inistros las palabras propias solo extranJgerots que se trataba- de hacer concesiones al é…</t>
  </si>
  <si>
    <t>Iiom-, Antonio</t>
  </si>
  <si>
    <t>Antonio Iiom-</t>
  </si>
  <si>
    <t>…, fiscal de la misma audiencia ; y para esta fiscalía á Don para su cumplimiento.=:Está rubricado de la Real m ano.= Antonio Valenzuela García, juez de Chinchón, en quien con­ REAL DECRETO. En Palacio a 9 de Mayo de 1839.=A D. Antonio Iiom- curren los requisitos prevenidos en la referida circular de 29 de panera de Cos. Diciembre. Incorporadas a la dirección general de Estudios por Asimismo ha venido S. M. en nombrar para el juzgado de Real orden de 20 de Noviembre del año próximo pasado primera instancia de Guadix, de…</t>
  </si>
  <si>
    <t>IIU</t>
  </si>
  <si>
    <t>…en sus correrías. Por cuya razón cree que los gastos que en pago del segundo plazo, cualquiera que sea la fecha de la oponerme al artículo. ha hecho el ayuntamiento citado deben ser admitidos en la con­ deuda sin Ínteres. El Sr. IIU E L V E S : La comisión ha tenido la desgracia de tribución extraordinaria ; y en este supuesto ruega á la comisión La comisión es de parecer se tenga presente para tiempo no haber sido bien entendida. La comisión no ha visto mas que si no tiene inconveniente pase esta solicitud en lugar de al…</t>
  </si>
  <si>
    <t>…odia contar el triun fo, no tanto sin em bargo que no o b ­ pecto de 23 rs. por cada una. servase con recelo, con política suspicacia á su contraria. BO LETIN D E C O M E R C IO El Sr. duque de G or la apoyó brevemente# El Sr. IIU tíL V E S observó que la comisioa no podía adm i­ En este estado ¿era al G ob iern o á quien tocaba marcar tir la enmienda , porque resultaría que si á una provincia le con sus primeros pasos quiénes eran los vencedores y los BO LSA D E M A D R ID . tocaban 30 muías, con dar 603 rs, habría cu m…</t>
  </si>
  <si>
    <t>IIUELVES</t>
  </si>
  <si>
    <t>…gualmente fue desechada otra adición del Sr. conde de las aquella estuviera satisfecha.” dad , y se le haciau acusaciones de. una .manera vaga é infun­ N a v as, en que proponía que el valor de las muías no pudiese viesen El Sr. IIUELVES contestó que aquellas provincias que tu ­ dada, y sobre la cual no tendría, inconveniente en manifestar exceder de 50 rs. cubiertas sus contribuciones serian atendidas en este ca­ los motivos que le impelieron á dar.un decreto que podia con­ Leido y puesto á discusión el art. 2.°, dijo so…</t>
  </si>
  <si>
    <t>Ilandenbcrg</t>
  </si>
  <si>
    <t>…l m inisterio ha recibido la noticia dé Id lle­ gada de M éhem et-A lí á Constantinopla con la escuadra del ca­ tro plenipotenciario de Rusia cerca de la corte de los Fúses- guiente: pitán bajá.- Bajos, como también el conde de Ilandenbcrg, m inistro resi­ Q ue habiendo salido de la plaza de Tam pico el Sr. general Oiría périódicó ab u n d a que üri torreo llegado de Marsella dente de Hanoóver cerca de la misma corte. D . José Urreá á asuntos del servicio , suced¡endose de esto al­ en pocÓS días há dédo m otivo á qué se c…</t>
  </si>
  <si>
    <t>Ilarispe</t>
  </si>
  <si>
    <t>…r puerto le faci­ rero en su cam paña de la Siria en 1833. E n la orilla in ­ lita acceso a todas las capitales y provincias interiores; en­ mediatamente en frente está la isla de R o d a , que también El teniente general conde Ilarispe ha debido llegar el 12 á tregados solo al poder de sus entendimientos, y con racio­ pertenece á Ibrahim . En esta fértilísima isla se están ha­ Bayona. cinios abstractos, nos han dejado las mas estupendas obras ciendo las mas activas preparaciones para edificar un nue­ de la mente humana e…</t>
  </si>
  <si>
    <t>ILcienda</t>
  </si>
  <si>
    <t>…bd-el Kader ha re­ provocado algunas observaciones de Mr. Duraortier, que ha in ­ M r. de Poutois llegó el miércoles ultimo por la ncche i el nunciado á servirse de nuestros compatricios, y ha hecho pe­ terrumpido al Ministro de ILcienda al presentar el presupues­ viernes visitó al cuerpo diplom ático, y se cree que el luces didos á los ingleses, los cuales no dejarán probablemente deser­ to , sosteniendo con Mr. Broukere que la C ám ara no se h a ­ obtendrá una audiencia del Sultán. Se aguardan con impacien­ virle b ien, c…</t>
  </si>
  <si>
    <t>IlCIZi</t>
  </si>
  <si>
    <t>…entos existen ntuas que s-oa esencia t e de estos cuerpos, responde £ ios alcaldes/* las C o rtes: ei¡ es extra i© tamrpuc® fo e hasta £ los ce e rip s co~ las- cuate * y esta es mi doctrina, deben ejercerlas los ayunta— E,l Sr. IlCIZi D EL ARBOL hizo una ligera,, iiidjicacioo £ kgb&amp;adortó se baya» elevado ce» este mentí v® noli! y ibííI expo­ mientos. Él.,ay otras atribuciones, k s coa. lies se mezclan con in­ la co-itti;si"©'«, respecto ai! deslinde de Ib:® atribuciones.. siciones. Señores, sí rincerameitite se quiere el…</t>
  </si>
  <si>
    <t>Ildefon</t>
  </si>
  <si>
    <t>…r desde por los asesores D. Juan Miret, D Laureano Miranda, y gió a este ministerio de D. Juan Miret, en la que este ex­ S.Sebastian á Santander, y en el meridiano del cabo Machicha- sobre todo por el teniente asesor general D. Ildefon­ ponía no haber obrado en el asunto con malicia. De Real co avistó al Sor unas treinta trincaduras pescadoras de I3er- so Suarez, el primero por h ib er principiado una sumaria orden lo digo á V. E. para su conocimiento y electos cor­ ineo, y rnas á la mar se hallaba la corbeía de guerra fr…</t>
  </si>
  <si>
    <t>Ildefonso</t>
  </si>
  <si>
    <t>…e n te . (Id.) ballería conde de Coetlogon , al teniente D . J o a q u ín A v ilé s y ciones qu e se im ponen al q u e o btenga aqu ella. R eal orden expedida por el m in isterio cíe H a c ie n d a á los in te n ­ al capell&amp;n D. Ildefonso G arcía , corno tam b ié n a l paisano dentes de las p ro vin cias de B a r c e lo n a , G e r o n a , L é r id a y francés que con d ucía su eq u ip aje . T a r ra g o n a para que se apresuren á d e stru ir los rum ores acer­ ca del supuesto permiso de la in tro d uc c ió n eu el rein…</t>
  </si>
  <si>
    <t>…j 8g%dt&gt; í;y estan cara, llegar de un momento á ; otro ;,ry qju$ seasen,hacer pedidos^dp .fu aIqur.ep clase ^aoiqpaJqsi&amp;jSStttyftgsK O B S E R V A C IO N E S M E T E O R O L O G IC A S Igualmente se cita , llama y emplaza á D. Ildefonso D elga­ ros, los obtendrán con equidad y rapidez. “ .Eumoid do Ramos, que habitaba en esta corte, carres^a de Sañ Geróni­ i-Pet ^ eí a X pi-i.ipp.rosa; £§it«$jde. ¡ ^hj¡i t&amp;te ó CORRESPONDIENTES k LA SEMANA ANTERIOR. m o, núm. 12 , para que en e l término dé núévé días se presen­ i é».…</t>
  </si>
  <si>
    <t>…l, refrendada del escri­ caballo, deteniendo á toda clase de personas y cometiendo los bano de número D. Gervasio de Q u in tas, se c i t a , llama y em­ robos y excesos que acostumbra esta canalla , dio con la mayor plaza á D. Ildefonso G a r c ía , para que en el término de 20 mrs. 45 rs. premura las órdenes correspondientes para su persecución y ex­ d ia s , contados desde la inserción de este anuncio en la Gaceta, terminio. se presente por sí ó por persona que le represente con poder bas­ 55 rs. 14 por 100. 57 rs…</t>
  </si>
  <si>
    <t>Ileo</t>
  </si>
  <si>
    <t>…dicho térm in o , le p arará el perjuicio que h ay a lu ­ g ar. A dvirtiéndose que no constando la naturaleza de dicho d i­ L ondres, á 9 0 d ia s , 5 8 § . C o ru ñ a , Ij- d. fu n to , solo h ay noticia de que era hijo de D. Ileo riq ue M a r ­ In d ice d e los R eales d e cr eto s , órd en es y circu la res pu blica­ P a r ís , 1 6 -6 . G ran ad a , id. id. tínez de A b a d , natu ral de V arg a ñ o n , y de Doña Josefa C le ­ dos en este p erió d ico en e l m es a n terio r • M á la g a , £ á $ id . m en te, del Real…</t>
  </si>
  <si>
    <t>Ileredia, María Monte</t>
  </si>
  <si>
    <t>María Monte Ileredia</t>
  </si>
  <si>
    <t>…l de la misma &amp;c. nuestra poco cultivada historia marítima. Para mejor conoci­ D o y fe: Que en este juzgado de primera instancia se sigue miento del público anotaremos los siguientes capúulos en qug expediente que promovió Doña María Monte Ileredia, vecina se d iv i d e : de esta ciudad , y que fue natural de la villa de T u régan o, de I .° Fundamentos de esta historia. esta provincia , en solicitud de que se declare desvinculada la O l S T O R I A general de la civilización en E u rop a, ó curso de ‘2.° M arina de los ti…</t>
  </si>
  <si>
    <t>Ileros</t>
  </si>
  <si>
    <t>…r. Tmres Solanot 1 9 , el Sr. Salas Omaña 2 , el se­ elegido por la provincia de Pootevedra, y elegido al propio El Sr. Presidente anunció que mañana á las doce se reuni­ ñor marques de V ilu m a 1 2 , el Sr. González 1 , el Sr. Ileros 1 tiempo Diputado por dicha provincia , d ir ig ía copia del acta ría e! Congreso para discutir los dictámenes que presente la co­ y el Sr. marques de V allgo racra i . para que el Senado se sirviese decidir sobre la validez de la misión de los cinco acerca de las actas de los que componen l…</t>
  </si>
  <si>
    <t>…a , pues manifiesta Se aprobó la adm isió n de D. Francisco N avaez. adelantado con a lg u n a s Potencias que no h a n reconocido al G o­ que si bien es c ierto lo que d i c e , tam bién lo es que no se pue­ A peLicion del Sr. Ileros quedó sobre la mesa el d ictam en bierno de S. M . y de qu e este tiene esperanza de q u e se t r i u n ­ de e v it a r por los muchos puntos que tienen para v e rificarla. sobre las actas de Ja é n . fa rá . Contestando á otra de las observaciones del Sr. González El S r. P R E S I D E N T…</t>
  </si>
  <si>
    <t>…n. J sino-, hacer fuerza á un padre de T am ilias en el centro de una ban varias provincias habían sido aniquiladas , y renacido la Se leyeron y quedaron sobre la mesa dos dictámenes de la corte como la de F ran cia? Pero el Sr. Ileros ha aplazado esta confianza. En el párrafo se dice que ó no han prosperado, ó comisión de A c ta s ; relativo el primero á la identidad de la cuestión para la discusión de los presupuestos, y si a11i volv ie­ han sido exterminadas. Bien puede leerlo el Sr. O choa, y ¿e s persona de D. Epifan…</t>
  </si>
  <si>
    <t>Ilerques, D. León</t>
  </si>
  <si>
    <t>D. León Ilerques</t>
  </si>
  <si>
    <t>…colás Rípoli. León. Soria. . Barcelona. Sr. D. And rés Leal. Sr. D. Segundo Sierra y Pambley. Sr. D Manuel Barrio-Ay uso. Sr. D. Joaquin Rey, Vicepresidente 5.° Sr. D. Pascual Fernandez Baeza. Sr. D. José Antonio Flaquer. Sr. D. León Ilerques. 7 1arragona. Sr. D. Carlos de Martí. Sr. D. Santiago Alonso Cordero. Sr. D. Baltasar de Toda. Sr. D. José Almirall. Sr. Sr, D. Joaquin Borras. Sr. D. José G ispert, Secretario 5.° Lérida. Sr. D. Antonio Satorras. Sr. D. Pablo Gali. Sr. D. Juan Anguera. Sr. D. Pedro Moret. Sr.…</t>
  </si>
  <si>
    <t>Ilig, José</t>
  </si>
  <si>
    <t>José Ilig</t>
  </si>
  <si>
    <t>…ón Soriano y Pelayo, individuo de la misma junta ; Don guo hubiera profesado aquel pri ic’pio , no acatáramos hoy su conoce la historia. Por eso será mayor su gloria si ha conse­ José Cano Sainz, del comercio de esta corte, y D. José Ilig i- civilizadas: nombre con tanto respeto , ni cual nosotros todas las naciones guido el acierto. (C. JV.) nio Arche , contador general de ia caja nacional de Am ortiza­ si hubiere aceptado y desenvuelto máxima tan t r i­ ción , vocal secretario ; y colocada en el estrado preparado al via…</t>
  </si>
  <si>
    <t>Iligi-, José</t>
  </si>
  <si>
    <t>José Iligi-</t>
  </si>
  <si>
    <t>…on individuo de la junta de enageuacion de bienes nacionales; y Id. á libranzas de la dirección general de el resto de la brigada siguió adelante á llevar á cabo su objeto, D . José Cano Sainz, del comercio de esta corte, y D. José Iligi- rentas..................................................... nio A rc h e , contador general de la caja nacional de Amortiza­ 5 - 8 4 6 ,6 2 1 .- 2 9 colocaudo sobre su flanco izquierdo la artillería de montaña pro­ Robos ejecutados........................... » » n tegida por el batalló…</t>
  </si>
  <si>
    <t>Ilo, Antonio</t>
  </si>
  <si>
    <t>Antonio Ilo</t>
  </si>
  <si>
    <t>…e sobre el estado ña Isabel i i , he tenido por conveniente admitir en Urda la tercera y primera columna en persecución de los re­ de estos establecimientos en Francia en 1857, redactada por M r. su Real nombre la dimisión que D. Antonio Ilo m - beldes que, como queda expuesto, habian logrado reunirse, ios M artin du Nord , Ministro de Trabajos públicos , A gricultu­ panera de Cos ha hecho del cargo de Secretario de encoutró y atacó en el sitio llamado de la Umbría , y después ra y Comercio, prueba evidentemente los grandes…</t>
  </si>
  <si>
    <t>Iloca, José</t>
  </si>
  <si>
    <t>José Iloca</t>
  </si>
  <si>
    <t>…................................... 88 sorteo salió el nú i d . 5 , esto es, D. Piamon Avellana , y quedó os que se hallen en las poblaciones inmediatas # bien sean fijas De 25 á 5 0 ...................... 6i para el último D. José Iloca. por temporadas ó transeúntes. De 50 á 5 5 . .......................................................................................... 87 Estos alumnos, lo mistno que los antecedentes, después de Art. 4*° Igual parte darán las poblaciones á cu y a vista pa­ ja una facción, aun cuando…</t>
  </si>
  <si>
    <t>Ilom, D. Antonio</t>
  </si>
  <si>
    <t>D. Antonio Ilom</t>
  </si>
  <si>
    <t>…rmín Muro. Sr. D. Juaa Alfonso Montoya. Sr. D. Alejandro Mon. Alava . Sr. D. Pedro José Pidal. Sr. D. Blas López. Gerona. Valencia. Albacete • Sr. D. José Antonio Pastell, electo. Sr. D. Juan Cano Manuel. Sr. D. Juan Pou. Sr. D. Antonio Ilom panera de Cos. Sr. D. Ramón Pretel de Cozar. Sr. D. Pedro Camps y Ros , electo. Sr. D. Román Ovejero. Sr. D. Diego Montoya. Sr. Sr. D. Bartolomé Amor , electo. Sr. D. Francisco Javier Rodríguez de Vera* Granada. Pontevedra. Alicante • Sr. D. Miguel de Roda. Sr. D. José Guillen.…</t>
  </si>
  <si>
    <t>Ilonrubia, Antonio Pablo</t>
  </si>
  <si>
    <t>Antonio Pablo Ilonrubia</t>
  </si>
  <si>
    <t>…dad f estando en la Coruña á 15 de Julio B IB L IO G R A F IA . to, es de dictámen se tenga presente en tiempo oportuno. de 1859.n:Pedro Andrés M ourin. |O U E N T A y razón de los presupuestos de la nación española Nútn. 16. D. Antonio Pablo Ilonrubia , en exposición d i­ ^ con datos positivos sobre el estado actual de la hacienda rigida al Congreso en 6 del actual alega los servicios que ha pública por P. G. L. V autro, autor de los elementos de Ideo­ contraído en clase de cadete, los que recientemente ha prestado ERRATAS…</t>
  </si>
  <si>
    <t>Ilorn-</t>
  </si>
  <si>
    <t>…, no tiene inconveniente de lo que proponemos. Se ha olvidado de que todo es parte de rnision. en adm itirla. .ejecución, y siendo asi los alcaldes la tuvieron siempre. A d e­ Se leyó el dictamen de actas sobre adm isión del Sr. Ilorn- E l S rv M in istro de la G O B E R N A C IO N : Solo, se conforma mas lo qué quiere la comisión, lo que no puede menos de que­ pañera. €l Gobierno en que ésaconcesión sea únicamente para objetos, rer el Congreso, y lo que exige la razón y el buen juicio, es que El Sr. P R E S ID E N T E se…</t>
  </si>
  <si>
    <t>Iloudetot</t>
  </si>
  <si>
    <t>res y el voto nsríonal. En cuanto al c.ir.did.'to propuesto por Cerca de la barra se ven algunas señoras; entre ellas se halla *‘ sa perteneciente á su hermano el conde de Iloudetot, Par de los dos honorables individuos, segúrame uto merece todos los la muger del nuevo presidente Mr. Shaw Lefevre. Habieudo Fra ncia. elogios que se le han tributado. [Aplausos.) Pero debo declamar aparecido este en la barra , dice Este debate ha quedado diferido hasta pasado mañana sá­…</t>
  </si>
  <si>
    <t>Iludgson</t>
  </si>
  <si>
    <t>…ino por egoísmo y por su am bi­ de 24 de Enero último acerca de los violadores del territorio. Europa porque contabais con el apoyo-de la Francia. Hoy solo ción. Quieren obligar al Gobierno á aum entar sus fuerzas de» El general Iludgson dió sus órdenes con la mayor prontitud, contais con el apoyo del partido lib eral, que pronto degenera­ tierra y m ar, porque saben m uy bien que los hijos de familias ; y las tropas deben reunirse en Bangor para estar prontas á po- ría en un espíritu belicoso ejercido á costa nuestra. No…</t>
  </si>
  <si>
    <t>Ilumina, D. Eusebio Morenas de Tejada.</t>
  </si>
  <si>
    <t>D. Eusebio Morenas de Tejada. Ilumina</t>
  </si>
  <si>
    <t>…se entra á la ha­ Para lograrlo dispuso el Sr. contador todo lo conveniente á la Contador.=Sr. D. Manuel Ruiz de la Prada. bitación de dicho profesor. asignación de las cuotas respectivas y extensión de los recibos Tesorero.=Sr. D. Eusebio Morenas de Tejada. Ilumina todo género de estampas , á la española y france­ ó cartas de pago; y habiéndose procedido á la cobranza, tiene Secretario.=Sr. D. Luis Vidal. sa; copia y adorna eseudos de armas y árboles genealógicos que el gusto la dirección de manifestar que se verificó comp…</t>
  </si>
  <si>
    <t>Imana, Yentura</t>
  </si>
  <si>
    <t>Yentura Imana</t>
  </si>
  <si>
    <t>…S. M. A la verdad todavía falta riente en los autos dé concurso de acreedores á bienes del d i­ apresurarían á salir á su encuentro , mas nada de esto ha su­ mucho que hacer en beneficio del comercio , la industria v la funto D. Yentura Imana , he formado el edicto cuyo tenor es cedido. Las medidas de fiscalización del Egipto han perjudica­ adrainistraccion; pero los resultados que hasta el dia se han el siguiente: do mucho á los comerciantes de aquellos paises , y asi no es de obtenido dan esperanza de que el sistema de re…</t>
  </si>
  <si>
    <t>Imbrechts, José Diez</t>
  </si>
  <si>
    <t>José Diez Imbrechts</t>
  </si>
  <si>
    <t>…do síndico. —Prudencio de O tt o , secretario.—Por la Milicia, la comisión de Actas. ción que el cuerpo provincial dirige por mi conducto con mo­ Mariano Español, primer comandante.r:Por la clase de capita­ 5.° De un oficio de D. José Diez Imbrechts acompañando tivo de ios prósperos sucesos que tuvieron lugar en los campos nes, Francisco Gibanel.zrPor la clase de tenientes, Bruno Frei- mil ejemplares impresos de un folleto que ha publicado en P al­ de Vergara, y que han dado la paz apetecida por los españo­ xa.nPor la desarg…</t>
  </si>
  <si>
    <t>Importa</t>
  </si>
  <si>
    <t>RESUMEN GENERAL. miento. Dios guarde á V. S. muchos años. Madrid 17 de Agosto de 1839. = Ximenez. = Sr. director general de Importa lo ingresado en todo el mes de Abril con inclusión aduanas. de la existencia que resultó en el anterior..................................... 5818786.. 10 Id. lo satisfecho en el mismo mes.......................................................... 5158527.. 10 Existencia para i.° de M ayo..…</t>
  </si>
  <si>
    <t>Imposi, Oírlos y la Reina de España.</t>
  </si>
  <si>
    <t>Oírlos y la Reina de España. Imposi</t>
  </si>
  <si>
    <t>…rte en una ocasión geras se lisonjean con el pensamiento de una alianza matrimo­ escuadra otomana: dicho buque llevaba á bordo á uu K yaya corno esta toda y cualquier estricta observancia de las formas y nial entre el hijo de D. Oírlos y la Reina de España. Imposi­ del M usticher del arsenal. los privilegios legales ó m ilitares. ble es la ejecución de tal proyecto, porque jamas ratificará la Estas son las últim as noticias. lié aqui las que son menos Hago esta petición simultánea mente con la urgencia que naciou española…</t>
  </si>
  <si>
    <t>IN, IC</t>
  </si>
  <si>
    <t>IC IN</t>
  </si>
  <si>
    <t>…que sucesivam ente d e b e rá n extenderse y tejos de que en otro lugar hablamos. (Id.) estrecharse con las nuevas R epúblicas am ericanas, necesi­ DICCIONARIO ta forzosamente en sus intereses industriales y m ercanti­ D E M E D IC IN A Y D E C IR U G IA P R A C T IC A . les de la protección de la m arina, fbto en cuanto al in ­ Los naturales y propietarios de las provincias Vascongadas terés económ ico; pues seria una v u lg arid ad , como cosa residentes eu M adrid se hao reunido coa objeto de celebrar los Entrega 1.a del…</t>
  </si>
  <si>
    <t>…erse como incapaz de resistir tanta violencia; el blemente la velocidad de la corriente, de modo que DICCIONARIO Movimiento trémulo de las rocas se siente en los pies; el agua proyecta violentamente sobre una roca per­ D E M E D IC IN A Y D E C IR U JIA PR A C TICA . el ruido esparcido en todo el horizonte se oye dis­ pendicular, de 90 á 100 varas de alto, en forma de tintamente, y el estruendo producido por el golpe una sábana igualmente extendida , y de una blancu­ Entrega 18 del tomo segundo. de las aguas en aquel abismo…</t>
  </si>
  <si>
    <t>…RIO ongas : Palma , Gelabert: Reus , Angelón : Santander , Otero: decoración y trajes. Salamanca , Moran : Santiago , Rey-R om ero: Sevilla, editor coración. 5. ^ Las Rosas , sexta tanda de walses de Strauss, con de­ D E M E D IC IN A Y D E CIRU G IA PRACTICAS. del Sevillano: T arrag o n a, G rannell: Toledo , Hernández: V a- 6. El acto tercero de la opera I Capuleti ed i Montechi , ENQUINCEVOLUMENES. lencia, editor del Diario mercantil: Valladolid , Pastor: Valls. del rtaestro Bellini; por las Sras. Villó, Lombía y c…</t>
  </si>
  <si>
    <t>Indo, Manuel Angel</t>
  </si>
  <si>
    <t>Manuel Angel Indo</t>
  </si>
  <si>
    <t>…ente al parecer la salud de los presos, no sucede tes: D. Tadeo Sánchez Escandon , D. Francisco Iruegas, Don REALES DECRETOS, Jo mismo con respecto al juicio (1). Y no se diga que en los Es­ Pedro Cengotita, D. Luis Barrios, D. Manuel Angel Indo, tados-Unidos los dementes se hallan en las prisiones bajo la de­ D. Francisco del Herrero , D. Fernando de Palacios, D. Ma­ O RD EN ES Y REGLAM ENTOS D E L GOBIERNO nominación de criminales, cuya aserción es tan inexacta , cuan­ nuel Castresana y D. Francisco González M ontes, r…</t>
  </si>
  <si>
    <t>Indostan</t>
  </si>
  <si>
    <t>…Noviembre en Feroze- la ciudad de Fuerte-Real está medio destruida: el hospital de pore, entre Runjeet-S ingh, Rey de L a h o r , y lord Auckland, dicha ciudad se ha desplomado, y muchos enfermos han pe­ gobernador general del Indostan. R E IN O D E H A N N O V E R . recido debajo de los escombros: la casa M o u th e t, que era un Esta mañana se verificó la primera entrevista entre lord A u ­ H annóver 14 de Febrero. establecimiento público donde se reunia la clase acomodada de ckland y el Marajah Runjeet-Singh , quien…</t>
  </si>
  <si>
    <t>…eina anuncia formalmente que las medidas noGhe á las siete. fue de corta duración. tomadas para cumplir las obligaciones contraídas por el gober­ Dueños de San J u a n de U lúa los franceses, lo eran t«arnbien nador general del Indostan continúan en todo su vigor. Pero por este mismo hecho de Y eracruz, y no t a r d a r o n en a p o d e r a r ­ esta política parece que será atacada por la oposición tory. A suntos d e B élg ica y H olanda . se de nuevo de la plaza. Se dice que el general Santana ha per­ Dos de sus gefes…</t>
  </si>
  <si>
    <t>Inex, Morella.</t>
  </si>
  <si>
    <t>Morella. Inex</t>
  </si>
  <si>
    <t>…a. 1 6 , he llegado felizmente á estos reinos, y el 6 del ac ­ cias que se habían tornado, y que de lejos tal vez no podían este y Maroto están igualmente excluidos de la confianza de tual me he reunido en M artin con el conde de Morella. Inex­ apreciarse debidamente. aquel. plicable ha sido mi júbilo al ver por mí mismo los excelentes L a conservación de esta confianza es la que considera el El sobre co m ú n , bajo el que ambas cartas iban dirigidas sentimientos de e&gt;te instrumento visible de la Providencia , su ayuntam…</t>
  </si>
  <si>
    <t>Infam</t>
  </si>
  <si>
    <t>…e igual cla- ; se comandante general de la caballería D. Ricardo Scheüy , les a participar esta circunstancia á V. E . , a fio que se sirva j manifesté mis intenciones , el orden que debían seguir con las dora y la Serma* Sra. Infam a Doña María Luisa F e rn a n ­ mandar se publique para noticia del com ercio.” i respectivas fuerzas de su mando, y los puntos por donde debían, De Real orden comunicada por el Sr. ministro de Ha­ i dirigirse, te rm in a d a s mis instrucciones ordené ía ejecución ge­ d a , continúan en est…</t>
  </si>
  <si>
    <t>Infan</t>
  </si>
  <si>
    <t>…adores por cuenta de los 591,860 rs. que les correspondieron..................................................................................... 160 S. M. la R e in a , su augusta Madre la R eina G obernadora y la Serm a. Sra. Infan­ Porpori id. billete del sorteo de 19 del mismo se les han satisfecho de 639,940 rs. id. id. ........................................................ 40 ta D oña María Luisa F ernanda, continúan en esta corte sin novedad en su im portante Por 2 pagarés de la extracción de 5 de Noviembre se le…</t>
  </si>
  <si>
    <t>…dores por cuenta de los 639,940 rs. que les correspon dieron ..,.. ...................... ............... ................................. 40 , S. M. la R e i n a .., su augusta Madre la R e i n a G obernadora y la Serma. Sra. Infan­ Por 1 pagaré de la extracción de 15 de Abril de 1839 se les han ta Doña María Líuisa Fernanda, continúan en esta corte sin novedad en su importante satisfecho por id. de 165,412 rs. id. id................................... 584 s a liiíT '' Por £ billete del sorteo de 10 de Junio se les h…</t>
  </si>
  <si>
    <t>…o s . ________ PARTE OFICIAL.______________ Ganancias á los ju gadores. Por i billete del sorteo de I 4 de Mayo de 1838 se han satis- S M. la R e i n a . , s u augusta Madre la R e i n a G o b e r n a d o r a y la Serma. Sra. Infan­ techo a los jugadores por cuenta de los 6 4 7 ,6 0 0 rs. que lea correspondieron ta Doña María Luisa Fernanda, continúan en esta corte sin novedad en su importante 12 0 \ Por i billete del sorteo de 15 de Noviembre id. de 6 8 7 .8 4 0 rs. salud. id. id ........................ 100 Por X…</t>
  </si>
  <si>
    <t>…los de provincia sobre 610,090 rs. que importan las ventas hechas para el sorteo de 11 del mismo... ..................... .. 18505.. 27 S. M. la R e i n a , s u augusta Madre la R e i n a G o b e r n a d o r a y la Serraa. Sra. Infan­ Por id. á los de esta corte sobre 257,440 rs. i d . ............................ 3577..18 Por id. á los dé provincia sobre 674,220 rs. que importan las ta Doña María Luisa Fernanda, continúan en esta corte sin novedad en su importante ventas hechas para el sorteo de 27 de id................…</t>
  </si>
  <si>
    <t>Infantado</t>
  </si>
  <si>
    <t>…de la esperanza de un be­ del condado del Real de M anzanares, perteneceu al Excmo. se­ Militares y marinos. ................. 5722 5961568..55 692..35 neficio obtenido por medio de la suerte fundado en los azares ñor duque del Infantado, bajo las condiciones qne se manifes­ Profesiones diversas................ .. 26446 17595715..62 657..86 de la supervivencia lo que conduce á las cajas de ahorros las tarán en su contaduría , advirtiéndose que hasta fin del presen­ Mineros. 25068 5768598.. 17 250.. 6 economías de los dia…</t>
  </si>
  <si>
    <t>…s ganancias en las mismas administraciones donde hu­ Certificaciones. Números. Cantidades. del condado del Real de Manzanares perteneceu al Excmo. se­ biesen sido expendidos los billetes con la puntualidad que tiene ñor duque del Infantado, bajo las condiciones qne se manifes­ i ................. ... . 97 ,9 6 6 .. 18,890.. 4 tarán en su contaduría , advirtiéndose que hasta fin del presen­ acreditado este establecimiento nacional. l 9 1 ,967.. 21,13 6.. 15 te mes de Abril se admitirán en ella las proposiciones que se 1....…</t>
  </si>
  <si>
    <t>INFANTE</t>
  </si>
  <si>
    <t>…este proyecto debió de vista que eí desechar esta ley es sancionar lo existente, que votos contra 58. haber procedido del mismo , y que ya que él habia puesto esos vamos á hacer continúen en una nación, sobre la cual pesan El Sr. I N F A N T E : Habiéndose servido el Congreso a p r o ­ estados, le correspondía limitar sus facultades, y el Gobierno grandes abusos, unas leyes excepcionales, mil veces peores que bar el art. í.°, la comisión, consecuente con lo manifestado por presentó un proyecto bastante semejante al presentad…</t>
  </si>
  <si>
    <t>Infante, D. Antonio Puicerciís. Sr. D. Facundo</t>
  </si>
  <si>
    <t>D. Antonio Puicerciís. Sr. D. Facundo Infante</t>
  </si>
  <si>
    <t>…ajoz• Sr. D. Joaquin Garrido. Huesca. Sr. D. José Balsera. Sr. D. Marcos Marin. Sr. D. Miguel Cosío. Sr. D. Francisco de Lujan. Sr. D. José Queraltó. Sr. D. Francisco Bartolomé y Colorao. Sr. D. Juan José García Carrasco. Sr. D. Antonio Puicerciís. Sr. D. Facundo Infante. Sr. D. José Perez de Rivas. Sevilla. Sr. D. Manuel Perez Hernández. Sr. D. Alejandro Olivan. Sr. D. Francisco Olavarrieta. Sr. Jaén. Sr. D. Rarnon María Narvaez. Baleares {islas). Sr. D. Joaquin Francisco Pacheco. Sr. D. Bartolomé Marin y Tauste. S…</t>
  </si>
  <si>
    <t>Infante, D. Facundo</t>
  </si>
  <si>
    <t>D. Facundo Infante</t>
  </si>
  <si>
    <t>…ie.i á la punto. acta anterior. presentación de cuentos, opina lg comisión que el Senado podrá Se dio cuenta y el Congreso quedó enterado de una comu­ Se leyó el dictamen de la misma comisión sobre otra del se­ nicación del Sr. D. Facundo Infante, exponiendo que se pre­ aprobarlas en los términos siguientes : ñor Medrano , relativa á que en dicho discurso se haga men­ Después de las palabras "examen de ¡os presupuestos,” se ción de la necesidad de reformar la ley electoral, cuya adición sentaría en él tan luego como el G…</t>
  </si>
  <si>
    <t>Infante, Facundo</t>
  </si>
  <si>
    <t>Facundo Infante</t>
  </si>
  <si>
    <t>…noticias, se hallaba ayer eu Alpuente , Titaguas y dos redro Chacón. Los Diputados de la izquierda se haa reunido esta noche compañías en Chelva. Por esta y sus inmediaciones no ocurre en casa de Mr. Odilon Barrot. novedad. Don Facundo Infante, brigadier de infantería, 2.° cabo Los del centro izquierdo celebrarán su reunión mañana de la capitanía general de Valencia y Murcia &amp;c. por la noche en casa de Mr. Ganneron. {Id.) Considerando que han cesado las poderosas razones que Idem 5. obligaron á mi antecesor á declarar es…</t>
  </si>
  <si>
    <t>…con pérdida. La que pasó el Tajo hacia Fuentidueña', de 50 á 49 caballos Casi todas las fábulas versaban sobre intrigas amorosas* A las doce de la mañana ha salido con dirección á aquella plaza el Sr. brigadier segundo cabo D. Facundo Infante. {Id.) al mando de los M ajarros, perseguida por 24 del escuadrón li­ p ap eles, versos, citas, disfraces, celos, desafios eran la» gero de Madrid al mando del teniente D. Acisclo García y principales ocupaciones de los B rutos, Sostenes y Escévo- nueve Nacionales de Ocaña yóNobíej…</t>
  </si>
  <si>
    <t>…inaria. Acta que da al p r esid e n te d e los Estados Unidos f a c u l t a ­ d e s ad icion ales pa ra la d e fe n s a d e Los E stados Unidos Las galerías estaban llenas y en la parte inferior de la barra es­ El brigadier D. Facundo Infante , segundo cabo de V ale n ­ en cier to s ca so s co n tra la invasión y p a r a otros f n e s . taban apiñados una gran porción de Representantes de la Cá­ cia , con fecha 18 del actual da parte de que habiendo tenido mara de los Comunes. aviso á las nueve de la noche anterior que…</t>
  </si>
  <si>
    <t>Infantes, Chlapows-</t>
  </si>
  <si>
    <t>Chlapows- Infantes</t>
  </si>
  <si>
    <t>…o otro joven renovó el ultraje en los mismos tér­ Alcázar............................................. Oscuro. sión de lo bello y de lo sublime en cualquier arte es obra exclu­ m in o s, y se formó un grupo al rededor del general Chlapows- Infantes................... ....................... Blanco. siva del genio y de la inspiración: en una palabra, que la be­ ki. Este, viéndose amenazado, tiró de su sable para defender­ Almodovar...................................... Oscuro. lleza no está sometida á reglas, y que no h ay ci…</t>
  </si>
  <si>
    <t>Infantes, Pedro Mocret y D. Piarnon</t>
  </si>
  <si>
    <t>Pedro Mocret y D. Piarnon Infantes</t>
  </si>
  <si>
    <t>…tidos en el dia de ayer plidamente. La serenidad y arrojo de los comandantes de los Provincial de Burgos. = El teniente D. Andrés Martínez, por hombres enemigos del sosiego público , y otros avezados á batallones de la Reina D. Pedro Mocret y D. Piarnon Infantes, herido. crímenes y horrores, han puesto en grave Compromiso la tran­ asi como la del capitán gefe accidental del provincial de Sa­ El subteniente D. Alberto Robati, muerto. quilidad de la capital: su frenesí llegó al extremo de asesinar lamanca D. Francisco Pine…</t>
  </si>
  <si>
    <t>Inglaterra</t>
  </si>
  <si>
    <t>…M.zzJosé March y Labores. = José Perez C erdá.—José M en- iris de paz, y á sus valientes guerreros! lizabal.^Marcelino Erans.—Juan Alonso.—Leandro Egea. Semejantes sucesos han trasformado en júbilo las penas El cónsul general de Inglaterra ha remitido al virey de que el espíritu público marcaba como interminables, y las me­ Egipto una carta firmada de Herschele, por la cual la sociedad jillas del ilustre guerrero que antes desfiguraba la sangre y el de Londres invita á este último á erigir un observatorio en su Señora : E…</t>
  </si>
  <si>
    <t>…, reservándose la facultad de Mr. Baradere, cónsul de Francia en Montevideo, ha d iri­ servir la plaza que le ha correspondido por hallarle ya prolongarlo. Estoy construyendo actualmente soberbios stea - gido al cónsul general de Inglaterra, rendente en la misma ciu­ en el depósito de los presentados de aquella procedencia. mers que en nada cederán á los que se han hecho en este pais. dad , una nota, en la cual le previene que el bloqueo de la R e­ pública argentina no se concreta tan solamente á los puertos si­ Lo hice ta…</t>
  </si>
  <si>
    <t>…Caotorbery, puerto. Los súbditos griegos residentes en esta plaza han d i­ nue.tras armas han erapt z do fehz neate á dársela, y hay fun­ ha sido interrogado por los magistrados de Newport , y se le rigido al cónsul general de Inglaterra una carta de felicitación ha intimado la orden de presentar una fianza personal de 200 dada; esperar z s de que en breve lo completen. V. M. veia que por la conducta que ha observado con respecto al asunto del libras esterlinas, y otras dos fianzas de 100 libras cada una. M r. el ( &gt;ong…</t>
  </si>
  <si>
    <t>…da á si mismo la enhorabuena de haber sabido d i­ parte de extranjeros han si-Jo forzidos á to m ar las armas. sim ular ía pena que lo devoraba. presidente de) consejo , y eo e! que lord Palmerston se queja El cónsul general de Inglaterra ha hecho saber á sus com­ amargamente de la inconstancia de las resoluciones que el Oa~ Este epi s o di o, por mas desaciertos que haya cometido Tirso patriotas que por su parte baria la m a y o r resistencia á que se bircte del 12 de Mayo h?&gt; most r ado cor» motivo de Jos asuetos en la…</t>
  </si>
  <si>
    <t>Inocen</t>
  </si>
  <si>
    <t>…n la fórmü'a de absuelto, el impreso titu la­ terra, en virtud de un tratado concluido con A u stria , propor­ judiciales á los contribuyentes y al comercio para dism inuir­ d o : «Contestación al papel que acaba de dar á lnz D. Inocen­ cionarse una favorable entrada en puertos turcos? Todos los los ó a bol i ríos. Al mismo tiempo no olvidaremos el precepto de cio M aría Riesco Legrand , elogiando la virginidad de las puertos del Danubio pertenecen á Turquía , y es singular que la historia , de que el porvenir trae consig…</t>
  </si>
  <si>
    <t>Inocencio</t>
  </si>
  <si>
    <t>…n dro López, in d iv id u o s de la d i p u t a ­ responsable del folleto titulado Contestación al papel que a ca­ su Real agrado. ción p r o v in c ia l; D . J u a n Q u in t a n a , por indisposición del se­ ba de dar á luz D. Inocencio M a r ía Piiesco L e g r a n d , e lo g ia n ­ Madrid 1.° de Febrero de 1839.=Señora.c=A L. R. P, ñor presidente de la ju n ta de L iq u id ació n de la deuda del E s­ do la v ir g in id a d de las m o n j a s ; ” en la que reunidos los seño­ de V. M .^Pio Pila. t a d o ; D . J u a n G u…</t>
  </si>
  <si>
    <t>…, maestro director de la es­ enlazada con todos los acontecimientos políticos y religiosos del les parará el perjuicio que haya lugar. cuela sevillana , cuyas lecciones han ¡adiestrado á su discípulo últim o medio siglo &gt;por D. Inocencio M aría Riesco Le-G rand, el actual primer espada Montes. En ella se defiende á nuestra El editor.=En una época tan fecunda en acontecimientos patria de las injustas acusaciones de los escritores extrangeros como la nuestra, es importantísimo rep asarla serie dehechosea TfN virtud de pr…</t>
  </si>
  <si>
    <t>Instrucción</t>
  </si>
  <si>
    <t>…ncida en el año anterior de 1838, y negociarlo en la Agosto de 183i se nombró una comisión para que forma­ para el buen desempeño de sus obligaciones. plaza lo mas pronto y del modo mas ventajoso que fuere se un plan general de Instrucción primaria, debiéndose Con este motivo se expidió la circular de 30 de Se­ posible; siendo la voluntad de S. M. que de lo que produz­ ocupar con preferencia, com o el objeto mas interesante y tiembre de 1838, mandando: ca esta negociación se entregasen los 205 rs.; en la inteli­ urgente…</t>
  </si>
  <si>
    <t>…sangre por ia causa da razón , con la extraordinaria sagacidad , con la hábil elocuencia nífica : el monumento ha costado 150 francos; los 60 los ha la R.eina, hallando á los 24 años junto á las murallas de Bilbao del Ministro de Instrucción pública. dado el gran duque, y el resto se ha reunido con varias sus­ una muerte gloriosa y brillante que inspiró una composición Circulan rumores de que Mr. Schneyder se propone dejar el cripciones. El 5 de Octubre ha llegado el gran duque de Flo­ muy linda á uuo de nuestros poetas, al…</t>
  </si>
  <si>
    <t>…me mande igual Interior. Después de esta visita á Mr. Duchatel ha hecho otra Sobre el segundo punto de defensa dice: que los sucesos de cantidad de raciones de vino y aguardiente&gt; pues son cosas que las á su colega el ministro de Instrucción pública. El secretario de 18i5 solo opusieron un obstáculo á la ejecución del tratado, circunstancias de la guerra lo exigen. El sobre estaba concebido S. A. R. ha tenido una larga conferencia con el secretario ge­ que había sido completa durante todo el año de 1S 145 y q ue en estos tér…</t>
  </si>
  <si>
    <t>…está asegurada y g a ­ m irante D up erré, de M a r i n a , llevan sus respectivos unifor­ El azúcar exportado en 1817 solamente por los dos puertos rantida su conservación, mas aun que por el statu quo de los mes. El ministro de Instrucción pública Villem ain lleva el u n i­ d é l a Habana y M atanzas, fue en cantidad de 2 3 1 ,0 0 9 cajas, tratados, por los celos de las demas naciones. La preponderan­ forme de Par de Francia. y el café en 741,351 arrobas. cia que daría la adquisición de Cuba y Puerto-Rico á una Po­ P r e…</t>
  </si>
  <si>
    <t>…Idem. A propuesta del com ité de artes y monumentos ha nombra­ C á d iz , i id. Z a ra g o z a , par. Quincena............................................................................................. Idem. do el Ministro de Instrucción pública in d ividuo s corresponsa­ Decinovena........................................................................................ Idem. Descuento de letras , á 6 por 100 al año. Lleno de 2 por punto............................................................. Idem. les de aquel en E…</t>
  </si>
  <si>
    <t>…ierno entre las personas de conocido arraig o , filantropía, probidad é inteligencia. Esta A y e r ha habido una gran comida universitaria en casa del jun ta se compone de tres directores, un contador, un tesorero, Ministro de Instrucción pública. En ella se veian los discípu­ El M on itor reasume en estos términos las noticias de Oriente: un secretario y 12 vocales, cuyos cargos son enteramente g ra­ los que han obtenido los principales premios y premios dobles Vencedor Ibrahim de las tropas turcas, se ha detenido en tu…</t>
  </si>
  <si>
    <t>Instrucción, Rafael</t>
  </si>
  <si>
    <t>Rafael Instrucción</t>
  </si>
  <si>
    <t>…parnos de este trabajo que no nos toca calificar. Bas­ sé Casfejon, D. Miguel Márquez y Villegas, D. Lorenzo M a- ta el nombre del célebre filósofo Mr. Bouvier, de cuyas obras raci, D. Andrés M a rti, D. Ju a n Garay y Casal, D. Rafael Instrucción sobre el método de curar á los asfíticos por el hemos traducido y tomado una gran parte de la que tratamos de Cañaveral , D. Francisco Javier Sánchez, y D. Ju a n José Gil, mefitismo, los ahogados &amp;c. con observaciones sobre las causas publicar para dar una idea favorable de ella…</t>
  </si>
  <si>
    <t>Interior</t>
  </si>
  <si>
    <t>…para que detenga dora y la Serm a. Sra. Infanta D oña María Luisa F ern an ­ Queda aprobado el extracto de la sesión anterior. la marcha del ejército imperial, y se ha dado contraorden á la Los Sres. guarda-sellos, ministro del Interior , de ia G uer­ d a, contin úan en esta corte sin novedad en su im portante ra , el de Obras públicas y el de la Marina en grande unifor­ escuadra otomana pronta á salir de los Dardanelos. La condecoración que el Sultán os concede y el firman de salud. me ocupan sus asientos. que irá compañ…</t>
  </si>
  <si>
    <t>…os podrán tam bién indudablem ente abo­ m aica. su aplicación y aprovecham iento. lir la libertad de im prenta. Q uiero creer que no llegará este ca­ A la salid a del correo todavía co ntinuaba el orador en el El Secretario del Interior os devolverá el proyecto de código so; pero cuando un poder tiene en su mano el de abusar de su uso de la palabra. de instrucción p ú b lic a , con mis observaciones, que espero to­ fu e rz a , siempre debe temerse {Aplausos) ¡ sobre todo cuando L a C ám ara de los Lores se ha citado p ara…</t>
  </si>
  <si>
    <t>…a del silencio , regla que rao se observa ni aun en Ginebra, difunto, aunque no haya subido al troco hasta el 15 de Mar­ 5.° El establecimiento de las comisiones arbitrales, destina­ como lo pruebo eí» mi informe al Ministro del Interior sobre la zo de 1 8 0 8 , ha ocupado realmente eí trouo 5 5 años, es decir, das á conciliar los procesos en su origen. disciplina de esta penitenciaría, á pesar de que allí la vigilan­ que su reinado ha sido uno de los mas largos, y al propio 4*° La total abolición del tormento que hasta e…</t>
  </si>
  <si>
    <t>…ores presos de la cárcel, y en es­ ofrecimiento. ¿N o parece esto concluyente? Ademas, en mi in ­ individuos, de los cuales 2 1 han sido nuevos pecial Jadin: ¡excelente piez?! Seguro estoy deque el capellán forme al Ministro del Interior sobre las cárceles de la Gran imponentes...................................................................... 42,185 de Poissy se asombra ría no poco al saber que Lacenaire se ha­ Bretaña he demostrado que la cárcel de Glasgow en Escocia, Se han devuelto á solicitud de 5 interesados 3,568…</t>
  </si>
  <si>
    <t>Intruccion</t>
  </si>
  <si>
    <t>…concepto de subversivo Se lee en la Gaceta de Presburgo: dan d a r, asi como los que dirijan los gefes políticos , in­ y sedicioso en primer grado, el articulo inserto en el periódico En virtud de una nueva orden del ministro de Intruccion tendentes de Rentas, jueces de primera instancia , ó cua­ titulado EL Guirigay udin. 24 del lunes 28 de Enero último, pública el conde de OuwaroíF, se ha creado un establecimiento lesquiera otras autoridades no militares, servirán en los que principia con las palabras De qué hablaremos…</t>
  </si>
  <si>
    <t>Inés</t>
  </si>
  <si>
    <t>…de H ita y Buitrago tro francés, hacia mas visible el defecto de la fábula: que con­ torneo al Delfín de Francia que le habia robado el honor. al Rey Don Ju an el prim ero, siste en que D. Pedro, perdidamente enamorado de Doña Inés, Gustaba mucho de tomar por asunto de sus comedias fá­ y entróse á morir lidiando. nada hace sin embargo para impedir la desgracia que la ame­ bulas, creídas del v u lgo , que él llama á boca llena su ces o s nazaba. Yelez por lo menos supone al príncipe desvelado con­ v e r d a d e r o s .…</t>
  </si>
  <si>
    <t>…ambos para el brillo y da patria, cuando este cáncer corroe su existencia, no de­ prosperidad de la literatura. No reconociendo nunca re­ ben perdonar los escritores públicos medio alguno de com­ Poco después la contesta asi Doña Inés; glas ni principios fijos, ora hemos aplaudido sinceramente batir al enemigo por todos los medios posibles. La enseña una obra escrita bajo el influjo de la moderna escuela, del partido contrario O tú delirando estás, ora hemos sido los panegiristas de cualquiera composición toso tribunal, men…</t>
  </si>
  <si>
    <t>Inés, José</t>
  </si>
  <si>
    <t>José Inés</t>
  </si>
  <si>
    <t>…iga la Real aprobación. acreedores se consideren con derecho á los bienes quedados por 1 t e , y del número del crimen de los juzgados de prim era 2.a EÍ precio que ha de servir de base para la subasta es de fallecimiento de D. José Inés, empleado que fue en la fábrica instancia de la misma. 56 rs. vn. q u in ta l, ya ofrecidos. de cigarros de esta capital, para que en el térm ino de 50 dias D oy f é : Que en el que está á cargo del Sr. D . Ju a n José 5.a Pagará el contratista sin dilación en la tesorería de R ea­ cont…</t>
  </si>
  <si>
    <t>INÍGO</t>
  </si>
  <si>
    <t>…s ha dicho uno bienestar y el aumento de que tan susceptible es el suelo fe­ de los individuos que no hay inconveniente. raz de nuestra. España , y de que les han privado desgracias P R E S ID E N C IA DEL SEÑOR CALATRAVA. El Sr. INÍGO: Hasta ahora no he oido mas que leer el ar­ q,ue darlas al olvido es el primer paso hácia aquellos bienes. Sesión del dia 4 de Octubre. tículo del reglamento, y en mi opinión no queda la menor du­ Los empleados del gobierno político de A v ila lo esperan da de que debe ser admitida la enmiend…</t>
  </si>
  <si>
    <t>IO, IC</t>
  </si>
  <si>
    <t>IC IO</t>
  </si>
  <si>
    <t>…y pueblos circunvecinos, á causa de no ser perseguida por nin­ Precios guna de nuestras columnas hace bastante tiempo. AU M EN TADAS en pasta. De resultas de la sorpresa que hizo el coronel V illalonga EN ESTA SEGU N D A E D IC IO N . el 24 de Febrero últim o á las facciones del Borges y cura de A POCALIPSI de S. J u a n , 8.° m ayor con 2 4 es- Viacam p han sufrido estas bajas de consideración de pocos dias ^ tampas finas y el retrato del V . G regorio López. 60 D os tomos en 8 .° Precios: en ra m a , á 2 0 rs. vn. el…</t>
  </si>
  <si>
    <t>…oy á la pobreza ofrece un ejemplo memorable de DE DON ALBERTO LISTA, I P U R IT A N I E D I C A B A L I E R I , las vicisitudes humanas. AUM EN TAD AS exornada con todo el aparato que exige su argumento. EN ESTA SEGU N D A E D IC IO N . £ ^ C T A V A D E L CO RPU S. Versión parafrástica castellana A ctores: Sras. V illó y Lom bía. Sres. R am os, C a lvet, R e - del oficio y misa de la festividad del Santísimo Sacra­ g u e r , Blasco y coristas. D os tomos en 8 .° Precios: en rama , á 20 rs. vn. e! ejem­ mento y su octav…</t>
  </si>
  <si>
    <t>…actos , im ­ presa con esmero, sin aumento en el precio de suscripción. AUMENTADAS Este será, para el total de la publicación que comprende ocho ó nueve números, un suplemento al menos , una lámina E N E STA S E G U N D A E D IC IO N . de esmerado trabajo, y un drama impreso al mes, en M adrid, de 8 rs. mensuales y 20 por trimestre: y en las provincias y el Dos tomos en 8.° Precios: en rama , á 20 rs. vn. el ejem­ extrangero de 28 por trimestre, franco de porte. plar: en rústica , á 2 2 : en pasta , ó á la holandesa ,…</t>
  </si>
  <si>
    <t>IO, PA TR</t>
  </si>
  <si>
    <t>PA TR IO</t>
  </si>
  <si>
    <t>…Mayo . cimiento D. Juan Nepomuceno Blasco. Los diez alumnos de la importante servicio. primera , principiantes hasta de menos de un mes, declinaron Los extrangeros que quieran incluir en Marsella su corres­ R E A L SO C IED A D PA TR IO T IC A . y conjugaron bastante bien, !y aun algunos mostraron conocer pondencia en el paquete que ha de formarse para Filipinas, lo las reglas de géueros, y que sabian formar oraciones llanas. La podrán hacer asi; y como no es fácil fijar el porte justo que SECCION D E E D U C A C IO N .…</t>
  </si>
  <si>
    <t>Iparraguirre, José María</t>
  </si>
  <si>
    <t>José María Iparraguirre</t>
  </si>
  <si>
    <t>…ión militar que solicitaba con res­ juzgado de primera instancia de término de M álaga, vacante dirigirse á Ñapóles; y no vendrá aqui sino á su vuelta. pecto al Limburgo en compensación de la parte cedida del por cesación de D. José María Iparraguirre , á D. Manuel «U na sociedad de franceses ha solicitado y obtenido del Luxemburgo, y conservando en cuanto á lo demas la sobera­ Alejo Izquierdo que sirve la judicatura de igual clase de Pa­ gobierno la autorización de fabricar un puente colgante sobre do nía de la Bélgica.…</t>
  </si>
  <si>
    <t>IPLOMATICODAD</t>
  </si>
  <si>
    <t>…y em p laza á las personas que se crean frente al a g u je r o del correo. con derecho á suceder en la posesión de dichos b ie n e s , para que en el térm ino de ocho meses que por segun do plazo les he seña­ B A N Q U E T E D I P L O M A T I C O D A D O P O R S. M . lado , en con form idad al decreto de las Cortes de 15 de M a y o de 1821 , se presenten por sí ó por medio de sus apoderados A v e r ttsvo l u g a r el que los papeles h ab ían a n u n c i a d o , y á d e d u c ir el que les asista , apercibid os de que pa…</t>
  </si>
  <si>
    <t>Ipola, Manuel</t>
  </si>
  <si>
    <t>Manuel Ipola</t>
  </si>
  <si>
    <t>…los puntos que debían ocupar, quedándose el comandante vo; el teniente graduado de capitán D. José Prieto ; el de igual ria aMuchos solo el nombre de Aquiies. Nalda con la primera columna y 54 caballos á las órdenes de clase D. Manuel Ipola ; el teniente de infantería ayudante del siglos, diversas creencias, revoluciones m uy su capitán D. Pedro Guerra Santoya. provincial de Ecija D. José M artínez, y los individuos de tro­ importantes ha experimentado la sociedad desde el siglo Que á poco rato de haberse separado las do…</t>
  </si>
  <si>
    <t>IPOMPEI</t>
  </si>
  <si>
    <t>…■ CRU Z. A las ocho y media de la noche. Se volverá á po­ la calcograjia de la Im prenta nacional. ner en escena la grande ópera del maestro P a c c in i, titu lad a EN MEDIO PLIEGO DE MARCA MAYOR. L ’ U L T IM O G IO R N O D I P O M P E I. Un Ecce Homo y una Dolorosa, por originales del T ic ia - ■ y IN D IC A C IO N del ilustre filósofo español Ju a n L uis V i- no* Precio antiguo cada una 6 rs., y moderno 4. ves, prim er reformador de la filosofía en la Europa mo­ derna. Por D . Ricardo González M u zq u iz, de la u…</t>
  </si>
  <si>
    <t>IPU</t>
  </si>
  <si>
    <t>…ES. greso 20 de Diciembre de i858.q:Argüelles.=Rey.=iSancho.=: se me diga que me valgo de estas razones, entraré en otras mas Armendaríz.=:01ózaga.=Bravo M urillo.=N. R ipoll, secretario. sólidas y fuertes, . C O N G RESO D E D IPU T A D O S . Aunque estamos conformes con el dictamen de nuestros La cuestión en que se funda el voto particular es esta : si el PRESIDENCIA DEL SEÑOR TSTURIZ. apreciábles compañeros de comisión, creemos indispensable que Diputado de qué áje trata no fue preso infraganti 9ha habido se añadan es…</t>
  </si>
  <si>
    <t>…la secretaría de mi pudiera tener la mas ligera sospecha de qúe otra puede ser la actual cargo á J 04 interesados con fecha 18 del mism o, fueron inteligencia de esta expresión, ruegb al Sr. Presidente que se; C O N GRESO D E D IPU T A D O S. repuestos varios magistrados que habían sido destituidos por sirva m and ar leer el art. 29 2 dé la C onstitución del año 1812,* otro Real decreto&lt;de 28 de Mayo de aquel año. Entre los re­ que corresponde á u n título que en el dia está en vigor conió 1 PRESIDENCIA DEL SEÑOR IST U R…</t>
  </si>
  <si>
    <t>…de Estado y del Despacho de la Guerra, GRA N BRETAÑA. CORTES. El comandante general de las provincias de Ciudad R.eal y Toledo en su parte periódico de novedades, fecha 50 del ante­ Lond res 2 2 de Agosto. C O N G R E SO D E D IPU T A D O S . r io r , dice que el alférez de cazadores á caballo de la Guardia Real D. Ramón Ricoy rechazó y dispersó á 50 facciosos de En las dos Cámaras del Parlamento los Ministros han de­ Sesión d el dia 5 de Setiem bre. Palillos que se le habian presentado en actitud hostil , causán­ jado so…</t>
  </si>
  <si>
    <t>…las ciencias y el CORTES. presentarla al art. 1.° ó 2.° del proyecto de la mayoría ó mi­ noría. Por tanto , señores, yo ruego al Congreso que se lea la com ercio, y á proporcionar á sus habitantes las riquezas, el CONGRESO D E D IPU T A D O S. enmienda y pase á la com isión, supuesto que nos ha dicho uno bienestar y el aumento de que tan susceptible es el suelo fe­ de los individuos que no hay inconveniente. raz de nuestra. España , y de que les han privado desgracias P R E S ID E N C IA DEL SEÑOR CALATRAVA. El Sr. INÍGO: H…</t>
  </si>
  <si>
    <t>…se aprue­ ben las actas de este últim o punto. á acrecer los placeres de esta noche verdaderamente fantástica. El Sr. PRESIDENTE anunció el orden del dia. Esta sucinta narración es lo único que puedo escribir á V V CONGRESO DE D IPU T A D O S Sin discusión fueron aprobados los dictámenes de la comi­ porque yo también quiero gozar de los públicos regocijos. * sión de Actas que á continuación se expresan: (D e nuestro corresponsal,) PRESIDENCIA DEL SEÑOR ZU M ALACAR RE G U I. 1.a Relativo á las elecciones de Cuenca , en las…</t>
  </si>
  <si>
    <t>…tán general de las Islas Bagares para que sean puestos en libertad CORTES. 1 b k ° S ^ r6S ^ 0nza^ez Alonso 9 Benavides y otros piden la p a - los hijos de aquel y la h.ja del general enemigo Segarra que se C O N G R E SO D E D IPU T A D O S . E1 Sr. C O R T A Z A R haciendo una breve historia de lo que mandaron arrestar por vía de represalia para obligarle á veri- paso en aquellas elecciones y en la constitución de ía mesa co­ ncar la devolución de dichos 12 niños PRESIDENCIA DEL SR. ZU MALACARREGUI. mo también de los h…</t>
  </si>
  <si>
    <t>…lo le había movido á Dice que esta cuestión se ha equivocado desde que usó de la tom ar la palabra el deseo de que se dejase expedita la acción del pab bra el Sr. Isla Fernandez, pues que lo que únicamente de- CO N G RESO D E D IPU T A D O S . G obierno, porque lo necesitaba. IL haber ocupado al Senado era la idea del m ensaje, mas 110 El Sr. FU EN TE S expuso que el artículo estaba en su lugar, hah rse e trometido en otros objetos que no son de la cuestión. PRESIDENCIA DEL SEÑOR ISTU R IZ. porque era preciso que se consi…</t>
  </si>
  <si>
    <t>…de a pro-* badas las actas electorales, podría decir que se suspendiese esta* discusión ; porque ¿de qué sirve el articulo 7.°* del reglamento ro Argiielles.z:Excmo. Sr. Secretario de Estado y, del Despacho C O N G R E SO D E D IPU T A D O S . si no ha de producir ningún.resultado ? ¿Q u é objeto se tuvo de la Guerra. PRESIDENCIA DEL SEÑOR ZUMALACARREGUI. al poner este artículo? El que el Congreso se constituyese cor* la mayor prontitud posible ; ¿ y cómo se ha de conseguir, esto Sesión del dia 9 de Setiembre si entrante…</t>
  </si>
  <si>
    <t>…suspensas aünque no se quedó compensado y observada la ley. ¿ Y no hizo bien en han presentado con graves dificultades, ni ha caído resolución? eso? Sí señores, porque el que está en un cargo público debe C O N G R E S O D E D IPU T A D O S . Y o , que no quisiera hacer nada mas que lo que me correspon­ contemporizar con la opinión; y si no hubiera procedido de PRESIDENCIA DEL SR. ZU MALACARREGUI. de , desearía saber la opiuion del Congreso sobre este punto ese modo , puede que se hubiera dicho que quería restringir el…</t>
  </si>
  <si>
    <t>…á PARTEá, S. S. que la casa supone que tiene derecho á reclamaciones que 7 CORTES. h a c e r , y que por consiguiente es un negocio contencioso que El Sr. gen eral en gefe de los ejércitos reunidos trascribe un CONGRESO DE D IPU T A D O S. debe ver.ee ante los tribunales que fallarán. Asi p ues, es m u y p a rte del v i r e y en cargos de N a v a r r a , fecha del 6 , en que m a ­ aventurado h ablar en este asunto. nifiesta que habiendo salido la noche del 2 del fuerte de S, Pe­ PRESIDENCIA DEL. SEÑOR ISTURIZ. El Sr,…</t>
  </si>
  <si>
    <t>…do con agrado, una do apoyarse en la resolución que sobre dichas actas ha adoptado exposición del ayuntamiento constitucional de Segorbe, en que el otro Cuerpo coiegislador; pero contestado por el Sr. Presi­ C O N G R E SO D E D IPU T A D O S . felicitaba por la memorable sesión del dia 7 del presente mes. dente que la prohibición que hacia el reglamento era con rela­ Se anunció haber ingresado el Sr. Elordi en la segunda ción á los discursos, para lo que se leyó el art. 89, recayó so­ PRESIDENCIA DEL SEÑOR CALATRAVA. se…</t>
  </si>
  <si>
    <t>IPUTAD</t>
  </si>
  <si>
    <t>CONGRESO DE D IPUTAD O S. i fam ilia son servicios de ínteres, y que están excitados también provincias Yascongadas y N avarra. El Congreso quedó en­ | por ei Ínteres mutuo? terado. PRESIDENCIA DEL SEÑOR C A L A T R A V A . I El Sr. Esteban ha presentado para el cultivo la dificultad Se acordó que se avisaría a…</t>
  </si>
  <si>
    <t>IPUTADOS</t>
  </si>
  <si>
    <t>…si se verifique que tuvieron parte en el la. Por todo lo que, ruego á los señores en todos los pueblos de sus respectivos distritos, á fin de que de la comisión que adopten el que esta exposición se quede en C O N G R E SO DE D I P U T A D O S . el Congreso para tiempo oportuno, para que si algún Dip utado nadie pueda alegar ignorancia en su contravención. Dado en el cuartel general de Segorbe á 1 8 de Enero de quiere hacer algun a acusación, pueda h acerla, y se le remita PRESIDENCIA DEL SEÑOR IST U R IZ . al Gobierno…</t>
  </si>
  <si>
    <t>…arlamentarias de otros; pero á la comisión le parece conveniente en que la admisión de actual participa al Gobierno que en consecuencia de la recla- macion qne hizo al general de las tropas francesas establecidas CONGRESO DE D I P U T A D O S . las proposiciones tienen de ser necesariamente en pliego cerrado, en O ran , se. hallan ya presos todos los sublevados de Alhuce­ P r e s id e n c ia d e l s eñ o r í s t u r i z . porque ¿cómo es posible que se sujete un asunto de esta natu­ m as, devuelto el místico artillado V…</t>
  </si>
  <si>
    <t>…lar. la artillería , que empezó á j u g a r contra la población á las ocho y cuarto de la mañana del 5. El primer cañonazo de los s i t ia ­ CORTES. dores fue contestado por los sitiados con un g rito general de CONGRESO DE D I P U T A D O S . El Sr. Ministro de la Guerra en 31 de Diciembre úl­ a l e g r í a , y desde este momento redobló sus esfuerzos la g u a r n i ­ timo dice al de la Gobernación de la Península de Real c ió n , á pesar de no contar la plaza para su defensa con una PRESIDENCIA DEL SEÑOR ISTU R IZ. or…</t>
  </si>
  <si>
    <t>colores políticos , y si a l gu no s pocos q u i s i e r a n s e gui r e s p ec ul an ­ V i v a la Const i t uci ón de 1857. V i v a Isabel ti. V i v a su a u ­ C O N G R E S O DE D I P U T A D O S . do cou los desastres que t ant o h a n a d i g i d o á la España, la m a l ­ g ust a M a d r e , que lo es del pueblo español. Sevi l l a 8 de Se t i e m­ dición de todos c a i g a t ambi é n sobre sus cabezas. bre de l 85 9 . =: Vu e s t r o gefe político , J o a q u í n M. de Al…</t>
  </si>
  <si>
    <t>Ira, Cala</t>
  </si>
  <si>
    <t>Cala Ira</t>
  </si>
  <si>
    <t>…l cou- ta ocias extraordinarias ha hieran de dísfoirauirse y san supri­ mirse totalmente ciertas gara olías que da i Ito libertad c iv il esta el! Senado si ha de volver ó no» á esta,; j siendo afirm ativa la veudria con el Sr. Cala Ira r a : pero qae soto e¿tá reducid® esta comisión á ver sí ios ciecu cientos que se presea U n -son arregla- C oasLitocian, como todas las Coucslitariooes políticas; y enton­ 'resolución , la comisión reform ará el a rtícu lo ; pero no se dis­ ces , señores, el mismo S r. L a odero q:oc ay…</t>
  </si>
  <si>
    <t>Ira, Gala</t>
  </si>
  <si>
    <t>Gala Ira</t>
  </si>
  <si>
    <t>…oiitinMa la dis­ en el círculo de sus facultades, coust i ¡Encloca,ales, corno ei único ensión de. la totalidad del proyecto sobre creación de un Conse­ responsable de sus actos» jo de Estado. Tiene la palabra era contra el Sr. Gala Ira va» ¿Debemos ademas mirar el Consejo de Estado como asesor El Sr. CALATRAYA: Mi deseo y la importa ocia del nato de 1.a potestad Real ? Era la significación y en la idea que T I A RIENDOSE fugado de la casa Galera de esta ciudad el día .asunto que se discute roe ira»peleo á ofrecer á lia…</t>
  </si>
  <si>
    <t>Irad</t>
  </si>
  <si>
    <t>…d ista s : esta obra no debe ce y media concluyó la sesión de competencia con el precioso li undborg se lia colocado una boya con percha y haz en representarse en ningún teatro , sino meramente im prim irse. vals coreado del Sr. Irad ier, conocido por la O rgia . f.| brazas de agua. Prolongóse el baile hasta las dos de la noche, á cuya hora S egu nda, Cuatro m illas y media al O i S O (de la se tocó el co tilló n , poniendo con él término á la fiesta , que ha aguja) de la valiza anterior á la parte oriental del Bajo Bol­ U…</t>
  </si>
  <si>
    <t>Iradier, Sebastian</t>
  </si>
  <si>
    <t>Sebastian Iradier</t>
  </si>
  <si>
    <t>…A v ila , cuya doUCion es de 59 rs. gara por D. Ju an del P e ra l,y puesto eu música por el maestro al ano, por haberse promovido á otro al que le obtenía, ha acor­ Los suscriptores á dicho periódico reciben gratis todos los D. Sebastian Iradier. - dado la misma corporación anunciarlo en la G aceta, á fin de meses un drama nuevo y una hermosa estampa litografiada. Este himno se escribió para que se estrenase en la función que los sugetosque se contemplen con las cualidades necesarias Desde 1.° del actual se ha aumentado e…</t>
  </si>
  <si>
    <t>…l de ciencias natura- compuestas al intento. La poesía será del £&gt;r. D. Juan del Peral; teresan, siempre agradan por el coutiuuo y no inverosí­ las, academias de la corte, la biblioteca nacional, junta de la música del maestro D. Sebastian Iradier, y cada canción lle­ mil movimiento de los personajes. Posee en sumo grado damas académicas para gobierno de los estudios de dibu­ vará una estampa litografiada , representando el asunto, desem­ el arte de hacer re ir, aun con desatinos y necedades, y jo, sociedad económica matrite…</t>
  </si>
  <si>
    <t>IRE</t>
  </si>
  <si>
    <t>…iesta la recaudación que se ha hecho por las contribuciones, rentas y ramos á cargo dé las direcciones generales de las mismas, y su distribución en el pri­ mer trimestre de este año, comparada con otro, igual del anterior. ‘ D IRE C CIO N E S GENERALES DE RENTAS. RECAUDACION. , INVERSION. Diferencias en el* primer, trimestre! Diferencias en el primer trimestre Primer trimestre de -U839 . | Sueldos , gastos y cargas de las Primer trimestre de i 839. Contribuciones, rentas y ramos. de 18 3 8 . Id. de 18 3 9 . j . Rentas…</t>
  </si>
  <si>
    <t>IRECCIONES</t>
  </si>
  <si>
    <t>…Y REGLAMENTOS DEL GOBIERNO para aliviar el ánimo fatigado con la lucha continua de gran­ des y fuertes pasioues, solo las felices inspiraciones de una jQ lC C IO N A R IO de medicina y de cirugía prácticas. Entre­ Y D B L A S D IRECCIONES Y A U T O R ID A D E S SUPER I0R E8. fantasía creadora consiguen cautivar por poco tiempo la aten­ ga segunda del tomo 5.° Continúa abierta la suscripción ción del público con la novedad y el halago de sus encantos. en la botica de Olinedilla, calle de Carretas, núm. 2 2 , y en Entrega…</t>
  </si>
  <si>
    <t>Iriarte</t>
  </si>
  <si>
    <t>…niciones de Alcañiz y Gaspe con el ba­ do disposiciones para secundar las ventajas conseguidas por el A rnau mandada por un tal Arévalo llegó anteayer á Pedralva, tallón del Rey. De paso á esta expedición en Belchite fueron Sr. Iriarte; y al efecto ha marchado la columna de la ribera habiéndose retirado ayer á Chelva; dejando por todas partes fusilados siete facciosos desertores de nuestras filas y dos en Sás- hácia este fren te, disponiendo que las partidas sueltas suban señales de su brutal sistema de ferocidad y devasta…</t>
  </si>
  <si>
    <t>…de nuestra causa. Aguardaban recibidas en él. ¿Q uién d iria al primero que su prisionero el Tadas las noticias recibidas del ejército convienen en repre­ en efecto el último golpe á su política armando 8 ó 9$ hom­ Sr.^brigadier Iriarte vengaría algún dia á sus desgraciados com­ sentarlo como animado del mejor espíritu y en perfecta armonía, bres, que en realidad hubieran embarazado no poco las aten­ pañeros de v ia je , poniendo término á su execrable v id a , man­ con el de la población. Esta será el áncora de otras y cas…</t>
  </si>
  <si>
    <t>Iriarte, Sebastiana</t>
  </si>
  <si>
    <t>Sebastiana Iriarte</t>
  </si>
  <si>
    <t>…a vacante: cia de la misma , cita y emplaza a todos los acreedores en 3a ca­ con cu y o m otivo y el de que llegue á noticia de los que q u ie ­ Están en prensa las producciones siguientes: sa de D . José V icente Echagiie y Doña Sebastiana Iriarte, pa­ ran interesarse en su servicio, se publica este anuncio para que Rosmunda , drama en cuatro actos y en verso, por D . A n ­ ra que dentro de 80 dias se presenten personalmente, ó por me­ los aspirantes que les acomode dirijan sus solicitudes á dicho tonio G il y Zárate. dio d…</t>
  </si>
  <si>
    <t>Iriarte, Tomas</t>
  </si>
  <si>
    <t>Tomas Iriarte</t>
  </si>
  <si>
    <t>…hermana se les señala, se presenten en la escribanía principal de am orti­ ygradas la de San Felipe; en las provincias, Canarias, Puerto-Rico Habana , en las administraciones de correos; ni Paris en de la frese. En mal hora D. Tomas Iriarte quiso, con la auto­ zación calle del Lobo, número 8 , piso segundo, á prestar sus ridad de Argensola , hacer de moda el estilo rastrero y copleril respectivas declaraciones en causa criminal que se sigue en di­ casa de Messieurs Girard Freres, libraires, rué de Richelieu, úe versificar…</t>
  </si>
  <si>
    <t>Irlanda</t>
  </si>
  <si>
    <t>…el Sr. general La sociedad irlandesa dió ayer un banquete en la fonda de | tros mismos nos gloriaríamos de nuestros Lopes, Ercillas, en gefe del ejército del Norte proponga con arreglo á la ins­ Albion al nuevo lord teniente de Irlanda lord Ebrington en ! Balbuenas y Ojedas, si sus poemas estuvieran escritos en trucción vigente las recompensas que contemple de justicia. :elebridad de su nombramiento. Entre los numerosos convida- I su totalidad coa la valentía y perfección que en algunos ios se distinguían lord M orphet,…</t>
  </si>
  <si>
    <t>…Comu­ Subteniente D. Ramón Ruiz Delgado. tísimo Sr. M inistro de la Gobernación de la Península. nes si está determinada á autorizar á mi noble amigo el lord Capellán D. Telesforo Balparda. Fortescue (el nuevo lord teniente de Irlanda) para continuar el Sargentos prim eros, M atías Morales y Pedro González. sistema seguido hasta el dia eo Irlanda. Idem segundo , Fernando Sordo. El noble lord, como su predecesor , hará que se ejecuten Soldados, Bernabé Laviña , José Antonio A rronategui, las leyes si la Cámara quiere ra…</t>
  </si>
  <si>
    <t>…corte sin nov edad en su im ­ Londres 3 0 de Octubre. El Excmo. Sr. comandante general de operaciones del dis­ trito acaba de proveer de víveres los puntos de O n d a, Lucena p o rta n te salud. Lord Ebrington , lord teniente de Irlanda, ha sido nom­ y Viliafamés, sin haber observado mas fuerza enemiga que una brado vicealmirante del condado de Devon en reemplazo de compañía en las alturas de Figueroles, la cual huyó á la vista lord Fortescue que ha dado su dimisión. de nuestros cazadores, disparando algunos tiros sin res…</t>
  </si>
  <si>
    <t>…iu consejo ha nombrado al m uy honorable H ugh F o r- su adversario, tiró al aire, y acercándose á lord Powerscourt, repetidas instancias que para ello han hecho varias personas de tescue teniente general y gobernador general de Irlanda : ha le dijo : wMilord , ahora os daré todas las explicaciones que consideración y u n número crecido de sus amigos. Esperamos ordenado lá emisión de un w rit para llam ar al citado muy ho­ deseeis, y os declaro que mi discurso pronunciado en Bath no pues tener el placer de d isfru tar de su…</t>
  </si>
  <si>
    <t>…de i839.=¡Francisco Muño*. Por los mismos operarios que se expresaron en el parte an- — ■1' 1" 1— ", Se lee en el Standard: terior, se ha metido el minado un pie lineal en la boca del Lord Fortescue, nuevo teniente-gobernador de Irlanda , ha -Norte, y en el esviajé que forma el peñasco por la parte del Gobierno político de Granada.rrExcmo. S r.: Según lo qua partido de Liverpool el 3 del corriente á las once de la noche ^nr, se han desmontado 200 pies cúbicos de piedra. me manifiesta el ingeniero D, Elias Aquino , director…</t>
  </si>
  <si>
    <t>…nifiestan la manera y extrae. con que se ha ejercido el derecho de gracia por el lord lu g ar­ 11. El rematante ha de anticipar á la Hacienda públi­ no se hubiesen opuesto, el enemigo que cubría entontes 4^ leguas teniente de Irlanda; pero retira su inocion á consecuencia de ca 200§ rs. por lo menos por via de fianza del cumplimiento de territorio, os habría obligado infaliblemente á volver á en­ algunas explicaciones dadas por lord Normanby. de la contrata, de los cuales se reintegrará con el valor del ú l­ trar en su…</t>
  </si>
  <si>
    <t>Irlauda</t>
  </si>
  <si>
    <t>…la persona de lord Norbury , toma la palabra lord Lyndhurst con el objeto , dice, de recordar ciertas expresiones Idem 51. pronunciadas anteriormente en la Cámara de los Comunes por NOTICIAS NACIONALES. el nuevo lord teniente de Irlauda ( lord Ebrington ) , con mo­ Real sociedad patriótica.^Sección de educación. =± Para sa­ tivo dé los diezmos de aquel pais. El orador saca por conclu­ tisfacción del público se da cuenta del informe sobre los exá­ Habana 26 de Enero . sión de dichas expresiones que cita , que lord Ebringto…</t>
  </si>
  <si>
    <t>IROS</t>
  </si>
  <si>
    <t>…jecutarlas, cuento con capilla, se recibió orden del capitán general para que se instru­ mi heroico ejército y con la lealtad de mis amados pueblos, bien yesen algunas diligencias preparatorias que identificasen sus C H IA R A D I R O SEM BERG . seguro de que ni uno solo de vosotros al oir mi voz, al saber personas y delitos. ópera m uy ap laudid a, en dos actos, música del maestro Riccí. mi voluntad, se mostrará indigno de este suelo, de la justa y Los cabecillas Ju an ito , A m erlé, y Hierro , después de es­ sagrada c…</t>
  </si>
  <si>
    <t>Iruegas, Francisco</t>
  </si>
  <si>
    <t>Francisco Iruegas</t>
  </si>
  <si>
    <t>…nstituye el actual sistema de Filadelíia, del cual, si es verdad formalidades que la misma previene, tocó á los sugetos siguien­ que no se resiente al parecer la salud de los presos, no sucede tes: D. Tadeo Sánchez Escandon , D. Francisco Iruegas, Don REALES DECRETOS, Jo mismo con respecto al juicio (1). Y no se diga que en los Es­ Pedro Cengotita, D. Luis Barrios, D. Manuel Angel Indo, tados-Unidos los dementes se hallan en las prisiones bajo la de­ D. Francisco del Herrero , D. Fernando de Palacios, D. Ma­ O RD EN ES Y…</t>
  </si>
  <si>
    <t>Irure, Manuel Ventura</t>
  </si>
  <si>
    <t>Manuel Ventura Irure</t>
  </si>
  <si>
    <t>…inóla: D. Dimaso de en lasal librerías teatro español por D. Bautista Calleja. Véndele á 6 rs. de Escamilla, calle de Carretas, y de Cuesta dado por no tener te tigos que probaran su declaración. Rueda y Tejada , apoderado de D. Manuel Ventura Irure: frente á Ls Covachuelas. Que entia cada día mas que aquel hombre inocente estu­ Doña María Josefa Arias y Prada , viuda de D. Juan Rosen­ viese en prisión; mas pareciéndole que la prisión seria do González: D &gt;ña Teresa y Doña Josefa Camacho, hijas de para este, que era un jorn…</t>
  </si>
  <si>
    <t>Isa</t>
  </si>
  <si>
    <t>…r batallón de tos de los tribunales superiores y en el supremo. Milicia nacional de L iébana, Pedro Gómez de E uterna.—FJ pide aluncielo pais verdaderamente español, que quiere la paz, y conceda á V. M ., á la augusta Reina Doña Isa­ ileal de del ayuntam iento de Camaleño y F ra, propietario, Juaa bel 11 y á la excelsa Infauta , vuestras H ija s, vida, salud y fi- 6.a Cesarán por consecuencia en su encargo, yen el iusebio de M ier.—Félix del A re n a l, capitán de la M ilicia na- lelidades. percibo de obvenciones , derech…</t>
  </si>
  <si>
    <t>…á un tan importante fin. La za está ra: y deseando S. M. conciliar ei alivio de los pueblos con­ falta de recursos , los elementos que por la estación no han sido bel 11 , yenembarcada poder de las tropas de S. M. la Reina Doña Isa­ toda la guarnición carlista. fiados á su cuidado con la urgencia de realizar los fondos favorables á la posición topográfica de aquella plaza , presenta­ No puedo menos de recomendar á V. E. todos los indivi­ de que tanto necesita el tesoro público para hacer frente ban dificultades que han…</t>
  </si>
  <si>
    <t>…term inada la g u e r r a , consolidada la Constitución llegó D. Carlos á Villareal de Zumarraga. Maroto se presentó para la adjudicación de dos premios iguales de una medalla y afianzado el trono de mi Excelsa Hija la Reina Doña Isa­ poco después en la misma villa á la cabeza de una columna de oro, del valor de 320 rs. vn. cada una, al autor que mejor bastante gruesa 5 compuesta de infantería, caballería y artille­ desempeñe uno de los puntos siguientes: b e l n, bajo cuyo nombre se p e lea, y bajo el q u e , Yo lo r ía ,…</t>
  </si>
  <si>
    <t>…al cielo para que conserve su cribe tiene la honra de ser su intérprete. El cielo conserve la ambas naciones. preciosa vida y la de nuestra inocente Reina dilatados años. preciosa vida de V. M. y de su excelsa Hija la Reina Doña Isa­ V. M. me permitirá que me atreva también á m ani­ Madrid 29 de Setiembre de í839.=3Señora.=:A L. R. P. de bel ir dilatados años para la prosperidad y bien de la nación. Zamora 24 óe Setiembre de 1859,—Señora “ A L. R, P. de festarle cuán vivamente los experimento yo. Merced á los V. M .=Franc…</t>
  </si>
  <si>
    <t>…re­ y suspirada paz que asegure á los siglos venideros la corona ta cuestión es de suma im p ortan cia: y yo , corno D iputado y ciados para la prosoeiidad de la monarquía. del imperio español en las sienes de nuestra Reina Doña Isa­ como representante de una provincia que varias veces me ha Alicante 25 deSetiembré 1859 - S e ñ o r a .- A L. R. P. de V. M.= bel ir , restituyendo á los pueblos de la monarquía la unión, honrado con su v oto, debo á mis comitentes esta contesta­ M anuel Carreras.izCipruno Bergez.-Áotonio Fer…</t>
  </si>
  <si>
    <t>…orque dispeosa á trados anteriores, evidenciaban sinceramente que su primer ín­ A L. R. P. de V. M.—Manuel Tauste, alcalde prim ero.-R a­ esta nación favores tan singulares. teres era la seguridad del trono de su amada Reina Doña Isa­ món Morcillo, comandante de armas.:=Fraacisco Serrano, re­ Dígnese Y. M. acoger benignamente los parabieaes sinceros bel it. La primera determinación de este ayuntamiento fue la gidor primero ^R afael A g uayo , subdelegado de rentas.= José y la efusión mas sin artificios que en esta reverente…</t>
  </si>
  <si>
    <t>…erra de la independencia , y en la gloriosa »n la redacción, calle del Príncipe, núm. 15 , cuarto entresue­ todo el de D. Pedro, son creaciones, y creaciones admirables. La lucha que sostenemos por los legítimos derechos de Doña Isa­ lo , adonde se d ir ig irá n las reclamaciones y las c a r t a s , francas, interesante Andrómaca de Hacine no ofrece analogía ni seme­ bel n y las libertades de la n a c ió n , h a cabido en suerte con el l e porte. janza con Doña Leonor de Guzman; la respuesta de la prime­ primer extracto d…</t>
  </si>
  <si>
    <t>…profesor D. Ramón Carnicer. En la versión de Crítica literaria. Poesías de D. José Zorrilla: juicio de esta estas odas se ha procurado que los acentos castellanos coincidan ludia que sostenemos por los legítimos derechos de Doña Isa­ obra. con los del original griego, y este se ha escrito con caracteres bel ir y las libertades de la nación, ha cabido en suerte con el A Boabdil, último Rey moro de Granada: fragmento. castellanos para que entendidá sü pronunciación por todos, primer extracto de la de este dia á Doña Juana P…</t>
  </si>
  <si>
    <t>…Echiquier. Mr. Spring Rice mismo lo ha anunciado á la Cámara de los Comunes , pidién­ bel i i , gloria y gratitud á su augusta Madre la Reina Gober­ ñor G arelly,delyTrono Gloria eterna pues al tronío de la inocente Reina Doña Isa­ al discurso por habia nombrado por su presidente al Se­ secretario al Sr. Ruiz de la V ega, y que dola al propio tiempo expedir un writ á Fortsmouth para la nadora, y gloria al caudillo excelso que ha sabido unir á la la de Exámen de Actas habia nombrado elección de nuevo diputado, pues Mr…</t>
  </si>
  <si>
    <t>…la de Sojo y de Viana en esta corte. celos en el am or á la sal en la c o m id a : murieron en la guerra de la independencia , y en la gloriosa «Con la punta del cuchillo lucha que sostenemos por los legítimos derechos de Doña Isa­ T OS suicriptores á la obra titulada Museo de las Familias, toma sal el cortesano ; bel 11 y las libertades de la nación, ha cabido en suerte con el acudirán á la librería de la viuda de Razóla á recoger el porque con toda la m ano primer extracto de la de este dia á Doña María Isabel Mora­ c…</t>
  </si>
  <si>
    <t>…edito despacho de los negocios del ministerio de Marina, Comercio y Gobernación de Ultramar, del que os halláis encargado, tengo á bien con­ C O N G R E S O D E D IP U T A D O S. cederos, á nombre de mi augusta Hija la Reina Doña Isa­ T?L juez Sr. D. Benito Serrano y A liaga, magistrado honorario, de primera instancia en esta corte, por providencia re­ bel ii, la gracia y facultad de usar de la media firma Chacón en todos los oficios, órdenes , cédulas, pasaportes frendada por el escribano del número D. José María González…</t>
  </si>
  <si>
    <t>…murieron en la guerra de la independencia, y en la gloriosa Fr. Lipo Braudolinc en Roma á presencia del Sumo Pontífice, ve ejemplares, se les hará la rebaja de 2 0 por 100. lucha que sostenemos por los legítimos derechos de Doña Isa­ y traducida al castellano por D. Miguel Serralde. Un cuader­ bel II y las libertades de la nación, ha cabido en suerte con el no en 8.° marquilla. Se hallará á 4 rSa en Ia librería de Cues­ ta , frente á S. Felipe el Real. primer extracto de la de este dia á Doña Carmen de Les, D IO R A M A .…</t>
  </si>
  <si>
    <t>…e lo que sea mas conveniente. Los h abitantes de aquellas S. M. la R e i n a , s u augusta Madre la R e i n a G obern a­ poblaciones se manifiestan en el mejor sentido, y vuelven á en­ En nombre de mi augusta Hija la Reina Doña Isa­ dora y la Serma. Sra. Infanta Doña María Luisa F e r­ tregarse al ejercicio de la pesca , c u y a in d u stria les es m u y pro­ bel n vengo en conferir en propiedad la intendencia de d u c t iv a . L a g ente de nuestros buques observa la mejor d isc i­ nanda, continúan en esta corte sin nove…</t>
  </si>
  <si>
    <t>…egado el dia de contar la paz que tanto ansian, y que para conseguirlo, el Gobierno de V. M. nece­ AFRICA. Señora: Si los individuos que componen la diputación pro­ sita nuevos esfuerzos de los súbditos fieles de la R.eina Doña Isa­ vincial de Pontevedra hubieran de obrar únicamente por los bel t i y de Y. M . ; sí, nuevos y costosos esfuerzos son necesa­ Oran 21 de Noviembre . principios que les dirigen, tal vez en este momento no.se acer­ rios para conseguir el triunfo que asegure para siempre en la caran al trono de V.…</t>
  </si>
  <si>
    <t>…ientes: tramar del que os halláis encargado, tengo á bien conce­ zadas las miras del Gobieno de S. M., á quien no duda tendrá Que se dé cuenta inmediatamente al Gobierno de S. M. d« deros á nombre de mi augusta Hija la Reina Doña Isa­ V. E. la bondad de elevarlo para su debido conocimiento. la apertura del camino, acompañando copia de la ligera refe­ bel n la gracia y facultad de usar de la media firma de Dios guarde á V. E. muchos años. Córdoba 8 de Junio rencia que he hecho. R iv era en todos los oficios, órdenes, cédulas,…</t>
  </si>
  <si>
    <t>…p r o lo n g a r la v i d a , y la M em oria murieron en la guerra de la independencia , y en la gloriosa que se presentaban á la apertura del teatro del Príncipe, se han lucha que sostenemos por los legítimos derechos de Doña Isa­ retraído de formar parte de la sociedad ,esta no titubea en afir­ so b re la s es cró fu la s . Es la g u ia mas segura para todos los que bel ii y las libertades de la n ac ió n , h a cabido en suerte con el mar que está dispuesta en todas ocasiones á ad m itir su coope­ profesan el arte de c…</t>
  </si>
  <si>
    <t>…ecieron á la sombra tutelar de su trono y hoy continuarán dirigiendo al cielo sinceros y cordiales ruegos por le fortalecen, afligió demasiado tiempo el corazón de V . M.; la conservación de su preciosa v i d a , de la Reina Doña Isa­ y la Providencia, que nunca deja sin galardón las ideas y los bel y de su augusta herm ana, como lo hacen los individuos NOTICIAS EXTRANGERAS. esfuerzos generosos, puso termino á tantos desastres, y afianzo de este tribunal que suscriben. A ladrid O ctu bre i de 1839.— 4 en un día el venturoso…</t>
  </si>
  <si>
    <t>…la consolidación del tro­ v e r d a d , pues sufren todos los efectos de la gu erra, y llev an escribiente a rc h iv e r o , M ig u e l M a ría H e r r e r a .=3 El segundo no de vuestra excelsa H ija nuestra adorada Reina Doña Isa­ de ella un testimonio que les seguirá hasta la tumba. En mas escribiente, Francisco T e n r e y ro. — E l segundo agente de id., bel 11, asegura la libertad é independencia nacional, reúne de cien combates acreditaron su v a l o r , derramaron su sangre M a n u el Garzón. para siempre en re…</t>
  </si>
  <si>
    <t>…ón. A lic a n te , i papel d. S a n t ia g o , 2 d. Ayer 12 tomó posesión la nueva diputación fo ral; y en se­ Barcelona á ps. i s . , par. S e v il la , 1 ¿ id. M U S IC A . guida con un entusiasmo sin igu al se proclamó á Doña Isa­ B ilb ao , id. V alen cia, par. bel ir por Reina de las Españas y Señora de V izcaya : se colo­ Cádiz, 1| d. Z arag o z a, id. Unos cuantos ejemplares que han quedado existentes, f u n ­ có su retrato, y á una voz pidieron todos los comisionados ó didas y a las láminas del método nuevo para g u…</t>
  </si>
  <si>
    <t>…los bienes secuestrados siempre que reconozcan el Gobier­ anunciado. Difícilmente puede explicarse la impresión que cau­ xilios de su poder para consumar tan importante obra, que no constúucional de mi augusta Hija la Reina Doña Isa­ só la idea de la proximidad de la paz en los fieles habitantes de sea coronada con la restante reconciliación de los defeosores de bel ii y se presenten a reclamarlos. esta provincia , pues hasta en el último rincón de ella se han la causa constitucional, divididos malamente por desgracia Art…</t>
  </si>
  <si>
    <t>…órgano. M u­ Como Reina Regente y Gobernadora del Reino duran­ mos tengan alguna causa grave que lo impida, en cu­ chos tienen sus paredes colgadas de negro y los altares cubier­ te la menor edad de mi excelsa Hija la Reina Doña Isa­ yo caso la expondrán justificada para la debida reso­ tos con crespones del mismo color. Antes de este suceso el arzobispo habia mandado que el ca­ bel n , y en su Real nom bre, conformándome con el pa­ lución. De Real orden lo digo á Y. para los efectos pítulo no se ocupase mas que de asuotos…</t>
  </si>
  <si>
    <t>…ministerio de Estado comunicando que S. M. el Rey rib le presenció dicho monstruo con la mayor serenidad , y de­ Indice de los Reales decretos, órdenes y circulares publica­ de los Paises-Bajo* ha reconocido el Gobierno de Doña Isa­ mostrando placer en la ejecución. dos en este periódico en el mes anterior. bel 11. (Núm. 1859.) ¡Qué diferencia de conducta de los liberales á los facciosos Real orden del ministerio de la Gobernación de la Península en la expulsión! De esta manera logran dichas ñeras imponer iosertaodo…</t>
  </si>
  <si>
    <t>…cia Como Reina Regente y Gobernadora del reino d u ran ­ que á los los pueblos en donde hay establecido hospital prestasen militares heridos ó enfermos, se les abone convenien­ te ia menor edad de mi excelsa Hija la Reina Doña Isa­ temente, justificado que sea cual corresponde este servicio; bel n , vengo en relevar del mando decapitan general de y S. M. conforme GRAN BRETAÑA. Andalucía al teniente general D. José Carratalá , decla­ resolver por puntocon el parecer de V. E. ha tenido á bien general, que en los casos y pu…</t>
  </si>
  <si>
    <t>…darse, una vez rota, pero nunca queda PRINCIPE. A las ocho de la noche. Habiendo compues­ tan firme.” Premios. Pesos. to el niño D. Ignacio Ovejero , cuya edad no llega á 11 años, Creemos haber dicho en otra ocasión que si Doña Isa­ una sinfonía, y pareciendo á juicio de los profesores que esta bel de Solís no es la mejor obra del autor de Edi.po y del 1 ........... . • d e .. 8000 ps. f s .. . . 8000 singular muestra de un talento precoz merece ser oida del pú ­ 1 ................. d e ....... 4000................... b…</t>
  </si>
  <si>
    <t>…menos de considerarse á un mismo tiempo con na inteligencia en que antes se hallaban. ¡O ja lá que el Congre­ entusiasmo y dolor la situación natural del recinto de los ba­ ron mil vivas á la libertad nacional , á la Reina Doña Isa­ so lo piense también , y que el Gobierno pueda en el término bel 11, á su augusta Madre la Reina Gobernadora, al distin­ ñ o s, una de las mas amenas y pintorescas, y 110 obstante, pre­ sumamente limitado que le queda enviar á Veracruz las r a t i ­ guido general y tropas que m a n d a , al va…</t>
  </si>
  <si>
    <t>…y le ha acompañado hasta lo alto de la costa O jos, cliyos individuos quedan rogando al Todopoderoso con­ Complácese apresuradamente á reconocer el Gobierno de V. M. de Cenon. serve las preciosas vidas de V. M. y de su Reina Doña Isa­ y contribuiráde cuanto ello el ayuntamiento constitucional de Herencia, El Príncipe iba m uy abatido. (Id.) bel ti todos los años que la monarquía há menester para su fe­ dedor de Y. M. para gozar le sea dable á que todos se reúnan al re­ licidad. Salas consistoriales de Villarubia de los Ojos…</t>
  </si>
  <si>
    <t>…ón municipal, que ruega al Todopoderoso conserve la por el pueblo. En todo el camino que va de Bellinzona á Capo leí casamiento de S. M. con el Príncipe Alberto, se verificará interesante vida de Y. M. y la preciosa de S. M. Doña Isa­ Luogo se oian repicar las campanas en señal de alegría. En joaartamentos la capilla Real de San James. Los gefes de los diferentes de- han acudido á la capilla para hacer de antemano bel i i para felicidad de la monarquía. Locarno una parte de las autoridades habia huido al aproxi­ Ayuntamie…</t>
  </si>
  <si>
    <t>…e de la Victoria , consigan pronto la salvación de S. M. lo oyó con el mayor ag rado , dignándose dispensar gre para afianzar el trono de V. M. y la Constitución de 1837, nuestra patria y del trono de nuestra inocente Reina Doña Isa­ á la diputación el alto honcr de besar su Real mauo. amaneció un día que jamás se olvidará , en el que los campos bel n. de Vergara fuerou testigos de la gloriosa tranformado» que Sírvase V. E. admitir esta ligera prueba de gratitud que le supo obrar un hábil y afortunado guerrero bj»jo eí a…</t>
  </si>
  <si>
    <t>…on en la guerra de la independencia, y en la gloriosa También se ocupará de todas las demas diversiones y es­ ¿cómo se tolera que se diga de los que se ejercitan en pintar j lucha que sostenemos por los legítimos derechos de Doña Isa­ pectáculos públicos y particulares que por su género lo per­ en describir por medio del lenguaje? Porque el objeto de toda' bel 11 y las libertades de la nación, ha cabido en suerte con el mitan : no descuidando tener á sus lectores al corriente de to­ las bellas artes es el mismo; y ¿por qué n…</t>
  </si>
  <si>
    <t>…al sobre libertad de imprenta, como Reina Gobernado^ necesarias para su publicación, y señalar las personas que en razón? Pues ponga la mano en su pecho y considere que estos durante la menor edad de mi augusta Hija la Reina Doña Isa­ cada una de dichas ciases han de ser responsables de ellos. Para mismos argumentos podrían hacerle cada uno de los que esta­ bel 11 he venido en autorizaros para someter á la deliberación gstos diversos fines adopta el proyecto varias de las disposicio­ ban aqui sentados en la legislatura anter…</t>
  </si>
  <si>
    <t>…, y vosotros estáis convencidos de que no cedo á ni los libros de los Reyes, ni los Sapienciales son poéticos. dad , nos hemos determinado á dedicarla á los Sres. jueces de ningún otro español en adhesión á la excelsa Reina Doña Isa­ Toda la pompa de la poesía se reservó para los cánticos, lo primera instancia, alcaldes constitucionales, promotores-fisca­ bel ir, en amor á la Constitución de 18 )7, en sumisión al su­ que á nadie causará extrañeza, y para las profecías, que por les , abogados, profesores de práctica en las…</t>
  </si>
  <si>
    <t>…s, y acallar la grita de los que me de armas que los enemigos tenían en han supuesto una ambición sin límites. veniente, como Gobernadora y Regente del reino duran­ este pueblo. te la mejior edad de mi augusta Hija la Reina Doña Isa­ Llamado entre tanto á Yeracruz por el deber y el peli­ Dice el mismo en otra comunicación del 26 , con referen­ gro , fui á presenciar una desgracia nacional; y volví á mi bel i i , nombrarle general en gefe del ejército del Centro cia también á dicho brigadier, que el día antes habían quedado…</t>
  </si>
  <si>
    <t>…ión e x tr a ñ a , comienza á rodear el ex­ noce perteneció á una figura completa de la misma clase; su la nueva del fallecimiento del Soberano de P u n ja b : parece que celso é indestructible trono de nuestra adorada Reina Doña Isa­ semblante es femenil y de hermosas fo rm as; el pelo ablucado y los ingleses que y a se han comprometido en el K a b o u l, se en ­ bel i r , inundando á la veza todos los españoles de la emoción según se usó en la media época del im p e rio , partido por dos cuentran en consecuencia de esto e…</t>
  </si>
  <si>
    <t>…ñ o r a : E l ayuntamiento constitucional de la villa de Art. 4.° En las capitales y pueblos donde hay dos ó L é r i d a , ardientemente interesado en el bien y gloria de su V . M . su lealtad al trono legítimo de la Reina Doña Isa • Se ñ o r a: E l ayuntamiento constitucional de la ciudad de H u e l v a , capital de la provincia de este n om bre, recuerda á mas juzgados de primera instancia que tienen señalado p a tr ia , no puede menos de acercarse á los pies del trono para bel 11, su cordial adhesión á la Constitución…</t>
  </si>
  <si>
    <t>…reto de 50 de Gobierno porque no son verdaderas misiones. Yo sé que en Berlín y en Viena ha dicho el Sr. Zea sien­ A g o sto , sino sobre el estado en que quedó después de negada El Sr. Zea Bermudez abogó por los derechos de Doña Isa­ do preguntado que iba movido de un impulso propio ,sin m i­ la sanción. bel 1 1 , como le sugirió su celo propio, pero sin que se la encar­ sión del Gobierno. Esa expresión una vo z lle n a d e co n fia n z a , El Sr. Olózaga quiere que yo exprese mi opinión: poco gara nada oficialmente por n…</t>
  </si>
  <si>
    <t>Isa, María</t>
  </si>
  <si>
    <t>María Isa</t>
  </si>
  <si>
    <t>(&gt;&gt;6*. Una alfombra bordads , al Sr. D. Felipe Reyes. lado para junta general de acreedores al concurso formado poi corona de España de U Infanta primogénita Doña María Isa­ r Iti. Un tirador de 'Campanilla bordado sobre cañamazo, a el Sr. D. Joaquín López Perella, intendente honorario y comi­ bel Luisa. la Sra. Doña Josefa Sentiste bao. sario de guerra, ya difunto, el dia 25 del corriente á las oncí 644* U 11 gran cogio de casimir blanco bordado de lanas,…</t>
  </si>
  <si>
    <t>Isabei</t>
  </si>
  <si>
    <t>…prosigue la policía hace algunas semanas, {id.) Habitantes de Andalucía: Nombrado capitán general de este distrito por 8. M. la Reina Gobernadora, en nombre de su ex­ JUNTA DE VENTA D E BI E N E S NACIONA L E S celsa Hija Doña Isabei n , cuyo mando empecé ayer á ejercer, Se ha dicho con frecuencia que íbrahim no era hijo del vi- he creído d e b e r dirigiros la palabra manifestándoos mis justos rey : creemos deber reproducir , para refutar este error, la des­ deseos, que s e r á n los vuestros y los de la nación en gener…</t>
  </si>
  <si>
    <t>Isabel</t>
  </si>
  <si>
    <t>…nom bre de mi excelsa Hija la Reina que se proceda cuanto antes á la ejecución de las obras indis­ pensables para la reparación de dicho muelle. Con el fin de pro­ de la exposición que por el ministerio del cargo de V. E. Doña Isabel ii lo siguiente: los medios suficientes para llevarla á efecto , comisionó nie fue remitida de Real orden para la resolución con­ Artículo 1.° Se restablecen en toda su fuerza y exten­ poner la primera de las expresadas corporaciones á dos maestros ala­ veniente, y en la cual la diputación…</t>
  </si>
  <si>
    <t>…, lian quedado inexpugnable para soldados de otro tem ­ tesoro publico , en nombre de mi excelsa Ilija la metálico y papel consolidado, según las épocas. ple , fue ocupada, quedando prisionera su g u arn ició n , y en Reina Doña Isabel u , y de conformidad con el dic­ Art. 12. La dirección remitirá igualmente todos los nuestro poder la pieza de artillería que enfilaba la carretera. E n tamen del Consejo de Ministros, he venido en de­ meses noticia circunstanciada de las sumas que se fin, todo ha cedido hoy á vuestro heroísm…</t>
  </si>
  <si>
    <t>…vuestro ardor en á todos los que padezcan en defensa de los derechos legítimos? defensa de nuestra independencia y el trono legítim o de núes- ¿Se harán todos los esfuerzos imaginables para conseguir la tra excelsa Reina Doña Isabel i i . VARIEDADES. C arta, nada mas ni menos que la Carta , sin dejarse alucinar Los enemigos, con rubor y vilip en d io, llevaron una lec­ por otras concesiones? Un v ia je á I ta lia .=Turin y Génova . ción que les dió á conocer bien pronto lo que puede un hombre ¿Se comprometerá el pueb…</t>
  </si>
  <si>
    <t>…ado bastantes p a rtid ario s p a ra Como Reina Gobernadora, á nombre de mi augusta form ar un núcleo capaz de hacer frente á M aroto , y o b liga rla orden lo digo á Y. S. para su inteligencia y efectos cor­ Hija la Reina Doña Isabel n, y en conformidad con el a r­ á d ejar el m a n d o , ó á acelerar los proyectos que se le a c h a c a n respondientes. Dios guarde á V. S. muchos años. Madrid 28 tículo 15 de la Constitución, oido el Consejo de Minis­ de a rreg larse con E s p a r t e r o ; proyectos que verdaderam ente t…</t>
  </si>
  <si>
    <t>…maternal Go­ españoles, en vista de la gloria que ha adquirido el augusto profundo reconocimiento , porque á sus maternales desvelos y á bierno de Y . M ., llamada á hacer la dicha &gt;de este pueblo trono de su angelical Reina Doña Isabel 1 1 , preparando una os de su ilustrado Gobierno son debidos los grandiosos acon­ virtuoso. paz sólida, que mejorará la suerte de los pueblos, afligidos has­ tecimientos ocurridos en Y erg ara; y á la política del ilustre Dígnese V . M . acoger benignamente los sentimientos de ta aqui por lo…</t>
  </si>
  <si>
    <t>…, de todos tan deseada , brillará con todo su es­ pediente general y los documentos relativos á la navegación del ladados á otros puntos por el Gobierno, habian tenido que h a­ plendor el trono.de la augusta Hija de V. M . , Doña Isabel n , G uad alq uiv ir que este remitió á las Cortes constituyentes, y cer el viaje á pie con sus fa m ilia s , ai paso que los dependien­ á c uya sombra prosperará esta nación digna de la ventura y necesita ahora para sus fines convenientes. tes del ministerio de la Gobernación , según habia d…</t>
  </si>
  <si>
    <t>…iduos de los cargos que se le hicieren , deberá proponer su excepción que hubieren tomado las armas contra los derechos legítimos como previo y preliminar artículo de su defensa, la que se hará CAPÍTULO II. de S. M. la Reina Doña Isabel 11 y la Constitución del Esta­ constar en el acta de juicios, debiendo en seguida hacer aque­ do, aunque se hallasen indultados. Durante este tiempo serán lla en la forma ordinaria. El consejo, después de deliberar, fa­ De la subordinación y disciplina en el servicio extraordi­ incluidos en e…</t>
  </si>
  <si>
    <t>…e la independencia , y en la gloriosa lu ­ venta en las librerías de Cuesta , R o d rígu e z, Razóla y~Nuñez terarios el abuso de enseñar la ao tig u a lógica ó envejecida me­ cha que sostenemos por los legítimos derechos de Doña Isabel ii de esta corte. tafísica, con notable daño de la juventud y manifiesta inejecu­ y las libertades de la nación, ha cabido en suerte con el p r i ­ Esta obra, de original español, ha sido traducida y p ub li­ ción de lo tan oportunamente prevenido en este punto por el mer extracto de la de es…</t>
  </si>
  <si>
    <t>…cuestión presente, que no siendo del momento, corriente , presentan nuevas garantías de la extensión de la pros­ Reina Regente Gobernadora en nombre de mi excelsa reclama algunos dias. peridad de la Neerlanda. Hija la Reina Doña Isabel n , usando de la prerógativa He puesto por mi parte cuantos esfuerzos han estado á ini que me concede el art. 26 de la Constitución, y conforme alcance para asegurar y acelerar la completa ejecución del t r a ­ PARTES RECIBIDOS EN LA SECRETARIA DE ESTADO tado con la Bélgica. con el parecer d…</t>
  </si>
  <si>
    <t>…s exposiciones dirigida) que afecto sabrán morir con los buenos, envueltos en la gratitud y de que son deudores á V. M. El cielo, Señora, quiera i S, M, la augusta Reina Gobernadora; conceder á Y. M . , á la excelsa Reina Doña Isabel ir y á la a u ­ El Sr. Ministro de Gracia y Justicia me ha comunica­ Señora; Cuando Y. M . con adm irable sabiduría y aciert&lt; gusta Infanta su Hermana, la vida y felicidad qu^ á Y. M , de­ do en 25 del actual la Real orden siguiente: Jaba la paz tan suspirada al N orte de la Península y la p…</t>
  </si>
  <si>
    <t>…arabineros por sus sueldos.. 7 0 8 ,8 1 9 ..¿ 4 Id. por libranzas para la consignación de S. M. otras muchas que conservo y no doy al público, por no serle los 17 premios m ayores de los 600 que comprende é l sor- 3a Reina Doña Isabel i i ..... ..................... 112,880 demasiado molesto , lo confirma el Real decreto que sigue: teo de an teayer. «M inisterio de IIacienda.-Subsecretaría.=El Sr. Ministro de NUMEROS. PREMIOS. ADMINISTRACIONES. Ouedan existentes para 1.° de Enero de 1859 Hacienda dice cora esta fecha…</t>
  </si>
  <si>
    <t>…L D E C RE TO . A r t í c u l o í .° C o m o medida provisional para el C om o Regente y G obernadora del reino durante la sostenimiento del culto y clero , y para atender á otras m en or edad de mi excelsa Hija la Reina Doña Isabel n, obligaciones precisas y perentorias del E sta d o , sin PARTE NO OFICIAL. y en su Real n om b re, conform ándom e con el parecer de p erju icio de someter la presente disposición á la a p r o ­ m i Consejo de Ministros, en uso de la prerogativa que me bación de las Cortes, y de lo que la…</t>
  </si>
  <si>
    <t>…n la guerra de la independencia , y en ia gloriosa lu­ chos particulares década pais, no puede privarse á los no fran­ ber instalado en dicha ciudad la caja de ahorros. (Id.) cha que sostenemos por los legítimos derechos de Doña Isabel 11 ceses de irle á la mano en lo que diga de los otros con la lige­ Circular del ministerio de la Gobernación de la Península á los y las libertades de la nación , ha cabido en suerte con el p ri­ reza y facilidad que entre los escritores de aquella nación se ha gefes políticos para que pro…</t>
  </si>
  <si>
    <t>…ales para el año inmediato de 18 i0. tisfacción al presentarme en medio de vosotros, acompa­ El del Norte abriendo la presente campaña con las bri­ La contribución extraordinaria de guerra sigue co­ ñada de mi excelsa Hija Doña Isabel n , prenda de unión llantes operaciones sobre Ramales, Guardamino , Orduña brándose con la dificultad que es consiguiente ai estado y. .de ventura para ios españoles. Tengo la mas ciega con­ y A murrio, secundadas por otras no menos hábilmente de la nación; y si bien no lia sido hasta ahora…</t>
  </si>
  <si>
    <t>…á V. M. su conocer (desvanecida su ilusió n ) la Constitución del Estado y P R E S I D E N C I A D E L S E Ñ O R C A L A T R A V A. inalterable fidelidad y respeto. Gasas consistoriales de la ciudad por su legítima Reina á Doña Isabel 1 1 ; al ver que esos bra­ Sesión d e l día 1.° d e O ctubre . de Mérida 28 de Setiembre de 1859.—Señora.—A L. R. P. de zos vigorosos, esas anuas que estaban dispuestas ayer para con­ V . M.—Vicente Toresano , alcalde primerocoostitucional.—Fran- tin uar con encarnizamiento una guerra f r a…</t>
  </si>
  <si>
    <t>…los ayuntainieutos, como Reina Gobernadora duran­ últimos se renovarán por mitades; pero donde sea impar su fltt* la península , que es su objeto , es mas lata que el convenio de te la menor edad de mi augusta Hija la Reina Doña Isabel ii , mero empezará la renovación por la m ayo ría, saliendo los q«® Yergara: este es solo un medio que conduce á ella. Por eso di­ he venido en autorizaros para someter de nuevo á la delibera­ la suerte designare. . go que el Sr. Mendizabal y yo miramos la cuestión bajo un ción de las Corte…</t>
  </si>
  <si>
    <t>…NA D E L EMIGRADO. BOLETIN DE COMERCIO. Terminará la función con baile nacional. Córdoba 26 d e S etiem b re . Para preparar la unión de los verdaderos amantes de la Constitución y de S. M. la Reina BOLSA DE M A D RID . Doña Isabel n , se verificó el lunes en el seminario conciliar una comida de 160 personas, que puede decirse era lo selecto dvl CRUZ. A las siete y media de la noche. Se volverá á po­ Cotización del dia 1.° d las tres de la tarde . ner en escena la grande ópera en cinco actos del maestro D o- vecindar…</t>
  </si>
  <si>
    <t>…s fácil para T eniendo en considerácion los alivios qiie para a b re ­ la Constitución del año 3? y del trono legítimo de vuestra a u ­ un placer generoso. viar el despacho fueron dispensados á vuestros anteceso­ gusta Hija Doña Isabel n. Señora, si la plausible noticia del convenio de Yergara dió res en la secretaria de Estado y del Despacho de la G u e r ­ Oviedo 26 de Octubre de 1839.=Señora.=A L. R. P. de origen á tanta alegría, ¿cuál no fue ella cuando llegó la espe­ ra q ue he tenido á bien encargaros interinam ente»…</t>
  </si>
  <si>
    <t>…sión y edu­ Art. 14. Las,huérfanas se dividí,ráp, según su edad y esta­ cación de huérfanas de patriotas muertos en defensa del trono do de educación, en: tantas secciones cuantas sean las maestras T IT U L O Vf. legítimo de Doña Isabel n y de la causa de la nación , bien ha- del estabícefimieutó , pudiendo también formarse una mas si la yan pertenecido a la Milicia nacional, bien á los cuerpos def experiencia} indicase que la rectora puede encargarse del cuida­ De la directora . ejército y armada , ó á los llamados francos…</t>
  </si>
  <si>
    <t>…formes, ó están desmentidos, ó no estar» apoya­ do en declarar á nombre de mi augusta Hija la Reina Acajete se habían encontrado las tropas federales con las del dos por otros que han pedido el Gobierno ó las autoridades. Doña Isabel n que queda derogado en todas sus partes el Gobierno, habiendo sido aquellas completamente derrotadas, y En vista de lo expuesto no podrá ya extrañarse que la le­ mencionado Real decreto de 4 de Setiembre, subsistiendo el general Mejía hecho prisionero y fusilado de orden de San- en su luga…</t>
  </si>
  <si>
    <t>…o de le y qu e Como R eina G obernadora á nom bre de mi augusta lu z sobre los e sco llo s, donde tanto s zozobraran v íc tim a s de las confirm a los fueros de las p ro v in c ias V asco n gad as y del R eino Hija la Reina Doña Isabel n , y en conform idad con el tem pestades p o lítica s. de N a v a r ra . art. 15 de la Constitución , oido el Consejo de M inistros, L a H a b a n a , S e ñ o ra , donde este con vencim ien to tien e m u y H im nos de alab an za , Señora , d irig e n al cielo los esforzados h o n d as r a í…</t>
  </si>
  <si>
    <t>…del Rey de Cerdeña. Hoy esta noticia, sin ser go á bien concederos á nombre de mi augusta Hija la R ei­ &gt;ficial, está casi confirmada. Todavía se está negociando, pero D escu b rim ien to d e l m ovim ien to contin uo . na Doña Isabel n , la gracia y facultad de usar de la m e­ tolo por las formas, pues en el fondo el asunto es y a concluido. dia firma N arvaez en todos los oficios, órdenes cédulas, El E co d e A ragón dice que los puertos de la Cerdeña están Estamos verdaderamente en el siglo de las luces. Hemos des­ pa…</t>
  </si>
  <si>
    <t>…os que se celebraron los dias i i , 1 2 , 15 y Dé aliento á vuestro pecho, dinastía de la casa de Borgoña. 14 de este mes. La adjudicación tuvo efecto en los de nuestra Y llegareis asi con firme paso augusta c inocente Reina Doña Isabel 11 y en el salón donde El Príncipe Enrique habia sido proclamado R ey por el ejér­ De la inmortalidad al alto tem p lo , cito ; y para dar legitimidad á su titulo , celebraron los portu­ celebra sus sesiones la sociedad económica. Donde yo de autemano gueses Cortes en L a m e g o , confirmán…</t>
  </si>
  <si>
    <t>…a , y en la gloriosa l u ­ ■la India y de! B a s i l ; y ahora no llegan á 5 0 los embarcos per te- ‘cientes al p ue r t o, empleados en el comercio e xt r a n ge r o , y po­ cha que sostenemos por los legítimos derechos de Doña Isabel 11 y las libertades de la n a c i ó n , ha cabido en suerte cori el p r i ­ icos de e^tos exceden el porte de 150 toneladas. El producto de mer extracto de la de este d ia á D oña C árm en M e l i á , h ij a del Por t ug al es trasportado á otros paises ea buques extrangeros. Gnrt k, en B…</t>
  </si>
  <si>
    <t>…e subdelegado de Como Regente y Gobernadora del reino durante la D. Isidoro García de la M a ta , vecino y del comercio de la rentas de esta provincia, se cita y emplaza por término de menor edad de mi augusta Hija la Reina Doña Isabel n, ciudad de S e v illa , en nombre y como director suplente, socio tercero dia preciso Á D. Joaquín V illagarc ía, á fin d eque se en conformidad con el art. 15 de la Constitución, y oido de la compañía de minas y fábricas de hierro del Pedroso , ha presente en cualquiera de las cárceles de…</t>
  </si>
  <si>
    <t>…n, y La Constitución de 1837, el trono cíe S. M. la Reina dirigidos cada uno por el comandante graduado gefe del E. M. ! de 1859 —Excmo, Sr.—Joaquín Ayerbe.=£xcmo. Sr. general en gefe de este ejército.—Es copia.—Nogueras. Doña Isabel n , y la Regencia de su augusta Madre, so­ | de la 1.a brigada D. Eusebio de Calonge , y subteniente a u x i - lemnemente sancionada por las Cortes llamadas a fijar la ¡ liar D. Aniceto M uñoz, hasta la cúspide de la peña , de donde suerte de la nación, consolidando su sistema político, son…</t>
  </si>
  <si>
    <t>…Península sobre que se mande á los escri­ ficado el trono de la excelsa Hija de V. M. la Reina nuestra La consagración de una nueva capilla construida en Cork banos que concurran al cuartel dei presidio á recibir de­ Señora Doña Isabel ii (Q. D. G.) ha recibido con la mas tier­ bajo la !a advocación de Santa M aría, ha servido de pretexto para reunión en dicha ciudad de la mayor parte de los obispos ca­ claraciones y practicar las demas diligencias judiciales na emoción de entusiasmada alegría la fausta noticia del con­ c…</t>
  </si>
  <si>
    <t>…spaña, gozando de los mismos dere­ la coosolidacion del trono constitucional de nuestra iuocente pretendía hacer ver que l^s rentas de Chile presentaban un dé­ chos que los de las naciones amigas, asi como podran h a ­ Reina Doña Isabel n. ficit de mas de 3003 duros á fines de 1836 , cuando por el doT cerlo en Cerdeña,^segun va dicho, con las mismas condi­ Dígnese V. M. acoger benignamente estos sentimientos de cumento citado del Ministro de Hacieuda hubo en dicho año ciones y con iguafgoce los súbditos españoles. g r a titu…</t>
  </si>
  <si>
    <t>…_ para que los in t e n d e n te s, gefes y empleados de la h ad en * A N T O N I O M o lin a F e r n a n d e z , escribano público por S. M . da pública no obedezcan ni lleven á ejecución c u a lq u ie ra o r­ ^ la R ein a Doña Isabel it (Q. D. G&gt;), del núm ero y ju z g a d o d e n , disposición ó p ro viden cia concerniente á la a d m i n i s t r a ­ de p rim era in s ta n c ia de esta v iiia y su p a i t i d o , certific o : Q ue i</t>
  </si>
  <si>
    <t>…ha desempeña­ de Hacienda pública de esta provincia por la gloria del reina­ embargo de pertenecer á una f a m ilia , han estado por tanto do en comisión la judicatura de Chiva. tiempo obcecados. do de nuestra excelsa Reina Doña Isabel ii , cuya vida Dios El mágico acento de paz produjo en estos leales habitan­ D. Juan Francisco Carballo Otero , juez de primera instan­ guarde muchos años asi como la de V. M. para la prosperidad tes el júbilo que era de esperar, sin que la coincidencia de cia de Luarca , y D. Manuel Pasaro…</t>
  </si>
  <si>
    <t>…ien sus respectivas poblacioues. El Gobierno pater­ negó á servir bajo el ministerio de M e n d iz ab al; y los revolu­ guido de un modo digno de recompensa , asi corno el sargento na! de la Hija primogénita de Fernando v n Doña Isabel 11, en­ cionarios no pueden perdornarle la constancia invencible de sus de la misma compañía Valentín Goode^ el cabo primero A n - tre las repetidas pruebas que ha dado por el bien y prosperidad opiniones monárquicas. * &gt;uio G arcía, y los zapadores Luis del R io , J u a n Rodríguez, de la…</t>
  </si>
  <si>
    <t>…cendencia en que acaso dad con el dictámen del Consejo de Ministros, en nombre cometerse ai exámen de la comisión revisora: l.° los aran­ sea precisa la concurrencia de los cuerpos coiegisladores: de mi augusta Hija la Reina Doña Isabel u he venido en celes generales de importación y exportación del reino: tal es el de la mejora de manifiestos. . decretar lo siguiente: 2.a las instrucciones ó reglamentos para el régimen de las Por consecuencia de los artículos 8 y 10 del tratado aduanas. de Utrecht, ajustado con Inglaterra,…</t>
  </si>
  <si>
    <t>…s ha prestado, está prestando y prestará en favor de rio de Paris, enriquecido con objetos nuevos y 52 figurines que nos honrados, virtuosos padres é hijos de fa m ilia , sin que la causa de la libertad, de su augusta Reina Doña Isabel n marcan las priucipales posiciones &amp;c. Cuatro obras nuevas de preceda una educación esmerada y suficiente para que desar­ (Q. D. G .), y de su excelsa Madre la Reina Gobernadora. Za­ estudios por B ertin i, que unidas forman una colección para rollen los jóvenes sus facultades intelectuale…</t>
  </si>
  <si>
    <t>…que la gene­ en la lista de la sociedad al lado de los augustos nombres de este papel, procedente todo de la segunda donación hecha en ración naciente no v.aya contagiándose con aquellos malos ejem­ S.fanta M. y de la Reina Doña Isabel it , el de la Serma. Sra. In­ Julio de 1854 por el Sr. D. Juan Bautista V irio , empleado muy plos, y la utilidad , mayor hoy que lo ha sido en tiempo algu­ con estaDoña Luisa Fernanda. La sociedad aprobó la propuesta adición. antiguo de nuestro cuerpo diplomático, avecindado en Viena, n o ,…</t>
  </si>
  <si>
    <t>…en las provincias vaban lazos al cuello, en los que se leia : Navarra , A la va , por ciones, pagados de los ramos de propios, ventas y expedientes; del N orte, la sociedad dramática ha dispuesto una variada fun­ la paz, a. Doña Isabel n , Guipúzcoa , Ptzcaya. Cantáronse en y el que quiera solicitarla acuda con memorial y documentos ción, distribuida en el orden siguiente : seguida algunos zorcicos , pero las oleadas de la muchedumbre conducentes hasta fin de Setiembre próximo á la secretaría del 1.° Sinfonía. iban en aum…</t>
  </si>
  <si>
    <t>…ispensar á la . monarquía su protección, pa­Leída el acta de la anterior, quedó aprobada. ra que regida por Y. M. durante la menor edad de su augusta El Congreso quedó enterado de dos oficios remitidos por el Hija la Reina Doña Isabel ii , pueda hacer su felicidad, como Sr. ministro de la Gobernación , en los cuales se roanife:&gt;¿aba MINISTERIO DE ESTADO. tan ardientemente lo apetece Y. M. una comunicación del Sr. Presidente del Consejo de ministros, Estos son los votos de los que suscriben; dígnese V. M. aco­ participa…</t>
  </si>
  <si>
    <t>…ados de pru­ edad de mi como Reina Gobernadora durante la menor S. M. mandar que se convoque á nueva subasta para el arren­ dencia^ actividad é instrucción acreditada en los negocios nido á bien augustanombrar Hija la Reina Doña Isabel i i , he te­ damiento en participación de los derechos de puertas de Sevi­ para la comisión régia que deberá lla , tanto en dicha capital corno en esta corte, señalando al de Ultramar, se trasladen á las islas, y concurran á la trasladarse sucesivamente á las islas de Cuba y Puerto- efecto…</t>
  </si>
  <si>
    <t>…ongreso, Señora , forma los votos mas sinceros por la en paz-con todo el inundo: que no tiene quejas nuevas contra rias de lo p ro m e ti d o , todavía se quisiese q u e el nu evo G a ­ prosperidad de la Reina nuestra Señora Doña Isabel t t , y por ninguna Potencia , y que las pequeñas diferencias que existían b inete añ a d ier a un á p ic e mas a la serie in m e n sa de las co­ la de Y . M . , que tan enlazadas están con la felicidad misma ó existen con a lg u n as, ó se hau ajustado ya , ó hay mucha pro­ del Estado sas i…</t>
  </si>
  <si>
    <t>…os del ministerio de vuestro cargo para los años pasados de 1837 y 1838, como Reina Re­ Real orden. da, continúan en esta corte sin novedad en su importante gente y Gobernadora, á nombre de mi augusta Hija la salud. Reina Doña Isabel n , vengo en decretar lo siguiente: Excmo. S r.: He dado cuenta a S. M. la Reina Gober­ Artículo l.° Los empleos de coroneles de los regimien­ nadora de lo que Y. E. me dijo en su Real orden de 27 tos provinciales vacantes y que vacaren desde la fecha de del anterior, acerca de la escolta q…</t>
  </si>
  <si>
    <t>…iduos que se me han presenta­ enemigas que combaten en este prin­ se le admitiese la renuncia, dándose cuenta al Gobierno para tisfactoriamente orilladas por el Gobierno de Persia. cipado la causa de la nación y de la Reina Doña Isabel n , y á que avisase al suplente. ^ A fin de cumplir con los empeños que os fueron anuncia­ quienes he acogido con arreglo Procedió¡idose á la orden del dia se dio cuenta de los dictá­ dos al abrirse la actual legislatura , el gobernador general de la bando , de que ía violencia , aun ámas la…</t>
  </si>
  <si>
    <t>…a política de que hemos hablado. (Id.) que le es p ro p ia, mientras queda esta corporación rogando á dias orientales. (Standard.) Dios conserve dilatados años la importante vida de Y . R. P. y la de vuestra augusta H ija Doña Isabel 11 para felicidad de los españoles. Salón consistorial de la villa de Cullera 28 de Octu­ El M en sagero de Gante dedica un artículo razonado á las bre de 1839 =Señora.z=A L. R. P. de V. M.ziPascual Colubi.n obras de los pintores gaateses que figuran en la exposición n a­ El M orning-H era…</t>
  </si>
  <si>
    <t>…, Señ o ra, que desde el 7 de Octubre de 1 8 5 5 , se indefinido para de c id ir, y hasta a h o r a , que son las dos de la ha resuelto que se anticipase la época para proporcionar nue­ armó en defensa del trono de la Reina Doña Isabel n y de la tarde del viernes 25 de O ctubre, estamos esperando su fallo. vos placeres á sus parientas. lib ertad , que ha contiouado hasta ahora sus sacrificios, a u x i­ ¿ Se quiere mas prueba de la inocencia de estos españoles? Si es­ liando sus hijos las operaciones del ejército del Norte p…</t>
  </si>
  <si>
    <t>…e Febrero de l8 3 9 .“ Fraocisco J a ­ Reales disposiciones citadas. = Martínez.=Sres. directores vier R ein ique. Como Reina Regente y Gobernadora, durante la me­ generales de Rentas.” nor edad de mi augusta Hija la Reina Doña Isabel ii , y Y la dirección lo traslada á V. S. para su inteligencia atendiendo al mérito, servicios y circunstancias del te­ y cumplimiento. niente general D. Juan Amonio de Aldama, vengo en Varque d e artillería . Dioi guarde á V. S. muchos años. Madrid 28 de Ene­ nombrarle capitán general de la…</t>
  </si>
  <si>
    <t>…stro suelo, se con­ los leal es defensores de la Constitución de 1857 y de la Reina calle del L o b o , núm. 8 , piso segu n d o , para que los que quieb­ vertiría en abundancia la presente p e n u ria , e s , sino el coluio Doña Isabel n , é hizo conocer por medio de un a bien combi­ ran interesarse en dicha subasta , se enteren de la&amp; condiciones) dé los delirios , á lo menos una prueba manifiesta del poco co­ nada defensa al vandálico caudillo y á su vil horda que jamás previniéndose que no se a d m itirá postura que no c…</t>
  </si>
  <si>
    <t>…ley sá lica, sino por­ h u b ie ra a c rim in a d o porque dejaba m a r c h a r sin g u i a la d isc u ­ El Sr. O L O Z A G A : S eria m u y c o n venien te lo q u e el señor que representa la bandera del a b so lu tism o: Doña Isabel i i tiene sión , porque no h ab ia sabido ponerse al frente de ella. Presidente acaba de m a n ife sta r; y seria no solo convenien te, sino muchos mas y mas ardientes defensores, celosos por los derechos El Gobierno manifestó que d é lo visto hasta entonces estaba que h a sta cierto punto n…</t>
  </si>
  <si>
    <t>…ó mala fe no quisieron con­ , ría Prete!.—Ramoa Fernaridez.zrBartolorné de Bolívar.—José de trono constitucional de vuestra excelsa hija la Reina nuestra las Peñas.—Gerónimo Morales.—Francisco Vigil , secretario.— Señora Doña Isabel t i restituirán á España á aquel grado de Excmo. Sr. Secretario de Estado y del Despacho de la Gober* esplendor y de grandeza á que está llamada entre los pueblos de siderar los obstáculos que oponían las circunstancias, y les hizo nación de la Península. Europa. La Divina Providencia oiga…</t>
  </si>
  <si>
    <t>…m ir las juntas de represalias que uo C o m o Reina Gobernadora durante la menor edad de fuerza frutal prevalece, no es la libertad mas que una palabra fueran instaladas por los generales en gefe. mi. augusta Hija la Reina Doña Isabel n , conforme al ar- vana. rSi los esfuerzos del gobernador no logran que la M ilicia Q ue esas represalias tan censuradas han sido de tres meses á de la Constitución, y oido el C onsejode Minis­ nacional se in te rp ó n g a le s claro que el Estado de la Pensilvanía esta p a rte, y que la ce…</t>
  </si>
  <si>
    <t>…F E B R E R O . siendo una de ellas la de Huesca , que es la que tiene el honor y h a rá que no se obedezca otra cosa mas que al Gobierno de de representar. Que debe tenerse presente á aquellas provin cias 8. M . la R e in a Doña Isabel n en donde h a y criadores de g a n a d o s, los cuales podrían resen­ El Sr. M E N D I Z A B A L : Desearía que me dijese el señor Llamamos la atención del Gobierno y la de todos los tirse si no se adoptasen medidas oportunas. Por tanto ru e g a al M in is tro si tiene conocimiento de un dec…</t>
  </si>
  <si>
    <t>…olongada infancia del arte de enseñar. te acto. En seguida el Sr. M inistro, en no m b re de S. M. toma parte alguna, ni interviene ninguna otra faculüd men­ Antes que eu Alemania se diesen los primeros pasos para Ja Reina Doña Isabel n , declaró instalada la escu ela; y tal mas que la memoria. reunir y establecer estas reglas, y acomodar la práctica á ellas, por ultim o , el Sr. D. Pablo M ontesino, vocal de la direc­ De aquí \e inferirá que apenas es posible aprender menos una enseñanza sin método regular y la instrucci…</t>
  </si>
  <si>
    <t>…me de creído un deber sagrado elevar su débil voz hasta las gradas del iris de la Península vuestra excelsa Hija nuestra adorada Reina un modo estable y seguro. trono , y con el mas profundo respeto dar á V. M. un millón de Doña Isabel i i , y á Y. M. nuestra común M adre? Esta plaza , Señora , que en medio de las escaseces consi­ parabienes por tan grandioso acontecimiento. Acontecimiento, Dígnese pues Y. M. recibir los respetos de esta corporación, guientes á la penuria del Erario público y de los emponzoña­ Señora, debi…</t>
  </si>
  <si>
    <t>…, Clemente Serra.=Por la clase de sargentos y cabos de ca­ cilla con 15 de sus secuaces en el pueblo de Teigid,del valle de tados años la preciosa existencia de Y. M. y de la augusta Rein¡ ballería , Mariano Lapeire. Alao. Doña Isabel n para que puedan realizarse las halagüeñas espe­ El mencionado capitán general manifiesta con igual fecha ranzas de paz y de veutura , por las que anhelan todos los es­ que desde el 25 del mes pasado se habian presentado á indulto pañoles. Señora: El ayuntamiento constitucional de la villa…</t>
  </si>
  <si>
    <t>…ecer que el Senado no debía acceder á la solicitud del señor Como Gobernadora del reino durante la menor edad corporación por conducto de su secretario para antes del dia 1.° D. Miguel Laborda. de mi excelsa H ija la Reina Doña Isabel ii , y en consi­ de Marzo próximo venidero, en el cual se proveerá coa vista El Sr.LABORDA, después de manifestar lo sensible que le deración á lo que me habéis expuesto, He venido en de­ de las que se reciban á favor de la persona que por sus conoci­ es entrar en esta cuestión, puramente pe…</t>
  </si>
  <si>
    <t>…a la presente legislatura. Real decreto . condiciones los hechos que aqui se discutan , los pensamientos Eran Jas dos y media que se resuelvan, los projectos que se eleven á lejés? ¿Todo En nombre de mi augusta Hija la Reina Doña Isabel t i , y esto no constituirá una tradición que ilustrará al Gobierno, j conformándome con el parecer dei Cornejo de Ministros, he en ella no estará empapada una corporación, mucho mas que tenido á bien resolver que presentéis á la deliberación de las u n Ministro que sube hoy al poder j mañana…</t>
  </si>
  <si>
    <t>…riotas que de la independencia , y en la gloriosa lu­ naparte estaba su ruina y su desgracia ; detras de Maren- falta de tiempo y medios de trasporte se dejó clavada por una cha que sostenemos por los legítimos derechos de Doña Isabel n go y Waterlóo estaban las írias nieblas y la húmeda are­ precaución aconsejada por la aproximación de los batallones na­ y las libertades de la nación, ha cabido en suerte con el pri­ na de Santa Elena: detras del trono estaba el sepulcro. varros que todavía subsisten á devoción de D. Car…</t>
  </si>
  <si>
    <t>…añía la paz general de España; y ocupada en explicar D e 40 á 4 5 . . . ................. 75 D e 9 6 .................................... 1 agua con su cántaro, prefiriendo este trabajo a compraría de á vuestra excelsa Hija Doña Isabel ii el,código mediador, una De 45 á 50........................ 69 D e 9 7 ............... 0 los vendedores, habiéndosele observado una grande oposición á nube de beodiciones conservará la preciosa existencia de Y V. MM. De 50 á 5 5 . ................. 79 D e 9 8 ..............................…</t>
  </si>
  <si>
    <t>…en Barbeitos, y Doña Isabel Gómez , vecina de Cas­ ja del bien de la España, regentada por la augusta Reina G o­ Medrano. tañedo, los tres hacendados en la provincia de L u g o , ha pe- bernadora en nombre de su excelsa Hija Doña Isabel n , y con El Sr. P R E S ID E N T E advirtió que los Sres. de la diputa­ lido la concesión de tres pertenencias contiguas sobre el cria- motivo de los felices resultados del convenio de Vergara , dis­ ción podrían reunirse mañana en el salón; invitó á los Presi­ 3ero de carbón del G ab ito ,…</t>
  </si>
  <si>
    <t>…taciones sobre las Ruinas de mados por la nación, en que se apoya el augusto solio de la Palmira , de Volney , un tomo en 4-°&gt; rústica............ 23 tuladaaplaudida ópera en dos actos , del maestro B ellini, ti­ muy Reina Doña Isabel it. Summariura Hist. Eccl., dos tomos en un volumen , 8.° NORM A. Como nuestros hermanos de U ltram ar, que continuando m ayor, rústica...................................................................... 21 unidos á la metrópoli , contribuyen á cubrir las atenciones del Ignographia Eccles…</t>
  </si>
  <si>
    <t>…e y Gobernadora del reino durante yIglesias caballos: y haberse presentado á indulto los facciosos Lázaro y Ramón Quiniela. res italianos; mas ya les ha llegado su turno á los de los otros la menor edad de mi excelsa Hija Doña Isabel n , he países. El ilustre Meyerbeer será el que rompa la marcha con venido en admitir, en su Real nombre, la dimisión su Pioberto el Diablo , que ya se está estudiando, y concluido que ha hecho D. José María Chacón del cargo de El comandante general de las provincias de Ciudad-Real los traje…</t>
  </si>
  <si>
    <t>…esita el pais cuya confianza bernadora, á nombre de su excelsa Hija nuestra augusta Sobe­ ministerio Melbourne habia cesado de existir, pues su dimisión se ha perdido; se debe trabajar en hacer renacer esta confianza: rana Doña Isabel 1 1 , con el gobierno de estas islas, en relevo colectiva habia sido aceptada: tenemos pues el derecho de pe­ el ministerio ha renunciado al bilí de la Jamaica contra sus del digno gefe que os mandaba, porque S. M. desea utilizar dir á lord Melbourne, después de lo que ha pasado, algunas mas…</t>
  </si>
  <si>
    <t>…r e d e m i a u g u sta Señora: Recibido anoche el correo de esa corte, sin aguardar El capitán general de Extremadura en su parte de opera­ á m andato, estos vecinos de su voluntad iluminaron al in stan ­ H ija la R e in a Doña Isabel i i , y en c o n fo r m id a d con e l ciones del dia 7 dice que á beneficio de las disposiciones que te sus balcones y ventanas , entregándose como por encanto á art. 15 de la C o n s t it u c ió n , óido el Consejo de M inistros, adoptó para impedir á toda costa la reunión de las hoidas del…</t>
  </si>
  <si>
    <t>…o unos y otros á satisfacción del García Valdeavellano.ziPedro de Isla, secretario contador. mencia el prim er cum pleaños de mi m uy am ada y excel­ tribunal com petente no haber podido presentarse dentro sa Hija la Reina Doña Isabel n , después de los faustos y de dicho térm ino, no les perjudicará su trascurso para m em orables acontecimientos precursores ciertos de la fe­ gozar del indulto. licidad de la nación y consolidación del trono y de la Cons­ Excmo. S r .: Tengo el honor de pasar á manos de V . E. la Art. 7.…</t>
  </si>
  <si>
    <t>…sin trascurso de los años la hora solemne, que ya se acerca, de en­ tador de la paz , por la que tan en vano suspiraban los espa­ embargo que sabíamos que habia ido el Sr. gobernador eclesiás­ tregar el cetro á las manos de Doña Isabel n , que ya se habrán ñoles todos. Yencer olvidando, rendir atrayendo, salvar per­ tico, y que antes de concluir de decir á S. E. lo que se habia tornado vigorosas y aptas pare manejarle, le podréis decir con donando, afianzar el trono, la Constitución y las leyes con las propuesto, hubo de co…</t>
  </si>
  <si>
    <t>…o las disposiciones adoptadas por el duque de Hoy, con motivo del cumpleaños de S. ¡VI. la Reiría biesen sido expendidos los billetes, con la puntualidad que tie— la Victoria en las provincias del N orte sobre alzamiento de Doña Isabel n, ha sido dia dé gala con uniform e, y ha ne acreditado este establecimiento. secuestros y devolución de sus bienes á sus respectivos due­ habido besamanos general, á que barí concurrido los em­ ños. (Núm . 1773.) bajadores y ministros extranjeros, secretarios del Despa­ C ircular del M inis…</t>
  </si>
  <si>
    <t>…brigadas mon­ .................................. 801 Gerooa..................................... tadas del mismo. 687 Granada. ............................ 11. Los destinados al servicio de postas y correos según 1262, Doña Isabel n por la gracia de Dios y por la Constitu­ Guadalajara. contratas. ........................... 545 ción de la monarquía española Reina de las Españas, y G u ipú zcoa................................... 357 12. Los potros cerriles que no hayan llegado en las en su nombre Doña María Cristina…</t>
  </si>
  <si>
    <t>…tiene de sitio 3 52i pies y cua­ quienes se habia formado la coa! ci *n, h ci *ron dimisión; pero tro cuadrados superficiales, y se ha retasado igualmente por no habian sido vencidos en la luetta parlamentaria. Sus princi­ Doña Isabel n por la gracia de Dios y por la Consti­ dichos arquitectos y por D. José María Gualiart, que también pios habian triunfado constantemente; sus actos acababan de tución de la monarquía española Reina de las Españas, lo es, en 43644 rs« vn. á deducir cargas, cuyas tres casas son recibir una sa…</t>
  </si>
  <si>
    <t>…rse al esclarecido guerrero del ejército P asiv a, 7|. lo , tiene el honor de acercarse á los pies del trono de vuestra del N orte, sus padecimientos dism in u yen , y en proporción de D iferida antigua , 8*. excelsa H ija Doña Isabel n , nuestra adorada R eina, para felici­ ellos se propaga una alegría universal. Tres por 100 portugués, 24j-. tarla por los faustos y grandiosos sucesos que han tenido lugar El objeto no puede ser mas d ig n o , y cuando la divina Pro­ cu las provincias del N orte, y por la precipitada fug…</t>
  </si>
  <si>
    <t>…Manuel de la Escosu- en 1823. ^ asistente de Sevilla, que suscribió y asistió al banquete, brindó 8 *a. Un toraoea 8.° con retrato de Napoleón. 8e venden á 14 rs. en la librería de Sojo, calle de Car­ el ultimo por la R.tina Doña Isabel ir y por la felicidad de la I El traductor cree haber 'hecho cuanto estaba de su parte retas. ~ España bajo las iotituciones liberales. (El Piloto .) para no alterar los pensamientos del príncipe L u is, imitando su estilo y sus maneras, sin apartarse de la locución genuiua gg ... :astella…</t>
  </si>
  <si>
    <t>…l 26 dicen lo siguiente: Y . M. viendo en ellas afianzado el trono de nuestra inocente y los ingleses. Los americanos, aprovechándose de este estado de La intendencia sanitaria ha mandado disponer en el laza­ legítima B.eioa Doña Isabel ti y las libertades nacionales con­ cosas, monopolizan el comercio del te para conducirlo á In gla­ reto la estancia de S. A. R. el duque de Orleans con todo el signadas eu la Constitución de 1857! terra , y mas principalmente á las posesiones británicas de las esmero y la elegancia que permi…</t>
  </si>
  <si>
    <t>…a: La veneración sada, D iputado.—José Suarezde Fuga , Diputadó.tdManuel Fei- y profuodo respeto que la provincia de Orense ha tributado jas y R io , secretario. A f r ic a constantemente á V. M. y á la Reina Nuestra Señora Doña Isabel il*. el acatamiento y noble sumisión con que en todas épo­ cas ha obedecido y cumplimentado las órdenes de vuestro Go­ A rgel 24 de Noviembre. bierno, son, Señora, el homenaje de gratitud y lealtad que ha Señora: La diputación provincial de Zamora al reunirse en prestado siempre á los pies de…</t>
  </si>
  <si>
    <t>…que no se puede desconocer, blico, vengo en conferirla, á nombre de mi augusta Hija ineses contados desde esta publicación parezca personalmente en que está d iv id id a España en dos grandes fracciones; e^tas son, ía, Reina Doña Isabel n, de acuerdo con lo propuesto por este juzgado y escribanía m ayor de R en tas, sita en el piso ba­ la una respecto á las provincias que sufren sobre sí todo el peso el Consejo de Ministros, á D. José Ferraz, oficial que fue jo de la a d u a n a á contestar á los cargos que le resultan en un…</t>
  </si>
  <si>
    <t>…e en las doctrinas particulares de los escritores. Al con­ se solventarán en los mismos plazos de los 60 y 120 d ia s ; y trario , en su opinión la verdadera literatura moral es la no­ En nombre de mi augusta Hija la Reina Doña Isabel n , y si no lo verificasen, los frutos ó rentas de los propios bienes vela , porque esta contribuye á corregir las costumbres. conformándome con el parecer del Consejo de Ministros, he quedan sujetos hasta el total reintegro del principal y costas. Concluyó pues reasumiendo cuanto habia mani…</t>
  </si>
  <si>
    <t>…todas las tentati vas para c a l ma r las inquie-* P aris 2 9 d e Abril. tudes de Mr . D u p i n , y de consiguiente desde J u e g o .se ha c o n ­ del re i n o , d q ra n te la m eno r edad de mi excelsa Hija la R e in a Doña Isabel n , he ve n id o en n o m b r a r para ei r e ­ si derado la combinación como di&gt;ue!ta, y los rniembios del G a ­ En el M onitor B elga de 2 3 del corriente se p ubl i c a u n a binete no han tenido necesidad de proentar.se en palacio. fe rid o e n c a rg o , con la misma calidad de in te r…</t>
  </si>
  <si>
    <t>…antes eran enemigos de los indispu­ ticipadamente con la hermosa esperanza, de que terminada esta tables derechos de vuestra augusta Hija la Reina nuestra Se­ contienda, horror de la humanidad y escándalo del siglo en ñora Doña Isabel n. Si el corazón magnánimo de V. M. ha que vivimos, morigerados los pueblos y triunfantes las leyes y Señora: El ayuntamiento constitucional de la villa de A r recibido tan grata alegría al ver aliviada la triste suerte de los las buenas costumbres, desaparecerán para no volver jamás los ga…</t>
  </si>
  <si>
    <t>…n a G o b e r n a d o r a , á n o m b r e de mí au g u st a excelsa H ija para rep ro ducir en él los testimonios de su a d h e ­ H a rin a de trigo , las 8 0 0 libras. ........................ 5 6 16. . 15 Líjn la Re i n a Doña Isabel 1 1 , y en con l o m u d a d con el sión y fidelidad nunca desmentidos. pm barriles con peso cada uno de 2 0 0 Grandes so t i , S e ñ o ra , los sacrificios que p ara la defensa de a r t í c ul o l o de la C o n s t i t u c i ó n , oido el Consej o de Mi nis­ libras , el lastre de 12 barri…</t>
  </si>
  <si>
    <t>…os ciudadanos. Persuadidos justicia , conservar el trono constitucional de uuestra inocente to según las últimas noticias de Alejandría. Pero en caso de que su principal deber es el de contribuir eficazmente á prestar Reina Doña Isabel n , y la Regencia de V. M ., que con tanto nuevas tergiversaciones, se conocerán positivamente sus inten­ al Gobierno de Y . M. el franco, leal y decidido apoyo que re­ anhelo desean los españoles para su bien y felicid ad ; asi pieu- ciones fu tu ras, y se obrará en consecuencia. quieren l…</t>
  </si>
  <si>
    <t>…uestro cargo D. José María Secades, con vengó en concederle , á nombre de mi augusta Hija la licidad n a c i o n a l , y producido las emociones mas vivas de reco­ retención de esta plaza, a que deberá volver terminada Reina Doña Isabel n , honores de intendente en provin­ nocimiento y de g r a t it u d en favor de la a u g u s ta M ad re de que sea aquella comisión. Tendréislo entendido, y dis­ cia. Tendréislo entendido, y lo comunicareis á quien cor- nuestra id olatrada R ein a Doña Label i r , que tan h áb ilm e n te pond…</t>
  </si>
  <si>
    <t>…o su administración con la m ayor prosperidad, y que Tres por 100 portugués, 241* ciera en el fausto advenimiento al trono de vuestra preciosa producirá al pais las ventajas que desea el Gobierno, quien dis­ H ija la Reina Doña Isabel n , objeto del mas acendrado amor pensará al banco y á sus diferentes ramificaciones todo el apo­ y del mas lisonjero porvenir de los españoles. yo y protección que las leyes permitan para favorecer y faci­ Nos escriben de Fontainebleau con fecha 5 de O ctubre: Los prósperos acaecimientos q…</t>
  </si>
  <si>
    <t>…a es la expresión de gracias mas cia el buen espíritu que los animaba en obsequio del trono de medios, de los que la hum anidad ha conseguido inmensos bene­ grata al Señor; por la caridad y misericordia se hizo hermano S. M. Doña Isabel ii , de la augusta Reina Gobernadora y de ficios. nuestro t y á poco de nacido en un establo, tuvo buen cuidado las instituciones liberales que rigen. Dar una breve noticia que abrace estos puntos con mayor ó de hacer publicar la paz sobre la tierra desde la humilde cuna menor extensión, segú…</t>
  </si>
  <si>
    <t>…de Noviembre de 1856, por la cual se mando abonar a los com­ comercio, igualm ente que los de las rentas públicas, d an­ pradores el 5 por 100 sobre el total importe de ios plazos que En nombre de mi augusta Hija la Reina Doña Isabel ir, y anticipasen; do cuenta a las Cortes al tiempo que se presentasen á conformándome con el parecer del Consejo de M inistros, he pero han sido muy pocos los que han adelantado su exám en y deliberación los presupuestos de aquellos tenido á bien resolver que presentéis á la deliberación de…</t>
  </si>
  <si>
    <t>…go por mi Real decreto de anteayer, tengo á nes y aletas de dicha alcan tarilla; conducir unas ¿{¡ varas cú­ bien concederos á nombre de mi augusta Hija la Reina bicas de piedra, y mezclado con la arena 15 cahíces de cal que Doña Isabel u la gracia y facultad de usar de la media se gradúan necesarios para la conclusión de la obra. REINO DE H ANNOVER. firma X imenez en todos los oficios, cédenes, cédulas, pa­ saportes y demas documentos que expidáis para España y Obras d e con serva ción . H annóver 25 d e A bril. para Ultram…</t>
  </si>
  <si>
    <t>…lándoos la senda de gloria Alicante, 1 d. Santiago, í | á 2 id. cencia, teniendo bajo doseles magníficos los retratos de nuestras Os impulsan por ella á correr: Barcelona, á ps. fs., i papel b. Sevilla , par. augustas Reinas Doña Isabel n y su excelsa Madre Cristina; Alli, os dicen , allí es el destino Bilbao, 1 d. Valencia, \ d. á la vista de un lucido y numeroso concurso de personas de to­ Que os aguarda logrando el vencer Cádiz, \ id. Zaragoza , par. das clases y estados, tuvo principio la ceremonia con una bri­ Los difíc…</t>
  </si>
  <si>
    <t>…López, escribano público por S. M. la R ei- CRUZ. A las ocho y media de la noche. Se pondrá en •1® en O bon, Fosa y pueblos inmediatos á esta * y el Sr. ge- rtttfzl Ayerve entró temprano el mismo dia en Muniesa; asi es 0 na Doña Isabel 11 (D. L. G .), del número y juzgado de la escena la muy aplaudida ópera jocosa en dos actos, música del villa de Hellin, certifico: Que por la sala segunda de la audien­ maestro R icci, titulada: qúe no euiprendiendo aquellos cou la prudencia de costumbre su retirada, auuque creo la habrán…</t>
  </si>
  <si>
    <t>N.° 1 8 0 1 . MARTES 15 DE OCTUBRE DE 1839. diez c u a r t o s . venturoso desenlace de la guerra en las provincias del N orte, Fernando á vuestra excelsa H ija la Reina Doña Isabel i r , ase­ PARTE OFICIAL. cuna y principal freo de la mas obstinada revolución. gura al mismo tiempo de un modo estable y duradero la paz A l suplicar á Y . E. se digne presentar la citada fe lic ita ­ tan deseada de todos los buenos españoles. c ió n , que es la expresión fiel y sincera d…</t>
  </si>
  <si>
    <t>…n número de casas particula­ impulsados de los mas ardientes deseos por la felicidad del tro­ dadas por el celo y la liberalidad de los particulares. El cantón res estaban iluminadas. (Debats.) vo de nuestra idolatrada Reina Doña Isabel ir , dirigen su voz de Pantin está hace tiempo dando el ejemplo de una solici­ ÁV . M. llenos de la mas dulce satisfacción al considerar los tud que debe recomendarse á las otras localidades. Este cantón faustos y halagüeños acontecimientos en estos últimos dias, se compone de dos distritos…</t>
  </si>
  <si>
    <t>…o titu la d o de G o b ie rn o , que d u r a n t e la menor edad de ción prim era de un establecimiento , á fin de que logre presti­ m o qu e en ella se reciben las pequeñas c antidades á m edid a nuestra leg ítim a Soberana Doña Isabel n , a u x ilia se á su a u ­ g io desde su cuna y eche buenas raíces. q u e v a n form an do c a p i t a l , resulta por esta razón m a y o r v e n ­ g u sta M a d r e D oña M a r ía C ristina de Borbou en la R e ge n cia Pa ra conseguirlo por aproxim ació n, que es cuanto la ley pue­ t a j a…</t>
  </si>
  <si>
    <t>…cia de Guadix. la expresada dirección general, he venido en decretar á los remates, comprendiéndose también el total de los meses Igualmente se ha servido S. M. resolver que D. José María nombre de mi excelsa Hija la Reina Doña Isabel n lo anteriores, según está mandado. Villalaz , juez del partido del valle de Cabuérniga , de entra­ que sigue: da , en la provincia de Santander , pase á desempeñar el juzga­ 1.° Quedan suprimidas las plazas de director y secre­ Número do de Melgar de Fernamental, de la propia clase, en la…</t>
  </si>
  <si>
    <t>…penados en concepto de infidentes: los n e­ he venido en decretar como Reina Gobernadora durante la Tercera sección.— Circular • gociantes que falten á las obligaciones que se les impo­ menor edad de mi augusta Hija la Reina Doña Isabel n lo n en, lo serán igualmente como culpables de contrabando siguiente: El Sr. Ministro de Hacienda con fecha 23 del actual de primer grado, y con arreglo á lo dispuesto por la ley Art. l.° Se establece en Tudela un instituto elemental dice al director general de Rentas provinciales lo que p…</t>
  </si>
  <si>
    <t>…es. Por tan CORTES. caros objetos ha prodigado la nación sus tesoros, sus hijos, y SE N A D O . nada ha economizado para consolidar la corona de Castilla en REA L DECRETO. las augustas sienes de nuestra idolatrada Pceina Doña Isabel n , O R D E N D E L D IA la regencia de V. M . , y sostener con denodado arrojo el res­ Com o R ein a G o b e rn a d o ra , á n o m b re de m i augusta plandeciente sol de nuestra libertad. ¡Loor á nación tan gene­ PARA LA SESION DEL LUNES l6 DE SETIEMBRE DE 1839. Hija la Reina D oña Isabe…</t>
  </si>
  <si>
    <t>…goce de las consiguientes ventajas sin mengua alguna de dignamente la gobierna, se afiance mas y mas el trono de vues­ Art. 1.° Los empleos de Ministros consejeros de la Corona nuestro decoro. tra excelsa Hija nuestra Reina Doña Isabel n , se consolide la se considerarán en lo sucesivo como comisiones. La conservación del orden público, especialmente en medio Constitución de la monarquía , y á beneficio de la paz se cica­ Art. 2.° No se gozará sueldo ni pensión por la sola circuns­ de una guerra interior, y sin lastimar l…</t>
  </si>
  <si>
    <t>…uchos pueblos de V izcaya, entusiasta por nuestro antiguo teatro , ha querido hacer una prestándose todos gustosos á reconocer la autoridad de su leg í­ comedia del siglo xvn con la corrección que exige y enseña tima Reina Doña Isabel ir, vitoreándola, asi como á su excelsa C A J A DE A H O R R O S DE M A D R I D . el x ix ; pero enteramente española en su índole, en sus carac­ Madre la Reina Gobernadora, al duque de la V ictoria v al teres y en el giro de su enredo. Hasta qué punto lo haya con­ Gobierno de S. M. D om in…</t>
  </si>
  <si>
    <t>…nte reci­ en Monreal. bieron el sacramento de la Confirmación en la Real capilla de Señora: El gefe político interino de esta provincia, los Dia í 1 —Primera división , brigada de vanguardia y c u a r­ Palacio S. M. la Reina Doña Isabel it y su augusta Hermana oficiales de la secretaría y demas empleados del gobierno po­ tel general en Muniesa , Plou , Cortes , Mallen y Blesa.—Segu? — la Serma. Sra. Iafanta Doña Luisa Fernanda por mano del lítico de la misma felicitamos á V. M. por los asombrosos da división en Guesa, Monebo…</t>
  </si>
  <si>
    <t>…s otras observaciones que no p udi­ conseguir, y bajo el tutelar Gobierno de la Reina nuestra Se­ se ha dicho p &gt;r el Sr. Ruiz del Arbol de que se falsea la ley mos comprender; y concluyó manifestando que daba su apoyo ñora Doña Isabel ir constitucional y regencia de su au gu sta ampliando la cantidad señalada , en mi pobre entender no tiene al art. i .° M a d r e , que tan de corazón lo es de todos los españoles. fundamento a lg u n o , y el Congreso se ahorra una cantidad Se suspendió esta discusión. Dios guarde á V . E…</t>
  </si>
  <si>
    <t>…andera de la patria y venturoso di a con el que serena todos felices aainirando los he­ portante salud. en derredor del trono legítimo de la angelical y adorada Reina chos del pacificador dirigidos por Y. M. nuestra Señora Doña Isabel ii (Q. D. G.). Sírvase Y. M. dar be­ Dígnese, Soberana Señora, recibir estos sentimientos de gra­ nigna acogida á estos sentimientos puros y sinceros, y admitir titud de este cuerpo municipal y habitantes que representa, REAL DECRETO. la nueva protesta que hacen con todo el entusiasmo propi…</t>
  </si>
  <si>
    <t>…a corte un hecho tan venturoso y notable , en el dia teniéndose solo en la desgraciada España, vemos q u e , no obs­ sesiones inmediatas al cacareado Morella , de donde creian ver 10 de O ctubre, cumpleaños de S. M. la Reina Doña Isabel n . tante los desastres que la afligen, rivalizan las señoras en el celo la derrota del ejército cristino. Al efecto se celebró en la iglesia de Monserrate una solem­ y la caridad , que desgraciadamente no mueven el corazón de Acaban de salir para Segorbe las tropas, qne llegaron ayer, ne mi…</t>
  </si>
  <si>
    <t>…antes. Los Se dice que la Duquesa de Berry no ha querido volver á Gratí to, único medio de sostener el trono de vuestra excelsa Hija Tritón, Júpiter , Hercule y Trident, con el bergantín para evitar toda explicación. {Id.) Doña Isabel n , la Constitución, y acabar la guerra que nos naviosBougainville estaban en Smirna. El bergantín Mésange en la devora. de los Dardanelos, y la corbeta Brillante en las Dígnese Y. M. admitir esta franca y leal manifestación dél embocadura costas de Siria. La escuadra ha estado cruzando en…</t>
  </si>
  <si>
    <t>…upado en negociaciones d irigid as á arreg lar d efin itiva­ Consejos m unicipales, habiéndose adoptado las medidas nece­ mente las desavenencias existentes entre la Holanda y la B élgi­ nor edad de mi excelsa Hija la Reina Doña Isabel n , y sarias á fin de que para el 1.° de Febrero próximo esten m ovi­ ca. En consecuencia se ha propuesto á los Gobiernos holandés teniendo en consideración el mérito y los servicios del te­ y belga un tratado definitivo de paz, fundado en otros conve­ lizadas estas divisiones. (G a cetle d…</t>
  </si>
  <si>
    <t>…tales de E uropa, hacen esperar al d i ­ rores. Por é s a ^ l maternal Gobierno de nuestra inocente sabor el enemigo , con cuya carga creyó sin duda triunfar á su rector del Instituto no quedaran defraudados sus buenos Reina Doña Isabel ii y su augusta Madre la Reina Go­ ; pero el valor y decisión con que le salió al encuentro deseos de plantear en esta provincia una institución tan bernadora ha dispuesto que en todos los establecimientos roso , se infantería,nuestra que á quema ropa le hizo un fuego horro­ echó sobre ella…</t>
  </si>
  <si>
    <t>…drian tener incalculables consecuencias. Como Reina G obernadora, á nom bre de mi augusta haga extensivo a toda pieza que forme parte de las mismas. Cierto es que en Oriente han llegado las cosas á tal punto, Hija la Reina Doña Isabel n , y en conform idad con el En su vista, y contbrm andóse S. M. con el dictam en de la que un primer cañonazo tirado por una de las uumerosas es­ 3 rt, 15 de la Constitución, oido el Consejo de Ministros, junta consultiva de aduanas y aranceles, que V. S, inserta cuadras concentradas cerca…</t>
  </si>
  <si>
    <t>…ub licaron su prospecto y alg unas m uestras de .versifica*- Mr. Galiset, abogado de la familia Napoleón, presenta eu de someter la cabeza de dicho criminal á la prueba de su sis­ c io n , h a rá tres meses poco mas. D e la Doña Isabel ofre­ favor de la petición Ls observaciones siguientes: tema. Hé aqui el resultado de la inspección del cráneo: las pro­ cemos h a b lar otro dia con alg una extensión á nuestras 1.a E l'tratado de Fontenebleau no se halla representado, el tuberancias mas notables eran las de la benevolencia…</t>
  </si>
  <si>
    <t>…disidentes vascongados, y conducidos de las inspiracio­ SE N A D O . beneficios de tal cuantía. nes mas nobles, han reconocido el trono de vuestra excelsa H i­ Los asiduos cuidados de Y . M . , su maternal solicitud , la ja Doña Isabel n y el Gobierno constitucional que felizmente PRESIDENCIA DEL SEÑOR MOSCOSO DE A L T A M IR A . previsión y sabiduría de sus disposiciones nos conducen al puer­ impera. Este fausto acontecimiento debido á las sabias y ma­ to desalvacioo. A si, desembarazado el Gobierno de las inmensas ternale…</t>
  </si>
  <si>
    <t>…ón , está preparada por el Gobierno, y en el dia Yo he visto coa la mayor complacencia á S. M. la Reina el Congreso. 12 me ha autorizado S. M. para presentarla al Congreso de se­ Gobernadora , y sobre todo á su augusta Hija Doña Isabel ir ^e dio cuenta de haber sido destinado á la tercera sección ñores Diputados con otras varias. el dia que se abrieron las Cortes , y toe llené de júbilo al verla D. Pedio M iranda, Diputado por Madrid. Ha dicho también el Sr. González que el Gobierno, separán­ alzada y robusta, porque en mi…</t>
  </si>
  <si>
    <t>…sa salió por las calles paseando y vitoreando el augusto rni proyecto, el v ariarle , adicionarle, corregirle &amp;c. Síc. con el Sr. Mendizabal sobre manutenciou del culto y clero ; y ap o ­ retrato de nuestra idolatrada Reina Doña Isabel i r , sin omitir tal de que se consiga el objeto que me he propuesto al presen­ yándola su autor brevemente, concluyó pidiendo que puesto los vivas que son debidos á la augusta Reina Gobernadora, á tarle. Este es hacer una ley penal que ponga coto á las de­ que habia una comisión y a nombra…</t>
  </si>
  <si>
    <t>…a se incorporen á las filas leales, proclamando todos á nuestra en pasivo servicio, elevar sus sentimientos á la mejor de las tienen satisfecha la obligación ó cargo de abogados de po« inocente Reina y vuestra excelsa Hija Doña Isabel 11, la Reinas, participando de la satisfacción de V . M. al ver ter­ b re s, ademas de que la elección de la mayor parte recae Constitución de 4837 y la Regencia de V . M. minada la guerra civil donde tuvo principio y donde existían sobre unos mismos letrados, á quienes se imposibilita de l…</t>
  </si>
  <si>
    <t>…, los años que la necesita esta rio á quien tiene el honor de representar. L orca 10 de O c ­ constitucional de nuestra 110 menos adorada que inocente R e i ­ tubre de 1839 =:Señora. zr A L. 11. P. de V . M. rrPcd ro E y- na Doña Isabel 11. Los faustos acontecimientos con que puede monarquía para su felicidad. To rre del C a m p o , provincia de J a é n , 5 de O ctu b re de tier.inJosc M aría Carrasco.“ Eelipe M a rín .rzjacinto Reída.— M igu el V a ld cs .—Juan P e re z Perez.irlndolecio N a va rro .ziM a- asegurarse ha…</t>
  </si>
  <si>
    <t>…n iversal d e Suiza.) Escriben de Roma con fecha 27 de Octubre : Como R ein a R egen te y G obernadora d u ran te la m e­ El Santo Padre ba estado indispuesto unos dias con un ata­ n or edad de m i excelsa H ija la R ein a Doña Isabel n , ven - ¡ que de fiebre, que al fin ha desaparecido. go en n o m brar Secretario de Estado y d el D espacho de I La presencia del duque de Burdeos en esta sirve de texto M arin a, Com ercio y G obernación de U ltram ar a D. Ma- i para la conversación del día por haber venido sin pasaportes…</t>
  </si>
  <si>
    <t>…pueblo , ínterin queda rogando al Hacedor supremo por cual al ver aproximarse la división, se puso en retirada para campo, y á merced de esta calamidad, de los bosques y de le lis importantes vidas de nuestra excelsa Reina Doña Isabel 11 apoderarse de la montaña de Monseny, habiéndolo hecho antes muy fangoso del camino, se dispersaron muchos en distinta* f la de V. M. de otras fuerzas que la referida columna del Vallés y un escua* direcciones: mandé la caballería en persecución de ellos, que Ayuntam iento constitucional…</t>
  </si>
  <si>
    <t>…n la librería dé Gilá‘ cidfe de consolidar la Constitución de J.837, el trono legítimo de la respondencia desde esta corte á^Búrgpsgpor ¿Medina del. Campo} de Carretas, y por 39 en todas las administraciones de Correos Reina Doña Isabel t i , la regencia de su augusta Madre y la y Valladolid, por el tiempo y precio que consta del pliego de. de las capitales, y en las librerías de Ferro en Cádiz, Rey Ro­ tranquilidad pública, han pagado sus respectivas cuotas, oyen­ condiciones que se ha formado al efecto, y estará de manifie…</t>
  </si>
  <si>
    <t>…puesta de 4 9 caballos, manifiesta que debiéndose someter un dia de estos su asunto á restos de la de C á lv e n te , ocasionándole la pérdida de 5 prisio­ la deliberación del Congreso, solicita que con arreglo al artícu ­ Doña Isabel n por la gracia de Dios y por la Consti­ neros y 11 caballos, y habiendo salido heridos alguno s de los lo 9.° del reglamento se le permita tomar parte en el daba t e , y rebeldes, y entre ellos gravem ente el mismo Morales. D icho co­ usar de la palabra para su propia defensa. tución de la…</t>
  </si>
  <si>
    <t>…encuentran poseídos todos los habitantes de esta ciudad los á la unión y felicidad de los españoles, bajo el legítimo go ­ por los recieotes y felices acontecimientos precursores de la paz bierno de su excelsa Hija la Reina Doña Isabel i r , verá con tan deseada: de una p a z , S e ñ o ra , qiie hará cesar para siem­ júbilo en el próximo desenlace que estos sucesos ofiecen el S. M. la R e i n a , su augusta Madre la R eina G oberna ­ pre la desolación y ruin a que amagaban an iq u ilar esta nación término feliz á que ha d…</t>
  </si>
  <si>
    <t>…lecerse en R usia, llegó aqui en in­ choso porvenir bajo el Gobierno justo y protector de la Reina videncia dada por S. S. el Sr. D. Andrés Hore, ministro hono­ vierno— Y qué pudo influir la estación en el título que se le Doña Isabel ii y de la regencia de su Madre augusta, Madre rario de la audiencia de Oviedo, y juez de primera instancia d ió ? Es que cuando un noble tártaro aparecía por primera asimismo y Madre bienhechora de los españoles, han sucedido de la ciudad de Saotiago y su partido: en el expediente de in­…</t>
  </si>
  <si>
    <t>…ente y G obernadora del R e in o , d u ran te S . M. la R e i n a , s u augusta M adre la R e i n a G o b e r n a ­ mente él aspecto de las cosas. L a condición de la elección cam la m enor edad de mi excelsa Hija la Reina Doña Isabel n&gt; d o r a y la Serm a. Sra. Infanta Doña María Luisa F er­ bió de repente. ¿D eb ería por lo mismo haberse consultado d y en su Real n o m b re , en uso de la prerogativa que et nan d a, continúan en esta corte sin novedad en su im ­ nuevo la voluntad de la n ación? L a crítica y la polít…</t>
  </si>
  <si>
    <t>…ción p ro ducirá efectos dolorosos para los españoles am an tes del ró Y . M . la p ro fu nd a sim a que am enazaba sep ultar el trono puestos á secundar las filan tróp icas ideas de V . M . , sostenién­ trono de la R eina Doña Isabel ii y C onstitución de 1857 ; y entre las ru in a s de la p a t r i a , felicita á V . M . y se acerca á los dola en el trono leg ítim o de sus m ayores bajo la é g i d a de la deseosos de que t riu n fa n d o estos objetos se alcauce y consolide pies del trono de vuestra excelsa H ija á hac…</t>
  </si>
  <si>
    <t>…ón necesarios. ú timas legislatu ras), M ugartegu i y Mazarredo son todos c u a ­ P a r i s , 1 6 -5 . G ranada , 2 ¿ á § id. Almodóvar del Campo 9 de Diciembre de 1859.r:José V i ­ tro muy adictos á la Reina nuestra Señora Doña Isabel n , la M á l a g a , 1£ id. llar y N u ñ e z , secretario. Reina Gobernadora y la nación. El Sr. duque de la Victoria ha sido nombrado diputado San tan d er, par. general por aclamación. A lic a n te , i papel d. S a n t ia g o , 2 d. Ayer 12 tomó posesión la nueva diputación fo ral; y en…</t>
  </si>
  <si>
    <t>…s en el Como Regente y Gobernadora del reino durante la protección , y al Excmo. Sr. comandante general este m ovim ien­ campo , y en poder de nuestras tropas 57 prisioneros y 25 fu ­ ménor edad de mi excelsa Hija la Reina Doña Isabel n , t o , para que según habiamos convenido incomodara desde el siles, cornetas, cajas de guerra y otros efectos que abandona­ Vengo en nombrar Secretario de Estado y del Despacho camino real con la artillería, y echara abajo los parapetos cons­ ron los rebeldes en su fuga. La pérdida de nu…</t>
  </si>
  <si>
    <t>…Calvo.nPor la de Nacionales, en todos los españoles sino súbditos obedientes y leales al ylosconcordia, y con ella la principal gloria á que aspira Ruperto Molero y Valentín Falero Fajardo. trono de mi excelsa Hija la Reina Doña Isabel n , y de lo S. M.pueblos, como Madre y Gobernadora. muy grata y satisfactoria que me ha sido la medida entre Lo que de Real orden digo á V. para su exacto cum­ Señora: Si las victorias obtenidas á fuerza de sacrificios, otras varias adoptada por el ilustre general duque de la plimiento, en l…</t>
  </si>
  <si>
    <t>…i se aprobaba el párrafo con las dos fáltanos ver para colmo de nuestra dicha el que S. Pvl. biduría del Senado , y yo seria un imprudente si dejándome modificaciones enunciadas, se contestó que sí. Fueron igual­ L L i n a Doña Isabel tt llegue á aquella edad en la que pueda llevar de Ja bondad de la causa me detuviese á probar lo que mente aprobados sin discusión los párrafos 12 , 15 y 1/j.. unir su destino á un Príncipe digno de su augusta mano, que está tan fuertemente impreso en el ánimo de todos los Sres. Se­ El Sr.…</t>
  </si>
  <si>
    <t>…um pa V . S. al Libertad de im p ren ta: con este motivo ha im pugnado S. S. posible dejar de hacerlo. Sr. M inistro. el párrafo relativo á este p u n to , y yo voy á contestarle con Habló S. S. de la educación de la Reina Doña Isabel n , y El Sr. M inistro de G R A C I A Y J U S T I C I A : Después de una observación suya que he copiado. " L a imprenta , dijo S. S., extrañó que no se hiciera uoa indicación de ello en el discurso eso ha tocado el Sr. Ochoa otro asunto ciertamente delicado. se precipitaba hasta el cieno.” P…</t>
  </si>
  <si>
    <t>…sco N o gu erol.—E l regidor s e x t o , José M a r í a Como Reina G obernadora, á nombre de mi augusta Cam ota, vecino de Marzoa. Palmeyro.rrEI r e g id o r , José C o c i ñ a —E l re g id o r , José M a r ía Hija la Reina Doña Isabel n , y en conformidad con el Berm udez M a c e d a .^ E l síndico prim e ro , Tomas Antonio Pi-* art. 15 de la Constitución, oido el Consejo de Ministros, ñon.zzEI síndico se g u n d o , Domingo Castiñeiras.—P. A . D. A . , he tenido á bien nombrar Senador por la provincia de To­ EXPOSICIONES…</t>
  </si>
  <si>
    <t>…s reinos NORMA. Cotización del día 18 a las tres de la tarde. de León y Castilla, por el doctor D. Francisco Martínez Marina. Segunda edición, corregida y aumentada por su autor. En celebridad de los dias de S. M. la Reina Doña Isabel 11 EFECTOS PUBLICOS. Si la obra que se anuncia fuese nueva para el público , y estará iluminado el teatro. su autor desconocido en el orbe literario, seguramente que so­ Inscripciones en el gran libro á 5 por 100 00. brarían materiales para presentar una abundante muestra de las Títulos a…</t>
  </si>
  <si>
    <t>…seccio­ llevarlas á c a b o , consumando la obra de la te r m in a c ió n de (a nes de contabilidad de ios gobiernos políticos procedan g u e rra c iv i l tan a d elan tada por efecto de sus sábias p ro v id e n ­ la Reina Doña Isabel n lo siguiente : con el debido conocimiento a la exacción del contingente cias , los esfuerzos leales del Gobierno de V . M . , el va lo r y v i r ­ Art. L° , Sin perjuicio de lo que la ley determine sobre tudes del ejército y de los d ign o s gefes qu e los m a n d a n . el modo de satisfa…</t>
  </si>
  <si>
    <t>…de Avisos de esta ca­ Se han publicado varios opúsculos en defensa de los dere­ nicer , también expresamente compuesta para esta función ; ser„á p ita l, haciéndolo por sí ó por medio de apoderado autorizado chos de la Reina Doña Isabel 11; pero se echaba de menos una ejecutada por la Sra. Campos. * competentemente, á las diez de la mañana; apercibido que de obra en que se presentase plenamente la cuestión de la sucesión 4.0 Fantasía de fagot.por Mr. V illent, desempeñada por el no hacerlo se dara el juicio por intentado, .…</t>
  </si>
  <si>
    <t>…periosas, cual es la de proporcionar y promo­ Esta jornada tan útil á la causa de la nación y á la de S. M. VÍeÍ°\ ' &lt;/ : .^ ¡ ,,1 , -,,w ver la instrucción general, y muy especialmente la que tenien­ la Reina nuestra Señora Doña Isabel i r , la indico por el bien do por objeto los conocimientos necesarios ó útiles á las clases adétnas de estos beneméritos cazadores que esforzados a póiíia acomodadas de la sociedad no puede menos de contribuir sobre :on el subteniente Valdés que los mandaba , procuran dar estos’ p L ’ DIXBL…</t>
  </si>
  <si>
    <t>…fender la posición central de las casas consis­ toriales. El depósito de prisioneros, pertenecientes al ejército de po y de su propio pais para ap licarlas á otro. Un destacamento de guardias municipales á caballo que S. M. Doña Isabel 1 1 , que tenían establecido los rebeldes en la De este modo ha sido com o el mismo pueblo ruso ha desembocó por la calle de Aréis fue el primero que hizo fuego. villa de Morella, ha sido trasladado á la de Forcall ú Horcajo, ido poco a poco ensanchando la autoridad de su E m p era­ Llegaba a…</t>
  </si>
  <si>
    <t>…. c on d u c i r á á gozar de la prosperidad que prometen nuestra a d o ­ El Sr. Secretario M E D R A N O ocupó la t r i b u n a , y l eyó la L e í do el di ct amen de la comisión de Actas, relativo á las se­ r a d a Re i na Doña Isabel ir , que sábi ament e regent a su a u g u s t a m i n u t a de me n s a j e, que se halió c on f or me , y estaba concebida g u n d a s elecciones de la provincia de Tol edo, y á la i dent i dad m a d r e , ma dr e ve rdade ra de todos los españoles.... en estos t ér mi nos: (véase el a rt í…</t>
  </si>
  <si>
    <t>…sangre, acaban de repetir en la v illa de Camprodon Jas ter­ de V. M .=José de San Millan. se conservasen ilesos el principio de la legitimidad de nues­ ribles escenas que redujeron á escombros y ruinas las antes tra Reina Doña Isabel 11, y del Gobierno constitucional que florecientes v illa s d e M a n l l e u , P o u s, R ip o ll y G iro n e lla , y REAL DECRETO. tenemos jurado. N i á uno ni á otro se opone la conservación en medio de su rabiosa desesperación amenazan aniquilar es­ Considerando que cuando por mi Real d…</t>
  </si>
  <si>
    <t>…s las justas esperanzas de V . M . y del invicto caudillo cificación de la Península y la consolidación del trono de que ha sabido inspirarla y o f r e c e r la ? N a d ie , S e ñ o r a , nadie: vuestra excelsa Hija la Reina Doña Isabel 11 . Fueron tan no­ es obra de V . M . : es obra de españoles, entre quienes no cabe Id em 10. tables, y se sucedieron con tal rapidez después del cele­ la traición ni la perfidia; tendremos paz segura, im perturba­ Ayer salió una columna y hoy otra, compuestas de infan - bre tratado de V e r…</t>
  </si>
  <si>
    <t>…úon de Presupuestos lo que tros soldados, y habían empezado á ser súbditos de la inocen­ geros. ¿ Y qué fue lo que les ofrecieron los Reyes para que pu­ acababa de oir de su boca; pero que habia hecho aquella pre­ te Reina Doña Isabel n . diesen creer que era contra fuero? Que no los ten drían , á me­ gunta para que la naciou tuviera noticia del afan y laboriosi­ Pero al deducir las consecuencias, cada u n o , señores, ha nos que otra cosa no conviniere al buen servicio de S. A. ó al dad de sus representantes en proporcio…</t>
  </si>
  <si>
    <t>…dos clases anterio res, a d m i­ V arias invectivas y otros documentos anónimos contra el tendió el dictamen á que ha aludido el Sr. L u j a n , no habia te tiéndolos por órdeo de antigüedad. Gobierno de S. M. y derechos de Doña Isabel n al trono. nido presentes los dates que ahora le han movido á opinar di 5.a El cláustro particular de catedráticos se compondrá de Proyectos revolucionarios en varios puntos de E sp añ a, y distinta manera. los que lo sean en propiedad en cualquiera facultad , y de los conatos para subleva…</t>
  </si>
  <si>
    <t>…instituciones no tendrán ya p r et e x t o alguno para ñaban. como Reina Regente y Gobernadora del R ein o , durante d i f u n di r la in ce rt i dumbr e y ia ins eg ur id ad en ios la menor edad de mi excelsa Rija la Reina Doña Isabel n, ánimos. S. M. colocada en un doloroso conflicto El brigadier segundo cabo de Valencia dice que, según el Y en su Reíd nom bre, en uso de la prerogativa que el apela al voto de la naci ón; y s us consejeros al p r o ­ parte del general en gefe del ejército del Centro del dia 8 , se­ art. 2…</t>
  </si>
  <si>
    <t>…as hasta ahora , re­ conociendo el Gobierno de nuestra legítima Reina la Se­ PARTE NO OFICIAL. En la madrugada de anteayer varios presos trataron de es­ calar la cárcel nacional, no pudiendo efectuarlo mas que dos. 1 ñora Doña Isabel ii . En consecuencia , S. M. el Rey Gui­ , - ■ ¡ El primero que escapó, descolgándose por unos cordeles, fue el llermo ha nombrado su encargado de negocios en esta cor­ famoso ladrón Salvador M aiquez, quien apenas tocó con los te al barón de Grovestins, que ejercía el mismo cargo en NOTICIA…</t>
  </si>
  <si>
    <t>…guiada por sus propios intereses ha desistido de su pulsión. que han padecido algo con la ley de ex­ Como Reina Gobernadora , a nombre de mi augusta pensamiento de enviar á Bruselas un simple encargado de ne­ Hija la Reina Doña Isabel n , y en conformidad con el ar­ gocios. 5.° Estipular desde ahora indernizacioues para aquellos de tículo 15 de la Constitución, oido el Consejo de Ministros, nuestros llamados nacionales, sobre cuyas personas se han ejer­ he tenido á bien nom brar Senadores: por la provincia de cido violenci…</t>
  </si>
  <si>
    <t>…6) Vergara ¿sobre qué superficie se fun da? ¿N o es sobre la Cons­ 9. ° 1,656 27,125 7,062 ¡ 1 1 (7) titución de 1857? ¿No es sobre el reconocimiento de la Reina 1 0 ............1 l,/,54 12,521 51,554 1 5 PARTE NO OFICIAL. Doña Isabel 11 ? ¿ No es sobre el Gobierno de su augusta M a­ dre? Si en el art. 2.° del convenio se dice que las huestes que 1 1........... 2,871 8,956 5,555 1 11 1 2........... 5,069 29,062 9,624 I U (8) 1 (9) habían sido enemigas, deponían las armas bajo estos priocipios; 1 5............. 2, 180 1…</t>
  </si>
  <si>
    <t>…d a r , que es de proclamar entre aquellas pro vin cias y las demas del reino. Se ha dicho que atreverm e á tom ar p a r t e , como m i l it a r que s o y , á pesar de m i otro p rin c ip io en contraposición á la R e in a Doña Isabel ii , alli los fueros qu e se conceden son contrarios á la C o n stitu ció n : y o m u y conocida insuficiencia r e tó r ic a , y lo que es m a s , sin em ­ bien puede decirse que la cuestiou era v erdaderam ente m o n ár­ creo que no. b argo de haber debatido y a este asunto hombres doctos…</t>
  </si>
  <si>
    <t>…marques del Valle de Rivas, como Reina Regente y Go­ co de~..« lores demasiado aventurados. bernadora del reino durante la menor edad de mi excel­ La opinión general de la mayor parte de los americanos es sa Hija la Reina Doña Isabel n , vengo en nombrarle ca­ que Mr. Jaudon se ha puesto al abrigo de esta suspensión , y pitán general del distrito de Granada. Tendréislo enten­ dido y lo comunicareis á quien corresponda.t=Está ru ­ PARTE NO OFICIAL. que tiene aun mas de lo que puede creerse los medios para cum­ plir con…</t>
  </si>
  <si>
    <t>lie este. Cuando no ha dado cuartei á u n solo prisionero de tos derechos de Doña Isabel n , y ese tratado a mí desde luego se me * ral y gubernativo de la nación para que se viese que no había diferencia ninguna entre aquel y el de Castilla. ue han caido en su poder desde el 2 de Octubre al mismo di a hizo sospechoso por las manos de donde vino , pues sabido es 4 del expresad…</t>
  </si>
  <si>
    <t>…te los miembros tratamos, del que en el anterior hallábamos : á la conclu­ en el agua de una copa , y los nervios crurales con la porción por D . Francisco M artínez de la Rosa. sión del primero dejaba ya el autor asentadaá Doña Isabel pendiente del espinazo en el agua de la otra copa. Las orillas con el nombre de Zoraya bajo el rico y morisco dosel de de las dos copas han de estar casi en contacto. Toma luego una SEGU N DA P A R T E . la Alhambra. Al tomar de nuevo el hilo de la narración barrita de zinc en una mano, y u…</t>
  </si>
  <si>
    <t>…el afianzamiento de la Constitución y el rei­ G o b e r n a c i ó n d e U l t r a m a r , q u e d a n d o su m a m e n te satisfe­ ficios, tanta sangre y tantas penalidades ha costado á esta he­ nado de vuestra augusta Hija Doña Isabel 11! Si por desgracia existen disidentes con las armas en la ma­ c h a d e l c e l o y lea ltad co n q u e le ha d e s e m p e ñ a d o ; y t e n ­ roica nación, trabajada largo tiempo por todos los horrores de una c r u el y desoladora gu erra c iv il . no , si aun se tiranizan los ánimos de…</t>
  </si>
  <si>
    <t>…guerra de la independencia , y en la gloriosa lu­ El Sr. P 11ESI D E N T E manifestó al Sr. Sánchez de la Fuen­ aquellos , antes por el contrario se imponía á los pueblos una cha que sostenemos por los legítimos derechos de Doña Isabel ir te que tenia que poner por escrito su interpelación para que contribución ; y concluyó rogando á la comisión admitiese una y las libertades de la nación , ha cabido en suerte con el pri­ se comunicase al Gobierno. enmienda á aquel artículo, y se dijese en él que á los soldados mer extract…</t>
  </si>
  <si>
    <t>…rnedo, yá D. Domingo San­ hasta ahora, reconociendo el Gobierno de nuestra legíti­ tativos responsables que en la preinserta Real orden se in­ to Domingo, que lo es de Bribiesca , que han hecho igual so­ ma Reina la Señora Doña Isabel n. dican. licitud. En consecuencia S. M. el Rey Guillermo ha nombrado Dios guarde á V. S. muchos años. Madrid 21 de No­ Asimismo ha venido en nombrar, á propuesta de las res­ su encargado de Negocios en esta corte ai barón de G ro - viembre de 1839.=E1 Subsecretario, Ju an Felipe Marti- pec…</t>
  </si>
  <si>
    <t>…ometido ningún exceso de ga al Todopoderoso conserve la vida de V. M. y de su augus­ los que se temian , sin embargo , las simpatías de los peruanos Está decidido que en todo el mes de Enero próximo el con­ ta Hija la Reina Doña Isabel n muchos y dilatados años. Lugo 10 están todas en favor del general Santa C ru z, que en la actuali* de Diciembre de 1859 z=Señora.r:A L. R. P. de V. M.zzJosé V a ­ dad vive m uy retirado en G uayaquil. de de Palhen , embajador de Rusia , estará de regreso en París. lladares.—José Saavedra y…</t>
  </si>
  <si>
    <t>…pasta común. Habana, poseído del mas puro amor á su‘patria y de adhesión ficencia del aparato, para lo que no ha omitido U sociedad nin­ No escribió Polibio para ostentar su talento sino para d iri­ á nuestra inocente Reina Doña Isabel n , tan luego como tuvo gir prácticamente á los hombres. Su historia es para los políti­ gún sacrificio, á pesar del poco tiempo que ha tenido, para po­ l« noticia del convenio de Yergaray de los prósperos sucesos en cos una escuela donde se dan á conocer los intereses que media­ nerla en es…</t>
  </si>
  <si>
    <t>…. . . . . . . ................ 1448 se rá n conforme al censo electoral de cada una. Los plazos^ bajadores y súbditos de aquellas naciones que han recono­ Paleocia. ......................... 507 cido al G obierno de S. M. Doña Isabel 1 1 , se procederá en p a ra la :' e m p á d f t r ia T m te ^ , alista­ Pontevedra.. ................. 1120 718 un todo conforme a los tratados. m ie n to ,s u publicación y rectificación, sorteo y demas ope- Salamanca.............................. S a n ta n d e r ......................…</t>
  </si>
  <si>
    <t>…ibunales, justicias, Com o G obernadora del rein o durante la menor edad cia , y dos veterinarios é al bollares aprobados, nom brado ge fes, gobernadores y demás autoridades,, asi civiles com o de m i excelsa Hija la Reina Doña Isabel n, y en consi­ el uno por la diputación p ro v in c ia l, y el otro lo será un,o militares y eclesiásticas, de cualquiera clase y dignidad, deración á lo que me habéis expuesto, he ven id o en de­ de los designados en el artículo anterior. El empleado- de que guarden y hagan guardar, cu m p…</t>
  </si>
  <si>
    <t>…Antonio Hompa- dad con el parécer del Consejo de Ministros, he tenido á que habiendo sido anuladas y cauceladas, no serán admitidas ni nera de Cos. bien mandar en nombre de mi excelsa Hija la Reina recogidas por el tesoro, Doña Isabel i i lo siguiente: 1 . ■ ----------- Artículo único. Sin perjuicio de lo que la ley deter­ ?j 1 • r". ■■ Interesada la nación y sus acreedores en que á la ma­ mine en consecuencia del proyecto presentado á las ¿ o r ­ Y ^ L ayuntamiento constitucional éde Tarazona de Aragón tío* yor brevedad…</t>
  </si>
  <si>
    <t>…deración, y contendrá eu sus justos límites á los enemigos del lin a circunstancia , que involuntariamente nos ha hecho re- tie, negad o en tiempos de erro r, satisfecho de todas las desgra­ trono legítimo de nuestra Reina Doña Isabel ii . noyar los recuerdos de 1827, consiste en hallarse en la oposi- cias con vuestros libres y constantes sufragios. cioq un gran, número de amigos del Gobierno, en la manera Estoy firmemente unido á nuestro Gobierno ; pero mas bien B d rgo s 20 d e F eb rero . En la mañana de ayer partió de…</t>
  </si>
  <si>
    <t>…ispuesto en un acta titulada: riente, tengo á bien concederos, á nombre de mi augusta T emple, que si en el acto no se rendían haría cañonear aquel " A c ta que autoriza al presidente de los Estados Unidos para Hija la Reina Doña Isabel ti, la gracia y facultad de usar edificio; á c uya intimación obedecieron desde luego entregan­ aceptar los servicios de voluntarios, y para levantar un regi­ de la media firma C arram olin o en todos los oficios, ór­ do sus armas : seguíase entretanto tocando la generala por la miento adicio…</t>
  </si>
  <si>
    <t>…ejaban los orígene* particularmen* otro gefe del ejército. primeros, sobre Francia é In g la te r r a , á M M . Sismondi, A g u s­ te algo que apetecer, y por tanto he procurado esmerarme en Invectiva contra los derechos de Doña Isabel ii al trono de tín T hierry y L ii&gt; gard;en cuanto á la Alemania ; á M r. H e- despejar esta parte tan árdua de mi asun to: creo haber fijado, España , publicada en Tolosa de Francia. eren y de Hacnmer, y para la I t a lia , á Cárlos Botta. En cuan­ con esta nueva t a re a , varios puntos tra…</t>
  </si>
  <si>
    <t>…zazu. (Gaceta de La Nueva Granada .) por la tarde antes de anochecer hubo repique, y se repitió la iluminación. El 8 por la mañana apareció de manifiesto el retrato de MADRID 22 DE SETIEMBRE. SUIZA. nuestra legítima Reina Doña Isabel n colocado en un dosel en Zurich 7 de Setiembre. pabellón, adornado con tanto gusto que arrebató la atención y curiosidad del público, sobre el balcón ó fachada de la casa del Durante la noche y esta mañana temprano ha continuado concejo en la plaza de la Constitución, con centinela déla g…</t>
  </si>
  <si>
    <t>…paredón del atrio de S. Francisco de T uy corazón de V . M ., cuya vida con la de la excelsa Reina M iñó que entorpecía y hacia peligroso, especialmente en in­ en la segunda rasáóté y se amontonaron los materiales que pro­ Doña Isabel 11 dilate el ciclo muchos años. Yecla 17 de O c­ vierno, el paso de los correos y arriería. dujo en parage que no obstruye el tránsito. tubre dé ; i 839»^:S.eñora.=:A I... R. P. de V . M .=A lcalde pri­ Dios guarde á V . S. muchos años. Orense 10 de Octubre Orense 28 de Setiembre de 1839.…</t>
  </si>
  <si>
    <t>…altad los han combatido; REAL DECRETO. sargentos y cabos privados del empleo que abandonaron, llegando la afanada época de que todos á una voz proclaman á y obligados á servir el tiempo que les restaba de su em­ la excelsa Doña Isabel n , Constitución de 1837 y regencia d© peño cuando desertaron ; pero quiero extender mi Real Solícita siempre por el bien de mis súbditos, asi como munificencia en favor de estos desgraciados hasta el pun­ Y. M ., deseándoles las felicidades de Augusto. Tales son los sentimientos de este a…</t>
  </si>
  <si>
    <t>…pueblo disfruta, e9 el problema de re­ nocen otra enseña que la bandera constitucional de mi 6.° Que para que tengan el mas entero y cabal cum­ solución mas difícil para los hombres de Estado: pero la excelsa Hija la Reina Doña Isabel n. El iris de la paz que plimiento que deseo estas disposiciones, que nacen de importancia de hacerla supera á todas las demas atención apareció en Vergara presagiaba la próxima tranquilidad mi maternal amor y desvelo por la felicidad de esta na­ nes de un Gobierno digno de este nombre. Honr…</t>
  </si>
  <si>
    <t>…familias y al favor y en contra de los imprescriptibles derechos de vuestra utas que lu to , desolación y torrentes de sangre derram ada por conflicto de Jos tribunales; la de beneficencia publica, que excelsa Hija la Reina Doña Isabel n al trono español. H onor españoles de una y otra parte; pero ya se alzó el dedo de la a g u a r d a n con impaciencia millares de menesterosos , des­ y gloria eterna á esta angelical princesa :g!oria inm ortal á V. M. divina Providencia para poner ñu á tan inauditos estragos: Ya de la tiern…</t>
  </si>
  <si>
    <t>…lacer mas puro , no menos que á reiterar su adhesión deanueva.zzCarlos A rn ed o , hacendado.zz Manuel Perez R u iz , I 84O. Mehemet no ignora que una guerra semejante puede con­ á la persona de Y . M. y de su excelsa H ija Doña Isabel i r , su­ labrador de Aldeanueva.zzAgustín Moreno , labrador.zzJuan de venirle. plicando á Y . M . se digne admitir esta manifestación pequeña la Cruz Escudero, teniente cura de la villa de Aldeanueva.zz Le han sido presentadas algunas m em o rias, en las que se de su jú b il o , mientras p…</t>
  </si>
  <si>
    <t>…e conjunto de medios correctivos y morales es apli­ cha tuaciones complicadísimas y en un extraordinario interés. Estas cado á un criminal, cuya educación, cuyos hábitos, cu­ y lasque sostenemos por los legítimos derechos de Doña Isabel 11 cualidades libertades de la nación, ha cabido en suerte con el pri­ mática; perosonlabastantes por sí para recomendar una obra dra­ yo carácter en fin se han formado, aunque no modelado, mer extracto en contacto de una sociedad enteramente diversa de la fran­ de D. Juan dedeMlaata, de est…</t>
  </si>
  <si>
    <t>…o presente en exposición 1620 por ante Sebastian Ortiz y Luis García, escribanos que de esta fecha, he tenido á bien m andar, en nombre de fueron de este número, vacantes por fallecimiento de Justo mi excelsa Hija la Reina Doña Isabel n , y de conformi­ MINISTERIO DE LA GOBERNACION DE LA PENÍNSULA. Fernando López, para que dentro de 30 dias, contados desde dad con el dictámen del Consejo de Ministros, lo siguiente: Segunda sección.— Real orden. este anuncio, se presenten en dicho juzgado á deducirle y jus­ Artículo í.°…</t>
  </si>
  <si>
    <t>…, ministro de la Mari­ electo de G ranada; como Reina Regente y Gobernadora, París 20 de Julio. na, debe ir á Tolon á fines del raes , sin duda para activar lo» a nombre y durante la menor edad de mi excelsa Hija la Reina Doña Isabel n , vengo en conferirle el vicariato dados, Bolsa dé París del 16 de Julio . Cinco por 100 consoli- armamentos destinados á Oriente. 111 fr. 65 c. general de los ejércitos y arm ada, en los mismos térm i­ Id. 3 por 100, 79 fr. 50. nos que lo han obtenido sus predecesores. Tendréislo en­ De…</t>
  </si>
  <si>
    <t>…­ R e in a G o b ern ado ra d u r a n te la m e n o r e d ad d e mi augu sta ra para el restablecimiento de la Constitución federal, queda­ cesa para consumar la humillación de la patria. Bajo este punto Hija la R e in a Doña Isabel n , p ara P re s id e n te del S e n a d o rán en sus casas, sin ser molestados ni perseguidos por sus ac­ de v i s t a , que es el verdadero, considérese si el escarmiento en la p ró x im a le g is la tu ra á D. Jo sé M aría M oco so de Al- tos políticos ó militares de la época. Quedan com…</t>
  </si>
  <si>
    <t>…peleaban como contrarios. Esta ciu ­ nadora duran te la m enor edad de m i augusta H ija la R ei­ Que en un encuentro que la columna de Leira tuvo el dia dad , siempre fiel y leal á la causa de la Reina y de la nación, na Doña Isabel n , lo sigu ien te: 10 en la población de B asaras, resultaron tres facciosos muertos apenas recibió la uoticia del convenio de V ergara con la re­ A rticulo i.° Se establece en la ciud ad de C áceres un en el cam po,é igual número de heridos, habiéndose aprehendido conciliación de los dos e…</t>
  </si>
  <si>
    <t>…uarde la preciosa vida de V. M. y la de vuestra a u ­ Señora: Al cabo de tantos dias de luto y de desconsuelo van apareciendo ya los de una inmensa alegría y regocijo. Y a, NOTICIAS EXTRANGERAS. gusta Hija y nuestra Reina Doña Isabel n muchos años para Señora, gracias al cielo , van los rebeldes reconociendo sus er­ F R A N C IA . felicidad de esta monarquía. rores y extravíos, y quizá no esté largo el momento de que to­ Burgos de su ay untamiento 20 de Setiembre de 1859 “ Se­ dos ellos se sometan al dulce y maternal Gob…</t>
  </si>
  <si>
    <t>…asuntos tropas del ejército. Presidente él Sr. La H e ra , secretario el se­ capital nuevos testimonios de su no desmentida lealtad en las mas urgentes no la oca pan. ñor López Pinto. repetidas aclamaciones á S. M. la Reina Doña Isabel n y á su La mayor parte de los alcaides de las cárceles de España no Comisión que ha de informar sobre el censo de la población augusta Madre la Reina Gobernadora , de su gratitud victo­ son nombrados libremente por el Gobierno ni por ninguna otra de Granada. Presidente el Sr. Saenz, secreta…</t>
  </si>
  <si>
    <t>…AÑA. cada paciñcacion de la monarquía, y dar á esta desventurada patria los dias suspirados de una dichosa paz, afianzando el Hé aqui las noticias que se recibieron ayer noche del can­ trono de vuestra augusta y excelsa Hija Doña Isabel i i y la tón del Tessino: Londres 15 de Diciembre • regencia de V. M. Las tropas mandadas por Luvini entraron en Locarno el Dígnese V. M. aceptar benigna los votos sinceros de esta dia 7 por la tarde, y fueron recibidas con vivas aclamaciones Podemos asegurar de una manera positiva que la ce…</t>
  </si>
  <si>
    <t>…tó p o r p rim era vez. esta decisión en su m ayor parte el resultado referido. El mismo comandante general participa al propio tiempo REDACCION DE LA GACETA. haberse presentado á indulto nueve facciosos en dichos dias 21 Doña Isabel 11 por la gracia de Dios y por la Consti­ y 22. tución de la m onarquía española Reina de las Españas, y en su nom bre Doña María Cristina de B o rb o n , Reina Regente y Gobernadora del rein o, á todos los que las p re­ NOTICIAS EXTRANGERAS. ANUNCIOS OFICIALES. V , sentes vieren y en ten…</t>
  </si>
  <si>
    <t>…imera medios que el partido de D. Cárlos tiene organizados para Sermo. Sr. Infante D. Sebastian , y en que se dispuso el plan de me remite una del Sr. príncipe Lichonovirhe, á quien se servirá combatir la causa de la Reina Doña Isabel n , y las medidas que operaciones mas adaptado á nuestras circunstancias actuales. EL poner en sus manos la adjunta. Con la segunda rae hace conocer el partido Jiberal puede adoptar para triu n fa r de semejante ad ­ gefe del E. M . G. aseguró á S. M . del entusiasmo y decisión de que S. M.…</t>
  </si>
  <si>
    <t>…a titución de 1837 por legitima heredera del trono de S. Fern an­ sinceros sentimientos de gratitud y lealtad, en tanto que d i r i ­ el cielo que no se dilate tan deseado día , y quiera también pro­ do á la íuigusta Reina Doña Isabel i r , y durante su menor gimos al cielo nuestros ardientes votos para que conserve los longar los de la preciosa vida de V. M . , para que vea colma­ edad á V. M. como Gobernadora de la m o n a r q u ía ; y asimis- preciosos dias de V. M. para fei.cidad y orgullo de la nación dos frutos de su…</t>
  </si>
  <si>
    <t>…a t a , que es dad. Continuados vivas á la Constitución de 1857 , á nuestra que nos esperan , deponiendo con motivo tan plausible odiosos h de habl ar solo del d ra ma . No a gu a r d e n nuestros lectores que excelsa R.eina Doña Isabel n y á su augusta Madre la Reina Go­ recuerdos, imitando asi á nuestros hermanos del N o r te , y el al juzgarl e enumeremos sus defectos, de qu e no está exento, bernadora , corno también al esforzado caudillo que al frente del ejemplo g r a n d e , magnánimo que el Congreso y el Senado nos c…</t>
  </si>
  <si>
    <t>…ra congratularse con V . M. por los gloriosos Obra tan encantadora y mágica solo es digna de la augusta, dando de ello cuenta á las Cortes. cuanto inesperados acontecimientos de V erga ra y Urdax: progenitora de la inocente Doña Isabel 11, y de la piadosa, Por tanto mandamos á todos ios tribunales, justicias, ellos son en extremo importantes para que 110 conmuevan el hábil y patriótica negociación del invencible caudillo á quicu gefes, gobernadores y demas autoridades, asi civiles como corazón de todo español que ame de ve…</t>
  </si>
  <si>
    <t>…Se ha enviado un misionero á diversas cortes de Europa lona el dia 16 de Enero de Í 84 O el sorteo de la posesión pro­ to , no perteneciendo á la mayoría del Congreso ; y dice el se­ lara predicar la legitimidad de la Señora Doña Isabel 1 1 ; el pia de D. Antonio de Gironella, sita en el término de San V i­ ñor Lonez que debería haberse retirado por no pertenecer al ¡«cargado deesa misión, dicen los papeles extrangerns, es un cente de Sarriá, y conocida por la Torre de Gironella ; pre­ progreso; pero el Gabinete ha progresad…</t>
  </si>
  <si>
    <t>…bí y Perochena , hija dei capitán D. José, q u e d e reducido al de 12 señalado por mi R eal decreto de nas granadas que causaron un destrozo considerable en el e d i­ Portillo, muerto por las facciones de Tena y Cabañero; á Doña Isabel 1.° de S etiem bre de 183 8; en tendiéndose esto sin e m b a r­ ficio ; y lleno el objeto que el expresado general se proponía, Morella , hija del coronel D. Bruno, muerto en la brecha de g o , en el concepto de que la sección de negocios m édicos marchó á Fausara, de donde fue desalojado por…</t>
  </si>
  <si>
    <t>…ue se siguen en este momento se d i r i ­ Como Regente y Gobernadora del reino durante la gen á descubrir los hechos de igual naturaleza. Los sucesos del sado ha sido absuelto. (Sun,) menor edad de mi excelsa Hija la Reina Doña Isabel n, 12 estaban también indicados para el mismo dia en algu n as vengo en conferir ¿ D. Domingo Ximenez la propiedad ciudades, y cartas fundadas en pretextos mas ó menos plausi­ del destino de Secretario de Estado y del Despacho de bles llamaban á Paris á hombres que no siempre han sabido Ha…</t>
  </si>
  <si>
    <t>…omo ya habéis visto por su formulario cada uno de ellos de­ " J u r o por Dios y por los santos Evangelios ser fiel á la pronta á marchar á la primera señal. bia cuidar por sí mismo de su propio depósito. Con semejante Reina Doña Isabel t i y á su augusta Madre la Reina Goberna­ El dia de la primera reunión parlamentaria no manifestó organización debían ser impotentes los esfuerzos de la autori­ dora, guardar y hacer guardar las leyes del reino, adminis­ su presencia en medio de nosotros mas que por un grupo tu ­ dad judici…</t>
  </si>
  <si>
    <t>…lido parabién por desenlaces resultado el inestimable bien de una paz próxima. Esa paz, tan favorables á la causa nacional y al trono de vuestra excelsa Señ o ra, que es la vida de todos los Estados, abrirá pronto el H ija Doña Isabel i i . yermo campo de prosperidad á la a g r i c u l t u r a , las artes y el Señora: El ayuntam iento constitucional de Argamasilla de l i b a , provincia de C i u d a d - R e a l , llenó de la mas grata con- Higuera de Calatrava 2 2 de Setiembre de 1839.—A L. R. P. comercio. V . M . sabrá h…</t>
  </si>
  <si>
    <t>…o Se suspendió la discusión de los artículos 2 5 y 2fi- tran jeras que tenian pendiente e! reconocimiento de la Reina presentado de nuevo el proyecto por el Gobierno. Se aprobaron los artículos desde el 2 5 al 52 inclusive. Doña Isabel r r , me proponía in clu irla corte de R o m a , bajo el Sin mas discusión quedó aprobado el art. i .° Se leyó el art. 55. aspecto p olítico, sin perjuicio de contraerme también al ecle­ Se leyó el art. 2 .° , y después de una ligera discusión del El Sr. duque de F R IA S manifestó que este…</t>
  </si>
  <si>
    <t>…darios de D. Cárlos. He­ la creencia , la fe política del Gobierno, este ha contestado, la pleó para probar el derecho con que la nación habia reconoci­ mos subsistido en la brecha, y hemos visto la necesidad de des­ Reina Doña Isabel ti , su augusta madre la Reina Gobernado­ do siempre el de las hembras á la sucesión á la corona , citó al­ canso. No hubiéramos dejado nuestro retiro ; pero como las r a , Constitución de 1857, independencia nacional , integridad gunos artículos de la Constitución de 1812, y dijo: desgracia…</t>
  </si>
  <si>
    <t>…ejo.=Por Don gando al Todopoderoso por la conservación de las interesantes S. M. la R e i n a , s u augusta Madre la R e i n a G o b ern a­ M iguel Flores López, por D. Pedro Palomar y por m í, Matías vidas de nuestra Reina Doña Isabel n y la de Y . M . d o ra y la Serma. Sra. Infanta Doña María Luisa Fer­ Palomar. =Como apoderado del conde de Adanero , y por mí, Lucar y Noviembre 10 de 1859. = Señora. = A L. R. P. de Gregorio Erehuet Requeoa. =Como apoderado del conde de V. M .= Antoaio Encinas.—Manuel Cuevos.r: Antonio M…</t>
  </si>
  <si>
    <t>…dor primero.zzSeñal del regidor moción como un acto de justicia. segundo, D. Andrés Mcadez.^Pedro M endez, procurador.::: No dejan de ser curiosos los motivos q u e, según se asegu­ sen de bendecir su nombre augusto y el de Doña Isabel i r , here­ r a , indujeron al capitan-bajá á refugiarse á Egipto. Una i n ­ dera de todas las virtudes de su excelsa Madre. Pedro L u bian , secretario. t riga del serrallo había conseguido hace dos años alejar de la L a diputación general de este señorío, encargada por los dirección de lo…</t>
  </si>
  <si>
    <t>…adelante sus operaciones , propo­ Ministros, he tenido a bien m andar, en nombre de mi de 1839 .—Domingo Jim enez.=José de San M illan.=José niéndose rencer del mismo «nodo otros obstáculos que los ene­ excelsa Hija la Reina Doña Isabel n , lo siguiente: María Lopez.=Sr. intendente de..... migos multiplicaban en diferentes partes. Maroto tenia reuni­ Artículo 1.° A contar desde 1.° de Enero del presente das todas sus fuerzas, y casi no era dudoso el que aventuraría año 1839, se llevará en las contadurías generales de Va­ un…</t>
  </si>
  <si>
    <t>…o. Y DEL DESPACHO DE LA GUERRA* terior. E l m al aconsejado P rín cip e que osó d isp u ta r los indudables Se lee una proposición del S r. A lcalá Z am ora, en que pide derechos de la au g u sta H ija de Y . M . la R ein a Doña Isabel i i , Com andancia general de los ejércitos reunidos.= Secretaría de se exija la responsabilidad al G obierno, presentándose como su h u y e despavorido á buscar en un pais extraño el sosiego que no cam paña.=Excm o. S r .: En m i com unicación de 2 0 de e&gt;te mes acusador, por el atropellam i…</t>
  </si>
  <si>
    <t>…l trono de vuestra au­ generales con ejércitos contrarios en los campos de Y e r g a r a , Pasiva , 8. Diferida antigua, 8 |. 1831, se exigirá la responsabilidad á todos los aprehenso- gusta H ija nuestra legitim a R eina Doña Isabel n , dando la Tres por 100 portugués, 241* res que no cumplan con su deber. Esta responsabilidad consoladora paz á la E s p a ñ a , y un ejemplo de prudencia, de consistirá, ademas de la pena en que incurran si come­ fra ter n id a d , y de una c iv iliz a ció n generosa poco conocida ni te…</t>
  </si>
  <si>
    <t>…á su tiem po, se supone. Estoy seguro que hubieran reconocido al moro M u­ no sea corto, y que recorra esa escala inmensa en breve tiempo, porque mas de una vez ha de tener que hablar en esta dis­ za , cuanto mas á la Reina Doña Isabel ir , si no tuviera la for­ á no ser que se hagan cargos porque calle y porque habla; mu­ cusión. ma de gobierno que tiene. Esa creo que es la verdadera difi­ chos Sres. D iputados sabrán por qué digo esto. El Gobierno no Háblase de la disolución de las Cortes: no invocaré la in ­ cultad. está…</t>
  </si>
  <si>
    <t>…no, y por consiguiente no digna del respeto del Congreso; la única vez que he nombrado se tan general, que sin salir en nada de lo legal, se hicie­ me creo autorizado para hablar sin su permiso una palabra; á S. M. la Reina Doña Isabel n y á su augusta Madre ha si­ ran infructuosas las tentativas, que por mas de un persona, por lo tanto, ruego al Sr. Ministro se sirva decir si hay algún do con referencia al juramento que la hemos prestado. Véase si que por mas de una clase se hacen para que se declare no vi­ inconveniente…</t>
  </si>
  <si>
    <t>…ier segundo ron el 19 del corriente con el plausible motivo de ser los dias Las intrigas de lord Ponsonby, añade el Tiem po , embara­ cabo de la Sra. rectora del colegio de Huérfanas de patriotas, y de nuestra augusta Reina Doña Isabel 11. zan y entorpecen también la cuestión. Según las cartas de Vie- la contestación que le ha dirigido dicho gefe, tanto para hacer La concurrencia fue brillantísima y numerosa, y todas las na, el embajador ingles ha sabido ganarse la mayoría del di­ público el recomendable hecho de aquella…</t>
  </si>
  <si>
    <t>…b re . elocuencia elevada é irresistible que los consejeros de la corona española en la sangrienta lucha abierta hace seis años contra el supieron desplegar, ni se entibiaron los sentimientos de pro­ trono constitucional de Doña Isabel 11 : mientras teñidas las armas Hénos aqui actualmente en el mes del ram azan , que es U fundo reconocimiento que quedaron indeleblemente grabados en nacionales con sangre de hermanos , se presentaba el porvenir, cuaresm a, ó por mejor d ecir, el carnaval de los musulmanes. los pechos de los…</t>
  </si>
  <si>
    <t>…rga en la villa de G üi­ D o ray la Serma. Sra. Infanta Doña María Luisa Fernan­ n es, punto extremo de la línea , el 19 del corriente, dia de la da, continúan en esta corte sin novedad en su importante Reina nuestra Señora Doña Isabel n , á los tres años y 10 dias salud. justos de haberse principiado los trabajos. Los que conozcan NOTICIAS EXTRANGERAS. las dificultades que en este pais presentan el clitna y la falta de población á las empresas de alguna e n tid ad , podrán apreciar F R A N C IA . los esfuerzos que habrá…</t>
  </si>
  <si>
    <t>…celó, cura párroco de esta de S a ntiago; y D. Luis R odríguez, NOTICIAS EXTRANGERAS. de esta v ecin dad ; se dió principio ai acto a n u n c ia d o , y h a ­ Como Reina G obernadora, á nombre de mi augusta Hija la Reina Doña Isabel u , y en conformidad con el ar­ biendo sido examinados los alumnos presentados sobre la o r t o - tículo 15 de la Constitución, oido el Consejo de Ministros, FRANCIA- logia , caligrafía , aritm ética , principios de geometría, g r a m á ­ tica castellana, doctrina cristiana y catecismo pol…</t>
  </si>
  <si>
    <t>…ebatar el cetro de San Fernando, al ídolo de nues­ conservación del trono augusto de la inocente Isabel , cuandc regidor.r:José Mateo Moreno, regidor.—José Fuertes, regidor. == tras corazones, á Vuestra excelsa Hija la Reina Doña Isabel íi lacerado el maternal y benigno córazon de V. M. con tanto* Manuel Sanz Martialay , regidor.—Manuel de Ibarra, regi- tiene á sus fieles súbditos enagenados del mas puro gozo y pro males y tantos horrores, fue asistida de la divina Providencia dor.züJosé de las Heras Luengo, primer procurado…</t>
  </si>
  <si>
    <t>…olvidemos que mor­ monarquía ; como Reina Gobernadora durante la menor edad Me m udaste mi lla n t o en g o z o : ra sg a ste mi j diéndonos y difamándonos m útuam eaíe cam inam os, como dice de rai augusta H ija la Reina Doña Isabel i t , vengo en auto ri­ saco , v m e rodeast e todo de a leg r ía . ' el Apóstol, á nuestra ruin a y consunción: « o s e conozca en zaros para que sometáis á la deliberación de las Cortes el pro­ adelante otro nombre que el agradable y sonoro de españoles yecto de ley que me habéis presenta…</t>
  </si>
  <si>
    <t>…del Estado rentas propias, profe­ nadora durante la menor edad de su augusta Hija la Reina y 5 2 f á v. f i ó vol. y firme: 54 , 55J , f , 53 y 54 á v. f. ó vol. sión ó industria, medios suficientes por notoriedad para des­ Doña Isabel 11 , y conservar el orden público y la tranquilidad á prima de 1 , 1 *■, 2 y i por 100 con cupones. empeñar sus cargos con el decoro, independencia y exactitud de los pueblos, prestando auxilio á las autoridades legalmente Inscripciones en el gran libro á 4 por 10 0 , 00. que corresponde re…</t>
  </si>
  <si>
    <t>…e explicar el jubilo de que se hallan po­ seídos al ver afianzarse la paz , el trono de nuestra inocente El segundo cabo da las gracias al expresado comandante aprobar el dictámen de la comisión, porque en él encuentra Reina Doña Isabel n , la regencia de V. M. y la Constitu­ por su actividad y valor. todo lo necesario para que esta cuestión se resuelva en princi­ ción de 18 J 7 . No debia esperarse sino que la Providencia pios generales, y no casuísticamente como se ha manifestado» protegiera tan justa causa, ni podían sucu…</t>
  </si>
  <si>
    <t>…ó el Sr. D. Fernando vir. T uve el honor de pre­ porque sé de positivo que se dió: si S. S. cree lo contrario, créa­ los eran preferibles, y asi es que en el año de 1 8 5 5 , cuando sentar las credenciales de S. M . la Reina Doña Isabel n , y po­ lo enhorabuena. nerlas sobre la mesa del príncipe de Metternich ; y tanto en murió el Sr. D. Fernando v i r , en que estaba en el ministerio Otra equivocación. S. S. añadió que el creer esto era crear el Sr. Zea , y antes que apareciera el Estatuto, ni se pensase en aquella ocasi…</t>
  </si>
  <si>
    <t>…obierno á la Coqueta para rodearla ; pero esta corbeta no con­ El gobernador anuncia igualmente que acaba de autorizar sido aceptada, cuando llegó á nuestro conocimiento la noticia tribuyó á esta maniobra; y si el comandante del Isabel ir se la exportación de los azúcares para los países extrangeros. de la gran derrota verificada el 24 de Junio. Acometido el ejér­ hubiera informado á la voz, la Coqueta le hubiera asegurado Estos dos actos de la administración son de la mayor impor­ cito turco por el flanco, ha sido batido…</t>
  </si>
  <si>
    <t>…sta nación m agn án im a, afianzan la Constitución de 1 8 5 7 , ro­ La diputación felicita una y mil veces á V. M. por tan preparatorios para varias carreras, propone los medios de bustecen el trono de vuestra augusta H ija Doña Isabel n , y prósperos sucesos, esperando, como espera, ver prontamente cjue desaparezcan, y se dé uniformidad á esta clase de en­ preparan una era de felicidad y v e n tu r a , alejando la tiránica coronada la obra de la pacificación del r e in o , para que goce de señanza ; y conformándose S. M.…</t>
  </si>
  <si>
    <t>…ración que profesa la capital de las Andalucías á V. M. y a dudas , y pasó asi la ley. Tuvieron lugar los sucesos políticos se pagarán de los fondos públicos de la manera que todos los trono de vuestra augusta Hija la Reina Doña Isabel i i . de Agosto de 56 ; se restablecieron varios decretos de las Cor­ demás, y se incluirán en las cuentas de sus pueblos respectivo*. Sevilla 2 i de Setiembre de 1839. == Señora.— A L. R. P. d&lt; tes de la anterior época constitucional, y uno de ellos fue el Art. 69. La Milicia nacional, en t…</t>
  </si>
  <si>
    <t>…ro soldado de la patria, tan justamente distin­ grimas.55088 29465 5506 . . 919 265 ... del trono á felicitar á V . M . y augusta H ija la Reina nuestra guido por V . M . , que supo trasformar en un momento en tier­ Señora Doña Isabel 11, por los grandiosos acontecimientos del nos hermanos á los que antes y por inas de un lustro habían Cuesta del Padul.. 19854 18009 2046 2039 1120 1120 1 N o r t e ; la vergonzosa y precipitada fuga del Pretendiente á sido esforzados enemigos; la consiguiente fuga del P'etrndien- | ' ! I I…</t>
  </si>
  <si>
    <t>…. Dediquémonos á examinar los im ­ ñor Zea se probaban mejor los legítimos derechos de la Señora se verificase esta con exclusión de las provincias exentas, anun­ puestos, y sepa la nación que eso y no mas ha de pagar. ¿Pero Doña Isabel 11 , y olvidó S. S. que el gran carg» que se le ha­ ciándose asi con la debida anticipación. En su consecuencia , y estamos en esa situación? ¿liemos entrado en ese órdea verda­ cia era que había palabras en esa memoria que á (os derechos habiéndose ratificado en su proposición el expresado G…</t>
  </si>
  <si>
    <t>…solver que se observe lo mandado en Real hace notar que muchos oficiales prusianos han sido admitidos orden de 30 de Agosto de este año, por la cual se decla­ como instructores en el ejército turco, mientras que se rehúsan Doña Isabel ii por la gracia de Dios y por la Constitu­ raron exentos de dicha contribución los bienes del clero los servicios de oficiales ingleses; este hecho se considera com o ción de la monarquía española Reina de las Españas, y secular, respecto á que perteneciendo ya ai Estado por la una prueba de…</t>
  </si>
  <si>
    <t>…discur­ Reina Regente y Gobernadora durante la menor edad de aragoneses. Si es cierto lo que añaden que una división d e l e j é r ­ so es que habló de la debilidad del prestigio de las Cortes. Me mi excelsa Hija la Reina Doña Isabel n , he tenido por cito delconCentro ha venido de la parte de Valencia á darse la haré cargo también de esto luego que acabe con la cuestión de conveniente admitir la dimisión que ha hecho del referi­ mano la que había avanzado á Monroyo , está ya cortado partidos. do cargo, quedando sumamen…</t>
  </si>
  <si>
    <t>…, sea la influencia de quien q u ie ra , el Oda de la academia sevillana de buenas letras d la Reina bilí de indemnidad, manifestándolo el Congreso del modo que daño será para todos , para todos sin excepción. nuestra Señora Doña Isabel 11 por la terminación de la creyese mas parlamentario, y que se estaba en el caso de decir- Se declara el puntó suficientemente discutido, y puesto á guerra civil en las provincias Vascongadas y en N a­ seque estaba el Congreso satisfecho de la suerte del pais, aun votación el párrafo, es apr…</t>
  </si>
  <si>
    <t>Isabel, Doña</t>
  </si>
  <si>
    <t>Doña Isabel</t>
  </si>
  <si>
    <t>…l lado de don- ta d , bajo un hermoso dosel, se veian los retratos de nuestra neralíúm o, que fue inventado ex presam ente para él. El Je viene el viento, es casual y no puede un barco privársela amada y angelical Reina la Sra. Doña Isabel ii y de S. M. la Papa consagró todos los estandartec de las c a p ita n a s; p ro ­ i otro. Si el barco que tiene el barlovento es de fuerza infe- Reina Gobernadora, protectora de las ciencias y de las letras. metió una absolución general de pecados á tos que pelea­ úor, puede evitar…</t>
  </si>
  <si>
    <t>…importaba que no se supiera. naba del error en que estaban de que 110 eran verdaderos los Estado que no tiene tiempo para leer las notas de los presupues­ Y o debo decir al Congreso que importa tainbiea mucho derechos de la Sra. Doña Isabel 1 1 ; de ahí solo venia la oposi­ tos, para leer los oficios que firm a , para leer los periódicos, que mi veracidad quede en el lugar que corresponde , que no ción. Y en este estado esperaban que uno de los contrincantes para venir al Congreso; en fin , para n a d a ; yo extraño mucho s…</t>
  </si>
  <si>
    <t>Isabel, ECRETO S.</t>
  </si>
  <si>
    <t>ECRETO S. Isabel</t>
  </si>
  <si>
    <t>…ia Real; el capitán D. José. María Moragrega.; DloAntonio Arjona , teniente dé caballería gra­ bien mandar en nombre de.mi e^ elsa Hija la Reina Doña duado decapitad ilimitado; D. Agustín O rtiz, teniente de in­ R E A L E S D ECRETO S. Isabel i i , que:interinam ente , y sin perjuicio de lo que poi fantería retirada* impurificado y amnistiado; D. José Palanca, ley se determine expresamente y se observe y cumpla le teniente retirado en Zaragoza; D. Francisco Pelegriny ilim ita­ Convencida de la indispensable necesidad d…</t>
  </si>
  <si>
    <t>Isabel, María</t>
  </si>
  <si>
    <t>María Isabel</t>
  </si>
  <si>
    <t>….° Tiene derecho á ser celen á nadie en amor y adhesión al trono legítimo de vuestrí dante de campo del presidente del Consejo, llevando las insig­ empleado en el cuartel de inválidos , en virtud del art. 4.0 de excelsa Hija Doña María Isabel ir y á V. M ., llenos de conten­ nias del gran cordon de la legión de H onor, que el Rey de los la ley, en que se dice , que los oficiales mutilados tienen entrada to y de placer tienen el alto honor de felicitar á Y. M. por e Franceses acaba de conferir al general Espartero, duque de l…</t>
  </si>
  <si>
    <t>Isabel, Roda. Doña</t>
  </si>
  <si>
    <t>Roda. Doña Isabel</t>
  </si>
  <si>
    <t>…e la ante­ cha de esta nación magnánima , la de nuestra augusta Reina Estado, tan furiosamente combatida en las borrascas de nues­ Sr. Pascualaprobada á la después de unas ligeras observaciones del misma, á que satisfizo el Sr. Roda. Doña Isabel ir y la de su excelsa M a d re , delicias de los es­ tras discordias intestinas. A la maternal y memorable regen­ Se mandaron pasar á la comisión de Actas: pañoles cia de V. M ., auxiliada de la consumada prudencia y escla­ 1.° Un informe del ayuntamiento de Sahagun, provincia wV.…</t>
  </si>
  <si>
    <t>Isern, Jaime</t>
  </si>
  <si>
    <t>Jaime Isern</t>
  </si>
  <si>
    <t>…tar, música y ojos de gallo radicalmente, á 2 rs. Bolas finas para cartuche­ teórica-práctica y forte-piano á los ciegos, con arreglo al mé­ ras , á 5 rs. docena. Fósforos de cristal, á 4 rs« el ciento. Todo todo sencillo de D. Jaime Isern, bien conocido por sus acredi­ á satisfacción y prueba, y por mayor habrá mas rebaja. tados progresos; sigue también para enseñar á hablar, escri­ BOLETIN DE COMERCIO. b ir, contar y el dibujo natural y lineal á los sordo-mudos por los métodos ó modos conocidos hasta el presente de lo…</t>
  </si>
  <si>
    <t>Isi, Cárlos Ortiz de Taranco y D.</t>
  </si>
  <si>
    <t>Cárlos Ortiz de Taranco y D. Isi</t>
  </si>
  <si>
    <t>…egimiento Reina Real decreto separando de sus destinos á D. Esteban A y ala, Ies obligó á marchar con él en dirección á Congosto. Este fora- Gobernadora; á M orella los del de Córdoba, y á Benifasar to­ D. Antonio U lib a rri, D. Cárlos Ortiz de Taranco y D. Isi­ gido no para un solo dia en ningún pueblo, obstruyendo por dos los sargentos y soldados, excepto siete que quedaron muy dro Nicolao y Puig. (Núm. 1551.) este medio su captura ; pero su conducta es ta l, que me persua­ enferm os; trasladando asimismo á aquel desierto…</t>
  </si>
  <si>
    <t>Isidoro</t>
  </si>
  <si>
    <t>…8,873 . . . , 104.659 mismo está practicando en Sarrion la tercera división del mis­ L A REDO M A EN CAN TAD A. A vena................................... 7,197 . . # . 50,600 mo ejército á las órdenes del Sr. mariscal de Campo D. Isidoro C ebada.. . . ....................... 65,708 • • . # 567,896 de Hoyos. Otra división ha pasado á fortificará Camino R e a l, y Comedia de m ágia en cuatro actos en prosa y verso, por Don M ijo ...................................... 270* . • . . 2,841 ha avanzado un batallón y cuatro escuadro…</t>
  </si>
  <si>
    <t>…ENTAN ACIO NAL, GALERÍA DRAMATICA. V itoria................. 2 .53770 108000 COLECCION DE LEYES, E L ABUELO. Total de fincas ad­ Comedia en dos actos y én prosa , imitada del francés, por judicadas én él REALES DECRETOS, D. Isidoro G il; representada con Aplauso en el teatro del P rín ­ mes de J u n io .. 544 8949531424 27485055 ..24 cipe. Véndese á 4 rs. en las librerías de Escamilla , calle de Id. en los meses an­ ORDENES Y REGLAMENTOS DEL GOBIERNO Carretas, y de Cuesta frente á las Covachuelas. terio res..........…</t>
  </si>
  <si>
    <t>…o y «••■»» r e s p a ­ banquete. El vizconde Gage ha sido nombrado mariscal de cal de campo D. Francisco J a v ie r A zp iro z, la provisional del ldé su nombre para todos los portugueses, ha sido día ú e torneo. brigadier D. Isidoro H o y o s, y la de caballería con su coman­ gala. (D iario do Governo.) dante general el brigadier D. Ricardo Shelly, El Couríer desmiente formalmente la noticia que ha circ u ­ Con estas fuerzas he emprendido la toma de los fuertes de lado estos dias de que el navio de línea el V a n g u…</t>
  </si>
  <si>
    <t>…et R i o , D. Ignacio de la R i v a , D. R a s M e o a y a c tu al y a n t i g u o de cada expresión del v o cabulario m éd ico ; en las administraciones de correos; en Paris en casa de Mes- O liver, D. Gerónimo D ia g u e z , D. Isidoro F ern andez de A n g u l o , señalar con cuid ad o los muchos é im p ortan tes cambios que i n ­ sieurs G irard F reres, libraires, rué de Richelieu , 14 , prés l D. M anuel A g u i l a r , D. M an uel Estevez do R i v e r a , D. J u a n troduce d ia ria m e n te eu el len g uag e médico la…</t>
  </si>
  <si>
    <t>…actos titulado EL Caballero de industria , escrito en fran­ Obras que se hallan de venta en el despacho y almacén de El célebre Ortega fue de los pensionados por el Gobierno cés por Mr. A n celot,y traducido al castellano por D. Isidoro G il, á las librerías de Escamilla, calle de Carretas, y de Cuesta la Imprenta Nacional. español para perfeccionar sus conocimientos científicos natura­ les en las escuelas extrangeras de mas nombradía, y en todas frente á las Covachuelas. Esta interesante producción sobresale entre todas l…</t>
  </si>
  <si>
    <t>Isidoro, Campo D.</t>
  </si>
  <si>
    <t>Campo D. Isidoro</t>
  </si>
  <si>
    <t>…........ 8,873 . . . , 104.659 mismo está practicando en Sarrion la tercera división del mis­ L A REDO M A EN CAN TAD A. A vena................................... 7,197 . . # . 50,600 mo ejército á las órdenes del Sr. mariscal de Campo D. Isidoro C ebada.. . . ....................... 65,708 • • . # 567,896 de Hoyos. Otra división ha pasado á fortificará Camino R e a l, y Comedia de m ágia en cuatro actos en prosa y verso, por Don M ijo ...................................... 270* . • . . 2,841 ha avanzado un batallón y cuatro…</t>
  </si>
  <si>
    <t>Isidro</t>
  </si>
  <si>
    <t>…varios los profesores que presentaron sus pro­ dentro de cinco ó seis dias carece aun de aquel el pais y está de España , Sres. Diputados y Senadores, RR . obispos y arzo­ y ecto s; y entre ellos lo fue el insigne arquitecto D. Isidro Y e - sin Ministros... (R isas: ru m ores.) bispos, y la Excma. diputación provincial que preside el acto, lazquez, arquitecto mayor de S. M. Estos proyectos pasaron á M r, G irod (de l’A i n ) , guardasellos, se levanta para res­ una banda de música m ili t a r , y la columna de honor que…</t>
  </si>
  <si>
    <t>…los O rtiz de T a ra n co, oficial p r im e r o de la ros Manuel V e la , Justo G onzález, y los segundos Censerrero, Holanda com o á la Bélgica para aceptar las condiciones* Tatu^ d ir e c ció n general de d ich a renta, y á D. Isidro N icola o y A ntonio G arcía , Esteban G a rrid o, Francisco García Béjar y poco contienen una orden form al, ni una invitación la más P u ig , oficial m a yor d el parte de M adrid. T e n d ré islo en ­ Cristóbal Pareja; el sargento primero de la compañía de tira­ levé para hacer qué cesen…</t>
  </si>
  <si>
    <t>…stgrio de la Gobernación. al mariscal de campo D. "Manuel de Soria. (Núm. 1479.) * ¡ (Idem.) \ É S T A D O M IL IT A R rnnnpdiendo la gracia de la riiedla* firma ai Sr. Secretario Réal decreto nombrando tenientes generales á D. Isidro A laix de Estado y del Despacho dé la Guerra D. Isidro A la ix .(Id .), 1 y á D; Antonio Yan-Halen. (Núm. 1502.) ; * ’ P A M ?EL PRESEl^Té ANO DE Í859. &gt;;1. J _ _ _ nombrando subsecretario del ministerio de la Guérirá 'á'L Real orden mandando satisfacer las cantidádés asignadas pWa brigadi…</t>
  </si>
  <si>
    <t>…riamente ha engendrado el actual reis á quien corresponda.=Está rubricado de la Real ma- L ond res 5 d e F eb rero • estado de incertidum bre en que se h allan aquellos asuntos. L i no.=E n Palacio á 13 de Febrero de 1839. = A D. Isidro conformidad de las cinco potencias es una garan tía que asegu­ Alaix. ____________________ __ Consolidados 92| á cuenta y al contado. ra la conservación de la paz. Bonos del tesoro 6 6 -6 8 . «V eo con sentimiento la continuación de la guerra c iv il en Bonos de las Indias 66-64» E sp añ a,…</t>
  </si>
  <si>
    <t>…según las c irc u n s- j^nq)Umiema=JEhX¿,xubxicado de la Jie a l mano.—Palacio que p o r reglamento deben estar montados. fanóiási!feín qub sé h a lle n , y dé suerte q ue se verifique con á 10 de % e x a jb i-L 8 ^ 9 .= A D. Isidro._Alaix, + 20. Se exceptúan también de requisición los caballos 4á ¡posible ig á á ld a d en tan gravosa como im po rta nte con- que red im ieron esta suerte con arreglo á lo prevenido en tríb üc ion. ; ^ el art. 5.° del Real decreto de 27 de F eb rero de 1837. A rt. 6.° E l m in isterio…</t>
  </si>
  <si>
    <t>…dante general de las provincias de Ciudad Real y Toledo dice con fecha del 2 0 , que en un encuentro que tuvo M r. Pontois ha sido perfectamente recibido por el alm iraute ei dia 15 en las inmediaciones de Piedrebuena el sargento Isidro L a la sd e y el almirante Stopford, los dos verdaderos d ip lo m áti­ Rcdriguez , comandante de la partida de los Chornos, resultó El lord N ormanby acaba de d ir ig ir la carta siguiente al cos que h»n sabido representar los intereses de su pais en la cues­ muerto en el campo un faccioso y…</t>
  </si>
  <si>
    <t>…e observado en este juicio todos los trám i­ tes prescritos por la ley, y declarado por los Sres. jueces de he­ MATRIC ULA D E L COLEGIO NACIONAL DE MED ICINA Y C I R U G I A cho absuelto por unanimidad al editor responsable D. Isidro d e san Ca llo s. Sánchez C aro, del articulo comunicado inserto en el periódico LES AVENTURES titulado El G u irig a y , núm. ÍOÍ de 27 de Abril último, man­ A lumnos m éd ico -ciru ja n o s • dó S. S. eo su consecuencia que se lleve á debido efecto. El se­ DE ñor D. Miguel María Duran ,…</t>
  </si>
  <si>
    <t>…a como nación inde­ las ventajas adquiridas en estos dos encuentros. pendiente y soberana. Conocidos son los sucesos del 5 de Di» quien corresponda.= Está rubricado de la Real mano.=; Dado en Palacio á 28 de Junio de 1839.=A Don Isidro ciembre de 1858, y me gozo de haber sido herido y después Alaix. mutilado ea defeusa de una causa sagrada, y de que mis valien­ El comandante general de la provincia de Albacete dice en tes compañeros la sostuvieran en este dia de gloria con el valor comunicación de 26 del actual que con no…</t>
  </si>
  <si>
    <t>…s, s ir v e , como an ­ ficación de los documentos y papeles de la Caja de ahorros, tre ambos establecimientos en 2 4 de Febrero de 1859 ante el tanto de los que están en uso, como de los que se a r c h iv e n , re- escribano D. Isidro O rtega Salo m ó n , no puede ad m itir otras teriormente se ha in d icad o , para llevar la cuenta corriente y de</t>
  </si>
  <si>
    <t>…voy á con­ tinuar contestando á mi amigo el Sr. D. Aniceto Alvaro, y La división que avanzo hasta M o n ro y o , está muy oportu­ esa es la difícil tarea que tengo que desempeñar. Habiéndome manifestado el teniente general D. Isidro namente colocada , porque en el caso de dirigirse la facción á Dejamos el hilo de mi discurso en los partidos, uno de los Alaix que el mal estado de su salud no le permite conti­ Morella , y de alli correrse por los puertos abajo , podrá aque­ puntos mas interesantes del discurso de S. S .,…</t>
  </si>
  <si>
    <t>Isla</t>
  </si>
  <si>
    <t>…o en pro y en contra del dictámen, no hubiera te­ Quiero que se presenten los hechos claros, que se compren­ pecto encantador. Añádase á esto la vista de las campiñas don­ nido dificultad en renunciar la palabra , si ayer el Sr. Isla no dan , y quiero manifestar que no tenemos mas obligación en de existid Troya hace 50 siglos, el aspecto de los navios , por­ áubiera presentado argumentos que creo de mi deber combatir esa cuestión que la de prudencia, y yo encuentro sumamente que os representa la escena en Beshika , y tend…</t>
  </si>
  <si>
    <t>ISLA, El Sr.</t>
  </si>
  <si>
    <t>El Sr. ISLA</t>
  </si>
  <si>
    <t>…uto no pueden teneir los cesantes nanas que el mientos y servicios por k causa de la libertad refirió 9 pagando ría del gravamen que tiene, suelo de cesa o lito un tribu te de justicia á los Bn.a»es de caá tro hijos de la Doña El Sr. ISLA F E R N A N D E Z : El Senado "habrá oído que E l Sr. G A L A T R A V A : Puesto qne so está presente el se­ M uría D olores, muertas es defensa de h patria.. el Sr. Meros no lia hablado de la cuestión ; dioica, mea te ha tra­ ñor M in istro de Hacienda, do me haré cargo de una poco co…</t>
  </si>
  <si>
    <t>ISLAFERNANDE</t>
  </si>
  <si>
    <t>…ftdares entre sí y con el Gobierno. La,¡ 5vációÁfe0^á'ém?tidaS por el Sr. OndoviUa, da á la. misma dirección por la* escribanía principal del ramo, s i o n , . ha .presentado nuevamente r e d a c t a ^ los artículos 6 5 ,y El Sr. I S L A F E R N A N D E £ deshizo una equivocación pa­ $itá en el .propio local, -donde,-estarán de manifiesto los arance­ 67 que van á leerse al Senado. / w * •&gt;. ¡ decida por el Sr. conde de Ofalia , á que replicó dicho señor. i</t>
  </si>
  <si>
    <t>ISLAFERNANDEZ</t>
  </si>
  <si>
    <t>…r la comisión d o r a y la Serma. Sra. Infanta Doña María Luisa Fernan­ que ge pedia , obligándoles á que improvisasen una ley contra da, continúan en esta corte sin novedad en su importante SENADO. su voluntad. salud. El Sr. I S L A F E R N A N D E Z manifestó que habiendo conve­ PRESIDENCIA DEL SEÑOR MOSCOSO DE ALTAMIRAé nido los señores que se oponían á la preposición en su utilidad, asi como la mayor parte de las secciones, esto solo la hacia re­ PARTES. Sesión d el d ia 7 d e E n ero. comendable y digna de la apr…</t>
  </si>
  <si>
    <t>…dos que h an tratado de e x t ra v ia r la do , y el Senado acordó que no lo estaba. veo en ella. Pueden m u y bien h erm anarse u n a y otra c o s a , la o pin ió n pública por todos los medios que h a n estado á su a l­ El Sr. I S L A F E R N A N D E Z , después de h aber m an ifestad o g ra v e d a d y la sencillez: g ra v e es en efecto la cuestión qu e nos cance. la im p o rtan c ia de la c u e s t ió n , y que celebraba que el Senado la ocupa por sus con se c ue n c ias, y si se dudase de ella , la im p o r ­ Puesto…</t>
  </si>
  <si>
    <t>IST</t>
  </si>
  <si>
    <t>…do, calle de Carretas. á beneficio.de los profesores que componen la orquesta de ópe­ y término de nueve dias contados desde esta fecha , á los que ra en este teatro. se crean con derecho á los bienes quedados por fallecimiento D IST R IB U C IO N . del exclaustrado de carmelitas descalzos D. Faustino Sanz, acae­ cido en el hospital general de esta corte en 4 de Febrero último, para que se presenten en este juzgado á hacer las reclamaciones DOS PALABRAS Primera parte . que crean convenientes, y se les administrará justicia…</t>
  </si>
  <si>
    <t>IST, EL SEÑOR</t>
  </si>
  <si>
    <t>EL SEÑOR IST</t>
  </si>
  <si>
    <t>…e estim ó co n v e n ie n te para p a ñ a ; y yo creo que si entre nosotros el tratado no produce q u e la actual requisición se lleve á p u ro y d e b id o efecto otros fru to s, en breve tampoco se hablará de él. PRESIDENCIA D EL SEÑOR IST U R IZ . con toda ra p id e z , au to rizan d o á los capitanes g en erales p a ­ Respecto de la intervención es evidente que esta idea se h a­ ra q u e re m u e v an cuantos obstáculos se p r e s e n te n , é im ­ llaba estrechamente ligada á la alianza concluida con Inglater­ Sesión d…</t>
  </si>
  <si>
    <t>Istdriz, D. Francisco Javier</t>
  </si>
  <si>
    <t>D. Francisco Javier Istdriz</t>
  </si>
  <si>
    <t>…. Miguel García Cornejo. Sr. marques viudo de Valladares j electo. Sr. D. Julián Rodríguez del Valle. Valencia. Cádiz. Sr. D. José Ferraz. Sr. D. Manuel Montes de Oca. Madrid. Sr. D. Luis Mayans y Enriquez, Secretario 2.° Sr. D. Francisco Javier Istdriz, Presidente. Sr. D. Agustín Arguelles. Sr. D. Félix Aliaga. Sr. D. Antonio Alcalá Galiano. Sr. D. Antonio Seoane. Sr. D. Francisco Carbonell. Sr. D. Juan Donoso Cortés. Sr. D. Manuel Cantero. &gt; Sr. D. Nicolás Esteban. Sr. D. Julián Villalva. Sr. D. Joaquin María López.…</t>
  </si>
  <si>
    <t>Isturiz</t>
  </si>
  <si>
    <t>…a re­ mérito que el de ser el secretario del duque de la V icto ria; el T u r i a , contenidos en la adjunta propuesta. novación de ayuntamientos se verificará en N av arra y provin­ Sr. Montes de Oca el de ser el hombre del Sr. Isturiz , y el se­ Y lo traslado á V. E. para su conocimiento y satisfacción. cias Vascongadas según tengan de fuero y costumbre, debien­ ñor Perez de Castro el del Sr. conde de Toreno. Parecería que Dios guarde á V. E. muchos años. Cuartel general de Chelva do tomar posesión de sus destinos los n…</t>
  </si>
  <si>
    <t>Itdrbide, Agustín</t>
  </si>
  <si>
    <t>Agustín Itdrbide</t>
  </si>
  <si>
    <t>…entró en esta Veraguas. v illa, procedente de Cifueates, la columna encargada de su se­ BIBLIOGRAFIA. 10. Proceso del general D. Rafael del Riego. guridad. El objeto del comandante era permanecer aqui todo l í . Proceso de D. Agustín Itdrbide, ex-emperador de el dia y marchar el 7 sobre algunos de los pueblos de la orilla Méjico. izquierda del Tajo ; pero á la tina de la tarde se recibió un par­ EL PELAYO , 12. Informe de la Real sala de alcildes de casa y corte al te del alcalde constitucional de Salineron, expresivo…</t>
  </si>
  <si>
    <t>ITos</t>
  </si>
  <si>
    <t>…de sa y losrotrosXb&amp;ancion d&amp;7narcha* (Deba¡ts.p ; =^ y los. bal ientes qu^e n^e"acompáñán par áq uehagaérérná m é-‘ ellás como muy fundadas, y todas como muy respetables. moría 'mientras¡él múndó sea m und ó ^=T^alili o =:P. D. ITos éñ— úárgo que áKpra ni nunca ofrezcáis 'huestrÚ\prót^ ;pqr ^ni ni-1 Nosotros creemós esto asi, tanto por la suma importancia, fgun informe ápn^ que los^ay án hecho y os ^ 8 0’ más favores &gt; de la cuestión, cuanto por el principio de humanidad que CORRESPONDENCIA DE LA GACETA. Iqüe Sf José i…</t>
  </si>
  <si>
    <t>Iturriza, Pedro José</t>
  </si>
  <si>
    <t>Pedro José Iturriza</t>
  </si>
  <si>
    <t>…o. do sus órdenes. Varios Sres. Diputados piden la palabra. Esta justa medida habrá ya tenido ó tendrá cum plido efecto, TEATROS. El Sr. P R E S ID E N T E señaló para la discusión de mañana no obstante que el titulado general Pedro José Iturriza ha tras­ la interpelación suspendida sobre los caminos de Granada y ladado al comandante general de Guipúzcoa D . Fermin de E z- P R IN C IP E . A las siete de la noche. M álaga, y los demás asuntos pendientes; con lo que levantó la peleta una determinación por la que su preten…</t>
  </si>
  <si>
    <t>ITuérta, José Bernardo</t>
  </si>
  <si>
    <t>José Bernardo ITuérta</t>
  </si>
  <si>
    <t>…093 alertiantx, r o ­ nio de 1859, reunidos los Sres. priinei* ayudante del batallón . Se asegura qué acaban de hacerse proposiciones á los refu­ sos &lt;&amp;c.; I í ,8 l 5 hom bres, 4555 mugeres y 6257 niños. activo de T^ascala; D. José Bernardo ITuérta, éórortel gradua­ giados polacos para que se alisten en el ejército del bajá de Egip­ La población se halla repartida de) modo siguiente: en A r­ do; D. M anuel M aría Itu rria , coronel gradtfádo; í&gt;. M arianc to. Se ofrecen á cada uno 500 francos para los gastos del viaje. ge…</t>
  </si>
  <si>
    <t>Iva, Baeza</t>
  </si>
  <si>
    <t>Baeza Iva</t>
  </si>
  <si>
    <t>…gularmente en aquel, pues concur­ ley , se estaría en el caso de examinar si era ó 00 conveniente concluye manifestando la necesidad de que se apruebe el pro­ rieron casi todas las facciones, conduciendo una pieza de á 16 El Sr. Baeza Iva manifestado' razones que parece que manifiestan yecto por útil, oportuno y conveniente. y otra de á 8 para, batir o ñas débiles tapias, en lias cuates abrie­ que es incouveniente, y el Gobierno cuando la dictó tuvo otras El Sr* Secretario del Despacho de GRACIA Y JUSTICIA ron muchas brec…</t>
  </si>
  <si>
    <t>Ivent</t>
  </si>
  <si>
    <t>…yores esfuerzos porque los árabes ñal determinante de toda su familia. Su herm ana, casándose Una carta de Constantinopla asegura que la Puerta contra­ nt&gt; se creen nuevas necesidades, á fin de que tengan el menor con el duque de Ivent, entró : él en la familia R ial de In ­ co do ta actualmente un empréstito de 50 millones de francos: no se contacto posible con los infieles: finalmente, querría que á nues­ glaterra, y hoy e* madre de la Reina Victoria, Leopoldo es dice el nombre del banquero. Los productos de las aduanas d…</t>
  </si>
  <si>
    <t>IVERGY</t>
  </si>
  <si>
    <t>…a ópera nueva en dos actos, titulada r aner. M alaga, Carreras. Murcia , Benedicto. Orense, Gómez fines principales de toda sociedad bien ordenada. Lazo. Oviedo , Longoria. Plasencia, Pis. Ronda , Justo Fernan­ G A B R IE L L A D I V E R G Y , dez. Salamanca, Blanco. Santander, Riesgo. Santiago, Rey R o - En la Constitución europea que se ha publicado este año en esta corte se indican los medios de poder llevar adelante D e í« d T Vi • Tarrag0"a ’ Sa,,chez- Toledo, López tan filantrópico pensamiento , y se exponen las pod…</t>
  </si>
  <si>
    <t>…a ópera nueva, en dos actos, titulada 8 ................. d e ........ 4 OO................. 5200 25.................. d e .. 100................. 2500 negocios y recursos ordinarios y extraordinarios reser­ G A B R IE L L A D I V E R G Y , 40................. d e .. 50................... 2000 vados al tribunal supremo de Justicia. JO.................. d e .. 40 ................... 2800 música del maestro D . Manuel Ducassi. 200 .................. d e .. 20 . . . . . . . . . 4000 Esta obrita tiene por objeto recopilar…</t>
  </si>
  <si>
    <t>IVIDESEL</t>
  </si>
  <si>
    <t>…E N D IO de la historia de la medicina, por los profe­ sores médico-cirujanos D. Antonio Codorniu y D . José M aría de la Rubia. Por D. Francisco Agustin Silvela • rio , colecturía general del fondo pió beneficial, junta de D I V I D E S E LA OBRA EN C U A T R O P A R T E S ! beneficencia, hospitales generales, asociación de caridad Prospecto. = La inteligencia, ese destello de la D ivinidad, y casa de beneficencia, la inclusa, la h e rm a n d a d del re­ es el mas bello atributo , el maravilloso don que recibió el hom…</t>
  </si>
  <si>
    <t>Ivo</t>
  </si>
  <si>
    <t>…ado mensual correspondiente al próxi­ mo pasado, de los objetos extraídos de las excavaciones de Itá­ M onedas. Pasa á la comisión de Actas la de la provincia de León que lica , que me ha dirigido el director interino de ellas D. Ivo presenta D. Pascual Fernandez Baeza, D ipntado electo por la Doscientas c u a tro ; de los emperadores C o nstan tin o , D io - misma , y una exposición del comisionado del distrito electoral de la C ortina , oficial de esta gefatura. Dios guarde á V. E. clecianoJ Constancio y Honorio. muchos a…</t>
  </si>
  <si>
    <t>IZ, RU</t>
  </si>
  <si>
    <t>RU IZ</t>
  </si>
  <si>
    <t>…s En mi concepto es conveniente y necesario , absolutamente Por lo misino entiende la comisión que el Senado debe apro­ militares. necesario un proyecto en su espíritu y esencia , por mas que bar la referida acta general. El Sr. RU IZ D E L A R B O L : Y o no me opongo al cum pli­ después h ay a que hacer algunas variaciones ó alteraciones en El Sr. D. J u a n Nepomuceno San M i g u e l , Senador electo miento de lo ofrecido en 2 4 de Octubre de 1 8 5 5 : h a y una pa­ los artículos. por esta p ro v in cia, ha justificado…</t>
  </si>
  <si>
    <t>IZA</t>
  </si>
  <si>
    <t>…e Hacienda tiene un título á la cabeza de este banco, y no al que dirige sus operaciones. consideración del Congreso por ese despojo que parece ha he­ n a v a l , y una docena de ejemplares son una verdadera masca­ El Sr. M EN D IZA B A L insistió en que el comisario régio rada ; sin que el público sepa á qué atenerse acerca de la in ­ cho de una prerogativa que le corresponde; pero que deberá no representaba de manera alguna al banco. dividualidad de la fisonomía. conocer el Sr. M in is tr o , que aunque dé esta prueba…</t>
  </si>
  <si>
    <t>IZABAL</t>
  </si>
  <si>
    <t>…. Véase como hay en esto una g ra­ der reconocido independiente por la ley fundamental. ción nacia el descrédito en que estaba nuestro crédito , lo que vísim a equivocación de parte del Sr. M inistro de la Goberna­ El Sr. M EN D IZABAL dijo que si bien convenia con a l­ no c re ía , pues el descrédito en que han caído desgraciadam en­ ción y de la comisión. Otras son, señores, las bases del crédito gunas de las ideas del Sr. Mou de que no era un pensamiento te los fondos españoles dependía de causas mucho mas hondas, de la…</t>
  </si>
  <si>
    <t>…y se juega mas sobre los fondos españoles y sión plena de la dirección por mayoría absoluta. la caja vendiese y comprase; pero no hace mas que comprar, sobre los de todas aquellas naciones que están en guerra. Pues El Sr. M EN D IZABAL: Por la nueva redacción del ar­ comprar, com prar, am o rtizar, amortizar , amortizar. Apro­ b ien, haciendo la caja estas operaciones, resultará esto, de ma­ tículo no cabe duda alguna de que no pueden tener lugar los bando este artículo , lejos de perjudicarse á nadie, se favorece á nera…</t>
  </si>
  <si>
    <t>Iznard</t>
  </si>
  <si>
    <t>…Sr. P R E S ID E N T E observó que habia habido seis inter­ se expresa de este modo {leyó.) Pues si uno y otro están con­ G alian o p íd e la p a la b ra en contra.) El suceso de Sevilla que el pelaciones: que la quinta, del Sr. Iznard i, había empezado , y formes en esto ¿dónde está el tratado? ¿ N i qué facultad tenia Sr. Diputado ha calificado de rebelión, ha producido ya la prisión que cuando quedó pendiente fue al tratar de la prisión del se­ el general para hacerle? Ni él, ni otra autoridad alguna tenían judicial de…</t>
  </si>
  <si>
    <t>Iznardi</t>
  </si>
  <si>
    <t>…be­ impugnaba el dictámen de la com isión, sino que también en­ falta de transacción. Dice el general Sanjuanena que entró á to­ lión y de rebelión abierta , por mi parte no hubiera tenido d i­ traba en la interpelación del Sr. Iznardi. . mar el mando {leyó.) El general Córdoba, que entregó el mando, ficultad ninguna en entrar en este exámen. { E l Sr. A lc a lá El Sr. P R E S ID E N T E observó que habia habido seis inter­ se expresa de este modo {leyó.) Pues si uno y otro están con­ G alian o p íd e la p a la b ra en c…</t>
  </si>
  <si>
    <t>…: No me he no leNoquieren: gobernarán con la anarquía, ni con el desorden porque no quieren gobernar sobreestados de sitio, esto equivocado según he oido al Sr. Argúelles. Esta cuestión tan Contestando á lo expuesto por el Sr. Iznardi acerca de que delicada como personal, la reduciré á dos puntos, el voto de la conoce el Gobierno que es el caballo de batalla. el conde de Cleonard habia amenazado con su animadversión al m inoría, y la cuestión de Gobierno suscitada por el Sr. M on­ Los estados de sitio pueden considerarse…</t>
  </si>
  <si>
    <t>…celente educación fisica de todos ellos, sin la cual de podíamos aprobarla por el modo de hacerla. M u rillo , demostrando lo peligrosas que eran sus doctrinas, nada aprovechan al hombre todos los conocimientos humanos. E l Sr. Iznardi fundó su interpelación en que el conde de pues hasta ahora no habia nadie que hubiese dicho como S. S . N i en un solo oiño de los que entre alii habia he podido notar Cleonard había cometido atropeilainientos de toda clase, que que el Sr. Diputado Alvarez hubiese sido preso infraganti. ¡ e…</t>
  </si>
  <si>
    <t>IZNARDI</t>
  </si>
  <si>
    <t>…e S. S. que no habiendo admitido el Sr. Cas­ Agosto, y fue nombrado en su lugar el Sr. Baezá. tro de Hacienda diciendo estar dispuesto á pagar los intereses de tro, ni estando comprendido en el art. 43 de la Constitución, El Sr. IZNARDI: No pensaba haber tomado parte en esta la deuda, puesto que hay una casa que se obliga á ello, nadie debe el Congreso por lo tanto aprobar el dictamen. cuestión; pero me veo obligado á ello, porque se ha querido habrá que se oponga á esta proposición. El Sr. OLOZAGA: El mismo motivo que me…</t>
  </si>
  <si>
    <t>Iznardi, D. Angel</t>
  </si>
  <si>
    <t>D. Angel Iznardi</t>
  </si>
  <si>
    <t>…Huelva. Sr. D. Felipe Gómez Acebo. Sr. D. Francisco Agustín Sil vela. Sr. D. Angel Fernandez de los Rios. Sr. D. Juan Martin Carramolino. Sr. D. Francisco de Paula Alvarez. Sr. D. Vicente Trueba Cosío. Sr. D. Agustín Mela. Sr. D. Angel Iznardi., Segovia. Badajoz• Sr. D. Joaquin Garrido. Huesca. Sr. D. José Balsera. Sr. D. Marcos Marin. Sr. D. Miguel Cosío. Sr. D. Francisco de Lujan. Sr. D. José Queraltó. Sr. D. Francisco Bartolomé y Colorao. Sr. D. Juan José García Carrasco. Sr. D. Antonio Puicerciís. Sr. D. Facundo…</t>
  </si>
  <si>
    <t>Izquierdo, Andrés Sánchez</t>
  </si>
  <si>
    <t>Andrés Sánchez Izquierdo</t>
  </si>
  <si>
    <t>…pieza en un acto, titulada 5.° Defensa de los derechos del pueblo. L A C A S U A L ID A D A M E D IA N O C H E . 4*° Ciencias y amena literatura. S I alguno tuviese que reclamar á la testamentaría del difunto 5.° Ultramar. D. Andrés Sánchez Izquierdo, presbítero, capellán mayor Al marcar el dia, según el calendario, pondremos al nivel</t>
  </si>
  <si>
    <t>Izquierdo, Manuel Fernandez</t>
  </si>
  <si>
    <t>Manuel Fernandez Izquierdo</t>
  </si>
  <si>
    <t>…ostaron á la Francia: asi coino el árbol drama nuevo bíblico, en cinco actos, titulado joven y endeble absorbe las sustancias del suelo en que se Teneduría de libros, planta, asi aquellas dos almas ardientes y apasionadas as­ D. Manuel Fernandez Izquierdo, id. de siete á nueve. LA DEGOLLACION DE LOS INOCENTES. piraron el ambiente de revolución. La razón fortalece los principios en unos y los modifica en otros: Victor Hu­ Escuela de adultos, Desde que desaparecieron los autos sacramentales, y las de­ go, halagado con las…</t>
  </si>
  <si>
    <t>Izquierdo, Miguel</t>
  </si>
  <si>
    <t>Miguel Izquierdo</t>
  </si>
  <si>
    <t>…s estratificados, de la cual se ha sa­ corrupción á que están expuestos en el seno de sus parientes, cado tanta utilidad en muchos puntos, respecto de la agricul­ aliviando á sus padres de los cuidados de la vigilancia domés­ D. Miguel Izquierdo, vecino y del comercio de dicha ciu ­ tura y de la humanidad doliente , conviniendo en campos fe­ tica , poniéndoles en estado de atender mejor ¿ las necesidades d a d , ha denunciado una pertenencia de mina en la .plomiza races y lugares saludables sitios pantanosos y mal sauos;…</t>
  </si>
  <si>
    <t>…mozárabe de la parroquia depósitos de que procedan la comprobación del destino de San Sebastian de la misma ciudad. Los que quieran tratar 183 . dado á ellos, si antes no lo hubiesen verificado con la de ajuste se dirigirán á D. Miguel Izquierdo , veeal secretario tornaguía correspondiente ú otro documento de las ofici­ de la junta. nas de Rentas, cuya legalidad esté acreditada; procedien­ do en caso contrario á lo que haya lugar con arreglo á instrucciones. A n u n c io s o f ic ia l e s . Dirección general de rentas esta…</t>
  </si>
  <si>
    <t>Izquierdo, Santiago</t>
  </si>
  <si>
    <t>Santiago Izquierdo</t>
  </si>
  <si>
    <t>…L CON SU RAZON . Los balcones aparecieron de improviso cubiertos de ricas colga­ que la misma previene, tocó á los sugetos siguientes: D. José d u ras, las campanas se echaron á vuelo, en las plazas y paseos Cecilio Scgues, D. Santiago Izquierdo, D. Francisco Cano, Si para dar al público una idea de esta composición se dejara públicos se formaban bailes á estilo del p ais, corriéronse novi­ D. Basilio Carranza , D. José Ramón E g u ía , D. Rito G ar­ llevar la sociedad del juicio que ha formado acerca de ella , aca­ llo…</t>
  </si>
  <si>
    <t>Izuardi</t>
  </si>
  <si>
    <t>…r sacrificarse cuanto les sea posible por El Sr. B R A V O M U R IL L O : Había pedido la palabra para no ; si se le niega , no tiene responsabilidad alguna. la mejor educación de sus hijos. contestar á la interpelación del Sr. Izuardi, y asi y o como los E l Sr. A R G U E L L E S después de indicar algunas de las equi- 1 . a Observación. A l verme rodeado de niños desde la edad demas Diputados por Sevilla, estábamos dispuestos á dar las caciones en que dijo haber incurrido el Sr. Sancho, y que di­ de cinco hasta la de do…</t>
  </si>
  <si>
    <t>Iíeros</t>
  </si>
  <si>
    <t>…se las actas aprobadas, la comisión pro­ Carrillo. pone sea admitido el Sr. D. Andrés García Camba. Cuenca 29 de Agosto de 1859.=:Escosura y Ilevia. Inspección de minas del distrito de Riotinto.- Relacion de A petición del Sr. Iíeros quedaron sobre la mesa las respec­ los registros y denuncias de minas y oficinas de beneficio ad­ tivas á las provincias de Pontevedra y Oviedo. mitidos en esta inspección en el mes de Agosto del presen­ Precedidos de los Sres. Secretarios Ondovilla é Isla Fernan­ Inspección de Minas del dis…</t>
  </si>
  <si>
    <t>Iíeíschm</t>
  </si>
  <si>
    <t>…sino á aquel que con una res 8 de Ju lio de 1859. En la parte oficial del M onitor se lee lo que sigue: ; perseverancia infatigable todo lo ha organizado , y que al de­ Firmado.^El procurador general , Franck-Carfé. El general de Iíeíschm an, embajador extraordinario y m i­ clararse gefe ha aceptado toda la responsabilidad que lleva M r. D upont, defensor de Barbés y de M artin Bernard , y nistro plenipotenciario de S. M. el R ey de W u rtem b erg, ha consigo el mando? M r. Arago que lo es también del primero, contestando un…</t>
  </si>
  <si>
    <t>Iñigo</t>
  </si>
  <si>
    <t>…icia y honor debido á los D ip u t ad o s que usan la palabra; base el acta tal corno se h a ll a b a ; pero que hallándose aquella proporcionará al Gobierno el que b c a n ti d ad que corresponda que por lo demas ya sabe el Sr. Iñigo que no es menester ser conforme con las ideas del Sr. conde , m tenia inconveniente á Alrnuñecar pase en los plazos estipulados directamente al te­ ni un N ec ke r, ni Miui tro de H a c ie n d a , sino que bista haber eD admitir la enmienda propuesta por S. S. soro. pertenecido á los cuerpos…</t>
  </si>
  <si>
    <t>…contribución podrá ser efectiva, y no será El Sr. M A D O Z indicó que la comisión estaba m uy recono­ da para que vean los Sres. .Diputados que no se pide sino una una mentira. cida á las últimas palabras del discurso del Sr. Iñigo ; que lejos cosa de la mayor equidad {se leyó). Yo reclamo lo mismo que el Sr. Sancho en favor de las pro­ de haber sido empalagoso habia probado su celo por una clase Creo que lo que queremos es una cosa evidentemente justa, vincias de la corona de Aragón, en donde habiendo perdido lo­ á qu…</t>
  </si>
  <si>
    <t>…icidad en el Boletin oficial. Dios guarde á V . S. m u ­ Yendo á buscar arbitrios para que cenen su amo y M a til­ M elchor. E nviaréte noram ala chos años. L ugo 20 de O ctubre de l8 59 .~ L au rean o Sanz.=zSe- de , enfadado D. Iñigo con una expresión m al sonante, le am e­ si no callas, necio: ig u a la ñór com andante general de Pontevedra.—Es copia = R ávago . naza d icien d o : Ja Scitia con la E tiopia. (fe. O .) L a mano que á mí me ha muerto ¡V iv e el cie lo , descortés, que estoy * de una vuelta se adornaba d…</t>
  </si>
  <si>
    <t>…a que ellos habian pedido la concesión: no lieron mas-de una vez el título de traidores. bién; y al cabo ¿qué importa que los restrinja ó no, si exis­ se pierda de vista que be dicho que las cosas abortaron, que Y o digo al Sr. Iñigo que mayores debieron ser aun aque­ es decir-, q-ue algún acontecimiento inevitable vino sobre -los tiendo la Constitución, tenemos distintos fueros económicos en</t>
  </si>
  <si>
    <t>…José Castejon , diputado.—Salvador M aluguer, diputado.—Ma­ cerme un c a r g o : se dijo que se acogería favorablem ente el te 9 Y q«e no satisíaee en nada á las miras del Gobierno. Y a nuel Fuster A rnaldo, secretario. el Sr. Iñigo ha dado tan fuertes toques al proyectoen cuestión, provecto que el Gobierno trajese, y se concedería cuanto no se opusiese á la'Constitucion. L o ha traido, y he demostrado que si no ha venido a b a jo , debido es al esfuerzo de los siete Señora: Cuando todas las corporaciones se acercan á po…</t>
  </si>
  <si>
    <t>IÑIGO</t>
  </si>
  <si>
    <t>…ubsistente el derecho establecido en el se mezclan en operaciones que arancel general de aduanas para los géneros mencionados en el otras. son de suyo graves. Las operaciones de la junta de escrutinio artículo arterior. El Sr. IÑIGO: Pido que ¿e lea el art. 7.° del reglamento. son fiscalizadas, y en este caso ¿cómo pueden resultar actas (Se leyó.) Art. 5.° Queda derogada toda legislación contraria á lo en aqui El Sr. CABALLERO: Voy á empezar por hacer una ligera res, establecemos que no se han visto en las de escrutinio…</t>
  </si>
  <si>
    <t>…erno no quiso decir lo que ha entendido por tales el Sr. Ca­ Se leyó la 151. {Véase la Gaceta del dia 5.) bles de la corona tan frecuentemente como en España : y latrava. Por tradiciones nos ha dado el Sr. Calatrava uno de El Sr. IÑIGO hizo ver en un largo discurso los padeci­ sobre todo que jamas se ha usado tan frecuentem ente de los dos sistemas que dividen á los españoles en dos partidos, mientos que el peticionario ha sufrido por efecto de las medi­ ese derecho en momentos tan azaro ;o-. y tan críticos como porque dijo…</t>
  </si>
  <si>
    <t>…ables á los cuatro Diputados cuya admisión aprueba la com i­ han hecho los señores que han impugnado la proposición del hubo ilegalidad en las elecciones de Huesca. sión? No. No son aplicables á los cuatro D iputados, porque Sr. Iñigo, que yo creia que la hubiera retirado, y aun creo I* Estas roe parece que son razones suficientes para que se sus­ precisamente sabrá el; Sr. Iñigo que la dificultad que hay 110 es retirará. L* proposición del Sr. Iñigo es contraria al diciámer» penda esta discusión hasta tanto que esté el C…</t>
  </si>
  <si>
    <t>…e algunos elec­ palacio. que tenga por conveniente; por tanto pido que se apruebe la tores no hubiesen podido presentarse con oportunidad. Lo mis­ Ocioso es describir el esmero y brillantez del acto, La&gt;tan* proposición del Sr. Iñigo. mo sucede respecto de la otra circunstancia de no haberse teni­ do á solemnizarlo todo la presencia de SS. MM. El Sr. M A D O Z : Después de hacer una breve reseña de do presentes las listas rectificadas por la diputación provincial, Según se nos ha informado no hubo brindis por no permi­ l…</t>
  </si>
  <si>
    <t>…ninguna nación. Por eso tan grande ha sido Calderón para In­ nen los Sres_ González Alonso y Benavides. El Sr. PEREZ D E RIVA S contesta que no ha sido su áni­ glaterra como para su patria; por eso siempre hemos admirado El Sr. IÑIGO dijo que, reasumiendo los discursos de to­ mo hacer inculpación alguna á la mesa. á Moliere; por eso á Byron y á Murillo en todas partes se Ies dos los señores que le habían precedido en el uso de la pala­ A petición del Sr. Madoz se leen los artículos 9 8 , 105 y ha acatado.Quédale después a…</t>
  </si>
  <si>
    <t>…r recurrido ya el inte­ posición original pasase á la comisión que habia pedido el se­ M in ist ro, esperaba oir de su boca lo que he oido , me doy por resado otras dos veces con la misma solicitud. ñor Lujan. satisfecho. El Sr. I Ñ I G O contestó que aunque 1ü u y bien pudiera ser Se leyó la petición núm. 27 que D. Manuel T o m as, p ro ­ El Sr. G O N Z A L E Z A L O N S O dice que está en su lugar pietario del pueblo de S. Gervasio del Llano de Barcelona , y quépase esta exposición al Sr. Ministro de la Gobernación; pero…</t>
  </si>
  <si>
    <t>…ósito deberá reducirse á la mitad de dichas sum as, y . á la pasase á una comisión especial. ficas , los sentimientos generosos. Por todo esto , y porque es ma­ cuarta parte si fuere de uno á dos meses; y en todo caso se El Sr. IÑIGO contestó que como de la comisión sus in d i­ teria de circu n sta n cia s , lo recomendamos á nuestros lectores. adm itirá el cuádruplo en efectos de la deuda consolidada del viduos no podían conformarse con la propuesta del Sr. Aillon, 4 por 100 ó de la del 5 por 100 en cantidad proporcionad…</t>
  </si>
  <si>
    <t>Iñigo, Francisco</t>
  </si>
  <si>
    <t>Francisco Iñigo</t>
  </si>
  <si>
    <t>…antipetri, D. Pedro Porras, D. Felipe López VadeIdem D. Juan la Ro­ dos cadenas: la goleta O rear, procedente de S. Agustine, varó todas las referencias de donde procede esta noticia los enemigos D. Nicasio González Cabellos, D. Francisco Iñigo, D. José oro, al Sud de Staten Island, pero no tuvo avería en el cargamento: Es­ otro bergantin-goleta, grande, está varado en Great Kiln : el habían sido batidos. cribano y D. Valentín Sigúenza, quienes declararon no.haber bergantín Laurel , viniendo de Lanzarrette en 40 dias con…</t>
  </si>
  <si>
    <t>J, Roque</t>
  </si>
  <si>
    <t>Roque J</t>
  </si>
  <si>
    <t>…er la fuen­ en las diferentes clases bastantemente instruidos: la de aritmé­ cicio de tan sagrado ministerio; y ellas en fin oran por vuestra te que el Excmo. Sr. capitán general D. Joaquín de Ezpeleta ha tica está á cargo de D. Roque J. V aldés/y la segunda al de conservación. Con esto no hacemos otra cosa que cumplir con construido frente al fondo de la nueva cárcel en la última glo­ D. José María García: la de gramática ai de D¿ Manuel A n- ciedad económicaimpone los deberes que el agradecimiento. Plauteada la Real so­…</t>
  </si>
  <si>
    <t>Ja, Francisco</t>
  </si>
  <si>
    <t>Francisco Ja</t>
  </si>
  <si>
    <t>…, D. Lorenzo M a r a c i, D. Andrés M a r t i, D . Ju a u G a- en otros, como sucede en casi todas las galerías de p in tu ­ los ind ivid uo s que han de componer las diputaciones pro­ r a y y C a sa !, D. Rafael C añavera! y D. Francisco Ja v ie r S á n ­ ras , excepto la del L o u v re , pues de otro modo seria su- vinciales. (N úm . 1815.) ch ez, que aparecen endosantes de varios créditos de deuda sin perfiua la rica colgadura de sed a, y bastaría solamente en- Real decreto adm itiendo al teniente general D . Isidro A…</t>
  </si>
  <si>
    <t>…iguel M ar- p O R el presente y providencia dictada por el Sr. D. Juan qüés y Villegas, D , Lorenzo Marau , D. Andrés M artí, Don José Rodríguez Yaldeosera, caballero comendador de la Juan Garay y Casal, D. Rafael Cañaveral, D. Francisco Ja­ Real orden Acbericana de Isabel la Católica , juez togado de EL LIBRO DE LOS NIÑOS, vier Sánchez y D. Juan José G il, que aparecen endosantes de primera instancia de esta corte, refrendada de D. Manuel Fer­ varios créditos de deuda sin Ínteres contra el Estado, para que nandez de Paz…</t>
  </si>
  <si>
    <t>…ia s , no siendo p la r: en rústica, á 2 2 : en pasta, ó á la holandesa, á 26. Á! Ja Real orden de 4 de Julio de 1836. que tomé doce ejemplares en rama se aumentará uno, g ra tis feriados, y en Sevilla casa del administrador D. Francisco Ja ­ véndese en el despacho de la Imprenta Nacional. Los que siendo ya licenciados en medicina quisieren obtener vier Labra. el mismo título eu ciru g ía, estudiarán en dos años las referidas materias quirúrgicas al tenor de lo dispuesto mi la Real orden antes citada. A lum nos ciru ja n…</t>
  </si>
  <si>
    <t>Jac</t>
  </si>
  <si>
    <t>…el general realidad este sueño! Dios es mas misericordioso que nosotros En postdata pregunta á su corresponsal de Burdeos si no León con una fuerte d iv isió n , y s© asegura que lo están for­ pecadores. A D ios, mi querido D. Jac in to ; memorias á la tia podría como (aqui en lugar de nombre pone el núm. 29) es­ tificando. N in a, y que me encomiende á Dios, á todos los amigos, á nues­ cribirle bajo sobre á M r. Frederic, pues cuando le dirige las tro Padillo particularm ente, á M arianis y E v an gelisti; y des­ cartas…</t>
  </si>
  <si>
    <t>Jaca</t>
  </si>
  <si>
    <t>…solución superior ha c a l­ Acabamos de saber positivamente que el Excmo. Sr. gene-J musulmán de la S ir ia , cualquiera que sea, debe preferir el ver mado la efervescencia de los espíritus. Se ha conveuido en unral gobernador de Jaca dispuso la salida de aquella plaza el á los turcos en Constantinopla , mas bien que á los rusos; ¿ y mezzo termine\ y los cónsules generales quedan encargados de dia 2 4 del actual de 59 hombres de la compañía suelta de f u - ; por qué? porque la Rusia es ambiciosa , y desea su engrande­ solici…</t>
  </si>
  <si>
    <t>Jacinto</t>
  </si>
  <si>
    <t>…ervención facultativa que á la marina corresponde en los hasta que la comisión, en vista de los documentos que haya, mootes y arbolados que se destinen á la construcción naval. primera instancia de esta v illa , refrendada de D. Jacinto dé la justicia á quien la tenga. Modo de hacer potable el agua del m a r , conocido de m uy Gaona y Loeches, escribano del número de la misma, se ha El Sr. CABALLERO dice que el gefe político de Avila en ¡ mandado sacar nuevamente á pública subasta una casa sita en antiguo por los españole…</t>
  </si>
  <si>
    <t>…0 de A bril de 1859 en D u - Numero 13. m ania. ran go , y una postdata fecha en el tnismo punto á 12 del mis­ Segunda. mo m es, que no contiene mas que noticias de Cabrera y de las Duraogo 1.° de Juoio de 1839.^M i querido D. Jacinto: operaciones de Maroto sobre Bilbao que nada tienen de impor­ He recibido la estimada de Y . de 23 de Abril últim o, alegrán­ La segunda carta fecha en Luyando entre Llodio y A m or- tante. Acompaña también Swiderski un trozo del diario ó me­ dome infinito de que V. cuente sobre mí corno pu…</t>
  </si>
  <si>
    <t>Jackson</t>
  </si>
  <si>
    <t>N.° 1857. MARTES 10 DE DICIEMBRE DE 1839. d ie z c u a r t o s . PARTE OFICIAL. de haber dejado encargado el gobierno del Bajo-Canadi al te­ tro pais, pues que el Rey Guillermo y su familia habían de­ niente general Jackson , quien ha reemplazado á sir Juan Col- jado contraidas en Bélgica deudas considerables con ciertos par­ born en el mando militar. Se dice que el general Jackson es ticulares y establecimientos públicos, que recobrarán de este muy apreciado en la colonia. modo las su roas que se les deben.…</t>
  </si>
  <si>
    <t>…l mensaje han otra época los indios am enazaban, y aun in vad ían Jas fro n te- sobre ellas algo. L a violenta agitació n que la cuestión de las creído deber solicitar la in d ulgencia y la atención de la C ám a­ ras , el general Jackson a la cabeza de su ejército avanzó para leyes de los cereales ha producido en el p a is , demuestra la ne­ r a , ¡cómo no he de necesitar yo de ella cuando debo someterle proteger y libertar los territorios in vad id o s, y , m irando su es­ cesidad de modificar estas le y e s ; y cuando la c…</t>
  </si>
  <si>
    <t>…l Congreso , co­ países, y aun en los Estados-Unidos se deporta también. A ñ a ­ Se c oncedió licencia por tres meses al Sr. Silva para que mo Diputado que era , tuve parte en la ley de Junio del año dió que cuando el Presidente Jackson salió en una expedición pasase á Plasencia según solicitaba. de 2 5 , lo tuve en el decreto expedido por el Sr. conde de A l- contra los indios llevaba una corte marcial, y á fe que el trato Se acordó pasar á la comisión que entiende en el negocio modovar en Octubre de 1855 y en la que se p…</t>
  </si>
  <si>
    <t>Jacobi</t>
  </si>
  <si>
    <t>…choso , y aprehender dos caballos, que se han aplicado al ser­ egidor; después iban el teniente general Boyer, su primer ay u - rencia. vicio de la caballería , siendo nuestra pérdida la de un oficial íante de cam po, el general Jacobi, el coronel Poque, goberna- Apenas se apoderaron los constables de las banderas y de los y seis soldados heridos, y un caballo muerto. lor del castillo , los agregados, ayudantes de campo y oficiales estandartes, cuando los cartistas los acometieron furiosos; y co­ Que en la noche del 24 el…</t>
  </si>
  <si>
    <t>Jacobo</t>
  </si>
  <si>
    <t>…stan aquella comarca se h allab an con d°p n 1 r° V C0Q°- puilt0 ^ c o n f i n a m i e n t o ; y para residencia L a s n o t ic ia s q u e h em o s r e c ib i d o d e N a v a r ra c o n f ir m a n sus cabecillas en M a te t. de D Jacobo S eñ o ra n s, cura de O c a , |a v illa de Rivadeo ; y la v illa del Ferrol para la de D. Pedro O tero , estu d ia u te.= G e - las q u e y a se t e n i a n d e l f u s i l a m i e n t o d e v a rio s g e í e s r e ­ romrao Valdes. b eldes. A ntes d e t o m a r esta r e s o lu c ió n p u b…</t>
  </si>
  <si>
    <t>Jacobo, Cristiano</t>
  </si>
  <si>
    <t>Cristiano Jacobo</t>
  </si>
  <si>
    <t>…que se demuestre la se gu ­ do con los ocho estudiantes, á que fue comprometido el direc­ Antonio R aífelin , llenó de júbilo y coronó de gloria á los que ridad del é xito , y wque el Gobierno preste su auxilio para ace­ tor D. Cristiano Jacobo K r o g e r , y en í . ° de Agosto último en ella tuvieron p arte ; y al célebre Bretón no le pesaría que la lerar y asegurar el resultado.” se aumentó con igu al número á virtud de la cooperación de la ejecución de la Marcela h a y a recaido en jóvenes que exceden de Utilidades . D…</t>
  </si>
  <si>
    <t>Jacome, Juan</t>
  </si>
  <si>
    <t>Juan Jacome</t>
  </si>
  <si>
    <t>N. 1806. DOMINGO 20 DE OCTUBRE DE 1839. QUINCECUARTOS PARTE OFICIAL D. Juan Jacome, alcanzó el dia 25 del pasado en Casas de Illa de Seriña al cabecilla Felipe con su p a r tid a , á la que habia escarmentado matándoles 14 hombres é hiriéndoles otros m u ­ C a b re ra no es digno por ningún concepto de vuestra solícita y maternal clemencia. Sus horribles crímenes n…</t>
  </si>
  <si>
    <t>Jacq, Jacqueminot y Mr.</t>
  </si>
  <si>
    <t>Jacqueminot y Mr. Jacq</t>
  </si>
  <si>
    <t>…los pueblos, M tículos 4«° y 6.° de la instrucción de 12 de Agosto. dirigido todas sus fuerzas? &lt; Presentado el tratado ú ía BéjgicaHpotno pná obra fatal é En seguida el Exctno. Sr. presidente ordenó que el secreta­ Él general Jacqueminot y Mr. Jacq u e sL efeb v re,á quie- irrevócáblé, nos tía parecido q u e _aprobaron ó des»prolacion rio leyese, como se verificó, el expresado Real decreto de 15 .nesihan combatido Mr. Oditon Barre »t y Mr. Laffitte. debia reducirsé i uóá cfuestion de necesidad. Guiados de eTe de Marzo, y…</t>
  </si>
  <si>
    <t>Jacqueminot</t>
  </si>
  <si>
    <t>…y , y ha nom­ diantederechos que el Gobierno belga está obligado á respetar me­ las obligaciones que ha contraído con las cinco Poten­ la opinión y ai Ínteres bien calculado de los pueblos, des­ brado por presidente al general Jacqueminot , y por secretario cias por el tratado de 5 de Noviembre de 1851. pués de la medida constitucional de la suspensión de las á Mr. Locquet. (Debáis.) Los infrascritos ruegan á los plenipotenciarios de Francia, Cortes; y seria injusto el no reconocer que la mayor par­ de la Gran Bretaña…</t>
  </si>
  <si>
    <t>…ría re­ de las inscripciones destinados á la quem a, y el de paquetes vencidos.; ... , ’ husarse ó aceptar el tratado , y cuales serian las consecuencias que las contenían. Concluida la lectura, y colocados estos en su El general Jacqueminot ha tenido 329‘votos más qué G di- de una negativa. No habréis olvidado, señores, que a,I dirigir respectivo lugar, con sujeción al art. 9.° de dicha instrucción lon B arrot... l la? Cobferencia en 25 de&gt; Eaéro últimó á nuéstro plenipotencia­ excitó el Sr. vicepresidente á los espectador…</t>
  </si>
  <si>
    <t>…oles á que sufriesen con pacien­ Yo dije á Mr. Passy : nosotros tenemos hoy una reunión en terrogación en m uchos casos, la p olisínd eton, la asinde- cia el odio, las contrariedades y persecuciones que tendrían casa del general Jacqueminot para ponernos de acuerdo sobre to n , la suspensión, la gradación y algunas otras de su que sufrir de parte de las potestades temporales, de esas persecu­ un proyecto de mensage que se decia iba á presentarse. Comu­ clase , de que g eneralm ente se usa .para d a r vigor y ele­ ciones e…</t>
  </si>
  <si>
    <t>…y media ha partido el Príncipe beldes implorando la gracia de indulto. acompañado de una escolta de la guardia de honor para las S. M. la R e i n a , s u augusta Madre la R e in a G o b e r n a ­ Aguas-Buenas, donde el general Jacqueminot le tiene prepara­ PARTE NO OFICIAL. da otra nueva fiesta. Desde alli irá S. A. R. á Canterets, pasan­ d o r a y la Serma. Sra. Infanta Doña María Luisa Fernan­ do por la montaña. da , continúan en esta corte sin novedad en su importante La efusión de las palabras del Príncipe nos prueba…</t>
  </si>
  <si>
    <t>…concurrencia. Hé aquí los hechos que han motivado la acu­ Los individuos de la an tigu a mayoría se han reunido tam ­ como en excitar el celo de los propietarios y ayuntamientos ded sación. bién esta noche en casa del general Jacqueminot. mismo para que comuniquen al autor cuantos datos y noticias Alfonso F . . . . , que ejerce en Y erd un las modestas funciones Deben volver á reunirse mañana á las nueve para tomar h a y a menester para llevar á cabo una obra tan interesante bajo de empleado de bosques, vino á pa^ar u…</t>
  </si>
  <si>
    <t>Jacquerninot</t>
  </si>
  <si>
    <t>…icación pide á los gobernantes bajo el común y eterno pre­ rou elegidos Vicepresidentes. Langau. Cuando el tiempo está sereno, este viaje es una fiesta texto de la felicidad de los pueblos. Su príncipe se presenta solo El general Jacquerninot ha obtenido 208 , Mr. Etienne 206, continua, y no bien se sale de un encanto cuando se entra en en su casa, y le ofrece el poder: "Os hago mi m inistro, le dijo, y M r. Ganneron 204* otro rnayor. y vais á aplicar esos principios de los cuales, según vos, de­ M añana se celebrará un segu…</t>
  </si>
  <si>
    <t>JAEN</t>
  </si>
  <si>
    <t>…el dia de la paz que ha de terreño y conde de Oñate. do de las persecuciones de los facciosos. u n ir á todos los pueblos en una sola familia. El célebre trata­ Para la que ha de examinar la ley de beneficencia , los se­ El Sr. J A E N propone que se determine que en la secreta­ do de Vergara ha robustecido la consolidación del trono de ñores Caamaño , marques de Pontejos , duque de Zaragoza, ría del Congreso quede una copia de esta exposición para los nuestra inocente Reina Doña l abel t i , la Regencia de V. M. Capaz y…</t>
  </si>
  <si>
    <t>…es siempre justo, creo que en una época en que alargamos discutido? se presentan á su deliberación. la mano á los que sostenían un partido enteramente contrario, N o levantándose ningún Sr. D iputado , se declaró que no. El Sr. J A E N hizo una ligera reseña de las circunstancias mas justo es alargársela á los que distan de nosotros en cosas El Sr. P R E S I D E N T E (dirigiéndoseal Sr. Benavides): A h o ­ que concurrían en el peticionario, manifestando ser el primero de menor importancia , y que si el resentimiento del e…</t>
  </si>
  <si>
    <t>Jaime</t>
  </si>
  <si>
    <t>…nTolosay AzpePia ó en M adrid, es lo mismo. Los tronos se El Sr. duque de R IV A S anunció que la comisión la ad­ so tendrá mas extensión que tiene la del notariado entre nues­ conquistan como S. Fernando conquistó á Sevilla, D. Jaime á m itía , y tomada en consideración, pasó á la misma. tros vecinos los franceses, de los que no creo necesario tomar Valencia, y como Enrique iv confundió la liga á las puertas Se aprobó el párrafo 9.° esta nomenclatura ; y no digo esto porque yo rehúse jamás adop­ de París. En momentos tan…</t>
  </si>
  <si>
    <t>…Madrid el año de del dia 26 de Junio último, que principia: ''Odiosas son siem­ Juzgado de Amortización . 1791, 2 rs. pre las polémicas” , y concluye: el ayudante de campo del ge­ neral Ayerbe , Matías Seco.” denunciado por D. Jaime V i­ Para dar cumplimiento á un despacho librado por el señor cente Gómez en 26 del expresado mes de Junio, la ley absuel­ juez de primera instancia de la ciudad de Logroño y su parti­ np ABO A D A , última eJicion de París de 1858: los dos tomos ve á D. Matias Seco , responsable de dicho ar…</t>
  </si>
  <si>
    <t>Jaiu</t>
  </si>
  <si>
    <t>…R am ó n G arcía G a s e o , vecino de M o r a , y por la es ción hace una su cin ta explicación del ai t. qO y ¿{l de la refe­ cuántos ejemplos de heroísmo que i m i t a r . crib an ía n u m e ra r ia de O rg a z á carg o de D. Jaiu a e R u i z Ta~ r i d a ley. El techo, del moderno V e la z q u e z , representa á los reyes c a­ p ia d o r , se convoca en la a u d ie n c ia de su merced para segunda Los Sres. C o r t i n a , S a n c h o , C aballero y D e lgad o rectifican tólicos en su trono , la vu e lta de I le r n a…</t>
  </si>
  <si>
    <t>Janer, Félix</t>
  </si>
  <si>
    <t>Félix Janer</t>
  </si>
  <si>
    <t>…gmas ó cuadros p R E L IM lN A R E S clínicos ó introducción á la práctica de la mente de esta capital otro convoy de provisiones, compuesto que acompañan á las partes de la gram ática, y el apéndice acer­ medicina, por el Dr. D. Félix Janer, catedrático de clí­ de 90 carros y 218 acémilas, el cual pernoctó por la noche ca de la recitación merece estudiarse con cuidado. nica interna en el colegio nacional de medicina y cirugía de eu Perales sin novedad alguna en el tránsito. Creemos pues que esta obra sea útil á cuantos tien…</t>
  </si>
  <si>
    <t>Jas</t>
  </si>
  <si>
    <t>…de algunos bájáíatos, cüya disposición ha sido ejecutada por las listas publiéádás anualmente para el nombra­ miento de bajas. En cuanto a los despachos pedidos, voy á ocu­ Se lee en el mismo periódico: ELcomandante general de Jas provincias de Ciudad-Real los: parme atentamente de su leétura para ver si puedo presentar­ El Gobiéruo ha mandado distribuir en las Cámaras el in­ y Toledo en su parte periódico, fecha 5 del actual, refiere la¿ ten dichospor ahora no véó ningún inconveniente en qué sé deposi­ forme de Mr. A. E…</t>
  </si>
  <si>
    <t>JASellasy</t>
  </si>
  <si>
    <t>…bra. INavarra. Extractadas é ilustradas de las que escribió en otras, renunciando todas el acudir á la via funesta de las ar­ ingles un oficial aventurero , que fue capitán de los lanceros de Puntos de suscripción. Barcelona, D. J. A. Sellas y O liva, la escolta de Zumalacarregui, y por lo tanto tuvo ocasiones de greso el Senado de lapodríamos m as, entonces sí que apellidar con razón este Con­ en la Platería ; D. M. S a u ri, calle Ancha , y en la portería del observar á este gran guerrillero en todas las escenas de su pe…</t>
  </si>
  <si>
    <t>Jaubert</t>
  </si>
  <si>
    <t>…la d i­ viene encargado de una miiion importante. Se espera con ansia buques, y efectivamente la escuadra , casi en su totalidad , se mensión colosal de los objetos arquitectónicos que eucierra su la llegada de su colega el conde Jaubert. halla en el puerto, habiendo sido desarmada. M ehemet-Alí recinto, pueda llevarnos á descubrir los restos de los templos Alejandría 16 de Julio de 1859. —¡ Cuántos sucesos en esta cree llegado el momento de la desmembración del imperio tu r­ de Júpiter y Jano, que siempre con esplendor esp…</t>
  </si>
  <si>
    <t>…in , y dice H om ero, conociendo la nada de todas las cosas hum anas, desdé su asiento, que el punto de la presidencia se habia trata­ se dedicó á explicar por negaciones , esto es, p o r lo que rio do el dia anterior. El conde Jaubert, individuo de la Cámara , ha marchado son, los objetos de los sentim ientos que describe, y de aq ui M r. Dupin responde que por su parte ha puesto una com­ hoy á Marsella, donde debe embarcarse para Constantinopla. nace aquel colorido inexplicable de p rofund a m elancolía pleta abnegació…</t>
  </si>
  <si>
    <t>Jav</t>
  </si>
  <si>
    <t>…. «D . Melchor Astiz. conde Adelsward. El Rey va acompañado en su viaje por el D. José Ferriol. « D . José M aría Moscoso de A ltam ira. maris- al del reino conde Brake y los condés Loevenhaujot y D. Antonio M ira Perceval. D. Jav ier M artín ez, marques viudo de V alladares. YVeidemann. «D . José M aría Reig. «Conde de O falia. Durante la ausencia del Rey mandará las fuerzas de tierra el Príncipe Real. ( Boersen IfalL) A lmería. D. «D . Diego Entrena. M adrid. «M arques de Torrealta. «D . Ju an José Bonel y Orbe, ob…</t>
  </si>
  <si>
    <t>…o á inventar, diga­ la solemne instalación de la escuela Normal. El Sr. Secre­ queña parte de la doctrina cristiana contenida en las pregun­ mos asi, el arte, y someter de nuevo á la experiencia los prin­ tario de la dirección D. Jav ier Q u into hizo una ligera re­ tas y respuestas del catecismo ordiuario ; y hallaremos que el cipios que se habÍ3 propuesto, por carecer de reglas deducidas seña de los antecedentes que van relacionados, y leyó la modo de dar esta enseñanza , viene á ser un ejercicio material de los datos y he…</t>
  </si>
  <si>
    <t>…a de Madrid La ilustración de los sugetos ¿ quienes se dirige la invita­ arrestados en Segura con algunos otros m as, pues se dice que y volvió lleno de vergüenza (si es que la tiene). ción contenida en el oficio del general D. Jav ier de Azpiroz su número pasa de 49* En esta provincia han sido arrestados para que se restituyan á sus hogares de donde la inseguridad tambieu por haberse sin duda pronunciado contra Maroto y sus los había alejado hasta el d ía , me dispensa de encarecer los actos un tal Eguiluz, gobernador,…</t>
  </si>
  <si>
    <t>JaVief, Francisco</t>
  </si>
  <si>
    <t>Francisco JaVief</t>
  </si>
  <si>
    <t>…lle de Coloreros , ¿y en la de Cuesta , frente á las gradas de *'.4592£ pies superficiales, tasada por los arquitectos de la aca­ San Felipe. demia de tas tres nobles artes de San Fernando j D. José Ale­ jandro y Alvarez, y D. Francisco JaVief *Váai-Bamberghen L A M IN 05 A S. lU IC IO analítico sobre el discursio canónicó-legal que dió á en la cantidad de 2 í 1,252 rs. 29 rors. vh. á revajár Cargas. Y ** , luz el Excmo. é' Ilmo. Sr. D. Pedro González V allejo, a r­ para su remate se ha señalado el día 50 del corrient…</t>
  </si>
  <si>
    <t>Javier, D. Mauricio García. Sr. D. Francisco</t>
  </si>
  <si>
    <t>D. Mauricio García. Sr. D. Francisco Javier</t>
  </si>
  <si>
    <t>…Orense. CONGRESO DE DIPUTADOS. Coruña. Sr. D. Saturnino Calderón Collantes. Sr. D. Luis Pose. Sr. D. Josc Moure. Presidente. Sr. D. Francisco Javier Ferro Montaos. Sr. D. José Valladares. Sr. D. Nicolás Fernandez Bolado. Sr. D. Mauricio García. Sr. D. Francisco Javier Istdriz. Sr. D. Ricardo Henry. Sr. D. Manuel Feijóo y Rio. Vicepresidentes. Sr. D. Nicolás de la Riva. Sr. D. Tomas de Prada , electo. Sr. D. Manuel de la Rivaherrera. Sr. D. José Fermin Muro , Secretario 4»° Oviedo. Sr. duque de Gor. Sr. D. Ramón de l…</t>
  </si>
  <si>
    <t>Javier, Francisco</t>
  </si>
  <si>
    <t>Francisco Javier</t>
  </si>
  <si>
    <t>…guerra, sin que por nues­ quedaron bastantes centellas del fuego prim itivo para en­ amanecer, habiendo dividido sus fuerzas en tres pequeñas co­ tra parte hubiese la mas leve desgracia. lumnas á las órdenes de los capitanes D. Francisco Javier N a - Recomienda el ardor y valor con que se condujeron las tro* tusiasmarse con la lectura de aquel divino poeta. Dígalo, si n o , Alejandro el G ra n d e, ardiendo en el amor de la glo­ neti , D. Pedro Marin y D. Domingo Celada , á quienes seña­ pasen general, y particularmente…</t>
  </si>
  <si>
    <t>…ara la judicatura de término de A vila, vacante por haber { nio sobre la ley que pide un crédito para las pensiones milita­ Se llevó á efecto este atentado asi como todos los decretado» sido nombrado gefe político de Salamanca D. Francisco Javier res. No habiendo suficiente número de individuos en la Cáma­ por el comité central. Este fue el primer acto con que se a n u n ­ Carram olino, se ha dignado S. M. nombrar á D. Tadeo Capa- ra , se anula la votación. (Debats.) ció la presencia en nuestras calles y plazas públicas de l…</t>
  </si>
  <si>
    <t>JAZ</t>
  </si>
  <si>
    <t>…te en sus primeros accidentes. Su au­ papel entre los dos mundos; esta nación que nos está tocando cuando menos la materia de 10 tomos regulares, y adornada tor el Dr. Duvois. Traducido del francés por el profesor de lenguas D. J. A. Z. tan de cerca, y con la cual se enlazan tantos intereses de la con 50 láminas preciosas, vendrá á costar á lo sumo de 95 á Francia , es una de las menos conocidas quizás del Occidente 105 rs. de v elló n , precio baratísimo que no tiene ejemplar ett Este compendio, el roas reducido de cuan…</t>
  </si>
  <si>
    <t>Jaén, Ramón Perez y D. Pedro</t>
  </si>
  <si>
    <t>Ramón Perez y D. Pedro Jaén</t>
  </si>
  <si>
    <t>…rizo mayor de su Real Casa. MADRID 2 DE SETIEMBRE. res Solanot 1 6; quedando por consiguiente electos Secretarios Se maudó pasar á la comisión de Actas dos exposiciones do­ los Sres. Isla Fernandez y Ondovilla. cumentadas de D. Ramón Perez y D. Pedro Jaén , reclamando Se leyó el art. 7.° del reglamento, relativo á la formación l i nulidad de elecciores de la provincia de M urcia. del Senado en secciones. En este acto , y habiendo entrado en el salón todos los se­ S o cied a d p a ra la m ejo ra d e l sistem a carcelario,…</t>
  </si>
  <si>
    <t>Je, Justo</t>
  </si>
  <si>
    <t>Justo Je</t>
  </si>
  <si>
    <t>(le h alag ar la imaginación con ricas decoraciones y grandioso escribano J e ndnierO D. Justo Je í W b a , y i v o lu n t e! J e su a p a r a to , 110 nos parece tan mal que se representen esta clase BOLETIN DE COMERCIO. ueno se sacan á pública subasta por termino de 50 días las de o b r a s, en las cuales exige mas la vista que la razón. Don­ e ie^as tituladas de V i 1í asi ad a y…</t>
  </si>
  <si>
    <t>Jenaro</t>
  </si>
  <si>
    <t>…, en la cual quedaron muertos 1960 de los revoltosos , con ción del capitán b a já , sino que también habrá dado orden á Considerando que las fuerzas que defendían la ciudad de su comandante en gefe y gobernador de Corrientes D. Jenaro su hijo Ibrahim para que retire de Siria sus tropas, y declara­ Tampico celebraron un convenio el dia 4 del presente, por el E strad a, y 84 oficiales. También cayeron en poder de las tro­ do hallarse dispuesto á entablar negociaciones con la Puerta cual depusieron las arm as; que componiénd…</t>
  </si>
  <si>
    <t>Jenaro, Corrientes D.</t>
  </si>
  <si>
    <t>Corrientes D. Jenaro</t>
  </si>
  <si>
    <t>…guiente : ral , en la cual quedaron muertos 1960 de los revoltosos , con ción del capitán b a já , sino que también habrá dado orden á Considerando que las fuerzas que defendían la ciudad de su comandante en gefe y gobernador de Corrientes D. Jenaro su hijo Ibrahim para que retire de Siria sus tropas, y declara­ Tampico celebraron un convenio el dia 4 del presente, por el E strad a, y 84 oficiales. También cayeron en poder de las tro­ do hallarse dispuesto á entablar negociaciones con la Puerta cual depusieron las arm as;…</t>
  </si>
  <si>
    <t>Jesucristo</t>
  </si>
  <si>
    <t>…antes de que Com pendio métrico m itológico. 8 .° .................................. 7 el autor del Q u ijote, aquel a quien por lo menos no se le abra Citen concluidas sus obras de defensa. Contemplación de la vida de Ntro. Sr. Jesucristo, 8 .° 10 el apetito leyendo tan hermoso capítulo. ¿ Por qu é? Porque Una cuadrilla de ladro-facciosos en número de unos 14 D escripción de Jerusalen con su p la n o, 8 .° .................. 8 Cervantes era poeta: porque sahia pintar con palabras. La ba­ hombres capitaneados por un tal Fél…</t>
  </si>
  <si>
    <t>JGdeV</t>
  </si>
  <si>
    <t>…Esta, á quien tanto hemos aplaudido y elo­ en francés por Casim ir Delavigne , y traducida al caste­ literario, y que ahora recoge aquel pais el fruto de sus es­ giado en obras como Doña Mencía y M argarita de B or- llano por D. J. G. de V. fuerzos y de sus errores dram áticos, apartándose de las g o ñ a , en las que es actriz consum ada, no podia brillar de doctrinas de Victor Hugo y de Alejandro D am as, y adm i­ ningún modo en papeles como el de N ealia, sin que q u e­ Nuestro teatro, como todas las cosas de la desgrac…</t>
  </si>
  <si>
    <t>Jim, Caminos.</t>
  </si>
  <si>
    <t>Caminos. Jim</t>
  </si>
  <si>
    <t>…e zados por brigadas, y dispuestos para ser entregados al in ge­ los que se crean con derecho á los bienes del Sr. D. Ramón en el 6 de este mes que en aquel mismo d ia h ab ía puesto á niero que designe la dirección general de Caminos. Jim énez H ervas, cura que fue de las iglesias parroquiales de disposición del ingeniero 485 presidiarios aptos para el trab a­ L a que he creido conveniente poner en el superior conoci­ Santa M aría y San Pedro de dicha v illa , que falleció abintes­ jo ¿ no pudiendo fa c ilita r m ayor…</t>
  </si>
  <si>
    <t>Jim, Francisco</t>
  </si>
  <si>
    <t>Francisco Jim</t>
  </si>
  <si>
    <t>…asesinado. plata mas pequeña que la del primero, con el mismo lerna , pen­ dia festivo. diente de cinta de los colores de la bandera nacional en lazo de azul Cristina. Hace 10 años que se miraban como una utopia los caminos D. Francisco Jim énez, monitor de la segunda clase, Don NOTICIAS NACIONALES. Eusebio Barajas , de la primera , por su aplicación y mérito, de hierro: hoy se está tratando de construir un camino de hierro sin vapor, suspendido en el aire. esmero y cuidado de s u d a s e , principalmente el B arajas, po…</t>
  </si>
  <si>
    <t>Jim, Santos</t>
  </si>
  <si>
    <t>Santos Jim</t>
  </si>
  <si>
    <t>…les cogió dos caballos, lográn­ «He dado cuenta á S. M. la Reina Gobernadora del ex­ dose la muerte del faccioso A ntonio V equia. pediente que han promovido los empleados del tribunal Que en ta provincia de T oledo, el sargento Santos Jim é ­ de la subdelegacion de Rentas del campo de Gibraltar, n ez, con 15 hombres de la G uardia Real de in fantería y 12 ca­ pretendiendo que en las causas de fraude en que no haya ballos del 2.° ligero s, cogió tres facciosos con caballos y arm as reos, ó que habiéndolos sean insolventes,…</t>
  </si>
  <si>
    <t>Jimeno</t>
  </si>
  <si>
    <t>…u. seguridad y muertos sus mejores hijos , el Comandante, Lorenzo Basaran.—Comandante segundo, Zacarías necido en la ociosidad. Si no han fomentado la agricultura, luto cubre la frente de sos habitantes , tu* sentimiento general Jimeno.—Capitán, Francisco Gómez de Morales.—Teniente, N e­ las ai tes y el comercio, han fomentado los medios ds defensa domina á las pasiones mismas, que encendieran el hacha abra­ mesio Fernandez.—Subteniente , Romualdo de Novales. en las ciudades y pueblos, Dnto en lo material de las fortifica…</t>
  </si>
  <si>
    <t>Jimeoez</t>
  </si>
  <si>
    <t>…de Inglaterra , cuyo Coruña que remitía el Sr. Ministro de la Gobernación. aegundo.irP. I. D . S.=Francisco R ip am o n tty , S. I. ‘xcelente espíritu y buenos oficios han contribuido eficazmente Igualmente pasó un oficio del Sr. Jimeoez (D , D .), en que í la salud de España y á su situación actual.” decia que habiendo sido electo D iputado por Huesca y Ciudad El Sr. Zea Bermudez: " A la paz de nuestra cara patria y á R eal, optaba por la primera provincia. Se acordó llamar al su­ Senorat El ayuntamiento de la ciudad de…</t>
  </si>
  <si>
    <t>Jiménez</t>
  </si>
  <si>
    <t>…r tu n a , y un hecho tenemos bien cerca de a q u i , en que tadística electoral, y le conviniera saber cuál era el número de hablar del G o bierno ? N o , señores, y yo se lo probaré. Que al por haber trabajado en favor del Sr. Jiménez , ha sido trasla­ electores: pudo también querer saber cuáles eran las personas Gobierno se le puede exigir la responsabilidad , es un hecho; dado á uno de los principales destinos de Zaragoza. ¿ Y esto no que gozaban en las provincias de la opinión pública ; y asi, la Constitución lo d i c…</t>
  </si>
  <si>
    <t>Jiménez, Antonio</t>
  </si>
  <si>
    <t>Antonio Jiménez</t>
  </si>
  <si>
    <t>…219. D. Antonio de Iloyos C h o ro t, haciendo una relación 257. Doña Piosalía Jo y a, e n ‘solicitud de penúon. préstamo, y de contribuciones extraordinarias. de lo actuado en un pleito que sigue, y pidiendo ¿e suspenda 258. D. Antonio Jiménez, solicitando se restablezca la M i­ 177. D. José Olivan , presentando un plan de organiza­ todo procedimiento contra su persona. i licia nacional de Jerez al estado ea que se hallaba anterior­ ción de varios escuadrones de caballería. 220. Los curtidores y zurradores de la villa de…</t>
  </si>
  <si>
    <t>Jiménez, D. José Landero. Sr. D. Paulino</t>
  </si>
  <si>
    <t>D. José Landero. Sr. D. Paulino Jiménez</t>
  </si>
  <si>
    <t>…io Seoane. Sr. D. Francisco Carbonell. Sr. D. Juan Donoso Cortés. Sr. D. Manuel Cantero. &gt; Sr. D. Nicolás Esteban. Sr. D. Julián Villalva. Sr. D. Joaquin María López. Sr. D. Vicente Sancho. Sr. D. José María H uet, electo. Sr. D. José Landero. Sr. D. Paulino Jiménez. Canarias {islas). Sr. D. Dionisio Valdés. Sr. D. Pedro Calzada. Sr. D. Juan Alvarez y Mendizabal. Sr. D. Andrés Alcon. Sr.) gr’&gt;C No está aprobada el acta de elección. Sr Málaga. Valladolid. Sr.) Sr. D. Antonio de los Rios y Rosas , electo. Sr. D. Maria…</t>
  </si>
  <si>
    <t>Jiménez, Domingo</t>
  </si>
  <si>
    <t>Domingo Jiménez</t>
  </si>
  <si>
    <t>…, cuánto mal ha­ de rentas provinciales, nom brando para que desempeñe buna al general W illm a r, y en su discurso, que duró mas de béis-causado en poco tiempo al pais y á vosotros mismos! el propio destino interinam ente á D. Domingo Jiménez, dos horas, y que provocó en diferentes ocasiones estrepitosos Royer-Collard, Acaso nos acusareis de exagerados. Pues bieíi, oid á M r. cesante de la misma clase. Tendréislo entendido para su aplausos, ha tratado de sostener que el honor nacional exigía, formes , habiéndonos con cuy…</t>
  </si>
  <si>
    <t>Jiménez, Esteban</t>
  </si>
  <si>
    <t>Esteban Jiménez</t>
  </si>
  <si>
    <t>…rtil y dorado suelo, las guerras que tuvieron, y hé­ Otra id. en sierra y término de Benadux, cerro de la M on- vincia de Lugo en Galicia 8cc. roes que mayor renombre se grangearon por su intrepidez, asi terilla, Gandesa, por D. Esteban Jiménez , en 14. Por el presente se cita, llama y emplaza á todas y cual­ en la tierra como en los mares. Refiérese lo acontecido durante Otra id. en sierra de G a d o r, loma de M arto s, término de quier persona que se consideren con derecho á la herencia de la dominación de los romanos ,…</t>
  </si>
  <si>
    <t>…e convento de San Felipe el Real. Otra id., cerro de la Monterilla, término de Benadux, El miércoles 26 de Junio próximo pasado, que empieza w Escan­ Quien quisiere hacer postura acuda á la escribanía principal T ig r e, por D. Esteban Jiménez, en 17. daloso es á la verdad**,-y concluye “ Chupa y garrote*, se pro­ del tribunal , donde admitirán las que se hagan siendo arre­ Otra id., sierra Alhamilla , término de V iato r, cuesta de cedió á celebrar el sorteo de los nueve jueces de hecho que con gladas. las Tejas, Limpia…</t>
  </si>
  <si>
    <t>Jiménez, Francisco</t>
  </si>
  <si>
    <t>Francisco Jiménez</t>
  </si>
  <si>
    <t>…tra cobriza , arroyo de las Perdices, término de Huetor de Fajardo......................................... 3 ,4 4 3 .. 6 . . 25. 2 8 .. 3 .. 3 .... 10. . 0 . . 4 5 0 .. I ..2 4 3,532.. 3 .. 22 Saotillana, S. Juan de Dios, por D. Francisco Jiménez, en í2 . Naguabo...................................... 17,997.. 6 . . 5 174.. 5 .. 9 1 6 3 .. 4 . . 10' 222. .3 . .1 2 18.558.. 3 .. 2 Otra id ., fuente del Espino, término del mismo Huetor, Arecibo..................... ................... 1 7 .2 4 8 .. 4 ..2 0 177. . 0 . . 5l ___…</t>
  </si>
  <si>
    <t>Jiménez, Gaspar</t>
  </si>
  <si>
    <t>Gaspar Jiménez</t>
  </si>
  <si>
    <t>…se bastardean con la mezcla de su polen ; ya La mina de carbón de piedra que en 4 de Abril ultimo de­ el E b r o , . = .: • ., - .5 * para evitar ó corregir contratiempos y. d irigir la cria de los nunció en esta inspección D. Gaspar Jiménez, vecino de Ojeó, animales que necesita; ya en i i n , papa :Conocer los terrenos y , de profesión cirujano-médico , situada en el partido de las L i­ Z a ra g o za %{ d e A gosto.,, En las facciones del bajo Aragón minerales. Lo mismo sucederá át los médicos y farmacéuticos mas, arro…</t>
  </si>
  <si>
    <t>Jiménez, Juan de la Cruz</t>
  </si>
  <si>
    <t>Juan de la Cruz Jiménez</t>
  </si>
  <si>
    <t>…lin o ;fu e admitido dicho registro el l/j. del nacional y de los cuerpos de la guarnición han dado una se­ guez Solano para este objeto. renata delante de los balcones de Palacio. SS. M M. se mos­ propio mes. En 12 de Julio D. Juan de la Cruz Jiménez , de esta ve­ traron en el principal, y fueron saludadas con repetidos y en­ cindad , á nombre de la viuda de Cañizares, vecino de Carras­ tusiasmados vivas. Casi toda la noche han discurrido por las cosa de la Sierra , de oficio labrador y administrador de la fá­ calles band…</t>
  </si>
  <si>
    <t>Jiménez, ON Rafael</t>
  </si>
  <si>
    <t>ON Rafael Jiménez</t>
  </si>
  <si>
    <t>…ún modo en las casas particulares ; y dos clases: una para las niños de corta edad, y otra para los por últim o, á no exigir ninguna retribución en el caso que se adultos. En la primera se enseñan los principios de la lectura, D ON Rafael Jiménez F ro n tín , del Consejo de S. M ., su se­ le encargue se preste á otro trabajo de estudio en el interior del la formación de las cantidades y de las palabras por medio de establecimiento &amp;c. cretario honorario, intendente de esta p ro vin cia, y sub­ dados de m adera, y el sent…</t>
  </si>
  <si>
    <t>Jiménez, Pedro</t>
  </si>
  <si>
    <t>Pedro Jiménez</t>
  </si>
  <si>
    <t>…. 2.° Desempeñará cualquiera oegocio de bolsa o' de giro ex­ Cereceda: Jerez, D. José Bueno: León, Paramio y Miñón: Títulos al portador del 4 por 100, 00. tranjero y nacional que se le cometa de las provincias con su­ Lucena, D. Pedro Jiménez: Lugo, Pujol y Masía: Lérida, Vales Reales no consolidados, 00. jeción á instrucciones, para cuyo efecto se valdrá de los corre­ Corominas: Lisboa, Joño Enriquez; Logroño, Ruiz: M ahon, Deuda negociable de 5 por 100 á papel, 00. dores mas acreditados y de la inteligencia poco común q…</t>
  </si>
  <si>
    <t>Jiménez, Rafael</t>
  </si>
  <si>
    <t>Rafael Jiménez</t>
  </si>
  <si>
    <t>…los ricos pue­ D. Eugenio Hernández Borbon, D. Juan Bautista Verdegal, blos de 1a Ribera. Es el mismo que al frente de algunas com­ pañías de los batallones y escuadrones de esta capital y sus CORRESPONDENCIA DE LA GACETA. y D. Rafael Jiménez , quienes declararon haber lugar á la for­ mación de causa, por seis votos contra tres. afueras, corrió á salvar ¿ ios valientes de Requena que mos­ traron entonces su heroico ardimiento. El general inspector de Bilbao 4 de Junio. El cuartel geoeral de Maroto continúa l a Milicia nac…</t>
  </si>
  <si>
    <t>Jiménez, Sergio</t>
  </si>
  <si>
    <t>Sergio Jiménez</t>
  </si>
  <si>
    <t>…del escuadrón franco de mientos de los caballos exceptuados si lo considerasen ne­ pueblos 5 que aunque siempre leal, constante y esforzado, como cesario, y recorriendo por sí mismos los partidos, pueblos 6 aquella provincia D. Sergio Jiménez con la partida de su man­ de españoles, podrá recibir todavía mayor impulso o mas ati­ puntos en donde tuviesen noticia que existen caballos sus­ do alcanzó é hizo prisioneros el 51 del anterior á cuatro fac­ nada dirección con el ejemplo y el consejo de los escogidos de­ traídos in…</t>
  </si>
  <si>
    <t>Jiménez, Vicente</t>
  </si>
  <si>
    <t>Vicente Jiménez</t>
  </si>
  <si>
    <t>…25. LUCREZIA BORGIA. tantes legalmente, se presenten dentro de ellos con el resguar­ Otra id ., barranco de la Cala del cristal, término Cuevas, do que se les tiene dado á percibir sus respectivas cuotas de Sta. Casilda, por D. Vicente Jiménez , en 27. Su interesante argumento es ya bien conocido;.^! publico, los síndicos D. Toribio M edrano,que vive calle del Duque de Otra id ., sierra Almagrera , barranco Jaroso , término Cue­ Alba , número 1, cuarto segundo, ó á D. Martin A tienza, calle y :la empresa no ha perdonado…</t>
  </si>
  <si>
    <t>JMayo, Puebla</t>
  </si>
  <si>
    <t>Puebla JMayo</t>
  </si>
  <si>
    <t>…eza en el momento del peligro: descansad después á la som­ -elativá al camino de hierro de Burdeos á la Teste , después dg tisfecho de que se acercaba un gran dia para la patria, y un bra de vuestros laureles. Cuartel general de Puebla JMayo 5 una discusión bastante acalorada. terrible Escarmiento para los facciosos. de 1859 —Antonio López de Saotana.=Imprenta del Gobierno. En seguida aprobó la Cámara sin ninguna discusión el pro-, Confirmándose mas y mas las noticias de la aproximación Es copia.=Méjico Mayo 4 úe 185.9.=…</t>
  </si>
  <si>
    <t>JMP</t>
  </si>
  <si>
    <t>…icio que haya lugar. de Echevarría por los años de 1 7 64, reimpresos nuevamente é las artes, á las doce de la mañana los lunes, miércoles y vier­ easm m w m ih iiii r n n M i in i n n m n i i i ,m . ilustrados con notas por D. J. M. P. , dos tomos en 4 .0 , á 4 O nes que no sean festivos; y la de delineacion todos los dias que reales pasta. no sean festivos, después de oscurecer. Lo que se avisa de nue­ vo para inteligencia del público. VACANTES. V id a, ascendencia , crianza y aventuras del Dr. D. Diego de Torres Villa…</t>
  </si>
  <si>
    <t>JNarvaez</t>
  </si>
  <si>
    <t>no se hallaba desprovista de documentos de suministros, pues­ que la autoridad militar del distrito debe corregir estos abusos de las 47 provincias y sera' arreglada á la base de los cupos de to que la división del general JNarvaez halda sacado cada día mediante á que esta autoridad es responsable al Gobierno. la contribución extraordinaria de guerra. Ignora á qué base h á - ’ sobre 503 raciones; y siendo notorio que e^ta división no cons­ El Sr. Ministro de la G U E R R A : E.os abusos que se han brá que atenerse po…</t>
  </si>
  <si>
    <t>Jo, D.</t>
  </si>
  <si>
    <t>D. Jo</t>
  </si>
  <si>
    <t>…area difícil, y no poco á la verdad, Marques de Miraílores.. . . . . . . . . . . . . . . . . . . Ciudad-Real. tes á lá encomienda mayor de Castilla, agregada á la nación. considerar una revolución por el lado dramático durante D. D. Jo é Espinosa de los Monteros. . . . . . . . . . . Córdol a. Quien quiera hacer postura , lo verificará en la administración su hervor, y preservarse al mismo tiempo de todo conta­ D. Eusebio Juan del Gayo ................................ Coruña. de la misma encomienda en Villarejo de Salvanés,…</t>
  </si>
  <si>
    <t>…r Barcelona en reemplazo del Arguelles , que optó por Madrid. Fernandez M ontes, secretario. zase al Sr. Egea en la comisión de Examen de actas por hallarse Pasaron á la comiúon de Actas: dicho señor enfermo. Un oficio del Sr. D. Jo&gt;é María A rroyo, pidiendo se le ad­ Continuando la discusión de la propuesta de la mesa sobre mitiese eu el Congreso como Diputado por la provincia de Cas­ los expedientes que quedaron pendientes en la anterior legisla­ tellón. PARTE NO OFICIAL. tura, se leyó el dictamen nuevamente redactad…</t>
  </si>
  <si>
    <t>…, y no resultando nada contra e lla s , ni contra la a p t i t u d le­ sin c it a r hechos por los cuales se p ueda resolver? ¿Cómo pueden retirase su d i c t á m e n , ó hacer que se tomase u n a n o t a , si era g a l del Sr. D. Jo sé V ic en te C erbelló , era de d ic tá m e n fuesen d a r fuerza esas in f o rm a c io n e s , si los que las hacen se confiesan p o sib le, de todos los votos emitidos en la p ro vin c ia fuera de a p robadas y a d m itid o c o id o D ip u tad o . reo s, pues dicen que ellos escribieron la…</t>
  </si>
  <si>
    <t>Jo, González Alonso.</t>
  </si>
  <si>
    <t>González Alonso. Jo</t>
  </si>
  <si>
    <t>…Sr. C A L D E R O N C O L L A N T E S : Pido que se lea el do­ desde su cuartel general de Manresa me dice en el dia de ayer cuando me presente con el Excmo. ayuntamiento.irEl brigadier cumento que ha puesto sobre la mesa el Sr. González Alonso. Jo que copio: * segundo cabo, Zaragoza. Se leyó dicho documento. ñor Dn .CrCarlos ° ' | Sr'írEspaña Re-peílost0 12 iho b8.r Sid0 deaevuel,os á quefamilias El Sr. conde de las N A V A S : Desearía saber si ese papel por jovenes esta capital exis­ tiene el carácter de oficial. ¿…</t>
  </si>
  <si>
    <t>Jo, José</t>
  </si>
  <si>
    <t>José Jo</t>
  </si>
  <si>
    <t>…hacia presente que habiendo sido establece varias reglas para la administración de justicia, pasado por las arm as en V illacesino el 2 5 de Enero del mismo ¡ sustituyendo otros artículos á los del reglamento provisio­ su hijo D. José Jo aq u ín , pedia ju sticia contra los autores de nal de justicia; el relativo á recursos de segunda suplica­ su muerte y les acusa de ella á los señores comandante general ción ó injusticia notoria, y la Real orden fijando reglas y ge fe político de León. No es en su concepto creíble que un p…</t>
  </si>
  <si>
    <t>Jo, José López y D.</t>
  </si>
  <si>
    <t>José López y D. Jo</t>
  </si>
  <si>
    <t>…abia desoído jamas el ins­ Amortización, se cita, llama y emplaza por segundo edicto y habia repetido Talleirand su opinión al Emperador, cosa tinto que lo inducía á establecer la independencia de todo término de nueve dias á D. José López y D. Jo^é López Su- muy extraña en hombre que debia conocerse mejor. Na­ poder, la necesidad de cada cual mande en su casa, y la raña , para que comparezca en dicho juzgado y escribanía de poleón, después de haber acabado de dictar sus disposicio­ imposibilidad de establecer doctrinas qu…</t>
  </si>
  <si>
    <t>Jo, Manuel</t>
  </si>
  <si>
    <t>Manuel Jo</t>
  </si>
  <si>
    <t>…la necesidad deform ar do , y los adelantamientos que de ellas resultaban, se han per­ maestros idóneos para ellas. dido para el arte y para el público tan pronto como el in d i­ ile les Sres. L). Manuel José Q u in ta n a , D. Manuel Jo a q u ín Hallaremos, en primer lu g a r, que en las escuelas comunes viduo ha cesado en la enseñanza. Por lo común el maestro, al T arancon y D. Marcial A ntonio L ó p ez , se ha verificado se aprende á leer, escribir y cootir (no en todas) con alguna pe­ comenzar su profesión, se ha visto…</t>
  </si>
  <si>
    <t>Jo, Pedro</t>
  </si>
  <si>
    <t>Pedro Jo</t>
  </si>
  <si>
    <t>…icado en F r a n c ia , D . S a tu r n in o C ald eró n Collantes. numero 9 8 ,2 1 5 , por rea'cs vellón 2 4 1 9 10 m r s , , á favor de las i A l e m a n i a , I ta lia é I n g l a t e r r a , varios diccionarios de m edicina D. Pedro Jo sé P id al. obras pías de Diego y J u a n Blanco A lb a r c a : otra lá m in a de y c i r u g í a , c uy a renovación h a sido necesaria en razón de h a ­ D . A le ja n d ro O liv an . de ida sin Ínteres, e m itid a en 1.° de A b r il de 18 5 0 , núrne- I ber hecho la ciencia de que tra tan…</t>
  </si>
  <si>
    <t>Jo, Pedro Blas de Uranga y D.</t>
  </si>
  <si>
    <t>Pedro Blas de Uranga y D. Jo</t>
  </si>
  <si>
    <t>…es la necesidad de un poder reg u lad o r; pe­ en 45644 rs. por los arquitectos D. Bartolomé Tejeda Diez, Sin em bargo, á pesar del impulso dado á las tareas dé los ro la falta de gobierno es siempre y e n todos casos un mal D. Pedro Blas de Uranga y D. Jo^é M aría G uallar , lo que se legistas por estas im portantes inmovaciones, las viejas dóctrinás grave. anuncia para que el que quiera comprarla acuda en el térm ino conservará* por mucho tiempo su influjo. Savary, que escribía Seria un error creer que las sociedades m…</t>
  </si>
  <si>
    <t>Jo, Tomas</t>
  </si>
  <si>
    <t>Tomas Jo</t>
  </si>
  <si>
    <t>…r u g ía que se h a lla n en las c ep túen dign o s de publicación. p a rará el perjuicio que h a y a lu g a r. obras médicas y q u ir ú r g ic a s de todas las é p o c as, de todas las Se suscribe en M adrid en la librería de D. Tomas Jo rd án , A sim ism o se c i t a , llama y emplaza á D. A n to n io L A z a b a l, escuelas y de todas las s e c ta s; presentar su etim ología , é i n d i ­ calle de C arretas, frente á la Imprenta nacional; y e n la de D. José Fernandez A c u ñ a , D. M a n u e l M u ñ o z , D. J u a n B a…</t>
  </si>
  <si>
    <t>…Anastasio Santotis, vecino que fue de Se suscribe á este periódico en M a d rid , en la librería de ha debido mandar se les exija la responsabilidad , se les sus­ ísta co rte, ocurrido en ella en 22 de Agosto próximo pasado, D. Tomas Jo rd á n , calle de C arretas, frente á la im prenta n a - penda de sus destinos, y se tes proceda á la formación de cau - para que en el térm ino preciso de 50 dias, contados desde la publicación de este anuncio en la Gaceta de esta cap ital, com­ -io n al; y en la de la viuda de P a z , c…</t>
  </si>
  <si>
    <t>Joa</t>
  </si>
  <si>
    <t>…tán mas que bosquejados, no obstante la im p o r ta n ­ vincia de Logroño á D. Pedro González V a llejo, arzobis­ cia que al parecer les d an la p a rticipació n mas ó menos re al, po electo de Toledo, y por la de Pontevedra á D. Joa* mas ó menos a c tiv a de lord J o h n H a y , y por consecuencia, PARTE RECIBIDO EN LA SECRETARIA DE ESTADO al menos en concepto de m u c h o s , del Gabinete de Londres. L as quin P atiño, reelegidos por las mismas: por la de Jaén al marques de Falces, en reemplazo de D. Pedro Anto­ T DEL D…</t>
  </si>
  <si>
    <t>…orlas de todos tamaños y del mejor gusto; la Gaceta de M adrid y en el Boletín oficial de esta provincia, imposiciones huecas. Prensas , cajas, galeras, chibaletes , regle­ entregándose para ello los ejemplares que necesite á D. Joa­ DE CUENTA Y RAZON tas y guarniciones de madera; barniz, tin ta , legía, bruzas y quín Roldan, á fin de que cuide de su inserción en dichos pe­ demas útiles y herramientas de uso de los operarios de caía v riódicos, y que traiga y presente un ejemplar de cada uno de preosa. r J J ellos que lo…</t>
  </si>
  <si>
    <t>…necesitan para su consumo, qu ín Valdés Torrontegui , D. Pedro G utié rre z, D. M an uel llamar la. atención de nuestros agricultores, y promover serias y sabemos por experiencia que este pueblo emprendedor no re­ Hernández y D. Joa quín Silveira. reílexiones acerca del porvenir que nos espera. Dice asi: Se abrió el examen sum an d o , restando, multiplicando y trocede á la vista de las dificultades. Su suelo , generalmente partiendo enteros. Luego las mismas reglas en denominados, Comisión de seda. Congreso 25.°, 2.a se…</t>
  </si>
  <si>
    <t>…a Nota. Se están grabando las dos primeras partes del Nuevo cipia "Mentira parece la verdad,” y concluye "su obediencia eanela del B ra sil ; metáfora muy buena en tiempo de seria un delito,” denunciado por el promotor fiscal D. Joa­ método de solfeo y canto para todas las voces , adoptado F elipe ív , pero que no se usaba en el de A lonso O n ce­ quín María San Miguel en 10 del corriente, la ley absuelve al en el conservatorio desde su fundación, cuyo prólogo se da n o .^ A, L. ( E l Tiempo.) editor responsable de did io p…</t>
  </si>
  <si>
    <t>…24 OO pies librerías. 8 ................ de.. 400..................... 3200 24................ de.. 100. . . . . . . . . 2400 260................ de.. 20 . ............... 5200 Asimismo se cita y emplaza á D. Angel Morales, D. Joa­ 500................ de.. 16..................... 48 OO quín María Sanguino y D. Ignacio García Cabrero y D. Fran­ cisco Laserna, para que en el término de nueve dias, que por TEATROS. 600 33000 último se les señala /comparezcan en el juzgado á hacer sus de­ PRINCIPE. A las siete de la noche.…</t>
  </si>
  <si>
    <t>Joaq</t>
  </si>
  <si>
    <t>…¡á D ios esperanzas de fe lic id a d , á D ios q u ie ­ he tenido á b ien n o m b rar Senadores p or la p rovincia de t u d ! ¡V o lv e rá o las tu r b u le n c ia s , S e ñ o ra ; se eocenderá q u iz ás las islas Baleares á D. Joaq u in R e v , en reem plazo de u n a g u e rra de desesperación! y entonces ¡ a y d é la E sp añ a! ¡ A y D. Ignacio T ru yo ls, y á D. P ed ro José M oya, en el de de los pueblos que v iveo bajo el cetro benéfico de la excelsa L os H oyo s (p ro v in c ia de Cáceres) 2 7 de Setiem b re de 1 8…</t>
  </si>
  <si>
    <t>…reyó entonces que la omisión electo el Sr. Laborda. labra, aunque con la posible brevedad en atención á ese deseo, ¡e estas formalidades era de poca importancia , y en su conse- Para tercer Vicepresidente obtuvo el Sr. López (D. Joaq uín para descargarse de la parte de responsabilidad en que pudiera uencia propuso lisa y llanamente su aprobación, ¿cómoes que María) 53 votos de 71 votantes, y quedó electo. incurrir gtrardando silencio eri la discusión de unas elecciones on respecto á la del distrito de Legreira es notable…</t>
  </si>
  <si>
    <t>…res. D °Q* audiencia por uo la d o , y por otro el de ser candidato. tre los partidarios del progreso l e g a l , sino entre los de las de­ tados pedían la p a la b ra , no podia re husársela, concediénd^V E l Sr. L O P E Z (D. Joaq uin) manifestó que desearía que más opiniones de Zamora ; mis principios están consignados en en seguida á a esta discusión se aplazase, avisando al Sr. M in istro de Gracia ella ; por consiguiente no creo que se trate de p riv a r á la pro­ E l Sr. L O P E Z (D. Jo a q u ín ): S ie n t o , se…</t>
  </si>
  <si>
    <t>Joaqu</t>
  </si>
  <si>
    <t>…Y ilches, Ruiz del A rbol, Perez de los R io s, San M iguel, Her— El Sr, Ministro de la G U E R R A : Señores, por la lectura añadir que puede existir esta cosa, y pues que aqui se atacan gu es, Cañavate , Mendizabal, López (D. Joaqu ín ), Arguelles, de los documentos que hoy se ha hecho vendrá en conocimiento actos militares, en los militares pudiera existir; y en ese caso Seoane , Sánchez de la Fuente , Lujan , Infante, Benavides, Zu­ el Congreso de que el Gobierno se había ocupado de los estados los representantes del p…</t>
  </si>
  <si>
    <t>Joaqui</t>
  </si>
  <si>
    <t>…este modo se evitarán las con todo el aparato que su asunto exige. cio y agricultura de la isla de Cuba, cantidad equivocaciones en la cuenta general que la comisión publique: En ella verificará su primera salida la actriz Doña Joaqui­ h'quida..................................................... . 368.. 50 las reclamaciones pueden dirigirse al secretario de la comisión na Lombía, encargada de la parte de Isoleta, confiando en la D. Pascual Madoz é Ibañez, calle de A lcalá, núm. 4O, piso benevolencia con que el público h…</t>
  </si>
  <si>
    <t>Joaquien</t>
  </si>
  <si>
    <t>terrey, D. Joaquien B ojart, comandanta dé la columna de Chan­ párrocos de esta co rte , para q ue se sirvan sum inistrar y persona que legítimamente los represente, con apercibimiento tada , me da el parte siguiente: rem itir á la im p ren ta N acional, d e n tro de la fecha e x p re ­ de que los que no lo h…</t>
  </si>
  <si>
    <t>Joaquin</t>
  </si>
  <si>
    <t>…forma en el número y sueldos de los empleados públicos. le declare exento del pago de la contribución de paja y utensilios. chos que pagan los mencionados artículos á su introducción e 188. Doña María Antonia Armero y su hijo D. Joaquin, 228. D. Antonio Biberud , pidiendo su reposición en el em­ esta corte. pidiendo se les alce el destierro que sufren , exigiendo la res­ pleo de teniente de Rey de la plaza de Gerona. 266. El ayuntamiento de Barcelona, exponiendo la necesida ponsabilidad al gefe político de Cuenca que les…</t>
  </si>
  <si>
    <t>…asen, sino á que con mas cono­ El dia ha estado hermosísimo, siendo innumerable el gen­ cimiento de la comisión un dictamen mas arreglado. tío que se agolpaba á las calles por donde debia pasar la Real Idem 2. El Sr. LO PE Z (D. Joaquin): N o creo, señores, que tendré comitiva. El regreso de S. M. á palacio se ha verificado con las mis­ El bravo general en gefe ha impuesto al orgulloso Cabrera, que hacer grandes esfuerzos para convencer al Congreso de la mas formalidades que á su salida. (Morning Chronicle.) y al parecer n…</t>
  </si>
  <si>
    <t>…necesitaría caballos destinados a padres, que se supone en el referido es­ Por Valencia: Sres. Sancho , Aillon , Ferxaz , Mascaros Os­ de mas campo que el que prescribe un periódico ; me fijaré en crito ? ea , Romeu y López (D. Joaquin.) lo pri ncipal, y procuraré explayarme con la brevedad posible. Tendamos ahora mas que nunca la vista sobre la exposición Por Zaragoza: Sres. L*borda, Iñigo. El amor á mi pais, el temor de que cunda un error , cuyos de la sociedad , pues lo que expresa es de mayor monta ; y para El Sr. P…</t>
  </si>
  <si>
    <t>Joaquin, D.</t>
  </si>
  <si>
    <t>D. Joaquin</t>
  </si>
  <si>
    <t>…rmino de G ador, el Clarín Zaragoza.—El acta de la primera elección se halla aproba- la dehesa titulada Cotillas, término de Valdecabras, entre los por Antonio5 Sánchez, en 50. ^ * b a , y en su consecuencia fue admitido el Sr. D. Joaquin sitios denominados Hoya Lorente , la muela del Poyo Corona­ * A d ra 4 de Setiembre d e 1859.=Pedrb Máífé Zubiagsu - Ayerve. do; Canteras altas, y Carrascalejo , con el nombre de M ina- Valencia.^Hallándose las actas aprobadas, la comisión pro­ Carrillo. pone sea admitido el Sr. D. And…</t>
  </si>
  <si>
    <t>Joaquin, D. Salustiano de Olózaga. Sr. D.</t>
  </si>
  <si>
    <t>D. Salustiano de Olózaga. Sr. D. Joaquin</t>
  </si>
  <si>
    <t>…n Salvato. Sr. Teruel. Logroño. Sr. D. Ambrosio Sánchez. Burgos. Sr. D. Miguel Alejos Burrie!. Sr. D. Pablo Govantes Sr. D. Andrés Almarza. Sr. D. Ramón. María Tempradc. Sr. D. Manuel de la Rivaherrera, Vicepresidente 1.° Sr. D. Salustiano de Olózaga. Sr. D. Joaquin Romero y Domingo. Sr. D. Santiago Azuela. Sr. marques de Someruelos. Sr. D. Ramón de Santillan. Lugo. Toledo. Sr. D. Félix M artin. Cáceres. Sr. D. Antonio María M iranda, electo. Sr. D. Julián Iluelves. Sr. D. Antonio Perez Aloe. Sr. D , Manuel Vázquez…</t>
  </si>
  <si>
    <t>Joaquin, Evaristo Perez de Castro. Sr. D.</t>
  </si>
  <si>
    <t>Evaristo Perez de Castro. Sr. D. Joaquin</t>
  </si>
  <si>
    <t>Valladolid. Sr. D. José M artí, barón de Casa-blanca. Sr. D. Serafín Estevanez CalderOil * electo* wD. Francisco Ramonet. Sr. D. Joié Miquel Polo. Sr. D. Eduardo Gahvey , electo. D. Evaristo Perez de Castro. Sr. D. Joaquin de Pedro, marques de Albaida , electo. Sr. D. Antonio Ros y Olano. V izcaya, Ciudad-Real. Murcia. »D . Pedro Allende Salazar. Sr. D. José María Cambrottei o. Sr. conde de Balazote. Sr. D. Juan Antonio Hidalgo. Sr. D. Manuel Marin Blazquez. Zamora. Sr. D. M…</t>
  </si>
  <si>
    <t>Joaquin, Vicepresidente D. Manuel</t>
  </si>
  <si>
    <t>Vicepresidente D. Manuel Joaquin</t>
  </si>
  <si>
    <t>…tán reclama la Siria. Siendo la una menos cuarto , y ocupada la silla de la pre­ nopla, ha llegado á Alejandría para reclamar la escuadra tu r­ ca en nombre de las cinco P otencias, provoca el descontento de sidencia por el Sr. Vicepresidente D. Manuel Joaquin T a r a n - diferentes periódicos. con , se abrió la sesión con la lectura del acta de la jun ta pre­ GRAN BRETAÑA. paratoria celebrada el dia 29 del mes próximo pasado, la cual fue aprobada. L ó n d res 2 2 d e A gosto. Nos escriben de Marsella por extraordinari…</t>
  </si>
  <si>
    <t>Joaquina</t>
  </si>
  <si>
    <t>…se proponía, Morella , hija del coronel D. Bruno, muerto en la brecha de g o , en el concepto de que la sección de negocios m édicos marchó á Fausara, de donde fue desalojado por la vanguardia D. D om ingo, muertoManuela y á Doña Joaquina N ieto , hija del capitán eu la acción de Chiva. h a de constar siem pre de tres facultativos á lo m e n o s , in ­ de su columna un batallón de Cabrera que ocupaba aquel pueblo; cluso u n farm acéutico. habiendo continuado su marcha á Onda por la proximidad en Asimismo se ha dignado nombr…</t>
  </si>
  <si>
    <t>Joaquín</t>
  </si>
  <si>
    <t>…tensivo á toda pieza que forme parte de las mismas. (Id.) admiten suscripciones en las librerías de Escantilla y Cuesta donde se hallará gratis el prospecto que ofrece una muestra del encargándose de la parte de protagonista D. Joaquín G onzá­ para que á los buques extrangeros que vengan directa­ papel, tamaño y tipos en que saldrá la obra. lez, que sin llegar su talla á cinco pies, pesa 18 arrobas. mente á Cádiz desde Terranova conduciendo bacalao de El segundo tomo que se anuncia contiene las tres comedias Si su sola p…</t>
  </si>
  <si>
    <t>…se cita, llama y emplaza al c a p í- que ignoro aun el resultado de sus gestiones, debo suponer tan del regimiento de Cazadores á caballo de la Guardia Real h a y a conseguido el objeto, ó que h a y a muerto el indicado ca­ D. Joaquín M o n ta g u t, para que en el preciso y perentorio becilla de resultas de su abandonada herida. A l dia siguiente término de 10 dias comparezca en la escribanía de este juzgado aprehendí otros dos, y ay e r se me trajo otro; por manera que son y a ocho de la gavilla los que tengo presos, e…</t>
  </si>
  <si>
    <t>…trada, Mendizabal, Suarez, Orozco, Aquino, Catn- chos, entretanto que por el Gobierno ó por las Cortes se resol­ tomado asiento en el Congreso, pues de ello hay ejemplares tan­ puzano, Perez de R ivas, Alcalá Z am ora, López (D. Joaquín), viese lo que fuera conveniente. to en la legislatura anterior corno en la preseote. Citó al efecto Velo, Gil (D. Pedro). Ayllon , Paz G arcía, Starico, MiranéáJ' Repito que el negocio es complicado 5en él existen una por­ las actas de Badajoz, en cuya junta de escrutinio general se Pascu…</t>
  </si>
  <si>
    <t>…ecino y del comercio de la rentas de esta provincia, se cita y emplaza por término de menor edad de mi augusta Hija la Reina Doña Isabel n, ciudad de S e v illa , en nombre y como director suplente, socio tercero dia preciso Á D. Joaquín V illagarc ía, á fin d eque se en conformidad con el art. 15 de la Constitución, y oido de la compañía de minas y fábricas de hierro del Pedroso , ha presente en cualquiera de las cárceles de esta corte á dar mh el Consejo de Ministros, be tenido á bien nombrar Sena­ denunciado en 5 del expr…</t>
  </si>
  <si>
    <t>…xa­ obispo de Astorga, obispo electo de Oviedo, marques de V ilu m a, niente que continúe aun el de Sevilla , supuesto que los recien­ minó detenidamente el caso en que se encontraba ; descendió á D. Rafael Caamaño y P ardo , D. Joaquín M aría Ferrer , Don tes acontecimientos de su capital tienen aun viva la sensación pormenores. De resultas de haber entrado en esta investigación Jo-íé Antonio Rich , marques de Espeja y D. Francisco Verea de esta excisión , y sus habitantes no disfrutan todavía la cal­ de hechos, negaron al…</t>
  </si>
  <si>
    <t>…al brillante resultado de la jornada. El gefe de E. M. de cioso ni indiferente, cuando la lucha de los partidos pue­ j debia llegar por la dirección de C o rtés, resolví atacarlo; y á j esta d iv isió n , comandante graduado D. Joaquín M orales, el de comprometer la salvación del Estado. Colocándose en­ I pesar de las grandes dificultades del terreno, no dudé un mo­ i de la i . a brigada , comandante graduado D. Eusebio de C a— tre todos ellos, y extraño á toda fracción, a todo color po­ mento vencerlo, y hacerle añadir…</t>
  </si>
  <si>
    <t>…as, cinco fusiles , tres cananas y otros efectos. Secretario, en que manifiesta, que habiendo sido elegido D ip u ­ Que los Nacionales de Me^tanza en unión con algunos es­ P a rís 26 de Agosto. tado por la provincia de Huesca D. Joaquín A y e r v e , renuncia copeteros atacaron á un grupo de rebeldes en la garganta de las : Jicho cargo, hallándose dispuesto á pasar á desempeñar en él Ocesilla», siendo el resultado quedar muertos dos y herida ’ El coche del duque de Orleansha volcado eo Agen. S. A. R. Senado el cargo de Sena…</t>
  </si>
  <si>
    <t>…. Para segundo Vicepresidente obtuvieron votos los Sres. L a - artículo 2 .° presentado por la mayoría de la comisión , dice: Dos palabras cambiadas solas en ese artículo que tanta im­ borda 6 7, Arteta 9 , Sancho 8 , López (D. Joaquín) 2 , y 1 los "Se confirman los fueros de las provincias Vascongadas y de presión ha hecho al Sr. A rg u e lle s, dos palabras solas, repito, Sres. Fernandez Vallejo y Calderón Collaotes, quedando elegido N av arra en su parte municipal y económica, y en lo demas se podían bastar para q u e…</t>
  </si>
  <si>
    <t>…ones del Centro.—Estado mayor general .3 el descuento gradual en los sueldos de los jueces de pri­ Recibido por provinciales.. . . *..................... .. 7 .1 2 8 ,8 0 7 - 1 4 Sección 2.a:^Excmo. Sr.S El mariscal de campo D. Joaquín mera instancia, del líquido que les resulta después de de­ Equivalentes...................................................... * ., 2 .0 7 4 ,2 0 6 Ayerve en oficio de 28 del actual desde Muniesa me dice lo ducir la parte con que contribuyen á su m onte pió parti­ Paja y utensilios.........…</t>
  </si>
  <si>
    <t>…ará el domingo próximo en la capilla de la casa matriz de la congregación de Ejército de operaciones del Centro.. =Secretaría de campa­ bre universidad, donde les aguardaba Mr. de Benghausen, cón­ ña = Excmo. Sr.: El general D. Joaquín A yerve, comandante sul general de Rusia, que salió el dia anterior para preparar la Madre de Dios, calle de Piepus, núm. 23. La ceremonia general de las tropas que operan en Aragón , con fecha 2 del los alojamientos de los Príncipes y de su comitiva. A las once será presidida por el obispo…</t>
  </si>
  <si>
    <t>…rtes délos dias 2 6 y 28 del anterior, recibidos del c a ­ Art. 2.° Las disposiciones del precedente artículo tendrán d o r a y la Serma. Sra. Infanta Doña María Luisa F ernan­ pitán de la compañía franca de aquella provincia D. Joaquín su cumplimiento cou los buques, producciones ó manufacturas da, continúan en esta corte sin novedad en su importante Antonio Sendra, manifiesta que el 2 6 en un encuentro que t u ­ de la nación española que lleguen á la Nueva Granada desde salud. vo este oficial con la facción de J u m illa…</t>
  </si>
  <si>
    <t>…no, y dije mas. {leyó otro trozo de su discurso.) Hay Congreso á que se prorogase la sesión. sanarse, pero por de pronto tenemos un perjuicio de que no se ina cosa mas clara: no se puede hacer el abono ¿por qué? El Sr. LOPEZ (D. Joaquín) dijo que vista la tardanza en ha hablado, y no es pequeño. jorque no ha llegado el tiempo, porque está por decretar la contestar á la interpelación que tenia anunciada, se veia en el Saben ademas los Sres. Diputados que para la admisión :ontribuciont porque está por decidir cómo se ha de…</t>
  </si>
  <si>
    <t>…eno es que quede sentado que esa Campuzano, Calero, Olózaga, Ferro Montaos, Arellano, nes y escuadrones: el mismo M adrid ha sido testigo de la ac­ palabra se la ba aplicado S. S. mismo, aunque quejándose des­ Starico, López (D. Joaquín), Alcalá Zamora, Sacnz, Velo, tividad y del movimiento que hubo; pues parecía la pobla­ pués de ella , porque yo era incapaz de usar de ella. Surrá y R ull, Mestre , Gómez Pardo, Pascua 1 ,B resca, M u­ ción á Cartago; en todas partes se estaban confeccionando Todavía, señores, tengo que d…</t>
  </si>
  <si>
    <t>…e español tiros á la guardia del mismo nombre, á cuya hora acordó el mas antiguo de dicha sala D» Manuel Leonardo Vizmanos, y no puede menos de afligirle el furor que se observa en adm i­ Sr. coronel gobernador de esta plaza D. Joaquín Y ara de Rey se le oirá y adm inistrará ju sticia, parándole el perjuicio que tir todo lo extrangero: Que diciéndose por la comisión en el pasar á la otra banda, como lo verificó; mas informado de haya lugar si no lo verificase. proemio que el consejo de Estado que se propone en este pro­…</t>
  </si>
  <si>
    <t>…E SO de Y e r o n a , obra escrita por Mr. de Cha lea u - nes nacionales, siendo por lo mismo de opinión que debe uni­ Art. 5.° L a Cámara de los Pares y la de Diputados se ^ briand. T ra d u c id a , anotada y aumentada por D. Joaquín formarse el método de las redenciones de toda carga que perte­ reunirán el 26 de Marzo próximo. Francisco Cam puzano, ministro plenipotenciario que ha sido neciese á las comunidades suprim idas, y también que los pagos Art. 4*° Nuestro m inistro, secretario de Estado de lo In­ en la corte de…</t>
  </si>
  <si>
    <t>…á la vez de comprender v in c ia , se cita y emplaza á D. Angel M orales, D. Francisco presión y papel es de lo mas esmerado. Se hallan de venta en los reglamentos é instrucciones que se citen en el cuaderno p rin - Laserna , D. Joaquín M ana Sanguino y D. Ignacio García M adrid en la librería de Cuesta; en Barcelona en la de O liva, c ip a l, y que por su extensión dejen de copiarse al pie de los Cabrero, para que en el término preciso de nueve dias se pre­ y en las principales librerías de las capitales de provincia. tras…</t>
  </si>
  <si>
    <t>…n te rio r: el Sr. do Esquivel pintó el busto no depravado. M ucho se ha escrito para conseguirla : las p a n ­ aunque equivocadamente, hacerle un sacrificio de su amor p ro - de una señora del siglo xv. y el Sr. de Becquer (D. Joaquín) sas han sud ado sobre enormes volúmenes , llamados filosóficos y p i o , y porque en su buena escuela de canto manifestó cuantas y el Sr. Iioldan empezaron el primero una fiesta y el segundo po líticos, y tas desgracias de la hum anidad c o n t i n ú a n , porqne esperanzas ofrecen sus…</t>
  </si>
  <si>
    <t>…dora de sus procedimientos en tan importante asunto. Garda. "Mentira parece la verdad,” y concluye, su obediencia será Se suscribe en Madrid en la librería de Botx, calle de Car­ un delito,” denunciado por el promotor fiscal D. Joaquín M a­ retas, y en las principales librerías de las provincias. Y o soy ¿ vuestro mandar. ría San M iguel, como sedicioso é incitador á la desobediencia en primer grado; después de leida detenidamente la denuncia, Mendo. los artículos de la ley de imprenta, y de haber conferenciado M USIC…</t>
  </si>
  <si>
    <t>…puntos d9 de 1859.L=Excmo. Sr.-G regorio de Lezama Leguizam on.-E x- Santa Bárbara , Galera y Ulldecona en fuerza de 55 caballos celentísimo Sr. Secretario de Estado y del Despacho de la G o­ gratitud. mandados por su capitau D. Joaquín R evertér: en el primer bernación de la Península. Muchas voces: O h! O h! (Violentos murmullos.) punto dieron muerte á un capitán rebelde; en el segundo ca­ M r. Desmidt: Ya se contestará. yeron cuatro facciosos toas, y otros cuatro en él último, y ade­ M r. Doignon: Eso no está en el ord…</t>
  </si>
  <si>
    <t>…xtiendan mas allá del reducido José O rta, que accidentalmente acudió al sitio de la catástro­ cangearse. Veremos si las m ismas, al llegar nuestros constantes ámbito que cierran las paredes del Ateneo. fe , y del presbítero D. Joaquín P rats, quien relevó á dicho se­ y sufridos soldados de la lib ertad , ejecutan lo mismo. Economía política.zzLos errados sistemas de adm inistración ñor mayor de su caritativo oficio de au x iliar al desgraciado. ^ Entre los expresados facciosos h ay un ta l M iguel V idal, que siempre he…</t>
  </si>
  <si>
    <t>…ar los esfuerzos de todos, derramando sobre Chile y el Para la judicatura de L érid a, vacante por haber sido nom­ cordia, de la ambición y de la inexperiencia. Su predecesor, el Perú paz, orden, libertad y dicha. {Id.) brado D. Joaquín M ir asesor de la capitauía general de Ca­ Sr. Rocafuerte , ha merecido del nuevo Presidente, en vez^ de ta lu ñ a , ha venido S. M. en nombrar á D. Antonio Arteaga, vejámenes, honrosos recuerdos que le unirán estrechamente á que desempeña la judicatura de Arévalo, y para esta vacante la nue…</t>
  </si>
  <si>
    <t>&lt;L 1837 que los Ministros de V. M. han j u r a d o , y que aun que concede á la cor ona el art. 26 de la Constitución, 1 el segundo de dicho Ebanista, D. Manuel Quíntela, D. Joaquín a riesgo de su existencia presentarán ilesa á las Cortes. ha tenido á Li e n, c onfor má ndose con el parecer de Mosquera de Funsin y D. Fernando Medela de Baldomar, que­ Por lo tanto someten á la aprobación de Y. M. el si­ s u Co nse jo de M i n i s t r o s , disolver el Congr es o d é l o…</t>
  </si>
  <si>
    <t>…, Porreig y Viver, y las dos columnas entre Bal­ Guadalajara. = D. Ramón López Pelegrin. que exigiría una larga composición : en su curso se encuentran sareny y Berga ; lo que hará uu total de 17,500 infantes y Guipúzcoa. = D. Joaquín M aría de Ferrer. ademas barrancos de dificil acceso , dominados por un flanco , y 500 caballos. Huelva. z=D. Antonio González. éFdificil paso del puente de Míralles sobre el Llobregat, que fa­ Los 17,500 hombres necesitan en los 50 dias 8750 racioues; Huesca. — D. M ariano Torres y Soláno…</t>
  </si>
  <si>
    <t>…efervescencia. Yo me ofrezco á hacer ver á ios consejero^ y por mi testimonio, se esta instruyendo causa por denuncia de S. M. y al Parlamento imperial que importa resolver cuan­ hecha en 8 del corriente por el promotor fiscal D. Joaquín M a­ to antes esta cuestión vital , no solo á causa de la multiplici­ n a San M iguel, ante el Sr. alcalde constitucional D. Tornas Parece que se halla atacado el celibato de los clérigos cató­ dad de los intereses que abraza , y que se encuentran compro­ Fernandez de Vallejo, de dos artícul…</t>
  </si>
  <si>
    <t>…ra goz a 18 d e F eb rero . por las demas autoridades, corporaciones, gefes de columna y Sres. Royer Gollard j Pasquier, Ilyd e de N euville, Chateau­ bizarras tropas del ejército nacional. Orden de la placa.- El Sr. general D. Joaquín A yerve, gefe La salida de una autoridad tan activa como política, tan briand , que se separaron de la restauración , se equivocaron de la segunda división de este ejército , dice al Excmo. Sr. ge­ previsora como justa é im p arcial, tan celosa como exacta en el cuando le exponían que camina…</t>
  </si>
  <si>
    <t>…iguel Araoz recorre aquella parte de frontera hasta Ve­ Diputación provincial de Soria.=Señora: Si después de seis Los 45 regimientos , gefes y oficiales empleados en la ins­ ra, mientras que por esta lo verifica el brigadier D. Joaquín años de la mas desoladora guerra ha aparecido entre los españoles pección de la misma . Bayom para limpiarla enteramente, y arreglar el estableci­ la antorcha luminosa de la suspirada paz; si el convenio celebrado miento provisional de las aduanas en dichas fronteras. en Vergara por el glo…</t>
  </si>
  <si>
    <t>…bunal de Ju sticia. El ínteres social y la mañana los cinco generales rebeldes N e g ri, G uergué, Gar­ D. José M aría V in ieg ra, y en esta corte inform arán en la ca­ el Ínteres in d iv id u a l, artículo de legislación por D. Joaquín cía , Moreno y Carmona. Francisco Pacheco. Continuación de! artículo sobre recursos de lle de Postas, casa de comercio, núm. 15 nuevo. nulidad principiado en el número anterior , por D. Ju an Bra­ A yer y hoy han pasado varios batallones y caballería de la parte de la Rioja alta en direcci…</t>
  </si>
  <si>
    <t>…a p ita l, les parará el tarse en los tribunales sino es por la mediación de sus maridos, perjuicio que haya lu g a r , previniéndose lo hagan al testamen­ y no poder aspirar á los destinos subalternos en la administra­ tario D. Joaquín M orso, que vive en M adrid Cava a lt a , n ú ­ ción pública ? PROVIDENCIAS JUDICIALES. mero 14 nuevo, cuarto principa). Se objetará quizá la falta de fuerza para soportar las fatigas Igualmente se c it a , llama y emplaza á todas y cualesquiera de la g u erra; y aunque el ejemplo de las am…</t>
  </si>
  <si>
    <t>…ometen mas numerosos y perjudiciales segundas elecciones de la provincia de Badajoz, admitiéndose de impresión y publicación, fijando las condiciones con que am­ abusos; estos los que dan lugar á mas frecuentes denuncias y á D. Joaquín M uñoz, Diputado electo por la misma. bas cosas habrán de verificarse. Esto ha hecho necesario el em­ mas célebres juicios, y estos en fin los que todas las leyes sobre 4 ° Otro de la especial nombrada para informar sobre el pezar por los títulos que arreglan la policía de impresores, li­ i…</t>
  </si>
  <si>
    <t>…(Se con tin u a rá .) vincia de Se v illa; apercibido que de no hacerlo le parará el perjuicio que h aya lugar. J~^OY fe: Que en autos que en el juzgado segundo de p rim e - MADRID 27 DE JUNIO. Asimismo se cita y emplaza á D. Joaquín M aría Sanguino, i a instancia de esta ciudad se siguen para la partición para que en el preciso y último térm ino de nueve dias com pa­ y división de los bienes de que se compone la dotación del pa­ rezca en dicha escribanía de amortización á prestar cierta de­ tronato que fundaron Melcho…</t>
  </si>
  <si>
    <t>…razos al poeta cómico, y la paz turbada durante algunos mo­ pió García za u»» pensamiento lleno de amargura y de desaliento para el mentos, volvía de nuevo á establecerse mas sólidamente que Moragues, ,Alejandro Juan Saravia , D. Joaquín D am eto, D . Antonio G rao, soldado que fue del regimiento in ­ grande autor. ccNo me quejo de é l, d ic e ; su obra me hizo dor­ nunca. mir peí fecta mente.” Las tres primeras representaciones del E nferm o de apren­ nuel Galvez y AntoniohoyPerez, fantería de Almansa , 1 8 de línea ; Seb…</t>
  </si>
  <si>
    <t>…oducido nin­ otros efectos , sin que por ini parte h aya habido mas novedad José M en cia, D. Ju an José Enrique , D. Ambrosio Laviano, gún efecto en la asamblea. que la de dos tiradores heridos de. sable, un caballo herido y D. Joaquín A sensio, D. Maximiano González, D. Ju an de Bruselas está tranquilo. {Debáis.) otro extraviado. Dios guarde á V. muchos años. Santibañez M ata Illaua, D. Cárlos Marrón y D. Antonio Tomé y O ndar- 27 de Marzo &lt;je í8 59.r:E l comandante general.nG aspar A n ­ r e ta , quienes por unanim idad…</t>
  </si>
  <si>
    <t>Joaquín, D.</t>
  </si>
  <si>
    <t>D. Joaquín</t>
  </si>
  <si>
    <t>…tamen de la comisión relativo á las elecciones de Pontevedra. do de varias otras que se clasifican por sus nombres, se dice cencia feroz, que no hay razón ninguna para que salga de las Pasó á la comiúon de Actes un oficio del Sr. D. Joaquín (leyó). La l e y , señores, que ha de arreglar los estados excepcio­ bocas de donde ha salido, voy á sostener el decoro del trono, Francisco Campuza 0 0 , manifestando que como Diputado por nales cuando por desgracia alguna provincia se halle colocada su dignidad y su prestigio. las provi…</t>
  </si>
  <si>
    <t>…se en ñores? Esto es lo que se necesita saber, y por esta razón me he los términos en que lo ha sido por el Congreso. O R D E N D E L D IA decidido á tomar la palabra como un honrado militar que quie­ Juró y tomó asiento el Sr. D. Joaquín P a tin o , Senador re que se respete la ley. No tengo mas que decir. por la provincia de Pontevedra , quedando destinado á la ter­ PARA LA SESION DEL VIERNES DE OCTUBRE DE 1839. El Sr. PA Z G A R C IA dijo que esperaba que el Gobierno se cera sección. apresurase á dictar las medidas opor…</t>
  </si>
  <si>
    <t>Joaquín, Ignacio Goyanes. José Viton y D.</t>
  </si>
  <si>
    <t>Ignacio Goyanes. José Viton y D. Joaquín</t>
  </si>
  <si>
    <t>…la. Asimismo se cita y emplaza por término de tercero dia á M inas nacionales de Riotinto 50 de Noviembre de 1858.=: D. Joaquín María Mendez y Suarez, D. Manuel M iranda , Don En Palacio á 30 de Diciembre de 1838.=A1 Presidente Ignacio Goyanes. José Viton y D. Joaquín Sánchez, á fin de que se presenten á interino del Consejo de Ministros. prestar declaración en la escribanía mayor de Amortizicion i cargo de D. José Balduque, sita en la calle del Lobo, niím. 8 , ACTAS DEL GOBIERNO. Inspección de minas de las provincias d…</t>
  </si>
  <si>
    <t>Joaquín, José</t>
  </si>
  <si>
    <t>José Joaquín</t>
  </si>
  <si>
    <t>…u lio dejó una carta en la que anunciaba al Gobierno im perial y Real para este juzgado, de igual clase en la provincia de G ranada, de T 856 cesó de percibirse. que se d irig ía á Bélgica para ocupar alli un puesto m ilitar á D. José Joaquín E raso, electo de A lcaraz; y pata esta ju ­ Nuestras delaciones con las Potencias éxtrangeras conservan que se le habia ofrecido por el Gobierno de aquel pais. dicatura, también de ascenso en la proviocia de Albacete, á Don siempre el mi&amp;no carácter de buena arm onía que desde la Penet…</t>
  </si>
  <si>
    <t>Jokraus</t>
  </si>
  <si>
    <t>…s los miembros del Divan se han reunido tres char ó consejero de la escuadra. y el año de 1 85 5, en que se firmó el tratado Unkiar-Skelessi, veces en consejo privado, siempre con motivo de los actuales Un ham burgués, el general Jokraus, que ha ganado todos, fue cuando el príncipe Milosch , cediendo á las reclamaciones acontecimientos. Se cree que el Gobierno francés persiste en su sus grados sirviendo á la Inglaterra, y batídose en España en de los servios, hizo expulsar a' los musulmanes que ocupaban intención de impedir…</t>
  </si>
  <si>
    <t>Joppe</t>
  </si>
  <si>
    <t>…ayer mañana á las cinco en cua­ un estado de cosas tan desagradable para la diócesis. Mr. M eu- PARTES RECIBIDOS EN LA SECRETARIA DE ESTADO tro coches de la casa Real con cuatro caballos y dos postillones jaud , electo obispo de Joppe, y coadjutor de Nancy , ha reci­ Y D E L DESPACHO D E L A G U E R R A . cada uno para Oxford. A las once y veinte minutos llegaron bido sus bulas. El prelado está en ejercicios en el seminario los ilustres viajeros al punto donde tiene su asiento esta céle­ para prepararse á su consagración…</t>
  </si>
  <si>
    <t>Jordana, Juan y D. José</t>
  </si>
  <si>
    <t>Juan y D. José Jordana</t>
  </si>
  <si>
    <t>…de guerra, hizo que los rebeldes se embarcasen en los escolta en el territorio de esta, también sufrirá los gastos de la en bahía y fuesen conducidos ¿Chafarinas, misma hasta el límite de aquella, todo ello en la confianza de D. Juan y D. José Jordana, y D. Joaquín Perez, arre n ­ en donde se estaban buques que hallaban nuestros buques de guerra. que la dignación de S. M. se servirá aprobar el arbitrio que se datarios cíe los ramos decimales de Zaragoza, solicitan el proponga al efecto, porque agobiados los pueblos con ta…</t>
  </si>
  <si>
    <t>Jordau, Tomas</t>
  </si>
  <si>
    <t>Tomas Jordau</t>
  </si>
  <si>
    <t>…o hay enemigos que perseguir. El maestre de Santiago. Romance: por D . Salvador B e r- una cosa tan insignificante y pueril como lo es una muñeca. tnudez de Castro. Se suscribe á este periódico en Madrid en la librería de Don Tomas Jordau , calle de Carretas, frente á la Imprenta N acio­ La Inglaterra y los ingleses. Por Eduardo L itton B u l- LOTERIA PRIMITIVA NACIONAL. nal: en las provincias, Canarias, Puerto-Rico y la Habana, en wer, traducida al español por D . Gervasio Gironella. D os to­ las administraciones de C…</t>
  </si>
  <si>
    <t>Jordán, Tomas</t>
  </si>
  <si>
    <t>Tomas Jordán</t>
  </si>
  <si>
    <t>…ómica y en las gracias del estilo.= A. L. tual , el suministro de raciones de etapa á las tropas que ope­ Se suscribe á este periódico en M adrid, en la librería de ran contra facciosos en la provincia de Ciudad Real, y en la D. Tomas Jordán, calle de Carretas, frente á la imprenta na­ ( E l Tiem po.) de Toledo al sur de dicha capital, cuyo servicio debe* principiar cional ; y en la de.la viuda de P az, calle M ayor, frente á las desde 1 .° de Setiembre próximo, y concluir á los seis meses de gradas de San Felipe; en las…</t>
  </si>
  <si>
    <t>…l 5 por 100, 27 con cupones al con­ Se suscribe á este periódico en M a d rid , en la librería de aplauso singular. La empresa al presentarlo no ha omitido nin­ ta d o : 27$ , § , f , 27 y 27$- á v. f. ó vol. y firme: 2 8 $ , D. Tomas Jordán , calle de C arretas, frente á la im prenta na­ guna de las circunstancias que pueden coutribuir á su mejor 2 9 $ y 28$ á v. f. ó vol. á prima de \ , | , $ y $ por 100 con cional ; y en la de la vfcida de Paz^ calle M ayor , '.frente á las éxito. cupones. .gradas de San Felipe^en las…</t>
  </si>
  <si>
    <t>…de Amortización contribuiría Se acordó pasar á la comisión de Gobierno interior la pro­ de Toreno no necesita de que aqui le falte á los principios, mucho á realzar el nuestro, pero que á su euterider no consistía puesta que D. Tomas Jordán hace mejorando la de la Impren­ porque el dia que quiera, con solo enunciarlo será reelegido por en esto; pues en Inglaterra, donde uo h ay un fondo determ i­ ta Nacional para la impresión del D iario de Cortes, ofrecien­ A stu rias; y si yo pudiera dudar de que el Sr. conde de Tore­ n…</t>
  </si>
  <si>
    <t>…que á favor de aquellos mento. dictámen de la comisión de Gobierno interior acerca de la pro­ aparece en el referido estado, se aumentan 4^6 rs. 2 4 inrs., El Sr. Ministro de M A R IN A dijo , según pudimos perci­ puesta de D. Tomas Jordán. premio de las dos letras giradas sobre Zaragoza, con el queasr bir por su escasa voz, que no tenia que decir otra cosa para El Sr. P R E S ID E N T E : El lunes seguirá la discusión de los ciende la suma total que recibirán los prisioneros de Maella contestar al Sr. conde de las N av…</t>
  </si>
  <si>
    <t>…ión, y contiene una doctrina su­ que se admitirán las posturas y mejoras que se hicieren siendo Martínez de la Rosa. mamente útil, sencilla y agradable. arregladas. Se suscribe á este periódico en M adrid, en la librería de D. Tomas Jordán , calle de Carretas , frente á la imprenta na­ 'T 'R A T A D O de los funerales y de las sepulturas por el P. Fr. cional; en las provincias, Canarias, Puerto-Rico y la Habana, -*• Miguel de Acero y Aldovera. Un tomo en 4*°j á 10 rs. en B IBLIO G R AFIA . en las administraciones de cor…</t>
  </si>
  <si>
    <t>Jordán, Tomás</t>
  </si>
  <si>
    <t>Tomás Jordán</t>
  </si>
  <si>
    <t>…26 y 28 que S. Pablo, natural de 21.200.... 1 0 0 0 ....... Cádiz. Se suscribe á este periódico en Madrid, en la librería de Tarses, en Cilicia, habia nacido ciudadano rom ana Este 16,469. • ......... 1000............. Idem. D. Tomás Jordán, calle de Carretas, frente á la imprenta na­ solo pasaje basta para nuestro intento, porque según el 7.010 .............500............. Bilbao. cional ; en las provincias, Canarias, Puerto-Rico y la Habana, historiador Dion la ciudad de Tarses no fue colonia ro­ 6.6 2 0 .... 5 0 0 ...…</t>
  </si>
  <si>
    <t>Jorge</t>
  </si>
  <si>
    <t>…de plom o y co b re , que también en ­ '» o *13 opr- 2B H: o cr&gt; a zr. receres sobre si convendría adoptar el m étodo de construc­ contraron en abundancia. •fe -p - co en ^ g ao o t-i O T v. w O 3 ción francés ó el inglés. D. Jorge J u a n , y Ulloa estaban La riqueza de la Península y la de las Américas de­ « &amp; O S£ S W í' - S CUo .n bería haber llamado la atención del ilustrado G ob iern o “ ¡5 ,4N ** •» - por el último. Cárlos 1 1 1 , haciéndose superior á las preocu­ de Carlos 1 1 1 , dando impulso á las ciencia…</t>
  </si>
  <si>
    <t>…ad S im ó n , tributándole al propio tiempo las S. M . la R eina G obernadora ha tenido á bien acceder á la ñada iJet corregidor de Burdeos , de Mr. M athieu , primer a d ­ p erm u ta solicitada de sus respectivas plazas por D. Jorge G is - mas expresivas gracias por su particular esmero en la educación j u n t o , y de M r. F. Levoy, secretario general de la Prefectura. de estos jóvenes, tanto en las materias m orales, corno en las po­ h e r t , ministro de la audiencia de Z a ra g o z a , y D. M anuel M a ­ D u r a n t…</t>
  </si>
  <si>
    <t>Jorge, D. Juan José Cadaval. Sr. D.</t>
  </si>
  <si>
    <t>D. Juan José Cadaval. Sr. D. Jorge</t>
  </si>
  <si>
    <t>…te • Sr. D. Miguel de Roda. Sr. D. José Guillen. Sr. D. Diego López Ballesteros. Sr. D. Ignacio Puigmoltó. Sr. D. Francisco Martinez de la Rosa* Sr. D. Domingo Fontan. Sr. D. Antonio Sereix. Sr. D. Francisco Egaña, electo. Sr. D. Juan José Cadaval. Sr. D. Jorge Gisbert. Sr. D. Francisco de Paula Castro. Sr. marques de Villagarcía. Sr. D . Manuel Franco, electo. Sr. D. Manuel de Seijas Lozano. Sr. D. Pedro María Fernandez Villaverde. Sr. D. José Guillen y Gras. Sr. D. Juan José Fonseca. Sr. D. Ramón López Vázquez. Sr.…</t>
  </si>
  <si>
    <t>Jos</t>
  </si>
  <si>
    <t>…á pesar de la falta absoluta de recursos en que se ha El teniente de la segunda compañía permanente de T am au - encontrado, comienza á tener bastante crédito en el comercio A F R IC A . Jipas D. Mauuel Neochaca y el paisano D. Jos£ M aría Salinas para proporcionarse sin préstamos ruinosos las cantidades nece­ de aquellos, y que por mi orden han reunido alguna gente sarias para sus mas graves urgencias. {D. de Méjico.) A rgel 30 de Noviembre . para el fin indicado desde el paso del A lam ito, me dicen con fe­ cha 14 del co…</t>
  </si>
  <si>
    <t>JOSECAÑIZARES</t>
  </si>
  <si>
    <t>…que les han hecho las tropas de individuos de ayuntam iento en la forma y modo que lo h i ­ de este distrito y de aquellas provincias , cuanto per la influen­ cieron en el año de 1 8 5 2 , gobernándose por las leyes, fueros y D. J O S E C A Ñ I Z A R E S . cia que naturalmente han ejercido los prósperos sucesos del N or­ costumbres que á la sazón regian sobre esa materia. te cié la Península, me es dado aliv iar á los pueblos en los sa­ 3.a Los pueblos, valles y cendeas deberán tener fija la v is­ A R T I C U L O II. cri…</t>
  </si>
  <si>
    <t>Josefa</t>
  </si>
  <si>
    <t>…o h ay noticia de que era hijo de D. Ileo riq ue M a r ­ In d ice d e los R eales d e cr eto s , órd en es y circu la res pu blica­ P a r ís , 1 6 -6 . G ran ad a , id. id. tínez de A b a d , natu ral de V arg a ñ o n , y de Doña Josefa C le ­ dos en este p erió d ico en e l m es a n terio r • M á la g a , £ á $ id . m en te, del Real sitio de la G ranja. Dado en Badajoz á 15 de San tan d er, £ b. Octubre de l8 5 9 .= T íb u rcio G arcía G allardo.zrPor m andado R eal decreto nombrando Senadores por las provincias de San ­…</t>
  </si>
  <si>
    <t>…das americanas en las hipotecas y demas oficios de igual naturaleza. 189. D. Joaquin del Pino y Ruiz , en queja del gefe polí­ , tesorerías de la hacienda nacional. tico de M álaga, por la prisión que les hizo sufrir. 250. Doña Josefa D om ínguez, viuda del subteniente D on 190. D..M ariano Fernandez de Bovadilla, sobre redención ,; Eusebio Espoz, ea solicitud de pensión. Acta de la junta general de la sociedad para propagar y de los capitales de los censos que hoy se pagan á las parroquias, 251. Doña Juana Vela, viuda d…</t>
  </si>
  <si>
    <t>…á la venta en pública subasta de la dehesa de Cabe­ de una cartilla breve y sencilla , en que con aplicación al sueio, za de O iid , con lo que se conseguirán mayores ventajas para en la que desempeñará la parte de Adalgisa Doña Josefa C h i- clima y deroas circunstancias físicas y morales de España, se sus acreedores, y también mayor seguridad del acierto por par­ meno. rtunap las observaciones y conocimientos necesarios para las te de los mismos síndicos. Y habiendo sido acogida favorable­ mejoras de las razas de ganad…</t>
  </si>
  <si>
    <t>José</t>
  </si>
  <si>
    <t>…José López A r ia s , se c i t a , llama y em ­ que ponia á cubierto sus tirado res, cuyos disparos no cesaban, crim inal sobre falsificación de una lámina de deuda sin Ínte­ plaza por primer anuncio y término de nueve dias á D. José mientras que los nuestros marchaban adelan te, sin otro apoyo r e s , núm. 2 2 4 4 5 , de capital 113,657 rs. 19 mrs.j apercibido S o rian o , dueño que parece es de parte de un parador en F u e n - de cerca que una mitad de lanceros á las órdenes de su mismo que de no hacerlo le causará entero…</t>
  </si>
  <si>
    <t>…e nos han trasm itido, y espe­ y un desertor de voluntarios de G alicia, y prisionero el cabe­ bulencias que tantas alarmas y perjuicios habían causado á am ­ ramos que los amigos de sir Howard darán sobre ellos una ex­ cilla D. José C angas, alias el E vangelista; quedando igualm en­ bos Gobiernos; y que si llegaba a conseguirse este resultado no plicación satisfactoria. {Id,) te eu poder de nuestra columua tres yeguas con sus monturas, tardarían los deinas prisioueros en gozar del mismo beneficio. un caballo, un trabuco,…</t>
  </si>
  <si>
    <t>…a tallones de la Reina y el provincial de 'HJam an ca , formado* pañía de lp jjá (JeLjpuerto de H av re, interesada partir parte de Figuerólfes y Alcora , por donde el enemigo esperaba en columna y dirigidos por le? coroneles D. José M aris Cistué y D. José S ám aniego, marchando al paso de ataque desahqT- cularmen^te pereépcion de los derechos de peaje, nMestrás tropas , era d if íc il, y a lós obstáculos de la naturaleza se habían añadido loé deharte durante los 2 2 dias que dueños ron al enemigo de la-posición •que oc…</t>
  </si>
  <si>
    <t>…rtel general marchaba á la ca­ FRA N C IA . caballo, desterrado por el mismo; ¿ oronel A g u ir r e , coman­ beza de las columnas para desalojar á los enemigos, recibió dante del 5 o bítallon n avarro , deAeirado por M aroto: D. José una fuerte contusión en el pecho , y sin embargo no quiso P au 2 5 d e J u lio . Ja v ie r U r :z , intendente geoeral del ejercito de operaciones , f u ­ abandonar su puesto. Los oficiales de este instituto, asi como silado por óideu de Maroto. el comandante general interino de artillería e…</t>
  </si>
  <si>
    <t>…llamados á la mesa de la presidencia Don isla de la Sonda, llamada Huen , que le habia sido cedida al as­ titu d , y los vientos reinantes en cada una de ellas, cuyo co­ Eduardo R u iz , D. Emilio D ía z , D. Permití Alarcou , D. José trónomo para su residencia; y e n 8 de Agosto de l5 7 6 s e puso la nocimiento es indispensable para d ir ig ir la derrota con acierto, de Torres, D. Antonio Cánovas y D. J u a n del Castillo , y el piedra fundamental del edificio. Este observatorio tiene 22 va­ y resolvió con mucha firmeza los…</t>
  </si>
  <si>
    <t>…en sierra G ad o r, collado eje.,V alien tes, térm ino D. Enrique M i s l e y , residentes en M a d r i d , ha pedido la con- i expresados derechos, y que vuelvan al Real P atrim o nio , ínte­ del Presidio , tA pare,dda , por D. José. Á ré v a lo , en ' 4 , . . cesjon de tres pertenencias contiguas sobre el criadero de car­ rin resuelva el Gobierno ó las Cortes, Por lo cual se queja la Otra id. en sierra Gador , Colorado?, término Presidio, San bón mineral de la Tejera , situado en el cerro de Santofinne, diputación del Sr…</t>
  </si>
  <si>
    <t>N.° 1509. MIERCOLES 2 DE ENERO DE 1839. DIEZ CUARTOS S. M . la R e i n a , s u augusta Madre la R e i n a G o b e r n a ­ el parte se me pasó poner en el superior conocimiento de V. E. D. José M artín ez, titulado cirujano del regimiento infantería q u e, ademas de los ocho individuos que aprehendí, les lomé 2.° de línea ; D. YValdo Gornez , subteniente del regimiento i n ­ d o r a y la Serraa. Sra. Infanta Doña María Luisa Fernan­ también varias arm as, objetos de los destinados al…</t>
  </si>
  <si>
    <t>…bos con resolución de aniquilar la revo­ « EXCELENTÍSIMOS SENOR.ES. « D . M ariano Torres y Solanot. lución. «D . Manuel Latre. P residen te. « D . M ariano Ricafort. Sabemos por cartas de Santiago de Cubá de 27 de Octubre D. José M aría Moscoso de A ltam ira. Ja én . que habían llegado allí dos bombardas de Vapor francesas de paso para Veracruz. {(ti.) V icepresidente. « D . José M anuel Vadillo. D. Juan José Bonel y Orbe , obispo de Córdoba. « D . Pedro Antonio A cuña. D. José M aría de Ezpeleta , conde de Ezpeleta.…</t>
  </si>
  <si>
    <t>…riótico celo que distingue á Y7. S. para el me­ Acabara de entrar eu esta capital 150 caballos del regim ien­ jor servicio de este ejército. Dios guarde á Yf. S. muchos años. to de Borbon , 5.° de línea , al uaando del capitán D. José D á- Zaragoza 27 ds Noviembre de i857. = P. A. D, 3. 1. M ., el vila , que van á G uadalajara.</t>
  </si>
  <si>
    <t>…j o , y B r ig h t en Bristol. del Palacio de Y illahermosa, ofrece la novedad de poderse c a n ­ muchas Reales órdenes relativas á la administración de tar a un mismo tiempo un coro con unas letrillas preciosas de justicia. D. José Z orrilla , lo que hace un efecto m aravilloso. Se vende A principios del mes próximo se hallara de venta la arreglad o para piano a 5 rs. en el almacén de m úsica de C a r ­ entrega de Enero de este año. r a f a , calle del P r in c i p e , núrn. 15, con los rigodones del nuevo F íg a ro , m…</t>
  </si>
  <si>
    <t>…los pasos qüe daba cerca de sus co ­ minuet de corte y m azurca: se deja conocer que en la instruc­ tiempo del Rey navarro Teobaldo 1 , en su cap. l . ° , tít. 22 de ic a s . ción de esta clase puso todo su conato el profesor D. José R e­ los fueros? ¿ L o era en tiempo del Rey navarro D . Felipe de Por otra parte el periódico oficial de M r. Thiers afirma que g a jo , presenciaudo también el a c to , que fue desempeñado c o ­ E breux, cuando en el año 1550 se hizo el mejoramiento de sus el Gabinete eniero ha renunciado es…</t>
  </si>
  <si>
    <t>…500 millones para evitar que los infelices helenos sucumbiesen formalidades que la misma previene, tocó á los sugetos siguien ­ bajo el hierre de los turcos; y la Francia de la revolución ¿será tes: D. Pantaleon M u n tio n , D. José d é la Q u in t a n a , D. Fran­ del método actual de la sustanciacion civil y crim inal en la j u ­ menos g ran d e, trenos generosa? ¿hará menos por una nación cisco Ortiz y Flores, Sr. marques de Cerralbo, D. Antonio risdicción Real ordinaria. Por D. J u a n M artin Carrarnolioo. am iga y ve…</t>
  </si>
  <si>
    <t>…do adquirirse de los prisioneros de CAMBIOS. acompasa á dicho periódico. Morella y Cantavieja , parece que a' excepción de D. Juan Ló­ Salan dos cuadernos por mes, formando un volumen de 250. pez P elegriu, Diputado á Cortes , D. José B a rd a jí, juez de pri­ Londres, d 9 0 d ia s, 5 3 § papel. C o ru ñ a , á 2 d. páginas Jo meaos. mera instancia de V ie lla , y D. Carlos Su ñez, todos han sido P aris, 16 -6 id. G ranada, 1 J id. trasladados al Horcajo , donde se ha establecido el depósito ge­ M á l a g a , £ id. Precio de…</t>
  </si>
  <si>
    <t>…a y de la nación han sido defendidos J se Campillo, individuos que fueron del escuadrón ligero de con el tesón y coa la dign id ad inseparables del verdadero c a ­ POESIAS M ih fia nacional , y de los carabineros de Hacienda D. José rácter español. Izqu’ftdo y D."Juan de Dios Almela , muertos en los campos DE DON ALBERTO LISTA, de Abarilla el dia 29 de Marzo de 1857 á impulsos del acero Decretos, órdenes y reglamentos expedidos por la regencia fr¿iricida de los modernos vándalos: ellos desa parecieron de en­ del reino d…</t>
  </si>
  <si>
    <t>…a en sierra de G ador, collado del agu a, va , sita en el término de V illa Belayos, al cabecilla Quinco- término de L a u ja r, Desposorios, por Vicente Rodríguez , en 1.° Fernandez Matoso, de este dom icilio, por encargo de D. José ces, su muger y cuatro facciosos m as; y que el subteniente de Otra id. en Loma del Saúco, término de Lucar , el Trueno, Mateos y Sánchez, presbítero, vecino de la villa de Gausin, por Manuel M o lin a, en 5 . en 23 de Diciembre ultimo registro un criadero de mineral de granaderos de Laredo D.…</t>
  </si>
  <si>
    <t>…rtin de Irazoqui, se cita y emplaza á blecidas, administrándolas con orden y eficacia, y recau­ los.acreedores D. José Francisco y D. Ju an Francisco G arm en- dándolas con enérgica y fiel actividad, antes que recurrir dia y D. José M aría Y erg ara, para que en el término de cuatro meses contados desde el dia en que por últim a vez se repita este REDACCION DE LA GACETA. á nuevas y deplorables exacciones, ó consentir ruinosas y anuncio que se i asertará por tres con intervalo de diez dias, arbitrarias violencias. Y si…</t>
  </si>
  <si>
    <t>…én se sigue el mismo en las dos clases de aritmética tos y satisfechos que se hallan los pueblos de la Plana y entra­ Sabemos que la familia del barón Mortier partirá de aqui puestas al cuidado del ya mencionado Travieso y de D. José das del Maestrazgo con las fortificaciones de Onda y Almena­ liácia fines de la semana, pero siempre conservarán los nu­ G. Domínguez: las que componen ambas clases, operaron en la ra , alegría que se extiende hasta los mismos adictos que los re­ merosos amigos con que cuenta los mas gratos r…</t>
  </si>
  <si>
    <t>…stitucional de esta m uy heroica v illa ; Don Palacio del R io -Jan eiro 22 efe A b ril de l859.= G ándido B au ­ tes para expresar la in dignació n y justa reprobación coa que José Caño Sainz , del comercio de esta corte , y D. José H ig i- tista de O liveira. semejante ofensa debe m irarse. nio A r c h e , contador general de la caja nacional de A m ortiza­ R io -Ja n eiro 22 de A b ril de 1859. = S r. m in istro : Con el No solamente deben los sentim ientos de una nación am ig a ción , vocal secretario ; y colocada en…</t>
  </si>
  <si>
    <t>…o y 2 antiguo de la manzana 1 9 5 , tasada ma aprobación después de examinadas y glosadas por e! a y u n ­ inmensa concurrencia eu las calles y plazas es tan inexplicable en la cantidad 9 5 ,5 5 0 r s . , que ha pertenecido á D. José V a ­ tamiento las cuentas de todos los establecimientos que tengan como la fraternidad y orden que ha reioado , sin necesidad de liente, vecino de aquella vi l l a , y en el dia se ha acordado su consignaciones en el presupuesto municipal. ostentar fuerza armada en ningún acto ; tal es la co…</t>
  </si>
  <si>
    <t>…sé E spinosa, D. Ju a n José A n g u ila , D. Mateo Perez, cu arta, son de hermoso m árm ol de un mismo c o lo r; las contabilidad de U ltram ar en dicho m inisterio tome razón de D . M anuel M oreoo, D. A gapito B aleozueia, D. José M elen— paredes colgadas de damasco carmesí , y los techos ad o r­ los títulos y cédulas que se expidan en adelante para las pro­ d ez, para que ca el térm ino de nueve dias se presenten en la nados profusam ente con obras de estuco , sin a h o rra r cos­ v in cias expresadas. (Id .) escriban…</t>
  </si>
  <si>
    <t>…a R e i n a GOBERNA­ y D. Francisco Bermejo , quienes por unanimidad declararon Otra id. en dicha sierra , loma de la Breba , término del no haber lugar á la formación de causa. Presidio, Demasía para San Miguel de Granada, á D. José d o r a y la Serma. Sra. Infanta Doña María Luisa Fernan­ Lozano , en id. da, continúan en esta corte sin novedad en su importante Berja y Diciembre l.° de 1858.=:P. A. D. S. I ., el primer salud. DIRECCION GENERAL DE MINAS. ayudante Bernabé Sánchez Dalp. Inspección de minas del distrito de R…</t>
  </si>
  <si>
    <t>…za, ni D. Diego M edrano, Secretarios; duque de Frias , marques de cual he levantado el estado de guerra de Córdoba, Huelva y tampoco por lo q u e su buena razón la d ic tab a ; examinó los TorreaIta , D. Alvaro Gómez Becerra, D. José M a iía Reig, Cádiz , exceptuando la isla de San Fernando ; he creído conve­ hechos que habían dado lugar á la formaciou de causa ; exa­ obispo de Astorga, obispo electo de Oviedo, marques de V ilu m a, niente que continúe aun el de Sevilla , supuesto que los recien­ minó detenidamente el caso…</t>
  </si>
  <si>
    <t>…iva. La guardia cívica en gran mar. La de Merode, Ministro de Estado y encargado in­ garle del Despacho de la primera secretaría de Estado. T e n - número se ha dirigido á sus puestos: toda ella se halla sobré dréislo &amp;c.=:A D. José T a m a riz , mi secretario con ejercicio. terinamente del ministerio de Hacienda desde la dimisión las armas. d’Huart, no figura en ellos, pues la víspera dio de Merode su dimisión, que aceptó el Rey. C O R R E S P O N D E N C IA DE LA GACETA. Los dos proyectos de ley antes mencionados han pa…</t>
  </si>
  <si>
    <t>…, y los hay también en la parte lite raria; bien que no puede ser de otra manera, pues que siendo, llevaríamos con sión tan form ales, tan perentorios y tan explícitos, que no ha llana que está á cargo del acreditado profesor D. José M aría toda propiedad el título de desaplicadas, porque no compensa­ titubeado un instante en adm itir unánimemente la competencia R odríguez, y la de los idiomas que está al de D. Francisco C. ríamos entonces con el aprovechamiento las asiduas y penosas del poder legislativo o rd in ario , p…</t>
  </si>
  <si>
    <t>…en esta cor­ genio; y sin embargo nuestro corazón ha sentido; ha sido afec­ t e , que la tiene en el piso bajo de la territorial, por ante el es­ tado de un modo trág ico , y hubiera deseado muchas veces la cribano del número D. José M aría González de Castro. TEATROS. suspensión de impresiones tan tristes y profundas. Una vez toma una muger de la roauo de su esposo un po­ P RIN CIPE. A las ochó y inedia de la noche. íno que contiene un veneno, pero es para salvar su honor y su v i r t u d , si son amenazados por un hombre…</t>
  </si>
  <si>
    <t>…urdelle ni el Crotoy, del D espacho de M arina, C om ercio y G o b ern ac ió n de U l­ un cabecilla , y también la de R edondo, dos muías, una burra y ha llegado á Saint Yalery á medio d i a , siendo recibido á su tra m a r D. José P rim o de Rivera. T endréislo e n te n d id o , y y cuatro armas de fuego. llegada por el prefecto de la Somme, el subprefecto de Abbe- dispon dréis lo co nven iente á su cum plim iento. = Está r u ­ Y finalmente, que se han presentado á indulto varios fac­ ville, el corregidor de Saint Yale…</t>
  </si>
  <si>
    <t>…¿qué diremos de sus habitudes? Guando se tra­ Una mina plomiza, cerro del Calar, término de Huejar, vena de hierro, denunciadas por D. Diego Cabello. ta del tiburón , ¿se deberá insultar á otro pez comparán­ Abencerrajes, por D. José Q uintero, en l.°de Julio. Una en el sitio de íniestra, término del lugar de Liaño, , Otra id., sierra Alm agrera, término de P u lp iS a n tís im a lindante por el Sur con monte de los pueblos de Pám anes, P e- dolo con aquel feroz y bestial viviente de las aguas ? Cuan­ T rin id ad , por D.…</t>
  </si>
  <si>
    <t>…ab- efectiva la contribución extraordinaria de guerra. peticionarias. sueíto por la audiencia territorial. 225. Doña Francisca de Paulá P an iagua, viuda del coro­ 261. D. Juan José R uiz, solicitaodoque en considerador 182. D. José G ram as, en solicitud de que se tengan pre­ nel D. Ju an Dooiez, en solicitud á pensión. á sus sacrificios por la causa de la libertad , se recomiende a sentes á la discusión del arreglo de la deuda interior unos cré­ 224* D. Antonio Bresca y sobrinos, presos ea el castillo de Gobierno la col…</t>
  </si>
  <si>
    <t>…de Actas ha vuelto á examinar las de la pro- ¡ lección á los Sres. Seijas y Henry. {S. S. leyó sucesivamente Constitución , no le correspondía mas de escala , que ser mi­ viucia de M álaga, con motivo de la* gestión hecha por D. José un ligero extracto de los discursos pronunciados por cada nistro de la audiencia de Madrid , y entonces tuve el honor de la Peña A g u ay o , solicitando ser admitido en el Congreso uno de los seis Sres. Diputados citados , y continuó:) Pues de decir que si se formara aqui una escala para la m…</t>
  </si>
  <si>
    <t>…stado piedra^, fue inútil esta defensa, pues hasta que lograron su ob­ D iaz, herido. mayor general del ejército del Centro, Senador del reino y se­ jeto* y no tuvieron delante enemigos á quien combatir , pro- El subteniente D. José G a n d u l, idem. gundo cabo interino de la capitanía géneral de los reinos dé mi adiando estos su retirada hacia Armillas, no detuvieron es­ Primer batallón, 4.0 ligero.=El teniente D. Mariano G ar­ Valencia y M urcia, &amp;c. &amp;c. lías fuerzas su marcha imponente é incapaz de describirla cum ­…</t>
  </si>
  <si>
    <t>…a reemplazado A rro yo , y parece que Un vale de 100 ps., núm. 129574, de 1.° de Enero de 1824, n i, por la Sra. Lombía y coristas; con decoración y trajes. de su orden han sido llamados á Balmaseda muchos operarios á favor de D. José M ariscal, y endosado al referido Saioz. 5.° Cavatina de la ópera L ’ESULE DI R O M A , por el se­ ñor Unanue ; con decoración y trajes. 4 de los pueblos inmediatos que se ocupan en aum entar las obras Otro id. de Setiembre de igual suma con el mismo endoso, de fortificación, y ha mandado al…</t>
  </si>
  <si>
    <t>…ra en satisfacer á este sobre el contenido dar acreditado en calidad de encargado de negocios á la sa­ V uestra co m isió n , fácilmente determinada á ello en vista de la nota de! co ntra-alm iran te Baudin d irig id a al general José lida del conde Pozzo di Borgo, que está á punto de retirarse de del fin á que se d ir ig e el proyecto de ley , ha creído que aun ü r r e a , y publicada en los diarios de esta capital. El lenguaje los negocios diplomáticos, en c u y a carrera ha permanecido cerca debia ir mas le jo s , y que e…</t>
  </si>
  <si>
    <t>…ic atu ra , de igual tres piezas gruesas en batería. La inteligencia y el celo del bri­ I cieron aquellas moles hasta los cimientos, quedando yo satisfe- clase en la de Valladolid , á D. Fernando Galarza , que lo es de gadier D. José P a u lin , y los esfuerzos, buena voluntad y ejem­ í cho de la buena dirección é inteligencia desplegada por el co - A lc añ ice s, de la misma dase en la provincia de Zamora : para plo de los oficiales de a r tille r ía , allanaron todos los obstáculos ¡ ronel comandante general interino de i…</t>
  </si>
  <si>
    <t>…segunda lectura de la enmienda que ay er inserta­ á prepararse á c o m b a t ir , y que esto no lo pudo c o n s e g u ir, por­ vincias , y da al Gobierno lo que no necesita. Lastima ademas mos suscrita por los Sres. Calatrava (D. José M aría), Sancho, que no encontró elem entos, y que sus generales y oficiales le la prerogativa , y no es por lo tanto admisible su enmienda. R o d a , López , Olózaga , C ortina y Caballero. dieron hecho el c o n t r a t o ; es decir , que sus oficiales y genera­ El Sr. M E N D IZ A R A L : Me…</t>
  </si>
  <si>
    <t>…la E spaña, y impedir en lo posible los excesos que se cometen en la España. que acrece una funesta alternativa de atentados contra la h u ­ En conclusión el medio de una conferencia no es actualmente ral de a d u a n a s, á D. José C anga A rguelles para p resi­ m anidad, es nuestro sentimiento cada vez mas amargo. Dolo­ ú til: algún dia será tal vez esta necesaria, pero hoy no conci­ dente; a D. José María P a n d o , por el cuerpo diplom ático; roso es pensar que aun no puede vislumbrarse la época en que bo su utilidad…</t>
  </si>
  <si>
    <t>…procuradores D ecla r a ció n . En la c iudad de Salam anca á 2 4 de Enero síndicos del a y u n ta m ie n to constitucional de esta m u y heroica de 1 8 5 9 , reunidos los señores jueces de hecho que suscriben , y v illa ; y D. José H ig ín io A r c h e , contador general de la caja después de habérseles recibido por el Sr. alcalde constitucional Hallándose comprendidas en el presupuesto del mi­ nacioual de A m o r tiz a c ió n , vocal secretario ; y colocada en el de ¡a m ism a el juramento que la ley previene , y dejad…</t>
  </si>
  <si>
    <t>…que gusten adqui­ por los bravos que lidiaron, siglo xvi. Por W . Robertson; nueva traducción necha con to­ r ir la , podrán hacerlo á principios de la semana próxima, en ]ay! díles: 7allá quedaron] do esmero y exactitud por D. José M aría Gutierres de la Peña: las librerías de Sojo, calle de Carretas, frente al Correo, y de 7No espereis, que no vendrán! edición adornada con láminas. Brun, calle M ayo r, frente á las Covachuelas, donde se hallará ¡Quiere pintar un esposo ofendido, en consejo con su de venta á 4 rs. Pros…</t>
  </si>
  <si>
    <t>…Nalda con la primera columna y 54 caballos á las órdenes de clase D. Manuel Ipola ; el teniente de infantería ayudante del siglos, diversas creencias, revoluciones m uy su capitán D. Pedro Guerra Santoya. provincial de Ecija D. José M artínez, y los individuos de tro­ importantes ha experimentado la sociedad desde el siglo Que á poco rato de haberse separado las dos últimas colum­ pa que á continuación se expresan. de Homero: pero su obra ha sido constantemente la ad­ nas, se presentó uno á caballo en el camino real diri…</t>
  </si>
  <si>
    <t>…poyos del M adroñico, término de C u i s , San O tra id. en sitio de la C hanata, término de Bentarique, O tra id. en loma de la Fuente, término de Almería, Des­ J u d a s , por D. Trinidad A m at Tortosa , en 9. Fábrica , por D. José R o s , en 8. confianza, por D. Sebastian Perez Villar Vidaurreta, en 25. Otra id. en el cerro de la Cuchara , frente de la cuesta del O tra id. en sierra de G ado r, hoya de Capaliran , término O tra id. en sierra de G ador, cerro de Zarzo, término de F raile, término de H uercal, Jamón (a) N…</t>
  </si>
  <si>
    <t>…l romper el dia siguien­ Otra id ., cerro de la C uch ara, cuesta del F ra ile , término juicio que h aya lugar. te se dirigió á practicar un reconocimiento sobre Tales. La co­ de Huercal , nuestra Señora de los Remedios , por D. José A r­ lumna de cazadores de la división Aspiroz apoyada con un ba­ nés, en 9 de Marzo de id. - tallón desalojó de las alturas de la izquierda á tres batallones Otra id ., cerro V ertiente, barranco de Puerca , térmioo de enemigos. Satisfecho su objeto y elegidas las posiciones que H uercal, V ir…</t>
  </si>
  <si>
    <t>…sa. La llegada de S. M. á la Cámara ha sido anunciada por una salva Real que Llobregat por el molino Casteller. El comandaute de armas de segundo cabo para los mismos fines. ha hecho la artillería de Cofton-yard. Balsareny, D. José C am prubi, con noticia del movimiento, y Y en cumplimiento á lo prevenido por dicho Sr. coman­ siempre ansioso de gloria, me salid al encuentro con una parti­ dante general tengo el honor de trascribirlo á V. E. para los lord Elgran lord Canciller, lord M elbourne, el gran M ariscal, el Cham…</t>
  </si>
  <si>
    <t>…a­ Clase de m ú ú ca-p ian o .= :D . M an uel S e r r a , D. Federico P i ­ estas deben ser casi inperceptibles y de tal delicadeza, que solo se bor á D av id Teniers y á Y a n -H o s ta d e . Todos son preciosos, z a r r o , D. José C a s i, D. Felipe V a rg as y D . R odrigo Vargas. distingan co?nparándolas unas con o tr a s , por hallarse todas su­ coa especialidad la vista del rio Manzanares por la parte de la Clase de dibujo.z=D. Federico P iz a r r o , D. R odrigo V argas, jetas á la idea de un solo tono , en cualqu…</t>
  </si>
  <si>
    <t>…r­ do; D. M anuel M aría Itu rria , coronel gradtfádo; í&gt;. M arianc to. Se ofrecen á cada uno 500 francos para los gastos del viaje. gel Í 4 J 8 1 , en O ran 4694 , en Boaa l i d ) , el) Bugía 3Q l, é» Fernandez, c a p itán ; D. José M aría Castañares y Lic.* D . M i­ M ostaganem 246 . guel L azo ,cou objeto de proporcionar un térm ino á las disen­ siones civiles; facultados los dos primeros por el Sr. general Don tín periódicó dé la tnañáná insérfa la noticia sígüienté , de M ariano A rista, y los segundos por el com anda…</t>
  </si>
  <si>
    <t>…!«s existen­ Por Logroño : Sr. Olo'zaga. de escritores verdaderamente sabios en la materia , ensayaré de cias de caballos y yeguas, remitidos por las justicias y subdelega­ Por M ad rid: Sres. Arguelles, Cantero, Calatrava (D. José), presentar á los gefes de caballería españoles y los oficiales dos de los pueblos, que tengo á la vEta , y han obrado Je oficio Olózsga y Mendizabal. del arma y á los aficionados algunas de las razones que en en mi poder con documentos auténticos, s-or ellos aparece quee u Por Málaga : Sres.…</t>
  </si>
  <si>
    <t>…a l d e ed u ca ció n f í s i c a , m o ra l é intelectual. Los tra d u c to ­ in fin ita de pasiones y de intereses ag ita d o re s del corazón del es lo m ism o , en que tiene co n cie n cia de su acción intelectual. res son D. José H ernán dez y D . Jo sé L a h u le , am bos in d iv i­ hom bre. Pero p ara tener c o n c ie n c ia , es preciso qu e analice y distinga duos de la sociedad económ ica de V a le n c ia , á la que hace m u ­ El in s titu to por sh o ra está colocado en u n a casa p a rtic u la r los objetos y las…</t>
  </si>
  <si>
    <t>…uellan cargadas sus ramas individuo de la junta de bienes nacionales; D. Maauel ViHota. del sentimiento religioso, que solo empieza á desenvolverse cuan­ del sabroso fruto ? y D. José Cano Saioz, de! consorcio de esta corte, y D. José do la dependencia sucesiva de su nodriza , de sus padres y de Mas «i ostenta naturaleza sus escenas sublimes: si el rayo Higioio Arche , contador general de fa caja nacional de Amor­ los demas hom bres, le obliga á reconocer un Ser independiente rompe el teño á la nube, ó el mar embravecido pu…</t>
  </si>
  <si>
    <t>…rno, manzana 525; A las siete y media de la noche. Se dará principio NUMEROS. PREMIOS. ADMINISTRACIONES. que tiene de sitio 1,748 pies cuadrados superficiales, tasada por el arquitecto de la academia nacional de San Fernando D. José con una sinfonía , y en seguida se volverá á poner en escena 1 8 .4 3 7 .... 8000 ps. f s . . Valencia. Antonio Perez én la cantidad de 11,432 rs., de la cual se han el interesante y acreditado drama en cinco actos, que tantos 2 1 .9 2 1 .... 2 0 0 0 ....... Cádiz. de rebajar las cargas qué s…</t>
  </si>
  <si>
    <t>…T en d réislo e n te n d id o , y d isp o n d réis lo n ecesario á su al Nacional Dámaso Alonso. cu m p liffiien to .= E stá ru b ric a d o de la R eal m ano.==En P a ­ ACTAS DEL GOBIERNO. lacio á 29 de E n ero de 1835.==Á D. José M aría Moscoso S. M. , en consecuencia de este parte , ha resuelto se den las ■------ ' ~ ~ ■■■ TP d e A ltam ira. gracias á todos los que asistieron á este encuentro, y que se propongan las gracias que sean de justicia para recompensar el M IN IST E R IO DE HAC IEN D A. m érito de los que ma…</t>
  </si>
  <si>
    <t>…ona de quien ciones; y cuidado, señores, nótese, elecciones que dieron por re­ vincias los Sres. siguientes: se trate. sultado el que algunos que han pedido la palabra en contra Castellón de la Plana: Sres. Sancho, Calatrava (D. José), El señoreo cuestión se encuentra de regente en una audien­ como yo, se sentaran en estos escaños, y entonces solo se pre­ y Tem prado. cia. La ley dice expresamente: "Que los regentes no podrán sentó el comisionado del distrito de Pamplona; todos los demas Córdoba: Sres. Estrada y Ramírez de…</t>
  </si>
  <si>
    <t>…as las perso­ Gaceta de esta corte de 22 de Junio, y en el Boletín oficial de BOLSA DE M A D R ID . nas que se croan con derecho á los bieues quedados por falleci­ Toledo de 4 ¿te Octubre del mismo año. miento del presbítero D. José T oral, cura ecónomo que fue de Una tierra denominada de M alvar, sita en el término de Cotización dél día 8 d las tres de la tardé, la villa de la casa de Uceda , para que en el término de 50 dias, la Puebla de N adados, partido judicial de Navalmoral de la que principiarán á contarse desde…</t>
  </si>
  <si>
    <t>…i, se cita y emplaza á I Hoy se ha recibido del presidente general en gefe del ejér­ los acreedores .P .. José Francisco y D, Ju a n Fxaocisco G arm en- 1 cito de operaciones' cópiá áel parte que el^sub gefe de estado día y D. José M aría Y erg a ra , para que en el térm ino de cuatro I mayor coronel C. José Antonio Carvallo dirigió al mismo ge­ é B 0 R el juzgado de primera instancia que desempeña en esta meses contadqf desde el día en que por última vez se repita este 11 neral sobre tos resultados qué eii él pueblo déC…</t>
  </si>
  <si>
    <t>…ue con ellos se observe. una plaza de ministró de la audiencia de Cáceres, vacante pGr vencer las dificultades que debían presentarse en los primeros Que la deserción ha consistido en el poco tacto que ha h a­ fallecimiento de D. José M aría Sancho , á D. Pedro A yuso y momentos, y reanimar el espíritu de los confinados, que se bido para la elección de cabos de vara y capataces nombrados L a r r a g o i t i , magistrado electo de la de C a n a r ia s , con la a n ti­ hallaba m u y abatido por el recuerdo de las privaciones y…</t>
  </si>
  <si>
    <t>…. cuatro arcos fuertes, cuyo peso está soportado por cuatro p i­ cia de Cáceres, juez de primera instancia en esta corte, refren­ lares macizos, teniendo ademas por los lados del Norte y Su r dado por el escribano del número D. José M a ría González de PRIN CIPE. A las ocho de la noche. Se volverá á po­ cuatro columnas de granito. La planta del edificio es la forma de Castro, en cuyo juzgado y escribanía se halla radicado el in ­ ner en escena el drama o riginal en cinco actos, de D. Antonio una cruz griega , que es c ua…</t>
  </si>
  <si>
    <t>…esentación déla proposición que se.discute. » hoy ha eotrado en esta plaza D. Epifanio Carrion con el es­ leída y aprobada. Las actas de Huesca ofrecen aun mas dificultades para s a cuadrón de su mando , acompañado del coronel D. José M aría Se leyó por el Sr¿ Guillen y Roda un oficio del Sr, Secre­ aprobación que las que ha preseotado.la comisión. De ellas re— j Vasallo y de la fuerza que habia puesto á sus órdenes para tario del Despacho de Estado, acompañando el convenio cele­ sulta que el intendente de la provincia ha he…</t>
  </si>
  <si>
    <t>…el Otra i d ., sierra de G a d o r, Valsa Nueva , término de Ber- atrevemos á llamat^ingeníhs. Y sí1d os dños 'haií pásádó nékle Arbol, sobre reforma de los artículos 57 y 58 de la ley electoral. ja , Sto. Cristo liberal, por D. José C riado, en 16. entonces, si la experiencia y el tiem po^Hfñ mSfHficifdjOrúes- Apoyada por su autor, se tomó en consideración, y pasó á Otra i d . , collado del ag u a, término de Berja, Sto. Cristo pues la índole y las creencias del hom bre, l,a poptextura del la comisión especial nombrada p…</t>
  </si>
  <si>
    <t>…oche se ejecutó por primera vez el drama titulado Dona Reunida en la plaza de la Constitución á las once de la raa- do frecuentes risas; porque ía parte mas numerosa y meuos Estela , ó la Muger constante , nueva producción de D. José I1I quema ñaña de este dia la junta nombrada por S. M. para presidir la ilustrada de los espectadores ha visto situaciones graciosas y María Fernandez. Esta composición es de un mérito correspon­ de documentos de la deuda pública, con arreglo al Real bien desenvueltas , y no se ha curado de bu…</t>
  </si>
  <si>
    <t>…tendencias , y subdivi- nio del Castillo , se cita y emplaza á los acreedores que no se Esta obra constará de dos tomos en 8.° dida en partidos, corregimientos, alcaldías mayores, gobiernos hayan presentado en el concurso de D. José F eito, para que lo Se publicará por entregas de 64 p á g in a s,á 5 rs. en Cádiz, políticos y militares , asi realengos corno de órdenes , abadengo verifiquen hasta el dia 20 del corriente en dicho juzgado y es­ I y 5* eíl ^2s provincias. cribanía , ó lleven los documentos de sus créditos al…</t>
  </si>
  <si>
    <t>…doce del diá* inmediatamente traté de indagar el parade­ p rin cip ió , gracias á Dios i mas vale tarde que nunca* Si por precio del té en la bolsa de a y e r , porque la mayor parte de los ro de los facciosos que acaudillaba D. José U rrea, ó si aun per­ desgracia nos sobreviene otro , no tenemos ni bombas, ni cubos, buques ingleses han salido de Cantón en lastre. manecían en la poblaGion, y supe por un sugeto de ella que ni otros útiles para apagarlo. Tampoco sabemos se haya dicta­ acababan de salir con el rumbo para Te…</t>
  </si>
  <si>
    <t>…del gefe político de A rgu e lle s, González R o m ero, Ferraz (D. V a le n tín ), Jiménez, ría del Congreso estaba en este sentido. L a comisión por voto M u rcia acompañando otro del Sr. Sahajosa, Senador nombra­ C alatrava (D. José), y Pascual. del Sr. Sancho dió las razones mas explícitas para la inteligen­ do por la misma , manifestando que una grave enfermedad le Segunda seccion.nSres. Diaz G i l , M o y a y Angeler , Roda, cia de esto; y aprobado el artículo en el sentido que manifestó ha estorbado trasladarse á esta…</t>
  </si>
  <si>
    <t>…R O V ID E N C I A S JU D I C I A L E S . S c a g e m ó Scaw al S 16Q 15 0 , distancia 15 m illas; del pos de Y ergara el 31 de Agosto último. La brillante im aginación del artista ha adivinado aquel acto TT ABIENDO fallecido D. José M artínez V a c a , vecino de la pueblo F redericksh aw al N 16° 1 5 'E , 4 m illa s; del fa­ grandioso, y le ha dado toda su verdad, su propio colorido; * * v illa de Beoavente , en el dia 5 de Jun io del presente año; n a l fondeado sobre el Bajo T rin delen al N 61° 15' O, sus testamentario…</t>
  </si>
  <si>
    <t>…sigu e: crecido número de producciones originales; entre otras las del fraocesa en general. Sin embargo, el éxito que ha obtenido en " S i interrogamos á la historia del m u n d o , la historia del esclarecido y joven poeta D. José Z orrilla , que si bien aproba­ Madrid no desmerece del que obtiene en Paris siempre que se mundo nos dará la misma respuesta ; encontraremos que cuando das há largo tiempo por el comité , no ha permitido la empre­ representa, y su ejecución no ha desmerecido tampoco nada de se ha perfeccionad…</t>
  </si>
  <si>
    <t>…que el R e y no estarí a R E A L D ECRETO. bastantemente á cubierto por una presidencia que no presenta­ NOTICIAS E X T R A N G E R A S. ba los caracteres de una responsabilidad completa ; que era prc- No p erm itie n d o á D. José F e rra z el actual estado de su ciso de s i gn a r un presidente efecti vo; que por lo tocante á él no salud encargarse in terin a m en te del despacho del Ministe­ q u er í a serl o, y que reconocería gustoso como tal al que d e si g ­ FRANCIA. nasen sus colegas. r io de H acienda, como tu…</t>
  </si>
  <si>
    <t>…contados desde la publicación de este anuncio en la Gacela, P E N S A M I E N T O S y apuntes sobre moral y p o lític a, por P a ris, 1 6 - 6 . G ranada, 11 papel d. acudan á deducirle ante el mencionado Sr. juez y escribanía. D. José M a n a de Paudo , M inistro de Estado que fue M á la g a , 1 d. en 1S25. n S a n t a n d e r , \ id. Se venden á 14 rs. en la librería de So jo , calle de las C a r - TAON José Delicado y Z a fr a , caballero con placa de la Real retas. A lic an te , 1 d. S a n t ia g o , á 2 d. y distingu…</t>
  </si>
  <si>
    <t>…s . jóvenes detenidos. La familia Real ha mostrado también sus simpatías hácia este añ o para fallar la causa instruida en averiguación de esta primera institución de la sociedad paternal. los m otivos que tuvo el brigad ier D. José M oreno para T U R Q U IA . m a n d a r pasar por las arm as á Felipe Alcocer sin las form a­ lidades que previene la o rd en an z a, pro n u n ció la sentencia Constantinopia 17 de Julio. sig u ien te: La fragata Arm ida , mandada por Mr. le M arié, capitán Conforme estaba an unciado, el juev…</t>
  </si>
  <si>
    <t>…sobre esta petición. nación los bienes del clero secular. despachos. N o he creído oportuno pasar en silencio esta obser­ El Sr. PRESIDENTE replicó que esta pregunta no podía Se leyó el dictámen sobre la petición núm. 49 de D. José vación , porque hallándome en este lugar no se creyese que no tener lugar, porque ya se habia deliberado. Alexandrowiez, comandante de caballería, emigrado polaco, pi­ cuidaba de las atribuciones del ministerio de la Gobernación. Leido de nuevo el dictámen se decidió que no habia lugar diendo…</t>
  </si>
  <si>
    <t>…. que.se habia descendido, con lo cual solo se conseguiría en su Se suspende esta discusión. opinión perder el tie m p o , pues dia vendrá en que los D ip u ­ El Sr. Oi&gt;CA: Anuncio al Gobierno de S. M . una interpe­ Núm. 8.° D. José M aría de M u e l a , n atural de Jerez de la tados que quieran hacer uoa proposición, conseguirán el que lación. M e dirijo al Sr. ministro de Hacienda. Corre por M a ­ se les informe en esta ó en aquella parte de la administración. Frontera, dice que desde hace 10 meses se ve injustam ente…</t>
  </si>
  <si>
    <t>…ificios referidos, no há lugar á deliberar. de Sangarcía ; D. José Albarran # vecino de esta ciudad, y Don por el Sr. juez de primera instancia del partido al Sr. alcalde Fernando primero constitucional la denuncia hecha por D. José M axi­ derecho losGdos arcía, curador de Doña Emilia su sobrina, sobre primeros á suceder en el vínculo que fundó Do­ Núm . 15. Varios vecinos de Puebla Nueva se dirigen al mino del Castillo, vecino del Ferrol, de parte de un folleto im ­ Congrego manifestando que los facciosos se apoderan d…</t>
  </si>
  <si>
    <t>…Porras, D. Felipe López VadeIdem D. Juan la Ro­ dos cadenas: la goleta O rear, procedente de S. Agustine, varó todas las referencias de donde procede esta noticia los enemigos D. Nicasio González Cabellos, D. Francisco Iñigo, D. José oro, al Sud de Staten Island, pero no tuvo avería en el cargamento: Es­ otro bergantin-goleta, grande, está varado en Great Kiln : el habían sido batidos. cribano y D. Valentín Sigúenza, quienes declararon no.haber bergantín Laurel , viniendo de Lanzarrette en 40 dias con lugar á la formació…</t>
  </si>
  <si>
    <t>…ju n ta general de paña ; por. D. Francisco de Zea Bermudez. conocer al que apreode y le dan el medio de convencerse por sí m ism o, de si retiene ó ha olvidado las reglas mas in teresan ­ •creedores á la testam entaría de D. José E gu izab al, coman­ El cuaderno 1.° contiene lo sig u ie n te : dante de escuadrón que fue de la G uardia Real de cab allería, el te s; y citando luego las páginas donde se h alla la solución que V iaje de M arsella á G oritz —M otivo de m i v iaje.^ T rav esía dia 25 del corriente á las diez…</t>
  </si>
  <si>
    <t>…iento.=L\ubricado de la Real ma- a q u i , pues tal es el asceudiente de la verdad y de la j u s t ic ia , acuerdo con el ilu strado Gobierno á quieu tiene confiada la d i ­ n o.= E n Palacio á 13 de Setiembre de 1 8 3 9 . = A D. José por que lu c h a n los libres en a p o y o del trono de vuestra a u g u s ­ rección del Estado , los inopin ados y faustos acontecim iento, de San Millan. ta H ija . que h a n teuido l u g a r entre los ejércitos beligerantes. N a d ie Regocíjese pues V . M . con la perspectiva de tan h a la g…</t>
  </si>
  <si>
    <t>…rona , ¡áegu 11 la belleza y filosofía de los pensamientos Os hablan de refuerzos de N av arra ; ya veis lo que podéis que encierran costantemente un objeto m o r a l, científico ’ú'eCú- que ha presentado. El S rf de Becquer (D. José) expuso un cu a­ esperar, y lo mismo sucede cou los auxilios extrangeros que es­ nómico ú t i l , y, esta es una tendencia m u y laudable , ^ ú e h á i je dro ’cuyo' asunto es una reunión de gentes en derredor de un peráis como los judíos al Mesías. ’ desear que continúe su plum a expresando…</t>
  </si>
  <si>
    <t>…toria de España. número del crimen D. José López Arias, se cita , llama y em­ actual contrata con D. Pedro Martínez Crespo, por la cual, se Geografía y viajes; la Islandia. plaza por segun do anuncio y termino de seis dias , a D. José halla á su cargo la subsistencia , asistencia y curación de los en­ España pintoresca; descripción de la Batuecas, segundo ar­ Soriano, dueño que parece es de parte de un parador en Fuen- fermos del ejército que ocurren en el hospital militar de esta tículo. carral, mayor de 60 años, capitán il…</t>
  </si>
  <si>
    <t>…eña columna que opera á las órdenes del práctico y activo capitán de francos desde 1.° de Enero de 1827 hasta 3Í de Diciembre de 1838. camino de dicho pueblo i las órdenes &lt;jel capitán de San- D. Gerónimo Yillarrubia. t&gt;igo D. José N avarrete, se encontraron con los dos primeros En la provincia de Palencia han sido capturados los cabe­ Por el licenciado D. M anuel Sánchez de Bustamante , abo­ batallones facciosos; y aunque estos ocuparon ventajosas posi­ cillas José María Pascual, Pablo Foncueva y el conocido por gado de…</t>
  </si>
  <si>
    <t>…p ara las personas que al suscribirse q u ie ra n tener todos sus n ú ­ primera instancia de esta c a p i t a l , y escribanía del n ú m e ­ tad de m edicina de P a r is , y de la sociedad m édica de e m u la ­ meros. ro de D. José M a ría de G a r a m e n d i, se cita , llam a y emplaza ción establecida en su seno ; del Real Ateneo de m edicina , del L a favorable acogida con que el público ha recibido la R ev is­ á los que se crean con derecho contra los bienes que quedaron círculo médico ó Academ ia de m e d ic in a ,…</t>
  </si>
  <si>
    <t>…ión del hijo. Fue en efecto muy esmerada, y la confiaron c i n a / ó en la ju n ta de protección del Real museo de Cien­ ción verdaderamente cristiana y una alma buena que le sucesivamente a íos dos sabios y virtuosos varones D. José cias naturales. cupo en suerte , valiéndome de las expresiones de los li­ H uebra y D. Antonio A h u m a d a , que han dejado eterno Aqui seria el lugar de en trar en el examen de sus ta­ bros sagrados, dieron el resultado que debia esperarse, y los cabildos catedrales de Salamanca y de reas…</t>
  </si>
  <si>
    <t>…se entregarán en el acto á las en vista del impreso y denuncia hecha por D. Maximino Cas­ Por providencia del Sr. intendente subdelegado de Rentas personas que presenteu billetes con iguales números. A este fia tillo, hijo de D. José, mayor de *25 años, acerca del publicado de esta provincia, se c ita , llama y emplaza á D. Ramón de se dara con el billete de cada localidad de una sola persona en el Ferrol con el título de "Manifiesto que en defensa de su Prados y D. José Lesea, para que en el térm ino de nueve dias otro que…</t>
  </si>
  <si>
    <t>…erzos para un objeto tan im por­ columna D. Luis Serrano dió muerte á tres facciosos. Y últimamente, que en dos entradas en la sierra verificadas tante para aquella provincia. recientemente por la tercera columna al mando de D. José P á ­ Fuente de Almaraz. ramo se han quemado al enemigo dos campamentos, salvando PARTE RECIBIDO EN LA SECRETARIA DE ESTADO á uua muger que tenían prisionera en uno de ellos, y cogiendo V D EL DESPACHO DE LA GOBERNACION DE LA PEN IN SU LA . Con fecha de ayer he prevenido al ayudante honorar…</t>
  </si>
  <si>
    <t>…cibido que trascurrido sin verificarlo, se dará al expediente el gavilla de faciosos , los que habiendo sido avistados por el sub­ curso que corresponda, y le parará perjuicio. teniente de la compañía de seguridad de Córdoba D. José M a ­ na Paz con nueve individuos de la misma y cuatro caballos en el sitio del Hum illadero, término de M arinolejo, se pusieron J u z g a d o d e p r im er a in stan cia d e L illo, 50 rs. 54 rs. 40 rs. 17 mrs. 58 rs. 10 rs. 18 por en una precipitada fuga asi que lo di visaron , sin p…</t>
  </si>
  <si>
    <t>…e puede llamarse Novísimo , esto es, en el que se halla establecido desde el fallecimiento del se­ Otras usa de construcciones enteramente desconocidas á ñor D. Fernando vn hasta el dia, época en que se han hecho Poesías de D. José Z o rrilla , tomos ir y r. M adrid \ 1339. nuestros verbos, como tantas y tan importantes reformasen todo el sistema de nuestra legislación. Era pues, no solo conveniente sino necesario reunir Déjese sin fuerza, hidalgo, en un volumen todas aquellas disposiciones legales novísimas que Es imp…</t>
  </si>
  <si>
    <t>…secreto, de Setiembre de una á dos de la tarde en la sala de juntas de la razou que habia tenido para haberse conducido asi en la misma , donde se adjudicará en el mejor postor. Arte de escribir por reglas y sin muestras, por D. José aquel jurado. El hombre respondió , que él tenia muy Anduaga; segunda edición, aumentada con varias notas, y he­ buena razón para haber obrado de aquella manera, y que cha de orden superior en el año de 1795. Esta obra , cuya u ti­ no se. avergonzaría de confesarla á su señoría, si le pro­ lida…</t>
  </si>
  <si>
    <t>…es de júbilo. la ley debían componer el ju rad o , y prévias las formalidades CA D A C U A L CON SU RAZON . Los balcones aparecieron de improviso cubiertos de ricas colga­ que la misma previene, tocó á los sugetos siguientes: D. José d u ras, las campanas se echaron á vuelo, en las plazas y paseos Cecilio Scgues, D. Santiago Izquierdo, D. Francisco Cano, Si para dar al público una idea de esta composición se dejara públicos se formaban bailes á estilo del p ais, corriéronse novi­ D. Basilio Carranza , D. José Ramón E g u…</t>
  </si>
  <si>
    <t>…eneo de Madrid en los dias 20 de Junio y 4 y 18 de 6.° E L N O V IO SIN N O V I A , tonadilla á tres, de las mas á las tropas inglesas que se dirigían á las Indias. Mas pruden­ Julio de 1859 por el presidente de dicha sección D. José M a­ acreditadas; por la Sra. A ndujar y los. Sres. Aguirre y Galan. 7.° Sinfonía patriótica, del maestro D. Ramón Carnicer. te que M a h a m u t, que consintió en que los rusos desembarca­ riano Vallejo, anotada y adicionada: 8.° La Jota aragonesa , baile nacional ejecutado por las se- sen…</t>
  </si>
  <si>
    <t>…cargar y hacer fuego , según oficio que L a tercera sesión del Parlam ento de la R eina Y icto ria se ha ción de ju s tic ia , son dos objetos de la m ayor im portancia para tengo en mi poder del cap itán del prim er falucho D. José B a­ abierto hoy con el ceremonial acostumbrado por su graciosa M . el bienestar de la sociedad : no dudo que no perderéis momen­ gues , cuyo bergantín apresado fue conducido á los A lfaques y en persona. to en dedicaros al exámen de las medidas que os serán propues­ en seguida conducido a' Bar…</t>
  </si>
  <si>
    <t>…a enseñanza, ahorrando tiempo y trabajo A ta Paquete^ primera de Cádiz , alias La Rosa , su capi­ al maestro y á los discípulos. 6.° El acto tercero de la ópera I Capuleti e d i M ontechiy tán el teniente de navio de la armada D. José V illa lb a , dará del maestro B e llin i; por las Sras. V illó , Lombía y coristas, coa Este método, para cuya formación ha tenido presente el decoración y trajes. la vela del puerto de Cádiz del 10 al 15 de Setiembre próximo. autor la doctrina de los autores que mas se han distinguido en Es…</t>
  </si>
  <si>
    <t>…91 pies cuadrados superficiales, tasa­ todas las pasiones r u in e s y re n c o ro s a s , todos nuestros d e ­ sus destinos. C alatayu d Octubre 7 de 1859=: José Fernandez de da por el arquitecto de la academia de S. Fernando D. José seos justos, todas n u estras esp eranzas le gítim as. Heredia , presidente.—J u a n Francisco M ochales, secretario. Alejandro y Alvarez en la cantidad de 9 0,74 0 rs. v n . , de cu­ Y esto es lo q u e á cada paso se nota en el lib ro de los y a cantidad se han de rebajar las cargas que sobre…</t>
  </si>
  <si>
    <t>…l consejo de Estado, de los ministerios y direcciones ge­ res órdenes del Gobierno. notables sumamente necesario para, metodizar el estudio de la nerales; un prontuario de la legislación adm inistrativa vigente historia , por D. José M aría Gutiérrez de la Peña; y un escri­ por orden de materias y cronológico; una lista bibliográfica, y to clásico del Sr. conde de Floridablanca á D. Cárlos m , que un índice muy circunstanciado de materias. Dominicas, ferias y fiestas movibles del año cristiano de contiene lo acaecido dura…</t>
  </si>
  <si>
    <t>…s villas del Ñor - ejército; y este al grito eléctrico de su ilustre general, sabrá ani­ te. De resultas de esta ocurrencia el referido D. Pedro Lemut quilar á los enemigos del Estado. Dígnese Y. M. escuchar los y su hermano D. José marcharon para Béjar con unos 40 humildes acentos de estos capitulares de acuerdo unánime con hombres que los siguieron, quedando con el mando de lés S. M. la Reina Gobernadora ha oido con especial agra­ los pueblos y vecinos. fuerzas en Monclova el ex-capitan dél primer batallón del pri­ do…</t>
  </si>
  <si>
    <t>…entes á la primera designada en el ar­ L del expediente formado para la provisión de la escribanía Tam bién debe tener entendido que sus a c to s,c o m o e m p lea­ tículo 4.° de C á m a r a , vacante en ella por defunción de D. José M a r ía do y como director general de c a m in o s, están sujetos á la p u ­ Art. 7.° La otra mitad, de que también habla el ar­ Monedero y A y a l a , ha declarado finado el término de 4 0 dias blica cen sura, y mas en particular á la de los ind ivid u o s del tículo 5.° y se ha de pagar e…</t>
  </si>
  <si>
    <t>…Esta com binación Títulos al portador del 5 por 100, 20J y 2 0 f con cupones mayor presidente, D. Ramón R odrigo, D. José Gómez, D on al contado: 20¿ , once dieziseisavos, quince treintaidosavos, Javier N olibós, presbítero, D. José M arco, D. Manuel Sanz, bastaba para form ar un drama excelen te, y no era nece­ trece dieziseisavos, nueve dieziseisavos, f- , quince dieziseisavos D . Ignacio Lobez, D . Roque Sánchez del Cacho, sorteados con­ sario añadir la novela, á la verdad muy im pertinente, de y 2 0 f á v. f. vo). y…</t>
  </si>
  <si>
    <t>…bre 18 de l8 59 .~ E v aristo El capitán general de C astilla la N ueva con fecha 16 del planes y esperaozas de poner térm ino á la guerra. Perez de Castro.—Lorenzo A rrazola.—Francisco Narvaez.zzJosé stual dice que el alférez D. José Y alen zu ela, con andante del C oncurrían en fin otras causas seguram ente g r a v e s , y que de San M illa n .—Saturnino Calderón C oilantes.^M anuel Montes anton de T aran co n , habiendo sabido por el alcalde de Santa fueron expuestas á V . M ., y el Gobieruo hubo de acónsejar á iruz de l…</t>
  </si>
  <si>
    <t>…el publicarla , y quisimos reunir mas datos; pero corno y el 19 deTigeros, y el hoy tenemos a la vista cartas del cuartel general, que también 18 gefes y oficiales que le acompañaban, incluso su hermano 58 y 66 de línea. .; D. José, han quedado prisioneros, habiéndoles cogido cinco hablan de lo m ism o, la publicamos para satisfacción de nues­ La tercera compañía del tren de equipajes militares que es­ tros lectores.</t>
  </si>
  <si>
    <t>…Beruete , D. José Crozat, D. Antonio del Alcázar, mi interino mando. Barcelona 2 9 de Noviembre de 1859.= José pronto no podíamos resolvernos á dar crédito á los rumores p ú ­ D. M anuel N ieto, D. Andrés A qu il y O’Conell, D. José M a ­ M aría de Gispert. blicos que corrían sobre este acontecimiento: reflexionábamos en ría Secades , D. Felipe Canga A rguelles, D. Manuel Sierra y la gran distancia de los lugares y en la dificultad suma que D. R a m e a González, responsables de dicho im p reso : y á su experimentan nue…</t>
  </si>
  <si>
    <t>…cia de Soria , para que acudan á deducirle en el término de 1.° D. Federico V ito ria de Lecea. verdaderamente españoles, que los mas (si no todos por desgra­ 50 dias en el juzgado de primera instancia de esta capital al 2*° D. José M aría de Gortázar. cia) de los que en este suelo combatieron tanto nuestra regene­ cargo del Sr. D. M iguel de D uran y escribanía vacante de A n - 5.° D. Diego de M u g a r te g u i. ración política, h ayan cedido y venido á abrazarla, presentan­ toñana ; apercibidos que en su defecto les pa…</t>
  </si>
  <si>
    <t>…cción un cargo, que yo no quiero hacerle , pero creo sí qúe E 1 juez de primera instancia en esta capital, por providen­ las contratas en que se imponen derechos y obligaciones por las cia refrendada del escribano del núm ero D. José M aría Gonzá­medio de las cuales puede ser perjudicado ó beneficiado el E sta­ larlas obras están bien construidas porque sirven , y si no lo están, la inm ediata responsabilidad recae sobre el encargado de vigi­ lez de C astro, se ha servido señalar para el remate de las fincas d o , son de…</t>
  </si>
  <si>
    <t>…gieron los cuatro sobresalientes en todos trarse en las calles de Roma los augures se mirasen sin son­ reírse. nen á los elementos constitutivos de toda sociedad bien orde­ ellos, que lo fueron D. A gustiu Diaz y O r te g a , D. José M a ­ nada ; pues que en ella debe procurarse á toda costa que el po­ ría García , F). Nicolás Azcarate y O. Eulogio Suarez; y fue­ Sobre las ruinas de la república se levantó el trono de los der y el influjo político se depositen en las manos inas dign as ron premiados cada uno con b an d a,…</t>
  </si>
  <si>
    <t>…la fuerza de los mas antes tuviesen efecto. Al otro dia de su llegada dan parte a! previno á los gobernadores civiles que propusiesen los me­ hielos que tenían 15 pulgadas de espesor. Viéndose obligado Sr. gobernador de esta, D. José T r illo , de como entre los pri­ dios que según las circunstancias particulares de su res­ M r. Bechameil á re tro g rad ar, se d irigió á B altim ore, aunque sioneros se hallaba un desertor de la compañía franca de esta, pectiva provincia fuesen mas á propósito para establecer previo los ob…</t>
  </si>
  <si>
    <t>…de esta provincia. A l le permite sacar de los diferentes sistemas que han ideado los primer aviso acudió el m ayo r, teniente de Rey interino de la políticos mas eminentes y distinguidos. A lm enara 12 d e A bril . plaza D. José M aría Peiron , quien hizo al in feliz, que aun no También nos explica los diferentes puntos que debe abrazar habia espirado, las preguntas ordinarias sin obtener contesta­ Hemos tenido tres dias llu v ia , con un recio v ien to , que no una Constitución p olítica, en cuyas explicaciones no…</t>
  </si>
  <si>
    <t>…ipales acontecimientos ga, magistrado honorario y juez de primera instancia en Invención de los fuegos artificiales. durante el mes anterior, tanto en nuestra patria como en los esta corte, refrendada del escribano del número D. José M a­ siglosModo xvi de elegir en Rusia las mugeres de los Czares por los y xvii. paises extrangeros. Pero no se espere ver en ella una polémica ría González de Castro, se cita, llama y emplaza por tercera y animada ni una apasionada censura; un juicio iuiparcial y con­ última vez á D. Juan…</t>
  </si>
  <si>
    <t>…ración Perú-Boliviana: y careciendo de espacio para la in ­ cas D. José Mariano Magdalena: para la de Navahermosa serción total de dichos documentos, nos limitamos á publicar el D . Pedro Francisco A ram buru: para la de Lorca D. José C a - siguiente por parecemos el mas sustancial. n o v a ; y para la de Valdepeñas D. José María Córdoba. Discurso que pronunció S. E . el general Juan José Florez República peruana.—General en gefe del ejército nacional.= en el seno del Congreso al posesionarse de la presiden­ Cuartel general…</t>
  </si>
  <si>
    <t>…resultado muertos dos cerca del Quintanar , cogiendo 12 sin pérdida alguna de su parte, cogió nueve fusiles , siete dores mas ó tríenos felices. El Sethos es una rapsodia insu­ sus armas y caballos, por la fuerza del teniente D. José V al- bayonetas, nueve cartucheras y otros efectos. S. E. recomienda frib le : ¿os v ia jes d e A n tcnor y el F il o c l e s pintan con m u­ buena, del escuadrón ligero de M ad rid , el 1 5 , Antonio Ro­ á S. M. este hecho y al oficial que lo dirigió. cha n atu ralid ad las costumbres griegas…</t>
  </si>
  <si>
    <t>…nta ah o ­ la dirección de la caja nacional de A m ortización por ausencia por térm ino de 50 d i a s , contados desde la publicación de eAe ra al Senado con la esperanza de que merecerá su aprobación. del p ro p ie ta rio ; D. José V id a l , pro curador síndico del a y u n ­ a n un cio en la G aceta, un a c a s a , sita en Jerez de la Frontera y tam ien to constitucional de esta M. H. V . ; D. J o a q u ín de F a - su calle del S o l , núm. 7 7 6 , tasada en 7 de Diciembre de 1857 P ro y ecto d e mensaje. g o a g a , c…</t>
  </si>
  <si>
    <t>…rasladaran oe tio en que se hallaba la isla g ad itan a, lo cual se habia publi­ FR A N C IA . los periódicos alemanes. cado en Cádiz por medio del siguiente bando: V iena 3 d e Junio. El 22 de M ayo llegó aqui el correo de D. José C arratalá , teniente general de los ejércitos nacio­ Varis 12 d e Ju n io. Constantiaopla: muchas casas han recibido cartas en que dicen nales y capitán general de Andalucía &amp;c. &amp;c. =Hago saber: que que Hafiz-bajá habia pasado con su ejército el Eufrates, sin 5. M la Reina Gobernadora se ha…</t>
  </si>
  <si>
    <t>…son los siguientes: los herederos de D. Pedro R uiz lo nos explicó el universo desierto y vacío, hízonos por un por consiguiente im posible, degeneró com o era de pensar y R o jo , vecino que fue de Vailecas, por 41500 rs.: D. José momento huérfanos en la tierra, y en vez de derramar en un amaneramiento m on óton o, cu yo correctivo solo po­ sobre nosotros la claridad de la cien cia, clavó en nuestro día encontrarse en la consunción del sistema de escuela , Ildefonso del Barrio, por 42531 rs. y 22 mrs.: D. Manuel Sainz…</t>
  </si>
  <si>
    <t>…rasformaciones, tiene el labio bles , sumamente necesario para metodizar el estudio de la h is­ Hay otras especies cuya atención está contraida enteramen­ inferior á su extremidad un órgano sumamente delgado, pro­ toria , por D. José M aría Gutiérrez de la P eñ a; y un escrito te al cuidado de los huevos y educación de los hijuelos, espe­ bablemente el husillo para h ilar, compuesto de varios tobillos clásico del Sr. conde de Floridablanca á D. Cárlos m , que con­ cialmente aquellas que viven en sociedad. Llegado el período…</t>
  </si>
  <si>
    <t>…de Granada, ju zga d o de Medinaceli ; de entrada en la provinci.. de Soria, prevenía diese cuenta cada quince dias del estado y resul­ y debe tener sin uso almacenados, con el doble objeto de la ma­ vacante por traslación de D. José G enaro Gutiérrez al de Lo ja, tado de la comisión conferida al ingeniero D. Antonio Ar­ yor economía y de no demorar el principio de los referidos á D. Juan Pablo Trigueros que desempeña el de Baltanas. ríete para el reconocim iento de los deterioros del puerto trabajos con toda la extensión…</t>
  </si>
  <si>
    <t>…y Soria en comunicación de 19 del actual da por el que les asista comparezcan con justificación ante dicho parte á este ministerio que noticioso el coronel del regimiento Sr. juez, y por la escribanía de Juzgado al cargo de D. José J p N virtu d de providencia del Sr. D. M anuel L uceño, juez caballería de Borbon, D. Ricardo Schely, de que el cabecilla González, por el térm ino de 50 dias improrogables, contados de primera instancia de esta II. villa , refrendada del Balmaseda se hallaba en O ntoria de V alde-arados, con…</t>
  </si>
  <si>
    <t>…tos, órdenes y circulares dei te á S. Felipe el Real. Gobierno y de las direcciones generales. T&gt;OR providencia del Sr. D. M igue! M aría D uran , juez de primera instancia de esta c a p ita l, y escribanía del n ú ­ mero de D. José M arí i de Oararnendi , se cita , llama y em­ plaza á todos los que se crean con derecho á reclamar algún cré­ GALERÍA DRAMATICA. TEATROS. dito contra los bienes quedados por fallecimiento de J u a n A l a ­ r io , vecino y platero que fue en esta corte, á fin de que acu­ C A D A C U A L CON S…</t>
  </si>
  <si>
    <t>…licia nacional del partido de N avaher­ Se espera en esta ciudad de un momento á otro al m aris­ do, del Gobierno, porque deseaba servir á la dinastía de Ja lio , mosa me dice coa fecho 15 del actual lo que sigues cal de campo D. José O ru s, nombrado comandante general de y pprque no podía dejar de ser sensible aí honor de tener par­ El capitón de la primera compañía de fusileros de este ba­ la provincia de A la v a , y á quien reemplazará áqui el de igual ieren l a dirección de los negocios de mi pais. tallón de mi man do…</t>
  </si>
  <si>
    <t>…l capitán, poco que su elección sea de un modo ó de otro. La Constitución Alfonso Romo.—Primer teniente, Andrés Y elez Ouevedo.— determina el modo cómo se han de hacer y por quién se han de Segundo teniente, José Muñoz.—Doctor D. José V Ícente Na^ NOTICIAS NACIONALES. áacer las elecciones, que por cierto es diferente del que se obser­ vas, Piírroco.—D. Juan García , presbítero. = L1 Subteniente va para las diputaciones forales. primero, Baltasar Rodríguez.—Él segundo alférez, Antonio Valencia 15 de Octubre . Adem as, sabi…</t>
  </si>
  <si>
    <t>…el trajes. torrente de Cedrón y el valle de Jo sa fat, desde aquella roca El Prism a de la razón aplicado á la p o lític a , partidos y donde se anuncio Ja ru in a de Je ru sa len , y donde se reuoieron guerra a c tu a l, por D. José O rday de A v e c illa , teniente c a p i­ un d ía los ejércitos de T ito ...., entonces, si cubre una densa tán del batallón de in fan tería de línea 8 .° p ro v isio n al; un to­</t>
  </si>
  <si>
    <t>…icar las villas y castillos de Almenara y C ádiz, \ b. Zaragoza, 2 d. La redacción cuenta con que darán sus trabajos para el O nda, como está realizándose , y la feliz aprehensión de 7900 periódico los Sres. D. Audres L e a l, D. José M aría H u et, Don fusiles, con el bergantín conductor, verificada en los Alfaques Descuento de le tra s, á 6 por 100 al año. Juan Bravo M u rillo , D. Joaquín Francisco Pacheco, D. M a­ de Tortosa, y la correspondencia arrojada al mar por el capitán nuel Perez Hernández y otros. de dicho buque…</t>
  </si>
  <si>
    <t>…sagra­ quien sido sus compañeros apodaban M uñagorri por bromearle, ha víctima de su arrojo. este establecim iento un oficio del capitán del p u e rto de da , desde el principio del mundo hasta la libertad de la igle­ Vigo D. José D onesteve, con inclusión del parte que le sia , gramática castellana hasta la sintaxis , lecciones de caste­ Aseguro á V. que para lo sucesivo ha de costar mucho á llano, ortografía y prosodia , aritmética , calografía, tratado de laquedado hiena de Tortosa comprometer á sus satélites , porqu…</t>
  </si>
  <si>
    <t>…mero de la misma D. J u a n M anuel A g u a d o , se c i t a , llama y so siete individuos leg.ilraente elegidos, p orqu e, como en este de mas valor que los de aquella corporación, pues estos cono­ emplaza á los acreedores de D. José M aría Sán c h ez, boticario caso, se presentó una justificación que tendía á probar que se cen de cerca las propiedades de todos los vecinos de los pueblos que fue de ella , para que al término de nueve d ía s , contados habían cometido algunas violencias ; que aun cuando de los l i ­ y su m…</t>
  </si>
  <si>
    <t>…el ayuntamiento de la villa de Alhendin por mano de Ma­ ue con arreglo á la ley debían componer el jurado; y habiéu* ose realizado con las formalidades que la misma previene, á los sugetos siguientes: D. José López de Silva, D. José con que cada una de ellas debe contribuir para llenar teligencia que trascurrido dicho término sin cumplir coa este La serna, D. José Alvarez Crespo, D. José Sagiista, este servicio, ó encomendar al éxito de un sorteo el seña­ llamamiento, se le conducirá á esta capital en calidad de preso Mo…</t>
  </si>
  <si>
    <t>…m i a n g u s t a Artículo adicional. Los Sres. generales D. M anuel Paredes S an tac ru z , se ha rendido, entregado las fortalezas, y recono­ H ija la R e in a Doña Isabel n , y en c o n fo rm id a d con el y A rrilla g a y D. José U r r e a , animados del deseo mas vehe­ cido al Gobierno nacional. a rt. 15 d e la C o n s t it u c ió n , oido el Consejo d e M inistros mente de que se establezca en la República una paz sólida, y se No se han realizado los pronósticos de algunos que sospe­ h e ten id o á b ien n o m b r a r…</t>
  </si>
  <si>
    <t>….=Señora.=A L. R. P. de Y. M. sión un dictamen de la comisión de Actas, en que proponía la sangre española, asi tendrán término los horrores y los de­ =Rafael López Guerrero.=Andrés Pozo.zzFrancisco Perez.zzEs- fuese admitido D. José M aría R oyo, D iputado electo por Cas­ sastres , y asi en fin la paz, la consoladora paz lucirá en nues­ téban Monge.zzManuel Fernandez Garcia.==Pedro D iaz.=D ie- tellón. # , tro hemisferio con todo el resplandor que le es propio. En tanto go Ortega.=Francisco Castellanos.=Isidro Castellano…</t>
  </si>
  <si>
    <t>…i se a r c h iv a , porque á cada uno en p articular El señalado beneficio con que la Providencia , dando u n su­ le asiste el derecho para fundar una proposición , ea la cual exija norata Y i d a r t , h i j a del brigadier D. José D o m in g o , en que cesor á la corona, nos otorga una dulce prenda de paz y se g u ­ la responsabilidad al Gobierno. A qu i verá el Sr. González Alon­ pedia que en atención á los muchos servicios que prestó su d i ­ n dad , y nos promete en el augusto hijo una reproducción de so cómo ahora m…</t>
  </si>
  <si>
    <t>…aba dicho fuerte rompió el fuego de cañón, el cual fue m e ro de vocales que com ponga el total de las secciones contestado por el nuestro vivo y sostenido, arrojándole algu­ Doña Angela Pia Rubí y Perochena , hija dei capitán D. José, q u e d e reducido al de 12 señalado por mi R eal decreto de nas granadas que causaron un destrozo considerable en el e d i­ Portillo, muerto por las facciones de Tena y Cabañero; á Doña Isabel 1.° de S etiem bre de 183 8; en tendiéndose esto sin e m b a r­ ficio ; y lleno el objeto que el exp…</t>
  </si>
  <si>
    <t>…interno. barón de Ribera de Sabrosa, que por mi decreto de este día ha general. D. Vicente Pont, por idem. .sido nominado M inistro y Secretario de Estado de la G uerra, Por lo que dejamos expuesto se demuestra claramente que D. José E strad a, por idern. y encargado interinamente de las secretarías de Negocios extran­ estamos resueltos á satisfacer los deseos del Sr. Presidente del D. J u a n Azernar , por idern. jeros y de M a r in a , he tenido á bien nombrarle Presidente del Consejo. Aguardaremos los actos de su adminis…</t>
  </si>
  <si>
    <t>…gloria que los rodea y los on­ no de A c u e r d o , y D . Francisco Diaz y los alguaciles porteros me acusa de parcial por quien; mientras tal defecto me im ­ dulantes pliegues del ropage que los ciñe se confundan y de vara D. José P a r e d e s y D. L e a n d r o D i a z . puta * in curre en él precisamente* No siendo esto asi, ¿có­ pierdan estos extrem os, demostrando asi mejor lo aéreo é Acabado el a c t o s o ' e m u e del juramento, el Excmo. Sr. pre­ mo se atrevería asegurar que el objeto de mi articulo , por incor…</t>
  </si>
  <si>
    <t>…apel que ha oe i m p r i ­ dado , signo y firmo el presente en Cádiz á 19 de Agosto, m i r con c uatro p un tas como de alfiler t y luego se hace la i m ­ Londres, á 90 d ias, 58| din. C o ruñ a, 1| á 2 d. de 1859. —Li:enciado D. José M aría N o ble, escribano p ú­ presión, c o n tin uan d o asi todo el tirado. C oncluida esta im presión, blico. P a ris , 16-6 á 5. G ran ad a, t f á 2 id. se pone en la prensa la plancha q u e h a de servir p a ra el color M á la g a , \ id. rojo , por ejemplo , pasando la esponja como a n t…</t>
  </si>
  <si>
    <t>…Europa. ria yo tan exacto en lo que me propouia decir sobre el parti­ Ruego al Sr. Ministro de Estado se sirva manifestar al Con­ cular. greso , en el supuesto de que el Gobierno de S. M. tenga no­ El Sr. C A L A T R A V A (D. José): N o trato, señores, de ticias de esta memoria como creo que no puede dejar de tener­ contestar al discurso del Sr. M inistro de Estado; pero S. S. ha las, si ha tomado alguna medida para desmentir esta calum­ MADRID 26 DE OCTUBRE. hablado de un hecho tan importante que me ha parecido en ni…</t>
  </si>
  <si>
    <t>…e co ntien e vincias; y Y. M. no habrá olvidado cuanto sobre este parti­ 2.° N o se considerará nunca como prisioneros de guerra I m uchas R eales ó rd en es relativas á la ad m in istració n de cular tengo dicho al Secretario D. José A rias Tejeiro para ve­ los no alistados en el ejército, en los cuerpos ó partidas francas nir en conocimiento de quién es el autor de tanto compromiso. y en la Milicia nacional que lo sean al ser cogidos. justicia. Yo debo salvar mi opinión y justificar mi comportamieuto 3.° En consecuencia…</t>
  </si>
  <si>
    <t>…ernán- j negársele, dando parte á este ministerio para la determi­ Ministro de Hacienda lo siguiente: Enterada S. M. la Rei­ da, continúan en esta corte sin novedad en su importante na Gobernadora del expediente promovido por D. José nación que fuere del agrado de S. M., y esto mismo ve­ salud. de Vega , vecino de esa ciudad, manifestando lo3 perjui­ rificará si después de examinado y antes de sentarle la cios que se ocasionan á ese vecindario por no admitirse á plaza, para cuyo acto debe preceder siempre la expedi­ circu…</t>
  </si>
  <si>
    <t>…adonde se d ir ig ir á n las reclamaciones y las cartas fran ­ co Guajardo y los coroneles D. Francisco Alameda , D. Lean­ Inscripciones en el gran libro á 4 por 1 0 0 , 00. cas de porte. dro Quiros, D. M iguel M a u d u i t y D. José R o d ríg u ez : SS. M M. Títulos al portador del 5 por 100. Nota. Con el número siguiente se repartirá á los suscrip­ recorrerán la línea , y concluida esta operación se situarán en Vales Reales no consolidados, 00. tores el segundo tomo de la novela titulada Una con spiración frente de la ins…</t>
  </si>
  <si>
    <t>…pr i me r a i ns t a q c i a . d e S a n t i a g o vacante llas del mundo. No dudamos que todo Burdeos se a p r e s ur a r á ha llevado al patí bul o á M e j í a , y que ha hecho d e r r a m a r la p o r promoción del electo D. José F o v e d a , se ha servido n o m­ a i r a apl audi r N increíble pront i t ud coa que resuelve los pro­ sangre á torrentes , el querer hacerlo por medi o de los t an repe** b r a r S. M . la Pieina Gobernadora á D. An d r é s Hore Ga r cí a , blemas tnas complicados. (Coun lev.) j ue z que fu…</t>
  </si>
  <si>
    <t>…jos todavía de ponerse en práctica, omitiremos de esta pro v in cia, juez de Amortización , se cita , llama y em­ para decir algo sobre la últim a causa indicada de ios n aufra­ plaza á D. Antonio R u b ín , D. Diego Paredes, D. José L a t o r - gios* ' * re y D . 3 uan José de S o m o v ilia , c uyas habitaciones y para­</t>
  </si>
  <si>
    <t>…á la de 1 8 5 7 , se dijo que curso y á la imparcialidad del Congreso. sión que sejup on e del Sr. Zea. Si en efecto hubiera habido esa los jueces de primera instancia procedieran á hacer publicar la El Sr. C A L A T R A V A (D. José): Las equivocaciones que m is ió n , señores, yo , como individuo del, Gabinete , tendría Constitución , y no sé por qué no se mandó á los alcaldes y necesito deshacer son dos; pero para la una seria m u y conve­ que saberlo ; y cuando la hubiera sin que yo lo s u p ie ra , y a no ayuntamient…</t>
  </si>
  <si>
    <t>…mado, las expresiones del Sr. Ministro: referia mas que á los grandes documentos. nester qué se pruebe la raiz, que se pruebe la causa ; y si en no niego por consiguiente, ni puedo oegar á S. S., ese derecho El Sr. CALATRAVA (D. José): Soy incapaz de ponerme efecto resulta que el Gobierno le ha dado esa misión , el Go­ que tiene de explicarles; y ¡ojalá pueda felicitarme de haber nunca en buen lugar á costa de nadie , y mucho menos á costa bierno tiene que pasar por todas las consecuencias; pero lo que promovido esta explic…</t>
  </si>
  <si>
    <t>…han reconocido la ley de 17 de D ram a histórico original en cinco actos, escrito en verso y Abril de 1821, restablecida por el mismo M inistro que esta, E N v irtu d de providencia del Sr. juez de primera instancia prosa por D. José M aría Diaz. Véodense á 8 rs. cada uno en y que por medio de ella , abreviando los trám ites de la justicia, las librerías de Escamilla , calle de Carretas, y de Cuesta, fren­ de esta capital D. Benito Serrano y A liag a, se vende en te á las Covachuelas. han impuesto con la profusión indisp…</t>
  </si>
  <si>
    <t>…os, y causando todos los demás males consiguientes. Siga V . M. abrió las puertas de la patria á muchos de los que alli habia la senda constitucional de que con tanto valor como constancia A consecuencia de una exposición de D. José M aría reunidos, que quebrantó nuestras cadenas, y que franqueó el no se ha separado, y no dude que tendrá el apojo de la in ­ G ran d e , d irecto r del colegio de h um an id ad es de V illa r santuario de las leyes por tautos años cerrado; un Congreso por mensa mayoría de sus pueblos. El ajun…</t>
  </si>
  <si>
    <t>…da de Napoleo» Bonaparte, coa notes sobre sus hechos vincia se cita , llama y emplaza por tercer edicto y término en E spaña, y consecuencias que h a » tenido: un tomito en 8.° de nueve dias á D. Felipe O ehayta y com pañía, D. José R i­ H istoria del rebelde Gome* al interior de E spaña, escrita Z a r a go z a 25 d e J u n io . vera y A ndrade, D. Vicente M artel, D. Lorenzo Garrigós y por su gefe de Estado m ayor para presentarla al Pretendiente Suarez y D. Manuel M aría de la O rden, endosantes que apare­ á su regreso…</t>
  </si>
  <si>
    <t>…osto 1837 , cuyo d o cument o, no geométrico, difiere que se ha de continuar tomando en la albóndiga noticia present ado á la C á m a r a de Di pu t a d o s un g r a n n ú me r o de p e ­ | bastan Le de lo det er mi na do por D. José E v i a r oficial d é l a diaria de todo el grano que se introduzca en esta villa/' ticiones rel at i vas á di cha ref orma , a u n q u e v a r i a n d o en ios me­ I a r ma da , que en 1783 exploró esas costas. Todavía Í0 años adelante, en 1825 , vino al corregi­ dios de veri fi carl a. M r .…</t>
  </si>
  <si>
    <t>…sa­ le á G ishert el carácter de magistrado. Monseñor el arzobispo , se trasladó ai hospicio de e x p ó ú to s , á tisfechas del método que para 1a enseñanza tiene a do ptad o, d ig ­ Igualm ente se ha d ign ado conceder á D. José B a r d a j í , juez cuya puerta se encontraban M M . S arg e t, D u p r a t y W u r t e m - de V ie lla , y á D. Jo a q u ín Sostres, que lo es de Solsona f ia per­ no del m ayor elogio por sus tareas y relevantes prendas de que b e r g , administradores de hospicios; Petanque, secretario de…</t>
  </si>
  <si>
    <t>…er hablado de ella todos los perió­ rado la Constitución. Esto es todo lo que tenia que decir. gundas elecciones de la provincia de León. dicos españoles y extrangeros y de haberse publicado en fran­ El Sr. C A L A T R A V A (D. José M a ría ): Yo no he tratado Se procedió á la órdeo del dia , que era la discusión de la cés y en español: si esto es cierto biea se puede decir que no ni remotameute de poner en duda la verdad de S. S . : su senti­ totalidad del proyecto de contestación al discurso de la corona. hay ministeri…</t>
  </si>
  <si>
    <t>…s q u e do , C a ye ta n o M e a d a , escribano. p rin c ip a les lib rerías. proporcionan sus dos hermosas c ám a ra s alta y baja , hechas á todo coste en L i v e r p o o l ; pueden d ir ig ir s e en C á d iz á su dueño D. José M a r ía V i n i e g r a , en S ev illa á D . Pedro N a u t e t , y e a C E cita , lla m a y emplaza á los que se crean con derecho á /O U R SO elemental de histo ria general de E s p a ñ a , por D. S a - esta corte á D. J u a n de G u a rd a tn in o . los bienes que h a y a n ó puedan haber…</t>
  </si>
  <si>
    <t>…comitiva y sé’quito de los Reyes que se de artillería de marina al mando de los capitanes D. Manuel Escario.=:Señores de los ayuntamientos de esta provincia. verán postrados adorando al N iño Dios recien nacido, á quien Lobo y D. José G u z m a n ; siéndome muy grato publicar que de cuando en cuando tocarán y cantarán villancicos los pas­ uo se les agregó uno solo en los pocos dias que pisaron este Con fecha del 12 se ha circulado por este gobierno político toreólos, cuyos cantos y órgano se oirán también en la iglesia suelo…</t>
  </si>
  <si>
    <t>…otivo se d i­ que con un tercio de su partida y una compañía franca de So­ Orihuela D. Félix Herrero V alv erde, cuyo paradero se ignora, vidió el recinto en uueve partes, y cada uno fue á ocupar el ria al mando de su capitán D. José M anuel de Ribera , tam ­ para que en el término de nueve dias que por tercero y último que le deparó su suerte, quedando en la plaza un reten. A si-: bién en esta ocasión como en otras muchas han acreditado su término se le asignan , se presente en dicho supremo tribunal y mismo dispuse que…</t>
  </si>
  <si>
    <t>…Ulúa , el Excrno. se­ del 1 8 , al propio tiempo que el gefe político y el diputado dé ñor general D. Guadalupe V ic to r ia , comandante general del departamento, y eo gefe de las tropas de operaciones, d ir ig ió provincia D. José A v in o ; y después de convenir que á las seis de la mañana del siguiente dia 19 se hiciese la apertura del ca­ PARTE NO OFICIAL.. á las mismas la siguiente proclama: mino por dos puntos en el término de M o n tilla , prolongando Compañeros de arm as: en cumplimiento del tratado de paz asi la…</t>
  </si>
  <si>
    <t>…primera conocimiento de tales la administración principal de rentas y aduana de Santia­ ministerio de Hacienda se tengan presentes los buenos ser­ causas. go de Cuba, sobre su conducta política durante el sistema vicios que D. José M aría Morote prestó desde el 29 de S. M. espera que los alcaldes y demas á quienes correr- de gobierno planteado en Setiembre de 1839 por el ge­ Setiembre de 1836 hasta que terminó el sistema de gobier­ ponda neral D. Manuel Lorenzo, que por Real orden de 23 de no planteado por el general Lo…</t>
  </si>
  <si>
    <t>…sición de e mpre nde r bajo los mejores a u s p i - i nmor tal Cr i st i na . pueblo habi t ado. El frente de la c iu d a d f orma 1111 semi círculo, * cios y elementos las carreras en g r a n d e á que q u i e r a n d e d i ­ D. José Q u i n t a s , de edad de 12 a ñ o s , monitor pri mero, por levantándose detrás sobre colinas , c u y a s faldas h á ci a el pueblo carse. su apli caci ón y méri to en los conocimientos que ha mani festado están cubiert as de v i ñ a s , j ardi nes y como tachonadas con casas No es esta sol…</t>
  </si>
  <si>
    <t>…de cuarteles para tropa ; y el único primer extracto de la de este dia á Doña Basilia Guisasola, El duque de Alba, durante su vireinato en Ñapóles, hizo castillo llamado propiameute asi es el de Santelmo, erigido so­ hija de D. José, voluntario nacioaal de Oviedo, muerto en el )á Strada de Toledo, y no solo es la calle mas principal de la bre una colina que domina toda la ciudad. Es ciertamente de­ campo del honor. ciudad, roas ha sido considerada como superior á la calle de plorable que eu la sociedad hum ana, no debien…</t>
  </si>
  <si>
    <t>…u decadencia y mala elección del que dales á los exámenes de quím ica orgánica dispuestos por el se­ del hono r sirviéndoos ya de apoyo y de consuelo, y todos, ; planta por lo general con descuido g rand e en su cu ltiv o, ñor D. José L uis de Casaseca , profesor de la clase costeada por todos protegerán vuestros derechos y c on trib uirán á vuestra oda y renovación. Sabida por esperiencia la u tilidad de este esa corporación, concurrim os en las tardes del 24 y 25 al esta­ felicidad. Yo, encargado por la bondad de S. M. de…</t>
  </si>
  <si>
    <t>…. En las provincias en las adm i­ miada por la Real sociedad de las ciencias de Mompeller, es­ A los pocog dias se ejecutará también en el mismo coliseo , y á nistraciones de correos y principales librerías. crita por el abate D. José T oaldo, traducida é ilustrada con beneficio del Sr. Garci* Luna , D. Alvaro de Luna , drama en vanas notas por el capitán D. Vicente Alcalá Galiauo. Un to­ cinco actos y ea verso ; tenemos muy buenas noticias de esta mo en 4 .0, edición de 1 7 8 6 , á 15 rs. ea pasta común. obra, que se atribu…</t>
  </si>
  <si>
    <t>José'</t>
  </si>
  <si>
    <t>…el ga.fiirf M ayo r elevación. 10 s. 0 en los dias 5 y 7. Asimismo se c ita , llama y emplaza á D. Angel Morales y nete de lectura de Monier , Puerta del Sol. ‘ 5, menor . . . 1$ s. 0 en el dia 6. D. Jorge Mancevo y N av ia, D. José' M aría Gómez y Don in ed ia. . . 5 s. 0 en el dia 5. Féliz G arcía, para que en el término de nueve d ias, que por segundo se le señala , se presenten en la citada escribanía prin­ V ientes . cipal de Amortización á prestar sus respectivas declaraciones en TEAT R O S causa crim inal que s…</t>
  </si>
  <si>
    <t>José, Anastasio</t>
  </si>
  <si>
    <t>Anastasio José</t>
  </si>
  <si>
    <t>…aría Cortés, capellán con cura de al* El relator D. Andrés Avelino M ena. .............. 5 mas en Regla 4 .. 2 El abogado t). Juan de Rojas............................ 5 1................ * d e .. 8000 ps. f s .. . , 8000 Id. D. Anastasio José C uadra, teniente de cura El licenciado D. José Bello.. . . ................ 3 3................. d e .. 2000................... 6000 de W ajay . 5 .. i El licenciado D. Fernando José M ontilla.. . . . . . . 5 15................. d e......... 500.................... 6500 Id. D. Valer…</t>
  </si>
  <si>
    <t>José, Antonio y D.</t>
  </si>
  <si>
    <t>Antonio y D. José</t>
  </si>
  <si>
    <t>…del buitre es usado en muchas lenguas Lna fabrica de fundición de plomo, Aljibe h u n d id o , té r­ pero muy rara vez se ha visto en Inglaterra. Es poco ma­ para denotar los vicios mas viles y brutales. mino de Almería, por D. Antonio y D. José M artínez, eu 8. yor que el cuervo, no teniendo mas de una vara de largo; Nada hay en esta innoble ave de rapiña que pueda Una mina plomiza, sierra de Gador, hoya del Ciervo, tér­ pero sus alas son notablemente largas, midiendo mas de paliar su ferocidad y voracidad, y no parece…</t>
  </si>
  <si>
    <t>José, Cristóbal</t>
  </si>
  <si>
    <t>Cristóbal José</t>
  </si>
  <si>
    <t>…ham illa, cerro de Culatabí, término Otra id. al final de dicho lla^o , y en el propio térm ino, la Inspección de minas de las provincias de Granada y A l­ de Tabernas, San Eugenio, por Jua n Diego Moreno Fenoy, Estrella, por D. Cristóbal José R ubira, en 18. mería.=Mes de Marzo de 1859. = Relación de los denuncios y en 22. O tra id. en sierra de G ador, cañada de la E rm ita, té r­ registros de minas admitidos en dicho mes. Otra id. en Sierra de G a d o r, loma, de la Breva , término de mino del Presidio, la Buena reunión,…</t>
  </si>
  <si>
    <t>José, D.</t>
  </si>
  <si>
    <t>D. José</t>
  </si>
  <si>
    <t>…mento con las El general éií gefe con su cuartel geneíaFcontinua en M q r- Anoche á las siete ha llegado en posta á esta capital él E x­ fundadas esperanzas que tenemos dé su completa orgáoizjcidn, viedro. {Id,) celentísimo Sr. D. José G arratalá, nombrado por S. M. capitán con la apertura dé las cátédras dé pintura y arqúitectúi^ir, y eá general de Andalucía* Parece que S. E . se ha alojado en casa fin cón el establecimiento de teatro lírico y dramático ¿'q«e:es­ del Excmo. Sr. general-segundo cabo D . Francisco Sanju…</t>
  </si>
  <si>
    <t>Valladolid. Sr. D. José M artí, barón de Casa-blanca. Sr. D. Serafín Estevanez CalderOil * electo* wD. Francisco Ramonet. Sr. D. Joié Miquel Polo. Sr. D. Eduardo Gahvey , electo. D. Evaristo Perez de Castro. Sr. D. Joaquin de Pedro, marques de Albaida , electo. Sr. D. Antonio Ros y Olano. V izcaya, Ciudad-Real. M…</t>
  </si>
  <si>
    <t>…creto por el cual S. M. la Reina Gobernadora se ha servido ocasión de tratar del suplente, entonces se ventilará esa cues­ S. M. se dignó contestar en los términos siguientes: nombrar Secretario del Despacho de Hacieoda al Sr. D. José tión g r a v e , q u e , aunque lo parece, en mi concepto no es de Acepto con sumo placer y gratitud la felicitación que me San M illan. gravedad , porque á serlo, la culpa estaría en el Gobierno, que presenta el Senado en ocasión en que se halla mi corazou Heno Se mandó pasar á la comisió…</t>
  </si>
  <si>
    <t>…r dicho cargo de proponía por hallarlas conformes á la ley. Senador. ° Se leyó el quinto dictámen sobre el acta de elecciones do fueTw ’ y 60 C8S0 n£cesidad « c h a la rá la fuerza con la También lo quedó de otro oficio del Sr. D. José M aría C a- Logroño, que opinaba la comisión debia aprobarse sin dificul­ Esta determinación del virey añade nuevas complicaciones latrava, remitido por el Sr. Serretario del Despacho de la Go­ tad respecto al Sr. O lózaga, y que para hacerlo respecto al se­ ¿ una cuestión ya m uy delicada…</t>
  </si>
  <si>
    <t>…o se adm itirá otro papel que el que se abona en las co r­ Despacho de M a r i n e e n que manifiesta que habiendo llegado á e n te ro , porque la patria no puede ser mas ingrata de lo que es rientes.” e&gt;ta corte el Excuso. Sr. D. José M a n a L h a c o n , Ministro pro­ u n p a rticu la r, y un particular rem unera á sus sirvientes. Que Se puso a discusión el a rtícu lo , y habiendo pedido la pa­ pietario del ram o, se encargaba desde mañana de la Secretaría. si se dan esos sueldos por entero á los cesantes, será eterna…</t>
  </si>
  <si>
    <t>…derecho ó de qué ley se ha to­ república , se ha servido nombrar ministro de Guerra y M ari­ de la Constitución no ha correspondido á la esperanza de los mado una determinación semejante , como también si dichas na al Excmo. Sr. D. José M aría T ornel, miembro del mismo constituyentes y sus parciales. Este golpe inesperado, combina­ restricciones,están arregladas á los tratados existentes entre loa supremo poder, con cuyo consentimiento se ha posesionado y a , do con la resistencia perseverante de los seis superiores, parec…</t>
  </si>
  <si>
    <t>M anuel de A lb o u ig a , ó bien al de! Sr. D. José M aría de Ipar- los diversos deberes que tienen impuestos todos los hombres con q u e n o . p u e d e n r e p r e s e n ta r s e sin la a u to r iz a c i ó n d e D o n ra g u irre , jutz de primera instancia de dicha ciudad , dentro del D i o s , consigo mismos y sus semejantes, cuyo conocim…</t>
  </si>
  <si>
    <t>…c i o — O ctubre: El 2 4 del pasado se ejecutó en Zaragoza un drama nuevo, n es e u r o p e a s , por D. Alejandro Llórente. Muchos de nuestros conciudadanos ignoran que en Metz, titulado D. P e d r o e l C ru el , obra del Sr. D. José I í u i c i , hijo V iñ as y bodegas, por D. A. U. entre el puente del arsenal y el puente co lgante, en la confluen­ de aquella heroica c iu d a d , y ha tenido el éxito mas favorable. Uua novela y varios cuadros de costumbres, por D. F ra n ­ cia del Mosela y de la Seila, un hombre ú t i…</t>
  </si>
  <si>
    <t>…o ser to­ El dia 4 del presente mes á las seis y tres cuartos de testimonios de lealtad y de amor al bien público, fue con­ lerante con quien lo fue toda su vida, y que esclavizando la tarde falleció en esta corte el Excmo. Sr. D. José G a ­ decorado con la insigne orden del Toison de oro en 24 al mismo Monarca, sofocaba los sentimientos de su concien­ briel de Silva, Bazan, W aldstein, marques de Santa Cruz de Setiembre de 1821. cia y amistad. Asi es que en cuanto podia , no perdía oca­ y de Villa sor, grande de España…</t>
  </si>
  <si>
    <t>…le sea posible se pondrá en marcha para esta corte para venir á la deuda en buen lenguaje castellano, forense y aun parla­ durante esta discusión acerca de su conformidad con el proyec­ desempeñar su encargo en reemplazo del Sr. D. José M aría Ca- mentario no puede menos de indicar sino necesidad de pagar, to de la comisión, expuso también que cuando se pasase al de­ latrava. una obligación precisa, indispensable, un compromiso formal, bate de los artículos, podría indicar las observaciones, las rec­ El mismo oyó con agrad…</t>
  </si>
  <si>
    <t>…en poder del Excmo. ayunta­ al Sr. D. Pedro García del Valle. pacho, se cita, llama y emplaza á D. Francisco de Paula Ló­ miento. Ademas contiene los artículos: El gran tono de una 598. La obra del Quijote en m iniatura, al Sr. D. José ápez, su cuya habitación se ignora , para que tan luego corno llegue muger.:=Modas.:=Invento.:=Educacion de las señoritaszrHigie- noticia este anuncio, comparezca en la escribanía de amor­ ne.=EI juego.z=Beneficencia.i=Necrologia y variedades. María Monreal. 722. Un portafusil de cañamaz…</t>
  </si>
  <si>
    <t>…pecto á la solicitud de S m it , pues estos días observo una c ir­ Dios guarde á V. E. muchos años. Real de D uran go 1.° de J u ­ cunspección que hace conocer con disgusto. nio de l8 5 9 .n P a u liu o Ramírez de la Piscina.—Sr. D. José A l ­ varez de Toledo. Con su tercera del 28 me remitió otra del obispo de León, en la que le mandaba un sello que no débia y a tenerlo: esta en­ TEATROS. Número 6.° trega dió motivo á lamentarse de aquel prelado y de otros , lo P RIN CIPE. H oy miércoles no h a y funcíoh. que podrá serv…</t>
  </si>
  <si>
    <t>N.° 1688. DOMINGO 30 DE JUNIO DE 1839. d ie z C U A R T O S . PARTE OFICIAL. bear y el Sr. D. José M aría T rillo , fiscal de S. M . en la a u ­ diencia de Sevilla , y las deroas personas enviadas por el a y u n ­ Méjico Marzo 15 de. 1859 ^Oportunamente lég escribiré d los Sres. Lemus y Urrea; mas entre tanto recomiendo á ustedes tamiento y cuantas quisieron agregarse para tomar parte…</t>
  </si>
  <si>
    <t>José, D. Baltasar de Toda. Sr. D.</t>
  </si>
  <si>
    <t>D. Baltasar de Toda. Sr. D. José</t>
  </si>
  <si>
    <t>…ey. Sr. D Manuel Barrio-Ay uso. Sr. D. Joaquin Rey, Vicepresidente 5.° Sr. D. Pascual Fernandez Baeza. Sr. D. José Antonio Flaquer. Sr. D. León Ilerques. 7 1arragona. Sr. D. Carlos de Martí. Sr. D. Santiago Alonso Cordero. Sr. D. Baltasar de Toda. Sr. D. José Almirall. Sr. Sr, D. Joaquin Borras. Sr. D. José G ispert, Secretario 5.° Lérida. Sr. D. Antonio Satorras. Sr. D. Pablo Gali. Sr. D. Juan Anguera. Sr. D. Pedro Moret. Sr. D. Antonio Viadera. Sr. D. Miguel de Córdoba. Sr. D. Ramón dé Bacardí. Sr. D. Pascual Madoz…</t>
  </si>
  <si>
    <t>José, D. Francisco de Lujan. Sr. D.</t>
  </si>
  <si>
    <t>D. Francisco de Lujan. Sr. D. José</t>
  </si>
  <si>
    <t>…Sr. D. Francisco de Paula Alvarez. Sr. D. Vicente Trueba Cosío. Sr. D. Agustín Mela. Sr. D. Angel Iznardi., Segovia. Badajoz• Sr. D. Joaquin Garrido. Huesca. Sr. D. José Balsera. Sr. D. Marcos Marin. Sr. D. Miguel Cosío. Sr. D. Francisco de Lujan. Sr. D. José Queraltó. Sr. D. Francisco Bartolomé y Colorao. Sr. D. Juan José García Carrasco. Sr. D. Antonio Puicerciís. Sr. D. Facundo Infante. Sr. D. José Perez de Rivas. Sevilla. Sr. D. Manuel Perez Hernández. Sr. D. Alejandro Olivan. Sr. D. Francisco Olavarrieta. Sr. J…</t>
  </si>
  <si>
    <t>José, D. Joaquin Garrido. Huesca. Sr. D.</t>
  </si>
  <si>
    <t>D. Joaquin Garrido. Huesca. Sr. D. José</t>
  </si>
  <si>
    <t>…Francisco Agustín Sil vela. Sr. D. Angel Fernandez de los Rios. Sr. D. Juan Martin Carramolino. Sr. D. Francisco de Paula Alvarez. Sr. D. Vicente Trueba Cosío. Sr. D. Agustín Mela. Sr. D. Angel Iznardi., Segovia. Badajoz• Sr. D. Joaquin Garrido. Huesca. Sr. D. José Balsera. Sr. D. Marcos Marin. Sr. D. Miguel Cosío. Sr. D. Francisco de Lujan. Sr. D. José Queraltó. Sr. D. Francisco Bartolomé y Colorao. Sr. D. Juan José García Carrasco. Sr. D. Antonio Puicerciís. Sr. D. Facundo Infante. Sr. D. José Perez de Rivas. Sevi…</t>
  </si>
  <si>
    <t>José, D. Juan</t>
  </si>
  <si>
    <t>D. Juan José</t>
  </si>
  <si>
    <t>…S. M. la Re i oa Gobernadora nombrar á D. Blas Catalan sen ta, y por lo tanto oirá gustosa á los Sres. Diputados que lo para una procura, vacante en Zaragoza por ascenso de Don p O R el presente, y providencia dictada por el Sr. D. Juan José im pugnen; y á consecuencia del resultado que ofrezca la discu­ Mariano Asensio; y para la promotoría fiscal del juzgado de A Rodríguez Valdeosera, ministro togado de la audiencia sión , procurará redactarlo con aquellas modificaciones que se Bande, vacante por traslación de D. Bernardo…</t>
  </si>
  <si>
    <t>…ción de un Diputado en reemplazo de Mr. M ay e r, por ha­ ber hecho dimisión de su encargo. Se dice que los magistrados tados, y resulta de sus confesiones que varios habitantes ricos E n virtud de providencia dictada por el Sr. D. Juan José rehusarán proceder á la elección. Se dice que solo se cuentan é influyentes de Poonah no sou extraños á estos crímenes. Otras Rodríguez Valdeosera, caballero comendador de la Real 25 Diputados en la C ám ara, y de consiguiente se considera circunstancias de que se hace igualmente menci…</t>
  </si>
  <si>
    <t>…SEMANARIO CAMBIOS. regladas. PINTORESCO ESPAÑOL. Lóndres, á 90 dias, 58*. Coruña, 1 * á $ d. La entrega del domingo 24 de Noviembre contiene los ar­ Faris , 16-&amp; Granada , id. id. F 'N virtud de providencia, dictada por el Sr. D. Juan José tículos siguientes adornados con dibujos y grabados origi­ M álaga, id. id. Rodríguez Valdeo¿era, juez togado de primera instancia nales. Santander, par. de esta corte, refrendada de D. Manuel Fernandez de Pazos, Biografía Española.=D. Antonio Agustín. Alicante, * á f b. Santiago, 2 d…</t>
  </si>
  <si>
    <t>José, D. Manuel José Perez. Sr. D.</t>
  </si>
  <si>
    <t>D. Manuel José Perez. Sr. D. José</t>
  </si>
  <si>
    <t>…sé Guillen y Gras. Sr. D. Juan José Fonseca. Sr. D. Ramón López Vázquez. Sr. D. Vicente Santón ja. Sr. Guadalcjara. Salamanca. Almería. Sr. D. José Muñoz Maldonado. Sr. D. Joaquin de Vilches. Sr. D. Santos López Pelegrin. Sr. D. Manuel José Perez. Sr. D. José Salamanca. Sr. D. Manuel Hidalgo Calvo. Sr. duque de Gor, Vicepresidente 2.° Sr. conde de las Navas. Sr. D. Miguel Chacón y D uran. Guipúzcoa. Sr. D. José Sánchez de la Fuente. Sr. D. José Jover. Sr. D. Miguel Antonio de Zumalacarregui. Sr. D. José Agustín Caña…</t>
  </si>
  <si>
    <t>José, D. Miguel de Roda. Sr. D.</t>
  </si>
  <si>
    <t>D. Miguel de Roda. Sr. D. José</t>
  </si>
  <si>
    <t>…. Sr. D. Ramón Pretel de Cozar. Sr. D. Pedro Camps y Ros , electo. Sr. D. Román Ovejero. Sr. D. Diego Montoya. Sr. Sr. D. Bartolomé Amor , electo. Sr. D. Francisco Javier Rodríguez de Vera* Granada. Pontevedra. Alicante • Sr. D. Miguel de Roda. Sr. D. José Guillen. Sr. D. Diego López Ballesteros. Sr. D. Ignacio Puigmoltó. Sr. D. Francisco Martinez de la Rosa* Sr. D. Domingo Fontan. Sr. D. Antonio Sereix. Sr. D. Francisco Egaña, electo. Sr. D. Juan José Cadaval. Sr. D. Jorge Gisbert. Sr. D. Francisco de Paula Castro.…</t>
  </si>
  <si>
    <t>José, D. Pascual Fernandez Baeza. Sr. D.</t>
  </si>
  <si>
    <t>D. Pascual Fernandez Baeza. Sr. D. José</t>
  </si>
  <si>
    <t>…ro y Peñaranda. Sr. D. Juan Burguez Zaforteza. Sr. Sr. D. Nicolás Rípoli. León. Soria. . Barcelona. Sr. D. And rés Leal. Sr. D. Segundo Sierra y Pambley. Sr. D Manuel Barrio-Ay uso. Sr. D. Joaquin Rey, Vicepresidente 5.° Sr. D. Pascual Fernandez Baeza. Sr. D. José Antonio Flaquer. Sr. D. León Ilerques. 7 1arragona. Sr. D. Carlos de Martí. Sr. D. Santiago Alonso Cordero. Sr. D. Baltasar de Toda. Sr. D. José Almirall. Sr. Sr, D. Joaquin Borras. Sr. D. José G ispert, Secretario 5.° Lérida. Sr. D. Antonio Satorras. Sr.…</t>
  </si>
  <si>
    <t>José, Fernando</t>
  </si>
  <si>
    <t>Fernando José</t>
  </si>
  <si>
    <t>….. * d e .. 8000 ps. f s .. . , 8000 Id. D. Anastasio José C uadra, teniente de cura El licenciado D. José Bello.. . . ................ 3 3................. d e .. 2000................... 6000 de W ajay . 5 .. i El licenciado D. Fernando José M ontilla.. . . . . . . 5 15................. d e......... 500.................... 6500 Id. D. Valeriano Ayala 2.. 1 Licenciado D. Antonio G alv ez.................. 5 66 . . . . . . . . d e.. 50................... 5500 D. José Mariano Ramírez y Notario , eclesiástico Licenciado D. Jos…</t>
  </si>
  <si>
    <t>José, Francisco</t>
  </si>
  <si>
    <t>Francisco José</t>
  </si>
  <si>
    <t>…ellón. tando de aq u i, como lo ha expuesto algún trib u n ál, que urbanas. Otra id. en dicha sierra , barranco de Caballos, término de si los asuntos que deben tratarse en pleno son graves ó L a u j a r , las A n im a s, por D. Francisco José M elero, en 12. complicados, tardan los ministros en separarse á su res­ Otra id. en dicha sierra y térm ino, cerrillo Redondo, titu ­ pectiva sala, y por necesidad las horas prefijadas para el A lm e r ía ................... 10 110810". 2079115 lada la Gracia , por Francisco Alarco…</t>
  </si>
  <si>
    <t>José, Joaquin Borras. Sr. D.</t>
  </si>
  <si>
    <t>Joaquin Borras. Sr. D. José</t>
  </si>
  <si>
    <t>…cepresidente 5.° Sr. D. Pascual Fernandez Baeza. Sr. D. José Antonio Flaquer. Sr. D. León Ilerques. 7 1arragona. Sr. D. Carlos de Martí. Sr. D. Santiago Alonso Cordero. Sr. D. Baltasar de Toda. Sr. D. José Almirall. Sr. Sr, D. Joaquin Borras. Sr. D. José G ispert, Secretario 5.° Lérida. Sr. D. Antonio Satorras. Sr. D. Pablo Gali. Sr. D. Juan Anguera. Sr. D. Pedro Moret. Sr. D. Antonio Viadera. Sr. D. Miguel de Córdoba. Sr. D. Ramón dé Bacardí. Sr. D. Pascual Madoz. Sr. D. Ramón Salvato. Sr. Teruel. Logroño. Sr. D. A…</t>
  </si>
  <si>
    <t>José, José María Suauce y D.</t>
  </si>
  <si>
    <t>José María Suauce y D. José</t>
  </si>
  <si>
    <t>…las pagan personas de alta fueron aprobados sin ella los relativos á la admisión de los se­ a confesar lo que en otra parte ha negado-, de que ni quiere categoría , no ejerce con ellas el rigor que ejerce en el infeliz ñores D. José María Suauce y D. José A r i a s , Diputados por gobernar con los principios de la an tigu a m a y o r ía , ni con los pueblo; no les embargará sus bienes, uo les venderá los aperos la Cnruña. del ac tu al, y que tiene que seguir una marcha que no es con­ de lab o r; eso se deja para los otros…</t>
  </si>
  <si>
    <t>José, José Moreno y D.</t>
  </si>
  <si>
    <t>José Moreno y D. José</t>
  </si>
  <si>
    <t>…es donde hu­ Por providencia del Sr» intendente de rentas de esta pro­ CRUZ. A las siete y media de la noche. Se pondrá en es­ biesen sido expendidos los billetes, con la puntualidad que tie­ vincia se cita, llama y emplaza á D. José Moreno y D. José cena la siempre aplaudida ópera bufa en dos actos, música del ne acreditado este establecimiento» Perciva, para que en el término de nueve dias se presénten en la maestro Rossini, titulada escribanía principal de Amortización, sita calle del Lobo, nú­ mero 8 , cuarto 2.°, á…</t>
  </si>
  <si>
    <t>José, Juan</t>
  </si>
  <si>
    <t>Juan José</t>
  </si>
  <si>
    <t>…pidiendo se le ponga en libertad, mediante á haber sido ab- efectiva la contribución extraordinaria de guerra. peticionarias. sueíto por la audiencia territorial. 225. Doña Francisca de Paulá P an iagua, viuda del coro­ 261. D. Juan José R uiz, solicitaodoque en considerador 182. D. José G ram as, en solicitud de que se tengan pre­ nel D. Ju an Dooiez, en solicitud á pensión. á sus sacrificios por la causa de la libertad , se recomiende a sentes á la discusión del arreglo de la deuda interior unos cré­ 224* D. Antonio Br…</t>
  </si>
  <si>
    <t>…s M artí, Don José Rodríguez Yaldeosera, caballero comendador de la Juan Garay y Casal, D. Rafael Cañaveral, D. Francisco Ja­ Real orden Acbericana de Isabel la Católica , juez togado de EL LIBRO DE LOS NIÑOS, vier Sánchez y D. Juan José G il, que aparecen endosantes de primera instancia de esta corte, refrendada de D. Manuel Fer­ varios créditos de deuda sin Ínteres contra el Estado, para que nandez de Pazos, escribano de S. M., del numero del crimen de POR D. FRANCISCO M ARTINEZ DE LA ROSA» en el término de nueve di*s…</t>
  </si>
  <si>
    <t>…por ó EFEM ERIDES acto, titulada LA ESCALERA DE M A N O ; y termiuará la presencia del infrascrito están pendientes autos de testamentaría función con baile nacional. a los bienes que quedaron por fallecimiento del presbítero Don Juan José O rt.z, y que entre su heredera y hermana Doña Jo­ DE LA GUERRA CIVIL sefa y varios acreedores con el Dr. D. José Antonio Armesto, DESDE OCTUBRE DE 1832. CRUZ. Hoy no hay función. que también lo es, se ha celebrado una escritura de transacción, por la que este se ha obligado á satisfacerl…</t>
  </si>
  <si>
    <t>…ezmero para recobrar guen ignorancia los que se hallen en este caso, se txpresan á su horquilla, recibió las heridas que ocasionaron su muer­ continuación: Doña María del Carmen Aymes de Circunregui: D. Luis de Losas, hijo de D. Juan José: Doña Jacinta Alva- BIBLIOGRAFIA. te. Que él habia quedado extremamente pesaroso de lo su­ rez, cedido, y mucho mas cuando el prisionero habia sido to­ de D.hija de D. Tomas Onofre: Doña Tomasa Almarza , viuda Miguel de Vidarreta y Echegaray : D. Vicente Rodrí­ mado como sospechoso de hab…</t>
  </si>
  <si>
    <t>…á D. José Marcos Sancho, que N o mas guerra, Señora ; paz y reconciliación entre todos desempeña la de Vivel, de entrada, en la misma provincia; y los españoles ; paz gloriosa, producida por un abrazo general en para esta á D. Juan José O r tiz , juez interino de C h iv a, con­ las orillas del Deva entre los que por espacio de seis años pe­ CORTES. siderándosele como de ascenso los servicios que prestare: para learon , paz sin mengua , y digna de admiración por no h aber SE N A D O . el juzgado de Sahagun , de entrada,…</t>
  </si>
  <si>
    <t>José, JuanMaría Ramón</t>
  </si>
  <si>
    <t>JuanMaría Ramón José</t>
  </si>
  <si>
    <t>…los ramos subsecretario del Ministerio de Estado;D.D.Julián cho día en la sala de juntas de la dirección general de Ren­ y negocios que deban sujetarse ¿ leyes especiales en bene­ Calatrava, contador general de Distribución; D. JuanMaría Ramón José tas, podrán presentar sus proposiciones bajo las. condiciones y ficio de las provincias de Ultramar. Martinez, oficial del Ministerio de Marina, Comercio y formalidades establecidas en los arts. 11, i2 y 15 de la instruc— En materia de Hacienda es todavía mas necesaria esta…</t>
  </si>
  <si>
    <t>José, Juao</t>
  </si>
  <si>
    <t>Juao José</t>
  </si>
  <si>
    <t>…ue se a n u n ­ Carram olino, se ha dignado S. M. nombrar á D. Tadeo Capa- ra , se anula la votación. (Debats.) ció la presencia en nuestras calles y plazas públicas de las ban­ blanca , que sirve la de Valdepeñas: para esta á D. Juao José das de furiosos que pasaron del pillaje al atentado, del atenta­ H erv as, que desempeña la de Jerez: para este juzgado, á Don do al asesinato y al motín. Después de las dos y media de la Federico Vahey y Alva , juez que fue de Alhama ; y para el El Sr. Presidente del Consejo ha dirigido h…</t>
  </si>
  <si>
    <t>José, Manuel</t>
  </si>
  <si>
    <t>Manuel José</t>
  </si>
  <si>
    <t>…ue tenga , y aqui no es posible que un M inistro sea primero propone que se pase al Sr. Secretario de Estado y del un ar c h iv o , ni el mismo Secretario del Despacho de la Guer­ Despacho de la Gobernación una exposición de D. Manuel José ra sabría si h a y verdad en ese relato, ó n o , aunque yo la su­ de la P i l a , maestro de primeras letras en la ciudad de Sevilla, pongo. PARTE NO OFICIAL. que recurre al Coogreso exponiendo que la comisión de escuelas S. S. ha entrado después á hablar de las clases que depen­ de a…</t>
  </si>
  <si>
    <t>…Don de ancho:laprecio composición. Tiene 20 p. de alto, y 14 p. y 6 1. antiguo 60 rs., y moderno 50. Cotización del dia 8 d las tres de la tarde• Joaquín de Yárgas, canónigo de esta santa iglesia catedral, hijo legítimo de D. Manuel José, natural de Cádiz, y Doña Una fábrica de tapices ó las Hilanderas . Bárbara Ramírez, que lo fue de Cañete la Real, como vacan­ EFECTOS PÚBLICOS. tes y pertenecientes al Estado; y á virtud de providencia dic­ tada en los autos formados sobre dicha denuncia, por el pre­ cualEste habla…</t>
  </si>
  <si>
    <t>José, Pedro Blas de Üranga y D.</t>
  </si>
  <si>
    <t>Pedro Blas de Üranga y D. José</t>
  </si>
  <si>
    <t>…tio 552 l£ pies superficiales, re­ Véndese en el despacho de la Imprenta Nacional. Títulos al portador del 4 Por 100, 00. tasada en 45,644 rs» Por l°s arquitectos D. Bartolomé Tejeda Vales Reales no consolidados , 00. Diez , D. Pedro Blas de Üranga y D. José María G u allart, y Deuda negociable de 5 por 100 a pape!, 00. se anuncia para que quien quisiere comprarla acuda dentro de Idem sin interés, 00. los primeros 15 dias siguientes con la postura que hiciere , que REGLAMENTOS Acciones del banco español de S. Fernando,…</t>
  </si>
  <si>
    <t>JoséIriarte, Martin</t>
  </si>
  <si>
    <t>Martin JoséIriarte</t>
  </si>
  <si>
    <t>…total pacificación os queda encomendada bajo la inmediata d i ­ los movilizados de M o ra, Valentín Macho, de V illafria, pro­ A unque los hechos y las aventuras sean por la m ayor par­ rección del comandante general brigadier D. Martin JoséIriarte. vincia de León , desertor de la facción del Norte, que venia á te fingidas, recaen sin embargo sobre nombres históricos, Un nuevo punto de apoyo tereis ahora en la Cañada del unirse á Palillos; Miguel Cobos, Castor García y Francisco sobre épocas que han existido, sobre sucesos…</t>
  </si>
  <si>
    <t>Jou</t>
  </si>
  <si>
    <t>…ardar la conclusión de ellas. Que si se quiere de ello el consejero SonkofL ky, el general K av elin e , el conde Tolstoy, GRAN BRETAÑA. una prueba, no hay mas que examinar el origen de la proposi­ Mr. de Aldesberg, el coronel Jou rgew itch y M r. de Patkul ción , y se verá que lejos de mudar la situado?', por el adveui - formaban parte del acompañamiento del Gran Duque. S. A. I. L ón d res 8 d e M ayo. miento de un m inisterio, no ha hecho mas que empeorar, y y el Príncipe de los Países Bajos se retiraron á las doce…</t>
  </si>
  <si>
    <t>Joussouf</t>
  </si>
  <si>
    <t>cuatro escuadrones de spahís mandados por el coronel Joussouf, marcha hacía Cabul , y sobre todo que había tramado las sor­ casi continua; sin em bargo, no se publicaba e! bo'etiu sobre y cuatroescuadror.es de cazadores maridados por ei coronel R an - presas hechas á nuestros soldados, y agotado los víveres del pais. su salud, y los asuntos seguían su…</t>
  </si>
  <si>
    <t>Jovanoff, Gaspar</t>
  </si>
  <si>
    <t>Gaspar Jovanoff</t>
  </si>
  <si>
    <t>…tinguido c o n -, Nuestio comercio está hoy sobresaltado por el aouncio- de lución firme y enérgica de conservar la paz en Oriente ; y d i­ vento del Gárrnen, cuenta y a este instituto desde el i . ° del cor­ la quiebia del Sr. Gaspar Jovanoff C asd ag ii, armenio y q u in ­ cen ademas que el divan ha intimado á las Potencias que ma­ riente mas de 120 matrículas de todas clases, á las que se dio callero de profesión. El pasivo de esta quiebra no sube á menos nifiesten sus intenciones sobre este punto. principio el dia 2 co…</t>
  </si>
  <si>
    <t>Jover, Francisco</t>
  </si>
  <si>
    <t>Francisco Jover</t>
  </si>
  <si>
    <t>…as, interesados como yo en Otra id ., sierra de G ador, loma de la Cresta del Gallo, B ilb ao , \ papel d. V alen cia, par. el triunfo de la causa naciooal, teneis ademas el derecho de exi­ término de Benadux , el G allo , por D. Francisco Jover , en 22. C ád iz , \ id. id. Zaragoza , id. g ir de mí todos los sacrificios que reclame vuestro b ien; siem ­ pre rae hallareis dispuesto á prestarlos: nunca omitiré esfuerzo D em a rca cion es . Descuento de letras , á 6 por 100 a l año. n i fatiga para conseguir vuestro reposo; la…</t>
  </si>
  <si>
    <t>JU, Cayetano Cortés. PROVIDENCIAS</t>
  </si>
  <si>
    <t>Cayetano Cortés. PROVIDENCIAS JU</t>
  </si>
  <si>
    <t>…dará principio á las ocho y por Mr. León Rostan, catedrático de clínica &amp; c., &amp; c., tradu­ media de la noche la cátedra de filosofía desempeñada por el cida al castellano. Esta obra constará de tres tomos en 4-° di­ profesor D. Cayetano Cortés. PROVIDENCIAS JU D ICIA LES. vididos en 12 cuadernos á 10 rs. cada uno por suscripción. Tribunal supremo de Justicia. Los señores suscriptores acudirán á recoger el 1.° y 2.° cua­ derno y adelantar el importe del 3.° que se publicará inme­ Por el presente, y en virtud de providen…</t>
  </si>
  <si>
    <t>Ju, D.</t>
  </si>
  <si>
    <t>D. Ju</t>
  </si>
  <si>
    <t>…igencia y satisfacción.—Dios guarde á V. S. muchos 4,170 _____ 400 ; . . . . . . Cádiz. son algo mas significativos que sus inmundas adulaciones y años. M adrid 16 de Diciembre de 1857.=EI subsecretario, José M aría Perez.— Sr. D. Ju an N avarro.” 1 6 . 1 5 7 .. . . 4 0 0 * .. •. * • «Jerez de la Frontera. ' per lid as calumnias. Pero aun no me contento con la manifesta­ 7,005. . , , 4 OO.. . . . . . t S. Femando. L ción aritmética que he estampado para conocimiento del públi­ A h í tiene el articulista la ejecutoria mas…</t>
  </si>
  <si>
    <t>…J U D IC IA L E S . la Rectoría, término de dicho Borincs,en Pilona, partido del Iafiesto , en la p r o v i n c i a de Oviedo. Rivadeo i.° de Junio Otra id., loma del Pocico, término de Huercal, Chiripa, P OR providencia del Sr. D. Ju an José Rodríguez Valdeosera, de 1839.—Guillermo Schulz. por D. Luis Palenzuela , en 12 de Enero de 1859. caballero comendador de la Real orden americana de Isa­ Otra id ., barranco del Poyo, término de Huercal, S. Es­ bel la Católica, juez togado de primera iustancia de esta corte, teban,…</t>
  </si>
  <si>
    <t>…pe Guasp y Barberi, y á los folios 46 y l{! del mismo expe­ LES AVENTURES P O R el juzgado de primera instancia de esta capital que des­ DETELEMAQUE liente resulta la calificación y sentencia que es del tenor si­ pacha el Sr. D. Ju an José Piodriguez Valdrosera y escri­ guiente : banía del número del cargo de D. José U r r u t i a , se ha presen­ tado Doña Josefa Moreno, viuda de D. J u a n Paz, de este ve­ Reunidos los 12 jueces de hecho para calificar el artículo cindario, acompañando relaciones juradas de los bienes…</t>
  </si>
  <si>
    <t>…que en la noche del 15 del ble. La respuesta fue trasmitida en turco por el gran visir áí corriente, reunidos los accionistas en casa de suidigno presi­ dragom án, quien la comunicó en francés al embajador. dente el Excmo. Sr. D. Ju an M outalyo, después de oida la (l) El Sr. Í3. José M aría Calvo. Después de los dos discursos, y de haber dirigido el Sul-</t>
  </si>
  <si>
    <t>…NCIOS OFICIALES. D irección general de Presidios.zrExcmo. S r .: D. M anuel PAR T E RECIBIDO EN L A SE C R E T AR IA DE ESTADO M ontesinos, visitador de los presidios situados en la costa de EN Vv irtu d de providencia del Sr. D. Ju a n José R odríguez aldeosera, caballero comendador de la Real orden am e­ Y DEL DESPACHO DE LA GOBERNACION DE L A PENINSULA. levante y provincias del mediodía me dice en 6 del actual lo sigu ien te: rican a de Isabel la C ató lica, m agistrado honorario de la a u ­ D irección general de P…</t>
  </si>
  <si>
    <t>…ho título. Madrid 12 de Octubre de 1859. =2 JLTALLANDOSE pendientes en el juzgado de primera instan- Es uq resúmen de los principios de la moral cristiana y la ci­ Manuel Ortiz de Taranco. cia de esta capital, que despacha el Sr. D. Ju a n José Ro­ vilidad , breve, claro, sencillo, metódico y proporcionado á la dríguez Valdeosera, caballero comendador de la Real orden capacidad de los niños. U n tomo en 8 .°, á 6 rs. en rústica y 8 americana de Isabel la Católica, magistrado honorario de la a u ­ en pasta. Conservatorio d…</t>
  </si>
  <si>
    <t>…acerca de los diócesis otras instrucciones revocando mrs circulares de 20 de diversos partidos de la Cámara de los Comunes en la discusión Enero y de 27 dé Febrero. A esto respondo que se ha omitido *p O R providencia del Sr. D. Ju a n Jo¿é Rodríguez Y aldeose- del mensaje. Número de votantes 512. En favor de la enm ien­ hacer mérito de las ¿ondicionés bajo las cuales consentí en d i­ ra , juez togado de primera instancia de esta c o rte , ante da de M r. Duncombe 86 . En favor del m ensaje: w h ig s , 166: rigir al c…</t>
  </si>
  <si>
    <t>…iversidad prevalece una uniform i­ por D. Venceslao de Linares y Pacheco. dad general de estructura , la que bajo varias modificaciones Los Sres suscriptores á esta obra acudirán á recoger el to­ N virtud de providencia del Sr. D. Ju an José'Rodríguez mo 2.° en M adrid á la librería de Cuesta; en Barcelona á la de forma preserva una tendencia hacia una organización típica Valdeosera , caballero comendador de la Real orden ame­ de O liv a, y á los demas puntos donde se h ayan suscrito: en ú original. Esta tipicidad ú ori…</t>
  </si>
  <si>
    <t>…1565. MIERCOLES 27 DE FEBRERO DE 1839. DIEZ c u a r t o s . S. M. la R e i n a , su augusta Madre la R e i n a G o b e r n a ­ i las once de la mañana para que en^la plaza de la Constitu- virtud de providencia dictada por el Sr. D. Ju an José ;ion se efectúe la solemne quema de documentos de la deudc Rodríguez Yaldeosera , juez togado de primera instancia dora y la Serm a. Sra. Infanta Doña María Luisa F ern an ­ aublica no endosable contenidos en el suplemento á la Gacetí de esta corte, refrendada del escribano de S. M.…</t>
  </si>
  <si>
    <t>Ju, D. Pedro</t>
  </si>
  <si>
    <t>D. Pedro Ju</t>
  </si>
  <si>
    <t>…ería y el tercer Ferretería . 54,727 1 17 batallón de Ceuta , que llegó á esta capital en el citado dia de Ganado caballar 425 .. .. ayer. Parece que dicha autoridad m ilitar, de acuerdo con la de En virtud de providencia del Sr. D. Pedro Ju lián A u p e- Ganado lan ar 475 .. .. igual clase de G uadalajara, el brigadier Quiñones y los coro­ t i t , auditor de marina y asesor general del ramo en la corte, Jabón 51,156 5 7 neles Rodríguez y Zurbano, se proponen á todo trance arrojar se señala para junta de acreedores á los bie…</t>
  </si>
  <si>
    <t>Ju, Diego Paredes y D.</t>
  </si>
  <si>
    <t>Diego Paredes y D. Ju</t>
  </si>
  <si>
    <t>…cio de la primera actriz , T?e(esí| manteniéndose en aquella dirección el sábado. Baus. . .. . . .. .■ ..... .• ^ ^ Igualmente se c ita , llama y emplaza á D. José Latorre, 1.° Una escogida sinfonía. ^ J "Estado d e l cielo. D. Diego Paredes y D. Ju an José de Som ovilla, para que en el2.° VELLID O DOLFOS , drama nuevo, histórico, o rigi­ nal , en cuatro actos y en verso. térmiuo de nueve dias que por segundo se les señala , se presen­ En los tres primeros dias de la semana el cielo se mantuvo ten en la misma escribanía…</t>
  </si>
  <si>
    <t>Ju, Doña</t>
  </si>
  <si>
    <t>Doña Ju</t>
  </si>
  <si>
    <t>…n ta; y todo en hemos sentado, es d e c i r , que los m elodram as se parecen renta en 14,908 rs. ; previniéndose para conocimiento de los ^uiloS á otros cual hijos de una misma m a d r e , cotéjese el de licitadores que la Sra. Doña Ju a n a Posada , como dueña de la que hablamos con el H om bre d é la S elva JSégra \ con el cuarta parte de dicho cu arto , está conforme en que se la i n ­ P e r r o d e M o n ta r g is , ó con otros infinitos traducidos y por L iceo artístico y litera rio. c lu y a en dicha subasta, con l…</t>
  </si>
  <si>
    <t>lisia s i ésto es, contra los que escriben acerca de la cien­ objeto en los países extrangeros, ya por medio de otras nuevas, se para conocimiento de los lie’íadores que la Sra. Doña Ju a­ cia y e l arte de la poesía. No puede haber arte sin precep­ ó ya da. cualesquiera métodos descubiertos por el autor. na Posada, como dueña de la cuarta parte de dicho cu arto, se tos, ni ciencia sin prin cip io s. Tampoco creemos que las re­ 5 .° Uua medalla de piafa de dos onzas y títul…</t>
  </si>
  <si>
    <t>Ju, Enrique y Doña</t>
  </si>
  <si>
    <t>Enrique y Doña Ju</t>
  </si>
  <si>
    <t>…ería de Cuesta , frente á las Con respecto á los caracteres, los de Doña Leonor de Guas­ las huérfanas de m ilitares, Guardias nacionales y patriotas que Covachuelas; en la estampería de Valle , calle de Carretas , y m a n , D. Enrique y Doña Ju an a de M anuel su esposa, y sobre murieron en la guerra de la independencia , y en la gloriosa »n la redacción, calle del Príncipe, núm. 15 , cuarto entresue­ todo el de D. Pedro, son creaciones, y creaciones admirables. La lucha que sostenemos por los legítimos derechos de Doña…</t>
  </si>
  <si>
    <t>Ju, José Camps y D.</t>
  </si>
  <si>
    <t>José Camps y D. Ju</t>
  </si>
  <si>
    <t>…vincia se c ita , llama y emplaza á D. José M aría de Tor­ carteles de anuncio el retrato de este fenómeno, que visto per­ leguir á p ilü lo " ¿ba á Per- sonalmente en el teatro debe adm irar á los espectadores, porque rera, D. José Camps y D. Ju an H aroporda, endosantes de un crédito de deuda sin in terés, núm. Í0 4 55 0 8 , de reales ve­ su agilidad en los movimientos y la fácil naturalidad de sus ?¡‘. aTa§®za d e Agosto. La división que manda el b r i- llón 799,615 y 25 m rs., para que en el término de nueve dias apt…</t>
  </si>
  <si>
    <t>Ju, José Francisco y D.</t>
  </si>
  <si>
    <t>José Francisco y D. Ju</t>
  </si>
  <si>
    <t>…ha 8 del corriente en los au­ rios que pueden ofrecer las rentas y contribuciones esta­ tos del concurso de D. M artin de Irazoqui, se cita y emplaza á blecidas, administrándolas con orden y eficacia, y recau­ los.acreedores D. José Francisco y D. Ju an Francisco G arm en- dándolas con enérgica y fiel actividad, antes que recurrir dia y D. José M aría Y erg ara, para que en el término de cuatro meses contados desde el dia en que por últim a vez se repita este REDACCION DE LA GACETA. á nuevas y deplorables exacciones, ó…</t>
  </si>
  <si>
    <t>Ju, Manuel Mendez y D.</t>
  </si>
  <si>
    <t>Manuel Mendez y D. Ju</t>
  </si>
  <si>
    <t>…que habiéndose Pór providencia del Sr. intendente de Rent3s de esta pro*- d a , continúan en esta corte sin novedad en su importante observado en este juicio todos los trámites prescritos por la ley vincia se cita y emplaza á D. Manuel Mendez y D. Ju an A n­ y calificado lós doce jueces de hecho Con la fórmula de absueltó tonio de Loizabal, endosantes de un crédito de deuda sin Ínte­ salud. el impreso inserto en el periódico titulado el Guirigay del sá­ res, núm. 9 8 ,2 1 3 , de capital 2 .5 5 8 ,4 5 5 rs., para que en el…</t>
  </si>
  <si>
    <t>Ju, Pedro</t>
  </si>
  <si>
    <t>Pedro Ju</t>
  </si>
  <si>
    <t>…oportunas é irrevocables para la emancipa­ En virtud de Real orden y providencia dictada por el se­ das, por cuyo motivo no ha acom pañadora correspondiente á ción del sexo femenino, obra grande y regeneradora propia so­ ñor D. Pedro Ju lián A u p etit, auditor de m arin a, honorario los pliegos que se an u n cian ; pero para lo sucesivo no sufriráh lamente de un genio tau sublime como el de Y . A. de guerra , y asesor general del ramo en la corte, se saca nue­ retraso las entregas de láminas. (M .d elP .) vamente á púb…</t>
  </si>
  <si>
    <t>Ju, Rafael</t>
  </si>
  <si>
    <t>Rafael Ju</t>
  </si>
  <si>
    <t>…ños prem ia­ goza , vacante por haber sido asesinado por los facciosos D on S. A. R. salió á paseo á las dos, y volvió á su alojamiento á do s, si las exigiesen sus padres ó tutores. Con lo cual se con­ Joaquín A b e lia , á D. Rafael Ju s to y P e ñ a , que desempeña el las cuatro. cluyó este acto, que firman los señores co ncu rrentes, conceja­ de A ib arrac in, accediendo á su solicitud : para la ju d icatu ra M M . Pellepont , R o u lle t, S ers, D . Solm ston, de Lasalle, les, censores; de que doy fe. de Albarracin…</t>
  </si>
  <si>
    <t>Jua</t>
  </si>
  <si>
    <t>…£ , 5 0 , 2 9 , £ , 27 \ y 2 7 f . misma , impresos en 1808, á 14 rs. en rústica. clarando que la excepción del ndrn. l/j. del art. 65 de la ley á v. f. ó vol. á prima de 6, -$, I , ¿ , y f por 1 0 0 con cupones. 4-° Rimas de D. Jua n de Jáuregui. Tomo 6.° de dicha co­ vigente de reemplazos, es extensiva y aplicable, asi en su Inscripciones en el gran libro á 4 por 1 0 0 , 00. lección, impreso en 18 1 9, á 6 rs. en rustica. espíritu como en su sentido literal, á todos los hijos únicos de Títulos al portador del 4 por 1 00…</t>
  </si>
  <si>
    <t>…onal. G arcía, A g u irre , Rodríguez y Caballero. dro Perez Tapia. Los interesados en este beneficio cuentan con la benevolen­ A su continuación se halla la sentencia del Sr, juez de p ri­ El Dos de Mayo. Himno patriótico de D. Jua n Bautista cia de tan ilustrado como tolerante público en el desempeño de mera instancia , cuyo tenor y razón que le sigue dicen asi : A rria za, dispuesto para escena, con la adición de un monólogo, la función anunciada. Habiéndose observado en este juicio todos los trámites pres­ por el mismo…</t>
  </si>
  <si>
    <t>…entado diversos proyectos de ley ya adoptados de 1839. Molina de Aragón: para este á D. Gabriel García de García I por la Cámara de los Diputados. El marques de Laplace ha Caballero, juez de Navalcarnero; y para esta resulta á D. Jua n ] presentado su informe acerca de la ley relativa á la quinta de ROBO DE LAS T IE N D A S DE LOS ARM EROS» Antonio Beojumea , electo de Alpueote. 1 803 hombres. El resto de la sesión se ha ocupado en el escruti­ Para la judicatura de término de A vila, vacante por haber { nio sobre la ley que…</t>
  </si>
  <si>
    <t>Juan</t>
  </si>
  <si>
    <t>…venganza oculta por el velo de la re­ nal de 7 .9 50,000 pesos en pago de lo* intereses devengados has­ consentido; y es probable que si Feli­ ta 1.° de Abril 1851 , cuyo interés habia de comenzar en 1.° ta Doña Carlota con D. Juan, príncipe del Brasil, y del 1 pe lo hubiese imaginado, no hubiera mandado á su general de Abril siguiente ,'á cuyo período se puso eft circulación uná infante D. Gabriel con Doña Mariana de Portugal , tuvo pedir el tal perdoó. nueva suma de 5 .580,000 pesos. Resulta pues que L d^uda rx- ya Ca…</t>
  </si>
  <si>
    <t>…rcía M artínez, D. Julián Alonso, D. José Quintana, fin los muchos heridos que en ellos se hallan. Con este m otivo, y á la distinción debida los de las rentas y ramos que se ad« D. Francisco Pavas, D. Juan Bautista de Llano, D. Juan M a ­ ademas de poder acudir al alivio de estos beneméritos militares, que nuel Muela y D. José Coll,, quienes por unanimidad declara­ de jas privaciones y fatigas que sufren , se encuentran m inistran por este m inisterio, aunque con independencia en el lecho del dolor, y confiado en los fila…</t>
  </si>
  <si>
    <t>…asunto á gusto del Congreso y vulnerada. Nuestra san gre, derramada en estos términos, se­ so Cordero , C antero, O lózaga, Iznardi, Cebados, Montoya de la nación. ria verdaderamente el germen por donde crecería la libertad (D. Juan) , Salvato, Yiadera , Chacón, Iñ ig o , Landero, R o­ El Sr, Ministro de G R A C IA Y JU S T IC IA : Me propongo española, y por donde se consolidaría, porque no habría espa­ mero, Alcon , Martin , H uelves, Fernandez Alejo. contestar ¿ algunas de las observaciones del Sr. Sánchez de le ñol ni…</t>
  </si>
  <si>
    <t>…art. l.° que dice: ello un reparto, que como se deja conocer será bien insignifi­ Ministerio de la Gobernación. Art. 1.° Se concede al Gobierno el número de 1005 mu­ cante. Después de una breve observación del Sr. Carrasco (D. Juan), ías y 4 2 0 mulos que considera necesarios para el servició 'dé la Ahora bien , ¿qué base se habia de adoptar para este repar­ en que apoya el contenido de la solicitud referida, se poue á artillería. to? La cornision no tenia que dudar; habia encontrado una votación el dictamen y se aprueb…</t>
  </si>
  <si>
    <t>…que contrajeron el mérito; y los mismos les expe­ dispuso que el teniente del primer batallón franco D. Luis de corredores de la cuatropea, por el auxilio que prestan á la González y el oficial auxiliar del gobierno político D. Juan dirán los certificados, á no ser que hayan obtenido sus li­ Cordon recaudación de esta renta , conviene establecer reglas para que saliesen en persecución de aquel con 20 caballos del se­ cencias absolutas, en cuyo caso quedarán sujetos á las re­ gundo escuadrón, solo ejerzan estos cargos aque…</t>
  </si>
  <si>
    <t>…era á bien, hasta estar mejor inform ado, no dar á los ru­ M. la Reina Gobernadora se ha dignado aprobar la per­ corresp on d a , cuanto está prescrito en las leyes de im ­ muta que han solicitado de sus respectivos destinos D. Juan mores guerreros que corrían, mas importancia de la que mere­ p ren ta , vigilando muy particularmente sobre su puntual Perez y R e y , juez de primera instancia de Cábuérniga en la cen. Ha observado también que la ciudad de Byr está situada observancia. provincia de Santander, y D. Pascual Ca…</t>
  </si>
  <si>
    <t>…ito del Collado y Ardanui ,que se diesen las gracias á la junta gubernativa , y á propuesta del señor en papel del 4 por 100 , y 1427 rs. 10 mrs. por los intereses este modo el espíritu,de emulacioa benéfica, se forme un con­ D. Juan A ntonio Seoane que se diesen igualmente á la junta de este. trapeso saludable y eficaz al espíritu de inmoralidad y exter­ de damas. Con ellos y los 755 rs. de otros donativos, y 25,520 á que m inio, consecuencia inevitable déla guerra civil que nos de­ El Sr. secretario general leyó el proye…</t>
  </si>
  <si>
    <t>…ntesino , Sánchez del Pozo, CLca, Cerbelió , Jaén, Prosiguiendo la discusión pendiente, dijo ventaja que concede el reglamento de usar de la palabra cuan­ Lillo 9 Verdugo , Cevallos , Rico , Sr. Presidente. El Sr. A L O N S O (D. Juan B autista): El Sr. Arteta ha di­ tas veces la pida , ningún Sr. Diputado ha de poder hablar co n­ Señores que dijeron no: Arrazola , Madoz, Arguelles, C u ­ cho que el mal cansa pronto, y el bien , aunque roas tarde, tra ella: hablando otros en contra de la enmienda, si la comi­ rado, M aidonad…</t>
  </si>
  <si>
    <t>…500 D . Pedro Yagiie.................... 10 grafía. PR IN C IPE . A las siete y media de la noche. Después de L. M. V. C ....................................................................y y i. 60 Viernes.zzDe siete á ocho , D. Juan M ie g , aleman. una brillante sinfonía se volverá á poner en escena el melodra­ M . G . . . ...................................................................................... 10 Idem.—De ocho á n ueve, D. José Olivan , inglés. ma nuevo, de grande espectáculo, en cinco actos, que tanto F. L…</t>
  </si>
  <si>
    <t>…que aun no rindiéXidó cada quintal po se abren zanjitas de hoyo á hoyo como media tercia de' patentes o diploma de la orden de la Jarretiera, conferida al de raiz mas de seis libras de azúcar, todo el costó de ésta hondo. Rey D. Juan vi, dos documentos góticos puros del siglo x, y será cuartillo y medio de plata por libra al fabricante, A los M ó 12 meses llegan estas cañas á su madurez y V9 autógrafo,dejas sartas de A!f°nso de Alburquerque, firmado que es exactamente, lo que cuesta en los ingenios de Cuba; estado-propio pa…</t>
  </si>
  <si>
    <t>…l cómico de la legua , en cinco actos , original de Mr. La sociedad humana está de tal manera organizada , que quecondiciones bajo las que se ha de subastar; en inteligencia Bayard, autor del Pilluelo de Paris , traducida por D. Juan ninguna pasión vehemente y exclusiva puede producir 20 del corriente mes áy las para su segundo último remate se halla señalado el dia del Peral. V zúas que sinsabor y desventura. doce de la mañana en la expresada Estela , ó el padre y la hija , comedia en dos actos, del dirección general, cé…</t>
  </si>
  <si>
    <t>…su clero á abstenerse de fomentar la discordia y desobediencia al Gobierno. Real decreto declarando al infante D. Carlos conspirador á DE CUENTA Y RAZON IMPRENTA NACIONAL. la usurpación del trono de España. Insurrección de D. Juan M artin de Balmaseda. Tentativa de un emisario de D. Carlos al general goberna­ EN P A R T I D A D O B L E , APLICADO AL COMERCIO Y A LAS OFICINAS DEL ESTADO dor de Ciudad-Rodrigo para la entrega de dicha plaza al in­ COLECCION DE LEYES, fante. POR D . M A N U E L FICTO R D E C H R IST A N…</t>
  </si>
  <si>
    <t>…s en las villas inmediatas B IB L IO G R A FIA . Gobierno político de la provincia de Murcia. de Olias y Vargas, acudirá á tratar con D. José de Bustamante y Bustillo ó con su apoderado D. Vicente Bueno, que vive en E L Alcalde Juan Z u rró n , juguete gracioso de representado Registros, la calle del Desengaño, núm. 12 , cuarto 3 .°, casa grande para celebrar las Pascuas de Navidad, con cuatro letras de que fue de padres basiiios. pastorela , arreglada cada una para las respectivas noches de Una mina de alcohol, sita en…</t>
  </si>
  <si>
    <t>…iones de los ayuu- Cataluña que me obligó á pedirla. Dijo S. 8, que la reforma PARA LA SESION DEL SABADO 9 DE FEBRERO BE 1839. de Jos aranceles se había hecho por beneficiar á Cataluña ; y esta Los Sre&amp;'CammoHiio y Mcratoya (D. Juan) hicieron suce­ proposición no hubiera herido mi susceptibilidad , si después Continuación de la discusión sobre la totalidad del proyec­ sivamente varias aclaracíoaes* durante las cuales entró en el sa­ no hubiera dicho que asi como las demias provincias se sacrifi- ■ to de ley pira estableci…</t>
  </si>
  <si>
    <t>…ón al tiempo de D, Ramón G¡raido, D. Lorenzo Villanueva, D. José Alonso, de 1837 de la ciudad de Murcia , para solo el efecto, por aho­ hacerla por el tomo ó tomos siguientes. D. Francisco Gutiérrez Soss-a, D. Francisco !&gt;ala, D. Juan A n­ ra , de que inmediatamente le dé el correspondiente aviso por Continúa aquella abierta en los términos y por el precio drés de Segó vía , D. Antonio Saenz de Vizrnanos (fiscal), y medio de su escribano de Cámara D. Manuel de Carranza del que se anunció en el prospecto, pero únicamente en l…</t>
  </si>
  <si>
    <t>…ración, y pasó á Otra i d . , collado del ag u a, término de Berja, Sto. Cristo pues la índole y las creencias del hom bre, l,a poptextura del la comisión especial nombrada para la reforma de la citada ley. de G utiérrez, por D. Juan M anzano, en 16 . melodrama ha seguido siem pte: inm u tá b Ió , pérjnaneciendo in­ El Se. Caballero, á consecuencia de la petición hecha por Otra id ., collado de los Valientes, término del presidio, diferentes en inverosimilitud sus peripecias y su corte al tras­ el Sr. 'leinprado, leyó la…</t>
  </si>
  <si>
    <t>…os en que Yo ponga la mia, Carmen, núm. 25, para junta geueral de acreedores á la ce­ Se abrió á la u n a , y leida el acta de la anterior, quedó en los cuales, y en los otros casos en que lo han hecho sión de bienes hecha por D. Juan M iguel, dueño del estable­ aprobada. vuestros antecesores, pondréis la vuestra por entero. Ten- cimiento de coches de alquiler, situado en la calle del Infante, Se dio cuenta de una comunicación del Sr. Ayala y Moría, dréislo entendido, y lo comunicareis á quien correspon- casa núm. 5, lo que…</t>
  </si>
  <si>
    <t>…o d o y , en 24» Bilbao, \ á £ d. Valencia, \ d. zerobusch.—D. Ventura de la Vega.—D. José María D ia z .n D o u Otra id.,cañ*d« de la Sinelva, término del Presidio, el En­ Cádiz, ¿ id. Zaragoza, par. Patricio de la Escosura.^D. Juan d-el Peral.zzD. José Zorrilla.ra gaño, po. Antonio Cuesta , en 27. D . Ramón de Navarrete.—D. Antonio García Gutiérrez.r=Lo? Descuento de letras , á 6 por 100 al año. artistas encargados en Madrid del desempeño de las lámiaa5t Registros* D . A ntonio Cavanna.nD. Antonio Gómez. Los Sres. susc…</t>
  </si>
  <si>
    <t>…e Tirso son las inceriidum bres Agosto de 1859. Proyecto de ley sobre estados excepcionales, presentado á las del g a la n : las intrigas y travesuras de la dam a para traer­ últimas Córtes por el ministerio de Diciembre.=:Por D. Juan le desvelado: hasta los chistes del gracioso son suyos. Donoso Cortés. Si las investigaciones eruditas que pueden hacerse en El genio. Los genios.r=Romance. Por D. Manuel Bretón de la escogida colección del Sr. Duran justifican esta opi­ Intendencia m ilitar de Castilla la N ueva . los Herrero…</t>
  </si>
  <si>
    <t>…blecido el 4 de Setiembre último en la calle la comisión, traduciendo al castellano en las oraciones de Cice­ correos en los diferentes puntos por donde deba pasar la cor­ del Obispo, núm. 2 6 , bajo la dirección del profesor D. Juan rón contra Catilina , en la del mismo en defensa de Ligario, respondencia viniente á las islas, y viceversa la saliente para Claudio Diaz, presentaron en la tarde del 14 de Marzo último en los epigramas de Valerio C átu lo , en las elegías de Ovidio, Europa. M anila i.° de Enero de 1859. ^Fran…</t>
  </si>
  <si>
    <t>…Varios vecinos de Puebla Nueva se dirigen al mino del Castillo, vecino del Ferrol, de parte de un folleto im ­ Congrego manifestando que los facciosos se apoderan de las ca­ preso en 15 de A b ril, publicado por los doctores D. Juan R a­ ña Isabel Herranz de M ontalvo, y la última en solicitud de bañerías de los particulares para hacernos la guerra y evadirse món de Barcia y D. Angel Hidalgo, declarando nulo con a u ­ que se declare extinguida la vinculación , conforme al decreto de las tropas nacionales; y á fin de reme…</t>
  </si>
  <si>
    <t>…ahorros por los pocos vechamiento en las piezas que tocaron al piano dirigidas por duela de latro-facciosos, habiendo sorprendido á tres de ellos, dias de trabajo que cuentan y el exceso de gasto á que obligan. la profesora Doña Juan a Boiseau. mientras robaban á un pasagero, y dado muerte al principal El reintegro de 2760 rs. verificado en aquel período de A l cerrar el acto no pudimos menos que expresar á la d i­ titulado el Blau de V illev ieja, célebre en aquel país por sus tiempo es igualmente un dato consolador, por…</t>
  </si>
  <si>
    <t>…varias aclaraciones. y por lo tanto insiste en que no debe sujetársele á reelección. son buenas para los países que se hallan en un estado normal; A petición del Sr. A yala y M oría, se leyó un oficio del se­ El Sr. MONTOYA (D. Juan) dice que ademas de ese dic­ pero nosotros que estamos en medio de una guerra civil ¿np ñor Secretario del Despacho de Gracia y Justicia , en que acom­ tamen hay un voto particular del Sr. M artin. tenemos bastante experiencia con lo que ha sucedido después paña copia del que con fecha 10 de…</t>
  </si>
  <si>
    <t>…sistieron al trabajo. currieron á tan importante jornada. lentitud; pero ellos la juzgaron indispensable y provechosa, Para manifestar á V. E. en lo personal mi gratitud , pasa­ La brigada de reserva del mando dél Sr. coronel D. Juan porque si es mas expedito reformar con decretos, no es tan se­ rá á hacerle una visita en mi nombre el Sr. general de briga­ Morales, cuyos movimientos d irig í, según las órdenes que me guro como preparando de antemano el terreno, y removiendo da D. Ignacio de M ora, y si V. E. tiene la dign…</t>
  </si>
  <si>
    <t>…cía sobremanera al Gobierno, solvió negativamente. dose de acuerdo con aquellas diputaciones provinciales, y apli­ pues estaba seguro que ningún Ministro se atrevería á dar la Se leyó otro artículo adicional del Sr. Carrasco (D. Juan), cando los productos de los portazgos, con lo cual se hubiera preferencia á un capitalista español sobre un extrangero sin que decía asi: podido concluir uu camino, cuyo coste hubiera ascendí o á estar autorizado para ello, por cuya razón aprobaba el artículo. Las cantidades que la caja invi…</t>
  </si>
  <si>
    <t>…u advenimiento al poder. Al preguntar si se aprueba, piden varios señores la pala­ incertidumbre: discútalo el Congreso, y el Gobierno, bien lo bra $ y laida la lista por el Sr. Presidente, resulta que la han El Sr. CARRASCO (D. Juan), después de manifestar que al apruebe, ó bien lo retire ó lo modifique; pero tengamos una firmar la proposición no habia tenido el menor deseo de recon­ pedido en contra los Sres. in fa n te , Baeza, Burriel y Yaldes; cosa fija. y en pro los Sres. Carrasco (D , Juan) y Cambronero. venir al Go…</t>
  </si>
  <si>
    <t>…fragata española nombrada la Antonia (alias la Victoria) rosamente á hacerla tan popular en Francia , que al son de noctado. Asegúrase hoy que vuelve á la provincia de G uipúz­ de porte de 750 toneladas, su capitán y maestre D. Juan aires favoritos hacen piruetas los intrépidos escuderos del coa, como que ya ayer emprendieron la marcha tres de los ba­ Quintín de Rábago, anclada en la bahía de Cádiz, saldrá sin Lirco olímpico ; al compás de los organillos que tocan el tallones citados con dirección á M ondragon; y el 5.° d…</t>
  </si>
  <si>
    <t>…adores: por la provincia de mente por el reino sin guia ni tornaguía. Albacete á D. losé M ana C alatrava; por la de Huelva á Y 2.° Que solo se someta á la form alidad de tales do­ D. Agustín Díaz Camaclio; por la de M adrid a D. Juan cumentos la moneda que se conduzca de un puerto á otro señalLadecuestión un de Oriente no ha llegado á ser la causa ó la cambio de Gabinete, como se ha dicho. Solo ha M nguiro c Irib arren y D. Eugenio L adrón de G uevara, de la P enínsula, y la que transite dentro de la línea de y por la de…</t>
  </si>
  <si>
    <t>…elis, vecinos del lugar de Sopeña, con D. Ju an M a­ espectaculoso cuya particular combinación nada se ha omitido sus versos dulzura, arm onía y expresión. En tanto de afec­ nuel Gutiérrez de P rio ,d e la ciüdad de C ádiz, y D. Juan A n ­ á fin de interesar á la concurrencia. La dirección ha cuidado, tació n en el len guaje pudiéram os notar ta m b ié n , si nues­ tonio de Mier y Terán en representación de su esposa Doña de esquivar los inconvenientes que ofrecen funciones de esta ‘ tro intento fuera aq u í buscar defect…</t>
  </si>
  <si>
    <t>…dehala, por la asistencia á su vecin­ Hoy viernes 18 se da principio á las lecciones de aleman ras y centavos de Castilla , reducidas por 184; útilísimo para dario y hospital civil de la misma : su vecindario consiste en por D. Juan M ieg, de siete á ocho de la noche, y D. José los que comercian en géneros de Cataluña. U n cuadernito en 8 .°, Olivan , de ingles, de ocho á nueve. unos 4OO vecinos, con circunstancia que en el radio de cinco á 12 cuartos en rústica. leguas no se halla médico n in g u n o , y en casos de urge…</t>
  </si>
  <si>
    <t>…s Francisco Rufel y Manuel M ontero, vecinos y labradores ter duradera: sabíamos que los deseos del hom bre no m o­ los admirables efectos que ahora contem plan las naciones del lugar de Fuencarral, por 5500: los herederos de D. Juan rían don lá glorificación del íd o lo de b a rro : sabíamos que ilustradas de Europa. Debe en verdad decirse que este nue­ Sánchez, administrador que fue de la reuta de loterías, por para satisfacerlos no bastaba aplicarles una forma material vo carácter no se muestra aun bastantemente m arca…</t>
  </si>
  <si>
    <t>…al servicio activo V illa - la librería de So jo , ¿ 4 4 rs» en Pasta* manca.=Viuda de Compañel, Santiago.=Sres. Hidalgo y com­ real y Sitnon Torre, que se hallaban de cuartel. pañía , Sevilla.^D. Clemente Riesgo , Santander.=:D. Juan J i - El Sr. comandante general de la sierra , Rodríguez, alcanzó merto , Valencia.—D. Pablo Rodríguez, ValIadolid.=D. Angel la retaguardia de la facción Balmaseda cerca de Canales el dia Polo y Monge , Zaragoza; y en las administraciones de correos 14, y la fue persiguiendo tres leguas en med…</t>
  </si>
  <si>
    <t>…rques viudo de Valladares.......................... . . L u g o . para representarla fielmente. Conde de Ofalia.............................................. Idem. Se hallará á 3 rs. en la librería de Cuesta, frente á S. Fe­ D. Juan M u g u iro .............................................. .. Madrid. lipe el Real. Con el objeto de evitar semejante escollo, se ha pro- D. Eugenio Ladrón de Guevara................... Idem. puestacl Sr. Tapia examinar la regeneración política ac­ D. Gaspar Remisa............................…</t>
  </si>
  <si>
    <t>…e atribuye á J a lu b í , el to­ plicio en la famosa Pata de Cabra , el celoso é inteligente ac­ pel de Elvira es muy á propósito para desplegar sus eminentes ledano, seguu una inscripción que se halla en el Alcázar y es­ tor D. Juan L om bía, que aunque ausente de la capital d u r a n ­ talentos de actriz y su facilidad como cantante. Seguirá Beli- tá traducida en algunos autores. te dos años conserva favorables recuerdos en el público m adri­ sario de D onnizzetti, que tantas veces y eu medio de gran­ El palacio tiene g…</t>
  </si>
  <si>
    <t>…todas las fuerzas navales de los Estados U n i— Saboya al referido coronel B u i l , penetró en la plaza del M er­ dos; y para construir, comprar ó íle ta r , arm a r, equipar y tri­ mano.=En Palacio á 21 de Mayo de 1839. = A D. Juan pular tantos buques y vapores en los lagos y rios del Norte, cado, donde algunos alborotadores se habían ju n ta d o , si bien Martin Carramolino. con designios menos dañados que los de la plaza de Sto. Do­ cuyas aguas se comunican con los Estados Unidos y la Gran mingo. Sin em bargo, corno á…</t>
  </si>
  <si>
    <t>…ntos y apostaderos, y los Hermenegildo Jiménez, á D. Ramón García Lomana, que des­ de dos años de prisión, confinamiento, destierro ó presi­ generales en gefe de ejército y fuerzas navales, destinarán empeña el de Valencia de D. Juan, considerándosele como dio, y también los que estuvieren encausados por cuales­ desde luego á los sargentos, cabos y soldados que se les yprestados en judicatura de término los servicios que contragere; quiera otros delitos que no sean de los exceptuados que se presenten sin causa pendiente a…</t>
  </si>
  <si>
    <t>….° Que una comisión compuesta de los Sres. alcades ordi­ Souto, aprehendiéndole su correspondencia , 4 caballos con daros la paz. La teneis, y me toca mas satisfacción en que deis narios Excmo. Sr. conde Sta. Inés y licenciado D. Juan B au­ monturas y armas , y 9 fusiles ; cuyo importante servicio lo principio á reparar vuestras proloogadas pérdidas, que ql que tista Cisneros y del teniente regidor decano auditor honorario prestaron las trepas de la izquierda del M iño combinadas con me haya tocado la suerte de secar la fuen…</t>
  </si>
  <si>
    <t>…á creer por ciertas comparaciones que hizo si serian de Her­ dia 9 de Diciembre próximo á las doce de su mañana en la con su régimen municipal, con su milicia concegil, acos­ rera. Hablaron sobre este punto los Sres. Segovia, D. Juan audiencia del Sr. auditor de guerra, que la tiene calle de Re­ tumbrada á pelear diariamente con los moros, debia con­ Nicasio Gallego, y D. Francisco Martínez de la Rosa; exten­ latores, núm. 7, cuarto segundo. tener en su seno una población valiente , laboriosa , mo­ diéndose este ultimo á c…</t>
  </si>
  <si>
    <t>…a acerca de los recursos de nulidad. Decreto ayer en esta cap ital, y por la tarde salió para V illareal con un buque tiene dos magníficas cámaras hechas con todo lu jo , en vigente en la m ateria, y observaciones sobre él por D. Juan convoy de víveres para Onda. La primera división , al mando las que los señores pasageros encontrarán cuantas comodidades Bravo M urillo. del Sr. general A zpiroz, sigue en aquella v illa protegiendo la pueden proporcionarse en un buque, teniendo también servicio El segundo número, con las ampl…</t>
  </si>
  <si>
    <t>…indicar bastante anticipación á la junta (&lt;m eeting) que ha de celebrar­ siguiente del siglo xv bajo los auspicios del Rey de Castilla los únicos medios posibles de hacer invulnerables los principios se en Birminghám* (I d .) D. Juan ti. Mas fuerte y pujante, mas llena de vida y movi­ conservadores de la sociedad, no incompatibles, como se ha he­ miento la literatura castellana al salir de su reciente letargo, cho creer á la deslumbrada m ultitud, con el bienestar y la li­ resonaban sus trobas eo los palacios y en la cort…</t>
  </si>
  <si>
    <t>…u puntual cum plim iento.^ Está rubricado de la Real roa» tras posesiones africanas, desapareciese con el pronto arre­ los monstruos que lograran por la fuerza y el terror le­ no.c=En Palacio á 23 de Setiembre de i 8 3 9 .= A D. Juan pentim iento, aunque arrancado con dolorosos sacrificios; vantar funestas huestes contra las leyes fundamentales del Martin Carramolino* y que si para conservar la preciosa joya de la tranquili­ paiTy el legítimo trono de mi excelsa Hija. dad fuera inevitable apelar á un estado excepcional, s…</t>
  </si>
  <si>
    <t>…urren­ el particular. misión ha cumplido un precepto de las Cortes, y que asi cual­ cia social de Europa un código que sale en 1859, vestido como quiera que pudiera ser mi impugnación , jam ás tendrá la mas en los tiempos de D. Juan n y de Enrique i r de Castilla? ternota alusión á los dignos individuos de la comisión. Pues á esto se reduce toda la novedad. Obligada esta á corresponder al grave y honroso cargo que No hay pais en E uropa, rep ito , donde abunden mas las TEATROS. le dio el Congreso, ha hecho cuanto podia…</t>
  </si>
  <si>
    <t>…icado con solución. (G. de Leipsick.) mente con el Sr. ingeniero encargado D. Elias Aquino, á las formalidades que la misma previene, tocó á los sugetos si­ fin de recoger ó tener prontas las ollas y demas útiles que guientes: D. Juan R u iz , D. José Figuer y Cubero, D. Fran­ los penados pueden y deben llevar consigo, economizan­ cisco Antonio de P a n d o , D. Felipe López Yaldemoro, Don Se sabe que Mr. Detmod y el doctor Cristiaoi fueron inti­ do asi á la dirección general de Caminos los gastos de Manuel Labraña , D. Fran…</t>
  </si>
  <si>
    <t>…el Martin y do parte en ella , la cuentan coino un hecho glorioso de armase Alonso, D. Manuel Regidor, D. Manuel Bretón, D. Juan EFECTOS PUBLICOS. mis conocimientos de la localidad y medios con que se ha con­ Miguel Inclan y D. Juan R u iz, quienes por unanimidad de­ seguido me la hacen ver del mismo modo; y la insignificante clararon haber lugar ¿ la formación de causa. Madrid 25 de Inscripciones en el gran libro á 5 por 100, 00. pérdida que hemos teuido, reducida á unos pocos muertos y Julio de 1859. Títulos al portado…</t>
  </si>
  <si>
    <t>…e desembarcar *qui m e n o r edad d e m i excelsa Hija la R eina D oña Isabel n , la actualidad no existe aun un remolcador para conducirlos en el momento de su partida uno de los dos guardas sanitarios, al d e la m isma clase D. Juan A ld a m a , q u e d esem peñ a allá inmediatamente, queda convenido que se construiráu al­ y conservarán el otro hasta su entrada en los Dardanelos, don ­ igual destin o en las Islas Baleares. T e n d ré islo e n te n d id o , macenes en el término mas breve sobre la puota de Fener- de deberán…</t>
  </si>
  <si>
    <t>…nido á bien nombrar M inistro y Secretario de Estado ataques, estoy cierto de que mi noble amigo el secretario de que pasé por delante de la Criolla. Me vi pues obligado á dar­ y de Negocios Eclesiásticos y de Justicia al Senador Juan C ar­ Estado del departamento de Negocios extrangeros no teme en­ me á la vela sin piloto. do o de Acuña y Araujo. Tendréislo entendido &amp;c.=: Al barón contrarse en un terreno con nuestros adversarios políticos. Si se He creído deber informar al M inistro de S. M . de estos he­ de Ribeira de Sa…</t>
  </si>
  <si>
    <t>…e marcha al frente de Segovia, D. Domingo Alejandro: Sevilla, Sres. José Hidalgo París, 1 6 -6 id. Granada, 1| id. la ilustración europea han acogido con tanto interés al autor y compañía: Toledo, D. Blas Hernández: Valencia, D. Juan M álaga, i id. y á su obra, poniendo á esta en manos de los jóvenes que se Bautista Jimeno: Valladolid, Sra. viuda de Roldan: Zaragoza, Santander, par á { id. dedican á este interesante ramo del saber humano; cuando por D. Joaquín Yagüe. Alicante, 1 á £ d. Santiago, 1¿ á 2 id. fin cinco edic…</t>
  </si>
  <si>
    <t>…y no se trata de competencia ; esta sigue al tri­ El Congreso quedó enterado de una comunicación del señor greso que revoque sus anteriores dictámenes, buna!, no afecta á la designación de la persona , y para que se Carrasco (D. Juan) en la que manifiesta que por su indisposi­ Que en su concepto la cuestión es muy sencilla y que la vea asi repito que basta leer el artículo {leyó}. De suerte que si ción no puede asistir á la sesión. comisión no encuentra motivo ni razón plausible por lo que lai leyes prescribieran ahora que…</t>
  </si>
  <si>
    <t>…d &amp;c. U n folleto en 4 .0, en buen papel é im pre- ra instancia de esta v illa, refrendada del escribano del cio antiguo 6 r s ., y moderno 4 * sion. El objeto de esta obrita es hacer ver que nuestro Vives núm ero de la misma D. Juan M anuel A g u ad o , se ha señalado Un vinatero y una vendim iadora, por originales del propic merece de justicia el renombre de prim er reformador de la filo­ el dia 4 de Agosto próximo venidero á las nueve de su m aña­ autor. Cada una 4 rs. sofía , que nos hemos atrevido á darle; y que á pesa…</t>
  </si>
  <si>
    <t>Juan, Antonio Movohilon y D.</t>
  </si>
  <si>
    <t>Antonio Movohilon y D. Juan</t>
  </si>
  <si>
    <t>…tas de* esta pro­ se cita , llama y emplaza por tercero y último edicto y en ciertos ('dios una eo-.a diierentt; fie la que indica la ora­ nia rgn, hecho por D. Manuel a - b s , vecino de G uarnizo, su término de nueve dias á D. Antonio Movohilon y D. Juan ción que nos ha servido de ejemplo. No por eso deja ue descubridor. Bolívar par¿ que se presenten en la escribanía de Amortización, ser cierta la'existencia de las dos ideas. Es pues en filoso­ sita en la calle del Lobo, núm. 8 , piso segundo á dar sus de­ fía la opinión…</t>
  </si>
  <si>
    <t>Juan, D.</t>
  </si>
  <si>
    <t>D. Juan</t>
  </si>
  <si>
    <t>…a , D. José de Acebo, D. Clemente Bernaídez, D. José Arau- jo y Alcaide, D. Joaquín de Echavarría , D. Ricardo López, D. Antonio González , D. José de Castejon, D. Miguel M ar- p O R el presente y providencia dictada por el Sr. D. Juan qüés y Villegas, D , Lorenzo Marau , D. Andrés M artí, Don José Rodríguez Yaldeosera, caballero comendador de la Juan Garay y Casal, D. Rafael Cañaveral, D. Francisco Ja­ Real orden Acbericana de Isabel la Católica , juez togado de EL LIBRO DE LOS NIÑOS, vier Sánchez y D. Juan José G il,…</t>
  </si>
  <si>
    <t>…uer­ Conocidos son ya del público los personajes principa­ zos, esparciendo de tiempo en tiempo mentirosas y pérfidas no­ les de los Cortesanos y la Revolución; poco nos detendre­ F&gt;OR el presente y providencia dictada por el Sr. D. Juan ticias sobre el progreso de sus tentativas, no han dejado de ex­ mos en analizarlos; sin embargo, en nuestro entender es- José Rodríguez Valdeosera , caballero comendador de la perimentar constantes y pesados reveses , habiendo sido muer­ tan mas hábilmente entendidos y manejados, y son de m…</t>
  </si>
  <si>
    <t>…ar­ muchas partes intransitables: por lo cual ha sido inmenso el tel general del gobierno militar de la plaza de Yelves 17 de beneficio que ha recibido con la reconstrucción de la expresada DE MORATIN. Marzo de 1859.=Excmo. Sr. D. Juan ae la Yera.=Juaa de la barca. Dios guarde á Y . E. mucho* años. Madrid 23 de Marzo Algunos han censurado al padre de nuestra comedia Mata Chapuzet.=Es copia. clásica, de que toda su fuerza cómica está en el lenguaje de 1839.=Exctno. Sr.=José Agustín de Larramendi.=Excelea- tísimo Sr. Min…</t>
  </si>
  <si>
    <t>Juan, D. Juan Cano Manuel. Sr. D.</t>
  </si>
  <si>
    <t>D. Juan Cano Manuel. Sr. D. Juan</t>
  </si>
  <si>
    <t>…sada Fernandez de Córdoba. Sr. D. José Fermín Muro. Sr. D. Juaa Alfonso Montoya. Sr. D. Alejandro Mon. Alava . Sr. D. Pedro José Pidal. Sr. D. Blas López. Gerona. Valencia. Albacete • Sr. D. José Antonio Pastell, electo. Sr. D. Juan Cano Manuel. Sr. D. Juan Pou. Sr. D. Antonio Ilom panera de Cos. Sr. D. Ramón Pretel de Cozar. Sr. D. Pedro Camps y Ros , electo. Sr. D. Román Ovejero. Sr. D. Diego Montoya. Sr. Sr. D. Bartolomé Amor , electo. Sr. D. Francisco Javier Rodríguez de Vera* Granada. Pontevedra. Alicante • Sr.…</t>
  </si>
  <si>
    <t>Juan, Enrique y D.</t>
  </si>
  <si>
    <t>Enrique y D. Juan</t>
  </si>
  <si>
    <t>…o Amador i.— señaladamente en las históricas, guia la íabula tan mal, y a la verdad m uy odiosos los caraetéres de los infantes Por su mandado, José Antonio Alcaráz Romero. a veces peor que Lope de Vega, tiene sin embargo no D. Enrique y D. Juan, pero no los calum nia, com o se usa pocas en que se reconoce mas artificio y corrección. Ce~ en el día: pues nuestros historiadores nos los han descri­ ios con celos se curan, Pruebas de amor y a m ista d , P or el to aun mas aborrecibles. Las comedias sobre asuntos reli­ TEATRO…</t>
  </si>
  <si>
    <t>Juan, Jorge</t>
  </si>
  <si>
    <t>Jorge Juan</t>
  </si>
  <si>
    <t>…Cabanillas los rendim ientos del qu in ­ española; y no será del lod o inútil recordar que la obsti­ frutos; pero n o sucedió a i; y muy al contrario, en la Am é­ quenio de 1761 á 1766 con el de 1777 á 1781, y llamó nación de D. Jorge Juan fue tanta, que pocos momentos la atención de la sección hacia la diferencia de unos á antes de m orir escribió á Cárlos 111 que juzgaba caso de rica , ú nico punto de los dom inios españoles en que se tra­ otros, que es de 106.333,960 rs. en los derechos cobrados conciencia aconsejarle…</t>
  </si>
  <si>
    <t>Juan, Luis San</t>
  </si>
  <si>
    <t>Luis San Juan</t>
  </si>
  <si>
    <t>…a Gobernación , que remitía el servicios que en Celanova prestase: para Murias de Paredes, tela de nuestra augusta Pieioa, y salvar el trono y la Constitu­ Sr. Ministro del ramo. que es de entrada, en la provincia de León, á D. Luis San Juan, ción del Estado. Se dió cuenta de que las secciones habían calificado no ser que obtiene el juzgado de Señorin de Carballino, de entrada, Quiera la divina P r o v i d e n c i a , Señora , seguir dispensando útil ni oportuna la proposición del Sr. Cahatnaño Pardo re-* en la referida…</t>
  </si>
  <si>
    <t>Juan, Vicente Diez Canseco y D.</t>
  </si>
  <si>
    <t>Vicente Diez Canseco y D. Juan</t>
  </si>
  <si>
    <t>…u nombre una tribu. Con su falta se disipó toda esperanza de cre.¿r estableci­ Para fertilizar las praderas los indios recurrieron al fuegos la mientos en la Luisiana. Sus desconsolados amigos c ierian ven­ D EFENSA verbal de D. Vicente Diez Canseco y D. Juan ceniza de las malas yerbas fecundaba el terreno, y con este gar su m uerte; pero un misionero , el abad Caval 3r, su her­ Bautista Alonso , pronunciada per el último ante la au­ abono natural crecía una nueva yerba excelente para los gana­ mano , contuvo su brazo rog…</t>
  </si>
  <si>
    <t>Juana</t>
  </si>
  <si>
    <t>…s se hallaban entregados al placer inexplicable ¿ T a n ciego, Samuel, estáis, Retirad vuestra sentencia, de verse y entenderse, cuando D. Enrique habia concedido al Que solo vos ignoráis Tened de Leonor clemencia. amor de Doña Juana dos dias de permanencia en el castillo; el Lo que pregona Castilla? poeta ha conocido que debia representar en el conde de T rasta­ ¿ N o sabéis que mi pasión El dolor y el abatimiento jamas han inspirado á una m u­ mara el doble y contradictorio papel de héroe de la caballería Por esa mug…</t>
  </si>
  <si>
    <t>…R E S C O ESPAÑOL. lugar. de D. Pedro y Doña Juana de Manuel aumenta la crueldad y barbarie de sentimientos propios del carácter del primero, y da E N T R E G A 19 DE L A SEGU N DA S E R IE , nuevo realce al heroísmo de Doña Juana por la fiera nobleza con que rechaza su arnor. Cuando este, viéndose despreciado por g N virtud de providencia del Sr. D . Benito Serrano y A lia ­ c o r r e s p o n d ie n te a l d o m in g o 2 d e JuniOo ella , le dice que un caballero muy gelan la am a, y que tal vez g a , juez de primera…</t>
  </si>
  <si>
    <t>…L a ejecución del Infante con mayor fuerza y energía. D. Pedro la arrastra hacia la es­ D. Enrique . . ¡ Y vuestro h on or! M ieutras vence D . Beltrán. c e n a ; pero el pueblo y la nobleza hau dado ya el grito de "m u e­ Doña Juana . ¡ Suerte funesta! D. Pedro . . . . Pues asi se ha de cu m p lir, ra el R e y .” D. Enrique . . ¡ Y vuestro h on or! ¿sabes que él Rey os a m a ? D . G u tierre; asi se h a rá , E o tra D. Gutierre anunciando que la sedición ha estallado; ¿Sabéis que sus pasiones violentas Que soy el Rey de…</t>
  </si>
  <si>
    <t>…umillar al virey de E g ip to , a y u ­ los ojos mas perspicaces parecían naturales, trabajada con ex­ Dirección general de Caminos, Canales y Puertos.^E xce­ daráLaá Mahamud en el mar. traordinaria delicadeza por la alumua Doña Juana G a v i l á n , Turquía tiene necesidad de reposo; de consiguiente de­ por lo cual esta ilustre corporación no puede á nuestro juicio lentísimo S r.: En vista de la Real orden que Y. E. se ha ser­ be ceñirse al espíritu del tratado de K utaya , por el que se ¡ desentenderse de dar demostracio…</t>
  </si>
  <si>
    <t>JUDICIALES, Rudesindo Gea. PROVIDENCIAS</t>
  </si>
  <si>
    <t>Rudesindo Gea. PROVIDENCIAS JUDICIALES</t>
  </si>
  <si>
    <t>…anera que los cortos límites de nuestro pe­ López Rebolledo, tercero D. Santos Sanz, cuarto D. Manuel ! ■■«■"I.' ■. ■■■ riódico y los muchos materiales preparados para este dia, nos Ezrnir , quinto D. Custodio izquierdo, sexto D. Rudesindo Gea. PROVIDENCIAS JUDICIALES. impidan extendernos acerca de una producción que tanto hon­ Síndico: D. Andrés Casajus. ra á su autor y que tantos aplausos ha merecido del público de Huesca 12 de Diciembre. Sugetos honrados, ricos, labo­ Alcaldía constitucional.—Primera demarcación. esta cap…</t>
  </si>
  <si>
    <t>JULI</t>
  </si>
  <si>
    <t>…g ún sobrante á 1a Pen ínsu la: ma^ G ra n B re tañ a ? Testimonios de su p o der, precauciones contra so , titulado nana serán ricas y florecientes. sus enem igos, red inmensa para asegurarse el dominio de los E L C O N D E D. J U L IA N . Tienen muy buenos puertos y defensas respetables: a lg u ­ mares. Pero motivos también de perpetuo sobresalto, de gastos nos buques de vapor bastarán á aniq u ilar la p ir a te r ía , dando exorbitantes, gérmenes fecundos de guerras terribles que esta­ completa seguridad al comercio.…</t>
  </si>
  <si>
    <t>JULIAN</t>
  </si>
  <si>
    <t>…yor nio pióximo y hora de las 10 de su mañana en el piso bajo d&lt; Tous y Fiol. brevedad , el drama n u ev o , o r ig in a l, histórico , en siete cua­ la audiencia que fue repeso. dros y en verso , titulado VACANTES. E L CONDE D. J U L I A N . p O R providencia de 51 de Abril de este año del Sr. juez di E S T A vacante la escuela de primera educación de la villa de primera instancia de la ciudad de.A storga y su partido. Santa M aría de N ie v a , en la provincia de S e g o v ia , que</t>
  </si>
  <si>
    <t>…an Sauz. dros y en verso , titulado A lbaida,á fin de que comparezcan á deducirle en forma en d i­ La persecución de los enemigos se continúa con la mayor cho juzgado privado de la Guardia R eal, y por la escribanía EL CONDE D. JULIAN. actividad posible; y sabiendo yo que los enemigos se reunían del mismo á cargo del infrascrito secretario, por medio de pro­ en fuerza hacia los cortijos de M alagon, dispuse saliesen las curador con suficiente poder, dentro del preciso y perentorio columnas á la Mancha y marchasen sobre…</t>
  </si>
  <si>
    <t>…, o rigin al, G ualconda . M e parece y quiere públicamente histórico , en siete cuadros y en verso , titulado que dentro de pocas horas ver cortada la cabeza habrá vivido el aleve. del hombre c u y a fiereza E L C O N D E D. J U L I A N . P u ren . ¿ Y no mudarás de intento? 110 halló nunca un inocente. Y t ú , rabiosa p an tera, U) Quaesivit coelo lucem ingenuitque reporta. Virg. L. 4* ven, aunque tarde, conmigo</t>
  </si>
  <si>
    <t>…ar lo s o , titulado poniendo en boca de los persouajes sus propias aprensiones, ó oscuro , y aventajarse á los benedictinos con el don de abreviar, las de su tiempo, y falsificándolo y estragándolo todo, sin a u ­ E L CO NDE D. J U L I A N . toridad y sin primor. de expresar y compendiar en algunas palabras agudas y preci­ sas, á lo Montesquieu , lo que cogeria veinte páginas en los » Por tanto , el primer paso fundamental de cuantos tra - monges V ic y Vaissete ” » n de historiar algun a de las grandes naciones del Occ…</t>
  </si>
  <si>
    <t>Julian, D.</t>
  </si>
  <si>
    <t>D. Julian</t>
  </si>
  <si>
    <t>…sta , que por si pudiesen poner en.escena la grande ópera en cin co actos, del maestro ser útiles á algunos 5res. diplomáticos ó letrados , se darán por D o n i c e t t i , titulada un moderado precio. P o r providencia del Sr. D. Julian P a u l , regidor primero en L U C R E Z IA B O R G IA . Esta colección , que esta tomada de originales de la primera I» villa de Turrejon de Ardo?, refrendada por el escribano secretaría de E stad o , archivo de Simancas y otros, comprende éel número de la misara Migue! del O j o , se…</t>
  </si>
  <si>
    <t>Julián</t>
  </si>
  <si>
    <t>…iez y ocho batallones vascongados y castellanos, parte todos los que se crean con derecho á los bienes quedados al fa ­ E L HOMBRE GORDO. T , de otro, tres escuadrones, unas compañías de artillería y za­ llecimiento del doctor D. Julián G ardeta, abogado del ilustre padores , y un gran pelotón de oficiales han depuesto las armas colegio de la misma, para qqe en el término de 50 dias si­ 5.a Boleras á ocho. en vanos puotos. guientes al de la publicación de este anuncio en la Gaceta se »E] extraordinario D. Francisco Cuesta ,…</t>
  </si>
  <si>
    <t>…hecho llegar hace a l g ú n tiempo á El Craken , historia natural. ^ Otra id., sierra Almagrera, barraoco Jaroso, término de manos del edit or, que ha : creído reimprimirlo por su glorioso Cuevas, Sau Francisco de Paula, por D. Julián L ó p e z , en 50. L a semejanza, anécdota. recuerdo, consagrándolo á sus conciudadanos, hijos de aque­ Efectos del matrimonio. llos valientes, y herederos de aquel legado. Gran muralla de la Chiua. Dem arcaciones dadas, Se halla pues venal en la librería de Matute, calle de Car­ El cura…</t>
  </si>
  <si>
    <t>…s por muchos años, sobre lo cual se expresa asi Nos dispensa generosa por sí ó por , persona que legítimamente la represente á usar del aquella memoria. Este asilo á nuestra edad. derecho que la asiste como heredera del doctor D. Julián G ar- "También era obstáculo no menos poderoso la manía guber­ Gracias, señor presidente; deta en los autos de su testamentaría, en la inteligencia que de namental de querer restringir la enseñanza, de modo y mane­ Gracias, dignos magistrados; no hacerlo la parará perjuicio. ra que solo la p…</t>
  </si>
  <si>
    <t>…anteriores, se han hecho acree­ r Hace algunos dias que se hacían circular en Cherburgo r u ­ d e los dias d e S. 31. la Reina G obernadora. dores á igual premio. mores de que toda la tripulación del navio Asia , que pertenece D. Julián 1 orreoova, de 15 años de edad , número prime­ Ú dicho puerto, había sido emponzoñada, y que una gran parte Señores: Cuando en 17 de Abril último celebró esta socie­ ro de la séptima clase, por su aplicación y mérito en los ramos de sus individuos había perecido. El hecho del envenenamiento e…</t>
  </si>
  <si>
    <t>Julián, D. Pedro</t>
  </si>
  <si>
    <t>D. Pedro Julián</t>
  </si>
  <si>
    <t>…juntas del almirantazgo Com unicado de un Sr. abad de Galicia sobre la alusión he­ que está establecida en la casa llamada de los Consejos, piso cha del Madrideño en el Discurso canónico» legal. prin cip al, á presencia del Sr. D. Pedro Julián A u p etit, au di­ Noticias extrangeras. tor de M a iiu a , honorario de Guerra y asesor general del ramo Idem de España.</t>
  </si>
  <si>
    <t>…clase de la orden militar de San Fernan­ Juzgado de Marina. do, se verifique en todas sus partes con arreglo á la letra Por el presente y en virtud de providencia dictada por el BIBLIOGRAFÍA. y al espíritu de sus estatutos. Sr. D. Pedro Julián A upetit, auditor de M arina, honorario de G ierra y asesor general dei ramo en la corle, se cita , llama y emplaza á José Montero, buzo que fue en el arsenal del de- H I S T O R I A y viajes de los Borbones de España y los de Go- pagamento de Ferrol , residente en esta corte, coya h…</t>
  </si>
  <si>
    <t>Justicia</t>
  </si>
  <si>
    <t>…ues j el silencio de la G a ceta ? ” saber por qué motivo 00 se ha completado. Los hechos hablan: los dócúmehtó^ de que hoy se da ¿ion dé Marcouell que se han aproximado á tiro de fusil de qsta M r. Ernesto antiguo ministro de Justicia : Señores, debeií plaza; h^biendp coiiseguido solo probar de nuevo la decisión de suponer que nos hallamos impacientes de dar por nuestra par­ notjcia responden á todosdos cargos}: ellos revelan que es la M d ic ia,nacional, y.jrecipdgriq, a quienes súbitam ente han te las explicaciones q…</t>
  </si>
  <si>
    <t>…tema político suceda uno m alo, y de Marzo de 1839.= Hompanera de Cos.£=Sr. gefe polí­ deración los embarazos de los sufren. la Inglaterra ha pasado mas de una vez de tbaños de los torys tico de...... Mr. E rnst, ex-ministro de Justicia, os ha dicho ea una se­ sión precedente que seria mejor no ceder sioo á la fueres, cuan­ á las de los whig», y vice versa, sin que su Constitución haya do un ejército enemigo viniese á obligaros; considerarlo bien: sido alterada en lo mas mínimo, ni su grandeza se haya mé- DIRECCION GENE…</t>
  </si>
  <si>
    <t>…e guardia. dor, reposa sobre las comunicaciones que permiten á los ex- ^Otro grupo de 1200 á 1500 jóvenes se presentó en casa del G R A N B R E TA Ñ A . trangeros frecuentar cada dia mas sus preciosos establecimien­ Ministro de Justicia que se haballaba ausente. Circula ahora en tos termales.” orden por Paris ; pero en un silencio que mal disfraza sus ocul- . El corregidor rogó al Príncipe fuese él intérprete de los sen­ tas ideas. Corre la voz de que ha habido corridas en el boule— Lóndres 11 de Julio . timientos de gr…</t>
  </si>
  <si>
    <t>…arte se­ H ay , en lugar de cruzar en la bahía de Vizcaya , debia haber da resistencia á ella es imposible. ñalada á los aprehensores. estado durante el invierno último en el golfo mejicano, ó en M r. E rust , antiguo Ministro de Justicia, sostiene la opi­ 4*° Los vecinos de los pueblos que encubran ó auxilien de las costas de Persia para dar mas vigor á las quejas tan inútil­ nión contraria. algún modo á los desertores, serán juzgados militarmente y su­ mente dirigidas por nuestro embajador al Shah. M r. Fallón reproduce lo…</t>
  </si>
  <si>
    <t>Justo</t>
  </si>
  <si>
    <t>…iostalacion del N U E V O F A N A L en que se trabaja N dm . 6.° Capitanía general de Andalucía. = ExceIentí- actualmente sobre la punta de Santa Catalina. ; ino Señor: Siendo uno de los objetos mas sagrados la cor­ Illescas D. Justo M oreno, quienes con grande exposición fue­ ron los primeros en destechar el pajar donde estaban los refe­ Siendo necesario para el complemento de tal propósito adop­ respondencia particular , y necesitando que la mia llegue tar medios que fijen el carácter distintivo de ambos fanales , se á…</t>
  </si>
  <si>
    <t>…mañana en dicha direcciou mo que tenian recogido los facciosos; y si en realidad no fue­ cilia , en 4* general. ron conducidos los granos á esta plaza por lo difícil del tras­ Otra id ., id ., id ., id ., Santa G ertrudis, por D. Justo porte , se hizo en lo equivalente al valor de los mismos. Asensio García , en 4* A l arribo de nuestros leales en aquel pueblo se supo de que Otra id ., id ., id ., id ., Santa C la ra , por D. Ju an Parra BOLETIN DE COMERCIO. en el lugar de Fayon, á la derecha del Ebro, se abrigaba el bau- S…</t>
  </si>
  <si>
    <t>JVinchélseaxTX</t>
  </si>
  <si>
    <t>…la mayoría requerida por la ley, por lo cual han quedado nom­ cercaEl deministro de Rusia se preparaba á ir á vivir á K a ti-K ie u / cular. Begler-Bey , residencia en tiempo de verano del Sul­ brados inspectores. E l conde de JVinchélseaxTX viernes prdximo presentaré los que faltan. (Id.) M añaua se procederá al nombramiento de tán , con el fin de estar mas en disposición de hacerle la corte. la cuestión de un modo á propósito para obtener respuesta. La guerra es inevitable, y si hasta ahora no se ha empeza­ Lord Brough…</t>
  </si>
  <si>
    <t>Jáu</t>
  </si>
  <si>
    <t>…20755 70000 dos terceras partes de dichos aprecios ó en efectos de la deuda pertenecen al partido carlista. Soria......................... 36 147125 576245 de un valor equivalente á efectivo; con prevención de que el El general Jáu reg u i ha sido llamado á Tolosa por el conde T o ledo .................... 90 442666.. 6 656785 expediente estará de snanifiesto para instrucción de los licitado- de Luchana. Va á organizar un cuerpo de chapelgorris que es­ T arrag o n a 1 115824 220000 res en la escribanía mayor de mi cargo, c…</t>
  </si>
  <si>
    <t>Kaenigsmark</t>
  </si>
  <si>
    <t>…riente se abriesen en Constantinopla, pero que la Inglaterra consentirá MBMa—w— «mdnwiJr. un mm«Btaihwiiwm mwni irn ■m■maaftBBgg Barón de S t u r m e r , internuncio de Austria* en ello-difícilmente , y el Austria jamás. Conde Kaenigsmark , ministro de Prusia* Barón R o ussiu, embajador de Francia. NOTICIAS EXTRANGERAS» Boutenieff, ministro de Puusia. F R A N C IA . EGIPTO. C ircular d e M eh em et-A lí d los bájüeb. Bayona 4 d e Setiembre. A lejandría 6 d e A gostó . El C a p u -K ia ja ha entregado al v ire y una…</t>
  </si>
  <si>
    <t>Kaveliue</t>
  </si>
  <si>
    <t>…das desde el anterior por las tropas que operan en ciller procedió á conferir el grado de doctor honorario en de­ tro de la tarde. aquellos distritos, las cuales son en resumen haber quedado recho al conde de O rlo ff, al general Kaveliue, al consejero Lo que se avisa al público para su debido conocimiento* muertos en el campo en los diferentes encuentros que estas han Gouksffsky y al vizconde Torrington. tenido con la facción los rebeldes Domingo González, de A lge- El doctor Philimore pronunció en seguida un discurso en ci…</t>
  </si>
  <si>
    <t>Kempton</t>
  </si>
  <si>
    <t>…s de que el comercio no pueda padecer equivocación. He aqui ea En el New-York Gazette se lee lo siguiente : Globe del sábado último. sustancia el tenor del decreto. El comandante del ejército liber­ América del Sud. =E1 capitán Kempton, W m . C N ye, Hé aqui el texto del co n venio fra ncé s: tador D . José Urrea, considerando los muchos riesgos que tie­ procedente de Rio-Janeiro, de donde se hizo á la vela el 1.° de Luis F elip e , R ey de los fr a n c e s e s , á todos los presentes nen que correr los buques que se hall…</t>
  </si>
  <si>
    <t>Kertell</t>
  </si>
  <si>
    <t>…or azúca­ da , sin un resarcimiento proporcionado, concluye íat coinisron del Rey: de manera que la suérte del traidor Balmáseda era res , arroces, tabacos , viuos &amp;c. puedan creerse perjudicados. apoyando la proposición del Sr. Kertell contra él. tan critica, que se ha visto en ]a necesidad de dividir su fuer­ za, habiendo 4 O caballos suyos atravesado el camino real, y pasado á la media nocbe der 17 por U Aguilera; el resto Idem 26. dirigió con su caudillo hacia Áranzó,de Torre en direccioa D EL REINO. á lo interior d…</t>
  </si>
  <si>
    <t>Keunedy, Guillermo</t>
  </si>
  <si>
    <t>Guillermo Keunedy</t>
  </si>
  <si>
    <t>…nados (sin dar parte de ello rechos de puertas de la ciudad de Salam anca, solo se ha pre­ oficios que se hicieren por el Tribunal Supremo y au­ proponiendo el oportuno remedio) culpas de las que que­ sentado proposición por D. Guillermo Keunedy haciendo la diencias de la Península é islas adyacentes se prefiera, en dan designadas, ó defectos de capacidad, de aplicación, oferta de 5y por lOo sobre la mas alta que se haga tanto eu igualdad de circunstancias, á los dueños de los mismos, ú otro cualquiera de trascendencia c…</t>
  </si>
  <si>
    <t>Kiclmansegge</t>
  </si>
  <si>
    <t>…mirna que alcanzan hasta el 9. Las noticias de no á Paris. Se cita entre otros al gran escudero Mr. de W a s - p o rtan te salu d . 5onstautinopla son del 7. Ocupábanse allí exclusivamente los genstein, dimisionario; al conde de Kiclmansegge, antiguo ínimos de la destitución del almirante Roussin, que natural- gobernador; al general Decheu ; en fin, Mr. M urchausen, en­ neuce no obtiene la aprobación del D iario d e Sm irna . viado en Londres, pasará aqui el tiempo de «u licencia. R E A L DECRETO. {Debáis.) ('T em ps .)…</t>
  </si>
  <si>
    <t>Kilómetro, Juan García de La- TEATROS.</t>
  </si>
  <si>
    <t>Juan García de La- TEATROS. Kilómetro</t>
  </si>
  <si>
    <t>…............ .. 10 metros. y con la debida justificación á reclamar sus créditos en el ju z ­ Hectómetro......................................................................100 metros. gado de S. S. y escribanía numeraria de D. Juan García de La- TEATROS. Kilómetro.................... .......................................... 1000 metros. Madrid ; bien entendido que pasado dicho término sin haberlo M i r i a m e i r o .................................................................. 10000 metros. ejecutado, les parará…</t>
  </si>
  <si>
    <t>Kios</t>
  </si>
  <si>
    <t>…s que-se.previenen en la ley se debía aper* Somcruelos, y secretario al Sr. Perez Hernández. E l Sr. P R E S I D E N T E dijo que la comisión, de Gobierno lar á los gefes m ilitares, y ora para resistir á los facciosos ó El Sr. Kios fue agregado á la primera sección. interior apreciaba mucho las observaciones del Sr. Sancho , y para prevenir los tumultos que pudieran ocu rrir en sus disfriA El Sr. PRES1 D E N T E : Orden del día. Continua ladiscu­ las tendría á ¡a vista. tos , con venia estuviesen revestidos de facultades…</t>
  </si>
  <si>
    <t>Knesebeck</t>
  </si>
  <si>
    <t>…a vocados están ciertos colegios electorales acerca de nuestras i n ­ sa de Cambridge llegaron á las doce y media en dos coches, 10 d e M a y o . tenciones paternales , cometiendo actos contrarios á sus ver­ acompañados del barón Knesebeck , de la baronesa Aheleúeld y daderos intereses, queremos que la presente proclama se in ­ del mayor Stephens. S. A. R. la Duquesa de Glocester , acom­ Continuando la discusión sobre] tomar en consideración la serte en la primera sesión del Boletín d e las l e y e s . Hannóver 5 proposición…</t>
  </si>
  <si>
    <t>KosreW-bajá</t>
  </si>
  <si>
    <t>…nes de carlistas» Nezib. El Capitan-bajá fue llamado, y no le quedó otro arbitrio d o los partes siguientes t que refugiarse á los Estados de Mehemet-Alí. Se asegura que Excroo. S r.: El Excmo. Sr. duque de la V ictoria, capitán KosreW-bajá ha reclamado la intervención de la Rusia, y se general , y en gefe de est03 ejércitos, desde su cuartel general cree que én breve aparecérá una escuadra rusa en el Bosforo. de Ochandiano me dice entre otras cosas lo siguiente: He lle­ El Morning-Chronide atribuye á la influencia de la…</t>
  </si>
  <si>
    <t>Kte</t>
  </si>
  <si>
    <t>…iendo I . ..ores muestras de fina atención y deferencia con la segundad de b®ber ^ fa m ilia , comitiva y sobre 5 , 0 0 hom bres, coyas arm as pusieron desde luego á m i disposición , quedando en a r - KglM los cabaHos. E Sr. Kte glorioso día p ara ventora d* *r“ " h a ja la nación , p r o b a d o . • ü ! “ mas'ía'nrar i los rebeldes que despreciaron los beneficios del convenio d e n - ,r° X l r r “ Íu o u S fm ie nua«oa d°e S. M . este fausto suceso, no menos i m p ? , ', ? ™ el e Y e r g .r . e n M d e n o s t e ú…</t>
  </si>
  <si>
    <t>Kuntz, Pedro</t>
  </si>
  <si>
    <t>Pedro Kuntz</t>
  </si>
  <si>
    <t>…entaba proscribir la comedia de Mo­ Pintura, tal, procuro su adquisición, porque desde luego concibió la idea de quesería un espectáculo nuevo, grandioso é interesan­ liere y la tragedia de Hacine; no trataremos de domostrar D. Pedro Kuntz, martes y jueves de nueve á diez. te. En efecto, La Degollación de los Inocentes es un dra­ toda la inmoralidad, la inconveniencia y falsedad de su ma que reúne a un sabor bíblico , que no podrán menos de sistema: hoy que tan desacreditada está, hoy que sin apo­ Los que deseen matricul…</t>
  </si>
  <si>
    <t>la Constitución, Zea Bermudez</t>
  </si>
  <si>
    <t>Zea Bermudez la Constitución</t>
  </si>
  <si>
    <t>…cho lumniando nuestras instituciones; y supuesta la misión, «i cuan­ sidio la primera vez es porque estaba yo á 800 leguas de Espa­ por esa turba de publicistas á la Constitución del año 1 2 , no do se le dio habia jurado el Sr. Zea Bermudez la Constitución ña. Es menester que se sepa que nunca torcí mi camino , que es que era oligárquica, sino que era democrática, y creo que como está mandado. nunca tergiversé , y ninguno puede disputarme el honor, fir­ democracia y oligarquía implican algo. El Sr. Ministro de E S T A D…</t>
  </si>
  <si>
    <t>la Convención, Si</t>
  </si>
  <si>
    <t>Si la Convención</t>
  </si>
  <si>
    <t>…o sus fusiles se dirigieron al punto donde se hallaban , y ha­ llones. todo el papel moneda en oro ó plata? biéndoles div isad o, á los gritos de viva Isabel ii echaron á Tam bién ve con gusto S. E. el celo y tino de su capitán Si la Convención creyese necesario todo el término de un correr por un barranco; pero á los pocos disparos de estos va­ director de la com pañía, y la actividad y buen desempeño de mes para preparar á millares de ciudadanos á obtener la Carta lientes se rin d ieron , y mañana saldrán para esa á disp…</t>
  </si>
  <si>
    <t>La Cám, Schile.</t>
  </si>
  <si>
    <t>Schile. La Cám</t>
  </si>
  <si>
    <t>…ción y silen cio,) Señores, rechazo Hannóver 2 de Marzo de l839.=Ernesto Augus|o.=F¿rma- que haya llamado su atención sobre una cuestión tan delicada. con toda mi fuerza las cláusulas del tratado que está cometido d o , barón de Schile. La Cám ara se separa.</t>
  </si>
  <si>
    <t>La Cámara</t>
  </si>
  <si>
    <t>…e lip e , R e y de los franceses. los fondos públicos; pero es probable que experimenten alguna mas breve término , alguna comunicación sobre el particular. A todos &amp;c. baja cuando se sepa que á pesar del deseo del Presidente de La Cámara comprenderá en consecuencia que yo faltaría á mi Hemos ordenado y ordenamos lo sig u ie n te : conservar la p a z , el Senado y las Cámaras de Representantes deber discutiendo la cuestión y tratando de puntos sobre los Adm itida la dimisión que el vicealmirante M r. Rósame! ha han declarad…</t>
  </si>
  <si>
    <t>la de, Gracia</t>
  </si>
  <si>
    <t>Gracia la de</t>
  </si>
  <si>
    <t>…rase que consignarla el principio A ó la frase con­ próximo y decidido á sufrir como celoso de ella; pero no me Consejo, no me tocaba á mí contestar; sin embargo, dije que venidos-, oigo decir al mismo tiempo al Sr. Ministro de Gracia la dejaré arrebar fácilmente. No quiero menoscabar los fueros, la idea ó cláusula se pondría en el art. 1.° del proyecto de y Justicia y al Sr; Sancho: y pregunto yo ahora á S. S , ¿ los re­ pues miro á los que los tienen como hermanos de una mis­ la minoría que el Gobierno hacia suyo. sult…</t>
  </si>
  <si>
    <t>La de, Juan García de La</t>
  </si>
  <si>
    <t>Juan García de La La de</t>
  </si>
  <si>
    <t>…Valladolid, se ha equivocado el nombre de uno de los se inserte en la Gaceta este llamamiento, comparezca en el juzga­ señores D iputados, que en lugar de G o n zá le z, debe decir G¿zr- do de b. 8. y escribanía numeraria de D. Juan García de La La derrota de los pedantes: un cuaderno en 8.° rústica á nier. M aund por medio de procurador con poder bastante , á usar 2 rs. oe su aerecho►en los autos formados á su instancia sobre enaje­ nación en publica subasta de diferentes fincas de su pertenencia, Carta histórica sobre…</t>
  </si>
  <si>
    <t>la de, Ministro de Gracia</t>
  </si>
  <si>
    <t>Ministro de Gracia la de</t>
  </si>
  <si>
    <t>…e con laseí'rase que consignarla el principio A ó la frase con­ próximo y decidido á sufrir como celoso de ella; pero no me Consejo, no me tocaba á mí contestar; sin embargo, dije que venidos-, oigo decir al mismo tiempo al Sr. Ministro de Gracia la dejaré arrebar fácilmente. No quiero menoscabar los fueros, la idea ó cláusula se pondría en el art. 1.° del proyecto de y Justicia y al Sr; Sancho: y pregunto yo ahora á S. S , ¿ los re­ pues miro á los que los tienen como hermanos de una mis­ la minoría que el Gobierno haci…</t>
  </si>
  <si>
    <t>la de, Muriei</t>
  </si>
  <si>
    <t>Muriei la de</t>
  </si>
  <si>
    <t>…lo s 111y le d au una parte no p equ eña en la gloria de E n las paginas 43 y siguientes de la in tro d u c ció n ejer­ P aris, 16 - 6 . G ranada, 1 ] ¿ 2 id. esta producción literaria. A hora com pleta con la presente ce el Sr. Muriei la debida se v e rid a d contra ei modo con M á la g a , J- á 1 id. o b r a el cuadro de aq u e l rein a d o magnífico y precioso para que se ejecutó la expulsión de ios jesuitas. Confiesa q u e S antander, par din. Carlos in , a te rra d o por las sugestiones del partido filosó­ Alicante,…</t>
  </si>
  <si>
    <t>la de, Osea</t>
  </si>
  <si>
    <t>Osea la de</t>
  </si>
  <si>
    <t>…v ariacio n es, y por últim o quedó lleno de Concluida la lectura de este proyecto, el Sr. V ila reclamó de Castroterreno, quedando agregados el primero á la 5.a sec­ contradicciones: el artículo está claro , aun cuando el Sr. Osea la de un documento que estaba en secretaría; y sin que se ac­ ción , y el segundo á la 4-a cediese á su reclamación , se mandaron leer por orden del señor ha dicho que no , y que no fue eso lo que aprobaron las Cor­ El Sr. Ruiz de la V e g a,c o m o Secretario de la comisión e n ­ tes. No sé…</t>
  </si>
  <si>
    <t>la de, Osoria</t>
  </si>
  <si>
    <t>Osoria la de</t>
  </si>
  <si>
    <t>…han tenido lugar. no sea fundada en las bases del crédito, en la seguridad de los tivo, ademas de la viudedad que disfruta por el monte pió mi­ El Sr. MADOZ manifiesta que desea como el primero que litar , para sí y su hija Doña Osoria la de 123 rs, vn« anua­ se respete la memoria de un valiente, y mucho mas la del ge-- capitales , y en el concierto de la administración y ramos que la componen, inútil será que sea aprobada, porque después de les, abonable también por el tesoro público como pensión de neral Quesada, que mu…</t>
  </si>
  <si>
    <t>La de, Quinto.</t>
  </si>
  <si>
    <t>Quinto. La de</t>
  </si>
  <si>
    <t>…IONALES. por las secciones para la comisión de f ueros, se ha padecido la mentos para anonadar los despojos de la facción por un golpe J u lio d e 1839. equivocación de poner al Sr. G utiérrez d e Ceballos en vez del de maoo. Sr. Quinto. La deserción continúa , y á D. Carlos le acompañan en sus Estado demostrativo de las fincas que la junta ha adjudicado incursiones V illare al, Valdespina y el coronel Montenegro; en dicho mes á los mejores postores, según los resultados de pues de todos los demas ha sido abandonado. Se dic…</t>
  </si>
  <si>
    <t>La de, Rafael Sánchez.</t>
  </si>
  <si>
    <t>Rafael Sánchez. La de</t>
  </si>
  <si>
    <t>…or al a r t e , y se desenvuelven principios Varios artículos de lite ratu ra , costumbres, teatros, ópe­ que se mire como la mas notable de las de los departamentos. muy provechosos al esplendor de este. ra &amp; c. &amp; c . , por D. Rafael Sánchez. La de 1859 promete que será mas brillante que las anteriores. Siguen muy aplaudidos en Granada los Sres. Romea y S o ­ Varios artículos sobre los arbitrios de 1£ por 100 de for­ L a sociedad ha encargado á Paris un álbum litográíico de brado, y la Sra. Diez. La comedia Cada cu al co…</t>
  </si>
  <si>
    <t>La e, A'Courti</t>
  </si>
  <si>
    <t>A'Courti La e</t>
  </si>
  <si>
    <t>…línea. Pero se han satisfecho este deseo. (Atención). El noble lord Brougham s'guido e) ministerio. uos dice que eu caso de uu rompimiento con cualquiera Po­ ha incurrido en un error por datos desnudos de todo funda­ El capitán A'Courti La escuadra rusa está hoy bajo un ten cia, sena preciso retirarlos de aquel puntó. Yo respondo á mento ó énextrem o exagerados. El Gobierno hará todos sus es­ pie formidable, y conviene mucho no hacerse ilusión sobre este los que hablad de guerra 4 qúe sin duda su pensamiento se d i­ fuerz…</t>
  </si>
  <si>
    <t>la e, Barrio Ayuso. Si</t>
  </si>
  <si>
    <t>Barrio Ayuso. Si la e</t>
  </si>
  <si>
    <t>…LA GUE RRA. gustoso, y creo que debe admitirse la enmienda. Pero yo lo en­ mero , Joaquín A ntonio Cendi a de M onserrat.~E l juez de El capitán general de Castilla la V ieja en su parte perió­ tiendo de diferente modo que el Sr. Barrio Ayuso. Si la en­ primera instancia , Francisco D ato y Ob¡spo.=Ei alcalde se­ dico de novedades, fecha 1.° del actual, dice: que se han pre­ mienda fuera relativa á algún proyecto ó dictáraen, pase; pe­ gundo, G eró nim o V idal.—Joaquín Terrande.—Por los seño­ sentado en A v ila seis faccios…</t>
  </si>
  <si>
    <t>la e, Benavides</t>
  </si>
  <si>
    <t>Benavides la e</t>
  </si>
  <si>
    <t>…o que levantó I D E A S napoleánicas, publicadas por el Príncipe Napoleón dejarían de reproducirse. la sesión á las cinco y cuarto. L u is Bonaparte, y en castellano por D. Feliz Enciso C as- El Sr. A R T E T A : La duda del Sr. Benavides la encuen­ trnlon. Un tomo en 8 . ° , á 10 rs. en rústica y á 12 en pasta. tro muy fundada, y creo que el Congreso la resolverá en el L a situación apurada ert que Napoleón encontró la Fran­ sentido que S. S. acaba de indicar, pues que de otro modo se tira­ MADRID 4 DE OCTUBRE. cia cuando…</t>
  </si>
  <si>
    <t>la e, Cárlos. Prevé</t>
  </si>
  <si>
    <t>Cárlos. Prevé la e</t>
  </si>
  <si>
    <t>…ciso que Dios quiera , por­ tecimiento debe producir malísimo efecto en el extraugero para operarios en abrir zanjas y cortaduras, y ea construir trinche­ que $\ no todos quedaremos iguales. La única enfermedad que la causa de D. Cárlos. Prevé la entrada de Espartero en Amur- ras y parapetos en las diferentes posiciones de suyo ventajosas, pwede matarnos es la m iseria, y la estamos sufriendo de un rio y A rc in ie g a ,y que Balmaseda no se podrá tampoco con­ que hay sobre el barrio de Areta al confluente de los ríos de t…</t>
  </si>
  <si>
    <t>la e, Don</t>
  </si>
  <si>
    <t>Don la e</t>
  </si>
  <si>
    <t>…á , inspirador principal del hatti^ Señora: La academia de ciencias naturales ha sentido v i­ scheri-ff. (Id.) en pie; en una p a la b ra , hacerse lodo p a r a todos, según vamente la temprana é inesperada pérdida del limo. Sr. Don la expresión de S an Pablo. De aqui es la necesidad de Antonio Sandalio de Arias , esposo de V. S . , uno de sus fun­ presentar las verdades cristianas bajo diversos aspectos y En la Gaceta del Mediodía hallamos la siguiente nota que dadores, director de su primera sección, y que desempeñó en…</t>
  </si>
  <si>
    <t>la e, Juana</t>
  </si>
  <si>
    <t>Juana la e</t>
  </si>
  <si>
    <t>…e esta iotendencia general el dia 10 El cuaderno primero comprende los siguientes diálogos: del corriente á las doce en punto de su mañana , con el fio de mas generalizados. Todos los profesores y literatos se quejan, y 1.° Doña Juana la excelente señora, princesa de Castilla,hi­ contratar el suministro de raciones de p a n , etapa y pienso á con de la razón, de la tibieza y abandono con que se tnira el estudio lengua latina; pero muy pocos son los que fijan la vista ja de Enrique i v , sobrenombrada vulgarmente la Beit…</t>
  </si>
  <si>
    <t>La e, Lerma.</t>
  </si>
  <si>
    <t>Lerma. La e</t>
  </si>
  <si>
    <t>…scon­ sastres: no pudo recobrar su antigua energía; y cuando fianza y de la independencia personal que con el nuevo E l E m perador M ahamud. Mehemet-Alí invadió la Siria en 1832 , le encontró desar­ título adquirió el duque de Lerma. La expresión pues del mado. Vióse obligado á firmar (Abril y Julio de 1833) los de Osuna, que llamaba á este Rey el tambor mayor de la Se acaba de adquirir la triste certidumbre de que el tratados de Koniah y de Unkiar Skelessi. Por el primero de m onarquía, no era exacta. Era solo un despi…</t>
  </si>
  <si>
    <t>la e, Pedro</t>
  </si>
  <si>
    <t>Pedro la e</t>
  </si>
  <si>
    <t>…inquietud por haber Y ella en cambio me baldona. D e nuestro suelo baldón, oido la triste nueva de la muerte de D . E n riq u e , y le pregunta ¿Q u é vale pues mi co ro n a? (Pausa.) Asesino de casadas, si es cierta; mas D. Pedro la entretiene para atorm entarla, y le Si aquel que manda en Castilla De doncellas robador ? ” anuncia por últim o con la mas fiera m alig n id ad : N o es mas dichoso que ella , D» Enrique continúa recordándole la muerte de su madre N o se envanezca en su estrella y de su hermano y el rap…</t>
  </si>
  <si>
    <t>la Enciclopedia, Manuel Joaquín Tarancon D’Alembert. Guando</t>
  </si>
  <si>
    <t>Manuel Joaquín Tarancon D’Alembert. Guando la Enciclopedia</t>
  </si>
  <si>
    <t>…to de 1859.—EI Mnscoso de Altamira, Senador por la provincia de Lugo f y ficio que con tanta riqueza de detalles dibujó la mano de marques de Almenara. =iPor mandado de S. S ., Florencio Sán­ para Vicepresidentes á los Sres. D. Manuel Joaquín Tarancon D’Alembert. Guando la Enciclopedia, como obra de cir­ chez Rastrollo. y D. José María de Ezpeleta, Senadores el primero por la pro­ cunstancias , descansa en paz entre el polvo de las biblio­ vincia de Soria , y el segundo por la de Navarra. tecas, ha querido salvar y conser…</t>
  </si>
  <si>
    <t>La Gasea, Mariano</t>
  </si>
  <si>
    <t>Mariano La Gasea</t>
  </si>
  <si>
    <t>…, hay dos filtradores de ma­ auxilios de nuestra sacrosanta religión^ ha pasado á mejor vida producto, por la mayor abundancia y mejor calidad, es dera para limpiar el jugo de la parte leñosa de las cañas, él insigne botánico D. Mariano La Gasea (Q. E. P. D ), catedrá­ la caña dulce, producciou original de la C h in a, donde se pasando luego por uri tubo de metal al lugar donde eslait tico y director del Real jardín botánico de Madrid. Con su habia cultivado por mas de 23 ¿ños antes que fuera intro­ las calderas para hervi…</t>
  </si>
  <si>
    <t>la Inglaterra, Castillo de la Francia y</t>
  </si>
  <si>
    <t>Castillo de la Francia y la Inglaterra</t>
  </si>
  <si>
    <t>…Turquía es moderada, y con frecuen­ c u ad ra, y cuya petición será apoyada por las fuerzas navales cío nal de la m ism a, á las órdenes del comandante graduado* cia negligente. D. Mauricio G i l , con el ñn de apresar el abad de Castillo de la Francia y la Inglaterra. Se cree que el bajá se someterá. El tratado de Uokiar Skelessi entre la Rusia y la Turquía, N uevo, persona muy adicta á la facción y de suma influen­ Estas alternativas son desagradables, y el bajá no dejará de Cu virtud de la cual los buques de guerra de…</t>
  </si>
  <si>
    <t>la Nueva, Castilla</t>
  </si>
  <si>
    <t>Castilla la Nueva</t>
  </si>
  <si>
    <t>…, para todos y por todos. {Muy b ie n , m uy de los buenos ciudadanos. [Mr. G arn ier P a g és aplaude.) Y D E L DESPACHO DE L A G U E R R A . bien.) Con vivo placer he oido á todos los individuos que han El capitán general de Castilla la Nueva cori fecha 1.° del El orador continua manifestando que los 221 no han que­ concurrido á las diversas combinaciones sin éxito alguno hasta actual manifiesta que habiendo salido de G uadalajara el co­ rido ni quieren otra cosa sino que se sostenga lo que se hizo ahora , declarar en e…</t>
  </si>
  <si>
    <t>…as , á 6 por Í00 al año. que en M adrid va á publicarse será mas barata. ambos cargos al de la misma clase Ó. Gerónimo Valdés. (Id.) El traductor de Barcelona ha estimado útil dar mera y es­ relevando de la capitanía general de Castilla la Nueva al trictamente la traducción del texto, si bien con alguna ligera teniente general D. Antonio Q u iro ga, y nombrando en su omisión; y el de M ad rid , sin culpar aquel parecer, antes res­ reemplazo al mariscal de campo D. Francisco Narvaez. (Id.) LOTERIA P R IM IT IV A NACIONAL.…</t>
  </si>
  <si>
    <t>…Cronstadt solo el mar1 fe político lo examinará por sí, ó lo hará examinar por una estaba libre desde el ángulo del puerto militar hasta la batería ó más personas ilustradas y de su mayor confianza; y si se El capitán general de Castilla la Nueva con fecha del 4 mas cercana, y habia á aquella fecha muchos hielos flotantes hallaren artículos capaces de com prom eter la tranquilidad dice que el teniente de la segunda compañía de la Milicia na­ entre Cronstadt y Orianenbaum. En las demas direcciones el p ú b lica , que ataquen…</t>
  </si>
  <si>
    <t>…e misiones á Indias, en el Puerto de Santa M aría, expresando el pretendiente su edad, dichoQueseñor esta escritura procede de una liquidación hecha entre y sus parientes, acerca de las contestaciones que El capitán general de Castilla la Nueva, refiriéndose á co­ órdenes que tenga, estudios, el pueblo de su nacimiento y el municación del comandante general de las provincias de Ciudad- de su actual domicilio. mediaban sobre entrega de intereses, de la cual resultó el señor Real y Toledo, fecha del 4 , manifiesta que al…</t>
  </si>
  <si>
    <t>…onsabilidad de cualquiera vicio ú defecto I Total de fincas ad- que se descubra y justifique en su admisión.” PARTES, I judicadas en el De Real orden , comunicada por el expresado Sr. Mi­ I mes de Diciem­ El capitán general de Castilla la Nueva participa que el bre......................... 1516 15252967..16* 55569821..14 nistro de la Gobernación, lo traslado á Y. S. para su co­ capitán D. Rafael García, del batallón franco de tiradores del I Id. en los meses an­ nocimiento, el de la diputación provincial y ayuntamien­ d…</t>
  </si>
  <si>
    <t>…Orden del dia para el lunes, los D. Antonio Quiroga, teniente general de los ejércitos na­ numero* sueltos se venden en Madrid á 10 rs. asuntos señalados y el dictamen de reelección de los Sres. Cas- cionales y capitán general de Castilla la Nueva &amp;c, &amp;c.=¿Las iro , Salamanca y López Vázquez. Ciérrase la sesión» circunstancias de la guerra en que oos hallamos, el estado ex­ Eran las cinco y treinta y cinco minutos» cepcional de algunos distritos de esta provincia , y la necesidad de imponer castigos mas severos que ea los…</t>
  </si>
  <si>
    <t>…ERNO. Cordero, el teniente D . José María B lanco, todos del escua­ multa , es claro que el tribunal sanciona indirectamente la ile­ galidad del derecho establecido sobre los actos judiciales: ert drón cita d o, el teniente de Castilla la Nueva D . Manuel de caso contrario el tribunal consagra comb legal la percepción de Ipola , el ayudante de órdenes capitán graduado D . Guillermo este impuesto. Se espera con impaciencia la resolución que de­ Iriarte , el secretario de la comandancia general, capitán de la REAL DECR…</t>
  </si>
  <si>
    <t>…m Granada, id. ma en cinco actos, de D a m as, titulado E l Marino , que es el Paris* 16-6. M álag a, par. correspondiente al presente mes, lo han recibido ya los suscrip- S an tander, } á í a. Juzgado de la capitanía general de Castilla la Nueva, tores. La litografía la recibirán en breve. Alicante, $ papel d. Santiago, 2 á id. Se suscribe en M ad rid , en la redacción,carrera de San Ge­ Barcelona á ps. fs., J b. Sevilla , £ á par b. No habiendo tenido efecto la subasta de una parte de casa, rónim o, num. 4 8 ? y en la lib…</t>
  </si>
  <si>
    <t>…e dará principio el dia 20 del próximo Diciembre á las once de su ma­ Una casa de planta baja con su cámara y corral, sita en la ñana en la audiencia del Sr. auditor de guerra , cUle de Rela­ Juzgado de la capitanía general de Castilla la Nueva. calle de la Fragua vieja; su superficie 2,620 pies; consta su tores, núm. 7 , cuarto segundo; advirtiendo que el valor total planta baja de un gran portalón, sala con dormitorio , otro id. de las fincas que van expresadas con arreglo á sus tasaciones es En virtud de providencia…</t>
  </si>
  <si>
    <t>…es están persuadidos mente el punto huyeron al acercarme, dirigiéndose á la sierra de que serán llamados tan luego como cualquier acto decisivo ó de Monsech. ¡El terreno fue reconocido, el campamento seña­ El capitán general de Castilla la Nueva con fecha de hoy, cualquiera resolución formal haga su presencia ú til, y se cree lado y la plaza embestida inmediatamente , colocándose desde trasladando lo que le dice el comandante general de Toledo, que la convocación se verificará del 20 al 25 lo mas tarde. luego los tirador…</t>
  </si>
  <si>
    <t>…a El Sr. la Real orden siguiente: Secretario interino del Despacho de la Guerra placer que se apoderó de esta corporación municipal y habitan­ tación de la credencial de estilo, como tal encargado de dice al capitán general de Castilla la Nueva lo que sigue: tes de la población al recibirse la fausta é interesante noticia Negocios de S. M. la Reina nuestra Señora. He dado cuenta á la Reina Gobernadora del expediente del convenio de Vergara, celebrado por el invicto caudillo ca­ Lo que comunico á Y. E. de Real orden para…</t>
  </si>
  <si>
    <t>…ones que deben ante la magestad del Congreso agitar­ calcular las consecuencias de una medida demasiado trascenden­ se , son tan importantes, son tan difíciles, de tal manera los tal y funesta. Juzgado de la capitanía general de Castilla la Nueva . acontecimientos se han mezclado, ora los unos pierdan algo de Quiero hablar de la libertad de im p ren ta, de la magistra­ su fuerza y vigor, ora los otros vengan á producir un desen­ tura de la palabra vaciada por medio de la prensa , que es el A solicitud de varios acreedores…</t>
  </si>
  <si>
    <t>…donde han muerto de resultas de sus heridas , h a ­ Y DEL DESPACHO DE LA GUERRA. y para el número el qué todo estuviese dispuesto para la p ri­ bía un tal Emilio M arechal, antiguo alumno de la escuela de El capitán general de Castilla la Nueva con fecha 2 4 del mera señal. Por eso el prim er cuidado de los gefes á quienes Angers. Marechal fue herido mortalmente en la revuelta , h a ­ actual dice desde Cardenete, que forzados los rebeldes á perma­ "convenía obedecer, siguiendo en todo el rigor de la disciplina llándose e…</t>
  </si>
  <si>
    <t>la Real, Valores</t>
  </si>
  <si>
    <t>Valores la Real</t>
  </si>
  <si>
    <t>…uestra parte hemos tenido de Hacienda con fecha 5 del actual comunica á esta di­ menos negar al tabaco filipino las cualidades superiores algunos heridos, entre ellos levemente el brigadier Zavala. rección y contaduría general de Valores la Real orden que le conceden los inteligentes y los mismos consumido­ La frontera solo dista un cuarto de legua , adonde me ade­ res de mejor gusto. lanté con la escolta y una compañía , habiendo tenido una en­ siguiente: trevista con las autoridades francesas y el coronel del 57, que Des…</t>
  </si>
  <si>
    <t>la Ro, Felipe López VadeIdem D. Juan</t>
  </si>
  <si>
    <t>Felipe López VadeIdem D. Juan la Ro</t>
  </si>
  <si>
    <t>…facciones D. Melchor García, D. Francisco Romeral, sugetos siguientes: después de arrojar al agua 250 barriles de carga y largar las reunidas, durando aquel hasta las tres de la tarde, y según ca Santipetri, D. Pedro Porras, D. Felipe López VadeIdem D. Juan la Ro­ dos cadenas: la goleta O rear, procedente de S. Agustine, varó todas las referencias de donde procede esta noticia los enemigos D. Nicasio González Cabellos, D. Francisco Iñigo, D. José oro, al Sud de Staten Island, pero no tuvo avería en el cargamento: Es­ otr…</t>
  </si>
  <si>
    <t>LA SE, Joaquin PAR TE RECIBIDO EN</t>
  </si>
  <si>
    <t>Joaquin PAR TE RECIBIDO EN LA SE</t>
  </si>
  <si>
    <t>…tema rentístico propuesto en el discurso regio. P a­ á S. M. una comisión en nombre de la audiencia de la Coruña, rees que se ha desistido de toda oposición, porque ni un solo compuesta de los Sres. D. José Aivarez Pestaña , D. Joaquin PAR TE RECIBIDO EN LA SE CR E T AR IA DE ESTADO ápice se ha intercalado en la contestación. Nunca respuesta fue Eugenio de Castro y D. Francisco A gustín Silvela. mas benigna ; nunca se ha escrito discurso menos significativo. T D E L DE SPACHO DE L A G U E R R A . Las audiencias de Búrg…</t>
  </si>
  <si>
    <t>LA SECRETARIA, DE VALORES. PARTES RECIBIDOS EN</t>
  </si>
  <si>
    <t>DE VALORES. PARTES RECIBIDOS EN LA SECRETARIA</t>
  </si>
  <si>
    <t>…no solamente á los ind,Viduos restan es PARTES. de ella, sino también á otros roas, peitenecientes al batallón 4 , DILECCION GENERAL DE RENTAS de Vizcaya, en todo 3 2 , incluso un oficial, cou sus armas y Y CONTADURIA GENERAL DE VALORES. PARTES RECIBIDOS EN LA SECRETARIA DE ESTADO otros despojos, aprehensión que fue efectuada a la orilla del y DEL DESPACHO DE LA GUERRA» mar entré Guecho y Sopelana, después de una corta resisten­ El sensible retraso con que se remiten por las ofici­ cia, sin que por nuestra parte hubie…</t>
  </si>
  <si>
    <t>la Síndico, Esquivel</t>
  </si>
  <si>
    <t>Esquivel la Síndico</t>
  </si>
  <si>
    <t>…o D. Juan José Muñoz de Morales, sexto D. Ma*v CAMBIOS. quez , y séanos permitido esperar que con la ayuda de sus ami­ nuel García Melgar. Lóndres, á 90 dias, 38. Coruña, 1} d. gos y de facultativos inteligentes, recobrará el Sr. Esquivel la Síndico: D. Mauuel López Mencha. Paris, 16-5. Granada, 2 | á £ id. vista para añadir nuevos triunfos á los que ya tiene consegui­ M álaga, id. dos con sus pinceles. (/?/.) Zaragoza 12 de Diciembre. Tengo el gusto de anunciar Santander, par. á V. que la elección de personas que han de en…</t>
  </si>
  <si>
    <t>la Vieja, Castilla</t>
  </si>
  <si>
    <t>Castilla la Vieja</t>
  </si>
  <si>
    <t>…seoso por mi parte de evitar 5.a Los individuos que dependientes del ejército en un mal de tanta trascendencia , con cuyo objeto he sido también otras épocas no lo fueren en la actualidad , liaran las jus­ El capitán general de Castilla la Vieja participa con fe­ invitado por el Excmo. -§r. gefe político , he instruido el opor­ tificaciones correspondientes ante los inspectores ó direc­ cha 1.° del actual, que teniendo noticias el comandante gene­ tuno expediente, del que resulta que si bien es indispensable tores de las a…</t>
  </si>
  <si>
    <t>…Y DEL DESPACHO DE LA GUERRA. Cuatro id ., 101 , 30. que la Puerta no tomará la iniciativa en la agresión ; que se Tres id ., 7 9 , 30 , 25. juzgarán los hechos con una prudente lentitud , y que se inter­ 'El capitan general de Castilla la Vieja dice en comunicación Acciones del banco, 2695. pretarán sin prevención hostil mientras que lo permita la dig­ de 1.° del actual, con referencia á parte que le ha dirigido el España: deuda activa , 19|. nidad de la Puerta. Se puede conservar razonablemente alguna comandante general…</t>
  </si>
  <si>
    <t>…e r — su mando que concurrieron á este encuentro. line en el conda lo de Fife, y no el de barón de lAinros, co­ mo se habia dicho generalmente. S. M. la R e in a , su augusta Madre la R e in a G oberna ­ El capitán general de Castilla la Vieja con fecha 5 trasla­ da un parte del comandante general de Palencia , en que ma­ El gran Duque hereditario de Rusia se ha suscrito con la dora y la Serma. Sra. Infanta Doña María Luisa Fernan­ nifiesta que el gefe de carabineros de Hacienda D. Manuel suma de 500 libras esterlinas…</t>
  </si>
  <si>
    <t>…estro conocimiento y con mas certeza por guez Cármenes. un paso sin que vaya escoltado por un gendarme. la via de Alejandiía, que las que yo os diera por la dei Cairo. {Corresponsal de Hamburgo.) {Debats.) El capitán general de Castilla la Vieja con fecha 8 del ac­ Escriben del Havre con fecha 2 de Noviembre : tual dice que el presentado D. Lorenzo Chaves , comisionado Por noticias de los Erados-Unidos se sabe que el Gobierno por el comandante general de Avila para la persecución de 2 í C O N F E D E R A C IO N G E R M A N…</t>
  </si>
  <si>
    <t>…IZ. orden lo que sigue: sola pieza. Sobre las dos de la t a r d e , añade el com andante m i l i- lita r de este p u n to , cesó el fuego de a rtillería el e n e m ig o , y Sesión d el dia 16 d e E nero. «Al capitán general de Castilla la Vieja digo con esta fecha lo siguiente^: retiró un cañón , verificando lo mismo con el otro después de Se abrió á la una. entrada la n o ch e, si bien el de fusilería siguió hasta la m a d r u ­ L eída el acta de la a n te r io r , quedó aprobada en votaciot^ »He dado cuenta á S. M. la…</t>
  </si>
  <si>
    <t>…ón de los de­ nada a Bailen.—Relación de los gastos hechos en las diferentes P A R T E S. mas. Al mismo tiempo habiendo tomado en consideración obras que se ejecutan en la expresada carretera durante el caes El capitán general de Castilla la Vieja, con fecha 11 del S. M. cuanto aquella corporación expone acerca del incon­ de Marzo del corriente año. actual, da parte de que habiéndose aproxirnadoen la tarde del veniente que dice haber encontrado en el sorteo de que­ dia 7 á Cervera de Iliopisuergi una gavilla de 10 foragidos…</t>
  </si>
  <si>
    <t>…DESPACHO DE LA GUERRA. de llegar el Sr. cqrouel Urriola del ejército de Chile , y da por Señor: Conozco los importantes y árduos deberes que me noticia la misma que comunicó en su parte de Parnparomás que E l capitán general de Castilla la Vieja remite copia de una impone la primera magistratura que acabo de aceptar, asi co­ acompañé á V. S. en copia el dia de ayer , y añade que la der­ comunicación que con fecha 15 le habia dirigido el gefe polí­ mo la gratitud que debo á lu nación por la nueva prueba de rota del enemigo…</t>
  </si>
  <si>
    <t>…de q u edar precisamente concluidas Escriben de Petersburgo con fecha 27 de Octubre: El Ministro de los cultos y de la instrucción publica acaba para el dia 15 de Febrero sigu ien te; en la inteligencia de El capitán general de Castilla la Vieja con fecha 16 dice de publicar la estadística del comercio de libros en 1838 Re­ que correspondiendo a esa provincia la renovación de....... que , habiéndose presentado á las inmediaciones del Hoyo una sulta de este documento que durante dicho año se han impor Senadores y la elecció…</t>
  </si>
  <si>
    <t>…a g u d a : se vé pasar Ja bandera de acen­ to ep acento por decirlo asi. Avila 18 de Agosto. A las ocho y media de la noche ha Los sentimientos tranquilos, ya agradables, va m elan­ llegado á esta ciudad el capitán general de Castilla la Vieja.</t>
  </si>
  <si>
    <t>…los y alli fue recibido el Príncipe por Reschid-bajá , ministro de Por el Ministerio de la Guerra se dice en esta fecha al sentimientos de este ayuntamiento que se atreve á elevar á los negocios extrangeros. capitán general de Castilla la Vieja lo siguiente: pies del trono de V. M. Manzaneda de Trives 8 de Diciembre Después de haber atravesado otro patio, en el cual todos, ex­ He dado cuenta á la Reina Gobernadora de lo ex­ de 1859.—Señora.—A L. R. P. de V. M.—Alonso Domínguez, cepto el Príncipe, tuvimos que quitarnos el…</t>
  </si>
  <si>
    <t>observador, determinar el aspecto que ofrecerán á su vísta los el estado actual de la civilización. Ilay profesiones en las cua­ ; de la capitanía general de Castilla la Vieja, q „ e conoce de la astros f y al contrario* El objeto del autor de estas lecciones les es indispensable el estudio profundo de la astronomía: pero testamentaria , y en inteligencia que pasado dicho término sin rio ha sido formar un astrónomo ; sino indicar la importancia no hay…</t>
  </si>
  <si>
    <t>…recho eminente; el de vida y conser­ premo de Guerra y M arinarse ha servido declarar, de vación, y otro derecho, que es su consecuencia, el de exigir conformidad con el dictamen de su fiscal militar, que lo El capitán general de Castilla la Vieja traslada una comu­ de sus hijos todos los servicios, todos los sacrificios, una consa­ prevenido sobre la responsabilidad de los que sirven por nicación del comandante general de Palensia, fecha 23 del que gración absoluta á sus deseos. Obedezco pues á la nación sobe­ sustitutos, e…</t>
  </si>
  <si>
    <t>La', Félix</t>
  </si>
  <si>
    <t>Félix La'</t>
  </si>
  <si>
    <t>…staría poca fuerza que de una y otra parte pedia recogerse, dispuso ésté encuentro. impuesta esta suma. que el téniente D. Francisco Martínez con la partida de su Solución 4anos y 8 mésés. &gt; mando y él alférez de caballería D. Félix La'¿aro con 10 cáb&amp;¿ El general segundo cabo de Cataluña en cohüunicacion de 20 t)ebe celebrarse por Vito una sesión pública 'el sábado 20 de líos de los dé lá sección fija * se adelantasen a Cheste párá pro­ del actual manifiesta qué con noticié que tuvo de que él Llarch Julio á las ochó de…</t>
  </si>
  <si>
    <t>la, Alfonso Martínez</t>
  </si>
  <si>
    <t>Alfonso Martínez la</t>
  </si>
  <si>
    <t>…y discurso de Mr. Talley­ del corriente por una partida de la Milicia nacional de Yaía a rand, á 4 rs. ; y Poesías románticas en un tomo en 8.°, á 12. Lns dos ultimas palabras que siguen al hemistiquio pa­ mando del teniente D. Alfonso Martínez la gavilla facciosí rece que arrojan sobre él un peso inmenso. Al contrario, acaudillada por los rebeldes Paiencia y Peliciego; siendo el re­ Fi. Luis oe León expresa asi la ligereza con que marchan sultado de tan feliz encuentro un faccioso muerto, otro herido los soldados en es…</t>
  </si>
  <si>
    <t>la, Alonso</t>
  </si>
  <si>
    <t>Alonso la</t>
  </si>
  <si>
    <t>…i de hechos, téngase en cuenta que los mas están sometidos á una responsabilidad común. cosa de distinto modo. ¿Y hemos de inferir de ahí que h ay i n ­ las Potencias extraogeras se malogren portándonos con honor y Ilizo el Sr. Alonso la salvedad de que no hablaba de per­ tenciones dañadas? Háganse al Gobierno los cargos que quieran como conviene á la dignidad de la nación. ¡pero las intenciones!!!... ¿ P u e s no respeta el Gobierno las de Y concluyó diciendo que estamos en los momentos mas á sonas sino de cosas, y del…</t>
  </si>
  <si>
    <t>la, Alvaro</t>
  </si>
  <si>
    <t>Alvaro la</t>
  </si>
  <si>
    <t>…esas, ó no se presentaron de esa manera á Hecha la pregunta, se contestó afirmativamente* ción , que son como una consecuencia de ella, y del todo indis­ la comisión. El encargo de esta fue que diese su dictámen so­ Pidió el Sr. Alvaro la palabra en pro. pensables para que esta se ponga en práctica. Y si no pudo dar bre varias hipótesis, me parece que estas fueron las expresiones El Sr. LOPEZ manifestó que habiendo pedido la palabra fuerza y vigor á estas leyes, algo menos podía restablecer otras de la Real orden; pero que…</t>
  </si>
  <si>
    <t>la, Angel</t>
  </si>
  <si>
    <t>Angel la</t>
  </si>
  <si>
    <t>…m­ real y Sitnon Torre, que se hallaban de cuartel. pañía , Sevilla.^D. Clemente Riesgo , Santander.=:D. Juan J i - El Sr. comandante general de la sierra , Rodríguez, alcanzó merto , Valencia.—D. Pablo Rodríguez, ValIadolid.=D. Angel la retaguardia de la facción Balmaseda cerca de Canales el dia Polo y Monge , Zaragoza; y en las administraciones de correos 14, y la fue persiguiendo tres leguas en medio de un horroro­ so temporal de nieve, que dejó descalza á la infantería y le NUEVO método teórico práctico para aprender á…</t>
  </si>
  <si>
    <t>la, Antonio Bejarano</t>
  </si>
  <si>
    <t>Antonio Bejarano la</t>
  </si>
  <si>
    <t>…D. Ramón González la cabeza de un anciano y un niño que que acompañaba, y podrán devolvérsele por la secretaría. y acierta á copiarle. Un torero y una maja tomados del natu­ representaban á Abrahaiu é Isaac. ral, conservaron á D. Antonio Bejarano la reputación que le D . Manuel Rodríguez un asunto histórico del Rey D . P e­ 105. Simón L ines, natural de Barcelona , expone que 1ns valen sus talentos entre los artistas sevillanos. D. Antonio Es- dro i , á saber, cuando mandó arrojar por una ventana el ca­ Coi tes resolvieron…</t>
  </si>
  <si>
    <t>la, Antonio Mira Perceval.</t>
  </si>
  <si>
    <t>Antonio Mira Perceval. la</t>
  </si>
  <si>
    <t>…e Noviembre de 1839. En la sierra llamada de N u é s ,q u e es la colina, de que ya Berga, y dejar el Principado á cubierto de los ataques del ene­ se ha hablado, que domina la campiña ó llanura de Berga por migo. Alicante.— D. Antonio Mira Perceval. la parte del O ., hay coostruido un parapeto que siguiendo la El número de tropas que se ha considerado necesario para A Imería.zrD. Diego Entrena. dirección de la cresta de dicha sierra, situada á uoas mil varas los expresados objetos es el de 253 hombres distribuidos en U…</t>
  </si>
  <si>
    <t>la, Antonio Seoane</t>
  </si>
  <si>
    <t>Antonio Seoane la</t>
  </si>
  <si>
    <t>…Sr. Secretario de Estado en el D. Je Relaciones ex­ Ayer mañana pasaron á felicitar al Excmo. Sr. segundo tendí es, á quien tiene el honor de reiterar las protestas de dis­ Paris 11 de Julio. cabo de este ejército y principado D. Antonio Seoane la ofi­ tinguida consideración con que se repite su muy atento obe­ cialidad de los cuerpos del ejército y Milicia nacional y demas diente servidor.r:J osé Espiaar~=Exctno. Sr. Secretario de Estado dependencias militares. S. E. ha recibido á todos con la noble cu el Despacho de Relaci…</t>
  </si>
  <si>
    <t>la, Arechavala</t>
  </si>
  <si>
    <t>Arechavala la</t>
  </si>
  <si>
    <t>…resultados de mi importante movimiento fuesen los mas recer contiene interesantes pormenores. La escribe un oficial de ¡Qué cambio no habrá producido esta sola idea en los destinos ventajosos; y por consecuencia unido el general Arechavala la marina francesa. del E gipto ! con el general Castañeda han atacado a y e r á las fuerzas qué Surgidero de Besicha, cerca dé los Dardanelos 27 de Jd !to .= El x a pitan inglés W a lk e r y la mayor parte de los oficiales quedaron á su fr e n t e , sin que hasta ahora tenga noticia de l…</t>
  </si>
  <si>
    <t>la, Argiielles</t>
  </si>
  <si>
    <t>Argiielles la</t>
  </si>
  <si>
    <t>…í? El Gobierno sin embargo procurará ponerlo hasta donde si el Pontífice se niega á dar prelados, yo remitiré la causa al consideración y elección de la corona , se sincerara cuanto an­ alcance su poder. Ha llamado también el Sr. Argiielles la aten­ V icario , al cabeza vivo de Jesucristo: haré que se reconozcan tes. Del expediente resulta todo esto, y por no molestar al ción del Gobierno sobre ese papel en que se enumeran los tí­ los obispos, y seguiré presentándolos en uso de mi prerogativa, Congreso, no lo haré leer; pero…</t>
  </si>
  <si>
    <t>…lipe estaba sentado en el trono se hu­ xiones que ha hecho el Sr. Peña Aguayo^ á pesar de que el mos de la suerte del Sr. Ortigosa ni lo demas, porque ese su­ biera hostigado el Papa en llevar adelante sus designios los hu­ Sr. Argiielles las ha resuelto. ceso fortuito es bastante. biera llevado ? En esta cuestión, señores, no he visto mas que la parte po­ ¿ A qué aspira S. S. ? ¿á que deje de proseguirse esa causa? El orador pasa á contestar á lo manifestado ayer por el lítica, es decir, que en la parte del Gobierno al…</t>
  </si>
  <si>
    <t>la, Arguelles</t>
  </si>
  <si>
    <t>Arguelles la</t>
  </si>
  <si>
    <t>…Presidente que suspen­ mero de los correos atrasados de A ragón, y con él periódicos de diese esta discusión , pues la comisión tenia que contestar al ANUNCIOS. París del 2 de ¡Enero. Poco adelantan en noticias á las que ya Sr. Arguelles largamente, y juzgaba muy conveniente la pre- sabíamos, pues aun no se habia reunido la Cámara de los D i­ sencia del Sr. Ministro de Hacienda, que podia ilustrar la m a- R e v i s t a d e M A D R ID .=E nero de 1859.=Tom o 2.°= N u - putados para la lectura de la adresse , y la situació…</t>
  </si>
  <si>
    <t>la, Arteta</t>
  </si>
  <si>
    <t>Arteta la</t>
  </si>
  <si>
    <t>…e votos, el Sr. Zumalacarregui 2 5 , el Sr. Barrio Ayuso 2 , el Congreso. jomento, no solo por la semejanza de los casos, sino también Sr. Arguelles 1. Total de votantes 81. Mayoría absoluta 42. Se Respecto á la admisión del Sr. Arteta la comisión ha tr a ta ­ or la casi absoluta identidad : hoy mismo se ha discutido el re- anunció quedar elegido Presidente el Sr. D. José María Ca­ do de que el número componente de Diputados sea el mayor jtivo á las elecciones de Jaén , que estoy muy distante de latrava. posible, y ademas…</t>
  </si>
  <si>
    <t>…auo cuando el Congreso ley de ayuntamientos, ni en la de los estados excepcionales. aprobara esta proposición, en la generalidad con que está con­ He dicho que la ley de ayuntamientos no tiene estado de dis­ Ha hecho ver el Sr. Arteta las ventajas de que los ayunta­ cebida , no podría, tal vez, tener efecto. Pero yo creo, señores, cusión : la ley la presentó el Ministerio del año pasado, y al ac­ mientos se nombren por elección directa. Estoy de acuerdo con que aparte de estas consideraciones que puedeu mover al Con­ tu…</t>
  </si>
  <si>
    <t>la, Ayerve</t>
  </si>
  <si>
    <t>Ayerve la</t>
  </si>
  <si>
    <t>…o. Esta noticia no está desnuda de todo Entonces comenzaron la novela satírica y la de costumbres, fundamento, sabiéndose por otra parte que luego que se unió siendo en nuestro entender los españoles los primeros que al general Ayerve la brigada Parra , sacó aquel de Zaragoza las escribieron con perfección : porque no creemos que No estando aun hoy bastante adelantados los arreglos mi­ algunas piezas de artillería, y marchó en seguida á buscar al haya quien quiera comparar á Rabelais con Cervantes que nisteriales para que…</t>
  </si>
  <si>
    <t>la, Azofra</t>
  </si>
  <si>
    <t>Azofra la</t>
  </si>
  <si>
    <t>…27 rs. en pasta común." * que la industria reciba todo el desarrollo de que es capaz, nos A lican te, par papel. S an tiag o , 2 d. En el prólogo de esta obra prueba su autor cuán^importan-’ complacemos en dar al tratado del Sr. Azofra la importancia que Barcelona, á ps. f s ., par. S e v illa , 1| id. te es para la prosperidad de un Estado la perfección en el arter merece, y en tributar á su autor los elogios á que por el des­ B ilb ao , id. V alencia , par. de teñir, haciendo ver hasta la evidencia que aquellas úáciofié^…</t>
  </si>
  <si>
    <t>la, Azpiroz</t>
  </si>
  <si>
    <t>Azpiroz la</t>
  </si>
  <si>
    <t>…precioso para la in ­ La división del general Hoyos en Sarrion , de cuyo punto nocida mala fe. H u id torcidas sugestiones, y marchad dóciles á dustria y la higiene publica. salió ayer la batería rodada para Valencia. El general Azpiroz la voz de vuestras autoridades que apetecen el bieu por vuestro Cou este motivo habló Mr. A rago en una de las ultimas se­ parece que ocupó á Chelva , y lo está fortificando para quitar provecho y por su propia gloria. Cuente con la cooperacioa de siones de la academia de ciencias de Paris d…</t>
  </si>
  <si>
    <t>la, Bailen</t>
  </si>
  <si>
    <t>Bailen la</t>
  </si>
  <si>
    <t>…sos sin unión, sin En el siguiente de 1812 negoció por encargo y en vir­ des, vivos y penetrantes, facciones regulares y expresivas" firmeza, sin o rd e n , que es de donde nace la confianza. tud de las instrucciones del duque de Bailen la capitula­ Irnprimia a cuantos negocios pasaban por sus manos el se­ Debe pues el Gobierno alargar una mano á cuantos, sea ción de Astorga con toda la destreza con que pudiera ha­ llo del orden y la claridad que reinaba en sus ideas. Po­ el que quiera el matiz político que los distinga, qui…</t>
  </si>
  <si>
    <t>La, Barrio</t>
  </si>
  <si>
    <t>Barrio La</t>
  </si>
  <si>
    <t>…ón, á ¡a E u ­ yo apelo al buen sentido,... en la discusión de este mensaje, y nuestra ley no es otra cosa. ropa entera de mi mala ó buena administración , y me in c u m ­ El Sr. P R E S I D E N T E : Yo no puedo concederla, Sr. Barrio La parte dispositiva de la ley enuncia e s t o ; los demas a r t íc u ­ be el estudiar y aplicar los medios , dedicando á ello cuanto me Ayuso. los que nosotros presentamos á continuación del primero , en es dado comprender , mis f u e r z a s , mi p a tr io tis m o ; s í , señores, El Sr.…</t>
  </si>
  <si>
    <t>la, Biguezal</t>
  </si>
  <si>
    <t>Biguezal la</t>
  </si>
  <si>
    <t>…Pio Pita. cumplimiento.=Rubricado de la Real mano.—En Palacio á 25 temporánea , tomar por fundamento de ellas la edad media de Enero de 1859.=A D. Pió Pita Pizarro. era desviarse de su objeto moral. Aplaudiendo el Sr. barón de Biguezal las ideas emitidas A LA S CORTES. por los Sres. Gil y Corradi, convino en que efectivamente las Creemos co m p lac er á nuestros lectores trasla d a n d o á antiguas novelas caballerescas tenían un objeto político , cual Uno de los negocios mas interesantes que encontré pen­ nuestras co…</t>
  </si>
  <si>
    <t>la, Bofarull. Aclarar</t>
  </si>
  <si>
    <t>Bofarull. Aclarar la</t>
  </si>
  <si>
    <t>…r­ partiréis solo; yo os seguiré... esperadme solamente hasta ma­ Es pues altamente patriótico y digno de un español el gel en la persona de Borrell n , hijo de Suniario y nieto ñana por la tarde. fin que se ha propuesto el Sr. Bofarull. Aclarar las dudas del Velloso; y la falsedad del acta de exclusión de Oliva, Eso es imposible, contestó el príncipe: semejante dilación y dificultades históricas con instrumentos verídicos, bus­ Príncipe de la casa de Cerdaña, del condado de Barcelo­ roe perdería quizás, y no le parecería…</t>
  </si>
  <si>
    <t>La, Burdeos.</t>
  </si>
  <si>
    <t>Burdeos. La</t>
  </si>
  <si>
    <t>…) otomana, ha sido presentado eo la audiencia del Rey Con el ce­ manifiesta el disgusto que le ha causado el recibimiento que del remonial de costumbre. El presidente del consejo de M inistros, Santo Padre ha recibido el duque de Burdeos. La nota concluye ministro de negocios extrangeros, estaba al lado del R ey d u - pidiendo de la manera mas positiva no se prolongue la estan­ rauta el rerihímípntn Lord Clarendon (sir Jorge V illiers) acaba de llegar á esta cia del duque en Roma mas allá del dia de año nuevo. (Id .) capita…</t>
  </si>
  <si>
    <t>la, Caballero</t>
  </si>
  <si>
    <t>Caballero la</t>
  </si>
  <si>
    <t>…a m a n ­ permítame el Congreso una expresión f a m ilia r , se ha realizado aquello que de din ero ,y santidad la mitad de la mitad. A q u e ­ Cualquiera creería , señores, que un tribunal se ocupa con se­ dado á pedirse, el Sr. Caballero la le y ó , y resultó que habían ja de uno de los tribunales del reino, hice instruir un expedien­ riedad en la administración de los productos de penas de cá­ jurado 1 1 9 ; por consiguiente que faltaban tres para que se te con el fin de que se igu alaran todas las clases en el cobro de m…</t>
  </si>
  <si>
    <t>la, Campuzaoo.</t>
  </si>
  <si>
    <t>Campuzaoo. la</t>
  </si>
  <si>
    <t>…o­ de las el e c c i one s de aquella provincia. los que se- van marchauüw ya; asi pues, yo ruego que se en­ nales. fuero?» ¿probados sin ninguna discusión los dictámenes de miende eso. Juró y tomó asiento en el Congreso el Sr. Campuzaoo. la mi sipa comisión relativos á las provincias de Sevilla, Lcort El Sr. G A R E L L Y contestó brevemente á S. S. manifes­ Se leyó un oficio del Sr. Ministro de Hacienda participando y Badajoz , quedando por consiguiente admitidos como Sena­ tando que la idea de la comisión había sido a…</t>
  </si>
  <si>
    <t>la, Capaz</t>
  </si>
  <si>
    <t>Capaz la</t>
  </si>
  <si>
    <t>…, ¡uando la ley previene que sean tres por cada uno. sentaba los intereses de Vizcaya y Guipdzcoa, cou exclusión de 100: Gena , 90: Júpiter , 90: Sanii P etri , 90: Diadema , 90: Manifestó asimismo que de los distritos que el Sr. Capaz las demás. Tritón , 80: Generoso , 80: 'Tridente , 80. labia dicho que faltaban cinco, había sido porque sin duda El art. 7.° del tratado dice: (leyó.) Es decir que esos ejér­ Buques de la escuadrilla inglesa. zzCastor, 36 cañones: TJy/z- tlguna habían renunciado á este derecho, mediante á qu…</t>
  </si>
  <si>
    <t>La, Carlos</t>
  </si>
  <si>
    <t>Carlos La</t>
  </si>
  <si>
    <t>…a en ellos una página de do. Asi que, en la completa renovación que en este momento Noticias sobre el arte de la declamación, por el primer actor Marta la Piadosa. hace la primera de sus ideas antiguas^ acude siempre á las se­ D. Carlos La torre. Nada se exige adelantado á los sSres. suscriptores: el precio gundas á buscar aquellas de que ha menester para levantar el Colección de novelas históricas originales españolas, 29 de cada tomo será 14 r%, los que se satisfarán al recogerlo; ad- nuevo edificio que está construyendo…</t>
  </si>
  <si>
    <t>la, Carlos</t>
  </si>
  <si>
    <t>Carlos la</t>
  </si>
  <si>
    <t>…irse con sus parientes, y que mas adelante tomará otra di­ Tendréislo entendido, y dispondréis lo necesario á su la fuerza. Entonces el director de policía pasó su brazo por el rección. El negocio merece atención. En cuanto á D. Carlos la cumplimiento.—YO LA REINA GOBERNA DO RA.= En suyo, haciendo lo mismo el coronel de húsares, y de este mo­ corte de Cerdeña está negociando en favor suyo con el Gobier­ Palacio á 16 de Noviembre de 1839.=A D. Lorenzo Ar- do le llevaron. no francés para que se le concedan sus pasaportes. S…</t>
  </si>
  <si>
    <t>La, Casas.</t>
  </si>
  <si>
    <t>Casas. La</t>
  </si>
  <si>
    <t>…NES, composición de Maiseder, de­ do de costumbres nacioncles que lia sabido darle; por la dicadas al inmortal Paganini. licKiuccion bien entendida é imaginada de los caracteres, 4.° Pas-de-deux, bailado por la Sra. Die* y el Sr. Casas. La compañía lírica ejecutó en este teatro el sábado y por la verdad de los incidentes accesorios con (pie la ha último en celebridad del cumpleaños de S. M. la Reina por5.°el indicado LAS VARIACIONES del célebre Lafónt* ejecutadas Sr. Lasala. adornado. Por tanto E l Cómico de la legua, al P…</t>
  </si>
  <si>
    <t>la, Castilla</t>
  </si>
  <si>
    <t>Castilla la</t>
  </si>
  <si>
    <t>…por no haber presentado los su­ E l general gobernador encargado accidentalmente del des­ estancadas para que esta disponga la recaudación de yos á la toma de razón prevenida perm anezcan sin ha­ pacho de la capitanía general de Castilla la N ueva ha dirigido lo que cada grande ó título resulte debiendo al E s ­ ber hecho la correspondiente consignación para el pa­ al ministerio del ramo copia del parte que en 27 del anterior tado. go del servicio de lanzas; y en el caso afirmativo le ha remitido el comandante general de l…</t>
  </si>
  <si>
    <t>…sus órdenes se ejecutan con uua sumisión in aud ita ; pero esta sumisión va guardado , pues por la parte de Cuenca se halla la división que El Marido de la Favorita , en cinco actos, 4 id. manda el Excmo. Sr. capitán general de Castilla la N u e v a, y por El Marido de dos mugeres, en dos acto s, 2 id. acompañada de una astucia y una destreza no menos raras por parte de la administración para paralizar cuanto emprende el la de Aragón la brigada Parra que está en Aicolea sobre la carre­ L aura, comedia o rigin al en verso…</t>
  </si>
  <si>
    <t>…1839.=Señora.=i A L. R . P. de V . M .= EI alcalde pri­ Y DEL DESPACHO DE LA GUE RRA. gustoso, y creo que debe admitirse la enmienda. Pero yo lo en­ mero , Joaquín A ntonio Cendi a de M onserrat.~E l juez de El capitán general de Castilla la V ieja en su parte perió­ tiendo de diferente modo que el Sr. Barrio Ayuso. Si la en­ primera instancia , Francisco D ato y Ob¡spo.=Ei alcalde se­ dico de novedades, fecha 1.° del actual, dice: que se han pre­ mienda fuera relativa á algún proyecto ó dictáraen, pase; pe­ gundo, G eró nim…</t>
  </si>
  <si>
    <t>…hasta de previsión y de cálculo. una cantidad exorbitante, que hace ya imposible su ad* Esta fue la herencia que pasó á roanos del ilustre general quisicion á las clases menesterosas, y lo que es mas sensi­ El capitán general de Castilla la V ieja traslada un parte del Itú r h id e , y que él trasmitió á los Gobiernos que le sucedieron ble todavía en las actuales circunstancias, ocasiona la es comandante general de la provincia de A v ila , fecha 3 i del an ­ en el mando. Ioútiles han sido los esfuerzos de todos ellos para…</t>
  </si>
  <si>
    <t>…pas de la izquierda para que procurasen su exterminio. O fi­ los datos é inform es reu n id o s en el m ism o , de c o n íb rm i- I denanzas form adas p ara eL ré g im e n de d ich a asociación; ció también al capitán general de Castilla la V ieja, y ademas d ad con lo m anifestado po r el m in isterió dé M arina y Co­ y coíi deseó de fo m en tar *lás q u é de su especie e x is ta n , y destacó para la persecución al coronel de Borbon D. Ricardo m e rc io , S. M. sé ha servido reso lv e r: p ro m o v er la creación de Otras…</t>
  </si>
  <si>
    <t>…o hijos. A los 29 años contrajo segun­ Y DEL DESPACHO DE LA GUERRA. Defunciones. das nupcias con José Jiménez, de quiea en 28 años de m atri­ monio tuvo 5 hijas, de las cuales solo existe una casada y de E l espitan general de Castilla la N u ev a , con fecha 8 del Solteros..................................... 599 50 años de edad. No tuvo otro ejercicio que el cuidado do ­ actual, dice que el día 5 se presentaron á indulto al sargento Solteras.. . . . . . . . . . . . . . . 585 méstico , pues ambos maridos la sostuvieron c…</t>
  </si>
  <si>
    <t>…tos solici­ cha y aun hiciesen perder terreno a u n escuadrón, dispuso dar tados por el general del ejército con la mayor viveza y celeri­ una carga á nuestros infantes y lo verificó con la mayor decisión; El capitán general de Castilla la N ueva en comunicación d a d , quedándome encargado con mi tropa y marinería de cus­ pero que nuestro destacamento im pávido los esperó hasta tenerlos de 18 del actual dice que el comandante de la columna de ope­ todiar este punto, y sostenerle con la demas artillería y m uni­ áboca de…</t>
  </si>
  <si>
    <t>…er fijado, España , publicada en Tolosa de Francia. eren y de Hacnmer, y para la I t a lia , á Cárlos Botta. En cuan­ con esta nueva t a re a , varios puntos trascendentales, y , entre Comunicación notable del capitán general de Castilla la to á la E spaña, no asoma por desgracia nombre que c i t a r , y ellos, la época de las varias emigraciones galas y célticas, y la V ieja al Gobierno sobre el instituto de voluntarios realistas. tan solo algunos escritores, y a a n tig u o s, han dejado obras h is­ de los primeros establ…</t>
  </si>
  <si>
    <t>…entó al combate armado con cuanto pudo haber á Y D E L DESPACHO DE L A G U E R R A . Idem 5. las m anos, de manera que si hubiera habido a r m a s , hubiera también metido á mis filas mas de 1(3 hombres. El capitán general de Castilla la N u eva en comunicación Comandancia general de Nuevo Leon.rzExcnro. Sr. : P r o - Los señores gefes y «Ticiales ya mencionados, mis a y u d a n ­ de 18 del actual desde M oya da parte de su entrada en aquel mneiada la ciudad de Monclova y algunos otros pueblos del tes, teniente coronel…</t>
  </si>
  <si>
    <t>la, Castilla la Nueva. Invadida</t>
  </si>
  <si>
    <t>Castilla la Nueva. Invadida la</t>
  </si>
  <si>
    <t>…á estipular que dujo en los habitantes de esta ciudad la venida del Excrno. se­ cios de ios baños, pues el sitio eu que tenían que parar los car­ no pondrá obstáculo alguno al pago puntual de los créditos ñor capitán general de Castilla la Nueva. Invadida la provin­ ruajes distaba del R e y 2 0 varas , 8 0 de la Condesa , 2 50 de la franceses que estaban y a reconocidos y en v ia de pagarse. cia por las hordas rebeldes de A r a g ó n , se presenta á socorrerla P rincesa, y 547 de la Piscina. Este manantial dislá del pue­…</t>
  </si>
  <si>
    <t>la, Castilla la Vieja.</t>
  </si>
  <si>
    <t>Castilla la Vieja. la</t>
  </si>
  <si>
    <t>…el que hay mayor escasez en este Cotización del dia 16 d las tres de la tarde. principal, comandante general de la^ armas de aquella ciudad,, piadoso establecimiento; me es forzoso scudir á los amantes de y al capitán general de Castilla la Vieja. la humanidad, para que se sirvan remitir las ropas de desecho EFECTOS PUBLICOS. Atentado subversivo de un cura de Cataluña. que tengan propias para aquel objeto, á la secretaría de la ad­ ministración de dicho hospital, sito en la calle de Amaniel, Inscripciones en el gran libro á…</t>
  </si>
  <si>
    <t>la, Castro</t>
  </si>
  <si>
    <t>Castro la</t>
  </si>
  <si>
    <t>…leyó el art. 5.° que dice asi: negocios de aquella audiencia. sión no puede acceder á esto; se adhiere á su primer proyecto, Las diputaciones provinciales entregarán el cupo respectivo Después de hacer ver detenidamente el Sr. Castro las equi­ y no puede adoptar la enmienda del Sr. Sancho, porque seria en el término y bajo las condiciones que prescriba la instrucción vocaciones padecidas en Su Concepto por el Sr. Iñigo , á cu­ crear embarazos, y hacer que la requisición de muías uo se ve­ que al efecto publicará el Gobie…</t>
  </si>
  <si>
    <t>la, Cavana. CAMBIOS.</t>
  </si>
  <si>
    <t>Cavana. CAMBIOS. la</t>
  </si>
  <si>
    <t>…nes del banco español de S. Fernando, 00. ayudan en los ramos que no son de su resorte como justo tribu­ el año pasado, y que ya tiene concluido el acreditado artista to á su comportamiento. Barrio de San Lázaro extramuros de Sr. Cavana. CAMBIOS. la siempre fidelísima ciudad de la Habana y Diciembre 28 de Conociendo y apreciando todas estas ventajas, y en vista L858=Martin de Ferrety.^Dr. Manuel José de Piedra.:=Doc- de la aceptación que el primer número ha tenido, creernos que Londres, á 90 dias, 5 8 |. Cor uña, £ á 1 d. lo…</t>
  </si>
  <si>
    <t>la, Cortina</t>
  </si>
  <si>
    <t>Cortina la</t>
  </si>
  <si>
    <t>…yo desearía que se me permitirá que diga que la comisión y yo no estamos muy d is­ pies y dos haces sobre 6 i brazas de agua. dijese cuál es la diferencia que hay entre las provincias en que tantes, porque he oido confesar al Sr. Cortina la facilidad que Tercera. S o b re el veril oriental de Dvale-Grunden tengan esa residencia y las demas del R e in o; yo creo que no tenia uu regente de una audiencia e » hacerse nombrar D i p u ­ como 4 millas al S de la valiza segunda, una percha con existe; y si no lo hay, claro es que n…</t>
  </si>
  <si>
    <t>la, Cortázar</t>
  </si>
  <si>
    <t>Cortázar la</t>
  </si>
  <si>
    <t>…no estaba en su H é aqui prevenido un caso de excepción de la obediencia ponsable la provincia y verse privada del gusto de ver en este lu g a r , porque no puede tomarse providencia ning u n a, y porque pasiva. ¿ E l mismo Sr. Cortázar la hubiera firmado si le h u b ie ­ recinto á las personas que hab ían merecido su confianza? Ade­ no seria tampoco generoso el Congreso que fallase sobre uno de se faltado la firma del Sr. M in istro ? ¿ P u e s por qué lo hace mas el regente de la audiencia de aquel territorio no debe se…</t>
  </si>
  <si>
    <t>la, Cuando</t>
  </si>
  <si>
    <t>Cuando la</t>
  </si>
  <si>
    <t>…D. José Bojart. Ciudad Real 18 de Noviembre . Lo que traslado á Y. S. para su inteligencia y satisfacción, esperando el qne se servirá disponer se publique en el Boletín Gobierno po!ítico.=El Sr. D. Trinidad Balboa, comandante Cuando la patria pierde uno de aquellos hijos que la oficial para la de los habitantes de este pais. general de las provincias de Toledo y Ciudad-Real , me hace han servido desde sus primeros años con la lealtad y p u n ­ Lo que se inserta en el Bo’etin oficial para los fines indica­ desde Toledo…</t>
  </si>
  <si>
    <t>la, D. Felipe Reyes.</t>
  </si>
  <si>
    <t>D. Felipe Reyes. la</t>
  </si>
  <si>
    <t>(&gt;&gt;6*. Una alfombra bordads , al Sr. D. Felipe Reyes. lado para junta general de acreedores al concurso formado poi corona de España de U Infanta primogénita Doña María Isa­ r Iti. Un tirador de 'Campanilla bordado sobre cañamazo, a el Sr. D. Joaquín López Perella, intendente honorario y comi­ bel Luisa. la Sra. Doña Josefa Sentiste…</t>
  </si>
  <si>
    <t>la, D. Fr. Hipólito Sánchez</t>
  </si>
  <si>
    <t>D. Fr. Hipólito Sánchez la</t>
  </si>
  <si>
    <t>…que salió á recibirles el comandante m i ­ lita r , al que le acompañaban los capitanes de Saboya y Ceuta, BOLETIN DE COMERCIO. comandante del castillo y el de carabineros; y colocados á ios p O R . muerte del Excmo. é limo. Sr. D. Fr. Hipólito Sánchez lados de la lápida se hizo la siguiente alocución : B O L SA DE M A D R I D . Rangel Fayas y Quirós , obispo que fue de Lugo , entien­ Almenarenses: Llegó y a el deseado dia en q u e , reedifica­ de la subcolecturía de Espolios y vacantes de dicha ciudad en dos los antiguos…</t>
  </si>
  <si>
    <t>la, D. Francisco</t>
  </si>
  <si>
    <t>D. Francisco la</t>
  </si>
  <si>
    <t>…Hemos visitado el colegio de educación establecido en el las seducciones mas dañosas, ha tomado las armas, ha invadido uniforme en el embarcadero inmediato á la sanidad, eu donde edificio de S. Gerónimo bajo la dirección del Sr. D. Francisco las calles y las plazas públicas, se ha hecho criminal de robo y el Sr. gobernador al frente del estado mayor de la plaza le ha Alejandro Fernél, gefe político que fue de esta provincia, y asesinato; y haciendo esfuerzos para excitar á los ciudadauos á recibido y acompañado á pie hast…</t>
  </si>
  <si>
    <t>la, D. Fu</t>
  </si>
  <si>
    <t>D. Fu la</t>
  </si>
  <si>
    <t>…qui se ha hecho el siasmo. No esperábamos menos del talento de nuestro a m i­ bloqueo; pero nada le hace salir de su inercia. Se diría que he­ Del estado de la cr ít i c a en Esparta, go (aqui la explicación del en igm a ) el Sr. D. Fu lan o de redero de la ininteligencia de M r. Rcsacnel, repite el M in iste ­ t a l : ” y sigue la narración de sus talentos y de sus obras, rio actual con aquel triste M inistro: que e l bloqueo durará No esperen nuestros lectores hallar explicada en este si las ha pu b lica d o, y si no, la…</t>
  </si>
  <si>
    <t>la, D. Félix Torres</t>
  </si>
  <si>
    <t>D. Félix Torres la</t>
  </si>
  <si>
    <t>…iores se ha acos­ Fernando vn dió orden á su ministro Calomarde para que de sus preocupaciones cuando la negra tempestad de la revolu­ tu m b rad o insertar en la G uia de Forasteros, pues en ello manifestase en su nombre ai Sr. D. Félix Torres la satisfacción ción se habrá disipado: verán entonces todo lo que hace un h a rá n u n servicio ag radable é interesante al publico. que le habia cabido al saber que la Biblia estaba impresa. buen sacerdote ere su parroquia. Alli es donde debe seguírsele Las personas particulares qu…</t>
  </si>
  <si>
    <t>la, D. Jesualdo</t>
  </si>
  <si>
    <t>D. Jesualdo la</t>
  </si>
  <si>
    <t>…Actas relativo á las elecciones de Murcia , y a d m i­ como se puede ver en la cesión de 19 ele Ju lio de I 8 i 9 y en traran lo mismo, aseguro que se ahorrarían .180 millones de. tid a corno Senador por la misma provincia el Sr. D. Jesualdo las actas generales de sus ju n t a s , lo que no citaría si no fuese gastos, y mas de 1809 millones de vejaciones, de injusticias, López de Sahajosa. coa el objeto de probar que esta distinción sin gu lar me fue de arbitrariedades y otras cosas que no deben nombrarse!</t>
  </si>
  <si>
    <t>La, D. Pedr</t>
  </si>
  <si>
    <t>D. Pedr La</t>
  </si>
  <si>
    <t>…Véndese en el despacho de la Imprenta Nacional. tre ellas un particular elogio las señoritas de Ambarro y bernadores hechos por ios cabildos en los presentados po Oyuelos. S. M. para obispos de sus iglesias. Le da á luz el Sr. D. Pedr La agradable y sonora voz de las damas, su hermosura , el González de Vallejo, arzobispo electo de Toledo. Un tomo e</t>
  </si>
  <si>
    <t>la, D. Tomas Ballester. Seguirá</t>
  </si>
  <si>
    <t>D. Tomas Ballester. Seguirá la</t>
  </si>
  <si>
    <t>…clases ó secciones, según la capacidad exceptúan las clases de adorno. chos años. Valencia Abril 18 de í8 3 9 .= Jo aq u in Marco, ó aplicación de los alumnos. La apertura del Instituto, situado en la plaza de San secretario.=Sr. D. Tomas Ballester. Seguirá la lengua latina, que explicada por la gramá­ Jorge, núm. 3 , se verificará con toda la solemnidad po­ Valencia 27 de Abril de 1839.=Tomas Ballester de tica del profesor, abrevia muchísimo el tiempo que ordi­ sible, y bajo la presidencia de las autoridades de esta ca­ Be…</t>
  </si>
  <si>
    <t>la, DE LO TERIAS NACIONALES. Eo</t>
  </si>
  <si>
    <t>DE LO TERIAS NACIONALES. Eo la</t>
  </si>
  <si>
    <t>…de buey: 12 espuertas: 7 linternas ó faroles: Id. 4-°« línea 7.a , donde dice: por lo que son , léase: por taedia arroba estopa: 50 velas: 25 planchas hoja de lat-: 1 ar­ que lo son. roba alquitrán: 4 reglas. DIRECCION GENERAL DE LO TERIAS NACIONALES. Eo la columna siguiente , párrafo 5.°, línea 1.a, donde dice: Telas para salchichas: niveles y algunas menudencias ex­ Noticia de los 'pueblos y administraciones donde han cabido En la primera, cuarta y octava sílabas , la décima se supone, presadas en el manual del minado…</t>
  </si>
  <si>
    <t>la, Deffaudis</t>
  </si>
  <si>
    <t>Deffaudis la</t>
  </si>
  <si>
    <t>…o riores á cualquiera otro arreglo que me pareciera oportuno. Me persona que me haya negado la razón. Los 200¿) pesos exi­ quedase satisfecho con aquella estipulación, sino que hubiera propuse desde luego manifestar al Sr. barón Deffaudis la justi­ gidos por los gastos de la expedición naval francesa, el empeño insistido en lo que era imposible coneeder sin faltar á todas las cia conque habia procedido el plenipotenciario de la Repúbli­ conveniencias, á todos los principios, y sin atacar la libertad, ca , y la imposibilid…</t>
  </si>
  <si>
    <t>la, Despacho</t>
  </si>
  <si>
    <t>Despacho la</t>
  </si>
  <si>
    <t>…ente certificación, que pasarán á rior quedó aprobada. motivo existan aquellos documentos, y sobre ello se les impone los intendentes para que dispongan se proceda de apremio por Se dió cuenta de un oficio del Sr. Secretario del Despacho la mas estrecha responsabilidad. el citado importe, con mas por el cuatro tanto contra los cille­ de Gracia y Justicia manifestando que S. M. la Reina Gober­ Art. 47. Para que pueda practicarse la regulación del va­ ros ó administradores responsables, sin perjuicio del estado y nadora hab…</t>
  </si>
  <si>
    <t>la, Despacho de Estado</t>
  </si>
  <si>
    <t>Despacho de Estado la</t>
  </si>
  <si>
    <t>…brados D iputados por El cónsul de S. M. en Elseneur ha remitido al E xc e­ no tiene presente esta parte como yo que fui individuo de ia ninguna de las provincias del distrito de su m an do, y que la lentísimo Sr. Secretario del Despacho de Estado la noticia comisión. Estando pues conforme el dictamen con lo que la ley modificación de las provincias en que residan se entiende ú ni­ sig u ien te: prescribe, creo que el Congreso aprobará el dictamen sin que camente respecto á los intendentes, contadores , tesoreros &amp;c. De o…</t>
  </si>
  <si>
    <t>La, Diez.</t>
  </si>
  <si>
    <t>Diez. La</t>
  </si>
  <si>
    <t>…erá mas brillante que las anteriores. Siguen muy aplaudidos en Granada los Sres. Romea y S o ­ Varios artículos sobre los arbitrios de 1£ por 100 de for­ L a sociedad ha encargado á Paris un álbum litográíico de brado, y la Sra. Diez. La comedia Cada cu al con su razón tificación , £ por 100 de avería moderna, y ¿ por 100 de canal los puntos mas pintorescos de la ciudad de L yo n y de sus cer­ del Sr. Zorrilla , ha logrado alli un éxito brillante. de G u a d a lq u iv ir , encabezamientos, rentas provinciales y otros caní…</t>
  </si>
  <si>
    <t>la, Diputado</t>
  </si>
  <si>
    <t>Diputado la</t>
  </si>
  <si>
    <t>…aso acusación contra el Sr. conde de Toreno sobre malversación Congreso. el Gobierno puede creerse excusado de contestar á la interpela­ en los actos de su adm inistración, y especialmente en la con­ ción, y aguardar á que el Sr. Diputado la formule. He hecho Cuando se discutía la ley de 50 de Jun io de 1858 sobre la esta explicación para dar una idea de que si me he retardado trata de azogues con la casa de Rotschild. También leyó la contribución extraordinaria de guerra , recordarán los Sres. Di­ en contestar á esta inte…</t>
  </si>
  <si>
    <t>…el dia venturoso de una paz tan a y e r que habia una oposición fuerte por cosas clasificadas; otro recordaba la idea del vencimiento; la o tra , porque supone suspirada, que si bien obteuida después de inmensos sacrificios, Sr. Diputado las ha reproducido esta mañana; y todavía re­ que no existían por contrarios á la .Constitución, y por eso no son menos grandes los resultados que se consiguen con ver suenan en mi oido las expresiones del Sr. Cortina: «se reserva los dice incompatibles con ellos; y para que tenga efecto…</t>
  </si>
  <si>
    <t>…rmar parte de esta ley. aptitud legal, y por lo mismo propone su admisión; sin em ­ inválidos, y son los dos reales que se les dan, ó que se les darán Por un Sr. D iputado, el Sr. Estéban , se preguntó al Go­ bargo si algún Sr. Diputado la hace no tiene inconveniente en cuando se pueda, porque tampoco es«stosino para cuando haya bierno qué datos estadísticos tenia reunidos para poder asegu­ tomarla en consideración. paz. ¿ Y sabe el Sr. Benavides lo que importan los dos reales ca­ rar que tendría cumplido efecto la promes…</t>
  </si>
  <si>
    <t>la, Ditnas</t>
  </si>
  <si>
    <t>Ditnas la</t>
  </si>
  <si>
    <t>…cuyo desenlace haya dependido cla¿e de relaciones con aquel reino. Conociendo sin embargo el ampliaré inas las razones que me decidieron á no consentir en de principios ó reglas de derecho internacional en que no h a ­ barón de Ditnas la conveniencia é importancia de que este esta propuesta. yan estado conformes los Gobiernos de Méjico y Francia. Las obstáculo no perjudicara á su comercio, convino con nuestro discusiones interminables suscitadas por la legación del Rey , los Se habia exigido primero por el contra-almiran…</t>
  </si>
  <si>
    <t>la, Domingo Jiménez</t>
  </si>
  <si>
    <t>Domingo Jiménez la</t>
  </si>
  <si>
    <t>…o de este fenómeno, que visto per­ maquinas y fundición del mismo metal. (Id.) por Mr. Lallemand , catedrático de la facultad de medi­ sonalmente en el teatro debe admirar á los espectadores, porque Real decreto admitiendo á D. Domingo Jiménez la renuncia cina de Montpeller; traducido por D. Cayetano R a u l l , doctor su agilidad en los movimientos y la fácil naturalidad de sus del cargo de Secretario de Estado y del Despacho de Hacien­ en medicina y cirugía, socio de la Real academia de medicina aptitudes sorprenden y d…</t>
  </si>
  <si>
    <t>la, Domingo Ximenez</t>
  </si>
  <si>
    <t>Domingo Ximenez la</t>
  </si>
  <si>
    <t>…á descubrir los hechos de igual naturaleza. Los sucesos del sado ha sido absuelto. (Sun,) menor edad de mi excelsa Hija la Reina Doña Isabel n, 12 estaban también indicados para el mismo dia en algu n as vengo en conferir ¿ D. Domingo Ximenez la propiedad ciudades, y cartas fundadas en pretextos mas ó menos plausi­ del destino de Secretario de Estado y del Despacho de bles llamaban á Paris á hombres que no siempre han sabido Hacienda que se halla desempeñando interinamente. Ten- Continúa la relación hecha á la Cámara d…</t>
  </si>
  <si>
    <t>la, Don</t>
  </si>
  <si>
    <t>Don la</t>
  </si>
  <si>
    <t>…nte general recomienda por este hecho al citado los pueblos don de hub iere tea tro , v ig ila rá n m u y pa rtic u ­ Con fecha de ayer he comunicado al ingeniero D . Elias comandante de la columna D. Jo sé Páram o, y al coronel Don larm e n te sobre la observancia de la R eal o rd e n de 5 de A quino la orden para q u e , dando las disposiciones necesarias Joaquín Dalmau, asi como el primero lo hace en su parte de Mayo de 1837, siendo responsables de su exacto cu m p li­ á fin de extender los trabajos todo lo conveniente…</t>
  </si>
  <si>
    <t>la, Doña Por</t>
  </si>
  <si>
    <t>Doña Por la</t>
  </si>
  <si>
    <t>…de terciopelo bordada de oro y plata , al En* la comunicación donde se part icipa: todo esto á DATA. Sr. marques de Leis. nuestro embajador en Paris, asegura el Gobierno francés 518. Un cogin de paño bordado de lana, á la Sra. Doña Por la construcción de lar gradillas en que recomendará á los ge les de sus fuerzas navales el ma­ Concepción Ñero. donde se colocaron dichos objetos, yor zelo y la actividad mas constante en el cumplimiento* 607. Unvalmohadón bordado sobrecañamazo, al Sr. D. Ma­ clavar las bayetas, coloca…</t>
  </si>
  <si>
    <t>la, Dr. D. Carlos Pares de Val-r</t>
  </si>
  <si>
    <t>Dr. D. Carlos Pares de Val-r la</t>
  </si>
  <si>
    <t>…orizado dentro de 50 dias, contados desde la publicación de un antiguo y célebre escritor publico, presentaba la sola adelantadasúguen tras tropas en observación de los enemigos, y ya estarían este anuncio, en el juzgado del Sr. Dr. D. Carlos Pares de Val-r las operaciones transición posible del estado de barbarie en que estaban temporal, cuyas copiosas lluvias si no hubiese sobrevenido un recio verde, juez de primera instancia de Getafe y su partido, y embarazan los trabajos que han por la escribanía numeraria de D. Este…</t>
  </si>
  <si>
    <t>la, Egaña....</t>
  </si>
  <si>
    <t>Egaña.... la</t>
  </si>
  <si>
    <t>…n menos cisiones inmediatamente va á seguirse ó la paz ó la guerra de ferido á los fueros municipales, y en cuaoto al Sr. conde de de estarlo, al ver la pacificación de esas provincias, hemos di­ la España. DíjoU ayer asi el Sr. Egaña.... las Navas se felicitó porque por la explicación que habia hecho cho todos mas de lo que debiéramos decir, y lo hemos llevado El Sr. E G A Ñ A (inmediatamente): No. veia que estaban conformes en este particular. ya á un extremo, que el retroceder seria peligroso. El Sr. P R E S ID E N T E…</t>
  </si>
  <si>
    <t>LA, EL EMBUSTERO</t>
  </si>
  <si>
    <t>EL EMBUSTERO LA</t>
  </si>
  <si>
    <t>…cinco actos, titulada: tigaciones para establecer la necesidad de las inmunida- tera al que tenga el gusto, la voluntad y el raro talento de es eclesiásticas, repitió diversos argumento^ que habia encargarse de ella.” EN BOCA D EL EMBUSTERO LA V E R D A D empleado ya en diferentes conversaciones con Napoleón ES SOSPECHOSA. cuando este quena gobernar el mundo á cañonazos, con I ----------------- ■ — —.■ ■ . — decretos imperiales y con policía. Probaba en seguida que Intermedio de baile nacional; terminando la función con u…</t>
  </si>
  <si>
    <t>la, En</t>
  </si>
  <si>
    <t>En la</t>
  </si>
  <si>
    <t>…Mr. Eugenio Sue; traducida libremente al cas­ ser necesaria su presencia: las autoridades que asistieron inme­ S. Vicente á la de Hierro. tellano por D. Emilio Polanco. diata y preventivamente fueron el señor gobernador, general En la puerta de Segovia, que divide el juzgado de Palacio de Isidro ; señor gefe de dia ; señor alcalde constitucional de del de S. Francisco&gt; el camino divisor será el de Navalcarnero. acuella demarcación D. Cirios Martin Romeral; señor regidor En el portillo de Embajadores,que divide el juzgado de…</t>
  </si>
  <si>
    <t>la, Enrique</t>
  </si>
  <si>
    <t>Enrique la</t>
  </si>
  <si>
    <t>…iones por mis secretarios: para cuyo cargó nombro á los se­ Tomas Pacheco, y trasladado al domingo 21 del mismo mes á nal de la silla de la presidencia confundió en el aprobio y en ñores D. Santiago Vázquez y brigadier general D. Enrique las diez de su mañana en el piso bajo de la audiencia territo­ la nada á los que vociferaban insidiosamente que mi ambición M artínez, y cuyo registro he de cerrar el dia que cese la sus­ rial de esta corte. de mando me arrastraría á atropellar el código constitucional para conservar el bas…</t>
  </si>
  <si>
    <t>la, Epifanio Fortun.</t>
  </si>
  <si>
    <t>Epifanio Fortun. la</t>
  </si>
  <si>
    <t>…r fijado el sistema « D. Diego Medrano. de Gobierno que deberá seguirse durante su ausencia. El Rey A lava. «D . Ramón Sisear y A gram unt. recomienda especialmente en el decreto expedido con este objetó « D . Fausto de Otazu. D. Epifanio Fortun. la observancia de la ley fundamental y de las ordenanzas. A lbacete. L ogroño. El Príncipe R.eal ha sido nombrado Presidente del Gobier­ «D . José M aría C alatrava. « D . Pedro González V allejo, arzobispo electo de Toledo. no, que se compone de cuatro consejeros de Estado, á sab…</t>
  </si>
  <si>
    <t>la, Esquivel</t>
  </si>
  <si>
    <t>Esquivel la</t>
  </si>
  <si>
    <t>…r los lazos entre ambas naciones. L a señorita de Soldado, que en clase de aficionada cantó en cuando se necesitan. Ademas h ay un número m u y considera­ Espero la contestación y la opinión que V . y sus amigos obsequio del Sr. Esquivel la aria Parm i vederlo del Moisés y ble que se im prim en, pero que no se expenden, y siendo dis­ formen con respecto á esta idea , autorizándole á Y . para que</t>
  </si>
  <si>
    <t>la, Esteban</t>
  </si>
  <si>
    <t>Esteban la</t>
  </si>
  <si>
    <t>…á la enarracion de estos hechos; y concluye pidiendo se se las ha despojado de su propiedad, devuélvaseles.” ¿ Y sabe los Sres. Ministros tengan á bien señalar. sirva acogerlas bajo el amparo de su sabiduría y justicia el el Sr. Esteban las consecuencias que traeria esa devolución? Por El Sr. P R E S ID E N T E : M añana no habrá sesión para d ar Congreso, dictando las oportunas providencias para que las de pronto la ruina de nuestro crédito; y después ¿sabe el señor lugar á que las comisiones puedan adelantar sus trabajos…</t>
  </si>
  <si>
    <t>la, Estefanía</t>
  </si>
  <si>
    <t>Estefanía la</t>
  </si>
  <si>
    <t>…a consecuencia de este principio Si el instinto que muestran los iosectos en preservar sus es- es que cuanto mas alto lugar ocupa el anim al en el teatro de ecies es digno de adm iración, no lo es menos el número de cuando Doña Estefanía la creación, tanto mayor número de grados tiene que pasar. uevos que depositan. La reina de las abejas, por ejemplo , pro­ g rita b a: "ola Inés, Leonor, No intentamos decir que un anim al en el primer grado de su duce en el curso del año de 4^ á 500 huevos, y suponiendo id á llam ar al…</t>
  </si>
  <si>
    <t>la, Estudios</t>
  </si>
  <si>
    <t>Estudios la</t>
  </si>
  <si>
    <t>…: por Real órden de 31 de Agosto último se mandaron re­ de la pensión de 1838. 1.a Los dos alumnos de cada provincia serán nombra­ servar para este objeto de los 71,221 que importó la letra Habiendo hecho la dirección general de Estudios la dos por la diputación proyinciaL dé la Habana correspondiente al año 1837 por la pensión propuesta para la plaza de director espiritual , por Real or­ &lt; 2.a Los elegidos deberán solo tener la edad de 18 de que gozaba sobre aquella mitra el suprimido seminario den de 22 de Febrero S. M.…</t>
  </si>
  <si>
    <t>la, Fernandez Raeza.</t>
  </si>
  <si>
    <t>Fernandez Raeza. la</t>
  </si>
  <si>
    <t>…bservaciones del Sr. marques de El Sr. PRESIDENTE : Orden del día. Continúa la' ínter-' se trata nada menos que de una reforma que puede producir Yalgcrnera en contra del dictamen, á Las que satisfizo el Sr., Gi­ pelado*» del Sr. Fernandez Raeza. la completa ruina de la industria. Siento pues este precedente re]ly , se suspendió esta discusión para continuarla mañana , con El Sr. FERNANDEZ BAEZA: No hallándose presente el asi como el de que estoy conforme con S. S. en el principio Ib cual el Sr. Presidente levantó la sesión…</t>
  </si>
  <si>
    <t>la, Fernando</t>
  </si>
  <si>
    <t>Fernando la</t>
  </si>
  <si>
    <t>…ip to , el ejército otoma patriótica.=La comisión nombrada para píe id i r lo? Excmo. Sr.ziJoié Agustín de Larramendi.—Excmo. Sr. M inis­ pueda estar tro de la Gobernación de la Península. ocupado en el interior dei Asia. n( D. Fernando laMatescuela exámenes de de esta villa, que dirige su preceptor jas Guerra , cumpliendo con el encargo coa que fue honrado, asistió á ellos el dia 16 del corriente, y la PARTE NO OFICIAL. NOTICIAS NACIONALES. Habana 5 de M arzo . justicia y el honor debido á tan laborioso preceptor no…</t>
  </si>
  <si>
    <t>la, Francisco</t>
  </si>
  <si>
    <t>Francisco la</t>
  </si>
  <si>
    <t>…os su de­ carrillo,en Andalucía, á quienes iban á fusilar. da hacerles sombra? ¿N o se persuadirán alguna vez de que no cisión y sú valor, su sufrimiento y su heroísmo en la mas des­ Que el alférez de cazadores de la Guardia D. Francisco las basta haberse hecho independientes del Gobierno español, si graciada de nuestras campañas. Ahora que una de las naciones A guirre con 20 soldados de su cuerpo y 10 tiradores de lance­ han de seguir siendo él juguete y lá burla de las demas nacio­ mas poderosas de Europa ha traído la g…</t>
  </si>
  <si>
    <t>acuda al citado juzgado y escribanía en el término referido, respecto á la sociedad como respecto al orden. Por D. Francisco las escuelas de primera educación, y contiene una doctrina su­ que se admitirán las posturas y mejoras que se hicieren siendo Martínez de la Rosa. mamente útil, sencilla y agradable. arregladas. Se suscribe á este periódico en M adrid, en la librería de D. Tomas Jordán , calle de Carret…</t>
  </si>
  <si>
    <t>…ejicanos, tanto federalistas como centralistas, S. M . el R ey acaba de confirmar el reglamento siguiente re­ piedras á la policía. Al dia siguiente se presentaron en los p un ­ y de estos últimos el segundo de Paredes coronel D. Francisco lativo á los trabajos de los jóvenes obreros empleados en las fá­ tos donde estaban los presos varios grupos en una actitud ame­ de Paula U nd a, sobrino político de D. Guadalupe Montene­ nazadora , por lo que se creyó oportuno pedir refuerzo, y en bricas del reino: 1 .° Ninguno antes de…</t>
  </si>
  <si>
    <t>la, Francisco Antonio</t>
  </si>
  <si>
    <t>Francisco Antonio la</t>
  </si>
  <si>
    <t>…estos dias desde Zornoza á Elorrio, don­ caballos del escuadrón franco que se acaba de organizar á la.? bre con mucha lazou de renunciar a las expresiones tras­ de actualmente la tienen. órdenes y dirección de su comandante D. Francisco Antonio ladadas, tanto en las obras de im aginación, como en las El Pretendiente subsiste en Durango. Iparraguirre. Dirigióse esta fuerza á las avenidas de los puer­ que solo hablan al entendimiento. Las traslaciones dan no tos de Marañon y Cabréelo, donde los enemigos tenían cons- solo…</t>
  </si>
  <si>
    <t>la, Francisco Lucini. S. M.</t>
  </si>
  <si>
    <t>Francisco Lucini. S. M. la</t>
  </si>
  <si>
    <t>…después intervinieron. En y restauradas todas las decoraciones de los cuatro primeros ac­ Fer ol. tos y nueva la del últim o, pintada por el acreditado profesor olla se eocuentran también pintadas las costumbres de los pue­ D. Francisco Lucini. S. M. la augusta Reina Gobernadora se ha enterado con la blos, la geografía de los lugares de que tra ta , y las fuentes de Los actores todos, que á costa de sacrificios y desvelos ofre­ mayor complacencia de este rasgo de desprendimiento y patrio­ su riqueza. tismo , y ha dispu…</t>
  </si>
  <si>
    <t>la, Francisco Siñe-</t>
  </si>
  <si>
    <t>Francisco Siñe- la</t>
  </si>
  <si>
    <t>…iguientes 8 ; bas can las ciU3 de las leyes de que están extractadas. E*ie compendio 00 tiene nada que ver con el compendio na. Loa carlistas han hecho grandes regocijos: haa derribad( fe! derecho Real de España publicado por D. Francisco Siñe- las horcaa, y puesto eo libertad á los prisioneros de Campro- 8 8 , 3 2 , 8 2 , 1 8 ,6 . úz, pues la obra de Siñeriz es un mero extracto de la obra de don y otro». D. Juan Sala, titulada Ilustración del derecho Real de España; Eila noticia ej auténtica , y ha sido enviada con propi…</t>
  </si>
  <si>
    <t>la, Frias.</t>
  </si>
  <si>
    <t>Frias. la</t>
  </si>
  <si>
    <t>…Se ha aprehendido á uno con proporciona el de m *»ifestar á Y. S. la consideración que se le una bayoneta , y á otro con una h ac h a, con la cual hirió en D a r o c a 11 d e Ju lio . ofrece. S. A. S. Q. S. M . B.zrEI duque de Frias. la c*heza ¿ un agente de policía. Señor gefe político: la apertura de la carretera desde la ca­ So han -ofrecido tOO libras esterlinas de recompensa al que El dia 8 entró en esta el nuevo general D. -Leopoldo O do- nell con dos batallones del 6.° ligero, otro1 del provincial de pital de es…</t>
  </si>
  <si>
    <t>la, G. G. En</t>
  </si>
  <si>
    <t>G. G. En la</t>
  </si>
  <si>
    <t>…misma mano; á lo menos asi lo piensa la Noticia de los pueblos y administraciones donde han cabido Biografía contemporánea.=Laífite (Santiago.) Traducción.^: Iglesia. los 15 premios mayores dé los 600 que comprende el sor­ P. D. G. G. En las Acias de los Apóstoles, capítulo iv, verso 6, se teo del dia 10. Observaciones sobre la poesía dramática, y en especial so­ /encuentra la falta que hemos encontrado en el Evangelio NÚMEROS. PREMIOS. ADMINISTRACIONES. bre el precepto de las unidades, art. 2.°^Por D. P. J. Pida!. según S…</t>
  </si>
  <si>
    <t>La, Gabanes.</t>
  </si>
  <si>
    <t>Gabanes. La</t>
  </si>
  <si>
    <t>…fen­ N O T IC IA S EX TRANG ERAS. sor leyese en el tribunal. Es ciertamente lisonjero encontrar en Idem 15. el clero el espíritu de caridad y de tolerancia que tan vivamente FRANCIA. respira la carta de Mr. G aliber, cura de Gabanes. La carta está Alocución que al tomar posesión de su &lt;l ?stino dirige el Varis 12 de Febrero. concebida en estos términos: Sr. gefe político á los habitantes de la provincia de A los Sres. presidente y jueces del tribunal correccional de Sevilla. Bolsa de hoy. Cinco por 1 0 0 , 110 fr. 55…</t>
  </si>
  <si>
    <t>La, Gamarra.</t>
  </si>
  <si>
    <t>Gamarra. La</t>
  </si>
  <si>
    <t>…varisto P e r e z d e C a s t ro , P r e s id e n te del este convenio sea bien y fielmente observado en todas sus de Febrero entro en aquella capital el Presidente provisorio del Consejo d e M inistros. partes. P e r ú , general Gamarra. La guerra de la restauración estaba 7.° Dentro de 2 4 horas se cangeará este convenio en este enteramente concluida. Todo el Perú ha reconocido y obedece mLtno p un to , y 2 4 horas después dispondrá el Sr. general P a­ al Gobierno provisorio, y el general Moran , que estaba encer­ redes…</t>
  </si>
  <si>
    <t>la, García de Vil</t>
  </si>
  <si>
    <t>García de Vil la</t>
  </si>
  <si>
    <t>…e­ apertura de nuevas cátedras. El lunes próximo debe comenzar un mero pasatiempo, sin influjo moral ni importancia ningu­ sente mes; en los pocos dias que de él van han salido á luz va­ á desempeñar la de derecho político el Sr. García de Vil la l — na. Esta rancia idea , perniciosa y denigrativa para el arte de rios periódicos nuevos, y se han comenzado á publicar algunas ta. Quedó por fin constituida la sección de declamación la la declamación , debe ser combatida sériamente , porque pasó obras notables. También ha quedad…</t>
  </si>
  <si>
    <t>la, Gaspar de Ondovilla. Entre</t>
  </si>
  <si>
    <t>Gaspar de Ondovilla. Entre la</t>
  </si>
  <si>
    <t>…rir á G erona, Vich y demas pais de la derecha, 20. Barcelona. = El reemplazo del Sr. conde de Santa Colotpa. formar á su abrigo un campo atrincherado. Fortificación de Caserras, 500. Fortificación de la derecha de Búrgos. z=D. Gaspar de Ondovilla. Entre las muchas avenidas que de los diferentes puntos del la sierra V iu re, 1,200. Porreig ó Viver, 1,200. Columna para Cáceres.= D. Pedro Ontiveros. Principado conducen á la plaza de Berga, son las mas practica­ asegurar la comunicación de Balsareny á Caserras, 10 . Iuem Cá…</t>
  </si>
  <si>
    <t>la, González Alonso</t>
  </si>
  <si>
    <t>González Alonso la</t>
  </si>
  <si>
    <t>…din. d. La entrega 24? correspondiente al domingo 15 de Setiem­ reclamación formalizada contra la aptitud legal del Sr. Este­ Alicante, $ din. b. Santiago, á 2 id. bre ^ , contiene los artículos siguientes : ban : que si el Sr. González Alonso la presentaba, como en otra Exceso de compasión de una monja, anécdota. ocasión lo hizo el Sr. Benavides con respecto al Sr. Gómez Par­ Barcelona á ps. fs., | á $ id. Sevilla, i á | id. Bilbao, par din. Valencia, \ b. V iena, viajes. do, quedaría retirado el dictamen. Cádiz, |&gt; d. Z…</t>
  </si>
  <si>
    <t>…os debe ser la j dijo que era el sancta sancionan , y tuve que callar. p ito , puede decirse que el Gobierno de nuestra inocente Reina censura mas ó menos fuerte, mas ó menos blanda de los actos j¡ Esas posesiones, á quien el Sr. González Alonso las ha lla­ está asegurado. Estas son las razones que la comisión ha tenido habidos y de los que se disponga consumar ea lo sucesivo. j mado españolas, no lo son , es un cuento. N o ;ío':o el árbol de presentes para retardar hasta ahora su proyecto, y para presen­ Se me d irá , y ya…</t>
  </si>
  <si>
    <t>la, Gracia los Diputados. Caiga</t>
  </si>
  <si>
    <t>Gracia los Diputados. Caiga la</t>
  </si>
  <si>
    <t>…de sal­ mitirá el Congreso que por ahora rehúse continuar. putación, patriotismo, fidelidad y hombría de bien de todos va la Constitución del E sta d o , ó cosa así. En el calor con El Sr. conde de las NAVAS: El Sr. Ministro de Gracia los Diputados. Caiga la culpa sobre quien tenga la culpa. De que esto se expresaba, en lo avanzado de la hora, y el haber y Justicia me ha ensenado el camino que debo seguir. Supli­ que la discusión se abrió me ha visto el pueblo, la nación y visto algunos señores que se afanaban porque todo…</t>
  </si>
  <si>
    <t>la, Gros. Ignoramos</t>
  </si>
  <si>
    <t>Gros. Ignoramos la</t>
  </si>
  <si>
    <t>…r ejecutivo nom­ ma legislatura se presentarán á las Cámaras proyectos de ley brar al Sr. Dr. Alejo Fortique para que procediese á celebrar para comenzar su solución. Esta promesa del Sr. Ministro será otro en unión del Sr. barón Gros. Ignoramos las instrucciones acogida coa satisfacción por el pais. ( Moniteur Parisién.) que al efecto se comunicaron por la administración á nuestro E n el Diario de Smirna de 14 de Julio se lee lo si­ plenipotenciario , asi como las esperanzas que ella alimentase en guiente S. E. : A hm et…</t>
  </si>
  <si>
    <t>la, IA</t>
  </si>
  <si>
    <t>IA la</t>
  </si>
  <si>
    <t>…bjetos ha prodigado la nación sus tesoros, sus hijos, y SE N A D O . nada ha economizado para consolidar la corona de Castilla en REA L DECRETO. las augustas sienes de nuestra idolatrada Pceina Doña Isabel n , O R D E N D E L D IA la regencia de V. M . , y sostener con denodado arrojo el res­ Com o R ein a G o b e rn a d o ra , á n o m b re de m i augusta plandeciente sol de nuestra libertad. ¡Loor á nación tan gene­ PARA LA SESION DEL LUNES l6 DE SETIEMBRE DE 1839. Hija la Reina D oña Isabel n , y en co nfo rm idad con…</t>
  </si>
  <si>
    <t>la, Igarreta</t>
  </si>
  <si>
    <t>Igarreta la</t>
  </si>
  <si>
    <t>…l coronel comandante de aquel can tó n , quieu logró De idem común sin ellos. ..................... 20 escap aren cam isa á beneficio de la oscuridad de la noche. A La rustica................... 17 TEATROS. El propio comandante Igarreta la m adrugada de a y e r hizo En papel fino........................ * ............................ 2 0 prisioneros en el pueblo de A razuri á tres facciosos de caballe­ En idem común . . *....................... , . 16 ría con sus a rm a s , caballos y m onturas. Se asegura que entre los r…</t>
  </si>
  <si>
    <t>la, Infanta Doña María Luisa Fer</t>
  </si>
  <si>
    <t>Infanta Doña María Luisa Fer la</t>
  </si>
  <si>
    <t>…e O ctu b re S. M. la R e i n a , s u augusta Madre la R e i n a G oberna­ Isabel 11 vuestra excelsa Hija. T a n faustos acontecimientos, y . de i 83 9 .=Señora.=:A L. R. P. de Y . M .= Cecilio N. de P a - dora y la Serma. Sra. Infanta Doña María Luisa Fer la lisonjera esperanza de la pronta terminación de una g u e r - l leneia.zz M anu el E scolar.z zF elipe Bueno.— Manuel Jiménez.=2 ra desoladora y f ra t ric id a , han llenado de jú b ilo y entusias- \ Francisco de Paula Alderele.rsF ran cisco de A g u ila r .r r A n…</t>
  </si>
  <si>
    <t>la, Inés. Dice</t>
  </si>
  <si>
    <t>Inés. Dice la</t>
  </si>
  <si>
    <t>…ítica de toda persona sensata. Hoy dia se incurre con simas quintillas que contiene la escena de Doña Mencía Por eso damos la preferencia á Doña Mencía sobre harta frecuencia en este último extremo: doloroso es decirlo, con Doña Inés. Dice la primera. los demas dramas de que nos proponemos hablar , y con pero cierto. El talento del Sr. Hartzembusch no podiá me­ tanto mas motivó, cuanto que por causas independientes nos de apartarse de él; su sano juicio no podia descono­ Y ¿cómo no detestar de nuestra voluntad no nos fue po…</t>
  </si>
  <si>
    <t>La, Iñigo.</t>
  </si>
  <si>
    <t>Iñigo. La</t>
  </si>
  <si>
    <t>…las de escrutinio? Con esto, seño­ esta ley prevenido. Dado en Cintra á 29 de Julio de 1859 &lt;3cc. reflexión acerca de la lectura del artículo del reglamento que ha precedentes funestos, funestísimos. Me haré cargo pedido el Sr. Iñigo. La comisión ha dado su dictamen acerca de la nulidad de las elecciones. de lo que ha dicho el Sr. Madoz respecto á Extracto del arancel general de aduanas. estas elecciones para que vayan entrando en el Congreso mas Veo el dictámen de la comisión que no da valor legal á esa Derechos Idem Sr e…</t>
  </si>
  <si>
    <t>La, J. de Zorrilla.</t>
  </si>
  <si>
    <t>J. de Zorrilla. La</t>
  </si>
  <si>
    <t>…ión de un canal de reunión que trasmitiese á la pos­ lo tercero y último. pel de hom bre, y D. José García L una uno característico. teridad la mas remota la gloria de su ilustre fundador. Poesía.^Impresiones de la noche, por D. J. de Zorrilla. La dificultad material de abrir , y mas que todo la de sos­ Se suscribe al Semanario en las librerías de Jo rd á n , calle de tener este canal, es grande sin la menor duda; pero, como dice Carretas, y de P az, frente á las Covachuelas; y en las provin­ muy bien Mr. Jomard en una i…</t>
  </si>
  <si>
    <t>la, Je</t>
  </si>
  <si>
    <t>Je la</t>
  </si>
  <si>
    <t>…ecto cuando eu una época difícil de la vida política de los pueblos, se ven estos dominados por un sentimiento fuerte y que tome doce ejemplares en rama se aumentará uno gratis. profundo que el entusiasmo y la tendencia general Je las ideas Véndese en el despacho de la Imprenta Nacional. REALES DECRETOS, convierten por último en una necesidad inevitable. Entonces como uu recreo del momento, como un objeto de distracción ORDENES Y REGLAMENTOS DEL GOBIERNO para aliviar el ánimo fatigado con la lucha continua de gran­ des…</t>
  </si>
  <si>
    <t>la, Joaquín Francisco Pacheco.</t>
  </si>
  <si>
    <t>Joaquín Francisco Pacheco. la</t>
  </si>
  <si>
    <t>…groso. (El /.) P . J . Pidal. nombre y el lugar de su residencia. Esta carta reservada no se abrirá hasta después de haberse adjudicado el premio, y todas Las Cortes de 1837.=(Continuacion. Véase el húmero ante­ rior. )zzPor D Joaquín Francisco Pacheco. las demas de los que no lo hubieren merecido se quemarán sin L a Real academia española, deseosa de llenar cum p lida­ Poesía popular.—Drama novelesco.—Lope de Vega.= Por Don abrirlas. A gustín Duran. mente los deberes de su in stituto, procurando por cuantos me­ 5.a…</t>
  </si>
  <si>
    <t>la, José Ferraz</t>
  </si>
  <si>
    <t>José Ferraz la</t>
  </si>
  <si>
    <t>…que se avisa principalmente á las personas que Los dramas son el Marino del célebre Alejandro Dumas, habiendo acudido i comprarlos no se les ha podido servir por y Laura y original del Sr. D. José María Diaz. —— admitiendo á D. José Ferraz la dimisión del despacho del ministerio de Hacienda, y nombrando para que lo desempe­ dicho defecto y a corregido. Las materias de que tratan son: Los suscriptores tienen entrada gratis en un gabinete de Sobre los frailes, y detenidamente los jesuítas. lectura, donde se hallan todos lo…</t>
  </si>
  <si>
    <t>La, José Gerber de Robles.</t>
  </si>
  <si>
    <t>José Gerber de Robles. La</t>
  </si>
  <si>
    <t>…s de dicha imposición ^ la piel, por MM . Alphee Cazenave y H. E. Schedel, tra­ blecer, al mismo tiempo que podrán los suscriptores propor­ íiasta 5 de Junio de 18 )5 , importante 14,625 rs. y 52 mrs., ducido al castellano por D. José Gerber de Robles. La facultad cionarse los dramas antiguos por mucho menos de lo que ahora ' para que en el término fijo de 20 dias , contados desde que se conservadora de la vida del hombre resiéntese aun m uy mucho cuestan. anuncie el presenteeu la Gaceta de esta capital, acudan á de­ de la f…</t>
  </si>
  <si>
    <t>la, José María Chacón.</t>
  </si>
  <si>
    <t>José María Chacón. la</t>
  </si>
  <si>
    <t>…de este anuncio, en que manifiesta que por hallarse indispuesto no puede asistir da.=Está rubricado de la Real mano.=En Palacio á 9 de con citación y emplazamiento ¿ los que se crean con derecho ¿ á la sesión. Enero de 1839.=A D. José María Chacón. la insinuada cesión para que por sí ó persona competentemente Se procedió al orden del dia continuando la discusión pen­ autorizada concurran á dicha junta, con apercibimiento que diente del art. 2.° sobre el proyecto de ley orgánica de la caja de no hacerlo les parará el perjui…</t>
  </si>
  <si>
    <t>la, José María Mos-</t>
  </si>
  <si>
    <t>José María Mos- la</t>
  </si>
  <si>
    <t>…rá á po* ■— nombrando Senadores por varias provincias. (Id.) medad de que trata; dolencia terrible y pérfida que aniqui­ ner en escena la grande opera en cinco actos del maestro D o — .------ nombrando Presidente del Senado á D. José María Mos- lando el cuerpo humano causa los mayores trastornos, reduce n iz etti, titulada : coso de A lta m ir a , y para Vicepresidentes á D. Manuel .Joa­ á los adultos al estado de la vejez; emponzoña su existencia; produce otras dolencias que los remedios mas preconizados y L U C R E Z IA…</t>
  </si>
  <si>
    <t>la, José Moreno</t>
  </si>
  <si>
    <t>José Moreno la</t>
  </si>
  <si>
    <t>…ovidencia del Sr. intendente subdelegado de Rentas; en el mismo lugar para que no v aya el compás encontrado con posiciones un poco la r g a se n que pueda emplearse. Ahora , si de esta provincia , se cita , llama y emplaza á D. José Moreno la prosodia: las silabas largas acensuadas en los tiempos princi­ alguno quisiere sujetarse á leyes mas estrechas desechando los y D. José Pereira para que en el término de nueve dias que* pales del compás, al subir y bajar la mano del que lo lleva , y sáficos y adórneos que 110 lleven…</t>
  </si>
  <si>
    <t>La, José Portille.</t>
  </si>
  <si>
    <t>José Portille. La</t>
  </si>
  <si>
    <t>…gre­ impresiones fraudulentas. ro público madrileño, que no es el que asiste y a á aq u ella s, p u ­ gación de los terrenos comunales de la administración m u n ic i­ liese contar con algún especta'culo variado. p a l , por D. José Portille. La renta de correos ha producido al Gobierno francés Ademas de las piezas que el otro dia anunciamos como Los Intereses materiales: obra de M. C h e v alier, por D .T o ­ 27.125,955 francos en 1829. En el año siguiente 50.154,805 próximas á ejecutarse en este teatro, sabemos que la S…</t>
  </si>
  <si>
    <t>la, José Urrea</t>
  </si>
  <si>
    <t>José Urrea la</t>
  </si>
  <si>
    <t>…i­ ciales m uertos, ocho heridos, 50 soldados muertos y 9 6 he­ guientes: ridos. I d e m 1.° d e Agosto, A r líc u ’o 1.° A pesar de no haber recibido el Sr. general La victoria fue completa, y el escarmiento de los revolto­ D. José Urrea la invitación á que alude el art. 6.° de la c a p i­ sos ejemplar. Nosotros aplaudimos de todo corazoo este glorio­ L a Puerta otomana pretende haber recibido de las cortes de tulación celebrada en Tampico entre aquella guarnición y las so acontecimiento, no porque estemos persuadidos de…</t>
  </si>
  <si>
    <t>La, Juan Bautista Armes-</t>
  </si>
  <si>
    <t>Juan Bautista Armes- La</t>
  </si>
  <si>
    <t>…previene el reglamento vigente de este de Ecija , al folleto de D. Juan Bautista Armesto, del mismo Costumbres provinciales. establecimiento se halla abierta la matrícula para el próximo vecindario, titulado “ Contestación de D. Juan Bautista Armes- La procesión de un lugar , por D. C. Díaz. curso que empezará en los primeros dias de Octubre. Los que to, alcalde constitucional que fue de la ciudad de Ecija, á los Madrid artístico. quieran seguir la carrera de veterinaria, sea en la clase de alum­ libelos publicados por D. D…</t>
  </si>
  <si>
    <t>la, Juan Buenavida y Ayala</t>
  </si>
  <si>
    <t>Juan Buenavida y Ayala la</t>
  </si>
  <si>
    <t>…, herederos ó apoderados Valladolid , en las de Bassó y viuda de Roldan: Salamanca , en á la calle de la Encomienda, núm. 9, cuarto principal, á per­ la de Blanco: Santiago, en la de Rey Romero: Coruña, en la cibir del síndico D. Juan Buenavida y Ayala las cantidades de Perez: Lugo, en la de Pujol: Córdoba, en la de Berard: Granada, en la de Sanz: M álaga, en la de la viuda de M artí­ REVISTA MILITAR. que les han correspondido en el último dividendo de 176 rs. á los dos primeros, 86 al segundo, 96 al tercero, y 35 al cuarto…</t>
  </si>
  <si>
    <t>la, Juan Pablo Lasanta. Traducción</t>
  </si>
  <si>
    <t>Juan Pablo Lasanta. Traducción la</t>
  </si>
  <si>
    <t>…y pagó el jamón al mismo precio que el algodón, es de­ tortillo , D. Leopoldo Brockmann , D. Fernando Reyes, Don solo, prisionero y lleno de heridas; por esto d ijo: «Yo so­ c i r , á 4 pesetas la libra. {Id.) Manuel Docavo y D. Juan Pablo Lasanta. Traducción latina. D. Manuel María Simó y D. José Dios- lo fui el triste entre tantos a l e g r e s , y el cautivo entre tan­ dado. tos libres.,, (l) Propiedad latina. D. Anselmo M ateo, D. José Saochez, Uchalí se escapó con las galeras que m a n d a b a r en n u ­ Escriben d…</t>
  </si>
  <si>
    <t>la, Kbseieff</t>
  </si>
  <si>
    <t>Kbseieff la</t>
  </si>
  <si>
    <t>…quit arse Sabi do es que después del trat ado de A n d ri ñó polis se confió | sentencia es un documento apócrifo ent al áment e oesnudo del los pi oj os1 é i n m u n d i c i a , y descansar de sus pasadas f ati gas, al general Kbseieff la reforma política de los pri nci pados ce !a ¡ carácter de a ut e nt i ci da d que se le ha querido dar. vistiéndose con la ropa que les tenia preparada el regi mi ento de M o l d a vi a y la Yal aqui . ?. L a prude nci a y la a p t i t u d del g e n e ­ | (Go nstitutionnel.) Ba d a j oz…</t>
  </si>
  <si>
    <t>la, Laborda.</t>
  </si>
  <si>
    <t>Laborda. la</t>
  </si>
  <si>
    <t>…parte en la elección en ninguno quín) 1. Total de votantes 77. Mayoría absoluta 39. Quedó tes que están abocados, no puede menos de hacer uso de la pa­ e los cinco dias. Si la comisión creyó entonces que la omisión electo el Sr. Laborda. labra, aunque con la posible brevedad en atención á ese deseo, ¡e estas formalidades era de poca importancia , y en su conse- Para tercer Vicepresidente obtuvo el Sr. López (D. Joaq uín para descargarse de la parte de responsabilidad en que pudiera uencia propuso lisa y llanamente su apro…</t>
  </si>
  <si>
    <t>la, Lalande</t>
  </si>
  <si>
    <t>Lalande la</t>
  </si>
  <si>
    <t>…ncipe J o in - esta escrito por un francés de los que con m a l i g n a i n t e n ­ y a n dedicado á formar el dialecto poético de la le o g u a , que son J u a n de Mena y Fernando de Herrera. ville, ha recibido del almirante Lalande la orden de ir á v isitar ción escr iben de las cosas de España sin conocerla*. Los poetas castellanos anteriores al siglo xv en que floreció el las costas de S i r i a , y que después de este corto crucero volverá El Eco sin embargo, copiando el soñado decreto con la fragata á Toíon. Seri…</t>
  </si>
  <si>
    <t>La, Laureano Sanz.</t>
  </si>
  <si>
    <t>Laureano Sanz. La</t>
  </si>
  <si>
    <t>…batado al fo ro , á las letras y á sus nuncia del mariscal de campo D. A ntonio Seoane el de igual serán siempre por vuestra felicidad, y mi mayor placer, que am igos, el homenaje debido, en su noticia acerca de Bellart. clase D. Laureano Sanz. La merecida reputación de que goza con repetidos hechos gloriosos aumentéis nuevos timbres á los Petitain, economista y estimable literato , Du Chosal, Mr. C at- este general me da fundada esperanza de que llegará, durante el que con tanto heroísmo habéis sabido adquirir. t y , primo…</t>
  </si>
  <si>
    <t>La, López.</t>
  </si>
  <si>
    <t>López. La</t>
  </si>
  <si>
    <t>…ciertas ideas, y 2 .a la propuesta de los Sres. González Alonso y Benavides, y 5.a “ Pedimos al Congreso se sirva acordar que en la discusión la crítica debe ser en este punto cual la lanza de Aquiles, que la indicación del Sr. López. La comisión ha tenido presente la pe­ d éla petición del ayuntamiento de Alicante se llame al Go­ heria y curaba al propio tiempo. tición de un ciudadano que se queja de haber sido allanada su bierno, para que trayendo los antecedentes sobre el derecho mó­ El Sr. Zorrilla confiesa que ha tra…</t>
  </si>
  <si>
    <t>la, López. Este</t>
  </si>
  <si>
    <t>López. Este la</t>
  </si>
  <si>
    <t>…ón del Gobierno. Las expresaba entonces el Sr. López. ñor López dijo escrito está: si no se trataba de la vioLcion de bajas del ejercito eran m uchas, en las contratas no habia quien (L eyó un largo párrafo de un discurso del Sr. López. Este la ley fundamental , se trataba de la violación de una ley , y ofreciera, y el Coogreso recordará el medio que hub« que Sr. Diputado se acerca á la mesa de la presidencia, y apoyán­ cuidado que si se autoriza faltar á una ley aunque sea de poco adoptar, que fue hacer caú contratistas á 9…</t>
  </si>
  <si>
    <t>La, Madoz.</t>
  </si>
  <si>
    <t>Madoz. La</t>
  </si>
  <si>
    <t>…én: Sre9. Ayala y Moría , Benavides y Fontecilla. dido, no se dirige á la comisión ; ha sido reducido únicamente 1 causa que tne impele á tomar parte en la discusión de este V izc aya: Sres. M u rg a y Huagon. á contestar al Sr. Madoz. La comisión solo ha sufrido tres li­ ictámen. Yo he habitado en la Co ruñ a, poseo en ella una gran Coruña : Sres. Ferro Montaos y Chacón. geras y decorosas impugnaciones del Sr. A r t e t a , á saber: arte de mis rentas, y por esta provincia he tenido el honor Albacete: Sres. Rodriguez Vera…</t>
  </si>
  <si>
    <t>la, Madrazo</t>
  </si>
  <si>
    <t>Madrazo la</t>
  </si>
  <si>
    <t>…iarias; no son estos los mas. En el m ayor nú­ ciones. para todos los institutos de á pie del ejército, en las proposi­ m ero se advierte la tendencia al m isticism o; y e.*»te giro, Dícese que Lu¡9 Felipe ha con ced id o al Sr. Madrazo la ciones que se expresan en el pliego de condicioues, con sujeción que pedia ser muy favorable á la poesía verdaderamente gran medalla de oro de primera clase, y al Sr. Ribera la al que ha de hacerse este servicio, el cual se hallará de mani­ espontanea, va degenerando en defecto por la t…</t>
  </si>
  <si>
    <t>la, Maison</t>
  </si>
  <si>
    <t>Maison la</t>
  </si>
  <si>
    <t>…omisión. N in g ú n consejero de la Corona tomará parte en y se ¿ce que si el mariscal Soult fuese excluido de la nueva diatamente iba á reconocer y dar disposiciones para que ea el ellas. combinación , seria devuelta al mariscal Maison la presidencia del consejo. dia de h o y , según se le tiene prevenido por Real orden , prin­ cipiasen los trabajos de dicha carretera en las inmediaciones de El mas consecuente de todos los p artid o s, y cuyo provecho F R A N C IA . redundarán indudablemente todas estas in trigas , es el…</t>
  </si>
  <si>
    <t>la, Manuel</t>
  </si>
  <si>
    <t>Manuel la</t>
  </si>
  <si>
    <t>…. ii p rra: Luis Igartuburu: D. Benito Picardo: D. Grego- proyectos de ley ó reglamento, conforme lo acordó en la legis­ Que no habiendo llegado á noticia de aquellos electores su atabal: IX Pedro Martínez:. D. Matías Oiave; D. Manuel latura anterior en igual caso. expulsión hasta el 21 , no pudieron hacer valer su derecho ha­ d ar*A?: ^08&lt;l u*0 U rtetegui: D. José de la Viésca: D. A n- . Aprobado sin discusión. llándose disuelta la diputaciou provincial. es varez: D . Manuel Leiras: D. Pedro Pascual Vela: Don Igualmente…</t>
  </si>
  <si>
    <t>la, Manuel Esqui-</t>
  </si>
  <si>
    <t>Manuel Esqui- la</t>
  </si>
  <si>
    <t>…y se anuncia asi en este periódico con reales , y moderno 8. Un asunto de tan alta im portancia , y en que tanto se interesa objeto de que llegue al conocimiento de los que no lo tiene el O tra pintada por Mengs, y grabada por D. Manuel Esqui- la gloria nacional , no necesita mas recomendación. juzgado y los conocidos, cuyo paradero se ignora , y comparez­ vel. Precio antiguo 8 r s ., y moderno 6 . E n cuanto al modo con que se ha desempeñado, no oculta­ can por sí ó representados por apoderado legítimamente auto­ Estampa de…</t>
  </si>
  <si>
    <t>la, Manuel Fernandez. Con</t>
  </si>
  <si>
    <t>Manuel Fernandez. Con la</t>
  </si>
  <si>
    <t>…uiera el fervor y caldes, presidente D. Baltasar M oró, D. Gabriel Azcárate, fines, y a sirviéndose de ellas como de un escudo en tiempos de celo por la propagación ó el triunfo de ciertas doctrinas ó sis­ D Miguel M artínez y D. Manuel Fernandez. Con las 25 ban­ intolerancia civál ó religio sa, y a empleándolas como una mina te m as, sino la bastarda ambición ó intereses aun mas villanos. das restantes y el mismo lema al completo de /^0 , fueron pre­ para derribar los obstáculos que les embarazaban el camino. Semejantes as…</t>
  </si>
  <si>
    <t>La, Manuel Joaquín</t>
  </si>
  <si>
    <t>Manuel Joaquín La</t>
  </si>
  <si>
    <t>…e la socia honoraria Doña Victoria Be- Tercer batallón de San Fernando 1L de línea. Capitán de trado que el crimen nunca prescribe, y que tal es la muerte nedito, bien natural por cierto en quien se presenta por pri­ cazadores D. Manuel Joaquín La llora , propuesto para la cruz cual fue la vida. Oid , pueblos; escuchad, tiranos ; este es el íiu mera vez ante reunión tan escogida. de San I croando de primera clase. trágico que ha tenido el caudillo feroz de Cataluña ; los mis­ La Sra. Montenegro brilló como profesora mas b…</t>
  </si>
  <si>
    <t>la, Manuel Llauder</t>
  </si>
  <si>
    <t>Manuel Llauder la</t>
  </si>
  <si>
    <t>…ción, y no será extraño visiten dicho local si (Idem.) lito de infidencia. (Núm. I84OO tienen necesidad de calzado, para proveerse de él. (Id.) Real decreto concediendo el uso de media firma al Ministro i n ­ _ admitiendo á D. Manuel Llauder la dimisión que ha he­ terino de la Guerra D. Francisco Narvaez. (Núm. 18 19.) cho de la capitanía general de Granada y Jaén, y nombran­ _ concediendo el uso de media firma al Ministro interino do en su lugar á D. Juan Aldama. (Núm. I 842.) Valencia 10 de Diciembre. de M arina, Com…</t>
  </si>
  <si>
    <t>la, Manuel Maderne.</t>
  </si>
  <si>
    <t>Manuel Maderne. la</t>
  </si>
  <si>
    <t>…militar en ejercicio de su misión. El Comercio. D. Valentín Galarza , D. Ignacio Fernandez de partió luego á la conquista de Túnez. Guando el Papa oyó tribunal sentenció al acucado á un año de prisión ; pero á pe­ la Somera y D. Manuel Maderne. las noticias de una victoria tan gloriosa para la cristiandad tición de la embajada francesa el Papa acaba de concederle Humanidades. D. Ernesto Brockinann y D. Anselmo Mateo. exclamó en un religioso éx tasis: F u it hamo missws á D so gracia plena y entera , despucs de una detenci…</t>
  </si>
  <si>
    <t>La, Marey.</t>
  </si>
  <si>
    <t>Marey. La</t>
  </si>
  <si>
    <t>…e rr a , y quisieran atraer al jabinete son contrarios á esta medida. Si se envia alguno será coste por plazos, prefiriendo al contratista que los ofre­ Sultán á su opinión. El alma del partido de la guerra es Hafiz- 1 gobernador Marey. La ley reciente, relativa á las fronteras, Bajá , general en gefe del ejército del G ran Señor en el monte ciese mas largos, para aprovechar asi el producto de los [ue ha sido votada tan unánimemente por las dos C ám aras, ha Tauro. Parece que la Puerta empieza á arrepentirse form alm en­…</t>
  </si>
  <si>
    <t>la, Maroto</t>
  </si>
  <si>
    <t>Maroto la</t>
  </si>
  <si>
    <t>…dido rehusarse á tomar parte en tan fausto acontecimiento. Ori­ Se hallaban presentes los Sres. Ministros de Estado , Ha­ S. M. la augusta Reina Gobernadora, abundando ahora lladas por el célebre convenio entre este y el general Maroto las cienda y Marina. como en todas ocasiones en estos piadosos sentimientos, los difereocias que separaban á españoles de españoles y que tanta El Sr. PRESIDENTE: El Sr. Presidente del Consejo de sangre, tanta horfaodad y desconsuelo ha manifestado del modo mas tierno y expresivo al reci­ pa…</t>
  </si>
  <si>
    <t>la, María</t>
  </si>
  <si>
    <t>María la</t>
  </si>
  <si>
    <t>…e Manuz y Baldor, vecino de Santander , por 50532 rs.: D on cesa, y a esta la tolerancia religio a que un ciudadano ir­ traba en su n ob le figura el pensamiento entero que pre­ Fermín Ferrer, por I48O rs.: los herederos de Doña María landés arrancó al torysm o de Inglaterra bajo el reinado sidió á la gigantesca época de las cruzadas. Veíase en de la Encarnación de Nestares, por 55452 rs.: Doña María del sensual Jorge iv. el endurecido guerrero toda la expresión de la fuerza Amalia de V iegas, por 3154 rs.: la viuda y her…</t>
  </si>
  <si>
    <t>la, Ministro</t>
  </si>
  <si>
    <t>Ministro la</t>
  </si>
  <si>
    <t>…ha hecho. Después de algunas breves observaciones del Sr. Burriel, se nece-ario que ese artículo tenga una segunda parte, y que el El Sr. PRESID EN TE: El reglamento 110 me autoriza para acordó que se pasase á otro asunto. Sr. Ministro la publique, por la cual se entienda que no se ha conceder palabras con ese objeto. A terminar este negocio.... El Sr. PRESIDENTE: Si el Sr. Ministro de Hacienda es­ privado á los propietarios del derecho á las indemnizaciones El Sr. M O N : Pido que se pregunte al Congreso...... tá pronto…</t>
  </si>
  <si>
    <t>…eo esto intereses de muchas especies, y que desgra­ El Sr. CALATRAVA (D. J.): Yo estoy pronto á darle mado para mi ministerio; pero esa desigualdad nace de otra ciadamente todos concurren á un mismo fio , y fin destructor el Sr. Ministro la copia de mi dictámen. cosa, por eso hasta mis reclamaciones han sido inútiles. de la libertad. Si el Gobierno no tuvo facultad para restablecer El Sr. Ministro de GRACIA Y JUSTICIA: Con mucho El Sr. VICEPRESIDENTE: Tiene la palabra el Sr. López; una ley , sea esta la que se quiera , es…</t>
  </si>
  <si>
    <t>la, Ministro de Estado</t>
  </si>
  <si>
    <t>Ministro de Estado la</t>
  </si>
  <si>
    <t>…l ínteres del autor de la memo­ redera de nuestros Reyes y á la cara patria.” Potencias extrangeras. Yo aseguro al Congreso que el Gabinete ria estaba en dar valor á esta declaración porque la presentaba El orador repitió al Sr. Ministro de Estado las preguntas no ha enviado ni dado encargo ni cosa que lo valga á ningún corno prueba del derecho que constantemente habían tenido en que anteriormente le hizo y continuó: emisario para países extrangeros que no han reconocido á S. M. España las hembras al trono; pues bien, su…</t>
  </si>
  <si>
    <t>la, Ministro de Gracia los Diputados. Caiga</t>
  </si>
  <si>
    <t>Ministro de Gracia los Diputados. Caiga la</t>
  </si>
  <si>
    <t>…e la minoría de sal­ mitirá el Congreso que por ahora rehúse continuar. putación, patriotismo, fidelidad y hombría de bien de todos va la Constitución del E sta d o , ó cosa así. En el calor con El Sr. conde de las NAVAS: El Sr. Ministro de Gracia los Diputados. Caiga la culpa sobre quien tenga la culpa. De que esto se expresaba, en lo avanzado de la hora, y el haber y Justicia me ha ensenado el camino que debo seguir. Supli­ que la discusión se abrió me ha visto el pueblo, la nación y visto algunos señores que se afanaban…</t>
  </si>
  <si>
    <t>la, O-Donnell</t>
  </si>
  <si>
    <t>O-Donnell la</t>
  </si>
  <si>
    <t>…ntinuación se expre- escenas en que la hidra de la discordia ha ensangrentado sus mado mucho , y la actividad que ha desplegado nuestro joven s a n , á saber: 100 cabezas , couvirtiendo contra su dueño las lenguas vene­ general O-Donnell la tiene desconcertada y temerosa. nosas que los han herido en la celosa reputación de su tiránico Teuthan. Buenos-Aires. amor propio, y presentándoles imágenes verdaderas ó fingidas A y llagas. Santiago de Cuba. de haberse violado el figurado impenetrable asilo? M il y mil M éjico. Coc…</t>
  </si>
  <si>
    <t>la, Orodea.</t>
  </si>
  <si>
    <t>Orodea. la</t>
  </si>
  <si>
    <t>…ón en cierta espíritu é índole de las diversas disposiciones l e g i s l a t i v a s , y causa que de R eal orden se in s tr u y e en e! mismo ju zg a d o , r e ­ para presentarse á ios exámenes que se íes ofrezcan hasta obte­ D Orodea. la tiv a á la inversión hecha con los caudales de la referid a obra ner el título de abogados. Este pequeño ü h rito se escribió ú n icam en te p ara poner en p ia de Je ru sa len . Asim ism o los ab ogados, procuradores , alcaldes y escribanos, a rm o n ía las opiniones del Sr. H e r m o…</t>
  </si>
  <si>
    <t>la, Ortigosa</t>
  </si>
  <si>
    <t>Ortigosa la</t>
  </si>
  <si>
    <t>…á S. S. que el Gobierno á quien se re­ greso, oí que preguntaba el Sr. Arguelles cómo consideraba al trar en una gran cuestión donde el Sr. Peña A g u ay o y otros fiere le precedió en su opinión , y al M inistro de Gracia y Sr. Ortigosa la ley cuando se hizo la reclamación por el me­ señores probablemente tomarán la defensa de los derechos que el Justicia actual le toca dar razón de los hechos que hay en la tropolitano, si como obispo ó como particular. Y o permito á clero quiere alegar que tiene, á fin de ver si puede r…</t>
  </si>
  <si>
    <t>la, Ortigosa. El Sr. Don</t>
  </si>
  <si>
    <t>Ortigosa. El Sr. Don la</t>
  </si>
  <si>
    <t>…las artes. Aquellos hermosísimos y A yer, como se esperaba, terminaron los debates principia­ vivos colores, aquellas delicadas labores, aquellos caprichosos ce­ D . Francisco Lucini. dos eu el dii anterior , el negocio del Sr. Ortigosa. El Sr. Don lados se ven ocultos y embarrados con dos ó tres dedos de cal» Manuel Corte a a &gt;udó su discurso , que d u ró como una hora A cuantas justas imprecaciones nos hagan los extrangeros so­ ACTRICES. mas: la mism* energía, la misma fuerza de convicción con que bre una profanación a…</t>
  </si>
  <si>
    <t>la, Ouseley</t>
  </si>
  <si>
    <t>Ouseley la</t>
  </si>
  <si>
    <t>…cer respe­ a lg u n a por nuestra parte. t a r , sino para evitar también en lo sucesivo la repetición de actos de que pueden o riginarse mas sérias y tristes conse­ cuencias. PARTE NO OFICIAL. E l que suscribe renueva al Sr. Ouseley las expresiones de E l segundo cabo de C ataluñ a dice con fecha 2 4 del an te­ su obsequio y de su estimación. rio r que las tropas que salieron de Barcelona á sus inm ediatas órdenes han causado 11 muertos á la g a v illa del L larch , y que Palacio de R io -Ja n eiro 2 9 de A b ril de…</t>
  </si>
  <si>
    <t>la, Pedro</t>
  </si>
  <si>
    <t>Pedro la</t>
  </si>
  <si>
    <t>…o pesar sobre ¿ N o sabéis que en su despecho, trever á Doña Leonor un rayo de esperanza: Doña Leonor se su fre n te, y dice á D. Enrique que tome su casco y le siga ; que La turba de sus parciales humilla hasta la bajeza ; D. Pedro la manifiesta que una sola se arme sin dilación porque la nobleza castellana se halla ya re- Afila ya sus puñales cosa puede salvarla, y ella contesta: unida, y él es el que únicamente falta. D. Enrique quiere sa­ Para hundirlos en mi pecho? M andad m e, señor, mandadme. ber la causa que m…</t>
  </si>
  <si>
    <t>…d h o­ Quería advertir los daños nor. Nosotros citarem os la ultim a parte del diálogo. Que pudiera ocasionar E l carácter heroico de Doña Ju an a no puede ser pintado * L a ejecución del Infante con mayor fuerza y energía. D. Pedro la arrastra hacia la es­ D. Enrique . . ¡ Y vuestro h on or! M ieutras vence D . Beltrán. c e n a ; pero el pueblo y la nobleza hau dado ya el grito de "m u e­ Doña Juana . ¡ Suerte funesta! D. Pedro . . . . Pues asi se ha de cu m p lir, ra el R e y .” D. Enrique . . ¡ Y vuestro h on or! ¿sab…</t>
  </si>
  <si>
    <t>la, Pedro Que de Castilla</t>
  </si>
  <si>
    <t>Pedro Que de Castilla la</t>
  </si>
  <si>
    <t>…del Rey hundir mi espada. M orir ¡oh trance cruel! alto grado. El poeta nos ha pintado una muger y una madre, Sí, compañeros; el feroz tirano Tener por lecho una tumba: es decir, el contraste de la debilidad y del heroísmo. D. Pedro Que de Castilla la grandeza ultraja Cuán triste en mi oido zumba ordena la muerte de Doña L eonor; y el espectador al ver tanta Debe probar mi cólera encendida, Esa palabra de hiel! barbarie opuesta á tanta grandeza de alm a, su corazón arreba­ Debe probar el hierro de mi lanza. Morir ¡ah !…</t>
  </si>
  <si>
    <t>La, Pedro y Doña Leonor de Guzmán.</t>
  </si>
  <si>
    <t>Pedro y Doña Leonor de Guzmán. La</t>
  </si>
  <si>
    <t>…de Ínteres , y nos Y aquella voz triste era Que la triste mansión de los sepulcros ofrece una escena que consideramos la creación vital del dra­ La de mi hijo querido; Ahuyenta al criminal y le acobarda. ma ; la escena entre D. Pedro y Doña Leonor de Guzmán. La Después el pueblo encontró En este sitio pues, junto á los restos muerte de esta es la que enciende la saña del conde de T rasta- Un cadáver mutilado; De los augustos padres de la patria m a ra ; sobre su tumba pronuncia la nobleza de Castilla el ju r a ­ N o sé q…</t>
  </si>
  <si>
    <t>la, Pedro. En</t>
  </si>
  <si>
    <t>Pedro. En la</t>
  </si>
  <si>
    <t>…que Mr. Orfila quiso aconsejar á su amigo gos. El abuelo de los que tiene hoy el admirable poeta haya merecido del cielo el don de la inspiración abundan­ el uso de la cataplasma en vez del de las sanguijuelas, de pertenecia á D. Pedro. En la actualidad hay en Paris co­ te é instantánea. Es sabido que encerrado con llave en una cuyo método era Mr. Dupuy tren un sectario fanático, y mo unos 20 galgos y galgas, color de café con leche ó de casa decam po por el encargado de las bellas artes, á quien que Mr. Orfila combaba euton…</t>
  </si>
  <si>
    <t>la, Pidal.</t>
  </si>
  <si>
    <t>Pidal. la</t>
  </si>
  <si>
    <t>…tos casos. en contra los Sres. Sancho, Gómez Acebo, O íózaga, San M i ­ trar á im pugnar al Sr. Argiielles iba á contestar á algunas de Dijo también el Sr. Argiielles, hablando del reinado de guel y Muñoz Maldonado; en pro el Sr. Pidal. las razones del Sr. Camaleño , que mas bien que impugnación, J u an 11 , que no se establecieron en la guerra de Portugal estos El Sr. SANCHO dice que si consigue destruir el art. 1 .°, fueron disparos de metralla los que dirigió al proyecto, porque tribunales excepcionales. Efectivamente no…</t>
  </si>
  <si>
    <t>la, PINTORESCO ESPAÑOL.</t>
  </si>
  <si>
    <t>PINTORESCO ESPAÑOL. la</t>
  </si>
  <si>
    <t>…oaquín de Fagoaga y D . P aota- SEMANARIO Varios facciosos, cu y a número no se designa , penetraron teoii Múntion y Alonso; para contador él Sr. D . Francisco Al- én el pueblo de ía Abaditla ; se han llevado consigo al alcalde PINTORESCO ESPAÑOL. lam iras; para tesorero al Sr. D. Benito Rodríguez ^ y para se­ y ótréS personas,'sin especificar cuáles son. cretario aí Sr. D . Francisco Sandalio de Mesa. ' :&lt;l* ENTREGA 10 DE LA SEGUNDA S E R IE , T eru et 6 de M arzo, El general én gefe se hallaba el dia 5 correspondiente…</t>
  </si>
  <si>
    <t>la, Pió Pita Pizarro.</t>
  </si>
  <si>
    <t>Pió Pita Pizarro. la</t>
  </si>
  <si>
    <t>…on fecha 12 de Febrero próximo pa­ c u le .= YO L A REINA GOBEBNADORA. = En Palacio tancias necesarias, tendrán derecho á la tercera parte de sado de los primeros reconocimientos que ha hecho dél á I.° de Marzo de 1 83 9.= A D. Pió Pita Pizarro. las subtenencias que vacaren en los referidos cuerpos, nuevo camino de Liébana á la costa, con muchas incomo­ quedando en el hecho de ser promovidos declarados sub­ didades y dificultades, por estar aquel pais cubierto de tenientes, vivos y efectivos de infantería. Tendréislo ent…</t>
  </si>
  <si>
    <t>La, Pontevedra.rz</t>
  </si>
  <si>
    <t>Pontevedra.rz La</t>
  </si>
  <si>
    <t>…e recorrer algunos pueblos de la provincia de Palen- Pontevedra 6 de Marzo . cia, entró el dia 7 en Tortoles, de donde salió á las doce de la noche, y pasando la Esgueva entre Torresendino y Villatuelde, Comandancia general de Pontevedra.rz La considerable ga­ se dirigió á Cilleruelo y Bahabon. El 8 á las cuatro y media D^ IC Cpostuma IO N A R IO de etimologías de la lengua castellana. Obra villa de ladrones capitaneada por Guisande que tantos daños de la tarde fusiló en el pueblo de Oquillas nueve soldados que rector qu…</t>
  </si>
  <si>
    <t>la, Posen</t>
  </si>
  <si>
    <t>Posen la</t>
  </si>
  <si>
    <t>…orosti- dente de Kleits á la fonda de S. Petersburgo acompañado de Muchos guardias nacionales han sido heridos: se habla de za , nuestro amigo y antiguo colaborador , poeta bien cono­ un consejero, para notificar al arzobispo de Posen la sentencia algunos muertos. La guardia municipal ha sufrido mucho. El cido de los apasionados al teatro por otras producciones su­ dada contra éhe^ta sentencia está concebida en los términos coronel Bailón, del 55 de línea, ha sido gravemente herido. Pa­ yas que han recibido con aprecio. El…</t>
  </si>
  <si>
    <t>La, Rafael Maroto.</t>
  </si>
  <si>
    <t>Rafael Maroto. La</t>
  </si>
  <si>
    <t>…legar al grado de prosperi­ el Excmo. Sr. duque de la Victoria y el gefe superior que fue piran á reinar apoyados en la fuerza de las armas y dad á que la han hecho tan acreedora sus sacrificios. Madrid de las fuerzas enemigas D. Rafael Maroto. La nación, que los no en la de las leyes, cuando abandonan sus huestes 17 de Setiembre de 1859 “ Señor3.—A L. R. P. de V. M.rrM. ansiaba y que preveía en la continuación de la sangrienta lu­ y abandonan el territorio que quieren oprim ir , pier­ El marques de Castelldosrius. cha la ru…</t>
  </si>
  <si>
    <t>la, Ramonet</t>
  </si>
  <si>
    <t>Ramonet la</t>
  </si>
  <si>
    <t>…iese ver al Senado solución, cuando ocurrió la célebre revolución de 10 de Setiem­ verla á poseer. su extraneza por varias indicaciones que h izo , las cuales qu e­ bre de 1856 que abolió la carta constitucional. Concluyó el Sr. Ramonet lamentándose de que con la in ­ ría que se hubiesen puesto en la contestación al discurso de la Esta novedad creó una época nueva. Desaparecieron con ella troducción de frases extrangeras se corrompiese nuestro hermo­ corona, x que en cuanto á lo que manifestó acerca de la liber­ las buena…</t>
  </si>
  <si>
    <t>la, Ramón Carnicer. En</t>
  </si>
  <si>
    <t>Ramón Carnicer. En la</t>
  </si>
  <si>
    <t>…las mas gracio­ causas de la turbulencia, intervendrán en favor de ios Sobe­ sas de Anacreonte, puestas en música tres de ellas por el cono­ ranos. Londres , á 90 dias , 3 8 i á f. Coruña , l f d. cido y a preciable profesor D. Ramón Carnicer. En la versión de Por ultim o, y este es el punto mas importante de todos, Paris, Í 6-4 papel. Granada, 1¿ id. e.tas odas se ha procurado que los acentos castellanos coincidan la Alemania no tiene como la Francia actual, ni aun en la Málaga, i á | b. con los del original griego, y e…</t>
  </si>
  <si>
    <t>…Domingo Badía y Leblich.) sas de Anacreonte, puestas en música tres de ellas por el cono­ murieron en la guerra d éla independencia, y en la gloriosa Antigüedades de España: el mosaico de la Valmuza. cido y apreciable profesor D. Ramón Carnicer. En la versión de Crítica literaria. Poesías de D. José Zorrilla: juicio de esta estas odas se ha procurado que los acentos castellanos coincidan ludia que sostenemos por los legítimos derechos de Doña Isa­ obra. con los del original griego, y este se ha escrito con caracteres bel i…</t>
  </si>
  <si>
    <t>…Ínteres, 5 al contado: 5$ á 60 d. f. ó vol.: 4$ id. sas de Anacreonte, puestas en música tres de ellas por el cono­ Patencia 10 de Marzo. En la noche del 6 se supo aquí á prima de $ por 100 nuevas. cido y apreciable profesor D. Ramón Carnicer. En la versión de que la facción de Balmaseda hibia pasado el Pisuerga, diri­ Acciones del banco español de S. Fernando, 00. estas odas se ha procurado que los acentos castellanos coincidan giéndose d esta provincia por el partido de Astudillo. con los del original griego, y estese…</t>
  </si>
  <si>
    <t>…ieron sas de Anacreonte, puestas en música tres de ellas por el cono­ lles, presbítero. Un tomito en 8.°, se veude en esta corte en la allí convenir efen sus criados y oficiales en reservar mensual- cido y a preciable profesor D. Ramón Carnicer. En la versión de librería de D. Juan Sauz, calle de Carretas, á 5 rs. en rústica. mente una corta suma de sus salarios o jornales para aumentar estas odas se ha procurado que los acentos castellanos coincidan progresivamente su fondo en la caja. Hubo directores de esta­ con los del…</t>
  </si>
  <si>
    <t>la, Ramón Carnicer. Én</t>
  </si>
  <si>
    <t>Ramón Carnicer. Én la</t>
  </si>
  <si>
    <t>…tidos su b leva d os ; im pedir que por medio de una c ie g a irri­ sas de Anacreonte, puestas en música tres de ellas por el cono­ tación contra las personas, que p o r un deseo impaciente de me­ cido y apreciable profesor D. Ramón Carnicer. Én la versión de CRUZ. A las siete de la noche. jorar las cosas, se trastornase la administración &amp;c. estas odas se ha procurado que los acentos castellauos coincidan CH IA R A DI ROSEM BERG , En la columna 5.a de la misma p ágin a, párrafo quinto, son los del original griego , y e…</t>
  </si>
  <si>
    <t>la, Ramón de Prado</t>
  </si>
  <si>
    <t>Ramón de Prado la</t>
  </si>
  <si>
    <t>…ya lugar. CAMBIOS. Los diez libros de Diógenes Laercio sobre las vidas, opi­ niones y sentencias de los filósofos mas ilustres; traducidos de Lóndres, á 90 dias, 38 á C oruña, 2 á 2 i d. Asimismo se c ita , llama y emplaza á D. Ramón de Prado la lengua griega , é ilustrados con algunas notas por D. José París, 16-5 á 6. G ran ad a, 2£ a £ id. y D. José Lesea, para que en el término de nueve dias, que por Ortis y San*. Dos tomos en 4 .0, edición de 1792, á 32 reales M álag a, 1¿ id. segundo se les señala, comparezcan en la…</t>
  </si>
  <si>
    <t>la, Ramón González</t>
  </si>
  <si>
    <t>Ramón González la</t>
  </si>
  <si>
    <t>…echa con conocimiento del colorido del gran maestro, D . Joaquín Becquer dos figuras de la edad media. greso. Obran únicamente en poder de la comisión los documentos y capaz de hacer fundar esperanzas en quien asi le comprende D. Ramón González la cabeza de un anciano y un niño que que acompañaba, y podrán devolvérsele por la secretaría. y acierta á copiarle. Un torero y una maja tomados del natu­ representaban á Abrahaiu é Isaac. ral, conservaron á D. Antonio Bejarano la reputación que le D . Manuel Rodríguez un asunto hist…</t>
  </si>
  <si>
    <t>La, Ramón Seru- Le Journal de Toulouse.</t>
  </si>
  <si>
    <t>Ramón Seru- Le Journal de Toulouse. La</t>
  </si>
  <si>
    <t>…d a , abogado y vecino de Le Indicateur. Le Voleur. Talayera de la R eina, recurre al Congreso reproduciendo la Cotización del dia 16 á las tres de la tarde. Le Phare. Le Artiste. queja que en 10 de Junio últim o elevó contra D. Ramón Seru- Le Journal de Toulouse. La Sentinelle. ti t gefe político de aquella provincia, por haberle separado de EFECTOS PÚBLICOS. L ’Echo fraúqais. L a Quotidienne* la Milicia nacional de su citado pueblo. La comisión es de pa­ recer que esta exposición pase al m inisterio de la Gobernación. Ins…</t>
  </si>
  <si>
    <t>la, Ribera</t>
  </si>
  <si>
    <t>Ribera la</t>
  </si>
  <si>
    <t>…iro, Dícese que Lu¡9 Felipe ha con ced id o al Sr. Madrazo la ciones que se expresan en el pliego de condicioues, con sujeción que pedia ser muy favorable á la poesía verdaderamente gran medalla de oro de primera clase, y al Sr. Ribera la al que ha de hacerse este servicio, el cual se hallará de mani­ espontanea, va degenerando en defecto por la tinta de fe­ de tercera, concedida también ai prim ero en la pasada fiesto en los estrados de dicha intendencia general , en donde sé rocidad y superstición antisocial que la im p…</t>
  </si>
  <si>
    <t>La, Rico.</t>
  </si>
  <si>
    <t>Rico. La</t>
  </si>
  <si>
    <t>…el hom ­ Rio........................ 8.. 4 bradas, Sobre todo los tiradores del 6.° ligero á las órdenes de bre m o ral, ilustrado por el escarm iento y la razón. Des­ Id. D. Nicolás Ampboso del M anzano, teniente de su capitán Rico. La batería rodada subió á mucha altura, y sus confía de los bienes de la vida qñe le buscan de nuevo: cura de Jesús María..................... 8.. 4 disparos hicieron gran servicio á nuestras masas, que con bayo­ gózalos, pero con tim idez; reprim e sus pasiones, que quie­ Id. D. Manuel E cha…</t>
  </si>
  <si>
    <t>la, Rito Garrido. Primeramente</t>
  </si>
  <si>
    <t>Rito Garrido. Primeramente la</t>
  </si>
  <si>
    <t>…para que estas fuesen libres y espontaneas. Yo no sé nandez, D. José García M artínez, D . Antonio Bermejo, Don guientes: cómo manifestar mi sorpresa cuando vi esa circular de un M i­ Manuel de Maltrana , D . Manuel Escolar , D. Rito Garrido. Primeramente la mitad de una casa, sita en el lugar de nistro encargado del mantenimiento de las leyes, mientras que D . Pedro Lamaignere, D. Román M atute, quienes declararon Fuencarreal y su calle Real, que linda con otra de Luisa Cres­ otro, encargado de dirigir la fuerza , se abs…</t>
  </si>
  <si>
    <t>la, Rivas.</t>
  </si>
  <si>
    <t>Rivas. la</t>
  </si>
  <si>
    <t>…termino dentro del cual deban aco­ del cielo y entre las mas ilustres del globo. las persecuciones, los o d io s, la perturbación moral qué tauto gerse á la amnistía los que quieran gozar de sus beneficios. A . de S . , duque de Rivas. lastima y enflaquece él nervio y poder de las.naciones. Art. 10. Esta amnistía se entiende sin perjuicio de lo esti­ Mas al propio tiempo cuida la comisión dé advertir qiie se­ pulado en ^1 coriVénio dé Yerg ara y én los demas que se cele­ mejante olvido- no puede ni debe extenderse respecto…</t>
  </si>
  <si>
    <t>la, S. M.</t>
  </si>
  <si>
    <t>S. M. la</t>
  </si>
  <si>
    <t>…iarla concluida. E n París, 16-6. G ran ada, id. id. atención á la escasez de los ejemplares del Ensayo y al deseo M á la g a , id. id. bien manifestado del público, los herederos habrían hecho un Antonio Palacio, escribano de S. M. la R e in a , notario p ú ­ Santander, par. bien á sus conciudadanos aun cuando solo les ofreciesen una blico del colegio de la ciudad de Zaragoza. Certifico: Que ante Alicante, \ á f b. Santiago, á 2 d. mera reimpresión; pero no se limita á esto la edición que al el Sr. D. Francisco Perez de…</t>
  </si>
  <si>
    <t>…ñ a d a , cerca de 6 0 ;leguas del Bosforo, sobre la costa turca plear en obsequio de la buena armonía con el Gobierno de F rau­ cia. Voy á cumplir ahora con este deber sagrado, y no dudo da. Se dieron igualmente al ministro de S. M. las seguridades del mar Negro entre Bourgas y Bujukderé. (G. de Augsburgo.) un momento que en la presente exposición encontrarán mis compatriotas los testimonios mas inequívocos de la prudencia convenientes cería cuando respecto de la intervención que el Gobierno ejer­ llegara el caso par…</t>
  </si>
  <si>
    <t>…ia quiera instancia las causas que en el juzgado inferior se haya El Sr. C A S T R O , después de leer el art. 56 de la ley elec­ para determinar en vista ó revista oirá al fiscal en su caso, y impuesto ó pedido por el fiscal de S. M. la pena de extraña­ toral , dice que no hallándose comprendidos en el texto de la también á las demas partes ó sus defensores, si se presentaren ó miento del reino, la de ocho años de presidio ú otra m ayor, y ley los auditores de guerra, todas las razones que ha dado el hubiesen sido nombra…</t>
  </si>
  <si>
    <t>La, Salas.</t>
  </si>
  <si>
    <t>Salas. La</t>
  </si>
  <si>
    <t>…; pero en to­ del autor de M arcela , Muérete y verás , y Todo es farsa das merecen nuestros sinceros elogios las Sras. Lamadrid y Pé­ ERRATAS NOTABLES. en este mundo. Créanos el Sr. Bretón ; vale mas serlo de pocas rez y el Sr. Salas. La primera y el último nos descubrieron En la Gaceta de ayer sábado, página 3.a, columna 3.% y escogidas que de muchas y medianas, y solo de estas últimas sus facultades en distinto género del que cultivan; cantando párrafo 2.°, línea 1.a, donde d ice: Homero es incomparable­ f uiede hacerlas…</t>
  </si>
  <si>
    <t>la, Sancho</t>
  </si>
  <si>
    <t>Sancho la</t>
  </si>
  <si>
    <t>…­ pormenores que en la práctica son perjudiciales. están cometiendo. ta y aunque sean en beneficio del Estado, pueden perjudicar á Creo, señores , que la garantía que se establece en este artí­ El Sr. CANTERO: Honor hace al Sr. Sancho la oposi­ los particulares, y perjudicarlos con suma desventaja, y la ra­ culo de que solo las proposiciones de empréstito se hayan de ción que ha hecho á este artículo por creerlo inm oral; pero la zón es muy sencilla. Los particulares que juegan en las opera­ examinar por una junta compues…</t>
  </si>
  <si>
    <t>La, Santa Cruz.</t>
  </si>
  <si>
    <t>Santa Cruz. La</t>
  </si>
  <si>
    <t>…dos prófugos la responsabilidad al resar­ general Gumarra , y 63 peruvianos y bolivianos mandados por que denotaban sus muchos años de servicio. Su afabilidad ha cimiento y subsanacion de los daños y perjuicios de cada el general Santa Cruz. La pérdida entre muertos y heridos ha agradado á todo el mundo. uno de sus suplentes. llegado á cerca de 1500 hombres. 4.° Conforme á lo resuelto en Reales órdenes de 15 y 19 de Agosto del año últim o, solo en los casos de seduc­ Esta mañana fue el Príncipe á visitar las cercanías de ci…</t>
  </si>
  <si>
    <t>la, Santacruz</t>
  </si>
  <si>
    <t>Santacruz la</t>
  </si>
  <si>
    <t>…res para Lucena. hoy mas confio que no habrá en el Ecuador sino una sola cau­ lla República después de la derrota de Y ungay. En Arequipa sa , la de la nación, ni un iuterés mayor que el de su libertad. se le comunicó al general Santacruz la conflagración en que se Tales son en resúmen los principios que van á guiarme en hallaban esos pueblos por sacudirse 8e su dominación, apoyán­ PARTE NO OFICIAL. el ejercicio del poder temporal que se me ha confiado: cuento dose en el general Ballivian que acaudilla las íuerzas militar…</t>
  </si>
  <si>
    <t>la, Santaella.</t>
  </si>
  <si>
    <t>Santaella. la</t>
  </si>
  <si>
    <t>…a breve reseña de los trabajos del Ateneo en el D e derecho político el Sr. Galiano. para cercar dicho pueblo ; pero habiendo visto los facciosos á presente año, y del estado en que la junta actual de Gobierno De geología el Sr. Santaella. la columna escaparon por la parte opuesta; viendo frustrado su deja las diversas atenciones que le han sido confiadas. De'historia de España el Sr. Benavides. plan , dicho comandante cogió 20 caballos de cazadores de la La primera sección ha empleado varias sesiones en investigar De lite…</t>
  </si>
  <si>
    <t>la, Secretario.r- Con</t>
  </si>
  <si>
    <t>Secretario.r- Con la</t>
  </si>
  <si>
    <t>…r los hor­ ha hecho verter, y tantos desastres nos ha causado. ra.= A L. R. P. de V. M .=José María Moscoso de Altami­ rores y estragos de la guerra á influjo de la paz que se veia re­ ra , Presidente.= El conde de Vigo, Senador Secretario.r- Con la asombrosa política del ilustre guerrero que manda nacer, y sin la que son enteramente nulos todos los Gobiernos las tropas del N orte, muchos españoles extraviados acaban de é instituciones; de la paz que debe ser considerada como el pri­ Diego Medrano, Senador Secretario.=José…</t>
  </si>
  <si>
    <t>la, Segorbe</t>
  </si>
  <si>
    <t>Segorbe la</t>
  </si>
  <si>
    <t>…e­ de V alen cia, sobre que se declaren nulas las condiciones im ­ lentísimo S r .: Tengo el honor de pasar á manos de V . E. el puestas por D . José María M ilán en una escritura de estable­ Según parte de ayer del gobernador de Segorbe las faccio­ adjunto parte que el comandante militar de Villafam és me ha cim iento de ciertas tierras sitas en el señorío de Narrufat$ bajo nes de aquel país siguen en A lg im ia : un batallón de Forcadell dirigido relativo á las tentativas del enemigo contra aquel fu er­ apercibimiento de…</t>
  </si>
  <si>
    <t>la, Senador</t>
  </si>
  <si>
    <t>Senador la</t>
  </si>
  <si>
    <t>…ador por dicha provincia. Abierta discusión sobre la totalidad del proyecto, y ao ha ridad. El título de M adre del pueblo con que proclamaron á El Sr. M ACIA L L E O P A R T manifestó que antes de expo­ hiendo pedido ningún Sr. Senador la palabra en pro ni en co * V. M. los españoles cuando vuestra clemencia llamó al seno ner ia única razón que tenia para impugnar el dictamen de la tra , se declaró haber lugar á votar por artículos. a~ de la patria.á los que gemían en países extranjeros, y se res­ comisiou 9 no podia menos…</t>
  </si>
  <si>
    <t>la, Serafín Derqui</t>
  </si>
  <si>
    <t>Serafín Derqui la</t>
  </si>
  <si>
    <t>…anunciando con esto la tem^ emplear útilmente hasta unos 1500 confinados, deje al cuida­ pestad, y por la noche empezó á llover con viento á veces fres­ En una reunión que se celebró el 21, el magistrado y los do del ayudante D. Serafín Derqui la dirección de ellos du­ co y á veces parecido á temporal; asi siguió toda la mañana vecinos de la ciudad de Stade han adoptado una resolución que rante su ausencia, comunicándole al efecto tas instrucciones hasta cerca de las dos de L tardecen que se aumentó rápida­ contiene la apro…</t>
  </si>
  <si>
    <t>la, Son</t>
  </si>
  <si>
    <t>Son la</t>
  </si>
  <si>
    <t>…rodean como amigos 500 personas muertas. Esperamos que mañana estaremos mejor L o rd A u c k la n d : Aqui teneis un retrato de nuestra joven BELGICA. informados. y hermosa Reina, tan celebrada por su virtud como por su P. D. Son las dos. Una canoa procedente de Fuerte-Real grandeza. Bruselas 18 de Febrero. ha manifestado que se han encontrado ya mas de 800 personas Habiendo presentado á Runjeet el mayor general Cotton muertas ó heridas. el retrato en uu marco de oro macizo, en tanto que la artille­ Acaba de publicars…</t>
  </si>
  <si>
    <t>la, Soult</t>
  </si>
  <si>
    <t>Soult la</t>
  </si>
  <si>
    <t>…eso no aproba­ Gabinete. tamos muy persuadidos de que la habrá rechazado. Esto solo mos los ensayos hechos á corta distancia del mencionado edifi­ Es igualmente cierto que varios D iputados de la izquierda indicaría al mariscal Soult la conducta que debia observar si el cio, y junto al camino real: dos uuevas excavaciones aparecen y del cen tro izquierdo fueron después de medio dia á casa del mariscal hubiese tenido necesidad de este ejemplo. allí que han dado hasta ahora que sepamos un resultado mez­ mariscal S o u l t…</t>
  </si>
  <si>
    <t>…de Francia. mitió ayer seguir las operaciones*, pero á las seis de la m añ a­ sosp;chas de haber favorecido la evasión del capitán bajá. na de hoy me puse en marcha con 14 batallones , decidido á Dos ayudas de campo del mariscal Soult la representan d ig n a ­ apoderarme de D u ra n g o , no obstante las noticias de que M a - mente cuando corren de uua á otra parte para impedir á los roto ocupaba la villa con fuerzas de consideración. Estas la generales batirse. Si todo esto no es triste , es mas que c ómi c o. evacuaron…</t>
  </si>
  <si>
    <t>La, Soult.</t>
  </si>
  <si>
    <t>Soult. La</t>
  </si>
  <si>
    <t>…provincia de Zamora el Gobierno francés la nueva república de Tejas ha en virtud de haber optado el Sr. Arrazola por la de Valladolid. cia de nueva sustitución á aquellos que justifiquen haber sido firmada ayer por el mariscal Soult. La negociación en El Sr. PRESIDENTE: Orden del dia. Continúa la discu­ practicado las medidas y precauciones que dicta la pru­ sión pendiente sobre fueros; el Sr. conde de las Navas tiene la dencia para asegurarse de la fidelidad y constancia de su nombre de Tejas se ha hecho por Mr. Anders…</t>
  </si>
  <si>
    <t>la, Stopford.</t>
  </si>
  <si>
    <t>Stopford. la</t>
  </si>
  <si>
    <t>…llevaron á úna El martes por la noche ha llegado á la altura de esta isla de Francia al Sultán. En estos casos es costumbre enterar de su sala en donde se distribuyeron las pelizas que nos vestimos para la escuadra del almirante Stopford. la* Princesa Carlota , que contenido a! gran visir en una audiencia solemne que precede comparecer ante el Gran Señor. El traje se componía de una trae á bordo al almirante en persona, ha ancLdo en el puerto á la de que se va hablando, y cuyas ceremonias preliminares túnica forrada de piel…</t>
  </si>
  <si>
    <t>la, Tejeo</t>
  </si>
  <si>
    <t>Tejeo la</t>
  </si>
  <si>
    <t>…m ino de 20 dias comparezcan en el indicado juzgado y so­ en el otro cuadro de la Dolorosa ; y ambos están perfectam en­ Serra. bredicha escribanía á evacuar el traslado que se les ha confe­ te armonizados. Bien deja ver el Sr. Tejeo las buenas fuentes en E n ejemplos morales. m D . Federico M a rtín e z de T oro y rido en los autos que en él se siguen á instancia de S antiago y que ha bebido, á cu y a esencial circunsta ncia debe p rin cip al­ D . Jo a q u ín Tejada. Nicasio F o n te c h a , sobre liquidación de cuentas…</t>
  </si>
  <si>
    <t>la, Teste. Un</t>
  </si>
  <si>
    <t>Teste. Un la</t>
  </si>
  <si>
    <t>…ales cree haber descubierto el movi­ miento continuo. Parece que esta cuestión no se ha mirado con C ircu lar . bién se habla de Mr. Gaillard de Kerbentin ; Mr. Barbet, dip u­ tado y corregidor de Roneu , y al teniente general Teste. Un la indiferencia que á otras de esta clase, porque el Gobierno la periódico habla de Mr. M echin; pero tenemos motivo para du­ ha tomado en consideración, y se ocupa de ella seriamente. El Conformándose S. M. la R eina Gobernadora con lo que dar que esta lista sea exacta , y que las espe…</t>
  </si>
  <si>
    <t>la, Torres So</t>
  </si>
  <si>
    <t>Torres So la</t>
  </si>
  <si>
    <t>…al sorteo de las cinco secciones de que ha de 1.a sección. Sr. Presidente Ozores , Vicepresidente Fernan­ T om am os del C orresponsal lo que sigue: componerse el Senado, dió el resultado siguiente: dez N a v arre te, Secretario Torres So lan o t, Vicesecretario Diez Tenemos la satisfacción de anunciar á nuestros lectores que 1.a sección. Sres. Ozores, Montesoro , Isla Fernandez, Tor­ de Tejeda. 2 .a Sres. Presidente marques de Santa Cruz , Vicepresiden­ esta sociedad se halla y a constituida aunque no definitiva­ res S…</t>
  </si>
  <si>
    <t>la, Trinidad Balboa.</t>
  </si>
  <si>
    <t>Trinidad Balboa. la</t>
  </si>
  <si>
    <t>…llería con sus caballos. Todo esto es debido al celo y actividad El Sr. B E N A V I D E S : Pido al Sr. Presidente que se haga préviamente; algunas personas, acaso de contrarias opiniones, del comandante general el brigadier D. Trinidad Balboa. la pregunta al Congreso de si se me concederá la palabra. han desechado la enmienda por la misma razón ; en su dere­ El Sr. P R E S I D E N T E : No se puede hacer esa pregunta, cho han estado; pero en su derecho y aun en su obligación porque es terminante el artículo del reglament…</t>
  </si>
  <si>
    <t>la, Valee</t>
  </si>
  <si>
    <t>Valee la</t>
  </si>
  <si>
    <t>…de lo ocurrido. {Eco de Aragón.) suicide! En ese caso nada le faltaría para ser el modelo Se lee en el Amigo de la Religión : del rom anticism o actual. Pero C alderón no quería som eter El Papa , para recompensar al mariscal Valee la buena aco­ el hom bre al ímpetu ciego de las pasiones: creia en la ra ­ gida que ha hecho al obispo de Argel, va á enviarle un cua­ dro de mosáico del mismo gusto que el que regaló su Santidad MADRID 3 1 DE MARZO. zón y en la m oral: y ese es su defecto á las ojos de I09 al gran duque Alej…</t>
  </si>
  <si>
    <t>la, Valores</t>
  </si>
  <si>
    <t>Valores la</t>
  </si>
  <si>
    <t>…bajo de la territo rial que se comete á la dirección general de rentas provincia­ Junta d e quema d e docum entos d e la deuda pública . de esta corte. Lo que se avisa para que concurran por sí ó por les y contaduría general de Valores la recaudación de los inedio de procurador con poder bastante los que fueren. D E C IM A SE P T IM A Q U E M A . arbitrios pertenecientes al mismo monte, y á la dirección del tesoro y contaduría general de Distribución el pago de R e u n id a en la plaza de la Constitución á las once de…</t>
  </si>
  <si>
    <t>la, Versalles</t>
  </si>
  <si>
    <t>Versalles la</t>
  </si>
  <si>
    <t>…mos la El Sr. abad Ausnn, gefe de la iglesia evangélica francesa, nisterio. Pero si se opinase que la Inglaterra nos llevaba dema­ paz con ellos? No son generosos, ya lo sabemos; pero lo somos acaba de dirigir al señor obispo de Versalles la retractación siado lejos , esta seria una razón para declinar desde el prioci- nosotros, y queremos confundirlos con continuos rasgos y pública de sus errore-j, y la expresión de su mas vivo arrepen­ pio la responsabilidad de un paso tal como el que se nos ha muestras de una generosidad…</t>
  </si>
  <si>
    <t>la, Vicente Puchades</t>
  </si>
  <si>
    <t>Vicente Puchades la</t>
  </si>
  <si>
    <t>…ventajoso de esperan. hacerlas. E n el dia de ayer fue alcanzada en el término de Foyos Anímale sin embargo la esperanza, hija de la convicción Los pueblos que carecen de monte y arbolado, y aun los por la partida volante de D. Vicente Puchades la gavilla nue­ mas profunda , de que el público apreciará debidamente su pen­ que los tienen , deben traer á la memoria para su observancia vamente organizada eu G átova, que desde Portaceli hacia sus samiento. Excusado le parece, sin que pueda atribuirse á vani­ mi circular citada…</t>
  </si>
  <si>
    <t>La, Vila.</t>
  </si>
  <si>
    <t>Vila. La</t>
  </si>
  <si>
    <t>…oría y minoría. Ayer se abrió la discusión sobre do individuo de la comisión relativa á la contribución extraor­ era su deber, y lo ejecutan en el dia de hoy , que acaban de este asunto, y se dió principio por la enmienda del Sr. Vila. La dinaria de guerra, que ha sido posterior á la reforma del regla­ salir del templo del Señor de tributarle gracias por el feliz mesa ha juzgado que está en el caso de aplicar el art. í.°, te­ mento; y en aquel entonces se presentaron multitud de enmien­ acontecimiento de haber sido expulsado…</t>
  </si>
  <si>
    <t>La-, Geróuiuio</t>
  </si>
  <si>
    <t>Geróuiuio La-</t>
  </si>
  <si>
    <t>…u a r t o D Rafael ciéndolo por sí ó por medioy Diario de avisos de esta capital, ha­ de apoderado autorizado competen* pero no por eso dejaremos de felicitar al Sr. de Figueroa por su Tolosana, quinto D. Voto N azarre, sexto D. Geróuiuio La- temente,a las diez de la mañana; apercibido que de no hacerlo se primera producción, sin duda la mas aplaudida de cuantas se coctena. dará el juicio por intentado, é incurrirá en la multa de cuatro han representado, pues en el tercer acto cada escena lo era con Síadico : D. Mariano Cas…</t>
  </si>
  <si>
    <t>La-a</t>
  </si>
  <si>
    <t>…las El mi mi) i me res y la misma predilección merecieron papeletas estaba escrito: Porte pagado ..................el....................dia Este proyecto cuyo nombre oculta su autor, pero que no de..................del al Sr. La-a^ra los miélicos expósitos, los desamparados, puede menos de ser concebido por una persona muy versada en era preciso llenar año de 1655. Para hacer uso de estas papeletas las niñas del colegio de la Paz, el Hospicio, el asilo de la economía de la administración de correos, presenta noticias el…</t>
  </si>
  <si>
    <t>Laban, Pedro</t>
  </si>
  <si>
    <t>Pedro Laban</t>
  </si>
  <si>
    <t>…llenos de agua en las cofas y en legio , y están igualmente interesados en su buena educación. riosos por m a r , y no les desmayó la pérdida de Alí. No el puente para ap agar pronto el fuego que pueda ocur­ En seguida leyó D. Pedro Laban, profesor de idioma fran­ quedó galera sin aferrarse una con otra, ni cañón ni ar­ rir, regando con ellos toda la cubierta y puentes para im ­ cés, una composición poética , en que describió con bellas im á­ cabuz sin disparar; la lluvia de picas, jabalinas y flechas pedir la explosión…</t>
  </si>
  <si>
    <t>Labcrde</t>
  </si>
  <si>
    <t>…om ana se entra en la segunda L a primera comisioa de sabios (se componía de los señores diferente époea? Unos salen vestidos á la usanza del siglo xvnr, rotunda, destinada para las esculturas de bronce y varie­ G sutier, conde Labcrde, el barón Degerando y Jomare], miem­ sntre el¡03 L). Bartolo y la vieja; otros, como el conde de Alma- dad de m ármoles de color. De esta rotunda se pasa al ú l­ bros del instituto, y de Jullien, L eroy, Bailli, y el médico viva , de elegante de nuestros d ias; y por último, los coristas Mo…</t>
  </si>
  <si>
    <t>Labe</t>
  </si>
  <si>
    <t>…efe n­ d o , se ha olvidado de la réplica m i a , pues y o dije lo mismo existiese debe traer los docu m entos, para que de este roodo se fije U cu estión, y podamos eateadernos. sa de la causa de la libertad y de la Reiu a Doña Labe! 1 1 ; esa que el Sr. Mendez V i g o . M ilic ia que tautas pruebas tiene dadas de su patriotismo , y Quedó retirado el dictámen. E l Sr. Secretario del Despacho de la G U E R R A : Contestan­ que ha sido el sosten de la tranquilidad y seguridad de los ciu ­ Se dió cuenta en seguida del dictame…</t>
  </si>
  <si>
    <t>…que aseguran con la paz los indudables derechos de nuestra El com andante general de C iu d ad -R eal y Toledo con fecha S e ñ o ra: Si la consoladora esperanza de paz y de ventura idolatrada R e in a vuestra augusta H ija Doña Labe) ir. 8 del actual dice haberse presentado al in dulto en diferentes que la España bebió desde el momento en que V . M . se dignó Dígnese pues V. M. aceptar benignam ente el tributo de la pueblos, desde el d ia 2 , 8 1 facciosos. pisar su suelo y ratificó , cuando intérprete de las bondades mas…</t>
  </si>
  <si>
    <t>…ia anteriormente, pues monarquía española durante la Regencia de V. M. , é-ida m a­ NOTICIAS NACIONALES. esto no le consta legalmente al Senado: a s i que d o debe haber in­ ternal de la inocencia y felicidad de vuestra Hija Doña Labe! ir. Chiva 5 1 d e Setiembre, conveniente en que se apruebe el dictamen de la comisión, por Al dulce nombre de paz, el enojo y el encono que la caba- haber en él razones de legalidad y conveniencia. leria española en los campos de batalla demostraba contra el El batallón faccioso que estaba…</t>
  </si>
  <si>
    <t>…uadrón tendrá su bandera ó manera prevenida en los artículos anteriores. por D. Carlos juró en roanos de aquel fidelidad y obediencia estandarte. Art. 54* El oficial , sargento ó cabo que se ausentare y per­ á S. M. la Reina Doña Labe! ti , á la augusta Reina Goberna­ Art. 55. En las poblaciones grandes donde hubiere dos o maneciere mas de un año fuera de su pueblo , cesará en su em­ dora y á la Constitución. En seguida salió el mismo ayunta­ mas batallones, podrán formarse brigadas según e! numero de pleo, y se procederá á…</t>
  </si>
  <si>
    <t>…as literarias, cinco tomos en 8.° que expliquen el vítor, en términos de proceso. Es ademas fanático por la noble­ Espíritu del siglo, cuatro idem. perdones y aplausos za; y hay en Madrid una tradición de que fue personaje Doña Labe! de Soh's, dos idem. con frases modernas Hernán Perez del Pulgar , uno idem. del bueno, fam oso, verdadero, y que Cañizares lo sacó al teatro por compla­ Ademas otras obras sueltas. del bravo y el lindo. cer á amigos poderosos, alegres y mal intencionados. En la misma comedia hay una Doña M…</t>
  </si>
  <si>
    <t>Label</t>
  </si>
  <si>
    <t>…és los fu e ro s , ¿ y hoy no ñoles en torno del trono constitucional de vuestra augusta Hija Anunció S. S. que habia un pensamiento común en la adi­ existe ese amor á la posesión, especialmente en la parte que ha la Reina Doña Label it , y prepara dias de gloria á esta nación ción y demas proyectos. Pensamiento común podrá haberlo; estado dominada constantemente por la facción ? ¿ C u á l es el magnánima , combatida hasta ahora por encontrados elementos. pero el pensamiento formulado no es el mismo seguramente; statu…</t>
  </si>
  <si>
    <t>…te en provin­ nocimiento y de g r a t it u d en favor de la a u g u s ta M ad re de que sea aquella comisión. Tendréislo entendido, y dis­ cia. Tendréislo entendido, y lo comunicareis á quien cor- nuestra id olatrada R ein a Doña Label i r , que tan h áb ilm e n te pondréis su cum plim iento.=R ubricado de la Real m an o.= responda.= Rubrieado de la Real m an o.= E n Palacio á 13 d i r i g e los destinos de esta nación heroica. En Palacio á 13 de Setiembre de 1 8 3 9 . = A D. José de de Setiembre de 1 8 3 9 . = A D. José de…</t>
  </si>
  <si>
    <t>…timientos. ta y sexta columnas D. Antonio Amieva tuvo el 4 un choque en A l comprender toda su importancia reconoce igualmente vuestro augusto nombre, el afianzamiento de las libertades pa­ trias, el esplendor del solio de Doña Label ii nuestra R e in a , la la dehesa del Castañar, cuyo resultado fue quedar muerto en el que unos sucesos tan halagúenos y extraordinarios son debidos campo un faccioso y otro h erido , con la aprehensión de dos á la p ru d e n cia, tino ilustrado y sabiduría del Gobierno de gloria perpetua del…</t>
  </si>
  <si>
    <t>…fianzando de un modo indestructible el le»íti- dislocar la administración del tesoro, m e n g u a r sus ingre remos herm anos, todos súbditos líeles de V. M. ; y reunidos to ­ ino trono constitucional de vuestra excelsa Hija Doña Label n sos, y por consecuencia inevitable debilitar el crédito na­ dos alrededor de vuestra excelsa Ilija , gozaremos de los incom ­ Reina de las Españas. T an faustos acontecimientos causaron cional, si bien la buena fe nunca desmentida y los recu r­ parables bienes que á la paz acom pañan: la paz…</t>
  </si>
  <si>
    <t>…ón aspiraba solamente á destruir el sistema constitucio­ de una isla oscura llamada Inglaterra” , reprendiéndole por su den la suspirada paz de los pueblos. Por su parte están prontos n a l , la legitimidad de nuestra Reina Doña Label ir , regenera "locura y malignidad eo no obligar á sus bárbaros súbditos á i satisfacer las contribuciones que legítimamente les correspon­ de V. M . y su Gobierno: y a solo vemos brillar en ios corazo­ respetar las sagradas leyes y las órdenes de la sombra del pode­ d í 1? i cumpliendo asi…</t>
  </si>
  <si>
    <t>…ular mérito y aplica­ Como Regente y Gobernadora, á nombre de mi au­ A y e r á las ocho de la m a ñ a n a , y cu and o S. A. R . el d q - ción de estos tiernos niños coa unas condecoracioues, que al paso gusta Hija la Reina Doña Label n , y e n conformidad con que de O rleans iba á salir para L is b o a , se trasladó al ja rd ín que sirve de estímulo á los d e m á s , fuese satisfactoria- para loi el artículo 15 de la Constitución, oido el Consejo de Mi­ público para pasar revista at 21 de ligeros. Después de a l g u - agra…</t>
  </si>
  <si>
    <t>Labia, Pascual</t>
  </si>
  <si>
    <t>Pascual Labia</t>
  </si>
  <si>
    <t>brán recibid'; un impreso que habla de este asu n to, pero no está 1 damento, que hasta que se hubiera discutido el proyc-Uo de c o n ­ to de la proposición del Sr. Pascual Labia sido porque hoy se firmado , y la comisión por lo tanto no lo ha podido tomar en testación al discurso de la C o ro n a , uo se presentarían cuestio­ leería y la apoyaría S. &amp; ; sin embargo rogó al Sr. Feliu que consideración, pues no sabe de dónde v ie n e ; oficialmente uada nes re…</t>
  </si>
  <si>
    <t>Laborda</t>
  </si>
  <si>
    <t>…lle s, dos palabras solas, repito, Sres. Fernandez Vallejo y Calderón Collaotes, quedando elegido N av arra en su parte municipal y económica, y en lo demas se podían bastar para q u e , tomando la incomodidad de ver el el Sr. Laborda. conserva para todas ellas el régimen constitucional que se h a­ artículo 1 .° y 2.°, quedase bien el 5.°: es decir, donde se dice; Para tercer Vicepresidente quedó electo el Sr. López (D on llaba vigente en las capitales de las demás del reino al celebrar­ " p ara el arreglo de las demas p…</t>
  </si>
  <si>
    <t>…Hago de Mayo último todas las rentas y usufructo de su propiedad la venta Quemada, y apresurando aquel su marcha cargó deci­ notorio que por Real orden de 8 del corriente se manda sacar á en pago de la expresada cantidad al Sr. Laborda, y que este didamente á un grupo de siete, de los cuales quedaron cinco pública subasta por el término de dos años el asiento de las pro­ devolveria á los cedentes la cantidad de 219 duros que como en su poder, entre ellos el cabecilla Polero, que por haber con­ visiones de víveres de este…</t>
  </si>
  <si>
    <t>…rs. Que sin entrar á impugnar la validez o no validez de la es­ Concluida su lectura , pidió el Sr. Guillen y Gras que se Que nuestro crédito se funda en la seguridad de los capí* critura , ni menos entrar á examinar si el Sr. Laborda tenia la leyese el dictamen de la comisión de 7 de Enero de 1858. tales y en el exacto y puntual pago de los intereses. pensión de 4^3 rs. sobre las cajas de Puerto-Rico , únicamente No habiendo ningún Sr. Diputado que tuviese pedida la Manifiesta en seguida que si se quiere tener crédito e…</t>
  </si>
  <si>
    <t>Laborda, Miguel</t>
  </si>
  <si>
    <t>Miguel Laborda</t>
  </si>
  <si>
    <t>…ctor, Víctor D. Pedro Allende Salazar. Chimeneas, otro en Suria y el pueate de M alagariga, que pre­ Lana* Zaragoza. = D. Agustín Nogueras, nombrado por renuncia senta al enemigo mil ocasiones favorables de atacar nuestros de D. Miguel Laborda. convoyes, y entorpecer la marcha de las operaciones, á menos Idem 15. de cuajar de puertos fuertes la distancia de cinco horas que media entre las Chimeneas y Cardona. El sábado 9 del presente mes al ponerse el sol se levantó un Resta pues el camino de Manresa i Berga por Balsaren…</t>
  </si>
  <si>
    <t>Laborde</t>
  </si>
  <si>
    <t>…ue supo imponer silencio al fanatis­ La corbeta francesa Jguala , de I 4 cañones, mandada por les , la Cámara ha votado 50 leyes de ínteres general, compren­ mo musulmán, é improvisarse ella misma una soberanía má gi­ el teniente Laborde, ha entrado el lunes en la bahía y ha cam­ diendo las leyes sobre Jas rentas del Estado que abrazan la su­ ca en los dominios de Mahoma. biado los saludos de costumbre con los fuertes del puerto y el ma precedente. Lady Ecther Stanhope, dice Mr. de Lamartine en su ad­ buque de línea american…</t>
  </si>
  <si>
    <t>Labraña, Manuel</t>
  </si>
  <si>
    <t>Manuel Labraña</t>
  </si>
  <si>
    <t>…José Sagiista, este servicio, ó encomendar al éxito de un sorteo el seña­ llamamiento, se le conducirá á esta capital en calidad de preso Moyana, D.Martínez D. Tomas Domingo Ibarra, D. Joaquín Alcalde, D. Basilio del Rio y D. Manuel Labraña , quienes lamiento de los individuos que han de componer dicho de justicia en justicia por su inobediencia á los preceptos judi­ por unanimidad declararon no haber lugar á la formación de batallón, ha preferido sin embargo el medio de explorar ciales. Granada 12 de Febrero de l859.=…</t>
  </si>
  <si>
    <t>LAC</t>
  </si>
  <si>
    <t>…festó en los términos mas explícitos estar clusión de los electores. abone su valor al que los dé. pronto á abrazarse con aquel que se le sintiese mas resentido, El Sr. conde de las N A Y A S manifestó que desde luego se El Sr. L A CO ST E la a p o y ó , fundándose en que si no se y callando todos, añ ad ió : "Séame permitido, á nombre del par­ debían anular las elecciones de esa provincia , porque en el ex­ admitiese seria esta una contribución que no pesaría como era tido moderado, abrazar á D. M anuel Amoraga que lo es…</t>
  </si>
  <si>
    <t>Lacosta</t>
  </si>
  <si>
    <t>…eligrosa, una tendencia que que al art. 3.° del proyecto de ley sobre recompensas militares 110 sufre esa intervención legal de que habla el art. l í de la puede embarazar en su marcha al tribunal que conoce eu la proponía el Sr. Lacosta. ley electoral? Tampoco ¿Cómo, pues, no constando en el ex­ causa: segundo , que no estamos en el caso de resolver sobre la Quedaron sobre la mesa dos dictámenes de la comisión de pediente ninguna de estas formalidades.que la ley exige, pasa aptitud legal del 8 r. A lvaiez mientras no se pr…</t>
  </si>
  <si>
    <t>Lacosta, José</t>
  </si>
  <si>
    <t>José Lacosta</t>
  </si>
  <si>
    <t>…deseos del público, poniéndose al fin del segundo tomo uno las salas consistoriales los jueces de hecho D. Manuel Sacz , Don de todas las doctrinas contenidas en la obra , el cual tiene el Cristóbal Veces, D. Juau Santandreu , D. José Lacosta , Don VACANTE. doble objeto de que se encuentren roas fácilmente las materias José Pascual , D, Bernardo D olé, D. José Preyo y Cacho, Don que se busquen, y de presentar en compendio cuanto de ellas Joaquín M Aral y D. Manuel Pardillos, sorteados conforme á S E halla vacante el partido…</t>
  </si>
  <si>
    <t>Lacoste</t>
  </si>
  <si>
    <t>…e la comisión de A c ta s, en que propone se pidan las los interesados. són, conocido hasta ahora por gefe de los moderados en esta listas electorales de la provincia de A v i l a , para poder juzgar Se leyó una enmienda del Sr. Lacoste, á que el pueblo que v il la , con expresiones las mas vivas y eficaces provocó á la re­ con acierto de si ha estado bien ó mal hecha la inclusión y ex­ por donde h a y a salido el quinto que no tenga esos terrenos conciliación: manifestó en los términos mas explícitos estar clusión de los…</t>
  </si>
  <si>
    <t>Ladren, Santos</t>
  </si>
  <si>
    <t>Santos Ladren</t>
  </si>
  <si>
    <t>…no les convenía. Cotización d e l dia 18 á las tr es d e la ta rd e ♦ N avarra. Sin mas discusión se puso á votación el dictámen , y fue Declaración en estado de guerra de Guipúzcoa y N a v arra. EFECTOS PUBLICOS. aprobado. D. Santos Ladren sale á campaña por Carlos v : es preso y Lo fue igualmente sin discusión el que versaba sobre la pe­ Inscripciones en el g r a n libro á 5 por 1 0 0 , 00. fusilado en Pamplona. tición número 56. Títulos al portador del 5 por 100, 3 54 con cupones al con­ Aparición de varios cabecilla…</t>
  </si>
  <si>
    <t>Ladrón, Joaquín</t>
  </si>
  <si>
    <t>Joaquín Ladrón</t>
  </si>
  <si>
    <t>…la facción , el qué tam­ Esta seria una grave fa lta , y puedo asegurar que la Ingla­ en ella, la Rusia ha podido lisonjear las esperanzas del Sultán terra consentiría diúciimente; el Austria jamás. bién fue aprehendido , y D. Joaquín Ladrón , hermano dél ca­ sobre la recuperación de sus dominios, y explotar sus temores becilla D. Santos, sugeto de prestigio entre los carlistas. Asimis­ El Austria parece ser la única Potencia que ha conservado exagerándole las consecuencias de una seguida victoria por una posición inde…</t>
  </si>
  <si>
    <t>Ladrón, Santos</t>
  </si>
  <si>
    <t>Santos Ladrón</t>
  </si>
  <si>
    <t>…estaban comprendidas todas las existencias le­ razones d e ‘ prudencia no quiso seguir en su empeño. Ocurrió hubiese desaparecido. gislativas de Navarra y provincias Vascongadas y todo lo que en este tiempo la sublevación de D. Santos Ladrón ; el Gobier­ Pasa en seguida á hablar de las quintas, y dice que cuando constituía el sistema llamado foral. no no tenia un cuarto, y entonces la diputación dijo: aqui te­ se ha tratado de quintas en la Península, hay cajas particula­ En seguida se aprobó el art. 2.a , y declarado el…</t>
  </si>
  <si>
    <t>…y la fe cristiana. Opuesta á tan grande y po­ antecedentes del mismo.—Referencias y vicisitudes del coronel U na con el dueño yace derosa nación habia otra, que aunque separada en diversos es­ Zutnalacarregui.—Exposiciones de D. Santos Ladrón á S. M, Y otra yace sin el dueño.” tados, tenia un vínculo común, que era la doctrina del men­ después de ser exonerado del gobierno de Cartagena. —Marcha tido profeta de la Meca. Los mahometanos se habían hecho de Calotnarde y entrada del mismo en Francia.—Embarios ve­ Pensamiento…</t>
  </si>
  <si>
    <t>Lady, María</t>
  </si>
  <si>
    <t>María Lady</t>
  </si>
  <si>
    <t>…arece que el 29 se reunió este con Cabrera, y que fue­ ción de la m o n arq u ía española Reiría de las Españas, ron atacados por 12 batallones de la Reina , retirándose dichos y d u ra n te su m e n o r edad la R eina Viuda Doña María Lady S eym our, la R.eina de la hermosura en el torneo de cabecillas á Fortanete; habiendo salido á las doce de la noche C ristina de B o rb o n , su augusta M adre, como G o b e rn a ­ Eglington , ha llegado á W indsor para visitar á S. M. de aquel punto para Cantavieja , donde siguen reunido…</t>
  </si>
  <si>
    <t>Lafarga, José Antonio</t>
  </si>
  <si>
    <t>José Antonio Lafarga</t>
  </si>
  <si>
    <t>…incipios que representan otra José de Cregenzan, D. Gerónimo Tobaso, D. Pedro Sánchez y los profundos valles del Perú y de Colombia no permi­ cosa que un incendio devorador que no ha podido extin­ de Yebra, D. Bernardo Riega, D. José Antonio Lafarga, Don ten viajar en carruajes. guir ninguna potencia humana. Alonso de Queso y Valdivia y D. Fernando Muñoz de Guz- Ademas, la experiencia ha demostrado que tanto los Puesto que las dos Américas después de luchas tan m an, ó sus hijos y herederos, el derecho que les asiste al p…</t>
  </si>
  <si>
    <t>Lafleur</t>
  </si>
  <si>
    <t>…, granadero de la 7.a legión , en la calle m a s, y en el de hacer fuego contra la tropa. retórica en el colegio de Borbon , al volver del colegio á su ca­ M ichel-le-Cornte. Conducido al pelotón , encontró en él un jo ­ El Sr. Lafleur ha declarado que Philippet era un hombre sa , seguía los movimientos de los insurgentes, observando con ven llamado Porthaul, que también habia sido arrestado al salir de probidad y ,e xacto en el cum plim iento de sus deberes; sin particularidad á un individuo vestido de n egro, á quien ha…</t>
  </si>
  <si>
    <t>Lafontaine</t>
  </si>
  <si>
    <t>…ación de un pro­ Aratch ha habido un combate bastante reñido, Al regresar de grama político, donde el profeta y sus mandatos hacen ua pa­ demos reconocer la gravedad de las circunstancias en las a n d i ­ dicho campo eí coronel Lafontaine, donde había estado con una das tomadas por el Gobierno, que llaman á las arenas á 2 5 3 pel tan secundario. Pero ¿cóm o recibirá el pueblo m ism o , el columna m ó v il, encontró un cuerpo de 11)00 á 1 2 0 0 caballos pueblo musulmán esta refo rm a? ¿ L a comprenderá? hombres de los 4 0…</t>
  </si>
  <si>
    <t>…ien, con arreglo á lo dispuesto en el art. 4! de la se una comisión médica. mos por el despacho telegráfico que él mismo dió el ataque: Constitución política de la monarquía portuguesa, determinar El 6 2 , mandado por el coronel Lafontaine, ha llegado á Ar­ sin duda detendrá su marcha bastante pronto para impedir á que la sesión para cerrar las Cortes se verifique en el Palacio gel procedente de O ran, donde le reemplaza el 15. El 22 debe la Rusia que aprovechándose del pretexto de una invasión egip­ de las mismas á las doc…</t>
  </si>
  <si>
    <t>Lafuente, Sánchez</t>
  </si>
  <si>
    <t>Sánchez Lafuente</t>
  </si>
  <si>
    <t>…tancia. manifestó la inteligencia que la comisión habia dado á la parte dícese en una proposición: ccNo pueden ser D iputados los m a­ El Sr. C O R T I N A (como de la comisión): L a comisión cree del párrafo de que trató el Sr. Sánchez Lafuente. gistrados y fiscales de las audiencias en las provincias donde se que esta cuestión depende de confundir lo que ya existe a pro­ El Sr. Q U I N T O , después de leído el art. 6 .° del reglamen­ sitií-.n aquellas.” Aqui dice: c'donde se sitúan aquellas.” Esta bado con lo que debie…</t>
  </si>
  <si>
    <t>Lagarza, Benito</t>
  </si>
  <si>
    <t>Benito Lagarza</t>
  </si>
  <si>
    <t>…rito de Extremadura r^Hago sa- L A Q U IN T A D E P A L U Z Z I ron el jurado los siguientes: D. Alejandro Barrantes, D. Ma­ be r: Que finalizando en fio de Junio de este año la actual ó nuel Segura, D. Francisco Bargas Perez, D. Benito Lagarza, contrata con D. Pedro Martínez Crespo, por la cual se halla á D. Manuel Bartolomé M iranda, D. Manuel Lindo, D. Pedro su cargo la subsistencia, asistencia y curación de los enfermos LOS ASESINOS D E FL O R E N C IA . Martínez Crespo, D. Pedro O rd u ñ a, D. Pedro Yarte. Y para del ej…</t>
  </si>
  <si>
    <t>Lagos</t>
  </si>
  <si>
    <t>…¿ 4 0 ........................... 4 El Sr. Francisco Ram iro de Assiz Coelho, de Ju sticia. almacenes que se han de construir en Feaer-Backtché , confor­ Idem de 41 oques á 8 0 ...................................... 8 El conde de Lagos continuaba en el m inisterio de la G uer­ me al art. 3.°, serán de fábrica de piedra. Los señores delega­ Idem de 81 oques á 120.................... 12 ra , y el Sr. Jacinto Roque de Serva Pereira en el de M arin a. dos conceden tres meses para la construcción de dichos almace­ Idem de 121 oqu…</t>
  </si>
  <si>
    <t>Lahera, Santos</t>
  </si>
  <si>
    <t>Santos Lahera</t>
  </si>
  <si>
    <t>…mugeres la fisonomía franca y Quedó sobre la mesa un dictámen de la comisión de Actas, 01avarrieta.=:Excwo« Sr. duque de Zaragoza. expresiva. Los corcobados de ambos sexos han tenido en que propone sea admitido como Diputado D. Santos Lahera, Contestación. siempre para mí un encanto que nunca pude definir. mediante haber sido aprobada por el Congreso el acta de segun­ das elecciones. Señores de la comisión del Ateneo de Madrid D. José Es­ CAPITULO XI. Otro de la misma comisión , en que es de parecer se admi­ cario y D.…</t>
  </si>
  <si>
    <t>Lalan-</t>
  </si>
  <si>
    <t>…oficiales que le acompañaron, especialmen- ’ indeleble de la alta dignidad de que se halla revestido; úni­ el contra-almirante Lalande, el Hercules y el Tritón : esta d i­ visión va á salir de un dia á otro. El contra-almirante Lalan- • te á los que realizaron la última, y al administrador de camente se le priva de ejercer sus funciones. de, que está en continua comunicación con el almirante Rous- Rentas que tan celoso se manifestó en la segunda, siendo Habiendo declinado él arzobispo la competencia del tribu­ sin , embaja…</t>
  </si>
  <si>
    <t>Lalande</t>
  </si>
  <si>
    <t>…stán M M. Mole y Montaiivet. Mr. Thier M editerráneo, y que ademas sus órdenes eran precisas. esta fecha al capitán general de Galicia lo siguiente: se encuentra en Cantcrets; Madama Duchatel en B a g n e r e s ;M r El almirante Lalande volvió á bordo y dio orden inmedia­ He dado cuenta á la Reina Gobernadora de la exposi­ Jacquemmot ea Boa a ; y el general Bernard en Balaroe. tamente al buque de vapor le Papin de que partiese para lle­ ción en que la diputación provincial de la Coruña con­ var despachos al embajador. El a…</t>
  </si>
  <si>
    <t>…taca en modo alguno el carácter Tenemos aqui los navios franceses el Jena , mandado por asi como á los oficiales que le acompañaron, especialmen- ’ indeleble de la alta dignidad de que se halla revestido; úni­ el contra-almirante Lalande, el Hercules y el Tritón : esta d i­ visión va á salir de un dia á otro. El contra-almirante Lalan- • te á los que realizaron la última, y al administrador de camente se le priva de ejercer sus funciones. de, que está en continua comunicación con el almirante Rous- Rentas que tan celoso se…</t>
  </si>
  <si>
    <t>…opa eu el momento en que trataba de guientes: la Yena , á cuyo bordo ondea el pabellón del contra­ hablar con mas imparcialidad, y de quien menos dudas puede proclamar la independencia del Egipto, á pesar de toda la Eu­ almirante Lalande; e\ Tritón ^ e\ Hércules , la corbeta la Fa* tener el vi rey acerca de Su amistad. El cónsul general hizo pre­ ropa ; caminar 500 ieguas; despreciar las fatigas del viaje y vorita , y el brick Bougainvilló, sente á Mehemet-Alí que el acto de proclamar su independen** del clima; dejar el Egip…</t>
  </si>
  <si>
    <t>…rá el-Kader procuran aprovecharse de esta circunstancia para in ­ Sr. gefe político de..,.. venir á las manos con un ejército ruso; en fin, se añade que el ducir á algunas familias establecidas en nuestro territorio á almirante Lalande recibirá orden de entrar en los Dardaneloj que le abandonen , y la autoridad francesa como que paree® caso que la escuadra turca avance hácia el Bosforo. que no tiene medios para sosegar el espíritu de las tribus. PARTE NO OFICIAL. Tal era en resumen la situación del Oriente en 10 de Julio…</t>
  </si>
  <si>
    <t>…Mehemet-Alí. El almirante Stopford , después de haber dejado pasar la Inmediatamente se observó que la defección del capitan- N ada hemos dicho de la continuación de los trabajos en la escuadra turca, á imitación del almirante Lalande, se dirigid bajá y la derrota del ejército de Hafiiz-bajá debian haberse ciudad romana desde que se publicó el resultado de los del mes á los Dardanelos, adonde debia reunirse á la escuadra francesa sabido en Constantinopla antes de la salida de este correo , y de M ayo último. H a causado…</t>
  </si>
  <si>
    <t>…ales con fe­ tad de hacer ana demostración en Oriente que sea algo mas im­ juego con la pasión mas desenfrenada. En Milán perdió 500¿ cha 10 del actual dice que la batería de brecha continúa ju­ ponente que ¿I p*seo del almirante Lalande con tres navios des­ florines (1 2 0 0 5 francos): en Viena 8005 florines (2.000,00Í gando con éxito sobre el castillo y fuerte de Tales. El que se, de Ténedos á Our?arch,y desde Ourlarch á Ténedos. Para llegar de francos), y en Praga 5005 florines (7505 francos). Tan se halla aislado queda…</t>
  </si>
  <si>
    <t>…o de pocos dias la escuadra del contra­ madrugada siguiente desfilaron todos para M urviedro. {Id.) : » 7 Por «eoeral. p - elr prox.mo " a V ' correo de l0Scomunicaré Pormenores á V. « las ta demás revolución no- almirante Lalande contará el imponente efectivo de ocho bu­ ticias que vaya adquiriendo. ques, tres fragatas, cuatro corbetas y cinco bergantines. Total 20 velas. A Dios. Su afectísimo compadre.=Vicente Rocafuerte. Cuenca 12 de Julio. A los habitantes de la provincia de Cuenca el capitán Se lee en el Mon…</t>
  </si>
  <si>
    <t>…stros enemigos en estado de reorgani­ Escriben de Esrairna con fecha 16 de Diciembre: zar su ejército, y de acabar de derrotar al partido federalista, basta en esta corte y en Bilbao, con el fin de que puedan inte­ El almirante Lalande ha llegado de Túnez con tres navios que nos es favorable. Es de teiner que al espirar los ocho meses resarse en dicho servicio los lidiadores que gusten verificarlo; de línea después de haber recorrido las costas de la Grecia. Debe sea necesario volver á negociar, y quizá volver á empezar e…</t>
  </si>
  <si>
    <t>N.° 1747. LUNES 26 DE AGOSTO DE 1839. d ie z c u a r t o s . PARTE OFICIAL. se han separado de ella y han regresado á Constantinopla. La escuadra del almirante Lalande ha fondeado cerca de las costas gilancia de todos los negocios del in te r io r , de la guerra y de la hacienda. En una p alab ra, te autorizo para ejercer un po­ de Ténedos. der absoluto sobre todo lo que concierne á la administración de mi imperio. Este claro testimonio de mi benevole…</t>
  </si>
  <si>
    <t>…a el Gobierno español. actividad ; apresúrase el armamento de los buques destinados al Inglaterra, la Bélgica y la Holanda). A la partida del correo pedia un honorable individuo que Levante para aumentar la escuadra del almirante Lalande. 2.° Los derechos sobre los líquidos y la harina de trigo se- se suspenda por tres meses el tomar en consideración el bilí de *.án percibidos sobre una valuación de 123 reis por barril, cual­ la policía metropolitana. quiera que sea la calidad y el curso en la plaza. Esta valuación Se dice…</t>
  </si>
  <si>
    <t>Lalandecon</t>
  </si>
  <si>
    <t>…ilosch debió siempre mirar con despecho la ó lunes para dirigirse, según s§ cree, á Metelin, rante Roussin en Constantinopla , ha llegado en el último va­ ley que le habia sido impuesta, y que debió establecerse una El almirante Lalandecon dos navios se hallaba ayer tam ­ mo por francés; viene enviado por el mariscal Soult; es el mis­ lucha continua Cutre él y los graneles propietario1», que irritó bién bajo el cabo Baba, adonde habia llegado el navio ingles que en 1852 fue á Kutahieh á fin de detener la marcha dé aun mas…</t>
  </si>
  <si>
    <t>Lalaode</t>
  </si>
  <si>
    <t>…idas id.............. 2554 gundo á desempeñar las funciones de gefé de estado mayor á en provincias tranquilas, provincias asoladas por la guer­ Una pena de muerte id............................. 60225 las órdenes del almirante Lalaode. ra , y provincias en un estado medio, se ha hecho de todo presidio i d . . ........................ 1588 el pais tres grandes divisiones, insertando con separación corrección id . ........... 622 los datos estadísticos correspondientes á cada una. A los Según el Censor de León, los Prínc…</t>
  </si>
  <si>
    <t>Lally</t>
  </si>
  <si>
    <t>…progreso de la ! mas Ínteres ofrezcan. 7.a Historia de los jueces de Mantés. táctica naval, bastará esta breve noticia del mas renombrado al­ El índice que á continuación se inserta , manifiesta las cau­ 8 .a Proceso del general Lally. mirante en la historia moderna. sas publicadas en los 12 tomos: la suscripción sigue abierta en TOMO VIII. la librería de la viuda de Razóla y demas puntos anunciados en el prospecto, debiendo manifestar á los Sres. suscri ptores que Causa 1.a Proceso seguido contra Arroand María Guerry C…</t>
  </si>
  <si>
    <t>Lam</t>
  </si>
  <si>
    <t>…ra canto. Scena y romanza , duetto de tiple y tenor, mero y segundo remate del servicio de la conducción de la cor­ Idem sin interés, 9 un dieziseisavo y 9 á v. f. ó v o l.: 6 á pel de la protagonista, que es una muda. La Sra. Lam adrid Esta graciosa comedia pertenece al teatro moderno. Su a r­ y almacén de música de Lodre, carrera de S. Gerónimo, nú­ duetto de tiple y contralto , barcarola. A ria fin a l, rigodones y á 50 id. á prima de £ por 100 nuevas. sus propias fuerzas, en la indulgencia de los espectadores. C…</t>
  </si>
  <si>
    <t>…nco español de S. Fernando, 00* cómicas. El desenlace imprevisto y verosímil. Para la ejecución Vlentos . había que vencer la dificultad que ofrecía el desempeño del pa­ CAMBIOS. pel de la protagonista, que es una muda. La Sra. Lam adrid H a reinado el vieoto del norte los tres primeros dias de la (Doña Teodora) se ha encargado de é l, coofiando, mas que en sem ana, y nordeste y sudeste los dos siguientes, volviendo en Lóndres, á 90 d ias, 38. C o ruñ a, 1* á * d. sus propias fuerzas, en la indulgencia de los espectadores…</t>
  </si>
  <si>
    <t>…lo quía al órden, ese es el progreso mas verdadero; pode­ que decíamos de la Sra. Diez decimos igualm ente de la E l P a ria , tragedia en cinco actos, en verso, escrita mos decir que la Francia hoy obra un grande progreso Sra. Lam adrid. Esta, á quien tanto hemos aplaudido y elo­ en francés por Casim ir Delavigne , y traducida al caste­ literario, y que ahora recoge aquel pais el fruto de sus es­ giado en obras como Doña Mencía y M argarita de B or- llano por D. J. G. de V. fuerzos y de sus errores dram áticos, apartándos…</t>
  </si>
  <si>
    <t>…una para beneficio del Sr. L u n a : D. P e d r o e l C r u e l , del N in gun o de vosotros ignora que ‘los obispos rusos y toda bian prometido antes á la Iglesia romana. Deploramos que ha- j Sr. Zorri l la , para el de la Sra. Lam adrid m a y o r: G abriela d e esa ilustre nación, que después de recibir la unidad católica pan civilizado tan tristemente el carácter sagrado de que los i B elle I s l e para el de su hermana ; y el C a m p a n e ro d e S. P a - con la fe c r istia n a , se habia desviado desgraciadamente de…</t>
  </si>
  <si>
    <t>Lam, Estado</t>
  </si>
  <si>
    <t>Estado Lam</t>
  </si>
  <si>
    <t>…Viocennes para A r­ lour-M acbourg , embajador de Francia eo Rom a, ha entrega­ g e l, *e embarcará ea el Saona y el Ródano, y ganará asi 20 S. E ., acompañado de las personas adictas i la embajada do una nota al Secretario de Estado Lam bruschini, en la cual dias de marcha en el camino de tierra hasta A vignon. (Id.) otomana, ha sido presentado eo la audiencia del Rey Con el ce­ manifiesta el disgusto que le ha causado el recibimiento que del remonial de costumbre. El presidente del consejo de M inistros, Santo Padre ha…</t>
  </si>
  <si>
    <t>Lamadrid</t>
  </si>
  <si>
    <t>…símil. Para la ejecución Descuento de letras , á 6 por 100 al año. Total... 4.564,622 1 8 habia que vencer la dificultad que ofrecía el desempeño del pa­ Plata acuñada 15,800 .. pel de la protagonista, que es una muda. La Sra. Lamadrid U N profesor de francés, natural de P a rís, enseña á leer, es- (Doña Teodora) se ha encargado de él, coofiando, mas que en EFECTOS Y PRODUCCIONES U L T R A M A R IN A S . ^ cribir y hablar con pureza dicho idioma por un método teórico-práctico que facilita el estudio y la adquisición de…</t>
  </si>
  <si>
    <t>…ble. DE L P RT O R A E INCIPE. guen á la salida de D. Enrique, ea las que brilla con todo su La ejecución de la comedia ha sido en general muy buena. esplendora! talento del poeta. Bello es el contraste que presenta La Sra. Lamadrid menor , ejecutó con notable gracia y per­ L A REDOMA E N C A N T A D A , comedia de magia en cua­ el lenguaje del siglo xiv con el de nuestros dias , si bien infun­ fección el bello papel de Dorotea. Los Sres. Luna , Lombía y tro actos en prosa y verso, por D. JU A N EUGENIO H A R T - de d…</t>
  </si>
  <si>
    <t>Lamar</t>
  </si>
  <si>
    <t>…erioridad del nú­ puerto tocó en tierra la N ereid a , y fue remolcada por el Z a ­ les circunstancias podrían resultar inconvenientes de dejar el mero. Necesita pues retirarse. En este caso los habitantes se vala. El presidente Lamar ha llegado á Galveston el 7 , y ha voto del ducado de Brunswick á disposición del embajador h an - pronunciarán por el S u ltá n , y el ejército otomano, que as­ vueltoe! mismo dia á Houston para obsequiar ai almirante Bau- noveriano. Esta proposición ha sido aprobada , habiendo ma­ ciende á…</t>
  </si>
  <si>
    <t>Lamas, Pedro</t>
  </si>
  <si>
    <t>Pedro Lamas</t>
  </si>
  <si>
    <t>…a primera operación que habia de ejecutarse era abrir el S. M . También debo hacerlo en bien de las familias del capitán cansino para conducir la artillería de batir al punto designa­ del regimiento de infantería de la Reina D. Pedro Lamas , del C u reñ a je . do. El ascenso á una montaña de rápido declive , el terreno en teniente del mismo cuerpo D. Francisco Rodríguez Castro y del 1 cureña de á 4* su mayor parte de roca , y el fuego enemigo que molestaba á capitán del 6.° ligero D. J u a n M ontestruc, muertos durante…</t>
  </si>
  <si>
    <t>Lambe, Gregorio</t>
  </si>
  <si>
    <t>Gregorio Lambe</t>
  </si>
  <si>
    <t>…edades de 17 del actual cartas de Constantinopla que con fecha del 20 de M ayo han d ice; que halláudose el 7 en Cuerva el alférez de coraceros de llegado hoy por el vapor el B arón E ichhof. En una de ellas la G uardia Real D. Gregorio Lambe» con seis tiradores de su La G aceta d e A ugsburgo da las noticias siguientes de se lee ademas lo que sigue: cuerpo y 14 de Castilla en cobro de una letra, supo que el Feo Alejandría , fecha 16 de M ayo : El armamento de la escuadra turca prosigue con el mayor dé Y epes, que habia…</t>
  </si>
  <si>
    <t>Lamelino, Ramón</t>
  </si>
  <si>
    <t>Ramón Lamelino</t>
  </si>
  <si>
    <t>…un hasta el número no hemos podido conseguir que el Parlamento aprobase todas rero. de 19 hombres, lo tendrán desde D úlcar á T á la ra , compren­ las medidas que creíamos útiles y oportunas. Pero apoyados eu Teniente coronel D. Ramón Lamelino. diendo el paso del torrente ; y que aunque llegase el número la confianza de una de las Cámaras (muchas v o c e s : aten ción ), Teniente coronel graduado D. Manuel Baltemoros. al completo de 29 y aun á duplo núm ero, no quedarían para­ y la tolerancia de la otra , hemos logrado adm…</t>
  </si>
  <si>
    <t>Lamoricrere</t>
  </si>
  <si>
    <t>…os Campos del \ dos subtenientes. El fuerte de Blidah está bloqueado. tos importantes fines sociales por medio del exacto cumplí.nieu- Luzon; y finalmente, que han quedado en nuestro poder 55 ar­ Acabamos de saber que el coronel Lamoricrere con su va­ to de las obligaciones que tienen á su cargo. Y persuadido de mas de fuego, varias blancas, y 14 caballos y yeguas. liente regimiento de Zuaves ha.tenido un choque cerca de Ban- que el celo ilustrado de los funcionarios públicos es capaz de ffarick, en donde ha matado mucha…</t>
  </si>
  <si>
    <t>Lancaster, José</t>
  </si>
  <si>
    <t>José Lancaster</t>
  </si>
  <si>
    <t>…nuncian que á principios de Octubre pró­ para plantear el método de enseñanza mútua inventado por de la quinta clase, por su aplicación y mérito que ha manifes­ ximo va á verificarse una expedición, á la cual asistirá el Prin­ D. José Lancaster. tado en el ramo de escribir, se le ha considerado acreedor á cipe Real. Las esperanzas que entonces concibiera esta asociación no igual premio que el anterior. Se trata de marchar contra los Bibans para llegar á Setif, fueron á la verdad tan grandes que se arrojase á plantear á D. R…</t>
  </si>
  <si>
    <t>Landero</t>
  </si>
  <si>
    <t>…tivos al nombra­ constase la razou de n u lid ad , y para que en m ateria tan g ra­ miento de Senadores por varias provincias. ve no se procediese en concepto equivocado, opinaba que debia Asimismo lo quedó de un oficio del Sr. Landero, en el que pedirse copia de las actas de los distrito s, suspendiendo entro t k J l * " ° tíCÍ?S q u e u ° yu recibim0* de Constantinopla y A le- manifiesta que habiendo sido electo Diputado por la provincia tanto la aprobación de las elecciones. J.n d r.a anunc.an un hecho grave y previsto;…</t>
  </si>
  <si>
    <t>…eración, se decidió por Senadores en el salón , y el Sr. Presidente anunció continuaba la afirmativa y pasó á la comisión. Se abrió á las doce y m edia, y leida el acta de la anterior, la discusión. Se leyó una enmienda del Sr. Landero reducida á que se fue aprobada. Se dió cuenta de un oficio del Sr. Ministro de la Goberna­ supriman las palabras, wy al conílicto de los tribunales” , y en El Sr. Ministro de E S T A D O leyó una comunicación. (Véa­ ción acompañando un decreto por el cual S. M. la Reina G o­ su lugar se po…</t>
  </si>
  <si>
    <t>LANDERO</t>
  </si>
  <si>
    <t>…e la monarquía? No puede existir la mis­ bían entrar en mancomunidad, y debían ser admitidas en todos ciones. ma índole, no puede haber unidad constitucional. los oficios. Asi decia la ley, y aun hay m as; se puso pena al El Sr. L A N D E R O : Señores, decidido á apoyar con mi No entraré ahora en la contienda de si los fueros y derechos que las insultase con el nombre de agotes . Si hubiera dicho es­ humilde voto el proyecto de ley sobre fueros de las provincias constitucionales son hermanos, y pueden alterarse , si lo so…</t>
  </si>
  <si>
    <t>…láusula: en primer lugar porque no lo habia re­ Sr, c o n d e d e E zpeleta p i d e la palabra.) ¿ Debería un cuerpo colegislador proceder de esta m anera? Por suelto el Congreso; y en segundo porque por la resolución de El Sr. L A N D E R O : ¿ N o ? Entonces perdone V. S . , habré medio del proyecto aprobado por el Congreso de Sres. D ip u ta ­ ayer no quedaba obligado á hacer lo mismo m a ñ a n a , sino que entendido m a l , no digo nada. S. S. parece que lo expresó en dos que ha pasado á este cuerpo, se confirma todo…</t>
  </si>
  <si>
    <t>…Des pues de de­ que 110 puede aprobar el proyecto en los términos que la com i­ mostrar este aserto, matemáticamente hizo notar que malas sión lo presenta. obras, pocas y muy costosas, eran ci re mis ta ocias que debían E l Sr. L A N D E R O dice que la comisión está muy distante ER RA TA te 11e rse e n co a ,si der a,c i o o, de creer que ha presentado á la deliberación del Gongieso una Respecto al segundo punto d ijo que no ya con los negros, ley tan a r d u a , difícil y complicada como ha dicho m u y bien E n la Ga c…</t>
  </si>
  <si>
    <t>…austos este ayuntamiento constitucio­ os Estados: en rancia, en Inglaterra componen una cuarta nal , interprete íiel de los sentimientos de sus representados. Sesión del dia 22 de Octubre . parte &amp;c. Y no basta decir couío el Sr. Landero que este es un Casas consistoriales de Tarragona á 7 de Octubre de 4809 — veneficio que ha hecho la felicidad de squellas provincias y Señora.—’A L. R. P. de V. M —Jaime P arrct, alcalde prime­ Se abrió á la una y cuarto. ¡ue la apliquemos á las de Castilla; no señor, la España no ro consti…</t>
  </si>
  <si>
    <t>…tros términos Añade S. S. que es cierto que á los jueces de primera ins­ ción ; que cite uno. que no sean hijos de esa desconfianza y no den lugar á tan si­ tancia la ley les im pide que puedan ser elegidos por la provin­ El Sr. L A N D E R O : Pido la palabra para hacer una alusión niestras suposiciones. cia donde desempeñan su encargo 5 pero que hay que tener pre­ personal. El Sr. O L O Z A G A : Cuando se nombró en otra sesión al sente que los auditores no ejercen jurisdicción propia, pues no El Sr. P R E SID E N T E lla…</t>
  </si>
  <si>
    <t>Landero, José</t>
  </si>
  <si>
    <t>José Landero</t>
  </si>
  <si>
    <t>…a, es de lo queja. por la de Alicante á D. Carlos Moran, en reemplazo de mejor que ha salido de la hermosa escuela de V an-D ick. La Nereida ha completado de una manera útil para el co­ I). José María Reig: por la de Cáceres á D. José Landero mercio y la navegación esta campaña de guerra y de paz , con y Corchado, en reemplazo del conde de Adanero; y por una visita á Tejas, pais fértil y nuevo, limítrofe Je Méjico , y ía de Vizcaya á D. Casimiro de Loizaga, en reemplazo de Escriben de H ungría: que en lo sucesivo parece llam…</t>
  </si>
  <si>
    <t>Laodero</t>
  </si>
  <si>
    <t>…anterior conveniente. Presidente, no dejará de conocer el Congreso y la nación ente­ el Gobierno no se ocupó de este punto importante, y presentó ra que ha habido otras cuestiones del momento que han obstrui­ A petición del Sr. Laodero se leyó el art. 2 í del reglamento u q proyecto al Congreso? ¿No está dado este dictámen? Y do el camino ,en el cual el Presidente habia puesto á discusión El Sr. FERN A N D EZ BAEZA empezó diciendo que si la desde entonces ¿no se ha empezado á discutir ¿Por qué no ha cuestión que present…</t>
  </si>
  <si>
    <t>Laplace</t>
  </si>
  <si>
    <t>…bro, del que se habian fugado la noche anterior L on d res 21 d e M a yo . La fragata francesa la A rtem isa , de 52 cañones y /fi5 desde Balmaseda ; contándose en este número tres sargentos y hombres de tripulación , su capitán Laplace, llegó á esta el 22, un oficial que por la defensa de Guardamino ha sido ascendi­ Las festividades y el buen tiempo han determinado á un hallándose anclada en la actualidad en Linten. Hemos sabido do á dicho empleo en el cuerpo de artillería y condecorado con gran número de especuladores á…</t>
  </si>
  <si>
    <t>Laplana, José</t>
  </si>
  <si>
    <t>José Laplana</t>
  </si>
  <si>
    <t>…re si graodb la misma previene, tocó á los sugetos siguientes: D. José Lá­ nes de física del conservatorio de Artes en el local acostumbra­ analogía , pues se bastardean coit ha mésela de su pelen; yapar*- zaro, D. José Pombo, D. José Laplana, D. Francisco Esquer­ do calle del T urco, y continuarán hasta concluir el curso los ra evitar ó corregir contratiempos y dirigir la cria de lofe aut¿- ra , D. Manuel Viejo, D. Alberto Tolosa, D. Joaquin Alcal­ martes , viernes y sábados dé cada semana de doce á dos. males que necesitan…</t>
  </si>
  <si>
    <t>Laplana, Pedro</t>
  </si>
  <si>
    <t>Pedro Laplana</t>
  </si>
  <si>
    <t>…guir la publicación sin necesidad de aquella protección que la misma previene, toco á los sugetos siguientes: D. F ran ­ * (p$ate.jie.l Gobierno, queuo do l imos, no obstante,hubiera es­ cisco Astiz, D. Jo¿é Francisco Falcó , D. Pedro Laplana, Don te j &gt;» Gado á la circulación de tan clásico libro al hubiese sido Juan Geriseis, D. Antonio A ngulo, D. Francisco Garrido, p N Castilla virtud de providencia del Excrao. Sr. capitán general de la Nueva se cita y convoca á todos los acreedo­ ueie.jrio. D. Manuel T one y C ano, D.…</t>
  </si>
  <si>
    <t>Laraña, Juan</t>
  </si>
  <si>
    <t>Juan Laraña</t>
  </si>
  <si>
    <t>…. Manuel Muñoz, D. Juan Bautista Tj^N virtud de providencia del Sr. juez de primera instancia D. Benito Serrauo y Aliaga , se saca nuevamente á p ú ­ mente para el l.° de Diciembre próxim o, pues ai paso que D. Antonio , del D. Juan Laraña, D. Andrés Mendez y Pareja, R io, D. Ignacio de la Riva, D. Blas Mena y blica subasta la mitad de una casa situada en esta corte y su por este medio se espera conseguir mayor ex actitu d , no O liver, D. Gerónimo Diaguez, D. Isidoro Fernandez de A n­ calle ancha de S. Bernardo, señalada…</t>
  </si>
  <si>
    <t>Lardizabal</t>
  </si>
  <si>
    <t>….25 el de la tercera 2 2 2 ,1 5 0 ; señalándose para el remate la hora de rales á tratar con el duque de la V ictoria. Pam plona 50 259518.. 5 541068.. 3 las doce del dia 4 de Octubre próximo en el despacho de la in ­ El general Lardizabal ha sido nombrado segundo coman­ Sevilla........................... 11 154121..18 557000 tendencia , admitiéndose posturas en metálico que cubran las dante de G uipúzcoa, é Ibero su ayudante ; estos dos personajes S alam an ca 1 20755 70000 dos terceras partes de dichos aprecios ó en efect…</t>
  </si>
  <si>
    <t>Lardizabal, Luis</t>
  </si>
  <si>
    <t>Luis Lardizabal</t>
  </si>
  <si>
    <t>…tinas variaciones do {risas); yo no sé si esto es un progreso; pero lo que si e§ ofrecen un grave peligro: la experiencia nos enseña que las cierto es que entre la Cámara de los Lores y la de los Comunes El mariscal de campo D. Luis Lardizabal, gobernador ca­ frecuentes variaciones ministeriales propenden á arruinar la no hay ninguna diferencia. La una no tiene mas confianza que pitán general de las Islas Filipinas, con fecha 7 de Enero ulti­ confianza pública y á llenar los ánimos de inquietud. En el la otra en el ministe…</t>
  </si>
  <si>
    <t>Laredo</t>
  </si>
  <si>
    <t>…ia lo encuentran consignado en el método anunciado. Véndese á 6 rs. en el almacén de música de Carrafa, calle Biblia latina y castellana, traducida y anotada por el ilu s- 18 en la villa de donde procede el aviso: el coronel de Laredo trísimo P. S cio ; 15 tomos en rústica á 450 rs. y en papel á 455,- en Peñaranda, y el de igual clase Schcly en Huerta del R ey; de del Príncipe, núm. 1 5 , y en la librería de la viuda de Paz, frente á las Covachuelas ; en ambos puntos hallarán los aficio­ Mapas de Jerusalen y tierra de pro…</t>
  </si>
  <si>
    <t>Larragan, Prudencio</t>
  </si>
  <si>
    <t>Prudencio Larragan</t>
  </si>
  <si>
    <t>…s v o c e s : aten ción ), Teniente coronel graduado D. Manuel Baltemoros. al completo de 29 y aun á duplo núm ero, no quedarían para­ y la tolerancia de la otra , hemos logrado adm inistrar y gober­ Teniente coronel capitán D. Prudencio Larragan. dos por su parte. nar la Irlanda de un modo capaz de asegurar la felicidad de Capitares D. Francisco González, D. Ju an Robledo, Don Dios guarde á V. E. muchos años. M adrid 6 de A bril esta parte del reino (prolongados aplausos). Tales son los mo­ Rafael López Espinosa. de l839…</t>
  </si>
  <si>
    <t>Larrain, Manuel</t>
  </si>
  <si>
    <t>Manuel Larrain</t>
  </si>
  <si>
    <t>…que le a n im a p a­ de cigarros de Cádiz: segundo oficial de los dotados con provinciales por sí y á nombre de los gefes y oficiales em p lea­ ra afianzar la glo ria y am or de los pueblos, dándoles la paz, 2 0 rs. anuales á D. Manuel Larrain , Ministro honorario dos en la m i s m a , se a p resura á f e lic ita r á V . M . por los g lo ­ consolidando el trono l e g ítim o , y afianzando sobre bases indes­ dél tribunal mayor de cuentas y gefe polítieo cesante: ter­ riosos é im portantes sucesos que h a n tenido l u g a r e…</t>
  </si>
  <si>
    <t>Larramendi</t>
  </si>
  <si>
    <t>…objeto combatir adelante, y únicamente me limitaré a tocar alguno que otro nombró , y esto me facilita muchos medios para la defensa de á la dirección de caminos, sino únicamente manifestar los abu­ punto en que creo que el Sr. Larramendi ha padecido equivo­ mi decoro. Yo no fraguo cuentas de ninguna especie; yo reci­ sos para que los sepa el gefe del ram o, y ponga remedio. Yo no cación. bo noticias de cuentas, y cuentas como estas, que se verán en he podido hacer la defensa de las personas que ha inculpado el He hablad…</t>
  </si>
  <si>
    <t>…eunirán e.tas al concluir la sesión. escándalos y males sin cuento para todos los buenos es­ harían valer sus derechos. Hecha la pregunta decidió el Congreso por la afirmativa. pañoles. Después de una breve rectificación del Sr. Larramendi acor­ Obtuvo en seguida la palabra y dijo Como este proyecto de ley es de suyo tan im portante dó el Congreso que se pasara á otro asunto. El Sr. L U J A N : Señores, por muy contrario que sea el y difícil, tal vez dedicaremos algunos artículos de este pe­ El Sr. P R E S ID E N T E : Se…</t>
  </si>
  <si>
    <t>LARRAMENTU</t>
  </si>
  <si>
    <t>…b ie ra . h o s t iliz a r s e e n hacerse una guerra atroz y en debilitarse. Esto nandez de los R ío s, Cantero , Olózaga , Santonja , Salvato , C a­ ballero , G uillen y G ra s, V ia d e ra , Polo y M on ge, Fernandez El Sr. L A R R A M E N T U , á qu iea por estar de espaldas á tía dicho el G obierno, esto ha hecho, y esto se promete hacer la tribuna taquigráfica y su escasa voz no pudimos oír bien, en lo sucesivo. B aez a, I ñ ig o , L in d e r o , Q u in to , M a rio , R om ero, A lcoa, M ontosa (D . J u a n ) , L…</t>
  </si>
  <si>
    <t>Larrañaga, Romero</t>
  </si>
  <si>
    <t>Romero Larrañaga</t>
  </si>
  <si>
    <t>…con el hum ilde, humilde con el fuerte, muchas veces ba­ elegantes, y la traducción está hecha con gran esmero é tar los obstáculos que tiene que vencer cualquier neófito jo con el poderoso. intelige icia por nuestro amigo el Sr. Romero Larrañaga, para llegar siquiera ayudado de genio, á alcanzar un nom­ No sabemos si se representará en Madrid E l cómico ventajo ámente conocido del público. Creemos que este bre, a ganar una reputación en la carrera teatral. A pe­ de la legua; pero seguramente nos atrevemos a pronosti­ favore…</t>
  </si>
  <si>
    <t>Las Navas</t>
  </si>
  <si>
    <t>…yo hablo de aquellas que vician ei fundamento de la elec­ tieran, no corroborarian lo que se ha dicho. Esto es grave , y cho ha dicho que tal vez mañana se constituirá; por consi­ ción , tal como la que digo. (E l S r . conde de Las Navas p i- debe atajarse, porque si no, llegará tiempo en que vengan aqui guiente se.llenará el objeto del reglamento, porque ofreciendo Ja la palabra en apoyo de la proposición) Toda» esa» cosa* á sentarse individuos que sean apoderados de los Ministros; dificultad la admisión del Sr. O liv a…</t>
  </si>
  <si>
    <t>Las, Baudin.</t>
  </si>
  <si>
    <t>Baudin. Las</t>
  </si>
  <si>
    <t>…a­ en que se atacó á S. Juan de Ulúa , haya sido llamado al or­ pintores, la ejecución de dibujos para está obra, semejantes á cionales que ha sido de la v i l l a de Talavera de la Re»na, y con­ den el príncipe por el almirante Baudin. Las señales que se vie­ tra quien pende cau¿a en sala primera de la audiencia^^ territo­ los; que Mr. H a raii Yernet hace para la Historia de N a - póleon. v/ ron en el tope dél pato mayor del navio alm irante, no tenian rial de esta capital., por la escribanía de cámara vacante de Esta h…</t>
  </si>
  <si>
    <t>Las, Blas Perez</t>
  </si>
  <si>
    <t>Blas Perez Las</t>
  </si>
  <si>
    <t>…• vecino que fue de Bilbao, y últimamente de la ciudad de EN C U A R T O . Salamenca, estando practicando el inventario, cuenta y p arti­ El N iño Jesús de p asió n , 4 rs. ción extrajudicial ante el escribano de esta ciudad D. Blas Perez Las cuatro estaciones del a ñ o , 8 rs. D iscurso p re lim in a r é in tro d u c c ió n á la C olección d e G arcía; y deseosos de que se pongan al corriente los derechos Colección de 20 cabezas devotas, cada una 2 rs. viajes y d escu b rim ien to s q u e h ic iero n p or m ar los esp añ…</t>
  </si>
  <si>
    <t>Las, Hacienda</t>
  </si>
  <si>
    <t>Hacienda Las</t>
  </si>
  <si>
    <t>…mbre de una casa española y otra bajo el, d e C o s.= S r. ge fe político de..... Ministros, ó se pedia un dictamen sobre estos solos. nombre de una casa extrangera, fuesen iguales. La comisión llamó á su seno al Sr. Ministro de Hacienda Las condiciones en un pais no serán iguales á las de otro, para ponerse de acuerdo con S. S ., y poder tomar un dictámen po.rq u e 1as cond ic i o nes en F ra nci a y er. I n g 1aterra las establece regular y traerle al Congreso con la aceptación del Ministro el ministro del ramo, y los l…</t>
  </si>
  <si>
    <t>Las, José García de Villaita.</t>
  </si>
  <si>
    <t>José García de Villaita. Las</t>
  </si>
  <si>
    <t>…se del escribano del número D. Marieno Fernandez del C anto, en por4 °las DSras. Feijas y Antúsez. abrirá la cátedra de derecho político, desempeñada por el so­ la que se manda hacer saber por medio de la Gaceta y Diario cio D. José García de Villaita. Las personas que gusten m a­ de Avisos de esta capital á los dueños ó poseedores de dichos 5.° Cavatina bufa en la ópera Coradino , del maestro R os- tricularse, pueden acudir á la secretaría "del establecimiento de censos la existencia y estado de estos autos, para que lo…</t>
  </si>
  <si>
    <t>Las, Juan Eugenio Hartzenbusch.</t>
  </si>
  <si>
    <t>Juan Eugenio Hartzenbusch. Las</t>
  </si>
  <si>
    <t>…ámbulo, que tiene sus El teatro antiguo empezará á publicarse á la mayor breve­ perjuicio que haya lugar la sustanciacion del sumario. puntas y collares de poeta , interpola versos satíricos en sus vi­ dad bajo la dirección de D. Juan Eugenio Hartzenbusch. Las siones clasico-románticas, como verá el curioso lector en este obras del moderno que se publiquen en adelante, serán de los distinguidos autores mencionados, y las del extrangero están y Asimismo se cita y emplaza á D. Francisco Trasierra, que primer cuaderno. Vénde…</t>
  </si>
  <si>
    <t>Las, Juan Lorenzana</t>
  </si>
  <si>
    <t>Juan Lorenzana Las</t>
  </si>
  <si>
    <t>…or la diputación provincial de Badajoz, consultando si los principios de orden. han de libertarse ó no del servicio Fernando Hurlado, Casas consistoriales de Vivero. Noviembre 29 de 1839. r : sustituto por cambio de número con D. Juan Lorenzana Las sigu ien tes exposiciones de la dip utació n p ro v in ­ Señora.—A. L. R. P. de V. M .—El presidente, Antonio A L en la última q u in ta, y ios demas que t siéndolo del mis­ c ia l de S an tan d er y del ayu n tam ien to co n stitucio n al de mayna y Pardo,—El alcalde segundo, Man…</t>
  </si>
  <si>
    <t>Las, Leinster.</t>
  </si>
  <si>
    <t>Leinster. Las</t>
  </si>
  <si>
    <t>…ido a ye r en el teatro En una p alab ra, hubo una entrada completa. A la hora señalada para empezar el espectáculo llegó S. M . la firmaré. No querria exponer á un impresor de Dublin á te­ real bajo la presidencia del duque de Leinster. Las cartas convo­ catorias llevaban la firma del duque de Leinster, de otros 19 el R ey. En el momento, y mientras que la orquesta tocaba el ner que comparecer ante un jurado compuesto de personas a d ic ­ A ire nacional, todos los espectadores se levantaron espontánea­ tas á los orang…</t>
  </si>
  <si>
    <t>Las, Ministro de Hacienda</t>
  </si>
  <si>
    <t>Ministro de Hacienda Las</t>
  </si>
  <si>
    <t>…a bajo el nombre de una casa española y otra bajo el, d e C o s.= S r. ge fe político de..... Ministros, ó se pedia un dictamen sobre estos solos. nombre de una casa extrangera, fuesen iguales. La comisión llamó á su seno al Sr. Ministro de Hacienda Las condiciones en un pais no serán iguales á las de otro, para ponerse de acuerdo con S. S ., y poder tomar un dictámen po.rq u e 1as cond ic i o nes en F ra nci a y er. I n g 1aterra las establece regular y traerle al Congreso con la aceptación del Ministro el ministro del r…</t>
  </si>
  <si>
    <t>Las, Oiivan.</t>
  </si>
  <si>
    <t>Oiivan. Las</t>
  </si>
  <si>
    <t>…al acta ge­ en el acia de Boitaña, en donde parece se encontró algún vicio lidas y bieu concertadas. Dos partes tiene el dictamen, la una neral, hay otros que son particulares, y que en mi concepto respecto á la elección del Sr. Oiivan. Las protestas son acerca es referente á cuatro D iputados, de los cuales algunos se hallan deben viciar , no solo tas eieccioues de ia ciudad de Huesca, de que pudo haber amaño respecto á los votos obtenidos en fa«* en estos bancos, y la otra es relativa á un suplente que opta al tino las…</t>
  </si>
  <si>
    <t>Las, Rowan.</t>
  </si>
  <si>
    <t>Rowan. Las</t>
  </si>
  <si>
    <t>…que con urgencia lo rem i­ do por un considerable destacamento de p o licía, bajo las orde­ deber recomendaros que proveáis razonablemente á las necesi­ ta á dicho Sr. gen eral.” nes de los dos comisarios M r. M ayne y el coronel Rowan. Las ventanas y balcones de W h iteh all y de P arliam ent-street esta­ dades del servicio público. Tengo entera confianza en vuestra Lo que tengo el honor de trasladar á Y . E. para su cono­ lealtad y patriotism o, y espero que mantendréis en su esplen­ cim ie n to , y que se sirva elevarlo…</t>
  </si>
  <si>
    <t>Lasa, Ignacio</t>
  </si>
  <si>
    <t>Ignacio Lasa</t>
  </si>
  <si>
    <t>…r el kurdistan en rei­ Plantificado ya el cuerpo de celadores bajo el mando-del acre­ Continiía la insurrección en Priscendi, aunque sin hacer m u ­ no independiente, dándole por Soberano á su hijo Ismael, á ditado comandante D. Ignacio Lasa, en disposición deque apo­ chos progresos. El Gobierno usurpador despliega grande severi- j quien ha hecho venir á su lado para colocarlo al frente de la yado en los puntos de guarnición y en la decisión de los pue­ dad. El Rumelly no ha adoptado todavía medidas contra los re­ caballerí…</t>
  </si>
  <si>
    <t>Lasa, Ral</t>
  </si>
  <si>
    <t>Ral Lasa</t>
  </si>
  <si>
    <t>…rible de La segunda equivocación consiste en creer S. S. que yo he N ueva representación de Ipermestra , ópera en dos actos una acusación criminal. dicho que se pida este testimonio para decidir el tribunal que del m a e stro D. Ral Lasa r Saldoni. He tomado la palabra para vindicar á la comisión, aun­ debe conocer en la causa. Yo he dicho esas palabras; pero lo heMucho hemos celebrado que para remate de los festejos que no lo necesita; porque si 'hubiese en su dictamen alguna hecho cuando se trataba de persuadir que el de…</t>
  </si>
  <si>
    <t>Lasagra</t>
  </si>
  <si>
    <t>…s necesarias para el caso, pedia á S. M. se sirviese y cree que el Congreso debe acordarlo asi. no se trata mas que de la facilidad de hacer efectiva esta con­ agraciarle con el título de grande de España para sí y su fa­ A l Sr. Lasagra se le concedió por Real decreto de 2 i de tribución ; todo cuanto han manifestado los Sres. Senadores lo m ilia. Esta petición pasó á la audiencia de A stu rias, quien Noviembre de este año la cruz de comendador de Isabel la Ca­ tendrá presente el G obierno; pero respecto á la desigualdad en…</t>
  </si>
  <si>
    <t>…al. misma contiene. Gobierno no podrá reunir el numero suficiente de Diputados para La mayor parte del tiempo que en la época presente que las decisiones tengan un carácter legal. Mr. Jacobi, conse­ ha residido en Madrid el Sr. Lasagra, estimulado siempre jero de Justicia, Presidente de la Cámara de Diputados , estaba por su pasión dominante , para descansar de sus tareas le­ también resuelto á renunciar su destino, y solo á duras penas El general Ayerve con las divisiones segunda de reserva y gislativas, y cuando el Ínt…</t>
  </si>
  <si>
    <t>…en los rincones de las calles principales se sacaban tres veces cia por lo cpie de ella habló en una de ¡as eonlcrcucius del drid 12 de Junio de 1859. al dia las cartas por personas encargadas de llevarlas adonde Ateneo el Sr. Lasagra, ha asegurado una Coruina decente iban dirigidas. Estas cajas se llamaban cajas de billetes. por la invitación de este y los sentimientos bendices de Pero al mismo tiempo, dice Pelisson , habia establecido una sus ilustrados oyentes y otras personas que quisieron lo- Proyecto de una tarifa…</t>
  </si>
  <si>
    <t>…ró al Sr, Baeza para magis­ civil ? 1 ber manifestar que ambos casos son distintos. trado de V alladolid, y separó al que habia. Después de extender y ampliar estas observaciones, cóúclu- Se dice respecto á la reelección del Sr. Lasagra que no se sa­ Ha dicho el Sr. Pelegrin que el Sr. López Vázquez 110 que­ yó el Sr. Mendizabal diciendo que era bastante la garantí^ que be si ha admitido ó no la condecoración que se le ha dado co­ dó cesante, porque no habia empezado á ejercer su destino. El se daba con que todas las propué…</t>
  </si>
  <si>
    <t>…go 5 pero que hay que tener pre­ personal. El Sr. O L O Z A G A : Cuando se nombró en otra sesión al sente que los auditores no ejercen jurisdicción propia, pues no El Sr. P R E SID E N T E llamó al orden á los Sres. D iputa­ Sr. Lasagra, nombrado por S. M. comendador de la orden de son otra cosa que consultores del capitán general á quien mani­ d o s , y dirigiéndose al Sr. M uñoz Maldonado le dijo que con­ Isabel la Católica, dije que podia no saber este nombramiento; fiestan su dictamen y dan consejo; estando determinado…</t>
  </si>
  <si>
    <t>Lasaile</t>
  </si>
  <si>
    <t>…cero contra la masa. En cuanto á W a lch , según informes , pertenece á una hon­ Gervasio de que los insurgentes se habían refugiado en la casa Martin tiene una pequeña herida en una m ano, la cual re­ dada fa m ilia , y el Sr. Lasaile dice que jamás habría creído se núm. 2 , y que aun permanecía uno dentro, procedieron á re­ cibió el dia anterior hacia la calle Buorg - PAbbé , añadiendo mezclase en cosas políticas. gistrarla , y encontraron en un desvan á un hombre de blusa que esto fue lo que le incitó al dia siguiente…</t>
  </si>
  <si>
    <t>Lasala</t>
  </si>
  <si>
    <t>…pañía lírica ejecutó en este teatro el sábado y por la verdad de los incidentes accesorios con (pie la ha último en celebridad del cumpleaños de S. M. la Reina por5.°el indicado LAS VARIACIONES del célebre Lafónt* ejecutadas Sr. Lasala. adornado. Por tanto E l Cómico de la legua, al Pére de la Gobernadora la acreditada v nunca bastante aplaudida 6.° Un divertido sainete. Debut ante, viene a ser con corta diferencia lo que es La ópera í Piirilani ed i Cavalieri. La concurrencia fue nu ­ segunda dama duende, elegante y acerta…</t>
  </si>
  <si>
    <t>…Florencia. Expulsado este, empezaron á darse á conocer los Médicis, legítimos usurpadores de Florencia, no obs­ PROVIDENCIAS JUDICIALES. tante ser este el tiempo en que el pueblo decia al noble Entre el i.° y 2.° acto, el Sr. Lasala , profesor de violin, agradecido á la buena acogida que mereció de este respetable que le parecía: yo te hago pueblo , con la condición de E N el juzgado superior militar de la auditoría de Guerra de público la primera vez que tuvo el honor de presentarse en este volver a hacerle noble si…</t>
  </si>
  <si>
    <t>Lasala, María Teresa</t>
  </si>
  <si>
    <t>María Teresa Lasala</t>
  </si>
  <si>
    <t>…: obra nue­ caus?, teniendo cuidado entre tanto de haber mantenido se­ Antonia García , viuda de D. Francisco Jimeno de la Riva? va de lo mejor, por Laserve, 10. cretamente al prisionero y á su familia con todo lo que po­ y Doña María Teresa Lasala , viuda de D. José Ramos. Facultades de los jurados, aumentado con la parte legisla­ dían necesitar. Que habiendo llegado esta visita de justicia, tiva y práctica sobre este asunto: obra nueva del dia, 12. imagino que ei mejor expediente para librar al prisionero Centón epistolar…</t>
  </si>
  <si>
    <t>Lasala, Miguel</t>
  </si>
  <si>
    <t>Miguel Lasala</t>
  </si>
  <si>
    <t>…y atractivo a las representaciones. El público ha podi- do EL PROTESTANTE. remos tam bién: lecciones acerca de efectos que no se han do juzgar completamente a la vez de la semejanza de la 5.° Hallándose de paso en esta corte D. Miguel Lasala, pro­ experimentado aun, son inútiles, son vanas, son perdidas. copia y del mérito artístico del original. fesor de violin, discípulo de Mr. Baillot, maestro del conser­ k’J ( o mico de la legua, como ha puesto a su traducción el vatorio de música de Paris, tocará dicho artista UNAS…</t>
  </si>
  <si>
    <t>Lasala, Pedro</t>
  </si>
  <si>
    <t>Pedro Lasala</t>
  </si>
  <si>
    <t>…egidores: primero D. Tomas Situé , segundo • D. Luis este anuncio en la Gaceta Puede que otros, mas rígidos censores, se atrevan á señalar S. Juan algunas faltas; no negaremos nosotros el que el drama las tenga, Yotn, tercero D. Pedro Lasala, c u a r t o D Rafael ciéndolo por sí ó por medioy Diario de avisos de esta capital, ha­ de apoderado autorizado competen* pero no por eso dejaremos de felicitar al Sr. de Figueroa por su Tolosana, quinto D. Voto N azarre, sexto D. Geróuiuio La- temente,a las diez de la mañana; apercib…</t>
  </si>
  <si>
    <t>Lasaleta, Francisca</t>
  </si>
  <si>
    <t>Francisca Lasaleta</t>
  </si>
  <si>
    <t>…, y no pudiendo producir nada en dos ó tres y desgraciada muerte del mariscal de campo D. Pedro Nolasco ciones la parte del producto que habían de r e n d ir ; quiere deci: años por lo menos. B a sa , se conceda á su viuda Doña Francisca Lasaleta , y á sus que si se habían de repartir 20 millones se habrán de repartí: Yo creo que el mejor medio seria darles esas fincas de los ijos, a pensión de 2 00 rs. anuales , en los mismos términos 2 4 ¡ ¿ y á quién se lastima con esto? A los mismos contribu- bienes nacionales que inm…</t>
  </si>
  <si>
    <t>Lasauca, Antonio</t>
  </si>
  <si>
    <t>Antonio Lasauca</t>
  </si>
  <si>
    <t>…Eusebio Juan del Gayo ................................ Coruña. de la misma encomienda en Villarejo de Salvanés, y se admití^ de Bardají y Azara............................ gio de parcialidad; porque examinada la cosa de esta D. Antonio Lasauca.......................................... Gerona. Cuenca. rá siendo arreglada á instrucción. fuerte, es preciso emplear los medios, ya de la pasión, ya D. Manuel de Soria....................................... Granada. del ridículo, que mezclados á la efervescencia general de D. Ag…</t>
  </si>
  <si>
    <t>Lasaña</t>
  </si>
  <si>
    <t>…. no habia llegado la guerra al estado terrible que llegó después, Igual resolución recayó sobre las actas de elecciones presen­ Que en igual caso se encontraba el general Oráa, que siendo ca­ tadas por el Sr. Arguelles y el Sr. Lasaña, Diputados electos, pitán general de Aragón, habia sido propuesto y nombrado pues por en 1854 se hicieron ya las elecciones excepcionalmente; y no poder ir los comisionados ¿qué se hizo? Se procedió al el primero por la provincia de Barcelona, y el segundo por la Senador por la provincia de…</t>
  </si>
  <si>
    <t>…e de su mañana gunda sección, el Sr. Palaros á la tercera, el Sr. Aleson á la | e t d e s S cien ces nautlques en E spagne.zz Indagaciones acerca en la audiencia de S. S . , que la tiene en el piso bajo de la au ­ cuarta, el Sr. Lasaña á la quinta , el Sr. Abascal á la sexta, y diencia territorial, de los progresos de la astronomía y de las ciencias náuticas en á la séptima el Sr. Castro. I España.zzNaticia de esta obra recien publicada en Francia. El Sr. PRESIDENTE señala para mañana la discusión pen­ Isla Isabe!a.=Sobre…</t>
  </si>
  <si>
    <t>LASAÑA</t>
  </si>
  <si>
    <t>…ligó á los ladro­ El Sr. P R E S ID E N T E : Orden del d i a : dictamen de la co­ nes á retirarse hácia A l mansa y volver á sus guaridas. ( I d .) misión de Actas sobre las segundas elecciones de la Coruña. FR A N CIA. El Sr. L A S A Ñ A impugnó el dictám en, porque creia i n ­ necesario se pidiesen las actas de los distritos que la comisión P arís 2 de Setiembre . menciona , mediante á que debe servir de norma lo que dice el CORTES. gefe político, y lo que han practicado los comisionados de los distritos, los cuales…</t>
  </si>
  <si>
    <t>Lascours</t>
  </si>
  <si>
    <t>…r en baja , 6 8 , 6 6 : bonos de Correos el decreto de su separación; y en consecuencia de las ludias , 64 ? 62 : acciones del banco, 202^. R eina m u ­ cha languidez en la bolsa y en la Cité. L a mayor parte de los El general Lascours, nombrado para mandar en el ejército sin resistirse, cual se asegura, á dejar su silla, expuso la valores están en b aja: fondos belgas, 9 9 ¿ : brasileños, 79|: del Norte una brigada de in f a n t e ría , llegó el dia 1 .° de Febre­ existencia de aquella orden para la conveniente reso­ c…</t>
  </si>
  <si>
    <t>…la India , 256. co mas a b a jo , y la tercera cerca del mercado de los Inocentes. D iez individuos de tropa muertos y 74 heridos. La noticia del aumento de tarifa en el descuento del banco A cosa de tas siete llegó el general Lascours al balu arte, que Id. de C iu d a d -R od rig o.= T res oficiales heridos. de Inglaterra ha contribuido á que el curso de los valores se está en la altura de la puerta de San D io n is io , en donde se es­ Seis in dividu os de tropa muertos y 27 heridos. mantenga con cierta firmeza. Las…</t>
  </si>
  <si>
    <t>Laso, Alonso Carrillo</t>
  </si>
  <si>
    <t>Alonso Carrillo Laso</t>
  </si>
  <si>
    <t>…, Mehemet'Alí no ha permitido á 1.° Con el Tratado de las antiguas minas de España , ñoras A n d u ja r, Molina , Ruiz y M aladem , y por los señores los soldados ingleses desembarcaren Egipto. El Sultán de Cons- que escribió D. Alonso Carrillo Laso. G arcía, A g u irre , Rodríguez y Caballero. tantinopla y el virey de Egipto tienen cada uno su enemigo: 2.° Con seis capítulos de la obra iotitulada De re metálica el uno codicia la posesión délos Dardanelos, y el otro la del por el magnífico caballero Bernardo Perez de Varg…</t>
  </si>
  <si>
    <t>Lassuse</t>
  </si>
  <si>
    <t>…tráfico. Con este mo­ El navio el M on tebello ha recibido hoy á su general el de hacer una concurrencia temible, y que para aprovecharse de tivo los autores de la Memoria se detienen en demostrar loa contra-alm irante barón de Lassuse, quien ha enarbolado el pa­ todas sus ventajas acaba de unirse á la confederación de las incalculables males que produce el arrendamiento de las rentas; bellón de comandante en los tres puentes. Este navio está m an ­ aduanas prusianas. ¿ Y qué se hace para prevenir esto? N ad a, ó y como nu…</t>
  </si>
  <si>
    <t>Latorre</t>
  </si>
  <si>
    <t>…está particulares de los que comprende la exposición elevada ú lt i­ tores. embelesando á los habitantes de las márgenes del T u r i a , de la mamente al Gobierno por la jun ta de comercio y otras corpo­ ciudad del Cid. El Sr. Latorre , el excelente actor que todos co­ raciones de C á d iz , por D. A ugusto Amblard. Se lee en el I n d ep en d ien te d e l M osela con fech a 25 de nocemos, también se halla allí ajustado por una temporada. Ensayo histórico sobre la terminación de algunas r e v o l u c i o — O ctubre: El…</t>
  </si>
  <si>
    <t>Latorre, Bernardo</t>
  </si>
  <si>
    <t>Bernardo Latorre</t>
  </si>
  <si>
    <t>…ca­ No es la guerra , señores, lo que en su Ínteres solicitan. De­ si se hicieran en sus personas. Dado en Toledo á 27 de Abril lle de Mesones, número 14* masiado saben los males que esta produce para querer que su de 1859.—D. Bernardo Latorre.=:Por mandado de S. S . , Don Las posturas se a d m it i r á n , y a sea para todo el distrito y patria se empeñe en e lla ; pero .sí desean la pleno y entera eje­ Patricio Ortiz Pareja. reunión de artículos, y a con separación de estos y limitación cución del tratado de la cuádrup…</t>
  </si>
  <si>
    <t>…razón de los provechos Por aguardientes ...................................... 1578487.. 5 ó utilidades que reporten como los demas del reino. De Por frutos civiles................................. .............. 1215565.. 8 D. Bernardo Latorre, benemérito de la patria en grado Real orden lo digo á V. S. para su inteligencia y efectos Por penas de Cámara. ............................... • 155505.. 4 heroico, ministro togado honorario de la audiencia de Cace- consiguientes.,, Por manda pia.. . . . . . . . . . . . . . . .…</t>
  </si>
  <si>
    <t>…­ atarse fuertemente una corbata al rededor del cuello para poder zas en su persecución, y se cree habrá vuelto á retroceder. Compendio de la ciencia de legislación de Filangieri con hablar. (E. de A.) notas, y ediciones por D. Bernardo Latorre. E! doctor Bishop ha sido testigo de un hecho semejante ; la La inmortal obra de Filangieri, dice el autor, es tan volu­ pérdida de la voz procedía en este caso de un orificio fistular minosa y difícil de encontrar en el dia , que me ha parecido en la parte inferior de la glotis.…</t>
  </si>
  <si>
    <t>Latorre, Carlos</t>
  </si>
  <si>
    <t>Carlos Latorre</t>
  </si>
  <si>
    <t>…administración actu al, la guerra á la paz, el desorden al orden, no; corregirá tendencias que serian funestas si no fue­ de los individuos que tuvieron parte en la aprehensión d ees- traordinaria á beneficio del primer actor D. Carlos Latorre. tos ladrones, y que sirva de noble ejemplo la conducta valero­ Se dará principio con la brillante sinfonía o r i e n t a l , del sen combatidas; despertará un poco en los Consejos de la corona €Í espíritu de la revolución de J u lio , y sabrá im prim ir al Ga­ sa y patriótica de l…</t>
  </si>
  <si>
    <t>…y bailarines ajustados, aun cuan­ ves y traste dentales que pueden presentarse en las actuales cir- do no hacen parte de la sociedad. cim.tan iai. ¡Difícil, muy difícil considerarnos la posición de M A D R ID 22 D E A B R IL . D. Carlos Latorre se halla ausente, pero se cree que á su los magistrados que han de resolverlo! (Diario de Sevilla,) vuelta entrará en la asociación. Por despacho telegráfico expedido de Paris el 16 á Doña Gerónima Llórente, actriz jubilada que tanto apre­ las cinco y media de la tarde se ha comunic…</t>
  </si>
  <si>
    <t>Latorre, José</t>
  </si>
  <si>
    <t>José Latorre</t>
  </si>
  <si>
    <t>…viernes que se fijo otra vez hácia el Norte, naria dispuesta á beneficio de la primera actriz , T?e(esí| manteniéndose en aquella dirección el sábado. Baus. . .. . . .. .■ ..... .• ^ ^ Igualmente se c ita , llama y emplaza á D. José Latorre, 1.° Una escogida sinfonía. ^ J "Estado d e l cielo. D. Diego Paredes y D. Ju an José de Som ovilla, para que en el2.° VELLID O DOLFOS , drama nuevo, histórico, o rigi­ nal , en cuatro actos y en verso. térmiuo de nueve dias que por segundo se les señala , se presen­ En los tres pri…</t>
  </si>
  <si>
    <t>…n se hallan principalmente en la tibieza y flojedad de la f e , y cupones. manifiesta como por esta falta se viene á parar en un ateísmo Inscripciones en el gran libro á 4 Por 100 , 00. Igualmente se c ita , llama y emplaza á D. José Latorre, Don práctico. Demuestra el daño que hacen á las costumbres la in­ Títulos al portador del 4 Por 100, 22-£: 22 J á 50 d. f. o' Diego Paredes y D. Juan José de Samovilla, para que en el constancia , la hipocresía , el tiempo mal empleado, la libertad vol. con cupones. término de nueve d…</t>
  </si>
  <si>
    <t>Latour</t>
  </si>
  <si>
    <t>…ado el peligro que habia de dejar en las tiendas de los arm e­ Por lo demás , sé por muy buen conducto que el embajador ros los medios de ejecución para esta dase de tentativas. Un de Austria ha ofrecido su mediación al conde de Latour M au— Rusia. decreto de la policía del mes de Junio ha prescrito sobre el co­ bourg para zanjar esta desavenencia con la corte de Roma ; y mercio de las armas de caza precauciones que en caso de ser c o c í ; O el Austria se ha comprometido á vigilar la conducta del Los periódicos ingleses h…</t>
  </si>
  <si>
    <t>Latour-M</t>
  </si>
  <si>
    <t>…audien­ sible. Ya no hay influencia, sea en política, sea en literatura, blica argentina ? cia concedida ai duque de Burdeos por el Santo Padre. sino en una crítica de tono firme y moderado , cuyas decisio­ Luego que el conde de Latour-M aubourg tuvo noticia de nes serán tanto mas aceptadas , cuanto mas se alejen de la esta ocurrencia, pasó á ver el cardenal Lam bruschim , con el invectiva y de la calumnia. Asi vemos hoy con verdadera sa­ cual tuvo una conferencia muy acalorada que duró mas de dos tisfacción á uno de ios ór…</t>
  </si>
  <si>
    <t>Latour-Maubourg</t>
  </si>
  <si>
    <t>…nque de la puerta de Babe- que todos sus esfuerzos iban á estrellarse contra la voluntad del marca Federico v i , ha tenido á bien S. M. la Reina Go­ rán á mimoriráloned, y ea seguida ; pero las puertas de Argel se abri­ conde de Latour-Maubourg se han coligado contra é l , y elloa voz, y yo entraré para recordar las promesas de han sido loa que han acabado de persuadir al Papa que en su bernadora resolver que la corte se vista de luto desde este Mahoma , y predicaré el Alcorán y el exterminio de los infie­ calidad de gefe…</t>
  </si>
  <si>
    <t>Laudero</t>
  </si>
  <si>
    <t>…odos fueron á cual mas ac­ Fue leido el párrafo 4*° , y se aprobó. pues que tenemos aterrado al Príncipe rebelde, pues que tene­ tivos en promover y facilitar la conclusión de este desgraciado JLeido el 5.° y una adición del Sr. Laudero, este dijo;</t>
  </si>
  <si>
    <t>Laureano</t>
  </si>
  <si>
    <t>…ón y :io.r=Milicia naval de los antiguos.=Annibal.=Dos de Mayo.rz Milicia nacional y varias personas de distinción concurrieron BOLETIN DE COMERCIO. Crónica militar del mes de Abril. á solemnizar este acto; y el Sr. presidente D. Laureano G u ­ tiérrez, gefe político é inteudente de la provincia, leyó el si­ B OLSA D E M A D R ID . Se vende en la imprenta de D. M iguel de B urgos, calle de guiente discurso: Toledo , frente á S. Isidro. Señores: La sociedad económica de amigos del pais de esta Cotización del dia 7 á las tres…</t>
  </si>
  <si>
    <t>Lauti, Manfredo</t>
  </si>
  <si>
    <t>Manfredo Lauti</t>
  </si>
  <si>
    <t>…las socias honorarias Doña Emilia Bucelly, Capitán graduado , subteniente de infantería agregado al e! misterio: ahora están tomando declaraciones , siendo esto una Doña Manuela Garcés y Doña Antonia Berneau de Montene­ mismo, D. Manfredo Lauti, empleo de teniente de infantería. farsa ridicula, pues por la relación que acabo de hacer es con­ gro , con los socios D. Jaime Sales, D. Carlos Seutiel, y resto Comandante graduado, capitán de infantería agregado al es­ siguiente que este ahogamiento, pena merecida pero inusitada, d…</t>
  </si>
  <si>
    <t>Laval</t>
  </si>
  <si>
    <t>…í á cho de Francisco r, decia: “ Acababa de ser trasladado el Rey Dejaremos hablar á los testigos del hecho. mi hermano gritar: “ Sydea , que me matan...” fui corriendo á al castillo de Pizzighitone; yo.... es decir, el duque de Laval le Habíase esparcido la voz en varios puertos de m ar, y sobre mi hermana, y la dije: “ mientras tú ríes y te diviertes)estan de­ acompañaba en su cautiverio. El Rey se dirigió á mí....” Y todo en los de las Indias occidentales, de que durante la trave­ gollando á nuestro pobre M inna.” Vo ví…</t>
  </si>
  <si>
    <t>Lavalle</t>
  </si>
  <si>
    <t>…sición formidable, que ¡ cías. Se prepara una expedición contra Roxas , mandada por el á 9 de N o v ie m b re d e l S S O . ^ A D. L o renzo A rra zo la. al miatuo tiempo no hubiera facilitado n ingún pretexto, y a n ­ \ general Lavalle. tes bien quitado á los rusos todo deseo de arrojar un ejército so­ Una fragata y una corbeta han salido de Prest el 28 de Oc­ bre Constantinopla: por lo demas eí Gabinete ruso ni buscaba tubre para pasar é Montevideo. La primera va montada por r aquel pretexto, ni en aquel momento tenia…</t>
  </si>
  <si>
    <t>…que habían ido en busca del embaja­ gendarme Ameslan. (Id.) dor para trasladarle á palacio, le condujeron á su alojamiento. Cartas de Montevideo del 4? y que acabamos de recibir, anun­ cian del modo mas positivo que el general Lavalle había der­ L ’U n iv ers, periódico formal y reservado, publica lo que rotado completamente el cuerpo de 1500 tutrcrianos que Rosas M . de Gerstlacher , ministro residente de S. A. R. el gran sigue: enviaba á las órdenes de Zapata para batirle. Este gefe ha duque de Badén , ha entregado al R…</t>
  </si>
  <si>
    <t>Lavandera, Juan Moran</t>
  </si>
  <si>
    <t>Juan Moran Lavandera</t>
  </si>
  <si>
    <t>…en un acto, que tan­ medición que de ella hizo en el año de 1854 el arquitecto de de el se ha hecho, grabada a costa de la Imprenta nacional to agradó en su primera representación, y cuyo título es la academia de S. Fernando D. Juan Moran Lavandera, tiene con toque franco, degradación bien entendida, y pureza de OQO^0 P*es cuadrados, y está tasada por el mismo en buril, por D. Blas Ametller, grabador de Cámara de S. M., LA SOLTERONA. 292,612 rs. vn., de cuya, cantidad se rebajarán las cargas que y director en su arte de…</t>
  </si>
  <si>
    <t>Laviano, Ambrosio</t>
  </si>
  <si>
    <t>Ambrosio Laviano</t>
  </si>
  <si>
    <t>…e, tocó á los sugetos siguientes : D. Félix Sánchez M a rin , Don cipadamente por el Diputado de M ons, no ha producido nin­ otros efectos , sin que por ini parte h aya habido mas novedad José M en cia, D. Ju an José Enrique , D. Ambrosio Laviano, gún efecto en la asamblea. que la de dos tiradores heridos de. sable, un caballo herido y D. Joaquín A sensio, D. Maximiano González, D. Ju an de Bruselas está tranquilo. {Debáis.) otro extraviado. Dios guarde á V. muchos años. Santibañez M ata Illaua, D. Cárlos Marrón y D. Antoni…</t>
  </si>
  <si>
    <t>Lavilla, Manuel</t>
  </si>
  <si>
    <t>Manuel Lavilla</t>
  </si>
  <si>
    <t>…denuncios y en 22. O tra id. en sierra de G ador, cañada de la E rm ita, té r­ registros de minas admitidos en dicho mes. Otra id. en Sierra de G a d o r, loma, de la Breva , término de mino del Presidio, la Buena reunión, por D. Manuel Lavilla, Denuncios.zzUna mina plomiza en sierra de G ad o r, hoya Presidio , nuestra señora de la Guia , ahora de G uadalupe, por en 18. de Martos, término de L anjar, titulada Salud tercera (a) San D. Salvador G arrido, en 25. O tra id. en sierra Almagrera , término de P u lp í, San José, M…</t>
  </si>
  <si>
    <t>Lavoestine</t>
  </si>
  <si>
    <t>…o se esfuerza por restablecer la internuncio del Papa. buena inteligencia. Por la noche recibió el Rey á M r. Hum ann. ANUNCIOS OFICIALES. SS. MM . recibieron en seguida al mariscal Soult, al m ar­ ques de Dalmacia, al general Lavoestine, á Mr. Fulchiron, El capitán bajá ha vuelto á salir de los Dardauelos : des­ individuo pués de haber desempeñado su encargo ha pasado á Gemlik Montmorency. de la Cámara de D iputados, y á la duquesa de Dirección general de Rentas estancadas. para pasar revista á un navio de línea que d…</t>
  </si>
  <si>
    <t>Laíleur</t>
  </si>
  <si>
    <t>…eras pre­ nos 4 00 obreros; y entre otras cosas se fabrican fusiles para el ó dará la vuelta al mundo.” Al fin Lebarzic conviene en que tensiones otras menos exageradas. Tan persuadido estaba yo de ejército. La hilandería del Sr. Laíleur no tiene mas que un so­ Philippet venia coa frecuencia al sitio de la bomba , y después que asi serta, que con mucha anticipación á la llegada á nues­ lo ap arejado r, cuyo cargo hace mas de tres años que desempe­ de decir que nunca hablaba con él de p olítica, arrastrado por tras costas del…</t>
  </si>
  <si>
    <t>…ción haber sido el que apuntó con su fusil á los tres provocada por él misino. ra aire partió hacia el faccioso vestido de n egro, le prendió, y referidos, dice que solo lo hizo con el panadero, añadiendo que Igualm ente el Sr. Laíleur ha dado un buen informe acerca le entregó al pelotón de la Guardia nacional que custodiaba á su fusil no estaba en aquel acto cargado. También declara ha­ de Lebarzic, el cual era m uy laborioso y jamas habia faltado á Marechal: el preso por Mr. Lemaire era Longuet. ber disparado tres tiros…</t>
  </si>
  <si>
    <t>Lcon</t>
  </si>
  <si>
    <t>…n dada, cia en Zornoza con sus generales, y de allí pasó á Durango. ral , redactor en gefe del periódico de teatros que se publica en aplicando las reglas de la construcción. Todas las clases de o ra ­ Es probable que el general Lcon haya empezado en este día esta corte. ciones, y los métodos coimm y elegante, sin omitir nada de U á hostilizar al enemigo; pero hasta ahora nada se sabe con se­ Las seis que compondrán el tomo segundo de esta colec­ sintáxis figurada , se dan á conocer al principiante con el mis­ guridad de si…</t>
  </si>
  <si>
    <t>Le-Grand, Riesco</t>
  </si>
  <si>
    <t>Riesco Le-Grand</t>
  </si>
  <si>
    <t>…de la obra completa en rústica y en pasta en la im­ prosódica del Sr, Sicilia tiene una aplicación útil é inm e­ Roscan, Mendoza y otros, se perdieron por falta de vida prenta de Burgos, y en la librería de Nuñez. diata. El Sr. Riesco Le-Grand , ó sea el Madrideño Católico , tie­ y &gt; g Q poético. No fue difícil a los oidos españoles discer­ Una composición entera de versos con la séptima acen­ nir las inmensas ventajas del nuevo m etro sobre toáoslos ne ya en prensa la vida de Talleyrand , escrita por é l , que es­ tuad…</t>
  </si>
  <si>
    <t>Leal</t>
  </si>
  <si>
    <t>…dictamen sobre atribuciones de los ay un tam ien tos, la una algún tanto por ciento ó de cualquiera otra m an era, siempre El Sr. R U IZ D E L A R B O L apoyó la enmienda fundán­ por el Sr. R uiz del Arbol, y ia otra por el Sr. Leal. dose en que creia que por ella podrían evitarse los perjuicios que la expresada proposición m a y o r, reducida á cantidad fija, Procedióndose á la renovación de las secciones, según to que pudieran seguirse de una larga suspensión de los acuerdos no exceda de 6 .20 0 ,0 0 0 rs. vn. anuales ;…</t>
  </si>
  <si>
    <t>…endió esta discusión. Para tercer Secretario obtuvieron el Sr. M o y a 4 I votos ; el derlos porque estaría en su derecho. Quedó sobre la mesa un dictamen de la comisión de Actas | Sr. Temprado 1 5 ; el Sr. L u ja n 15 ; el Sr. Leal 9 ; el Sr. F e- En la enmienda que propongo d ig o : " Se conceden los fue­ acerca de la admisión del Sr. H u elves, Diputado electo por U Jiu 7, y 1 cada uno de los Sres. Sánchez de la F u e n te , M a e s ­ ros á las provincias Vascongadas y N a v a r r a , salva su modifi­ provincia de Tole…</t>
  </si>
  <si>
    <t>…gún modo aplicable al el caso de hacer las enmiendas, no á los artículos, sino á los que el Sr. Madoz; pero que le bastaba que se supiese que habia que se daba por parte del Sr. M inistro: que nunca habia sido proyecto*. (S í Sr. Leal indico que se Leyese la reform a del querido hablar. su ánimo ofender al Gobierno ni hacerle cargos, pues en ese reglamento.) El Sr. BARRIO AYUSO dijo que también había pedido la caso lo haría de una manera digna del Congreso , en quien es­ En la reforma del reglamento se trata del modo de dir…</t>
  </si>
  <si>
    <t>Leal, Rodríguez</t>
  </si>
  <si>
    <t>Rodríguez Leal</t>
  </si>
  <si>
    <t>…s que he expuesto. caiga en m í tu ben d ición, nera mas decorosa que se ha tenido por conveniente. Deshechas algunas equivocaciones por los Sres. Lujan y El Sr. A R T E T A , deshaciendo equivocaciones dice: Que Alvaro, el Sr. Rodríguez Leal, á quien tocaba la palabra co­ y nacerán las virtudes aun cuando creia que no eran ofensivas las expresiones que mo de la comisión, la renunció en el Sr. Aillon. com o en el campo la flor. pronuncio en su discurso, sin embargo dio algunas explicacio­ S. S. contestó á los argumentos d…</t>
  </si>
  <si>
    <t>Lean</t>
  </si>
  <si>
    <t>…inco b rigad as, mandadas por el brigadier D. Francis­ v. f. ó vol. á prima de \ y i por 100 con cupones. suelo, adonde se d ir ig ir á n las reclamaciones y las cartas fran ­ co Guajardo y los coroneles D. Francisco Alameda , D. Lean­ Inscripciones en el gran libro á 4 por 1 0 0 , 00. cas de porte. dro Quiros, D. M iguel M a u d u i t y D. José R o d ríg u ez : SS. M M. Títulos al portador del 5 por 100. Nota. Con el número siguiente se repartirá á los suscrip­ recorrerán la línea , y concluida esta operación se situarán en…</t>
  </si>
  <si>
    <t>Leandro</t>
  </si>
  <si>
    <t>…en algunos de nuestros lectores la presenta­ o de hijos suyos. Hé aqui las observaciones de un viajero fran­ 10 legio exclusivo para comerciar eu peletería eu las regiones que ción en la escena sevillana del artista dramático D. Leandro cés al recorrer las antiguas posesiones de la América fran ela v a a descubrir. -1 L u g a r, y del primer violin concertino de los teatros de la cor­ en particular la Luisiana , que con el Canadá fue la mas vasta Habiendo llegado á Quebec en 15 de Setiembre del mismo té D. Ju an Guervos. de…</t>
  </si>
  <si>
    <t>…de costumbre. Las brillantes disposiciones to­ la q u in ta de 40$ hombres decretada en 27 de O ctubre ú ltim o; se acordó im p rim ir para discutirle en la primera sesión. madas por el b rigadier Aleson y del gefe de E. M. D. Leandro para p re m ia rá los defensores de G andesa, y au torizando al G o ­ El í&gt;r. PRESIDEN TE: Continúa la discusión sobre la caja B ernabeu, in u tilizó todos los esfuerzos del enemigo por aque­ bierno para hacer una requisición de 6$ caballos en todo el reino. de Amortización. lla p arte; a…</t>
  </si>
  <si>
    <t>…dido en un momento. E n el teatro de esta ciudad se presentó por primera vez el 1 4 , hacen ascender a 936 el número total de mozos ingresados Al principio de la sesión el presidente ha pronunciado el viernes próximo el actor D. Leandro L ugar. Nosotros tuvimos en caja de la presente quinta. discurso que sigue? un vivo placer de verle en la escena, pues su presencia en ella De estos han salido en el dia 6 para el depósito de Lega-- Tengo el disgusto de anunciaros que no hay en la actuali­ es un buen agüero para el teatro…</t>
  </si>
  <si>
    <t>…iendo el ascenso á la plaza inmediata respectivamente á Don este fin se admiten memoriales por el término de un mes, que por instrucciones, ó no puedan desempeñarse por los de­ José María Montero , D, Taídeo García Castañon y D. Leandro presentarán los interesados al comisario de los santos lugares mas individuos de las dependencias, y se nombraren para Perez&gt; oficiales segundo, tercero y cuarto; y reemplazando á en la diócesis en que residan, con expresión de su nombre , edad, -que los sirvan interinamente empleados cesan…</t>
  </si>
  <si>
    <t>Leblanc</t>
  </si>
  <si>
    <t>…iones que prometen , tanto para el nicación la publicidad conveniente; De Real orden lo digo presente como para lo venidero, resultados favorables. Los arre­ á V. S. para su inteligencia y cumplimiento. Dios guarde El almirante Leblanc se halla siempre á la vista de Buenos glos para la trascripción de la parte de la deuda pública , que á Y. S. muchos. Madrid 31 de Octubre de 18¿É9.=Lorenzo Aires, y no es dudoso que tenga intención de verificar un des­ según el tratado de Londres debe corresponder á la B élgica, no Arrazo…</t>
  </si>
  <si>
    <t>…de Justicia el Rey y el duque de Broglie; pero se ignora si lo 21 de Marzo, corrían rumores en Rio Janeiro en 1.° de Febre­ hasta el p re se n te , desde las nueve de la m a ñ an a hasta admitirá. ro que la escuadra dél almirante Leblanc , estacionada en el las dos de la tard e ; y los lunes á las mismas horas la ga­ Algunos creen que Mr. Guizot obtendrá el ministerio de lo Rio de la Plata, habia empezado á bombardear á Buenos Aires. lería de escultura solo: pero si en la sem an a, adema» del Interior, por estar decidido Mr…</t>
  </si>
  <si>
    <t>…n ie ü : la izquierda Osman-bajá , y el generalí­ caballos de Palillos , que hacia dos dias se hallaban en ViIleí; y simo dirigía todos los movimientos. persuadido de que el objeto de los rebeldes solo podía ser cau­ El almirante Leblanc ha pedido con instancia i su Gobier­ El ejército enemigo contaba cerca de 703 hombres, compren­ sar algunos daños en los campos y sorprender á los paisanos que no que le dé sucesor, y espera ser pronto reemplazado. didos en ellos las tropas ligeras. A los primeros tiros se apode­ saltan á su…</t>
  </si>
  <si>
    <t>Lecce</t>
  </si>
  <si>
    <t>…o Torregro- Las cartas de Nápoles anuncian que el matrimonio proyec­ mañana en Na o tes se sabe que Mr. JuveJin, gobernador de la iá , José G arcía, Santiago Fernández y Mkitiieí Alvaréz. tado entre el príncipe Antonio, conde de Lecce, y la hija de Colonia; habia adoptado la misma determinación que el dq la la duquesa de Berry, que el mundo consideraba como un apun­ Martinica acerca de pérmitir la extracción del azúcar por toda S. M ., satisfecha del mérito particular contraido por estos to concluido, se ha roto de repent…</t>
  </si>
  <si>
    <t>Lederer</t>
  </si>
  <si>
    <t>…perador en forma de aristocracia, omnipotente en aquel pais, habia logrado hacer in­ petición. sertar en el nuevo código, y por la cual se mantenía el privile­ aprecio los sentimientos que manifiestan los ayuntamien­ El barón de Lederer ha salido para Viena á eligir nuevas gio de que han gozado los nobles hasta ahora en el Piamonte tos de Tribes, Castro Caidelas y Menterramo, en las ex­ explicaciones sobre la misión que le ha encargado el Gobierno, de ser condenados á la pena inmediata á la correspondiente por posiciones si…</t>
  </si>
  <si>
    <t>Lederey</t>
  </si>
  <si>
    <t>…cían á la salida ocupa la A lquería-m odelo con unos 5 0 0 hom bres, mandó salir súplica. del A cheron que el m ovim iento de retirada de nuestras tropas al momento una compañía de cazadores; pero y a era ta rd e , y E l barón de Lederey ha salido para V ien a á fin de exigir se ejecutaba con a c tiv id a d , escalonándose la m ayor parte da no pudieron nuestros soldados dar alcance á los árabes, los cua­ nuevas explicaciones sobre la m isión de que ha sido encargado ellas en la falda del Su r del Sahel en D u e r a , en la…</t>
  </si>
  <si>
    <t>Ledesma, Puente</t>
  </si>
  <si>
    <t>Puente Ledesma</t>
  </si>
  <si>
    <t>…mediación de un árbitro 8 ntado cou una carabina, implorando la gracia de indulto, al los presidiarios trabajar con esfuerzo, orden y aun complacen­ seria enteramente inútil. En su consecuencia se ha decidido que comandante de Puente Ledesma. cia, debido sin duda al buen trato que se les tiene, y á las es­ no se trate por ahora dé este nombramiento. Varios periódicos peranzas de suavizarles su desgraciada suerte si cumplen y se americanos se muestran poco satisfechos de esta decisión , pin­ PARTE RECIBIDO EN LA SECRETAR…</t>
  </si>
  <si>
    <t>Lee</t>
  </si>
  <si>
    <t>…ternizar la guerra , de agotar el p a is, y El Standard pretende que el almirantazgo ingles se ha apro­ asuntos de los carlistas. traeros á un deseolace sobre el que los agentes de la revolución vechado de la salida del coronel Lee para España, y remitido Fronteras de N avarra 15 de Agosto.zrLa insurrección cada no han dejado de trabajar un solo instante. por su conducto instrucciones á lord John H ay. El alm irantaz­ dia va ganando mas terreno en las Provincias: no está cir­ Este plan ha pasado por diferentes trasformaci…</t>
  </si>
  <si>
    <t>Leford, Mariano</t>
  </si>
  <si>
    <t>Mariano Leford</t>
  </si>
  <si>
    <t>…con arreglo á la instrucción vigeute, las recompensas No obstante estas diligencias, he puesto en juego también que contemple de justicia. y rem itiéndose á sus decisiones en aquellos casos que á su la de llamar al empresario D. Mariano Leford, y después de ju ic io sean dudosos y no se reduzcan á m era ejecución de una breve conferencia , hemos quedado en tener otra mas pro­ ley , reglam ento ó R eal o rd en vigente. lija al intento de destruir definitivamente los entorpecimientos Accediendo S. M. la Reina Gobernadora á un…</t>
  </si>
  <si>
    <t>Lega</t>
  </si>
  <si>
    <t>…la 1859.r=Excmo. Sr.zrJosé Agustín de Larrameudi.r:Excmo* se­ da con la Lucia di Lammermoore ; y como se supone que la diversa índole de las modernas, no pueden traducirse á ñor Ministro de la Gobernación de la Península. Sra. Lega, segunda bufa, y el segando bufo, yan á llegar cuanto antes, podemos lisonjearnos de tener ópera mas pron­ ellas clara y exactamente, como ya adverlia el eminente to de lo que se esperaba. traductor S. Gerónimo, quedando algunas ininteligibles y á veces equívocas, ó poco decorosas, después d…</t>
  </si>
  <si>
    <t>Leganés</t>
  </si>
  <si>
    <t>…rseguidos y acosados M INISTERIO DE LA GOBERNACION DE LA PENÍNSULA Fresno, en la de Ciudad-Real, quienes pocos dias después por las huestes numerosas y aguerridas de las armas nacionales, de su ingreso en el depósito general de Leganés, donde dirigidas por su diguo capitán general duque de la Victoria. Segunda sección. Reales órdenes. fueron entregados como ú tile s, han sido declarados in­ El efecto grandioso que produjo en el corazón de V. M. útiles para el servicio en el hospital adonde pasaron por estos acontecimient…</t>
  </si>
  <si>
    <t>Legrand, Inocencio María Riesco</t>
  </si>
  <si>
    <t>Inocencio María Riesco Legrand</t>
  </si>
  <si>
    <t>…do escuadrón navarro hasta la Sánchez Tom é, titulado: "Contestación al papel que acaba de que trata la fegla anterior, que según la misma ley de fueron vista de* la plaza, cuyo gobernador Cree que haya dado lugar d a r á luz D. Inocencio María Riesco Legrand, elogiando la presupuestos no tengan derecho al haber de cesante^ por á ésta‘deserción el haber sido llamados á los Arcos por T a rra - virginidad de las moujas,” el que fue presidido por el señor no contar los años de servicio necesarios al efecto, se les gual todas…</t>
  </si>
  <si>
    <t>Leineri</t>
  </si>
  <si>
    <t>…ia cerca de S. M. siciliana, se dispone á dejar á París lir partidas de fuerza armada á recorrer ios pueblos y oficiado tráquea. Las propiedades de esta consisten en su elasticidad y para trasladarse á su destino. al Sr. coronel Leineri , comandante de la ribera de Celia, para en la facultad de alargarse y acortarse , de ensancharsey angos­ Un periódico que se dice bien informado pretende que el que hiciese venir á esta plaza el número posible de trasportes, tarse, y de adaptar su superficie de modo que vibre unísona mini…</t>
  </si>
  <si>
    <t>Leinster</t>
  </si>
  <si>
    <t>…A la hora señalada para empezar el espectáculo llegó S. M . la firmaré. No querria exponer á un impresor de Dublin á te­ real bajo la presidencia del duque de Leinster. Las cartas convo­ catorias llevaban la firma del duque de Leinster, de otros 19 el R ey. En el momento, y mientras que la orquesta tocaba el ner que comparecer ante un jurado compuesto de personas a d ic ­ A ire nacional, todos los espectadores se levantaron espontánea­ tas á los orangistas. El honorable orador ha terminado su dis­ P are s, de 18 barone…</t>
  </si>
  <si>
    <t>Leizaval, Antonio</t>
  </si>
  <si>
    <t>Antonio Leizaval</t>
  </si>
  <si>
    <t>…iadores. nom bram iento se incluyen en la Guia de Forasteros, que para la del año de 1840 se sirvan pasar notas certificadas en la forma que se han extendido en ios años anteriores D. José Asimismo se cita, llama y emplaza á D. Antonio Leizaval, á la im prenta Nacional, donde deberán hallarse precisa­ Gorocochea Fernandez Acuña, D. Manuel Muñoz, D. Juan Bautista Tj^N virtud de providencia del Sr. juez de primera instancia D. Benito Serrauo y Aliaga , se saca nuevamente á p ú ­ mente para el l.° de Diciembre próxim o, pue…</t>
  </si>
  <si>
    <t>Lej</t>
  </si>
  <si>
    <t>…c h e m uy vergonzoso en p a la c io , E l am or médico y D on G il de la s tez de su canto, que suponen ademas de sus conocimientos en oscura calzas verdes. = £. L. ( E l Tiem po.) el arte, una organización privilegiada: el Sr. Lej justificó el «H echo u n G ó n g o ra está el cielo” concepto que merece por su excelente método de canto y la no­ bleza y finura de sus maneras. cayese con tan ta f re c u e n c ia , po r co nd escend er con el b e ­ El señor Gonfortini ejecutó con perfección una aria de llaco gusto de su sig…</t>
  </si>
  <si>
    <t>Lelu, Federico</t>
  </si>
  <si>
    <t>Federico Lelu</t>
  </si>
  <si>
    <t>…acional. la mano derecha unas yerbecillas á un cordero; y en la izquier­ d a , levantado el brazo , tiene una caña en forma de cruz. El P OR el presente se cita , llama y emplaza á Doña Francisca Rodríguez de Lelu , viuda de D. Federico Lelu , y cuyo La coronación de María Santísima. grabado fue ejecutado en Paris por Hcnriquez (B. L.) con em­ paste y brio de buril. Tiene 15 p. y 5 l. de alto, y 16 p. y 4 paradero &gt;e ignora , para que dentro de 10 dias primeros si­ Obra del pincel franco y valiente de D. Diego Velazquez…</t>
  </si>
  <si>
    <t>Lemercier</t>
  </si>
  <si>
    <t>…de línea , la eual salió casi toda á la llanura. en gefe de la Guardia nacional de Varsovia, y Mr. seis armas. La columna de Arzua dio muerte á cuatro rebeldes A bd-El- Kader tiene parte sin duda en esta insurrección comandante Lemercier, de la academia, han hablado en seguida. Después á las inmediaciones del rio Ulla , únicos que pudo avistar ea terrible: el tratado dé la Tafoa queda por tanto destruido, y obtuvo la palabra Mr. Sarraus, y su acalorada improvisación el territorio que le está confiado, recogiendo dos fusil…</t>
  </si>
  <si>
    <t>Lemus</t>
  </si>
  <si>
    <t>…Se curaron............................................... 2,826 Mier preso y amenazado de muerte los rancheros que acaudi­ Fallecieron............................................... 575 llaba Canales. Acusan de traidor al general Lemus , y tendrá mucha suerte si escapa de las garras de esos que son tnas bár­ D e mugeres de S. Francisco de P aula • baros que los antropófagos. (Papeles mejicanos,) Parece que el ministerio Melbourne cree que solo con 59 hombres de refuerzo tiene lo suficiente para mantener la tran­ Enfermas..…</t>
  </si>
  <si>
    <t>Lemus, Pedro</t>
  </si>
  <si>
    <t>Pedro Lemus</t>
  </si>
  <si>
    <t>…n concesiones semejantes. No la Excmo. S r.: Como anuncié á Y. E. en mi nota oficial de S sa quesea de suma importancia, lo diré á Y. E. inmediata-- habrá si los naturales de esas islas, tomando ejemplo de del presente, de que D. Pedro Lemus marchaba sobre esta capi­ m ente, y sino por el ordinario de mañana le avisaré deí re ­ sus vecinos los chinos, se*dedican á la elaboración del pa­ tal , y según los preparativos que se hacían de defensa y e sultado. Yo me prometo que asi el Excmo. Sr. presidente, corno pel de paja de ar…</t>
  </si>
  <si>
    <t>…se sostienen en la equivocada esperanza cia que todas las gavillas se habian pronunciado negándole la 11° i y para la de Olmedo, á D. Donato Gómez. de nuestra desunión. Pero la alta penetración de V. M. y la fir­ obediencia á D. Pedro Lemus, y exigiéndole entregase ef m an­ meza de vuestro Gobierno, encontrarán suministros para el do á D. Juan Pablo A naya, que se halla en las villas del Ñor - ejército; y este al grito eléctrico de su ilustre general, sabrá ani­ te. De resultas de esta ocurrencia el referido D. Pedro Lemu…</t>
  </si>
  <si>
    <t>Lemut, Pedro</t>
  </si>
  <si>
    <t>Pedro Lemut</t>
  </si>
  <si>
    <t>…ro Gobierno, encontrarán suministros para el do á D. Juan Pablo A naya, que se halla en las villas del Ñor - ejército; y este al grito eléctrico de su ilustre general, sabrá ani­ te. De resultas de esta ocurrencia el referido D. Pedro Lemut quilar á los enemigos del Estado. Dígnese Y. M. escuchar los y su hermano D. José marcharon para Béjar con unos 40 humildes acentos de estos capitulares de acuerdo unánime con hombres que los siguieron, quedando con el mando de lés S. M. la Reina Gobernadora ha oido con especial agra­…</t>
  </si>
  <si>
    <t>Lengo, Cayetano</t>
  </si>
  <si>
    <t>Cayetano Lengo</t>
  </si>
  <si>
    <t>…que de no hacerlo, pasa­ D. Manuel Casas* cuyo título es Junio de l859.=Retacioo de las minas denunciadas en di­ do que sea dicho término , sin roas citarles y emplazarles , les cho mes. parará el perjuicio que haya lugar. D. Cayetano Lengo, vecino de la ciudad de Málaga , como XAURENTÍNO TRIUNFANTE EN ROMA. apoderado de D Emilio SUiollz, hermanos, de la misma y Su comercio, er» el dia 6 de Junio denunció la mioa de plomo nombrada Nuestra Señora de los Dolores, sita en Sierrablanca, Juzgado de Amortización . término…</t>
  </si>
  <si>
    <t>Leo</t>
  </si>
  <si>
    <t>…ir el siglo xix. La superioridad de_ efectos y cuando falto de una literatura acomodada á nuestra época, lacion en principios del reinado de D. Cárlos iv con los a c tu a - no solo nos parece unida a' que la presentación de Doña Leo­ á nuestras costumbres y necesidades actuales, amenazábale la es, y el número respectivo de empleados en ambas épocas , y nor de Guzn.an en la escena y el heroísmo de sus sentimientos misma esterilidad y postración, admitiendo las producciones la lla un aumento enorme en unos y otros, infiriénd…</t>
  </si>
  <si>
    <t>Leonardo</t>
  </si>
  <si>
    <t>…e D. N icolás C hantreau , según antes he m anifestado, núm. 8. dor con poder bastante a deducir su derecho en el juicio de tes­ y espero que ni aun la parte tipográfica d ejará que desear á tam entaria de bienes del referido D. Leonardo para satisfacer­ cuantos se dedican al estudio del latín de los sigíos modernos. les sus crédito s, pues les oiré y gu ard aré ju sticia ; con ap erci­ Se suscribe á esta gram ática al precio dé 18 rs. vti. err la* bimiento de que pasado el referido térm ino sin mas citarles ni librerías qu…</t>
  </si>
  <si>
    <t>…s pérdidas, que ql que tista Cisneros y del teniente regidor decano auditor honorario prestaron las trepas de la izquierda del M iño combinadas con me haya tocado la suerte de secar la fuente de vuestros males. de departamento D. Leonardo B ravo, pase inmediatamente y la columna de Sobrado. Os aconsejo , y una larga experiencia de fatalidades os debe durante la sesión, á las casas de gobierno, y á nombre del pue­ La de Mellid fusiló á un rebelde de infantería, cogiendo servir de eterna lección , para uniros intimamente y no…</t>
  </si>
  <si>
    <t>Leonor</t>
  </si>
  <si>
    <t>…uperior en él. Llega D. Bermu- Que no llegó al corazón ? no sabemos darnos razón de tantas bellezas. D. Pedro deja en­ do de Carranza con la agitación y el mas marcado pesar sobre ¿ N o sabéis que en su despecho, trever á Doña Leonor un rayo de esperanza: Doña Leonor se su fre n te, y dice á D. Enrique que tome su casco y le siga ; que La turba de sus parciales humilla hasta la bajeza ; D. Pedro la manifiesta que una sola se arme sin dilación porque la nobleza castellana se halla ya re- Afila ya sus puñales cosa puede…</t>
  </si>
  <si>
    <t>…il n’a p o u r sa d e f e h s e , Santa Cruz de M ú d e la , muerto en el campo del honor. Que les p leu rs d e sa m e r e et sa innocence• O R O N T U A R I O ju r í d i c o , ó compilación de le y e s , decretos* Y la de Doña Leonor á Pedro el C r u e l: V reglamentos y circulares vigentes expedidos y restableci­ En la noche hirió mi oido dos para la administración de justicia desde Enero de 1854&gt; Voz doliente y lastim era, hasta el dia. Y aquella voz triste era PROVIDENCIAS JUDICIALES. Todos los que han tenido necesi…</t>
  </si>
  <si>
    <t>Leonor, Pedro. Doña</t>
  </si>
  <si>
    <t>Pedro. Doña Leonor</t>
  </si>
  <si>
    <t>…ursos del arte han sido usados por el poeta para ha­ Donde se sacien mis labios Sintió ningún castellano; cernos sentir el genio á la vez grande , fiero é impetuoso de Con sangre del Rey D. Pedro. Mas jamas , Samuel, ninguno D. Pedro. Doña Leonor le pregunta sobre el sacrificio que le Volemos....... Tantos desaires sufrió. exige: el Rey le dice que solo quiere ponga en su poder á Don Y sin mirar á su virtuosa esposa, sin volver la cabeza , sin N i una vez sola escuchó E nrique: ella le interroga el objeto, y es la pregu…</t>
  </si>
  <si>
    <t>Leonor, Vicente Modrego y Morales Dona</t>
  </si>
  <si>
    <t>Vicente Modrego y Morales Dona Leonor</t>
  </si>
  <si>
    <t>…s que se crear; cuentemente suele ser necesario recorrerlos todos para encontrar Ambas son rasgos de genio. Andrómaca es mas tierna y la ley que se busca , y aun asi no siempre queda la seguridad con derecho á la herencia de D. Vicente Modrego y Morales Dona Leonor mas t r á g ic a , y asi debia suceder, porque sus si­ de que no se halle derogada en todo ó en parte por otra poste­ secretario que fue del Excmo. ayuntam iento de la misma c i u ­ tuaciones eran diversas; y sin menoscabar la alta reputación rior inserta en…</t>
  </si>
  <si>
    <t>Leoo</t>
  </si>
  <si>
    <t>…n igual fecha un Se lee en un periódico ingles: REALES DECRETOS. parte que le dirige con la del 5 el comandante general de am­ lía reinado la mayor actividad en ía semana anterior en bas Riojas, en que manifiesta que el general Leoo ha tenido un los diques de Chatam por efecto de los preparativos que ¿e han Como Regente y Gobernadora del reino durante segundo combate glorioso, por resultas del cual se ha apodera­ estado haciendo para el equipo y armamento de dos buques la menor edad de mi excelsa Hija la Reina Doña do del…</t>
  </si>
  <si>
    <t>Leopol</t>
  </si>
  <si>
    <t>…e Geografía. D. Francisco de Mier y Teran, D. Federico Se­ vos que rem aban en ios barcos en em igo s obtuvieron su descargó el granadero un puñetazo en el pecho y al que se le g u í, D Fernando Gtrgollo, D. Angel Retortillo, D. Leopol­ libertad. La pérdida de los cristianos fue estimada en 10$ contestó con otro bastante violento en la cara. El soldado qui­ do Brockmann , D. José Soiis y D. Manuel Docavo. hombres entre soldados y marineros, d e m odo-que el gol­ so responder con un bayonetazo, pero se lo impidieron los qu…</t>
  </si>
  <si>
    <t>Leopoldo</t>
  </si>
  <si>
    <t>…lar rneu- nes que formará dicha oficina, con sujeción á los an­ canon, armas y demás efectos. cio del cabo 1.° del provincial de Sevilla M iguel Jim cn ez, que tiguos asientos, los cuales se conservarán archivados El general D. Leopoldo Ó d o n ell, gefe de estado mayor, cou los granaderos del mismo Vicente González, José Vázquez, en ella para Jos usos que convengan. dirigid el ataque de la derecha. El general D. Ramón Castañe­ Pablo Romariil y Manuel M ancha cargó á la bayoneta á u n Art. 8.° L o mismo y por el propio o…</t>
  </si>
  <si>
    <t>…ilia á llorar B rin do por el ilustre vencedor de Tales y de L u c e n a , por tares c o n tin ú an con la prosperidad que manifiesta , A ra g ó n d a ­ nuestras desgracias, y ju r a r no separarnos nunca mas. Pocos el general D. Leopoldo O - D o n n e l l , firme apoyo de la libertad rá una prueba de su lealtad, c o a d yu van do de una manera d i ­ ¿ños bastarán para poder reparar los estragos de la guerra , que y del orden. recta al total exterminio de los vándalos que ahora le infestan* adm iten rap aracio n; entonces el…</t>
  </si>
  <si>
    <t>…se erguido su dii'ti ¿al. to mereció la cooperación de ciertos personajes sde Toscaoa lindo cuello, y parece que domina realmente los mugidos y tem­ "Hace 20 años que la situación económica de Inglaterra ocu­ y que el gran duque Leopoldo haya manifestado el mayor em­ pestades de la orquesta, radiante y abriendo las alas como u a pa exclusivamente á sus consejos, y es la llave de su política. peño en su realización. El i 0 de Octubre habia ya 594 sabios águila joven que se siente arrebatada por las ondulaciones del El recon…</t>
  </si>
  <si>
    <t>…nta. Coruña 15 de Julio 4 0 , Se venden igualmente máquinas para vapores de fuerza de 80 y 220 caballos. quejándose de haber intentado su prisión y haber allanado dos de 1859.—Bartolomé de Casas Diez.—Esteban Rodríguez Alon­ D. Leopoldo R edpath, corredor jurado y agente en L ón­ veces su casa el gefe político de Madrid , en virtud, según este so.—Ramón María Arteaga.—Martin de Torres Moreno.—M a­ dres, Lime Street, num. 4^* ° D. Leopoldo Menendez en V i- dijo, de Real orden reservada, la cual al parecer fue acordada nuel…</t>
  </si>
  <si>
    <t>…Uevaron a bordo: antes de ayer 15 del corriente llegaron á la A las seis de su tarde entró en esta ciudad el Excmo, señor ’ J ,os ^eseínñarcaron haciéndoles una salva de 2 i caño­ general en gefe de este ejército y provincias D. Leopoldo O D o - nazos. Están pues en la P u n á , y llegarán esta noche á la ciu ­ nell con cinco batallones, media batería rodada y tres escua­ dad. Santacruz, Miller, Cerdeña , R iva-A güero, García del Casi todos los buques armados que se hallan en el puerto de drones de caballería. Acompañan á…</t>
  </si>
  <si>
    <t>…año g a r de 1.° de baldíos, 2.° realengos &amp; c., se dijese: 1.° rea­ de 40, 80 y 2 20 caballos. que el Sr. Esteban en su segundo discurso h ay a bajado el v a - lengos, 2.° baldíos, 5.° propios, si no tienen hipotecas de cré­ D. Leopoldo R e d p a th , corredor jurado y agente en L o n ­ u»r de las tierras á lq rs. Ahora bien , haga S. 8. su cálculo, ditos ó si no están destinados ai necesario aprovechamiento dei d res, Lim e Street, núm. 4 9 , ó D. Leopoldo Meaendez en V i - ve i lo que hay q u e darle en fanegas de tier…</t>
  </si>
  <si>
    <t>…ado la na­ La cuarta división y la segunda del C entro, á las órdenes los ángulos de la nación, ha puesto en bullicioso alegre mo­ ción, y ella sola sabrá sostener á toda costa estos objetos de del Excmo. Sr. segundo en gefe D. Leopoldo O d on ell, en vimiento á los españoles, que la miraban cual una necesidad su mas decidida predilección. Camarillas y pueblos inmediatos.^=Tena. im prescindible; y como no pueden recibirse las impresiones La M ilicia ciudadana de esta v illa se creería poco digna de sucesos prósperos sin q…</t>
  </si>
  <si>
    <t>…Mr. el coronel Amorós, y El Excmo. Sr. general en gefe de los ejércitos reunidos y sentante y sosten de su nombre en la socia honoraria Doña en sus escritos y documentos relativos, vuestra comisión opina: gefe del del Centro D. Leopoldo O ’DonelIcon fecha 14 del ac­ Juana Zárraga de P ilón, quien con los robustos acordes de su 1.° Que este honorable gimnasiarca posee todos los conoci­ tual desde Fortanete manifiesta que las tropas de su inmediato armoniosa lira , con lo nuevo y selecto de las imágenes, con la mientos y exp…</t>
  </si>
  <si>
    <t>…mandante general acciden­ siones. Atendidos los relevantes méritos y circunstancias del tal de las divisiones reserva y segunda, que una mitad del re­ Habia abandonado al tiempo la vindicación de mis hechos; mariscal de campo D. Leopoldo 0-Donell;, gefe de estado gimiento caballería del Rey habia hecho prisioneros 4 dos oficia­ esperando que la nación no tardaría en hacerme cabal justicia, mayor del ejército del Norte, y teniendo en considera­ zada les y ocho soldados facciosos montados que se hallaban de avan­ pero firmeme…</t>
  </si>
  <si>
    <t>Leopolpo</t>
  </si>
  <si>
    <t>…a r e , la tisfacciones, nos ha de valer á nosotros tan buenos versos. Bue­ con m ucha frecuencia hasta fines del siglo pasado, cayó en I v e r d a d del célebre dicho de H o racio: nos fueron en verdad los de nuestro amigo D. Leopolpo A u ­ el mismo olvido que el resto del teatro español a n tig u o , y gusto de C ueto, en un soneto á una Coqueta , que donde no no se ha vuelto a levantar. Q uidquid deliran t r e g e s , plcclu n lu r a ch iv i. habia una sola fue recibido con leve murmullo de coquetería. Hay sin em b…</t>
  </si>
  <si>
    <t>Lerin</t>
  </si>
  <si>
    <t>…, el barón Thenard, presidente del júra­ Arcos me dice lo que sigue: Cartas de Atenas de 29 del mes último , dirigidas al Timesb lo central de admisión, han honrado con su presencia el ban- Habiéndome dado parte el gobernador de Lerin que los ene­ inun dan que la expedición preparada por la Rusia es demasia- [uete presidido por M r. Beniere. Se han pronunciado muchos migos habían cortado el regadío de aquella villa, que produce lo formidable para que su destino pueda ser la Circasia: I 4O liscursos por MM. C unin-G ridaine,…</t>
  </si>
  <si>
    <t>Lerin, Boda.</t>
  </si>
  <si>
    <t>Boda. Lerin</t>
  </si>
  <si>
    <t>…e inspeccionarlas: vale mucho mas, porque Total de votantes 6 5 ; mayoría absoluta 33. Quedó electo el defendido que la diputación provincial, si no quiso nombrar á n un caso puede haber fraude ; fraude que yo estoy m uy dis­ Sr. Boda. Lerin cabeza de parti do , usó de su derecho, hizo lo que pudo; ante de creer que lo haya h a b id o, y únicamente cito un dic- Para tercer Secretario resultó electo el Sr* M oy a por 45 vo­ e$ decir, obró dentro del círculo de sus atribuciones, porque ároen que se halla en un caso igual para…</t>
  </si>
  <si>
    <t>Lerma</t>
  </si>
  <si>
    <t>…rano estaba como desco­ dad en el palacio de España, como lo fue en el de Luis xi? Los periódicos ingleses del Í5 del corriente hacen los ma­ La mayor parte de los bajas, abusando de ios obs­ Y ¿quién le ha dicho que el duque de Lerma 110 fue mas yores elogios de la primera representación de esta bellísima nocida. guerras con la Francia y la Rusia suscita­ que un intrigante subalterno, ni un caballero indigno, ca­ composición del gran maestro pesares, que se dio en el teatro ron a Selim, lashabían táculos que logrado, u…</t>
  </si>
  <si>
    <t>LES, ICIA</t>
  </si>
  <si>
    <t>ICIA LES</t>
  </si>
  <si>
    <t>…León Rostan, catedrático de clínica &amp; c., &amp; c., tradu­ media de la noche la cátedra de filosofía desempeñada por el cida al castellano. Esta obra constará de tres tomos en 4-° di­ profesor D. Cayetano Cortés. PROVIDENCIAS JU D ICIA LES. vididos en 12 cuadernos á 10 rs. cada uno por suscripción. Tribunal supremo de Justicia. Los señores suscriptores acudirán á recoger el 1.° y 2.° cua­ derno y adelantar el importe del 3.° que se publicará inme­ Por el presente, y en virtud de providencia del tribunal diatamente en la li…</t>
  </si>
  <si>
    <t>…D . Iñig o López de M e n d o z a , J u a n G inés de S e p ú lv e - tipo de aquellos ha debido á ía fuga su s alv ac ió n .É s de espe­ rar qtté el celo de dicho Sr. comandanté general co ntrib u irá PRO VID EN CIA SJU D ICIA LES. d a , Francisco de S a lin a s, F r. Benito G erónim o F e i j o o , D o n 1 l^ejorar Cn ° posible Ja situación de los pueblos de esta C E rita pijama y emplaza á los parieqtesabi atéstalo de Doña .Alonso Perez de G u z m á n , R o d rig o D ia z de V iv a r (el Cid). 14 » D . A lva…</t>
  </si>
  <si>
    <t>Lesaca, Manuel</t>
  </si>
  <si>
    <t>Manuel Lesaca</t>
  </si>
  <si>
    <t>…supremo de Guerra y Mari­ gimiento provincial de Sevilla, acantonadas en el pueblo de mal calificados por los que aquellas corporaciones nom­ na, y conformándose con su dictamen en acordada de 31 Alcocer , al mando del capitán D. Manuel Lesaca , sorprendie­ braron para su reconocimiento. de Octubre último, se ha servido resolver que los faculta­ ron á los enemigos que se hallaban en el pueblo de Beteta ; y á Resulta también de los mismos antecedentes y mas tivos responsables que declararon útiles para el servicio pesar de l…</t>
  </si>
  <si>
    <t>Lesea, José</t>
  </si>
  <si>
    <t>José Lesea</t>
  </si>
  <si>
    <t>…de *25 años, acerca del publicado de esta provincia, se c ita , llama y emplaza á D. Ramón de se dara con el billete de cada localidad de una sola persona en el Ferrol con el título de "Manifiesto que en defensa de su Prados y D. José Lesea, para que en el térm ino de nueve dias otro que contendrá un número de opcion al sorteo, el cual legal y justo proceder en la causa formada á D. José del Cas­ se presenten en la escribanía principal de Amortización , calle conservarán los concurrentes al entregar el billete de entrada. ti…</t>
  </si>
  <si>
    <t>…ustres; traducidos de Lóndres, á 90 dias, 38 á C oruña, 2 á 2 i d. Asimismo se c ita , llama y emplaza á D. Ramón de Prado la lengua griega , é ilustrados con algunas notas por D. José París, 16-5 á 6. G ran ad a, 2£ a £ id. y D. José Lesea, para que en el término de nueve dias, que por Ortis y San*. Dos tomos en 4 .0, edición de 1792, á 32 reales M álag a, 1¿ id. segundo se les señala, comparezcan en la escribanía principal de en pasta común. Santander , i b. Amortización, calle del Lobo, núm. 8 , piso segundo, á prestar…</t>
  </si>
  <si>
    <t>Lesmes</t>
  </si>
  <si>
    <t>…xportaciones é importaciones, de los bancos, P on teved ra 13 d e Abril. sorprenderle; y auxiliado al efecto con 18 caballos del Rey á asociaciones y empleo de los fondos; y en fin , de los diferen­ las órdenes del teniente D. Lesmes P erez, penetró en la pobla­ tes sistemas de economía política á que se atribuyen los pro­ El Excmo. Sr. capitán general de este ejército y reino con ció n , logrando dar muerte al citado Pescante, cuyo servicio gresos de las uaciones mas opulentas. fecha 4 del actual me dice lo que sigu e…</t>
  </si>
  <si>
    <t>Leuchtemberg</t>
  </si>
  <si>
    <t>…a : ¿ h a y ahora esta necesidad por la Consti­ cusión detenida , acalorada , y si se quiere acalorada con ju sti­ tución de 1837 ? ¿Tieoen las Cortes un tribunal particular pa­ El C orreo f r a n c é s pretende que el duque de Leuchtemberg cia , porque yo seria el primero que desearía que lo fuesen to ­ ra juzgar á sus in d iv id u o s? Si no le h a y , si los Diputados en acaba de ser autorizado por el Rey de Baviera para q u itar el das aquellas en que se mezclasen las prerogativas de los D i ­ la actualidad están suj…</t>
  </si>
  <si>
    <t>…e del Sr. Arrazola se vípmbrp de 1859 ^-Mi/?uel de V icto rica. juzgar por lo que contienen estas cartas, que proceden de per­ añade después de ella « Min istro de la J u s t i c i a d Los Mi­ sonas de la comitiva del duque de Leuchtemberg se continúan nistros de España no firman asi, ni han firmado janias. haciendo en Rusia armamentos extraordinarios. (Debats.) Los Ministros de Francia sí. En Francia se dice P r e s i d e n - te del Consejo y M ini str o de N e g o c i o s ex tr an ger os. En D E L L E N G U A G E POET…</t>
  </si>
  <si>
    <t>…ducido este al año, podrán tomar sobre ellas otra parte ¿qué tenia de particular que yo diese la preferencia mayor cantidad puesto que será menor la que se deduzca de su NOTICIAS EXTRANGERAS. al duque de Nemours sobre el duque de Leuchtemberg? Esto era tasación ó valor efectivo. muy natural, puesto que la Francia habia declarado que no re­ 5.° Asimismo ha acordado se inserte en este anuncio el si­ BELGICA. conocería al duque de Leuchtemberg : no reconociéndole no nos guiente estado comparativo de cuatro meses de empeño en e…</t>
  </si>
  <si>
    <t>Leum</t>
  </si>
  <si>
    <t>…que el coronel Anipudia con 800 hombres y cuatro piezas Y . E. muchos años* Córdoba 25 de Ju n io de i859.~E xee!er.tí- estaba á su frente: todo juuto y cada objeto por sí solo exci­ marchaba á Monte-Morelos para conceder al Sr. Leum? la ren­ sirno Sr.izJosé Melchor P rat.—Excmo. Sr. Secretario del Des­ taba conmoción, sensaciones profundas y satisfacciones in ex ­ dición qoe habia pedido, y someterse á la obediencia del su*- pacho de la Gobernación de la Península. preroo Gobierno. plicables. Adórnase el prelado con las…</t>
  </si>
  <si>
    <t>Levis</t>
  </si>
  <si>
    <t>…el papel que se ha y autoridades á quienes competa declararlos tales. prestado á representar aprovechándose del pasaporte del Go­ S. M. se ha enterado de ello con la reflexión mas de­ SUIZA. bierno francés concedido al duque de Levis , y figurando como tenida, para que ni los derechos legales de los interesa­ una de las personas de su comitiva. dos se perjudiquen, ni se menoscaben los del ejército, cu­ Lucerna 24 de Noviembre , Parece (á lo menos tal es la voz que han hecho correr los se­ ya instrucción y disciplina fuer…</t>
  </si>
  <si>
    <t>Lewenhielm</t>
  </si>
  <si>
    <t>…embarcar y dar la guarnición á la plaza de Mootevideo. No es reino. dado colocar en su preciosa v illa (quinta) de los siete jardines en posible pronosticar cuál será el partido que saldrá triunfante. Ha llegado aqui el conde de Lewenhielm , nuestro embaja­ escalón un busto de P agan ini de mármol. En Buenos-Aires se preparaba una expedición á las órde­ dor en Paris. Algunos periódicos aseguran que el coode desem­ nes de Aribe para hacer frente á la expedición del general L a - peñará en la próxima Dieta las funciones de m…</t>
  </si>
  <si>
    <t>Ley, Antonio</t>
  </si>
  <si>
    <t>Antonio Ley</t>
  </si>
  <si>
    <t>…ndando al comisario por analogía , y después las reproduce bajo formas Imas sa­ general que escribiese en el libro "Carlos de G an te , soldado en bias, pero solo accesibles á las que poseen aquella preciosa la compañía del Sr. Antonio Ley va. ** Quien tuvo su nombré B IO G RA F IA . registrado de esta suerte no necesitaba títulos para ser después clave de los conocimientos matemáticos. Nosotros no pode­ distinguido. Este recluta dió mas honor á su capitán que los mos negar nuestro elogio á este doble trabajo. Bueno es…</t>
  </si>
  <si>
    <t>León</t>
  </si>
  <si>
    <t>…ombre en cubierta tropas insurgentes. cerrada y demas estilo académico, y quedando excluidos dé do sobre el principio fundamental de una traosacion entre la Puerta otomana y Mchem et-Ah, y que este último ha acepta­ El obispo de León parte mañana para Mont-de-Marsan. entrar en el concurso los socios numerarios, pero no los de las (Memorial des Pirennées.) demas clases. Barcelona 2 i de Agosto de l8 5 9 —Ignacio Amet- do la intervención , ¿ hay derecho á esperar que no tardará en 11e r , vicepresideüte.züoaquin G il, secret…</t>
  </si>
  <si>
    <t>…stra n egativ a, era menester gislativo tenga facultades para adoptar ó desechar sémejántí tener en cuenta la situación de los asuntos materiales del pais, proyecto, y sobre este punto me reservo todos mis derechos. El obispo de León. ^ . ,r, Fr. Ignapio Lárraga. y que llevando hasta muy lejos la¿ pretensiones de resistencia, Hé a q u i, señores, de donde nacen mis dudas. Por un de­ Lamas Pardo. D. Juan Echavarría. Se agravarían los males interiores y se destruirian los recursos creto del poder constituyente, y este decre…</t>
  </si>
  <si>
    <t>…M ADOZ pidió la palabra en contra. Los Sres. A r- tos acontecimientos que á todos nos llenan de un júbilo inex­ haya tenido noticia deesa circular del Sr. Diputado de cuya mendariz y Arteta en pro. plicable: la carta del general León al general Elío (murmullos ); El Sr. A RM EN D A R IZ: Pido que se lea el art. 9.° del re­ he dicho general Elío; tal vez lo sea; ¡ojalá lo sea! admisión estamos tratando? Meta cada uno de los Sres. D ipu­ glamento. tados la mano en su pecho; consúltense á sí mismos, y digan si Dice el gener…</t>
  </si>
  <si>
    <t>…o una proclama muy fuerte contra M arcto, y exhortando á sus gor inaudito, como lo prueban no tanto los documentos del las circunstancias son las mismas. fieles súbditos, á sus valientes soldados á defender á Dios y al general León, como los del invicto conde de Luchana. Se ve La diputación de Navarra, á la cual se presentaron , no las pues que habían empeorado las circunstancias, y este es un actas, sino los apoderados, los delegados con las actas, solici­ ReyElcontra 5.° y todos. 12.° batallones navarros ocupan desde…</t>
  </si>
  <si>
    <t>…CETA. La facción Forcadell el 2 estaba en Algimia , y las de Rufo y grabados originales. y Vizcarro robando en la carretera de Valencia. Biografía española: D . Alvaro de Bazan, primer marques Pamplona 27 de Febrero, El general León, virey encargos, de Santa Cruz.^El baile de las serpientes¿=EI zápatéror de v ie - ha llegado la tarde de hoy á Olcoz, y su división á ese pueblo, Logroño 67de M arzo. A las cuatro de la tarde han salido jq.:=:(postumbres: Tiempo perdido , ó las visitas de cumplimien- y los de Muru y Tiebas. &gt;…</t>
  </si>
  <si>
    <t>…s que el general rebelde ha hecho marchar para acudir á la T OS que se crean con derecho á los bienes relictos por óbito aquellas tribus, al paso que las celebradas misiones de ribera á consecuencia de las operaciones del general León, y rubiasabintestato , vecina de de Paula Asenjo, natural que fue de Peñas- Móstoles, y conjunta persona de Francisco los jesuítas están cada dia en mayor decadencia desde la hasta de la línea de San Sebastian. expulsión de sus fundadores. El Sr. conde de Luchana con el cuartel general ocupa…</t>
  </si>
  <si>
    <t>…í el 7/con la 3.a división y la brigada de la Guardia 2.° .Q ue el subdelegado .de Cartagena ha pod ido legal­ leales , si bien menos Sensible qué el primero, a^aso de mas Real provincial para reunirse con las tropas del general León, mente tomar, cin cu en ta la conducta ;del cabo V id a l, ya importancia: tal es el pago perentorio de las contribuciones or­ persuadido de que los enemigos, que se presentaron en disposi- por ser un mero incidente de la causa p rin cip a l, ya por dinarias para atender á los gastos generale…</t>
  </si>
  <si>
    <t>…sterra­ Y LA . . los romanos. Nosotros preguntaremos ahora, ¿p o r qué en dos por el Pretendiente en número de 30 poco mas ó menos, la descripción de la pasión amorosa tomaron un giro tan entre los que fue reconocido el obispo de León: iban también diferente del que siguieron Safo, Anacreonte, O vidio, Tí- con ellos algunas señoras, y posteriormente se ha sabido que bulo y Horacio? ¿Dirán que por imitar á los italianos y llegaron á Francia el dia 4* provenzales? No: sino porque pugnaban los cantos de los Según noticias Maro…</t>
  </si>
  <si>
    <t>…RCIO. Expulsión de considerable número de individúes del Real patria. BOLSA D E M A D R ID . cuerpo de Guardias de la Real Persona. as siendo un obstáculo á este proyecto la falta de trapos, Comunicaciones notables del obispo de León al subdelegado por ser el ramo de ropas en el que hay mayor escasez en este Cotización del dia 16 d las tres de la tarde. principal, comandante general de la^ armas de aquella ciudad,, piadoso establecimiento; me es forzoso scudir á los amantes de y al capitán general de Castilla la Vieja. la h…</t>
  </si>
  <si>
    <t>…udad de Osten en el JHannóver, agua, y fueron envueltos y asesinados en el acto por unos fac­ ORIENTE. han llevado queja á la chancillería contra la ilegalidad de la ciosos que eitaban emboscados. En el momento salió el general León con una mitad de caballería , los alcanzó al entrar en la percepción de los impuestos no concedidos por los Estados. sierra , les mató I 4 y cogió seis caballos. Se asegura que el objeto del viaje del Príncipe persa en Egipto es enteramente político, y que su peregrinación á la Los pasados l…</t>
  </si>
  <si>
    <t>…re­ ve caería el Pretendiente, con el resto de las fuerzas que todavía le seguían , en poder del ejército de m i m a n d o , ó buscaría asilo en el vecino reino de rra o c ia . Desde Oseo* participé á V . E. que unido al general León penetraría en tres columnas por el valle de Ulzama pa.a seguir al Bastan j y ayer desde Sa ateste - ban di conocimiento i V. E. que el Pretendiente había salido de Elizondo en dirección de este punto de Urda*. , , v _ , Decidido á llevar á cabo la importante operación que indique a V. h.. des­…</t>
  </si>
  <si>
    <t>…divertido sainete. se les admita al de la universidad de M a d rid , en virtud de los magosa , conde de España , Caloraarde &amp;c. derechos que tienen adquiridos en aquella; y enterada S. M ., Comunicaciones notables del obispo de León á varias a u ­ como igualmente de lo informado por esa dirección general so­ toridades superiores del reino en aquella época. CRUZ. A las siete y media de la noche. Se volverá á po­ bre el p a r tic u la r , se ha servido dictar las disposiciones si­ Desarme parcial de voluntarios realistas e…</t>
  </si>
  <si>
    <t>…e no conseguiremos tan im ­ ría fiscal del juzgado de S a ld a ñ a , en la provincia de Palencia, de ab o gad o, sólo en esta pequeña é insignificante suma sale portante resultado extendiendo falsas id eas contra los ecuato­ á D. León M ig u e l Bardon , que es el tíuico que la ha preten­ gravado el hombre injusto con gran detrimento del justo y rianos naturalizados, y perpetuando vulgares preocupaciones dido y ademas reúne las condiciones requeridas. recto. contra los extrangeros. A los encargados de los altos poderes Tamb…</t>
  </si>
  <si>
    <t>…u noticia este an un cio , se constituyan en bien hasta la fecha nuevos datos no han venido á confirmar la la escribanía principal de A m ortización, calle del Lobo, nú^ certeza de todo el anterior relato. Dícese que el obispo de León mero 8 , piso 2.°, á prestar cierta declaración, bien entendido</t>
  </si>
  <si>
    <t>…E. muchos años. Real de D uran go 1.° de J u ­ cunspección que hace conocer con disgusto. nio de l8 5 9 .n P a u liu o Ramírez de la Piscina.—Sr. D. José A l ­ varez de Toledo. Con su tercera del 28 me remitió otra del obispo de León, en la que le mandaba un sello que no débia y a tenerlo: esta en­ TEATROS. Número 6.° trega dió motivo á lamentarse de aquel prelado y de otros , lo P RIN CIPE. H oy miércoles no h a y funcíoh. que podrá servirle á Y . de gobierno, como de que siempre D urango 1.° de Ju n io de i 859.=:Excm…</t>
  </si>
  <si>
    <t>…Graelis , dirigidos con eficacia á fomentar los de filosofía? Por fortuna el joven Madrazo la com prende progresos de las ciencias naturales en España. (G. iV.) mejor que el articulista a quien contesto, y pór lo misino obispo de León.</t>
  </si>
  <si>
    <t>…recib ir á SS. MM. los Ministros y la d ip u ta ­ trina cristiana , gramática castellana, ortografía y principios ción de las Cortes, compuesta d e.ig u alL n ú m ero de S e n a ­ El Gobierno francés lia dado orden al obispo de León p ara dores y D ip u ta d o s, preced ida de cuatro maceros de las de geometría , geografía astronómica, física y política, historia rados* 1Uler“e : ,S “ al ¿rd e“ s e b a d ir ig i'lo á los demás d ester- sagrada y de España, se ha hecho acreedor al premio de prime­ mismas* ~ ra clase, que…</t>
  </si>
  <si>
    <t>…isió n ; y después de tres mas verbales instrucciones , para obrar unidos oportunamente; cerraban las calles: lo áspero del terreno por este lado no me dias de penosas fatig as, consiguió el 22 ocupar todas las for­ y el general León para hostilizar al mismo tiempo el pais ene­ permitió sacar de este hecho todo el fruto que rne prometía, tificaciones enem igas, batiendo á 10 batallones que las defen­ migo. D ignos son todos del mayor elogio por la exactitud, v a ­ pues indudablem ente me habría apoderado por él de alguna…</t>
  </si>
  <si>
    <t>León, Diego</t>
  </si>
  <si>
    <t>Diego León</t>
  </si>
  <si>
    <t>…Real decreto nombrando duque de la Victoria al capitán ge­ neral D. B.ildomero Espartero. (Ndm. 1666.) MODERNO ESPAÑOL. ciones de la edad llamada media , descrito y presentado de tan - n o m b ra n do conde de Belascoain á D. Diego León. (Id.) UNA NOCHE DE M ASCARAS, diversas maneras por infinidad de escritores de todos los pai­ Circular del ministerio de la Gobernación para que los fondos ses, y en que todos dejan un vacío y una oscuridad que será propios de la Milicia nacional se inviertan exclusivamente drama origina…</t>
  </si>
  <si>
    <t>…ncia abrazaron el pri­ mer partido todos los individuos de tropa, siguiendo á Francia por los Alduides los gefes y oficiales, 7 ademas con sus armas 7 monturas como unos 100 caballos del escuadrón de Manolin. 6 El general D. Diego León , conde de Belascoain , marchó el 1 sobre la Borda de Iñigo con orden de apoderarse de aquel fuerte, que a7er 17 halló abandonado con tres piezas de artillería, montajes, considerable numero de balerío, muchas municio­ nes, víveres 7 otros pertrechos. Todo será conducido á Pamplona, ma…</t>
  </si>
  <si>
    <t>…nto constitucional de Guadalajara, y monturas corno unos 100 caballos del escuadrón de Manolin. mo á la augusta Hija del Rey su hermano ; y aunque el cau­ órgano fiel de su vecindario, con el mayor júbilo recurre A El general D. Diego León, conde de Belascoain , marchó el dillo feroz, á quien sus crueldades en estas provincias han dado L. R. P. de V. M. felicitándola por los extraordinarios como 16 sobre ta Borda de Iñigo con orden de apoderarse de aquel una funesta celebridad, redobla sus esfuerzos para prolongar gloriosos…</t>
  </si>
  <si>
    <t>León, Rafael</t>
  </si>
  <si>
    <t>Rafael León</t>
  </si>
  <si>
    <t>…y pensando solo en ocupar los puestos desde donde el enemi­ Tercer escuadrón de campaña de G. R.=El coronel capitán tad. Valeucia 51 de Marzo de i859.=Pedro Chacón, go los insultaba, siendo digna igualmente de recuerdo la mi­ D. Rafael León N avarrete, contuso, y su caballo muerto. tad de zapadores, mandada por su capitán D . Juan Campuza- El teniente D. José Curtoy, su caballo herido. n o ,q u e con su actividad é instrucción facilitó cuanto le fue El alterez D. Federico B eruug, contuso. posible la marcha de la artille…</t>
  </si>
  <si>
    <t>LIA, JU</t>
  </si>
  <si>
    <t>JU LIA</t>
  </si>
  <si>
    <t>…mente el día 6 del so , titulado dicho impreso, y en su consecuencia mandaba que quedando próximo mes de Junio á las doce de su mañana , en la posada sin efecto la caución que prestó en 22 de Abril último de estar del EL CONDE D. JU LIA N . á las resultas del juicio, no le pare perjuicio ni menoscabo en meroSr.7 auditor de guerra, que la tiene calle de Relatores, nú­ , cuarto 2.° su buen nombre y reputación; y que con el competente oficio Lo que se anuncia al público para su inteligencia, como los particulares Esta producci…</t>
  </si>
  <si>
    <t>Lia, Ortigosa.</t>
  </si>
  <si>
    <t>Ortigosa. Lia</t>
  </si>
  <si>
    <t>…re- decir que hasta albora no se habían cometido excesos por choj del cabildo de Sevilla para hacer comparecer ante sí al señor Jas corporaciones populares, y que en. nuestras, actuales B O L E T IN DE C O M E R C IO . obispo Ortigosa. Lia ruó sobre lodo esto la atención del Gobierno', porque circunstancias podría''llegar la ocasión de que se salvase la 'Conducía, i un cisma que veía asom ar, y i una alarma en t ra o qu i1idad p u b 1ica con e na ex posición de *un ■a y un La- B O LSA D E M A D R ID , lai corte de Rom…</t>
  </si>
  <si>
    <t>Lichtenstein</t>
  </si>
  <si>
    <t>…delante recibirá de P aris, Londres, Berlín y Viena modelos federal de M agun cia. uias pronto, el tratado que hubieraa hecho ó debido hacer aban­ diseños, fragmentos ó descripciones de todos los nuevos in v e n ­ El general de Lichtenstein, que ha acompañado al arch id u ­ donados á sí mismos. El baja teuía de su parte una larga po­ tos dignos de atención que se hagan en m áq u in as, instrumen­ que Alberto á S. Petersburgo, ha recibido del emperador de sesión y la victoria , todo lo que trasforena el hecho en derecho;…</t>
  </si>
  <si>
    <t>Lidon, Juan José</t>
  </si>
  <si>
    <t>Juan José Lidon</t>
  </si>
  <si>
    <t>…zares por los y xvii. paises extrangeros. Pero no se espere ver en ella una polémica ría González de Castro, se cita, llama y emplaza por tercera y animada ni una apasionada censura; un juicio iuiparcial y con­ última vez á D. Juan José Lidon, para que en el término de Una crónica. cienzudo de los hechos acompañará su relato , y el rezúmen 15 dias, contados desde la publicación de este anuncio en la Covachuelas; Se suscribe en M adrid en la librería de C uesta, frente á las exacto que de ellos presentemos dejará abierto…</t>
  </si>
  <si>
    <t>Liedó, Joaquín</t>
  </si>
  <si>
    <t>Joaquín Liedó</t>
  </si>
  <si>
    <t>…. Como p rin ­ tores antiguos en las relaciones del Alcázar nada dicen de tal \ D. Lorenzo Uzelay. cipal elemento de esta , piensa aquel poner en escena gran nú­ baños que no debían pasar eo silencio, si no por el mérito ( i D. Joaquín Liedó. mero de novedades,y ajustar otra primera dama ademas de la ellos, que es n u lo , al menos por la persona de quien toman I D. Antonio Cobas, que tiene. nombre. Lo único que dicen dichos autores, que se conserví i D. C;h los EspuntOüi. Un dia de estos se va á estrenar en este teatro…</t>
  </si>
  <si>
    <t>Lieopart, Macía</t>
  </si>
  <si>
    <t>Macía Lieopart</t>
  </si>
  <si>
    <t>…o han hablado varios señores , entre ellos el Sr. González nes , nunca permitiré ciartfls expresiones que lastimen las ins­ contribución , pedimos el presupuesto 9 indagamos las causas y ítci amigo y compañero de comisión el Sr. Macía Lieopart. tituciones de ua pais que han hecho su felicidad, y que aun­ por qué se pide y sabemos en qué se va á emplear: alli no h a­ Yo no hubiera hablado sobre las causas que han movido á que se reformen las respetaré siempre. bia nada de esto : véase la diferencia de unas instituciones á…</t>
  </si>
  <si>
    <t>Lieven</t>
  </si>
  <si>
    <t>…dirigirse por sí á la corona, sostiene sin em­ un av iso , excusándose á causa de una ligera indisposición. bargo que en las actuales circun stan cias, un mensaje de esta Los príncipes Dolgoruky y B a ria tim k y , el barón de Lieven, naturaleza ha de poner necesariamente trabas á las negociacio­ nes y retardar la conclusión de ellas. Que si se quiere de ello el consejero SonkofL ky, el general K av elin e , el conde Tolstoy, GRAN BRETAÑA. una prueba, no hay mas que examinar el origen de la proposi­ Mr. de Aldesberg,…</t>
  </si>
  <si>
    <t>Lillo, Ambrosio Tomas</t>
  </si>
  <si>
    <t>Ambrosio Tomas Lillo</t>
  </si>
  <si>
    <t>…a por las pasio­ Guadalajara proponiendo se aprueben y se admitan como D i­ Este óideu se funda en la misma naturaleza del asunto. nes que encienden, ejercen una especie de poder tribunicio, y putados por la misma los Sre's. D. Ambrosio Tomas Lillo , Don Las producciones del entendimiento no caen bajo la jurisdic­ son el arsenal donde los partidos van á buscar las armas con Lucas García y D. Joaquín Verdugo. ción de la ley sino desde el instante en que se imprimen y pu­ que se combaten eotre sí ó atacan al Gobierno. Estos…</t>
  </si>
  <si>
    <t>Lim</t>
  </si>
  <si>
    <t>…ión ciesen en ellos; y S. M., conforme con lo propuesto por da por la persona pública autorizada al efecto.acostumbra­ tote mayoría número (99 miembros de 102) han desechado por una fuer­ la mocion de Mr. Pollenus, Diputado del Lim bur- la junta general de inspectores, cuyo dictámen tuvo á Y 3.° Que por los intendentes militares de los distri­ g o , que tendia á hacer disolver la Cámara actual, y remitir bien oir, se ha servido resolver: y por los ministros de Hacienda militar de Búrgos, los proyectos de ley y los tratad…</t>
  </si>
  <si>
    <t>…Rey por la nota de 15 de tiempo por las fuerzas federales. Se dice que el Rey abdicará tal. ( M orn in g-C h ro n icle.) su título de gran duque en su segundo hijo el príncipe Fede­ Octubre de 1831. rico , que será gran duque de Lim burgo y de Luxetnburgo, Habiéndose enterado el Rey de las combinaciones que esta con cuyo título formará parte de la gran fam ilia alemana por comunicación acaba de presentarle para llegar á una solución sí y sus sucesores, renunciando á todos los derechos que por Se lee en l'U nited s e r v…</t>
  </si>
  <si>
    <t>Lin</t>
  </si>
  <si>
    <t>…]^ Molina.^:José l Nepomuceuo T r i p i a n a , secretario. y los chinos. El comercio continuaba paralizado. Se habia pu­ M olioa. = J u a n Antonio Hern^ndíz.==Ef secretario, Fernando c blicado un edicto especial del gobernador Lin con fecha del 2 5 N avajas. x • de J u n i o , en el cual S. E. mandaba que todos los buques mer­ i Señora : El ayuntam iento constitucional de la villa de L u - cantes, antes de entrar eo los mares interiores, fuesen recono­ J c a r , provincia de A lm ería, faltaría á uno de sus mas sagrad…</t>
  </si>
  <si>
    <t>Lindo, Manuel</t>
  </si>
  <si>
    <t>Manuel Lindo</t>
  </si>
  <si>
    <t>…antes, D. Ma­ be r: Que finalizando en fio de Junio de este año la actual ó nuel Segura, D. Francisco Bargas Perez, D. Benito Lagarza, contrata con D. Pedro Martínez Crespo, por la cual se halla á D. Manuel Bartolomé M iranda, D. Manuel Lindo, D. Pedro su cargo la subsistencia, asistencia y curación de los enfermos LOS ASESINOS D E FL O R E N C IA . Martínez Crespo, D. Pedro O rd u ñ a, D. Pedro Yarte. Y para del ejército que ocurren en el hospital militar de esta plaza, su publicación en la Gaceta de M adrid, según previene…</t>
  </si>
  <si>
    <t>Linimento, Basilio Basili.</t>
  </si>
  <si>
    <t>Basilio Basili. Linimento</t>
  </si>
  <si>
    <t>…recibido los géneros si­ ficaron en algunos ratos de holganza, ágenos de toda pretensión, D A V E N D E R E , música expresamente escrita por el maestro guientes: y persuadidos quizá que sus producciones serian tan perecede­ D. Basilio Basili. Linimento para curar la sarna solo con untarse la palma ras y transitorias como la ocasión que las produjo. De aqui el de la mano, cada bote á 10 rs. abandono y descuido que en aigunas se advierte, bien que des­ Tafetán cefálico para quitar el dolor de cabeza por fuerte cubran sie…</t>
  </si>
  <si>
    <t>LIO, BIB</t>
  </si>
  <si>
    <t>BIB LIO</t>
  </si>
  <si>
    <t>…cree, de concurrir pasando por ella á la reconcen­ có á los sugetos siguientes: D. Ramón G alindez, D. Juan de tración de fuerzas, de que parece se ocupan actualmente los Aroste^ui , D. Alfonso R u iz, D. Tomas María Z anon , Don BIB LIO G R A FIA . enemigos hacia el extremo izquierdo de la línea de nuestro ejér­ Luis Martínez Leganés, D. Miguel Serralde, D. Lorenzo Me­ cito del N orte, alguna gente castellana en fuerza de dos ó tres lero, D. Lorenzo Sancho y D. José Golovardas, quienes decla­ E L ca B UEN T O N O . Periódic…</t>
  </si>
  <si>
    <t>Lisboa</t>
  </si>
  <si>
    <t>…confianza y benevolencia de S. M ., y que el descuido ó mal servicio de alguno de ellos se­ Londres 50 de Noviembre. rá irremisiblemente castigado con todo el rigor de las leyes. Lo que se participa al administrador general de Lisboa para su NOTICIAS EXTRANGERAS. Según decía á ustedes en mi carta del 21, el consejo pri­ inteligencia y ejecución en la parte que le toca. Palacio de las vado se reunió el sábado último para recibir una comunicación Necesidades 27 de Noviembre de 1859.—Rodrigo da Fonseca de )a Reina relativ…</t>
  </si>
  <si>
    <t>Lista</t>
  </si>
  <si>
    <t>…sca ; la catedral de Toledo.—Costumbres de rer en toda su extensión las regiones en J o n d e n in g u n a in te­ cuadrón franco de C astil’a que fueron hechos prisioneros por A ndalucía ; la serenata.zzCrónica.zrDiscurso del Sr. Lista sobre ligencia ha penetrado aun. Ellos deslumbran al m u n d o con uua la facción del cabecilla Rey, llegaron el mismo dia en libertad el romanticismo.zzCaja de ahorros. luz repentina , semejante á esos meteoros de fuego que apare­ á G u a r d o ; pero sin caballos ni a r m a s , y muchos sin…</t>
  </si>
  <si>
    <t>…ece que estas reglas, sin desviarnos de los modelos L A REDOMA ENCANTADA. Londres, á 9 0 d ia s , 58f. C o r u ñ a , l £ á £ d. P a rís , 1 6 - 6 . G r a n a d a , id. id. Su autor D. J u a n Eugenio Hartzembusch. ( i ) El Sr. Lista admite el acentuado en cuarta y décima M á l a g a , id, id. cuando quiera imitarse con él algún sonido ó movimiento, c o - S a n ta n d er , par. A lic an te, £ á £ b. S a n t ia g o , 2 d. C RU Z. A las siete de la noche. Se volverá á poner en e s ­ mo sucede en este de Hernández de Velasco…</t>
  </si>
  <si>
    <t>…. Con el último número de cada mes se dará á los suscripto- nera , y demás dotes de otro ninguno de nuestros ingenios. res una producción dramática , nueva, en tres ó mas actos, im­ Sucédenos con los artículos literarios del Sr. Lista, á los Sebre Londres, de 10 á 11 por 100 premio. presa con esmero, sin aumento en el precio de suscripción. que vivimos en este rudo afan de la polémica diaria constitucio­ Id. Paris, 5, 4 descuento. Este será, para el total de la publicación que comprende nal, lo que al viajante del desierto…</t>
  </si>
  <si>
    <t>Liverpool</t>
  </si>
  <si>
    <t>…ería retirado, En 1824 se celebró una junta en Londres presidida por el vamente el agua y el aire que se hallan en el condensador. caballero de la Real y militar orden de S. Fernando , condeco­ primer ministro de Estado conde de Liverpool, y asistida por rado con varias cruces de distinción por acciones de guerra , y los primeros personajes del reino, ea la que se resolvió unáni­ Máquina d e v a p o r d e doble e f e c t o . Las máquinas de alcalde primero constitucional de esta M. H. V. &amp;c. memente hacer una estátua de r…</t>
  </si>
  <si>
    <t>…tio; de Spencer; ahora ya nadie cree esto. Se asegura sin embargo L a Gaceta de este dia contiene la Real proclama siguiente: SS. A A . Ios pasaron rev ista, quedando encantados de su apos­ que la Reina ha consultado al conde de Liverpool acerca de la Ernesto Augusto por la gracia de D ios, Rey de Hannóver. tura é inteligencia. Después de haber descansado algún tiempo marcha que debe seguir en las actuales circunstancias. Habiendo resuelto convocar para el 28 del corriente á la en la sala de los oficiales, y de haber mani…</t>
  </si>
  <si>
    <t>Lizarzaburu, Ramón</t>
  </si>
  <si>
    <t>Ramón Lizarzaburu</t>
  </si>
  <si>
    <t>…la provincia de Madrid , vacante por prornoeion de 1 69578-28 D. Antonio Valenzuela García , ha tenido á bien nombrar S. M, dante capaz de reemplazar al respectivo profesor en sus Cádiz, i . . . . . . . . 17 609951 990276 á D. Ramón Lizarzaburu, que reúne los requisitos prevenidos ausencias y enfermedades. Habrá un conserge conservador Córdoba. .-. . . . 52 401085 902900 en la circular de 29 de Diciembre últim o; y para el de Almen- del edificio y de todos los objetos del conservatorio, que Coruña................... 6 2…</t>
  </si>
  <si>
    <t>Liébana, Isidro Alaix.</t>
  </si>
  <si>
    <t>Isidro Alaix. Liébana</t>
  </si>
  <si>
    <t>…la mas alta importancia en razón de la inmensidad de EXPOSICION A s. M. LA REINA GOBERNADORA. Está rubricado de la Real m ano.=E n Palacio á 5 dé Mar­ la madera de construcción que contienen los montes de zo de 1 8 3 9 .= A D. Isidro Alaix. Liébana, de que hasta ahora no se ha sacado provecho al­ guno y pueden producir una inmensa riqueza conducién­ SEÑORA: dola, á la costa. Dice asimismo que su continuación á lo MINISTERIO DE LA GOBERNACION DE LA PENINSULA. interior hasta Patencia , atravesando los llanos de Campos,…</t>
  </si>
  <si>
    <t>Llamas</t>
  </si>
  <si>
    <t>…tos que goza­ Quedó sobre la mesa el dictámen de la coinision de Actas, arreglo del servicio de bagajes, que se anunció que se tomaria ban de iguales garantías y se exponían á los mismos peligros? proponiendo la admisión del Sr. Llamas, Diputado por la Co- en la consideración debida, y pasaría á las secciones. De ninguna manera. ¿Los Milicianos que salieron heridos en ruña. Continuó la discusión. el Trocadero y en el día del Carmen han de ser pospuestos á El Sr. PR E SID E N T E! Orden del dia. Abrese la discusión El Sr.…</t>
  </si>
  <si>
    <t>Llanos, Blas</t>
  </si>
  <si>
    <t>Blas Llanos</t>
  </si>
  <si>
    <t>…s ver­ tornosrugía , y especialmente sobre los males, perjuicios y tras­ CR.UZ. Hoy no hay función. dad que han íundado el museo de Florencia, pero nada en l8^7que ha cansado y causa la segunda que se sancionó , escritas por D. Blas Llanos, individuo del colegio de mas U han hecho. Juan de Médicis fue un hábil comer­ médicos de ciante: Cosme, un ciudadano audaz y cruel que proscri­ gía , de la deNladrid , socio de la academia de medicina y ciru­ ciencias naturales &amp;c. &amp;c.</t>
  </si>
  <si>
    <t>Llauder, Manuel</t>
  </si>
  <si>
    <t>Manuel Llauder</t>
  </si>
  <si>
    <t>…el distrito de Granada al te­ El cabecilla Chambonet tiene la comisión de desterrar á to­ das las familias que hubiesen tenido la nota de liberales; asi es I Lo que se anuncia al públieo para su conocimiento. niente geoeral D. Manuel Llauder. (Id.) _ nombrando capitán general del distrito de Castilla la que han entrado en Castellón mas de 5 0 , procedentes de Alco- Nueva al mariscal de campo D. Alejandro Gouzalez Villalo­ ra y otros puotos, á quienes intimada la orden, solo se les ha dado lugar de una hora para tomar…</t>
  </si>
  <si>
    <t>…mericanos echarán Teniendo en consideración el mérito distinguido y do. Dios guarde á V. S. muchos años. Madrid 19 de No­ mano de ellos en adelante para colocar sus capitales con prefe­ constante lealtad del teniente general D. Manuel Llauder, viembre de 1839.=Calderon Collantes.=Sr. gefe políti­ rencia á las acciones del banco, que han llegado á ser unos va­ marques del Valle de Rivas, como Reina Regente y Go­ co de~..« lores demasiado aventurados. bernadora del reino durante la menor edad de mi excel­ La opinión genera…</t>
  </si>
  <si>
    <t>Lleopart</t>
  </si>
  <si>
    <t>…rido privaciones y fatigas, y ha garantía alguna á los de aquel pais. do el Sr. D. Mariano Valero y Arteta como Senador. El voto derramado generosamente su sangre. Veamos para decidir esta cuestión nuestros principios de del Sr. Lleopart se reduce á que antes de decidir sobre la vali­ Es preciso también reconocer esto, y aun cuando se quiera dez ó nulidad, se pidan originales de los expedientes del acta atribuir algo á los individuos que obedecían al general Maroto, derecho público. Indefinible es el gobierno de las provi…</t>
  </si>
  <si>
    <t>…ir de este apuro? Decir terminados casos. Aunque no tuve el gusto de oir bien el dis­ garse las Potencias á favorecer sus pretendidps derechos á la co­ vivan los fueros y viva la Constitución ; pero no creo que asi curso del Sr. Lleopart, entre los argumentos que hizo me diri­ rona de España. Se verificará la marcha á fines de mes. {Id.) ] se salven las-grandes dificultades. gió uno que no he podido menos de extrañar. Dijo S. S. que - ■ - • ■ - \ . Muchos son :!ós argumentos que contra mí se ha ú hecho; qué iberia de nues…</t>
  </si>
  <si>
    <t>Lleoport, Macía</t>
  </si>
  <si>
    <t>Macía Lleoport</t>
  </si>
  <si>
    <t>…ndo de otras confirmaciones y de los juramentos que absoluto. no era asi, si hubiese tenido á la mano el proemio ó discurso hacia» nuestros Reyes á las libertades de aquel pais, dijo S. 8 . Rectificados algunos hechos por el Sr. Macía Lleoport, fue preliminar de la Constitución de 1812, que no traje de mi ca­ en 1815 en el proyecto. aprobado el artículo 1 .° sa, porque creí que le tendría la que existe en el Senado, y en El orador leyó varios párrafos del mismo, acompañándolos Leído el 2.°, dijo él se hubiera visto y se…</t>
  </si>
  <si>
    <t>Llobet</t>
  </si>
  <si>
    <t>…ontenido del preseute escrito y de los re­ cie de ornatos de cordonería ; que se pongan de manifiesto tod a cia de su p a d r e , matando con la espada ó de uu pistoletazo al ferentes á las cuencas del P alancia, acompañó ei Sr. Llobet una clase de estofas de la n a , desde el burao b ayeto u, hasta el patu*</t>
  </si>
  <si>
    <t>Llopis, Ramón</t>
  </si>
  <si>
    <t>Ramón Llopis</t>
  </si>
  <si>
    <t>…como también otras per­ salió el pequeño Napoleón encerraron en el fuerte, y acto continuo llería del Rey D. Lesmes Perez al frente de 21 caballos de su so n a ste distinción, se habian trasladado á toda prisa al colegio villa D. Ramón Llopis, comandante , que asi se llama el alcalde de dicha cuerpo, y 9 y 28 infantes de la partida volante, con objeto Dirigida por un alumno de laclase de retórica la música cibirles, y unos y otros se hicieron varias de aquella M ilicia, á re­ de sorprender una avanzada facciosa de caballerí…</t>
  </si>
  <si>
    <t>Llopis, Vicente</t>
  </si>
  <si>
    <t>Vicente Llopis</t>
  </si>
  <si>
    <t>…que de Orleans se ha visto en la necesi­ de de Roto va, D. Franco de Sena Chocometi; D. Pedro M o­ M arina una interpelación acerca de la inversión de ciertos fon­ dad de que inmediatamente se abandonen muchos pequeños rales, D. Vicente Llopis, canónigo de e¿ta metropolitana , con­ dos de su ramo. r territorios en que los dos tercios de nuestros soldados se halla­ des de Parcent, de Casal y de Castellá, Isidro Comes , barón dt El Sr. S E R R A N O anuncia otra al Sr. Ministro de la G uer­ ban enfermos, y donde carecían la…</t>
  </si>
  <si>
    <t>Llopiz, Antonio</t>
  </si>
  <si>
    <t>Antonio Llopiz</t>
  </si>
  <si>
    <t>…m undo vuelve á d o rm ir, y vuelve a d e sp e rta re n quizar. ..........*. ...................... 8.. 4 Es lo mas raro que se ha visto el que la caballería dispu­ su prisión con la cadena al pie y el carcelero al lado. Id. D. Antonio Llopiz, cura párroco de Piñal de tase á nuestros'cazadores la toma de las posiciones mas encum­ Aqui empieza una nueva existencia, la existencia del hom ­ Rio........................ 8.. 4 bradas, Sobre todo los tiradores del 6.° ligero á las órdenes de bre m o ral, ilustrado por el escarm…</t>
  </si>
  <si>
    <t>Llorca, Antonio</t>
  </si>
  <si>
    <t>Antonio Llorca</t>
  </si>
  <si>
    <t>…de Yebra , en 17. Totales...................... 584,585.. 2 .. 29j 6 ,8 0 3 .. 5 .. 1 5 ■5,654-. 4. .“Ü j 1,249.. 6. ." II. 6,642. . 2 .. 1 1 ,604,953.. 5 .. 29 Otra id-, pecho de Lastras, término de Berja, Malicia 2.a, por D. Antonio Llorca , en 18. Otra id. , loma de la Higuera, término del L aujar, el Ro­ sario, por D. José Arévalo, en 18. DERECHOS DE EXPORTACION. Otra id., sierra Alamilla,cuesta de las Tejas, término de V ia- tor, la Blanca, para llamarla la Paz, por Amaro de Rei ¿a, Derecho Real. Depósito. Arbit…</t>
  </si>
  <si>
    <t>Llover, D. José</t>
  </si>
  <si>
    <t>D. José Llover</t>
  </si>
  <si>
    <t>…-zDárblay 28L- 1 -'ri v 'i' í-: ' '' Que en el juzgado segundo de primera instancia de ella, que Re­ Lord Morpelh presenta un bill que tiene por pbjetqpbtener la ; Oposicioo.—Déciinoüuartó C ó j é g i d ‘ • «f. - 1 5 genta el Sr. D. José Llover, alcalde primero constitucional de aprobación de la Cámara para el establecimiento de caminos de Ministerio = &gt;&gt;i • ^ r ^ la misma, y por mi escribanía, se sigue un expediente de de­ hierro eri Irlanda. JA Inglaterra y la Bélgica ofrecen el ejem­ ’ Oposicipn 7278»: . • i ^7 s.»?'?.*'■…</t>
  </si>
  <si>
    <t>Llórente</t>
  </si>
  <si>
    <t>…se el inmediato dia el Sr. Bieton en su comedia uo reciben escarmiento ni son se­ de la Colon Leplus, que desempeña el papel de Almerinda en á Oquillas. riamente escarnecidos. Dibujados todos con medias tintas, ni Paris. La Sra. Llórente se ha mostrado como siempre actriz ex- El citado dia 8 salió la guarnición de Reinosa para Ruigas, interesan ni conmueven; ademas, la im aginación, el entendi­ celente y consumada. Algunos años mas y algunos dientes de donde se dice aprehendió 20 facciosos capitaneados por el cabe­ miento h…</t>
  </si>
  <si>
    <t>Llórente, Gerónima</t>
  </si>
  <si>
    <t>Gerónima Llórente</t>
  </si>
  <si>
    <t>…ID 22 D E A B R IL . D. Carlos Latorre se halla ausente, pero se cree que á su los magistrados que han de resolverlo! (Diario de Sevilla,) vuelta entrará en la asociación. Por despacho telegráfico expedido de Paris el 16 á Doña Gerónima Llórente, actriz jubilada que tanto apre­ las cinco y media de la tarde se ha comunicado á los de­ cia el público en atención á que no puede ser reemplazada, pa­ Id em 15. partamentos haber sido nombrado Mr. Passy Presidente rece que se ha ofrecido á trabajar diariamente sin contratarse.…</t>
  </si>
  <si>
    <t>Llórente, José Portilla y D. Alejandro</t>
  </si>
  <si>
    <t>José Portilla y D. Alejandro Llórente</t>
  </si>
  <si>
    <t>…e la monarquía nada sabemos que U na série de artículos de Jurisprudencia ad m in istrativa, n os, va á dar el primer paso en una senda útilísim a para los h a y a ocurrido digno de apuntarse en nue.tra R evista ; no asi por D. José Portilla y D. Alejandro Llórente. intereses de Metz. en el extraogero, donde si fuéramos á dar cuenta de todo lo Retratos de contemporáneos: lord B ro ugh am , M r. Thiers, notable acaecido , prolongáramos esta reseña hasta lo infinito. T o r e n o , Metternich &amp;c. , por D. N. O. Se lee en el…</t>
  </si>
  <si>
    <t>LO, AN DO</t>
  </si>
  <si>
    <t>AN DO LO</t>
  </si>
  <si>
    <t>…j y 21 quin­ 20 u n sol casi ver­ ce .dieziseisavos á v. f. ó yol. cón cupones: 21 un dieziseisavo, proteje al suelo contra los rayos abrasadores &amp;, 2 1 20 , , £ y ^0 quince dieziseisavos á v¿ f . ó vol. á p rim a JU A N D AN DO LO . tical , y rara vez con interposición de nubesr Un palm ar en los arenales de la M a u r ita n ia y a u n debA ra-ú d e f y L por 100 con!cupones. ; hia defiende tan to el suelo que llega á Cubrirse de ores ; y los \ ^ inscripciones en é l g r a n libro á p^é4 j . ^00 00 ^ D ra m a nuev…</t>
  </si>
  <si>
    <t>Lo, Carlos.</t>
  </si>
  <si>
    <t>Carlos. Lo</t>
  </si>
  <si>
    <t>…grado — Resoluciones. duradera. La población en general, la mayor parte de los ge- Hija del Em ir . fes y casi todos los oficiales están por Maroto y en contra de Los datos que el consejo ha recibido de diferentes partes del D. Carlos. Lo mismo, con leves excepciones, sucede con los sol­ El mariscal Clausel ha llegado estos últimos dias á Tolosa, pais, le han demostrado que el pueblo no estaba preparado á dados. y ha vuelto á partir inmediatamente para su dominio de Se- comenzar el mes sagrado desde el 12 de Agosto. Por…</t>
  </si>
  <si>
    <t>Lo, D. José Segundo Ruiz.</t>
  </si>
  <si>
    <t>D. José Segundo Ruiz. Lo</t>
  </si>
  <si>
    <t>…s, celebrará en esta corte sus juntas generales clamaciones. anterior á las noticias de los periódicos ingleses, expone asi la del presente año, que darán principio el dia 25 Je A bril, y se­ situación: rán presididas por el Sr. D. José Segundo Ruiz. Lo que se hace Los armamentos extraordinarios ordenados por la Puerta saber á los ganaderos de sierras y tierras llanas para su con­ Otomana se explican en él dia muy naturalmente. El general en currencia á dichas juntas, en las que serán admitidos teniendo Se lee en el M or…</t>
  </si>
  <si>
    <t>Lo-, D. Antonio</t>
  </si>
  <si>
    <t>D. Antonio Lo-</t>
  </si>
  <si>
    <t>…guo español y tea­ están en prensa las primeras piezas. ñani. su derecho en los autos de segunda suplicación, que se siguen 222. Una bandejita con un mazo de cigarros y una bolsita, por la escribanía de Cámara al cargo del Sr. D. Antonio Lo- á la Sra. Doña María Manuela Aguijar. paz Salazar , introducida por José Juncosa y Elias, vecino de 761. Un almohadón con un león bordado, á la Sra. Doña Barcelona, con varios acreedores sobre graduación y preferencia EL BUEN T O N O , María Fernandez. de los bienes concursados de…</t>
  </si>
  <si>
    <t>Lo-, Juan</t>
  </si>
  <si>
    <t>Juan Lo-</t>
  </si>
  <si>
    <t>…tación provincial de Badajoz, consul­ (Constilutionnel.) nanda, continúan en esta corte sin novedad en su im­ tando si han de libertarse o no del servicio Fernando Hur­ portante salud. tado , sustituto por cambio de número con D. Juan Lo- renzana en la última quinta, y los demas que siéndolo del U n periódico anuncia que el mariscal Vfclée ha sido exo­ mismo modo hayan como él aprehendido prófugos cuya ce). nerado de sus funciones, y reemplazado por el general T r e ­ admisión soliciten para que sirvan las plazas que ello…</t>
  </si>
  <si>
    <t>Lobato, José</t>
  </si>
  <si>
    <t>José Lobato</t>
  </si>
  <si>
    <t>…us partes, ninguna de nuestras epopeyas trabucazo disparado á quema ropa el valiente y desgraciado guaje poético, ni poesía castellana. Garcilaso es tan pro­ es digna de pasar á la posteridad. No se nos diga pues que ayudante D. José Lobato. fundamente tierno, tan altamente original en el canto de en poesía hay bastante con el libro de la naturaleza. La Milicia nacional salió á recorrer el término de la ex­ Nemoroso, porque en el de Salicio imitó con tanta perfec­ La acusación de haber hecho uso de la nomenclatura presada…</t>
  </si>
  <si>
    <t>…lotaje de invierno) parte haya habido otra pérdida que la sensible de haber sido pór entero. Si aqui no se les pudiese dar tampoco ningún prác­ sin que haya diferencia por motivo de la carga el pilotaje que muerto el teniente D. José Lobato. tico, tiene el buque que navegar hácia Cuxhaven con la ban­ abajo se fija desde la estación en que tomen el práctico ó que dera izada de prácticos, y acercarse en cuanto le sea dable al hubieran podido tomarle. S oria 16 d e M arzo. Según carta que acabo de recibir, ha puerto, en don…</t>
  </si>
  <si>
    <t>Logroño, Isabel la Católica.</t>
  </si>
  <si>
    <t>Isabel la Católica. Logroño</t>
  </si>
  <si>
    <t>…n que se tnira el estudio lengua latina; pero muy pocos son los que fijan la vista ja de Enrique i v , sobrenombrada vulgarmente la Beitraiieja.z: las trooas y caballos que operan en Aragón , N avarra , Alava, en el punto Doña Isabel la Católica. Logroño, Santander y Burgos desde 1.° de Julio próximo ve­ pleado comunmente principal de su decadencia, que es el tiempo em­ 2.° Napoleón.ziCárlos iv de España. nidero , bajo las bases y condiciones que están de manifiesto en en esta enseñanza. 5 ° Fernando v n mChamorro.rrEI…</t>
  </si>
  <si>
    <t>Loizaga, Casimiro</t>
  </si>
  <si>
    <t>Casimiro Loizaga</t>
  </si>
  <si>
    <t>…, á no ser que quieran perfeccionarlos en la instrucción pri­ C astro, sujeto á reelección. camino angosto, dificil, dominados sus flancos por posiciones maria , á la que admitirán en todo tiempo alumnos pensionis­ Vizcaya. z¡:D. Casimiro Loizaga , nombrado por muerte de terribles, y que ofrece en su curso un vado en el pueblo de las tas. Logroño 12 de Noviembre de 1839.:rEl director, Víctor D. Pedro Allende Salazar. Chimeneas, otro en Suria y el pueate de M alagariga, que pre­ Lana* Zaragoza. = D. Agustín Nogueras, nombrado…</t>
  </si>
  <si>
    <t>Lom</t>
  </si>
  <si>
    <t>…lencia de los espectadores. Injustos fuéramos si « Digna por lo tanto del aprecio de los hombres de letras, y de defectos capitales en el p la n , en la dirección de la fa­ censurásemos la acción y falta de desembarazo de la Sra. Lom­ merecedora de protección y acogida será la empresa , que atro­ t u l a y en el estila bía; pues nos consta que pisaba por primera vez las tablas, y pellando obstáculos, hace este obsequio á su patria, y á las exi­ 3.° Acaso n in g u n a nación posea una historia mas épi­ es natural, y la honra…</t>
  </si>
  <si>
    <t>…n Diputado ha sido arrestado, y pasa 10 ú l i meses en teatro de la C ruz, trabajarían juntas las dos primas-donnas: El Sr. C O R T IN A : Dos equivocaciones ha padecido mi hoy , mejor informados, debemos manifestar que la Sra. Lom - su arresto: ¿qué jurisprudencia nos rige hoy? ¿Q ué D ip u ta­ amigo el Sr. Ayala sin duda por no haberme oido bien. do podrá dormir tranquilo, cuando ve que se detiene á un ciu­ bía se ha encargado de la parte que la Sra. Campos habia de Es la primera haber dicho que la comisión propone que…</t>
  </si>
  <si>
    <t>Lomana, Ramón García</t>
  </si>
  <si>
    <t>Ramón García Lomana</t>
  </si>
  <si>
    <t>…erales y comandantes gene­ provincia de Guadalajara, vacante por fallecimiento de Don biere impuesto, ó no debiere imponerse roas pena que la rales de las provincias, departamentos y apostaderos, y los Hermenegildo Jiménez, á D. Ramón García Lomana, que des­ de dos años de prisión, confinamiento, destierro ó presi­ generales en gefe de ejército y fuerzas navales, destinarán empeña el de Valencia de D. Juan, considerándosele como dio, y también los que estuvieren encausados por cuales­ desde luego á los sargentos, cabos y…</t>
  </si>
  <si>
    <t>Lombía</t>
  </si>
  <si>
    <t>…ra la una en punto. la misma sinceridad la reconvenimos por no proteger á bara Lamadrid; sin embargo, su hermána Teodoritar ha es­ los autores españoles, por no contribuir á que nuestro tado llena de gracia y naturalidad; el Sr. Lombía ha te­ teatro nacional se constituya sobre bases sólidas y firmes. nido momentos felices; Salvoisy loco nos ha parecido mu­ El público dará siempre la preferencia á una obra origi­ cho mejor que Salvoisy enamorado; y el Sr. Campos habido nal, siquiera uo pase de mediana, sobre otra traduci…</t>
  </si>
  <si>
    <t>…. tra h ab la, y lo que de corrupción ha ganado. ¡Qué mucho que de buenos actores cómicos tenemos, rogaría yo por el interés tan poéticos y sublimes fueran León , Garfcilaso y Herrera , si del arte , que cultivase siempre el Sr. Lombía sus relevantes ¿Os acordáis, lectores irnos, de cuando erais niños y débiles, era de suyo tan sublime y tan poética aun la lengua con que se disposiciones para aquel género, comprendiendo que es error de cuando eo las largas noches del invierno sentados al modesto revelaban sus inspiraciones…</t>
  </si>
  <si>
    <t>…ópera pida testimooio de la causa, y eso no es exacto. La comisian opi­ tad de los ciudadanos? Yo creo que para juzgarlos se debia na que se diga al Gobierno dé sus órdenes para que á pesares superior á las facultades de la Sra. Lombía, y que el no primero seguir un curso práctico de calabozos. (El Sr. Calde­ ejecutarlo quien debia puede comprometer el éxito de la del arresto se traslade el referido á la corte, sin perjuicio de rón Collantes pidió la palabra.) Para que el Sr. Calderón Co- función. que remitido testimonio…</t>
  </si>
  <si>
    <t>…os bajos ó bastardos; el La ejecución por parte, de los actores ha sido descuida­ rico y en su prá ct ic a cual la he visto eo la admirab le y célebrs contraste de la elevación y grandeza de alma, con la ruin­ da y floja: el Sr. Lombía, abordando el drama, está tan prisión de C h e r r y - H i l l ; pero las modificaciones que V. le hace dad ó el vano orgullo. fuera de su círculo como el Sr. Bretón al escribirla Do­ s u f r i r , destruyen todos mis te m o re s , y creo que con eílas ei Si esta no ha sido la idea del auto…</t>
  </si>
  <si>
    <t>Lon-, Gabriel</t>
  </si>
  <si>
    <t>Gabriel Lon-</t>
  </si>
  <si>
    <t>…ente de esta Granada, D. Antonio Vallejo: M álaga, D . Luis Carreras y Acciones del banco español de S. Fernando, 00. obra ha merecido ser escrito como los de C uvier, Lesson , V i- Ramón: Murcia, D. José Benedicto: O vied o, D. Gabriel Lon- rey y otros muchos, entre los de los médicos y naturalistas mas goria: Salamanca, D. Vicente Blanco! Santander , D. Clemen­ CAMBIOS. famosos que admira la Francia; cuando todas las academias y te María Riesgo: Santiago, D. Juan Rey Romero Alcocer: Londres, á 90 dias, 3 8 f papel. Cor…</t>
  </si>
  <si>
    <t>Londres</t>
  </si>
  <si>
    <t>…ovecharse de módicas remuneraciones. edad , sufrió un exámen acerca de sus principios religiosos por e lla ! Sabrá que la seguridad de un m inisterio, y lo que es mas Notable es el atraso en que muchos se encuentran; el obispo de Londres, quien ha concebido la mas alta opinión importante todavía , la seguridad del trono y de la nación, de­ notable la desproporción en que se hallan los de unos es­ de su piedad y de sus conocimientos. penden del partido que tomarán de seguir con prudencia y ener­ tablecimientos literarios comp…</t>
  </si>
  <si>
    <t>Londres, Pascual Miera.</t>
  </si>
  <si>
    <t>Pascual Miera. Londres</t>
  </si>
  <si>
    <t>…eti la n atu rale z a que se am e con tanto Acost umbraba salir unas veces solo, otras con un oroenanza, y CAMBIOS. e x tr e m o el fruto de u n a m u g e r qu e ha dado l u g a r á tan generalmente acompañado de su paisano D. Pascual Miera. Londres, á 9 0 d ia s , 5 8 ¿ din. C o ru ñ a , i | ó 2 d. c r u e le s sospechas. - Citados para hacerlo antes de ayer á las cinco de la tarde, P ero lu q u e 110 p u e d e d is im u la r s e es q u e le a t r i b u y a P a r is , 1 6 - 6 . G ranada, l f á 2 id. con el oh¡ c. f.o…</t>
  </si>
  <si>
    <t>Longoria, G.</t>
  </si>
  <si>
    <t>G. Longoria</t>
  </si>
  <si>
    <t>…icitudes acom pañadas de un De la revisión de las leyes. Benedicto. M ataró , A badal. O rense, Gómez N avoá. O viedo, extracto de su carrera y méritos al presidente del ayuntam iento Erección de las sociedades de legislación. D. G. Longoria. O rihuela , v iu d a de Ibañez. O su n a , M ontero. en el término de un mes contado desde la publicación de e»te A rancel para la fijación de honorarios. O sm a, M ontero. P a lm a , G uasp. Pam plona , Longas. Puerto de •u unció. Contratos privados. Santa M aría , Nuñez. R e u s, v iu…</t>
  </si>
  <si>
    <t>Longoria, Gabriel</t>
  </si>
  <si>
    <t>Gabriel Longoria</t>
  </si>
  <si>
    <t>…n frecuencia desgra- Música puesta eu cifra para tocar la guitarra sin lección de mo en 4.0 Je 552 págiias; se vende ea Oviedo eu la librería de ciado, nos lo hace ver sio embargo siempre acreedor á la uias maestro, cada pieza D. Gabriel Longoria á 20 rs., y fuera de la provincia á 24 rs venturosa suerte. Se vende en Madrid en las librerías de Rodríguez, calle de Carretas, y de Sánchez en la de la Concepción Gerónima. Cáceres 10 de Setiembre . lía tenido efecto en esta c a p i­ B IB L IO G R A FIA . tal la celebridad del f…</t>
  </si>
  <si>
    <t>Longoria, Nicolás</t>
  </si>
  <si>
    <t>Nicolás Longoria</t>
  </si>
  <si>
    <t>…interesantes en las circunstan­ nada.nD. Cándido Paramio, Leon.=D. Manuel Carreras, M á­ el primero se hallaba en el fuerte de A rciniega, y los otros dos cias en que se halla la religión. Dos tomos en 4*° Se venden en laga.=D. Nicolás Longoria, O viedo.=D . Juan José Moran, Sala- en el del alto de Ulquiola, camino de Durango á Ochandiano; habiendo sido destinados igualmente al servicio activo V illa - la librería de So jo , ¿ 4 4 rs» en Pasta* manca.=Viuda de Compañel, Santiago.=Sres. Hidalgo y com­ real y Sitnon Torre, q…</t>
  </si>
  <si>
    <t>Lop</t>
  </si>
  <si>
    <t>…ción: Sres, M o n , M artínez jjc la R osa, Pelcgrin quedó S. S. fuera de servicio. efectos, y por ú lt im o , que Guisande ha sido capturado en ter­ (D. S.), Gómez A cebo, P e re z , Mata V ig i! £ F la q u e r, CarbooeU, El Sr. Lop^z Vázquez ocupaba una plaza de togado en U ritorio p o rtu g u és, y conducido al castillo de Vigo. Seijas, Q u ija n a , L eal, A zu ela, Reinoso\ S i l v e l a ? O nnaeche, audiencia de Cáceres en la época á que se refiere, Separado de A rm e r o . Iñig o, A rte ta , H idalgo Calvo¿-(¡ovantes…</t>
  </si>
  <si>
    <t>LOP</t>
  </si>
  <si>
    <t>…dicial. Sigue haciendo quedó aprobado. por causas que no son de este lugar exponer no vió la luz otras reflexiones acerca de este punto, y concluye manifestando pública y de una seria en dos actos, llamada Saladino é Clo­ El Sr. L O PE Z fD. Joaquín) obtuvo en seguida la palabra, ser evidente que el dictamen de la comisión, no solo por los tilde , una m ultitud de canciones, romances, himnos, arias, y después de recordar brevemente la resolución que habia recaí­ ejemplos, decretos y leyes en que se apoya, sino por circuns­…</t>
  </si>
  <si>
    <t>…ró des corno para sostener la tranquilidad pública... ban á alabar al que tenia entonces el poder. mas que tres; y en Albacete se sabe positivamente el resultado., El Sr. Ministro de la G U E R R A : He dicho que por parte El Sr. L O PE Z comenzó su discurso, manifestando que la pues se tiene á la vista. del Gobierno ninguna. comisión ha presentado el proyecto de contestación con toda la Asi pues, la comisión , siguiendo los principios estableci­ El Sr. Q U IN T O : Entonces estoy satisfecho. prudencia y circunspección que…</t>
  </si>
  <si>
    <t>…n ia línea-desde Cdanda á Camarillas, operación que fue eje­ caredo. Se procedió á la orden del dia. cutada á la vista de pequeñas fuerzas eueniigas, situadas en po­ Que la comisión ha visto que no aparecían reclamaciones El Sr. L O PE Z renunció la palabra en favor del Sr. Cortina siciones formidables. ningunas contra dichas actas, y por lo tanto no ha podido El Sr. C O R T IN A : El Congreso advertirá, señores, coa Que el conde de Bclascoain, adelantándose con un escuadrón menos de dar su dictamen aprobándolas, y concluy…</t>
  </si>
  <si>
    <t>…dadas se tos hay, hechos positivos, cuales son, la emigración de esos conflicto en que estamos. obró de una manera , en estas que son parecidas, ¿cómo puede generales , privándose d la patria de dos hijos predilectos, y El Sr. L O PE Z dijo que á nombre de la comisión repudia­ digo predilectos, porque han ornado sus cabezas con laureles ba completamente el discurso del Sr. Alvaro que pidiendo la pa­ obrarse de un modo diverso? Entonces no son los actos, algu­ na cosa se sobreentiende, porque si antes se han ejecutado ac…</t>
  </si>
  <si>
    <t>Lope</t>
  </si>
  <si>
    <t>pero me obligan á ello sus últimas expresiones, por cuanto al toy persuadido de que ett cuanto losepa no querrá ni un soio te el Sr. Lope2 Vázquez quedó cesante desde el momento que tratarse de la reelección del Sr. Castro, dice que habiéndosele dia dejar de ser Diputado español por ponerse una condeco­ fue nombrado el Sr. Baeza. nombrado decano del tribunal especial de las Ordenes , no ha ración. El Sr. AYALA Y MOR LA dice que á…</t>
  </si>
  <si>
    <t>…s, sus ingratos y amante E l mayor monstruo los celos , condenado á muerte por el ha descrito al hombre como le concibe la civilización cristiana sus malvados. L ope, aunque en menor escala, pintó también de su muger : dígalo D. Lope, de Almeyála , sepultan­ y monárquica: en lucha con sus pasiones, desplegando todaí las luchas de las pasiones con el deber, las circunstancias indi­ do en el fuego y en el agua la venganza que tomo de su adul­ sus congojas, todos sus placeres interiores, aplicando su inteli­ viduales de sus…</t>
  </si>
  <si>
    <t>Lopes</t>
  </si>
  <si>
    <t>…hablaré sobre una disposición vigente relativa á las cla­ mucho en realizarse el reconocimiento de Isabel n por las Poten­ cha que sigue. ses pasivas, para que no cobren mas sueldo que el que les cor­ cias del Norte. (Id.) El Sr. Lopes, con la maestría y elocuencia que le es pro­ responda por clasificación. P u e s, señores, el abuso que otras pia , acusó el primero al Gobierno de que no seguía las formas veces se ha demostrado a q u i , de que con el pretexto de comi­ p arlam entarias, y que si las hubieran respetado, no…</t>
  </si>
  <si>
    <t>…de la com isión: P R OVI DE N CI AS JUD IC IA L E S. El Sr. M inistro de G R A C IA Y JU S T IC IA : Puedo decir por lo demas no sé lo que quiso decir S. S . , ó mas bien lo com­ que yo no me he concretado á la persona del Sr. Lopes; dije prendo demasiado con que el M inistro de G racia y Ju stic ia era que habia habido personalidades en algunos otros discurso*; r \ O Y fe : Que en autos que en el juzgado segundo de prim e- el ad alid del m inisterio. pero no comprendí á S. S. ra instancia de esta ciudad se siguen para…</t>
  </si>
  <si>
    <t>Lopes, D. Antonio</t>
  </si>
  <si>
    <t>D. Antonio Lopes</t>
  </si>
  <si>
    <t>…en los autos de segunda suplicación que.se siguei; política en que nos hallam os; pero como y a se h a .in d ic a d o , se» esos héroes de fria inmoralidad en que abundan la dramática por la escribanía de cámara al cargo del Sr. D. Antonio Lopes hallan esparcidas en diferentes volúmenes y periódicos las leyes, inglesa y la francesa del siglo a c tu al; era un carácter verdade­ Salazar , introducido por José Juncosa y Elias, vecino de Bar­ que rigen en estas m aterias, y no es fácil recordar las altera­ celona, con varios…</t>
  </si>
  <si>
    <t>LOPEZ</t>
  </si>
  <si>
    <t>…también el Sr. López á la áudienciá de Albacete la ­ al Sr. Cortina á que cederían las suyas. presidios que están agobiando al Estado; la época produce ten­ mentándose de la penuria de sus magistrados. Si en eso se quie­ El Sr. LOPEZ hace varias aclaraciones , insistiendo en que dencias c rim in ale s, y estamos sosteniendo casi otro ejército de re inculpar y juzgar al Ministro de Gracia y j u s t i c i a , la a u ­ señalará al Sr. Ministro de Gracia y Justicia el nombramiento rem atados, encarcelados y encausados. dienc…</t>
  </si>
  <si>
    <t>…patrim onio, descono­ S. S. concluyó rogando ai Congreso tuviese á bien aprobar que se atuviesen al texto terminante de lá ley. cieron los derechos que este tiene en aquella provincia y se ne­ el dictámen de la comisión. El Sr. L O P E Z expuso que sio duda S. S. no se habia ha­ garon rotundamente á satisfacerlos* Primera razón que tuvo Los Sres. Benavides y Alonso rectifican varios hechos. llado presente á la discusión cuando desconocía la diferencia el Gobierno para dar la providencia interina puramente pose­ E ntró á…</t>
  </si>
  <si>
    <t>…b­ •se abono, y dije mas. {leyó otro trozo de su discurso.) Hay Congreso á que se prorogase la sesión. sanarse, pero por de pronto tenemos un perjuicio de que no se ina cosa mas clara: no se puede hacer el abono ¿por qué? El Sr. LOPEZ (D. Joaquín) dijo que vista la tardanza en ha hablado, y no es pequeño. jorque no ha llegado el tiempo, porque está por decretar la contestar á la interpelación que tenia anunciada, se veia en el Saben ademas los Sres. Diputados que para la admisión :ontribuciont porque está por decidir cómo…</t>
  </si>
  <si>
    <t>…con que los Sres. D °Q* audiencia por uo la d o , y por otro el de ser candidato. tre los partidarios del progreso l e g a l , sino entre los de las de­ tados pedían la p a la b ra , no podia re husársela, concediénd^V E l Sr. L O P E Z (D. Joaq uin) manifestó que desearía que más opiniones de Zamora ; mis principios están consignados en en seguida á a esta discusión se aplazase, avisando al Sr. M in istro de Gracia ella ; por consiguiente no creo que se trate de p riv a r á la pro­ E l Sr. L O P E Z (D. Jo a q u ín ): S…</t>
  </si>
  <si>
    <t>…e m om ento? De nin g u n a m a ­ tura del pueblo de M adrid. C on tinú e Y. S. , Sr. López. pero yo leo las palabras de los decretos y de las leyes, y no los nera. ¿ Y qué resolución vamos á tomar después de cuatro h o ­ El Sr. L O P E Z : Tenemos otro caso en la misma provincia, interpreto porque no debo interpretarlas; y no viendo en esa ras de discusión? Yo quiero que digan que cuando nos o cup a­ y por él podrá conocerse también que los jueces de primera in s ­ circular el rnenor resquicio de coacción , no podia en man…</t>
  </si>
  <si>
    <t>…tamen dice asi {lo leyó). nisterio : y una de dos,; ó no sabe S. S. de ningún modo que de la comisión. En cuanto á que no se haya comunicado la orden al tribu­ ha dejado de ser M inistró, ó sabe quelía sido nombrado deca­ El Sr. LOPEZ hace ver que el Sr. López Vázquez está n a l, y o contestaría á los señores de la comisión con la lectura no del Consejo de Ordenes; escojan este dilema los señores que comprendido en el caso del artículo 45 de la Constitución, por de las órdenes que rigen en la materia; pero por una coinciden…</t>
  </si>
  <si>
    <t>…oldados que combatieron contra esta, h an gritad o con e t - las costumbres. ssoladora ? A s i veo y o esa p roposición, y como Representante tu sia sm o : f^iva La R e i n a , v i v a La paz. Este h e c h o , tan glo ­ El Sr. L O P E Z ( D . J o a q u í n ) d ijo que á su parecer la c u e s­ de la nación la rechazo so lem nem en te, y d igo que la salud de rioso por nuestra p a r t e , ha sido como la sentencia de muerte tión no estaba en su l u g a r , y que la proposición del Sr. C a l a - la p a tr ia solo se compro…</t>
  </si>
  <si>
    <t>…is en otra parte. A llí no existe mas que in­ so si se pasará á otro asunto, y se resuelve afirmativamente. f. ó vol. á prima de -j-, i y § por 100 con cupones. m oralidad, no hay delincuente que no salga malvado: puntos, El Sr. LOPEZ: No habiéndome alcanzado la palabra, me Inscripciones en el gran libro a 4 por 1 0 0 , 00. en fin, que sirven solo para inundar la ciudad de M álaga de veo en el caso de d irig ir una interpelación al Gobierno. Bien Títulos al portador del 4 Por 1 0 0 , 00. la canalla de esa inmundicia legal…</t>
  </si>
  <si>
    <t>…ntes r e ­ mero nada excesivo cuando se considera que pueden v.otar cada bierno no q u iere d ar a rm a s á los partidos. co rd a rán m u y bien que el resultado fue un a votación n o m in a l, dia sobre 2 0 0 electores. El Sr. L O P E Z t A l oir la lectura del oficio del Sr. M i n i s ­ en la c ual quedó el d ictá m e n d e sap ro bad o , h abiendo s i d o , co­ S. S. c o n clu yó m anifestan d o que el Congreso con desechar tro de G r a c ia y J u s t ic i a he ju z g a d o indispensable tom ar la p a ­ mo no podia men…</t>
  </si>
  <si>
    <t>…as las sesiones se celebrasen ó horas diferentes de las que tiene el ¿d*pm*ui¿te que hasta ahora se ha presentado en España. Senado. Anoche se ejecutó en el lic e o , según habíamos anunciado, Se suspendió esta discusión. El Sr. L O P E Z , ea na extenso discurso, manifestó sus de­ la comedia nueva del Sr. M artínez 3e la Rosa. Su éxito ha Ei Sr. FRES! D E N T E señaló para la de mañana el dicta­ seos de que el Gobierno se hallase presente á la discusión de la sido brillante com o se debia suponer. Solo faltó para que la…</t>
  </si>
  <si>
    <t>…to á las secciones á que se reu­ de la Constitución y las leyes; que no se opone á que pase al toriza. niesen para nombrar las comisiones que han de dar su dicta­ Gobierno la solicitud como opina la comisión; pero quisiera El Sr. LOPEZ: Todos los d ias se traen aqui estas noticias, men sobre los proyectos de ley que acababan de leerse; señaló que reconociendo la misma la gravedad del asunto, lo hubiese se someten á nuestra exposición nuevos atentados, nuevas vio­ el orden del dia para el lunes próximo 21 , y levantó la sesió…</t>
  </si>
  <si>
    <t>…de una manera que jamas se En prueba de la coacción ejercida por la autoridad eclesiástica le pueda atribuir parcialidad ni arbitrariedad de ningun a clase leyó S. S. la pastoral del gobernador del arzobispado, deducien­ El Sr. L O P E Z [D , J o a q u ín ) manifestó que la diputacior do que no tuvo otro objeto que excluir do las urnas electora­ provincial faltó á la ley electoral en la primera operación , qu&lt; PROVIDENCIAS JUDICIALES. les á los que pertenecían al partido exaltado, pues que acom pa­ es la formación de las l…</t>
  </si>
  <si>
    <t>…os gefes políticos: que con caido en personas que hoy mismo son representantes muy d ig ■| Si no es para eso , no sé para lo que es. esto se sacrificaban las prerogativas del pueblo , tanto mas d i g ­ nos de la nación. | El Sr. L O P E Z : Debo decir al Sr. Secretario del Despicho nas de ser respetadas, cuanto mas apego las tenia por ser an ­ El Sr. conde de las Navas, lamentándose de la situación d 2 | de Gracia y Justicia que ha padecido una equivocación ; yo no tiguas. aquellos países, dijo que seguían allí las persec…</t>
  </si>
  <si>
    <t>…, y se dicte una medida para españoles, conforme á la Constitución de la Monarquía de 1837. de heitey. jue no se perturbe á los ay untamientos de las capitales en la Art. 2.° El Gobierno, tan pronto como la oportunidad lo El Sr. LOPEZ cree que se está en el caso de aplazar la cues­ itribucion de recaudar sus arbitrios. permita, y oyendo antes á las provincias Vascongadas y de tión para cuando se halle presente el Gobierno, pues se trata La comisión siente no poder entrar en el fondo de una cues- Navarra , propondrá á las Co…</t>
  </si>
  <si>
    <t>…isión. El encargo de esta fue que diese su dictámen so­ Pidió el Sr. Alvaro la palabra en pro. pensables para que esta se ponga en práctica. Y si no pudo dar bre varias hipótesis, me parece que estas fueron las expresiones El Sr. LOPEZ manifestó que habiendo pedido la palabra fuerza y vigor á estas leyes, algo menos podía restablecer otras de la Real orden; pero que ante todas cosas dijese si seria opor­ el Sr. Olózaga al mismo tiempo que é l, y no habiendo tenido mas esenciales y como el fundamento de aquella Constitución,…</t>
  </si>
  <si>
    <t>…los da de eso, y aqui como Diputado y en todo lugar sostendré giendo los negocios del Estado. oradores que han tomado parte en ella , y tales las razones que con todas mis fue'z as q u ed e ningún modo se deben pagar las El Sr. LOPEZ: Empezaré mi discurso por contestar al se­ han presentado , que nada que valga la pena podrá decirse en contribuciones hasta después de votadas por las Cortes. ñor Arteta. S. S. ha dicho que en otra ocasión era cuando se esta cuestión, y mucho menos por mí que carezco en sumo g r a ­ He hech…</t>
  </si>
  <si>
    <t>…ble. desde 1.° Enero 1825. que han tenido tendencia p erso n al, pues aunque algo de eso ha No quiero molestar mas al Congreso. h a b id o , lo dejo á la ju sticia de cada uno. Idem sin interés, 9| y i0 £ á v. f. ó vol. El Sr. L O P E Z : El Sr. M inistro ha supuesto que ha h a b i­ Acciones del banco español de San F ernando, 00. V o y á hacerme cargo de ciertas indicaciones en a lg u a mo­ do por m i parte personalidad. P ara que hubiera habido perso ­ do nuevas. El Sr. F eliu despucs del Sr. R o d a, como que quiso n…</t>
  </si>
  <si>
    <t>…stro á retirarse:” d ije momento quiere ampararse de ella. he equivocado ó no, el Congreso lo juzgará. "que cuando quiera que el Gobierno se retirase al hogar do­ Se hace también cargo por el restablecimiento del diezmo. El Sr. LOPEZ: El Sr. Ministro de Gracia y Justicia me méstico, llevaría al menos el consttelo de haber hecho por el Yo no creo que se haya restablecido una contribución extin­ ha hecho el honor de citar un discurso de los diversos que pro­ pais el bien posible.” guida , porque se ha llamado anticipo en c…</t>
  </si>
  <si>
    <t>LOPEZDEPEDRAJ</t>
  </si>
  <si>
    <t>…e se publicaba en esta corte con el nombre de Guirigay. para una reconciliciacion general; y poniendo coto al vértigo de pasiones desenfrenadas, hace cesar los torrentes de sangre es­ C O N G R E SO D E D IP U T A D O S . El Sr. L O P E Z D E P E D R A J A S : Que se lea esa expo­ pañola abundantemente derramada en los sei.» años de desastro­ sición. P RE SI D EN CI A DEL SEÑOR CALATRAVA. E! Sr. P R E S ID E N T E : Es obligación el leerla. sa lucha, economiza gastos inmensos, y fija en lia el principio de vida á la agricu…</t>
  </si>
  <si>
    <t>LOPEZVAZQCEZ</t>
  </si>
  <si>
    <t>…E : Puede V . S. m anifestar el objeto,; jp o n e n t b ^ contestará á to ^ é rgunientos cjue en cóntra s é h a h héL# de ella. ... , r... } ; .. ? , Iqlid por el &gt;Srj. 8 « « cho é y después someteré al juicio^del C^ir-x El Sr. L O P E Z V A Z Q C E Z : Xengo la satisfacción de lla­ Igreso-algunas consideraciones políticas que creo d é C L Sr. D. Benito Serrano y Aliaga , magistrado honorario y m ar la atención dél C ongreso, y creo que debo, hacerlo asi,; ¡ p u e d a n co n trib u ir al fallo d e o u e s t i Q B í quo»…</t>
  </si>
  <si>
    <t>LOPEZVAZQUEZ</t>
  </si>
  <si>
    <t>…Sotríérüelós, M qí- I|lá resól^^úbióni que sobre el casó proponemos los que hemós sus- ñoz M áld o p ad o , Fernandez A lejo , Saatillan, Láborda , Püche. jjcritb^^ voto^^ paríiculár. Esta es la mánera única de^jú«entar^ El Sr. L O P E Z V A Z Q U E Z r Pido la palabra -para hacér*: ¿con té f d a d la éúéstion qué tiene qué resolver erC óógrésq. íro-^ una interpelación al Gobierno.. &lt;&gt;. U &lt; » | cu raré edpla rfar ?lá'S ra zé hes^ i^n ^ue 11ós hé mos fu ndado los pf6-í ANUN CIO S OFICIALES, El Sr. P R E S I D E N T E : P…</t>
  </si>
  <si>
    <t>Loptz, Narciso</t>
  </si>
  <si>
    <t>Narciso Loptz</t>
  </si>
  <si>
    <t>…Hacienda participando y Badajoz , quedando por consiguiente admitidos como Sena­ tando que la idea de la comisión había sido abrazar los dos ex­ que se apresuraría el Gobierno á presentar al Congreso el con­ dores los Síes. D. Narciso Loptz, D. Juan Diaz Carreja y Don tremos; pero que sin embargo no tenia inconveniente en que venio celebrado con una casa de comercié tan luego como su Alvaro Gómez Becerra. en lugar de las palabras decrepitud senil se sustituyesen las de presentación dejase de parar perjuicio al Estado. El…</t>
  </si>
  <si>
    <t>Lorabia, Juan</t>
  </si>
  <si>
    <t>Juan Lorabia</t>
  </si>
  <si>
    <t>…as ruinas del antigüe ACTORES. drá otra vea á M adrid. Felipe 11 , para que el edificio no se descuidase, hacia nombra­ D. José García Luna.) Q¿reclores escena. mientos de arquitectos con sueldos correspondientes, que se lia D. Juan Lorabia. 5 BUENA—VISTA . inaban maestros mayores, y estos cuidaban de su conservacio D. Pedro López. y reparo : uno de ellos fue el arquitecto Ju a n de Mijares, y an D. Luis Fabiani. Hemos asistido á algunas funciones de este teatro, y he­ tes de este Gaspar de la Vega, sobrino de Luis. Lo…</t>
  </si>
  <si>
    <t>Lord, EHfot.</t>
  </si>
  <si>
    <t>EHfot. Lord</t>
  </si>
  <si>
    <t>…Gobierno relativas á las deferencias que se han ¿ En estos seis años se ha observado alguna vez? N o: luego real­ estado en práctica en todas las legislaturas. Los ministros han suscitado entre las autoridades chinas y ei capitán EHfot. Lord mente no está en práctica este artículo , aunque es un precepto tenido buen cuidado cte pedir una autorización especial para Palmerston ha declarado según se dice que en lo sucesivo las que tendrá su lugar. cobrar las contribuciones; y no mire S. S. con ese desprecio las relaciones entre…</t>
  </si>
  <si>
    <t>Loren, Román</t>
  </si>
  <si>
    <t>Román Loren</t>
  </si>
  <si>
    <t>…C á ­ ¡uzgado, y les parará el perjuicio que h ay a lugar. Dado en d i z , y a 8 para los de las provincias, adelantando el importe Inscripciones en el g ran libro á 5 por 100, 00. Madrid á 11 de M a y o de l859.r=Es copia.—D. Román Loren­ de uno. be suscribe en M adrid en la librería de Sánchez en Títulos al portador del 5 por 1 0 0 , 20| con cupones al con­ zo Calvo. C á d u en la de Feros, Barcelona en la de O liv a , Sevilla en la tado : 2 0 f , £ , 9 dieziseisavos, f , 7 dieziseisavos, y 20 1! de H id a lg o , Valen…</t>
  </si>
  <si>
    <t>Loren-</t>
  </si>
  <si>
    <t>…sé Vicente Durana: D . Antonio Ruiz Tagle: D. PJá- quisieran renovarlos, sobre el que la mesa era de parecer que po­ tillejo, Trigueros y Lete, sin haber atendido á lis numerosas 2o p. arcia : Jacinto Ibañez: D. Mariano Adán: D. Loren- dia el Senado mandar se lleve á efecto la suspensión de dichos reclamaciones que hubo por haberse disuelto el dia 17. ii p rra: Luis Igartuburu: D. Benito Picardo: D. Grego- proyectos de ley ó reglamento, conforme lo acordó en la legis­ Que no habiendo llegado á noticia de aquellos electores…</t>
  </si>
  <si>
    <t>Lorenzo</t>
  </si>
  <si>
    <t>…y Ju s tic ia para que se proceda A ntonio González , D. José Castejon , D. M iguel M arques y han de estar separados unos de otros, y no encajados unos en todas las provincias á la renovación y nombramiento de V ille g a s , D. Lorenzo M a r a c i, D. Andrés M a r t i, D . Ju a u G a- en otros, como sucede en casi todas las galerías de p in tu ­ los ind ivid uo s que han de componer las diputaciones pro­ r a y y C a sa !, D. Rafael C añavera! y D. Francisco Ja v ie r S á n ­ ras , excepto la del L o u v re , pues de otro…</t>
  </si>
  <si>
    <t>…y haberse metido en la urna en uno de los cinco dias una so como Diputado por la provincia de Zamora , mediante h a­ go después. papeleta con mas nombres de los que debía contener; pero a u n ­ ber optado por la de Valladolid D. Lorenzo A r r a s ó la , que fue Que no h a y necesidad n inguna de semejante p royecto, y que protestaron contra esta desaprobación cinco de los comisio­ nombrado por aquella. que no es ahora el tiempo oportuno de resolverse: ¿ y en qué nados, su protesta se fundó exclusivamente sobre no haberse J…</t>
  </si>
  <si>
    <t>…, nos decidie­ Echavarría, D. Ricardo López, D. Antonio González, D. J o ­ Martínez: un tomo en 8 .° rústica , á 2 rs. ron á ocuparnos de este trabajo que no nos toca calificar. Bas­ sé Casfejon, D. Miguel Márquez y Villegas, D. Lorenzo M a- ta el nombre del célebre filósofo Mr. Bouvier, de cuyas obras raci, D. Andrés M a rti, D. Ju a n Garay y Casal, D. Rafael Instrucción sobre el método de curar á los asfíticos por el hemos traducido y tomado una gran parte de la que tratamos de Cañaveral , D. Francisco Javier Sánchez,…</t>
  </si>
  <si>
    <t>…Colonia de José Cortés y Sánchez, D . Felipe O ch ayta y com pa ñ ía , D on En seguida se pondrá en escena la divertida comedia en Farnés, volviendo en seguida á sus guaridas* José Rivera y A n drade, D . V icente M a r te l, D. Lorenzo G a r - tres actos titulada rigós y Suarez, y D . Manuel M aría de la O rd e n , á fin de que Coruña 15 de Abril. Una gavilla rebelde no cesa desde 26 comparezcan en dicha escribanía principal á reconocer las fir­ T O D O Y N A D A , ó EL V E L E T A . de Marzo últim o de recorrer el terri…</t>
  </si>
  <si>
    <t>…. estará Isabel 11 destinada á vestirse de cilicio y á ir al V a t ic a ­ no, corno fue Enrique t v Se nos aterroriza de esta manera : ex­ traño es que en un Congreso tan respetable se h aya dicho que esta manera. El general Lorenzo perseguido, procesado, como tienen este Gobierno, contestar á lo que la corona tiene por con­ quiera que sea, fue sustituido por un amigo del general Tacón, veniente manifestar á la nación , y contestar bajo el mismo sis­ y después por un tal M iraso l, y ahora últimamente parece que tema…</t>
  </si>
  <si>
    <t>…es y demas á quienes correr- de gobierno planteado en Setiembre de 1839 por el ge­ Setiembre de 1836 hasta que terminó el sistema de gobier­ ponda neral D. Manuel Lorenzo, que por Real orden de 23 de no planteado por el general Lorenzo, asi como sus largos dad pornosu darán lugar á que se les exija la responsabili­ negligencia en la imposición y exacción de Julio del año próximo pasado se pasó al tribunal para que é injustos padecimientos y sus dilatados anteriores servi­ mullas, arrestos de trasgresores y entrega de ell…</t>
  </si>
  <si>
    <t>Lorenzo, Joaquín</t>
  </si>
  <si>
    <t>Joaquín Lorenzo</t>
  </si>
  <si>
    <t>…ca, y to clásico del Sr. conde de Floridablanca á D. Cárlos m , que un índice muy circunstanciado de materias. Dominicas, ferias y fiestas movibles del año cristiano de contiene lo acaecido durante su ministerio. España, por D. Joaquín Lorenzo V illauueva. Seis tomos e n 8.° Nota. Esta obra se escribió contando con que vería la luz Los Sres suscriptores á esta obra acudirán á recoger el tomo pública a principios de la presente legislatura. No ha podido « ¡a rq u illa , edición de 18 29 , á 72 rs. en rústica y 99 en pasta…</t>
  </si>
  <si>
    <t>Lorenzo, Manuel</t>
  </si>
  <si>
    <t>Manuel Lorenzo</t>
  </si>
  <si>
    <t>…D. José M aría Morote prestó desde el 29 de S. M. espera que los alcaldes y demas á quienes correr- de gobierno planteado en Setiembre de 1839 por el ge­ Setiembre de 1836 hasta que terminó el sistema de gobier­ ponda neral D. Manuel Lorenzo, que por Real orden de 23 de no planteado por el general Lorenzo, asi como sus largos dad pornosu darán lugar á que se les exija la responsabili­ negligencia en la imposición y exacción de Julio del año próximo pasado se pasó al tribunal para que é injustos padecimientos y sus dilat…</t>
  </si>
  <si>
    <t>Loriga, D. Joaquin Rey. Sr. D. Antonio</t>
  </si>
  <si>
    <t>D. Joaquin Rey. Sr. D. Antonio Loriga</t>
  </si>
  <si>
    <t>…nuel Feijóo y Rio. Vicepresidentes. Sr. D. Nicolás de la Riva. Sr. D. Tomas de Prada , electo. Sr. D. Manuel de la Rivaherrera. Sr. D. José Fermin Muro , Secretario 4»° Oviedo. Sr. duque de Gor. Sr. D. Ramón de la Sagra.¡ Sr. D. Joaquin Rey. Sr. D. Antonio Loriga. Sr. D. Pablo Mata Vigil. Sr. D. Agustín Armendariz. Sr. D. Jacobo Florez, electo. Sr. D. Alvaro Florez Estrada. Secretarios. Cuenca. Sr. conde de Toreno. Sr. D. J osé María Navia Osorio. Sr. D. Mariano Miguel de Reinoso. Sr. D. Andrés Martinez del Peral. Sr…</t>
  </si>
  <si>
    <t>Lornbía</t>
  </si>
  <si>
    <t>…ia territorial de S e v illa ; por el cual entre otras cosas se man­ acostumbra a b r i l l a r , ha tenido sin embargo momentos afor- da citar y emplazar á todos los que se crean con derecho al d o ­ ,^ ?r* Cün^l a l ¡o el Sr. Lornbía, colocado en. la 1íner minio útil de la expresada fin c a , para que se personen en d i ­ &lt;|iii minea deberia ¡ib;in(loii:!i-, lia estado f e l i z , caractcrizandc T7 N virtud de providencia del Sr. D. M iguel M aría D uran , chos autos par procurador, con poder bastante, en el término co…</t>
  </si>
  <si>
    <t>los de, Diego</t>
  </si>
  <si>
    <t>Diego los de</t>
  </si>
  <si>
    <t>…ESPACHO DE GRACIA Y JUSTICIA. rio , Bartolomé Navajas. mo de I 84 O. Los gastos del ejército deberán quedar reducidos á 6003 duros; los del ministerio de Hacienda á 744® duros, y El juez de primera instancia de Navahermosa , D. Diego los demas departamentos civiles á 4003 duros. Be)monte, ha dado conocimiento al Gobierno de la batida que Señora : El ayuntamiento constitucional de la villa de Igue- con varios nacionales, y entre ellos el promotor fiscal de aquel ruela , en la provincia de Albacete, se apresura á hacer mani­…</t>
  </si>
  <si>
    <t>los e, Alba. Encontrándose</t>
  </si>
  <si>
    <t>Alba. Encontrándose los e</t>
  </si>
  <si>
    <t>…mante de sus Reyes, Emperador, este marchó con un ejército para reducirle llevan­ minos tan libres, que ofendió á la Familia Real,, y por una or­ lleno de celo por la conservación de las instituciones n a­ do consigo al duque de Alba. Encontrándose los ejércitos ei: den soberana fue desterrado á su estado de Uceda. Cuatro años cionales, sensato y sinceramente religioso, ofrecia, puesto M uhlberg, el duque dirigió las operaciones con tanta habili­ después én manos de ministros instruidos y experimentados, me­ dad y valor p…</t>
  </si>
  <si>
    <t>los e, Fernel</t>
  </si>
  <si>
    <t>Fernel los e</t>
  </si>
  <si>
    <t>…rétárib*. po presenta á las especulaciones morales. En nombre de nues­ " Las sesiones dé compétén'cia cóntiiVúán celebrándose como parecer sorprender alguna de las partidas volantes de aquel tros conciudadanos tributamos al Sr. Fernel los elogios que siethpré Íósí jtieves de cada áemarta por la hbéhe , y éada vez distrito. ■■ - tan cumplidamente se merece; y creemos que puede estar bien adquieren mayor Ínteres y amenidad. Las dos exir&amp;ordiaariat El comandante m ilitar de L iria con fecha de hoy dice que seguro de que su…</t>
  </si>
  <si>
    <t>los e, Latorre</t>
  </si>
  <si>
    <t>Latorre los e</t>
  </si>
  <si>
    <t>…er una tesis de puras razones, que una de sentimientos. Esta ciones ?... fruto. excita los tumultuosos elogios de aquellos que desean aparecer Toda la Cámara se levanta por la afirm ativa. Abundando de estás ideas enumera el Sr. Latorre los estu­ como valientes y generosos, al paso que la otra es acogida ne­ M r, G endabieii : ¿Cuándo se reunirán las secciones? (Ma dios que deben foripar á un actor. **E1 conocimiento de la *his­ cesariamente con el sombrío silencio del p esar, cuando no tie­ nan a !... \mañaná\,„) to ria…</t>
  </si>
  <si>
    <t>los Evangelios, José Zorrilla.</t>
  </si>
  <si>
    <t>José Zorrilla. los Evangelios</t>
  </si>
  <si>
    <t>…os útiles. = Escuela de nobles artes de Sala­ 8............... de.. 600................. 48OO manca. Antes de concluir conviene observar que hablando de 16............... de.. 100................. 1600 Poesía.=A la luna. Por D. José Zorrilla. los Evangelios puede decirse indiferentemente: el Evan­ 70 de.. 40................. 2800 Estadística raoral.rrResúinen de las causas seguidas en to­ gelio según tal ó cual santo: porque la Iglesia solo admite 200............... de.. 24................ 48OO das los audiencias en 1838…</t>
  </si>
  <si>
    <t>los Príticipes, María. D. Florcntin Hernández. y</t>
  </si>
  <si>
    <t>María. D. Florcntin Hernández. y los Príticipes</t>
  </si>
  <si>
    <t>…iones; descripción que ajusta exacta­ APUNTADORES, Dáspues de l.i revista se celebró en la capilla de palacio n m m f a de Réquiem , á la que fue admitido el público. SS. MM. mente d lo que se nos muestra por tales baños de Doña María. D. Florcntin Hernández. y los Príticipes y Princesas de la familia Real que los habían Hemos examinado la expresada obra, y á su conclusión se halla D . José Nicolau. aeompañ »&lt;Jo, asistieron á esta clolorosa solemnidad. La mayor impracticable d causa de los escombros; pero la fábrica se cono…</t>
  </si>
  <si>
    <t>Los Sres, Arellano</t>
  </si>
  <si>
    <t>Arellano Los Sres</t>
  </si>
  <si>
    <t>…te no. H ay un artículo en la Constitución que dice, que habrá imparcialidad de que tiene dadas repetidas pruebas. ay untamientos nombrados por el pueblo. H ay otro que dice, asunto no dijo que se suspendiese la admisión de! Sr. Arellano Los Sres. P id a l, Guillen y Gras y Ramírez de Arellano h a ­ hasta la conclusión de la causa , sino hasta la conclusión del que la justicia se administra en nombre del Rey ; y finalmen­ te, otro que señala al Gobierno la facultad de quitar y poner cen varias aclaraciones. procedimiento…</t>
  </si>
  <si>
    <t>Los Sres, Jaim e Boy.</t>
  </si>
  <si>
    <t>Jaim e Boy. Los Sres</t>
  </si>
  <si>
    <t>…luz bajo los auspicios llonei y dos escuadrones se hallaba eyer en Calamocha. de la M. I. junta de comercio del principado de Cataluña , por Total hasta fin de ( E . de A 0 Ju lio de 1839. 22537 462599457..20|| 998794757.. 8 D. Jaim e Boy. Los Sres. suscritores á tan interesante obra pue­ den pasar á recoger el cuaderno 7.° y á adelantar el importe del 8.° á las librerías de R io s, calle de C arretas, frente á la Imprenta N acio n al, y de la Sra. viuda de R azóla, calle de la Concepción G erónim a, donde sigue abiert…</t>
  </si>
  <si>
    <t>Los, Antonio García Gutiérrez.</t>
  </si>
  <si>
    <t>Antonio García Gutiérrez. Los</t>
  </si>
  <si>
    <t>…rito en francés por el ron las armas los asesinaron con la mas infame cru e ld a d , que­ célebre Alejandro D um as, y traducido al castellano en verso y maron el coche y toda la correspondencia , y después de haber prosa por D. Antonio García Gutiérrez. Los suscriptores podrán robado al conductor y un pasajero que le acompañaba se m ar- pasar á recoger esta interesante composición á las librerías de 8 rs. 17 ¡mrs. 41 rs. 45 50 por 1100, ch aron hacia sus guaridas de la sierra. Escarnida y de Cuesta, donde se halla el p…</t>
  </si>
  <si>
    <t>Los, Aspiroz.</t>
  </si>
  <si>
    <t>Aspiroz. Los</t>
  </si>
  <si>
    <t>…uy Sr. m ió: Se acaba de red u cir por decisión recien ­ recurrido á S. M. en solicitud de que se les declare la an­ ¡ lo dirigía el citado coronel. El batailon de Al/oansa apoyaba el movimiento, yá la cabeza marchaba el general Aspiroz. Los ca-» te de este Gobierno el derecho de peaje de este puerto de tigüedad de su p rim er título, interpretando á su favor el zadores sin vacilar arrojaron al eneu&amp;igo de las tres posiciones 2 francos 50 céntim os por tonelada, qué hasta ahora se ha art. 1 1 de aquel decreto. Y S. M. en…</t>
  </si>
  <si>
    <t>Los, Benson.</t>
  </si>
  <si>
    <t>Benson. Los</t>
  </si>
  <si>
    <t>…. debia permauecer en Rangoon hasta que T harraw adp le Se confirma lo que anunciamos a ye r acerca del personal de entera revocación de las leyes de cereales. El noble lord presen­ hubiese manifestado su determinación al coronel Benson. Los que ha de componerse la nueva administración ; mas no ha po­ ta consideraciones en apoyo de dicha petición. L a Cámara or­ mismos periódicos dicen que las tropas habían recibido orden dido resolverse definitivamente este punto por hallarse ausente dena que se deposite sobre la mesa. Lor…</t>
  </si>
  <si>
    <t>Los, Bur-</t>
  </si>
  <si>
    <t>Bur- Los</t>
  </si>
  <si>
    <t>…rca de la llanura de Setif. (M. Algerien.) descontento de ese viaje. Pero veamos por otra parte la alegría Escriben de W in d s o r ( l) lo siguiente con fecha de ayer. que ha causado á los legitimistas la presencia del duque de Bur- Los dos príncipes de Sajonia C o burgo, Ernesto y Alberto, deos eW Roma. Hé aqu i la carta que publica la G acette du deben marchar m añana m uy temprano de este Real sitio en un EGIPTO. M id iW A lejandría 27 d e Octubre. Roma 2 d é N oviem bre. tcA yer fuimos á ver las ceremo­ (1) Sitio R…</t>
  </si>
  <si>
    <t>los, Cabanillas</t>
  </si>
  <si>
    <t>Cabanillas los</t>
  </si>
  <si>
    <t>…ciéndose superior á las preocu­ de Carlos 1 1 1 , dando impulso á las ciencias en que se apo­ paciones, adoptó el prim ero con gran ventaja de la marina ya el laboreo ordenado de las minas y el beneficio de sus C om paró el Sr. Cabanillas los rendim ientos del qu in ­ española; y no será del lod o inútil recordar que la obsti­ frutos; pero n o sucedió a i; y muy al contrario, en la Am é­ quenio de 1761 á 1766 con el de 1777 á 1781, y llamó nación de D. Jorge Juan fue tanta, que pocos momentos la atención de la sección hac…</t>
  </si>
  <si>
    <t>los, Caminos</t>
  </si>
  <si>
    <t>Caminos los</t>
  </si>
  <si>
    <t>…guer y Cubero, D. Fran­ los penados pueden y deben llevar consigo, economizan­ cisco Antonio de P a n d o , D. Felipe López Yaldemoro, Don Se sabe que Mr. Detmod y el doctor Cristiaoi fueron inti­ do asi á la dirección general de Caminos los gastos de Manuel Labraña , D. Francisco de las Casas, D. Cleto E g u i- mados por dos jueces criminales á declarar si se consideraban trasporte, saber los puntos en que se establecen las en­ zabal, midad D. José Finat y D. Pedro Estrada, quienes por unani­ aun como declararon no haber…</t>
  </si>
  <si>
    <t>los, Catalina</t>
  </si>
  <si>
    <t>Catalina los</t>
  </si>
  <si>
    <t>….) está autorizado para gastó alguno de esta especie; y como de su mañana para el remate de una casa sita en Jerez de la estos son siempre de cuenta de las empresas que utilizan F rontera, perteneciente á la testamentaría de Doña Catalina los brazos del penado, y la ordenanza general del ramo Rice y O sorio, cuya subasta se anunció por el Diario de 20 de de presidios en su parte tercera al tratar de las obligacio­ Enero y Gaceta del 2 1 ; el cual tendrá efecto en su habitación, G R A N BRETA Ñ A . nes y su clasificación, art…</t>
  </si>
  <si>
    <t>los, Comercio</t>
  </si>
  <si>
    <t>Comercio los</t>
  </si>
  <si>
    <t>…cajas de A U S T R IA . ca de esta ocurrencia, nos inclinamos á creer que uo son de la morales preciosos, que han venido á bordo del Eucharis. Ef Viena 10 de Agosto . gravedad que pudiera suponerse. [Moni. Heraíd.) ministro del Comercio los ha hecho remitir en seguida á la tier­ ra de Bergeries, donde serán cuidados, multiplicados y des­ pués distribuidos. El buen éxito de esta importación es debido Al term inar una conferencia celebrada en Constantinopla á Mr. H ebert, que habia sido enviado por Mr. Duchatel á las éntr…</t>
  </si>
  <si>
    <t>los, Consejo. Aguardaremos</t>
  </si>
  <si>
    <t>Consejo. Aguardaremos los</t>
  </si>
  <si>
    <t>…. y encargado interinamente de las secretarías de Negocios extran­ estamos resueltos á satisfacer los deseos del Sr. Presidente del D. J u a n Azernar , por idern. jeros y de M a r in a , he tenido á bien nombrarle Presidente del Consejo. Aguardaremos los actos de su administración , y por D. Francisco J av ie r de C am p s, por idem. Consejo de Ministro . El consejero &amp;c. (Diario do Guverno.) ellos juzgaremos, deseando ardientemente que nunca llegue el D. José R e x ac h , por idem. caso de que nos veamos en la precisión,…</t>
  </si>
  <si>
    <t>los, D. Joaquín de En</t>
  </si>
  <si>
    <t>D. Joaquín de En los</t>
  </si>
  <si>
    <t>…n tienen una didos de los relatores , escribanos de cámara y demas dependien­ producto de una imaginación delirante. gran importancia para los facciosos. Algunos de ellos están ar­ tes del tribunal, á la habitación del Excmo. Sr. D. Joaquín de En los dias de esta explicación no habia razón humana que mados y prontos para el combate ; pero la mayor parte aguar­ Ezpeleta , capitán general y gobernador de la isla de Cuba, pre­ pudiese creer en su verosimilitud. Pero hoy , cuando después de dan las armas prometidas. Es menester…</t>
  </si>
  <si>
    <t>los, Despacho</t>
  </si>
  <si>
    <t>Despacho los</t>
  </si>
  <si>
    <t>…itio , que la ordenan­ Se suspendió esta discusión. sirva acordar que se remita por el Gobierno una lista de todos za es bastante; pero cuando llegue el caso de discutirse la ley Habiendo .ocupado la tribuna el Sr. Secretario del Despacho los individuos que h ay an sido colocados á consecuencia de la artículo por artículo yo prpbaré que no, y que la ordenanza de la Gobernación , leyó un proyecto de ley para reparar el ley del mes de Febrero de 1857 que autorizó la creación de no es suficiente. muelle de Puerto R e a l, en la…</t>
  </si>
  <si>
    <t>los, Diego Fernandez Montañés.</t>
  </si>
  <si>
    <t>Diego Fernandez Montañés. los</t>
  </si>
  <si>
    <t>…n Santander y en otros 1 . . - . . . i queses de Val verde. puntos, segün se nos ha escrito, han festejado por ella á Líquido producto de la exposición.. 59í. Una bolsa bordada de felpillas sobre cañamazo, al se­ •• 54H- ñor D. Diego Fernandez Montañés. los representantes franceses. Habrán estos con ocid o, como lo conocerá siempre la nación francesa , que entre las vir­ 64 O. Una bolsa bordada de recortes de terciopelo, á la Ex­ Limosnas que entregaron varias personas. celentísima Sra. marquesa de Campo-Real. tudes q…</t>
  </si>
  <si>
    <t>los, Eduardo</t>
  </si>
  <si>
    <t>Eduardo los</t>
  </si>
  <si>
    <t>…ión de que , oídos por.el Gobierno de cotejadas y son las mismás qúe se S. M. los votos de respetables corporaciones de Je provincia, son los ramos que se enseñan en él, habiendo contestado todos acompañan qon este informe \ D. Eduardo los niños en sus diferentes ramos de un modo tan satisfactorio clases de.gramática'y aritmética ¿ estando lasdeldemas Valle dirige las haya vuelto tan apreciable gefe á regir los destino? de ella. ;E1 á cargo de , éiisayo que anteriormente hizo el Sr. Hicfalgo de upa adminis­ para la comi…</t>
  </si>
  <si>
    <t>los, Elias Aquino</t>
  </si>
  <si>
    <t>Elias Aquino los</t>
  </si>
  <si>
    <t>…obras, dificultades que se aumenta* Manuel y Carmen , por Andrés D iaz, en 2$. rian si se aglomerasen de una vez los 1500 que se tienen pedidos , solo necesitaba por ahora que se entregasen al Registros. Nthnero [ ingeniero D. Elias Aquino los confinados peninsulares de fincas Valor en tasación. Id. el de lá venta. Provincias. rústicas y Reales vellón. Réales vellón, existentes en Granada; y luego que esten arreglados los Upa mina plomiza en Campillo de Aldana , término de urbanas. trabajos y en actividad en los puntos…</t>
  </si>
  <si>
    <t>…nes anteriores hayan sido capa­ cargo , para que inmediatamente pongan á disposición del in­ ces de excitar los temores de todos los protestantes irlandeses, y Buques españoles entrados. .. ; ü . i-, é * .A v í . 61 54 geniero D. Elias Aquino los presidiarios peninsulares que exis­ á reanimar las esperanzas de los católicos. ídem salidos.......................... S6 72 tan en ella. JBuques.estVaogeros entrados...................................... 275 337 El marques de IVestmeathx M i opinión és eú' ún todo Idem salidos. ••…</t>
  </si>
  <si>
    <t>los, En</t>
  </si>
  <si>
    <t>En los</t>
  </si>
  <si>
    <t>…nsión ; y para llevaría al cabo de una manera mas disimulada, propuso el plenipotenciario los pudiera entenderse que se hacia una concesión especial al G o­ Paris. bierno de Francia , sino que tornada una resolución general de En los años que trascurrieron desde 827 hasta 856 no se artículos 1.° y 2.° del último proyecto de convención. En el 1.° no imponer en adelante préstamos forzosos, quedaba satisfecha hizo reclamación alguna por el Gobierno de £ rancia sobre la se estipulaba que entre tanto se celebraba un tratado ,…</t>
  </si>
  <si>
    <t>los, Estado Rodrigo</t>
  </si>
  <si>
    <t>Estado Rodrigo los</t>
  </si>
  <si>
    <t>…ran número de casas de colonos franceses: estos se refugim á nombrar un nuevo ministerio, encargando la secretaría de los nuestros campamentos abandonando sus propiedades al furor de negocios del reino al consejero y ministro de Estado Rodrigo los árabes. Como nuestras tropas 30n escasas no han podido con­ da Fonseca Magalhaens, manda la misma augusta Señora que tener hasta ahora á los árabes, que siguen asolando la llanura. por la referida secretaría se participe asi á los administradores S. M. la R e in a , su augusta…</t>
  </si>
  <si>
    <t>Los, Fernandez Baezi.</t>
  </si>
  <si>
    <t>Fernandez Baezi. Los</t>
  </si>
  <si>
    <t>…rpelación. señores, hoy se hallan los Sres. Diputados en el caso de apro­ ha hecho el Sr. Sancho, pueden reducirse á dos. La primera El Sr. duque d? GOR dijo, según pudimos entender, que bar el voto de la comisión respecto al Sr. Fernandez Baezi. Los ha sido manifestar que cree que la cornision por habérsele de­ le habia movido á hacer esta interpelación al Gobierno de que pensaron como los Sres. Pacheco , Pidal, la comisión y sechado los anteriores dictámenes, se ha puesto en un extremo S. M. para que, hecho cargo de sus re…</t>
  </si>
  <si>
    <t>los, Flores.</t>
  </si>
  <si>
    <t>Flores. los</t>
  </si>
  <si>
    <t>…que nes volantes, tomando posiciones por la izquierda del enemigo, referimos sin darlos como noticias ciertas, hemos oido decir que y el batallón de Ciudad-Real á su frente de vanguardia, de Carta del Sr. Rocafuerte al general Flores. los individuos que componen lo que llaman los insurreccionistas manera que la facción de La-Cova quedó enteramente cerrada en su lenguaje de convención una semana , acaban de ser dentro de un perfecto cuadro turbada y sin saber el partido Guayaquil 15 de Marzo de 1859.=Mi muy querido com­…</t>
  </si>
  <si>
    <t>los, Francisco Narvaez.</t>
  </si>
  <si>
    <t>Francisco Narvaez. los</t>
  </si>
  <si>
    <t>…m brando para sucederle en ¡ atenciones perentorias por medio de una anticipa­ da , continúan en esta corte sin novedad en su importante ció n á buena cuenta de lo que aquellas decreten para este destino al mariscal de cam po D. Francisco Narvaez. los indicados fines, co n form e con el parecer de di­ De Real orden lo com unico a V. E. para su inteligencia y salud. ch o C o n se jo , corno Regente y G ob ern a d ora del rei­ electos correspondientes ¿ su cum plim iento. Dios guarde no durante la m enor edad de mi excelsa…</t>
  </si>
  <si>
    <t>los, Fábregas.zzContinúan</t>
  </si>
  <si>
    <t>Fábregas.zzContinúan los</t>
  </si>
  <si>
    <t>…úbli­ por donde ha pasado la civilización moderna: este punto tiene P R O V ID E N C I A S JUDICI AL ES. ca.—Lniversidad de Valencia.—ídem de Vitoria.—Colegio del la ventaja de ser el mas central moral y físicamente. En una Sr. Fábregas.zzContinúan los planes de estudios. palabra , Mr. Guizot con esta nueva obra contribuye podero­ Juzgado de Amortización. 6 .° Estado y exámenes de varios colegios de esta corte.— samente á adelantar el hermoso estudio del análisis de las socie­ P oesías.—Siguen los planes de estudios. dad…</t>
  </si>
  <si>
    <t>los, Galicia.</t>
  </si>
  <si>
    <t>Galicia. los</t>
  </si>
  <si>
    <t>…guarde á que trabajaná en los canteros, barreneros y herreros la mina de la puerta de Arenas, Y. E. muchos años. M adrid 13 de A bril de 1 8 3 9 .= A la ix ~ composición de útiles y pólvora comprada para Sr. capitán general de Galicia. los barrenos.. . ............................................................. 4,867.. 6 parteEldebrigadier segundo cabo de Valencia con fecha del 13 da que habiendo salido de Onda el 8 el general Azpiroz Puente del Guadalhullon. con dirección á los pueblos de Tales y Suera, ocupados por…</t>
  </si>
  <si>
    <t>los, Guadálajara</t>
  </si>
  <si>
    <t>Guadálajara los</t>
  </si>
  <si>
    <t>…resultados portante salud. los oficiales citados y tropa de su mando que ha concurrido á son los siguientes: este encuentro; y ha mandado animismo que el comandante Primer;». Multiplicar 7829654 por 8643597: producto general de Guadálajara los proponga con arregló á reglamento 67.676200953498. . , PARTES RECIBIDOS EN LA SECRETARIA DE ESTADO para las recompensas qué crea de justicia. 2.a Extraer la raiz 17 de 221851 1 i 06740436992: solu- Y DEL DESPACHO DE LA GUERRA. cioo 12. 3.a Cuál és. el ..número que elevado á una po…</t>
  </si>
  <si>
    <t>los, Infanta Doña María Luisa</t>
  </si>
  <si>
    <t>Infanta Doña María Luisa los</t>
  </si>
  <si>
    <t>…critura, toman por su órgano gramática castellana , aritmética, idiomas ingles y francés, son tud que las posee; ellaspara que comunique á VV. SS. la grati­ invocan vuestra perseverancia en el éjerr Ayer (cumpleaños de la Sra. Infanta Doña María Luisa los ramos que se énseñan en él. Todos los niños se presentaron Fernanda ) á las ocho de la mañana comenzó á correr la fuen­ en las diferentes clases bastantemente instruidos: la de aritmé­ cicio de tan sagrado ministerio; y ellas en fin oran por vuestra te que el Excmo. Sr…</t>
  </si>
  <si>
    <t>Los, Isabe</t>
  </si>
  <si>
    <t>Isabe Los</t>
  </si>
  <si>
    <t>…ndas épocas, como todo el edificio. tulada L a carta y el ra m ille te ; tenemos buenas noticias d Con motivo del casamiento que celebró en Sevilla, en M ar­ ella. TR ES MUSAS. zo del año de 1526, el Emperador Carlos V con Doña Isabe Los individuos que componen la sociedad dramática de de Portugal, se ordenó reparar el Alcázar y hacer nuevas ha teatro del Príncipe sou los siguientes: La compañía de este teatro ha marchado á dar representa­ Litaciones, y entonces levantó el arquitecto Luis de Vega e ciones á G uadalajara:…</t>
  </si>
  <si>
    <t>los, Isidro Sánchez Caro</t>
  </si>
  <si>
    <t>Isidro Sánchez Caro los</t>
  </si>
  <si>
    <t>…ado, habiendo acordado que se equipasen para defender el sa del Guirigay quedan libres de toda responsabilidad en esta Fondos públicos. Consolidados, 93 á cuenta. territorio en cuestión 10,345 hombres. causa; y entréguense á D. Isidro Sánchez Caro los testimonios Deuda activa española , 2 0 |. AI poner en libertad sir John Harvey á Mr. M ac-Intiri, que pidiere: y por esta su sentencia definitiva asi lo proveyó, Colombianos, 29£. agente del dominio, bajo su palabra, ha solicitado que Mr. Mac- mandó y firmó S. S ., de que…</t>
  </si>
  <si>
    <t>los, José</t>
  </si>
  <si>
    <t>José los</t>
  </si>
  <si>
    <t>…rnes 18 se da principio á las lecciones de aleman ras y centavos de Castilla , reducidas por 184; útilísimo para dario y hospital civil de la misma : su vecindario consiste en por D. Juan M ieg, de siete á ocho de la noche, y D. José los que comercian en géneros de Cataluña. U n cuadernito en 8 .°, Olivan , de ingles, de ocho á nueve. unos 4OO vecinos, con circunstancia que en el radio de cinco á 12 cuartos en rústica. leguas no se halla médico n in g u n o , y en casos de urgencia se permite al facultativo de la ciudad h…</t>
  </si>
  <si>
    <t>Los, Juan Nepomuceno Blasco.</t>
  </si>
  <si>
    <t>Juan Nepomuceno Blasco. Los</t>
  </si>
  <si>
    <t>…s está sión mas oportuna que se presente de seguridad y prontitud, dividida la de latinidad, á cargo del vicedireetor del estable­ conforme á las instrucciones que pasaré á los encargados de este Habana 22 de Mayo . cimiento D. Juan Nepomuceno Blasco. Los diez alumnos de la importante servicio. primera , principiantes hasta de menos de un mes, declinaron Los extrangeros que quieran incluir en Marsella su corres­ R E A L SO C IED A D PA TR IO T IC A . y conjugaron bastante bien, !y aun algunos mostraron conocer pondencia…</t>
  </si>
  <si>
    <t>los, Juan Perez Villamil. Aparecerán</t>
  </si>
  <si>
    <t>Juan Perez Villamil. Aparecerán los</t>
  </si>
  <si>
    <t>…para gobierno de los estudios de dibu­ vará una estampa litografiada , representando el asunto, desem­ el arte de hacer re ir, aun con desatinos y necedades, y jo, sociedad económica matritense, junta de damas unida peñado por D. Juan Perez Villamil. Aparecerán los dias 1.® y no perdona ni á equívocos ni á conceptillos; pero ingeri­ á esta, colegio de sordo* mu dos, ateneo científico y litera­ 15 de cada mes, dando principio en Enero de 184^- Los seño­ dos de tal manera, que parecen el modo natural de ha­ rio, colecturía gen…</t>
  </si>
  <si>
    <t>los, Julio Gotnez de Silva</t>
  </si>
  <si>
    <t>Julio Gotnez de Silva los</t>
  </si>
  <si>
    <t>…En­ He tenido á bien nombrar M inistro y Secretario de Estado en !o interior, estoy pronto á aceptar el desafio. E n cuanto á tonces le mandé al piloto que bajase al bote de la corbeta , ha­ de los Negocios del reino al consejero Julio Gotnez de Silva los asuntos coloniales, medidas que no tardarán en presentarse ciéndole observar al oficial que S. A. R. hubiera podido muy Sánchez. Tendréislo entendido &amp;c. Palacio de las Necesidades á al Parlamento le pondrán en situación de pronunciarse con co­ bien tener la bondad de decir…</t>
  </si>
  <si>
    <t>los, Laíande</t>
  </si>
  <si>
    <t>Laíande los</t>
  </si>
  <si>
    <t>…irse sin tardanza hacia los Dardanelos, y reunirse con la que los turcos pudieran dirigir á vanguardia v retaguardia de arzobispado, no contenga mas de 20$ habitantes. Evora fue escuadra francesa para concertar con el almirante Laíande los as seis columnas: había colocado igualmente á la cabeza dos movimientos de las dos escuadras combinadas. tam bién distinguida con uno de aquellos memorables é batenas de 12 obuses de 36 , que dispararon con mncho acier- indiscretos tribunales de la Santa In q u isició n , distinguién­…</t>
  </si>
  <si>
    <t>los, López.</t>
  </si>
  <si>
    <t>López. los</t>
  </si>
  <si>
    <t>…era solo para los carlistas que habían sufrido concretarme á lo esencial de ellas, aunque emitidas en discursos perjuicios en esta época, ó si era extensiva á todos ,e s de cir, á EFECTOS PÚBLICOS. largos: paso pues a l del Sr. López. los liberales que han padecido. S. S. sieuta corno primer cargo contra el Gabinete la espe­ Digo á lo primero que el Gobierno no entra en el indulto Inscripciones en el gra n libro á 5 por 100, 00. cie de anomalía que presenta , á saber: que no perteneciendo á de ciertos delitos: el Sr. Lópe…</t>
  </si>
  <si>
    <t>Los, Manuel Villo-</t>
  </si>
  <si>
    <t>Manuel Villo- Los</t>
  </si>
  <si>
    <t>…reso general, el Gobierno de S. M. verá en ella una zación; D. Dámaso Aparicio, procurador síndico del ayun­ de Julio. prueba inequívoca de que solo los principios que se establezcan tamiento constitucional de esta M. H. V.; D. Manuel Villo- Los fundamentos en qtté sé han ápoyado éstas dos disposi­ le han movido á dictarla. En ellos no tendrán parte otras con­ ta y D. José Cano Sainz, del comercio de esta corte, y ciones han sido de muy diversa naturaleza: la primera se dic­ sideraciones qué las que aconseja la justicia ,…</t>
  </si>
  <si>
    <t>los, Nelson</t>
  </si>
  <si>
    <t>Nelson los</t>
  </si>
  <si>
    <t>…divisiones sin venir los navios casi nunca al ab ord aje, hasta que ba­ pios de religión, comercio, humanidades, historia, dibujo, por los mas celebrados almirantes de aquel s i g l o , el m a r ­ j o la dirección del almirante Nelson los combates se h an «atísica y baile. ques de Sarita Cruz por E s p a ñ a t Doria por V e n e e ia , C o­ traído a tiro de pistola, ó como llaman los marineros a to- Los exámenes se ce’ebraron en el mismo patio del colegio, lonna por Roma , y otros oficiales de g ran fat aa. Todo el capenó…</t>
  </si>
  <si>
    <t>los, Parra</t>
  </si>
  <si>
    <t>Parra los</t>
  </si>
  <si>
    <t>…ía también contribuir á la fe­ 4 OO caballos escoltando un convoy hasta Sarrion, y por la tar­ verle, y causar sediciones para su provecho. licidad general; y necesitado ademas de su ayuda , partió con de entraron con el general Parra los batallones Princesa , Ma­ Debieran al menos conocer lo absurdo de sus inven­ ella el cetro de su imperio social, y la confió una parte de sus llorca, varias partidas sueltas y 500 caballos, destinados á re­ ciones para abstenerse de este ridículo medio de alarma. benéficas empresas. forzar…</t>
  </si>
  <si>
    <t>los, Salvador</t>
  </si>
  <si>
    <t>Salvador los</t>
  </si>
  <si>
    <t>…utori­ dad de quien lo habia recibido. Cuento ese dia como uno de quiero que todos los que de ella se deriven , queden oficialmen­ te registrados para mi gloria ó mi ignominia. L A Mjunta de acreedores de la testamentaría de D. Salvador los mas brillantes de mi vida pública, y ese acto como uno de Con tal objeto establezco desde este dia un registro , que lle­ agro, señalada para el dia 1.° de Abril próxim o, se mis triunfos mas gloriosos. Sé que no es título de gloria el de vará mi solo nombre, en el que haré publicar to…</t>
  </si>
  <si>
    <t>los, Secretario de Estado y Congreso</t>
  </si>
  <si>
    <t>Secretario de Estado y Congreso los</t>
  </si>
  <si>
    <t>…Honorio. muchos años. Sevilla 18 de Setiembre de 1859.=Excmo. Sr.= de B arbastro, provincia de Huesca , pidiendo tenga presente el Diez y ocho medallas ; algunas de los Gracos, de Constan­ Jo a q u ín M aría dé Alba.=Excmo. Sr. Secretario de Estado y Congreso los sucesos escandalosos que han ocurrido allí al tiem­ t in o , y otras que como este su troquel bastante deteriorado, po de las elecciones. dél Despacho de Ja Gobernación de Ja Peoíusula. y ios monogramas y exergos gastados valen poco. El Congreso queda enterado d…</t>
  </si>
  <si>
    <t>los, Sforza-</t>
  </si>
  <si>
    <t>Sforza- los</t>
  </si>
  <si>
    <t>…la primera se ha casado con el Príncipe Sulmona , hijo El general Harispe ha marchado á Paris para tomar parte en las tropas que en número insignificante hicieron frente á las del Príncipe de Borghese , y la segunda coa el duque Sforza- los trabajos de la Cámara de los Pares. Le reemplazará duran­ armas de Cabrera que pasaban de 50 con cinco piezas de a r ti­ Cesarini. (Id.) te su ausencia en el mando de la 20 división militar el marisca! llería, y que habían puesto en peligro inminente á aquel pue­ de campo M r. Nogués,…</t>
  </si>
  <si>
    <t>Los, Siyx.</t>
  </si>
  <si>
    <t>Siyx. Los</t>
  </si>
  <si>
    <t>…ncialmente com unicativa, y digámoslo de cados del depósito del 17 ligero se han embarcado ayer en el citos coligados contra Napoleón. Esta fidelidad , que al fin que­ una vez , esencialmente locuaz, Creo asimismo con el doctor Siyx. Los 500 hombres del 17 de línea salen mañana para Tolon. dó desmentida por los reveses de 1815 , le ha sido bien costosa. Coindet que el silencio absoluto desentona el sistema digestivo, El tratado de París le despojó de la Noruega , no recibiendo en debilita los órganos de la respiración ,…</t>
  </si>
  <si>
    <t>los, Tapia</t>
  </si>
  <si>
    <t>Tapia los</t>
  </si>
  <si>
    <t>…a do ver la luz publica el segundo tomo de esta dicción, claridad y delicado criterio con que maneja el tas ó separadas acuda al citado juzgado y escribanía, que se ad­ novela, única en su genero durante la presente regenera­ Sr. Tapia los tesoros de nuestra lengua. Hay elogios que mitirán las que hicieren siendo arregladas; en la inteligencia ción política. La favorable acogida que hizo el público á sobran, y este seria uno de ellos. que para su remate se ha señalado el dia 18 de Julio próximo su primera paite, y de la que…</t>
  </si>
  <si>
    <t>Los, Theard.</t>
  </si>
  <si>
    <t>Theard. Los</t>
  </si>
  <si>
    <t>…E S P O N D E N C IA D E L A G A C E T A . y el safico. La gran ventaja de ambos es q u e , siendo im- 'JARATADO de química elemental teórico y práctico, por el ♦parisilábicos, no hay necesidad de formar los hemistiquios barón Theard. Los señores suscriptores pueden acudir á iguales y de un mismo tamaño, y por consiguiente cansa­ Logroño 16 de Agosto. Acabo de saber que el quinto ba­ recoger los cuadernos 5.° y 6.^ con que concluye el tomo 1.° á tallón navarro y dos compañías del once se han sublevado, pi­ la libaría de…</t>
  </si>
  <si>
    <t>Los, Torf.osa.</t>
  </si>
  <si>
    <t>Torf.osa. Los</t>
  </si>
  <si>
    <t>…h' . E ú a s noticias las rn9s importantes 9 que ri ge h o y con el orden mas perfecto. i ns pi r an t a ñí a m a y o r deseo oí i a t iza, c ua n t o que las cartas de E! Emperador ha recompensado este nuevo servicio del general Torf.osa. Los facciosos a seguran la muerte de C h a m b o n e t , c o m a n ­ Const anti nopl a publ i cada] en el mismo número del periódico Kisseleff, elevándole á 1?. d i g n i d a d de conde. El conde de M-. l usevi cz acabo de ser nombrado mi nistro dant e de uno de los batallones de C a b r…</t>
  </si>
  <si>
    <t>Los, Valée.</t>
  </si>
  <si>
    <t>Valée. Los</t>
  </si>
  <si>
    <t>…geoerales. El Gobierno hace observar que formarán la vanguardia de los refuerzos destinados al ejército que concurren á oir á un predicador, los que no esten h a trascurrido muy poco tiempo desde que hemos pasado del del mariscal Valée. Los cuatro barcos, el E tna , el Styx , el convencidos de las verdades y doctrinas que promulga; pe­ estado de guerra al estado de paz, cuando aquel ha durado 10 Tártaro y el Cerbero deberán estar prontos á aparejar. ro son muchos los que creyéndolas y confesándolas con su añ o s, para que lo…</t>
  </si>
  <si>
    <t>los, Vicente Domínguez Ber-</t>
  </si>
  <si>
    <t>Vicente Domínguez Ber- los</t>
  </si>
  <si>
    <t>…dad, amor y respeto, y darle el mas cumpli­ ser de esta clase el de Cuellar, que sirve en la provincia de Se- do parabién, felicitándose con V. M. en justa satisfacción í rero. _ _ _ _ _ _ _ _ _ govia: para esta judicatura á D. Vicente Domínguez Ber- los faustos acontecimientos últimamente sucedidos con la vic­ naldez, mediante a que ha sido absuelto de la causa que se le toria y el triunfo del ejército nacional. La Providencia, fiel Señora: E l ayuntamiento constitucional de la M . N. y formó, y á que estaba mandado rep…</t>
  </si>
  <si>
    <t>Losada, Francisco</t>
  </si>
  <si>
    <t>Francisco Losada</t>
  </si>
  <si>
    <t>…cal dtl j uz g a do de íi i escas, vacant e por re nunci a del elec­ const i tuci onal de cquel departamento. Tolosa i 9 de J u l i o . “ Las noticias recibidas ay er de las pro­ to D. José M a r i a n o M a g d a l e n a , á D. Francisco Losada que la vi nci as son de la mas al ta i mp or t a n c i a , y vienen en a poyo de si rve i nt e r i na me n t e : para la de I g u a l a d a á D. José Torelíó ; y M IN ISTERIO DÉ G U E R R A Y M ARIN A. lo que di j e en una de mis cartas precedentes. Pieina la ma y o r p ar a la de…</t>
  </si>
  <si>
    <t>Losada, Manuel María</t>
  </si>
  <si>
    <t>Manuel María Losada</t>
  </si>
  <si>
    <t>…tablecimientos de que trata no tendrían ninguna ven­ ocurridos en dicho mes. tiempo que los sabios que se han ocupado con tanto afán del fe- taja sobre aquellas habitaciones estrechas y mal sanas, en que la En 28 de M a y o , D. Manuel María Losada , hacendado y OÓmeuo de que trata , han dejado sin tocar dos puntos impor­ vara despótica de una moger anciana sofoca la salud y el talen­ vecino de Pórtela, en Valdeorras, pidió U concesión de una tantes en su concepto para la completa ilustración del caso: to de Ó(Sos en su g…</t>
  </si>
  <si>
    <t>Loscarabeoa</t>
  </si>
  <si>
    <t>…nanda, continúan en esta corte sin novedad en s u i m - García Corral Mayo.zrEI alcalde presidente de Y uso , Francisco poderosa vecirra, y no tiene bastante confianza en el apoyo de la Gutiérrez Sigler. El alcalde presidente de Loscarabeoa, F ra n - S Fracia y de la Inglaterra para desafiar la cólera rusa. Es sor­ nortante salud. cisco Rodríguez Navamuel.zrEI presidente de Pesquera, M a - § prendente y dolorosa la incuria con que los representantes de las nueí Martínez Rubio. = Et alcalde de Cinco V illa s , Cosme G u - 1…</t>
  </si>
  <si>
    <t>Loscos, Andrés</t>
  </si>
  <si>
    <t>Andrés Loscos</t>
  </si>
  <si>
    <t>…iente D. Ramón Figueroa y sin reflexión de las cajas de ahorros las economías que lenta­ tir q u e, según las probabilidades, las proporciones establecidas mente han recibido, economías que entregarán siempre fiel­ del alférez D. Andrés Loscos se dirigiesen inmediatamente a l sobre un número de cuentas tomadas al acaso, quedarían las sitio en.donde se resistían los carreteros, protegiendo el movi­ m ente, y que nunca pueden ser productivas sino permane­ mismas para la masa completa de los depositarios, que llega ciendo por…</t>
  </si>
  <si>
    <t>LOTERIA, Francisco</t>
  </si>
  <si>
    <t>Francisco LOTERIA</t>
  </si>
  <si>
    <t>…guación de los autores de la falsificación de un cré­ T ECCIONES teórico-prácticas de filosofía racional ó de ló- dito de deuda sin Ínteres del Estado; apercibidos que de no ^ g i c a , extractadas del conde de T r a c i, por D. Francisco LOTERIA P R IM IT IV A NACIONAL. hacerlo, se sustanciará y determinará la causa en ausencia y re­ Tenorio y V ic o , catedrático de lógica en el colegio de Baeza. b eldía, parándoles el perjuicio que h ay a lugar. Este pequeño escrito no es mas que el sistema ideológico En la extracción…</t>
  </si>
  <si>
    <t>Loterías</t>
  </si>
  <si>
    <t>…ección general de Rentas................................ . . 8.849,181. .2 1 Importa el cargo.............................................................................. 167 542,220. .2 2 Por recibido de la dirección general de Loterías......................................................... 115,000 Id. la data.......................................................................................... 52 . 742 ,698 . . 24 Por id. de remesas de U ltram ar; libranzas expedidas sobre varios puntos.. . . 16.111,960 Por id. de l…</t>
  </si>
  <si>
    <t>…ía de corte. .. 71555959 .29 120151. .25 71476071. .20 Por entregas de la dirección general de Rentas............................ Ilb85j5b¿. . ¿) En la de Albacete .. , 4 2565.. 8 465507. . 12 P o r id. de la dirección general de Loterías.................................. 4¿ r . ¡n 120137858.. 10 Alicante.............................. .. 145900 5566 . 16 149466 .. 16 Por id. de casas de moneda.......................................................... Almería................................. 209147 21.18250 254023.. 13 256142…</t>
  </si>
  <si>
    <t>…or entregas de la dirección general de R en tas.. . . . . . . . . . . 6 0 2 5 0 2 8 9 .. 5 \ A v ila .. ........................................................ 1044502.. 22 1 0 4 4 5 0 2 ..2 2 P or id. de la dirección general de Loterías 115000 / Badajoz........................................................... 106050 15 90 17 .. 52 2 4 5 0 6 7 .. 52 P or id. de la comisaría general de C ru zada .. . . . &gt; • . . . . . . . . • 50 42 00 ) 77015349. . 2 2 Barcelona......................................................... 151…</t>
  </si>
  <si>
    <t>…s-/ 429900 35905 465805 Por entregas de la dirección general de Pientas. 64058274- .22 ] Málaga................................ 1510350 47949.. 19 1558299..19 579854.. 16 .................... Por id. de la dirección general de Loterías................................ M u rc ia ............................. 12651. . 16 483950 2872..17 499475.. 55 Por id. de la comisaría general de Cruzada................................ 589126.. 11) 67014785.. 21 N avarra............................. 57196..29 57196.. 29 Por id. de casas…</t>
  </si>
  <si>
    <t>Lovelace</t>
  </si>
  <si>
    <t>…abiendo tenido consecuencia este incidente , se leyó á E l condé de T V ichelsea : Fácil es adivinar por algunas p a­ cerá la necesidad imperiosa de conceder á los irlandeses rel pl$r*&lt; la Cámara el discurso R ea l, y el conde de Lovelace toma la pa­ labras de los nobles lores que han propuesto y sostenido el :no ejercicio de los derechos de que goza el pueblo in gles, y aun labra para proponer la respuesta. H a y , d ijo , en el discurso del mensaje , que el Gobierno se asocia de ún modo indirecto á Ips ¡ éstoy persuadido d…</t>
  </si>
  <si>
    <t>Loyal, Pedro</t>
  </si>
  <si>
    <t>Pedro Loyal</t>
  </si>
  <si>
    <t>…ni los unos ni los otros darán crédito a le robaron 200 rs. nuestros periódicos ni á nuestros taquígrafos creyéndose A CADEMIA de esgrima, calle de Preciados, número 72. iimuete de una alucinación. Porque á la verdad , ¿como D. Pedro Loyal, profesor de esgrima en el colegio mili­ concebir la frescura del Sr. López cuando la guerra civil tar de los caballeros cadetes del cuerpo nacional de artillería tiue’ nos devora se hace cada dia mas cruda y mas te rn - hace saber á los Sres. aficionados y á los jóvenes que gusten Li…</t>
  </si>
  <si>
    <t>Lozano</t>
  </si>
  <si>
    <t>…ia que con ellos tuvo quedaron elegidos comandante general. público escuche una vo« que le advierta de continuo cuáles son los catedrático* siguientes: los beneficios que debe esperar de cada uno de los ramos del De griego el Sr. Lozano. saber hum ane, y de qué fuente mana el purísimo raudal que D e aleman el Sr. Mieg. San M artin de Valdeiglesias 50 de Diciembre. La co­ los contiene. Asi es que mientra* vemos otro* establecimientos De ingles el Sr. Olivan. lumna que opera en ei valle del Tietar á las órdenes del coman­ nace…</t>
  </si>
  <si>
    <t>Lozano, Manuel Sajas</t>
  </si>
  <si>
    <t>Manuel Sajas Lozano</t>
  </si>
  <si>
    <t>…. joz á 6 de Junio de 1801. Un cuaderno en 4*° marquilla , edi­ Parte doctrinal.—De la índole de los tribunales en España, ción del mismo añ o, á 2 rs. en rústica. A l asunto patético y sublime de éste cuadro sé Agrega la por D. Manuel Sajas Lozano. ventaja de haberle pintado con su acostumbrada maestría cé­ Discurso histórico-filosófíco-legal, retos, treguas, lides y rr R A T A D O definitivo de paz y amistad concluido entre lebre Mengs (A. R .), rio desmereciendo de tan alta idea el gra­ desafíos , por D. Juan Carramotin…</t>
  </si>
  <si>
    <t>Lozano, Saturnino</t>
  </si>
  <si>
    <t>Saturnino Lozano</t>
  </si>
  <si>
    <t>…imiro Govantes. .•.. .................................... 40 grafía. corriente de la publicación, tomando los cuadernos atrasados á D . Autonio P e r e z .......................................... 4Q Martes.zzDe siete á ocho , D. Saturnino Lozano, griego. su comodidad. El marques de Falces..................................... . . 200 Miércoles.nDe siete á ocho , D. Basilio Sebastian Castella­ f . f ................................................................................................................ 20 nos', numism…</t>
  </si>
  <si>
    <t>Lrncoi, Andrés</t>
  </si>
  <si>
    <t>Andrés Lrncoi</t>
  </si>
  <si>
    <t>…ice , de bastan­ S. M. en consecuencia de este parte lia concedido la cruz de al parecer por ser muy débiles, y ya le vimos en el riesgo si te importancia. Se ha empezado la sumar i*. San Fernaudo de primera clave al teniente D. Andrés Lrncoi, no ocurren los auxilios prestados por los buques que estaba» E*U operación puso en alarma #el cuartel del gran teatro, del regimiento de caballería 5-° ligero, y 1* de i\l«ul» ívabel inmediatos, y á un bote que mandó con presteza el Sr. capi­ en donde circularon los mas absurdos rumor…</t>
  </si>
  <si>
    <t>LSA, Casas. BO</t>
  </si>
  <si>
    <t>Casas. BO LSA</t>
  </si>
  <si>
    <t>…e ha­ BOLETIN DE CO M ERCIO . bilita á lo s súbditos de ambos Monarcas para sucederse m u tu a ­ ' • ■ 3.0-' ' mente en todo géoero de bienes y derechos. U n cuaderno en 4.3 Las boleras dd Bajelito, por la Señora Diez y el Sr. Casas. BO LSA D E M A D R ID . impreso en 17 8 5 á 2 rs. en rústica. ’ C otización d e l dia 2 7 á la s tres d e la tarde• i ' 4 .° / ; ; Convenio entre SS. M M . Católica y B ritán ica para el ar­ reglo definitivo de k s reclamaciones de súbditos ingleses y espa­ LA SO LTERO N A , EFECTOS PUBL…</t>
  </si>
  <si>
    <t>Lticiíú, Francisco</t>
  </si>
  <si>
    <t>Francisco Lticiíú</t>
  </si>
  <si>
    <t>…y Se estrenarán ocho decoraciones, ejecutadas al intento por tantos dignos oradores. Anunciada estaba la interpelación, pe­ pueblos situados á la inmediación de los puertos meridionales el profesor de m aquinaria y de pintura D. Francisco Lticiíú. dido habian la palabra muchos Sres. D iputados, y yo conti­ qne sirvieron siempre de abrigo á los rebeldes; los persiguió siu La música ha sido expresamente compuesta por el maestro t)oa nuaba en mi proyecto de no hablar ; pero una expresión que descanso, desconcertó sus fuerza…</t>
  </si>
  <si>
    <t>Lu, D. Manuel</t>
  </si>
  <si>
    <t>D. Manuel Lu</t>
  </si>
  <si>
    <t>…a, fin de Otra id. en dicho sitio, S. Rafael, á Indalecio Perez, en 30. Enero de 1859. 17178 399818544..16-!-l858729108..21f Otra id. en dicho sitio, Virgen de la Cabeza ó Tres Ami­ P o r el juzgado de primera instancia del Sr. D. Manuel Lu­ gos , en 3 1 , á Antonio Sánchez. ir i. j61?0,’ maSIst,;ado honorario de la audiencia territorial de Otra id. en dicho sitio, La Estrella , á Amaro Reina* en 30. Yalladolid, y escribanía del número de D. Luis de la Morena Otra id. en dicho sitio, Santos de D iaz, á Francisco Díaz, RED…</t>
  </si>
  <si>
    <t>…hos de Ramón Cabrera , con una reseña de sus Vales Reales no consolidados , l 4 y al contado. principales campañas. Por un emigrado del Maestrazgo. D euda negociable de 5 por 100 á p ap el, 0 0. P N virtud de providencia del Sr. D. Manuel Lu ceñ o , juez de Idem sin in terés, 6 | , á 50 d. f. ó vol. nueva. El desprecio con que se miró en su origen la facción del primera instancia de esta corte, refrendada por el escri­ Maestrazgo, la necesidad de atender á la guerra de las provin­ Acciones del banco español de S. F er n…</t>
  </si>
  <si>
    <t>Lucanor</t>
  </si>
  <si>
    <t>…as piezas de artillería, y marchó en seguida á buscar al haya quien quiera comparar á Rabelais con Cervantes que nisteriales para que se pudiese esperar verlos terminados antes enemigo. (Id.) le fue posterior, ni aun con el conde Lucanor que le an­ del 26 de Marzo, han debido reunirse los ministros actuales y tratar de los medios de dejar el tiempo necesario de constituirse tecedió un siglo. á un nuevo Gabinete antes de la apertura de las Cámaras. Cuando la falsa política y la mentida filosofía se apo­ En consecuencia ayer…</t>
  </si>
  <si>
    <t>Lucas</t>
  </si>
  <si>
    <t>…borda , Silva, Mendez V ig o, Daoia, Diaz G il, Ramírez de Gobierno por primera medida no hizo mas que decir: “ Consér­ haber nombrado un suplente m a s , y la comisión de Actas no Arellano, Surrá, V argas, Fernandez, García (D. Lucas), Mes- vese el statu qiioP Esto e s ; sígase un principio dé justicia; á tuvo inconveniente en decir que el acuerdo de la junta habia t r e , Guillen y G rá s , Montesino, Saochez del Pozo, Fuente saber: nada se ionove entre tanto, sin perjuicio de las reclama­ sido acertado, dictámen que ta…</t>
  </si>
  <si>
    <t>…ajardo, V illa lo b o s , R am irez Arellano, que se ha adelantado hasta el dia , y principalmente desde me­ partido. Hallábame yo en Madrid , joven , reducido á un cír­ Surrá y R u i , G ó m ez P a r d o , M iranda , G arcía (D. Lucas), dio siglo acá , en la ciencia política y administrativa. culo pequeño , pero todo de hombres muy ilustrados, maestros Mestre, Mascaros, Guillen y G r a s , Montesino, Sánchez Pues ahora bien, ¿perderán los fueros algo en hermanarse m ios, porque todos eran aficionados á la lectura y al estu…</t>
  </si>
  <si>
    <t>…ramente su tina , Vigo ,L3costa , Fajardo, Daoiz , Villalobos, S urrá, Paz al Sr. Arteta , dijo este que renunciaba al derecho que podia dictamen. Por otra p irte, no sabe qué giro 6 papel ha de jugar García , Starico, García (D. Lucas), Mascaros, Mestre, Guillen tener á ella. en esta discusión. Si se la conserva á la comisión de Fueros la y Gras , Montesino , Sánchez del Pozo, CLca, Cerbelió , Jaén, Prosiguiendo la discusión pendiente, dijo ventaja que concede el reglamento de usar de la palabra cuan­ Lillo 9 Verdugo , Ceva…</t>
  </si>
  <si>
    <t>…ro de la Cañavete,D iaz Gil, Mendizabal, Arguelles, Quinto, Huclves, que no fuese la española, el G o b iern o , digo, rescató aquellas Guerra, que con un celo incansable se ha ocupado de aprestar Paz G arcía, A lejo, García (D. Lucas), Ruiz del A rbol, E li- plazas sublevadas, los estados de sitio se alzaron en aquellos armas, víveres y todo lo necesario: en él reconocen todos un pe, Esteban, V iadera, Belinchon, V illaba, Guillen y Roda, dias,el orden se restableció en todos los p u n to s, las juntas de hombre incansab…</t>
  </si>
  <si>
    <t>Luceño, D. Manuel</t>
  </si>
  <si>
    <t>D. Manuel Luceño</t>
  </si>
  <si>
    <t>…uientes. Dios guarde ¿ V. muchos años, con fecha 25 del anterior da parte á este ministerio que siguen Dávila.^M El general en gefe del ejército del Centro desde Murviedro anuel María Tapia. A uto. Sin in te r m isió n , el Sr. D. Manuel Luceño , juez de Madrid 24 de Febrero de 1839.=Arrazóla. con actividad las obras de fortificación en Onda y Almenara, primera instancia de esta, capital, por ante mí el infrascrito es­ y que diariamente se presentan individuos procedentes de la cribano, y en voz' qlta dijo: Que habiéndos…</t>
  </si>
  <si>
    <t>…es. no 2 0 S m,sn,assm íluminai'j precio antiguo 36 rs .,y moder- JUZGADO DE LAVAPIES. \ ............ 154,828 29 de Febrero de 1836. 174,655.. 20 Cartilla para aprender i dibujar, sacada de las obras de Jo­ Hoy d cargo del Sr. D. Manuel Luceño. 1 . . . . . . 27,855 1.° de Octubre de 1837. 4 029 sé Rivera, llamado vulgarmente el Españoleto, precio antiguo *............ 6,715 1.° de Julio de 1825.. 5^808.. 7 12 rs., y moderno 10. 8 Principia en el portillo de Embajadores y sube por la mis­ 1 124,161 29 de Febrero de 1856.…</t>
  </si>
  <si>
    <t>…Sr. Ca­ PROVIDENCIAS JUDICIALES. En el Corresponsal de hoy se lee lo que sig u e: sas; ejecutado por el mismo y las Señoras Diez y Sierra. "T odas las noticias de que se ha dudado tanto esta m añ a­ jD O R providencia del Sr. D. Manuel Luceño, juez de prime* 4»° La última representación de la comedia también en u n na han salido ciertas. El extraordinario llegado ha traido su * ra instancia de esta corte, refrendada del escribano de su confirmación segura y completa. acto original de D. Manuel Bretón de los H erreros, cu…</t>
  </si>
  <si>
    <t>…5 de la parroquia de Moregan , distrito m unicipal de esta capital, de procurador competentemente autorizado se presente en el el faccioso conocido por el A sturiano , segundo cabecilla de la juzgado de primera instancia del Sr. D. Manuel Luceño á usar M eta les . gavilla de Souto de Rem esar, uno de los mas facinerosos de la de la comunicación que se le ha conferido en autos pendientes misma , con su caballo, montura , y un trabuco, por las tropas en el mismo y escribanía del número de D. Jacinto Revilio , á Clavos de hi…</t>
  </si>
  <si>
    <t>…entajas. Yo he sido testigo de todos los CÁRCEL NACIONAL DE CORTE. ensayos hechos con estos instrumentos, y respondo de su u ti­ lidad. Ha variado, los modos de hacerlos, pero creo que este es E N virtud de providencia del Sr. D. Manuel Luceño, juez de Quedaron existentes en 31 de O c tu b re .... 4^0 primera instancia de esta v illa, refrendada del escribano el mejor. 35. Pinzas para sostener la ropa que se ha lavado cuando se del número de la misma D. Ju an Manuel A guado , y para ha­ seca, que uo la destruyen. Una…</t>
  </si>
  <si>
    <t>…en escena el esta ocasión para rendir el homenaje debido á las autoridades gran drama trágico del maestro Donizetti con el título de de esta capital, que han fiado á esta junta la custodia y con­ E n virtud de providencia del Sr. D. Manuel Luceño, juez servación de preciosas pinturas que estaban, ó perdidas, ó er de primera instancia en esta capital, dada por la escriba­ disposición de deteriorarse , si no de oscurecerse para siempre, nía de D. Luis de la M orena, está señalado el dia 16 del cor­ cosa sensible por cierto, q…</t>
  </si>
  <si>
    <t>…ra esto último pacho de Hacienda , se le cita por el presente anuncio para que ediciones mas estimadas de ellas. la edición estereotipada de Didot. tan luego como llegue á su noticia, se sirva comparecer en la au- dieucia del Sr. D. Manuel Luceño, juez de primera instancia de Avapies en esta corte , sita en la calle de Bordadores, nú­ mero 12 nuevo, cuarto segundo, para notificarle varias pro­ BIBLIOGRAFÍA. REGLAMENTOS videncias por el escribano D. Juan Cuervo en autos seguidos entre el mismo Sr. Nieto y D. Manuel José Franc…</t>
  </si>
  <si>
    <t>…ara que lle­ PROSPECTO. gue á noticia de todos. Hacía tiempo que los catalanes anhelaban poseer un copio­ Y DEL TEATRO EXTRANGERO. so diccionario de su lengua rica, exacta y enérgica, al de la Tj'N virtud de providencia del Sr. D. Manuel Luceño , juez castellana que es la general en España. La edición del publica­ Los suscriptores á este último podrán pasar á recoger á las de primera instancia de esta capital , refrendada del es­ do en 1805 por los DD. Esteve, Belvitges y Ju g lá , qae es sin librerías de EscamilL y de Cu…</t>
  </si>
  <si>
    <t>…letras, á 6 por 100 al año. aquel término, sin mas citarles ni emplazarles, se resolverá se­ gún corresponda y les parará el perjuicio que b aja lugar. P R O V ID E N C IA S JU D IC IA L E S. 'C'N virtud de providencia del Sr. D. Manuel Luceño, juez de primera instancia de esta villa, refrendada del escriba­ COLECCION IM LDE LEYES, PRENTACO J uzgado de Amortización . no del numeró de la misma D. Juan Manuel Aguado, se ha se­ Por providencia del Sr. intendente subdelegado de rentas ñalado el dia 13 del corriente á la…</t>
  </si>
  <si>
    <t>…­ tro de dicho término en el juzgado de primera instancia de es­ una noticia sobre la Heliografia, descubierta |M&gt;r Mr. Nieppés vezeo éi présente año cómicb, él interesante y acreditado drama ta capital que está á cargo del Sr. D. Manuel Luceño, y es­ ra producir los de una descripción los medios aplicados por Mr. Daguerre pa­ admirables efectos del diorama ; y^ por último, en xinco attps, que tantos aplausos ha merecido en todas ana cribanía de número de la misma de D. Luis de la Moreoa , á seis láminas explicativas. ^…</t>
  </si>
  <si>
    <t>…­ aa, prueba el inmenso poder de Roma en las naciones de la bradores pruebas nada equívocas de su decisión y buen espíritu -cristiandad. Pruébanlo ademas la libertad de las repúblicas de que les anima. J p O R providencia del Sr. D. Manuel Luceño , juez de prime­ Italia contra las pretensiones de los Emperadores de las ca­ Los honrados vecinos de Santa María de Labrada, á quie­ ra instancia de esta villa , refrendada del escribano del nú­ sas de franconia y de Suevia. Pruébanlo tantas muestras de nes anteriormente con autori…</t>
  </si>
  <si>
    <t>…las Amazonas. realizar los misioneros, y bajo de este punto de vista la Tales son las comarcas en donde los españoles y los por­ emigración cada dia mayor de las provincias meridionales U N gistrado virtud de providencia del Sr. D. Manuel Luceño , ma— honorario de la audiencia territorial de Vallado- tugueses habiau sometido a su imperio 12 millones de de la Francia para Montevideo es el indicio de una ten­ lid y juez de primera instancia de esta corte, refrendada del es­ habitantes, a quienes dos pueblos querían tener e…</t>
  </si>
  <si>
    <t>…itadores quio del mejor éxito , siempre atento á no pasar por alto y podrá manifestarse en la escribanía del infrascrito. Dado en traer á su R egistro íntegramente ó- en extracto, segon lo pió,, T7N virtud de providencia del Sr. D. Manuel Luceño , juez Badajoz á 5 de Abril de 1839.=E1 marques de Almenara.i^Por la m ateria, cualquier ley ú orden superior de las expedidas de­ mandado de S. S ., Florencio Sánchez Rastrollo, terminadamente sobre negocios de U ltram ar, ó que convenga de primera instancia de esta villa , refre…</t>
  </si>
  <si>
    <t>…s pasos. lugar. ¿Y á quién tanto debemos? ¡Ex profeso! DESPEDIDA A la pia Cristina y al Congreso. Bien quisiera en este dia En seguida el director pronunció la oración inaugural, en Rico númen poseer, O O R providencia del Sr. D. Manuel Luceño, juez de primera la que hemos tenido el gusto de oir redactadas en un estilo no Para hacer á todos ver instancia de esta corte, refrendada del escribano de núme­ muy común, algunas proposiciones bastante luminosas, á fio No nos falta la alegría. ro D. Gervasio de Quintas, se cita y…</t>
  </si>
  <si>
    <t>…n de venta en T3 “i ,o - a enc \ Per)uici° que haya lugar. Logroño 9 de J u ­ lio de l8o9.=Sebastian Alvarez. IMPRENTA NACIONAL. la calcografía de la Imprenta nacional. La pesca del cocodrilo. £ N virtud de providencia de) Sr. D. Manuel Luceño, juez de primera instancia de esta corte, refrendada por el es­ cribano de numero D. Gervasio de Q uintaste cita llama y COLECCION DE LEYES, Este cu adro, pintado por Boucher (F .), representa á un hombre en el acto de haber introducido en la gran boca del cocodrilo un palo con…</t>
  </si>
  <si>
    <t>…n. PROVIDENCIAS JUDICIALES. Diseño general del globo terrestre: obrita dispuesta para servir de introducción á la Geografía y viajes: un tomo en N O T A . G ran función extraordinaria. Concierto vocal é P OR providencia del Sr. D. Manuel Luceño, juez de prim e- 12.° á 8 rs. en pasta. instrumental para la noche del viernes 20 de Diciembre de 1859 ra instancia de esta corte , se cita y llama por este edicto Se venden en la librería de H u rtado, calle de Carretas. á beneficio.de los profesores que componen la orquesta de óp…</t>
  </si>
  <si>
    <t>…l poder del en­ El mucho espacio que llevamos ya ocupado, y el justo gaño , ni que un corto número de perversos cobardes que hu­ temor de cansar a los lectores benévolos, no nos dejan D^ N devirtud primera de providencia del Sr. D. Manuel Luceño, juez instancia de esta muy heroica villa, refrenda­ yeron vergonsamente cargados de odio y de crímenes de países ocupar con detención en el examen de las ideas literarias extraños ó de tenebrosos escondrijos, inaccesibles á toda especie del autor, que por ser de persona tan califi…</t>
  </si>
  <si>
    <t>…o está hecho en Paris por Picrron ( J. A.). Tiene 15 p. y 5 1. de alto, y 16 p. y 4 !• de ancho: Precio an­ La composición -patética de este cuadro inspira la mayor tiguo 28 rs., y moderno 20 . U*N virtud de providencia del Sr. D. Manuel Luceño, juez ternura y devoción. Nuestro Señor Jesucristo aparece muerto, ^ de primera instancia de esta heroica villa , refrendada del sostenido y llorado por un ángel. El cadáver del divino Reden­ Sagrada Familia. escribano del número en la misma D. Tomas María Manrique, tor es admirable…</t>
  </si>
  <si>
    <t>…sobre el particular ; pero el ministro se sables que deben preceder a la salida de estos desgracia­ exaltó hasta tal extremo que calificó al doctor de demagogo y de dos. Dicho Sr. ingeniero me ha manifestado que aun no ‘C ’L Sr. D. Manuel Luceño, juez de primera instancia en esta traidor hacia el Estado. Ahora acaba de intentar Mr. Cris­ ha recibido instrucciones de su gefe, y de consiguiente no ^ corte, ha señalado el dia 11 de Abril próximo á las once tiani verse un proceso por injurias contra Mr. de Schele, y debe en l…</t>
  </si>
  <si>
    <t>…sus casas y destro­ mieses, dejándoles sin habitación en que vivir, y sin cial, el ruido y el movimiento de nuestras ciudades. Entonces un pedazo de pan para alimentar á sus hijos en este invierno. virtud de providencia del Sr. D. Manuel Luceño, juez de nuestra razón se humilla ante la grandeza y la potestad de la A pesar de ello no desmayan; y el alcalde constitucional, á primera instancia de esta heroica villa, refrendada del materia; pero nuestra alma se eleva y se llena de orgullo por­ nombre de sus ^convecinos, y el c…</t>
  </si>
  <si>
    <t>…aspirantes, á fin de que puedan dirigir sus serán para el ministerio , dirección de rentas estancadas y con­ solicitudes francas de porte al mismo ay untamiento en el tér­ taduría general de valores. virtud de providencia del Sr. D. Manuel Luceño , juez mino de 50 dias, que se contarán desde la fecha de la Gaceta 15. Este contrato deberá entenderse sin perjuicio de lo que de primera iostancia de esta corte, refrendada por el es­ del Gobierno en que fuere inserto este anuncio; la cual se halla determinen las Cortes al aproba…</t>
  </si>
  <si>
    <t>Luceño, Manuel</t>
  </si>
  <si>
    <t>Manuel Luceño</t>
  </si>
  <si>
    <t>…ro­ vincia se cita, llama y emplaza á D. Eugenio Crespo, para que en el preciso término de nueve dias se presente en la escribanía principal de Amortización, calle del Lobo, ndm. 8 , piso se­ PORD.mera providencia del Sr; D. Manuel Luceño, juez de pri­ instancia en esta corte, se cita , llama y emplaza á PRINCIPE. A las siete y media de la noche. Se volverá Manuel Gutiérrez, para que en el término de nueve dias seá poner en escena el acreditado drama en cinco actos, de M r# gundo , para hacerle saber ciertas providen…</t>
  </si>
  <si>
    <t>…l que se coge en Agosto , y en prueba de ello A voluntaddesudueño y en virtud de providencia del señor ra necesidad. La escrupulosa fidelidad con que se observan en el millar del que se coge en Marzo vale 1 () rublos, y el de D. Manuel Luceño, juez de primera instancia de esta vi­ todo el imperio las severas prescripciones de la Iglesia griega Agosto 4 O ; pero los pescadores no tienen paciencia, acometen lla de Madrid , refrendada del escribano del número en la mis­ en materia de abstinencia , contribuye á que el pescado…</t>
  </si>
  <si>
    <t>…ar del ministerio de la Gobernación de la Península para rece por la certidumbre de sus resultados y lo curioso de sus que con arreglo á lo mandado en los artículos 55 y 56 de la juzgado respectivo. (Id.) Real orden para que D. Manuel Luceño , ministro electo de la hechos, era menester un tratado elemental de la misma , en que ley sobre contribución extraordinaria de guerra , se admitan audiencia de Albacete, vuelva a encargarse de la judicatura sin hacer uso de los cálculos algebráicos se expusiesen los puntos á cada p…</t>
  </si>
  <si>
    <t>…ber el embajador de A ustria, no llenó el suyo jpO R providencia del Sr. juez de primera instancia de esta Napoleón insistía siempre en la idea de separar los con­ Mr. de Gaulincourt. Yo creo que cada uno merece su par­ villa D. Manuel Luceño, refrendada del escribano del nú ­ sulados del departamento de Relaciones exteriores. Haute­ te de gloria. En 1809 se habia unido el Austria á la In ­ mero de la misma D. Juan Manuel Aguado, se cita, llama y ’ rive se veia atacado con esto en sus propios Estados, pues glaterra, lo mas…</t>
  </si>
  <si>
    <t>p O R provideocía del 3r. D. Manuel Luceño, juez dep rim e* Santiago, patrón de España , del original de M urillo. Pre­ de V alladolid &amp;c. U n folleto en 4 .0, en buen papel é im pre- ra instancia de esta v illa, refrendada del escribano del cio antiguo 6 r s ., y moderno 4 * sion. El objeto de esta obrita es hacer ver que nue…</t>
  </si>
  <si>
    <t>Luceñó, Manuel</t>
  </si>
  <si>
    <t>Manuel Luceñó</t>
  </si>
  <si>
    <t>…ó en clase de pensio­ la plaza S. M. la Reina Gobernadora se ha servido nombrar para de ministro de la audiencia de Albacete, vacante por nistas en los seminarios conciliares ó clericales, hubieren haber vuelto á desempeñar D. Manuel Luceñó él juzgado de E N la villa de Madrid á 26 de Febrero de 1859, reunido el jurado para calificar el artículo del periódico titulado, e/ G u irigay , núm. 24, del lunes 28 de Enero próximo pasado,que salido de ellos antes de dicha época por haber concluido primera instancia de esta cor…</t>
  </si>
  <si>
    <t>Luchaba</t>
  </si>
  <si>
    <t>…stado á S. M. que tel general dé Medina de Pomar 19 dé Mayó de' í839.=:Excé- ron el mas profundo silenció. Por espacio de algunos minutos en su concepto el mayor embarazo para cualquiera Gobierno se­ léutísimó,Sr¿i=:El conde de Luchaba.= Excmo. Sr. Secretario de se suspendió el curso de las ^peticiones ord in arias, y los ge£eá r i ó l a Cámara de los C om unes; y guiado por este m o t i v o , al de. las dos opiniones permanecieron con íos brazos 'cruzados; púsmo tiempo que obedeciendo á otras inspiraciones , aconsejó Es…</t>
  </si>
  <si>
    <t>Luchana</t>
  </si>
  <si>
    <t>…« D . Joaquín Patiño. (Sun.) Castellón d e la Plana • D. « D . Diego Medrano. Salam anca. D. Bernardo Falcó. « D . José Cafranga. FR A N C IA . Marques de Espeja. C iudad-R eal. Santander. Paris 25 de D iciem bre. Conde de Luchana. «M arques de Santa Crnz. «Conde de Casa-Puente. Con motivo de ser domingo no há habido bolsa ni han ce- «M arques dé Miraflores. « D . José de Isla Fernandez. lebrado sesión las Cámaras. S egovia. Córdoba. « D . Cayetano Melendez. «M arques de Guádalcázar. «D . Ignacio de la Pezuela.…</t>
  </si>
  <si>
    <t>…cular del ministerio de H acienda para que en las causas de tre vascongados y castellanos, á consecuencia de lo cual el se­ al mando del bravo coronel Costa. fraude en que no h aya reos, ó que habiéndolos sean insol­ ñor conde de Luchana ha salido inmediatamente con parte de ventes , se sigan las rl%Tas establecidas en la Real orden de 20 sus edecanes y escolta en dirección de Lodosa, sin que hasta de Ju lio de 1833. (Id.) ahora se note movimiento alguno en los cantones. Real decreto suspendiendo las sesiones de Cortes en…</t>
  </si>
  <si>
    <t>…Coruña en la de portal de Belen, sé ha dispuesto enriquecer este cuadro ha­ como un escuadrón de caballería en Lárraga. El cuartel gene­ Perez. ciendo pasar la brillante comitiva y séquito de los Reyes que se ral del Sr. conde de Luchana pernocta esta noche en Lodosa, verán postrados adorando al Niño Dios recien nacido, á quien y probablemente seguirá adelante. La partida titulada del Ra* de cuando en cuando tocarán y cantarán villancicos los pas­ yo, cuyo comandante era de este pueblo, se presentó en Via* A N A C R E O N T…</t>
  </si>
  <si>
    <t>…en fin anuncia bien para esta escuela. Los bue­ deseos de S. M. y de cuantos toman parte en la Dios guarde á Y. S. muchos años. Madrid 31 de Marzo prosperidad del nuevo establecimiento podran ser satis­ que Elviendo Sr. conde de Luchana dice, con fecha 2 9 del pasado, el coronel Zurbano burlados sus intentos en diferen­ de l839.=A rrazola.=Sr...... fechos. tes ocasiones que ha provocado al enemigo para un combate, No hay la menor apariencia de que las provincias sin embargo de estar este asegurado en toda la linea que dir…</t>
  </si>
  <si>
    <t>…nues­ clases, consultivas, gubernativas y judiciales de una especie tras armas de un modo indudable la victoria. í res mil ca­ particular : todas ellas en una esfera superior , y por lo tanto Logroño 4 de Enero. El Sr. conde de Luchana con sn ballos pedia en la legislatura pasada el Sr. lu íam e* los compatibles en un solo cuerpo , como también queda manifes­ cuartel general salió ayer de esta capital con dirección á Haro Ministros irán para la prim avera próxim a mas alia de sus tado. y se dice que va á proteger á Casta…</t>
  </si>
  <si>
    <t>…a de de Paula Asenjo, natural que fue de Peñas- Móstoles, y conjunta persona de Francisco los jesuítas están cada dia en mayor decadencia desde la hasta de la línea de San Sebastian. expulsión de sus fundadores. El Sr. conde de Luchana con el cuartel general ocupa las Manzano , lo deducirán por medio de procurador legalmente «El régimen de las famosas misiones del Paraguay, dice mismas posiciones indicadas en la última comunicación: nues­ autorizado dentro de 50 dias, contados desde la publicación de un antiguo y célebre…</t>
  </si>
  <si>
    <t>/eciana.—Rafael ele M agriña.—Antonio Barlle.—Cirilo T ra n - tan densas tinieblas: el invicto conde de Luchana añadía á sus Y. M.rrEl taarques de Valdegema.r=Juan M ari * Fernandez Sep- [uet.^Joaqain Canals.^José M artí de Eixalá , secretario. antiguos laureles nuevas palmas de honor ganadas en los fér- j tien , secretario. =: Antonio Castilla , oficial primero, rr Pedro reos combates de Ramales y G…</t>
  </si>
  <si>
    <t>…eral de D istri­ y pasaran a las secciones para los efectos correspondientes. bución. C uartel general de Haro 4 de Enero de 1 8 3 9 . - Excmo. Sr. = P erm itién d olo todavía la hora , in v ito á los Sres. presiden­ El conde de Luchana. — Excmo. Sr. Secretario de Estado y del Estos dos brazos 00 son verdaderamente suficientes para a l­ tes de las secciones para que las reúnan y exam inen estos p ro­ canzar á todas las extremidades de la P enínsula, y por consi­ Despacho de la G uerra. yectos para el nom bram iento de las…</t>
  </si>
  <si>
    <t>…ue del N orte, manifiesta que el dia 8 del actual se apoderaron desde Cervera á Sou del Puerto, é incorporado con la d iv is ió n necesitan para sus parroquias , tienen que pagárselos muy nuestras tropas, mandadas por el conde de Luchana, del fuer­ Ayerve se dirigió por la sierra de S. Just á Montalvan con ob­ caros. te de Ramales, y que los heridos, en número de 1 6 7 , han re­ jeto de libertar aquel punto, á lo cual el enemigo posesionado Sírvale Y., Sr. editor, publicar estos hechos en su periódico cibido con prontitud cu…</t>
  </si>
  <si>
    <t>…su cumbre. Al sepa­ seguido con una unidad que hasta ahora no se habia visto. Los StQíu ^¿/o.nTodo vuestro, Clot-bey.” rarse de la fuente siguieron por los baluartes en dirección de generales que están á las órdenes del conde de Luchana han 9?También hemos recibido los periódicos de Smirna que al­ la caserna, de allí al palacio de Luxem burgo, el primer pun­ obedecido sus instrucciones y contribuido noblemente al éxito canzan hasta el 19 de Mayo. Uno de ellos contiene en p o s t ­ to que visitaron, y por último al IIotel-D…</t>
  </si>
  <si>
    <t>…alli se dirigió tuoso, la desventura de los celos y el oprobio del honor ultra­ hácia Los Arcos, en doude puede tal vez tener lugar algún D. CARLOS REVOLUCION. Y LA jado. encuentro entre aquel caudillo y el general conde de Luchana. A muchos de nuestros lectores parecerá extraño que haya­ mos reunido en una misma categoría autores tan diversos en Logroño i i de Marzo . Desde los Arcos regresó á Lodosa las formas de estilo y de composición , como Corneille y Sha­ el Sr. conde de Luchana con su cuartel general y las t…</t>
  </si>
  <si>
    <t>…icos ilum inado. t guna nación; pero que por mucha que sea nuestra confianza, hombres muertos y uu caballo. La iglesia de Atocha con su imágen y banderas. debemos ver que la vecindad de un punto importante ocupado El Sr. conde de Luchana con su cuartel general continua El coro de capuchinos de Roma con toda su comunidad. por una nación que trata de extender sus colonias y su domi­ en I la ro , y las tropas acautonadas en los pueblos de sus inme­ Está abierto todos los dias desde las diez de la mañana has­ nación, no es motiv…</t>
  </si>
  <si>
    <t>…. M artin Z u rb a n o, co­ tentes, remediando por leyes sábias este mal que es la lupia de tel general de la Nestosa 15 de M ayo de 1859 —Excmo. Sr. = mandante general de cuerpos francos de ambas R ioja s, con fe ­ El Conde de Luchana.—Excmo. Sr. Secretario de Estado y del la sociedad. cha 13 de este mes desde V itoria me dice lo que sig u e: Con el código penal se ha hecho ya una mejora importan­ Despacho de la Guerra. **Excrao. S r .: Habia en observación de esta plaza l4conipañía¡ te en la administración de justicia…</t>
  </si>
  <si>
    <t>…truido á instancia del ayuntamiento de San nistradores de provincia, han de acreditarle estos que las Lucar de Barrameda, provincia de Cádiz, con motivo de cuentas de los diferentes ramos que abraza la administra­ El Sr. conde de Luchana con fecha 15 del actual traslada exigirle aquellas oficinas la contribución de frutos civiles, ción están concluidas y á punto de dirigirlas por el in­ un parte del mariscal de campo D. Ramón Castañeda, coman­ respectiva áJqs años de 1834 á 37 inclusive, por el arbi- dante general del cuerpo…</t>
  </si>
  <si>
    <t>…nimos de estos la impresión agradable que es el guarde á V. S. muchos años.=:Cuartel general de Alcanadre 14 primero del monte ó bosque que en la villa de Buitrago perte­ tributo exigido por la belleza. de Marzo de 1859-=El conde Luchana. necen al Excmo. Sr. duque del Infantado en los términos y bajo Si el tono y el estilo de la obra no corresponden al objeto; Publíquese por bando en la forma acostumbrada , según lo las condiciones que se manifestarán en su contaduría. si está sobrecargada de adornos extraños que no le pert…</t>
  </si>
  <si>
    <t>…a. Solo encontré en una quesera una pobre aldeana con camino delas latienen situadas á tiro de pistola de la población, Puebla, sin que sea dable á la valiente guarni­ reconocimiento que Se asegura el dia 17 practicó el conde de Luchana ua sus hijos medio desnudos que se arrastraban por el suelo junto ción y Nacionales que defienden aquel baluarte de la libertad, sobre los Tornos, y que se preparaba á hacer lo al hogar. Al lado de la única pieza habitada estaban las vacas, impedir los efectos de la artillería enemiga, no t…</t>
  </si>
  <si>
    <t>…a - n esta corte , refrendada del escribano de su juzgado D . M a - m ación de causa. real en el mando del ejército carlista. iue! Fernandez de P azos, se c it a , llama y emplaza á D . M a - E l cuartel general del Sr. conde de Luchana se ha d irig id o mel M aría Castañon , para que dentro del preciso térm ino de á V illa r c a y o , con ánim o al parecer de emprender nuevas ope­ íueve dias contados desde el en que se publique este anuncio, B IB L I O G R A F IA . raciones por la parte de Orduña : si esto se verifica qued…</t>
  </si>
  <si>
    <t>…isposiciones , quiso ral en gefe y de una compañía del brillante regimiento de ca • entramos casi al mismo tiempo en el colegio que dirigía en verle representar algún papel en un teatro casero. T aim a eligió zadores del conde de Luchana. {B. O.) C hailio tM r. Lam aigniere, quien desde entonces ha desempe­</t>
  </si>
  <si>
    <t>…o á la derecha de la anterior. presente para oponerse á las operaciones que ha emprendido el H IS T Q R IA de G alic ia , que comprende los orígenes y estado Desde un parapeto construido en el moute llamado el Calvario conde de Luchana , se compone^ según noticias qtie considero * A de los pueblos septentrionales y occidentales de la España batíase tan terrible fuego de fusilería , que era de todo puuto exactas, de las tres brigadas ó divisiones y a referidas de Simón antes de su conquista por los romanos, aprobada por…</t>
  </si>
  <si>
    <t>Luchana, Delgado</t>
  </si>
  <si>
    <t>Delgado Luchana</t>
  </si>
  <si>
    <t>…prospecto, que servirán,, para dar á conocer á nues­ Otra id. barranco del Algarrobo, término de Beoadux , La cena final; precisamente en donde otras cantatrices se han es­ tros lectores el fin laudable que se ha propuesto el Sr. Delgado Luchana , por D. Eleuterio Carrascosa , en 25. trellado. No sabemos qué admirar roas en ella en esta pieza , si "E l objeto de esta publicación es generalizar el conocimien­ Otra id. eo sierra de Acenacas, cerro del Algarrobo , tér­ la verdad en la acción, el sentimiento de la actriz, ó la p…</t>
  </si>
  <si>
    <t>Lucharía</t>
  </si>
  <si>
    <t>…on el fin de qué Logroño 12 de Abril. Iloy ha salido de esta plaza con lla el 19 de Octubre de 1856 al tiempo de inventariarse las las señoras, caballeros y artesanos vean cada 15 dias, y sin la dirección á ílaro el Sr. conde de Lucharía con su cuartel ge- alhajas de iglesia y obras pias por los comisionados de la E x­ alternativa que hasta el dia , objetos que afecten sus respectivos neial y con las haterías de á 12 y de á 8 ; y han entrado seis celentísima diputación de esta provincia ; evacuada la acusa­ intereses, como…</t>
  </si>
  <si>
    <t>Luchaua</t>
  </si>
  <si>
    <t>…batallón faccioso debe reforzar el punto de la Población, No hubo bolsa por ser domingo. derno español. en donde se están fortificando, y adonde acaba de llegar un joven ingeniero pariente de Modet, de Estella. El Sr. conde de Luchaua con su cuartel general continúa en lla ro , y las tropas acantonadas en los puntos inmediatos. Taris 5 de Febrero . TEATROS. Lérida 9 de Febrero. Con motivo de las comunicaciones Bolsa de hoy. Cinco por 100 , 110, 5. PRINCIPE. El sábado 16 del corriente á las siete de la que sin duda ha re…</t>
  </si>
  <si>
    <t>LuchaóÜg</t>
  </si>
  <si>
    <t>…e se ha dirigido á la pfpvinciá de Á lava por con­ aspecto mercantil y ba jo el punto de moralidad por lo que ha­ puedan declarar sus distritos en tal estado, añadiendo con res­ secuencia sin duda del movimiento dei Sr. conde de LuchaóÜg, cía al trato que la empresa daba á los presidiarios, dijo res­ pecto á la tercera , q n e encuentra en ella una medida arbitraria, el cual con su cuartel general permanece en la villa dé Harol ' pecto del primero que se atrevía á asegurar que la empresa del pues podia muy bien haber una…</t>
  </si>
  <si>
    <t>Luciano</t>
  </si>
  <si>
    <t>…aquellos por todo el tiempo que D. Andrés de Z a y a s , D. Andrés García , D. Francisco J a v ie r Gusanos d e sed a y rem o la ch a d e az úcar . la industria fabril permanezca entre nosotros tan atrasada res­ A n g u lo , D. Luciano V id al , D. M anuel R a m íre z , D. M anuel pecto de las otras naciones. Por él vemos que los norte-ameri­ Vizcaíno y D. Pablo Rodríguez , no habiendo asistido D. J o a ­ En el N e w 'O r le a n s c o m e r c ia l bulletin de 20 de M ay o de canos, á imitación de los europeos, se empeñan…</t>
  </si>
  <si>
    <t>Lucini</t>
  </si>
  <si>
    <t>…. H art- que en L parte literaria contiene 1a pieza: otro tanto sucede coa brados, paso la recaudación de 8 millones, sin llegar á 9 ; en zembusch sentemos el precedente de su resurrección. Fúndase la artística, en la que el Sr. Lucini se ha mostrado tan rico en 1826 llegó á 7 millones, sin haber jamas alcanzado antes á esta toda la obra en cuestión sobre esta base, y no encuentro voces conocimientos, tan inteligente, tan verdadero, que injusto fuera cantidad. Asi pues, las rentas de la corona en la isla de Cuba bastantes…</t>
  </si>
  <si>
    <t>Lucini, Francisco</t>
  </si>
  <si>
    <t>Francisco Lucini</t>
  </si>
  <si>
    <t>…n traordinaria para hoy lunes 7 de Enero de 1859, á beneficio deterioro que hubiese tenido, podrá también el socio variar la 50 capítulos, cada uno de los cuales va adornado de una mag­ del profesor de maquinaria y de pintura D. Francisco Lucini. póliza de su seguro. La separación de los socios es voluntaria, Se dará principio con una brillante sinfonía ; y á continua­ y las casas no quedarán afectas á nueva responsabilidad desde nífica to de viñeta ó lámina que representa el priucipal acontecimien­ aquella parte. ción…</t>
  </si>
  <si>
    <t>…de 1838. Se estrenarán ocho decoraciones, ejecutadas al intento por de autorización que tenemos para ello , que habiéndose reci­ El objeto de esta obra periódica, que cuenta ya tres años el profesor de maquinaria y de. pintura D. Francisco Lucini. bido ta exposición en el Ministerio de Estado el 15 de Noviem­ de publicación , es popularizar y poner al alcance de todas las La música ha sido expresamente compuesta por el maestro Don bre, se dio orden en 17 del mismo al embajador de S» M. en clases de la sociedad los estudios ú…</t>
  </si>
  <si>
    <t>…sienten muy de cerca las Se estrenarán ocho decoraciones, ejecutadas al intento por consecuencias de esta guerra: la carretera de Aragón que los correspondiente al domingo 20 de Enero . el profesor de maquinaria y de pintura D. Francisco Lucini. atraviesa es la confluencia de todas las facciones que existen en las tres provincias de Teruel, Valencia y Castellón, cuyos lími­ Comprende los artículos siguientes, adornados con sus cor­ La música ha sido expresamente compuesta por el maestro Don tes estriban en dicho territo…</t>
  </si>
  <si>
    <t>…Reina Gobernadora en 26 del corriente, tos, y nueva la del últim o, pintada por el acreditado profesor á primera vista parece; pues, como he indicado antes, el si­ ha señalado los dias 1.° y 20 de Enero próximo , á las doce de D. Francisco Lucini. lencio no es una privación tan grande para un americano, á su m añana, en la sala de la misma, para la celebración del pri­ Los actores todos, que á costa de sacrificios y desvelos ofre­ quien la necesidad de hablar mucho parecería un castigo. Re­ mero y segundo remate del servicio…</t>
  </si>
  <si>
    <t>…Y en un pais asi no ha de Se estrenarán ocho decoraciones, ejecutadas al intento por bía propuesto exponer á la consideración del Congreso el día haber alguna ley que podamos acomodar ? el profesor de m aquinaria y de pintura D. Francisco Lucini* que pedí la palabra, con las que me han ocurrido al oir la exac­ T raída esta cuestión al terreno en que y a está , y habién­ La música ha sido expresamente compuesta por el maestro Don ta y profunda impugnación del Sr. Pida!. Desde luego que vi dole dado una nueva fisonomía el S…</t>
  </si>
  <si>
    <t>…ficación ; y por el c o ntrarió se M arte y Venus.=zEst. A nt. tos, y nueva la del ú ltim o, pintada por el acreditado profesor ha preferido dar simultáneamente las obras de diferentes es­ Unas ninfas bailando.—Vander W e rf. D. Francisco Lucini. cuelas y carácter, con lo que cada entrega contendrá alguna San Bartolom é.—J . R ibera. Terminará la función con baile nacional. estatua y cuadros de las principales escuelas. San Pablo sanando á unos enfermos.—Le Sueur. Tal es en bosquejo el M useo u n iv e rsa l, y puede aseg…</t>
  </si>
  <si>
    <t>Lucint</t>
  </si>
  <si>
    <t>…los gobiernos políticos^ las intendencias civiles d§ Se estrenarán ocho decoraciones» ejecutadas al intento por vincias. (N iim . 1497 .)' ORDENES. Y REG LAM ENTO S D E L G O B IE R N O el profesor de^ Maquinaria y dé pintpra D. Lucint. — nombrando comandante general de la Guardia Real exté-¡ "La música ha siap expresameoté compuesta ppr el maestro D oii rior al teniente general D. Gerónimo Yaldés. ?(Nútn. 1.498.) Y DE* LAS- mKECCtOÑES y 'AdTbklÉÁDES SU^ERÍÓr Í s. 1 Ramón Carnicer ; y .Jos &gt;bailes iqvent^adoa y dirigidos’…</t>
  </si>
  <si>
    <t>Lucí, Francisco</t>
  </si>
  <si>
    <t>Francisco Lucí</t>
  </si>
  <si>
    <t>…socios 4?556 , en fin del próximo suben las primeras á 5,905¿; Se estrenarán ocho decoraciones, ejecutadas al intento por los segundos á 1019.585.572 rs. v n ., y los terceros á 4 »856 . el profesor de maquinaria y de pintura D. Francisco Lucí ni. El Sr. tesorero D. Isidro Sainz de Rozas ha presentado su La música ha sido expresamente compuesta por el maestro Don cuenta, comprensiva del citado año de 1858. E 11 ella se contie­ ne la existencia que resultó de la anterior, el producto del re­ partimiento de un octavo por m i…</t>
  </si>
  <si>
    <t>Lucía, Joaquín</t>
  </si>
  <si>
    <t>Joaquín Lucía</t>
  </si>
  <si>
    <t>…ó á ia alegría, que no ha sido tur­ prófugos), comprendidos en la causa que se sigue por la muer­ le (continúa la B iografía) una porción de dichos p ic a n t e s , de bada por el mas mínimo accidente. te causada al presbítero D. Joaquín Lucía , beneficiado que fue los que solo citaremos el siguiente: "He venido á Francia, de­ Se ha dispuesto que sigan las iluminaciones por tres d ia s , y de la iglesia de Cariñana , en la noche de 1.° de Agosto del cía é l, para juzgar por mí mismo del mérito de tres hombres que en la noche…</t>
  </si>
  <si>
    <t>Ludalf</t>
  </si>
  <si>
    <t>…algunos individuos de la diputación y del Este convenio fue redactado por el cardenal Bernetti y elayuntamiento , cuyas corporaciones se hallan animadas de los Entre las producciones de grabado que se han expuesto este conde de Ludalf; fue firmado por el Rey el 29 de Setiembre, mejores sentimientos en favor de un proyecto tan grandioso. año en el salón del L ouvre, se cita con una distinción m uy y selia publicado como ley del reino. Mas habiéndose tocado con el inconveniente de que el convento particular la que ha ejecuta…</t>
  </si>
  <si>
    <t>Lugo</t>
  </si>
  <si>
    <t>…o de cuerpo enter» canto en el teatro con repetidos aplausos, y que en el Liceo, copiado por D. Mauricio Carballo, tanto por lo acabado de él al oirle el A h ! perché non posso odiarti de la cavatina de la Comandancia general de Lugo. =r Noticia sobre muerte y como en atención al corto tiempo del aprendizaje del alumno Sonndmbula , no tuvo (como dice del teatro de Milán otro ar­ captura de varios facciosos por las columnas de Arzúa y C han­ de que tiene conocimiento un individuo de la comisión. tículo que habla de nuestro…</t>
  </si>
  <si>
    <t>Lugo, Ramón de Rozas y Monte.</t>
  </si>
  <si>
    <t>Ramón de Rozas y Monte. Lugo</t>
  </si>
  <si>
    <t>…los recurso» mines, en ............... 5520 que les convengan en la escribanía de número que de^emneña años. Madrid 25 de Febrero de 1 8 3 9 .= A la ix . = S r. capi­ Otra erial en dicho p a r a je , de tres fanegas y tres D. Ramón de Rozas y Monte. Lugo 20 de Febrero de 1359.= tán general de Galicia. celemines, en ........................ 512 El juez de primera instancia Benito Casielles Meana. Otra en dicho sitio , e r ia l , tiene tres fanegas y dos celemines. .................... 500 ANUNCIOS OFICIALES. Otra en e…</t>
  </si>
  <si>
    <t>Lui, Doña</t>
  </si>
  <si>
    <t>Doña Lui</t>
  </si>
  <si>
    <t>…de Belmonte. mo ejército y provincia, calle de Relatores, oiiou 7 , cuarto 22, TJn eogmeíto bordado de felpillas y oro , al Sr. D. Ig— seguudo. REPERTORIO DRAMÁTICO. nació P«rez.. 24&gt;. 'Un librito de memoria bordado, á la Sra. Doña Lui­ COLECCION DE LAS M EJORES OBRAS sa Elhtuar de Martínez. O O R providencia del Sr. D, Benito Serrano y Aliaga , juez 12. Un ejemplar del espíritu del siglo y otras obras, al se­ * de primera instancia de esta villa, refrendada de D. Ja­ ñor D. Pedro Alcántara de Arce. cinto Gaona y Loech…</t>
  </si>
  <si>
    <t>Luis</t>
  </si>
  <si>
    <t>…e de C asa-P u ente, reelegido p or la V . M . d eja co rrer los m an a n tia les de riq u eza qu e a b u n d an en ad m in is tra d o s , se atre v e á su p lic a r á V . M . que se sirv a a d ­ m ism a: por la de L érida á D. Luis S ano n , en reem plazo su p riv ile g ia d o su e lo , y qu e en gran d ece su feliz situ a c ió n geo ­ m it ir la expresión de su p ro fu ndo y eterno reconocim iento. E te r­ de D. Epifanio Fortun : por la de O viedo á D. A ntonio g r á f ic a , se c o n g ra tu la v iv am e n te éon V . M…</t>
  </si>
  <si>
    <t>…á aceptar, aunque solo sea Que en la acción sostenida por la séptima columna al man­ vosotros, en 10 años podría hacerse por la prosperidad del pais I momentáneamente los cuadros que le acomode presentarle. do del comandante D. Luis rano , han resultado 11 faccio­ mas que la legislación y la administración mas sabias podrían I ¿No leemos novelas? ¿110 admitimos en ellas, si están bien sos muertos , á quienes se les ha cogido seis caballos, ocho ar­ operar. Yo confio que bajo mi administración el generoso ejem­ I escritas,…</t>
  </si>
  <si>
    <t>…erta decla­ nuestras Jilas que han sido cangeados en este dia , con jos que ahora prepara la sociedad, se restituya á esta capital su ración municado en los por S. S., y usar del traslado que le ha sido co­ autos que sigue D. Luis V illa m il, sobre re­ expresión del regimiento , batallón , compañía y clase á cátedra de agricultura , cuya ciencia positiva es la llave y fe­ tención de una certificación de crédito contra el citado, impor­ que pertenecen . licidad de la provincia , y la mas digna de los hombres libres: ta…</t>
  </si>
  <si>
    <t>…edimientos, escrita en francés por el inventor -Mr. y traducida al castellano por D. Eugenio de (Dchoa. TEATROS. dos desde esta publicación, á los herederos de Doña Fran­ cisca Alvarez, muger que fue en seguudas nupcias de D. Luis una recompensaá nacional Acompaña esta explicación el proyecto de ley que señala á Mr, D aguerre, los informes dados A las siéte d é la noche, Se dará principio con una sin­ Fernandez Viltamil, difunta , por el testamento que otorgó en por los sabios Arago y Gay Lussac á sus respectivas Cám…</t>
  </si>
  <si>
    <t>…tino Serna y Francisco de la T orre, acreedores re­ guientes: Valencia, en la de Faulí: Barcelona, en la de Sierra: jo; y en la librería de H urtado, calle de Carretas , á 4 rs. en conocidos en el concurso del coronel retirado D. Luis M arque- Zaragoza, en la de Polo y Monge: Burgos, en la de Velez: rústica. si , se servirán acudir por sí, sus hijos, herederos ó apoderados Valladolid , en las de Bassó y viuda de Roldan: Salamanca , en á la calle de la Encomienda, núm. 9, cuarto principal, á per­ la de Blanco: Santiago, en la…</t>
  </si>
  <si>
    <t>…IA DE L A G A C E T A . las doce horas de su mañana. Habiéndole denunciado ante el Sr. alcalde constitucional Se advierte que el compromiso será por tiempo de do* años Bilbao 9 de Abril. El titulado general Simón Torre per­ D. Luis (Leñalde por el promotor ÍLcal D. Ramón Alonso de ó el de tres cuando mas; pero con sujeción á lo que S. M . ten­ n o tó ei V) en Arrigorriaga con los batallones, 5 o de Vizcaya, las lleras, como incitador á la desobediencia en segundo grado, ga á bien determ inar, y que después de fenecido el…</t>
  </si>
  <si>
    <t>…tro del té rm in o de 50 días ante e! m i s m o , en el I l e r r u p c i o n ú veces de su pu b li ca c ió n, sino también de ía p é r - ral in te ié s, y corno quiera que no se descubra en eHa el in«tiz pleito que seguía con D. Luis L o p e, vecino de Villaseca de i dida de un g r a n nú m e ro de paquetes correspondientes á los sie- po'í úco de .iij ¿uto* ó aUíOiT-í, oí) ha de h - jher p;».fí.i»io que i.i llenare*, en representación de su hijo D. J u a n , sobre provisión i te primeros to m o s: de modo que hace m u c h o…</t>
  </si>
  <si>
    <t>…ta, llama y emplaza á D. A n ­ música nifestado delindistintamente maestro Bellini;todos exornada el aparato con todo órganos los periódicos, que siem­ gir estos dos elementos astronómicos de nutación y aberración. tonio y D. Luis A lcaide, vecinos de esta villa, y Andrés G on­ exige pre desula argumento. opinión pública , quiere corresponder á los elogios Por lo demas, la trigonometría esférica suministra medios zález, que lo es de la propia , para que comparezcan en dicho queNota. E n celebridad todos ellos han hech…</t>
  </si>
  <si>
    <t>…inal; y que los bailios C onsiderando el constante m érito y leales servicios de municación oportuna, y resultando de sus contestaciones que D u rfeld , en Ibourg, y el asesor Jacob, en Melle, están encarga­ teniente general D. Luis C arondelet y Castaños, barón de no se ha celebrado el acuerdo que se supone de no pagar los dos de la instrucción del proceso. C a ron d elet, com o Reina R egente y G obernadora durante impuestos y contribuciones, he determinado hacerlo saber á la En semejantes circunstancias el Gobierno ha…</t>
  </si>
  <si>
    <t>…nsigne igle-ia co ­ legial de S. Patricio de esta dicha ciudad ; D. D o m ing o M a r­ R E A L E S DECRETOS. tínez Carcelero, canónigo de la m is m a ; D. J u a n González B a r - celó, cura párroco de esta de S a ntiago; y D. Luis R odríguez, NOTICIAS EXTRANGERAS. de esta v ecin dad ; se dió principio ai acto a n u n c ia d o , y h a ­ Como Reina G obernadora, á nombre de mi augusta Hija la Reina Doña Isabel u , y en conformidad con el ar­ biendo sido examinados los alumnos presentados sobre la o r t o - tículo 15 de…</t>
  </si>
  <si>
    <t>Continua la exposición d el e x M inistro de R elaciones e x ­ fabrica de hitados de Mr. L a d e a r , de edad de 25 años, n a tu ­ ven Delille adomL estaba trab ajan do , y la condujo á un sitio teriores Don Luis G onzaga Cuevas , sobre las d ife re n ­ ral de S.aiut-M uudé (Seitie), residente en Paris , calle Lenoir, a p a r ta d o , donde íes esperaba Lebarcic , quien tenia un paqu*- cias entre A le jico y F ran cia . núm. 9. te cubierto con un papel a z u l, el cual desenvolvió ayudado de D ugas (F…</t>
  </si>
  <si>
    <t>Luis, D.</t>
  </si>
  <si>
    <t>D. Luis</t>
  </si>
  <si>
    <t>…cil mayor del consejo de Hacienda , que sé incorporo a la siciones del ramo de Pósitos eócpédidas hasiá fin del año monioso y arreb a tad o r que les es propio. Asi se explica corona, y fue reconocido sii capital en favor del Sr. D. Luis E ef- de Í826. po r q u é todos los idiomas sin excepción han conservado narrdez de Córdoba y Pimetittí! * para que en el termino dé 30 las-iuierjeccione*, voces las m enos filosóficas posibles, pues dias comparezca en este juzgado y escribanía mayor dé tetttas Véndese á 8 rs. éñ papeí y 9 é…</t>
  </si>
  <si>
    <t>Luis, D. Saturnino Calderón Collantes. Sr. D.</t>
  </si>
  <si>
    <t>D. Saturnino Calderón Collantes. Sr. D. Luis</t>
  </si>
  <si>
    <t>…Benjumea. Sr. D. Gaspar Elordi. »D . Juan Romeo y Tello. Sr. D. Antonio Valera. Sr. I). Luis Fernandez de Córdoba. Sr. D. Antonio Ramírez y Arellauo, electo. Sr. D. Miguel de Fuentes. Orense. CONGRESO DE DIPUTADOS. Coruña. Sr. D. Saturnino Calderón Collantes. Sr. D. Luis Pose. Sr. D. Josc Moure. Presidente. Sr. D. Francisco Javier Ferro Montaos. Sr. D. José Valladares. Sr. D. Nicolás Fernandez Bolado. Sr. D. Mauricio García. Sr. D. Francisco Javier Istdriz. Sr. D. Ricardo Henry. Sr. D. Manuel Feijóo y Rio. Vicepresid…</t>
  </si>
  <si>
    <t>Luisa</t>
  </si>
  <si>
    <t>…n los dias y horas que á continuación Pasquines en Calata y ud. Comunicación notable desde París D oña Vicenta Oiazabal.......................................................... 40 se expresan. al virey en cargos de Navarra. Doña Luisa E^corcia............. , 10 Se suscribe en esta corte á 4 rs* Por cuaderno en la librería s. d . m . dei c . v ................ y ; ; . ; ; ; ; ; ; ; ; ; ; . 4 Cátedras á que solo pueden asistir los matriculados. de B oix, caíle.de C arretas, núm. 8 . En las provincias á 5 ideui Doña F. de A ..…</t>
  </si>
  <si>
    <t>Luisa, Basilio Basili. María Isabel</t>
  </si>
  <si>
    <t>Basilio Basili. María Isabel Luisa</t>
  </si>
  <si>
    <t>…r ó de los Piriueos? Por otra parte, ¿cómo no ofrecer un De armonía, por D. Ramón Carnicer. Idem Antonio Sánchez y José González, cruz sencilla de tributo de respeto y alta consideración al ciudadano virtuoso y De canto , por D. Basilio Basili. María Isabel Luisa. patriota, que después de haber servido con honor y lucimiento De solfeo, por D. Manuel Ducassi. Soldados Pedro la Fu ente, Santiago Y erg a ra , Mariano al Estado durante muchos años en puestos eminentes, no se De perspectiva, por el Sr. marques de Pontejos. M…</t>
  </si>
  <si>
    <t>Luisa, Infanta Doña Marta</t>
  </si>
  <si>
    <t>Infanta Doña Marta Luisa</t>
  </si>
  <si>
    <t>…E g ip to , entró S. M. la R e i n a , s u augusta Madre la R e i n a Goberna­ virey positivamente que en la situación actual no restituirá la hace dos dias en este puerto á bordo de su corbeta. Ignoramos dora y la Serm a. Sra. Infanta Doña Marta Luisa F er­ escuadra otomana. si permanecerá a q u i; algunos suponen que el príncipe debe v i ­ El p ers o n a je turco H afi-B ey que ha llegado con M r. A n ­ sitar todos los puertos, de la.S iria. f * n an d a , continúan en esta corte sin novedad en su im ­ selme ha traido a…</t>
  </si>
  <si>
    <t>Luisa, Infanta Doña María</t>
  </si>
  <si>
    <t>Infanta Doña María Luisa</t>
  </si>
  <si>
    <t>…S. M. la R e i n a , s u augusta Madre la R e i n a G o b e r n a ­ esta p r o v in c ia , a f t i e m p o que ha m anifestado sus sim p atía s h a ­ ga provincial, han movido el ánimo de S. M. á mandar d o r a y la Serma. Sra. Infanta Doña María Luisa F e r­ cia los revoltosos, se ha lim itad o á im p ed ir que fuesen a ta c a ­ que hasta que las próximas Cortes, en vista de lo que el dos por las tro pas que h an permanecido fieles á M aroto . En nanda, continúan en esta corte sin novedad en su im­ Gobierno les haga pre…</t>
  </si>
  <si>
    <t>…l domingo último en S. Cloud. El general se dirige á )o en una empresa cuya importancia es tan poco contestable. Italia. {Idem.) S . M. la R e i n a , s u augusta M adre la R e i n a G o b e r n a ­ d o r a y la S e rm a. Sra. Infanta Doña María Luisa F er­ Escriben de Hannóver que un cierto número de personajes n a n d a , co n tin ú an e n esta corte sin no ved ad en su im ­ El paquebote de Levante, que ha llegado el 2 0 , ha traído y de familias notables tienen intención ce ir á pasar el invier­ periódicos de Smirna q…</t>
  </si>
  <si>
    <t>…oberna­ Castilla. Poco falta , Señora , para que la p a z , símbolo de todos los Sala capitular de ViHacarrillo 2 5 de Setiembre de 1 8 5 9 = bienes sociales, fije su imperio en esta nación heroica, harto dora y la Serm a. Sra. Infanta Doña María Luisa F er­ Señora.= A L. R. P. de V. M . = M jn u e í de Beuavides y Z u u - tiempo devorada por la fatal discordia que un príncipe a m ­ nanda, continúan en esta corte sin novedad en su im­ brano.=lldefooso Marmol y M o re n o .= Ju a n Risp ado = Antonio bicioso provocara. Una…</t>
  </si>
  <si>
    <t>…tosa, el 50 de forzado las h'.-eas de Ramales con algunos bata Mores de los que Abril último manifiesta haber hecho un reconocimiento á la ocupan las alturas del inmediato valle de C arran z a: dicho ge­ nadora y la Serma. Sra. Infanta Doña María Luisa F e r ­ vista de Ramales después de allanar los obstáculos que el enem i­ neral en gefe se propone continuar las o»?er-aciones en detall , ya go habia opuesto en el camino , á excepción de una cortadura que el enemigo rehuye un combate decisivo, prometiéndose nanda, contin…</t>
  </si>
  <si>
    <t>…á sus padres, los pa­ S. M. la R e i n a , s u augusta Madre la R eina G o b er n a ­ No dudamos de los resultados que se obtendrán: este camine dres á sus h ijo s, las mugeres envenenan á sus maridos, las dora y la Serma. Sra. Infanta Doña María Luisa F ern an ­ abieito á la reforma penitenciaria será el que conduzca á nue­ madres ahogan fríamente á sus hijos: ¡ y el jurado con su acos­ vos progresos. tumbrada indulgencia no falta á esta execrable esperanza !” da, continúan en esta corte sin novedad en su importante salu…</t>
  </si>
  <si>
    <t>…d del empeña S. M. la R e i n a , su augusta Madre la R e i n a G o b e r n a ­ darlos embarcar en un buque para que los llevase á Buenos- que estoy próxima á contraer, no he tornado esta resolución sin d o r a y la Serma. Sra. Infanta Doña María Luisa F er­ Aires. haberlo reflexionado antes con toda madurez ni hasta haber ad ­ nanda, continúan en esta corte sin novedad en su im­ Los franceses por su parte no permanecían inactivos. El quirido la convicción de que con el auxilio del Todopoderoso dia 2 de Setiembre el ejérc…</t>
  </si>
  <si>
    <t>N.° 1603. SABADO 6 DE ABRIL DE 1839. d ie z c u a r t o s . la conducción de efectos estancados desde la fábrica de Sevilla S. M. la R e i n a , su augusta Madre la R e i n a G o b e r n a ­ FRANCIA. d ora y la Serma. Sra. Infanta Doña María Luisa F ernan­ á esta capital y á las diferentes administraciones de la provin­ da, continúan en esta corte sin novedad en su im portante cia , señalándose para el remate el dia 15 de Abril próximo ve­ Taris 26 de Marzo. salud. nidero á las doce de su mañana en los estrados de est…</t>
  </si>
  <si>
    <t>…general de A lic a n te , el cual con refe­ tales por el Gobierno español. rencia á partes délos dias 2 6 y 28 del anterior, recibidos del c a ­ Art. 2.° Las disposiciones del precedente artículo tendrán d o r a y la Serma. Sra. Infanta Doña María Luisa F ernan­ pitán de la compañía franca de aquella provincia D. Joaquín su cumplimiento cou los buques, producciones ó manufacturas da, continúan en esta corte sin novedad en su importante Antonio Sendra, manifiesta que el 2 6 en un encuentro que t u ­ de la nación española qu…</t>
  </si>
  <si>
    <t>…la misma instrucción. a restauración de Cárlos ii , pediré á la Cámara que se reúna Y en cumplimiento de lo resuelto en el art. 15 del Real de­ &gt;1 30 , y aprovecharé esta ocasión para comunicar á la Cámara dora y la Serm a. Sra. Infanta Doña María Luisa F ern an ­ creto de 15 de M arzo, firma la junta por cuatriplicada la pre­ a marcha que el Gobierno se propone seguir relativamente á d a , continúan en esta corte sin novedad en su im portante sente acta formal á los efectos y para los usos que el mismo y ¡iertos puntos. M…</t>
  </si>
  <si>
    <t>…e que S. M. la R e in a ., s u augusta Madre la R e i n a G o b e r n a ­ ñ o r : Con la mayor satisfacción participo á Y . E. q u e , como hacia tiempo que los presidiarios estaban m u y bien tratados, d o r a y la Serm a. Sra. Infanta Doña María Luisa F ern an ­ tuve el honor de ofrecerle en mi comunicación nútn. 94&gt; en el acreditándolo el no habérsele quejado n in g u n o , á quienes in d i­ dia de ayer conduje yo mismo las brigadas de este presidio pe­ vidualmente interrogó á solas acerca del modo con que se con­ d a,…</t>
  </si>
  <si>
    <t>…espira guerra, S, M. la R e i n a , s u augusta Madre la R e i n a G oberna­ tru ir con vuestras propias manos el dique secular que la P ro v i­ y sabe hacerla. Dejadle', y llegará hasta el fin del mundo, dora y la Serm a. Sra. Infanta Doña María Luisa F ernan­ dencia ha formado contra la ambición moscobita : es mas toda- antes de dos meses se hallaría eu Constautinopla. Corresponde todavía: es an iquilar la posibilidad de aquellas eficaces diversio­ a aquella raza de hombres que no se parau sino cuando sucum­ d a, contin…</t>
  </si>
  <si>
    <t>…adre la. R e i n a tierna de su corazón por unos seo » tejimientos que engendran G obern a­ No hubo bolsa el dia anterior por ser domingo. esperanzas tari altamente lisonjera* , y queda rogando al Om­ dora y la S e r m a . Sra. Infanta Doña María Luisa F er­ nipotente conserve la importante vida de Y. M . y la de su au» nanda, continúan en esta corte sin novedad en su im­ gusta Madre la Gobernadora del reino para prosperidad de la nación. A la vista tenemos la contestación votada por los Estados portante salud. Pozoblsnc…</t>
  </si>
  <si>
    <t>…pudiera asegurar ser verdadero. Este es el de veneración S. M. la R e in a , su augusta Madre la R e in a G o b e r n a ­ á la persona de V. M. y obediencia á su Gobierno, en cuyos NOTICIAS EXTRANGERAS. d o r a y la Serma. Sra. Infanta Doña María Luisa F er­ actos este ayuntam iento ve secundadas las augustas, benéficas nanda, continúan en esta corte sin novedad en s u im ­ y liberales intenciones de V. M ., procurando aliviar los males TURQUIA. que aquejan á esta nación, hácia quien parece asomarse dias de portante sal…</t>
  </si>
  <si>
    <t>…e. Los h abitantes de aquellas S. M. la R e i n a , s u augusta Madre la R e i n a G obern a­ poblaciones se manifiestan en el mejor sentido, y vuelven á en­ En nombre de mi augusta Hija la Reina Doña Isa­ dora y la Serma. Sra. Infanta Doña María Luisa F e r­ tregarse al ejercicio de la pesca , c u y a in d u stria les es m u y pro­ bel n vengo en conferir en propiedad la intendencia de d u c t iv a . L a g ente de nuestros buques observa la mejor d isc i­ nanda, continúan en esta corte sin novedad en su im­ la provincia…</t>
  </si>
  <si>
    <t>…n a G o b e r n a ­ dispondrá esta su cumplimiento, y la circulará en la a r­ fin se desengañaron y odian la revolución y los trastornos: la paz. Señora , la paz; esta es la gran necesidad expresada por ese dora y la Serma. Sra. Infanta Doña María Luisa F er­ mada para que tenga la conveniente publicidad. 3.a Para el mejor acierto en las distribuciones, podrá largo gemido de dolor que resuena en toda la extemion dela nanda, continúan en esta corte sin novedad en su im ­ dicha corporación llamar á sí cuantas noticias juzgue…</t>
  </si>
  <si>
    <t>…u ran te S . M. la R e i n a , s u augusta M adre la R e i n a G o b e r n a ­ mente él aspecto de las cosas. L a condición de la elección cam la m enor edad de mi excelsa Hija la Reina Doña Isabel n&gt; d o r a y la Serm a. Sra. Infanta Doña María Luisa F er­ bió de repente. ¿D eb ería por lo mismo haberse consultado d y en su Real n o m b re , en uso de la prerogativa que et nan d a, continúan en esta corte sin novedad en su im ­ nuevo la voluntad de la n ación? L a crítica y la política deci art. 26 de la Constitución m…</t>
  </si>
  <si>
    <t>…oncerniente a la del ministerio G rey, esta cuestión ha ocupado el espíritu pú­ ejecución del tratado de los veinte y cuatro artículos para la blico, y creo es llegado el momento de examinar hasta qué pun­ dora y la Serm a. Sra. Infanta Doña María Luisa F ernan­ cesión de los territorios, se dice que las tropas holandesas ope­ to la legislación de los cereales está en armonía con las leyes del da, continúan en esta corte sin novedad en su im portante rarán en el Limburgo , y las prusianas en el Luxeinburgo. pais. (J. d es…</t>
  </si>
  <si>
    <t>…checo y por mi testimonio se ha formado PARTE RECIBIDO EN LA SECRETARIA DE ESTADO causa contra D. Isidro Sánchez Caro , editor responsable del Y D E L DESPACHO DE * LA GOBERNACION D E LA- P E N IN S U L A . dora y laSjerma. Sra. Infanta Doña María Luisa F ern an ­ periódico titulado E l Guirigay, por denuncia hecha por el pfo- motor fiscal de los juzgados de primera instancia de esta corte Gobierno político de la provincia de Jaen.=:Excmo. señor: d a , continúan en esta corte sin novedad en su im portante, La Real orden de…</t>
  </si>
  <si>
    <t>…e i n a G o b e r n a ­ ha presentado á nuestro valiente almirante nueva ocasión de Se han declarado numerosos casos de hidrofobia en el dis­ sostener la dignidad del pais, rechazando hasta la apariencia do dora y la Serma. Sra. Infanta Doña María Luisa F e r ­ trito de Avranches con una espantosa intensidad: en las cer­ una mediación armada, aunque se anunciase como amiga, y exi­ nanda, continúan en esta corte sin novedad en su im­ canías de Vihedieu han sido mordidos por perros y lobos ra ­ giendo para aceptar esta mediac…</t>
  </si>
  <si>
    <t>…r n a ­ roica y sufrida en los trabajos es á la par prudente y sensata vanecida. en los peligros. V. M. ha hecho el adecuado aprecio del voto No necesitamos nombrar esta grande Potencia. (P r e s s e .) d o r a y la Serma. Sra. Infanta Doña María Luisa F er­ general, consultándole para el acuerdo y firme subsistencia de nanda, continúan en esta corte sin novedad en su im­ los sanos principios y acertadas leyes que aseguran con la paz la gloria y la ventura que la monarquía reclama con necesidad Una diputación de comercian…</t>
  </si>
  <si>
    <t>…en nuevo statu q u o , es decir, la sanción de las ventajas consegui­ Tours. S. M. la R e i n a , s u augusta Madre la R e i n a G oberna* das por el bajá de E g i p t o , y la garantía del mantenimiento dora y la Serm a. Sra. Infanta Doña María Luisa F e r­ del imperio que actualmente posee el Sultán. ¿ Y qué otra cosa pueden querer las Potencias europeas? La Rusia puede desear Se lee en el J o u rn a l du H a v r e de 10 del corriente: n an d a, continúan en esta corte sin novedad en su im­ se le presente un pretexto,…</t>
  </si>
  <si>
    <t>…opesía de pecho compl i cada S. M. la R e i n a , su augusta Madre la R eina G o b er n a ­ entera se l eva nt a rí a pa r a anonadarl e. con una afección de los pul mones: escupe s a n g r e , y todas las dora y la Serma. Sra. Infanta Doña María Luisa F ern an ­ noches padece un violento acceso de cal entura. El inal ha hecho y a tan profundos est ragos, que se cree general ment e que no da, continúan en esta corte sin novedad en su importante pasará el enfermo del mes de Setiembre. A u n q u e la enfermedad salud. El N…</t>
  </si>
  <si>
    <t>…a G o b er n a ­ que manifiesta que el comandante de la cuarta columna de ope­ Otro idem del de Córdoba. raciones D. Antonio A m ie v a, destinado á perseguir la facción Y 1274 soldados, cabos y tambores. dora y la Serm a. Sra. Infanta Doña María Luisa F ernan­ de ambas armas que ocupaba el pueblo de Espinosa del R ey, habia dado alcance el dia antes á la infantería en em iga, re­ d a, continúan en esta corte sin novedad en su importante sultando de la carga que le d io , quedar en el campo 19 rebel­ D irección g e n e r…</t>
  </si>
  <si>
    <t>…ra que en^la plaza de la Constitu- virtud de providencia dictada por el Sr. D. Ju an José ;ion se efectúe la solemne quema de documentos de la deudc Rodríguez Yaldeosera , juez togado de primera instancia dora y la Serm a. Sra. Infanta Doña María Luisa F ern an ­ aublica no endosable contenidos en el suplemento á la Gacetí de esta corte, refrendada del escribano de S. M. y de su juz­ da, continúan en esta corte sin novedad en su im portante le 28 de Enero próximo pasado. Lo que se hace saber al públi gado D. Manuel bernan…</t>
  </si>
  <si>
    <t>…dos años de ejercer el cargo de ase­ 3.a Si los alcaldes se negaren á aplicar y exigir las sor; cuya privación podrá redimir pagando ademas otros multas correspondientes, deberán los guardas dar parte a d o r a y la Senna. Sra. Infanta Doña María Luisa F e rn an ­ 500 duros: su inmediato geíe para que este lo ponga en conocimiento da, continúan en esta corte sin novedad en su importante Al licenciado D. Laureano Miranda una multa de G00 del geíe político, a fin de que acuerde lo conveniente se- pesos, y privación de ejer…</t>
  </si>
  <si>
    <t>Luisa, María</t>
  </si>
  <si>
    <t>María Luisa</t>
  </si>
  <si>
    <t>…; se comandante general de la caballería D. Ricardo Scheüy , les a participar esta circunstancia á V. E . , a fio que se sirva j manifesté mis intenciones , el orden que debían seguir con las dora y la Serma* Sra. Infam a Doña María Luisa F e rn a n ­ mandar se publique para noticia del com ercio.” i respectivas fuerzas de su mando, y los puntos por donde debían, De Real orden comunicada por el Sr. ministro de Ha­ i dirigirse, te rm in a d a s mis instrucciones ordené ía ejecución ge­ d a , continúan en esta cqrte sin n…</t>
  </si>
  <si>
    <t>…ABRIL DE 1839. DIEZ CUARTOS. S. M. la R e in a , su augusta Madre la R e in a G o bern a ­ dirección general de Rentas de 10 de Mayo de 1833, por PARTE RECIBIDO EN LA SECRETARIA DE ESTADO dora y la S e rm a . Sra. In fa m a Doña María Luisa F ern an ­ cuanto eñ la ley de 25 de Mayo de 1835 quedó abolido Y DEL DESPACHO DE MARINA. da, continúan en esta corte sin novedad en su importante el derecho gradual sobre herencias libres, impuesto por salud. Real decreto de 31 de Diciembre de 1829. De Real or­ Excmo. Sr.: Por mi comuni…</t>
  </si>
  <si>
    <t>…sto ex­ S. M. la R e in a , sü augusta Madre la R eina G oberna ­ Tam pico.-rM ariano A rista.—A pruebo este convenio. ± Ignacio quisito, é iluminadas con faroles de colores diversos, presenta­ dora y la Serma. Sfá&lt; Infanta Doña María Luisa F e r­ Escalada. ban un golpe de Vista admirable. El Sena feílejabt los fuegos Hé áqoi term inada la lucha de Tampico sin sangre; Con­ suspendidos en las cuerdas, y aumentaba la mágia del cuadro; n a n d a , co n tin ú a il en esta corte sin novedad en su im­ gratulémonos por un aconte…</t>
  </si>
  <si>
    <t>…á V . M. ha dispensado y dispensa á la nación por medio de su V. E. por la gran parte de felicidad que le to ca, como m iem ­ sabio G obierno, demuestran se aproxim a el feliz térm ino de los dora y la Serm a. S ra. Infanta Doña María Luisa F er­ bro representante del G obierno, en el arreglo y conclusioo de desastrosos efectos de la fratricid a guerra que la devora , e v i­ nan d a, con tin ú an en esta corte sin novedad en su im ­ aquel tratado tan solemne como glorioso, q u e , perpetuando la tando la continuación del de…</t>
  </si>
  <si>
    <t>…i ón , como hemos dicho , y segui remos de ­ S. M. la R e i n a , s u augusta Madre la R e i n a G oberna­ FRANCIA. most ra ndo, puede ser r ef or mada de sus defectos por vias l e g a ­ dora y la Serma. Sra. I n f a n t a Doña María Luisa F ern an ­ les y de una ma ne ra pacífica. Entre tanto proporciona los m e ­ dios suficientes para que mar che la n a c i ó n , mi e nt r a s ella mis-* B urdeos 19 Julio. da, continúan en esta corte sin novedad en su importante ina no h varíe. L a r u c i an s ober ana, lo r e pet i m…</t>
  </si>
  <si>
    <t>…acude presurosa al teatro de la puerta de S. M a r t i n para S. M. la R e i n a , su augusta Madre la R e i n a Goberna­ y las medi as tintas. gozar de tan ext r aor di nar i o espectáculo. d o r a y la Serma. Sra. luíanla Doña María Luisa F e r ­ E l si gui ent e hecho conf irma lo que acabamos de sentar acer­ n and a, continúan en esta corte sin novedad en su im­ ca de la asombrosa representación que a un nos t iene a d m i ­ L a ¡beneficencia es uno de los rasgos característ i cos de L u i s rados. portante salud. El g…</t>
  </si>
  <si>
    <t>…. PARTE OFICIAL. DE AMORTIZACION. J^s yn S. M. la R e i n a . , s u augusta Madre la R e i n a G o b e r n a d o r a , y la Serm a. Sra. Infanta Existencia en 28 de Febrero ú ltim o .. . 11541818 52156/,4.. 3 14 5 57462.. Doña María Luisa F e rn a n d a , continúan en esta co rte sin novedad en su im portante salud. R ecau d ación . Por aguardiente y licores (atrasos)................. ¿ 3^ C O N T A D U R IA G E N E R A L M ES D E MARZO . Anualidades y vacantes 39057 12 59057 1 DE VALORES. _______ d e 1 8 3 9 ______…</t>
  </si>
  <si>
    <t>Luisa.tfernan-, Infanta Doña María</t>
  </si>
  <si>
    <t>Infanta Doña María Luisa.tfernan-</t>
  </si>
  <si>
    <t>…ie z cu art o s. c : S . M. la R e i n a , su augusta Madre la R e i n a Goberna­ a subasta de la casa calle de C arretas, nura. 14 nuevo de la para la contribución extraordinaria de guerra , fue para salváf dora y la Serma. Sra. Infanta Doña María Luisa.tfernan- nauzana 206 , anunciada en este periódico con fecha 5 de D i­ un déficit que resultaba correspondiente al. año de 1857 , y ciembre del año ú ltim o , está señalado para el remate de la pro­ para eso se señaló la cantidad de 605 millones. Parecía que en (áa, continú…</t>
  </si>
  <si>
    <t>LUJ</t>
  </si>
  <si>
    <t>…ención./Quién sión que nos hicieron Los Sres. Iznardi y Viadera hacen una pequeña aclaración. a vista de esto dudará que fue hallado infraganti ? Yo no digo de juzgar á esa autoridad cuando supimos esos movimientos. Antes El Sr. L U JA N dice que los sucesos de Sevilla son bien co­ que el Sr. D iputado Alvarez sea delincuente, porque eso toca Sevilla , y tomemos te responsabilidad , es menester que nos traslademos á nocidos do todos los Sres. Diputados, pues los hechos ocurridos a los tribunales. El Sr. general Sanjuanena…</t>
  </si>
  <si>
    <t>…e habia era que no estaban bien y asimismo otra del Sr. L u ja n . autor ‘dé ella determ inadas esas a trib u cio n e s: este es nuestro trabajo; de nues­ Puesto á votación el artículo por p árra fo s, se leyó el p r i ­ El Sr. L U JA N : M i objeto es conceder el derecho de peti­ tra parte no h a y in v e n ció n , no h a y im p ortación ; eso que se m e ro , y se declaró que fuese nom inal la v o ta c ió n , resultando ción á los ayuntam ientos, sancionar en esta ley las opiniones ha dicho de importaciones extrangeras e…</t>
  </si>
  <si>
    <t>…ongreso que no la pero creo que estoy en el caso de renunciarla , pues habiéndola ta aclarara algo mas el proyecto de ley sobre este punto. dé su asentimiento. pedido el Sr. Arguelles, me parece que de su boca saldrá la E l Sr. L U JA N contestó que no era aquel negocio del Con­ Se suspendió esta discusión. verdad mejor que de la raia , mucho mas en una cuestión de greso, pues que los bienes que los peticionarios reclamaban c a n El Sr. M inistro de la G U E R R A ocupó la tribuna , y leyó tanta trascendencia é importanci…</t>
  </si>
  <si>
    <t>…tán muy bien escritas, y sus asuntos bien vestida de todas las formalidades precisas según se halla consig­ tículo 5.° dél mismo proyecto. elegidos; pero el Sr. Martínez de la Rosa conocerá fácil­ nado en la Constitución. El Sr. L U JA N contestó que la comisión estaba conforme El Sr. L U JA N : He repetido varias veces en mi discurso con lo que proponía el Sr. Ministro. m ente que fallan otras para com pletar el libro délos niños : que no creia que el Sr. Arteta llevase intención en lo que ha Declarado el punto suficiente…</t>
  </si>
  <si>
    <t>…a de Colmenar de Oreja se congratula con V. M . , con el do , sino para los dernas que se presenten. cimentodo en unos términos incontrarestables; por cuanto lo pueblo, con el primer soldado español, y hasta con el Gobier­ El Sr. L U JA N : Empiezo por manifestar que es sensible no extraviados españoles, de las provincias del Norte, le han re­ no mismo que á la vez supieron hacer sacrificios sin cuentos se halle presente el Sr. Ministro de Guerra , para que dijese conocido de corazón , cuyas impregnaciones son debidas á V. M…</t>
  </si>
  <si>
    <t>LUJAN</t>
  </si>
  <si>
    <t>…española, sumer­ El invicto guerrero marcha á pacificar el pais que aun prudencia y consonancia. gida en los horrores de la guerra civil encarnizada, no colum­ gime agobiado por la rebelión; su triunfo no es dudoso; ó co­ El Sr. L U J A N hizo breves observaciones en apoyo del d ic­ braba en todo el horizonte el mas leve presagio de tranquilidad nocen su error aquellos extraviados y se acogen al asilo de la támen dirigidas todas á probar que la ley era necesaria y fácil y bonanza Encastillado el Pretendiente en las fortal…</t>
  </si>
  <si>
    <t>…es ia pura verdad; Rectifican varios hechos los Sres. Benavides y Dele; a do. sancione ; pero ind ire c tam en te puede e x tin g u irse por medio de la verdadera expresión , señores, no olvidemos e s t o , (as m a y o ­ El Sr. L U J A N : No h abía pensado totear La mihbr.a sobra los presupuestos. N o d ig o nada de ese a rb itr io escandaloso de rías son las que representan la v o lu n t a d ; por con sig uien te to­ la cuestión que e a este momento ocupa ai Congreso ; pero el h a ­ comisiones para cobrar s u e ld o ;…</t>
  </si>
  <si>
    <t>…do ó d isim u ­ tít. 1 2 del reglamento. Ilccha la pregunta se decidió por la afirm ativa. lado otras negociaciones de esta especie, reconven ció n , dice, E l Sr. P R E S I D E N T E : Orden del dia. Continúa la discu­ E l Sr. L U J A N pidió la palabra , y obtenida d ijo : A p r o ­ que no esperaba oir de boca del Sr. M in is t r o , pues S. S. sabia sión de los dictámenes pendientes. vechando la ocasión de hallarse presente el Gobierno, quiero d i ­ m u y bien la época ea que había pertenecido á las C o rte s , y Se d…</t>
  </si>
  <si>
    <t>…ce á V. E. con este motivo el m u presentado, y desechar el artículo que la comisión presenta. grado de opulencia para hacer estos desperdicios, cuando nadie sincero p arabién: porque si grande es el placer q ue le causa El Sr. L U J A N : Como el Congreso habrá notado ; mas bien se acuerda de la fuente por donde han de fructificarse ? C u a u - un hecho tan importante , se aumenta aun mucho mas su sa­ que defender í u enrcierda , el Sr. Ruiz del Arbol ha im p u g ­ do las naciones se hallan en aquella situación , es cuan…</t>
  </si>
  <si>
    <t>Lujan</t>
  </si>
  <si>
    <t>…pre­ 1503 los individuos que debia premiarse, sino 803, poco mas ley nos oponemos ai pensamiento que encierra. Yo en manera miando á los miembros mas distinguidos , premiando á los mas ó menos , según el cálculo que hizo el Sr. Lujan con el señor ninguna me opongo; me opongo al m odo, pero no al objeto. valientes: y ¿tan difícil seria que se sacara de un regimiento uno Ministro de la Guerra. Sigue el artículo i.° dicieudo: los individuos á quienes se ó dos por compañía , que fueran los que mas se hubieran dis­ El Sr. L U…</t>
  </si>
  <si>
    <t>…llándose desatendidas nuestras lleva en la culpa la pena. tan floreciente las naciones europeas, es debido en gran parte i mas perentorias obligaciones. la buena división de la propiedad, cuya falta en nuestra na­ Ha dicho el Sr. Lujan que esta era una medida grande; si Lo m ism o hem os advertido en las dem as com posicio­ ción hace que no se encuentre en una posición mas ventajosa. la ley se sanciona yo aseguro al Congreso, y pongo por testi­ nes poéticas. Véase f i no esta estanza en el H im no á la Después de contestar…</t>
  </si>
  <si>
    <t>…untos que en el voto particular propongo. mo se pasará aviso al Gobierno de S. M. de la interpelación cibidas en el ministerio de Hacienda, se sabe continuaban go­ Nadie puede negar que en la concesión de fondos á la em­ del Sr. Lujan. zando aquellas islas de la mas completa tranquilidad , sin te­ presa había que reconocer losderechos de los pertenecientes á los Pasó á la comisión de Actas un oficio del Sr. D. Antonio mor alguno de que pudiese ser turbada ; y que se preparaba terrenos de particulares, pues entonces no ten…</t>
  </si>
  <si>
    <t>…que esta ha cobrado todos los derechos terpelación , á fin de que la cuestión no se extravíe. tual ni del geueral. El Gobierno ha hecho cuanto ha podido én «fue se la adjudicaron. Esto es lo que ha tenido presente la co- El Sr. L U J A N : Asi lo haré, Sr. Presidente. Es m uy penoso medio de esas escaseces, y respecto á esa insurrección y a se han ínision. ¿P ueden las Cortes decir: cesó la empresa en sus dere­ para m í, cuando el Congreso se halla fatigado hace tres dias tomado las disposiciones necesarias. chos? No. Lo…</t>
  </si>
  <si>
    <t>…smos en la época constitucional de 1820 á 1825 do con la mayor satisfacción la comunicación anterior. D . Joaquín Bayona. por sucesión, por testamento, por donación graciosa ó remu­ A continuación se leyó una proposición del Sr. Lujan para Se acordó pasar á la comisión de Actas. neratoria ó por otras traslativas de dominio.” que el Congreso acordase un voto de gracias al general duque Asimismo se dió cuenta de que las secciones habían nom­ El Sr. L A N D E R O , como autor de la enmienda, la apoyó de la Victoria y al ejér…</t>
  </si>
  <si>
    <t>…tomadas en su algún pedido ó imponía algún préstamo, se decia contra fuero, hallaban sus trabajos. se n tid o , no puedo menos de continuar haciendo la oposición é inmediatamente se promovía un alboroto: ¿ cuál era el re­ El Sr. L U J A N , secretario de esa comisión, manifestó que al preámbulo del proyecto de la comisión. sultado? El Gobierno de aquel tiempo, sin acudir á la fuerza desde luego que se reunió se dividió en secciones, según los Todos hemos convenido en el p rin c ip io , no digo los seño­ armada , procedía…</t>
  </si>
  <si>
    <t>…ien no so­ mas que lo ha procurado el buen discurso del Sr. marques de acta de la anterior. lamente tenia la facultad de ju z g a r, sino también la de enten- V ilu m a , no ha podido encontrar en toda la Constitución mas El Sr. L U J A N : En la sesión del sábado se me hace decir 0 der en otros asuntos de ad m in istració n, como propios, arb i­ que un solo artículo que sea contrario á la existencia de las d i­ en el D iario de las sesiones, en contestación al Sr. Sánchez de trio s, y en otras materias de buen gobierno: e…</t>
  </si>
  <si>
    <t>…K T E T A dijo en nombre de la comisión que si en la Gaceta de 5i de Diciembre último. El Sr. P ID A L se opone ai p royecto, porque dice q u e íestá bien esta profesaba los iniSmos senil, i míe otos del Sr. Arguelles., E l Sr. L U J A N empezó manifestando que la cuestión ac­ ley no tiene la menor consonancia con la ley fundam ental, que y conocía cuán peligroso era dejar á la dirección de la em ­ tual era de suma im p o rta n cia , y que debia mirarse c o i d o una es ta que debe haber en todas las leyes. Que no quisier…</t>
  </si>
  <si>
    <t>…rio de los documentos fehacientes: y añadió correspondía á los demas pueblos de la provincia. ción espontánea para festejos públicos con el fin de acabar de que es de absoluta necesidad que se remitan esas listas que pide El Sr. L U J A N contestó que la comisión no podia ad m itir reconciliar los ánimos. la comisión para que el Congreso pueda fallar con acierto. la en m ien d a; que la riqueza del pueblo que el Sr. Lacoste ha­ El Sr. SANCHEZ DE L A F U E N TE impugnó el dicta­ bía señalado era inm ensa; que la mayor part…</t>
  </si>
  <si>
    <t>…ibertad. (El S r . Vila p id ió que quiere ser temporal bajo el nombre de divino. He dicho. exírangeras de ningún género á producir un cambio, en que no la p a la b r a e n co n tra .) Celebro mucho que el Sr. V ila h aya El Sr. L U J A N , como de la comisión : Siento, señores, usar han tenido parte eras influencias, como no la han tenido tam ­ pedido la palabra en contra, porque fue asi compañero de opo­ de la p a la b ra , y haber de comenzar la defensa del proyecto , y poco en ese abrazo de Maroto y el duque de la Vic…</t>
  </si>
  <si>
    <t>…rio. ese proyecto de ayuntamientos, por medio del cual se destruye ha dicho , estamos fuera del paso. Que la única ley para todos es la Constitución de 1837, y un sentimiento de concepción de muchos siglos? Pues qué, ¿tan El Sr. L U J A N : El Sr. conde debe conocer que yo no puedo que todo lo que sea contrario á su esencia, lejos de ser digno de en paz estamos, que no sea necesaria una fuerza popular para asegurar al Congreso ni á nadie que hayan cesado, no puedo alabanza, lo es de eterno vituperio; que por lo tanto otra e…</t>
  </si>
  <si>
    <t>…fa­ dario,, pues todos están persuadidos de que está yá muy próxi­ El Sn A L C O N expuso que no habiéndose dirigido las ob­ náticas y preocupadas. mo indudablemente el dia venturoso en que una paz sólida y servaciones del Sr. Lujan á impugnar el dictám en, se limitaba Es dé esperar/señores, de parte del Gobierno de S. M. que duradera va á reunir en una sola ffamilia d todos los hijos de solo á secundar sus deseos respecto á la mejora que reclaman las presente un proyecto de ley relativo á este objeto; y si bien es esta…</t>
  </si>
  <si>
    <t>…Có m o pues, h an variado enteramente los Se declaró el punto suficientemente discutido. las voces de la oposición eran impotentes. H a g o este honor al hombre s? ¿ Q u é se me responderá á esta p r e g u n t a ? Se dirá: El Sr. L U J A N propuso que se votase por partes; y consul­ au to r del primer proyecto que se presentó sobre este punto. El prescindamos de esa cuestión, somos liberales, no queremos le­ tado el Congreso, decidió por la negativa. Gobierno que á la sazón se valia de estos medios, y que tenia yes excepcion…</t>
  </si>
  <si>
    <t>…a.) berla recomendado en la parte expositiva de su dictámen como del culto y clero. El orador .concluye suplicando al Sr. Ministro que le c o n ­ se habia practicado en legislaturas anteriores. Reprodujo las observaciones del Sr. Lujan respecto á la con­ teste á su pregunta. tribución decimal; y terminó diciendo que esperaba que el Con­ El Sr. S A N C H E Z D E L A F U E N T E contestó que la re­ greso El Sr, Ministro de la G U E R R A : He dicho antes que la pro­ comendación que deseaba el Sr. Temprado estaba ya hecha en…</t>
  </si>
  <si>
    <t>…estó qu e, según estaba Se leyó el proyecto de ley , relativo á declarar fiesta nacio­ poner. redactado el dictácneu, podia creerse muy bienqueuu D iputa­ nal el dia 18 de J u n io , y el Congreso le halló conforme con lo El Sr. L U J A N después de manifestar en contestación á lo do quedaba su jeto á reelección sin guardarse la formula de con­ aprobado. dicho por el Sr. P id a l, que esta cuestión no era de tan poco va­ sultarse al Congreso sobre el caso, y de decidir este después de Continuando el orden del dia , se puso…</t>
  </si>
  <si>
    <t>…tado en lo principal, y otrosí, com uni­ El Sr. S A N C H E Z D E LA F U E N T E apoyó lo dicho por glam ento, que dice asi: "Cuando los dictámenes diferentes de qúese orden á la audiencia de Sevilla para que continúe sus­ el Sr. Lujan , añadiendo que asi como habia dado su voto en los individuos de unacornision no formen mayoría absoluta ni tanciando la causa que pende en esta contra I). Antonio R am í­ otras ocasiones, tales como cuando se trató de la admisión de relativa , sino que se igualen por cualquiera m otivo, tendr…</t>
  </si>
  <si>
    <t>…proyecto el p á r r a ­ do coronando sus esfuerzos, estaría ocupando au n esos bancos. de ser a n iv e rs a rio , qu e era lo que se trata b a de celebrar. fo i . ° , en que se hace el elogio mas completo que puede darse El Sr. L U J A N : S i el Sr. M u ñ o z M a ld o u á d o se hub iese El Sr. marques de V A L L G O R N E R A dijo que tam bién en al actual m in isterio . A si p u e s, si como yo c re o , ha de p e r m a ­ concretado á h a b lar de este p á r r a f o , no ten d ría que con testar el calen dario eclesiás…</t>
  </si>
  <si>
    <t>Lujar</t>
  </si>
  <si>
    <t>…ierno puede aplicar los ~ ■ - ■■■-- ■ ■■ " '■ -■■■-■"-------------- - .! I » -^ U remedios, y la nación confiar. ANUNCIOS. Eí Sr. Lujan deshace algunas equivocaciones. CORRESPONDENCIA DE LA GACETA. El Sr. MADOZ dice que el Sr. Lujar» reconociendo la gra­ Y^ONGRESO de Verona por M r. de C hateaubriand, tradti- vedad del hecho, interpeló al Gobierno y cumplió coa m ani­ Santander 15 d e E n ero . El cabecilla Castor levantó táci­ ^ cida , anotada y aumentada por D. Joaquin Francisco festar en términos claros la importanci…</t>
  </si>
  <si>
    <t>Luna</t>
  </si>
  <si>
    <t>…los que h agan algún actc que dio á los comandantes de columnas: estas , particularmente ditos una perfecta seguridad en la vida , en la honra y en la contrario á las presentes instituciones sean objeto de la m ald i­ la del Sr. Luna , con su activa persecución y celo in fatigable fortuna: 2.° un método regular de fijar y percibir los impues­ ción d iv iu a y privados para siempre de toda especie de feli­ llevan muertos desde que volvieron á romperse las hostilidades tos: 3.° un método también regular para la leva de los…</t>
  </si>
  <si>
    <t>…u¿’drar&gt;es que tiene á sus órdenes, pues tan proulo cha casa; en inteligencia que de no hacerlo se procederá á lo una carta de Maroto se sometió al convenio. tenidos, La ejecución ha sido también digna de todo elo­ gio; el Sr. Luna ha desempeñado con grande inteligencia dor dice no lo dehará El castillo Guevara aua no se ha entregado: su goberna­ que hava luear. hasta tanto que se le comunique la orden y superioridad el difícil carácter del médico. La Sra. Teo­ por la junta ó sucumba á la fueizj, con cuyo motivo han sa…</t>
  </si>
  <si>
    <t>…rdenes oportunas para su retención c u lo , dnenios que la traducción nos ha parecido b u e n a, y la en la caja nacional de amortización. último , que ha sido confirmado por ejecutoria de la audien­ ejecución mediana. E l Sr. Luna , fuera del círculo en que cia territorial de S e v illa ; por el cual entre otras cosas se man­ acostumbra a b r i l l a r , ha tenido sin embargo momentos afor- da citar y emplazar á todos los que se crean con derecho al d o ­ ,^ ?r* Cün^l a l ¡o el Sr. Lornbía, colocado en. la 1íner minio…</t>
  </si>
  <si>
    <t>Luna, García</t>
  </si>
  <si>
    <t>García Luna</t>
  </si>
  <si>
    <t>…sabado 27 E l arte de cons-1 una comedia imaginada y desenvuelta con el solo objeto p ir a r y que ha sido recibido con igual aceptación que TEATROS. de manifestar los inconvenientes del divorcio? No, porque otras veces. El Sr. García Luna ha estado inimitable corno PRINCIPE. A las ocho de la noche. Se ejecutará una fun­ entre nosotros no hay ley que lo autorice: no, porque en­ siempre en el papel de llantzau; la coincidencia de pu­ ción extraordinaria en el orden siguiente: tre nosotros rio conocen sus efectos. Pero se…</t>
  </si>
  <si>
    <t>…publicadas hasta ahora son el retrato del — . admitiendo la dimisión que del cargo de Secretario del Despacho de la Gobernación de la Península hace D. A n ­ diendo al mismo equitativo precio de 10 rs. el juego de los cin ­ Sr. García Luna según sale en ei Arte de conspirar, y el de co cuadernos sin embargo del recargo que han sufrido con d i­ Doñá Bárbara Laroadrid en los Amantes de Teruel• tonio Hompanera de Cos, encargando interinamente su des­ pacho al de Gracia y Justicia D. Lorenzo Arrazola. (Id.) cho motivo. Lo q…</t>
  </si>
  <si>
    <t>…ra que el público de M adrid no carezca por mas tiempo y Lucrecia Borgia , ambas de Donizzetti, y Roberto el Dia­ á favor de la inclusa debia verificarse en el salón de V illaher- de teatro nacional. Nosotros esperamos que el Sr. García Luna blo , la obra maestra de Mayerbeer, que ya se ha ejecutado en mosa ; durante este tiempo se ha anunciado dos ó tres dias aquel no se afanará en vano; fa m e la ilustre corporación que ha de varias ciudades de España, y que es m uy extraño no hayan en que debia tener lugar, y á la hora en…</t>
  </si>
  <si>
    <t>…feliz; ¿pero no manifiestan Don réntesis, ni la Sra. Bravo tiene edad para hacer papeles de vie­ tividad , es casi segura la destrucción de aquel rebelde. Fernando el emplazado y la Elena que su autor no está des­ ja, ni el Sr. García Luna para hacerlos de joven enamorado. el Por 10 carta de Vitoria escrita el 12 del corriente, se sabe que se verificó el cange de prisioneros en el pueblo de G a- pro vi Nto de sentimientos, de facultades , que ejercitadas conve­ Ha perdido L* Ambassadrice sin embargo en la traducción ni…</t>
  </si>
  <si>
    <t>…bjeto , y una comedia nueva en tres ac­ tos al menos. Las láminas publicadas hasta ahora sou: el re­ Otro cuadro mitológico pintado por Pablo Veronés con ta. El grabado es de D . Blas Ametller, quien ha hecho ver en trato del Sr. García Luna según sale en el A rte de Conspi- aquella franqueza y buen gusto que se admira en todas sus esta y otras obras que sabe con su diestro buril trasladar al c o ­ rPr 9 y el de Doña Bárbara Lamadiid en los Amantes de elobras. Géfalo disfrazado fue á visitar á su rnuger Procris con bre la-te…</t>
  </si>
  <si>
    <t>Luna, José García</t>
  </si>
  <si>
    <t>José García Luna</t>
  </si>
  <si>
    <t>…es toda sobre falsificación de una lámina de deuda sin interés contra el ARTICULO 960 , en la que la beneficiada desempeñará un pa­ la semana. Estado; apercibidos que de no comparecer les parará el p erjui­ pel de hombre, y D. José García Luna uno característico. cio que h aya lugar. A l poner en escena , con desconfianza del acierto , uno de los Salud pública. mas célebres sucesos de la historia nacional, cantado por nues­ tros antiguos ro m a n cer o s , no olvidado por escritores dram á­ H an seguido presentándose…</t>
  </si>
  <si>
    <t>…tiago, 2 d. 4.0 La comedia nueva , en un acto, qae lleva por título E L Barcelona, á ps. f s ., par. Sevilla , id. A R T IC U LO 9 6 0 , en la que la Sra. Baus desempeñará un pa­ Bilbao, id. Valencia , par. pel de hom bre, y D. José García Luna uoo característico. SOCIEDAD ECONOMICA M A T R ITE N SE. Cádiz, 1¿ d. Zaragoza, id. Elecciones de oficios para el próximo año de 184O. Descuento de letras , á 6 por 100 al año. CRUZ. A las siete de la noche. Se volverá á poner en Sr. D. Eusebio María del Valle, director. escena l…</t>
  </si>
  <si>
    <t>…ciones á G uadalajara: desde allí pasará á Toledo, y luego ven­ corredor del piso alto, sin duda sobre las ruinas del antigüe ACTORES. drá otra vea á M adrid. Felipe 11 , para que el edificio no se descuidase, hacia nombra­ D. José García Luna.) Q¿reclores escena. mientos de arquitectos con sueldos correspondientes, que se lia D. Juan Lorabia. 5 BUENA—VISTA . inaban maestros mayores, y estos cuidaban de su conservacio D. Pedro López. y reparo : uno de ellos fue el arquitecto Ju a n de Mijares, y an D. Luis Fabiani. Hem…</t>
  </si>
  <si>
    <t>Luna, Nicolás</t>
  </si>
  <si>
    <t>Nicolás Luna</t>
  </si>
  <si>
    <t>…e de esta dos leguas cor­ de Sobrado, al mando del comandante ge­ ca española y el condado en plena soberanía, después de libertad y sus instituciones de Jas armas francesas. Tampo­ neral de operaciones de la derecha del Miño D. Nicolás Luna, mediados del siglo ix. Tal es la opinión dei autor, y fun­ co creemos que hubo usurpación de soberanía de parte de quien á pesar de hallarse reunidos 150 caballos de los rebeldes,? dado en ella comienza á tejer la historia de los condes, los condes de Barcelona, como quieren algunos hi…</t>
  </si>
  <si>
    <t>Luqui</t>
  </si>
  <si>
    <t>…a crecido número de oficiales, y los ha reemplazado con los qué de nüevo os pido me dispenséis él que haya tomado parte en la hecho una brillante pintura de la prosperidad de España; y si le son fieles: entre otros, el brigadier Luqui . , ex-comandanta discusión; pero, señores, teniendo las relaciones que he tenido tan próspera se encuentra , S. S. hubiera debido empiear su in ­ general de esta provincia, ha sido reemplazado por él general cón España, y sabiendo cuán sensibles son los españoles á la fluencia en hacer paga…</t>
  </si>
  <si>
    <t>…trdadcapaz de subvenir á las atenciones ordinarias objeto, aunque se cree dirigido á llamar la atención de los fac­ sniWsiVaSí'1!;á dirección se abstenía de proponer un repartimien­ ciosos por aquella parte. El titulado brigadier Luqui victoreó E l jueves 14 del corriente á las cuatro de la tarde se dará to*, y sofov exigía una autorización para realizarle sicirctínstU n- el jueves ultimo en Balrñaséda á su Rey y á M aroto: trataban principio á las lecciones de agricultura en dicho establecimien­ cias íinprevistas le hiciera…</t>
  </si>
  <si>
    <t>Lurde</t>
  </si>
  <si>
    <t>…es grande. Esta re­ á ponerme á las órdenes de S. M . , y que desde el 15 del cor­ invierno délos Dardanelos: esperan considerables refuerzos, y no mesa de cereales ha sido anunciada á los Ministros del Sultán riente el conde de Lurde , primer secretario, me sucederá ea la muestran intenciones de abandonar el Archipiélago. Se ha d i ­ como una prueba de las buenas intenciones que anim an á M e - embajada. Al separarme de la colonia francesa de Constantino- cho que Ibrahim -bajá intentaba hacer un movimiento el 7 de foemet-…</t>
  </si>
  <si>
    <t>Lus-</t>
  </si>
  <si>
    <t>…el dia 15 se mezclar oa Sir James Carnac, nuevo gobernador de Bombay , ha nom­ asi como al porvenir de los dos rivales. Se nos han comunicado los buques de ambas escuadras. brado por su secretario íntimo á M. Duiners. El capitán Lus- varias noticias sobre el origen de $u enemistad. * El dia 15 el capitan-bajá vino á visitar al virey, quien le hington y el teniente Carnac son sus ayudantes de campo. Mehemet-Alí empezó siendo inozo de café en Salónica, en recibió con muestras de respeto, y le hizo alojar en su mismo (Times.…</t>
  </si>
  <si>
    <t>Lushington</t>
  </si>
  <si>
    <t>…ara. El orador termina pidien­ nar , dice el parte, regreso con la división de su mando á M u r- Londres 28 de Mayo • do que la Cámara nombre á Mr. Shaw Lefevre su presidente. viedro , donde entro el dia 5 por la tarde. EL doctor Lushington apoya esta inocion, y se limita á Los consolidados no han variado desde el medio dia , y per­ hacer resaltar la necesidad de elegir en las circunstancias actua­ manecen á 95§ al contante, y 9 5 f por cuenta. les un orador coyas opiniones esten en armonía con las de la * El Sr. general…</t>
  </si>
  <si>
    <t>…el Banco, 195. Fondo activo español, l 9 f . En la Cámara de los Comunes M r. L a B o u ch ere , respon­ pias visadas de los tratados firmados en Lo n dres, de que se ha P a s iv o , 4 f . diendo á una interpelación del doctor Lushington , declara que dado conocimiento á la Dieta , deberán depositarse en los a rc h i­ Cinco por 100 portugués, 5 5 f de baja. según los despachos oficiales recibidos en el departamento de las vos de la Confederación. Colombianos, 5 l£ . Colonias, ignoraba si habia concluido el aprendizaje…</t>
  </si>
  <si>
    <t>Lusignani</t>
  </si>
  <si>
    <t>…a lectura tan sa­ indicados puntos es de 9|- leguas poco mas, y su coste está ludable en sí misma , pero tan peligrosa en el uso que calculado en 5.558,475 rs.; que el ingeuiero Calleja propone Tenemos ya en Barcelona á la Sra. Lusignani, que debe muchos de íos legos hacian de ella. Leltre á Mr. L E v e - Ja construcción de otros dos ramales de poca extensión , cuyo sustituir á la Sra. Teresina Brambilla , y aunque corre la voz qae d' Arras $ c.” coste regula en 491460 rs.; y que dice que continuando al in­ de que es bas…</t>
  </si>
  <si>
    <t>Lutton</t>
  </si>
  <si>
    <t>…mandante del buque francés? H oy ha sido en gran parte presa de las llamas el palacio Hannóver 15 de Febrero de l859.=:Ernesto A u gu sto.= E l ba­ Y en el momento mismo en que ocurrió el hecho ¿ n o hacia que habita el conde de Lutton , embajador de Austria. {Id.) rón de Shele. señales el navio del almirante? E l conde de Mintox Eso es posible, pero no podré afir­ m arlo: me inform aré. A decir verdad, no creia que por un La Asamblea de los Estados, que se prorogó en 29 de J u ­ simple accidente tan recientemente acaec…</t>
  </si>
  <si>
    <t>Luxemburgo</t>
  </si>
  <si>
    <t>No ha habido modificación alguna en los valores extran­ de dichos artículos, debe pertenecer á S. M. el Rey de los Paí­ dejarán de trabajar mancomunadatnente para el sostenimiento jeros. ses Bajos, bien sea como gran duque de Luxemburgo, ó por de una paz efectiva entre las partes. Bonos del Echiquier, 67, 68. estar reunida á la Holanda , cualidades contra las cuales el Go­ En la nota pasada á la Bélgica emplea la Conferencia este Bonos de Indias 64» acciones del banco 205. bierno belga nada ha dicho, haciendo valer el…</t>
  </si>
  <si>
    <t>…hecho para decirnos: "Vosotros habéis llanueva de los Infantes á 12 de Marzo de 1859. estando á la cabeza de la Bélgica un Rey que seria Príncipe demasiado pronto: ¿por qué pues no aguardasteis á que aleman como gran duque del Luxemburgo, la Bélgica volve­ estuviésemos reunidos? Nosotros habríamos impedido que el ría á tomar la posición hostil que téuia el reino de los Paises- ministerio os abandonase; hoy ya no nos queda otro medio qué Bajos. " El Rey de lós belgas no formará parte de la Confede­ el de reconvenirle, pu…</t>
  </si>
  <si>
    <t>…contrar nume­ cualquier evento pueda tener á la corona de los Paises-Bajos. El Según las últimas noticias de Bornbay, una fuerza com­ rosas estipulaciones, que S. M. estaba lejos de esperar, é incon­ príncipe como gran duque de Luxemburgo tendrá á su cargo puesta de una compañía de a rtille ría , 500 europeos y 550 ciliables , según é l , con sus derechos y con los antecedentes de el gobierno de la fortaleza federal, sin tener por adjunto un hombres del 2 4 regimiento de infantería indiana , se preparaba la negociación ; p…</t>
  </si>
  <si>
    <t>…ción: los que quieren re­ sistir os proponen dejar ese término indefinido.” de honor muy pelilloso, reconoce que una nación debe hacer Supo que Mr. Intire habia sido expulsado por 15 ó 20 viola­ M r. de P u y d l, Diputado del Luxemburgo , ha hablado con respetar sus derechos y saber vengarlos en caso nécesario; pero dores arm ados, y que ninguna otra fuerza se habia mezclado extremada energía en contra del tratado. En respuesta á este es preciso poner á este derecho límites razonables. Para esto se en este negocio. Co…</t>
  </si>
  <si>
    <t>Luzu</t>
  </si>
  <si>
    <t>…i n f a ­ en la cuestión que en el dia se v e n t ila , y la veré también como duda ninguna en repartir á estas provincias la parte que les cor­ lible en la inteligencia del reglam ento, se iba á preguntar al la ha visto el Sr. Luzu riaga por el lado de la justicia y por el responda. Congreso si se concedería la palabra al Sr. Mendizabal para de la política , sin que me arredre esta palabra , como á dicho Tampoco hay inconveniente en persuadirse que será indis­ deshacer las equivocaciones que preteodia. señor, porque yo no…</t>
  </si>
  <si>
    <t>Luzuriaga</t>
  </si>
  <si>
    <t>…ia ? ( Los Sres. Benavides y Calderón señores que reclamaron su inclusión en ella, y entre ellos el del El Sr. C A B A L L E R O manifiesta que su objeto,al pedir la Collanies piden la palabra para deshacer una equivocación.) Sr. Luzuriaga , que pidió la palabra en pro. palabra es solo el dé hacer ver que todo el tiempo que se emplea N o sé en quién estará la equivocación, para que se pida la pa­ Se dió cuenta de dos proposiciones, la primera del Sr. Es­ en esta cuestión es absolutamente perdido; por cuya razón ro­ labra. t…</t>
  </si>
  <si>
    <t>LUZURIAGA</t>
  </si>
  <si>
    <t>…ad. Yo he notado eo la enmienda con harta injusticia nos ha dirigido el Sr. Madoz. reacción favorable sobre la paz. Los fueros hasta a q u i , señores, algún r ig o r , como ha indicado el Sr. M a d o z , sus autores de­ El Sr. L U Z U R I A G A ; Señores, el objeto de la ley que se he dicho que han obrado como un instrumento de la pacifica­ ben conocer que aqui no se trata mas que una cosa de pronto, discute es hacer extensiva á toda la nación la paz que hemos ción, desde aqui en adelante no pueden in flu ir en la paz si…</t>
  </si>
  <si>
    <t>…combatir el proyecto , le dejan ea toda su fuerza y Tres verdades, señores, se han sentado en el curso de esta guna expresión que hiera en lo mas mínimo la susceptibilidad vigor. discusión: una por el Sr. M adoz, otra por el Sr. Luzuriaga, y de los Sres. Diputados que están presentes ó de cualquiera El Sr. M A D O Z manifiesta que puesto que S. S. esperaba otra hoy por el Sr. Cortina, á saber: que la cuestión que nes oi.ra persona , por muy remota que se halle , las deshago, me el examen particular de los artículos para e…</t>
  </si>
  <si>
    <t>…e i n a , s u augusta Madre l a R e i n a G o b e rn a ­ A. T h ie r s, Diputado del distrito de Aix. 2 .a sección. Presidente el Sr. López de Pedrajas: Vicepre­ dora y la Serma. Sra. Infanta Doña María Luisa Fer­ sidente el Sr. Luzuriaga : Secretario el Sr. A y aía y Mi rla: nanda, continúan en esta corte sin novedad en su im­ El ministerio sé h alla distribuido del modo siguiente: con Vicesecretario el Sr. Guillen y Roda. 5 a sección. Presidente el Sr. Montesino: Vicepresidente el portante salud. el R e y , en el palacio…</t>
  </si>
  <si>
    <t>Lá, José</t>
  </si>
  <si>
    <t>José Lá</t>
  </si>
  <si>
    <t>…bían componer el jurado; y prévias las formalidades que El día 7 del próximo Enero se dará principio a las leccio­ brar al lado unas de otras plantas que tengan entre si graodb la misma previene, tocó á los sugetos siguientes: D. José Lá­ nes de física del conservatorio de Artes en el local acostumbra­ analogía , pues se bastardean coit ha mésela de su pelen; yapar*- zaro, D. José Pombo, D. José Laplana, D. Francisco Esquer­ do calle del T urco, y continuarán hasta concluir el curso los ra evitar ó corregir contratiempos y d…</t>
  </si>
  <si>
    <t>Lárlos</t>
  </si>
  <si>
    <t>…que son eu otras de Procedente de Va l e nc i a ha llegado t ambi é n á esta corte el s a , sino las que proceden del L t i r » , como armipotente , belí­ orden mas elevado no lo hubi era acreditado tanto: de resultas de actor D. Lárlos L a t o r r e , rico en glori a artí stica y en aplausos. , g e r o ig/vj'ero y otras semej totes. La s que son de coso posición a qu e l Ls parece que fue el haberse carecido de músi ca de i nt e r m e ­ Cual es qui e ra que sean los motivos que h a y a n asi sti do ai i n ­ dios. Nosotros…</t>
  </si>
  <si>
    <t>Láser, José</t>
  </si>
  <si>
    <t>José Láser</t>
  </si>
  <si>
    <t>…chan vivas y acla­ nulidad de las elecciones de aquella provincia , y una exposi­ maciones; las lum inarias son brillantísim as, y las m uecas que en mas de un punto dejan oir sus acordes sonidos, contribu yen CORTES. ción de D. José Láser na, vecino de Albacete, pidiendo se aprue­ ben las actas de este últim o punto. á acrecer los placeres de esta noche verdaderamente fantástica. El Sr. PRESIDENTE anunció el orden del dia. Esta sucinta narración es lo único que puedo escribir á V V CONGRESO DE D IPU T A D O S Sin discusió…</t>
  </si>
  <si>
    <t>Léenos</t>
  </si>
  <si>
    <t>…:iiiiois- 16 . F r. J u a n de Jesús M a r í a , D. M a r tin Bautista de L a - Habiéndose hecho proposición para la com pra del suprim ido .tro togado de ila audieuctailerritonal de Albacete * juez de pri­ n u z a , el conde de Léenos, el maestro Vicente E sp in e l, D. J o r ­ convento dé carmelitas descalzos de la v ih á de Valdetñoro j h á mera ióstáncia jen'esta capitaiq porrla escribanía, de su núme- ge J u a n , D . A n to n io de Ulloa. •co rdad o la jun ta se saque á pública subéslá p o r térm¡a&lt;&gt; de 50 ro quo ejfe…</t>
  </si>
  <si>
    <t>Lérida</t>
  </si>
  <si>
    <t>…uzcan en dicho juzgado y expresada escribanía, p O R providencia del tribunal supremo de Justicia de 1.° del y pasado dicho término sin h acerlo, les parará el perjuicio que salud. corriente se com unicó traslado al R. obispo de Lérida D on haya lugar. Julián A lo n s o ,d e la acusación fiscal en la causa que se le sigue por haberse fugado de su diócesis y unido á la facción rebelde; en cuya acusación se le imputan los delitos de perjurio, alevo­ p O R la Excma. diputación de la provincia de Toledo se halla ANUNCIOS O…</t>
  </si>
  <si>
    <t>Ló, D. Francisco Amorosy</t>
  </si>
  <si>
    <t>D. Francisco Amorosy Ló</t>
  </si>
  <si>
    <t>…da pública estarán obligados á auxiliarle tan eficazmente como si la misma hacienda administrase la renta , á cuyo objeto la VACANTE. dirección general de reatas estancadas pasará la correspondiente virtud de providencia del Sr. D. Francisco Amorosy Ló­ C E halla vacante la plaza de maestro de instrucción primaria circular á los intendentes, dándoles conocimiento del arriendo ^ elemental y superior de esta capital de Orense, dotada en y sus condiciones. pez, magistrado honorario en la audiencia territorial de 5$ rs. anuale…</t>
  </si>
  <si>
    <t>Ló, Esteban José</t>
  </si>
  <si>
    <t>Esteban José Ló</t>
  </si>
  <si>
    <t>…ía y había confiado al general Azpiroz. Es verdad que este gefe y Jordán. una sección de otra del regimiento de ingenieros. nunca me deja que desear: no ve obstáculos, ó halla en sí los Subtenientes, D. M axim ino A r n a u , D. Esteban José Ló ­ El 51 de J u lio las tropas pernoctaron en Onda. El sigu ie n ­ medios de vencerlos. D urante este ataque las fuerzas del gene­ pez y D. José Tiller. te día al amanecer formaron á la salida de aquel pueblo, y ral Hoyos habian avanzado al fre n te , y notando que sus com­ C ir u…</t>
  </si>
  <si>
    <t>Ló, Francisco de Paula</t>
  </si>
  <si>
    <t>Francisco de Paula Ló</t>
  </si>
  <si>
    <t>…rande bordada con figuras de relieve, juez de Amortización, y para poder cumplimentar cierto des­ de esta corte, cuyo modelo obra en poder del Excmo. ayunta­ al Sr. D. Pedro García del Valle. pacho, se cita, llama y emplaza á D. Francisco de Paula Ló­ miento. Ademas contiene los artículos: El gran tono de una 598. La obra del Quijote en m iniatura, al Sr. D. José ápez, su cuya habitación se ignora , para que tan luego corno llegue muger.:=Modas.:=Invento.:=Educacion de las señoritaszrHigie- noticia este anuncio, comparez…</t>
  </si>
  <si>
    <t>Ló, Juan</t>
  </si>
  <si>
    <t>Juan Ló</t>
  </si>
  <si>
    <t>…noticias que por d i­ Publícala la empresa de La Mariposa eo lacoleccion-que ferentes conductos han podido adquirirse de los prisioneros de CAMBIOS. acompasa á dicho periódico. Morella y Cantavieja , parece que a' excepción de D. Juan Ló­ Salan dos cuadernos por mes, formando un volumen de 250. pez P elegriu, Diputado á Cortes , D. José B a rd a jí, juez de pri­ Londres, d 9 0 d ia s, 5 3 § papel. C o ru ñ a , á 2 d. páginas Jo meaos. mera instancia de V ie lla , y D. Carlos Su ñez, todos han sido P aris, 16 -6 id. G ranada,…</t>
  </si>
  <si>
    <t>Ló, Mariano</t>
  </si>
  <si>
    <t>Mariano Ló</t>
  </si>
  <si>
    <t>…tínez y Ruperto Medrano. (B. O.) dad de unos'y otros sacrificios. go. Al salir de dicho cuartel oyó una de las cajas que batían Es claro pues-; que para que la metáfora produzca el generala, y mandó inmediatamente al capitán D. Mariano Ló­ efecto debido, ademas de la semejanza obvia y percepti-* pez Albacete tomar dos soldados y arrestar al tambor. El des­ M A DR I D 2 5 DE MAYO. ble, no debe ser tomada ni de un objeto demasiado cerca­ graciado capitán corrió solo á cumplir la orden dada; pero al revolver lja esquina de…</t>
  </si>
  <si>
    <t>Lóndres</t>
  </si>
  <si>
    <t>…aminaba detenidamente el estado de su imprenta y GRAN BRETAÑA. taller de encuadernación. Aqui no podemos negar el 'tri­ El Sr. D. Ramón de la Sagra, Diputado que ha sido buto de nuestra alabanza al director de este colegio Don Lóndres 1.° de Junio, de las últimas Cortes, acaba de publicaren Paris una obra Juan Manuel Ballesteros , que bajo los auspicios de la so­ titulada V taje á H olanda y B élgica en la parte relativa á ciedad económica tanto ha trabajado por la prosperi­ El numerario escasea, y mas de una vez el ínt…</t>
  </si>
  <si>
    <t>Lóndres, Orleans</t>
  </si>
  <si>
    <t>Orleans Lóndres</t>
  </si>
  <si>
    <t>…s al joven G R A N BRETAÑA. Fiere, de Romans (Drome), la medalla de honor que todos los años la sociedad M onthyon y Francklin concede al mejor dis­ M ADRID 24 DE A GOSTO. cípulo del establecimiento. Al partir el Sr. duque de Orleans Lóndres 1 4 de Agosto . ha dejado 13 francos para los habitantes pobres de los distritos GEOGRAFIA FISICA. que habian asistido á ¡a recepción. Cada paso del Príncipe ha Torneo de Eglington. sido marcado con un beneficio ó coa u a acto de protección. SOBRE LA DISTRIBUCION DE VEGETALES. [I…</t>
  </si>
  <si>
    <t>López</t>
  </si>
  <si>
    <t>…onsiguen dos cosas: primera un también , y siendo inferiores los recursos. sintiera ocupar ociosamente al Congreso, mis razones daria yo ingreso en penas de c á m a r a , y segunda aligerar esas cárceles y Nombró también el Sr. López á la áudienciá de Albacete la ­ al Sr. Cortina á que cederían las suyas. presidios que están agobiando al Estado; la época produce ten­ mentándose de la penuria de sus magistrados. Si en eso se quie­ El Sr. LOPEZ hace varias aclaraciones , insistiendo en que dencias c rim in ale s, y estamos…</t>
  </si>
  <si>
    <t>…ros, Bravo M urillo, P^rdo Montenegro , Y a - dó cebante.” N o habla de declaración de cesantía : se refiere fe) lera , Pacheco , G a l i , Cebados , I z u a r d i , J u r a d o , Santouja , L ó ­ hecho. Si esto satisface al Sr. López V ázquez, baste; si p p , yo pez (D. J .) , Villaverde , ■H u e t , barón de Gasablanca , C. de la d aré á S. S. todas las explicaciones que desee.- f / R o s a , Salamanca , C am b ron ero , Camateño , Florez Estrada, El Sr. P R E S I D E N T E : Tiene la palabra el Sr. Ministro El general…</t>
  </si>
  <si>
    <t>…no del nión de (Jatos y noticias necesarias para conseguir su filantró­ Quinto in d ivid uo el Sr. Gil por 77 votos, resultando con 20 Sr. D. José María Calatrava eo que manifiesta renuncia el car­ el Sr. Cortázar, con 5 el Sr. López (D. Jo a q u ín M aría), y con 1 pico objeto, y se hicieron los nombramientos siguientes: go de Senador para el que ha sido nombrado por la provincia los Sres. M o n t o y a , Silvela , Laborda , Arteta y Romero. T o­ El Sr. marques viudo de Pontejos, presidente.=Los señores de Albacete. tal…</t>
  </si>
  <si>
    <t>…se elija un número de suplentes igual á la tercera parte de Se­ esta observancia. vincia por haberles quitado la libertad de apoderarse de cier­ nadores que se hayan de proponer, estaba támbien manifiesto Pero ha añadido el Sr. López que por qué luego qué la pren« tos derechos, cuya propiedad pertenecía al Real patrimonio. que correspondía nombrar cuatro suplentes; porque cuando se sa denunció este fenómeno no se apresuró el Gobierno á ilus­ Basta la relación de la exposición para que el Congreso conozca dice al pueblo p…</t>
  </si>
  <si>
    <t>…tomando la incomodidad de ver el el Sr. Laborda. conserva para todas ellas el régimen constitucional que se h a­ artículo 1 .° y 2.°, quedase bien el 5.°: es decir, donde se dice; Para tercer Vicepresidente quedó electo el Sr. López (D on llaba vigente en las capitales de las demás del reino al celebrar­ " p ara el arreglo de las demas provincias que cómpooen la mo­ Joaquín ) por 52 votos, habiendo obtenido el Sr. Calderón C o - se ei expresado convenio de V e rgara.” E f artículo í.° de la n arquía” , se dijese " p a r…</t>
  </si>
  <si>
    <t>…eo de los progresos de la pintura en España, por Por esta r a z ó n , y por lo avanzado de la hora , no entro en ción de sus conciudadanos. Y por eso sin duda alguna se han medio de una crítica justa y templada, que el mismo Sr. López un examen minucioso que creo preciso manifestar mas tarde ó apresurado á presentarles estas hermosas muestras de sus talen­ no podrá menos de apreciar y de aprovecharse de e lla , bien mas te m p ran o ; para hacer los fueros que pueden convenirles, tos, que el público ha recibido con orgullo…</t>
  </si>
  <si>
    <t>…A g u irr e , D . Felipe V a r ­ zón. El uso frecuente de ciertas medias ti n ta s , poco naturales, E ntre los varios cu&amp;dritos de género del profesor D. J u a n gas y D. Federico Pizarro. da al colorido de las carnes del Sr. López u n aspecto falso, que Calvez, nos han parecido los mejores por la verdad del colori­ Clase de filosofía moral y fundam entos de religión.—Exce­ hace todavía mas sensible la profusión de tintas demasiado ver­ d o , natu ra lid ad y gracia de la ejecución , tres que representan lentísimo Sr. m…</t>
  </si>
  <si>
    <t>…comisión creyó entonces que la omisión electo el Sr. Laborda. labra, aunque con la posible brevedad en atención á ese deseo, ¡e estas formalidades era de poca importancia , y en su conse- Para tercer Vicepresidente obtuvo el Sr. López (D. Joaq uín para descargarse de la parte de responsabilidad en que pudiera uencia propuso lisa y llanamente su aprobación, ¿cómoes que María) 53 votos de 71 votantes, y quedó electo. incurrir gtrardando silencio eri la discusión de unas elecciones on respecto á la del distrito de Legreira e…</t>
  </si>
  <si>
    <t>…corno tal individuo la puerta: esto no obstante, se pregu utará al Congreso lo que fectiblemente todos los correos, y directamente al ministerio da de co m isión: mientras me he encontrado en este terreno he ha indicado el Sr. López. mi cargo , del estado de tran quilidad de los partidos, y caso de guardado silencio porque estaban en pugna mi opinión y Se preguntó si esta cuestión se aplazaría para cuando estu- ser alterada ¿qué medidas ha y adoptadas para conservar el o r ­ deber: hoy vo y á hablar porque puedo hacerlo…</t>
  </si>
  <si>
    <t>…que tengo Verificada esta , quedó desechada por 44 votos contra 27. vocaciones los Srés. Dip utados que ayer tomaron la palabra , y eo ja m^no acompañada de a n a carta que d ic e : (S. S. lee una El Sr. C O R T A Z A R : El Sr. López, entre otras cosas, ha acto continuo pasase á la votación del dictámen acerca de la carta del juez de primera instancia al alcalde de un pueblo de querido suponer que yo me hallo en este recinto por haber obe­ admisión del Sr. Cortázar. ¿ Y se ha hecho esto? N o : porque su distrito , en la…</t>
  </si>
  <si>
    <t>…. en que se discuta el voto del Sr. M artin, en el Dijo el otro dia el Sr. Martínez de la Rosa que la nación ta de un hecho aplicable al art. 43 de la Constitución, en el cual se manifiesta que debe sujetarse á reelección el Sr. López tenia rentas muy saneadas é hipotecas muy sólidas: ésto es una cual se expresa que para sujetarse á reelección, es necesario que Vázquez por haber obtenido gracias del Gobierno. verdad; pero téngase presente que ni las hipotecas ni las reatqs preceda la admisión de la gracia que haya sido co…</t>
  </si>
  <si>
    <t>…d ijo , que antes de renunciarla , qu e­ Sres. socios á fin de que se sirvan concorrir á ella. ría que quedase consignada su Opinión , y que protestaba como En atención á pertenecer á las filas de la M ilicia nacional la el Sr. López contra la influencia e^a los actos del Gobierno de mayor parte de los individuos facultativos de las cuatro p r i­ C O N G R E SO D E D IP U T A D O S . meras secciones, y tener entendido la junta gubernativa que personas extrañasen perjuicio de nuestros i o tereses. N o habiendo quien tuvi…</t>
  </si>
  <si>
    <t>…ncias extraordinarias. Nadie Dice que tiene que rectificar una equivocación que ha co­ domicilio, á fin de que pudieran cobrar sus créditos de los de­ mas puede sentir que las autoridades el verse obligadas á tomar metido el Sr. López cuando ha dicho que ias medidas adopta­ rechos que se recaudaran por ellas, solicita, pues que no ha te­ estas medidas violentas; pero medidas, señores, que algunas ve­ das en Madrid fueron contra los enemigos de la Reina. Que no nido efecto el pago de su crédito, que el pico de 125,684 Pe~…</t>
  </si>
  <si>
    <t>…á nuestros taquígrafos creyéndose A CADEMIA de esgrima, calle de Preciados, número 72. iimuete de una alucinación. Porque á la verdad , ¿como D. Pedro Loyal, profesor de esgrima en el colegio mili­ concebir la frescura del Sr. López cuando la guerra civil tar de los caballeros cadetes del cuerpo nacional de artillería tiue’ nos devora se hace cada dia mas cruda y mas te rn - hace saber á los Sres. aficionados y á los jóvenes que gusten Lie?"¿cómo concebir que un Congreso español se ocupe IMPRENTA NACIONAL aprender ó per…</t>
  </si>
  <si>
    <t>…e en el expe- s qo al Gobierno sobre si las habia ó no cobrado coa auto riza- ! El Sr. Ministro de la G u e rra, valiéndose de la ventaja diente, han convencido hasta cierto p un to ; y por e^tas consi­ | cion; pero como el Sr. López ha tocado esto mismo, me reser- que podría darle cierto género de discusión contestando al se­ deraciones se determinó el establecimiento de una audiencia e* j vo contestar á su tiempo á estos dos señores. Iíabló en segui- ñor Alonso sobre los excesos que han podido cometerse contra la Haban…</t>
  </si>
  <si>
    <t>…quier D ip utado? propósito para efectuar nuestra regeneración política. Las Po­ es muy cierto que después de circunscribir sus manifestaciones al Sr. Ministro de la Guerra dijo : wias personas de sus com pa- Pero añadió el Sr. López que en el citado proyecto de a y u n ­ tencias extrangeras en el dia mas ocupadas de los negocios de pañeros” ó ?tlos demás Ministros” , y esto me parece que es tamientos se marca las cargos de alcaides como de nombramien­ Oriente que de los nuestros, no pueden hacernos bien ni m al, hablar…</t>
  </si>
  <si>
    <t>…iudadanos de las arbitrarieda­ El Sr. A L V A R O apoya el dictámen de la comisión y la ó estatuas, como en Madrid á Cervantes, como en Londres á des que contra ellos se pudieran ejercer; pero que, aunque co­ proposición del Sr. López, por creer que el primero está con­ Shakespeare, como en Versalies á H oche, como al Tasso en mo individuo de la comisión le era indiferente que el Con­ forme á lo que el reglamento previene, y juzgar que la segun­ Sorrento: quédale en fin á cada pais su noble orgullo , y su glo­ greso acced…</t>
  </si>
  <si>
    <t>…uida á lo que dijera el Sr. Alonso (D. Juan Bautista); y ha­ 22 del actual dice que el capitán de la partida franca, D. Mel­ de que á la comisión se le habia presentado un acta limpia y ciéndose cargo en tercero de lo que el Sr. López, corno indivi­ chor Clemente , sorprendió el dia 18 en la venta del Rebollar sin reclamación alguna, era justamente en concepto de S. S. un duo de la comisión, tuvo el honor de decir al Congreso, ex­ una partida de facciosos, de lo que resultó quedar cuatro muer­ motivo de sospecha, y que po…</t>
  </si>
  <si>
    <t>…ión entrara en uu | ijue tampoco babia desvanecido el Sr. M i n i a r e el cargo q u3 tanto en su creación, como en llevarla á cabo. Se ha debido evi«» minucioso y prolijo ex am en , en una contestación detenida á j hizo el Sr. López por la cobranza del d i e z m o , porque estaba eu tárese vicio gravísimo que hubo en su origen. Solo los cuerpos cada uuo de ios párrafos que se refieren á la época anterior? No i el mismo caso que las demas contribuciones, con la circuns­ colegisladores son los q u e, concurriendo la coro…</t>
  </si>
  <si>
    <t>…s parlamentarias y constitucionales, que eo países E a 11 de Diciembre de 185 4 ? siendo el Sr. conde de T o - precedido ya en todos los argumentos y reflexiones que deben que tienen este género de gobierno se usan , di¡o el Sr. López reno Ministro de Hacienda , sin embargo de que tenia presen­ hacerse en este grave negocio , me ha hecho vacilar sobre si que eí ministerio, luego que vió que el resultado de las eleccio­ tados los presupuestos generales para el año 1 8 5 5 , presentó á deberia renunciar la palabra ó usar de…</t>
  </si>
  <si>
    <t>…ealizado hoy una proposicioo, con la cual Cortes no leerá favorable, el Gobierno debsria haberse retira­ vemos. empezó su discurso el Sr. C ortina, á saber: que el lenguaje de do : ya se ha tocado antes este argumento por el Sr. López; D ijo el Sr. ministro de Estado que la dificultad que habian las pasiones no era el que convenía á los legisladores; he tom a­ pero no se ha contestado únicamente lo que ha dicho el señor puesto las Cortes que no han reconocido ai Gobierno nuestro do apunte de esto. Caballero, cuya imaginaci…</t>
  </si>
  <si>
    <t>…fue, en el sentido de no Justicia no puede quererlo. ¿Cómo había ele querer eso? ¿N o de mayorazgos, me persuadí de que no podía tener ninguna re­ tener resultado alguno, que seria culpable el Gobierno que de lo dijo ayer el Sr. López? ¿ La mesa no lo apoyó? ¿ He hecho lación ni la mas remota con la ley de que se trata. Me pareció, hoy mas no usara de la fuerza y del derecho que tiene en su yo mas que reproducirlo? ¿A qué pues el tratar de presentar* creyendo una iutencion sana en los consejeros de la Corona, mano. me ante…</t>
  </si>
  <si>
    <t>…e esto se nos ha dicho Que se han cobrado las contribuciones sin autorización. Yo X o De un documento del gefe m ilitar respectivo, que acre­ que aunque se presenta el proyecto no está todavía sancionado, apelo á la razón del Sr. López, á su im a g in a c ió n , á su e r u d i­ dite que el padre ha muerto en defensa de la causa nacional. y que queda á ju icio del Gobierno el que se sancione cuando ción y al mismo texto que citó S. S. He in frin gid o las leyes, 2.° De la partida de defunción del p ad re, siendo posible, lo…</t>
  </si>
  <si>
    <t>…am enaza ; pero creo que este m i ­ qu e debia trasladarse la celebración del a n iv ersario á un dia fes­ do con muestras in d u d a b le s de júb ilo y a leg ría al tener noticia nisterio está en la m ism a posición que el Sr. López cuan d o dijo tivo . de que v o lv ía la paz á este desventurado pais. aquellas memorables palab ras de que á los ataques de sus en e m i­ El Sr. C A A M A N O expresó que detenerse en esto era per­ M u év e m e el pedir la palabra en contra de este p á rra f o la gos respondía con v i c t o…</t>
  </si>
  <si>
    <t>…asado, de despotismo., .pese la coyunda aun sobre el biera consentido que se trasladase á Aragón, ¿seria nuestra si­ ministerio. cuello de ios españoles. tuación la misma? ¿Y no es este ua gran servicio? ¿Citamos en j Dijo el Sr. López que no cabe parte á todo el ministerio Siendo ya ía hora cumplida, dejo mi discurso en esta par­ el caso de increparla ahora cabalmente que nos esta sirviendo? j en la mejoría que ha tenido el aspecto de la guerra ; no recor­ te, y lo siento porque necesito demostrar al Sr. Alvaro que Por cons…</t>
  </si>
  <si>
    <t>…o no dejará de satis­ á quien corresponde. El Gobierno al mismo tiempo veia en cierto riesgo las cos­ reclamo % dije los individuos que cobraban, y estoy seguro tas de la H abana, ¿ y de qué mariua se valia? Fue también El Sr. López me parece que le he oido en su discurso re - preciso la adquisición pronta de cuatro vapores, é improvisar</t>
  </si>
  <si>
    <t>…s necesidades, hacia unos D iputados, y reconvenido por otros; hé aqui cómo se y m il podia yo caer en esa inconsecuencia. Pero lo que el se­ menores los recursos y distraia la atención del Gobierno. Las expresaba entonces el Sr. López. ñor López dijo escrito está: si no se trataba de la vioLcion de bajas del ejercito eran m uchas, en las contratas no habia quien (L eyó un largo párrafo de un discurso del Sr. López. Este la ley fundamental , se trataba de la violación de una ley , y ofreciera, y el Coogreso recordará el medi…</t>
  </si>
  <si>
    <t>López, Alejandra</t>
  </si>
  <si>
    <t>Alejandra López</t>
  </si>
  <si>
    <t>…ica; perosonlabastantes por sí para recomendar una obra dra­ yo carácter en fin se han formado, aunque no modelado, mer extracto en contacto de una sociedad enteramente diversa de la fran­ de D. Juan dedeMlaata, de estedia á Doña Alejandra López, hija ficencia del aparato , parareúne presente lo que ademas á estas dotes la magni­ no ha omitido la sociedad nin­ cesa. Silencio y meditación , trabajo y reclusión , orden capitán del provincial de Búrgos. gún sacrificio, á pesar del poco tiempo que ha tenido, para po­ en la vi…</t>
  </si>
  <si>
    <t>López, Alejandro</t>
  </si>
  <si>
    <t>Alejandro López</t>
  </si>
  <si>
    <t>…algunos ¡ t a , consejero de Estado , y de los Sres. vocales D. Pedro Sainz | un sitio donde se representan farsas destinadas á llenar algunas ho­ versos notamos cierto olor á los de Calderón, Moreto, Q u inta­ I de Baranda y D. Alejandro López, individuos de la diputación 1 que ras de solaz y lícito recreo; y en fin, porque algunos escritores creen su deber es respetar todo lo que emana de persona tan acre­ na y Gallegos; esto prueba que el Sr. Fernandez rinde con su I provincial; el Excuso. Sr. D. Luis Sorela, presidente…</t>
  </si>
  <si>
    <t>López, Andrés</t>
  </si>
  <si>
    <t>Andrés López</t>
  </si>
  <si>
    <t>…itanes. c it o , llamo y emplazo á los que se crean con derecho al m ay o ­ fuera de los actos del servicio y con uniforme ó armado fuere Art. 145. El nombramiento de individuos para la form a­ razgo fundado en esta v illa por D. Andrés López A lb a r rá n , hallado en estado de embriaguez, sufrirá arresto por 24 horas ción del consejo de subordinación y disciplina se hará por elec­ canónigo que fue de la ciudad de Quito, en el reino del Perú, por la primera vez, ó en equivalencia el recargo de dos g u a r ­ ción que verific…</t>
  </si>
  <si>
    <t>López, Angel</t>
  </si>
  <si>
    <t>Angel López</t>
  </si>
  <si>
    <t>…io, y desterrar ciertos resabios de provincia que á las ve­ cha obra se hizo i causa de las ruinas que sufrió la fábrica e D. Ignacio Silvostri. ces les perjudican gravemente. Es digna de todo elogio su el terremoto de 1755. D. Angel López. aplicación, asi como lo son los esfuerzos del director, quien se Sobre los referidos baños no sabemos qué juzgar cuando ai D. José Ramírez. afana por dar a su teatro toda la variedad posible. Como p rin ­ tores antiguos en las relaciones del Alcázar nada dicen de tal \ D. Lorenzo Uzel…</t>
  </si>
  <si>
    <t>López, Antonio</t>
  </si>
  <si>
    <t>Antonio López</t>
  </si>
  <si>
    <t>…n dicho mes. peleta , Presidente, marques de Falces, Torres Solanot, Fer­ En 22 de Agosto D. Juan María Quiroga , vecino de la nandez Mela , Balanzat , Q uiroga, López, marques de Monte- dudad de L u g o , por sí y á nombre de D. Antonio López, Celoso el ayuntamiento constitucional de Colmenar de Ore­ s a , Diaz Caneja, L leopart; y Secretarios, conde de V ig o , y residente en Barbeitos, y Doña Isabel Gómez , vecina de Cas­ ja del bien de la España, regentada por la augusta Reina G o­ Medrano. tañedo, los tres hacendados en…</t>
  </si>
  <si>
    <t>…extrangeras. No hay que esperar v in c ia, se cita, llama y emplaza á D. Cándido Abril , D. M a­ Este número contiene los artículos siguientes: en ellos sino caracteres atroces ó necios pintados con almagre, nuel Ruiz López y D. Antonio López , para que en el término Biografía contera poránea.mCár los x (conclusión.) Por D. G. G. situaciones de indigencia, sentimientos vulgares y falta abso­ de nueve dias que por tercero y último se les señala , comparez­ Noticias sobre la vida y escritos de D. Dionisio Solís.rdPor luta de…</t>
  </si>
  <si>
    <t>…os artículos siguientes: uno, de cuyo capital se distribuirán en 600 premios 33$ pesos vincia, se cita, llama y emplaza á D. Cándido A bril, Don El diablo enano: conclusión. fuertes , en la forma siguiente: Manuel Ruiz López y D. Antonio López, para que en el tér­ Bodas entre los griegos: costumbres. mino de nueve días, que por segundo se les señala, comparez­ El dystonne. Premios. Pésos. can en la escribanía principal de Amortización, calle del Lobo, Y una crónica. núrn. 8 , piso segundo, á prestar sus respectivas declar…</t>
  </si>
  <si>
    <t>López, Cristóbal</t>
  </si>
  <si>
    <t>Cristóbal López</t>
  </si>
  <si>
    <t>…Cayetano, á Juan Gazquez , en id. 1590, y adicionada únicamente en esta edición con una nar­ Otra id. en Fuente dé la H iguera, término de Almería, ración de sucesos desde 1600 hasta 1855 , ó sea hasta la muer­ La Fortuna , á D. Cristóbal López , en id. te del Rey D. Fernando v i i ; un resumen cronológico de los C E vende un manto de Isabel la Católica para el uso de los Otra id. en la cuesta de las Tejas, sierra A lham illa, tér­ sucesos mas notables, sumamente necesario para metodizar el ^ caballeros grandes cruces de l…</t>
  </si>
  <si>
    <t>López, D. Antonio</t>
  </si>
  <si>
    <t>D. Antonio López</t>
  </si>
  <si>
    <t>…que dé cuenta de los millones inútilmente dispendiados; de su derecho en los autos de segunda suplicación que se siguen las manifestaciones fuera de razón provocadas, y concluye di­ por la escribanía de cámara al cargo del Sr. D. Antonio López ciendo, que lejos de ser un verdadero acto de valor el resistir de Salazar, introducido por José Juncosa y Elias, vecino de en el dia á la Europa entera , seria una verdadera locura. Ayer corrió la voz de haber sufrido el infame Cabrera un Barcelona, con varios acreedores, sobre gr…</t>
  </si>
  <si>
    <t>López, D. Joaquín Saenz</t>
  </si>
  <si>
    <t>D. Joaquín Saenz López</t>
  </si>
  <si>
    <t>…IAS JUDICIALES. que refrene á los humanos en lo escondido de su alma , y has­ ta de los que por egoísmo apetezcan una legislación y un orden nos atrevemos á decir que por realizarlo acaba de renunciar un P OR providencia del Sr. D. Joaquín Saenz López, juez de social que no sean pura farándula y m en tira; una legislación puesto ventajoso con que recientemente le convidaba el Gobier­ primera iustancia de la ciudad de Jijo n a y su partido, fe­ que Ies asegure su quietud y los goces estériles del aislamiento no. No estará de…</t>
  </si>
  <si>
    <t>López, D. José Gispert. Sr. D. Juan</t>
  </si>
  <si>
    <t>D. José Gispert. Sr. D. Juan López</t>
  </si>
  <si>
    <t>…Toreno. Sr. D. J osé María Navia Osorio. Sr. D. Mariano Miguel de Reinoso. Sr. D. Andrés Martinez del Peral. Sr. D. Juan de Posada Arguelles. Sr. D. Luis Mayans y Enriquez. Sr. D. Fermin Caballero. Sr. D. Wenceslao Toral» Sr. D. José Gispert. Sr. D. Juan López Pelegrin. Sr. D. Francisco Posada Fernandez de Córdoba. Sr. D. José Fermín Muro. Sr. D. Juaa Alfonso Montoya. Sr. D. Alejandro Mon. Alava . Sr. D. Pedro José Pidal. Sr. D. Blas López. Gerona. Valencia. Albacete • Sr. D. José Antonio Pastell, electo. Sr. D. Jua…</t>
  </si>
  <si>
    <t>López, D. Manuel</t>
  </si>
  <si>
    <t>D. Manuel López</t>
  </si>
  <si>
    <t>…de realizarse el sorteo se darán al público batallones mas numerosos, disciplinados y valientes conque apoderado del Maestre y San Román por D. Pedro Soriano como las listas impresas de los números que hayan conseguido pre- Sr. D. Manuel López C epero, canónigo de la _ cuenta su facción ; y vea por úUimo que coo una insignificante santa iglesia patriarcal aunque sensible pérdida de nuestros valientes , y en cuatro d cuaderno 2 0 , tomo 4*° dedelSevilla , en concepto de injurioso* el farán ylasPorganancias ellas, y no por…</t>
  </si>
  <si>
    <t>López, Francisco</t>
  </si>
  <si>
    <t>Francisco López</t>
  </si>
  <si>
    <t>…d de emplaza á todos los que se crean con derecho á los bienes que­ que aut&lt;r za á las diputaciones provinciales para enagenar los las leyes agrarias y acerca de la cuestión tan debatida de la d i ­ dados por fallecimiento de D. Francisco López, vecino que fue bienes de propios bajo ciertas formalidades, y otras disposicio­ visión de propiedad; porque, señores, se ha estado en ciertos de la misma , para que en el término de 50 d ia s , contados des­ nes Reates de los años 1818 y 1828 sobre validez ó nulidad de errores eco…</t>
  </si>
  <si>
    <t>…. M artin de la P e ñ a , D . Ambrosio e n c a rg o d el m ism o D e s p a c h o .= D e R e a l o rd e n lo d ig o á nglaterra bloqueará el E scau t, y ios holandeses, á quienes las B lan co, D . Jo aqu ín Rodríguez L e a l, D. Francisco López O la - V . E . para su c o n o c im ie n to y satisfacció n . D io s g u a rd e á :inco~Potencias facilitarán todos los recursos necesarios, torna - rarrieta „ D. Francisco Iru eg as, D . José Segundo Izquierdo, V» E . m u ch o s añ o s. P a la c io 5 de F e b r e r o d e 1 8 3 9 -…</t>
  </si>
  <si>
    <t>…a Quedaron sobre la mesa dos dictámenes de la comisión de pediente ninguna de estas formalidades.que la ley exige, pasa aptitud legal del 8 r. A lvaiez mientras no se presente testimonio Actas: el uno acerca do la admisión de D. Francisco López V e r ­ la comisión á dar su dictamen sobre su aptitud legU y á a n ti­ de la causa: tercero, que no podemos prevenir al Gobierno d e , primer suplente por Córdoba, y el otro rclatiyo á la m is­ cipar su juicio sobre esos procedimientos, calificándolos de arb i­ que dé orden para que…</t>
  </si>
  <si>
    <t>…V alle, D. Vicente Se concedió licencia por cuatro meses para restablecer sn sa­ no habia la arbitrariedad que habia querido suponerse. Yo aplaudo el celo de los Sres. D iputados que en esta ma­ r Pereda , D. Juan Ranero , D. Francisco López , D . José D íaz lud , solicitada por el Sr. D . M anuel M artínez A jala. y D. Esteban Góm ez, los cuales declararon no haber lugar a Se acordó im prim ir por apéndice al D iario de las sesiones teria defienden los intereses de los pueblos; pero es necesario la formación de causa…</t>
  </si>
  <si>
    <t>…d a F id e . d e , y se han rescatado afortunadarnerite seis c a u t iv a s , entie dera se presentaron los corsarios Edmon y P e n i en la bahía de 2.° En consecuencia el Gobierno del Estado, poniéndose de ellas la hija de D. Francisco López. S u p e , cuando asaltaron el bergantín Arequipeno : y esta m is­ acuerdo con el gobernador eclesiástico, y oyendo á la m unici­ Quedaron igualmente en nue»í.ro poder 205 caballos, dos ma bandera no fue reemplazada por la que enarbolabaa ambo? palidad de esta capital , proveerá l…</t>
  </si>
  <si>
    <t>López, Francisco de Paula</t>
  </si>
  <si>
    <t>Francisco de Paula López</t>
  </si>
  <si>
    <t>…tre en metálico en los 13 dias siguientes al en que se apruebe el Por providencia del Sr. intendente de Rentas de esta pro­ vincia se cita , llama y emplaza, para dar cumplimiento á cier­ REFLEXIONES remate. to despacho , á D. Francisco de Paula López , cuya habitación SOBRE LA PASADA REVOLUCION, 6.a Para justificar la exacción, podrá poner el arrendatario se ignora , para que en el término de nueve dias, que por últi­ en el cuatro de copas de cada baraja el signo ó sello que guste, mo se le señala , comparezca en la es…</t>
  </si>
  <si>
    <t>López, Francisco.</t>
  </si>
  <si>
    <t>Francisco. López</t>
  </si>
  <si>
    <t>…nde se expenden las demas obras del a u t o r , y son: recibo de la respectiva cantidad que les corresponde, y les será los dias que no sean festivos. Los qué gusten matricularse se satisfecha a presentación por el depositario D. Francisco. López presentarán en la secretaría del establecimiento, que tiene su N ueva gram ática l a t in a , escrita con sencillez filosófica , sex­ de O iavarriéta , plazuela de Sto. D om ingo, oiím. 21. entrada por la calle del Turco , núrn. 5 , cuarto principal de la ta edición: en ella se ha…</t>
  </si>
  <si>
    <t>López, Jesualdo</t>
  </si>
  <si>
    <t>Jesualdo López</t>
  </si>
  <si>
    <t>…e adoptar aquellos medios ; pero ahora da á D. Miguel E spinar, en reemplczo de D. Manuel de gencia y efectos oportunos. Dios guarde á V- S. muchos existe en el seoo del Consejo la mayor unanimidad. S o ria; por la de Murcia a D. Jesualdo López S j ha josa,- en años. Madrid 14 de Agosto de 1839.=X im enez.=Sr, direc­ Mr. Thiers, que llegó á Paris dos dias hace, ha sido reci- * reem plazo del vizconde de H uerta; por la de Sevilla á tor general de aduanas. bido por el Rey en St. Cioud, con quien ha tenido uoa larga D. Narciso…</t>
  </si>
  <si>
    <t>López, José</t>
  </si>
  <si>
    <t>José López</t>
  </si>
  <si>
    <t>…, calle del Lobo, primera instancia de esta v i l l a , refrendada del escribano de do un corto espacio de buen terreno, y la posición del pueblo núm. 8 , piso 2.°, á evacuar una cita que se le hace en causa número del crimen D. José López A r ia s , se c i t a , llama y em ­ que ponia á cubierto sus tirado res, cuyos disparos no cesaban, crim inal sobre falsificación de una lámina de deuda sin Ínte­ plaza por primer anuncio y término de nueve dias á D. José mientras que los nuestros marchaban adelan te, sin otro apoyo r e…</t>
  </si>
  <si>
    <t>…, que corren á cargo de otros m inisterios y los de las pro­ de primera instancia dé esta villa, refrendada del escribano de y cón su aviso remitirlos con el primer convoy que saiga para vincias dé Ultram ar. número del crimen D. José López A rias, se cita , llama y em­ el citado ejército.” 3.° Q ue en el estado de la contaduría general de D is­ plaza por primer anuncio y término de iiueve dias á M ariano ^ • Y la diputación, tribución se distingan b ien , en su cargo y data, las parti­ Balseiro y Francisco Villena , reos…</t>
  </si>
  <si>
    <t>…sos, y muchos de Asimismo se c h a , llam a y emplaza á D. Rafael M uriel, la noble emulación de algunos poetas contemporáneos que sobre erupciones cutáneas, en especial de saram pión, aun en perso­ D. José M aría de Z av ala, D. José López, D. M anuel I tu rri- él escribieron poemas de conocido mérito , á propuesta de la nas jovenes ^hallándose n n gran número de los niños que lo via y Doña M aría A lgeciras, para que en el término de nue­ Academia española, el autor del drama que se anuncia ha pro­ han sufrido ya , enferm…</t>
  </si>
  <si>
    <t>…de Granada y juez de medido geométricamente comprende de area plana con el grue­ primera instancia de esta villa, refrendada del escribano de so de su fachada y medianería 1 5 8 lf pies superficiales, tasado número del crimen D. José López A rias, se cita , llama y em­ su sitio, fábricas y cuanto pertenece á la repetida casa divi­ SEMANARIO plaza por segundo anuncio y término de seis dias á Mariano dida en la cantidad de 97,264 rs. al rebajar cargas, se ha se­ Balseiro y Francisco Villena , reos prófugos de la cárcel de est…</t>
  </si>
  <si>
    <t>…Duran, Otra idem . ministro honorario de la audiencia de Granada , y juez de primera instancia de esta v illa , refrendada del escribano de SUBASTAS. El célebre Julio R omano pintó este cuadro, cuya composi­ número del crimen D. José López A rias, se cita , llama y em­ plaza por tercero y último anuncio, y término de tres dias , á E l intendente militar del distrito de las Islas Baleares hace cion se reduce á lo siguiente. En medio está sentada L V ir ­ saber: que finalizando en 51 de Julio de este año la con­ gen apoyando…</t>
  </si>
  <si>
    <t>…que celará por descubrirle , y enton­ Asimismo se cita, llama y emplaza á D. Rafael M urie!,D on Gobierno y de las direcciones generales. ces , ¡desgraciado! caerá sobre su cabeza la espada de la justicia José Maris de Zavala, D. José López, D. Manuel Iturriria y con la velocidad del rayo. No se diga de hoy en adelante en­ Doña María Algeciras, para que en término de nueve dias, que tre nosotros otras voces que: viva la Constitución : viva Isa­ por segundo se les señala, se presenten en la escribanía principal bel it : viva…</t>
  </si>
  <si>
    <t>López, José Francisco</t>
  </si>
  <si>
    <t>José Francisco López</t>
  </si>
  <si>
    <t>…tor D. F ran ­ Otra id. en el cerro de Vacia-cámaras , término de T ru ji- :uales finaliza el tomo 3.° y concluye la geografía universal, á cisco O lA a, calle de la Platería, núm. 8 , y en los demas pun­ llos,S. Vicente, por D. José Francisco López, en id. excepción de la Península hispánica, que unida á un tratado tos en las librerías siguientes: M ad rid , Cuesta; Cádiz, H o r- Otra id. en sierra Alm agrera, barranco Jaroso, término de :ompleto de las monedas, pesos y medidas de todos los países y tal y compañía; Sevill…</t>
  </si>
  <si>
    <t>López, Juan</t>
  </si>
  <si>
    <t>Juan López</t>
  </si>
  <si>
    <t>…o , y al se cita y emplaza de nuevo por tercero y último término de na' 4 8 1 , y cuyá casa disidida o segregada de da principal tie- propio tiempo con inserción de la calificación y de esta sen* ocho dias á los acreedores de D. Juan López, tahonero que lié lárs líneas de; síi contorno siguientes: ia fachada calle de la tencia, pásese á la redacción de la Gaceta el oportuno testimo­ O t i i Verdé 48 pies y delínéa ; la medialieríá delá dérécha 2 Í|q fue én una de las deí Prado de esta córte, para qué cornparez-r n io , c…</t>
  </si>
  <si>
    <t>…stia de enviar á buscarlos á la comi­ blico decidirá si es ó no fundada esta opinión. de esta provincia, se cita, llama y emplaza á D. José María sión donde se suscribieron; pero debiendo limitarse las remesas de las Torreras, D. Juan López, D. José Campo y D. Juan en lo sucesivo á solo el número de cuadernos que conste hallar­ Araporda , endosantes que aparecen ser de una lámina de deu­ se abonado según las hojas de aviso, convendrá que unos y otros CRUZ. A las ocho y media de la noche. Sevolverá á da sin Ínteres, número 10…</t>
  </si>
  <si>
    <t>López, Juan Francisco</t>
  </si>
  <si>
    <t>Juan Francisco López</t>
  </si>
  <si>
    <t>…co-práctico para aprender á tocar la de . repugnancia a los principios románticos, pero sin fectos de ejecución. guitarra por cifra, sin auxilio de maestro, compuesto por Pero no porque Moratin sea inferior a jVIolieie ha d&lt; D. Juan Francisco López, profesor de música. *er exclusivo, y procurando tomar lo bueno de una y ótia. decirse que es un autor adocenado, no. Moliere e&gt;ta a um Véndese á 6 rs. en el almacén de música de Carrafa , calle escuela. til juicio que en varias ocasiones se ha formado cíe Mo- grande air.ura…</t>
  </si>
  <si>
    <t>…r á tocar la guitarra por cifra y sin auxilio de maestro, compuesto de los demas puntos del reino. Nota. Las cartas que se dirijan al autor en solicitud de obligó á pernoctar en el pueblo de N eila, del partido judicial por D. Juan Francisco López, profesor de música. ejemplares, 6 con cualquier otro motivo , han de venir francas Habiéndose generalizado extraordinariamente la afición a de porte, sin cuyo requisito no serán admitidas. de Salas de tos Infantes. El valiente y decidido húsar continuó la persecución,y á las o…</t>
  </si>
  <si>
    <t>López, Juan Nepomuceno</t>
  </si>
  <si>
    <t>Juan Nepomuceno López</t>
  </si>
  <si>
    <t>…arca de ignominia. Boliche de fundición plomiza, sierra Alhamilla , Cuesta de excepción de las plumas mas largas de las puntas de las Privado de coraje, se detiene el buitre cuando halla re­ las Tejas, térmiuo de V iator, por D. Juan Nepomuceno López, alas, que son negras. Toda la cabeza y pescuezo está des­ sistencia , y aun teme cuando no la hay. Si el viejo, lla­ en 15. nudo, y el pellejo es de un color amarillo amoratado. Los gado y moribundo asno esta para caer mortal al suelo, Una mina plomiza , en sierra de Gador ,…</t>
  </si>
  <si>
    <t>López, Julián</t>
  </si>
  <si>
    <t>Julián López</t>
  </si>
  <si>
    <t>…por D. Francisco Soto, en 14» Alicante, \ á £ d. Santiago, 1 £ á 2 d. reales, y moderno 16 . Otra id ., sierra Almagrera, barranco Jaroso, término Cue­ Barcelona á ps. f s ., par din. Sev illa, f á ¿ id. vas , S. Julián , por D. Julián López, en 14 . Bilbao, 1 papel, d. V alen cia, par. id. Otra id., i d . , id., i d . , La Dichosa , por i d . , en id. Cádiz, | á £ id, Zaragoza, id. Otra id ., sierra Lujan , solana de Algarrobos, término de Velez, S. Antonio, por Antonio Lorenzo, en 17. Descuento de letras, á 6 por 100 al…</t>
  </si>
  <si>
    <t>…Podían entonces los Ministros retirarse al hogar do­ Pasa á la comisión de Actas un oficio de los Sres. D. P a ­ resuena alegre en la afligida España, méstico y decir: el tiempo d o s hará justicia; pero de antema­ blo Mateo y D. Julián López solicitando su admisión en el y el lauro de victoria no, aunque nos falta el apoyo político, nos llevamos el asen­ Congreso. enjuga el llanto acerbo que la baña. timiento de los representantes del pais. Esta posición es buena, El Sr. Vicepresidente Z U M A L A C A R R EG U I señala para…</t>
  </si>
  <si>
    <t>López, Lucas</t>
  </si>
  <si>
    <t>Lucas López</t>
  </si>
  <si>
    <t>…ra id. en Loma del Saúco, término de Lucar , el Trueno, Mateos y Sánchez, presbítero, vecino de la villa de Gausin, por Manuel M o lin a, en 5 . en 23 de Diciembre ultimo registro un criadero de mineral de granaderos de Laredo D. Lucas López conducía igualmeote al cabecilla L oiano, y dueño de la casa en qae se hallaba oculto. Fábrica de fundición plomiza en el Pozuelo, término de carbón de piedra que había encontrado en paraje del partido C a u ja y a r, por D. Ju lián R u iz , en 5. de las Lim as, arroyos de Cañuela. Mar…</t>
  </si>
  <si>
    <t>López, Manuel</t>
  </si>
  <si>
    <t>Manuel López</t>
  </si>
  <si>
    <t>…nterior Teresa , á Nicolás M artínez, en 10. Cárlos n i , que contiene lo acaecido durante su ministerio. de la izquierda , darán razón. Fábrica dé fundición plomiza en la Artichuela , haza de la C ru z, término de E n ix , á D. Manuel López, en 9. Prospecto. Berja y Marzo 5 de 1859.=El I. E . , Bernabé Sánchez I IBROS nuevos en la comisión de muebles y libros estable- Dalp. = £ s copia.r:Cavanillas. Detenernos en ensalzar la presente obra fuera superíluo, cida en M adrid, calle de Correos, núm. 2 , frente á la cuando su…</t>
  </si>
  <si>
    <t>…rías en esta provincia , que de ser asi el escribano de S. M. frente la fuente de Sta. Cruz , por !a escribanía del número del la fuerza del vapor la que hace mover sucesivamente el émbolo m ayor de la misma da fe. crimen de D. Manuel López P in ta d o , á fin de hacerla saber en las dos direcciones hacia arriba y hacia abajo. Comparada Por el presente se c ita , llama y emplaza por segundo edic­ una providencia en la causa que á su instancia y contra Isido­ máquina con otra de simple efecto de los mismas dim en­ to y té…</t>
  </si>
  <si>
    <t>López, Manuel Iluiz López y D. Antonio</t>
  </si>
  <si>
    <t>Manuel Iluiz López y D. Antonio López</t>
  </si>
  <si>
    <t>…r. juez de primera ins­ Terminará la función con baile nacional. Por providencia del Sr. intendente subdelegado de Rentas tancia de Toledo; bajo apercibimiento. de esta provincia se cita, llama y emplaza á D. Cándido Abril, D. Manuel Iluiz López y D. Antonio López, endosantes de varios vales no consolidados, para que en el término de oueve CRUZ. Hoy no hay función. dias se presenten en la escribanía principal de Amortización, SU B A ST A S. calle del Lobo, ndm. 8 , piso segundo, á prestar sus declara­ ciones y reconocer…</t>
  </si>
  <si>
    <t>López, Miguel</t>
  </si>
  <si>
    <t>Miguel López</t>
  </si>
  <si>
    <t>…o de la Gobernación de la Península Asimismo se cita y emplaza á D. Manuel G aviña, Dou cuarto segundo de la derecha , cualquier dia de una á tres con fecha 5 del corriente mes ha comunicado á esta dirección Rafael de Aragón y D. Miguel López, para que en el término de su tarde, á recoger los libramientos de las cantidades que general lá Real orden siguiente: de nueve dias se presenten en la escribanía principal de Amor­ respectivamente les han correspondido: debiendo llevar las viu­ das fes de tales; los huérfanos y huérfan…</t>
  </si>
  <si>
    <t>López, Narciso</t>
  </si>
  <si>
    <t>Narciso López</t>
  </si>
  <si>
    <t>…39.=X im enez.=Sr, direc­ Mr. Thiers, que llegó á Paris dos dias hace, ha sido reci- * reem plazo del vizconde de H uerta; por la de Sevilla á tor general de aduanas. bido por el Rey en St. Cioud, con quien ha tenido uoa larga D. Narciso López, en reemplazo de D. Juan Aldam a, y conversación: El antiguo Ministro no ha disimulado la gran­ por la de Zaragoza , por renuncia de D. Miguel Laborda deza de la situación presente. y G aiindo, á D. Agustín Nogueras. Tendréislo entendido Mr. Thiers ha probado en esta conferencia que na…</t>
  </si>
  <si>
    <t>López, Nicolás Cipriano</t>
  </si>
  <si>
    <t>Nicolás Cipriano López</t>
  </si>
  <si>
    <t>…on entusiasmo la venida de la paz, D. José García............................................................................ 4 porque ha sentido y siente cruelmente los horrores de la guer­ -. . . " ■■■■■ - — ' — - ^— — ■■ D. Nicolás Cipriano López................................................... 60 ra. El Excmo. Sr. general en gefe del ejército del Centro llegó Lista ¿e la suscripciónpara el socorrode las monjas, que Una caridad................................................................................. 3 anteay…</t>
  </si>
  <si>
    <t>López, Patricio</t>
  </si>
  <si>
    <t>Patricio López</t>
  </si>
  <si>
    <t>…los re- Descuento de l e tr a s , á 6 por 100 al año. consideren con derecho á los bienes quedados por la fin y m uer­ sultados prácticos de atentos é instruidos observadores que pu­ te intestada , ocurrida en esta corte, de D. Patricio López C a l­ dieran hacer avanzar la ciencia de Esculapio. Estas razones nos derón , picador que fue de la brigada de artillería á caballo de han decidido a publicar una Revista mensual, la cual conten­ la Guardia R e a l, á fin de que por sí ó por medio de apoderado drá los casos mas not…</t>
  </si>
  <si>
    <t>López, Pedro</t>
  </si>
  <si>
    <t>Pedro López</t>
  </si>
  <si>
    <t>…abundante en bellezas de un era el mismo dé otras. No seriamos justos si no hiciésemos ticas ni la rigidez enteram ente clásica pueden ya fortifí género superior, peFo que ni es á propósito para un pú­ honorífica mención del Sr. Pedro López, que en el pa­ carse ni volver á ser populares en nuestra escena; á las blico como el nuestro está hoy dia, ni tenemos actores que pel de Zarés ha manifestado em inentes disposiciones para prim eras las prostituyen el buen sentir de los escritores puedan brillar en esta cuerda. el arte t…</t>
  </si>
  <si>
    <t>López, Pedro Alcántara</t>
  </si>
  <si>
    <t>Pedro Alcántara López</t>
  </si>
  <si>
    <t>…al Sr. conde territorio del Risco, en Aragón , y en el año de 1742 sucedió al doctor Fletcher se ha expresado eu los términos siguientes: de Cumbres A l t a s ; al comandante graduado y capitán de t i r a ­ linealmente en él D. Pedro Alcántara López. ccYo no aconsejo á mis am igos, como el doctor Mac-Dovvell, dores D. Vicente L a g u n e r o ; al teniente graduado alférez Don que se sirvan de sus armas contra la policía; pero sí les reco­ Marques de Castropinos: por fallecimiento en el año de 1744 Joaquín M iralle s, y…</t>
  </si>
  <si>
    <t>López, Pelayo</t>
  </si>
  <si>
    <t>Pelayo López</t>
  </si>
  <si>
    <t>…os auto­ Hoy se presentaron eo esta plaza con sus armas y caballos, villa de Galvez, á fin de que en el término de nueve dias si­ res mas clásicos, redactado en el año 1854 por D. Bernardo el oficial D. Manuel Vázquez Varela, D. Pelayo López R ao- guientes al de la fijación comparezcan en este juzgado por sí ó Latorre, magistrado honorario y juez de primera instancia de caño, D, José Teijeiro y dos individuos de tropa, uno coa ca­ por medio de procurador con poder bastante á justificar sus Toledo. billo y lanza y el otro co…</t>
  </si>
  <si>
    <t>López, Ramón</t>
  </si>
  <si>
    <t>Ramón López</t>
  </si>
  <si>
    <t>…ra uno D. Pascual Fernandez Baeza , ministro de la ley particular. audiencia d e V a l L d o l i d , á cuya plaza habia sido trasladado (Se leyó dicho artículo por el 8r. Secretario Muro.) Sesión del día 2 de Enero de 18 39. D. Ramón López V ázqu ez, dejando otra igual que obtenía en Señores, esta es la ley viva en la m a t e r i a : esta que fue uo la audiencia de Cáceres, cuya traslación se verificó á virtud tiempo ley constitucional, es hoy la que rige como ley p articu­ Se abrió á la una. de Real decreto de 5 de Ju n…</t>
  </si>
  <si>
    <t>López, Ricardo</t>
  </si>
  <si>
    <t>Ricardo López</t>
  </si>
  <si>
    <t>…ndm. 6 , á las diez de di­ vincia se cita , llotna y emplaza á Ú, Pedro Torreas y M iral- cho dia. B IB L IO G R A F ÍA . da , D. José de Acebo, D. Clemente Bernaídez, D. José Arau- jo y Alcaide, D. Joaquín de Echavarría , D. Ricardo López, D. Antonio González , D. José de Castejon, D. Miguel M ar- p O R el presente y providencia dictada por el Sr. D. Juan qüés y Villegas, D , Lorenzo Marau , D. Andrés M artí, Don José Rodríguez Yaldeosera, caballero comendador de la Juan Garay y Casal, D. Rafael Cañaveral, D. Francis…</t>
  </si>
  <si>
    <t>…una obra de esta clase , tan instructi­ D. José de Acevo, D. Clemente Bernaldez, D. Joaquín de Tratado histórico práctico de la vacuna, por D. Vicente va como agradable para todas las de la sociedad , nos decidie­ Echavarría, D. Ricardo López, D. Antonio González, D. J o ­ Martínez: un tomo en 8 .° rústica , á 2 rs. ron á ocuparnos de este trabajo que no nos toca calificar. Bas­ sé Casfejon, D. Miguel Márquez y Villegas, D. Lorenzo M a- ta el nombre del célebre filósofo Mr. Bouvier, de cuyas obras raci, D. Andrés M a rti,…</t>
  </si>
  <si>
    <t>López, Vicente</t>
  </si>
  <si>
    <t>Vicente López</t>
  </si>
  <si>
    <t>…que salió de esta corte el dia 50 de Junio últim o, á fin Segovia. Comprende los barrios de San Andrés, la Latina , S. Fran­ de que comparezca en el juzgado á dar razón de ellos, en la in­ por Un D. viacruc s, inventado por D. Vicente López, y grabado Miguel Gamborino, precio 30 rs. cisco, Humilladero, Mira el Rio , puerta de Toledo y Huerta lugar,teligencia que de no hacerlo le parará el perjuicio que haya F m V - 0!10 estampas iluminadas, que representan los gri­ del Bayo , que componen 82 manzanas. pues está dada la o…</t>
  </si>
  <si>
    <t>Lúaces, Vicente Ramón</t>
  </si>
  <si>
    <t>Vicente Ramón Lúaces</t>
  </si>
  <si>
    <t>…6 159092 §55600 de la canalla se regregase sobre el Cerezal. 27 576273 10532255 Que la columna del fuerte, compuesta de 22 hombres, sa­ Murcia MINISTERIO DE MARINA, COMERCIO Y GOBERNACION DE ULTRAMAR. lió con su comandante D. Vicente Ramón Lúaces, y unida á O v ie d o ......... 2 5 146 OO 20356 31511 56735 Sección de Comercio.^Real orden. sus compañeros acabó de destruir á los rebeldes, los cuales de­ Pamplona Oreóse 2 23853 86000 jaron siete muertos dentro de las calles, siéndolo dos de estos 17 62881 62881 Seg…</t>
  </si>
  <si>
    <t>M, Ardennes. S.</t>
  </si>
  <si>
    <t>Ardennes. S. M</t>
  </si>
  <si>
    <t>…e á S. M. el Rey de los belgas llegó ayer de incógoito á esta con tas del jardín rural que tiene á su cargo , de 22 variedades d&lt; la precipitación con que se ha votado esta proposición.... su comitiva bajo el nombre de conde de Ardennes. S. M. se apeó melones, cuatro sandías, y aceitunas, cultivado en esta vega. (Un número considerable de Sres . Diputados , entre ellos del coche en la fonda del Gran Rheimberg. Esta mañana con­ res , colecciónBautista D. Juan Berenguer, por uvas de las mas singula­ el Sr. Roda). Al orden…</t>
  </si>
  <si>
    <t>M, Consejo de S.</t>
  </si>
  <si>
    <t>Consejo de S. M</t>
  </si>
  <si>
    <t>…nte en el año de 54 vinieron dos Diputados de N avar­ El Sr. marques de M O N T E S A preguntó al Gobierno de importe de las cargas está a q u i, pero que no se daba , y no se r a , y la entregaron en Aran juez al Presidente del Consejo de S. M. si cuando se decía wse conceden los fueros,” se entendía dio. El Gobierno trató de atraer á la diputación por todos los Ministros; en la cual expusieron que en aquellos momentos no también **y las leyes de N avarra.” medios posibles, pero en vano: llegó el año d e 32 y sucedió lo…</t>
  </si>
  <si>
    <t>M, Soult. S.</t>
  </si>
  <si>
    <t>Soult. S. M</t>
  </si>
  <si>
    <t>…oposiciones deliberadas en común. ficit de la actual requisición, y preparar la remonta con que en Hoy á las once ha concedido el Rey una nueva audiencia el año próximo veuidero se han de cubrir las bajas que resul­ al mariscal Soult. S. M. ha dado, según dicen, su asentimiento ten hasta aquel tiempo en los regimientos de caballería de la á las intenciones deque había sido iutérprete el duque de D al- ANUNCIOS OFICIALES. Guardia Real y del ejército. El contratista á favor de quien m acia. quedare rematado este important…</t>
  </si>
  <si>
    <t>M.zzEl, V.</t>
  </si>
  <si>
    <t>V. M.zzEl</t>
  </si>
  <si>
    <t>…Necochea, obispo elec­ libertad de la nación. Jaén 7 de Setiembre í859.=Señora,— C O N G R E SO D E D IPU TA D O S. to de Oviedo. T endréislo en ten d id o , y lo com unicareis á Vuestros mas fieles empleados.=:P. A L. R. P. D. V. M.zzEl P R E S I D E N C I A DEL SEÑOR CALATRAVA. qu ie n corresponda para los efectos convenientes á su cu m ­ intendente interino, Alejandro Aniceto M adrid.—El contador plim iento.— Está ru b ricad o de la Real m a n o .^ E n Palacio interino, Ramón Crogun.rzEl administrador, José Sánchez Se…</t>
  </si>
  <si>
    <t>M.zzMarcelo, Apolinario Morales. R. P. de V.</t>
  </si>
  <si>
    <t>Apolinario Morales. R. P. de V. M.zzMarcelo</t>
  </si>
  <si>
    <t>…oido con especial agra­ los pueblos y vecinos. fuerzas en Monclova el ex-capitan dél primer batallón del pri­ do las siguientes exposiciones: Cabezón de la Sal y Diciembre 6 de 1839 rsSeñora.—A L. mer regimiento de infantería D. Apolinario Morales. R. P. de V. M.zzMarcelo Calderón Velarde.=José González y Después supe que el expresado Morales etnprendia su mar­ Señora: Él ayuntamiento constitucional de Mazcnerras, Gonzalez.=Pedro Diaz.rrJosé González Orejan.=Plácido de la cha de aquel punto con cinco piezas de artillería…</t>
  </si>
  <si>
    <t>Ma, D.</t>
  </si>
  <si>
    <t>D. Ma</t>
  </si>
  <si>
    <t>…ci o para que no Quijote , honor de la n ación , gloria de la literatura y t im ­ tan luego como llegue á su noticia , se si rva comparecer en la bre de la fantasía humana. Las ediciones de esta obra menudean audi enci a del Sr. D. Ma nue l L nc e ñ o , juez de pri mera i ns ta n­ por todas partes y en todos los id io m as; pero ¿cómo cabe re­ cia de A vacies , de diez á una del di a , sita en la calle de .Bor­ | OS suscriptores á la Plistoria de España por Rom ey p a s a - medar en una traducción, ni aun lejanam ente, la f…</t>
  </si>
  <si>
    <t>…dillas en que recomendará á los ge les de sus fuerzas navales el ma­ Concepción Ñero. donde se colocaron dichos objetos, yor zelo y la actividad mas constante en el cumplimiento* 607. Unvalmohadón bordado sobrecañamazo, al Sr. D. Ma­ clavar las bayetas, colocar las ba­ de las referidas 'instrucciones. nuel Araud. randillas, alquiler de estas, quitar Nos felicitamos por esta reciente muestra de benevo­ 520. Un acerico de terciopelo bordado, al Sr. D. Joaquin el tablado del Liceo, conducirle á lencia que S. M. el Rey…</t>
  </si>
  <si>
    <t>…o hoy en nuestra iglesia metropolitana, y aunque nos ha Concluyéronse ya los regocijos públicos que se hicieron sólido de nuestra pacificación; ese tratado célebre tan e x - sido imposible oir el sermón que ha pronunciado el Sr. D. Ma­ con tan plausible motivo; y todos los aragoneses en esta capi­ pontáneo como generoso, verificado por el ilustre y victorio­ nuel López Cepero, canónigo de esta santa catedral , las luces tal demostraron de una manera indudable que estaban pene­ so héroe á quien V . M. honrara con su confianz…</t>
  </si>
  <si>
    <t>Ma, Joaquín</t>
  </si>
  <si>
    <t>Joaquín Ma</t>
  </si>
  <si>
    <t>…ndo dutj sehalUba en^gráví*ÍÍjH&gt; riesgo fondeada al O* del personas de su confianza, y adornadas de los conocimien­ Fraile. En el «¿to pasé á bordo del vapor Cometa i solicitar de P o r el presente de cita , llama y emplaza á D. Joaquín Ma­ tos necesarios, nombradas como queda dicho, siendo los su comandante la remolcase á este puerto, cuya contestación fue lta Sanguino, D. Angéí 'Mótálés ^ Xtr-ésposá TJhñáT Marta dét mismos gefes responsables de la aptitud é integridad de lo haria luego que abonanzase el tiempo, fací lit…</t>
  </si>
  <si>
    <t>Ma, José</t>
  </si>
  <si>
    <t>José Ma</t>
  </si>
  <si>
    <t>…e en la Habana corno uno de los mas acreditados pendo­ bró una comisión para que reuniendo los datos que sobre el listas, admitido como discípulo y empleado, no tardará en tra­ particular consignó en una memoria el presbítero D. José Ma­ C U ESTIO N D E L V E R B O U N IC O . bajar sobre la piedra obras dignas de las ingeniosas produccio­ ría Peñalver, religioso que fue del orden de Ntra. Sra. de la nes que hasta ahora ha encomendado al papel. Merced, se sirva esplanar cuanto juzgue conduceute á la me­ H ay entre los escr…</t>
  </si>
  <si>
    <t>…llevado á casa délos suscriptores, es el de 2 rs. al mes, Decretos del Rey nuestro Sr. D. Fernando v ir, recopilados y 10 por un trimestre, franco de porte, en las provincias. por los Sres. D. Fermín Martin de Balrnaseda , y D. José Ma­ La entrega 54 correspondiente al 24 de Noviembre contie­ ría de Nieva, desde 4 de Mayo de Í 8 I 4 hasta 51 de Diciem­ GUIA DE FORASTEROS. ne los artículos siguientes: bre de 1852. Son 18 tomos en 4.0 á 4 OO rs. eu rústica , y 484 Luis Ariosto, biografía. pasta común. De orden del Sr. Mi…</t>
  </si>
  <si>
    <t>Ma-nuel</t>
  </si>
  <si>
    <t>…fa­ Salvador Viniegra y D. Ignacio Fernandez de la Somera. Clot bey, médico del virey de Egipto, ha tenido una au­ moso a rm a m e n to , llam ado la arm ad a invencible , q u e Baile. D. Juan Riquer , D. Guillermo Ghesio, D. Ma-nuel diencia del Santo Padre, en la cual le ha presentado libros re­ María Simó y D. Andrés Anglada. hizo Felipe n en L i s b o a , y destinado contra Inglaterra, ligiosos de los drusos. Su Santidad le ha regalado en cambio El premio de conducta, que es el primero del colegio, su ad­ se componí…</t>
  </si>
  <si>
    <t>Mac-Dovvell</t>
  </si>
  <si>
    <t>…cedió al doctor Fletcher se ha expresado eu los términos siguientes: de Cumbres A l t a s ; al comandante graduado y capitán de t i r a ­ linealmente en él D. Pedro Alcántara López. ccYo no aconsejo á mis am igos, como el doctor Mac-Dovvell, dores D. Vicente L a g u n e r o ; al teniente graduado alférez Don que se sirvan de sus armas contra la policía; pero sí les reco­ Marques de Castropinos: por fallecimiento en el año de 1744 Joaquín M iralle s, y al alférez D. J u a n V a lt e r r a , ambos de la de D. José Bertnude…</t>
  </si>
  <si>
    <t>Macdonell</t>
  </si>
  <si>
    <t>…e su auto ri­ y asimismo lo verificaron al comandante general de la línea de c o tt, á los cuales el teniente gobernador del Alto Canadá ha d ad , usaudo de un poder que le está conferido para circuns­ dado libertad. El coronel Macdonell hizo reunir los m agistra­ tancias extraordinarias, y prorogó el Parlamento por seis meses, Portugal otros dos acosados por nuestras tropas Que el gefe de la columna de Silleda en combinación con la dos de la población , y les dijo que tenia encargo del teniente lo cual ha producido una…</t>
  </si>
  <si>
    <t>Macia, D. Ramón</t>
  </si>
  <si>
    <t>D. Ramón Macia</t>
  </si>
  <si>
    <t>…z de la Vega , alabanzas lau to mas im ­ Publicacion.=:Leida y publicada fue esta sentencia por el 6.° Acto segundo de la ópera La Muta d i P o r tici , del p arciales y desinteresadas, puesto qoe n i de vista leñem os limo. Sr. D. Ramón Macia L leopart, magistrado semanero de maestro A u b er; por los señores U nánu e, C alvet, Rodríguez e l honor de conocerle. la sala primera del tribunal supremo de justicia, en el día de la Calor je .y coristas, con decoración y trajes. No concluirem os sin c ita r con encom io la preci…</t>
  </si>
  <si>
    <t>MACIALLEOPART</t>
  </si>
  <si>
    <t>…tenerse porque ellos no Un fuero, señores, hay en las provincias, del cual no h a ­ V ilum a. conocian las necesidades del Estado, no se les presentaba presu­ blaré ahora , porque no es llegada la ocasión de ventilar esta El Sr. M A C I A L L E O P A R T dice que en su opinión los puestos , ni tenían tampoco la cantidad que pagaban todas las materia , un fuero importante , d ig o , cual es el de las aduanas fueros de las provincias Vascongadas en gran parte no están en demas provincias. Véase pues como en la parte mas pri…</t>
  </si>
  <si>
    <t>Macpherson, Guillermo</t>
  </si>
  <si>
    <t>Guillermo Macpherson</t>
  </si>
  <si>
    <t>…nte violento en la cara. El soldado qui­ do Brockmann , D. José Soiis y D. Manuel Docavo. hombres entre soldados y marineros, d e m odo-que el gol­ so responder con un bayonetazo, pero se lo impidieron los que Materna ti jas. D. Guillermo Macpherson, D. Valentín Ga- j fo de Lepanto estuvo por algunos dias temido de sangre* le rodeaban. larza , D. Manuel Maderne y D. Jaime Santacana. El pintor fue preso y conducido á la cárcel de Boun Go~ Primer año de filosofía. D. Anselmo Mateo y D . José Toda la Europa resonó con grito…</t>
  </si>
  <si>
    <t>Macía, Ventura Manuel</t>
  </si>
  <si>
    <t>Ventura Manuel Macía</t>
  </si>
  <si>
    <t>…ntendente subdelegado esta facultad con otros diferentes asuntos. 2.° y 5.° ° de rentas , juez de amortización en esta provincia, se cita y em­ Este tomo primero consta de 56 pliegos de impresión , y lo plaza por el presente á D. Ventura Manuel Macía, á fin deque mismo será el segundo, y su tamaño en 4 «° español; su precio ....................' "r' *■ 1 — " ■ ■ .y comparezca á la brevedad posible en la escribanía principal del 18 rs. en Madrid y 24 fuera, franco de porte para los suscrip- ram o, calle del L obo, ndio. 8 , p…</t>
  </si>
  <si>
    <t>MADOZ</t>
  </si>
  <si>
    <t>…han merecido mención honorífica D. Luis Bor- aquellas provincias de tanta riqueza y población. portaban su miseria. Añaden que es preciso haber visto esto de deore, D. Rafael M artínez; Sres. vicario del hospital, D. Fa- El Sr. M A D O Z se adhiere á esta interpelación. cerca para formarse una idea de la energía y constancia que bio Bucelli, D . Joaquin Cabrera , Félix M onge, Bautista Gi- Se procede á la~órden del dia , y leído un dictámen de la tienen en Africa los soldados franceses. jon, D. Vicente Sancho, y abadesa de…</t>
  </si>
  <si>
    <t>Madoz</t>
  </si>
  <si>
    <t>…n parte de hoy que El Sr. O LO Z A G A expuso que hubiera opinado como el ley sobre lo cabeza del delator infame, para que viera que no sa la facción de A rn au , que según el aviso citado del comandante Sr. Caballero si el Sr. Madoz hubiese reclamado que hoy se le­ denuncia en balde á la virtud ante la ley. de la brigada de la Púbera se hallaba en Losa, después de hacer yesen las listas; pero no siendo asi, creiaq ue la observación que Señores, si tratándose de un honrado ciudadano y en la un corto descanso en este p ue…</t>
  </si>
  <si>
    <t>…n ia n if e s - ! m isió n está en su lu g a r . bles , sean le yes sistera?. tiz a d a s y qu e p o n g a n u n a b a r r e r a a la t.aao, bien sea la ina y o rd n u u a m a y o r o les ge fe i qu e h a n e n t e n - I El Sr. M A D O Z hace a l g u n a s o b s e rv a c io n e s , en las cuale s a r b i t r a r i e d a d y ai despotism o. P o r es o , si m i voto se ve a l g ú n ü i a o cu este negocio el d a r oca aion a in te debate. sie nte qu e so h a y a d a d o ú la cu estió n otro g i r o , y a ñ a d e q u e d ia…</t>
  </si>
  <si>
    <t>…el Congreso acuerde que pase á la ponen el total de 28 individuos de la clase de tro p a, en cu­ comisión yo logro ha tenido gran parte uno de sus mismos gefes lla­ , y esta dará su dictáinen. mado D. A ntonio Morales. El Sr. M A D O Z: Me alegro mucho que se haya puesto en Señora: El gefe político, secretario y demas empleados Y finalmente, que el capitán- D. Santiago López de la Lla­ armonía el Sr. Quinto con mis deseos, porque en un principio dependientes dt?l ministerio de la Gobernación de la Penínsu­ ve batió á lo…</t>
  </si>
  <si>
    <t>…ión provincial. dos y tienen en sus manos el dar recompensas y premios á ex­ chos los deseos de S. S. El Sr. M EN D IZ A BA L: Digo pues que solo han tomado traños y propios, y aun á sí mismos, es preciso que lleven con­ El Sr. MADOZ hizo la indicación de que en el oficio de parte en esta representación los ciudadanos de B ilbao, porque sigo los sinsabores del mando; también es preciso que sepan res­ remisión de los expedientes sobre este negocio al Gobierno se la situación de este pueblo de V izcaya es una excepción de l…</t>
  </si>
  <si>
    <t>…la de Valencia que haya dado mayor número de caballos, ten­ extraordinaria de guerra.” dictamen. ga esto presente, y suplico al Sr. Secretario que lea Ja enmien­ De este modo la contribución podrá ser efectiva, y no será El Sr. M A D O Z indicó que la comisión estaba m uy recono­ da para que vean los Sres. .Diputados que no se pide sino una una mentira. cida á las últimas palabras del discurso del Sr. Iñigo ; que lejos cosa de la mayor equidad {se leyó). Yo reclamo lo mismo que el Sr. Sancho en favor de las pro­ de haber…</t>
  </si>
  <si>
    <t>…greso cómo el reglamento preve palabra desde su asiento; que la habia pedido al mismo tiempo labra en el sentido literal no era en ningún modo aplicable al el caso de hacer las enmiendas, no á los artículos, sino á los que el Sr. Madoz; pero que le bastaba que se supiese que habia que se daba por parte del Sr. M inistro: que nunca habia sido proyecto*. (S í Sr. Leal indico que se Leyese la reform a del querido hablar. su ánimo ofender al Gobierno ni hacerle cargos, pues en ese reglamento.) El Sr. BARRIO AYUSO dijo que tambié…</t>
  </si>
  <si>
    <t>…ro­ venio de Vergara. Sobre esto nada tengo que a ñ a d ir, pues se h a ell as algún resentimiento , y si le encuentran , este es el germ en vincias representadas del modo que se hubiese creído mas opor­ adelantado á ello el Sr. Madoz. que ellos hacen ferm en tar, y haciéndolo ferm entar, producen tu n o , ya por medio de sus autoridades, que deben naturalm en­ El Congreso por un movimiento espontáneo ha declarado en las rnasas el estado de guerra. Los fueros , si llegásemos á te simpatizar con los habitantes de aquellas…</t>
  </si>
  <si>
    <t>…ión no es ni puede ser de partidos: tada , paso á hacerme cargo de lo que mi compañero y amigo labra, de otro otra expresión, y entre las que se tomaron fue ¿n o es esta cuestión'"de Ínteres general? Cuando se ha tratado el Sr. Madoz se dignó exponer con el objeto de im pugnar esta la que yo manifesté cuando vine á dar la primera noticia del de medios ordinarios y extraordinarios, cuando se ha tratado enmienda. S. S. dijo , sin duda por equivocación, que esta en­ convenio de Yergará: la expresión de que la Constitución se…</t>
  </si>
  <si>
    <t>…creedores por otros tí­ presentado una ley sobre el tribunal m a y o r de cuentas. Y o creo E l orador se ocupa del exámen de los cuatro artículos p ri­ tu lo s, como las alcabalas y otras imposiciones en que el Estado que el Sr. Madoz ignora cómo se exige la cobranza de las con­ m eros, y dicei Que respecto del primero es ine\ 3cto determi­ se halla en grande atraso. nar en una ley que los atrasos se liquiden; porque el G obier­ tribuciones , pues debe conocer que nada tiene que ver el tribu ­ E l Sr. B A L L E S T E R O…</t>
  </si>
  <si>
    <t>…Se comprenderlo: no nós entendemos: porque, hablando vulgar­ puesto cosas contrarias á la Constitución y á todo Gobierno mandó á pedir á la secretaría.) mente, y usando de una expresión poco digna de una situación libre. El Sr. M A D O Z : Por dos razones uso de la palabra; la tan grave, pero exacta , hay aqui un duénde, y este duende ha Véase si no ese proyecto sobre el arreglo de la Milicia ciu­ primera por la facultad que me concede el reglamento, y la pasado: ya se ve claro, lo digo con la responsabilidad que tie­ da…</t>
  </si>
  <si>
    <t>…sentasen en el misino. del ganado extraiagem Manifesté asimismo los antecedentes que .»subido. Se remitió á la comisión de Actas la que presentaba el se­ Babia para esta variación, á saber, unos aranceles fundados ea Pasó el Sr. Madoz á comparar el arancel existente con el ñor D. Rafael Altaron ací y Mora, Diputado electo por Jaén el sistema de concesiones mutuas., uoa junta ó trabajos prepara­ que habia dejado de existir, para hacer ver que lo que Catalu­ en reemplazo del Sr. D. Simón Fernandez Gallardo. torios del Gobier…</t>
  </si>
  <si>
    <t>…sa el 51 de Junio que esta circular podrá ó no haber influido en la elección del se­ Se leyó. necesita saber el sentido de ciertas expresiones, y que si quiere ñor Arrazola. Ruego pues á los Sres. Diputados que se hallan El Sr. Madoz pidió la palabra con calor. llevar la guerra á sangre y fuego, á sangre y fuego se llevará, presentes consideren que estamos en el caso de afianzar la con­ ñor ElArmendariz Sr. PRESIDENTE manifestó que la reclamación del se­ y todos sabemos que la contestación fue poco satisfactoria para er…</t>
  </si>
  <si>
    <t>…ión acerca de la lectura del artículo del reglamento que ha precedentes funestos, funestísimos. Me haré cargo pedido el Sr. Iñigo. La comisión ha dado su dictamen acerca de la nulidad de las elecciones. de lo que ha dicho el Sr. Madoz respecto á Extracto del arancel general de aduanas. estas elecciones para que vayan entrando en el Congreso mas Veo el dictámen de la comisión que no da valor legal á esa Derechos Idem Sr es. Diputados, porque no es la comisión la que ha de juzgar suposición de parcialidad, no hace mérito de e…</t>
  </si>
  <si>
    <t>…provincia de Málaga , y por el mismo mo­ parar las desgracias domésticas que han tenido lugar. no sea fundada en las bases del crédito, en la seguridad de los tivo, ademas de la viudedad que disfruta por el monte pió mi­ El Sr. MADOZ manifiesta que desea como el primero que litar , para sí y su hija Doña Osoria la de 123 rs, vn« anua­ se respete la memoria de un valiente, y mucho mas la del ge-- capitales , y en el concierto de la administración y ramos que la componen, inútil será que sea aprobada, porque después de les…</t>
  </si>
  <si>
    <t>…rcito á Egipto. Nelson al ña h a ­ cesarios si el Gobierno no secundaba los esfuerzos de los redac­ 10. Hijo desconocido por sus padres. lló la escuadra enemiga en la bahía de Aboukir, y la atacó tores. Con esta convicción el Sr. Madoz solicitó de S. M. la Rei­ 1 1 . Proceso de Catalina Estinés. con tanta resolución que solo escaparon dos navios franceses. na Gobernadora permiso para extraer de los archivos y escriba­ Por esta victoria fue creado Par de Inglaterra coa una pensión nías las causas ó autos que pidiese ; y pasad…</t>
  </si>
  <si>
    <t>…as condiciones en beneficio del periódico de novedades , fecha 6 del actual, dice : que el co­ Sangarren. Erario, y se aleje todo motivo de desconfianza acerca de mandante de una secciou de la 7.a columna , D. Ramón A lva- El Sr. M A D O Z : No he tomado la palabra para im p u g ­ rez, tuvo un choque con los rebeldes el 5 i del an terior, del nar el dictamen de la comisión, pues esta ha llenado comple­ la legalidad de estas operaciones; se ha servido mandar que resultó muerto en el campo por el sargento de cazadores tamente…</t>
  </si>
  <si>
    <t>…tiem pos atrás en ei teatro redamados; pero supuesto que los hay , desde luego acepta la dictámenes que habian quedado sobre la mesa, y que en segui­ del G im nasio de. P aris, á cuyo reperto rio pertenece tam ­ adición del Sr. Madoz. da se constituiría el Goiígreso, para lo cual suplicaba á los se­ bién E l Médico y la H u érfa n a , otra comedia titulada Leída en seguida esta, fue aprobada. ñores Diputados concurriesen en traje de ceremonia por ser un Le medecin de campagne , que m uclio se asemeja a la q ue N o habien…</t>
  </si>
  <si>
    <t>…nos cesidad de retirarnos y no poder tomar parte en las decisiones mente; asi que, procuraré rebatir lo que se ha dicho. Palabras presentía el célebre tratado de Y ergara, que sin menoscabar en del mismo. graves pronunció el Sr. Madoz hablando de las actas de N a ­ lo mas mínimo la dignidad nacional, ni los derechos de nues­ El Sr. P R E S ID E N T E : Todos los dictámenes pendientes que varra, y si hubiese hablado con lisura de la cuestión no h u ­ tra inocente R eina, ni las instituciones vigentes, ha robuste­ estaban sob…</t>
  </si>
  <si>
    <t>…otos , lo ha logrado por . El Sr. A R T E T A : Pues esas son las equivocaciones en que dictamen de ía comisión y acoja una proposición que presenta malas ade;. Si esta candidatura hubiese tenido individuos que a incurrido el Sr. Madoz, el suponer que la diputación p rc - ba sobre el particular. se hubieran presentado en el pais para que se les aplicasen vo ­ incial ha cometido una ilegalidad que no existe, porque en El Sr. Q U I N T O contesta á S. S. que la jurisprudencia de tos, pa^e; pero uno solo era del pais, y este ca…</t>
  </si>
  <si>
    <t>…o como se cree; el Gobierno puede aplicar los ~ ■ - ■■■-- ■ ■■ " '■ -■■■-■"-------------- - .! I » -^ U remedios, y la nación confiar. ANUNCIOS. Eí Sr. Lujan deshace algunas equivocaciones. CORRESPONDENCIA DE LA GACETA. El Sr. MADOZ dice que el Sr. Lujar» reconociendo la gra­ Y^ONGRESO de Verona por M r. de C hateaubriand, tradti- vedad del hecho, interpeló al Gobierno y cumplió coa m ani­ Santander 15 d e E n ero . El cabecilla Castor levantó táci­ ^ cida , anotada y aumentada por D. Joaquin Francisco festar en término…</t>
  </si>
  <si>
    <t>…e ra posible por a b re v iar ciones ; pero que esto nada tenia que ver con prescribir reglas sus resoluciones. la conclusión de este negocio. para aquellas. El Sr. B A R R I O A Y U S O dijo que no podia menos de creer El Sr. M A D O Z : Señ o res, esta excitación prueba en cierto El Sr. B E N A V I D E á maoifestó que la com isión se f u n d a b a que la comisión establecía u n a nueva legislación cuando a t r i ­ modo que el Congreso no m ir a en parte con el Ínteres que cor­ para o p in a r por la a n u la ció n de l…</t>
  </si>
  <si>
    <t>…de las Cor­ casas; es verdad que cuando debió remitirse esta petición aun El Sr. conde de las NAVAS insiste en lo que ha dicho el tes de 29 de Junio de 1822 en que se mandó qué para pago ignoraban la resolución del Gobierno. Sr. Madoz respecto á que la comisión ha hecho cuanto ha es­ de las libranzas de la naturaleza de la del reclamante se aumen­ Señores, no entraré en la impugnación que ha hecho el se­ tado de su parte, y que ha tenido la previsión de añadir á la tara en el presupuesto general del año próximo económico…</t>
  </si>
  <si>
    <t>…com­ dejais de tenerla , sino que se acudió á dos medios que deben martes de la próxima semana. pleta pacificación. No podemos menos de hacer justicia y mos­ tenerse m uy presentes, particularmente por los que opinan por El Sr. M A D O Z , secretario de la sección de hacienda de la trarnos agradecidos al compromiso del duque de la V ic to r ia , y la concesión absoluta de los fueros: estos dos medios eran ó bien comisión de Presupuestos, dijo que esta también ha concluido todos debemos hacer justicia á aquellos pueblos,…</t>
  </si>
  <si>
    <t>…s y elegibles; y últimamente, que los artículos 12 y 14 ha­ La música ha sido expresamente compuesta por el maestro Don bían estado puestos á la orden del día. Ramón Garnicer ; y los bailes inventados y dirigidos por D on El Sr. M A D O Z cree que debe concederse al Gobierno un término para que pueda ponerse de acuerdo con la com isión, y IMPRENTA NACIONAL A n ton io Cairon y D . Juan Bautista Gozzer. de ese modo se pueda simplificar esta discusión. H o y martes 22 de Enero de 1859 á las once de la noche se Después de un…</t>
  </si>
  <si>
    <t>…necesidad. Sin embargo, es- í Que no experimentan perjuicio los pueblos, como había d i- í de la Madera de e;ta corte, á instancia de varios interesados se trechado por mi deber , estrechado por los clamores de mi pro­ cho el Sr. Madoz , con dividirse la propiedad en pequeñas por­ ha decido á ponerse al frente del que se anuncia ; y espera eme vincia , no he podido menos de resolverme á hacerlo. ciones, sino que por el contrario, como se ve en la provincia el sinnúmero de discípulos que ya ha tenido , y los muchos El objeto…</t>
  </si>
  <si>
    <t>…le de Carretas, y mo de la palabra, la cedió al Sr. Arguelles. t a , como también guerras de principios á su manera / ¿ Y es de C uesta, frente á las Covachuelas, donde se hallan los toraoí El Sr. ARG U ELLES: La bondad del Sr. Madoz hubiera posible que durante seis ó siete siglos que podemos contar de anteriores. sido para mí mas lisonjera si no la hubiera acompañado ver­ legislación conocida, la mayor parte c iv il, no encontremos en daderamente un compromiso, cual es el de tener que hacerme el día una ley para este ca…</t>
  </si>
  <si>
    <t>…por el buen orden, que se pués de los discursos tan bellos y filantrópicos que, acaban de eviten ciertos abusos en las cárceles y presidios, castigándolos Granada 11 de Setiembre. La feliz é inesperada nueva de oirse; pero ej Sr. Madoz ha tenido la bondad de citar mi nom­ de un modo enérgico, y le ruego asimismo que continúe dis­ haberse unido al ejército de S. M. el general Maroto con las bre como uno. de los que pertenecen á la paciente asociación^ pensando su protección á esa asociación naciente, que esperóse fuerzas de s…</t>
  </si>
  <si>
    <t>…IGO dijo que, reasumiendo los discursos de to­ mo hacer inculpación alguna á la mesa. á Moliere; por eso á Byron y á Murillo en todas partes se Ies dos los señores que le habían precedido en el uso de la pala­ A petición del Sr. Madoz se leen los artículos 9 8 , 105 y ha acatado.Quédale después al afortunado suelo que fue cuna de bra, el resultado era que todos estaban conformes eñ los de­ 110 del reglamento. su talento perpetuar alli su memoria, erigiéndole monumentos seos de poner á cubierto á los ciudadanos de las arbi…</t>
  </si>
  <si>
    <t>…bierno no necesitaba de esta excitación tan respetable para mi, autoridades. putado por Badajoz. y que si está pendiente esa solicitud , será en breve despachada, El Sr. F E L I U : Debo manifestar ante todo que no es mi El Sr. M A D O Z extraña que la comisión no hay a llamado porque tengo la fortuna de asegurar que los negocios en la se­ ánimo im pugnar el dictámen: he tomado la palabra cuando he la atención en este dictamen, el cual en su concepto es de suma cretaría de la Gobernación no están retrasados, excepto aquell…</t>
  </si>
  <si>
    <t>…s de haber renunciado el cargo el D iputado á los Sr. Temprado. se com eten delitos pú blicos y privados. A estose respon de 20 dias podrá calcularse que se perdería bastante tiempo. El Sr. P ID A L se opuso á lo dicho por el Sr. Madoz sobre que la autoridad militar sirve para destruir á los facciosos que los que recibían destinos lo solicitaban, manifestando que El Sr. IÑ IG O dijo que la comisión veia im pugnado el dic­ en los cam pos y á los alborotad ores en las calles siem pre la prueba de que esto no era asi, era qu…</t>
  </si>
  <si>
    <t>Madoz, Pascual</t>
  </si>
  <si>
    <t>Pascual Madoz</t>
  </si>
  <si>
    <t>…y después en el ataque de Galvi, donde amistad se viera cumplido el deseo de la sociedad literaria. Su 2.a Acusación de incesto , violación y parricidio. perdió un ojo. En el combate del Cabo de San Vicente , 15 de presidente D. Pascual Madoz é Ibáñez, abogado del colegio de 5.a Libertad reclamada por un negro contra su amo. Febrero de 1797, mandaba el navio Capitán, con el que atacó á Madrid , se dirigió á varios Sres. magistrados de las audiencias, 4 a D ivorcio pedido por un francés casado en España. la Santísima T rin i…</t>
  </si>
  <si>
    <t>…ida la actriz Doña Joaqui­ h'quida..................................................... . 368.. 50 las reclamaciones pueden dirigirse al secretario de la comisión na Lombía, encargada de la parte de Isoleta, confiando en la D. Pascual Madoz é Ibañez, calle de A lcalá, núm. 4O, piso benevolencia con que el público honra á los que se dedican á La comisión creada en la Habana para impulsar la sus­ principal. esta difícil profesión. cripción remite 409 pesos fuertes á que se han suscrito desde luego los señores que la compon…</t>
  </si>
  <si>
    <t>MADQZ</t>
  </si>
  <si>
    <t>…caso lidadY ycom o p rueb a, si es que la necesitamos, de im parcia- franqueza, direm os que no tan alto nos quejáram os tes , quedando este aprobado en todas ellas. de que la diputación devolviera las listas aprobadas. El Sr. M A D Q Z ; Sabiendo que existe en el Mioisterio de N o habiendo ningún otro Sr. Diputado que tuviese pedida otras veces si las traducciones que se nos diesen fueran to­ la Gobernación un expediente formado por varias consultas y la palabra, se puso á votación el dictámeu de la comisión, y das com…</t>
  </si>
  <si>
    <t>Madrazo</t>
  </si>
  <si>
    <t>…muchos años. Cuartel general de V a ­ cos. Deatro de potos dias enviaré á usted pormenores interesan­ sionrro en Oñíite. A le ncian o de J u lio de 1 8 5 9 —Excrno Sr.::: Leopoldo 0-D o«»ne)l.= tes sobre la comisión del coronel Madrazo que ha venido poto Oñate 24 de Julio.rrLos partidarios de Maroto, asi como él, Excmo. Sr. Secretario de Estado y del Despacho de la Guerra. h á de París á las provincias. Inmediatamente pasó al cuartel ge­ se han q u iu d o la. tná: cara decidiéndose á conseguir su o h_jet o neral de M aro…</t>
  </si>
  <si>
    <t>…ranos de to­ han habilitado y hecho en medio año? Justísimo es tribu­ prés y de roble : toda esta escultura es trabajada en la referida dos ios tiempos y naciones. Ya desde el momento en que ios tar un obsequio de gratitud al Sr. Madrazo que ha llenado piedra blanca de Colmenar. Sobre este cuerpo se eleva el tercero , que consiste, en un españoles tuvieron la dicha'de llamarse hijos de tan bue­ del todo y cumplido del modo mas perfecto los deseos é in­ tenciones de la augusta Gobernadora y arrobado la públi­ zocalo octagon…</t>
  </si>
  <si>
    <t>…cia de esta villa de Ledesrna y su p a r t i d o , que de ser máximas de precisión en el dibujo. E n compendio de Filosofía moral. =zD. Venancio Barrero, asi y estar en el actual ejercicio el infrascrito escribano da fé: El Sr. Madrazo (padre) demuestra en su Sagra d a F a m ilia D . A n ton io D elgado y D . José Morillo. Por el presente llamo, cito y emplazo á D. A n ton io M ontojo, y en el retrato de D, ■ s&gt;alustiano Olozaga, que es uno de ios que En doctrina cristiana é historia s a g r a d a , de m e m o r i a .— si…</t>
  </si>
  <si>
    <t>…a infancia ; de ese Edem terrenal El Eco del Comercio , en uno de sus números anterio­ Inscripciones en el gran libro á 4 Por 100 &gt; 00. que Granada se llama, y que es largos siglos ha iecundo res, anunció la entrega hecha al Sr. Madrazo como direc­ Títulos al portador del 4 Por 100, 00. manantial de inspiraciones y de entusiasmo. Hé aqui cómo tor de dicho museo para colocarlos en él por los profeso­ Vales Reales no consolidados , 00. relata el autor parte de las espléndidas fiestas con que so­ res del referido gabinete, l…</t>
  </si>
  <si>
    <t>Madrazo, Federico</t>
  </si>
  <si>
    <t>Federico Madrazo</t>
  </si>
  <si>
    <t>…i j o q u e la R e a l a u d i e n c i a que­ él im p ugnad o, lia sido tributar desmesuradas alabanzas á Con el uno pues que aparece h ay lo suficiente para daba desde aquel momento i n s t a l a d a y legalmente constituida, D. Federico Madrazo? Si descomedidas han sido con res­ que en tan bella composición no quede nada que adm irar. y los Sí es. p r e s i d e n t e , r e g e n t e , m a g i s t r a d o s y fiscal en el ejer­ pecto á Madrazo, asimismo lo fueron con respecto á R ib e­ Pero fuera de todo esto, por ocultar c…</t>
  </si>
  <si>
    <t>Madrazo, José</t>
  </si>
  <si>
    <t>José Madrazo</t>
  </si>
  <si>
    <t>…pasó el rato en agradable y útil entrete­ Descuento de letras , á 6 por 100 al año. parece que la gente ordinaria del siglo á que se reíiere en nimiento. f i i n n i iw i i imhw im i Varios escultores y pintores, entre estos D. José Madrazo rm i m el P endón, no tenia las pésimas costumbres ni la abyec­ ción que se le atribuye. Este abatimiento é inmoralidad, y D. Genaro Villaamil, trabajaron en sus artes respectivas, P R O V ID E N C IA S JU D IC IA L E S . esta p ille ría , que nos parece la voz propia, no es de aquel m…</t>
  </si>
  <si>
    <t>Madric, Bartolomé Agustín Rodríguez de Fonveca.</t>
  </si>
  <si>
    <t>Bartolomé Agustín Rodríguez de Fonveca. Madric</t>
  </si>
  <si>
    <t>…s en e l a cto d e depositar los deseen instruirse en las m a t e r ia del Derecho: su autor el li Del mérito de esta producción ha de fallar uiuy j ronto el restos d e D. Blas Caries , D. J o s é Campillo y D . M a ­ cenciado D Bartolomé Agustín Rodríguez de Fonveca. Madric público, y no es razón prevenir su juicio ; pero puede asegu­ riano M anresa en e l ca m p o santo d e esta cap ital. año de 1775. Son 18 tomos en folio á 300 rs. en rústica. rarse que, no obstante lo epigramático del diálogo y de los in ­ cidentes, n…</t>
  </si>
  <si>
    <t>MADRID</t>
  </si>
  <si>
    <t>…. ma ment e con la célebre c ant at ri z mis Stephens. Her eda sus bie­ E l c a p i t á n B e r k a l e y se quej a i gu a l me n t e de! insuficiente nes y sus títulos su sobrino M r . A l g e r n o n - C a p e i , y a conde de MADRID 6 DE MAYO. núme r o de mar i nos que tienen los buques. Es hasta ri di cul o, Esícx. (Id.) d i c e , e n v i ar á l argas di st anci as navios c u y a fuerza 110 se hall a en estado de hacer que se respete el pabellón nacional. De esta Escriben de Pal crmo (Si cil ia) en 4 de Ab r i l , que…</t>
  </si>
  <si>
    <t>…bus­ todo de enseñanza primaria. Otras indicaciones para la distri­ to. Eos exergos se leen con mucha facilidad. bución de premios entre los niños fueron por unanimidad aprobadas, acordando á su virtud un voto de gracias al Don MADRID 2 6 DE AGOSTO. Agustín N avidad, una compensación de 648 rs. por los gas­ tos que se le hubiesen acarreado; acoger definitivamente bajo Acaba de publicarse el almanac de Roma conocido por el sus auspicios, esta escueía jancasteriana , situarla en toda su ex­ nombre de Cracas. De este docum…</t>
  </si>
  <si>
    <t>MADRID, IA</t>
  </si>
  <si>
    <t>IA MADRID</t>
  </si>
  <si>
    <t>…ivo como Bonaparte, según me ha acomodado. Senado á las doce para continuar la discusión pendiente, y le­ Era la una y diez minutos. CAPITULO VII. vantó la sesión á las cinco menos cuarto. Resolución importante. ORD EN D EL D IA MADRID 17 DE SETIEMBRE. No habiendo podido dominar nunca mi fisonomía, sol­ PA R A LA SESION DEL MIERCOLES 18 DE SETIEMBRE DE 1839. té la brida á mi lengua, y contraje la mala costumbre de REMITIDO. pensar en voz alta. Esto me proporcionó algunas satisfac­ Continuación de la discusión por párr…</t>
  </si>
  <si>
    <t>MADRID, Joaquín de Iturburu. Un</t>
  </si>
  <si>
    <t>Joaquín de Iturburu. Un MADRID</t>
  </si>
  <si>
    <t>…zaciones deben pagarse cada semestre y época de su amor­ tización , de un empréstito ó préstamo de 1003 pesos fuertes 8 00 55000 dividido en céntim as, y la correspondencia de los valores de cada céntima &amp;c. &amp; c .: su autor D. Joaquín de Iturburu. Un MADRID 27 DE ABRIL. Los 2 2 3 billetes estarán subdivididos en la clase de cuartos, tomo en 8 .° Se vende en la librería de Sánchez, calle de la Concepción , á 15 rs. en rústica y 17 en p a s t a : el Secretario de á 10 reales cada uno de ellos, los que se despacharán en l…</t>
  </si>
  <si>
    <t>MADRID, José</t>
  </si>
  <si>
    <t>José MADRID</t>
  </si>
  <si>
    <t>quedando muerto el citado cabecilla Olameudi , y heridos un , el capitán de la 6.a compañía de tiradores de la patria D. José MADRID 7 DE ABRIL. sargento y varios hombres y caballos. María Montalvo marchase sobre este último punto con una mitad del 5 0 ligero de caballería , y otra del escuadrón franco de Castilla la N u eva, mientras él se dirigía hácia U tiel, acom­ El mismo con fecha i.° del actual da parte de q…</t>
  </si>
  <si>
    <t>MADRID, Juan Antonio Sazatornil.</t>
  </si>
  <si>
    <t>Juan Antonio Sazatornil. MADRID</t>
  </si>
  <si>
    <t>…nuestro pabellón en los puertos de la República del Ecuador.^: bunal ; bajo apercibimiento que de no hacerlo la parará el per­ Barco de vapor sin ruedas ó mecánica aparente. juicio que h aya lugar. P o e s ías Al m a r : por D. Juan Antonio Sazatornil. MADRID 1 1 DE OCTUBRE. BIBLIOGRAFIA. En un banquete celebrado en Marsella por una reunión nu­ jpEN SA M IEN TO S y apuntes sobre moral y política, por merosa de españoles para solemnizar los sucesos de la guerra de 8 gDEAS napoleónicas, por el príncipe Napoleón Luis Bona-…</t>
  </si>
  <si>
    <t>MADRID, Lucas</t>
  </si>
  <si>
    <t>Lucas MADRID</t>
  </si>
  <si>
    <t>…para distraerse, se propone el bajá hacer un nuevo viaje hasta el Cairo. Mr. Cochelu tiene todas las noches una larga entrevista con el bajá, que le manifiesta mucha amistad. /CO M PEN D IO de Historia natural, por el doctor D. Lucas MADRID 16 DE DICIEMBRE. El Diario de los Debates , con referencia á otra carta de Alejandría de la misma fecha, dice que la ciudad de Aden, ^normalde deTornos, catedrático de esta asignatura en la escuela instrucción primaria establecida en Madrid , é in­ ocupada por los ingleses, ha sido…</t>
  </si>
  <si>
    <t>Madrid, N. de Vallarino.</t>
  </si>
  <si>
    <t>N. de Vallarino. Madrid</t>
  </si>
  <si>
    <t>…vivas de orde­ 327. Un banquillo bordado de oro y felpillas, i la señora de los objetos que se verificó en el nanza. La numerosa concurrencia del leal vecindario de concierto. . . . . . . . . . . . . . . . . . . . . . . 69 Doña N. de Vallarino. Madrid ha celebrado el buen equipo, instrucción y bello Papel para el programa, cinco resmas 214* Un ridículo de gro blanco bordado, á la Sra. Doña continente de estos jóvenes soldados, la mayor parte del Inés Valdemoro. a 60 rs. . . . . . . . . . . . . . . . . . . . . . . 500 c…</t>
  </si>
  <si>
    <t>Maebean, Juan</t>
  </si>
  <si>
    <t>Juan Maebean</t>
  </si>
  <si>
    <t>…e g a de MAYO de 1839. . R egistros lio de I859,=3ebastian Eugenio Y eta, vocal secretario. Una mina plomiza, cerro del Pocico, término de Huercal, Se halla á 3 rs. tanto en rama como en rústica en el las dos Cármenes, por D. Juan Maebean , en i.° despacho de dicha Imprenta. Otra i d . , cerro de la Monterilla, término de Benadux, An- gel de la G uardia, por José Martínez Coronel, en 1 .° BOLETIN DE C O M E R C IO . Comprende varios decretos, órdenes y circulares del Otra i d . , sierra de Gador, Caparros, término de D…</t>
  </si>
  <si>
    <t>Magdalena, José Mariano</t>
  </si>
  <si>
    <t>José Mariano Magdalena</t>
  </si>
  <si>
    <t>…o los siguientes documentos. las que se anuncia haber sido derrotado el ejército de la confe­ tivas audiencias, para la proraotoria fiscal del juzgado de Iiies- deración Perú-Boliviana: y careciendo de espacio para la in ­ cas D. José Mariano Magdalena: para la de Navahermosa serción total de dichos documentos, nos limitamos á publicar el D . Pedro Francisco A ram buru: para la de Lorca D. José C a - siguiente por parecemos el mas sustancial. n o v a ; y para la de Valdepeñas D. José María Córdoba. Discurso que pronunció S.…</t>
  </si>
  <si>
    <t>Magia</t>
  </si>
  <si>
    <t>turaleza una triste y última prueba de la acción destruc­ escrúpulo en tratar á aquellos pueblos cristianos como si dos habían abandonado el pueblo á la llegada del D. Magia tora de la raza inglesa : el casi completo exterminio de esta fueran un rebaño de animales: en 1757 se cedió una parte Pulina, por lo que no pudo conseguirse el objeto que debiera raza de hombres ha sido obra de poco menos de 20 años. del territorio de las misiones al Portugal.- Los indios s…</t>
  </si>
  <si>
    <t>Magin</t>
  </si>
  <si>
    <t>…o con la guarnición del primer punto, salió á las once de parecer de dicho suprem o tribunal, que la expresada cor­ conservación y utilescom prados para los mismos. 5,221.. 17 la noche el subteniente del primer batallón franco D. Magin poración se ciña á la regla que la ley tiene adoptada, em ­ Pulina con una partida del rnismo con objeto de sorprenderlo, pleando los recursos que ofrece el sistema decimal para M ina de la puerta de Arenas. lo cual consiguió, dando muerte á uno titulado sargento, que efectuar aquellas operaci…</t>
  </si>
  <si>
    <t>Magro, Salvador</t>
  </si>
  <si>
    <t>Salvador Magro</t>
  </si>
  <si>
    <t>…ltimo. con la forma que con el fondo, y que trasladadas á otra cia, que fue repeso, para continuar la junta general de acree­ lengua pierden su encanto nativo, y nunca serán bastan­ dores é interesados en la testamentaría de D. Salvador Magro, temente comprendidas por los extrangeros. Aseméjanse es­ que quedó suspensa en 2 i de Abril. i</t>
  </si>
  <si>
    <t>Mah</t>
  </si>
  <si>
    <t>…se á esta plaza. Por consecuencia puede suponerse cedía una entera libertad de comercio, el derecho de establecer coa fundamento que ya se habrá dado alguna acción impor­ tos funcionarios , se trasladó á bordo del navio almirante Mah~ cuarentenas en la orilla izquierda del Danubio ó en otras par­ tante, cuyo resultado se espera con ansiedad. En el ínterin la mudié , y allí en una enérgica alocución dirigida á las trip u ­ tes, y el de tener una milicia permanente. La Puerta se obliga­ noticia de este primer triunfo ha sido a…</t>
  </si>
  <si>
    <t>Maidonado</t>
  </si>
  <si>
    <t>…o pues que el Congreso Varios señores pidieron la palabra en contra de lo que aca­ creer se oponía á la proposición que estaba discutiéndose: que tome est3s razoces en consideración , y que declare si han de baba de decir el Sr. Maidonado. al presentar la su y a, en que proponía hubiese sesiones extraor­ quedar separados los dictámenes ó la enmienda. El Sr. P R E S ID E N T E dijo que el Congreso había visto que dinarias, había buscado la brevedad, sin que por esto dejara de El Sr. O L O Z A G A : Siento mucho que el Sr.…</t>
  </si>
  <si>
    <t>Maine</t>
  </si>
  <si>
    <t>…anifestando n e , que han sido arrestados, serán puestos en libertad sin ta r­ ción de su conducta, dice que desde el mes de A bril anterior que en mi opinión habia otro medio que abrazar, á saber, la danza, y al gobernador del Maine que se tomará ig u al medida el Gobierno in g le s, con el objeto de mantener una fuerza im ­ interposición de nuestros buenos oficios entre las dos partes be­ con respecto á los agentes de la provincia de la N ueva-B runs­ ponente en el golfo de M éjico , creyó oportuno nombrar para ligerant…</t>
  </si>
  <si>
    <t>Maison</t>
  </si>
  <si>
    <t>…o dé ser a me ­ nazada. estos di as para entorpecer la combinación p r o y e c t a d a ; que opo­ M r . Sauze t , Ministro de Comercio. niéndose la reuni ón de los 2 2 i á que M r . C u n i n - G r i d a i n e M r . el mariscal Maison , Mi n i s t r o de Gu er r a. aceptase el mi nisteri o con que se le habí a b r i nd a d o , afectando M r . el a l mi rante Duperré , de M a r i n a . presentarse desde ahora y por todos los medios posibles en u n a Los i ndi vi duos del actual Gabi nete se reunieron esta m a ñ a ­ PAR T…</t>
  </si>
  <si>
    <t>…habia ofrecido la presidencia , no quiso acep­ ''A p re cio mucho los votos que me expresáis con motivo de éxito al leal concurso que os p id o , y que vosotros me acordáis.** tarla para sí, ni menos ser presidido por el mariscal Maison. inis d ia s , asi como los que formáis por la felicidad de mi fa ­ (Estas palabras, que han producido una profunda im pre­ Tam poco convenían Mr. Passy y Mr. D upin en que lo fuera milia y la prosperidad de la Francia. Tengo la confianza de sión en la Cámara de los D ip u tad os, reunida cas…</t>
  </si>
  <si>
    <t>Maistre</t>
  </si>
  <si>
    <t>…. Las Veladas de San Petersburgo, ó D iálogos sobre el go­ por los artistas Compañeros de A d olfo en el teatro de San Car­ Barcelona, á ps. f s . , i b. S ev illa , i á par b. bierno temporal de la Providencia, por el conde de Maistre: tres lo s ; después iba el clero recitando las oraciones de los muertos; B ilbao, 1 } d. V a len cia , £ d. tomos en 8 .° raarquilla á 48 rs. en pasta y 56 en rústica. seguía por últim o uua inmensa multitud de personas de duelo, C á d iz, par. Z a ra g oza , par. la mayor parte con cirios…</t>
  </si>
  <si>
    <t>Makan</t>
  </si>
  <si>
    <t>…e nosotros y entre los extrangeros no se debe ver en do las miradas favorables de M r. Molé. Acciones del banco 2 0 2 f . este movimiento de una parte de nuestro ejército mas que un M r. Rosamel será reemplazado por el almirante Makan, Fondo español activo 171. simple acto de precaución, recomendado por circunstancias que que no es Diputado. Entonces se sacrificará á Mr. Berthois, se no necesitan comentarse, y que no tiene otro objeto que poner cambiarán las instrucciones, y se designará el almirante á los nuestras front…</t>
  </si>
  <si>
    <t>Malaret</t>
  </si>
  <si>
    <t>…, miembro del Instituto. de los derechos impuestos al ganado extrangero á su entrada en F R A N C IA . M r. Lebrun , miembro del Instituto. el reino. El marques de L u s ig n a n , Diputado. P arís 7 d e N oviem bre. El barón de Malaret , antiguo Diputado. El conde Eugenio M e r lin , antiguo D ip u ta d o , teniente ge­ P O L O N IA . Fondos públicos. Cinco por 1 0 0 , 110 f r . , 85 c. neral. 0 Tres id. 81 90. M r. P ersil, antiguo D iputado y antiguo ministro. C racovia 2 6 d e O ctubre. Accione» del banco, 2940. El…</t>
  </si>
  <si>
    <t>MALDONADO</t>
  </si>
  <si>
    <t>…ustración plar eor.fto este desde que hay reglamento: yo he encontrado putados se acercan á la mesa. que necesita, ni el pueblo quedará enteramente instruido eo únicamente una -enmienda que se presentó en otra ocasión como El Sr. M A L D O N A D O dijo que habia pedido la palabra los derechos eternos que le corresponden. proposición de ley á un voto particular; pero, como ahora, á el segundo; pero que cuando se acercó á la mesa habia obser­ Concluyo pues diciendo que la proposición debe aprobarse, dos proyectos á un tiem po,…</t>
  </si>
  <si>
    <t>Maldonado</t>
  </si>
  <si>
    <t>…bunal especial de las Ordenes , y de todas las formalidades decano del Cousejo de las Ordenes. ja , se dijo que quedasen cesantes todos los empleados en cuyo consiguiente es visto que al Sr. Castro se le comunicó este nom­ El Sr. Maldonado ha demostrado que se comunicó ál se­ lugar estaban los que se reponían. Por lo tanto cree S. S. que bramiento , como se ve por el tenor del mismo decreto , que ñor Castro el nombramiento, como también la cesación del mi­ el Congreso no debe tener inconveniente en aprobar el dictamen dice a…</t>
  </si>
  <si>
    <t>…medidas excepciona­ Fue tomada en consideración y pasó á las secciones una las resoluciones de aquel Gabinete, el cual aprobó todas las re­ les, fueron las que adoptó el partido del progreso. Hay una proposición de ley del Sr. Maldonado, cuya lectura estaba au­ soluciones tomadas en Cataluña. equivocación notable en esto; las medidas que reclamó cierto torizada por las mismas, relativa á que se aumente hasta 2003 Ya he hecho presente algunas veces al Congreso la natura­ Gobierno y las que se concediéron, fue por el Congr…</t>
  </si>
  <si>
    <t>…idente, manifestándole que con anterioridad se ha mandado j ta conducta hosp italaria, y seria muy de desear que algunos can da, continúan en esta corte sin novedad en su im ­ retirar la sección que se halla á las órdenes del Sr. Maldonado, \ eclesiásticos de probidad y celo se encomendasen de recoger las quedando solo á las del Sr. coronel Guzmao una partida de 25 j limosuas que se habían ofrecido y las demás que se pudieran , y portante salud. dragoues, como dije á V . E. en oficio de 25 del actual , pues i ¡as remitiese…</t>
  </si>
  <si>
    <t>Maldonado, Alvaro Pedro</t>
  </si>
  <si>
    <t>Alvaro Pedro Maldonado</t>
  </si>
  <si>
    <t>…a Gobernadora y a la Constitución de 1857 han merecí- Títulos al portador del. 4 por 100 00. do la aprobación general. 9 Vales Reales no consolidados, 11 cinco dieziseisavos á 60 I BRIGÁNTI. f: d. f. ó vol. Alcaldes: primero D. Alvaro Pedro Maldonado, segundo Deuda negociable de 5 por 100 á papel, 00. Será éxornada con todo el aparato que su argumento re-1 U. Juan Mesia. ° Idem sin interés, 6* y 6£ nuevas al contado: 6± y 6 | á v. quiere. Regidores: primero D. Vicente Borja , segundo D Pedro Guerrero, tercero D. Cristóba…</t>
  </si>
  <si>
    <t>Maldonado, Manuel</t>
  </si>
  <si>
    <t>Manuel Maldonado</t>
  </si>
  <si>
    <t>…de las provincias y varez de Sotomayor, acompañado del capitán teniente del cuer­ expedidos por las comisiones de requisición al mes de su los generales en gefe de los ejércitos expongan á S. M. con po nacional de artillería D. Manuel Maldonado , y del tenien­ presentación, y admitidos en la contribución extraordina­ toda brevedad por con ducto de este ministerio lo que te de caballería de francos D. Juan José Villegas con algunos ria de g u erra , ó pagado* con sus primeros ingresos. Tam­ crean conveniente acerca de los c…</t>
  </si>
  <si>
    <t>Maldonado, Muñoz</t>
  </si>
  <si>
    <t>Muñoz Maldonado</t>
  </si>
  <si>
    <t>…destine á combatir, formando un bagajes. 205. Doña A n a V a re la , pidiendo se desestime la proposi- I atallon de los existentes en aquel depósito. 162. El ayuntamiento de Villanueva de los Infantes , pi­ cion hecha por el Sr. Muñoz Maldonado sobre importación del 245. Varios propietarios partícipes de diezmos en esta C o r- diendo el establecimiento de una factoría en dicha villa , como hierro colado extranjero. ? suplican al Congreso que en el caso de no poder evitar se lleva único medio deque se sostengan las tropas qu…</t>
  </si>
  <si>
    <t>MALDONADO, MUÑOZ</t>
  </si>
  <si>
    <t>MUÑOZ MALDONADO</t>
  </si>
  <si>
    <t>…ó bien que se le fije un término para que En‘ esas nacioñes sé fija un diá , en él que los licitactores del p n ni o. manifieste St. S. lo que debe hacer. r T empréstito acuden cou pliegos cerrados, y el Ministro devHa- El Sr. MUÑOZ MALDONADO: Contrayéndose pues Se lee el oficio comunicado por la comisión del Congreso ai cienda en sú departamento tiene también otro pliego cerradq, al dictamen diré que la comisión ha padecido una equivoca­ Sr. Ministro de Estado sobre las gracias concedidas á varios en qué sé é^présa el m…</t>
  </si>
  <si>
    <t>…, en todas partes cuecen liabas. Otro de la comisión encargada de informar sobre la propo­ cados, estos estados de sitio y de guerra sean solo cuando haya Continúa haciendo otras observaciones acerca de las venta­ sición del Sr. Muñoz Maldonado acerca de los Sres. Diputados necesidad de ellos, y que dejen de serlo cuando las causas que jas que esta ley debe proporcionar al Estado, y concluye ro­ que hubieren recibido gracias del Gobierno. obligaron a" declararlos hayan desaparecido; que en todos estos gando al Congreso se s…</t>
  </si>
  <si>
    <t>Malines</t>
  </si>
  <si>
    <t>…la amortización , una ren­ ta anual de.................................................................... i.690,000 habian predicado los deanes en favor de la resistencia, en vir­ tud de una pastoral del cardenal arzobispo de Malines, que re­ sar de haber infringido aquella ley, sino cuando llegado A esta suma se añadiría: presentaba la guerra eventual como una guerra santa. Hoy dice que fuese el dia que señala para la reunión de las Cortes La antigua deuda belga constituida y la parte de que un eclesiástico que debe e…</t>
  </si>
  <si>
    <t>Malroto</t>
  </si>
  <si>
    <t>…bien ponderado general conde-duque d memos? ¿iSV Deus pronohis quis contra nosl ¡O paz santa cencias se retiran á sus hogares. Ayer entró en esta capital el virey general en gefe dol la jVictoria r y este con el teniente general Malroto, y en la cé exclamaré con San A gustín: sin t í , ni los Reyes reinan, ni lo: ejército del Norte D. Felipe Rivero de regreso de Vitoria. lebre villa de Y ergara, firman la paz. ¡Dulce expresión! s í ; I reinos son felices: unión y paz, paz y u n ió n , y nos haremo: paz del modo mas satisfac…</t>
  </si>
  <si>
    <t>Malski</t>
  </si>
  <si>
    <t>…ucedido unas á otras, y hasta los turcos fingida o de caballería. laborador j0 . Patricio de la Escosura y el de D. Miguel verdadera han manifestado una desmesurada alegría. La toma Hay fundados motivos para creer que el barón de Malski, Agustín P rín cip e, que con frecuencia se leen al pie de los de Koniah debe producir un resultado definitivo en la situa­ oficial distinguido del estado cíayor, ha sido muerto. articules del E n trea cto . ción de Mehemet-Alí. Los turcos han tenido de 4 á 50 hombres fuera de combate, La Fa…</t>
  </si>
  <si>
    <t>Maneto</t>
  </si>
  <si>
    <t>…G uar­ D. Francisco Amofós y López, línea 4 a de dicha providencia Este no será un artículo de literatura, sino un artículo de de V. su ternura para mejor ocasión. Ese poeta tan melancó­ diceá D. Masseto Masseti, debe decir á D. Maneto M a- costumbres. Si es útil señalar á veces lo que choca coa las re­ lico , tan desolado, pasa mejor vida que V. y que yo¿ come donde uetti.</t>
  </si>
  <si>
    <t>Manetto</t>
  </si>
  <si>
    <t>…natura los selló hasta ahora. En sus vivas nos halle la aurora, torial de Albacete y juez de primera instancia en esta capital, Sonó mi débil voz al par que la hora En sus vivas la puesta del sol, se cita , llama y emplaza á D. Manetto M anetti, maestro de De abrir el instituto literario ; Que Cristina del libre es la prenda, marmolista, para que dentro de tres dias, que por último tér­ Compañeros , dejad que embelesado Ella es madre del pueblo español. mino se le concede, contados desde la publicación de este anun­ Con…</t>
  </si>
  <si>
    <t>Manresa</t>
  </si>
  <si>
    <t>…, tengo yo u n deuda consolidada ofrece una prueba satisfactoria de la con­ documento que merece mucho crédito , como que es de un elec­ fianza que inspiran el crédito y los recursos del pais, como nimoCuartel Valdés. general de Manresa 22 de Agosto de 1859.—Geró­ (Id.) tor escrutador que pondré yo mismo de manifiesto; y siguien­ también de vuestra decisión por conservar ioviolable la buena do yo el ejemplo del Sr. Armendariz impugnando el dictamen fe nacional. de la comisión sobre las actas de G ranada, me valdré yo taro»…</t>
  </si>
  <si>
    <t>…en las hostilidades, ó de detenerse en donde se en­ El Excmo. Sr. capitán general de este principado y en gefe de , Afortunadamente ningún extrangero puede quejarse ni de contrase. su ejército me dice desde su cuartel general de Manresa coa la conducta del Gobierno ni de la de los particulares en los pa­ Dichos oficiales se pusieron inmediatamente en marcha pa­ fecha 25 del anterior lo que sigue: sados, disturbios que han conmovido á la República. Sus perso­ ra A in-T ab. Excmo. S r.: Se ha notado que algunos comandantes…</t>
  </si>
  <si>
    <t>…. senda de la ilustración y del progreso. Y finalmente, con fecha 8 dice que se habian presentado E l Todopoderoso conserve dilatados años la preciosa v id a En la exposición con que se presento á la aprobación al gobernador de Manresa siete facciosos; al comandante de c r ­ de Y . M . para telicidad de la monarquía. de V. M. en 30 de Setiembre de 1836 la planta actual de inas de Igualada cin co , y haber hecho dos prisioneros la co­ L. Y i n a r o z 8 de O ctubre de 1839.—Señora.n:A R . P. de la secretaría del ministerio…</t>
  </si>
  <si>
    <t>Manresa, Joaquín</t>
  </si>
  <si>
    <t>Joaquín Manresa</t>
  </si>
  <si>
    <t>…religiosa, y en este último caso tener en añadido haber destinado á Martorell un gefe de su coafianza, el en Jrances. et Sr. D. Ramón de Lasagra.) consideración las creeocias individuales de los presos , creencias Sr. coronel D. Joaquín Manresa, para que se ocupe inmediata­ que la sociedad debia respetar ¡ fueran las que quisiesen. mente de poner en un estado respetable el edificio que fue con­ Esta sociedad tuvo su origen en Í825 con eL doble objeto, En Noviembre de 1825 se presentó al Rey el proyecto di­ vento de capuchin…</t>
  </si>
  <si>
    <t>Manrique, Tomas María</t>
  </si>
  <si>
    <t>Tomas María Manrique</t>
  </si>
  <si>
    <t>…y burla de todos ellos. ñor D.-Manuel Luceño, juez de primera instancia de esta Los anteojos. Se halla á 3 rs. tanto en rama eomo en rústica en el heroica villa, refrendada del escribano del número en la misma Y una crónica. D. Tomas María Manrique, se saca nuevamente á pública su­ tampería Se suscribe en Madrid en la librería de Cuesta, en la es­ despacho de dicha Imprenta. basta una casa sita en esta corte, y su calle de Carretas, seña­ de Valle, y en la redacción calle del Príncipe. En lada con el núm. 8 viejo y 29 nuev…</t>
  </si>
  <si>
    <t>…devoción. Nuestro Señor Jesucristo aparece muerto, ^ de primera instancia de esta heroica villa , refrendada del sostenido y llorado por un ángel. El cadáver del divino Reden­ Sagrada Familia. escribano del número en la misma D. Tomas María Manrique, tor es admirable por su buen colorido, pastosidad y nobles for­ se cita, llama y emplaza á D. Joaquín María Sanguino, para mas: asi como la profunda pena del ángel e^tá tan bien expre­ Para dar una ventajosa idea de este cuadro hasta decir que que dentro del preciso término de…</t>
  </si>
  <si>
    <t>…titucional, á primera instancia de esta heroica villa, refrendada del materia; pero nuestra alma se eleva y se llena de orgullo por­ nombre de sus ^convecinos, y el comandante militar al de sus escribano del número en la misma D. Tomas María Manrique, que ella sola continúa la lucha , ella sola permanece libre y subordinados, aseguran y repiten con entusiasmo que están de­ se saca nuevamente a pública subasta una casa sita en la villa fuerte en presencia de esta naturaleza , cuyo aspecto anonada cididos á sepultarse antes en…</t>
  </si>
  <si>
    <t>Manuel</t>
  </si>
  <si>
    <t>…ot! nas para atacar á la canalla ; verificándolo en seguida logró ellos: en estas ciudades cercadas de fortiíicaciones arruina­ Y en todos los demas palacios desiertos se encuentra el darles alcance el capitán del 5.° ligeros D. Manuel A ysa , que das; entre estas casas almenadas, cuya torre todavía per­ mismo lujo y los mismos adornos. Todos están igualmente acuchilló á los que tuvieron la osadía de esperar; siendo el re­ manece de pie, he llegado en fin á com pren der las guer­ abiertos y se puede penetrar en ellos sin t…</t>
  </si>
  <si>
    <t>….) sas; ejecutado por el mismo y las Señoras Diez y Sierra. Gabriel T e lle z 9 mas conocido con el supuesto nombre de el _ para que el adeudo de i por 100 que por Real orden de 7 4«° La comedia también en un acto original de D. Manuel maestro Tirso de Molina. de Abril de 1827 se establece en cualquier pabellón sobre el va­ Bretón de los Herreros, cuyo título es Cada mes se publicará un volumen de esta colección, el lor de factura para las máquinas de vapor construidas en el cual comprenderá tres comedias y el examen d…</t>
  </si>
  <si>
    <t>…lo rca, en 15. enemigos en on alto pico, donde parecía imposible se pudiese Otra id. en la cuesta de las Tejas, término de V iato r, L im ­ PARTES. habitar , causándoles la pérdida de dos muertos, siendo uno pia y P ura, por D. Manuel D iaz, en 17. Otra id. en Sierra de Gador, barranco de Juan Alonso, El capitán general de Galicia participa con fecha 26 de Vicente López, de la Fuente del Fresno, alias Tiña , desertor término de Almería , Purísima Concepción, por D. Manuel Enero últim o, que el comandante general D. Joaquí…</t>
  </si>
  <si>
    <t>…perjuicio. para su cum plim iento.= Esta rubricado de la Real mano.== Sevilla. Asimismo se cita y emplaza por término de tercero dia á M inas nacionales de Riotinto 50 de Noviembre de 1858.=: D. Joaquín María Mendez y Suarez, D. Manuel M iranda , Don En Palacio á 30 de Diciembre de 1838.=A1 Presidente Ignacio Goyanes. José Viton y D. Joaquín Sánchez, á fin de que se presenten á interino del Consejo de Ministros. prestar declaración en la escribanía mayor de Amortizicion i cargo de D. José Balduque, sita en la calle del L…</t>
  </si>
  <si>
    <t>…lemente la intervención tica está á cargo de D. Roque J . V aldés, y la segunda al de seguir á todo trance la felicidad común a los habitantes de la de cualquiera fuerza brutal. ^ D. José M aría G arcía; la de gramática al de D. Manuel A n­ A n tilla ; su primer asunto fue el mas grandioso, el de mas v i­ Abandonada de sus aliados , obligada por la fuerza superior g ulo , y director del instituto, como todas las dem as, excep­ tal im portancia, ó lo que es lo mismo, la instrucción publica. que la amenaza, y del porvenir d…</t>
  </si>
  <si>
    <t>…rita publicada ú lt i- , tribunal de J u s t ic ia , se cita y emplaza á la viuda ó sucesores mámente por el Sr. C a rra m o lin o ; pero como indica su título* Mas el carácter sobre todos difícil y que nos parece el es­ de D. Manuel A l a i x , únicos que restan serlo en el a su n to , y solo comprende las leyes dé procedimientos. . fuerzo mas feliz del a r te , es el de D. Pedro el Cruel. Pedro el cuyo paradero se ignora , para que en el término de 50 d ias Son frecuentes en el foro las cuestiones sobre vínculos, se­…</t>
  </si>
  <si>
    <t>…apturada á las Pasiva, 4 h (Debáis..) esperanza de ver terminarse los acontecimientos de Siria de una inmediaciones de Inhestó por un destacamento de movilizados, manera pacífica. á las órdenes del subteniente del mismo cuerpo D. Manuel A n ­ El mismo periódico da las siguientes noticias de Siria que tonio García , una gavilla de siete rebeldes que vagaba por aquel Las noticias de Oriente son hoy pacíficas. Los periódicos de nos parecen dignas de fe, excepto los rasgos de parcialidad pais; debiéndose esta ventaja á la activi…</t>
  </si>
  <si>
    <t>…ada 100 libras de raiz. tiempo secó. Si el tiempo es favorable se llevan los haces guas del reino de Duarte de Armas, Ó de los blasones, y los al campo, y se plantan dos ó tres puntas en cada hoyo, libros de la reforma del Rey D. Manuel: entre los tratados vió Ahora pues, el preció de 100 libras de raiz es de 10 Tóales tendidas y de modo que salgan los extremos por cada la­ los celebrados por el protector Cromwell, los de la independen­ de plata, y el costo de fabricarla no és mas de nueve rea­ do del hoyo, y luego se cubren…</t>
  </si>
  <si>
    <t>…eues quedados por fallecimiento de» presbítero fx c la u stra - gran parte del estado do los órganos digestivos. Sucede a lg u ­ Tortas bien cocidas............................. 2 30 do del convento de nuestra Señora de Atocha D. Manuel N a - nas veces que un alicoento particular es considerado saludable, Coles hervidas (el vinagre ay u d a mucho á su diges­ v arre te , para que acudan á deducirlo en su juzgado y citada porque produce un efecto benéfico de un carácter particular en tión)....................................…</t>
  </si>
  <si>
    <t>…asla­ da un parte del comandante general de Palencia , en que ma­ El gran Duque hereditario de Rusia se ha suscrito con la dora y la Serma. Sra. Infanta Doña María Luisa Fernan­ nifiesta que el gefe de carabineros de Hacienda D. Manuel suma de 500 libras esterlinas al monumento que debe elevarse da , continúan en esta corte sin novedad en su importante Carande persiguió el dia 2 desde el pueblo de Velilla hasta en honor del duque de VVellington. Guardo al cabecilla Pastor, que con otros cinco mas acababa de talud. salir d…</t>
  </si>
  <si>
    <t>…en el valle de Ca­ vincia, Por providencia del Sr. intendente de Rentas de* esta pro­ se cita , llama y emplaza por tercero y último edicto y en ciertos ('dios una eo-.a diierentt; fie la que indica la ora­ nia rgn, hecho por D. Manuel a - b s , vecino de G uarnizo, su término de nueve dias á D. Antonio Movohilon y D. Juan ción que nos ha servido de ejemplo. No por eso deja ue descubridor. Bolívar par¿ que se presenten en la escribanía de Amortización, ser cierta la'existencia de las dos ideas. Es pues en filoso­ sita en la…</t>
  </si>
  <si>
    <t>…ica y 220 lativas á España, por D. M. de la Escosura. 2.° Intermedio de baile nacional. en pasta. Se hallarán en la librería de Orea , calle de la M onte­ Manual del encuadernador. 3.° La linda comedia en un acto, original de D. Manuel ra , frente á S. Luis. Historia general de la civilización en Europa , ó curso d&lt; Bretón de los Herreros , que lleva por título E L L A ES EL. historia moderna desde la caida del imperio romano hasta 1; 4-° Sinfonía. revolución de Francia, por Mr. Guizot. Cuadernos 4-° , 5.° j 5.° Un diver…</t>
  </si>
  <si>
    <t>…n al Gobierno, da con la cantidad de 123 rs. vn. anuales para una pen­ El Rey llamó al mariscal duque de Dalmacia. Extrangero á sión en favor de Doña María del Carmen Pizarro, viuda F&gt;OR el presente se cita , llama y emplaza á D. Manuel D a - las luchas de los últimos tiempos, el ilustre general parecía na­ del conde de Donadío, muerto en acto del servicio cum­ * miau y M adrid, pagador que fue de caminos, para que turalmente le. No la designado para la misión que el Rey quería confiar­ aceptó. Esta situación no podia prol…</t>
  </si>
  <si>
    <t>…tin" las alhajas adjudicadas al premio segundo, y al número 2,435 do emitida con el número 5 8 ,6 7 8 , por rs. va; 46 y 4 m rs., á a) frasees por M r. de M orreau , y de este al l|po las designadas al premio primero. favor de D. Manuel R io ro , para que en el término de nuev© rías adiciones , y por un orden mas conform e;esjip^rafcadoj Las personas á quienes pertenezcan los billetes premiados se dias presente en la escribanía principal de Amortización , calle por D. Ignacio'A ntonio de Soto y Áraujo. Un "tomo en'A*.6* pre…</t>
  </si>
  <si>
    <t>…res­ juzgado de primera instancia de término de M álaga, vacante dirigirse á Ñapóles; y no vendrá aqui sino á su vuelta. pecto al Limburgo en compensación de la parte cedida del por cesación de D. José María Iparraguirre , á D. Manuel «U na sociedad de franceses ha solicitado y obtenido del Luxemburgo, y conservando en cuanto á lo demas la sobera­ Alejo Izquierdo que sirve la judicatura de igual clase de Pa­ gobierno la autorización de fabricar un puente colgante sobre do nía de la Bélgica. Los territorio*en disputa conti…</t>
  </si>
  <si>
    <t>…ón de tan clásico libro al hubiese sido Juan Geriseis, D. Antonio A ngulo, D. Francisco Garrido, p N Castilla virtud de providencia del Excrao. Sr. capitán general de la Nueva se cita y convoca á todos los acreedo­ ueie.jrio. D. Manuel T one y C ano, D. Tadeo Sánchez Escandon y Don res del difunto D. Manuel M oreda, del comercio de esta corte,</t>
  </si>
  <si>
    <t>…o de Doña Josefa Correa: Doña María GALERÍA DRAMÁTICA. dado (l), si él se hubiera entregado al magistrado como Leocadia Salgado, hija de D. Mateo: D. Ramón Ortigosa, causador de aquella muerte, aunque no dudaba hubiera hijo de D. Manuel : los hijos de D. Juan Antonio Guardia: FUNCION DE BODA SIN BODA. &gt;ii\ ' hallado reo solo de homicidio involuntario, seria D. José González de Gomara : D. Gerónimo Coliantes, apode­ ¡ lénipre necesario estar en la cárcel por seis meses con rado de Doña María Manuela de Ribera: Doña Bárbara Gó…</t>
  </si>
  <si>
    <t>…ancia dor segundo, José López de Quadros. = El regidor tercero, de Santa Cruz de Tenerife , de término en la provincia de Ca­ Marcos de Quadros.=-=El regidor cuarto, José N i n o . = E l re­ n arias, para que estaba electo D. Manuel D i z , á D . Manuel Señora: E l ayuntamiento constitucional de la poblacior gidor quinto, Bartolomé G ó m e z .= E 1 regidor sexto, señal -j* de Cuadros, juez de Osuna: para este juzgado, de entrada en de Carboneros, poseido del mas reverente acatamiento, nc de Francisco Hornos. = E l pro…</t>
  </si>
  <si>
    <t>…tulo Isabel de la Descuento de letras , á 6 por 100 al año. Paz. Regidores: primero D. Rafael Urries, segundo D. Tadeo Sentimos sobremanera que los cortos límites de nuestro pe­ López Rebolledo, tercero D. Santos Sanz, cuarto D. Manuel ! ■■«■"I.' ■. ■■■ riódico y los muchos materiales preparados para este dia, nos Ezrnir , quinto D. Custodio izquierdo, sexto D. Rudesindo Gea. PROVIDENCIAS JUDICIALES. impidan extendernos acerca de una producción que tanto hon­ Síndico: D. Andrés Casajus. ra á su autor y que tantos aplausos h…</t>
  </si>
  <si>
    <t>…te de mas de 20 lastres de comercio, tienen que tomar prác­ S ev illa 16 d e Marzo. La facción del Rondeño que in va­ pero si estuviese situada afuera mostrará solamente uua luz ticos. dió el pueblo de Campillos y hacienda de D. Manuel V illa r - cúahdo vea llegar los buques. B. Todos los buques que se valen de uu p ráctico, ó que se­ roe!, término de Guadalcanal en esta p ro vin cia, y se d irig ía Guando la galiata está en el mar , y no puede dar nin­ gún lo que se acaba de fijar, se hallen obligados á tomarle, pa­ háci…</t>
  </si>
  <si>
    <t>…todo á los desaciertos tanto militares como políticos de publicación de este an un cio , á los que se crean con derecho á algunos de los muchos ge fes que sucesivamente han estado en ­ los bienes quedados ai fallecimiento de D. Manuel G a rc ía, p a ­ cargados del mando de estos reinos, hau proporcionado una opi­ Londres, á 9 0 d ia s , 3 8§ . C o r u ñ a , 1 d. ra que le deduzcan en forma legal por el dicho juzgado y c ita - nión al osado Cabrera. P a iú s, 16-5. G ranada , l| á 1 id. da escribanía, parándoles en otro c…</t>
  </si>
  <si>
    <t>…y su divino al punto de su destino los géneros y efectos guiados, los Maestro, debida á la buena memoria que en favor de dicho administradores de puertas ó los de Rentas unidas, en asilo hizo en su última disposición el doctor D. Manuel M ar­ celino Rodríguez, presbítero, prebendado que fue de la Santa de sus respectivos casos, reclamarán de los interesados en los primada iglesia, y últimamente cura mozárabe de la parroquia depósitos de que procedan la comprobación del destino de San Sebastian de la misma ciudad. Los que q…</t>
  </si>
  <si>
    <t>…s expresiones gráficas s t r i d e t , i n n i x a , revoluta est son P ro vin cia d e la Cor una. la usé aun en esos momentos críticos con sobriedad. adm irables; pero mas aun el gemido ai volver á hallar Arteijo y Carballo.~D. Manuel M aría Domiuguez, en San­ Quien dude de mis antecedentes políticos que lea los diarios la lu z, que pinta la situación del ánimo. de las Cortes, para las que he sido cinco veces elegido: acuér­ Los objetos abstractos ó ideales pueden también re­ t i a g o : desde 1.° de J u lio á 50 de Setie…</t>
  </si>
  <si>
    <t>…era, juez togado de primera instancia de esta ca­ coloca junto á Toledo en tiempo de los godos, pintado por Don pital, refrendada del escribano del número del crimen de su ANTIGUO Y MODERNO ESPAÑOL, Francisco Lucini. juzgado D. Manuel W ebre, se vuelve á hacer saber por tercero y último edicto á la persona en cuyo poder se encuentre una Y DEL TEATRO EXTRANGERO. escritura de capital de 15© rs. vn. de los cinco gremios mayo- CRUZ. Hoy no hay función. ir C°rte’ señalada ^ n el núm. 14,194; parte de otra LOS CORTESANOS DE D…</t>
  </si>
  <si>
    <t>…era , al cuidado de la junta nombrada para biendo V. creer y conocer, por la razón de llevar aquellos el promover la instrucción. Su celo merece los mas distinguidos empeño elogios, asi como el del joven director de los niños Don Manuel se indica, un gefe de graduación,excede á la carga, que la suya de 7 0 0 , incluso, según Barber y el de Doña Antonia Climent, que lo es de las niñas, hay quien afirma ser Forcadell, quepasado por el bajo-vientre; fue conducido en una ca­ DIRECCION DE HIDROGRAFIA. por las muestras que unos…</t>
  </si>
  <si>
    <t>…o, sino que también del o rg á n ico , á cuyo ob­ Conde de Oria te...................................................... 1000 A lica n te, par. Santiago, l f id. jeto ha consultado su autor los trabajos de los profesores mas D. Manuel .José Ouintana................................... 100 Barcelona, á ps. f s . , § papel b. S evilla, par din. distinguidos de Europa. D . Al varo Gómez Becerra.................................. 100 Bilbao, i £ d. V a len cia , £ id. d. Esta obra constará de dos tomos en 4«° de unas 500 página…</t>
  </si>
  <si>
    <t>…contenidos en el suplemento á la Gacetí de esta corte, refrendada del escribano de S. M. y de su juz­ da, continúan en esta corte sin novedad en su im portante le 28 de Enero próximo pasado. Lo que se hace saber al públi gado D. Manuel bernandez de Pazos, se hace saber á todas las :o para su gobierno. personas que liaban empeñado desde J u lio de 1857 , hasta salud. Abril de 1858, ropas, alhajas y efectos por mediación de L u ­ ciana L i a r t e , prendera, calle de Bordadores, núm. 5 , se pre­ O O R el juzgado del qui…</t>
  </si>
  <si>
    <t>…in ist ro, esperaba oir de su boca lo que he oido , me doy por resado otras dos veces con la misma solicitud. ñor Lujan. satisfecho. El Sr. I Ñ I G O contestó que aunque 1ü u y bien pudiera ser Se leyó la petición núm. 27 que D. Manuel T o m as, p ro ­ El Sr. G O N Z A L E Z A L O N S O dice que está en su lugar pietario del pueblo de S. Gervasio del Llano de Barcelona , y quépase esta exposición al Sr. Ministro de la Gobernación; pero cierto lo que acababa de manifestar el Sr. Cortina, la comisión capitán no podia extende…</t>
  </si>
  <si>
    <t>20 en la secretaría, calle ancha de Majaderitos, núm. 12, El Excmo. Sr. Ministro de la Gobernación de la Península Asimismo se cita y emplaza á D. Manuel G aviña, Dou cuarto segundo de la derecha , cualquier dia de una á tres con fecha 5 del corriente mes ha comunicado á esta dirección Rafael de Aragón y D. Miguel López, para que en el término de su tarde, á recoger los libramientos de las cantidades que general lá Real orden siguiente: de nue…</t>
  </si>
  <si>
    <t>…vas audiencias, para la promotoría fiscal de uno de los examinar el proyecto de ley concerniente al mantenimiento de Poco tiempo después, y como entre tres y cuatro de la tarde, juzgados de esta corte, vacante por renuncia de D. Manuel nuestros ejércitos marítimos en América, y á la vigilaucia que se ejecutó la misma operación en el muelle de Gévres en casa Robleda de la H u e rta , á D. Segundo Boada y Alonso, agente se debe ejercer sobre las costas de España. de Mr. Leybe» Igualmente se rompieron las puertas de la casa…</t>
  </si>
  <si>
    <t>…6 3 .. 1 5 0 ................ Id. de esta corte, refrendada de D. Manuel Fernandez de Pazos , es­ 1 4 9 7 6 9 .. 1 5 0 ....... Id. cribano de S. M ,. del juzgado de S. S. , se cita, llama y em p la­ 149944. . 150 . Id. za á D. Manuel M aría Castañon , para que dentro del preciso 1 50 477.* 1 5 0 .. . Id. é iroprorogable término dé nueve dias que por tercero y últim o 1 5 1 0 8 1 .. 150 . . . . . . Id . se le conceden, contados desde el en que se publique e&gt;te a n u n ­ DIRECCION GENERAL DE LO TERIAS NACIONALES. 154506…</t>
  </si>
  <si>
    <t>…er los mayores progresos en las carreras ¿"artes libres á que el R eal. A virtud de providencia de la sala segunda del supremo se dediquen. (El S evilla no .) tribunal de Justicia se cita y emplaza á la viuda ó sucesores de D. Manuel A la ix , únicos que restau serlo en el asunto, y cuyo paradero se ign o ra, para que en el término de 50 dias, A R T A S á Em ilia sobre la m ito logía, por M r. Demonstier, V alenc i a 22 d e J u n io . contados desde que se anuncie en la Gaceta , acudan á usar de ^ traducidas al castella…</t>
  </si>
  <si>
    <t>…de los bienes de la vida qñe le buscan de nuevo: cura de Jesús María..................... 8.. 4 disparos hicieron gran servicio á nuestras masas, que con bayo­ gózalos, pero con tim idez; reprim e sus pasiones, que quie­ Id. D. Manuel E chavarría. .................... 8.. 4 neta armada y con el arma á discreción subían por todos los ren sublevarse otra vez, y hace buen uso de la felicidad^ Id. D. Antonio de las Torres...................... * 8.. 4</t>
  </si>
  <si>
    <t>Manuel, B. Huminga y D.</t>
  </si>
  <si>
    <t>B. Huminga y D. Manuel</t>
  </si>
  <si>
    <t>…de las monedas imagina­ Acciones del banco español de S. Fernando, 00* rias de varias provincias de España , y una tabla de números El Bravo, drama de grande espectáculo, dividido en ocho cuadros , traducido del francés por D. B. Huminga y D. Manuel fijos para calcular con la mayor facilidad los intereses desde 3 c a m b io s . de la Escosura. Un tomo en 8 .°, á 6 rs. en rústica. hasta 12 por 100 al año. Por manera que puede decirse que es­ Londres, á 90 dias, 5 8 | dio. C o ru ñ a , 1 d. Dichas tres obras se venden en…</t>
  </si>
  <si>
    <t>Manuel, Baltasar Saldoní y Ú.</t>
  </si>
  <si>
    <t>Baltasar Saldoní y Ú. Manuel</t>
  </si>
  <si>
    <t>…hcion, es digna del Sr. F ern el, y le1aseguran D. Basilio Basili y p . Nemesio M artínez , vicepresidentes. su dirección fija. Añade que el día antes1entram a en Géstala la gratitud*de todos los habitantes'de esta provincia; D. Baltasar Saldoní y Ú. Manuel ^Dücassí, cousilíáfioL ; v gar 80 caballos y algunos infantes enemigos, corriéndose la ma­ ñana siguiente hasta la masía del Collado ; siendo su objeto al Con sentimiento concluimos un artículo que tan ancho cam­ D. Joaquín Espiii y D! Jóié de R ojaY y Slenrá , sécrétár…</t>
  </si>
  <si>
    <t>Manuel, D.</t>
  </si>
  <si>
    <t>D. Manuel</t>
  </si>
  <si>
    <t>…ulos mas mas buenas costumbres sin que preceda una sólida y funda­ estrechos á nuestra gratitud, cuando todos respiramos paz den­ mental instrucción primaria , por mas que los mejores ciudada­ ü N de virtud de providencia del Sr. D. Manuel L uceño, juez primera instancia de esta v illa , refrendada del escriba­ tro de la plaza y una ciega confianza en su vigilancia. ¿Cómo nos se afanen en la formación de excelentes leyes ; pero se ve no del numero D. Jacinto Revillo, y por término de 50 dias premiar el relevante mérito que…</t>
  </si>
  <si>
    <t>…e blicas,” y al segundo "Funerales alegres ó actos contrarios,” se públicas, sino en todos los preparativos. Y esta parcialidad re­ procedió á celebrar el sorteo de los nueve jueces de hecho que U N virtud de providencia del Sr. D. Manuel L uceño, juez salta mas, señores, al ver la circular del Ministro de la Guer­ con arreglo á la ley debían componer el jurado, y habiéndose " de primera instancia de esta H. villa , refrendada del es­ ra encargando á sus subordinados que cerrasen la puerta a to­ realizado con las formalid…</t>
  </si>
  <si>
    <t>…que los individuos que pertenecieron á la Real LA REDOMA ENCANTADA. compañía de guardias alabarderos, se hallen comprendidos en los apistes formados por fin del año de 1808 de los alcances que ■ pN virtud de providencia del Sr. D. Manuel L uceño, juez Su autor D . Ju a n Eugenio Hartzembusch. resultaron en su favor de franquicia, sueldos, mesilla y sopa, ^ de primera instancia de esta villa, refrendada del escri- de cuyo importe debe proratearse ¡a parte que á cada uno per­ bano^del numero de la misma D. Juan Manuel A gua…</t>
  </si>
  <si>
    <t>…el maestro* R os- la tuvieren. s io i, á completa orquesta , exornada con una magnifica deco­ SOBRE ración de pais nevado , con claro de luna. i 2.° Introducción en la ópera Elena é Malvina , del maes­ P O R providencia del Sr. D. Manuel L uceño, juez de pri- A mera instancia de esta capital, se cita y llama por este LA CUESTION ELECTORAL. tro Carnicer, por la Sra. V illó , el Sr. Salas y coristas; con de­ coración y trajes. edicto y término de nueve dias contados de esta fecha, á los 5.° D úo en la ópera Anua Bolena, de…</t>
  </si>
  <si>
    <t>…ue ha de servir de base para la subasta es de se no están sujetos á guia en su circulación interior, y 56 rs. vn. quintal, ya ofrecidos. cumpliendo con la mayor exactitud el artículo i 10 de la E'N virtud de providencia del Sr. D. Manuel L u ceñ o , juez 5.a Pagará el contratista sin dilación en la tesorería de Ren­ J de primera instancia en esta villa y corte, refrendada del tas de la provincia de M adrid el valor de los tabacos que reci­ Real instrucción de 16 de Enero de 1835 antes de expe­ escribano de numero de la m…</t>
  </si>
  <si>
    <t>…elazquez, líneas de ancho: precio antiguo 28 rs., y moderno 20 . guientes al de la inserción del presente en este periódico, com­ la cual representa á la Virgen coronada por el Padre Eterno y parezca por sí en el juzgado del Sr. D. Manuel L u ceñ o , y es­ Santa M aría egipciaca. cribanía que regenta D. Juan Manuel guado, á prestar una su divino H ijo, é iluminada por el Espíritu Santo: la grabó declaración en ciertas diligencias que se instruyen en reclama­ en Paris con inteligencia Mr. Massard. Tiene 17 p. de alto, y Otro…</t>
  </si>
  <si>
    <t>Manuel, D. Juan Antonio Hidalgo. Sr. D.</t>
  </si>
  <si>
    <t>D. Juan Antonio Hidalgo. Sr. D. Manuel</t>
  </si>
  <si>
    <t>…. Evaristo Perez de Castro. Sr. D. Joaquin de Pedro, marques de Albaida , electo. Sr. D. Antonio Ros y Olano. V izcaya, Ciudad-Real. Murcia. »D . Pedro Allende Salazar. Sr. D. José María Cambrottei o. Sr. conde de Balazote. Sr. D. Juan Antonio Hidalgo. Sr. D. Manuel Marin Blazquez. Zamora. Sr. D. Manuel Moi.edero. Sr. D. José Antonio Ponzoa. wDuque de Castroterreño. Sr. D. Santiago Moreno M uñoz, electo. Sr. D. Miguel Puche y Bautista. »D . Ezequiel Diez de Tejeda. Sr. D. Audres Carabantes. Sr. D. Diego María Chico, elect…</t>
  </si>
  <si>
    <t>Manuel, D. Juan Gerónimo Cebados. Sr. D.</t>
  </si>
  <si>
    <t>D. Juan Gerónimo Cebados. Sr. D. Manuel</t>
  </si>
  <si>
    <t>…Moi.edero. Sr. D. José Antonio Ponzoa. wDuque de Castroterreño. Sr. D. Santiago Moreno M uñoz, electo. Sr. D. Miguel Puche y Bautista. »D . Ezequiel Diez de Tejeda. Sr. D. Audres Carabantes. Sr. D. Diego María Chico, electo* Sr. D. Juan Gerónimo Cebados. Sr. D. Manuel Martinez Ayala. Zaragoza. »Duque de Zaragoza. Córdoba. Navarrai »j D. Juan Antonio Castejon. Sr. D. Diego Alvear. Sr. D. Fermin Arteta. »D . Miguel Laburda y G alindo, obispo electo Sr. D. José Soldevilla , electo. Sr. D. Agustín Arrnendariz, Vicepresidente…</t>
  </si>
  <si>
    <t>Manuel, D. Ramón. María Tempradc. Sr. D.</t>
  </si>
  <si>
    <t>D. Ramón. María Tempradc. Sr. D. Manuel</t>
  </si>
  <si>
    <t>…D. Miguel de Córdoba. Sr. D. Ramón dé Bacardí. Sr. D. Pascual Madoz. Sr. D. Ramón Salvato. Sr. Teruel. Logroño. Sr. D. Ambrosio Sánchez. Burgos. Sr. D. Miguel Alejos Burrie!. Sr. D. Pablo Govantes Sr. D. Andrés Almarza. Sr. D. Ramón. María Tempradc. Sr. D. Manuel de la Rivaherrera, Vicepresidente 1.° Sr. D. Salustiano de Olózaga. Sr. D. Joaquin Romero y Domingo. Sr. D. Santiago Azuela. Sr. marques de Someruelos. Sr. D. Ramón de Santillan. Lugo. Toledo. Sr. D. Félix M artin. Cáceres. Sr. D. Antonio María M iranda,…</t>
  </si>
  <si>
    <t>Manuel, José</t>
  </si>
  <si>
    <t>José Manuel</t>
  </si>
  <si>
    <t>…rto, término fin de que dentro del preciso término de 50 dias se presenten sus guerras, sucesión de los Reyes godos &amp;c. 8cc. de Benadux, La Esperanza de López, por Andrés López Cas­ á deducirlo en este tribunal y escribanía de D. José Manuel tillo , en id. Carballo Rivera , por sí, ó sugetos suficientemente autorizados, Retratos que adornan dicho tomo. Otra id. en sierra de L u ja r, barranco de Calaveras, tér­ con apercibimiento de que les parará entero perjuicio. Y para mino de Velez, Santa R ita, por Joaquín M a rtin , e…</t>
  </si>
  <si>
    <t>Manuel, Juan</t>
  </si>
  <si>
    <t>Juan Manuel</t>
  </si>
  <si>
    <t>…superior de las expedidas de­ mandado de S. S ., Florencio Sánchez Rastrollo, terminadamente sobre negocios de U ltram ar, ó que convenga de primera instancia de esta villa , refrendada del escri­ bano del número de la misma D. Juan Manuel A guado, se tenerse presentes en los ramos de nuestra administración 1» » - cita , llarna y emplaza por término de 20 dias , contados des­ nicipal para la acertada dirección y arreglo de solicitudes par­ de la inserción del presente en este periódico, á los que se Anuncio interesante . t…</t>
  </si>
  <si>
    <t>…artzembusch. resultaron en su favor de franquicia, sueldos, mesilla y sopa, ^ de primera instancia de esta villa, refrendada del escri- de cuyo importe debe proratearse ¡a parte que á cada uno per­ bano^del numero de la misma D. Juan Manuel A guado, y para tenezca, entregándoseles en papel de deuda coa interés del 5 hacer pago á un acreedor, se sacan á pública subasta las fin­ CRUZ. A las siete de la noche. Función extraordinaria dividida del modo siguiente: ^.°r , „ m.° erao, y otra en deuda sin Ínteres,cas sitasexpresa…</t>
  </si>
  <si>
    <t>…que degradaba á su tirano, á ser pósitos de esta ciudad en 7 de Setiembre de 1796 con una cer­ contentándose solo con propalar vagas y peligrosas gene­ su humilde compañera. Después, suavizándose mas las costum­ tificación de D. Juan Manuel M artínez, administrador eclesiás­ ralidades que basten para sembrar desconfianzas en el bres por el influjo del matrimonio, la muger se consagró al cui­ tico del hospital de Sotelo de Zamora , por la que constaba ha­ vulgo. Estamos autorizados plenamente para desmentirlos, dado y á la…</t>
  </si>
  <si>
    <t>…s, llevarán, ademas de la copia certificada del ac­ ca'ía vacante en la audiencia de Burgos por fallecimiento de Hemos sabido por un buque mercante la llegada á Malta ta, lista de los electores que hubieren tomado parte en la D. Juan Manuel L G u en fe, á D. Higinio Melero, catedrático de dos personajes de distinción, enviados por el Sultán cerca del elección. de la universidad de Valladolid , en quien concurren los requi­ bey de Trípoli y de Berbería. Han salido para esta capital á 7.a Debiendo renovarse la tercera parte…</t>
  </si>
  <si>
    <t>…ue esta estipulación podia dar motivo á objeciones; 2 hispado de San tiago, que falleció el dia 7 del presente mes peroá solicitud del plenipotenciario austríaco se insertó lacláu - en la citada parroquia, abintestato, hijo de D. Juan Manuel »ula. Los reglamentos vigentes en los puertos del Danubio de la Vega y Doña M aría G rova, nieta de D. José de la Vega GRAN BRETAÑA. ¡erán observados con respecto á los navios ingleses á su entrada y Doña Rosa del Cam po, naturales de Santa M aría de Toroga y salid a, los cuales serán re…</t>
  </si>
  <si>
    <t>…de la inserción del presente en este periódico, com­ la cual representa á la Virgen coronada por el Padre Eterno y parezca por sí en el juzgado del Sr. D. Manuel L u ceñ o , y es­ Santa M aría egipciaca. cribanía que regenta D. Juan Manuel guado, á prestar una su divino H ijo, é iluminada por el Espíritu Santo: la grabó declaración en ciertas diligencias que se instruyen en reclama­ en Paris con inteligencia Mr. Massard. Tiene 17 p. de alto, y Otro cuadro apreciable de Ribera ( J.) que representa á d i­ ción de maravedises…</t>
  </si>
  <si>
    <t>Manuel, Lorenzo Garrigos y Suárez y D.</t>
  </si>
  <si>
    <t>Lorenzo Garrigos y Suárez y D. Manuel</t>
  </si>
  <si>
    <t>…ipe Ochaita y vor de su hijo mayor. Hauterive fue enviado á aquel pais dro? ¿Seendejara ninguna hostilidad. ¿Qué responderá Alejan­ compañía, D. José Rivera y Andrade, D. Vicente Martel, arrastrar por un movimiento de cólera? D. Lorenzo Garrigos y Suárez y D. Manuel María de la Orden, para recoger los arenivos políticos y hacerlos trasportar á ¿Pronunciara él también alguna alocución? No : responde endosantes de la lámina de deuda sin Ínteres núm. 28,785 , de Paris. Confio el el cuidado de estos documentos á Mr. Le- elerg,…</t>
  </si>
  <si>
    <t>Manuel, Luis</t>
  </si>
  <si>
    <t>Luis Manuel</t>
  </si>
  <si>
    <t>…Cuando se imponen me­ Nüm. 68. D. José Agustín Galardi, por sí y como cura­ presente al Gobierno que mis deseos eran que cesasen en sus des­ didas contra los carlistas, no se invocan tanto como cuando dor de su sobrino menor D. Luis Manuel G alardi, después de tinos los confinados. Pero tengo motivo para decir que esta pe­ se aplican á otros; por lo tanto 110 diré mas que en mi con­ manifestar acredita al Estado 125,684 pesos por cantidades tición no tiene objeto, porque sus individuos si á esta hora no cepto está en su l…</t>
  </si>
  <si>
    <t>Manuel, Nicolás Cbicarro y D.</t>
  </si>
  <si>
    <t>Nicolás Cbicarro y D. Manuel</t>
  </si>
  <si>
    <t>…tamiento m inistrativos, y la de decidir las competencias entre la auto­ del de la misma clase D. Blas Quesada , y de los alféreces de Escriben de Sitard : ridad judicial y administrativa , cuya facultad im pugna, al navio D. Nicolás Cbicarro y D. Manuel A bad, cuyos oficia­ Los preparativos para el recibimiento del conde de Ausetn- paso que cree necesario el que entieuda en los negocios gra­ les, cada uno con su fu sil, acompañaron á la tropa y marine­ bourg se prosiguen con actividad en el Limburgo. La guardia ves qu…</t>
  </si>
  <si>
    <t>Manuela</t>
  </si>
  <si>
    <t>…i se le oirá y guardará la justicia que tuviere, y en otro Por providencia del Sr. intendente subdelegado de rentas de caso, pasado dicho térm ino, sin mas citarle ni emplazarle se esta provincia se cita , llama y emplaza á Doña Manuela M ar­ perjuicio. la causa en su ausencia y rebeldía parándole entero sustanciará LA ESPERANZA, tínez, para que en el preciso término de tercero dia , que por PERIODICO LITERA RIO . último se señala , comparezca en la escribanía principal de amortización, calle del Lobo, ndm. 8 , piso segun…</t>
  </si>
  <si>
    <t>…en el molde de la naturaleza: las piezas de canto con la ejecución en el piano. Por primera d ir sus talentos. (Id .) sencillas como ella, no se proponen de struir lo ya edificado y es­ vez favoreció el Liceo la señorita Doña Manuela I m b re c h t, eje­ tablecido , que es el error sugerido por el amor propio á al­ cutan do un dúo de piano y violin con el Sr. CurtiW. Con pe r- gunos reformadores , sino de co nstruir cou los elementos d on del d istinguido profesor, á quien tanto debe el L iceo , por su condescendenc…</t>
  </si>
  <si>
    <t>MANUELV</t>
  </si>
  <si>
    <t>…primera instancia de esta c iu ­ APLICADO AL COMERCIO Y A LAS OFICINAS DEL ESTADO dad y su partido, en Cartagena á 26 de Junio de 1839.—Licen­ BOLETIN DE COMERCIO. ciado Amadori.zzAote mí José Antonio Alcaráz Romero. Y PO R D. M A N U E L VICTO R D E C H R IST A N T E S, para que llegue á noticia de todos, por duplicidad lo firmo en BOLSA DE MADRID. Cartagena á 26 de Junio de l859.=:Enmendado veinte.z=Vale.= gefe de sección que fu e del ministerio de Hacienda, i L. Amadori.—Por su mandado, José Antonio Aicaráz Romero.…</t>
  </si>
  <si>
    <t>Manzano, Francisco</t>
  </si>
  <si>
    <t>Francisco Manzano</t>
  </si>
  <si>
    <t>…1 1 ..0 .. 7 7 5 5 ..0 ..2 1 58,459.. 6 . . 32 Otra id., pecho de Lastras, término de Berja, la Lupiona, ..................................... 3 2,640.. 0 .. 30 3 6 8 .. 6 ..5 1 .... .... 5 5 6 ..3 ..2 0 53,560.. 5 .. 15 por D. Francisco Manzano , en 6 . »bo-Roio................................... 7,785 . 0 . . 3 2 8 2 . .5 . .2 0 .... 2 9 ..2 ..2 1 86. . 0 . . 6 7,982 . 7 . . 11 Otra cobriza , arroyo de las Perdices, término de Huetor de Fajardo......................................... 3 ,4 4 3 .. 6 . . 25. 2 8 .. 3 .. 3…</t>
  </si>
  <si>
    <t>Manzochi, Juan</t>
  </si>
  <si>
    <t>Juan Manzochi</t>
  </si>
  <si>
    <t>…inmediaciones de Pedratva , después de cuya hazaña tra­ afición, como dos artistas consum adas; tocando también parte nasio Amorós, taron de sorprender á Agustín Y ela, sugeto muy liberal; pero de tan ruidoso aplauso al joven D. Juan Manzochi, que supo sica y m oral, yá fin de desarrollar y completar su educación fí­ preparar por este medio la mejora de las ge­ este, haciendo uso de su arma, hirió al asistente; y descargada acompañarlas con una maestría y novedad superiores á sus po­ neraciones futuras. Por últim o, conced…</t>
  </si>
  <si>
    <t>Mar</t>
  </si>
  <si>
    <t>…stir con frecuencia á las rable farsa que se intentó en Portugal cou el matrimonio de con mucha veneración , yo las considero como el mejor prepa­ discusiones de las Cortes , y puedo asegurar á Y V . SS. que ja­ D . Miguel y Doña Mar ía que la experiencia acreditó que no rativo para la emancipación, y como el sistema que mejor dis­ mas he visto hablar á mas de un D iputado ó Senador á la vez, era como debia haberse supuesto desde luego sino un necio en­ pone á los hombres para gozar de uoa verdadera libertad. ni he presencia…</t>
  </si>
  <si>
    <t>MAR</t>
  </si>
  <si>
    <t>…e estas opera­ ción á la antigua. El otro dia el Sr. Secretario del Despacho Leido el 19 , dijo ciones, aun sin decirlo ninguno de los individuos de la junta. de Hacienda en su discurso explicó este artículo en los mismos El Sr. M A RT ÍN EZ DE L A R O S A : M i oposición á este .Pues q u é, ¿no se sabe que el pozo de todas las falacias y men­ términos exactamente en que se acaba de indicar por la nueva artículo 110 se dirige contra el principio capital que encierra, tiras es la bolsa ? ¿No se sabe si se trata de gan ar, q…</t>
  </si>
  <si>
    <t>Mar, Anastasio</t>
  </si>
  <si>
    <t>Anastasio Mar</t>
  </si>
  <si>
    <t>…las tr e s d e la ta rd e. Catálogo d é las m ejo res estam pas que s o hallan d e ven ta en Marques , en 4» la ca lco g r a fía d e la Im prenta nacional . 1 EFECTOS P U BLICO S. Otra id ., id ., id., id ,, Esperanza, por D. Anastasio Mar­ ques , en 4 . Idem el Bobo de Coria, pintado por Velazquez ( D .), con Otra id., id., id., id ., Virgen de Araeeli, por i d . , en 4* Inscripciones en el gran libro á 5 por 1 0 0 , 00. su acostumbrada franqueza , y grabado por Croutelle. Tiene 12 Otra id. , siena de Montroi, barran…</t>
  </si>
  <si>
    <t>Mar, Francisca</t>
  </si>
  <si>
    <t>Francisca Mar</t>
  </si>
  <si>
    <t>…stas derecho y por término de 50 dias, se cita á los acreedores qne tuvieren lo produce, y cuyo suelo, dispuesto en gradaciones, reúne comarcas donde el clima esta atemperado por causas par­ á los bienes que á su muerte dejó Doña Francisca Mar­ todas las riquezas que se hallan divididas entre los otros ticulares bajo un cielo ardiente , es mas a propósito para tin Vida , consorte que fue de Sebastian Fernandez Cabrera, ve­ pueblos de la tierra, hasta en la elevada cima de los An­ la colonización que para el comercio. Pero…</t>
  </si>
  <si>
    <t>Mar, Javier</t>
  </si>
  <si>
    <t>Javier Mar</t>
  </si>
  <si>
    <t>…a Gaceta del Go­ mientas y útiles necesarios para las obras. cialmente cuando se ha visto que el Congreso nacional y bierno por lo que á este y al crédito de la junta interesa. Bien Orense 28 de Setiembre de 1839.—El presidente Javier Mar* vuestro Gobierno han enlazado fraternalmente sus manos quisiera esta corporación que el cuadro de sus trabajos fuera tinez.—P. A . D . L. J . , José de la Fuente, secretario. para dar á las provincias en la ley de fueros una garantía mas extenso; pero si se atiende al triste estado á qu…</t>
  </si>
  <si>
    <t>Mar, José</t>
  </si>
  <si>
    <t>José Mar</t>
  </si>
  <si>
    <t>…eraria celebrada por la academia de ciencias exactitud. Si le hubiera sido como este conocido el de Siguen las copias d e la co rr esp o n d en cia ca rlista i n t e r c e p ­ naturales y artes en 22 de Mayo último , el socio D. José Mar­ D. R o d r i g o , de R ib e ra , hubiera yo hecho lo mismo que tada en Vera. (1) ti y Pradell leyó una memoria que tuvo por objeto el exátnen con el otro, para que no se me motejara de mero charla- de las propiedades de los cometas, sus elementos, y las varias tan, incapaz de ap licar l…</t>
  </si>
  <si>
    <t>Mar, José Eduardo Ivison y D. José</t>
  </si>
  <si>
    <t>José Eduardo Ivison y D. José Mar</t>
  </si>
  <si>
    <t>…l num ero de las en este dia recorren las calles de Roma. Ha granadero del des­ sante. echadas á p iq u e , quem adas y destrozadas. Veinte y cin co tacamento que acompañaba á la procesión dijo al pintor de un Idioma ingles. D. José Eduardo Ivison y D. José Mar­ mil turcos fueron muertos en esta ac c ió n , y 10# hechos «iodo bastante grosero que apagase su cigarro y se quitase el tínez. prisioneros; y lo que fue mas g r a t o , 15# cristianos cauti­ so m b re ro . No habiéndolo hecho inmediatamente el joven, le Geografí…</t>
  </si>
  <si>
    <t>Mar.-de</t>
  </si>
  <si>
    <t>…de la Constitución -de la monarquía: 2 .° relativo á una la presente ley se eu tiende de la Reina reinante. ' A rt. 58L Co ocluid© ¡el jora me ato del Rey y de las Cortes, pensión concedida á Q.a viuda del Sr. ten i ente general Mar.-de a A rt, 17. Cuando las Cortes se abriere a por el Regente, si mandará S. M . sentarse á los Senadores y Diputados. Vigo. es el Príncipe de Asturias ó el padre ó madre del Rey , se ob­ Art. 59',. E l Presidente de las Córte* dirá estas palabras; ■Se leyeron y quedaron sobre la mesa do* dict…</t>
  </si>
  <si>
    <t>Marbella</t>
  </si>
  <si>
    <t>…cia del Sr. intendente de Rentas de esta provin­ en escena la muy acreditada ópera en dos actos del maestro Ric- cia le foe admitida en providencia del mismo dia. cia se cita , llama y emplaza por tercero y último término á Don Marbella 2 de Julio de 1839.—Francisco de Sales García.z: Simón Guevara para que dentro de los nueve diasque por e q u i­ ci, titulada Es copia. dad se le conceden r se preseute en cualquiera de las cárceles de CHIARA DI ROSEMBERG. esta corte á dar sus descargos y proponer su defensa en la causa…</t>
  </si>
  <si>
    <t>Marc, José López</t>
  </si>
  <si>
    <t>José López Marc</t>
  </si>
  <si>
    <t>…a sociedad supo el grande éxito que habia te­ quirió entonces naturalmente la literatura el grado de ir­ nido el drama que se anuncia en el teatro de La Gaité de Pa-&gt; ritación y efervescencia que tenia la situación política. D. José López Marc, lunes, miércoles y viernes de una á de ris, donde se estrenó el 12 de Noviembre ultimo; y en vista No seguiremos las fases de esa escuela tan exclusiva dos. los elogios que de él hacian los periódicos de aquella capi« como dañosa, que intentaba proscribir la comedia de Mo­ Pintura…</t>
  </si>
  <si>
    <t>Marce</t>
  </si>
  <si>
    <t>…que se han hecho de ellos difereutes impresiones. Deuda negociable de 5 por 100 á papel, 00. L ’E L IS S IR D ’A M O R E , Idem sin interés, 4 * á 60 d. f. ó vol. á prima de tres El Amigo del Pueblo: publicado é impreso por D. Marce­ dieziseisavos por 100 nuevas. lino Calero y Portocarrero. 1 8 5 8 : tres tomos en 4.0 de buen ópera jocosa, en dos actos, música del maestro Doniaetti. Acciones del banco español de S. Fernando, 0 0 . papel y bella impresión: á la rústica 56 rs ., en pasta 50. Esta obra, cuyos principales…</t>
  </si>
  <si>
    <t>Marcelo</t>
  </si>
  <si>
    <t>…o de Santa María, Otra id. en sierra de Gador, cerro G ordo, término de Al­ :uaderno del 4*° tomo, se les hará la rebaja de 2 rs. vn. en Galarza ; H abana, Mas y Soler. Cerrada la suscripción se au­ mería, La Casualidad , por D. Marcelo M aldonado, en 28. :ada uno de los cuadernos de que este conste 5 pero el que no mentará el precio de la obra. Otra id. en dicha sierra, collado de los Valientes, término lo verifique en el término indicado quedará sujeto á satisfacer de L aujar, La Disposición, por Fabian M edina, en id. 4…</t>
  </si>
  <si>
    <t>Marcial</t>
  </si>
  <si>
    <t>…an pronto como el in d i­ ile les Sres. L). Manuel José Q u in ta n a , D. Manuel Jo a q u ín Hallaremos, en primer lu g a r, que en las escuelas comunes viduo ha cesado en la enseñanza. Por lo común el maestro, al T arancon y D. Marcial A ntonio L ó p ez , se ha verificado se aprende á leer, escribir y cootir (no en todas) con alguna pe­ comenzar su profesión, se ha visto precisado á inventar, diga­ la solemne instalación de la escuela Normal. El Sr. Secre­ queña parte de la doctrina cristiana contenida en las pregun­ mos a…</t>
  </si>
  <si>
    <t>Marco, Joaquín</t>
  </si>
  <si>
    <t>Joaquín Marco</t>
  </si>
  <si>
    <t>…uda ante dicho Sr. juez é indicada escribanía, donde ta n , y popularizar su uso. Id. á la cárcel de Corte ............................ 5 se adm itirán siendo arregladas, en inteligencia que para su úl­ A propuesta del socio D. Joaquín Marco se acordó: Id. á diferentes cuerpos...................................... 22 timo remate está señalado el dia 12 del corriente de once á do­ •1.a Que se imprimiera textualmente eo el Diario m erca n ­ Id. al presidio correccional. ............................ 3 ce de su mañana en la c…</t>
  </si>
  <si>
    <t>…abintestato de Santa C ruz , 2 rs. mar, y á su ruego, Rafael Urries,Francisco Aivar, Manuel Ma- Doña María Josefa y Doña Josefa Blasa Santelices y Huyarra, Noticia histórica sobre los progresos que hizo en Espa­ gallón, por D. Joaquín Marco que no sabe escribir, y é su ruego, Rafael U rries, Manuel C autín, Eusebio Sebastian. hijas y herederas de D. José Angel de Santelices, para que en ña e-1 arte de navegar, 2 rs. Resumen de las observaciones de Mr. Fleurieu sobre el término de 15 dias contados desde la fecha del pre…</t>
  </si>
  <si>
    <t>Marcos</t>
  </si>
  <si>
    <t>…ademas se han presentado á indulto 57 rebeldes, contán- Ii Cada noticia que llega es nuncio de nuevos desastres. El 24 bernados, dando garantías seguras de orden y libertad. dose entre ellos al cura de Paradela ; á su sobriuo D. Marcos \ de línea perdió ayer cerca de la Chíffa 127 hom bres, que fue- 2.° Que el Gobierno cuenta con la inas eficaz y decidida L ópez, ayudante que fue del cabecilla Souto ; á D. M iguel; j ron degollados, entre ellos un.capitán , dos o tres tenientes y cooperación de todos los empleados públicos…</t>
  </si>
  <si>
    <t>…de b r io l, al mando del benemérito teniente co­ galidad de la operación, abriendo por sí ó señalando para que obras larga y detenidamente; entonces tenia la conciencia de ronel D. José Rafael Basabe; y en los presentados á D. Marcos se abriese el paquete ó paquetes que designaseu , á fin de com­ sus deberes y de la importancia de ellos. Sus primeros pasos López, y al titulado comandante de ia infantería correspon­ probar la exactitud de su conteuido coa la indicación del su­ fueron en consecuencia mas pausados , mas fir…</t>
  </si>
  <si>
    <t>…de la provin cia de A v ila p articipa agregado á la sección séptima. en comunicación de 9 del actual que el ca p itá n del 4*° b a ta ­ Se leyó una exposición del Sr. D. Antonio R am írez de A re - llón franco de C astilla D. Marcos O ria habia dado alcance en llan o , Diputado e’ecto por la pro vincia de C ó rd o b a, en que ACTAS DEL GOBIERNO. aquel d ia á la facción de M o ra le s, compuesta de 4 9 caballos, manifiesta que debiéndose someter un dia de estos su asunto á restos de la de C á lv e n te , ocasionándole l…</t>
  </si>
  <si>
    <t>…, y su buen des­ po, como M oliere, en el teatro latino ó griego, sino funde un Tan luego como el gefe político tuvo noticia del feliz resulta­ empeño por persona de la instrucción, del talento del Sr. G il, nuevo modelo en su D. Marcos G il de A lm odovar, do de esta disposición, lo comunicó al comandante general pa­ solas cualidades á que debe su bella reputación, su justísimo ra que dispusiese su conducción á esta ca p ita l; yen efecto en­ renombre. "que inventó ag u ar e l agua™ Otra de las cátedras roas interesantes…</t>
  </si>
  <si>
    <t>Marcóte, Antonio Fernandez</t>
  </si>
  <si>
    <t>Antonio Fernandez Marcóte</t>
  </si>
  <si>
    <t>…nda á S. M. la decisión y buen comportamiento de todos Es eopia.mClonard. los que le acompañaron, haciendo mención particular del sar­ canal de Needlcss, seguirá encendido el fanal deNeedless, á to­ gento de la partida franca D. Antonio Fernandez Marcóte, el do rumbo á que hasta ahora ha sido visible, después de con­ soldado de la misma Francisco Fernandez, y el Nacional de cluida la iostalacion del N U E V O F A N A L en que se trabaja N dm . 6.° Capitanía general de Andalucía. = ExceIentí- actualmente sobre la punta de…</t>
  </si>
  <si>
    <t>Mareé, Narciso Pont y Pablo</t>
  </si>
  <si>
    <t>Narciso Pont y Pablo Mareé</t>
  </si>
  <si>
    <t>…iosa pretensión nó puede justificarse de otra manera SBgoda . partido de Olot, provincia de Gerona , en 4* El precio actual de las cartas se percibe con arreglo á una que adoptando medidas generosas y que esten en armonía con D. Narciso Pont y Pablo Mareé, otra id. de plomo y pla­ tarifa en cuyo cálculo se ha combinado la distancia y el peso las necesidades de la época. (M emorial des P ir enees.) ta en el sitio de Mugatorta, término de San Lorenzo de la de las cartas. En el proyecto se propone una reducción propor­ M uga,…</t>
  </si>
  <si>
    <t>Maria</t>
  </si>
  <si>
    <t>…ia de ciónDígnese V. M . acoger esta sucinta , pero sincera felicita­ Corona en la apertura de las actuales Cortes. , que poseídos del mayor júbilo dirigimos á V. M. en tes­ Huesca á D. V alentín F e rra z , en reem plazo de D. Maria­ timonio de nuestro acendrado amor á vuestra excelsa Hija y n o R icafort; y por la de N avarra á D. Jo aq u ín Bayona, nuestra Reina Doña Isabel i e , á vuestra augusta persona y á la e n reem plazo de D. José Perez de Necochea, obispo elec­ libertad de la nación. Jaén 7 de Setiembre í859.=…</t>
  </si>
  <si>
    <t>Mariano</t>
  </si>
  <si>
    <t>…Peón Heredia , en reem plazo de D. Manuel María Aceve- térm in o de la em presa g ra n d io sa aco m etid a en nuestros d ias ra r á de su m em oria el d u lce nom bre de la R e in a , qu e vo lvió d o; y por la de Albacete a D. Mariano V alero y A rteta, por la h eroica n ació n española p re sid id a y g u ia d a por V . M . á este suelo el goce de sus a n tig u a s y veneran das leyes. en reem plazo de D. José María C alatrava. T endréislo en­ Y n o so tro s, in térp retes de sus sinceros votos , nos dejam os E l a y u…</t>
  </si>
  <si>
    <t>…en combatir , pro- El subteniente D. José G a n d u l, idem. gundo cabo interino de la capitanía géneral de los reinos dé mi adiando estos su retirada hacia Armillas, no detuvieron es­ Primer batallón, 4.0 ligero.=El teniente D. Mariano G ar­ Valencia y M urcia, &amp;c. &amp;c. lías fuerzas su marcha imponente é incapaz de describirla cum ­ cía , contuso. Hago saber: Que los desórdenes Cometidos en el dia de ayer plidamente. La serenidad y arrojo de los comandantes de los Provincial de Burgos. = El teniente D. Andrés Martínez, po…</t>
  </si>
  <si>
    <t>…ron estos gastos tes: D. José Varela; D . Joaquín Mendizabal; D . Juan Murcia; las nieve1 de Saraos, nle llamo Seba.stitza. Y yo Phroso. Y á 4 1 ^6 : los salarios dados á los pobres subieron hasta la suma f?. Valentín Pascual; D. Mariano V ilaro; D . Tomas María yo Su‘aragdi.___Y yo liíeuco ( i ) , dijeron una después de otra de 63 florines, y bs retribuciones concedidas á los niños de las V izm anos; D . Gregorio Ramírez; D . Ramón Araujo y D . D o­ sus compañeras. Pero t ú , ru é preguntó Sebastilza , ¿d e dó n­ escuelas á…</t>
  </si>
  <si>
    <t>…es es el mismo; y ¿por qué no ha de ser necesaric primer extracto de la de este dia á Doña Yictoria Gutiérrez, do cuanto en este punto ofrezca la capital. para la mas noble de todas el estudio que lo es para las demas' hija de D. Mariano, teniente de la Milicia nacional de Y a- Siempre que la importancia de una obra dramática que se A. L. (.El Tiempo .) lladolid. __________ ejecute en los teatros lo exija, se hablará de ella en un suple­ mento si la publicación del número no debe tener lugar el dia que se represente aquell…</t>
  </si>
  <si>
    <t>Mariano, D.</t>
  </si>
  <si>
    <t>D. Mariano</t>
  </si>
  <si>
    <t>…an precioso don. D onj Luisa Bohorques............................................................. Un ciiado de! marques de B élgida.................................. 50 20 Doña Jacoba Bohorques................. El Excmo. Sr. D. Mariano L iñan...................................... 20 2500 Aaragoza o de Octubre. Se espera en esta capital para Doña Encarnación Bohorques...................... D .P .O 20 ................................................................. 8 manaua á las dos de su tarde al Excmo. Sr. duque de…</t>
  </si>
  <si>
    <t>…, y todo el tiempo que mi ausencia de mi pais natal se considere necesaria para Barcelona 30 de Junio . el bien general, no cesaré de hacer votos ardientes por vuestra PARTE NO OFICIAL. prosperidad. (Debats.) La muerte del Sr. D. Mariano L a Gasca arraneará lágri­ mas á todos los naturalistas de Europa, porque de todos ellos era conocido y venerado su nombre. Los periódicos de todas las naciones la publicarán en breve, y los elogios que tributarán á Se lee ¿n el Globo i su memoria serán un testimonio del respeto que l…</t>
  </si>
  <si>
    <t>…vincia he tenido el honor Albacete: Sres. Rodriguez Vera y Alfaro. 1.° Que ea lugar de acordar el Congreso que se haga escruti­ e ser candidato y haber obtenido un número bastante consi- Igualmente fue admitido por Córdoba el Sr. D. Mariano nio de las actas de Pamplona, se haga solo de L umbie r, porque erable de votos; por consiguiente el Congreso ve que yo debo V ar ga s, segundo suplente por la misma provincia en reempla­ los otros no han cumplido con las formas: 2.° Que caso de a d ­ ;ner un Ínteres en que sus representa…</t>
  </si>
  <si>
    <t>Mariano, DE LA ISLA DE PUERTO-RICO D.</t>
  </si>
  <si>
    <t>DE LA ISLA DE PUERTO-RICO D. Mariano</t>
  </si>
  <si>
    <t>BALANZA GENERAL DE LA ISLA DE PUERTO-RICO D. Mariano de Rementería , á 20 rs. rúdica y 24 rs. en pasta. Preciosa muestra de letra bastarda española, tamaño del de 1838. cursivo de cartas, por el calígrafo D. José María de A usuatt- g u i, á un real. (Introducido á consumo ¿............................ .. 3.305,…</t>
  </si>
  <si>
    <t>Marin, Dionisio</t>
  </si>
  <si>
    <t>Dionisio Marin</t>
  </si>
  <si>
    <t>…ino, Mallorca, vacante por promoción de D. José Fernandez Mon— ximo el suspirado dia de la íntima unión, la sincera concor y cuál sea la parte que le cabe de las satisfacciones en que terrat, ha tenido á bien S. M. nombrar á D. Dionisio Marin dia para que no haya sino un solo voto, el de la paz y d rebosar debe todo pecho español al ver lucir para la Espa­ y R u i z , que está desempeñando el de A lla riz, de entrada en la la prosperidad general. ña , tras largos años de sangrienta lucha , la aurora de la paz provincia d…</t>
  </si>
  <si>
    <t>Marina</t>
  </si>
  <si>
    <t>…parecer incom­ José Ferraz. (Ndm. 1741.) Mr. Lallemand, conocido ya en toda Europa por un exce­ patibles. lente profesor de medicina, y que á una vasta instrucción 5.° Boleras á ocho. para que se encargue el actual Ministro de Marina , Co­ mercio y Gobernación de Ultramar D. José Primo de Rive­ reúne las cualidades de profundo observador, acaba de dar la 6.° LOS BUTIBAMBAS , sainete divertido. ra del ministerio de Hacienda por no permitir el estado de mayor prueba de su constante aplicación en favor de la h u ­ su salu…</t>
  </si>
  <si>
    <t>…fes de las principales casas de comercio de aquella esta fecha al capilan general de Galicia lo siguiente: He elsiones políticas que nos han circundado, ha sabido adquirirse ciudad han firmado la petición dirigida al Ministro de Marina renombre de tutelar de todos los españoles, lleoaudo de ad­ dado cuenta á la Reina Gobernadora de la exposición en miración á ios leales, y de confusión á los enemigos del orden. yvrede áNegocios extrangeros , y uno de ellos ba marchado al H a­ fin de entenderse con los comerciantes de dic…</t>
  </si>
  <si>
    <t>…contentaré cón úna da, continúan en esta corté siti üovfcdad en su importante simple declaración de principios con motivo de la linion de los dos Canadás: deseo todavía mas. Extenderé esta determinación Diputados El ministro de Marina ha presentado hoy én la Cámara de salud. á otros bilis cuyo principio fundamental no cóniradigo; pero narios concernientes un proyecto de ley relativo á los gastos extraordi­ yo quisiera que la segunda lectura fuese seguida de este efecto. á nuestros armamentos marítimos. Se Lord John Rus…</t>
  </si>
  <si>
    <t>…nueva dióces^de.pq^yaqpjd, .que^fí .Congreso d e- - toda vuestra patriótica consideración. aprovechándose de la facilidad que se le presentaba en Bogotá cretó en Í 3 de AbVil de iRp? r PP^hcmó elección del nuevo! E l Ministro de Marina os presentará un proyecto de ley or­ obispo, que el .¿jecutivo. copgtituciona-í g án ica sobre la m ateria, y algunas observaciones interesantes Jes y p o re j tenpr de la ley igualmente. esperi-A Jo tre el arreglo de los puertos, de los prácticos, de los faros y ( i ) Véanse las Gacetas d…</t>
  </si>
  <si>
    <t>…ritas en su celdilla del Luxetn- eite punto poco mas ó menos en el mismo sentido, y que la burgo después de la sentencia del tribunal de los Pares, é in ­ Emperatriz madre babia rogado al nu ed o que recomendase aí El Ministro de Marina acaba de recibir noticias oficiales terceptadas en el momento de irle á trasladar á Douvens, y ea duque de Burdeos á la corte de Roma. del gobernador de la isla de Borbon acerca de las desavenencias las cuales manifiesta que en cuanto esté libre y pueda manejar El conde de Latour Maubourg ha…</t>
  </si>
  <si>
    <t>…o, que solo tiene valor por un ano ya perseguido. guiente copia, que el comandante general de las fuerzas nava­ solamente, sea prorogado para lo sucesivo si son los resultados les de Cantabria trascribe al Excmo. Sr. Ministro de Marina. veutajosos para los derechos de aduana. A bordo de la Hermione en Pasages á 20 de Julio de 1859.— U n segundo despacho de Alejandría del 6 de Julio confir­ Sr. almirante: lie recibido la carta que Y. rae ha dirigido en ma esta misma derrota: el combate ha durado dos horas: todo 18 del cor…</t>
  </si>
  <si>
    <t>…l orden de 10 de Noviembre del mismo, solicita que NOTICIAS EXTRANGERAS. En este momento acabamos de saber que una carta recibida en el caso negativo cubran plaza por los cupos de los en nuestro puerto anuncia que el ministro de Marina ha dado pueblos á que pertenezcan aquellos que la tomen en di­ orden á nuestra escuadra de Levante para que venga á iuver- chas clases en el trascurso de una quinta á otra quinta. PRUSIA. nar en este puerto. Esta noticia , que nosotros anunciamos con Enterada de lo que aquella corporación…</t>
  </si>
  <si>
    <t>Maroto</t>
  </si>
  <si>
    <t>Gaceta de Madrid n.º 1756 · extraordinaria</t>
  </si>
  <si>
    <t>…osode unir­ se fraternalmente al ejército de mi mando para consolidar la paz tan deseada de todos. Repetidas aclamaciones de unas y otras tropas justificaron la pureza de los sentimientos; y dando yo un público abrazo al general Maroto como señal de reconciliación que debía unir á los que hasta hoy habían estado en guerra abier­ ta , dispuse formasen pabellones , á fin de que unos y otros se entregasen libre­ mente al placer y regocijo impreso en sus semblantes, y precursor de los ventu­ rosos dias que han de seguirse, alej…</t>
  </si>
  <si>
    <t>…e, la cual fue interceptada: por ella ap a­ asistiese á él un plenipotenciario de la R e i n a , y no otro ple­ de aquellos documentos, lo hice con objeto de enterarme de los rece que D. Cárlos está intrigando contra su general Maroto, nipotenciario que el de la Reina , porque habiendo reconocido motivos que habian influido en la conducta seguida por el m i­ en el cual aparenta tener confianza, y al que detesta en el fon­ los derechos de esta Soberana, oo podriao consentir que hubie­ n iste rio ; pero siento tener qué de…</t>
  </si>
  <si>
    <t>…que sa­ sale por el aparato epuratorio tan pura , tan sana como el agu&lt;» la pureza de los sentimientos ; y dando yo un público abrazo bia positivamente que los rusos se apoderarían dentro de poco de los manantiales. $1 general Maroto gomo señal de reconciliación que debia unir de Constantinopla. La comisión, de la M arina ha concluido el ensayo de este . á los que hasta hoy habían estado en guerra abierta, dispuse aparato sobre los buques de guerra. Esperamos que pronto pon­ formasen pabellones, á fin de que unos y otros…</t>
  </si>
  <si>
    <t>…E COMERCIO. naturaleza suele estar en pugna; por eso se exageran los Ya no se duda que la marcha de los batallones que cubrían defectos de ia aristocracia francesa del Faaboarg St. Ger- la línea de Andoain al cuartel general de Maroto tenia por ob­ BOLSA DE M ADRID. taain, para arrancar aplausos que de seguro otorga cierta jeto deponer las armas, ofreciendo sumisión al Gobierno legí­ parte del público, como que adula á sus principios y los timo, y que tan feliz reacción es debida á las masas, tanto mas Cotización del dia…</t>
  </si>
  <si>
    <t>…le en forma cina y cirugía. hordas rebeldes se les ha prohibido hablar de paz, y se les imbu­ ante el Sr. D. Francisco Amorós y López, juez de primera Esta^ obra, de buen carácter de letra y papel, cuya impre­ ye que el general Maroto se ha pasado con solo 25 hombres de instancia, y escribanía de número que despacha D. Claudio Sanz sión esta muy adelantada, constará de dos tomos en 8.° de mtJ los suyos. y carea; apercibidos que de no hacerlo les parará perjuicio y de 500 paginas cada uno, y se hallará venal á su debido ti…</t>
  </si>
  <si>
    <t>…art se reduce á que antes de decidir sobre la vali­ Es preciso también reconocer esto, y aun cuando se quiera dez ó nulidad, se pidan originales de los expedientes del acta atribuir algo á los individuos que obedecían al general Maroto, derecho público. Indefinible es el gobierno de las provincias Vascongadas: general. quiero que no nos alucinemos hasta el punto de ensalzar el mé­ veamos esta clase de gobierno, sus instituciones , las garantías El Sr. C * P A Z impugna el dictámen de la mayoría de la rito de unos para os…</t>
  </si>
  <si>
    <t>…es tan poca cosa, que lejos de ser un Bilbao 15 de Jumo . Se asegura que anoche llegó al cuar­ Los baños de la Piscina se han reedificado casi del todo; y freno para un crim inal, la perspectiva de las galeras es tel general de Maroto un oficial procedente de Esteila con no­ aprovechándose solo sus tapias exteriores, se ha fabricado todo mas bien un estimulo para cometer mayores delitos, pues­ ticias alai mantés de la situación crítica en que se veia aquella el interior; se han mejorado las dos pilas poniéndolas suelos t…</t>
  </si>
  <si>
    <t>…ndolos Granada 11 de Setiembre. La feliz é inesperada nueva de oirse; pero ej Sr. Madoz ha tenido la bondad de citar mi nom­ de un modo enérgico, y le ruego asimismo que continúe dis­ haberse unido al ejército de S. M. el general Maroto con las bre como uno. de los que pertenecen á la paciente asociación^ pensando su protección á esa asociación naciente, que esperóse fuerzas de su m ando, anunciada en la Gaceta extraordinaria de icreada coji el objeto de mejorar en cuanto sea dable el plan ó ha de generalizar , para que con…</t>
  </si>
  <si>
    <t>…nvenientes que presentan los tras­ Primera secretaría de Estado y del Despacho.—Se ha ente­ portes. Esto merece mucha meditación , y V. pensará sobre ello. rado el Rey nuestro Señor con el acostumbrado aprecio de las El general Maroto ha oficiado á S. M. manifestándole sus BOLETIN DE CO MERCIO. comunicaciones que hace Y . E. en su oficio núm. 1026. ( L o deseos de que exista la mayor armonía con todos los gefes que que sigue está en cifra). dirigen sus arm as, y suplicándole dispense su gracia al b rig a­ B O L SA D E M…</t>
  </si>
  <si>
    <t>…sicos ni de feiiz satisfacción. El honroso convenio hecho entre el valien­ románt icos ; no debió usar de ide.is v a g a r e s , ni a dopt ar el CORRESPONDENCIA DE LA GACETA. te caudillo de nuestras armas en el Norte y el general Maroto tono de la s á t i r a , que no sienta bien en el que va d ser j u z g a - que mandó las del principe rebelde, asegura la p i z , primera, d o ; ú l t i m a m e n t e , n on o s parecen tan uial las razones e x p u e s ­ G erona 11 do Setiem bre. Las plausibles noticias recibidas única necesi…</t>
  </si>
  <si>
    <t>Maroto, Cárlos. Entonces</t>
  </si>
  <si>
    <t>Cárlos. Entonces Maroto</t>
  </si>
  <si>
    <t>…rmino á la guerra de é l , á quienes consideraba como rivale s; por esto fue declarado otros pasos, y que si las tres Potencias del Norte se hubiesen E spañ a; pero ni ha podido efectuarse esto, ni aun tan solo un traidor por D. Cárlos. Entonces Maroto (probablemente para convenido, los españoles hubieran tenido que ceder. cange completo de prisioneros. Parécerae ademas que resulta de demostrar que no lo era) marchó con su ejército contra su R e y , Permítaseme aqui hacer una observación, y es, que en esto la corresponden…</t>
  </si>
  <si>
    <t>Maroto, Rafael</t>
  </si>
  <si>
    <t>Rafael Maroto</t>
  </si>
  <si>
    <t>…jércitos reunidos.=Secretaría de c a m p a ñ a s Excmo. Sr.: Paso á manes de V . E. copia del convenio que en virtud de las f a ­ cultades con que me h 3 revestido el Gobierno de S. M.. , he celebrado con el te­ niente general D. Rafael Maroto , gefe superior que fue de las fuerzas enemigas. E n su consecuencia han concurrido hoy á esta villa cinco batallones y dos es­ cuadrones de la división castellana: tres batallones y cuatro compsñías con un escuadrón de la división gu ipuzcoaoa : ocho batallones de la división vizcaín…</t>
  </si>
  <si>
    <t>N.º 1763. MARTES 10 DE SETIEMBRE DE 1839. d iez cuartos. de 51 de Agosto último, estipulado entre los Excmos. Sres. ca­ niente general D. Rafael Maroto , gefe superior de las tropas PARTE OFICIAL. pitán general duque de la Victoria y teniente general D. R a ­ que hasta ahora han sido enemigas , en virtud de la compe­ fael Maroto. tente autorización ; añadiendo que como uno de los artículos Tenia ya dispuesto de antemano revistarlos…</t>
  </si>
  <si>
    <t>…greso tem­ y se ha adherido al convenio del Excmo. Sr. duque de la V ic­ no con cuanta generosidad quepa eo el círculo de sus facul­ poralmente á mi patria , he tenido ocasión de ver los extractos toria con el teniente general D. Rafael Maroto. tades. publicados en la Gaceta sobre mi viaje á Holanda y Bélgica, Son tan vehementes los deseos de la p a z , que casi la pobla­ Asi que, no solo ratificará , si es necesario, los empleos y eo los cuales tanto ha favorecido V. á su autor, y con particu­ ción entera se hallaba esper…</t>
  </si>
  <si>
    <t>…ia podrían ser nombrados Diputados entre el capitán general D. Baldomero Espartero y el teniente El Sr. P R E S ID E N T E : Se va á leer el art. 17 del regla­ por e lla ; estas fueron las p a la b ra s del Sr. Sancho. general D. Rafael Maroto. mento. (Se leyó.) Se procede al sorteo de las elecciones. Me p a ­ Los señores de las Cortes constituyentes atacaron á la comi­ A petición del Sr. lleros se acordó que se dijera que el Se­ rece que es el mejor método que conforme v ay an saliendo se sión porque querían que se hiciese…</t>
  </si>
  <si>
    <t>alo celebrsdo entre el ilustre caudillo duque de la Victoria y M r. E n fan tio , antiguo gefe de la religión saosímoniana, aprobado el acta, Sr. Sa?&gt;eho; permítame V. S.... Van í entrar el general D. Rafael Maroto , y las negociaciones habidas para acaba de ser incorporado á la comisión científica que va á es­ á jurar dos Sres. Diputados. tan feliz desenlace llenan de gloria , al primero por la delica­ plorar el Argel bajo la dirección de Mr. Bory de S a in t-Y in - Entraron á jurar y tomaron a…</t>
  </si>
  <si>
    <t>…do entre Por los periódicos americanos se han recibido noticias des­ Pa r t e o f i c i a l . nuestro invicto salvador duque de la Victoria y el teniente ge­ agradables de la Florida: los indios han sorprendido algunas neral D. Rafael Maroto. tropas americanas. Entre los de Tejas y los indios ha habida Consolidada la tan deseada paz, verá V. M. engrandecerse una acción en que los primeros han obtenido ventajas. S. M. la R e i n a , s u augusta Madre la R e i n a G o b e r n a ­ esta desgraciada, pero heroica nación, que…</t>
  </si>
  <si>
    <t>…emps.) de la preciosa vida de V . M . y augusta H ija los muchos años mente, como hizo alli el invicto capitán general duque de la que puede y la nación ha menester para colmo de su fe lici­ Victoria con el teniente ge neral D. Rafael Maroto.” Cesaron dad. Rujalance en la provincia de Córdoba á 19 de O ctub re por fin nuestras calamidades y desgracias, y solo se nos p r e ­ E l m arques de L a n d s d o w n e , presidente del Consejo p r i v a ­ de 1 8 3 q.— S e ñ o r a . = A L. R. P. de V . M . = A n d r e s de la P e…</t>
  </si>
  <si>
    <t>…lidad á la diputación de Toledo. Opinaba la comisión de Agosto último entre el duque de la Victoria y el teniente las palabras arriba citadas proferidas por el Sr. Zorrilla. Nada que pasase esta instancia ál Gobierno. general D. Rafael Maroto. diremos de )a inconveniencia de arengar al público, ni de ex­ Observado por el Sr. Madoz que se debia decir en el dictá- Art. 2.° Se confirman los fueros de las provincias Vascon­ plicar en parte la intención del autor al escribir su obra , cosa ipeo á qué ministerio habia de pasar…</t>
  </si>
  <si>
    <t>Marques, Francisco</t>
  </si>
  <si>
    <t>Francisco Marques</t>
  </si>
  <si>
    <t>…R el Diario de avisos y Gaceta del Gobierno de esta capi­ tulada Otra id ., cabezo Jaroso , término Cuecas, Purísin&amp;a Con­ tal de 8 y 9 de Setiembre de 1838 se llamó á los acree­ DOS PADRES P A R A U N A H IJA . cepción , por D. Francisco Marques, en 22. dores alimentistas al concurso de la difunta Sra. marquesa de Otra id ., cabezo Pinalbo, término Cuevas, Aparición de Casa Tabares y de Pesadilla para percibir sus respectivos ha­ A continuación bailarán un Pas-de-deux , obligado de a r ­ S. M iguel, por D. Francisco Soto…</t>
  </si>
  <si>
    <t>Marrón, José</t>
  </si>
  <si>
    <t>José Marrón</t>
  </si>
  <si>
    <t>…is empleadas, 12,400. Quedan para el sitio 12 600* Ciudad-Real.irEl reemplazo del Sr. marques de Santa Cruz. ofrezca en el dia la facilidad que exige el rápido trasporte de las Total 250. Córdoba. = Marques de Guadalcázar, y D. José Marrón. arm as, materiales y efectos necesarios para el sitio: pero no es Núm* 2.° Estado de los víveres que se consideran necesa­ Coruña. = D. Antonio Q u iro g a , y D. Rafael Caamaño difícil el hacerlas practicables, empleando para ello los habitan­ rios para las tropas que hayan de formar…</t>
  </si>
  <si>
    <t>Marsella, Felioe Losa</t>
  </si>
  <si>
    <t>Felioe Losa Marsella</t>
  </si>
  <si>
    <t>…y coristas, con Matas: Zaragoza, Yagúe. Redactado por los principales médicos cirujanos y farma­ decoración y trajes. En el extranjero. P a r í s , R enard, calle de Santa Ana: céuticos franceses, y traducido al español por D. Felioe Losa Marsella, Cam oio: L e ó n , M id a n : Burdeos, Lavalle: Perpi- ^ 0^ 0. ° ^ profesor de medicina y cirugía de esta corte: to- n a n , Laserre: Londres, D ulau y compañía: Génova, Gravier. Nota. Los Sres. abonados se servirán pasar á recoger á la contaduría del teatro las tarjetas de lo…</t>
  </si>
  <si>
    <t>Marsella, José de la Luz. El Por</t>
  </si>
  <si>
    <t>José de la Luz. El Por Marsella</t>
  </si>
  <si>
    <t>…la juventud habanera. raron aquellos, nuestro digno Sr. director de la Real sociedad A D. N / . . . . . . . . . . . . . . N. Con efecto, señores, los inspectores de este útil estableci­ patriótica y presidente de esta sección D. José de la Luz. El Por Marsella............... miento , el cual en nada cede á los mas acreditados de la H a­ mismo señor puede certificar la propiedad y perfección que de­ Istmo de Suez.. . . . . Manila . bana , tuvieron la complacencia con el crecido número de per­ mostraron tener los c&amp;ico alum…</t>
  </si>
  <si>
    <t>Martel, Vicente</t>
  </si>
  <si>
    <t>Vicente Martel</t>
  </si>
  <si>
    <t>…que no se Villayicencio , D. José Cortes y Sánchez, D. Felipe Ochaita y vor de su hijo mayor. Hauterive fue enviado á aquel pais dro? ¿Seendejara ninguna hostilidad. ¿Qué responderá Alejan­ compañía, D. José Rivera y Andrade, D. Vicente Martel, arrastrar por un movimiento de cólera? D. Lorenzo Garrigos y Suárez y D. Manuel María de la Orden, para recoger los arenivos políticos y hacerlos trasportar á ¿Pronunciara él también alguna alocución? No : responde endosantes de la lámina de deuda sin Ínteres núm. 28,785 , de Paris.…</t>
  </si>
  <si>
    <t>MARTES, EL</t>
  </si>
  <si>
    <t>EL MARTES</t>
  </si>
  <si>
    <t>Núm. 1756..... ( 2 cuartos.) GACETA EXTRAORDINARIA DE MADRID D EL MARTES 3 DE SETIEMBRE DE 1839. ARTICULO DE OFICIO. P a r te recibido en la S ec retaría de E sta d o y del Despacho de la G u erra. Comandancia general de los ejércitos reunidos.=Secretaría de c a m p a ñ a s Excmo. Sr.: Paso á manes de V . E. copia del convenio que en virtud de las f a ­ cult…</t>
  </si>
  <si>
    <t>MARTI</t>
  </si>
  <si>
    <t>…por los intereses materiales, y por todo aquello teres, sino para la intervención que señalan los reglamento*. y que los contribuyenos fuesen elegidos por suerte. que toca al buen gobierno económico y adm inistrativo del El Sr. M A R T IN dijo que ya el Sr. Ruiz del Arbol había El Sr. C A M A L E N O : Señores , de muchos y distintos mo­ pueblo. manifestado las observaciones que creia hacer, por parecerle dos ha sido impugnado este artículo, pues veo con sorpresa que El Sr. V A L D E S : Dice el artículo que se discute (le…</t>
  </si>
  <si>
    <t>…no podia aprobar el artículo en los términos que la MADRID 1.° DE FEBRERO. calle del Prado, casa café, núin. 22 , á las once de la noche. comisión lo presentaba. Eu este local no se encuentra .nivelada su decencia con el El Sr. M A R T IN E Z D E L A R O SA : Estando ya casi ago­ módico precio de la entrada , atendiendo á las actuales circuns­ tada la cuestión, por mucha que sea su importancia, solo me Algunos Sres. D iputados, llevados del laudable deseo tancias, por lo que no dudamos será en el corto espacio de tem­ li…</t>
  </si>
  <si>
    <t>…Billetes. Series. Numeración. Precios. Cantidad, billetes. Rs. vn. vincia se cita y emplaza á cualquiera persona que sepa del pa­ siempre con acuerdo del Gobierno. radero de una lámina de deuda sin ínteres del Estado, nú­ El Sr. M A R T IN E Z D E L A R O S A : La manera con que 100 1.a 72639 ¿72738 50 5000 y mero 105,419, de 200© rs. vn., su fecha Madrid 1.° de No­ acaba de defender el artículo un individuo de la comisión; el 100 2.a 23591 ¿25690 200 20000 &gt;210 30000 viembre de 1834 j que los Sres. Serra, hermanos , del…</t>
  </si>
  <si>
    <t>…, secretario. admiten s i, pasando 20 dias después de su nom bram iento, no de los estados excepcionales. Y decim os qu e atacarla de hubiesen renunciado.” este m od o es n o querer iey ninguna , p orqu e si la a u tori­ El Sr. M A R T IN im pugnó el dictamen creyendo que el término que se señalaba era demasiado largo, y con el cual po­ El Sr. IÑ IG O manifestó que en el artículo no se hablaba dad c iv il lia de tomar la iniciativa en estas d eclaracion es, dría resultar que un D iputado pudiese continuar algún tiempo de o…</t>
  </si>
  <si>
    <t>…finalmen­ te, otro que señala al Gobierno la facultad de quitar y poner cen varias aclaraciones. procedimiento de pesquisa , y cree que ahora ha empezado nue­ los funcionarios. Pregunto y o , ¿los ayuntamientos no han de El Sr. M A R T IN apoya el voto particular, fundándose en va causa. Que encuentra una novedad en el tiempo trascurri­ tener mas que atribuciones de hombres del pueblo? ¿Los ay u n ­ que no habiendo recaído auto de prisión contra el Sr. Ramírez d o , pues ya en él ha debido solventarse el negocio; y por úl­…</t>
  </si>
  <si>
    <t>Marti</t>
  </si>
  <si>
    <t>…gosas atribuciones mas , y alguna 'dependeiioa menos de ¡la de ell Monarca 'hasta el alcalde, es preciso que se conserve y que © siete dias á la semana á este punto , y piregaalo yo : ¿ El geie qme a,n-t.es tuvieron, panes ei Sr. Marti a »o- me podrá negar que no se rompa. paítate y sns subalternas podrían insJtnuirse de sms acuerdos, líos ay untamieii'tos leeni,ao a a tes que venir al consejo de Casti­ Qoe respecto i lo que se. ha dicho de cfo© un alcalde no podrían ewuninarte y podrían resolverte ^ N o es posiíbie. Ar­…</t>
  </si>
  <si>
    <t>MARTIN</t>
  </si>
  <si>
    <t>…ción nes, ni ha alterado en lo mas mínimo la ley en que se dice que acordó pasase á las secciones. extraordinaria fue aumentada con otra suma corno importe de ei medio diezmo se abone á todos los que lo han pagado inm e­ El Sr. M A R T I N pidió la palabra y manifestó que tenia la anticipación á buena cuenta , y de lo que se presuponía re­ diatam ente? Señores , de ninguna manera, ni tampoco se ha ue cumplir con el encargo de su digno compañero el Sr. Don caudado por el diezmo. Ahora b ie n , según se v e , unos 100 3 óaq…</t>
  </si>
  <si>
    <t>Martin</t>
  </si>
  <si>
    <t>…en 27. Su interesante argumento es ya bien conocido;.^! publico, los síndicos D. Toribio M edrano,que vive calle del Duque de Otra id ., sierra Almagrera , barranco Jaroso , término Cue­ Alba , número 1, cuarto segundo, ó á D. Martin A tienza, calle y :la empresa no ha perdonado gasto para .presentarla; coa ; el vas, la Diosa, por D. Antonio M arques, en 27. de Preciados , número 7 0 , cuarto segundo; en inteligencia que aparato correspondiente. , c D em arcaciones . pasados sin hacerlo, quedan refundidos en la masa comú…</t>
  </si>
  <si>
    <t>…se el dictamen relativo al Se­ hubo este voto particular, que se presentó y se dió cuenta , y el. saber quo cuando nos ponemos en pública subasta para’hacér oh ñor Lasagra , en el cual se decia que se suspeodiese la decisión Sr. Martin hizo ver que no se habia leido el voto al' leerse el empréstito, nuestros enemigos tienen en su mano sus llaves del caso de reelección hasta tanto que se supiese si habia ó no dictámen de la m ayoría; y por último que está impreso en la de medios para destruir cualquier proyecto, y esta es u…</t>
  </si>
  <si>
    <t>…ajo b ab­ crita en 1.a ley fuadaimentai; pero qne no es realizable,. En esto servaciones juiciosas * y .se ha apoyado ea la práctica que to­ soluta dependencia de los ge-fes políticos 1 IVo por1cierto , y buen 4 a padecido el Sr. Martin una equivocación notable, pues que camos todos t e días,, Ela las pequeñas pdhlactees podre pasar ejemplo tenemos de etio e» los arcuales. este principio; pero no puede per la práctica en puebles de t e aycrntam.ien.tos can este proyecto -de ley será.» tedls lio que Las ayuntamientos acl.ea…</t>
  </si>
  <si>
    <t>Martinez</t>
  </si>
  <si>
    <t>…ose de Que el dia 28 pasaron el Miño por el vado de Santa A n ­ sir Abercromby, y conocen la extensión de su deber. Solamente, varios de los puntos fortificados q ue tenian en la línea del drea las facciones reunidas del canónigo Martinez, Souto y el añade el orador, protestaré con fuerza contra la doctrina pro­ A r g a , com o R eina R egente y G o b ern ad o ra , á n o m b re y Ebanista, las cuales trataron de atraer á una emboscada y en­ fesada en este recinto por sir Roberto Peel , que haciendo alusión d u ra n te la m e…</t>
  </si>
  <si>
    <t>MARTINI</t>
  </si>
  <si>
    <t>…a ld e a s, se v e r ­ der concediesen gracias por via de íestamentificacion. bir gracias del Gobierno , que vienen á hacer aqui un comer­ saron en tre los m a g istr a d os y a u d i t o r e s , y en tonces se hi z o un a El Sr. M A R T I N Ií /j DE L A RO SA (con ca lor): Puesto cio de ellas , y que de todo se acuerdan menos de defender los d e c la r a c ió n de categorías para saber q u e te n ía n el m i s m o tra­ que el Sr. M uñoz Maldonado ha dicho que todos los Ministros derechos é intereses de la nación. ¿ Y es jus…</t>
  </si>
  <si>
    <t>Martí</t>
  </si>
  <si>
    <t>…a, y el enconoso rencor que abri­ 10,175.... 500 . Murcia. déla Imprenta Nacional. gaban unos contra otros Zegries y Abencerrajes, asunto que 1 ,9 1 2 .... 400. . . . . . . Cádiz. si bien gastado, nuevo parece en la pluma del Sr. Martí­ 11,147.. • 400. ............ Algeciras. Anales de Historia natural, redactados de orden superior nez de la Rosa : la aparición del mozo Venegas también 6 ,8 4 1 .... 400 .............. Madrid. por los Sres. D. Christiano Herrgen, D. Luis Proust, D. Do­ excita vivamente la atención, y presagia…</t>
  </si>
  <si>
    <t>…dk b mutis*®» sobre el proyecto ¿e tey presente coa t e iwtere^s cíe t e pueblos. nifestaado que en su concepto no debía detenerse el Congreso roblív® i bs Atr¿b»cm»es &amp; .1» apiñam ientos, Se procede i, Él Sr. CAM ALEÑO : JE! Sr. Martí« ha dicho en sfl dis­ en aprobar el dicta meo. curso que »o primeáis conformarse coa el proyecto de ley q**e 86 .El! Sr., Ya-ldés hizo varias aclaraciones# la «fósc&amp;s&amp;MBi generuL e Sr. i t ' i z B E L ARBOL i Señares ■„ he pedido A p a la ­ discute porque no está coaforme coa t e intereses…</t>
  </si>
  <si>
    <t>Martí, Carmelo</t>
  </si>
  <si>
    <t>Carmelo Martí</t>
  </si>
  <si>
    <t>…sario tes que de acundo y con doloso designio emplearon para de Cuba para su conocimiento, y que conste á las oficinas gefes pueden militares. valerse de la fuerza, pidiendo auxilio a los perder d Morote el capitán ayudante D. Carmelo Martí­ del ramo, á las que se circulará para satisfacción del in­ De Real orden, comunicada por el expresado señor nez; el de igual ciase D. Manuel Bolívar, secretario de teresado, á quien se perm itirá, si asi lo pidiere, insertar Ministro, lo traslado á Y. S. para su inteligencia y electo…</t>
  </si>
  <si>
    <t>Martínez</t>
  </si>
  <si>
    <t>…ritor del Tiempo . las niñas de la clase, que está compuesta de cuatro. No solo res­ Gobierno político de la provincia de Sevilla.r:Sección 2.a— pondieron de memoria , sino que principalmente la Señorita A r­ Restituidas El Sr. Martínez dé la Rosa , en un escrito de que dímoé con el estado normal de la provincia todas las a u ­ cuenta en nuestro número del viernes 22 de Marzo, dijo qué tigas , contestaron satisfactoriamente á varias cuestiones que les toridades civiles propusieron uno de los individuos de la comisión y…</t>
  </si>
  <si>
    <t>…cuando el Sr.-M artin dijo que lo : bierno para un empréstito de 500 millones? Y aqui debo ma­ El Sr. PARDO MONTENEGRO pidió se leyese el dicta­ haria , no lo ha verificado. nifestar que no estoy conforme con lo que dijo el Sr. Martínez men de la comisión, y el Sr. Muñoz Maldonado el decreto El Sr. PARDO MONTENEGRO pide que se lea el dicta­ de la Rosa, sobre que los empréstitos no se verificaban á las de 6 de Setiembre. men para que se vea la firma del Sr. M artin, por la cual se circunstancias políticas y militares no l…</t>
  </si>
  <si>
    <t>…dos pedreritos de á tres. El mismo dia salió la fuerza dispuse que el Sr. coronel D . Francisco García Conde quedase arregla definitivamente las diferencias que existían y a , por des­ que aqui se hallaba al mando del ex-general Martínez, co m ­ en el punto en que me hallaba con la infantería del Sjltilío , g ra c ia , entre las dos naciones al concluirse las conferencias de puesta de 80 hombres de caballería y 6 0 paisanos cogidos de á cargo de su coronel D* José María G o rib a r, y una pieza , y Ja la p a . Ambas transac…</t>
  </si>
  <si>
    <t>…se notan un so­ sultado muertos en el campo cuatro facciosos, uno de los cua­ berbio león, un zorro azul y una grulla coronada. les es D. José Otero, graduado de teniente, según cédula que se le encontró expedida por el canónigo Martínez ; y otro de­ Se lee en el Diario de la Instrucción pública : nominado M arino, estudiante y oficial también, pertenecientes La cuestión de la retribución de la universidad ha sido lar­ ambos á la facción del Souto de Remesar. ga y sériaménte examinada en el seno de la comisión de presu­ ban…</t>
  </si>
  <si>
    <t>Martínez, Andrés</t>
  </si>
  <si>
    <t>Andrés Martínez</t>
  </si>
  <si>
    <t>…rzas su marcha imponente é incapaz de describirla cum ­ cía , contuso. Hago saber: Que los desórdenes Cometidos en el dia de ayer plidamente. La serenidad y arrojo de los comandantes de los Provincial de Burgos. = El teniente D. Andrés Martínez, por hombres enemigos del sosiego público , y otros avezados á batallones de la Reina D. Pedro Mocret y D. Piarnon Infantes, herido. crímenes y horrores, han puesto en grave Compromiso la tran­ asi como la del capitán gefe accidental del provincial de Sa­ El subteniente D. Alberto…</t>
  </si>
  <si>
    <t>…l j dicha partida manifestado de antemano su intención al citado algunos refugiándose en. las montañas con su familia. Instruido el pro- se creyó obligada años un obispo para la diócesis de Rio-Janeiro, I comandante de Liria D. Andrés Martínez C ano, pidiéndole ceso.de los culpables, desde luego se descubre que nuestro B ra- elegido. A pesar dela losSanta Sede á negar su sufragio al nuevo ¡ mandase alguna fuerza para acompañarle con los suyos desde esfuerzos de personas muy recomenda- I O locau, donde se hallaban, hasta…</t>
  </si>
  <si>
    <t>Martínez, Andrés Brabo</t>
  </si>
  <si>
    <t>Andrés Brabo Martínez</t>
  </si>
  <si>
    <t>…erra de Gador, Caparros, término de Dalias, Gobierno y de las direcciones generales. El Dichoso, por Francisco García, en 4* Otra id. , sierra Almagrera, barranco Jaroso, término de BOLSA DE M A D RID . Cuevas, S. José, por D. Andrés Brabo Martínez, en 4» Otra id ., id ., id., Santísima Trinidad, por D. Antonio Cotización d e l día 11 á las tr e s d e la ta rd e. Catálogo d é las m ejo res estam pas que s o hallan d e ven ta en Marques , en 4» la ca lco g r a fía d e la Im prenta nacional . 1 EFECTOS P U BLICO S. Otra…</t>
  </si>
  <si>
    <t>Martínez, Antonio</t>
  </si>
  <si>
    <t>Antonio Martínez</t>
  </si>
  <si>
    <t>…vas noches de Una mina de alcohol, sita en el cabezo de Carrascoy, dipu­ También se venden estas posesiones á justa y equitativa re­ Pascua , dia de Inocentes , año nuevo y dia de los Santos Reyes. tación de este nombre, por D. Antonio Martínez. gulación. Se hallará á real en la librería de Cuesta , frente á S. Feli­ pe el R eal: puede ir en carta. La dirección general de Correos, en cumplimiento de lo U N profesor de francés, natural de P a ris , enseña á leer, es­ mandado por S. M. la Reina Gobernadora en 26 del corrie…</t>
  </si>
  <si>
    <t>…estuvo á punto de trastornar blicidad á este artículo, con el doble objeto de felicitar á su Segarra fue proclamado general en gefe en medio de las acla­ el Gobierno, y que solo fue vencida después de una tenas lucha. inventor D. Antonio Martínez P erez, é in v ita r á nuestros co­ maciones unánimes de la tropa carlista y de los gritos de m uer­ P ero, como Busk observa, nada es mas perjudicial que buscar legas cosecheros de vinos á que sigan nuestro ejemplo en la te al tirano. los modelos en la historia , y rara ves ss veri…</t>
  </si>
  <si>
    <t>Martínez, Diego</t>
  </si>
  <si>
    <t>Diego Martínez</t>
  </si>
  <si>
    <t>…iendo á las | yor entusiasmo , en tres trozos: el de ía izquierda ai mando de i ahora considerar que no se encierra alli un atentado contra el reiteradas y formales peticioues de aquel vecindario kha expedí- S valiente sargento Diego Martínez: el de ía derecha al del i n t r é ­ derecho in te rn a cio n al; el buque había perdido su naturaleza do el siguiente decreto. j pido teniente D. Fernando Salió as , ocupando yo ei centro co n desde que se hizo corsario de San tac ru z; él tomó la bandera de El gefe interino did Esta…</t>
  </si>
  <si>
    <t>Martínez, Francisco</t>
  </si>
  <si>
    <t>Francisco Martínez</t>
  </si>
  <si>
    <t>…dos y tropa dé su mando por la ventaja obtenida en 712,138 fr. 24 cent Se pregunta cuántos años y meses estaría poca fuerza que de una y otra parte pedia recogerse, dispuso ésté encuentro. impuesta esta suma. que el téniente D. Francisco Martínez con la partida de su Solución 4anos y 8 mésés. &gt; mando y él alférez de caballería D. Félix La'¿aro con 10 cáb&amp;¿ El general segundo cabo de Cataluña en cohüunicacion de 20 t)ebe celebrarse por Vito una sesión pública 'el sábado 20 de líos de los dé lá sección fija * se adelantase…</t>
  </si>
  <si>
    <t>Martínez, Juan José García</t>
  </si>
  <si>
    <t>Juan José García Martínez</t>
  </si>
  <si>
    <t>…Los cesantes que fueren encausados disfrutarán, malidades que la misma previene, tocó á los sugetos siguientes: á los empleados procesados el Real decreto de 3 de Abril mientras esten en esta situación, la mitad del haber que D. Juan José García Martínez, D. Eugenio Batanero, D. A n­ de 1828, determinando ai mismo tiempo el que haya de gocen por clasificación , y tendrán derecho al abono de la tonio Fuentetaja , D. Manuel Mosquera, D. Ramón Naranjo, satisfacerse á los cesantes y jubilados que esten encausa­ otra mitad si f…</t>
  </si>
  <si>
    <t>Martínez, Leandro</t>
  </si>
  <si>
    <t>Leandro Martínez</t>
  </si>
  <si>
    <t>…monarquía española Reina de las Españas, lo es, en 43644 rs« vn. á deducir cargas, cuyas tres casas son recibir una sanción solemne. La Corona, defendida por ellos y en su nombre Doña María Cristina de Borbon, Reina propias de D. Leandro Martínez, y se venden para hacer pago hasta el fin, escuchaba de parte de las Cámaras un lenguaje Regente y Gobernadora del reino, á todos los que las pre­ á sus acreedores. Lo que se anuncia para que quien quisiere leal y digno. Esperaban que sucesores mas felices, continuando sentes vieren…</t>
  </si>
  <si>
    <t>Martínez, Liria D. Andrés</t>
  </si>
  <si>
    <t>Liria D. Andrés Martínez</t>
  </si>
  <si>
    <t>…del Brasil j dicha partida manifestado de antemano su intención al citado algunos refugiándose en. las montañas con su familia. Instruido el pro- se creyó obligada años un obispo para la diócesis de Rio-Janeiro, I comandante de Liria D. Andrés Martínez C ano, pidiéndole ceso.de los culpables, desde luego se descubre que nuestro B ra- elegido. A pesar dela losSanta Sede á negar su sufragio al nuevo ¡ mandase alguna fuerza para acompañarle con los suyos desde esfuerzos de personas muy recomenda- I O locau, donde se hallaba…</t>
  </si>
  <si>
    <t>Martínez, Manuel Ordozgoiti y D. Gelasio</t>
  </si>
  <si>
    <t>Manuel Ordozgoiti y D. Gelasio Martínez</t>
  </si>
  <si>
    <t>…pues evidente, y lo ha to de las órdenes que le habia yo comunicado , salía el dia si­ sido sobre todo cuando se ha visto á Mr. Guizot después de guiente acompañado del ayudante D. José María Aguirre y cada de los celadores D. Manuel Ordozgoiti y D. Gelasio Martínez recibirunoninguna de sus discursos, volver tristemente á su asiento sin MADRID 4 DE MAYO. de Velasco, á practicar sobre el terreno las operaciones necesa­ los centros tienendecostumbre las pruebas de respetuosa simpatía con que de obsequiar á los que están…</t>
  </si>
  <si>
    <t>Martínez, Mariano</t>
  </si>
  <si>
    <t>Mariano Martínez</t>
  </si>
  <si>
    <t>…ogiendo V D EL DESPACHO DE LA GOBERNACION DE LA PEN IN SU LA . Con fecha de ayer he prevenido al ayudante honorario de algunas armas, víveres y otros efectos. Dirección general de cam inos, canales y puertos.:=Exce- caminos D. Mariano Martínez, encargado de la conservación lentísirno Sr.: Paso á rnauos de Y. E. el parte semanal que del trozo de la carretera de Extremadura comprendido entre la sigue: Camino de Falencia á Santander. venta de la Guia y Badajoz, que sin demora alguna pase á practicar el reconocimiento del…</t>
  </si>
  <si>
    <t>Martínez, Vicente</t>
  </si>
  <si>
    <t>Vicente Martínez</t>
  </si>
  <si>
    <t>…los pies desnudos. Empieza la calma á res- Comandante D, Antonio Hernández , con fu sil, canana y tablecerse, y en breve el resultado del proceso borrará hasta el Burdeos 29 de Mayo . sable. recuerdo de estos temores. Sargento Vicente Martínez, con fusil y canana» También se habla mucho de un acontecimiento de un gé­ Por un despacho telegráfico recibido ayer se sabe que la ley Cabos José Castellano, coo id. id. nero diferente. La hermosa Aiecha, esclava de Ahrned , que se de fondos secretos ha sido aprobada sin enmienda…</t>
  </si>
  <si>
    <t>Martínez, Yicente</t>
  </si>
  <si>
    <t>Yicente Martínez</t>
  </si>
  <si>
    <t>…reglo á Reales órdenes é instrucciones. con las formalidades que la misma previene, tocó á los suge- gniente: CARGO. Reales vellón» tos siguientes: »He dado cuenta á S. M. la Reina Gobernadora del D. Teodoro García Pinillos, D. Yicente Martínez, D. An­ expediente promovido en virtud de la duda suscitada por Existencia que resultó en fin de Diciembre úl­ timo.............................. tonio 10887747..12 Baltasar Elola, D. Justo Hernández, D. Domingo del Rio, Don el intendente de Rarcelona sobre si los comerciantes t…</t>
  </si>
  <si>
    <t>Martínez-Unda, Andrés María</t>
  </si>
  <si>
    <t>Andrés María Martínez-Unda</t>
  </si>
  <si>
    <t>…o, se ha servido acceder una conflagración genéral. Cuenca a D. Santiago María Melgarejo, en reemplazo de a la expresada solicitud; pero con la circunstancia de que En el consejo de Estado se ha agitado una importante cues­ D. Andrés María Martínez-Unda» y por la de Canarias al las piezas, a las cuales se hace extensiva la citada Real tión. 8e trata de los atrasos de una renta inscrita en el nombre marques del Bnen Suceso y á D. Antonio de Larrocha y. orden , son aquellas que no se construyen en las fabricas de Bona part…</t>
  </si>
  <si>
    <t>María</t>
  </si>
  <si>
    <t>…que Don Pedro habia dado desde el Brasil fue procla­ magnificencia y pobreza según la prosperidad del comercio. El rimero sujetó á las leyes á la nobleza, que en el largo y débil mada de nuevo, las Cortes fueron convocadas, Doña María ju ­ de Lisboa era el emporio de todo el reino de P o rtu g a l, el gran reinado de Juan v se había sustraído de ellas, por medio de rada , por ser ya de edad, y D. Pedro, afligido con una peno­ mercado para los productos de la India y del B rasil, y m uy a influencia que m a n tu v ie ro n e…</t>
  </si>
  <si>
    <t>…curso de ‘2.° M arina de los tiempos antiguos. fundación que hizo Antonio M onte, y á que agregó su hija historia moderna desde la caida del imperio romano has­ 5.a Marina de España. Juana, de que era actual poseedora dicha Doña María, y de li­ ta la revolución de Francia. Obra escrita en francés por Mr. 4.0 Armada española hasta finalizar la dinastía austríaca* bre disposición y partición los Llenes de que se compooe , me­ Guizot , y traducida a! castellano. V a añadido un resúmen cro­ 5.° Idem de los Borbones hasta Cárlos…</t>
  </si>
  <si>
    <t>…e con que no habian votado en el cumplida, á no ser, señores, que se quiera tener algunas otras Primera secretaría del Despacho de Estado.=Ministerio de punto de su residencia. consideracioues. Hacienda.— Tercera sección. = Doña María por la gracia de Se extendió el orador en manifestar otras causas, por las Dios &lt;3cc. que se prohibió votar á estos electores: combatió la idea de re­ biendo Hay mas, señores, en el resultado que la comisión da , y ha­ Artículo 1.° Las drogas conocidas con la denominación de ducir el número d…</t>
  </si>
  <si>
    <t>…tro. — l fanega y 9 celem ines id. 100 litro s, me­ P a r te esp a ñ o la . dida usual. TOMO I . Kilolitro. = m e d id a por m ayor. 1000 litros. IM P R E N T A N A C IO N A L . Cau&lt;¡a l . f Parricidio alevoso. Proceso de Doña María V i ­ M edida a g r a r i a . centa Mendieta y D. Santiago Sanjuan, acusados de la muer­ te de D. Francisco del C o t illo , esposo de aquella, ejecutada el Area. Esta es la unidad de la medida para superficie?. COLECCION DE LEYES. C en liárea, lo mismo que un metro cuadrado. dia 9 de Djciet…</t>
  </si>
  <si>
    <t>…comprendido era este extracto los ingresos y pagos de la ad mi oí,st,ración de 580 93 8* . 14 Palma, de Mallorca por no haberse recibido aun sus cuentas. S E halla vacan te la plaza de oficial del archivo de la au dien­ con Doña María V icenta Sánchez, de caber toda mueve fane­ presadas fincas, acudirá a la escribanía mayor de Rentas, sita cia territorial de Burgos, dotada con el sueldo de 4 0 rs. gas, tasada eu 6 7 5 rs* en el piso bajo de la aduana , donde se admitirán las que se^hi­ anuales que deben satisfacerse por la…</t>
  </si>
  <si>
    <t>…de esta ciudad , y la presencia del que suscribe, ber cogido la primera avanzada nuestra. El batallón de O por­ sucesiones ocurridas desde el referido Excmo. Sr. D. Ignacio, á instancia de Francisco Siviane, como marido de Doña María to, que coa la partida de Campillo se hallaban en dicho pue­ cuyos documentos deberán obrar en dicha oficina eo el preciso de la Concepción Romero, de este vecindario, sobre la división blo, se vieron envueltos al despertarse; pero reuaiéndose comí término de 20 dias, contados desde esta fecha…</t>
  </si>
  <si>
    <t>…l era el estado de cosas, y no ha obrado si^p por otras causas se crean con derecha á los bienes que queda­ cte la noche al palacio de las Tullerías. conformé á las órdenes del almira nte. ron por fallecimiento intestado de Doña María C alabuig, viu­ La corbeta ja Cr/W/&lt;z al mando de S, A. R. fondeó en 1í En coa oto á nosotros no añadiremos nada á estas reflexio - da é«i primeras Úu pcias de' DiEsteban Barbero ; y de segundas nes del Diario de Brest. rada de Brest el miércoles aiUerior 27 de Febrero á lasaseis d» d e 1$.…</t>
  </si>
  <si>
    <t>…iótica.—La comisión nombrada para presenciar vilización produzca los mejores resultados. A continuación p rin­ te se habla de nuevas complicaciones con M ehem et-A lí, y no el exárnen de las niñas , que en su escuela dirige Doña María cipió el exárnen, y fuimos sorprendidos de ver tan extensos co­ causaría sorpresa el saber que la Puerta se ha decidido por fin de Regla Y aldés, presidido por el Sr. alcalde D. Baltasar nocimientos en materia de religión , pues no solo contestaron á adoptar medidas enérgicas para hacer que…</t>
  </si>
  <si>
    <t>María, Antonio</t>
  </si>
  <si>
    <t>Antonio María</t>
  </si>
  <si>
    <t>…onas siguientes, conocidas por su probi­ dad y demas virtudes cívicas. BOLETIN DE COMERC IO. pprT0Q5;,5 • r , w .. - Alcaldes! D. Francisco Montenegro, propietario: D. D o- BOLSA DE MADRID; miago Fernandez, id. Regidores: D. Antonio María M iranda, id.: D. Juan Oui- roga y Porras, id.: D. Salvador María Q u irog a,id .: D. José Cotización del dia 16 á las tres die ta tarde • * TEATROS. ^ Pardo San Cibrian, id.: D. José Gajoso Pombal, id.: D. José PRINCIPE. A las siete de la noche. Se pondrá en escena Pardoi y Luac»s,…</t>
  </si>
  <si>
    <t>María, D. Antonio</t>
  </si>
  <si>
    <t>D. Antonio María</t>
  </si>
  <si>
    <t>…la Rivaherrera, Vicepresidente 1.° Sr. D. Salustiano de Olózaga. Sr. D. Joaquin Romero y Domingo. Sr. D. Santiago Azuela. Sr. marques de Someruelos. Sr. D. Ramón de Santillan. Lugo. Toledo. Sr. D. Félix M artin. Cáceres. Sr. D. Antonio María M iranda, electo. Sr. D. Julián Iluelves. Sr. D. Antonio Perez Aloe. Sr. D , Manuel Vázquez Queipo; &gt; Sr. D. Mariano Jaén. Sr. D. Gonzalo Carvajal y IIIloa. Sr. D. Gregorio Quiroga y Frias. Sr. D. Juan José ligarte. Sr. D. Rufino García Carrasco. Sr. D. Vicente Vázquez Móscoso. S…</t>
  </si>
  <si>
    <t>María, D. Audres Carabantes. Sr. D. Diego</t>
  </si>
  <si>
    <t>D. Audres Carabantes. Sr. D. Diego María</t>
  </si>
  <si>
    <t>…idalgo. Sr. D. Manuel Marin Blazquez. Zamora. Sr. D. Manuel Moi.edero. Sr. D. José Antonio Ponzoa. wDuque de Castroterreño. Sr. D. Santiago Moreno M uñoz, electo. Sr. D. Miguel Puche y Bautista. »D . Ezequiel Diez de Tejeda. Sr. D. Audres Carabantes. Sr. D. Diego María Chico, electo* Sr. D. Juan Gerónimo Cebados. Sr. D. Manuel Martinez Ayala. Zaragoza. »Duque de Zaragoza. Córdoba. Navarrai »j D. Juan Antonio Castejon. Sr. D. Diego Alvear. Sr. D. Fermin Arteta. »D . Miguel Laburda y G alindo, obispo electo Sr. D. José Sol…</t>
  </si>
  <si>
    <t>María, D. Cenon</t>
  </si>
  <si>
    <t>D. Cenon María</t>
  </si>
  <si>
    <t>…ado de ellas. Sin embargo, corren voces de que este coronel á proponer la aprobación de las actas. seno de la gran familia mejicana. ha ofrecido al Sultán la intervención armada de la Rusia. Se 2.° Proponiendo la admisión del Sr. D. Cenon María A da- Con este fio, y siguiendo el voto de la nación , que es tam ­ añade ademas que el ejército ruso atacará inmediatamente á na , mediante á no resultar reclamación contra su aptitud legal, bién el suyo mas vivo, está resuelto á preparar otra expedición Ibrahim , y que la escuadra…</t>
  </si>
  <si>
    <t>María, D. José</t>
  </si>
  <si>
    <t>D. José María</t>
  </si>
  <si>
    <t>…onio Alcalá Galiano. Sr. D. Antonio Seoane. Sr. D. Francisco Carbonell. Sr. D. Juan Donoso Cortés. Sr. D. Manuel Cantero. &gt; Sr. D. Nicolás Esteban. Sr. D. Julián Villalva. Sr. D. Joaquin María López. Sr. D. Vicente Sancho. Sr. D. José María H uet, electo. Sr. D. José Landero. Sr. D. Paulino Jiménez. Canarias {islas). Sr. D. Dionisio Valdés. Sr. D. Pedro Calzada. Sr. D. Juan Alvarez y Mendizabal. Sr. D. Andrés Alcon. Sr.) gr’&gt;C No está aprobada el acta de elección. Sr Málaga. Valladolid. Sr.) Sr. D. Antonio de los Ri…</t>
  </si>
  <si>
    <t>…haber lu-*- sean un hecho incontestable , los sucesos se multiplican de D. José María Calatrava. Albacéte. gar á la formación de causa , habiendo dicho que sí lo$ tres tal modo y las opiniones sufren diariamente tales modifi­ D. D. José María R eig........................ ........ ............. Alicante. restantes D. Manuel Ramos, D. Froilan García Sánchez y Don caciones, que la huella que dejan es transitoria, y es me­ Juan José Bonel y Orbe* obispo de Cór­ Bernardo Mallo, publicándose en seguida por el Sr. presidente dob…</t>
  </si>
  <si>
    <t>María, D. Lorenzo Arrazola. Sr. D. José</t>
  </si>
  <si>
    <t>D. Lorenzo Arrazola. Sr. D. José María</t>
  </si>
  <si>
    <t>…olid. Sr.) Sr. D. Antonio de los Rios y Rosas , electo. Sr. D. Mariano Miguel de Reinoso , Secretario 1.° Castellón de la Plana. Sr. marques de Casa-Iru jo. Sr. D. Luis Rodríguez Camaleño. Sr. D. Diego María López, electo. Sr. D. Lorenzo Arrazola. Sr. D. José María Valterra. Sr. D. Andrés Borrego, electo. Sr. D. Millan Alonso.</t>
  </si>
  <si>
    <t>María, D. Miguel</t>
  </si>
  <si>
    <t>D. Miguel María</t>
  </si>
  <si>
    <t>…s ayunta~ venientes; de manera que solo queden fuera d e te sta d o mientos constitucionales y pueblos de esta provincia, á fin de que ha de publicarse m ensualm ente las rentas y fondos E N ministro virtud de providencia del Sr. D. Miguel María D u ra n , que pueda reunirse con la brevedad que reclama un servicio honorario de la audiencia de Granada , y juez tan importante, la mayor cantidad posible de dichos artículos, que corren á cargo de otros m inisterios y los de las pro­ de primera instancia dé esta villa, refrendad…</t>
  </si>
  <si>
    <t>…las de Uranga y D. José María G u a lla rt, lo que se anuncia sitio denominado dehesa Cotillas, al saliente de esta, en el pa­ Hasta la una de la noche ha estado iluminada la población, al público en virtud de providencia del Sr. D. Miguel María raje titulado Muela llana , entre Majadalto , la sierra de las y no ha cesado el repique general de campanas. D u r a n , juez de primera instancia de esta capital, en los autos Grajas y la Fuente de la Umbría , cuya mina ha de llamarse Todas las bandas de música de los batallones de…</t>
  </si>
  <si>
    <t>…ras con un acto solemne de ad­ horas se comunicará á la Cámara de representantes. (El Senado hesión á la política de orden y de paz que en estos ocho años está convocado para el 51.) ¿Acompañarán á esta comunicación p O R el Sr. D. Miguel María D u ra n , juez letrado de príme- ha salvado al trono y á la Francia, y que la administración algunas proposiciones? ra instancia de esta villa y escribanía del número de Don actual tiene la honra de haberle dado un carácter particular de Él ministerio está dividido. De los cinco in…</t>
  </si>
  <si>
    <t>…e líuea ; la media­ calle M a y o r, frente á las Covachuelas, donde se vende á 4 rea­ En nería de la derecha 2 t¿ ; la de la izquierda 3 4r , y la del tes­ les. En llevando cinco, se da uno gratis. virtud de providencia del Sr. D. Miguel María D uran, tero opuesto á la fachada cierra el perímetro con 50 pies, que ^ ministro honorario de la audiencia de Granada y juez de medido geométricamente comprende de area plana con el grue­ primera instancia de esta villa, refrendada del escribano de so de su fachada y medianería 1 5…</t>
  </si>
  <si>
    <t>…enemigos; ade­ la provincia de Toledo.—Es copia.—Ei coronel comandante ge­ presenten en el juzgado de primera instancia de esta villa que mas dos secretarios, de los cuales el khodj* Ahmed acompañó neral , Orive. despacha el Sr. D. Miguel María D uran por la escribanía de á los franceses en la primera y segunda expedición de Constan- número de D. Santiago de la G ranja, á deducir su derecho, lina , no obstante que toda su familia estaba entonces en la ciu­ apercibidos que en otro caso les parará el perjuicio que haya dad…</t>
  </si>
  <si>
    <t>…s, acuda ante Cotización del dia 17 á las tres de la tarde. S. S. y escribanía del número de Gaona. AUMENTADAS EFECTOS PUBLICOS. EN ESTA SEGUNDA EDICION. Inscripciones en el gran libro á 5 por 100, 00. p O R el juzgado del Sr. D. Miguel María D u ran , juez de Títulos al portador del 5 por 100, 2(H con cupones al *- primera instancia de esta villa, y escribanía de número de Dos tomos en 8.° Precios: en r a m a , á 20 rs. vn. el ejem­ contado: 21, 2 0 | , % y 21 á v. f. vol. y firme: 2lg&gt; á 55 d. f. D. José Rodríguez Sola…</t>
  </si>
  <si>
    <t>…tes al de la publicación de este anun­ barla : ella ha sido de cada vez mas y mas útil. cio , que por segundo término se le señala , se presente en la au­ Reconocida por la Francia en 1850 la existencia del gran diencia del Sr. D. Miguel María D u ran , juez de primera ins­ ducado de Luxemburgo como Estado aleman , no obstante la Hay causas de suyo tan sagradas,, que aun la razón abs* tancia de esta capital, á dar sus descargos en la causa que por situación de esta provincia desde 1815, no quedaba mas que tracta no basta…</t>
  </si>
  <si>
    <t>…decretos, órdenes y circulares del pechos españoles la infame alevosía de entregar la patria á sus Gobierno y de las direcciones generales. enemigos, se ha propuesto en su composición presentar el he­ p O R providencia del Sr. D. Miguel María D uran, juez de cho tal como en su concepto sucedió, sin recurrir para ello a primera instancia de esta capital, dada por la escribanía invenciones gratuitas , sino antes bien valiéndose de los datos del número de D. José María de Garameodi, se cita, llama y que le ha suministrado…</t>
  </si>
  <si>
    <t>…á siete de la noche, desde el dia 5 d&lt; presenten á deducir su derecho en el juzgado de primera ins­ Diciembre próximo. Esta clase será puramente de perfección j Juzgado de Amortización. tancia de esta villa, que despacha el Sr. D. Miguel María D u­ propiedad del idioma, traducción de los clásicos, explicacior ran, por la escribanía del número de D. Saotiago de la G ran­ de los sintaxis, composición y ejercicios de locución. Los alum­ Por providencia del Sr. intendente subdelegado de rentas ja ; apercibidos que en otro ca…</t>
  </si>
  <si>
    <t>María, D. Vicente Silva. Sr. D. José</t>
  </si>
  <si>
    <t>D. Vicente Silva. Sr. D. José María</t>
  </si>
  <si>
    <t>…Vázquez Queipo; &gt; Sr. D. Mariano Jaén. Sr. D. Gonzalo Carvajal y IIIloa. Sr. D. Gregorio Quiroga y Frias. Sr. D. Juan José ligarte. Sr. D. Rufino García Carrasco. Sr. D. Vicente Vázquez Móscoso. Sr. I). Juan Pedro Quijana. Sr. D. Vicente Silva. Sr. D. José María Pardo Montenegro. Sr. D. Víctor Fernandez Alejo. Sr. D. Miguel García Cornejo. Sr. marques viudo de Valladares j electo. Sr. D. Julián Rodríguez del Valle. Valencia. Cádiz. Sr. D. José Ferraz. Sr. D. Manuel Montes de Oca. Madrid. Sr. D. Luis Mayans y Enriquez,…</t>
  </si>
  <si>
    <t>María, Infanta Doña</t>
  </si>
  <si>
    <t>Infanta Doña María</t>
  </si>
  <si>
    <t>…R e i n a , s u augusta Madre la R e i n a G o b e r n a ­ El Sr. duque de Blacas ha dejado al duque de Orleans tirt NOTICIAS EXTRANGERAS. legado de tres millones de francos que Luis x v m le habia dado d o r a y la Serma. Sra. Infanta Doña María * Luisa Fer­ pocos momentos antes de morir. Ha dejado también al prínci­ nanda, continúan en esta corte sin novedad en su im­ E ST A D O S UNIDOS. pe todos los dominios que poseía en la vasta extensión de la monarquía austríaca. Asimismo ha dejado una suma conside­ portante salud…</t>
  </si>
  <si>
    <t>María, Jesús</t>
  </si>
  <si>
    <t>Jesús María</t>
  </si>
  <si>
    <t>…ral, ilustrado por el escarm iento y la razón. Des­ Id. D. Nicolás Ampboso del M anzano, teniente de su capitán Rico. La batería rodada subió á mucha altura, y sus confía de los bienes de la vida qñe le buscan de nuevo: cura de Jesús María..................... 8.. 4 disparos hicieron gran servicio á nuestras masas, que con bayo­ gózalos, pero con tim idez; reprim e sus pasiones, que quie­ Id. D. Manuel E chavarría. .................... 8.. 4 neta armada y con el arma á discreción subían por todos los ren sublevarse otra…</t>
  </si>
  <si>
    <t>María, Joaquín</t>
  </si>
  <si>
    <t>Joaquín María</t>
  </si>
  <si>
    <t>…la preciosa vida de V. M. para felicidad del reino. H iu o- gefes de Hacienda de la de Murcia. zález No ve! les. — Por el regimiento infantería , 19 de línea, os 26 de Setiembre de 1859.==Señora.—A L. R. P. de V. M . — el coronel Joaquín María M iranda.=Por el cuerpo de artillería 5. F. S ., el alcalde presidente.—L. Francisco de Paula de G u er- y su brigada , el coronel Joaquín Hidalgo Mesones.rzEl tenien­ •a.zzEl regidor decano, Pedro Ortega.—El regidor segundo, A n ­ H an felicitado á S. M. con motivo de los faustos suce…</t>
  </si>
  <si>
    <t>…...............Idem. PRINCIPE. Hoy no hay función. ganado no poco en regularidad y concierto determinado. Marques de Santa Cruz deRivadulla.................Pontevedra. Páresenos esto conocida ventaja, porque siendo la inteu- D. Joaquín María P a ti n o .... ...............Idem. cipn del autor ofrecer una lección útil acerca de las bella­ Marques de Espeja .. ........................... Salamanca. CRUZ. A las ocho y media de la noche. Se pondrá en es­ querías y manejos de ciertas gentes, de ningún modo se Conde de Casa Pu…</t>
  </si>
  <si>
    <t>María, José</t>
  </si>
  <si>
    <t>José María</t>
  </si>
  <si>
    <t>…qu e vo lvió d o; y por la de Albacete a D. Mariano V alero y A rteta, por la h eroica n ació n española p re sid id a y g u ia d a por V . M . á este suelo el goce de sus a n tig u a s y veneran das leyes. en reem plazo de D. José María C alatrava. T endréislo en­ Y n o so tro s, in térp retes de sus sinceros votos , nos dejam os E l a y u n ta m ie n to está p ersuadido de que el Gobiecno de tendido y lo com unicareis á quien corresponda para los lle v a r tam b ién de uu noble o rg u llo a l a se g u ra r sin récelo á…</t>
  </si>
  <si>
    <t>…ales en todos los habitantes de la capi­ reales por los arquitectos D. Bartolo Tegeda D ie z , D. Pedro registrado una mina de hierro en término de Valdecabras, y tal que se daban con abrazos tan fausta nueva. Blas de Uranga y D. José María G u a lla rt, lo que se anuncia sitio denominado dehesa Cotillas, al saliente de esta, en el pa­ Hasta la una de la noche ha estado iluminada la población, al público en virtud de providencia del Sr. D. Miguel María raje titulado Muela llana , entre Majadalto , la sierra de las y no ha ce…</t>
  </si>
  <si>
    <t>…á Y. E. da á los parapetos recibió una herida de bala en el muslo iz­ tuso: un individuo de tropa muerto: un caballo muerto, tres el Ínteres con que miro esta empresa, debo indicar á V. E. que quierdo. Los de esta misma clase D. José María D usm et, Don idem heridos. la autorización dada á las diputaciones de Santander y Palen­ Eusebio Calonge, D. Fernando Sequeira (que se halla reunido León, 2.° ligero , escuadrón de campaña.—Un oficial con­ cia ha sido recibida con aplauso por estos habitantes, que se á esta división hast…</t>
  </si>
  <si>
    <t>…á ins­ Estos mismos, la Europa entera empieza á probar los re­ tancia de D. Francisco Gil de Velasco, se c i ta , llama y em­ sultados, sintiendo ahora y culpando todo el peso del desacier­ CR ÓN ICA JU R Í D I C A . plaza á D. José María V argas, administrador que fue de Ren­ to que cometió en el malhadado combate de N a v a rin o , y en tas de la ciudad de Jerez de los Caballeros , cuyo paradero se prestar su apoyo al ilegítimo alzamiento y ridicula emancipa­ T O M O P R IM E R O . = N U M . 7 .° = ( J U L IO D E 1839).…</t>
  </si>
  <si>
    <t>…onferencia no es actualmente ral de a d u a n a s, á D. José C anga A rguelles para p resi­ m anidad, es nuestro sentimiento cada vez mas amargo. Dolo­ ú til: algún dia será tal vez esta necesaria, pero hoy no conci­ dente; a D. José María P a n d o , por el cuerpo diplom ático; roso es pensar que aun no puede vislumbrarse la época en que bo su utilidad. a los S enadores m arques de V alg o rn era , D. Jo a q u in Ma­ la guerra civil y la anarquía cesen de paralizar los esfuerzos Concluido este discurso se levantó la sesión…</t>
  </si>
  <si>
    <t>…E S . mas tiempo toda la fuerza que expediciona á mis ordene?, y des­ de cada cinco. de luego dispongo que hoy se regres j á esa capital el cu pitan Se comprende que el proyecto de gravar el presupuesto de Habana 25 de Junio, D. José María íbarra con su partida y 20 hombres de mi cuer­ la municipalidad de Paris de un gasto tan considerable , y con po ; porque á mas de ser ya aquí (ootao he dicho) innecesaria ; tan pocas tsperanzis de un feliz resultado , no puede haber acu­ P A R T E E ST A D IS T IC A . tanta fuerza, el es…</t>
  </si>
  <si>
    <t>…Setiembre próximo venidero por el término de dos años, ha dis­ ta b a !, eu el valle de L ecrin , provincia de G ranada, el patriota puesto el Sr. intendente general militar, en virtud de las facul­ y virtuoso eclesiástico D. José María O rtega, y á la entrada de 1 ... . 12000 ps. f s . . . . 12000 tades que por Reales órdenes le están concedidas, se celebre dicha sierra mato un animal muy raro, cuyas señas son las s i- 1 ., . 3 0 0 0 ....... 5000 nueva subasta en esta corte el dia 17 del presente mes de A gos­ -gui…</t>
  </si>
  <si>
    <t>…esta capital por D. José María de Prado, vecino del salud. pueblo de Santiago de Millas en esta provincia , en concepto de Una mina plomiza en la Solana del Rio, término del Fon- libelo infamatorio, un impreso que empieza “ D. José María don, titulada Señor de la Misericordia , por Julián Alonso, de Prado, secretario que fue del ayuntamiento constitucional en 5. de Santiago de Millas” , y acaba “Francisco Alonso Cordero,” ACTAS DEL GOBIERNO. Otra id. en sierra de Gador, loma de la ermita, término del Presidio, la Nieb…</t>
  </si>
  <si>
    <t>…agón, se dirigieron el 5 en busca de aquel á Habiendo tenido por conveniente por decreto de los cortijos de Malagón y sierras del Espíritu Santo. En el Sevillano se lee el artículo siguiente: esta fecha adm itirla dimisión de D. José María C ha­ cón, como Regente y Gobernadora del reino duran­ SOBRE LA CAJA D E AH ORRO S. te la menor edad de mi excelsa Hija la Reina Doña El mismo comandante general en su parte periódico, fecha Por Real orden de 17 de Abril último se ha mandado esta­ Isabel i i , vengo, en su Real nombre, en…</t>
  </si>
  <si>
    <t>…ona, á ps. f s . ,i papel d. Sevilla, i d. Los redactores del E ntreacto son: D . Juan Eugenio H a r t - do &gt; fa lias Once), por D. Francisco G o d o y , en 24» Bilbao, \ á £ d. Valencia, \ d. zerobusch.—D. Ventura de la Vega.—D. José María D ia z .n D o u Otra id.,cañ*d« de la Sinelva, término del Presidio, el En­ Cádiz, ¿ id. Zaragoza, par. Patricio de la Escosura.^D. Juan d-el Peral.zzD. José Zorrilla.ra gaño, po. Antonio Cuesta , en 27. D . Ramón de Navarrete.—D. Antonio García Gutiérrez.r=Lo? Descuento de letras , á 6…</t>
  </si>
  <si>
    <t>…a Villa- toando en esta provincia pudo con un puñado de soldados con­ rejo, D. José María Alvarez, D. Benito Ochoa, D. Francisco tener á las hordas facciosas en los límites de sus guaridas , y López, D. Juan Tejada y Lozano, D. José María M altrana, uuuca osaron pisar esta fértil vega, ni fhvadir los ricos pue­ D. Eugenio Hernández Borbon, D. Juan Bautista Verdegal, blos de 1a Ribera. Es el mismo que al frente de algunas com­ pañías de los batallones y escuadrones de esta capital y sus CORRESPONDENCIA DE LA GACETA. y D.…</t>
  </si>
  <si>
    <t>…por las Sras. Feijas y Antúoez. Hernández, D. José Rui Suarez , D. Antonio García , D. A n ­ dará el juicio por intentado é incurrirá en la multa de cuatro 5.° Cavatina bufa en la ópera Coradino , del maestro Ros- tonio Deus, D. José María Y ile la ,D . Gerónimo V idal, Don ducados, parándole ademas el perjuicio que haya lugar. s i n i , por el Sr. García , con decoración y traje. Pedro Perez Tapia. 6.° Se sortearán dos premios entre la concurrencia. Consis­ Reunidos en el salón del hospital de esta ciudad los señores tirá…</t>
  </si>
  <si>
    <t>…egún los resultados de y Rey, juez de primera instancia de Guadix. la expresada dirección general, he venido en decretar á los remates, comprendiéndose también el total de los meses Igualmente se ha servido S. M. resolver que D. José María nombre de mi excelsa Hija la Reina Doña Isabel n lo anteriores, según está mandado. Villalaz , juez del partido del valle de Cabuérniga , de entra­ que sigue: da , en la provincia de Santander , pase á desempeñar el juzga­ 1.° Quedan suprimidas las plazas de director y secre­ Número do…</t>
  </si>
  <si>
    <t>…. El pú ­ Por providencia del Sr. intendente subdelegado de Rentas llen para evitarles la molestia de enviar á buscarlos á la comi­ blico decidirá si es ó no fundada esta opinión. de esta provincia, se cita, llama y emplaza á D. José María sión donde se suscribieron; pero debiendo limitarse las remesas de las Torreras, D. Juan López, D. José Campo y D. Juan en lo sucesivo á solo el número de cuadernos que conste hallar­ Araporda , endosantes que aparecen ser de una lámina de deu­ se abonado según las hojas de aviso, convend…</t>
  </si>
  <si>
    <t>…tor desde el año de 1822 por in te rin o s; pues per­ de montañas como de 1800 varas de l o n g it u d , y 100 de la­ ejército francés, se casó ea 11 de Abril de 1809 eu Paria coa seguido y maltratado.el propietario, el doctor D. José María t it u d , que forman un p^rálelógramo de 8 * 3 vara ) eu&amp;dradis</t>
  </si>
  <si>
    <t>…que en sus fa­ supremo de apelaciones de correos y caminos; en el con­ dora de la Habana, con acuerdo de su asesor D. Juan Mi- llos procedan en lo sucesivo con la imparcialidad y justi­ cepto de que en donde haya ret, contra D. José María M uróte, contador interventor de cia que previenen las leyes y el honor militar: que en el instancia, tendrán prevencióndosen óelmas jueces de primera conocimiento de tales la administración principal de rentas y aduana de Santia­ ministerio de Hacienda se tengan presentes los buenos se…</t>
  </si>
  <si>
    <t>…de sus prerogativas, ha tenido á bien nombrar para Presi­ que anunciamos útiles, se ha propuesto en el pequeño volúmen que podrá manifestarse á los licitadores en la escribanía del dente del Senado en la próxima legislatura á D. José María reducir a menor escala el magestuoso edi­ infrascrito. Dado en Badajoz á 25 de Agosto de 1859.—EI Mnscoso de Altamira, Senador por la provincia de Lugo f y ficio que con tanta riqueza de detalles dibujó la mano de marques de Almenara. =iPor mandado de S. S ., Florencio Sán­ para Vicepre…</t>
  </si>
  <si>
    <t>María, Lorenzo</t>
  </si>
  <si>
    <t>Lorenzo María</t>
  </si>
  <si>
    <t>…en­ motoría fiscal del juzgado de Logroño, vacante por fallecimien­ llo á limpiar el antiguo reino de Aragón de los bandidos que dí mi marcha sobre los sublevados, y al tercer dia tuve noti­ to de D. Manuel María Ceballos, á D. Lorenzo María A guí- le infestan , y que solo se sostienen en la equivocada esperanza cia que todas las gavillas se habian pronunciado negándole la 11° i y para la de Olmedo, á D. Donato Gómez. de nuestra desunión. Pero la alta penetración de V. M. y la fir­ obediencia á D. Pedro Lemus, y exigiéndo…</t>
  </si>
  <si>
    <t>María, Miguel</t>
  </si>
  <si>
    <t>Miguel María</t>
  </si>
  <si>
    <t>…quieran hasta cierto punto creer que ar­ r / N virtud de providencia del Sr. juez de primera instancia ñor Montoya que es hombre de razón y de juicio, verá que rostró esta opinión impopular. El objeto con que la arrostro es D. Miguel María D u ra n , se cita y emplaza á los que se hay en esto un medio seguro de cumplir con su objeto, y se el bien del pais, es que esa ley de 17 de Abril sea una verdad, crean con derecho á los bienes que á su fallecí miento ha dejado tranquilizará.” porque á mí corno español me pesa demasia…</t>
  </si>
  <si>
    <t>María, Pedro</t>
  </si>
  <si>
    <t>Pedro María</t>
  </si>
  <si>
    <t>…o n io , se instruyen diligencias en averiguación de la existeucia Otra en Castejon , de 7/fi cepas vivas y 50 mar­ las noticias que publicamos en nuestro número anterior, y añ a­ y paradero de Doña Tomasa O liv a , esposa de D. Pedro María ras , en ............................ 1085 de que no solo evacuaron los franceses la ciudad de Yeracruz, D e lg ad o , director interino del observatorio astronómico, en Un olivar en la Carraliza, de 57 olivas y 55 pier­ sino también el castillo, y que han vuelto á su primer sistema cons…</t>
  </si>
  <si>
    <t>…r el con­ dado cuenta. Caulincourt pidió una audiencia, y fue al palacio de Alejandro, que le miraba con mucha conside­ sejo dado en esta ocasión por el director de los archivos. ración: De la misma manera se cita y emplaza á D. Pedro María A mediados de 1810 abdicó el Rey de Holanda en fa­ pensaba comunicóle el despacho, declarándole que no se Villayicencio , D. José Cortes y Sánchez, D. Felipe Ochaita y vor de su hijo mayor. Hauterive fue enviado á aquel pais dro? ¿Seendejara ninguna hostilidad. ¿Qué responderá Alejan­ c…</t>
  </si>
  <si>
    <t>María, Salvador</t>
  </si>
  <si>
    <t>Salvador María</t>
  </si>
  <si>
    <t>…icas. BOLETIN DE COMERC IO. pprT0Q5;,5 • r , w .. - Alcaldes! D. Francisco Montenegro, propietario: D. D o- BOLSA DE MADRID; miago Fernandez, id. Regidores: D. Antonio María M iranda, id.: D. Juan Oui- roga y Porras, id.: D. Salvador María Q u irog a,id .: D. José Cotización del dia 16 á las tres die ta tarde • * TEATROS. ^ Pardo San Cibrian, id.: D. José Gajoso Pombal, id.: D. José PRINCIPE. A las siete de la noche. Se pondrá en escena Pardoi y Luac»s, id.: D. José Soto Alvarez, letrado: D. R a- EFECTOS PÚBLICOS. la…</t>
  </si>
  <si>
    <t>María, Santa</t>
  </si>
  <si>
    <t>Santa María</t>
  </si>
  <si>
    <t>…particular. que ha presentado tres hermosísimos cactos; ei Sr. Moroder , el han socorrido...................................................................... 145 #7 Sigue asegurándose la muerte de A rriam banda; pero como Sr. Santa María , el Sr. Comes, el Sr. Carruana y el Sr. Ferrer, los montañeses evitan darnos las noticias que nos son favora­ ambos del comercio, y el Sr. D u p u y , que ha presentado capu­ Total data 101904.. 7 bles, nunca puede decirse como cosa positiva. Sin embargo, llos blancos de semilla de la C…</t>
  </si>
  <si>
    <t>María, Tomas</t>
  </si>
  <si>
    <t>Tomas María</t>
  </si>
  <si>
    <t>…reviene, to­ á lo que se cree, de concurrir pasando por ella á la reconcen­ có á los sugetos siguientes: D. Ramón G alindez, D. Juan de tración de fuerzas, de que parece se ocupan actualmente los Aroste^ui , D. Alfonso R u iz, D. Tomas María Z anon , Don BIB LIO G R A FIA . enemigos hacia el extremo izquierdo de la línea de nuestro ejér­ Luis Martínez Leganés, D. Miguel Serralde, D. Lorenzo Me­ cito del N orte, alguna gente castellana en fuerza de dos ó tres lero, D. Lorenzo Sancho y D. José Golovardas, quienes decla­ E L ca…</t>
  </si>
  <si>
    <t>María, Tornas</t>
  </si>
  <si>
    <t>Tornas María</t>
  </si>
  <si>
    <t>…ores no tienen paciencia, acometen lla de Madrid , refrendada del escribano del número en la mis­ en materia de abstinencia , contribuye á que el pescado llegue al pescado desde que empieza á mostrarse, y destruyen im pru­ ma D. Tornas María M anrique, se saca á pública subasta una á ser uno de los elementos esenciales del alimento del público, dentemente una riqueza que podrían cuadruplicar obrando con casa en esta corte, y su calle de Carretas, núm. 8 viejo , y 29 pudiendo afirmarse, sin que se atribuya á exageración, q…</t>
  </si>
  <si>
    <t>María, Victoriano Ramos y D. Jacinto</t>
  </si>
  <si>
    <t>Victoriano Ramos y D. Jacinto María</t>
  </si>
  <si>
    <t>…eal y dos del regimiento de León , 2.° de ligeros, El teniente D. Cipriano Ramos, herido. nadamente se alcanzaron á evitar, exigen una pronta repara­ á las órdenes del coronel comandante de aquel D. Francisco de Los alféreces D. Victoriano Ramos y D. Jacinto María, ción : la habrá, valencianos; y para conseguirlo, asegurar la Paula Vasallo, que operaron sobre la izquierda enemiga, acre­ sus caballos muertos. Pa z ? y que no la anarquía y los crímenes sean los actos que se ditaron su decisión y valor. Para proteger la mita…</t>
  </si>
  <si>
    <t>Mas</t>
  </si>
  <si>
    <t>…que no dejará de servir de estímulo á los D. Narciso Ferrer, se volvió á Berga al día siguiente de la eje­ Sres. Reig y Meoenciano, y á otros muchos de sus consocios. cución ó ahogamiento del que fue su presidente, el ex-conde de Mas numeroso aplauso merecieron la señorita de Alcaráz y el España. Puede que la junta le nombrase escribano para dar fe Sr. de Ureta en el dúo de la Chiara9 de que tan buen partido Idem 22. del acto. {C. Ni) supieron sacar su celo y sus esfuerzos. La concurrencia extraordinaria de jóvenes al gimna…</t>
  </si>
  <si>
    <t>Mas, Caballero.</t>
  </si>
  <si>
    <t>Caballero. Mas</t>
  </si>
  <si>
    <t>…ho de la causa pública : tiene se trajo á las Cortes, y la corona rehusó la sanción. No es ley testimonio no es sospechoso. el tribunal supremo de Ju stic ia , el pase de bulas. H ay otros t r i ­ aclaratoria como ha dicho el Sr. Caballero. Mas no es esta la sola razón que tengo para defender la c ir­ bunales mas autorizados que los demas. Tienen el exámen de El art. i.° de esa ley , decia el decreto de tantos de Setiem­ cular. abogados y de su expediente , el de escribanos, el de procura­ bre de 1856 , tendrá fuerza de ley…</t>
  </si>
  <si>
    <t>Mas, Pedro.</t>
  </si>
  <si>
    <t>Pedro. Mas</t>
  </si>
  <si>
    <t>…El amor que ella me inflama dos los recursos del arte han sido usados por el poeta para ha­ Donde se sacien mis labios Sintió ningún castellano; cernos sentir el genio á la vez grande , fiero é impetuoso de Con sangre del Rey D. Pedro. Mas jamas , Samuel, ninguno D. Pedro. Doña Leonor le pregunta sobre el sacrificio que le Volemos....... Tantos desaires sufrió. exige: el Rey le dice que solo quiere ponga en su poder á Don Y sin mirar á su virtuosa esposa, sin volver la cabeza , sin N i una vez sola escuchó E nrique: ell…</t>
  </si>
  <si>
    <t>Masarnau, Vicente</t>
  </si>
  <si>
    <t>Vicente Masarnau</t>
  </si>
  <si>
    <t>…los alumnos en los* principios racionales so­ limo. Sr. D. Gregorio Yillavieja , religión y moral. *nuchas que se van estableciendo por todas partes. N o haremos bre que se funda cada una de las operaciones aritméticas, para D. Vicente Masarnau , elementos de física. aquí mención mas que de las de Francia, donde se han organi­ que puedan explicarlas otro dia á sus discípulos con precisión y D. Lucas Tornos , elementos de historia natural. zado y provisto 60 ó mas en el espacio de ocho años. claridad ; procediendo á su ap…</t>
  </si>
  <si>
    <t>Mascaró</t>
  </si>
  <si>
    <t>…ose presen­ votos, habiendo obtenido el Sr. Benavides 1 6 , el Sr. Quinto niente; y por medio de acuerdos, que se extenderán en un libro tar documentos que acreditan su aptitud legal. 2 , el Sr. Roldan 7 , el Sr. Alcon 1 , el Sr. Mascaró 1 , el se­ que al efecto llevará uno de los secretarios, resolverá cuanto Otra comunicación del Sr. duque de Castroterreño, Sena­ ñor Olózaga 1 , y el Sr. Viadera 1. Número total de votantes convenga al logro de los fines que se propone la sociedad. dor por la provincia de Z u n o r a , aco…</t>
  </si>
  <si>
    <t>Masi, Antonio</t>
  </si>
  <si>
    <t>Antonio Masi</t>
  </si>
  <si>
    <t>…entendida política que el ínclito duque de la Victoria ha empezado á tomar. Tales son, entre otras, bilidad en concepto de herederos de ella , de su difunto maridó sentes; "Vacios, señorOs, les dijo , bien podéis alegraros de D. Antonio Masi , ó en el de acreedores, para que en el preci­ que vuestros abuelos no hayan llegado en invierno.” las órdenes que ha dado para que se levanten los secuestros de bienes, para que cesen los efectos del bando de bloqueo y los so término de 50 dias comparezcan por s í, ó medio de persona…</t>
  </si>
  <si>
    <t>Masseti, Masseto</t>
  </si>
  <si>
    <t>Masseto Masseti</t>
  </si>
  <si>
    <t>…ad?....” — Eh !.... Sr. lector!..G uar­ D. Francisco Amofós y López, línea 4 a de dicha providencia Este no será un artículo de literatura, sino un artículo de de V. su ternura para mejor ocasión. Ese poeta tan melancó­ diceá D. Masseto Masseti, debe decir á D. Maneto M a- costumbres. Si es útil señalar á veces lo que choca coa las re­ lico , tan desolado, pasa mejor vida que V. y que yo¿ come donde uetti.</t>
  </si>
  <si>
    <t>Massetti, Masseto</t>
  </si>
  <si>
    <t>Masseto Massetti</t>
  </si>
  <si>
    <t>…dencia dictada por el Sr. D. Francisco Amo- rós y López, ministro togado de la audiencia territorial de NUMEROS. PREMIOS. AD MINISTRACIO NES. Albacete y juez de primera instancia en esta cap ital, se cita, llama y emplaza á D. Masseto Massetti, maestro marmolista, IMPRENTA NACIONAL para que dentro de seis dias contados desde la publicación de 2 1 .4 9 2 .... 8000 ps. f s .. Cádiz. este anuncio en la Gaceta del Gobierno , comparezca ante el ex­ 5 .6 8 1 .... 2 .4 5 7 .... 2000................ Madrid. 2000...........…</t>
  </si>
  <si>
    <t>Massowa</t>
  </si>
  <si>
    <t>…. al último en el Ceiro. Se dice que todos estos viajeros tienen pensiones por el go** M a r s e lla 6 de Diciem bre, bierno francés. A q u i se les adelantan 1600 talaris , y el cón­ sul francés ha autorizado al gobernador de Massowa para que En las críticas circunstancias en que ahora se encuentra Tolon 50 de N oviembre, les suministre hasta 100 piastras si fuese necesario. Los v iaje ­ A r g e l, no podrá menos de ser interesante la orden general que ros h an dado orden de comprar aqui diversos fusiles de percusión,…</t>
  </si>
  <si>
    <t>Matador, Pedro Ramos</t>
  </si>
  <si>
    <t>Pedro Ramos Matador</t>
  </si>
  <si>
    <t>…ecir de la India. te hasta el mes de Febrero. (Temps.) yeguas, anuas y monturas. El vapor francés ro se avista todavía. Hace 22 dias que La columna de Monterroso, al mando del teniente coronel no recibimos noticias de Europa. D. Pedro Ramos Matador, persiguió un grupo de rebeldes, La casa de E. Zizina ha obtenido del Gobierno un privile­ Hemos dicho que Mr. de Bonald habia vuelto de Roma con­ dando muerte á cinco y aprehendiendo sus armas: y las tropas gio para comprar todo el maiz de la última cosecha y expor­ vertido por…</t>
  </si>
  <si>
    <t>Mateo</t>
  </si>
  <si>
    <t>…. Juan Antonio del Adalid, D. Francisco de Zuloaga, ciéndolo por sí ó por medio de apoderado autorizado competen­ 4*° D ú o de tiples en la ópera I Capuleti ed i Monteccki , D , Andrés Torres Moreno, Sr. conde de P rie g n e , D. Mateo temente , á las diez de la mañana; apercibido que de no hacerlo se por las Sras. Feijas y Antúoez. Hernández, D. José Rui Suarez , D. Antonio García , D. A n ­ dará el juicio por intentado é incurrirá en la multa de cuatro 5.° Cavatina bufa en la ópera Coradino , del maestro Ros- tonio Deus, D…</t>
  </si>
  <si>
    <t>…ez: D. Ma­ habiendo acabado de pasar la visita de juez en aquel con­ nuel Ribera , heredero de Doña Josefa Correa: Doña María GALERÍA DRAMÁTICA. dado (l), si él se hubiera entregado al magistrado como Leocadia Salgado, hija de D. Mateo: D. Ramón Ortigosa, causador de aquella muerte, aunque no dudaba hubiera hijo de D. Manuel : los hijos de D. Juan Antonio Guardia: FUNCION DE BODA SIN BODA. &gt;ii\ ' hallado reo solo de homicidio involuntario, seria D. José González de Gomara : D. Gerónimo Coliantes, apode­ ¡ lénipre necesario e…</t>
  </si>
  <si>
    <t>Mateos</t>
  </si>
  <si>
    <t>…y el excelente encadenami ent o de ideas que resplandece tíficos de nuestra n a c i ó n , c ua n t o la t r a n q u i l a posesión de los hombres y á las piedras. Su m a y o r enemi go es el f uego , pe*o en aquel trabajo del Sr. Mateos. bienes j ust ame nt e a d q u i r i d o s , y la resti tuci ón á sus legí ti mos el i nterés i n d i v i d u a l mu l t i p l i c a n d o los ejemplares repara eAos (2) Se su scribe á esta obra en el despacho de libros de su dueños de los ma l ame n t e us urpados. desastres. A u n son tna…</t>
  </si>
  <si>
    <t>Mateos, Manuel</t>
  </si>
  <si>
    <t>Manuel Mateos</t>
  </si>
  <si>
    <t>…...... .. Algeciras. L a persona que guste hacer postura acudirá dentro de di­ aplausos ha merecido én todas sus representaciones, titulado 8 .2 5 5 ..... 1000 . . . . . . . Santander. cho término a la escribanía de número de D. Manuel Mateos, E L A R T E D E C O N SPIR A R . 7 8 5 .... 4 90............... Zaragoza. que se admitirán las que se hicieren siendo arregladas. 1 7 .7 4 5 .... 4^ ................ Alicante. 6 .7 0 7 .... 4^ 0................ Madrid. 15,601------- 4 0 0 . . .......... Idem, E L Sr. D. Tomas Pach…</t>
  </si>
  <si>
    <t>…le. 8 .a La escritura de obligación tendrá la duración de tres tados desde la fecha de este a n u n c io , se presenten en la escri­ años, y en el dia de S. J u a n del en que fine la contrata se banía del número que despacha D. Manuel Mateos por sí ó reunirá el ayuntam iento en las casas consistoriales, y los facul­ persona autorizada en forma en reclamación de su derecho, CRUZ. H o y no h a y función. tativos se presentarán ante la corporación, manifestando estos apercibidas que de no verificarlo dentro de dicho t é r m i…</t>
  </si>
  <si>
    <t>…to inte­ extenso y hacer postura lo podrá verificar en la escribanía del N inguna variación ha habido en la pasiva y diferida. resante relativo á mi administración , y en el que está mi res*» número que despacha el habilitado D. Manuel Mateos hasta Portugués, como á medio dia , 37¿. ponsabilidad personal empeñada. Ahora ya no ocupo mi pues­ el 28 del corriente, cuyo dia está señalado para su remate en Tres por 100, 23|. to en la Cámara como Ministro (viva sensación): he creído la posada de S. S. á las once de su mañana. Bfe…</t>
  </si>
  <si>
    <t>Mateu</t>
  </si>
  <si>
    <t>…este in— greso , por lo que debe creerse que se la comunicó el Gobierno. yento.=:Su veotajosa aplicación á la hidrografía. na 5 1 8 , retasada en la cantidad de 114,200 rs., y señalado Se da cuenta de haber sido agregado el Sr. Mateu á la se­ Bibliografía.=:/tec7¿er&lt;:ñe?5 su r l e s p r o g r e s d e l'a stro n o m ie para su remate el dia 22 del corriente á las doce de su mañana gunda sección, el Sr. Palaros á la tercera, el Sr. Aleson á la | e t d e s S cien ces nautlques en E spagne.zz Indagaciones acerca en la audien…</t>
  </si>
  <si>
    <t>Matheu</t>
  </si>
  <si>
    <t>…n sobéranaménte. Decíamos qué en nuésíro 4*° La del Sr. P irad o r, Diputado por Gerona. dux , el Tigre (alias Consolación de U trera), por D. Estéban teatro del siglo xviit, y cuando en el-se distinguían/áuh Tas 5.° La del Sr. Matheu , cuarto suplente por Barcelona. Jiménez , en 7. brillantes aureolas de Lope de Vega y -M o reto toleraron 6 .° Reproduciendo el dictámen dado sobre las actas de N a ­ Otra id., barranco Pinalbo, término de Cuevas, señor de la las comedias de Cornelia y de Zavala.^Entonces,' f á pesar varra…</t>
  </si>
  <si>
    <t>Matrox</t>
  </si>
  <si>
    <t>…más se podra pintar a Aquiles cobarde, por A causa de u n a g r a v e enf ermedad que por este t iempo En resumen.el profesor se propone como plan hacer una l á­ la misma razón que no se puede decir de un cobarde, á atacó al Sr. Matrox no pudo abrirse la c á tedra hasta el di a 2 0 mi na para cada letra del abecedario , como las que ha present a­ uo ser irónicamente, t s un Aquil es . de E n e r o , en el c u a l , reuni dos á las doce del d i a en el col e­ do de la B ; y en al gu na s que son mas ricas como la ^ d o s ,…</t>
  </si>
  <si>
    <t>Matute, Román</t>
  </si>
  <si>
    <t>Román Matute</t>
  </si>
  <si>
    <t>…Isabey En sugetos siguientes: D. Nicolás Mélida, D. Martin López Sala- DE LOS TEATROS zar, D. Eduardo Arenas, D. Cayetano de Dilio y Rubio, Don forma esos preciosos dibu jos, esos a preciables cu ad riles con Rauion Guerra, D. Román Matute , D Bernardina Eraña , Don MODERNO ESPAÑOL Y EXTRANGERO. que se enriquecen todas las colecciones de los particulares Tadeo Sánchez Escandola y D . J osé Eugenio E guizabai, quie­ de Francia y del extrangero. Cuando el artista se e n ­ nes por unanimidad declararon haber lugar á la for…</t>
  </si>
  <si>
    <t>Matías</t>
  </si>
  <si>
    <t>…lee el número 46 , en que la comisión opina pase al se­ tam iento, Manuel Rodriguez.!=El cura párroco, J u a n Ramón me con el proyecto antes presentado, pasando á la comisión ñor Ministro de la Gobernación una exposición de D. Matías F rii.e . que debia examinarlo. Boeilla y Contreras, vecino de A lcaudete, que reclama contra Se dió cuenta de que las secciones habian hecho los siguien ­ las arbitrariedades cometidas contra su persona por el a y u n ta ­ tes nombramientos : miento constitucional de T a lav e ra, que sin…</t>
  </si>
  <si>
    <t>…obre si los comerciantes titula­ Recibido por provinciales. 8897157.. 50 González, D, Antonio Castro, D. Pedro Garrido y dos de la carrera de América están sujetos al pago del Por equivalentes................................. D. Matías 5260761.. 26 mación de causa Angulo , quienes declararon haber lugar á la for­ subsidió comercial é industrial; y enterada S. M ., ha te­ Por paja y utensilios................................ por seis votos contra tres, y el señor presi­ nido á bien declarar que los citados comerciantes de…</t>
  </si>
  <si>
    <t>Maubourg, Latour</t>
  </si>
  <si>
    <t>Latour Maubourg</t>
  </si>
  <si>
    <t>…as en el momento de irle á trasladar á Douvens, y ea duque de Burdeos á la corte de Roma. del gobernador de la isla de Borbon acerca de las desavenencias las cuales manifiesta que en cuanto esté libre y pueda manejar El conde de Latour Maubourg ha manifestado que la satis­ suscitadas en los primeros diars de Setiembre último en la isla el fusil, trabajará con mayor ahinco por la patria, porque no facción que la corte de Francia se proponía pedir , era que se Mauricio eutre el gobernador de esta colonia inglesa y los ca­ pue…</t>
  </si>
  <si>
    <t>Maultepenne</t>
  </si>
  <si>
    <t>…, se difu n día ambos Senadores de Lim burgo. La proposición del Gobierno uniforme que en poco se diferencian las unas de las otras: hay por sus pies y m anos, y el mismo fuego de la caridad sim bo­ fue defendida por el barón de Maultepenne. también cuatro de carácter inglés m uy bien form ado. Las pla­ lizada por el cinto de oro rodeaba en torno de su divinidad y Mañana se continuará la discusión. {Id.) nas que acompañamos no parecen hechas por pulsos tan débiles santísima humanidad para el bien y la paz de todos los hom…</t>
  </si>
  <si>
    <t>Mauricio</t>
  </si>
  <si>
    <t>…ía de la Milicia n a -! cimiento, al paso que la Turquía es moderada, y con frecuen­ c u ad ra, y cuya petición será apoyada por las fuerzas navales cío nal de la m ism a, á las órdenes del comandante graduado* cia negligente. D. Mauricio G i l , con el ñn de apresar el abad de Castillo de la Francia y la Inglaterra. Se cree que el bajá se someterá. El tratado de Uokiar Skelessi entre la Rusia y la Turquía, N uevo, persona muy adicta á la facción y de suma influen­ Estas alternativas son desagradables, y el bajá no dejará…</t>
  </si>
  <si>
    <t>Mauáilla, Alfousa Gertrudis</t>
  </si>
  <si>
    <t>Alfousa Gertrudis Mauáilla</t>
  </si>
  <si>
    <t>…d rig o D ia z de V iv a r (el Cid). 14 » D . A lva ro de L u n a , Andrés L a g u n a , F ernan do N ú ­ provjocia, limítrofes á la de su m ando, d cuando menos á asér 0»flír:Ja copiuoicaciou de esta capital con lo corte. ; Sr Alfousa Gertrudis Mauáilla., viuda en primeras nupcias ñez de G u z m á n , D. F r. Bartolomé de las C asas, Francisco Sán­ de D.:Maouel Antonio Gavera » y é a ségúadas de. D. Fer na or­ chez, D . Alfonso de Villegas. do Rafael: Moreno ,, v&amp;ino que iu e de e^ta^oíte, y falleció én 15. Ñ u ñ o N ú…</t>
  </si>
  <si>
    <t>Maximino</t>
  </si>
  <si>
    <t>…te á los dueños. que se procediese por medio de otros á la nueva calificación : y Doña María Monte Heredia , según esta dispuso en su testa­ L 3 comirion á pesar de los sentimientos patrióticos que reco­ presentando ademas el D. Maximino solicitud á dicho Sr. al­ mento, y á cuyo fin comenzó por sí la demanda con el A nto­ noce en estos individuos, cree no haber lugar á deliberar sobre calde, separándose del preindicado laudo para que se viese y nio H erranz, á consecuencia de haber este pedido alimentos, su propuesta. fal…</t>
  </si>
  <si>
    <t>Maximino, José</t>
  </si>
  <si>
    <t>José Maximino</t>
  </si>
  <si>
    <t>…D. Juan Medina que en la actualidad la ob­ en vista del impreso ypara decidir con imparcialidad y justicia tiene, no consanguíneo del instituyente; en su consecuencia Castillo, hijo de D. José, mayorhecha denuncia de 25 por D. José Maximino años, acerca del p u ­ J^enta y compra en Lóndres de barcos movidos por vapor. pide al Congreso se sirva disponer se le oiga en el juzgado de blicado en el Ferrol con el título de ^manifiesto que en defen­ primera instancia del partido d otro tribunal que estime con­ sa de su leal y j…</t>
  </si>
  <si>
    <t>May, Acajete</t>
  </si>
  <si>
    <t>Acajete May</t>
  </si>
  <si>
    <t>…s, se mantenía una fuer­ I Valencia.=Excmo. Sr, Miuistrp de Guerra y Marina.=Es co- buques franceses que se presentasen en aquellos mares. te guarnición custodiando sus depósitos , una pieza de artille­ I pia.=Cuartel general de Acajete May o 5 de 1839.=Juan de Dios ría , sus trenes y todo el material de su ejército, dispuso mar­ I Peza. TRIBUNAL d e LA. CÁMAR4 DE l o s PARES* char á hacerla rendir de grado ó por fuerza , y solamente le I E? copia.=Méjico Mayo 4 de 1859.=Juau L. Vélazquez. concedió un cuarto de hora para…</t>
  </si>
  <si>
    <t>Mayalde</t>
  </si>
  <si>
    <t>…maestras. Si por casualidad alguno de sueñas campiñas regadas por una gran p orción de arroyue- caballos, dos yeguas, algunas armas y otros efectos. ellos eslá ocu p a d o, se se entra sin recelo; el dueño se re ­ El comandante Mayalde logró sorprender á los vándalos los, en estos abundosos pastos donde rum ian los corpulen­ tira , la muger y la hija ceden el puesto, porque estos n o­ el 25 del presente mes matándoles cuatro hombres, habiéndo­ tos bueyes de las Geórgicas , en las orillas de su mar bri­ bles hospitalarios s…</t>
  </si>
  <si>
    <t>…les no consolidados, 00. das contra los facciosos de estas provincias desde mi parte an­ Deuda negociable de 5 por 100 á p ap el, 00. terior se han conseguido las ventajas siguientes : El gefe de la segunda columna (comandante Mayalde) lo­ Idem sin interés, 5 f , f y 5 | á y. f. ó vol. Acciones del banco español de S. Fernando , 00. REGLAMENTOS gró sorprender un grupo de facciosos, dando muerte á Kste- f han Hermoso y Cesáreo Moreno, natural del Coi ral, cogién­ doles las armas, y aprehendió á un quinto p r ó f u g o…</t>
  </si>
  <si>
    <t>Mayans</t>
  </si>
  <si>
    <t>…de la Guerra y el proceso” ; no es este solo lili ánimo. Los individuos de la co­ MINISTERIO DE LA GOBERNACION DE LA PENINSULA. Gracia y Justicia. misión que hablaron, y algunos de los señores que tornaron en­ El Sr. Secretario Mayans leyó á continuación los siguien­ tonces parte en la Cuestión, por circunspección ó per otras ra­ Primera sección, Circular. tes dictámenes : zones que yo respeto, uo entraron á calificar los hechos de Se­ La comisión encargada de dar su dictamen sobre la comu­ villa. Por el m inisterio de…</t>
  </si>
  <si>
    <t>MAYANS</t>
  </si>
  <si>
    <t>…e leyesen con el acta. un pecho noble y castellano ; nombrado después D ip u t a d o , des­ con fecha de a y e r , que según noticias recibidas la facción de empeñó la misión que sus comitentes le confiaron, corno la na­ El Sr. M A Y A N S contestó que no se habían leido, tanto Chelva , compuesta de unos 20 infantes y 2 40 caballos de P a­ por no haber tenido tiempo para extenderlas la secretaría en el ción sabe, y habrá agradecido, pues no puede menos de a g r a ­ lillos, se halla en Losa. acta por lo tarde que ayer co…</t>
  </si>
  <si>
    <t>…e m úsica de M aría C ristin a. M anuel Montes de Oca.zzJosé Balsera. =:Francisco Armero. misionados ó de los empleados que h a y , el resultado será que Se leyó en seguida un o rig in a l que el Sr. M in istro de G r a ­ El Sr. M A Y A N S : Conforme al acuerdo de la sesión secre­ se aum entarán los gastos sin ventaja algun a.</t>
  </si>
  <si>
    <t>…por haberle hecho andar descalzo por terreno montuoso. L o mas notable de lación. A N U N C IO S . Habiendo pedido la palabra con este o b je to , d ijo dicha sumaria es que la principal justificación del horrendo cri­ El Sr. M A Y A N S : Con arreglo á la facultad que me con ­ men se halla en las declaraciones de los prisioneros que hicieron &gt; cede el reglamento deseo que el Gobierno de S. M . , y en espe­ nuestras tropas á las del mando de V. en la misma acción en Aviso al comercio y d los viajeros. cial el Sr. M ini…</t>
  </si>
  <si>
    <t>Mayans, Secretario</t>
  </si>
  <si>
    <t>Secretario Mayans</t>
  </si>
  <si>
    <t>…Ministros de la Guerra y el proceso” ; no es este solo lili ánimo. Los individuos de la co­ MINISTERIO DE LA GOBERNACION DE LA PENINSULA. Gracia y Justicia. misión que hablaron, y algunos de los señores que tornaron en­ El Sr. Secretario Mayans leyó á continuación los siguien­ tonces parte en la Cuestión, por circunspección ó per otras ra­ Primera sección, Circular. tes dictámenes : zones que yo respeto, uo entraron á calificar los hechos de Se­ La comisión encargada de dar su dictamen sobre la comu­ villa. Por el m in…</t>
  </si>
  <si>
    <t>Mayner, Antonio</t>
  </si>
  <si>
    <t>Antonio Mayner</t>
  </si>
  <si>
    <t>…s. cipios de tokelogia y embrologia de Mf. A. L. M. VeU 1 Fuerte con 1 Muralla, 1 Thinchera y 1 Foso. peau , por D. Pedro Monlace, revisados y anotados por el doc­ i Sala con 1 Portero, i Huésped , 1 Cava y 1 Despensero. tor D. Antonio Mayner, catedráticos de obstetricia en el Real i Campo fresco y i Campo largo, 2 Millas, con 2 Coli­ CORRESPONDENCIA DE LA GACETAS colegio de medicina y cirugía de Barcelona. Un tomo en 8.° prolongado. Se vende en esta corte en la librería de la viuda de nas , Norte y Oriente. 5 Bosques c…</t>
  </si>
  <si>
    <t>Mayor, Carlos</t>
  </si>
  <si>
    <t>Carlos Mayor</t>
  </si>
  <si>
    <t>…Otra id ., calar de Santa Bárbara, término de Baza , Ani ­ _ p 0„ce ..................................................... 3 9 ,5 7 1 ..7 ..2 3 _____ .... 4 1 6 ..1 ..1 3 3 9 ,7 8 8 ..!.. 2 m as,para llamarla Candelaria, por D. Carlos Mayor, en 22. _ Guayama................................................... 38,127.. 1 .. 18 .... 5 ,1 6 2 .. 4 . .5 0 4 3 0 ..7 .. 6 4 3 ,7 2 0 ..5 ..2 0 Otra id. id. id., S. Juan, para Estrella, por id., en 22. A guadilla.................................................. 14,654.. 3 .. 32…</t>
  </si>
  <si>
    <t>Maza</t>
  </si>
  <si>
    <t>…sus mas bellas páginas. Con tan grandioso de cobre; su forma es común. En una sesión de los representantes ha sido muerto á p uñ a­ motivo y los fundados consuelos del porvenir, tendrán el p la ­ D e hierro. ladas el Presidente Maza por el Diputado Mazorca (del club de cer de ver cesar las am arguras que tan atrozmente han mortifi­ los jacobinos, que está bajo la influencia de Rosas), á los gritos Un hacha f a m i l i a r , completa, que tiene las dimensioi es cado cel sensible corazón que anida todas las virtudes r é g i…</t>
  </si>
  <si>
    <t>Mazarredo</t>
  </si>
  <si>
    <t>…lena . Embarcado ción á la m arina, que apenas existia. Ascendido en Julio de alli á poco tiempo en el navio Conquistador que hacia de 29 á teniente general, y nombrado pocos dias después p en e de ios de la escuadra del general Mazarredo, con­ capiian general de dichas Islas, cuyo cargo renunció y no TEATROS. currió á la persecución de la inglesa , mandandu la lancha le fue admitido, continuó al frente de ellas hasta 1.°de Mar* PRINCIPE. A las cuatro de la tarde. Se volverá á poner áé dicho navio con un cañón de á 24 en el…</t>
  </si>
  <si>
    <t>Mazas, Felipe</t>
  </si>
  <si>
    <t>Felipe Mazas</t>
  </si>
  <si>
    <t>…llegar á las obras que continúan con visible adelanto Otra id. en el sitio de Tarrera, del lugar de Girnargo, ju­ las brigadas del presidio de esta ciudad sobre la cuesta de las risdicción de id. , titulada San M igue i, por D. Felipe Mazas, Lágrimas y el suspiro del Moro, el Sr. gefe político hizo va­ en 15 id. La Cámara de los Comunes ha oido ayer el discurso pro­ rias interrogaciones á los penados, cujas contentaciones, d mi Otra de carbón de piedra en el barrio de Cianea del lugar nunciado por Mr. Merewelher, á nombr…</t>
  </si>
  <si>
    <t>Mazo, Santiago José García</t>
  </si>
  <si>
    <t>Santiago José García Mazo</t>
  </si>
  <si>
    <t>…el em­ J^ L nes Catecismo de la doctrina cristiana explicado,ó explicacio­ del Astete que convienen igualmente al Ripalda, por el señor inspector de protección y seguridad pública con varios barcadero del canal. el licenciado D. Santiago José García Mazo, magistral de la celadores y salvaguardias. En la puerta de Atocha, que divide el juzgado de Lavapies santa iglesia*catedral Apenas dichos señores alcalde constitucional é inspector en­ del de la Plaza, el camino divisor será el de Vallecas. de Valladoíid. Segunda impresió…</t>
  </si>
  <si>
    <t>Mazon, Angel</t>
  </si>
  <si>
    <t>Angel Mazon</t>
  </si>
  <si>
    <t>…mbre de 1859.—Juan Martin Carramoiino. ha mandado citar á sus acreedores por el término preciso de 50 Habiéndose denunciado ante el Sr. alcalde constitucional, dias , que empezarán á correr desde la publicación de este anun­ D. Angel Mazon, por D. Patricio Joaquín de Avila el artícu­ cio. Y para que llegue á noticia de todos, y se presenten por CORRESPONDENCIA DE LA GACETA. lo remitido sobre fueros, inserto en el periódico titulado El sí ó por medio de procurador con poder bastaote, se anuncia ai P ilo to , núm. 199 , co…</t>
  </si>
  <si>
    <t>…q u e , pues tienen á la mano mas REVISTA DE MADRID. medios que nosotros, averigüen imparcial mente y con de­ Habiéndose denunciado ante el Sr. alcalde constitucional tenim iento ai la comedia intitulada E n M a d rid y en una D. Angel Mazon por D. José de Bulner y Solera en concepto AGOSTO D E 1839. ta s a , es ó 110 de aquel autor cómico. El ejem plar que de injurioso en primer grado el folleto titulado: tcEste sí que poseemos de esta pieza y que parece arrancado de un es tapa bota y concluye: wcon mi ejemplo y mis consejo…</t>
  </si>
  <si>
    <t>…que había ya anunciado como inm i­ hay grabados unos 50señaladamente Habiéndose denunciado ante el señor alcalde constitucional nente manjiferos, en las de zoología, donde otras tantas aves, muchos de esta muy heroica villa D. Angel Mazon, por D. Ignacio M a­ interior, una coalición entre Mehemet-Alí y la Inglaterra en lo peces, reptiles é invertebrados. Todo ejecutado con el mayor ría Asensio, como apoderado de los Sres. D. Francisco Nuñez, acerca dedelalacual A rabia, no asegura la exactitud de esta noticia^ esmero. no…</t>
  </si>
  <si>
    <t>…id. Valencia, par. joven profesor D. Casimiro Mellier. Habiéndose denunciado ante el Sr. alcalde constitucional de Cádiz, i £ á * d. Zaragoza, id. 5.° Dúo en la ópera Ottelo , del maestro Rossini , por los esta heroica villa D. Angel Mazon por D. Manuel Fernandez de Sres. Unanue y Calvet; con decoración y trajes. Descuento de letras, á 6 por 100 al año. 6.° Cavatina en la ópera Roberto el Diablo , del maestro Meyerbeer , por la Sra. Villó y coristas ; con decoración y (1) Esta opinión ha sido destruida completamente por…</t>
  </si>
  <si>
    <t>Mazorca</t>
  </si>
  <si>
    <t>…as. Con tan grandioso de cobre; su forma es común. En una sesión de los representantes ha sido muerto á p uñ a­ motivo y los fundados consuelos del porvenir, tendrán el p la ­ D e hierro. ladas el Presidente Maza por el Diputado Mazorca (del club de cer de ver cesar las am arguras que tan atrozmente han mortifi­ los jacobinos, que está bajo la influencia de Rosas), á los gritos Un hacha f a m i l i a r , completa, que tiene las dimensioi es cado cel sensible corazón que anida todas las virtudes r é g ia s , y de "M u e r a…</t>
  </si>
  <si>
    <t>Mcadez, Andrés</t>
  </si>
  <si>
    <t>Andrés Mcadez</t>
  </si>
  <si>
    <t>…eciar las prendas de este diplomático miran esa pro­ V. M. beneficios tal vez superiores á sus esperanzas, y no cesa­ alcalde.zzJuan H ig u e r a , regidor primero.zzSeñal del regidor moción como un acto de justicia. segundo, D. Andrés Mcadez.^Pedro M endez, procurador.::: No dejan de ser curiosos los motivos q u e, según se asegu­ sen de bendecir su nombre augusto y el de Doña Isabel i r , here­ r a , indujeron al capitan-bajá á refugiarse á Egipto. Una i n ­ dera de todas las virtudes de su excelsa Madre. Pedro L u bian ,…</t>
  </si>
  <si>
    <t>Me, Caballero.</t>
  </si>
  <si>
    <t>Caballero. Me</t>
  </si>
  <si>
    <t>…a y colocados estos en su putado, con la circunstancia de echar mano de los mayores pu­ que ha manifestado la tomo única y exclusivamente para corroborar lo respectivo lugar con sujeción al art. 9.° de dicha instrucción, el Sr. Caballero. Me gusta que en los par­ excitó el Sr. dientes. Puedo asegurar que si la diputación hubiera tenido esa tidos políticos se respete parcialidad , los que hemos tenido el honor de ser elegidos nos yo no puedo menos de,afirmar la razón, y se proceda con justicia; y ejemplares del vicepresid…</t>
  </si>
  <si>
    <t>Me, Diego</t>
  </si>
  <si>
    <t>Diego Me</t>
  </si>
  <si>
    <t>…ueblo l/¡. facc io - j nsmo de policía. D . J u a n de Ribera y el maestro Fr. Luis Ponee de León. sos, que cargados con denuedo por u na guerrilla de ambas a r ­ Pretextos y dilaciones del in fa nt e D . Carlos á salir de 8.° D. Diego Me*í* y G u z m a u , el maestro J u a n de A v i ­ m a s , fueron dispersados con perdida de cinco mué» tos, na p r i­ P ort uga l. l a , el padre Fr. José de Sigüenz-*, D. Diego C ov arru bi as y sionero, la m ay o r parte del a r m a m e n t o , ca n a n a s , capotes y ; Coirespondencia de…</t>
  </si>
  <si>
    <t>Me, Lorenzo</t>
  </si>
  <si>
    <t>Lorenzo Me</t>
  </si>
  <si>
    <t>…de que parece se ocupan actualmente los Aroste^ui , D. Alfonso R u iz, D. Tomas María Z anon , Don BIB LIO G R A FIA . enemigos hacia el extremo izquierdo de la línea de nuestro ejér­ Luis Martínez Leganés, D. Miguel Serralde, D. Lorenzo Me­ cito del N orte, alguna gente castellana en fuerza de dos ó tres lero, D. Lorenzo Sancho y D. José Golovardas, quienes decla­ E L ca B UEN T O N O . Periódico de artes y oficios que se publi­ batallones, incluyéndose en ellos cerca de unos 60Ó hombres raron por unanimidad no haber Jugar…</t>
  </si>
  <si>
    <t>Me, R.afael</t>
  </si>
  <si>
    <t>R.afael Me</t>
  </si>
  <si>
    <t>…y de los abusos. Esta auseticia y la del honorable nio, se han segui do autos á insta ocia del promotor fiscal del c ap i t á n V a n - d e n - B o s c h , hermano del general y d i gn o di scí pu­ mismo j uzgado el licenciado D. R.afael Me r l o sobre d en u n c i a lo de tal ma e s t r o , fueron causa del estado en que se encuen­ de un impreso que se publicó en esta c a p i t a l , fechado en L a c e ­ na á 2 2 de J u n i o ú t i m o , impreso en la oficina de D. J o a q u í n JT\ON Alonso L u i s de Si err a , b r i g…</t>
  </si>
  <si>
    <t>Meaux</t>
  </si>
  <si>
    <t>…creen haber derrocado vicio» de actualidad. te, rivaliza con todas en actividad y buen desea á fuerza de desearlo/' Esta pintura que en lejanos tiempos Toda nuestra larga digresión ha venido*á parar natu­ hacia el digno obispo de Meaux , es la descripción eterna ralmente á este punto. JLa boda y el duelo ea el drama del del hombre corrompido y ateo: el D. Juan de Lope de tiempo pasado; no ea el drama del tiempo presente. Pres­ Vega, el de Moliere, el de Byron , es el Lovelaee de Ri- cindiendo de que su objeto, su fin morales…</t>
  </si>
  <si>
    <t>Mechoacan</t>
  </si>
  <si>
    <t>…gió g rav e, es señores, esta cuestión , que ella precisamente es el ob­ segundas lo hagan los metropolitanos: asi se pensaba en 1850. el metropolitano al Gobierno, y es de notar que habiendo sido jeto de la memoria del obispo de Mechoacan, memoria que fue ¿ ^ ahora como se habia de pensar al contrario? nombrado vicario de M álag a, el Sr. obispo, á insinuación del prohibida, y en que se propuso vindicar ese derecho; pero la Gobierno , creyó de su deber contar con este, y por eso dice: Lo mas grave que ha habido en el discur…</t>
  </si>
  <si>
    <t>Medem</t>
  </si>
  <si>
    <t>…d á la nación francesa. El gran v isir, H alil— M edem , cónsul general de Rusia. El encargado del consulado bajá y R e s c h id - b a já , asi como el primer intérprete del d iv an , F R A N C IA . de Prlisia recibe del conde de Medem (a correspondencia y a es­ se hallaban presentes en esta audiencia. crita en lengua francesa , y se lim ita á expedirla. Si el Gobier­ El mismo dia se han reunido en la Puerta en gran consejo no prusiano no quiere seguir ciegamente la política rusa en la P aris 2 4 d e N oviem be. extraordina…</t>
  </si>
  <si>
    <t>…aternalmente al ejército de mi mando para con­ Una carta de Alejandría del 21 de Julio anuncia, que ha­ litros por hora , no consumiendo mas que 10 litros de carbón solidar la paz tan deseada de todos. biendo aconsejado el conde Medem al bajá de Egipto que de­ de tierra, lo que establece su producto en i2 por uno. El agua , Repetidas aclamaciones de unas y otras tropas justificaron volviese la escuadra otomana , respondió Meheroet-Ali que sa­ sale por el aparato epuratorio tan pura , tan sana como el agu&lt;» la pureza de lo…</t>
  </si>
  <si>
    <t>…de Belascoain y de cinco bocas de fue­ sia. Se dice que el Gobierno ha recibido esta noticia. directamente con el conde Orloff á la Haya , en donde comerá go. La pérdida del valle de Echauri, donde los carlistas reu ­ «El conde Medem se ha decidido á esperar aqui al bajá con y pasará la noche en el palacio del Príncipe de Orange. Maña­ nían gente y víveres. Por haber abandonado los carlistas los dos la seguridad que ¡e ha dado Boghos-bey de que debe llegar in­ na después de haber asistido al oficio divino eu la igiesia gri…</t>
  </si>
  <si>
    <t>Meden</t>
  </si>
  <si>
    <t>…a por las tropas do lá herencia de la Siria. Parece decidido á no entregar la es­ de S. Sebastian cuadra otomana , y lo ha declarado formalmente. GRAN BRETAÑA. Lo que traslado á V . E. para su superior conocimiento y El conde de Meden , que en presencia de sus colegas se para .si lo tiene á bien elevarlo al d e S . M. Dios guarde á V . E. explica mas enérgicamente que ninguno de ellos, continúa sus muchos años. Vitoria 3 de Setiembre de 1859. =Excmo. Sr.= L ó n d res 26 d e A gosto . conferencias privadas con el v irey. E…</t>
  </si>
  <si>
    <t>Medina, Juan</t>
  </si>
  <si>
    <t>Juan Medina</t>
  </si>
  <si>
    <t>…sorteo señores que á continuación se expresan , median­ de 1859.—Baltasar Pastor. que tuvo lugar, precedido el juramento en materna del exponente, y que por lo mismo se cree con mas de­ manos del Sr. alcalde recho á ella que D. Juan Medina que en la actualidad la ob­ en vista del impreso ypara decidir con imparcialidad y justicia tiene, no consanguíneo del instituyente; en su consecuencia Castillo, hijo de D. José, mayorhecha denuncia de 25 por D. José Maximino años, acerca del p u ­ J^enta y compra en Lóndres de barco…</t>
  </si>
  <si>
    <t>Medina, Juan J.</t>
  </si>
  <si>
    <t>Juan J. Medina</t>
  </si>
  <si>
    <t>…ngbam , M anches- El cadáver de aquel rebelde ha sido conducido á Sarria. corte de Prusia, han sido mas felices, pues ha logrado se le haga ter y Sheffield, la circular siguiente, que á nuestro entender no Mi ayudante de campo D. Juan J. Medina , el teniente de una reducción considerable en los derechos de importación en ha de poder menos de producir alguna impresión. Milicia nacional movilizada de Brollon, Pombo, y el alférez del el arroz, uno de los productos mas importantes de su país. La Alejandría 7 de Octubre de 1859.…</t>
  </si>
  <si>
    <t>Medina, Manuel</t>
  </si>
  <si>
    <t>Manuel Medina</t>
  </si>
  <si>
    <t>…ros efectos, y en­ 20 5122..29 Orense..................... 8585-14 contrándose entré los cadáveres les del calecida Perdiz y un 21 ....................... 605.. 15 Oviedo..................... 15541-12 ¡ ayudante suyo llamado D. Manuel Medina. 22 ................. .. ' 24 *20.. 18 Palencia. ................ 10016..27 &gt;1557494-11 El mismo capitán genera! añade que el comandante general l 25., ................... 229..22 Palma de Mallorca. 10268-17 propietario de la expresada provincia de Avila le manifiesta * 24. ........…</t>
  </si>
  <si>
    <t>Meditador, Esteve.</t>
  </si>
  <si>
    <t>Esteve. Meditador</t>
  </si>
  <si>
    <t>…sa índole y natu­ mas atrevidos que osaron hacer la prueba. Esta empresa estaba legítimo trono de su excelsa H ija con un s a k a a b le perdón á raleza , de que podrá valerse con oportunidad y tino un G o ­ reservada solo al Sr. Esteve. Meditador profundo, con exquisita cuantos dolorosamente se han alejado de él en ¡a civil discordia, bierno ilustrado y celoso. sensibilidad artística y con facilidad suma en el manejo del bu­ próxima á terminarse por el auxilio de la Div?.-U Providencia, Tales son las máximas que han guiado…</t>
  </si>
  <si>
    <t>Medrano</t>
  </si>
  <si>
    <t>…en 55 zaoo del cargo de Senador por la provincia de B urgos; y pre­ de 4OO ducados a n u a le s, ademas de la pequeña jubilación que millones al mes, y solo el presupuesto de guerra importa de 72 á guntado por el Sr. secretario Medrano si se diria que el Senado disfruta. 8 0 millones , ¿e s extraño que falte para algunos? No es pues quedaba enterado, dijo La comisión, en vista de los servicios de este interesado, y cargo para el Ministro de Gracia y Ju stic ia que las clases que El Sr. G O N Z A L E Z , que le parecía qu…</t>
  </si>
  <si>
    <t>…ual de 50 millones de piastras. votos; y verificada esta, tuvieron el Sr. conde de Vigo 54 vo - m ar á la Puerta de que las cinco Potencias estaban conformes La Puerta ha aceptado inmediatamente la intervención de la tos, el Sr. Medrano 31 , el Sr. marques de Vilum a 2 1 , y el ( a g r e e d ) en general sobre los negocios pendientes entre la T u r ­ E u ro p a, y en consecuencia se ha suspendido la salida de los Sr. Torres Solanot 14 ; y habiendo reunido mayor número de quía y el E gipto : y que también tenían encargo de…</t>
  </si>
  <si>
    <t>MEDRANO</t>
  </si>
  <si>
    <t>…iéñtó de 1$ 'de parecer de que el articuló estaba ceñido al de la Constitu­ comisión que sobre él debía informar. '' v 1‘ j ción y asi debia ser aprobado. E l Sr. P R E S I D E N T E hizo presenté*que los^Sres. Senádo-f v ñ Sr. M E D R A N O e x p r e s ó que r e s p e ta n d o la opinión de ANUNCIOS OFICIALES. res conde del M oñtijo y Allende Salazaf no podíaú ’aáíVtir á Jai la comisión se a t r e v í a á decir qúe n o habia e s ta d o muy acerta­ sesión por hallarse enfermes, lo que advertía para que no sá d a en p r o…</t>
  </si>
  <si>
    <t>…proposición del Sr. duque de Frias. Puesto á votación el párrafo 1 0 , fue aprobado. Sres. secretarios conde de V igo y D . D iego Medrano. Hecha la pregunta se aprobó por unanimidad. Se leyó el párrafo 11 y una adición del Sr. Medrano , re­ El Sr. P R E S ID E N T E dijo que conforme á la anterior re­ ducida á que en los proyectos 1 fabiéndose indicado por algunos Sres. Senadores que el Se­ re comprendido uno de reforma electoral.de que en él se habla se conside­ solución del Senado, los señores que no forman parte de l…</t>
  </si>
  <si>
    <t>…ómica, privilegios que los hacían de por su propio peso. Leida el acta de la anterior , quedó aprobada. una condición distinta de la de los demás españoles. Señores, los fueros municipales de las provincias están f u n ­ El Sr. M E D R A N O : Habiéndose presentado en el Senado Los que han querido disim ular el defecto de la ley ó que dados, corno he dicho, en cartas-pueblas de los Reyes de Cas­ los Sres. Ciscar y Alcántara N av arro , Senadores electos, el p ri­ no le han reconocido t a l, dan una interpretación nueva : l…</t>
  </si>
  <si>
    <t>…ral del ejercito del Norte, cal de la contaduría mayor.” formular una propoicion sobre el particular. los que suscriben como españoles identificados con la causa de El Senado podrá ser servido resolverlo asi, ó como consi­ El Sr. MEDRANO, después de dar gracias á los indivi­ la ilustración y principios constitucionales, y como funciona­ dere mas acertado. Salón de comisiones del Senado 20 de Se­ duos de la comisión por los términos corteses con que desecha­ rios que tienen la honra de halUrse encargados por V. M. de tiembre…</t>
  </si>
  <si>
    <t>Medrano, Antonio El Sr.</t>
  </si>
  <si>
    <t>Antonio El Sr. Medrano</t>
  </si>
  <si>
    <t>…5 de Agosto de Habiendo pedido la palabra el Sr. Perez dé R iv a s , d ijo , tículos que contiene dicho proyecto. 18 58 , que yo suplicaría á uno de los Sres. Secretarios tuviese que ayer se había presentado una exposición por D. Antonio El Sr. Medrano ocupó la tribuna y lo le y ó , y el Senado lo á bien leer. (Se leyó.) Ramírez de Arel la no , q u e jándose de la tardanza conque la co­ encontró conforme con lo aprobado. Y o , señores, me he convencido de que el Sr. conde de To­ misión despachaba su asunto, por lo cual creí…</t>
  </si>
  <si>
    <t>Medrano, Diego</t>
  </si>
  <si>
    <t>Diego Medrano</t>
  </si>
  <si>
    <t>…á Berga, 13. Para reforzar la columna de la Cerde- Canarias (islas). = D. Antonio de la Rocha y Lugo. y por O. las de Solsona y Cardona. ñ a , 1,500. Para reforzar la columna del Segre, 1,500. Total Castellón de la Plana. =: D. Diego Medrano. N inguna de estas avenidas puede decirse, sin embargo, que de fuerzis empleadas, 12,400. Quedan para el sitio 12 600* Ciudad-Real.irEl reemplazo del Sr. marques de Santa Cruz. ofrezca en el dia la facilidad que exige el rápido trasporte de las Total 250. Córdoba. = Marques de Guadal…</t>
  </si>
  <si>
    <t>Medraoo</t>
  </si>
  <si>
    <t>…comercio nacional” Rectificaron hechos los Sres. González y Ministro de la Go­ cuanto á la adición al párrafo mismo que se propone bernación , y leído nuevamente el dictamen de la comisión que­ CONGRESO DE DIPUTADOS. por el Sr. Medraoo con relación á la ley electoral, la comisión dó aprobado por unanimidad, constando que habia sido asi á reconoce el plausible celo de su autor; pero entiende que su con­ petición del Sr. Quiroga. PRESIDENCIA DEL SEÑOR CALATRAVA. tenido es materia de una proposición, en la cual podrá hacers…</t>
  </si>
  <si>
    <t>Meer</t>
  </si>
  <si>
    <t>…habrán visto fallidas sus esperanzas, y con- Pons y sus inmediaciones. jores autores extraogeros, y algunas originales; y tendrán de­ vencídose con vergüenza de que el español liberal es religioso , y El 'general en gefe barón de Meer pernoctó el 26 en la recho á un sorteo, que se verificará cada tres meses, en el que que su opinión lejos de influir siniestramente en las ideas reli­ ciudad de Balaguer , y al dia siguiente pasó á Ager á inspec­ al suscriptor que obtuviese el número premiado se le dará gra­ giosas, las forti…</t>
  </si>
  <si>
    <t>…ces en una reyerta, el Sr. juez de primera instancia Am orós, en el cual va inserta madas se acercaban por una mutua atracción , y estrechándose y los otros abandonaron voluntariamente una compañía en la carta contra el barón de Meer que dio lugar á ella ; y segui­ cada vez mas el círculo, encerraba la llam a concentrada y so­ donde eran mirados con horror. da de la seutencia absolutoria que pronunció la misma au ­ focada en un mismo foco. Este método, fundado en una ley Reducida la caravana á soles siete in d iv id u o s…</t>
  </si>
  <si>
    <t>…do El Sr. Cambronero se ha resbalado en el terreno de si h a ­ El Sr. M in istro de H A C I E N D A : Unicam ente he tomado la suspender la v enta de bienes nacio nales; qué medidas se han bia ó no facultad de parte del barón de Meer para a d o ptar p alab ra para deshacer una equivocación que ha cometido el se­ tomado por el G obiern o : 2.° S i es cierto que algunos bienes esas m e d id a s , y ha dicho que las resoluciones que h a tomado ñor Baeza. S. S. ha dicho que nos habíamos contradicho el se­ religiosos no h an sid…</t>
  </si>
  <si>
    <t>…punto céntrico para mayor c o - En la mañana de ayer entró en esta plaza el Excmo. señor A rm a velit, poscat que si m ui, tap ia l que juventus+ ^ modidad del pú blico, se ha trasladado la com isión de capitán general barón de Meer con su estado mayor. (G. iY.) «Quiera las armas y las pida al punto préstamos y ventas y almoneda pública á la calle M ayor, nú­ y la fogosa juventud las tome.” mero 14 5 cuarto bajo; donde se hacen em peños desde 40 rs* arriba , y se admiten para vender alhajas, m uebles, ropas, gé­ La Susp…</t>
  </si>
  <si>
    <t>…último desde Santa Cruz de Tenerife, queján­ los ; la comisión dice que se está en el caso de pasar la exposi­ cuestión, porque individuo de la comisión de las Cortes cons­ dose de los procedimientos del capitán general barón de Meer; ción al Gobierno , y ademas de que se tenga presente en tiempo tituyentes, la cual se ocupó de este negocio, examinó el expe­ y exponen que en 15 de Octubre del año próximo pasado fue­ oportuno, pues yo digo que no há lugar á exigir la responsa­ diente, y dió un dictámen mas atrevido, no solo…</t>
  </si>
  <si>
    <t>…y que uoa copia de ella. midos, y aqui contesto de paso á lo que se ha dicho de que yo no podía prejuzgar ninguna cuestión porque no tenia antece­ Llamó la atención del Gobierno sobre la necesidad de que no era amigo del barón de Meer, y declaro solemnemente que no dentes, para ello. se empleen medios violentos para la exacción de la contribución solo no lo he sido nunca, sino que ni lo'seré, ni lo puedo h a ­ Declarado haber lugar á votar fue aprobado el dictámen de decimal hasta el punto de distraer para el efecto la fuer…</t>
  </si>
  <si>
    <t>…y la m aligni­ do sin estado de sitio. Aquellos Diputados fueron elegidos bajo Estos excesos son harto recientes en(re nosotros para que sea dad para propagar noticias alarmantes, ofender el pudor, tur­ la influencia del barón de Meer, y entonces no se reclamó con­ necesario detenerme en manifestarlos. Tan inútil como lasti­ bar la tranquilidad pública , ó herir con tiros envenenados la tra la elección, y ojalá me hubiera tocado la suerte de estar en mosa seria la pintura de abusos que á tanto han llegado ya, reputación de l…</t>
  </si>
  <si>
    <t>…en el Correo francés del sábado 27 de Abril de este año, dos que valen por todas: una es la de seis ó siete peticiones de por la cual se manifestaba que habia sido agregado á la misión los deportados de Barcelona por el barón de Meer , y otra so­ jetos petarla á la Constitución, como lo están sus súbditos, debían res­ , y debían cumplirla en todas sus partes; que debían ha­ del Sr. Zea , cuyo periódico quedaba también sobre la mesa. bre la desigualdad de pagos, acerca de lo cual se han hecho pe­ cerse asegurar á esta nac…</t>
  </si>
  <si>
    <t>Mejía</t>
  </si>
  <si>
    <t>…que queda derogado en todas sus partes el Gobierno, habiendo sido aquellas completamente derrotadas, y En vista de lo expuesto no podrá ya extrañarse que la le­ mencionado Real decreto de 4 de Setiembre, subsistiendo el general Mejía hecho prisionero y fusilado de orden de San- en su lugar la declaración contenida en la Real orden tana. Añaden también que los generales Urrea y Escalada h a­ gación de Francia haya olvidado todas aquellas reglas que de­ bieron guiarla en el importante desempeño de sus funciones. de 15 de…</t>
  </si>
  <si>
    <t>…os abusos que se han intro­ rota de los federalistas en M éjico, y de la victoria de Santa- tiene de humillar á Mehemet-Alí. Sus fuerzas no son suficien­ ducido en las santas ciudades por efecto de las ótdenes del na. El general Mejía que mandaba el ejército federal fue cogi­ tes para llevar á cabo semejante empresa; y en tanto que con­ baja: 2.° El pago por un orden regular de los tributos, y que do y fusilado. Se anuncia también que Mr. Eliis ha partido serve Mehemet-Alí la Siria, la Turquía se verá en la necesi­ bajo n…</t>
  </si>
  <si>
    <t>Mejía, José Antonio</t>
  </si>
  <si>
    <t>José Antonio Mejía</t>
  </si>
  <si>
    <t>…M. la N ereida, Isla Verde Abril 17 de 1859. La vindicta pública ha descargado su brazo inexorable so­ con el establecimiento de los correos marítimos que produjo Excmo. S r.: Solamente ayer por la noche fue cuando reci­ bre D. José Antonio Mejía , traidor tantas veces contra la pa­ bienes inmensos, y debe por tanto celebrarse con el dictado de bí la carta que Y. E. me hizo el honor de dirigirme con fecha tria, y primer responsable de la inocente sangre que se ha ver­ progreso. 1 4 de este mes, relativamente á los socorr…</t>
  </si>
  <si>
    <t>Mel</t>
  </si>
  <si>
    <t>…de! 1.° de Diciembre. 'JJna F ie ja l comedia eti cuatro actos, eo verso, por D. Manuel Bretón de los Herreros. A la noticia de los acontecimientos de A rgel, el mariscal operación, confiada al capitán de la compañía franca D. Mel­ No es tan fácil como creerse pudiera , hacer ía crítica de la Soult ofreció al Rey dimitir el cargo de M inistro de Negocios chor Clemente, fue desei?v ñada tan completamente, que no so­ extrar-geros, é ir á tornar el mando de las trepas que se han lo cortó los puentes, sino que logro la captur…</t>
  </si>
  <si>
    <t>…segundo cabo de Valencia en comunicación de ban los dccumentos necesarios; pues lo dicho por el Sr. Caneja guida á lo que dijera el Sr. Alonso (D. Juan Bautista); y ha­ 22 del actual dice que el capitán de la partida franca, D. Mel­ de que á la comisión se le habia presentado un acta limpia y ciéndose cargo en tercero de lo que el Sr. López, corno indivi­ chor Clemente , sorprendió el dia 18 en la venta del Rebollar sin reclamación alguna, era justamente en concepto de S. S. un duo de la comisión, tuvo el honor de decir a…</t>
  </si>
  <si>
    <t>Melchor</t>
  </si>
  <si>
    <t>…a 2. El general Azpiroz dió sus disposiciones, y salió justos si no tributásemos el elogio merecido, esperando que A ía extremidad de estos d iq u e s , pero se p ara d a, está la a r ­ la partida franca al mando de su comandante Melchor para el dentro de poco el presidio correccional de V alen cia, que solo mería y el muelle de los cañones; la primera no tiene cosa de vado de M o y a , donde apresó á un titulado oficial del Pim en­ tiene de presidio el nom bre, podrá alternar con los mas g r a n ­ p a r tic u la r , conteni…</t>
  </si>
  <si>
    <t>Melchor, José</t>
  </si>
  <si>
    <t>José Melchor</t>
  </si>
  <si>
    <t>…unen los los liberales y se conducen nuestros valientes al frente de enemigos. Entre los sugetos que fueron convidados para examinadores reis en cuanto vuestros alcances os lo permitan seguir el ejern- asistieron los Sres. D. José Melchor P r a t, gefe superior políti­ La primera división ha entrado hoy ea Muryiedro. co; D. Juan Jiménez Cuenca, diputado provincial por L uce-</t>
  </si>
  <si>
    <t>Melchora</t>
  </si>
  <si>
    <t>…r , uno idem. del bueno, fam oso, verdadero, y que Cañizares lo sacó al teatro por compla­ Ademas otras obras sueltas. del bravo y el lindo. cer á amigos poderosos, alegres y mal intencionados. En la misma comedia hay una Doña Melchora tonta; mas tan Todos estos indicios demuestran que floreció en !a época aficionada al matrimonio, que conduce á la par dos intri­ que hemos dicho. Sin embargo, sus frecuentes alusiones á gas amorosas, para hacerse poderosa, según ella dice, lo­ TEATROS. Calderón y á los lances de las comedi…</t>
  </si>
  <si>
    <t>Meleodez, Agapito Balenzuela y D. José</t>
  </si>
  <si>
    <t>Agapito Balenzuela y D. José Meleodez</t>
  </si>
  <si>
    <t>…ablecimientos ó corporaciones. Juan José Espinosa, D. Juan José Anguila Mateo Perez, Don pies cuadrados superficiales, vale 478,917 rs. en venta, en ren­ Las que particularm ente están com prendidas en esta dis­ Manuel Moreno, D. Agapito Balenzuela y D. José Meleodez, ta anual 50© rs., y está libre de farol y aposento, teniendo solo posición son las siguientes: ayuntam iento de M adrid, fa­ para que en el término de nueve dias, que por el tercero y úl­ contra sí un censo de 250© rs. de principal con réditos de 5 cultad veter…</t>
  </si>
  <si>
    <t>Melero, Higinio</t>
  </si>
  <si>
    <t>Higinio Melero</t>
  </si>
  <si>
    <t>…a certificada del ac­ ca'ía vacante en la audiencia de Burgos por fallecimiento de Hemos sabido por un buque mercante la llegada á Malta ta, lista de los electores que hubieren tomado parte en la D. Juan Manuel L G u en fe, á D. Higinio Melero, catedrático de dos personajes de distinción, enviados por el Sultán cerca del elección. de la universidad de Valladolid , en quien concurren los requi­ bey de Trípoli y de Berbería. Han salido para esta capital á 7.a Debiendo renovarse la tercera parte de los S e n a ­ sitos que ex…</t>
  </si>
  <si>
    <t>MELGAREJ</t>
  </si>
  <si>
    <t>…lo lejos de oponerse á la Constitución está enteramente ra reconocer á nuestra Reina , sino por la aversión que tiene al Se leyó el 5 .° conforme con ella. actual sistema de G obierno, pues en el año 1 8 2 2 hizo lo pro­ El Sr. M E L G A R E JO dice que estaría mejor el artículo si S. S. continúa haciendo otras observaciones acerca de la pio á pesar de estar reconocido el Sr. D . Fernando v i i , que dijese: "ios dos secretarios mas jóvenes de dicho cuerpo.” conveniencia de aprobarse ei artículo, mediante á que la 'c o m í…</t>
  </si>
  <si>
    <t>Melgarejo</t>
  </si>
  <si>
    <t>…tículos siguien tes: no ha contado mas que la mitad de la historia del a r tíc u lo : yo Por Cáceres: Sr. Landero y Corchado. Artículo í.® Se confirman los fueros de las provincias V a s ­ contaré la otra mitad. Por Cuenca: Sr. Melgarejo. congadas y N av arra . L a comisión propuso el artículo del modo s ig u ie n te : Por Salamanca : Sr. Onís. Art. 2.° El Gobierno, tan pronto como la oportunidad lo No podrán ser elegidos Diputados ni Senadores los capita­ El Sr. P R E S ID E N T E dijo que hallándose en el Senado dos ne…</t>
  </si>
  <si>
    <t>…El Sr. G O M E Z B E C E R R A contesta que ya expresa el a r - j siou no ha hecho mas que arreglarse á lo acordado por el Senado presentó jsixx&gt; que antes hiciera abjuración de ciertos principios, Lículo lo mismo que dice el Sr. Melgarejo , pues previene que en esta misma legislatura. cosa á que siempre se negó aquel ilustre eclesiástico, modelo los secretarios lo serán ios dos de menor edad. j El Sr. R U IZ D E L A V E Q A dice que habla con cierta ti­ inimitable de virtu d es, y sabiduría y fortaleza de án im o, que El S…</t>
  </si>
  <si>
    <t>Melgarejo, Santiago María</t>
  </si>
  <si>
    <t>Santiago María Melgarejo</t>
  </si>
  <si>
    <t>…. S, inserta cuadras concentradas cerca del Bosforo bastaría para producir he tenido a bien nom brar Senadores: por la provincia de en el suyo de 22 de Abril últim o, se ha servido acceder una conflagración genéral. Cuenca a D. Santiago María Melgarejo, en reemplazo de a la expresada solicitud; pero con la circunstancia de que En el consejo de Estado se ha agitado una importante cues­ D. Andrés María Martínez-Unda» y por la de Canarias al las piezas, a las cuales se hace extensiva la citada Real tión. 8e trata de los atra…</t>
  </si>
  <si>
    <t>Mellado, D. Francisco de Paula</t>
  </si>
  <si>
    <t>D. Francisco de Paula Mellado</t>
  </si>
  <si>
    <t>…eñalándole para ella la casa palacio habitación del Ex­ Bibliotecario ízSr. D. Aotonio María Segovia. celentísimo Sr. capitán general de este distrito, donde deberá Suplentes.srSr. D. Antonio Gil y Zarate, para consiliario. Sr. D. Francisco de Paula Mellado, para secretario. Sr. Don Juan Batefc, para depositario. Sr. D. Rafael Bertodauo^ para IMPRENTANACIONAL. presentarse personalmente dentro del término de 50 dias, que se cuentan desde el dia de la fecha, á dar sus descargos y de­ fensas, y de no comparecer en el refer…</t>
  </si>
  <si>
    <t>Mellier, Casimiro</t>
  </si>
  <si>
    <t>Casimiro Mellier</t>
  </si>
  <si>
    <t>…la cuestión de la sucesión 4.0 Fantasía de fagot.por Mr. V illent, desempeñada por el no hacerlo se dara el juicio por intentado, . é incurrirá en la á la corona Este objeto lo ha desempeñado suficientemente el joven profesor D. Casimiro Mellier. multa de cuatro ducados, parándole ademas el perjuicio que autor del presente libro. La obra que anunciamos está escrita 5.° Dúo en la ópera O tteló , del maestro R ossini, por los haya lugar. con imparcialidad y decoro. Se trascriben en ella con toda le­ Sres. Unanue y C alvet; co…</t>
  </si>
  <si>
    <t>…os. ó vol. y firme: 2 8 | , 29* , -J , 28} y 29 á v. f. ó vol. á prima se que es una de las mas selectas y eruditas que posee la Im ­ 4.0 Fantasía de fagot por Mr. V illent, desempeñada por el prenta nacional. joven profesor D. Casimiro Mellier. L L a y f Por con cupones. Inscripciones en el gran libro á 4 por 100, 00. 5.° Dúo en la ópera O tte lo , del maestro Rossini, por los Historia de los Sacramentos, donde se refiere el modo ob­ Sres. Unanue y Calvet; con decoración y trajes. Títulos al portador del 4 por 100, 22…</t>
  </si>
  <si>
    <t>Mellipotaruus</t>
  </si>
  <si>
    <t>…ártires. Los do« obispos del orden Se trata de evacuar todos los campamentos de la llanura, y Ignacio Delgado, de Santo Domingo del Toug-Kin orienta! (el doctor Argel 5 de Diciembre.=Ayer ha habido en esta ciudad una obispo de Mellipotaruus, vicario apostóüco grande alarm a, y no sin motivo, pues que acababa de pasar á de concentrar las tropas sobre la ciudad de Argel si no nos lle­ desde 14 de Febrero de 1794 &gt; J ^ doctor Domingo Ileo eres, legua y media de distancia de nuestras murallas ,’una columna gan refuerzos cuant…</t>
  </si>
  <si>
    <t>Mellnigen, Mr.</t>
  </si>
  <si>
    <t>Mr. Mellnigen</t>
  </si>
  <si>
    <t>…e todavía algú n tiempo Tres por 1 0 9 , 7 9 , 70. hañ sido déspédidós con m ucha grosería, y se les há p rivado de para creer en su total extinción. D e u d a activa española , 19}. sus C0'tdecoraciones. U u in gles, el doctor Mr. Mellnigen , m é ­ M eh em et-A lí ha recibido una carta de C o n stan tin o p la, en dico d¿ la h e rm a n a d e f Sultán M ah am u d Esma S u lt a n a , que la que una frase enigmática le ha iu f u n d id o presunciones de ha asistido al Sultán en su últim a enfermedad , y que no se ha que el…</t>
  </si>
  <si>
    <t>MemteüfTel</t>
  </si>
  <si>
    <t>…consejero de Estado Mieg ; por la Sajorna, el M i ­ gavilla de Villanueva; el ex-fraile D. M iguel, segundo del pesos en la traslación directa de los diezmos al tesoro: 20© en nistro de Conferencias y consejero privado barón de MemteüfTel; cabecilla Fantaúa, y dos desertores quintos que se habian refu­ el ramo de contribución de indígenas , y 20© pesos coa la su- por la de Hannover , el barón de Straliheim , consejero privado giado á Portugal. presiou de las contadurías mayores, cortes de distrito y adm i­ del Gabinete;…</t>
  </si>
  <si>
    <t>Men</t>
  </si>
  <si>
    <t>…El Sr. M iuútro de H A C IE N D A : Señores, nó es posible el dia tiene aquel, formarou el cálculo siguiente x Deploran la situación en que se encuentran después de bái- e « mi pobre memoria seguir el hilo del;discurso del Sr. Men­ bér abandonado sus carreras respectivas, y esperan con confian­ dizabal para contestar á todas sus observaciones; pero aunque Calculo demostrativo de lo que en cada mes paga él Con­ za una resolución justa del Congreso, que no puede hacer va­ pudiera, creeri^ tambieu que seria inoportuno. S.…</t>
  </si>
  <si>
    <t>…ómo he de atreverme á hablar?... ve y abundante lluvia , perece toda la parte de este reino , y Junto á Gonzalo mi ser en particular Murviedro, Canet, Petrés y Gilet, pues conta­ cía Aquella pasión que por primera vez siente Doña Men­ todo empleado en sentir, ban ya cuatro años sin cosecha por falta de agua, por robarla vienees aculpable: aquella pasión que reprendió en otra ser en ella una maldición que causa su muerte. el tenerlo que decir los pueblos de la Baronía. entibiara mi placer. Por esta y sus inmediaciones no oc…</t>
  </si>
  <si>
    <t>Men-, Atanasio</t>
  </si>
  <si>
    <t>Atanasio Men-</t>
  </si>
  <si>
    <t>…Art. 4,° Se señala igualm ente á D oña María Dolores que se expresan en una relación que remite, habiendo dirigido interesarse en este servicio se presentarán por sí ó por personas S an J u a n , viuda del coronel gradu ado D. Atanasio Men- al ejército con este motivo la alocución que á continuación se qué los representen en la secretaría de la intendencia general militar á hacer las proposiciones que les convengan, en el con­ d i v i l , teniente coronel m ayor ele infantería y gefe de la inserta. * cepto que la subas…</t>
  </si>
  <si>
    <t>Mena, Antonio</t>
  </si>
  <si>
    <t>Antonio Mena</t>
  </si>
  <si>
    <t>…entante, mientras por la importante vida de V. M . eleva sú­ que se hallaba en la sierra del Hoyo por el teniente del escua­ Gobernación de la Península. plicas al Todopoderoso. Manzanares 11 de Setiembre de 1859.— drón franco D. Antonio Mena , se ha conseguido la total der­ Señora.=A L. R. P. de Y . M .—Presidente, M iguel Elipe.= Juan rota de semejantes bandidos, los cuales han dejado 25 muertos Señora: La diputación provincial de Jaén se dirige con el Antonio Calero.=Pedro Pau.=José Moreno de la P a z —Agustín en el cam…</t>
  </si>
  <si>
    <t>Mena, Cayetano</t>
  </si>
  <si>
    <t>Cayetano Mena</t>
  </si>
  <si>
    <t>…se pase una copia al Sr. Ministro de la Guerra. movido á hacer desaparecer en esta cuarta edición un titulo que, £2$ á tales vicisitudes ha dado lugar ; pues ha llegado el casó de des- 1 Ndm. 48. El teniente coronel retirado D. Cayetano Mena, pachar á nuestros propios discípulos un libro por o tr o , sin que- ' en exposición remitida al Congreso desde Zamora , fecha 17 del PROVIDENCIAS JUDICIALES. rer luego désbáceir la pretendida equivocación. actual , pide que se atienda á su clase con la preferencia debi­ Después de una…</t>
  </si>
  <si>
    <t>Menchaca, Manuel</t>
  </si>
  <si>
    <t>Manuel Menchaca</t>
  </si>
  <si>
    <t>…taluña. Como de esta último, la satisfactoria noticia de haber sido sorprendida en la línea. ^ villa de Rosas por las tropas del Gobierno, al mando del te­ noticia no nos constaba la autenticidad, nos pareció aventu­ niente D. Manuel Menchaca, la gavilla de Lemus , quien con gimientos de infantería , que son el 8.° hoy La guarnición de Lyon no cuenta mas que cuatro re­ rado el publicarla , y quisimos reunir mas datos; pero corno y el 19 deTigeros, y el hoy tenemos a la vista cartas del cuartel general, que también 18 g…</t>
  </si>
  <si>
    <t>Menchero, José</t>
  </si>
  <si>
    <t>José Menchero</t>
  </si>
  <si>
    <t>…avilx P ro vin cia d e C astellón d e la Plana, ma : Ter revoluta toro csl : Dculisque errantibus alto V alencianos: Un crimen se ha cometido a y e r que me he Quaesivit coelo lucem ing em uil qu e re pe r ta . V illav ieja.—D. José Menchero, en V ale n c ia: primera tem­ visto en la dura necesidad de reprim ir por la fuerza. Saben porada desde 1 0 de M ayo á fin de J u n i o : segunda temporada cuantos me han hablado lo que he hecho de un mes á esta par­ Procura alzar losabatidos ojos desde 15 de Agosto á principios de…</t>
  </si>
  <si>
    <t>Mencia</t>
  </si>
  <si>
    <t>…no hallaré jam ás, Milicia nacional, pues todos los emigrados son comprometidos dram a, aun cuando no encerrase tan gran número de be­ y es para mí bien de mas por la libertad. (D, M. de Val,) llezas accesorias como contiene Doña Mencia, que diga cuanto le adoro. La situación de Doña Mencía y D. Gonzalo en la catástrofe final, recuerda la del Edipo, En este es la ma­ MADRID 1 6 DE ABRIL. dre la que está casada con su hijo: en el drama de que la deAl Doña lado de esta figura cándida, sencilla, angelical está Mencía, colos…</t>
  </si>
  <si>
    <t>Mención, Gregorio Castrisiones.</t>
  </si>
  <si>
    <t>Gregorio Castrisiones. Mención</t>
  </si>
  <si>
    <t>…a b a ­ comprador ¿Estáis cierto?... Yo creía que habLi» pedido mas. Fernandez de la Somera. lleros vivos, aunque muy mal heridos. El capitán A ndrea Permitidme... y tomando el saco , lo puso en la balanza , y ha - Calografía. D. Gregorio Castrisiones. Mención honorífica abordó a la capitana de U c h a lí; C erva n tes, capitán de la lió que ppsa'ba í9 libras— ¿Veis? exclamó, nos habíamos equi­ de D. J osé DiOídado, J tropa, saltó en el barco enem igo, y no pudiénd ole segu ir vocado. N u e s t r o hombre no te atrevió á h…</t>
  </si>
  <si>
    <t>Mencía</t>
  </si>
  <si>
    <t>…n esta se consu­ d o n a m e n c ía Teatro nacional. ma el matrimonio; que dos hijas son el fruto de este mons­ no es Ines mejor que ya Dona Mencía, ó la boda en la inquisición, drama en truoso y horrible enlace, cuando en Doña Mencía no pasa Sin embargo, en esa alma altanera y seca, hay tres actos en verso, por D. Juan Eugenio Hartzembusch. del acto del matrimonio y del amor criminal, verdad es, pero que no tiene otra consecuencia, de Mencía á su pa­ oculta una fuente inmensa de amor. Aquella muger no ha dre. Entonces…</t>
  </si>
  <si>
    <t>…uerida. Haremos nosotros tremetido.—Macías.—Doña Jimena de Ordoñez.r:¿ El qué dirán? que esta reproducción esta muy lejos de ser una y uni­ mismos la copia de un lindo retrato de Mr. Yugres, d i­ ¿y el qué se me da á mí? = Doña Mencía.=Una r a u g e r genero^ form e, como podra creerse. Al contrario, ni uno de esos ciendo: ¿qué importa ahora que este retrato no se baya sa.rrMas vale llégár á tiempo que rendar un año. Se hallan de cuadros, ejecutados de la manera explicada, se parece en grabado? Tenemos algo m ejor que es…</t>
  </si>
  <si>
    <t>MEND</t>
  </si>
  <si>
    <t>…re el Sr. Ruiz del Arbol que nosotros tras­ que falta estadística , y asi camiuacnos á ciegas en este punto. de PtíñaíIorida.:nCipriario M aría Clem encin, secretario. pase/nos este pensamiento al campo que S. b. señala ? El Sr. M E N D 1 Z A B A L : Si alguno de los Sres. Diputados No ha podido menos S. S. de reconocer la solemne promesa que han pedido la palabra quiere usarla , la comiúon no tiene Comandancia general de los ejércitos reunidos.—Secretaría que h ay hecha; pero habiendo hecho la justicia de creerlo asi, en…</t>
  </si>
  <si>
    <t>Mend</t>
  </si>
  <si>
    <t>…e D eum dadanos, y por consiguiente que no respete el poder ju d ic ia l? estrictamente al reglamento. que ayer á las doce tuvo lugar en la iglesia mayor con una ¿ Y qué español se encontrará tranquilo y quieto á la sombra El Sr. Mend izabal rectifica un hecho. concurrencia lucida y numerosa. de la Constitución de 1 8 5 7 , no por e lla , sino por el capricho El Sr. C A B A L L E R O expuso que aunque estaba de acuer­ del Gobierno? do con la doctrina del Sr. Benavides creia que el reglamento P am plona 9 d e S etiem b re. E…</t>
  </si>
  <si>
    <t>Mendex</t>
  </si>
  <si>
    <t>…orles , cuando S. M. ce dig­ electo de Almería, y Montesoro,» por los Sres. duque de Baiben, marques deCastelidosrrias, mar­ nare dar su sanción á una. ley, s® publicara ¿nmedltetamente en Para Ib pensión á la viuda del general Mendex Y ig o , á los ques de Y algor «era y ■obispo electo de Astorga 9 pnra que se ambos caer pos colegisladores, preseati «o,dase eu ellos ell Minis­ Sres Salas y Orna ña , marques de CasteIJosrius, Zarco del Va­ conceda oua pensión á Ib riada é hijos del general D» Pedro tro á caja, secretaria…</t>
  </si>
  <si>
    <t>Mendez</t>
  </si>
  <si>
    <t>…cargada de informar PARTES. ha resuelto que se les den las gracias, sin perjuicio de premiar sobre el proyecto de ley para conceder una pensión á la viuda oportunamente á los que se han distinguido y se hallen en el del general Mendez V igo, habia nombrado por su presidente El comandante general de Ceuta en comunicación de 1.° del caso de serlo» al Sr. marques de Castelldosrius, y por secretario al Sr. Soria. actu al, recibida por extraordinario, da parte de haber descu­ El Sr. PRESIDENTE observó que no habiéndose presen­…</t>
  </si>
  <si>
    <t>…andante gefe de estado m a y o r, Francisco de Casca- gefe político de Barcelona , con fecha 10 del corriente, se le C o rtáz ar, propuso la comisión su admisión en el Congreso- jares. pero que por la indicación hecha por el Sr. Mendez V ig o re­ participaba la muerte de D. Guillermo O liver, Diputado electo por aquella p ro v in c ia , y lo pouia en conocimiento de las Cor­ tiró su dictamen. Que habiéndolo e x am in ad o , se inclina á creer CORTES. tes para los efectos consiguientes. Se acordó constase en el acta que…</t>
  </si>
  <si>
    <t>…algu na reclamación , como su­ cedió cuando se presentó el dictamen del Sr. C o r t á z a r , eo que co n v e n io , el cual se presenta como ruinoso. E l Sr. P R E S I D E N T E dijo que n o creyeodo contrario al re ­ el Sr. Mendez V i g o hizo una reclamación , la comisión retira­ E n cuanto á r o í, y en mi p a r t i c u l a r , no re h u yo la pre­ glamento H excitar á que se reunieran las vectiones sin una reso­ rá su dictam en, y oirá las que se hagan. sentación de este y de cuantos convenios pueda h a c e r , por…</t>
  </si>
  <si>
    <t>…cional mesa no se e xige el requisito de h aber de e x a m in a r si cada u n a de las personas que van á e m itir su su fr a g io está en las listas tevedra , claro estaba que d e cia eran ilegales. Que si tiene f a ­ en el Sr. Mendez V i g o , y de Secretario en el S r. Tem prado. cu lta d para e x a m in a r si son legales las o peracion es, la fo rm a ­ ele c to ra les; no habiendo este re q u is it o , á p rim era vista se co­ Pasaron á la com isión de A c t a s ción d é l a s listas e$_ u n a Operación, y por con si…</t>
  </si>
  <si>
    <t>…eden de n inguna manera que ocupó el mando cuando los acontecimientos eu que fue víc­ menos de una tercera parte de fuerzas hizo rendir á nuestra ap rob ar son los abusos y el desorden , y que con él esas mismas tim a el general Mendez V i g o , no porque le correspondiese, p a r t i d a , y con la dispersión de los cinco facciosos que e sc apa­ represalias se conviertan en venganza. Y o quiero que los que sino por dimisión que hizo el general V ald c s; por consiguiente r o n , que difícilmente se llegan á r e u n i r ,…</t>
  </si>
  <si>
    <t>…dos los retirados ni los hos­ -e!ativa á la concesión de la pensión de 200 rs. á la viuda del te á la extinción del supremo consejo de Castilla , y que seguían pitales: este cargo es del Ministro de la G uerra, y á mí me general Mendez Y ig o , y otra sobre los fueros de N avarra y dichos interesados desde el año de 1 7 9 9 , sobre la tenuta y po­ toca responder. Tengo presentada una memoria diciendo que, provincias Vascongadas. sesión de los estados y mayorazgos que fundaron el comenda­ faltando tantos millones para cubr…</t>
  </si>
  <si>
    <t>Mendez, Addres Ignacio</t>
  </si>
  <si>
    <t>Addres Ignacio Mendez</t>
  </si>
  <si>
    <t>…recciones generales y demas oficinas superiores, asi del gura: Cádiz, viuda é hijos de Bosch: Castellón de la Plana, EFECTOS PÚBLICOS. Gobierno como de cualquiera otra dependencia , en la corte y imprenta de Gutiérrez: Ceuta, D. Addres Ignacio Mendez: Inscripciones en el gran libro á 5 por 100, 00. fuera de ella que se le encomiende por cualquiera particular ó Córdoba, Santalo, Canalejas y compañía: Ciudad Real, im ­ Títulos al portador del 5 por 100, 2 1 , un dieziseisavo, 4 trucciones quey selasle emprenderá corporació…</t>
  </si>
  <si>
    <t>Mendez, Froilan</t>
  </si>
  <si>
    <t>Froilan Mendez</t>
  </si>
  <si>
    <t>…iente que los ayuntamientos tuvieran esta facultad para el uno relativo á conceder una pensión á la viuda del mariscal gún Enero de 1858, todos los contribuyentes que quieran sacar al­ precaver fatales consecuencias, de campo D. Froilan Mendez V igo, y el otro acerca de los beneficio en el pago de las cuotas que les esten repartidas, Dice que no debe apagarse el calor que en España han te­ Sres. Diputados que reciben empleos y gracias del Gobierno. podrán adquirir dichos billetes á precios convencionales en el nido siempre…</t>
  </si>
  <si>
    <t>…personas que han sión de 2 00 rs. á Doña Luisa Oráa de E ric e , viuda del m a ­ escabrosos, lejanos á los pueblos y de mala c alid ad , y que solo reclamado algun as porciones, y estoy bien cierto que han sa­ riscal de campo D. Froilan Mendez V i g o , muerto en V alencia sirve para paitos, ¿q u é adelantará un soldado con 20 ó 24 fa­ cado m uy poco provecho de ellas. en defensa del orden público , tiene el honor de someter á la negas de tierra , que cuando mas le puede corresponder? ¿Creen Con esas tierras habría para rep…</t>
  </si>
  <si>
    <t>…r parte en esta y hacer la guerra al Gobierno legitimo. Añadió que creia anti­ Artículo único. Atendidos los distinguidos servicios del ma­ discusión. económico el proyecto porque no podia menos de serlo todo riscal de campo D. Froilan Mendez Y ig o , muerto alevosamen­ El procedimiento, que yo no le llamaré causa,porque causa aquel que como el que se discutía impusiese un derecho de ex­ te estando de servicio, se señala á su viuda Doña Luisa Oráa y no puede haber cuando tío hay cuerpo de delito, se reduce á tracción cua…</t>
  </si>
  <si>
    <t>MENDI</t>
  </si>
  <si>
    <t>…las obras p ú b lic a s, cuya ejecución ficarse en agüella ciudad y en esta corte sobre la cantidad aoual fue aprobada. hubiere acordado el ayuntam iento. t de 11.9 J v ,84 rs* 13 mrs. vn. líquidos. En su consecuencia to­ El Sr. M E N D IZ A B A L dijo que en la votación nómina! 8 .° Conceder ó negar permiso para toda clase de diversio,^t das las personas que quieran interesarse en dicha subasta po­ acerca de la aprobación del art. 19 del proyecto de ley sobre nes públicas , y presidirlas. drán hacerlo en el acto de ella, q…</t>
  </si>
  <si>
    <t>…mentos que justificaban haberse torcido la intención de los elec­ biera dado cuenta de ella. recibirán las bendiciones de todos si es oportuna , y después la tores, pondría término á estos desastres que podrían causar la El Sr. M E N D IZ A B A L: Pues ahora b ien ; aqui sé justifi­ cierra ; pero si se equivocan, ellos son los que deben responder, ruina de los pueblos. ca que solo el pueblo de Bilbao es el que ha tenido parte en esa dejando intacto el trono, y conservando el prestigio de los Él Sr. CO RTINA manifestó que…</t>
  </si>
  <si>
    <t>…s, y que sus generales y oficiales le la prerogativa , y no es por lo tanto admisible su enmienda. R o d a , López , Olózaga , C ortina y Caballero. dieron hecho el c o n t r a t o ; es decir , que sus oficiales y genera­ El Sr. M E N D IZ A R A L : Me veo en una posición triste, El Sr. P R E S I D E N T E : Cualquiera de los señores firmantes les sé avinieron á las condiciones que había puesto el general porque el reglamento no me da facultad para usar segunda de la proposición puede apoyarla ; pero antes debo manifestar E…</t>
  </si>
  <si>
    <t>…ba, no sabia cómo personas que siempre se opuesto á la opinión nacional nombrando para los mas altos apruebe. han entendido, cómo hombres de sana intención, como hombres empleos personas que aquella reprobaba, y continúa. El Sr. M E N D IZ A B A L : Sr. Presidente, pido que se lea de educación y de urbanidad, en esta cuestión tan ardua de­ Señores, después de haber conocido, como debe conocer, la un documento; que es el juramento que S. M. prestó en la jaran de entenderse. En esto he padecido yo extraordinariamen­ volunta…</t>
  </si>
  <si>
    <t>…con Se leyó el dictamen de la comisión encargada de informar Se leyó y puso á discusión el art. 20. toda rapidez, autorizando á los capitanes generalas para sobre la exposición del Sr. Ramírez de A rellano, y el voto par­ El Sr. M E N D IZ A B A L : Quisiera ante todo que los seño­ que rem uevan cuantos obstáculos se presenten, é im po­ ticular del Sr. Perez de R ivas, proponiendo que debia adm itir­ res individuos de la comisión tuvieran la bondad de explicar­ niendo Ja mas estrecha responsabilidad personal á toda se á jur…</t>
  </si>
  <si>
    <t>…o término que se podia esperar. individuos, entre ellos 85 oficiales, en los que se encuentran diezmo. Cuando amaneciere dia tan suspirado la mano creadora de Iturriaga , Saroa , Ofesia , Altam ira, M arquina y Gil de la El Sr. M E N D IZ A B A L añadió que se reservaba para ma­ la administración podrá dar el eficaz impulso que anhela Y. M. Torre con sus cuatro hijos. El ministro Rainirez de la Piscina ñana el derecho de fundar su proposición. á la agricultura, á las artes y al comercio, dispensándoles la se ha dirigido á…</t>
  </si>
  <si>
    <t>…formular leyes de recompensas támen de la comisión de Actas relativo á las segundas eleccio­ hijos. para todos los individuos que habían tenido intervención y nes de la provincia de Salamanca, y opinaba que debían apro­ El Sr. M E N D IZ A B A L , después de hacer algunas obser­ parteen la pacificación, habiendo antes defendido con las ar­ barse y admitirse como Diputado por la misma al Sr. D . J u ­ vaciones para probar que el decreto á que se habia referido el mas en la mano el trono de Isatbel 11 y las libertades del…</t>
  </si>
  <si>
    <t>…das de vuestras Magestades y de nuestro paisano el ilustre ge­ la Victoria sobre el tratado de Vergara. tenda combatir el dictámen, pues sé muy bien que el regla­ neral manchego, para que lleven al último término tan árdua El Sr. M E N D IZ A B A L suplico al Congreso tomase en con­ mento tiene señalado el modo con que ha de proceder la comi­ empresa; y desde aquellos momentos solo se han invertido to­ sideración esta proposición, dejando su discusión para cuando sión. Pero no quisiera á la verdad que el dictámen estuviese t…</t>
  </si>
  <si>
    <t>…dos los cargos que se hacen al El director de sem ana, marques viudo de Pontejos^ go una razón de que yo me v a lí: d ijo S. S. que si ha de in te r­ Gobierno. venir al Gobierno en el nombramiento de los alcaldes porque El Sr. M E N D IZ A B A L : Pido que se lea el párrafo 5.°, p á­ algu n a vez pueden ejercer atribuciones ju risd iccio n ales, ta m ­ g in a 27 del D iario de las sesiones del d ia 7 de O ctu b re, cuyo bién debería tener intervención en el de los abogados: y segu­ párrafo forma parte de un discurso que…</t>
  </si>
  <si>
    <t>Menditabal</t>
  </si>
  <si>
    <t>…. que se obligaban los Sres. Casals y Remisa á construir estas la sesión del Congreso , línea 54 * párrafo 5.® del discurso del Vales Reales nó consolidados, 00. obras en cuatro años y m ed io, pero señalando que si el G o ­ Sr. Menditabal , donde d ic e i nuestros enemigos tienen en su D euda negociable de 5 por 100 á pa p el, 00 . bierno faltaba en el número de presidiarios , si no llegaba á la mano sus llaves de m ed h t para destruir ¿re ., debe decir: Idem sin interés, 5 f a 60 d. f. ó v o l.: 5| á v. f. ó vol. ¿ m it…</t>
  </si>
  <si>
    <t>MENDIZ</t>
  </si>
  <si>
    <t>…contesta­ El Sr. P R E S I D E N T E an unció que con tin u ab a la d iscusión esta cuestión no podía concedérsela. do por el M in is tr o ? N o : luego es cierto. El Sr. G a v i r i a ha he­ sobre las actas de L u g o . E¡ Sr. M E N D I Z \ B A L dijo la pedia en este sentido. cho esa o f e r t a , y lo sé por u n a ilación lógica. Pues si existía El £&gt;r. C O R i IN A, defendiendo el dictám en de la com isió n, El Sr. P E R E Z DE R I V A S : Y o no h u b ie ra pedido la p a ­ esa proposición , y si no se contentaba en e…</t>
  </si>
  <si>
    <t>Mendiza</t>
  </si>
  <si>
    <t>…nte no está unido á un coutrato? Esta equivoca­ que se quitó ese medio de satisfacer necesidades tan sagradas, y clasificaciones que se hayan hecho á los Ministros actualmente ción , en que vuelvo á decir que ha incurrido el Sr. Mendiza­ á consecuencia de eso se clama por unos que se devuelvan es­ cesantes con arreglo á la ley de 2í) de Mayo de 1855 , la cual bal , es una de las causas que me han movido á venir á este sitio. tos bienes, y se califica por otros esto de reaccionario, y calla queda derogada en esta parte. 8.…</t>
  </si>
  <si>
    <t>Mendizabal</t>
  </si>
  <si>
    <t>…erno, y en su lu g 3r el M inistro, repeliendo todo lo artículos, y la discuúon del segundo ib i también adelantad* ! se hubiera quedado corto, las Cortes podrán ensanchar la idea. que puede embarazar la cuestión. ¿Quiere el Sr. Mendizabal cuando se puso término á las tareas parlamentarias. i Se declaró el punto suficientemente discutido , y puesto á que yo le anuncie como Diputado de la nación, no por ahora Pero los cuerpos colegisladores vuelven á ellas, y fuerza es ! votación el dictamen, fue aprobado con la adición de…</t>
  </si>
  <si>
    <t>…la des-*• tricto judicial. Se lee y acuerda imprimir en el Diario de las sesiones una proporción en el cupo de las contribuciones repartido á su dis­ Por no prolongar mas esta discusión dejo de contestar á las enmienda del Sr. Mendizabal al proyecto presentado por la co­ trito municipal. dornas observaciones que ha hecho el Sr. Ayllon. misión de Fueros, en que pide al Congreso autorice al Gobierno Art. 7.° Los ayuntamientos desempeñan en el repartimien­ El Sr. A Y L L O N : Yo no he podido nunca suponer que el de S. M.…</t>
  </si>
  <si>
    <t>completarlo el feliz desenlace de la prolongada lucha que ha nacional de naturales y emigrados patriotas de esta villa , re­ figúrese que es preferente á la del Sr. Mendizabal; ¿cómo se sostenido la ilustración contra el f a n a tis m o , la legitimidad pitan la felicitación á V . M. por tan prósperos como felices cumple en este caso con el reglamento? ¿d e qué modo? solo contra la usurpación, y la lealtad contra la perfidia; desen­ sucesos y de suplicarle teng…</t>
  </si>
  <si>
    <t>…Señores , yo añadiría aun algo m as; pero to de los fueros. dió el Sr. M inistro de la Gobernación en 10 de Agosto de 1857, como creo que algún individuo de la comisión me contestará, Leyéndose por 2 .a vez la enmienda del Sr. Mendizabal, di­ que trata de esta m ateria, y en seguida el núm. 1 1 , que es el y no debo suponer que el ministerio guarde silencio, me reservo jo en su apoyo dictámen de la comisión que propuso la ley de 28 del mismo, hacerlo al rectificar algunas equivocaciones en que tal vez in ­ El Sr. M EN D…</t>
  </si>
  <si>
    <t>…eyó el párrafo del mensaje que Mendizabal lo venga boy ? ¿ Q u é tiene que ver la época del El Sr. B A R R I O A Y I J S O : N o hay palabra para deshacer empieza : " A s i q u e , no solo ratificarán si es necesario &amp;c.” ) Sr. Mendizabal con la presente? Yo me atengo á la a c tu a l, en equivocaciones, pero alusiones personales coa el nombre propio, Señores , hé aqui la ley que nosotros presentamos á S. M. la que tengo que responder á las Cortes, á la nación, á ¡a E u ­ yo apelo al buen sentido,... en la discusión de est…</t>
  </si>
  <si>
    <t>…naria de guerra no tendrá nada que dar para que se la lamada á buena cuenta. ¿Y qué ley es esa de á buena cuenta? nido presente. subsane de ios perjuicios que de esto la han de venir, y que el £s la ley que siendo Ministro el Sr. Mendizabal tuvo el honor Insistió el Sr. conde de las N avas, y repitió lo que ya habia colono á quieu tal vez no se impooga la contribución extraor­ le presentará las Cortes constituyentes, reducida á esto: (Leyó.) dicho el Sr. Ministro en su contestación. dinaria de guerra ni en un solo maravedí,…</t>
  </si>
  <si>
    <t>…al Gobierno , que es El Sr. P R E S ID E N T E contestó que no podía acceder á los los acontecimientos de Estelia, y últimamente el convenio de V er- :}uien sabe cuáles son en este momento las leyes que deben po­ deseos del Sr. Mendizabal porque lo prohibía el art. 48 del re­ gara. Creo que con esta ligera explicación quedará el Sr. M e n - nerse inmediatamente en práctica en aquel pais para que la a c ­ glamento , pues que la enmienda de S. S. habia sido desechada, dizabal satisfecho de que no habia contradicción de lo q…</t>
  </si>
  <si>
    <t>…uso que h a hecho de estas esto de contestación á las reconvenciones, amistosas sin duda, elevado aqui algunos Diputados, casi era de creerse que la facultades ám plias. O tro en su posición h ub ie ra creado c om pro­ del Sr. Mendizabal, porque el Gobierno, en vez de proponer Constitución habia desaparecido. Pues no hay nada de eso, misos al Gobierno y á la nación. El du q u e de la Y i c t o r i a , d a n ­ una l e y , no pidió á las Cortes un voto de confianza. señores; yo me refiero á testimonios tan auténticos é ir…</t>
  </si>
  <si>
    <t>…en cu m p lim ie n to de i Se dió por re p ro d u c id a, acordándose su continuación , una dad. El Gobierno no puede decir en qué período de tiempo su, deber , diciendo q^e er$ escandaloso el contrabando* . proposición del Sr. Mendizabal presentada en la legislatura p a­ puede llevar á cabo sus pro viden cias; puede asegurar que to­ El intendente de Gerona examinó esta re c la m a ció n , reunió sada en Ja sesión de 2 9 de A b r i l , relativa al examen de los ac­ m ará cuan tas alcancen sus fuerzas para hacer que la C o…</t>
  </si>
  <si>
    <t>MENDIZABAL</t>
  </si>
  <si>
    <t>…d ic e , que después de nombrados estos empleados no podrán ser sos que por falta de medios. á reg la s, y el juez puede hacer tnucho daño si falta á la ley, sepaiados sino en virtud de justa causa con prueba legal. Pero, El Sr. M E N D I Z A B A L : Desde que tuve el gusto de ver el de manera que no h ay la mas mínima semejanza entre unos y por v en tura, ¿se dice que esta justa causa h a y a de ser la co­ art. 2.° del proyecto , y observé la conformidad que manifestó otros destinos. misión de un delito? N o , señores. L…</t>
  </si>
  <si>
    <t>…r á hacer una maldad. prueba de tonto (mas lo es escribir comedias como L a e s tr e lla Añade que dará su voto al artículo si se admite lo que ha de o ro ) , se ven y admiran decoraciones muy lindas, y visto­ manifestado el Sr. Mendizabal. sas trasformaciones. Dara no obstante algunas entradas regu­ El Sr. GOMEZ ACEBO: L a comisión tiene que hacer a l ­ lares por ver a Guzman sin cabeza, después dentro de un pas- gunas ligeras observaciones para demostrar que la propuesta del MADRID 1 1 DE ENERO. tel, y por reírse al con…</t>
  </si>
  <si>
    <t>…querer ganar mar tan pronto la palabra acerca de e&gt;te artículo, tanto mas, En seguida y precedidas algunas rectificaciones , se puso á tin poco de dinero de una manera tan segura. Dije ayer , y re­ cuanto que confiaba que el Sr. Mendizabal iba á impugnarle votación el artículo tal corno se habia redactado últimamente, pito h o y , que no concedo á ninguna corporación la facultad con mas conocimientos que con los que yo puedo hacerlo. S. S. y fue aprobado. de saber cuándo pueden bajar y subir los fondos, porque esto ha dej…</t>
  </si>
  <si>
    <t>…a y J u s t i ­ testar al Sr. Diputado sobre lo que ha dicho respecto á la des­ Acerca de los otros bienes no hé hablado. cia para los efectos convenientes. graciada suerte de las religiosas, y para manifestar al Congre­ El Sr. M E N D I Z A B A L : He tomado la palabra cuando o í so que en la distribución de fondos que se ha hecho en el m i­ al Sr. Esteban invocar la necesidad de devolver á las com uni­ N úm. 4.0 El administrador del hospital de San Eelipe y nisterio de Hacienda se han considerado algunas obligaciones d…</t>
  </si>
  <si>
    <t>…y gefes de todas clases, sea No pudiendó menos de haber sabido eí Sr. Castro el nom­ ‘ misión. el que fuere el ministerio á que pertenezcan, apresurarse á dar­ bramiento que se le hizo, el cual dió lugar á consideraciones El Sr. MENDIZABAL: Señores, en esta nueva redacción las cumplimiento en la parte que les corresponda. Pues ahora mas ó menos fundadas; si sobre su voluntad en admitir tiene no encuentro mas diferencia que la de omitirse la frase que bien , por esta orden se entiende que el nombramiento del se­ la que todos…</t>
  </si>
  <si>
    <t>deshacer una equivocación, no para entrar en el fondo de la ¡ da de que el Diario de sesiones no sale en el dia con aquella g estió n . El Sr. Mendizabal, mas bien que entrar á impugnar coa* hacen presenté al Congreso qué él Góbierho tuvo poi perfección y exactitud que son de desear, dando esto lugar á conveniente reemplazarlos,reservándose utilizar sus talentos cu el so ticulo, ha entrado a impugnar los discursos pronunciados repetidas…</t>
  </si>
  <si>
    <t>…iendo indicaciones generales sobre el principio de con cupones. me con el principio sentado en el dictámen de la comisión. utilidad de esta ley ; pero el Sr. Esteban me ha excitado á que Vales Reales no consolidados, 00. El Sr. M E N D I Z A B A L defendió el dictámen observando manifieste si el Gobierno tiene preparado el expediente general Deuda negociable de 5 por 100 á p a p e l , 00. que el decreto en que se ofecia un premio á los individuos del con los datos estadísticos necesarios para el proyecto actual i con­ íde…</t>
  </si>
  <si>
    <t>…s categorías administrativas, y cisada á hacer un empréstito extranjero. Pues yo le manifes­ tajas prometa , mucho mas cuando en él no se dice expresamen­ finalmente, que ninguna resolución se ha de dar sin estar reu­ taré aJ Sr. Mendizabal que por el artículo 19 se establece que te que preferirá los nacionales á los extrangeros, sino en igual­ nidos todos los individuos de la junta. Por esta razón, y no no se pueda hacer ningún empréstito sin oir á la junta de dad de circunstancias, de donde se sigue que para nada vienen cr…</t>
  </si>
  <si>
    <t>…necesidad de fijar la proporción sus familias hicieron; y aqui siento que no se halle presente el presentes los Ministros : podrían dar algunas explicaciones que en que deben hallarse las recompensas con los servicios, pre­ Sr. Mendizabal , porque tengo que decir que S. S. sé ha equi­ tranquilizasen á todos en Ja situación en que se encuentran las senta el siguiente proyecto de le y : * vocado cuando ha dicho que las monjas mendicantés co lleva­ Cortes de satisfacer á necesidades tan justas y perentorias. El Art. i.° El…</t>
  </si>
  <si>
    <t>…contestado categóricam ente á su ro que h an tenido para f a c ilit a r medios. m e n te de h acienda , ha suscitado el Sr. conde de las N a v a s la d isc u rs o , puesto que en vez de probar que se observa ju stic ia en El Sr. M E N D I Z A B A L : El Congreso ha oido al Sr. M i ­ b u e n a ó m ala a d m in is tr a c ió n del m in iste rio de la G obernación, la d istrib u ció n de los f o n d o s , h a probado todo lo contrario, nistro de la Gobernación antes y a h o r a , y no puede negar que y el Congreso ju z g a r…</t>
  </si>
  <si>
    <t>…eno quede encargada de modificar Se pasó en seguida á tratar de la proposición presentada por en masa salió por las calles paseando y vitoreando el augusto rni proyecto, el v ariarle , adicionarle, corregirle &amp;c. Síc. con el Sr. Mendizabal sobre manutenciou del culto y clero ; y ap o ­ retrato de nuestra idolatrada Reina Doña Isabel i r , sin omitir tal de que se consiga el objeto que me he propuesto al presen­ yándola su autor brevemente, concluyó pidiendo que puesto los vivas que son debidos á la augusta Reina Gobernador…</t>
  </si>
  <si>
    <t>tos de esa nación han sido tan grandes en cuanto á esta indus­ El Sr. Ministro de la G O B E R N A C IO N : A mí me admira CORTES. tria , que puede decirse que lia llegado al último grado de per­ que el Sr. Mendizabal haya extrañado que el Gobierno tolere C O N G R E SO D E D IP U T A D O S . fección , á pesar de haber tenido que vencer los obstáculos que en silencio esta discusión sobre si el documento público de que existen en aquel pais. procede la promesa de que se trata , es ó no una verdadera l…</t>
  </si>
  <si>
    <t>…s de sudar un mar , después de dejar adoptado de corazón. ha hecho á mí. una parte de su existencia, todo lo mas que pueden dar son 100 Señores, ea este pensamiento no ha habido por ning ún En vano se apurará el ingenio del Sr. Mendizabal ni el de reales al año: ¿y para dar 100 rs. al año, para dar esta mise­ concepto idea exclusiva de partido, no ha habido m asque el ningún otro Sr. Diputado en probar que en el día dé hoy el ria se esquilma la nación de un modo que no puede sufrir? deseo de cumplir una promesa solemne he…</t>
  </si>
  <si>
    <t>…nte el número de electores por la d ip u ta ­ estas disputas no h ay miedo. metido á su examen. ción p ro vin cial; cuen ta, señores, que se han hecho graves car­ Ha hablado también el dictámen de la autoridad civil y de El Sr. M E N D I Z A B A L la apoyó manifestando que la pren­ gos á algunas diputaciones por haber aumentado el número de una especie de alocución s u y a ; y aunque no trato de hacer la sa periódica acusaba en algun a manera de perezosa á la m a y o ­ aquellos. ¿ Y ahora se quieren hacer á la de Huelva p…</t>
  </si>
  <si>
    <t>…rabajo , no tendría mas que tomar el que tuve el honor merecido contestación su discurso, pues que nada habia dichc B ilb ao , par d. V a l e n c ia , | din. b. de pronunciar cuando se trató de la totalidad del proyecto y el Sr. Mendizabal acerca de la indemnización que proponía, C á d iz , 1 i id. [Z aragoza, i id. leerle; pero ni esto me gusta á r a í , ni tampoco con aquel po­ retiraba desde aquel momento la enmienda. dría «tender á las pequeñas variaciones que he indicado. Se leyó otra del Sr. Aillon reducida á que po…</t>
  </si>
  <si>
    <t>…l trato Se acordó pasar á la comisión que entiende en el negocio modovar en Octubre de 1855 y en la que se presenta ahora. que,dio á los prisioneros no fue el de la humanidad , que tan ­ un artículo adicional que proponia el Sr. Mendizabal ai pro­ Yo siempre que he tenido ocasión, he levantado mi voz en este to se decanta, como peculiar á las almas republicanas. Hoy yecto de ley sobre estados excepcionales. sitio contra los estados indefinidos de guerra; siempre he sido inistno, prosiguió, las tropas que están operando cont…</t>
  </si>
  <si>
    <t>…mplar los venturosos sucesos que contiene, y que presagian de la anterior. dado principio á este procedimiento. En esta atención acude al una paz feliz sin derramar mas sangre de hermanos ni detri­ Se leyó una proposición del Sr. Mendizabal reducida á pe­ Congreso suplicando se sirva reclamar del Gobierno expida las mento del trono de nuestra joven Reina é instituciones libera­ dir al Congreso se soliciten del Gobierno los antecedentes que órdenes terminantes para que se abstengan de semejantes pro­ les, no hubo alma que no…</t>
  </si>
  <si>
    <t>Mendoza, Agustín</t>
  </si>
  <si>
    <t>Agustín Mendoza</t>
  </si>
  <si>
    <t>…nima de l l9 ,7 0 0 libras esterli­ Seis miniaturas, retratos de personas de esta ciudad forma­ se habia mejorado, daba mas realce y brillo á los adornos. nas; pero las liberalidades de los particulares suplen la insu­ das por D. Agustín Mendoza, dieron muestra de su laboriosi­ El mayor comedimiento y orden se ha guardado en este ficiencia de esta cantidad. [Debuts.) dad y acierto en esta manera de pintar. De ella vimos también baile á pesar de la licencia que prestan ios disfraces y las aca­ un ensayo de D. Francisco Aleja…</t>
  </si>
  <si>
    <t>MENDTZABAL</t>
  </si>
  <si>
    <t>…s para ocuparse y o he insistido en !o de la Gaceta. Puedo a s e g u r a r al Congreso rectiíicscione.--. en contestarle*. Pues sea m u y enhorabuena , concedo á S. S. to­ que no me he acornado de la Gaceta para n a d a. El Sr. M E N D T Z A B A L m an ifestó ten ia p ed ida la palabra das esas justísim as ocupaciones que le p riv a n de poder contes­ preguntó en seguida si se pasaría á otro a s u n t o , y asi para u n a alusió n r.essonah t a r á los periódicos; pero y a no es solo un periódico el que lo se acordó. El…</t>
  </si>
  <si>
    <t>…nales o rdinarios, no á los buen cuidado para venir á parar al estado en que se h allan , de echar mano de los ejemplos suyo s, indígenas, nacionales y Canto lúgubre ó declamación patriótica sobre la dolorosa militares. El Sr. MENDTZABAL: Pido que se lea el decreto de 6 propios del pais en que se han hecho. Pero al oir este proyecto, guerra civ il de España, exhortando á los buenos á la unión y de Agosto y el de 15 del mismo que ha citado el Sr. Martínez y al acordarme de que por una desventura nacional, no hay al horror…</t>
  </si>
  <si>
    <t>Menendez, Salvador</t>
  </si>
  <si>
    <t>Salvador Menendez</t>
  </si>
  <si>
    <t>…o soldado vincia, se cita y emplaza por término preciso y perentorio de elevada clase. Aguilar. seis dias a D. José y D oña María Josefa Menendez, hijos y * Dios guarde á Y. E. muchos años. Sevilla 8 de Diciembre herederos de D. Salvador Menendez , se presenten en.la escri­ de 1858 =EI conde de Clonard.ziExcmo. Sr. general D. Ramón El mariscal de campo D. Narciso L ópez, en 29 del mes banía principal de rentas de Amortización á cargo de D. José María Narvaez. último desde Valencia , participa que, habiéndose presentado Bald…</t>
  </si>
  <si>
    <t>Menezo, Cipriano</t>
  </si>
  <si>
    <t>Cipriano Menezo</t>
  </si>
  <si>
    <t>…llinero, zz A veloces cual las sonoras * año próximo pasado, en la que se hallaba en libertad bajo un buen palomar y á los caaarios.^A los pavos, patos y gan­ aguas de fuente escondida. fianza carcelera ei preso exclaustrado D. Cipriano Menezo , del sos, embuchado de sus carnes, y extracción de su manteca.z= Pud iéram os extendernos si la crítica fuera para nosotros orden de carmelitas descalzos, al tiempo de irle á conducir á la Al cultivo de las moreras y gusanos de seda.zrAl de las abejas u n placer, y no una obligación…</t>
  </si>
  <si>
    <t>…te . este ini tercero y último aviso y térm ino de nueve dias desde par hay una sobre todo que debería adoptarse inm ediatam en­ Art. 6.° Asimismo será objeto de su exam en el d e re ­ el de su publicación á dicho presbítero D. Cipriano Menezo, te , y es la prohibición bajo pena de infam ia en E u ro p a , de ch o diferen cial de b a n d e r a , y el m ódico que se p ro p o n e para que se presente en la cárcel nacioual de esta corte á oir esas abominables represalias que se han ejercido en España. El e n equivalencia del…</t>
  </si>
  <si>
    <t>Menta, Jaime</t>
  </si>
  <si>
    <t>Jaime Menta</t>
  </si>
  <si>
    <t>…obado. Pujadas, fabricante de sombreros; D. Ramón M illa, maestro los actos no se califiquen por un tribunal expreso. Pero se dice, El Sr. PRESID EN TE: Se suspende esta discusión: conti­ sastre; D. José Vila , herbolario, y D. Jaime Menta , maestro y en esto, señores, es menester hablar con franqueza , que estos núa la que quedó ayer pendiente sobre el canal de Castilla. tornero , vecinos de Barcelona , acuden al Congreso con fecha ciudadanos han sido deportados fuera de la Península sin oír­ El Sr. M AD OZ dice que dese…</t>
  </si>
  <si>
    <t>Meodez, Ramón</t>
  </si>
  <si>
    <t>Ramón Meodez</t>
  </si>
  <si>
    <t>…groño , en solici­ Rico, pidiendo se castigue la injuria hecha á aquella corpo.ra- 1 244» Los confinados y detenidos en el presidio peuhnn-ar. tud de que el Congreso dicte una ley que arregle el servicio de cion por el coronel D. Ramón Meodez. | &lt; e la Goruña , pidiendo se les destine á combatir, formando un bagajes. 205. Doña A n a V a re la , pidiendo se desestime la proposi- I atallon de los existentes en aquel depósito. 162. El ayuntamiento de Villanueva de los Infantes , pi­ cion hecha por el Sr. Muñoz Maldonado sobre…</t>
  </si>
  <si>
    <t>Meodizabal</t>
  </si>
  <si>
    <t>…rtido po­ El Sr. M E N D IZ A B A L: Si el Sr. Olózaga lo pide, yo tam ­ pero obligada á ser muy circunspecta, viendo que el voto pro­ lítico que me ha sostenido eo las épocas en que he sido M i- bién lo déseo. puesto por el Sr. Meodizabal seria de la mas grande y elevada nistro. Se leyó el expresado discurso. im portancia; circunscrita por la ley ( y cuando digo la ley ha­ Yo fu i llamado al ministerio en épocas bien calamitosas; El Sr. M EN D IZ ABAL: Ese discurso, pronunciado por blo de las reglas que obtienen su lu g…</t>
  </si>
  <si>
    <t>Merced, Giordano.</t>
  </si>
  <si>
    <t>Giordano. Merced</t>
  </si>
  <si>
    <t>…eas Doria , Alegoría.rzF. Raibolini. taenbien hasta en sus mas ligeros toques , en sus primores y en Galería de la Ermita. La escuela en desorden.rzRichier. teds su fisonomía. Galerías de Dresde, Berlín &amp;c. Eliezer y Rebeca.—D. Giordano. Merced á sus generosos esfuerzos se ha podido reunir ese Museos, galerías é iglesias de B élgica y de H olanda. Un joven dando gracias á los Dioses.—Est. ant. Museo universal, esta Galería europea que contiene lo mas se­ Colección de estatuas, desde la celebrada Venus de M édicis La fami…</t>
  </si>
  <si>
    <t>Mere</t>
  </si>
  <si>
    <t>…to hasta el dia 24 de Octubre próximo, y enseguida sa­ paso que próximas operaciones contra el enemigo. algunos trozos; y después de varias observaciones, concluyó lió S. M. de la Cámara acompañada por los oficiales de la co­ (D. Mere, de Val.) pidiendo que se suspendiese la aprobación de las elecciones “ y rona. se accediese, no á que se anulasen, sino á que con mas cono­ El dia ha estado hermosísimo, siendo innumerable el gen­ cimiento de la comisión un dictamen mas arreglado. tío que se agolpaba á las calles por donde d…</t>
  </si>
  <si>
    <t>Merino</t>
  </si>
  <si>
    <t>…s partes que se le rffier^n. eisavos y 104 á v. f. ó vol.: 64 y 6 f á v. f. ó vol. nuevas. solicita se declare el concepto que merezcan sus procedimientos Acciones del banco español de San F ernando, 00. Pronunciamiento del cura Merino á favor de Cárlos v: an­ en el desempeño accidental de la comandancia general de la tecedentes biográficos de este cabecilla. provincia de Alicante. La comisión opina que pase esta solici­ El vireinato de N avarra es declarado en estado de guerra. CAM BIOS. tud al ministerio de la Guerra. Ca…</t>
  </si>
  <si>
    <t>…errores tículos siguientes adornados con dibujos y grabados origi­ en que vanos traductores y comentadores antiguos habían in ­ nales. currido , para que de este modo pudiese servir de maestro á los La hermana del famoso cura Merino ha muerto el dia 19 España pintoresca. = El observatorio astronómico de San profesores de arquitectura el único autor que, según Paladio, de Diciembre en el hospicio de la Yieillesse. Doña Manuela Fernando. había quedado de la antigüedad en este importantísimo arte; se Msximina Merino nació e…</t>
  </si>
  <si>
    <t>Merode</t>
  </si>
  <si>
    <t>…itorio desde que empeza­ lez.=El presidente, Raikem. traordinarias con respecto á las contribuciones, y bien os acor­ sen á ejecutarse las medidas que deberían seguir á la firma del daréis, señores, de que el honorable conde de Merode os hizo tratado. Vuestra sección central tampoco ha echado en olvido presente está misma necesidad en el momento en que acababa que no debíamos alimentar la esperanza de que el tratado pu­ de hacer dimisión dd ministerio de Hacienda que interina­ diera modificarse por la posibilidad de un c…</t>
  </si>
  <si>
    <t>…in­ dose por partes posteriores el paso de dicha facción, en número de ley presentado. saciables? N o; correrán por entre la desolación y la coóquisla^ de 52, el dia 9 por las inmediaciones de Garlitos, y que salió E l conde de Merode sube á la tribuna, que ocupaba á la hácia una presa mas rica. L*. en su persecución la fuerza de caballería situada en la Siruela. salida del correo; el antiguo Ministro de Estado ha comentado «Entramos, señores, en una nueva erarnos, amenazan gran­ su proyecto de resistencia pasiva, negánd…</t>
  </si>
  <si>
    <t>MEROS</t>
  </si>
  <si>
    <t>…a que esta ven no se ha pronunciado ningún nom­ las asientos mas inmediatos con ana mesa debute. Real decreto, declarando acto continuo estar abiertas legal— bre propio, lo cual dejará mas latitud sal mariscal. Sin embar­ E l Sr. M E R O S preguntó á Ia comisión, si el acto solemne mente tas Corles del reino con arreglo, ii. la Constitución. go la conversación parece que lia sido ea Ierra i oes n o y vagos; de ¡abrir y cerrar bs Cortes era acto del R ey ó del Gobierno, A r L 23. Cuando se cerraren las Cortes sin asistencia d…</t>
  </si>
  <si>
    <t>Meros</t>
  </si>
  <si>
    <t>…sticia á los Bn.a»es de caá tro hijos de la Doña El Sr. ISLA F E R N A N D E Z : El Senado "habrá oído que E l Sr. G A L A T R A V A : Puesto qne so está presente el se­ M uría D olores, muertas es defensa de h patria.. el Sr. Meros no lia hablado de la cuestión ; dioica, mea te ha tra­ ñor M in istro de Hacienda, do me haré cargo de una poco cor­ Los Sres. Cara Ibronero y M adoz, xnaaífestoiido qoe la co- tarlo del sistema general de pensiones , asunto digno de lomarse tés expresión qoe le oí, en que calificó d« despre…</t>
  </si>
  <si>
    <t>Merque-, Andrés Ruiz</t>
  </si>
  <si>
    <t>Andrés Ruiz Merque-</t>
  </si>
  <si>
    <t>…es, según loa resultados di dora y la Serma. Sra. Infanta Doña María Luisa Fer­ para esta vacante á D. Miguel García Camba, fiscal de la de nanda, continúan en esta corte sin novedad en su im­ Valencia: en reemplazo de Camba á D. Andrés Ruiz Merque- anteriores, los remates, comprendiéndose también el total de los mesei cho, que sirve igual destino en la audieocia de Mallorca; y según está mandado. portante salud. para esta fiscalía á D. José Fernandez Monserrat, juez del par­ tido de Manacor, de ascenso en la provincia de…</t>
  </si>
  <si>
    <t>Mesonero</t>
  </si>
  <si>
    <t>…, teratura árabe en la española, y de la época ea que los judíos Sr. Valle. Secretario, Sr. Quinto. Vicesecretario, Sr. Yila- vinieron á España. Kingston (Jamaica) 30 de Agosto de 1858. El 1.° del cor­ Cedron. A propuesta del Sr. Mesonero se trató en una de las sesio­ riente , con arreglo á lo dispuesto por el Gobierno ingles, tuvo Segunda sección.—Presidente, Sr. conde de Vigo. Vicepresi­ nes de la formación de un Manual bibliográfico español. efecto en esta Isla la emancipación de los negros esclavos, y dente , Sr. Seoane…</t>
  </si>
  <si>
    <t>Mesones.rzEl, Joaquín Hidalgo</t>
  </si>
  <si>
    <t>Joaquín Hidalgo Mesones.rzEl</t>
  </si>
  <si>
    <t>…19 de línea, os 26 de Setiembre de 1859.==Señora.—A L. R. P. de V. M . — el coronel Joaquín María M iranda.=Por el cuerpo de artillería 5. F. S ., el alcalde presidente.—L. Francisco de Paula de G u er- y su brigada , el coronel Joaquín Hidalgo Mesones.rzEl tenien­ •a.zzEl regidor decano, Pedro Ortega.—El regidor segundo, A n ­ H an felicitado á S. M. con motivo de los faustos sucesos te coronel comandante de la brigada Juan de Gamez —Por el tonio Yenegas.inEl regidor tercero, D o m i n g o Lozano.=El regi­ del día el inten…</t>
  </si>
  <si>
    <t>Met</t>
  </si>
  <si>
    <t>…E ichk of, Mr. P ellegrin i, en su relación con un copioso botín; que con este motivo salió con dicha fuer­ te todos los cónsules generales han ido á verle para cumplimen­ rem itida al Lloyd ha declarado que según el capitán del Met~ za y 20 Nacionales de Cuerva para apoderarse de é l ; y á pesar tarle y conferenciar con él sobre diferentes asuntos. A las exhor­ ter n ich los ejércitos enemigos estaban á la vista uno de otro de que dicho cabecilla recibió un refuerzo de 15 á 20 caballos taciones unáoimes de los cónsules gen…</t>
  </si>
  <si>
    <t>Metodizaba</t>
  </si>
  <si>
    <t>…persuadir al Congreso de la necesidad de que adoptase la dividuo de la comido» que habla no sostiene el artículo por de no hacerlo se continuará dicha causa, y les parará el per­ base del artículo. Habiéndome dicho después el Sr. Metodizaba! captarse popularidad , porque sabe que esa es una cosa muy juicio qre haya lugar. que por su parte convenía en la base, la comisión todavía po­ efímera, y que las personas que hoy son mas populares son las</t>
  </si>
  <si>
    <t>Meudizabal</t>
  </si>
  <si>
    <t>…, y cuán sensible soy á los votos de 1 8 5 5 , aun cuando no se llegó á verificar por las dificulta­ Señor: L a C am arad e los Diputados se felicita con vos por que hace por mi familia y por mí. (1ConstitudonneL) des que el Sr. Meudizabal manifestó en la memoria que presen­ la prosperidad del pais; esta prosperidad solo ha podido acre­ tó en dicha época. Tales razones dio entonces, que aun cuando cerse en medio del reposo que la Francia debe al Gobierno de e! Sr. S a n tilla n , con el conocimiento que tiene y yo reconozco…</t>
  </si>
  <si>
    <t>…nte la comisión que El Sr, G O M E Z ACEBO: Señores, cuando en el dia de ayer habia de sufrir una impugnación tan séria el artículo que está Por providencia de dicho juzgado, refrendada del escriba­ pronunció su discurso el Sr. Meudizabal, no estaba yo presen­ sometido á la discusión del Congreso. El 8r. Mendizabal ha no D. Jacinto Gaona y Loeches, se cita, llama y emplaza á te, y sin duda se me informó equivocadamente sobre el modo tratado de esforzarse en manifestar que este artículo es perju­ los prófugos Fernando Ruiz…</t>
  </si>
  <si>
    <t>Mezquia, Hermenegildo</t>
  </si>
  <si>
    <t>Hermenegildo Mezquia</t>
  </si>
  <si>
    <t>…en España desde 1834.:=Por Don de: Lo que hace un manto en M a d r id , de Calderón. El Bustamante, D. Santiago Alonso Cordero, D. Alfonso Peralta, Antonio Gil y Zarate. anotado»* continúa: yo creo que es de R ojas. A mí no me D. Hermenegildo Mezquia, D. Manuel de Gaviria y D. M a­ La historia considerada como ciencia de los hechos.^:(Con­ lo parece: porque Hojas no podia escribir dos páginas nuel M altrana, quienes declararon no haber lugar á la forma­ clusión. Véase el núm. 1 .° de la segunda série.) Ch. D u R o- sin algun…</t>
  </si>
  <si>
    <t>Mi, Juan Arias</t>
  </si>
  <si>
    <t>Juan Arias Mi</t>
  </si>
  <si>
    <t>…pendencias, y el decano y junta de profesores en los que varrete, á D. Miguel Tenorio, que sirve otra de la misma cla­ salud. pertenecen á los privilegios de invención é introducción. se en Burgos: para esta plaza vacante, á D. Juan Arias Mi­ Tendréislo entendido, y dispondréis lo conveniente randa , fiscal de la misma audiencia ; y para esta fiscalía á Don para su cumplimiento.=:Está rubricado de la Real m ano.= Antonio Valenzuela García, juez de Chinchón, en quien con­ REAL DECRETO. En Palacio a 9 de Mayo de 1839.=A D…</t>
  </si>
  <si>
    <t>Mi-, Juan</t>
  </si>
  <si>
    <t>Juan Mi-</t>
  </si>
  <si>
    <t>…tribunal ria formada por el comandante de la expedición pacifica­ militar de la Habana, excepto á su fiscal, que en sus fa­ supremo de apelaciones de correos y caminos; en el con­ dora de la Habana, con acuerdo de su asesor D. Juan Mi- llos procedan en lo sucesivo con la imparcialidad y justi­ cepto de que en donde haya ret, contra D. José María M uróte, contador interventor de cia que previenen las leyes y el honor militar: que en el instancia, tendrán prevencióndosen óelmas jueces de primera conocimiento de tales la…</t>
  </si>
  <si>
    <t>Mieg, Estado</t>
  </si>
  <si>
    <t>Estado Mieg</t>
  </si>
  <si>
    <t>…as puede aumentar de la Prusia, Mr. de SJiocler , general de infantería; por la Ramón Gil ; Ramón Agrá , y Manuel Casal, procedentes de la sus rentas en la cantidad de 1 i.0© pesos , en esta form a: 70© Baviera , el consejero de Estado Mieg ; por la Sajorna, el M i ­ gavilla de Villanueva; el ex-fraile D. M iguel, segundo del pesos en la traslación directa de los diezmos al tesoro: 20© en nistro de Conferencias y consejero privado barón de MemteüfTel; cabecilla Fantaúa, y dos desertores quintos que se habian refu­ el ramo…</t>
  </si>
  <si>
    <t>Mieg, Juan</t>
  </si>
  <si>
    <t>Juan Mieg</t>
  </si>
  <si>
    <t>…..................................................... 20 por razón de porte en las administraciones de correos y princi­ D oña Carlota Velazquez........................................................ 8 Lunes.=De siete á ocho, D. Juan Mieg , aleman. pales librerías, adelantando el importe de ua mes. Sra. marquesa de Valdejeroa................................................ 20 Idem.=:De ocho á nueve, D. Francisco José Fabre, geo­ El que gustase suscribirse podrá verificarlo en adelante al D . Angel Casimiro Govantes. .•.. ..…</t>
  </si>
  <si>
    <t>Mientras, Leonor</t>
  </si>
  <si>
    <t>Leonor Mientras</t>
  </si>
  <si>
    <t>…o su nom­ tenido un lenguaje mas triste y elocuente. El no se' quién f u e Sufrir al crimen empuñando el cetro, bre,hunde su espada en el corazón de su enemigo en el acto q u in ­ el desgraciado nos parece un rasgo de genio. Doña Leonor Mientras que gime la virtud hollada. to. El autor del drama debia no solo hacer aparecer con las manifiesta á D. Pedro sus temores y sospechas; le responde con D . Fernán Este es mi anhelo, ilustre D. Gonzalo, mas negras tintas la muerte de Doña Leonor, debia saber pe­ entereza que jamás entr…</t>
  </si>
  <si>
    <t>Mieses, José Rodríguez</t>
  </si>
  <si>
    <t>José Rodríguez Mieses</t>
  </si>
  <si>
    <t>…de la lengua castellana. con la pureza de b u ril, pastosidad y franqueza que le carapte-r Crónica judicial.zrNoticia del recurso de nulidad interpues­ rizan. Tiene 22 p. y 8 1. de alto, y 16 p. 7 1. de ancho; precio to por D. José Rodríguez Mieses contra los procedimientos de antiguo 50 rs., y moderno 4 O. la audiencia de Sevilla, y decisión del supremo tribunal de Justicia en el recurso de queja deducido por el mismo. T R AsosT ASres. D O de paz y amistad entre los muy altos y podero­ D. Cárlos iv , Rey de España, y…</t>
  </si>
  <si>
    <t>Miguel</t>
  </si>
  <si>
    <t>…Fernando dejó un hermano que se habia rebelado contra él, su navegación, se redobló en él la esperanza de conseguir su enfermedad de la Reina, habiendo terminado en una completa y contra D. Pedro se rebeló otro hermano suyo. D. Miguel grande intento, este era la riqueza comercial de las Indias, por demencia, fue Juan declarado regente con pleno poder regal. usurpó el trono de la jóven Reina de Portugal hasta que fue lo que dió el nombre de cabo de Buena Esperanza al entonces La estrecha conexión entre Inglaterra y Portug…</t>
  </si>
  <si>
    <t>…iento infantería Diferentes ingresos puramente accidentales.. 5 - 6 7 7 ,2 7 5 - 1 0 de Castilla, 16 de líuea , á cuya cabeza marchaba su coronel él Anticipación de los 2 0 0 millones............ 4 9 0 ,0 0 1 - 1 6 brigadier D. Miguel M i r , un escuadrón del regimiento de Caballos requisados....... ........................................ 7 2 ,1 8 5 Junta de quema de documentos de la deuda 'pública. Leoo, 2.° de ligeros , que dependen de esta división , mas la Contribución extraordinaria de guerra............ 1 4 2 - 5…</t>
  </si>
  <si>
    <t>…ridas en la isla de Cuba al tiem­ Gobernación de Ultramar; D. Aguslin Rodriguez, direc­ | en cion aprobada por S. M. en 50 de Octubre último, publicada la Gaceta de L° de Noviembre siguiente. tor general de rentas cesante, y D. Miguel po de cumplirse la mencionada Real orden de 28 de Ju­ Nevares, gefe político que ha sido de Madrid. Tendréislo Cabrera de lio dieron margen á que, por otra expedida por el de entendido, y lo comunicareis á quien corresponda para Intendencia general militar. Hacienda en 4 de Diciembre del m…</t>
  </si>
  <si>
    <t>…á Ú, Pedro Torreas y M iral- cho dia. B IB L IO G R A F ÍA . da , D. José de Acebo, D. Clemente Bernaídez, D. José Arau- jo y Alcaide, D. Joaquín de Echavarría , D. Ricardo López, D. Antonio González , D. José de Castejon, D. Miguel M ar- p O R el presente y providencia dictada por el Sr. D. Juan qüés y Villegas, D , Lorenzo Marau , D. Andrés M artí, Don José Rodríguez Yaldeosera, caballero comendador de la Juan Garay y Casal, D. Rafael Cañaveral, D. Francisco Ja­ Real orden Acbericana de Isabel la Católica , juez toga…</t>
  </si>
  <si>
    <t>…En seguida se puso á discusión el dictamen de la comisión Real agrado. Madrid 8 de Enero de 1 8 3 9 .= Señora.= A por fallecimiento del profesor que la desempeñaba: su dotación de Actas acerca de la solicitud del Sr. Senador D. Miguel G a- consiste en 300 ducados anuales pagados por trimestres por fel lindo, reducida á sustituir una renta por otra para continuar L, R. P. de V. M. = Isidro Alaix. ayuntamiento de la misma. Los profesores aspirantes á élla di­ desempeñando dicho encargo. REAL DECRETO. rigirán sus solicitud…</t>
  </si>
  <si>
    <t>…e detener á varios tiradores con una carga solo citaremos los nom bres de nuestro emigo y antiguo co­ tas se han sucedido unas á otras, y hasta los turcos fingida o de caballería. laborador j0 . Patricio de la Escosura y el de D. Miguel verdadera han manifestado una desmesurada alegría. La toma Hay fundados motivos para creer que el barón de Malski, Agustín P rín cip e, que con frecuencia se leen al pie de los de Koniah debe producir un resultado definitivo en la situa­ oficial distinguido del estado cíayor, ha sido muerto.…</t>
  </si>
  <si>
    <t>…ón. El Gabinete se había dividido al prin­ José Buriel y O rbe, obispo de Córdoba: por la de G rana­ diente guia. De Real orden lo digo a Y. S. para su inteli­ cipio acerca del modo de adoptar aquellos medios ; pero ahora da á D. Miguel E spinar, en reemplczo de D. Manuel de gencia y efectos oportunos. Dios guarde á V- S. muchos existe en el seoo del Consejo la mayor unanimidad. S o ria; por la de Murcia a D. Jesualdo López S j ha josa,- en años. Madrid 14 de Agosto de 1839.=X im enez.=Sr, direc­ Mr. Thiers, que llegó á Pari…</t>
  </si>
  <si>
    <t>…des secretas no es siquiera el fervor y caldes, presidente D. Baltasar M oró, D. Gabriel Azcárate, fines, y a sirviéndose de ellas como de un escudo en tiempos de celo por la propagación ó el triunfo de ciertas doctrinas ó sis­ D Miguel M artínez y D. Manuel Fernandez. Con las 25 ban­ intolerancia civál ó religio sa, y a empleándolas como una mina te m as, sino la bastarda ambición ó intereses aun mas villanos. das restantes y el mismo lema al completo de /^0 , fueron pre­ para derribar los obstáculos que les embarazaban el…</t>
  </si>
  <si>
    <t>…l desorganización, por B i¡bao,par. Valencia, ¿ dio. b. lo que creo que la pacificación de este distrito toca ya al últi­ C ádiz, I d, Z a r a g o z a ,| id. id. mo término, pues los pueblos empiezan á dar señal de vida y á D. Miguel ha llegado el 19 á Florencia , procedente de Ro­ demostrar el mejor espíritu público. Descuento de letras , á 6 por 100 al año. ma. Se dice que su viaje ha sido motivado por la presencia del intante D. bebastiao en la primera de aquellas ciudades. {Id.) GUIA DE FORASTEROS. TEATROS. NOTICI…</t>
  </si>
  <si>
    <t>…Sr. capitán general superintendente general de Real H a­ nos era mas pesada, y que solo hubiéramos aceptado persua­ riódicos de Lyon y las cartas particulares que han llegado de cienda, se dió lectura al informe de los Sr es. D. Miguel H erre­ didos de que asi convenia á los intereses públicos. La recauda­ aquella ciudad ayer y h o y , guardan igualmente el silencio mas ra y D. Antonio M aría de Escovedo, en el que refieren la mar­ ción de productos nunca la quisimos tener á nuestro cargo; des­ absoluto acerca de aquel pr…</t>
  </si>
  <si>
    <t>…A g u irre , comandante punto con el c o n v o y de víveres que conducía , habieudo hecho que los enemigos levantasen el bloqueo que la tenían puesto y nterior de este departamento por el sistema federal desde el de escuadrón D. Miguel R a m o s, capitán de la segunda com ­ se replegasen en la dirección de Cañete. lia 15 del mes anterior , reunieron sus fuerzas en número de pañía de caballería activa de Nuevo León D. Francisco R a d a , &gt;00 hombres , los mas de las compañías presidíales, y puesto á y el alférez de este dep…</t>
  </si>
  <si>
    <t>…o la le­ rebeldes en el distrito de su mando, han resultado de estos 12 bían hecho , no habían articulado ninguno. galidad con que se ha hecho. El Sr. Ministro con la destreza muertos sobre e! campo, entre ellos el cabecilla D. Miguel V al- Pasando á hacerse cargo del acta de Huelva , manifestó que que le distingue, conociendo el mal terreno en que se colocaba cárcel, ocho heridos , dos prisioneros, y se les han cogido va— ninguna reclamación habia contra ella, y que no era posible con hablar del punto de legalidad, se oc…</t>
  </si>
  <si>
    <t>Sonora: El ayuntamiento constitucional de la v illa de minarán las diferencias. D. Miguel no toma ninguna parte en estaba acordado por la co?nisíoa al tiempo de extender e! dicta- L a-P alm a, prov incia de Huch a , poseído de un gozo difícil esto, y vive actualmente muy retirado. xnen de los demás, se habia omitido insertarle para que llegase de explicar por los gloriosos acontec…</t>
  </si>
  <si>
    <t>…mportante objeto, viéndo­ solicitud alegando que, según sus principios , no podia intere­ se en la necesidad de recurrir á una suscripción voluntaria. El sarse en semejantes empresas. Pero al mismo tiempo se supo en Parece que D. Miguel ha pegado un petardo á D. Carlos. ilustrado , el venerable obispo de esta diócesis habia ya m ani­ Colonia que el mismo Gobierno habia tomado un número con­ Los partidarios de estos dos Príncipes, es decir , del absolutis­ festado al Ser Supremo nuestro reconocimiento por tan señala­ siderabl…</t>
  </si>
  <si>
    <t>Miguel, D.</t>
  </si>
  <si>
    <t>D. Miguel</t>
  </si>
  <si>
    <t>…m.Grande, en virtud de providencia del dia 27 del cor­ Terminando la función con la graciosa comedia en un acto, dor), acogídose á indulto dos, y otros tres muertos por la colum­ riente, dada por el Sr. D. Tomas Pacheco y el Sr. D. Miguel que tanta aceptación mereció, y que hace tiempo no se ejecuta, na de cazadores del provincial de Mooterey en el partido de María D uran, jueces que entienden en ella, y escribanía de nominada Cela no va, quedando en poder de estos algunos efectos de poco Mateos, se suspende hasta nuevo a…</t>
  </si>
  <si>
    <t>…00. se dejan engañar al principio con artificios, generalmente mal Títulos al portador del 4 Por 100 , 00. tejidos, al fin conocen la maldad cuando el diablo tira de la Vales Reales no consolidados , 00. O O R providencia del Sr. D. Miguel M aria D u ra n , juez de m anta, y la castigan severamente. Deuda negociable de 5 por 100 á papel, 00. primera instancia en esta capital, refrendada del escriba­ En las comedias de costumbres y de intriga (porque tam­ Idem sin interés, 5^ nuevas al contado: 6 á 34 d. f. ó vol. no del núm…</t>
  </si>
  <si>
    <t>…án en la escribanía principal de su juzgado, postigo correspondiente al domingo 14 de Abril . de S. M a r tin , niím. 7 , piso bajo. Contiene los artículos siguientes, adornados con sus dibu­ I ^ N virtud de providencia del Sr. D. Miguel M aría D uran, ^ ministro honorario de la audiencia de Granada y juez de Tj^L intendente militar del distrito de Extremadura. primera instancia de esta villa , refrendada del escribano de Hago saber: Que finalizando en fin de Junio de este año la jos y grabados originales. Usos y traje…</t>
  </si>
  <si>
    <t>…, al Sr. D. Diego V al- anunciando el concierto. . . . . . . . . . 44 demoro. Con singular satisfacción ponemos en conocimiento del Por fijarle en los sitios públicos..,.u . . * lO 769. Dos abanicos de chimenea bordados, al Sr. D. Miguel público la siguiente noticia y; " Por insertarle en el D iario., . . .. l 5t * González Salábrias. Deseando el 'Gobierna de S.; Mv el Rey de los' fraiícesés^ ebavisoym id. panu que 637. Un tiesto de china con un rosal, al Sr. D. Juan Gon­ hacer mas eficaces en nuestro favor los servicio…</t>
  </si>
  <si>
    <t>…co­ Catálogo d e las m ejores estampas que se hallan d e ven ta en ger la prim era entrega del tomo 1.° de dicha obra. Continúa la c a lc o g r a fía d e la Im prenta Nacional . la suscripción. p N virtud de providencia del Sr. D. Miguel M aría Duran, Otra idem . ministro honorario de la audiencia de Granada , y juez de primera instancia de esta v illa , refrendada del escribano de SUBASTAS. El célebre Julio R omano pintó este cuadro, cuya composi­ número del crimen D. José López A rias, se cita , llama y em­ plaza por te…</t>
  </si>
  <si>
    <t>…n y disolución de las anteriores Cor­ lientes en el juzgado de prim er^ instancia que despacha en es- edición corregida en este año. Un tomo á 20 rs. tes/d ijo S. S.,que si el Gobierno nocreiá oportuno este momen­ a villa el Sr. D. Miguel M aría D u ran por la escribanía del to para manifestar tas causas que le habían movido á ello, pro­ número de D. Santiago de la G ra n ja ; apercibidos que pasado Aventuras del caballero andante Amadis de G au la, ador­ bablemente no las diría nunca, porque nunca se le podia pre­ in hac…</t>
  </si>
  <si>
    <t>Miguel, D. Evaristo San</t>
  </si>
  <si>
    <t>D. Evaristo San Miguel</t>
  </si>
  <si>
    <t>…s. Cabani- los ignorantes á escuchar el lenguaje técnico, y les inspiran Sr, conde de la Rosa. llas y Collado: de un aparato para penetrar en los incendios, gusto y deseos de aprender. Las conferencias de las secciones d i­ Sr. D. Evaristo San Miguel. inventado en Paris y anunciado y descrito en esta sección por lucidan cuestiones interesantísimas para la sociedad , y fijan Sr. D. Joaquín Iñigo. el marques viudo de Pontejosrde la utilidad que podría sacar­ sobre ellas la opinión de los concurrentes, sirviéndoles taiúbien…</t>
  </si>
  <si>
    <t>Miguel, D. Juan Bravo Murillo. Sr. D.</t>
  </si>
  <si>
    <t>D. Juan Bravo Murillo. Sr. D. Miguel</t>
  </si>
  <si>
    <t>…aquin Francisco Pacheco. Sr. D. Bartolomé Marin y Tauste. Sr. D. Juan Morales Cortina. Sr. conde de Ayamans. Sr. D. Antonio Benavides. Sr. marques de la Motilla. Sr. D. Pedro Juan Morell. Sr. D. Francisco Curado y Fajardo. Sr. D. Juan Bravo Murillo. Sr. D. Miguel Salvá y Cardell. Sr. D. Pablo Ayala y Moría. Sr. D, Francisco Armero y Peñaranda. Sr. D. Juan Burguez Zaforteza. Sr. Sr. D. Nicolás Rípoli. León. Soria. . Barcelona. Sr. D. And rés Leal. Sr. D. Segundo Sierra y Pambley. Sr. D Manuel Barrio-Ay uso. Sr. D. Jo…</t>
  </si>
  <si>
    <t>Miguel, D. Víctor Fernandez Alejo. Sr. D.</t>
  </si>
  <si>
    <t>D. Víctor Fernandez Alejo. Sr. D. Miguel</t>
  </si>
  <si>
    <t>…vajal y IIIloa. Sr. D. Gregorio Quiroga y Frias. Sr. D. Juan José ligarte. Sr. D. Rufino García Carrasco. Sr. D. Vicente Vázquez Móscoso. Sr. I). Juan Pedro Quijana. Sr. D. Vicente Silva. Sr. D. José María Pardo Montenegro. Sr. D. Víctor Fernandez Alejo. Sr. D. Miguel García Cornejo. Sr. marques viudo de Valladares j electo. Sr. D. Julián Rodríguez del Valle. Valencia. Cádiz. Sr. D. José Ferraz. Sr. D. Manuel Montes de Oca. Madrid. Sr. D. Luis Mayans y Enriquez, Secretario 2.° Sr. D. Francisco Javier Istdriz, Presiden…</t>
  </si>
  <si>
    <t>Miguel, Evaristo San</t>
  </si>
  <si>
    <t>Evaristo San Miguel</t>
  </si>
  <si>
    <t>…ra , distante mas PERIO DICO M E N SU A L época que nos ocupamos. Atrasada entonces la ciencia de la administración , nadie ha­ depan cuatro leguas del punto mas avanzado de la línea que ocu­ nuestras tropas. redactado por D. Evaristo San Miguel. bía pensado en deslindar lo administrativo de lo judicial; y Según noticias de lo interior de la provincia, el Preten­ respecto de unos y otros negocios se consultaba al Consejo su­ premo y Cámara de Castilla. Sin embargo de que esa institución diente llegó á Tolosa el 1.° de…</t>
  </si>
  <si>
    <t>…o, ricano para teñir el pelo de negro en seis minutos , á 6 y 8 rea­ PERIODICO M ENSUAL añadió, que bajo el rigor de las reglas, en lugar de caracteres les: pastillas de lima para perfumar las habitaciones, á un redactado por D. Evaristo San Miguel, solamente se presentan pasiones, afectos, de lo cual se ven ejem­ real cada una: canutos para curar los callos y verrugas radi­ plos palpables en las tragedias de Racine y de Corueille. calmente, á 2 rs. : para desterrar los sabañones á 2 rs. pastilla: H asta ahora han salido á…</t>
  </si>
  <si>
    <t>…prescrito en el art. 126, tít. 11 del reglamento. BOLETIN DE COMERCIO BOLSA DE MADRID. REVÍSTA MILITAR. CORRESPONDENCIA DE LA GACETA. PE R IO D IC O M E N S U A L Cotización del dia 12 d las tres de la tarde* redactado por D. Evaristo San Miguel . Taima (Mallorca) 25 de Setiembre. El dia 22 del actual SBECTOS PÚBLICOS. se recibió la noticia de los gratos sucesos que han tenido lugar Número 18. en el norte de la Península relativos á la huida á Francia del Inscripciones en el gran libro á 5 por 1 0 0 , 00. rebelde Prínci…</t>
  </si>
  <si>
    <t>…os 550 pesos las librerías siguientes : Valencia, en la de N avarro: Bar­ fuertes en la forma siguiente: P E R IO D IC O M E N S U A L celona , en la de Sierra : Zaragoza , en la de Polo y M on- Premios. Pesos. redactado-por D. Evaristo San Miguel. ge: Valladolid, en las de Bassó y viuda de Roldan: B u r­ gos , en la de Velez: Salamanca, en la de Blanco: Santiago , en Número 17 la de Rey Romero: C oruña, en la de Perez: L u g o , en la de 1 ..................... d e . . 8000 ps. fs 8000 P ujo l: Córdoba , en la de Berar…</t>
  </si>
  <si>
    <t>Miguel, Pedro</t>
  </si>
  <si>
    <t>Pedro Miguel</t>
  </si>
  <si>
    <t>…dríguez, se ha servido señalar me veo eu la péecision de pedir explicaciones relativas a un do­ \ ,, pije«que se Rabja h u id q .d e d eterm inar J a calificación de para junta de acreedores á la dimisión de bienes hecha por Don Pedro Miguel G uichot , D. Ignacio España y compañía , el d o ­ cumento impreso én él D iario de las sesiones del 5 i del mes a n ­ jpalabra consignada en él art. ifl de la Constitucip¿¿ terior. ^ - : : ’ ''' v •• : .;Eú él sé reconoce é| principio de que no pueden ser presos m ingo 15 de Enero pr…</t>
  </si>
  <si>
    <t>…pensamiento la armonía que existia en otro tiempo y que no que se encuentre, tiene por adherente natural tributar elogios encontraba en el presente entre las formas del templo y la del A instancia del síndico del concurso de D. Pedro Miguel á los que se hagan dignos de ellos. El alto funcionario públí — culto que en él se celebra. G uichot, D. Ignacio España y com pañía, se citó y em­ co , ó el modesto ciudadano, hallará nuestra censura ó nuestro Figúrese el lector que está en una vasta jaula formada por plazó nominalmen…</t>
  </si>
  <si>
    <t>Miguel, Salvador Bermudez de Castro y D.</t>
  </si>
  <si>
    <t>Salvador Bermudez de Castro y D. Miguel</t>
  </si>
  <si>
    <t>…te. D. Eugenio Moreno. Papas 11,857 7 17 pues ¿cómo queréis que mande Consiliario. D. José de Espronceda. Pastas harina.................................................. 15,018 5 17 que viva un hom bre con ella, Secretarios. D. Salvador Bermudez de Castro y D. Miguel Sal 6,501 7 16 si es hacienda de m ontana, de los Santos Alvarez. Té...................................................................... 1.259 que hincha, pero no sustenta? Delegado facultativo. D. Juan del Peral. Valor de vegetales y encurtidos 1,024 .. 1…</t>
  </si>
  <si>
    <t>MIGUEL, SAN</t>
  </si>
  <si>
    <t>SAN MIGUEL</t>
  </si>
  <si>
    <t>…lado sin hueso, 405 de arroz, 750 de paja y 188 fanegas de terior , que fue aprobada. ción que se proponía. cebada para abastecer los puntos de Moya y Requena en la El Senado quedó enterado de una comunicación del Sr. Pre­ El Sr. SAN MIGUEL dijo que la única razón que habia provincia de Cuenca, aplicándose á su pago las sumas que sidente interino del Consejo de Ministros, manifestando que tenido para firmar el dictámen, era que la renta que se pro­ sean posibles de las que se consignan para el ramo de provi­ S. M. la Reina G…</t>
  </si>
  <si>
    <t>Miguel, San</t>
  </si>
  <si>
    <t>San Miguel</t>
  </si>
  <si>
    <t>…a suma de jubilados y cesantes, que ya de no acceder á su solicitud. la pensión de viudedad, pues la pensión de viudedad es un asciende á 95.780,151 rs. Después de hacer otras ligeras obser­ El Sr. CALATRAYA, contestando al Sr. San Miguel dice, derecho adquirido por esa señora , y no necesitaba para ello de vaciones, concluye diciendo que los medios de conservar el cré­ que el Sr. Laborda en su concepto propone y subroga á los modo alguno acudir á las Cortes. dito es el asegurar los capitales y pagar los intereses. fondo…</t>
  </si>
  <si>
    <t>…s. 63 al 67. narquía. Hoy nada hemos sabido del ejército del duque de la Victo­ Leido el 68 dijo Salas consistoriales de Antequera a 1 de Octubre de 1839 .=: ria ; pero según se cree, habrán adelantado estrechando al ene- El Sr. SAN MIGUEL que tenia algunas dudas acerca &lt;Je Señora.^: A L. R, P. de Y . M. zzJuan Casasola Fonseca , a l­ este artículo, pues en su concepto estaba en oposición con e-t calde presidente. José M aría González del Pin o , alcalde, rz art. 57 de la Constitución , por lo que deseaba que la comisión Jo…</t>
  </si>
  <si>
    <t>Miguel, Senador D.</t>
  </si>
  <si>
    <t>Senador D. Miguel</t>
  </si>
  <si>
    <t>…lla vacante En seguida se puso á discusión el dictamen de la comisión Real agrado. Madrid 8 de Enero de 1 8 3 9 .= Señora.= A por fallecimiento del profesor que la desempeñaba: su dotación de Actas acerca de la solicitud del Sr. Senador D. Miguel G a- consiste en 300 ducados anuales pagados por trimestres por fel lindo, reducida á sustituir una renta por otra para continuar L, R. P. de V. M. = Isidro Alaix. ayuntamiento de la misma. Los profesores aspirantes á élla di­ desempeñando dicho encargo. REAL DECRETO. rigirán su…</t>
  </si>
  <si>
    <t>Migué</t>
  </si>
  <si>
    <t>…un balazo en Tor el presente cito, llamo y emplazo á todos los que se con­ P E R IÓ D IC O SA T ÍR IC O Y F E S T IV O , el pecho. sideren con derecho á los bienes que muriendo dejó Doña M a­ ría Velen Gapetillo, huérfana de D. Migué! , administrador P O L IT IC O Y L IT E R A R IO . Burgos 1/j de Abril. Llegó á Lerma en la tarde del 11 el que fue de correos en Tudela de N a v arra, fallecida intestada comandante general de la Sierra con el provincial de Laredo, en esta de Burgos en el 8 de Octubre del año últim o , para…</t>
  </si>
  <si>
    <t>MILITAR</t>
  </si>
  <si>
    <t>…a fe aunadas gravasen por mas tiempo á la consignación del ramo de Guerra; y S. M., conforme con el dictámen de V, S. y de la intervención FRANCIA. general militar, ha venido en resolver por punto general: INTENDENCIA GENERAL MILITAR. 1.° Que los enunciados testimonios mensuales de los Paris 22 de Febrero. precios corrientes en los pueblos Por el ministerio de la Guerra se me ha comunicado fundarse desde ahora para su validez á los efectos que serespectivos, habrán de Escriben de Bruselas el 21 de Febrero. con fecha…</t>
  </si>
  <si>
    <t>Millan, José de San</t>
  </si>
  <si>
    <t>José de San Millan</t>
  </si>
  <si>
    <t>N.° 17 6 7 . SABADO 14 DE SETIEMBRE DE 1839. d ie z cu arto s . Rubricado de la Real mano.=En Palacio á 13 de Setiem­ y que trataba de poner á flote. El mism o gefe ha dispuesto PARTE OFICIAL. bre de 1&amp; 3 9 .= A D. José de San Millan. g uarn ecer la isla de San N icolás de L eq ue itio hasta q u e , po­ niéndose en c om unicación con los gefes del ejé rcito, pueda d is­ ponerse lo que sea mas conveniente. Los h abitantes de aquellas S. M. la R e i n a , s u augusta Madre la R e i n a G obern a­ poblaciones…</t>
  </si>
  <si>
    <t>…iados carlistas cimiento habia hecho nacer. culo.— YO L A R E IN \ GOBERNADORA. = En Palacio para que Maroto pueda venir allí con seguridad. S. M. la Reina ha comido con el Rey, recibiendo por la á 25 de Octubre de 1839.-^-A D. José de San Millan. (Le Constitutionnel.) noche como de ordinario* El Presidente del Consejo y después todos los Ministros han ido sucesivamente á Saint-Cloud. MINISTERIO DE HACIENDA El Centinela de los Pirineos asegura que el brigadier Var­ el ministro El conde de Montalivet, el encargado de neg…</t>
  </si>
  <si>
    <t>Millan, José San</t>
  </si>
  <si>
    <t>José San Millan</t>
  </si>
  <si>
    <t>…ieron á la Torrre de Ambran , donde co­ El Rey se ha encaminado directamente á S. Yalery: antes gieron al cabecilla Antonio C am uñas, alias Pote, el cual los de llegar al paseo de la Somme ha dejado el V e l o z , y ha su­ D. José San Millan , director general de R en tas, q u e d a n ­ gpió á un rancho, y en él fueron aprehendidos los facciosos bido á bordo del buque de vapor el C astor , que hace e! servi­ do m uy satisfecha del celo y lealtad con que ha desem pe­ José Perez Redondo , álias Castaña, y Antonio Bautista…</t>
  </si>
  <si>
    <t>Millas, Manuela Anastasia</t>
  </si>
  <si>
    <t>Manuela Anastasia Millas</t>
  </si>
  <si>
    <t>…cada cual. Nosotros narraremos tan solo; pero procuraremos h a ­ competan en la testamentaría de sus difuntos padres D. José adonde se dirigirán las reclamaciones y las cartas francas de cerlo irnparcialmente y con verdad. y Doña Manuela Anastasia Millas: apercibido que pasado d i­ porte. En las provincias en las principales librerías y adminis­ Entre los conocimientos históricos que puede proporcionar cho término sin mas citacicn se dará á los autos el curso que traciones de correos. la Rev ista , merecen la preferencia lo…</t>
  </si>
  <si>
    <t>Mina</t>
  </si>
  <si>
    <t>…á decir que Barcelona al Sr. Alvarez , ó á lo menos siendo segundo cabo á vecindario de M a dr id para excitar su generosidad y p at ri o tis ­ habia llegado este caso, el cual se díscutia en ambos cuerpos las órdenes del general Mina, fueron deportados en 5 de Enero mo en favor de los desgraciados cuanto beneméritos habitantes colegisladores, que reconociendo ó no la necesidad de esta sus­ de 1856 á Canarias una porción de patr iotas , de patriotas, se­ de Castilblanco y Madrigalejos. Conocidos son del público los pe n si ó…</t>
  </si>
  <si>
    <t>Minas</t>
  </si>
  <si>
    <t>…n R o ­ nos y Canales, y las contadurías, intervenciones, tesore­ Art. 4.° Los débitos que igualmente aparezcan por el drígu ez, pífano dél regimiento provincial dé Segovia, para que rías y depositarías de la dirección general de Minas; de la 2 por 100 á m etálico, que debieron satisfacer los compra­ comparezcan en I* escribanía del juzgado de esta intendencia de Caminos; de las juntas superiores de Mediciua y Ciru­ dores sobre eí valor de las tasaciones por los plazos no pa­ m ilita r, sita en la plazuela de la V illa ¡ nii…</t>
  </si>
  <si>
    <t>Mingrat</t>
  </si>
  <si>
    <t>…sta obra que á pesar de las dificultades 5.a La concubina donataria. impotencia y frialdad del hombre ó de la muger. de la época han publicado 12 tomos, 10 de la parte francesa 4-a Nacimientos tardíos. 7.a Proceso contra el cura Mingrat sobre violación y asesi­ en los que figura lo mas selecto que sobre la materia han escri­ 5.a Legitimidad de un hijo habido en un matrimonio n u ­ nato de María Jerio. 8.a Proceso contra Edrne Samuel Castaings solire envenena-, to Gayot de Pitaval, 'Garsault , La-Ville, Essarts, Mauricio…</t>
  </si>
  <si>
    <t>Minis</t>
  </si>
  <si>
    <t>…ones contestación á su oficio d e 6 de Setiembre último. De la rán , pues no pudieron tenerse presentes cuando se exten­ é interceptaciones de facciosos; pero para precaver estas, propia Real orden, comunicada por el referido Sr. Minis­ dieron los ya remitidos. Y respecto á las certificaciones del no solo han de hacerse las conducciones con las precau­ tro, lo traslado á Y. S. para su conocimiento y efectos quinquenio, que asimismo se deben remitir á la contadu­ ciones prudentes, y necesarias que la situación de varias consi…</t>
  </si>
  <si>
    <t>…Península lo si­ Excmo. S r.: Como á pesar de lo expresamente manda­ Leida el acta de la anterior quedó aprobada. guiente : do en la Real orden de 12 de Enero de 1837 observara Se dió cuenta de varios oficios remitidos por el Sr. Minis­ He dado cuenta á la Reina Gobernadora de cuanto S. M. que en muchas provincias existen las comisiones mi­ tro de la Gobernación; por los cuales dirigía copia de varias manifiesta la diputación provincial de Valladolid en la litares ejecutivas permanentes que en aquella Real dispo­ actas de d…</t>
  </si>
  <si>
    <t>…sas; y en ese sentido podrá serlo mi interpelación. presenten los resolverá conforme á la ley , creo que esta cues­ El Sr. Ministro de H A C IEN D A : Señores, debo decir al Por lo demás no estoy conforme con la doctrina del Sr. Minis­ tión debía ya terminarse. Sr. Mon que al citar esas resoluciones que yo no he dicho si tro, en cuanto á decir que interpelar es preguntar; interpelar El Sr. MON : Sr. Presidente, una palabra. habían sido bien ó mal tomadas, no traté de inculpar á nadie es mas, interpelar es reconveair. El S…</t>
  </si>
  <si>
    <t>N.° 1673. SABADO 15 DE JUNIO DE 1839. d ie z cu a rtos . PARTE OFICIAL. de 1839.=Excmo. Sr.=José Melchor Prat.^Excmo. Sr. Minis­ tro de la Gobernación de la Península. Hubiera deseado que V. E. presenciase el ínteres que bao tomado los tres ayuntamientos y las personas visibles y de ¡Ur- iluencia por su patriotismo y arraigo, el entusiasmo que lo* anim a, y la actividad que desplegan en reunir fondos, allanar S.…</t>
  </si>
  <si>
    <t>…ofesores. 3.a Las guias que se empleen en este tráfico serán las orden. Elementos de matemáticas, teneduría de libros y par­ de tercera clase que determina el art. 40, cap. 1.° de la De la de S. M, comunicada por el referido Sr. Minis­ tida doble, y dibujo lineal : dos profesores. Real instrucción de 16 de Abril de 1836. tro de la Gobernación lo traslado á Y. S. para su inteli­ Elementos de geografía é historia, principalmente es­ 4.a Para expedirse una de estas guias ha de presentar gencia y efectos correspondientes. pa…</t>
  </si>
  <si>
    <t>…ra 780. Un gorro griego bordado de oro y sedas, al Excmo. fantería, que se acaban de organizar en las inmediacio­ Sr. marques del Viso. atar las sillas................... 275 nes de esta capital. Antes recorrió la línea el Sr. Minis­ Por la gratificación á los expendedores ^ 6 4 1 . Un ridículo, un bolsillo y unas ligas, al Excmo. se­ tro de la Guerra acompañado del Sr. inspector del arma, de billetes, y álos demas que cus­ ñor D. José de Mier. y seguidos ambos de sus ayudantes y ordenanzas. La lí­ todiaron los objetos…</t>
  </si>
  <si>
    <t>…de la que resultó muerto un faccioso de caballería. Que el ca­ do con exceso el plazo que por Real orden de 17 de Mayo pitán de Nacionales de Nocedo D. José de Lama , en combina­ Por el ministerio de Hacienda se traslada al Sr. Minis­ siesenañoenanterior del sus se concedió para que las oficinas se pu­ ción con el comandante militar de Ginzo de Lirnia, aprehen­ trabajos al corriente, ia dirección y conta­ dió el 24 del pasado á dos desertores de la quinta de 1003 tro de la Gobernación de la Península en 6 de este mes d…</t>
  </si>
  <si>
    <t>…os libremente por el Gobierno ni por ninguna otra de Granada. Presidente el Sr. Saenz, secretario el Sr. Guillen reando el nombre del general en gefe duque de la V ictoria, y autoridad, son oficios, como ha dicho muy bien el Sr. Minis­ y Roda. de su sensatez y cordura rio manchando estos actos de acendra­ tro , enagenados de la corona , como antes se decia, ó enagena- Comisión que entiende en la proposición relativa á que no do civismo con el mas ligero exceso. dos de la nación , y es una de las cosas mas monstruosas que…</t>
  </si>
  <si>
    <t>Minis-</t>
  </si>
  <si>
    <t>…h a y a sido su ánim o declararme la cesantía. Por clnsimo en gran parte con razón, ¿se han presentado por n’adie dar su dictamen sobre el proyecto del canal de Castilla. •esta razón yo deseo algu na explicación de parte del Sr. Minis-* excesos? ¿Se h an acusado autoridades por la ejecución d$ este!</t>
  </si>
  <si>
    <t>Ministra</t>
  </si>
  <si>
    <t>…cto en 26 de Diciem­ blos. Dios guarde á V- E. muchos aftas, Madrid 27 de Fe­ Dios guarde á Y, E, muchos años. Madrid 2 de Mar- bre último; conformándome con lo que me habéis e x - brero de 1839,ss?Antonio Hompanera de Cos.s=Sr. Ministra S L O de 1839,c=Excmo. Sr.t=José Agustin de Larram endi.= puesto por acuerdo del Consejo de Ministros, y en vista de la Guerra, i Ekémo. Sr. Ministro de la Gobernación de la Península.</t>
  </si>
  <si>
    <t>MINISTRACION</t>
  </si>
  <si>
    <t>…es como el len­ O E S T U D IO S PRACTICOS da en esta qorte y su calle del S a l i t r e , señalada con el » ú m . 11 g u a j e ó id io m a v u l g a r . a n tig u o y 54 nuevo de la m anzana 5 5 , que tiene de sitio 1985 DE A D M I N I S T R A C I O N . Constará esta obra de seis cuadernos de á 10 pliegos cada pies c u a d ra d o s , y está tasada ere 4 5 , 2 5 2 rs. , á re b a jar cargas. u n o , ó sean 8 0 p á g i )s en 4*°? y cada mes sald rán dos á lo Guien quisiere hacer postura acud a al ju zg a d o de S. 8. por la…</t>
  </si>
  <si>
    <t>…rse tenido que hacer segunda edición de la G obierno y de las direccio n es gen erales. presente traducción, que se halla adornada de varias notas ins­ O ESTUDIOS PRACTICOS tructivas que contribuyen á su mayor claridad* DE A D M I N I S T R A C I O N . Obras que se hallan d e venta en e l despacho y alm acén d e la Imprenta Nacional. P or D. F ran cisco A gustín S ilvela. BIBLIOGRAFIA. Discurso sobre la necesidad de la buena educación, y me­ DI V I DE S E LA OBRA EN C U A T R O P A R T E S : dios de mejorar la enseñanz…</t>
  </si>
  <si>
    <t>Ministro</t>
  </si>
  <si>
    <t>…el artículo de la Constitución habla solo de el Congreso. Sancho y Pacheco. En pro los Sres. Lujan , conde de las N a-, Diputados "hallados infraganti ” y la razón es. muy clara, , Quedó enterado este de una comunicación del Sr. Ministro vas , Borrego é Iznardi. • porque puede acontecer que sea posible hallar un Diputado en de la*Guerra , en que manifestaba que enterada S. M. de la ex­ El Sr. H U E T : Señores, la primera vez que uso de la pala­ un delito infraganti y no pueda ser preso en el acto. La cali­ posición del ayu…</t>
  </si>
  <si>
    <t>…i alguna vez cio de las Córtes , y á su juicio somete su deliberación. de censura se aprobase por la mayoría , el G obierno, ó debia llegase á serlo, la Constitución no autoriza semejante indem­ El Sr. P R E S ID E N ! E: El Sr. Ministro lia dicho al empe­ abandonar ese puesto, ó disolver las Cortes. {El Sr . Arguelles nidad. zar su discurso que el Congrego podía ocuparse en las leyes que la palabra .) Se dice que el voto de censura es al conde tiene presentadas; y esto parece que da á entender que el Con­ de Cleonard po…</t>
  </si>
  <si>
    <t>…en los años a n te ­ rencia que h ay entre las palabras y la conducta del Gobierno. que en política no hay ningún principio absoluto, y yo digo riores el escándalo que paso de haberse apoderado ía Hacienda Por mas que diga el Sr. Ministro, me creo con suficiente derecho que en nada. publica de los productos de penas de cámara para después no para contradecirle , pues que h ay establecimientos cuyos depen­ Desde el momento en que se trata de llevar hasta lo abso­ cubrir las atenciones del Estado. dientes están pagados al corr…</t>
  </si>
  <si>
    <t>…btener Barcelona , á ps. fs., § b. Sevilla , ¿ id. Hay otro vicio muy capital, y que confio mucho en la sino únicamente los que fueran cesantes de la misma carrera; y Bilbao, 1 £ d. Valencia, i id. energía y patriotismo del Sr. Ministro que le corregirá , pues que habia una cláusula que decia, que si el Gobierno se ha­ C ádiz, ¿ id. Zaragoza, | á 1 id. aunque yo también me he visto en puesto en que pude corre­ llaba en la necesidad de valerse de personas no cesautes de H a­ Descuento de letras, á 6 por 100 al año. gir el…</t>
  </si>
  <si>
    <t>…a da­ ba presente alguno de los Sres. M inistros, y el mensaje se apro­ tome en consideración la enmieada que hemos tenido el honor do un testimonio de amistad ; pero yo pedí la palabra cuan­ bó por unanimidad. Yo no sé si el Sr. Ministro á que aludo de preseutar, y que espero recibirá un voto unánime de apro­ do dijo el Sr. Argiielles que yo habia propalado una especie lo aprobo como Diputado; pero estoy bien seguro de que si el bación. de paradoja. Yo creo que extendí bien mi pensamiento, pues M inisterio hubiera encontrad…</t>
  </si>
  <si>
    <t>…por n ulo , es decir, que en esa orden del Gobierno; y haciéndose cargo en seguida de lo tuciones y sumidos á la Rema de España, tanto como los pri­ cuanto á esto aligeró un poco la censura que habia recaído so­ dicho por el Sr. Ministro sobre que el juicio ó causa formada meros. bre los escritos del obispo da M álaga. El limo. Ortigosa con­ al Sr. Ortigosa no seria inquisitorial, pues el espíritu del siglo testó que se hallaba quebrantado en su salud , y que no podía Entre esos individuos hay algunos que han sido persegui­…</t>
  </si>
  <si>
    <t>…maestras de aquel ilustre sabio encontrado otro fundamento que el de querer mandar sin ellas. la causa común, al engrandecimiento del Estado. Por su parte se continuaron las dernas sin orden ni concierto, conao si se im ­ El Sr. Ministro déla G O B E R N A C IO N contestó que sin esta corporación, representante de los intereses de Alava, emplea­ primiesen conforme iban llegando á las ruanos del editor. embargo que sentía molestar tanto al Congreso, no quería de­ rá todos sus esfuerzos para que se forme este lazo indisoluble…</t>
  </si>
  <si>
    <t>…sultar al tribunal supremo de madas por el Congreso. Este quedó enterado. en la cual después de enumerar aquella corporación los Guerra y Marina si convendría la supresión de aquellos Lo quedó también de otros dos oficios del Sr. Ministro, en perjuicios é inconvenientes que resultan de lo dispuesto tribunales de excepción, sustituyendo a ellos los consejos los que manifestaba el que habia recibido del gefe político de en la Real orden de 14 de Abril último, que declara á de guerra ordinarios prescritos en la ley recopilada ,…</t>
  </si>
  <si>
    <t>…militar de Burgos con Abierta á la una se leyó y aprobó el acta de la anterior. dores que compusiesen la comisión á dictar una ley contra sa fecha 5 del actual manifiesta que según parte del comandante Se hallaba presente el Sr. Ministro d é la Gobernación. voluntad, pues como sucedía siempre, serian nombrados para general de la sierra, resulta haberse apoderado una columna Quedó enterado el Senado de la cornunijacion en que le componerla los que la habían propuesto. nuestra de 2 3 zapatos y 13 piezas de lienzo que los fa…</t>
  </si>
  <si>
    <t>…casos de esta las condiciones. Este documento vino con otros al Congreso; y la instrucción que quedan excluidos de la participación al abo­ naturaleza , que era preciso comprenderlos en la instrucción, ál rem itirlo, dice el Sr. Ministro á los Sres. Secretarios del mis­ no del citado medio diezmo los propietarios que teniendo sus porque de lo contrario podia parecer distinta. mo lo que sigue: prédios dados en arrendamiento por una cantidad anual fija, Esta ha sido la razón única porque se ha puesto e! art. 4 O. S. S. lee…</t>
  </si>
  <si>
    <t>…ien fuese ó no la clase agrícola; y quede cousignado mas podía parecer una acusación que una interpelación. Acer­ ción extraordinaria de guerra , y me persuadí lo mismo que ha también que las resoluciones mias citadas por el Sr. Ministro ca de las palabras mas ó menos fuertes que se hallan en ese ofi­ explicado el Sr. Ministro de Hacienda, que habia una especie de Hacienda para ponerme en contradicción con lo que ha di* cio , nada puedo decir, porque las lia oido el Congreso, y no de redundancia en este articulo, y que er…</t>
  </si>
  <si>
    <t>…modificación que piensa hacer, sin esperar á que se discuta el la Constitución en sus puntos mas esenciales. Se cobraron las el art. 1.°; el Gobierno no quiere entenderse con los hom­ dictamen de la minoría? Yo espero que el Sr. Ministro, dan­ contribuciones sin haber autorización para cobrarlas...... bres de buena fé. Esto ha sido , señores , lo que me ha hecho* do una prueba de patriotismo y generosidad, haga esa ex­ El Sr. Ministro de GRACIA Y JUSTICIA : Me parece que pedir la palabra, y ha hecho expresarme en los térmi…</t>
  </si>
  <si>
    <t>…do , injusto, mas conviniera ? Yo , señores, que estaba en antecedentes, he debido ex­ pérfido en fin , que pueda hacerse á los representantes del pue­ He dicho , señores, que después de esta explicación espe­ trañar que el Sr. Ministro no haya querido arrancar una pa­ blo; han obrado según su conciencia. ro tranquilo las rectificaciones que pueda hacer el Sr. conde de labra, y diré mas. Reconocida mi franqueza, no puedo menos El Sr. ministro de G R A C I A Y JU ST IC IA : No entraré las Navas, que creo serán de algunas p…</t>
  </si>
  <si>
    <t>…e hostigados por posesión hasta ahora , y que lo ha ejercido uoa porcino de VT dera, tuas propia de este cuerpo que del trono. Con este mo­ las facciones, les ha* dado ■ocasioir para aventajar á otros. Entre ces. Asi que, el Sr. Ministro que formó esa Pveal orden tivo manifiesta la necesidad que hay de■establecer.por separar' aquellos dice que se dvafkTa villa de-Gerri ¿que por tener .unas puede de ningún modo haber incurrido en la responsabi'HaÜ da un código administrativo, pues si bien es verdad que la le­ ricas salinas…</t>
  </si>
  <si>
    <t>pandilla. Yo creo que aqui la libertad debe estar en elegir ó no Congreso relativa a señalar un término para la presentación de guirlo. El discurso del Sr. Ministro do Gracia y Ju sti­ el Consejo ; pero que después de e»to, no se debe dejar su crea­ los Sres. Diputados que aun 110 lo hubieren verificado. ción al capricho del Gobierno. Me parece pues, que están des­ cia íuo ad m irab le , mas todavía por lo que supo callar Se dio cuenta de varios nom…</t>
  </si>
  <si>
    <t>…ija. D. Fraticisco R oldan, y teniendo una escavacion hecha por el hoy Siabatida el teatro de nuestros dias, si la pobre escena española, y desmermada como ninguna, han de tener un Pasó á la comisión de Actas otra del mismo Sr. Ministro, [nismo á distancia de 30 varas. objeto, un fin cualquiera, 110, concebimos qué utilidad le re­ con la que remitía el acta de segundas elecciones de Salamanca. Murbella 2 de Setiembre de 1839. =: Francisco de Sales sulte de la representación de melodramas como el que vamos A la de Presupue…</t>
  </si>
  <si>
    <t>…a engrosar o neutras fuerzas. Se asegura que los 5 ó 69 A o ab re j que recorren la llanura rebatados algunos ganados, y tres colonos que intentaron hacer | no so a mas que los aludos ttai E m i r , y que este último llega Sr. Ministro : Los sucesos previstos en mi comunicación i¡ resistencia á los agresores fueron llevados prisioneros. En los del 15 de Noviembre se han realizado. A bd-el -K ad er ha e m - j| montes las tribus del territorio francés han sido saqueadas, | para sostenerlos coa otros 69 hombres de buenas tr…</t>
  </si>
  <si>
    <t>…ual traslada el parte durías superiores, y asi es que á cualquier hora que un señor que ha recibido del b rig ad ier C astañeda, escrito en L im p ias en C O N G R E SO DE D IP U T A D O S . D iputado pida alguna noticia al Sr. Ministro sobre el estado 3 del m ism o , en el que m anifiesta que el dia a n terio r á las dos d é la H acienda, puede el M inLtro dar satisfacción cum plida de la m añana m archó sobre el fu erte del puente de U dalla con PRESIDENCIA DEL SEÑOR ISTURTZ. sin mas que pedir el estado que necesite á…</t>
  </si>
  <si>
    <t>…ilidad de la ley, que es á lo que me he constituido en apoyar con todas mis fuerzas este pro­ desastres. Esta es m i o p in ió n , y voy á dar mis razones. Pero debe limitarse la discusión en totalidad. yecto, uoa vez que el Sr. Ministro se reserva el modificarle. antes de entrar en la cuestión desearía saber si el Gobierno está L a base del proyecto presentado por los Sres. D iputados ¿ A qué vienen aq uilas dilapidaciones? Si ese argumento conform e con este proyecto. es el cum plim iento de una ley anterior, el pago de…</t>
  </si>
  <si>
    <t>…ñores, muchoeat y Justicia para que asistiese á e lla , pues cree que esta cuestión vincia de Zam ora del gusto que tuvo de elegirme. en una cuestión de su yo harto enojosa por rozarse demas' T debe rozarse con el expresado Sr. Ministro 5 y por lo tanto, Contestaré al cargo que me ha dirigid o el Sr. Pascual. A q u i con las personas, y por lo mismo suplico antes de todo al ° entonces era cuando podría entrarse en la cuestión de Heno; tengo copia de la Pieal orden de que tanto se ha ha b lad o; aqui ñor Cortázar que se pe…</t>
  </si>
  <si>
    <t>…s los demas, si las necesidades públicas lo han exi­ deuda del Estado. gido también. Todos estamos obligados á cubrirlas. Por consi­ L a comisión opina que esta solicitud debe pasar al Sr. M i­ El Sr. O SCA : Quisiera que el Sr. Ministro tuviera á bien nistro de Gracia y J u stic ia . guiente yo opino porque de pronto se atienda exclusivamente decir si tiene noticia de que en esa falsificación se encuentre y con toda preferencia á corresponder á la petición de estas complicado a lgú n dependiente del Gobierno ó de alguo a s…</t>
  </si>
  <si>
    <t>…la Dios guarde á Y . muchos años. elección de sus colores y las formas de su cuerpo, ya habíamos aplaudido aquella fisonomía de un majo andaluz; pero aun le El director regente de estudios0 Proyectos de ley que presentó el Sr. Ministro dé Ha­ admiramos, porque nunca podremos cansarnos: prolijo seria En el hueco se expresarán los ramos que estudia el alum­ cienda en el Congreso de Sres. Diputados él dia 26 de hablar de cada uno en particular; baste decir que la mayor par­ no, y ios grados de su disposición, aplicación y…</t>
  </si>
  <si>
    <t>…dicos de esta capital, tuvo á bien el poder ejecutivo nom­ ma legislatura se presentarán á las Cámaras proyectos de ley brar al Sr. Dr. Alejo Fortique para que procediese á celebrar para comenzar su solución. Esta promesa del Sr. Ministro será otro en unión del Sr. barón Gros. Ignoramos las instrucciones acogida coa satisfacción por el pais. ( Moniteur Parisién.) que al efecto se comunicaron por la administración á nuestro E n el Diario de Smirna de 14 de Julio se lee lo si­ plenipotenciario , asi como las esperanzas que ell…</t>
  </si>
  <si>
    <t>…la comisión está de este destinó, según que de Real orden de 5 del corriente, lo tan te traba es, señores, el que oiga á esa junta consujtivaqajg en su lu g ar, mucho mas cuando tenemos ejemplares de varios manifiesta asi el Sr. Ministro ‘de Gracia y Justicia ; y en tal se propone en el articulo, porque mis principios son qn^ Sres. Diputados que habiendo sido nombrados para ciertos des­ concepto opina la comisioQ que i este Sr. Diputado no debe Ministro debe tener la osadía , el valor y la resolución paéa tinos, los han r…</t>
  </si>
  <si>
    <t>…a bien proponer esas ven­ Diferencia de mayor costa por la Imprenta. ¿ 4. . 4 3 8 0 ne le adeuda la Hacienda nacional. tajas extraordinarias. Asi es qué ál llegar á esté artículo no ha La comisión propone que se pase á dicho Sr. Ministro, que hecho mas que. reproducir lo prevenido en un decreto del año 24 , Rebajando de esta diferencia d valor los I 64 es á quien compete examinar la procedencia y legitimidad de decreto violado, pero,que está vigente; y el mismo Sr. Meadi- ejemplares por mayor entrega qrie hace la Imprenta…</t>
  </si>
  <si>
    <t>…I n g 1aterra las establece regular y traerle al Congreso con la aceptación del Ministro el ministro del ramo, y los licitadores dicen haremos esto ó lo otro. ANUNCIOS OFICIALES. para que la ejecución fuese mas sencilla. El Sr. Ministro con­ En este caso alguna vez puede ser que sean iguales ; pero no en currió efectivamente á la comisión, y en ella nos manifestó el caso en que nosotros nos encontrarnos. De consiguiente la qúe tenia un trabajo preparado en los ocios que le habia dejado comisión ha tenido una previsión bu…</t>
  </si>
  <si>
    <t>…disposición conveniente para que transiten los carros? en que nuestros enemigos tienen un Ínteres en que no se realice de otro modo cualquiera de las sumas que se empleen en las N o , señores, hasta ahora no. Con lo dicho el Sr. Ministro se ningún empréstito á favor nuestro, no por eso me parece es­ amortizaciones extraordinarias han de producir un déficit. En convencerá de que sin embargo de sus buenos deseos, todos se tamos en el caso de que se nos pinte en una situación que se todos los países donde hay estos fondos ha…</t>
  </si>
  <si>
    <t>…a suspenderse esta discusión hasta no quiero gastar tiem po, y segunda porque no está en este si­ no es exacto, pues no es causa de este abandono que se supo­ que estuviese presente el Gobierno y muchos otros Diputados tio el Sr. Ministro ni otros señores á quienes me he dirigido en ne la mala administración, n o , señores. Es causa del que hay que no lo están , y que aunque lo esten no vienen preparados. mi discurso. que cubrir otras necesidades, que.hay que atender á otros obje­ Esta es la dificultad que me ocurre. N o i…</t>
  </si>
  <si>
    <t>…el Gobierno hubiera tenido que hacér alguna indi­ impulsado á que esta cuestión se tocara. Ya que S. S. ha des­ Diputados, no llamó la atención sobre este asunto, pues ex­ cación á la comisión , se hubiera acercado á ella el Sr. Ministro cubierto la historia secreta de este negocio, historia para mí poniendo las razones tan poderosas que te obligaban á aplazar y la hubiera sacado de este estado de incertidumbre. desconocida , dirigiré dos palabras. esta discusión, el Congreso se hubiera hecho cargo de ellas y Ei Sr. Minist…</t>
  </si>
  <si>
    <t>…a , y se les podia dar 1503 á 1603 hombres; y tengo presente que cuando lo indi­ del ejército se entienden únicamente los individuos del ejército un capital suficiente para que pudieran casarse ó vivir en com­ qué dijo este Sr. Ministro que no iba mal. permanente, la milicia provincial y la m a rin a , como se ex­ pañía de sus padres ancianos ó de otra persona, de modo que El Sr. Ministro de la G O B E R N A C IO N : M i memoria me plica en uno de los artículos de la ley, y me queda la duda de fuera el apoyo de ella y pud…</t>
  </si>
  <si>
    <t>…o. elegidos; pero el Sr. Martínez de la Rosa conocerá fácil­ nado en la Constitución. El Sr. L U JA N contestó que la comisión estaba conforme El Sr. L U JA N : He repetido varias veces en mi discurso con lo que proponía el Sr. Ministro. m ente que fallan otras para com pletar el libro délos niños : que no creia que el Sr. Arteta llevase intención en lo que ha Declarado el punto suficientemente discutido, se acordó que y no extrañará que se espere de él la descripción del gran manifestado; p*ro dije que las expresiones sal…</t>
  </si>
  <si>
    <t>…nstruiría S. S ., después de algunas ctras observaciones, concluye exci­ tina equivocación cometida por S. S. Hicimos los Diputados de un camino llamado ru ral, en el cual no se gastarían sino 6003 tando de nuevo el celo del Sr. Ministro déla Gobernación para Salamanca una exposición para que se formase una junta de ca­ reales, que se haria en medio año, y que la obra era nacional; que haga se apliquen debidamente los fondos destinados á las minos por estar cansados de ver que la dirección no daba buenas pero que mediante á…</t>
  </si>
  <si>
    <t>…por sus dias, hicieron diligencias en su busca, pero no tardaron de ella se les permita el honor de concurrir á acompañar de en verse cercados por la muchedumbre, á la cual rechazaron por ceremonia á la guarda del sello al Sr. Ministro que ha de ve­ Zaragoza 14 de Junio. dos veces con sus bastones. larle , y después asistir a la función del Recibimiento; cu ya ex­ E n estas circunstancias la policía arrestó á dos de los albo­ posición tengo el honor de elevar para su resolución á V. E., Hoy á las once de la mañana ha en…</t>
  </si>
  <si>
    <t>…ivocamos, es la causa de que los le­ Añadió que en la sesioa de 27 de Noviembre últim o, dio ción, y en que nuestra desgracia es tal que esta consignación gisladores de otros paises no se hayan atrevido á redactar gracias at Sr. Ministro que habia proporcionado dos pagas á no es en dinero sitio en guarismos , y en que estos guarismos una ley sobre materia tan árdua y tan espinosa: no es la marina en el corto tiempo de su administración, y que esta no pueden reducirse á dinero sino con mucho dificultad y des­ prudente, según…</t>
  </si>
  <si>
    <t>…e no podia ser; pero esto está en manos del bras no admitieran contradicción; y esta ley que se discute, ¿la te expositiva Je su voto particular. Yo creo, señores, q u e , co­ Gobierno el conocerlas ó no, como ya ha dicho el Sr. Ministro. adm ite, ó no? Varios Sres. Senadores tienen pedida la palabra, mo ha dicho antes el Sr. Ministro de Gracia y Justicia , con Allí no tenemos derecho de la convocación, alli no hay mas explanarán sus razones en esta cuestión grave que se debate, y grande satisfacción m ia , y como también…</t>
  </si>
  <si>
    <t>…la de Cuba. gún género de hostilidad , sino que era una necesidad repetir en el decreto de 24 de Octubre de 1855 se prometió á los proce- Lo que se anuncia al público para su conocimiento. aqui el clamor de la provincia. El Sr. Ministro dijo que el dia dentesde la quinta de 1009 hombres 20 rs. cada mes en efectivo, siguiente concurriría al Congreso, y en la sala de columnas y ahora se les quiere dar en tierras; que habiéndose ampliado conferenciaría con los Diputados. S. S. no se ha presentado, las aquel decreto á todos…</t>
  </si>
  <si>
    <t>…ncesa, no hay mas^que^ do asi, la unidad está rota. La comparación qué con este objeto j que tengo hecho de guardarla. Este es un principio constitu­ una sola especie de matrimonios para todos los ciudadanos y ya presentó el Sr. Ministro dé Gracia y Justicia no dejó de hacer cional , y tengo por consecuencia por fuera de lugar el argu­ sean nobles, Soberanos ó súbditos ¡que si fel Rey vuelve A b a ­ sensación en el Seriado;^pero y o debo decir que aunque la iglesia mento de S. S. sarse, su muger será tan legítima como si…</t>
  </si>
  <si>
    <t>…eros y marques narios sucesos ocurridos en el norte de la Península. las quemas solemnes de documentos de la deuda pública. de Falces. ftstos apresuran el día tan suspirado de la paz, como igual­ Asimismo de otro del rnismo Sr. Ministro, en que remitía El Sr. P R E SID E N T E invitó á las secciones á que se re­ mente la unión de todos los españoles, para que como herma­ los suplementos de la Gaceta en que se contienen los documen­ unieran hoy, ó cuando lo tuvieran por conveniente, para exa­ nos empleen sus brazos y arma…</t>
  </si>
  <si>
    <t>…nta , la de ellos no lo es. f terpelacion anunciada sobre él, y no quiero poner en compr o- n es: yo soy ageno de esta cuestión ; al Gobierno de S. M . es ; Yo me felicito mucho de que el Gobierno de S. M . , antes | miso al Sr. Ministro; y en honor da la justicia, puedo decir quien toca responderle ; pero y o , como D iputado y como indi­ de que cambiase el estado ea que nos hallam os, tuviese lisonje­ I que S. S, se ha presentado con la probidad que se accésit a , v viduo de la comisión, debo consignar aqui mi opinión;…</t>
  </si>
  <si>
    <t>…presidios. S. S. lo hace en efecto refiriendo varios antiguas muy respetables y veneradas, pero que lian pasado na , á cuyo acto asistieron las autoridades, corporaciones y ofi­ abusos de estos establecimientos, y suplica al Sr. Ministro que con su objeto que .no estari en consonada coa el espíritu del si­ cialidad de los cuerpos del ejercito y Milicia nacional, siendo los tome en consideración , y adopte las determinaciones nece­ g lo , y acomodarlas á otros objetos preferentes de la beneficen­ grande el concurso, y sin q…</t>
  </si>
  <si>
    <t>…que no he podido contener­ los Cuerpos coíegisladores por la Constitución examinar las ac­ de aili. me, no lo he podido evitar. tas y las cualidades de sus individuos, concluyó indicando El Sr. Q U I N T O : He notado que el Sr. Ministro no ha Ha hablado ayer S. S. de la ley de im p ren ta: cuando lle­ que lo mejor seria que volviese el dictámen á la comisión para contestado al último punto que ha tocado en su interpelación gue el caso consignaré yo mi opinión sobre este punto. Ha he­ que proponiendo lo conveniente ó rectif…</t>
  </si>
  <si>
    <t>…r una justa sido insuficientes para el caso? El Sr. marques de FALCES hizo la siguiente pregunta al 6 comisión de liquidación que usar ¡pase cm cierta manera sus Con testó á lo dicho por el Sr. Becerra de que ¡es. el proyec­ Sr. Ministro. ¿Estas, ¡antas ó comisiones que van i formarse, •tribocioittes i las contad artas» sino de una junta que solo ha­ to no se expresaba con claridad si lias causas pendientes de los ' van i liquidar créditos ó no? Pues si Iban i liquidarlos, uo bía de entender de cantidades liquidadas, y de…</t>
  </si>
  <si>
    <t>…ida será mas rápida todavía, y para ello no se nece­ M r. PVynnei N o he podido escuchar &lt;ún la mayor sorpre­ tado este movimiento. sita mas que obrar por nuestra parte y saber sacar provecho de sa la mocion que ha hecho el Sr. Ministro para que la Cámara Sin em bargo, es un deber del noble lord y de sus colegas el nuestra primera victoria. Mas de una vez se ha visto á A b d - suspenda sus sesiones hasta el 27 de M a y o , cuando el pais se examinar si las masas populares tienen ó no justos motivos de el-K ader solo, fu g…</t>
  </si>
  <si>
    <t>…mas esfuerzos que ha­ niencia del establecimiento de esa audiencia , y segundo la le­ rebeldes en el distrito de su mando, han resultado de estos 12 bían hecho , no habían articulado ninguno. galidad con que se ha hecho. El Sr. Ministro con la destreza muertos sobre e! campo, entre ellos el cabecilla D. Miguel V al- Pasando á hacerse cargo del acta de Huelva , manifestó que que le distingue, conociendo el mal terreno en que se colocaba cárcel, ocho heridos , dos prisioneros, y se les han cogido va— ninguna reclamación ha…</t>
  </si>
  <si>
    <t>…ito del Gobierno español mas au to ri­ otro terreno m uy digno, y en el cual no h ay armas para com ­ pulaciones. dad que en el mismo. Yo creo que este es un acto que demues­ batirlo , y prueba de que no las h ay , es que el Sr. Ministro da Ya es claro que se acercin los momentos de poner en orden tra de un modo inequívoco la debilidad en que el Gobierno se Gracia y J u s t ic ia , á pesar de sus muchos recursos, no ha podido nuestra adm inistración, y que se salga de la posición violenta ha conducido en este punto ; debi…</t>
  </si>
  <si>
    <t>…r que los negocios en la se­ ánimo im pugnar el dictámen: he tomado la palabra cuando he la atención en este dictamen, el cual en su concepto es de suma cretaría de la Gobernación no están retrasados, excepto aquellos oido al Sr. Ministro, después de la pequeña interpelación, que gravedad ; y en este caso no puede inenos de decir que ha s.do que su naturaleza lo exige. tal ha llamado S. S. á la que le ha hecho el Sr. Y ila , respecto inconsecuente respecto á los demás que ha presentado. Que en Después de unas ligeras observa…</t>
  </si>
  <si>
    <t>…ñola de meses á esta parte, y ya antes cumplía con el tra­ Gobierno español: habla, sí, calumniando, insultando á una semejante que leí en los papeles públicos; y añado que si dijo tado de la cuádruple alianza, según dijo un Sr. Ministro an­ Constitución que la nación legítimamente dio, que la nación eso S. 8., dijo lo mismo que yo airia. Fuera de esto, si he d i­ tecesor mió. Los servicios de la Inglaterra son bien conocidos y y el Rey restablecieron legítimamente en 1820, que la nación cho algo menos exacto, ruego á S. S…</t>
  </si>
  <si>
    <t>…ue concurren por medio de remesas á la Península, o efectos correspondientes. Y de la propia Real o rd e n , co­ T DEL DESPACHO DE LA GUERRA. por el de giros verificados á cargo de aquellas cajas. Mo­ municada por el referido Sr. Ministro, lo traslado a V. S. vida por estas consideraciones de utilidad y conveniencia para su conocimiento.” El Sr. general en gefe del ejército del Norte desde Bercedo pública, teniendo presente lo expuesto por una comisión Y la dirección la traslada á V. S. para su conocimien­ el 25 del actual m…</t>
  </si>
  <si>
    <t>…sentimiento. mo la atención del Congreso para que me diga de qué modo cirse otra cosa , le han obligado las mismas razones, porque las Señores, á mi humilde persona es á la que ha aludido en los he pronunciado; ahora si el Sr. Ministro quiere que se pros­ circunstancias no son desemejantes, sino hasta idénticas en este esta parte el Sr. Ministro de Gracia y Justicia. El Gobierno me criba aqui el nombre de Isabel ir, S. S. mismo lo ha infringi­ caso. Pero estas expresiones del Sr. Mioistro de Gracia y Justi­ hizo el honor…</t>
  </si>
  <si>
    <t>…C anarias, Puerto-R ico G el hecho, señores , no es cierto , y estaba mal informado parezcan á deducirle en debida forma ante el Sr. D. Francisco y la H ab an a, en las administraciones de correos; en Paris en S. S., ó el Sr. Ministro se ha hecho un cargo gravísimo, del cual Amorós y L ópez, juez de primera instancia en la m ism a, y ?scribanía de número que despacha el D r. D . Claudio Sauz y :asa de Messieurs G irard Freres, libraires, rué de Richelieu, yó ño sé cómo podrá salir , á pesar de todo su ingenio. Barea,…</t>
  </si>
  <si>
    <t>…reso. no le he hecho cargo tampoco por ella ; solo se lo he hecho poner en mí sentimientos mezquinos. La duda era sobre la inteligencia que se ha dado ( y digo porque no ha desmentido como debia el aserto de ese personaje El Sr. Ministro ha querido darme una lección sobre un asun ­ duda á pesar de que á mí nunca me ha ocurrido) del decreto si no era cierto lo que decia. to al que le reconozco bastante instrucción para dármela acerca de 50 de Agosto. Antes debo decir que no he rectificado mi El Sr. Ministro de E ST A D O :…</t>
  </si>
  <si>
    <t>…o Gobierno a l g u a o , porque el artículo de sus provincias había hecho sobre este punto reclamaciones al sino que trabajo mas de lo que mi salud me permite , por constitucional previene que los impuedos no se deben cobrar Sr. Ministro ie la G uerra, y este habia contestado prometién­ amor á mi p atria, por el deseo que tengo de que se consoliden sin anuencia de los Cuerpos colegisladc res: aqui es donde creo dole prontos auxilios. nuestras instituciones, y por el ansia de ver asegurada la paz. yo la m a y o r, la única…</t>
  </si>
  <si>
    <t>…ernadora, durante la menor edad de mi 1.° Las de varios distritos de la provincia de L u g o , que tampoco. Supongo yo ahora que el ministerio de este partido excelsa Hija la Reina Doña Isabel n, vengo en resolver remitia el Sr. Ministro interino de la Gobernación. ocupa el poder, y dice el Sr. Alvaro : yo no quiero ese minis­ que el citado D. Francisco Narvaez se encargue igualmen­ 2.° Una comunicación del mismo Sr. M inistro, anuncian­ terio porque no le mueve otra cosa que intereses personales en te y en los mismos tér…</t>
  </si>
  <si>
    <t>…se haya restablecido una contribución extin­ ha hecho el honor de citar un discurso de los diversos que pro­ pais el bien posible.” guida , porque se ha llamado anticipo en cualidad de abonarse nuncié en el año de 56. Si el Sr. Ministro ha creído hacer un El Sr. O LOZAG A: Ha confirmado la conjetura; una es- á los contribuyentes ; no se ha restablecido, pero de todos mo­ si mil de las circunstancias ha incurrido en una equivocación, y presion que aunque vertida hipotéticam ente, no la suelta el se­ dos esta sometido este…</t>
  </si>
  <si>
    <t>…n.,e lecouoce que ha infringido la Constitución, que ha faltado mas. El comandante general de esta provincia , con la mayor ;í Us ln&gt;es, y sin embargo cree que tiene derecho para pedir un El Sr. O L O Z A G A : Siento que el Sr. Ministro haya creí­ parte de la fuerza de caballería que opera bajo sus inmediatas t.ii» de indemnidad. Si no tuviera otra intención el actual Ga~ do que mis palabras se hayan podido referir á que se ejerza órdenes, se halla en Casas-Ibañez é inmediaciones, protegieu- binría que vindicarse de esto…</t>
  </si>
  <si>
    <t>MinistroSr</t>
  </si>
  <si>
    <t>…. desde luego por todos los mediqs breroDiosde guarde á Y. E. muchos años. Madrid 23 de Fe­ Cámara por lord John Russell. Es digno de todo elogio el G o­ que esten á su alcance la pronta y completa conclusión dé di. = Excmo. Sr. MinistroSr.=José 1839.=Excmo. de la Agustin de Larrainen- bierno por haber llamado la atención del Parlamento desde el Gobernación de la Pe­ principio de la sesión sobre una cuestión tan importante. la carretera de Jaén á Bailen, sin perjuicio de dictar las nínsula. E l marques de Lansdowne: Es…</t>
  </si>
  <si>
    <t>Minto</t>
  </si>
  <si>
    <t>…de Lansdown , el vizconde Melbourne , el marques de N o rm an- riano López Albacete. Visto el carácter de gravedad que toma­ militares y navales de los Estados Unidos y el número de M i ­ by , el vizconde Duncannon y el conde de Minto se sentaron ban los sucesos, se d ir ig ió el expresado segundo cabo con 50 licianos que juzgue conveniente llamar al servicio. en su puesto acostumbrado junto á los bancos de los ministros. hombres del 4«° ligero de infantería y algunos caballos del 1.° Sección 2 .a Que la M il icia cuando se…</t>
  </si>
  <si>
    <t>Mintox</t>
  </si>
  <si>
    <t>…ede hacer subir el crédito público y el Por consecuencia no hemos podido v a cila r, después de un mundo que sea. privado , tan fuertemente conmovidos. maduro examen, en a d op tar, según nuestra íntima convicción, E l conde de Mintox N o tengo intención de disculpar del Apresuraos pues á asegurar los destinos de la B élgica: re­ las medidas necesarias en virtud de nuestra plena autoridad y todo el hecho: por el contrario, he sido el primero en procla­ signaos con los nobles y esforzados consejeros de la corona á los de…</t>
  </si>
  <si>
    <t>MintOy</t>
  </si>
  <si>
    <t>…ana y á mi pais. te holandés reOíón taba el Tamésis é incendtabaa .Sheer.pe$a» . 'el comercio y J a t índu^tria/cacio,níil.sacarán cQnocidaA ventajas* L o rd M elb o urn e : Los partes van á ser presentados; pero - E l conde de MintOy S^reta río de jls^cí^ Je)', alm irantazgo ;. uno^ tratado^qu^ tex ^brp^^n^^yg^,salidas para su^s produc-f í el informe no puede someterse aun á la Cámara ; su apéndice i A un ño es llégado el tiempo de entrar en los detalles necesarios, ios. /foca pte a' L cpes^0n/hojandP-rbc Iga(y d e b e m…</t>
  </si>
  <si>
    <t>Mioistro</t>
  </si>
  <si>
    <t>…rado el que pesa sobre una sola clase por unos en metálico, por otros justo que la ley encierra: por lo demas, nada puede añadirse ño pasado, con el nombre de diezmo, se ha de abonar á per- en Juros. Concluyó por preguntar al Sr. Mioistro qué razón al art. porque el Gobierno, repito, no ha tratado, ni tra­ onas determinadas, ó si solo se ha de decidir el abono total del había tenido para descuidar este abuso , cuando sabia que S. S. ta , ni puede considerarse que haya tratado de alterar en lo liezmo. El Sr. Ministro de Hacie…</t>
  </si>
  <si>
    <t>Mir</t>
  </si>
  <si>
    <t>…. ............... v .- ’ ■ •'•&gt;: ' h dia 3 de este mes, y debra hacer la apertura el nuevo gober­ rentes años y reinados, sé han hallado en bastante número. . ¿^circasian o s batido á la caballería* rusa en toda la¿ nador general Mir.: ThompsOn en persona , el c u a l, según gene­ Pero loque llama particularm ente la atención es, que tam ­ y en l^s^li^nuw'dft Aláza^y k cu ál ha per*-| ralmente se cree, debí acórese uta t á aquélla corporación una m i­ bién se han encontrado ya perfectamente fabricadas monedas .didop© hqqib…</t>
  </si>
  <si>
    <t>Mirabeau</t>
  </si>
  <si>
    <t>…o las medidas que conciliaran los intereses de la miento por un marido á su tnuger. gue bajo las órdenes del almirante Sir Hyde Parker, donde se redacción, y salvaran la responsabilidad del Gobierno intere­ 2.° Proceso del conde Mirabeau contra su esposa. condujo con tanto valor que destruyó las baterías de la ciudad sado en que no se publicaran causas que pudieran alterar la 5.a Historia de un bigamo, cuyas dos mugeres después de y toda la armada dinamarquesa. Vuelto á Inglaterra fue crea­ tranquilidad de las familias; y…</t>
  </si>
  <si>
    <t>Miranda</t>
  </si>
  <si>
    <t>…encargado de hacerlo debe los al portador con el Ínteres anual del 5 por 100, una enmien­ nos hubiese dicho qué edición era e sa, pues aunque se han he­ ser exacto, y se ve que lo ha sido. El Estado queda servido. Si da del Sr. Miranda , pidiendo se anadíese a uno de sus ar tíc u ­ cho varias estoy seguro que en ninguna se han omitido: asi, si h ay algun a equivocación, después se rectifica. los lo siguiente : ''Quedando sin efecto la autorización conce­ no lo ha leído en algú n manuscrito, no sé cómo sea cierto lo Pero v…</t>
  </si>
  <si>
    <t>Miranda, Benito María</t>
  </si>
  <si>
    <t>Benito María Miranda</t>
  </si>
  <si>
    <t>…subsecretaría del ministerio de descuido va consigo ó negligencia en negocio de tal importancia lle­ una terrible responsabilidad, por mas que la vuestro cargo, por fallecimiento del brigadier de infante­ dirección omita ría D. Benito María Miranda, vengo en nombrar para energía con que recomendar debe á Y. S. el impulso de eficaz verificarse su recaudación* PARTES. que la desempeñe en propiedad al de la misma clase Don Para graduar el que reciba la de todos los ramos que Fernando Norzagaray, coronel del regimiento de So…</t>
  </si>
  <si>
    <t>Miranda, Gregorio</t>
  </si>
  <si>
    <t>Gregorio Miranda</t>
  </si>
  <si>
    <t>…n la Gaceta del Gobierno, comparezca ante el expresado No mece aqui Minerva entre sus brazos; Sr. juez y escribanía de su número que ejerce D. Juan Raya, Ved cómo ensaya nuestra planta incierta Dando fin á tan grandioso acto D. Gregorio Miranda, de para hacerle saber una providencia ; apercibido que pasado di­ Y nos abre de aqui la hermosa puerta edad de nueve años, con la siguiente cho término sin verificarlo le parará el perjuicio que haya Que al templo del saber guia los pasos. lugar. ¿Y á quién tanto debemos? ¡Ex pr…</t>
  </si>
  <si>
    <t>Miranda, Laureano</t>
  </si>
  <si>
    <t>Laureano Miranda</t>
  </si>
  <si>
    <t>…los guardas dar parte a d o r a y la Senna. Sra. Infanta Doña María Luisa F e rn an ­ 500 duros: su inmediato geíe para que este lo ponga en conocimiento da, continúan en esta corte sin novedad en su importante Al licenciado D. Laureano Miranda una multa de G00 del geíe político, a fin de que acuerde lo conveniente se- pesos, y privación de ejercer el cargo de asesor por dos gnn los casos. A esta autoridad podrán también acudir los salud. años, á no ser que lo redima con 13 dures. particulares que se creyeren agraviados p…</t>
  </si>
  <si>
    <t>Miret, Juan</t>
  </si>
  <si>
    <t>Juan Miret</t>
  </si>
  <si>
    <t>…OFICIAL. Que al intendente D. Luis Alda se le imponga la de 1500 pesos fuertes con la misma calidad: 2.a Los alcaldes de los pueblos exigirán en el modo y forma que dichos reglamentos y ordenanzas prevengan, Que al asesor D. Juan Miret se le aperciba seriamente las multas señaladas a los contraventores, á consecuencia por su conducta, y se le imponga una multa de 500 duros, de las denuncias que ante ellos se hicieren. S. M. la R e i n a , s u augusta Madre la R e i n a G o b e r n a ­ quedando privado por dos años de…</t>
  </si>
  <si>
    <t>Mirón</t>
  </si>
  <si>
    <t>…de niño anunció habérsele perdonado sus atroces delitos. El na ó mala fortuna de su amo. El príncipe gustaba de referir á las soberanías mas ilustres de la España cristiana en la autor opone á esta conseja la edad del Príncipe D. Mirón, los extrangeros la historia de su fuga á América , cuándo ad­ época de la reconquista, y de un pueblo, que aunque á quien algunos historiadores atribuyen ser el niño que vertido en secreto por un am igo, se resolvió á abandonar in^- unido primero con el reino de A ragón, é incorporado habló;…</t>
  </si>
  <si>
    <t>Misfavila, Rafael</t>
  </si>
  <si>
    <t>Rafael Misfavila</t>
  </si>
  <si>
    <t>…nto de esta capital acordó se cele­ de la Calle M a c ía , D. Ju lián Ja v ie r , D. José María Vildosola, PRINCIPE. A las siete y media de la noche. Después de brasen los regocijos y festejos públicos que constan del progra­ D. Rafael Misfavila , D. Juan de Cengotita Bengoa , Sr. conde una brillante sinfonía , se pondrá en escena el melodrama nue­ m a, pudiendo asegurar á Y. que el vehemente deseo de una de Saceda , y D. León García V illareal, quienes declararon por v o , de grande espectáculo, en cinco actos, titulado…</t>
  </si>
  <si>
    <t>Miui</t>
  </si>
  <si>
    <t>…bajan 50 que se die­ Y otras diferentes personas, al tomar 736. Un taburete para el piano con asiento de terciopelo, ron gratis á los profesores y señores los billetes de entrada á la exposi­ á la señorita de Eaton, hija del Sr. Miui&amp;tro de los Estados de ambos sexos que se prestaron á ción y concierto................. .. 221 Unidos. cantar en los coros: quedan de lí­ 455. Un calientapiés de cañamazo bordado, á la Excma. quido cargo 882 , que al respecto de 1001 Sra. marquesa de Casa-Lujo.</t>
  </si>
  <si>
    <t>Mo, Angel</t>
  </si>
  <si>
    <t>Angel Mo</t>
  </si>
  <si>
    <t>…ra......................... 5 25 1626 Muertos en la cam paña. ............... 4 21 Por providencia del Sr. intendente subdelegado de Rentas 556 Ausentes extraviados oque se íguora de esta provincia, se cita, llama y emplaza á D. Angel Mo­ su paradero........................................... 7 rales, D. Jorge Mancebo y N avia, D. José María Gómez y 25 228 A las ocho de la noche. Que existen aun prisioneros en dife­ D. Félix García , para que en el término de nueve dias se pre­ Se dará principio con una brillante sinfoní…</t>
  </si>
  <si>
    <t>Mo, Francisco de Paula</t>
  </si>
  <si>
    <t>Francisco de Paula Mo</t>
  </si>
  <si>
    <t>…de músicade frascrito escribano público da fe: Por el presente cito , llamo y las pastas aromáticas, polvos y jabones de olor llamados de to­ Lodre, carrera de S. ¿Gerónimo, núm. 26 (antes 15). emplazo por término de 50 dias á D. Francisco de Paula Mo­ cador, aguas y vinagres aromáticos,. extractos , esencias, acei­ rales, notario de Reinos, y vecino de esta ciudad, contra quien tes y agua de Colonia. Segunda edición aumentada con un apén­ estoy procediendo criminalmente por defectos en su oficio, pa­ dice sobre el modo de o…</t>
  </si>
  <si>
    <t>Mofé</t>
  </si>
  <si>
    <t>…intervención que las leyes les señalan en nio de las declaraciones. la administración económica de los mismos teatros, en dirigirá una reclamación Después de formado el expediente se á la embajada de S. M. B. en Coas* El conde Mofé ha recibido esta noche en su casa, placa de cuanto producen renta al común, con sujeción en sus pro­ tantinopla. El embajador se dirigirá directamente a la Puerta la Yilleveque. videncias al gefe político y á la diputación provincial en para obtener de ella satisfacción. De todos estos negocios…</t>
  </si>
  <si>
    <t>MOI</t>
  </si>
  <si>
    <t>…a la N u ev a en 17 del a c tu a l, y será mejor que el Congreso sea el que decida sobre este asunto. cias por los tres conceptos que expresa, debe repartirse refiriéndose á una com unicació n fecha 13 del comandante g e ­ El Sr. M O IJR E observó que nada habia que resolver en el proporcionalmente á los pueblos de que respectivamente neral de C iu d a d - R e a l y T o le d o , manifiesta que para a d q u ir ir p a r t ic u la r , puesto que el articulo estaba terminante. se componen, íntegra y sin ninguna reducción. datos…</t>
  </si>
  <si>
    <t>MOINTE</t>
  </si>
  <si>
    <t>…esta alusión. Y o ataco aquella autori­ sura al acto de la prisión de un compañero suyo. fueron halladas in fra g a n tí : luego la autoridad que las mandó dad por sus arbitrariedades, porque se sobrepone á la ley, por­ El Sr. MOINTE^ D E O CA empezó diciendo serle sensible prender aun después, no infringió la ley. Pero se presentará quizá que manda arbitrariamente, no porque sostiene el orden. No entrar en esta cuestión, porque envuelve una porción de per­ como razón mas fuerte, la de que los acontecimientos de Sevi­ e…</t>
  </si>
  <si>
    <t>Mojairieta, José Serapio</t>
  </si>
  <si>
    <t>José Serapio Mojairieta</t>
  </si>
  <si>
    <t>…...... Idem. Id. D. Pedro Bajado Villate. ................. 4 Sr. ministro D. Juan Duro Espinosa.. . . . . . . ,/V 10 6 ,2 9 6 .... 500............ Algeciras. La R. madre priora y comunidad de Sta. Catalina. 4** ^ Sr. ministro D. José Serapio Mojairieta. * . . . . . i 10 El presbítero D. Rafael Al varado 4** 2 Sr. fiscal D. Fernando Perez Rozas. ............. 10 La dirección general ha dispuesto que el sorteo que ha de Id. D. Manuel Retureta, teniente de cura de M a­ El Sr. ministro honorario D r Juan María Blanco de verific…</t>
  </si>
  <si>
    <t>Mole</t>
  </si>
  <si>
    <t>…asa fórmula usada entre ellos, y con la cual se consuelan de todas aq u i el in v ie rn o , peligran las vidas de los europeos. las adversidades diciendo: D ios e s g r a n d e . La fam ilia del general Bernard ha rogado al conde Mole A lgunos camerciantes austríacos han obtenido del Gobierno Los árabes que han traído la noticia han venido por tie rra, « que pronuncie el elogio del general en la Cámara de los Pares, ingles a u t o ra jc io n para formar establecimientos comerciales en y en las 8 0 leguas que han tenido que…</t>
  </si>
  <si>
    <t>…John lla r v e y , en su carta de Hemos ordenado y ordenamos lo sig u ie n te : 18 de Febrero al Gobierno del M a in e ? Estas instrucciones le Queda adm itida la dimisión que ha sido presentada por cos lorys. n M r. el conde de Mole , de la presidencia del consejo de M inia, A nuestro entender no puede decirse hasta que llegue el previenen, según parece, que sostenga con a^uda de la fuerza caso de estar resuelta esta cuestión, si convendría someter el armada , si es necesario, la jurisdicción exclusiva sobre el ter­ tros,…</t>
  </si>
  <si>
    <t>…dei duque de Dalmacia. dea y s i r ia c a , asi como al d e la a r á b ig a , sin desatender el de algunas otras vivas que habla con suma facilidad. Dotado de Las escuadras permanecían todavía ea la'b ahía de Beschi- El conde Mole solo ha estado en París unas cuaotas horas: feliz memoria y distinguido talento , emprendió después d e i kcr. E a cuanto á la S i r i a , d rumor que se habia esparcido de ha vuelto á marchar h o y , y ao regresará hasta fiaes dei mes. haber concluido sus largos estudios teológicos y canónicos…</t>
  </si>
  <si>
    <t>…as quejas de los San Petersburgo 1.° de Junio. de I8a9,—El director, Ivo de la Cortina.z=Es copia. = AIba. franceses residentes en la República, asi como la representación que dirigieron al presidente del consejo del Rey, conde Mole, no Con motivo de los dias de S. M. la Emperatriz, ha expedi­ podían dejar de engendrar en el Gabinete de las Tuberías la mas do el Emperador el siguiente decreto acerca del reino de P o ­ PARTE NO OFICIAL. odiosa antipatía contra la República mejicana. Representada lonia: esta como un puebl…</t>
  </si>
  <si>
    <t>Molero, Fausto. Sánchez</t>
  </si>
  <si>
    <t>Fausto. Sánchez Molero</t>
  </si>
  <si>
    <t>…as, y se nombraren para Perez&gt; oficiales segundo, tercero y cuarto; y reemplazando á en la diócesis en que residan, con expresión de su nombre , edad, -que los sirvan interinamente empleados cesantes, ademas esté, iiltimot{con D. Fausto. Sánchez Molero, administrador que pueblo de su nacimiento, el de su actual residencia y dia en del haber que por este concepto les corresponda, se les era[ d¿l. raqio ,é;n Alteante* ; abonará la cuarta parte del sueldo señalado al destino que 3 úe tomaron el hábito; y los sacerdotes acompa…</t>
  </si>
  <si>
    <t>Molero, Francisco</t>
  </si>
  <si>
    <t>Francisco Molero</t>
  </si>
  <si>
    <t>…orales P o u c e , en 2 9 . Valencia 25 222472.11 515400 Fábrica de fundición plomiza en pago del Cerrillo, término Valladolid 19 812054-31 2209567 como la dirección de caminos pida hasta el número de i 500 del Benecid , por D. Francisco Molero, en 10. Zamora 57 704708 1338251 confinados para aquella carretera, puedan serle entrega- Zaragoza 59 557395 1090755 Otra id. id. en Majada de la Zorra, término de Dalias, por Á D/ £ # ° at de á V* E- muchos años. Madrid 5 de Mar- Francisco Maldonado, en 21. zo de 1839.-~Excmo. Sr…</t>
  </si>
  <si>
    <t>Molina, Francisco</t>
  </si>
  <si>
    <t>Francisco Molina</t>
  </si>
  <si>
    <t>…é s, uno de sus gefes. El referido capitán general recomien­ Otra id. en dicha sierra, cuesta de las T ejas, término de judicadas en el da m u y particularmente al menciónelo juez de primera ins­ Viator , Sta. Catalina , por D. Francisco Molina , en 26. ines de Noviem­ tancia. ’ 3 48 4 6704-29 Otra id. en sierra de G ador, en el Pocico, término de Huer~ bre ....................... 1198 144 10262-19 c al, la F ortun a, por Nicolás Casado, eu 26. Id. en los meses an­ D e m a r c a c i o n e s dadas. Una mina plomiza en si…</t>
  </si>
  <si>
    <t>Molinero, Juan de Blas</t>
  </si>
  <si>
    <t>Juan de Blas Molinero</t>
  </si>
  <si>
    <t>…ación y medición que de correspondiente á la quiebra de D. Santiago de la Peña, cuya ella ha hecho el arquitecto de la academia nacional de S. Fer­ EFECTOS PÚBLICOS. hacienda se ha dividido en las porciones siguientes: nando D. Juan de Blas Molinero, que la ha dado el valor de 1 .a La casa con jardín, noria, nuevo granero y bodega, ta­ 104,022 rs. 28 m rs.; de cuya cantidad deberán rebajarse las Inscripciones en el gran libro á 5 por 100, 00. sado todo en 56,656 rs. cargas que á dicha sexta parte correspondan. Quien quis…</t>
  </si>
  <si>
    <t>Molitor</t>
  </si>
  <si>
    <t>…a­ L a P r e s s e anuncia la retirada de los negocios del M inistro instante los cónsules están en palacio. La hora tan avanzada no mos ademas tan mal informados de lo que ocurre en este p ai» de la Guerra , y que el conde de Molitor ó el general Cu hieres nos permitirá informar si la entrevista coo S. A. será de a l g u ­ en materia de religión , que publicamos con placer las noticias son los que deben sucederle. Ignoramos el fundamento de esta na im p ortan cia; pero las noticias que acaban de dársenos por que nos h…</t>
  </si>
  <si>
    <t>Molé</t>
  </si>
  <si>
    <t>…he fresca y agradable, la hermosa luna de Enero en los tró­ comparado con los trozos de Roma. picos , el ambiente suave y delicioso que respirábamos al cru­ Se han hallado dos inscripciones: la una es un pedazo que Mr. el conde Molé ha recibido ayer noche en su palacio zar las mansas olas de la bahía en numerosas lanchas alfom ­ dejamos de copiar por no ser interesante; pero sí lo hacemos de la plaza Ville-d’Eveque. La afluencia de las visitas ha sido bradas de pabellones y tripuladas por la marinería de la escua­ de la o…</t>
  </si>
  <si>
    <t>…archa regular en este negocio, es decir, si se hu­ época en que ninguna parte teníamos nosotros. L a necesidad el Gobierno no podría consentir en que se llevase á efecto se­ biesen hecho las representaciones convenientes al conde Molé, de desmembrar el Limburgo sugirió la idea de una adquisición mejante cláusula sin comprometer la dignidad del pais y los y sobre todo á ese gran Príncipe (to that g r e a t P rin ce ), Luis en el Luxem burgo, y en su protocolo núm. 7 de 20 de Diciem­ intereses del comercio, porque esto seria a…</t>
  </si>
  <si>
    <t>MON</t>
  </si>
  <si>
    <t>…campear con la M ilic ian o s: Me glorío de ser vuestro mas sincero amigo, ción original que elevaba al Congreso el Sr. Alcalá Zamora. libertad que antes. (Id.) uno de vuestros mas fieles compañeros; no dudo de vuestra co­ El Sr. M O NTO Y A (D. Diego): Como el Congreso acaba operación, asi como tampoco debáis dudar de que en defensa de o ir, el Sr. Alcalá Zamora se queja en su exposición de las de vuestros intereses no habrá género de sacrificio que deje de tropelías que con él se han cometido, y se lamenta también de ha…</t>
  </si>
  <si>
    <t>Mon</t>
  </si>
  <si>
    <t>…por 110 creerla conce­ contestación del Sr. P i d a l , y la r é p lic a , asi como la hecha al putados que se hicieron varias proposiciones reducidas todasellas bida en los términos que debia e&lt;tar. Pero ahora tengo que sa- Sr. Mon , y después continuó : á que se determinase qué cantidad de aquella mitad destinada He hecho mención del párrafo de este discurso para m an i­ á la contribución extraordinaria de guerra debia lijarse al pro­ tEfc'cer y contestar á S. S. que sincera mente creo que no tiene festar que habiendo an…</t>
  </si>
  <si>
    <t>…interpelación. presenten los resolverá conforme á la ley , creo que esta cues­ El Sr. Ministro de H A C IEN D A : Señores, debo decir al Por lo demás no estoy conforme con la doctrina del Sr. Minis­ tión debía ya terminarse. Sr. Mon que al citar esas resoluciones que yo no he dicho si tro, en cuanto á decir que interpelar es preguntar; interpelar El Sr. MON : Sr. Presidente, una palabra. habían sido bien ó mal tomadas, no traté de inculpar á nadie es mas, interpelar es reconveair. El Sr. PRESIDENTE: No lo permite el regla…</t>
  </si>
  <si>
    <t>…el G obierno, ó por mejor decir, de la voluntad del M i­ se daba á la que actualm ente se proponia. M inistro ha presentado un pensamiento nuevo, es cosa que no nistro de H acienda; y la base de su independencia en el dia El Sr. MON : Señores, por una fatalidad procedente del dice el dictámen , y que nadie ha dicho. N ada ha indicado el está reducida al nombramiento por el Gobierno de un director, giro que se ha dado á esta discusión, me veo en la precisión de Sr. Mon que pertenezca á la totalidad del proyecto mas que esa…</t>
  </si>
  <si>
    <t>…ral de M urviedro, y su compañero Francisco Mir, solicitabais por los g?fes de la antigua M ilicia. daid, Cádiz y Sevilla, que fueron el último y mas fuerte ba­ ambos terror de aquel pais, verificada en Villavieja la misma El Sr. M O NTESIN O rectificó hechos, y pidió se leyera luarte de la libertad española, son dignos sus individuos de los noche, cuyo importante servicio prestó D. Bartolomé Sales, co­ la exposición. mayores elogios; pero esta parte de gloria toca con la mayor mandante de la partida volante de aquel distrit…</t>
  </si>
  <si>
    <t>…las órdenes que rigen en la materia; pero por una coinciden­ defienden el dictamen. v ^ cuanto es nuevo eb empleo que se le ha conferido, pues no le cia particular , en la Gaceta de hoy viene reproducida una cir­ Há dicho el Sr. Mon que no ha tenido posibilidad de ha­ tenia; asi pues insiste en que debe estar sujeto á reelección. c u l a r del ministerio de la Gobernación de 22 de Setiembre de cer la renuncia el Sr. Castro; ya sabe S. S. que con menos se­ Se deciára el punto suficientemente discutido, y leido el 1856 , y r…</t>
  </si>
  <si>
    <t>Mon, Andrés</t>
  </si>
  <si>
    <t>Andrés Mon</t>
  </si>
  <si>
    <t>…aceta del TTABíENDOSE deounciado ante el Sr. alcalde constitucional Excmo. S r.: Entre las medidas que S. M. la Reina Gobierno un edicto igual á este, comparezca ante esta subdele- -*** D. Luis Oseñalde por el promotor fiscal D. Andrés Mon­ gacion de Rentas por la escribanía mayor del infrascrito á re­ tero, Gobernadora ha mandado llevar á efecto por Real orden conocer en concepto de subversivo el artículo inserto en el perió­ de esta fecha con el fin de fijar la fuerza de infantería eu­ con que bajoy las declaración ju…</t>
  </si>
  <si>
    <t>Mon, José Fernandez</t>
  </si>
  <si>
    <t>José Fernandez Mon</t>
  </si>
  <si>
    <t>…lícita deter­ Para el juzgado de Manacor, de ascenso en la provincia de ángulos de la nación, y por ella se deja entrever muy pró minación de los sentimientos que animan al pueblo lorquino, Mallorca, vacante por promoción de D. José Fernandez Mon— ximo el suspirado dia de la íntima unión, la sincera concor y cuál sea la parte que le cabe de las satisfacciones en que terrat, ha tenido á bien S. M. nombrar á D. Dionisio Marin dia para que no haya sino un solo voto, el de la paz y d rebosar debe todo pecho español al ver luc…</t>
  </si>
  <si>
    <t>Monasterio, Francisco de Paula</t>
  </si>
  <si>
    <t>Francisco de Paula Monasterio</t>
  </si>
  <si>
    <t>…que se establecerá al mis­ del regimiento de Ceuta,procedente de la Mancha, á causa del pueblo para pasarse al campo de los poderosos y de mo tiempo con pequeñas modificaciones en alguna de las reglas las órdenes del teniente D. Francisco de Paula Monasterio, i h - los ricos. Mas traidores que Judas, que solo entregó á su Maes­ que rigen á las demas. La sociedad tendrá de esta manera al vadierou dicha villa siete bandidos de caballería de los de Pali­ tro , á ellos le han vendido con la mayor perfidia , y pervir­ cu*np‘ir…</t>
  </si>
  <si>
    <t>Moncey</t>
  </si>
  <si>
    <t>…s , y la prosperidad Varios periódicos han publicado noticias falsas acerca de la tencia del camino de hierro y de las comunicaciones en una '&lt;|¡úé hácé cada día en todas las clases. .Vdsótfos también repor^- salud del mariscal Moncey : tenemos la satisfacción de poder extensión de mas de seis leguas. taréis iguales beneficios y en las obras qué se ejecOtún haRa^ asegurar que el estado de la salud del mariscal es el mas satis­ L js aguas habían bajado mucho desde antes de ayer tarde; reís la garantía•de vuestra existencia…</t>
  </si>
  <si>
    <t>Mondoñedo</t>
  </si>
  <si>
    <t>…siguen La mayor parte de cuanto se ha dicho de tala, y yo mismo dor de la verdad pura y sin mezcla de error, ó como todos situadas en las mismas posiciones, y Maroto en L lod io, sin había creído, es inexacto: el Sr. obispo de Mondoñedo, que no los siglos y lodos los individuos de la especie humana co­ otra novedad que la de haberse aumentado hasta el numero de es parcial, me lo ha dicho desde luego, haciéndome ver el noce algunas verdades, y está sometido á muchos errores, 12 ó 15 las piezas de artillería que han coloca…</t>
  </si>
  <si>
    <t>Monedero, José María</t>
  </si>
  <si>
    <t>José María Monedero</t>
  </si>
  <si>
    <t>…excesos de desobediencia y subver­ territorial de esta capital por la escribanía de cámara vacante cuestiones, y entre otras la de la presidencia, sobre la que no sión contra su legítimo G obierno, á pretexto de haber es­ de D. José María Monedero por mala versación en el desempe­ estaban de acuerdo las opiniones. te resuelto, ó estar pronto á resolver, el permiso de la in ­ ño de su destino y exacciones arbitrarias, á fin de que en el A las cinco de este dia se han reunido MM. Thiers, de troducción de tejidos de algodón…</t>
  </si>
  <si>
    <t>…ato mayor del navio alm irante, no tenian rial de esta capital., por la escribanía de cámara vacante de Esta historia y las obras de Federico n se darán al pdblicc la menor relación al piloto mejicano de quien se dice haberse D. José María Monedero, por mala versación en el desempeño fel 34 d&amp; May# de I 84Q, aniversario del advenimiento al trpnc apoderado el príncipe. En esta ocasión como en todas el prínci­ de su destino y exacciones arbitrarias* á pe ha ejécútado á la letra todas las órdenes que se le han iie este^MóH#…</t>
  </si>
  <si>
    <t>Monge, Gerónimo</t>
  </si>
  <si>
    <t>Gerónimo Monge</t>
  </si>
  <si>
    <t>…divisa de la Cuarta compañía.=Cabo primero : Pascual Floren. sociedad económica de amigos del pais de Toledo que tengo el H I S T O R I A general de la civilización europea , ó curso de his­ Compañía de cazadores. Teniente : D. Gerónimo Monge. alto honor de presidir. (5. O. de T.) toria moderna desde la caida del imperio romano hasta la Cabo segundo: Juan Chou. Soldado: Mariano Rinebie. evolución francesa. Obra escrita en francés por Mr. G uizot, y raducida al español: consta de un tomo en 4-° mayor de 409 Regimiento inf…</t>
  </si>
  <si>
    <t>Monlace, Pedro</t>
  </si>
  <si>
    <t>Pedro Monlace</t>
  </si>
  <si>
    <t>…ULEMENTOS de obstetricia, redactados conforme á los prin­ i Rey , 1 Ley , 1 Poder y 1 Caballero con 3 Concesiones. cipios de tokelogia y embrologia de Mf. A. L. M. VeU 1 Fuerte con 1 Muralla, 1 Thinchera y 1 Foso. peau , por D. Pedro Monlace, revisados y anotados por el doc­ i Sala con 1 Portero, i Huésped , 1 Cava y 1 Despensero. tor D. Antonio Mayner, catedráticos de obstetricia en el Real i Campo fresco y i Campo largo, 2 Millas, con 2 Coli­ CORRESPONDENCIA DE LA GACETAS colegio de medicina y cirugía de Barcelona. Un…</t>
  </si>
  <si>
    <t>Monreal</t>
  </si>
  <si>
    <t>…intura muy tir esa profunda negligencia en todas las penitenciarías de los niente. olvidada en nuestros dias, no sé si por falta de gusto ó por las Estados-Unidos, tiene el capellán á su cargo la enseñanza mo­ El Sr. secretario Monreal leyó también la memoria anual, muchas dificultades que presenta. Tal es una bella composición ral y religiosa y algunos ramos de instrucción. En la de Siog- que fue muy grata á todos los que la oyeron, por enumerar colocada en un ancho paisaje, escogido y atneno, en donde an­ Sing mas de 1…</t>
  </si>
  <si>
    <t>Monreal, Toribio Guillermo</t>
  </si>
  <si>
    <t>Toribio Guillermo Monreal</t>
  </si>
  <si>
    <t>…lttviller, cerca de Saint-Avold , se ha encontrado en lo inte­ cional. juzgar de los exámenes sus señores individuos D. Félix García rior de la pared uaa bolsa usada por el tiempo y la humedad, Cuerva, D. Braulio G uijarro, D. Toribio Guillermo Monreal, D. Bia9 López, cinco años de ed ad , número siete de la p ri­ y conteniendo 11 monedas de plata. Todo indica qüe esta ocul­ tación se hizo al tiempo de la invasión de los suecos. Las unas no D. Juan Manuel de Linares y D. Francisco Galvez , quienes mera clase, por su aplic…</t>
  </si>
  <si>
    <t>Monroy, Teresa Gauche</t>
  </si>
  <si>
    <t>Teresa Gauche Monroy</t>
  </si>
  <si>
    <t>…a los progresos del no de 60 días se presenten en este mi juzgado como tales pa­ es difícil encontrar' en el padre y fundador del teatro e s ­ arte. Entre todas ellas ningunas sostienen mejor la lectura rientes pobres de la Doña Teresa Gauche Monroy á justificar pañol una sola pieza cuya acción esté bien seguida. El y la representación, que aquellas en que el poeta es m e­ su parentesco y usar del derecho que les pueda corresponder en dijo que había hecho seis; y los aficionados ai arte dra­ nos satírico y mas justo con e…</t>
  </si>
  <si>
    <t>Monserrat, José Fernandez</t>
  </si>
  <si>
    <t>José Fernandez Monserrat</t>
  </si>
  <si>
    <t>…azo de Camba á D. Andrés Ruiz Merque- anteriores, los remates, comprendiéndose también el total de los mesei cho, que sirve igual destino en la audieocia de Mallorca; y según está mandado. portante salud. para esta fiscalía á D. José Fernandez Monserrat, juez del par­ tido de Manacor, de ascenso en la provincia de Mallorca , que Número MINISTERIO DE HACIENDA. está ya condecorado con los honores de la toga. de fincas Valor en tasación. Id. en venta. Y para la promotoría fiscal del juzgado de Riaño, de en­ Provincias. rúst…</t>
  </si>
  <si>
    <t>MONT</t>
  </si>
  <si>
    <t>…nuestros hermanos y parientes que impíamente son arrebatados pertenece exclusivamente á la corona. quiera yo embarazar ni disminuir en lo mas mínimo el uso de por las bandas de rebeldes que sorprenden las descuidadas po­ El Sr. M O N TESIN O : No me propongo hacer graves car­ la iniciativa que para ello tienen todos los Diputados. Repito blaciones. Estos, en verdad , son males positivos, cuyos efectos gos á la comisión que ha dado su dictámen á esta petición, por lo tanto que en vez de acordarse que se tenga presente en…</t>
  </si>
  <si>
    <t>Montal</t>
  </si>
  <si>
    <t>…rse con la lectura de aquel divino poeta. Dígalo, si n o , Alejandro el G ra n d e, ardiendo en el amor de la glo­ neti , D. Pedro Marin y D. Domingo Celada , á quienes seña­ pasen general, y particularmente el referido capitán Montal— ló los puntos que debían ocupar, quedándose el comandante vo; el teniente graduado de capitán D. José Prieto ; el de igual ria aMuchos solo el nombre de Aquiies. Nalda con la primera columna y 54 caballos á las órdenes de clase D. Manuel Ipola ; el teniente de infantería ayudante del siglo…</t>
  </si>
  <si>
    <t>Montalbán, Francisco Alcoroz y D. Francisco</t>
  </si>
  <si>
    <t>Francisco Alcoroz y D. Francisco Montalbán</t>
  </si>
  <si>
    <t>…ce , y que se afanará por con­ gefe ascender con sus dos batallones mandados por los valientes | han llenado su parte dignamente. servar expeditas á todos. á Dios guarde á Y . E. muchos años. Lecera 25 de M a y o comandantes D. Francisco Alcoroz y D. Francisco Montalbán, y La Constitución de 1837, el trono cíe S. M. la Reina dirigidos cada uno por el comandante graduado gefe del E. M. ! de 1859 —Excmo, Sr.—Joaquín Ayerbe.=£xcmo. Sr. general en gefe de este ejército.—Es copia.—Nogueras. Doña Isabel n , y la Regencia de s…</t>
  </si>
  <si>
    <t>Montalivet</t>
  </si>
  <si>
    <t>….) noche como de ordinario* El Presidente del Consejo y después todos los Ministros han ido sucesivamente á Saint-Cloud. MINISTERIO DE HACIENDA El Centinela de los Pirineos asegura que el brigadier Var­ el ministro El conde de Montalivet, el encargado de negocios de Rusia, eas, que habia seguido á Bourges á D. Cárlos, ha prestado de Dinamarca, la condesa Duchatel y un gran nú­ Real orden. juramento á la Constitución. (Id.) mero de personas se han sucedido durante la noche en los sa­ lones del Rey. Éxcmo. Sr.: Por Real…</t>
  </si>
  <si>
    <t>Montalvo, Doña María de los Dolores</t>
  </si>
  <si>
    <t>Doña María de los Dolores Montalvo</t>
  </si>
  <si>
    <t>…en la fonda de Genyes, Intendencia de la provincia de M a d rid , reunió por la tarde á los antiguos y actuales oficiales del cuer­ po. Reinó en él la mas completa cordialidad , siendo esta reu­ Cádiz 27 de Noviembre, La Sra. Doña María de los Dolores Montalvo , marquesa nión de familia una agradable renovación del testimonio de de Arellano, y en caso de haber fallecido, la persona sucesora afecto y de lealtad que tan estrechamente une á los individuos en el expresado títu lo , se servirán presentar en esta intenden­…</t>
  </si>
  <si>
    <t>Montalvo, Juan</t>
  </si>
  <si>
    <t>Juan Montalvo</t>
  </si>
  <si>
    <t>…3.° El Pretendiente, Maroto y el obispo de León. Conde de O -Reiily.............................................................. 51 1,094. . . . 8000 ps. fs .. Zaragoza. 4.0 La gran vista de m arina, saludo y naufragio de un D. Juan Montalvo......................................................... . 51 8,664 . . O. 5000.............. Algeciras. buque. D. José Ricardo Ofarrill.................................................. 54 1 9 .5 8 5 .... 1000.................. Valencia. Empezarán á las cuatro y media de la tarde y si…</t>
  </si>
  <si>
    <t>Montbel</t>
  </si>
  <si>
    <t>…rango que habiendo llegado su hijo á la mayor edad, nc deberes si no dijese á Y. M. que está pronto á obedecer y cum­ Los navios Jena , Montebello , Sancti P etri , Diademe y tenia ya necesidad de vivir bajo tutela. El conde de Montbel plir con toda exactitud cuanto Y. M. ordene y mande. Genereux, el bergantín Comete, h corbeta Diligente , y los ha ido á Roma para exponer al Duque de Burdeos que deb&lt; Estos son los sentimientos del ayuntamiento y sus comiteu- vapores de guerra Papin y Lavoisier estaban foodeados en obedie…</t>
  </si>
  <si>
    <t>Montebello</t>
  </si>
  <si>
    <t>…timientos hostiles, ni embarazar tario de Estado del departamento de Negocios extrangeros ridades de la nueva Brunswick y las del Maine nos parece in- á los Ministros dé S. M . Quiero solamente poner á lord P a l- Mr. el duque de Montebello, Par de Francia. * admisible. Al contrario, todo lo que ha sucedido hasta el día merston en el caso de explicarse sobre una cuestión de honor Dado en las Tullerías á 51 de Marzo de 1859.—Luis Fe- nos demuestra que esta jurisdicción debe pertenecer a las au to ri­ y de Ínteres nacional. li…</t>
  </si>
  <si>
    <t>…que no El mariscal duque de Dalmacia M inistro de Negocios ex­ r a l , pues no hay regla sin excepción , oscu ran tistas por edu­ saben ni soportar ni comprender el orden, una m ilicia de hom­ trangeros, en reemplazo del duque de Montebello , cu ya d im i­ cación, por usos y hábitos arraigados, por carencia de conoci­ bres bárbaros y capaces de todo crim en, malvados y fanáticos sión ha sido aceptada, volviendo á ejercer las funciones de mientos ú tiles, por falta de libros modernos y de comunica­ á la v ez , donde todos los…</t>
  </si>
  <si>
    <t>Montelirios</t>
  </si>
  <si>
    <t>…ue corres­ León, regidor.—Pedro Ramón Balboa.zuManuel Sierra.—Pedrc yentes hicieron una ley para resolver este p u n to , diciendo que ponda, bajo la intervención de dicha autoridad. L. Iluidobro.—Cristóbal Sánchez.—El conde de Montelirios. =: todos aquellos que por cualquier título, ya fuese lucrativo ii Art. 70. Sia perjuicio de lo dispuestoen el articulo anterior, Manuel del Castillo.—Antonio Colon.—Juan de Dios Gavantej oneroso, hubieran adquirido bienes vinculados desde el año 2 í en los estados que pasarán los subin…</t>
  </si>
  <si>
    <t>Montene, Guadalupe</t>
  </si>
  <si>
    <t>Guadalupe Montene</t>
  </si>
  <si>
    <t>…de estos últimos el segundo de Paredes coronel D. Francisco lativo á los trabajos de los jóvenes obreros empleados en las fá­ tos donde estaban los presos varios grupos en una actitud ame­ de Paula U nd a, sobrino político de D. Guadalupe Montene­ nazadora , por lo que se creyó oportuno pedir refuerzo, y en bricas del reino: 1 .° Ninguno antes de la edad de nueve años gro , y de aquellos ningún gefe. (El T e lé g r a fo .) cumplidos puede ser empleado en los trabajos regulares de las efecto se presentaron varios destacamen…</t>
  </si>
  <si>
    <t>Montenegro</t>
  </si>
  <si>
    <t>…emos visto dicen tam­ 2 2 1 golpes por que lo de estado: la Francia tomó parte en favor de los habian noblemente defendido, y se encargó de sal­ quisa, dediquen toda su vigilancia á evitar que se sustrai­ bién que el coronel Montenegro fue muerto al principio de la varlo con su valor. Desde entonces los partidos armados á su ga de la requisición ningún caballo de los que están suje­ acciou , siendo de advertir que este fue quien antes de la llegada vez lo han amenazado por medio de esfuerzos desesperados: to­ tos á el…</t>
  </si>
  <si>
    <t>…Sr. G utiérrez d e Ceballos en vez del de maoo. Sr. Quinto. La deserción continúa , y á D. Carlos le acompañan en sus Estado demostrativo de las fincas que la junta ha adjudicado incursiones V illare al, Valdespina y el coronel Montenegro; en dicho mes á los mejores postores, según los resultados de pues de todos los demas ha sido abandonado. Se dice que está los remates , comprendiéndose también el total de los meses corno loco, no sabiendo á quien creer, ni atreviéndose á confiar anteriores, según está mandado. PRO V ID…</t>
  </si>
  <si>
    <t>…sto para la cruz cual fue la vida. Oid , pueblos; escuchad, tiranos ; este es el íiu mera vez ante reunión tan escogida. de San I croando de primera clase. trágico que ha tenido el caudillo feroz de Cataluña ; los mis­ La Sra. Montenegro brilló como profesora mas bien que co­ Cabo segundo Domingo García, y soldados José San Julián mos que le incitaron al derramamiento de sangre, le han qui­ mo aficionada en la unión y maestría con que cantó el dúo de y Manuel Alonso , cruz sencilla de Label ir. tado la vida , y no han qu…</t>
  </si>
  <si>
    <t>Montenegro, Francisco</t>
  </si>
  <si>
    <t>Francisco Montenegro</t>
  </si>
  <si>
    <t>…amiento del plare^;f Madrid en casa del autor , seJe hará la* rebaja del 20 año próximo las personas siguientes, conocidas por su probi­ dad y demas virtudes cívicas. BOLETIN DE COMERC IO. pprT0Q5;,5 • r , w .. - Alcaldes! D. Francisco Montenegro, propietario: D. D o- BOLSA DE MADRID; miago Fernandez, id. Regidores: D. Antonio María M iranda, id.: D. Juan Oui- roga y Porras, id.: D. Salvador María Q u irog a,id .: D. José Cotización del dia 16 á las tres die ta tarde • * TEATROS. ^ Pardo San Cibrian, id.: D. José Gaj…</t>
  </si>
  <si>
    <t>MONTENEGRO, PARDO</t>
  </si>
  <si>
    <t>PARDO MONTENEGRO</t>
  </si>
  <si>
    <t>…17 de A b ril, en que se sancionó la ley autorizando al Go­ Castro, participándole su nombramiento. haya ese voto, porque aun cuando el Sr.-M artin dijo que lo : bierno para un empréstito de 500 millones? Y aqui debo ma­ El Sr. PARDO MONTENEGRO pidió se leyese el dicta­ haria , no lo ha verificado. nifestar que no estoy conforme con lo que dijo el Sr. Martínez men de la comisión, y el Sr. Muñoz Maldonado el decreto El Sr. PARDO MONTENEGRO pide que se lea el dicta­ de la Rosa, sobre que los empréstitos no se verificaban á…</t>
  </si>
  <si>
    <t>Montero, Juan Antonio</t>
  </si>
  <si>
    <t>Juan Antonio Montero</t>
  </si>
  <si>
    <t>…n esta corte, calle Otra id . , sierra de Gador , hoyos de Mancha , término del D. Manuel Maestre y S. Román, por D. Juan García Pedre­ del A guila , núm. 22 , manzana 115 , que tiene de sitio 4925 Presidio, Sta. R ita , por D. Juan Antonio Montero, en 14* ro, alcaide de la cárcel Nacional de corte, en unión de Don pies superficiales, tasada con fecha 2 de Junio del año último Otra id ., sierra de Gador, loma del G uijo, término de Francisco R oiz, D. Raimundo González y D. José García V a­ en 77815 rs. vii., á rebajar ca…</t>
  </si>
  <si>
    <t>Monterrey</t>
  </si>
  <si>
    <t>…de segundos Esteban Rodríguez, apel l idado c omandant e de la in­ Rua.rrManuel Gómez Novoa.“ Antonio Moreiro.—Pedro Sán­ fantería del partido del Sabiñao. Lo que manifiesto á Y. S. pa­ chez de Toca.“ Por el duque de Alba conde Monterrey, Manuel ra que imprimiéndose en é! Boletín oficial de esa provincia sir­ Benito Lorenzana y Lemos.—Joan Tutor.“ Vicente Saez.“ Juan A L E M A N IA . va de satisfacción á sus leales habitantes. Pontevedra 9 de D i­ Mendez G uerrero-Juan María Cid y Losada.zzFrancisco de ciembre de 1859. “…</t>
  </si>
  <si>
    <t>Montes</t>
  </si>
  <si>
    <t>…e que el Gobierno, no m archa, y tal vez se dirá que es débil. no tenga mayoría no puede hacer mas que ser justo. H ay un voto particular que no creo traiga la tendencia que sea suficiente el voto de censura. ha expresado e Sr. Montes d e Opa; no creo que por él será me­ Pero si en efecto se quiere algo que parezca program a, ya No niega al Congreso la facultad para dar un voto de cen­ nester usar de la alternativa dé disolver las Cortes ó dejar es­ tenemos cuatro puntos cardinales, á saber: cuestión de princi­ sura; pero…</t>
  </si>
  <si>
    <t>…iderándose los agentes que. sean indispensa­ según mas convénga. proyectos del enemigo, obligándole á abandonar los puntos que bles para llevar á cabo lo dispuesto en los arts. 3.°, 4.° y 9.a Por último, la dirección general de Montes cuida­ ocupaba, y debiéndose exclusivamente á sus disposiciones la 5.° del citado Real decreto y en esta circular, como comi­ rá de que se ejecuten estas disposiciones con el debido salvación de la Luchana y de las demas lanchas. Es pues un sionados e venta les. celo y actividad, removiendo…</t>
  </si>
  <si>
    <t>…de Zaragoza se presenta mismos sentimientos hasta en el mas alto grado los individuo E n el venturoso dia 31 de Agosto vio V. M. acercarse e ante el trono de V. M. para felicitarle de la manera mas en­ de la dirección general de Montes, se complacen extraordina­ de la unión y reconciliación de los españoles todos en rededoi riamente en felicitar á V. M. por tan faustos acontecimientos trañable por los faustos acontecimientos que unos á otros se en la firme persuasión de q u e, habiendo ya lucido en nuestn del trono constitu…</t>
  </si>
  <si>
    <t>Montes, Concepción</t>
  </si>
  <si>
    <t>Concepción Montes</t>
  </si>
  <si>
    <t>…tempestad que le ame­ na Gavilán, Doña Dolores Pons, Doña M argaiili Y aldés Do­ hábian situado en Alendin y Otura , y principiado los traba­ naza en el Bosforo, se ve solicitado también en el mismo sen­ ña Susana Tournier, Doña Concepción Montes, D ¡ña Rosario jos, continuaban sin novedad y á satisfacción del ingeniero tido por la Inglaterra, que solo ambiciona la caida de M ehe- G óm ez, Doña Do ¡ores bernanJtz, Doña Dolores G »na , D iña que dirige las obras. met-Allí. llevada mas bien de su propio Ínteres que del de la…</t>
  </si>
  <si>
    <t>Montes, D. José Ferraz. Sr. D. Manuel</t>
  </si>
  <si>
    <t>D. José Ferraz. Sr. D. Manuel Montes</t>
  </si>
  <si>
    <t>…Quijana. Sr. D. Vicente Silva. Sr. D. José María Pardo Montenegro. Sr. D. Víctor Fernandez Alejo. Sr. D. Miguel García Cornejo. Sr. marques viudo de Valladares j electo. Sr. D. Julián Rodríguez del Valle. Valencia. Cádiz. Sr. D. José Ferraz. Sr. D. Manuel Montes de Oca. Madrid. Sr. D. Luis Mayans y Enriquez, Secretario 2.° Sr. D. Francisco Javier Istdriz, Presidente. Sr. D. Agustín Arguelles. Sr. D. Félix Aliaga. Sr. D. Antonio Alcalá Galiano. Sr. D. Antonio Seoane. Sr. D. Francisco Carbonell. Sr. D. Juan Donoso Cort…</t>
  </si>
  <si>
    <t>Montes.rz</t>
  </si>
  <si>
    <t>…total de los espa­ ción por motivos tan plausibles. Salas consistoriales 24 de Se­ ñoles, y de reducir á un vasto desierto el territorio de la Mo­ tiembre de 1839.~Señora.r2 A L. R. P. de V. M.rrJosé Matias Dirección general de Montes.rz^eñora: El haber sido lanza­ narquía. Belmár, presidente.—Pablo Ramos, alcalde primero.=Fermin de do del suelo español por el ilustre duque de la Victoria en con­ Desgraciadamente lo hablan conseguido en mucha parte, r¿( Anduaga, alcalde segundo.—Vicente L u is , regidor.—Isidro D o­ secuen…</t>
  </si>
  <si>
    <t>MONTESDEO</t>
  </si>
  <si>
    <t>…ipios de jurisprudencia.Si yo hubiera tión no podia permitir se saliese ningún Sr. Diputado. que nada trataron, no puede suponerse que hubo transacción. 1 sospechado que Íbamos á entrar aqui á calificar el suceso de Se­ El Sr. M O N T E S D E OCA expuso que no tan solamente Fácil es manifestar la conformidad de ambos generales en esa villa que el Sr. Diputado que acaba de hablar califica de rebe­ impugnaba el dictámen de la com isión, sino que también en­ falta de transacción. Dice el general Sanjuanena que entró á to­…</t>
  </si>
  <si>
    <t>Montesino</t>
  </si>
  <si>
    <t>…n o , de infundir en las clases menesterosas la idea de que las el cual ya en 28 de Noviembre de 1851 hizo otro donativo mas afortunadas toman un grande interés en la mejora de su con En cuanto á la segunda se opuso á ella el Sr. Montesino una modestia digna de elogio, diciendo que no habia he­ de 400 rs. vn. para que se estableciese en M adrid la primera suerte, serán motivos poderosos en dictamen de la junta para cho mas que cualquiera otro individuo de la junta directiva, y escuela de párvulos, cuyos 409-rs. fueron aplic…</t>
  </si>
  <si>
    <t>…uzuriaga : Secretario el Sr. A y aía y Mi rla: nanda, continúan en esta corte sin novedad en su im­ El ministerio sé h alla distribuido del modo siguiente: con Vicesecretario el Sr. Guillen y Roda. 5 a sección. Presidente el Sr. Montesino: Vicepresidente el portante salud. el R e y , en el palacio de Eu , los Sres. D up erré, Schneidér y Sr. J o v e r: Secretario el Sr. L u ja n : Vicesecretario el Sr. f u e n ­ C u n in -G rid a in e ; en Paris , con el presidente del Consejo, los te A «id t es. Sres. Teste, Passy , D…</t>
  </si>
  <si>
    <t>Montesino, D. Pablo</t>
  </si>
  <si>
    <t>D. Pablo Montesino</t>
  </si>
  <si>
    <t>…factorios resultados prácticos, pudiéramos ser testigos el primer año económico ha sido el de 1276, equivalente á 25,520 de una tibieza que seria mengua de nuestra ilustración y de la el 2.a trabajo Que se den las gracias al Sr. D. Pablo Montesino por que se ha tomado en traducir el M anual de escue­ reales; cantidad entrada en la tesorería de la sociedad por pago constancia española. las de párvulos , y todavía mas en instruir á los maestros en de las suscripciones. Han entrado ademas 601 rs. y 14 marave­ ??Por el contrar…</t>
  </si>
  <si>
    <t>Montesinos, Manuel</t>
  </si>
  <si>
    <t>Manuel Montesinos</t>
  </si>
  <si>
    <t>…bel 11 y manifestando deseos de borrar con por haberse destinado á otro objeto. armas en la mano en defensa de la causa nacional la falta En consecuencia, y de acuerdo con él , asi cotno con el vi­ cadas. sitador de presidios D. Manuel Montesinos, he dispuesto que cometida. inmediatamente se proceda á construir 200 espiochas en la fra­ Conformándose S. M. la Reina Gobernadora con el S. M. ha visto con satisfacción el celo, tino y decoro con gua que posee la brigada de la Alhainbra , las que se fabrica­ parecer de esa dir…</t>
  </si>
  <si>
    <t>…ubrir las bajas de aquella carretera pecto á las carreteras los 215 hombres que procedentes de Zunora habían llegado á parte anterior; y pongo Córdoba, y desde alli hablan sido remitidos á Granada. El visitador de presidios D. Manuel Montesinos me ha di­ ciendo la necesidad y mandadas construir ea e! reino desde mi en su superior conocimiento que cono­ economía de los útiles que ha comprado PARTE NO OFICIAL. rigido desde Granada con fecha 24 del mes último el oficio si­ elda visitador Montesinos coré acuerdo del gefe…</t>
  </si>
  <si>
    <t>…. . 3 13577 49Ó6Q sitador y comisionado para lá formaéioíi de las brigadas Otra id. en sierra de Lanjarón y su término r cerro de. la Mimbre, Virgen del Rosárió, por José Áritequera, en 7. Ciudad Real 110 365041.. 4 495932 D. Manuel Montesinos, diera sus ordeñes aí comandante | Córdoba.....:v. 70 3841076 11980526 Otra id. en sierra de Gador, cerro de las Balsas, término interino de aquel establecimiento presidial para que in­ de Gador, Cuatro Amigos, por Sebastian Can fon ,é n 9. Cádiz.......... 26 „ 855546 ' 24518 O4…</t>
  </si>
  <si>
    <t>…o parecían Direjpcion general de Presidios del reino. = Exorno. S r .: El de la confianza que inspira su nación, se presentó ayer al Gran ser elaboradas por tan tiernas manos, sino por las mas diestras visitador de presidios D. Manuel Montesinos me participó des­ Señor, con quien estuvo conferenciando por espacio de cuatro y hábiles maestras, siendo tales progresos debidos á la pericia, de Granada en 1.° del que rige, que en el mismo dia habia pa­ horas. Aunque estas conferencias no están por lo regular al al­ trato dulce…</t>
  </si>
  <si>
    <t>…ases en calidad de apoderado de Don la elección sido de no habían intimados por un Real rescripto á proceder á do por la dirección general de Caminos. de un diputado de la Dieta que acaba de ser pro- El visitador de presidios D. Manuel Montesinos me Domingo Fernandez de A ngulo, intendente subdelegado de rogada , y acaban de decidir por unanimidad no haber lugar á Rentas de la provicia de Córdoba, en concepto de injurioso el dicha elección en las presentes circunstancias. Este ejemplo tendrá dice desde Granada con fecha 13…</t>
  </si>
  <si>
    <t>…Cuartel general de Lo­ «Al capitán general de Andalucía con esta fecha digo conduzca po al al mejor éxito de este asunto, previne con tiem­ groño 25 de Febrero de 1839.=:Excmo. Sr.—El conde de L u­ comisionado y visitador D. Manuel Montesinos, se cha na.=Excmo. Sr. Secretario de Estado y del Despacho de la lo siguiente : He dado cuenta á la Reina Gobernadora de ocupase de la organización la exposición de Y. E. de 5 del actual, en la que después emplearse en los caminos dedeAndalucía; las brigadas que han de Guerra. y á…</t>
  </si>
  <si>
    <t>…allen de acuerdo, es menester que una ú otra sean consultadas; y si la .opinión Dirección general de Presidios.=Excroo. Sr. : El visitador de los Comunes difiere de la de los L ores, la primera es la que general de presidios D. Manuel Montesinos me dice desde G ra­ debe prevalecer, según el voto d éla Constitución. Si la C ám a­ nada en 17 del actual , que en cum plim iento de prevenciones Se lee en el M orning-IIerald : ra manifiesta una opinión , ella sostendrá su influencia y su que le hice , ha procedido á la organizac…</t>
  </si>
  <si>
    <t>Montijano, Agustín</t>
  </si>
  <si>
    <t>Agustín Montijano</t>
  </si>
  <si>
    <t>…consecuen­ edicto se le asignan, se presente en dicho supremo tribunal y medicina operatoria escritos en francés por Mr. Alf. Velpeau, cia de otra de la dirección general de Reutas, se publica en su­ escribanía de cámara de D. Agustín Montijano , por sí ó por y traducidos al castellano y adornados con /fi láminas finas: basta la contrata procurador con poder bastante, á evacuar el traslado que se le 4 tomos en 4*°á 160 rs. en rústica, y los Nuevos elementos de debe celebrarse en para esta la conducción de efectos estanc…</t>
  </si>
  <si>
    <t>Montijo</t>
  </si>
  <si>
    <t>…de Oñate. D. Gaspar Remisa. Acciones del banco 2 6 2 1. « D . Manuel José Q uintana. «D . Antonio Rernon Zarco del Valle. Fondo activo español 16£ con cupones. «D . Alvaro Gómez Becerra. Cinco por 100 portugués 29. «Conde del Montijo. M urcia. Idem 5 por 100 i9 . B aleares (Islas). « D . Antonio Perez de Meca. La inquietud que había causado al principio la suspensión « D . José Camps y Soler. «Vizconde de Huerta. de los pagos del banco de Bélgica , se ha disipado y a , pues se D. «D . Pedro Chacón. ha adquirido la segu…</t>
  </si>
  <si>
    <t>…brar administrador á los bienes y rentas de dicha testamentaría, que estuvo á cargo dad s y un sargento, que recomendó su cuidado en la comisa­ mos en analizarlos; sin em bargo, en nuestro entender es- del Exorno. Sr\ conde del Montijo , y solicita su viuda la Exce­ ria de entrada*, manifestando ser una defensora del fuerte de tan mas hábilmente entendidos y manejados, y son de mas lentísima Sra. condesa de dicho título en concepto de madre, su pueblo, por cuya razón se puso desde luego esta nota al efecto dramático en e…</t>
  </si>
  <si>
    <t>Montoya</t>
  </si>
  <si>
    <t>…á este asunto. menes anteriores acerca de los Sres. Seijas y H enry, y cuando titución habla de ascensos, y este no ha obtenido ninguna Declarado el punto suficientemente discutido, y habiéndose se trato de la proposición del Sr. Montoya sobre que los D ip u­ ventaja. pedido por varios Sres. Diputados que la votación fuese nomi­ tados que habían obtenido gracias del Gobierno, cesasen de Ademas ¿qué ha conseguido el Sr. Baeza? Ha conseguido nal, se verificó esta y quedó desaprobado el dictámen por 59 austir á las sesiones lue…</t>
  </si>
  <si>
    <t>MONTOYA</t>
  </si>
  <si>
    <t>…produjo satisfactorios se emplean , pues si se hiciera pagando al contado no causaría Collantes. resultados, pues como manifestó el barón del Solar en su me­ el terror y los males que lleva consigo. L a comisión , sin em­ El Sr. M O N T O Y A (D. Diego) expuso que dirigiéndose el m oria habiéndose dado dinero para com prar 53 cab allos, solo bargo de que no deja de conocer estos n iales, se ha visto en la voto p articu lar del Sr. Calderón Collantes á que se suprim an pudieron comprarse 1 5 1 ; y el tercero y que mas prod…</t>
  </si>
  <si>
    <t>…l articulo, varias aclaraciones. y por lo tanto insiste en que no debe sujetársele á reelección. son buenas para los países que se hallan en un estado normal; A petición del Sr. A yala y M oría, se leyó un oficio del se­ El Sr. MONTOYA (D. Juan) dice que ademas de ese dic­ pero nosotros que estamos en medio de una guerra civil ¿np ñor Secretario del Despacho de Gracia y Justicia , en que acom­ tamen hay un voto particular del Sr. M artin. tenemos bastante experiencia con lo que ha sucedido después paña copia del que con…</t>
  </si>
  <si>
    <t>…ón, te­ Por lo que toca á la historia de la coraisroo , la haré sucin­ parece imposible que suceda , el que una proposición sea igual niéndolo presente en tiem po o po rtu no , asi tam bién está tamente. El año pasado sabe el Sr. Montoya como se contestó á o tra, ya de nacionales ó extrangeros, porque ó se diferencian dispuesta á n o disim ular la m e n o r falta , y á exigir la res­ ásión. varias interpelaciones de S. S. por la morosidad de la comi­ eiv el modo de hacerlos pagos, ó en las garantías que se exigen, ponsabili…</t>
  </si>
  <si>
    <t>…estando encargado elecciones de Albacete, ea que propooia fuesen excluidos los vo­ operaciones y reglas de conducta. su cumplimiento á un ministerio responsable, no se atreverá tos del distrito de Chinchilla , admitiéndose al Sr. Montoya que Se ha dejado á la prudencia del Gobierno que oportuna­ á atentar contra su franquicia, y gozarán de la tranquilidad y ha obtenido mayoría en los restantes, y procediéadose á segun­ mente, y tomando conocimiento de estos fueros, proponga á las seguridad que ahora no tienen. da elección d…</t>
  </si>
  <si>
    <t>…n , que el Gobier­ ga de bagajes: otro del Sr. Campnzano, relativo si pago de a l­ pesar de que se ha fundado como comprobante por el Sr. Cor­ no no se h ay a presentado ahora á pedir la autorización p ara cabalas; y otro del Sr. Montoya , para que se adjudiquen ex­ tina , especialmente la famosa circular á los tribunales y jueces seguir cobrando las contribuciones corrientes. clusivamente los bienes nacionales al psgo de los réditos y con­ del Ministerio de Gracia y J u s t ic ia , á pesar de que todos he­ El Gobierno ha cr…</t>
  </si>
  <si>
    <t>Montoya, D. Román Ovejero. Sr. D. Diego</t>
  </si>
  <si>
    <t>D. Román Ovejero. Sr. D. Diego Montoya</t>
  </si>
  <si>
    <t>…D. Blas López. Gerona. Valencia. Albacete • Sr. D. José Antonio Pastell, electo. Sr. D. Juan Cano Manuel. Sr. D. Juan Pou. Sr. D. Antonio Ilom panera de Cos. Sr. D. Ramón Pretel de Cozar. Sr. D. Pedro Camps y Ros , electo. Sr. D. Román Ovejero. Sr. D. Diego Montoya. Sr. Sr. D. Bartolomé Amor , electo. Sr. D. Francisco Javier Rodríguez de Vera* Granada. Pontevedra. Alicante • Sr. D. Miguel de Roda. Sr. D. José Guillen. Sr. D. Diego López Ballesteros. Sr. D. Ignacio Puigmoltó. Sr. D. Francisco Martinez de la Rosa* Sr.…</t>
  </si>
  <si>
    <t>Montoya, Francisco</t>
  </si>
  <si>
    <t>Francisco Montoya</t>
  </si>
  <si>
    <t>…......... u n r . i u . f i . ^ 1 8 1 •’L ;‘ S. M. la R eina ., su augusta Madre la R eipja G o ber n a ­ gro, del comercio que fue de Barcelona , radicada en lá estri—: Provincia de Numero de la guia. banía de número de D. Francisco Montoya , se ha servido con­ N O T A . Se comprenderán también los efectos que se conducen de puerto á puerto en registro de cabotaje. dora y la Serma. Sra. Infanta Doña María Luisa Fernan­ vocar á junta general de acreedores de dicha testamentaría para da, continúan en esta corte sin no…</t>
  </si>
  <si>
    <t>Montpelier</t>
  </si>
  <si>
    <t>…....... d e .. 100....... 1800 uso de los niños. La mandó escribir y publicó en el año de dotación; pero se advierte que solo una batería de 8 de ellos se 68 ________ d e . . 40 ........ 2720 1701 el IIrao. Sr. Colbert, obispo de Montpelier, para que fue­ halla con los machos para su conducción. 500.................. d e . . 2 0 ........ 6000 se adoptada exclusivamente en su diócesis, y desde aquella épo­ M uoiciones.zzGien bombas de á 14 pulgadas, á 20 quintales 4 0 0 . . . ........... d e .. 16........ 64 OO ca no ha deca…</t>
  </si>
  <si>
    <t>Mor.tebe'do</t>
  </si>
  <si>
    <t>…st; M r. ILiU he, primer presidente del tribunal de C uen ­ se ven ¡os mismos tres retratos. Se han visto varias fronteras de establecimientos públicos ca (amarga irrisión!!) para a plaud ir y elogiar sin tasa: tos; ei duque de Mor.tebe'do ; Mr. C lem ent, cuestor de la C á ­ mara de Diputados; la condesa de LowenhieSm, de F le id i- adornados con bastante gusto y elegancia ; pero la que mas ha respétase cuando es interesada; cuando no lo e s , todos se ir a n n , de Ko;s ; la baronesa Gautier de R u m illy , a y a de las…</t>
  </si>
  <si>
    <t>Mora, María Isabel</t>
  </si>
  <si>
    <t>María Isabel Mora</t>
  </si>
  <si>
    <t>…las Familias, toma sal el cortesano ; bel 11 y las libertades de la nación, ha cabido en suerte con el acudirán á la librería de la viuda de Razóla á recoger el porque con toda la m ano primer extracto de la de este dia á Doña María Isabel Mora­ cuaderno 6.° y último del tomo 1 .° de dicha obra. Continúa no es templa lio , es desabrillo,” les, hija de D. Pedro, capitau de la Milicia nacional de la la suscripción. Membrilla, muerto en el campo del honor. Y diciéndole Sirena «Solia yo ser BOLETIN DE CO M ER CIO . TEATROS…</t>
  </si>
  <si>
    <t>Moragrega, José. María</t>
  </si>
  <si>
    <t>José. María Moragrega</t>
  </si>
  <si>
    <t>…dmitir en pago de estos descubiertos; y conformán­ dome con el pareceFdel Consejo d"e~ Ministros, he tenido a llería ; D.\ José de;So£pioasa«, comandante de escuadrón, ilim i­ tado, procedente de la Guardia Real; el capitán D. José. María Moragrega.; DloAntonio Arjona , teniente dé caballería gra­ bien mandar en nombre de.mi e^ elsa Hija la Reina Doña duado decapitad ilimitado; D. Agustín O rtiz, teniente de in­ R E A L E S D ECRETO S. Isabel i i , que:interinam ente , y sin perjuicio de lo que poi fantería retirada*…</t>
  </si>
  <si>
    <t>Moraleda, Esteban</t>
  </si>
  <si>
    <t>Esteban Moraleda</t>
  </si>
  <si>
    <t>…ario, el oficial quinto de administración militar, DEL en el juzgado del Sr. Dr. D. Carlos Parés de V alverde, juez de Mauuel Félix Rodríguez. primera instancia de Getafe y su partido y por la escribanía numeraria del mismo de D. Esteban Moraleda , apercibidos que en otro caso , les parará el perjuicio que haya lugar. B IB LIO G R A FIA . A voluntad de su dueño y en virtud de providencia del se­ ñor D. Beuito Serrano y A liaga, juez de primera ins­ E L D IA B L O S U E L T O , periódico satírico y de costumbres que se pub…</t>
  </si>
  <si>
    <t>Morales, Angel</t>
  </si>
  <si>
    <t>Angel Morales</t>
  </si>
  <si>
    <t>…. . . . . * * . . 24 OO pies librerías. 8 ................ de.. 400..................... 3200 24................ de.. 100. . . . . . . . . 2400 260................ de.. 20 . ............... 5200 Asimismo se cita y emplaza á D. Angel Morales, D. Joa­ 500................ de.. 16..................... 48 OO quín María Sanguino y D. Ignacio García Cabrero y D. Fran­ cisco Laserna, para que en el término de nueve dias, que por TEATROS. 600 33000 último se les señala /comparezcan en el juzgado á hacer sus de­ PRINCIPE. A las…</t>
  </si>
  <si>
    <t>Morales, D. José Perez</t>
  </si>
  <si>
    <t>D. José Perez Morales</t>
  </si>
  <si>
    <t>…sión gedia de Schiller, que tiene el mismo título, música del maes­ Sr. D. Joaquín Temprado , contador. A de bienes hecha en 4 de Abril último por Ramón Riesgo, tro M ercadante, ya ventajosamente conocido y justamente apre­ Sr. D. José Perez Morales, vice-contador. natural de Castro, parroquia de Bodenaya, concejo de Salas, en ciado del público de Madrid. Este spartito, estrenado en Paris Sr. D. Francisco López de Olavarrieta, tesorero* Astúrias, de esta vecindad, en el juzgado del Sr. D. Francisco en el teatro de la óper…</t>
  </si>
  <si>
    <t>Morales, Juan</t>
  </si>
  <si>
    <t>Juan Morales</t>
  </si>
  <si>
    <t>…i importante generales de las brigadas, á los gefes, oficiales y tropa que con­ Es copia.rrMéjico Mayo 4 de I839.=J. L. Velazquez t e salud. currieron á tan importante jornada. La brigada de reserva al León. mandó del coronel D. Juan Morales, cuyos movimientos di­ PARTES RECIBIDOS EN LA SECRETARIA DE ESTADO rigí según las órdenes que me comunicaba S. E ., es digna igual­ Núm. 4 ° A nombre de la nación y del Excmo. Sr. Presi­ Y DEL DESPACHO DE LA GUERRA. mente de todo elogio por haber practicado una marcha forzada dente in…</t>
  </si>
  <si>
    <t>Moran</t>
  </si>
  <si>
    <t>…estaba 7.° Dentro de 2 4 horas se cangeará este convenio en este enteramente concluida. Todo el Perú ha reconocido y obedece mLtno p un to , y 2 4 horas después dispondrá el Sr. general P a­ al Gobierno provisorio, y el general Moran , que estaba encer­ redes la ocupación de la plaza. rado en el Callao con alguna poca tropa que le había dejado Como R e in a G o b ern ad o ra á n o m b r e d e m i a n g u s t a Artículo adicional. Los Sres. generales D. M anuel Paredes S an tac ru z , se ha rendido, entregado las fortalez…</t>
  </si>
  <si>
    <t>Moran, Carlos</t>
  </si>
  <si>
    <t>Carlos Moran</t>
  </si>
  <si>
    <t>…y aficionados. El quienes particularmente nuestros compatriotas tienen motivo de Joaquin Ayerve, en reemplazo de D. Juan Romeo y Teilo: cuadro, que representa un cristo atado á la columna, es de lo queja. por la de Alicante á D. Carlos Moran, en reemplazo de mejor que ha salido de la hermosa escuela de V an-D ick. La Nereida ha completado de una manera útil para el co­ I). José María Reig: por la de Cáceres á D. José Landero mercio y la navegación esta campaña de guerra y de paz , con y Corchado, en reemplazo del conde de A…</t>
  </si>
  <si>
    <t>Moran, Gerónimo</t>
  </si>
  <si>
    <t>Gerónimo Moran</t>
  </si>
  <si>
    <t>…s Sánchez, difunto, seña­ lada esta c o n el núm. 15,940 , firmada en 2 de Marzo de 1816 drama histórico , original, en cuatro actos y en variedad de por los ores, directores de dichos cinco gremios mayores, para metros, por D. Gerónimo Moran.</t>
  </si>
  <si>
    <t>Mordelles</t>
  </si>
  <si>
    <t>…elección que tan fácil­ de la reforma que se verificó en 1517 , se celebre en Brandem- mente pudiera justificarse como la de Mr. Bonald. burgo y en Berlín los dias 1.° y 2 ° de Noviembre. El Auxiliar bretón anuncia que el cura de Mordelles, dis­ La Gaceta universal de Leipsick cita una carta de Viena, F R A N C IA . trito inmediato á Rennes, ha suprimido hace mucho tiempo el de la cual extractamos el siguiente párrafo. Domine salvum para complacer á algunas familias legitimis- Ciertos artículos de periódicos, concernientes…</t>
  </si>
  <si>
    <t>Morella</t>
  </si>
  <si>
    <t>…con la de la mayoría y de la mas tario de Estado y del Despacho de H acienda.^C uartel Real del primeras noticias de I03 aciagos acontecimientos de Febrero sána parte del pueblo; pero se resienten de su o rigen , y con­ conde de Morella.” los miró bajo su verdadero punto de vista, couoció su tenden^ vencido de que oo es este sino otro el ay untamiento que ha de El sobre particular de cada una dice solamente: cia y sus causas, que ojala no hubiesen sido puestas tan en representar aquella opinión , no pueden menos de manifest…</t>
  </si>
  <si>
    <t>Morelta.r</t>
  </si>
  <si>
    <t>…aYosu no entraré ahora á desenvolver el sistema fo ral; yo di­ den. ¿Por tiempo lo que tiene de dañoso y lo que tiene de favo­ cuando nunca qué pues decir al Gobierno que regularice la guerra, 29 de Diciembre de 1858 —Conde de Morelta.r^Sr, D. Antonio rable, asi como que su estado administrativo es excelente y dió la palabra.) ha faltado á ella? (El Sr, duque de Bailen p i­ V an-Ifalen, gefe de las fuerzas enemigas de Aragón y Yaten- digno de ejemplo; pero se tra ta , señores, de sostener los fue­ t ia.rzEs copia.=:El b…</t>
  </si>
  <si>
    <t>Moreno</t>
  </si>
  <si>
    <t>…rim era instancia de la na la m ay or confusión en las provincias y N av arra. como hermanos y españoles, cuyas bases se p u b lic a rá n ; y si ciud ad de Jijo n a en la provincia de A lic a n t e , y refrendada por El general Moreno fue de orden de D. Carlos y acompa­ el escribano J u a n Mirailes S o ler, se llama á Francisco y R a ­ ñado de cuatro ordenanzas á Elizondo el día 2 8 , y el 29 se las fuerzas de las demás provincias quieren seguir nuestro ejem­ plo evitando la ruin a de sus padres, herm anos y p arien tes…</t>
  </si>
  <si>
    <t>…E n virtud de providencia del juzgado de la subdeíegacion de de fincas Valor en tasación. Id. en venta. rentas de la provincia , se publica por término de 30 dias Provincias. rústicas y Reales vellón. Reales vellón, El general Moreno , cuya muerte hemos anunciado, creyó urbanas. la subasta de tres casas, sitas erí esta c a p ita l, calles del Veedor, le bastaba nombrarse para dejarlo en libertad ; pero fue lo con­ núm. 5 2 , de S. G ines, núm. 2 5 , y de la C árcel, ó sea campo A lm ería 1 40500 52000 del M atadero, núm.…</t>
  </si>
  <si>
    <t>…e im parcial. ~ como el R h in , entre arenas. Luzan con su P oética nos inspiró Cábenos la mayor satisfacción en los triunfos que en su cá­ hecho. el gusto de las formas clásicas, importado de F ran cia, que tedra logra el Sr. Moreno, porque son réplicas terminantes y produjo algunos dramas buenos entre muchos malísimos: hasta absolutas á los que pretenden que la juventud del dia ni pien­ L IC E O A R T IS T IC O Y L IT E R A R IO . sa ni discierne con madurez. O igan estos Aristarcos al Sr. M o­ que ha invadido nuestra…</t>
  </si>
  <si>
    <t>Moreno, Antonio Guillermo</t>
  </si>
  <si>
    <t>Antonio Guillermo Moreno</t>
  </si>
  <si>
    <t>…mármo resultado la m oralidad de los m ineros, perm itiendo conti­ D . Manuel María Goiri. les y la preparación de los colores. Obra indispensable á lol nuar un filón en posesión agena hasta encontrarse con los Contador.=zSr. D. Antonio Guillermo Moreno. señores maestros libreros, mancebos y aprendices; y necesaria trabajos de otro. l)e este m odo se trabajaba con cierta no­ Tesorero.szSr. D. Joaquin Fagoaga. á todas las personas amantes de las bellas arles. Escrito eo bleza que hoy se ha perdido con no poca influencia en l…</t>
  </si>
  <si>
    <t>Moreno, Blas</t>
  </si>
  <si>
    <t>Blas Moreno</t>
  </si>
  <si>
    <t>…ger á las de primera instancia de esta capital , refrendada del es­ do en 1805 por los DD. Esteve, Belvitges y Ju g lá , qae es sin librerías de EscamilL y de Cuesta la comedia en dos actos, tra­ cribano del número del crimen D. Blas Moreno, se cita, llama disputa el mejor de cuantos han salido á luz hasta el dia , ha­ ducida del francés por D. Gregorio Romero y Larrañaga, ti­ y emplaza por primer edicto á Faustino izquierdo, alias Cha­ ce años que está agotada enteramente , sobre que su simple re­ tulada parro, pnra que de…</t>
  </si>
  <si>
    <t>…de una ten­ lid y juez de primera instancia de esta corte, refrendada del es­ habitantes, a quienes dos pueblos querían tener en un ab­ dencia que la religión y la política deberían apoyar. Acaso cribano de número del crimen D. Blas Moreno , se cita á Don soluto aislamiento del resto del mundo hasta que todas sea este el único medio de oponer un dique a las invasio­ Miguel de Silva , abogado que ha sido en la ciudad de S. Juan las tribus salvajes de la América estuviesen convertidas al nes de la raza inglesa.=G. ( Debáis.…</t>
  </si>
  <si>
    <t>Moreno, Custodio</t>
  </si>
  <si>
    <t>Custodio Moreno</t>
  </si>
  <si>
    <t>…destrozo causado por la tormenta del sábado: poco sin embar­ pues excitado aquel ayuntamiento y junta de comercio inspiran D. Antonio Castro, D. Diego del Rio, D. Francisco Antero go podríamos añadir á lo publicado Casado , D. Custodio Moreno, D. José Alvarez Crespo y Don ayer sin contraernos á confianza, y la tienen también, como deben, en la de Reinosa Pantaleon Muntion y Alonso, quienes por unanimidad decla­ derribo de chimeneas, destecho de casas &amp;c. En Brooklin (el y esta ciudad. no haber lugar á la formación de ca…</t>
  </si>
  <si>
    <t>Moreno, D. Santiago</t>
  </si>
  <si>
    <t>D. Santiago Moreno</t>
  </si>
  <si>
    <t>…Pedro Allende Salazar. Sr. D. José María Cambrottei o. Sr. conde de Balazote. Sr. D. Juan Antonio Hidalgo. Sr. D. Manuel Marin Blazquez. Zamora. Sr. D. Manuel Moi.edero. Sr. D. José Antonio Ponzoa. wDuque de Castroterreño. Sr. D. Santiago Moreno M uñoz, electo. Sr. D. Miguel Puche y Bautista. »D . Ezequiel Diez de Tejeda. Sr. D. Audres Carabantes. Sr. D. Diego María Chico, electo* Sr. D. Juan Gerónimo Cebados. Sr. D. Manuel Martinez Ayala. Zaragoza. »Duque de Zaragoza. Córdoba. Navarrai »j D. Juan Antonio Castejon. Sr.…</t>
  </si>
  <si>
    <t>Moreno, Eugenio</t>
  </si>
  <si>
    <t>Eugenio Moreno</t>
  </si>
  <si>
    <t>…roas interesantes es la de Crítica por vió una partida del 1.° de Castilla para que los escoltase. Pero E l teatro español dascaeció como los dem&amp;s ramos de nues­ los malvados queriéndose aprovechar de un descuido de la es­ D. Eugenio Moreno, y eu la que este se ha elevado á una gran­ tra literatura, como el poder, como la nación, á fines del si­ colta, y apoderarse de las armas de dos de los soldados, los seis de altura. Sus raciocinios elocuentes y claros, su facilidad en ei glo xvii» En el xvm tuvimos las caricaturas d…</t>
  </si>
  <si>
    <t>Moreno, Fernando</t>
  </si>
  <si>
    <t>Fernando Moreno</t>
  </si>
  <si>
    <t>…donos lo-mismo. Ya hacia dias por el camino de. la Población. Emprendió entonce? su persecu­ retórica hayan procurado deducir de la misma naturaleza se susurraba alguna novedad y el compromiso del sosiego pa­ ción e! teniente D. Fernando Moreno con los 16 caballos del las reglas á que deben som eterse‘estas especies de trasla­ lmeo ; pero felizmente iio; habían tenido 'resultado los rumores. escuadrón franco;-y logrando darles alcance en dicha villa, les Parecía que todo estaba tra-nqudo , y nada b alia que temer; y oblig…</t>
  </si>
  <si>
    <t>Moreno, Isidoro</t>
  </si>
  <si>
    <t>Isidoro Moreno</t>
  </si>
  <si>
    <t>…las que están aun vigen­ de 13 del actual da parte que el com andante m ilitar d e .A g u i- errores, y envuelta en los furores de las mas mas sangrientas pa­ tes, es muy, justo realizar sus esperanzas de bienestar, y do lar D. Isidoro Moreno ha aprehendido al cabedla Bravo que flones. Las reformas del clero , como precursoras de las políti­ mantenerlos el resto.de sus dias con la decencia qiie conviene al se titulaba comandante de lanceros en la facción de Rey ; y en cas, deben llamar vuestra atención, y por lo tanto pas…</t>
  </si>
  <si>
    <t>Moreno, Josefa</t>
  </si>
  <si>
    <t>Josefa Moreno</t>
  </si>
  <si>
    <t>…es­ DETELEMAQUE liente resulta la calificación y sentencia que es del tenor si­ pacha el Sr. D. Ju an José Piodriguez Valdrosera y escri­ guiente : banía del número del cargo de D. José U r r u t i a , se ha presen­ tado Doña Josefa Moreno, viuda de D. J u a n Paz, de este ve­ Reunidos los 12 jueces de hecho para calificar el artículo cindario, acompañando relaciones juradas de los bienes y acree­ denunciado por los Sres. comandante?; de las tres armas de la FILS DÚLISSE Milicia n acion al, é inserto en el Diario, de e…</t>
  </si>
  <si>
    <t>Moreno, José</t>
  </si>
  <si>
    <t>José Moreno</t>
  </si>
  <si>
    <t>…llar en este cumplido y perfecto , que dejase muy poco que desear. Mas la D iccion ario la Real orden relativa á la causa formada al bri­ In ten den cia . experiencia ha demostrado que, á pesar de las mejoras hechas en gadier D. José Moreno, ni la que invita á los Sres. Senadores Reales. la cámara, hasta la última del prisma, solo se había conseguido y Diputados para que se trasladen á la corte. Estas Reales or­ darla solidez para que no vacilasen los contornos, y una clari­ denes, y otras muchas que exige el servicio p ú…</t>
  </si>
  <si>
    <t>Moreno, Nicolás</t>
  </si>
  <si>
    <t>Nicolás Moreno</t>
  </si>
  <si>
    <t>…con suma corrección, teniendo presente para esto últim o cio; pues los reclama D. Manuel de Villota y L aoin, como la edición estereotipada de Didot. Los 103 billetes estarán subdivididos en la clase de cuartos, apoderado de D. Nicolás Moreno , vecino de la ciudad de T ru- i 4O reales cada uno de ellos, los que se despacharán en las jillo , y por haber sido interceptados en la quema de la corres­ administraciones de loterías naciooales, por cuyo medio po­ pondencia del correo que salió de esta capital en la madrugada drán…</t>
  </si>
  <si>
    <t>Morente, Manuel García</t>
  </si>
  <si>
    <t>Manuel García Morente</t>
  </si>
  <si>
    <t>…ugada del 17 una partida del primer batallón vo­ las circunstancias extraordinarias en que nos hallamos, luntarios de G alicia,al mando del capitán del mismo cuerpo son extraordinarios también los sacrificios á que están obli­ D. Manuel García Morente, que salió de Puente de Eutne en gados los funcionarios públicos. MINISTERIO DE LA GOBERNACION DE LA PENINSULA. persecución del cabecilla Fraga, logró sorprender á este en ei lugar de Mantaras con otros dos rebeldes, uno de ellos llamado Al encargarme de esta dirección, acep…</t>
  </si>
  <si>
    <t>Moreoo, Juan García</t>
  </si>
  <si>
    <t>Juan García Moreoo</t>
  </si>
  <si>
    <t>…ódicos, los impresores de hojas Asimismo ha venido en nombrar, á propuesta de la au­ miento sobre el Eufrates, no anunciaban intenciones de parte sueltas, y deinas personas responsables presenten dos h o­ diencia de M adrid, á D. Juan García Moreoo para la promo­ de Mahamud de romper la paz. (Id.) ras ames de la distribución a los suscriptores, ó venta de tor!# fiscal* del juzgado de Orgaz en la provincia de Toledo* cada n úm ero, un ejem plar para que la autoridad pueda p rev en ir, dentro de los límites legales, el daño qu…</t>
  </si>
  <si>
    <t>Moret, D. Juan Anguera. Sr. D. Pedro</t>
  </si>
  <si>
    <t>D. Juan Anguera. Sr. D. Pedro Moret</t>
  </si>
  <si>
    <t>…a. Sr. D. Carlos de Martí. Sr. D. Santiago Alonso Cordero. Sr. D. Baltasar de Toda. Sr. D. José Almirall. Sr. Sr, D. Joaquin Borras. Sr. D. José G ispert, Secretario 5.° Lérida. Sr. D. Antonio Satorras. Sr. D. Pablo Gali. Sr. D. Juan Anguera. Sr. D. Pedro Moret. Sr. D. Antonio Viadera. Sr. D. Miguel de Córdoba. Sr. D. Ramón dé Bacardí. Sr. D. Pascual Madoz. Sr. D. Ramón Salvato. Sr. Teruel. Logroño. Sr. D. Ambrosio Sánchez. Burgos. Sr. D. Miguel Alejos Burrie!. Sr. D. Pablo Govantes Sr. D. Andrés Almarza. Sr. D. Ra…</t>
  </si>
  <si>
    <t>Morete, José María</t>
  </si>
  <si>
    <t>José María Morete</t>
  </si>
  <si>
    <t>…em os lle­ Real órdeo aprobando la sentencia de la junta de revisión en á reasumirse todos los progresos de la civilización: dé ¿al.con ­ g a r á conseguirla d ejando sin resolución las cuestiones im ­ la causa formada contra D. José María Morete. (Núm. 17 19.) formidad que ella sola puede coiVsiderarse cWnó la ób»;a maes­ p o rta n te s que no puede resolver la razón sin el auxilio Circular del Ministerio de la Gobernación de la Península para tre de la filosofía ; ella señala la épóqá edifica .desdé donde em - tlei cris…</t>
  </si>
  <si>
    <t>Moreto, JOSE CAÑIZARES.</t>
  </si>
  <si>
    <t>JOSE CAÑIZARES. Moreto</t>
  </si>
  <si>
    <t>…de la suscripción al Entreacto. destinado á hacer reir al auditorio, á ser el juguete y la burla de los demas, ya tener sin embargo una parte acti­ va en el enlace y desenlace de la fabula.Cal ieron, Hojas y S U B A ST A S D. JOSE CAÑIZARES. Moreto presentaron cada uno un carácter de esta especie; pero Cañizares supo diversificar esta figura, y conservan­ L A dirección general de Caminos ha acordado sacar á pública ARTICULO I. do el fondo de sus cualidades aparentes, a saber, la ex­ ^ subasta la poda y limpia de las le…</t>
  </si>
  <si>
    <t>Morga, Felices Perez</t>
  </si>
  <si>
    <t>Felices Perez Morga</t>
  </si>
  <si>
    <t>…tes y agradables: existencia de una certificación de Crédito de la deuda liquidada y las especulaciones de la filosofía, a n d as en comparación de imposición forzosa, su capital 323,650 rs. * perteneciente at dé 1827 publico D. Felices Perez Morga bajó él título de Co- de los m ovim ientos anim ados de la famanía y del corazón^ poseedor del mayorazgo de PoVar* procedente de Un oficio de leccicn de Reales cédulas , instrucciones , órdenes y dispo­ no le liaran le u u n c ia r al idioma a r d ie n te , figurado, a r ­ alguac…</t>
  </si>
  <si>
    <t>…xhorto del Sr. intendente subdelegado de rea­ Vuelta al cuartel general. La presente obra es una continuación de la que en el año tas de la provincia de Sevilla ; bien entendido que de no com­ Vuelta á Francia. de 1827 publicó D. Felices Perez Morga bajo el título de Co­ parecer les parará el perjuicio que haya lugar. Conclusión. lección de Reales cédulas , instrucciones, órdenes y dispo - N otas del e d iío r francés. siciones del ramo de Pósitos expedidas hasta fin del año • Cartas sobre el ejército de D. Cárlos. de 1826…</t>
  </si>
  <si>
    <t>Morillo, José</t>
  </si>
  <si>
    <t>José Morillo</t>
  </si>
  <si>
    <t>…o P a s t o r , D . José Ferres , D . M a ­ dias , siguientes á la inserción de este em plazamiento, se presen­ mas del arte, de las que nunca se separa. Concretándonos al c u a ­ nuel M o n seg u r, D. Rafael A g u i r r e , D. José Morillo. te en este tr ib u n a l á contestar la demanda , por sí ó por medio dro de la Sagrada f a m il ia , es m u y notable la expresión de to­ Ciase de ortografía. =: D. M anuel R iaño y D. José Casi. de procurador con poder bastante , que en el mismo le ha pro­ dos los semblantes,especia…</t>
  </si>
  <si>
    <t>Morize</t>
  </si>
  <si>
    <t>…compa­ calle de T orign y. de muerto. El fusil era el que los insurgentes habían quitado á ñeros , en los hechos de la distribución de cartuchos y de ar­ Hacia algún tiempo que Mr. de Lema ir é , catedrático de la fuerza al Sr. Morize , granadero de la 7.a legión , en la calle m a s, y en el de hacer fuego contra la tropa. retórica en el colegio de Borbon , al volver del colegio á su ca­ M ichel-le-Cornte. Conducido al pelotón , encontró en él un jo ­ El Sr. Lafleur ha declarado que Philippet era un hombre sa , seguía lo…</t>
  </si>
  <si>
    <t>Morlhon</t>
  </si>
  <si>
    <t>…uen­ El Príncipe ha manifestado sentir vivamente no poder ac­ Rio-Janeiro 18 de Majo» ceder á este deseo. Pero ha viútado nuestra catedral, donde ha cia de un convenio entre las partes beligerantes. sido recibido por el abad de Morlhon , vicario general, y por El Gobierno imperial acaba de tomar una medida de gran­ una parte del clero. S. A .R . h a admirado en medio de una con­ de importancia en cuanto á los resultados que puede tener para el comercio de vinos del Brasil. Autorizado por una ley La sesión d é la Cámara…</t>
  </si>
  <si>
    <t>Moroder</t>
  </si>
  <si>
    <t>…, y son gente bastante bien tratada ; no cuentan posición, mereciendo entreellos honorífica mención e!Sr.Godet, A diferentes enfermos y otras necesidades que se cosa particular. que ha presentado tres hermosísimos cactos; ei Sr. Moroder , el han socorrido...................................................................... 145 #7 Sigue asegurándose la muerte de A rriam banda; pero como Sr. Santa María , el Sr. Comes, el Sr. Carruana y el Sr. Ferrer, los montañeses evitan darnos las noticias que nos son favora­ ambos del c…</t>
  </si>
  <si>
    <t>Mortier</t>
  </si>
  <si>
    <t>…e L a H aya 18 de Febrero. formar esas letras de grandes dimensiones, que ademas de ser venderlas. Dichos arrieros proceden de Mora de Rubielos. (Id.) inútiles al uso social, pocas veces se hacen con perfección. S. E. el barón Mortier, nombrado embajador de Francia M uy complacidos hemos quedado de los trabajos de las ni­ cerca de la ¡Confederación helvética, ha tenido el honor de ñas que compouen las dos clases de gramática castellana en que V alencia 25 de Febrero. presentar ayer al Rey sus cartas de llamamiento como…</t>
  </si>
  <si>
    <t>Mos, Joaquín</t>
  </si>
  <si>
    <t>Joaquín Mos</t>
  </si>
  <si>
    <t>…dados por fallecimiento abintestato de Sebastian M i- y Camba , según lo demuestran los papeles cogidos , sobrino del tificación, p o d rá n dirigirse á d ic h a im p ren ta Nacional abad de I\ousos 5 como igualmente lo fueron D. Joaquín Mos­ hasta el 10 de D iciem bre. guet, ocurrido en 51 de Octubre del año último, acudirán á quera deFunsio , sobrino del cura de Carballedo, y D, Fernan­ deducirle por el juzgado del Sr. D. Francisco Amoros y López, do Medela de Baldom ar, teniendo fundados motivos para creer magistrado hono…</t>
  </si>
  <si>
    <t>Moscas</t>
  </si>
  <si>
    <t>…ves de; la de- que habiendo pasado «cerca 4© sets 'meses desde que se le oouoe- tm Diputadas .nombrados respectiva mente por uno y ©tro cuer­ tenoon de éste Sr. Diputado , y é e indicar el Sr* Gal,tan© que dlió la gracia allí Sr. Moscas© de AJtamira* y siendo, si no esta­ po , ios cuales «des,pues de haber nombrado Presidente y Secre­ de- nuda «servia la deterainocm M Coogftuo, conoediebdk W ba equivocado, el término de tres meses el co.iaced.ido para sa­ tario OKkferenck'nán y extenderán sii dáctá.men sobre el modo íctídi.…</t>
  </si>
  <si>
    <t>Moscos</t>
  </si>
  <si>
    <t>…lar aatea tico. PrcMcediéiidose ali orden del di ¿a se poso á disensión el díe—! resta Mecer .la Ira aq o iIIidad póbl km. Art. 74* Oída la lectora de una ley, el Presidente cantos- támen de la comisión de Acias sobre sá el Sr. Moscos» de Alta- Continuando Ib disensión del proyecto sobre cumuiiícacíoo tara comí k siguiente fórmate? **EL Senado (ó el Congreso) ha mira esta Isa ó no so ¡el! o á redleccioa por haber obtenido la gra­ de los cuerpos coiegiskdores entre si y el Gobierno,, se leyó el .©.Ido con la veneración que…</t>
  </si>
  <si>
    <t>Moscoso, Vázquez</t>
  </si>
  <si>
    <t>Vázquez Moscoso</t>
  </si>
  <si>
    <t>…ticipación cienda. de los derechos de puertas de la ciudad de Sevilla. nes, transacciones y demas asuntos para que se halle autorizado El Congreso concedió tres meses de licencia para repórter el ayuntam iento. su salud al Sr. Vázquez Moscoso. D . Guillerm o Ilennedi y compañeros ofrecen por el prim er 15. N om brar á propuesta en terna hecha por el ay u n ta­ Se dió cuenta del nombramiento de varias comisiones he­ miento todos los dependientes de los ramos de policía urbana y año 5 .7 0 0 ,0 0 0 rs, v n ., y si hubiere…</t>
  </si>
  <si>
    <t>Mosquera, Doña María Gertrudis</t>
  </si>
  <si>
    <t>Doña María Gertrudis Mosquera</t>
  </si>
  <si>
    <t>…te especie de traducciones. TEATRO S. Esta obrita es de suyo tan interesante, y el autor ha sabi- lo embeberse tanto de las ideas del héroe del s ig lo , que no ha- PRINCIPE. A las siete y media de la noche. Hoy se re­ La Sra. Doña María Gertrudis Mosquera, Pacheco y M u - )rá nación que no le ofrezca un homenaje de gratitud por su riel , marquesa de Olmeda, ó sus herederos, se servirán pre­ pite la función patriótica que por disposición del Excmo. a y u n ­ ecomeodable empresa. Por ella vemos al Emperador bajo el ver- t…</t>
  </si>
  <si>
    <t>Mosquera, Joaquín</t>
  </si>
  <si>
    <t>Joaquín Mosquera</t>
  </si>
  <si>
    <t>…os males que conduzco mañana á Chantada ; era sobrino del abad de Ron­ cuezo, el del ex-coüde de España , el mismo que fue enterrado ha sufrido; aun le quedan por cerrar las profundas llagas que zó*: como igualmente lo fueron D. Joaquín Mosquera, alias en el mencionado pueblo, habiendo sido imposible averiguar estos le han dejado; la curación y remedio está en manos de sus Santan, sobrino del cura de Carballeda , y D. Fernando M e- con certeza los ejecutores del hecho, á causa de las rigurosas mismos naturales, y no se req…</t>
  </si>
  <si>
    <t>Mosquera, José</t>
  </si>
  <si>
    <t>José Mosquera</t>
  </si>
  <si>
    <t>…estampería de Valle, calle de Carretas, y en Para celebrar juicio de conciliación á solicitud de D. Do­ M A D R ID 1 0 DE N O V IE M B R E . la redacción calle del Príocipe, número 15 , cuarto segundo de mingo Domínguez con D. José Mosquera, ambos de esta ve­ la izquierda. En las provincias en las administraciones de Cor­ cindad, é ignoíándose el paradero del últim o , he dispuesto se reos y principales librerías. le cite por el presente para que comparezca dicho Mosquera en mi audiencia, .sita en la plaza de la Const…</t>
  </si>
  <si>
    <t>…ustanciado por los trámites Acebo , y para celebrar juicio de conciliación, se cita por el 2.° E L E N G A Ñ A D O R E N G A Ñ A D O ; ópera.ea nn acto, prescritos en las leyes de libertad de imprenta; y señalado el presente á D. José Mosquera, de esta vecindad , cuyo paradero música del maestro M ehul, que hace ya muchos años no se eje­ día para celebrar el jurado, se ha calificado el papel denuncia­ se ignora, para que comparezca en la audiencia de dicho Señor, cuta. Será desempeñada por la Sra. Feijas, y por los Sres. Bla…</t>
  </si>
  <si>
    <t>…e la viuda de Razóla, á 4 rs. También Mehemet-Alí hizo abrir otro ca n al, que saliendo Acebo , y para celebrar juicio de conciliación, se cita por el del de M oueys, y recibiendo las aguas del Nilo , pasa cerca de presente á D. José Mosquera, de esta vecindad , cuyo paradero Kdioub y Belbeis para entrar en el Ouady-Toumylat. Mr. Coste, se ignora, para que comparezca en la audiencia de dicho Señor, ingeniero francés, encargado de este trabajo, se valió para su eje­ sita en la plaza de la Constitución, repeso que fue de v i…</t>
  </si>
  <si>
    <t>Mosquera, Manuel</t>
  </si>
  <si>
    <t>Manuel Mosquera</t>
  </si>
  <si>
    <t>…a situación, la mitad del haber que D. Juan José García Martínez, D. Eugenio Batanero, D. A n­ de 1828, determinando ai mismo tiempo el que haya de gocen por clasificación , y tendrán derecho al abono de la tonio Fuentetaja , D. Manuel Mosquera, D. Ramón Naranjo, satisfacerse á los cesantes y jubilados que esten encausa­ otra mitad si fuesen absueltos plenamente. D. Manuel Quintana, D. Santiago Alonso Cordero, D, Ro­ dos igualmente; y con presencia de lo que acerca del par­ 10. Los jubilados á quienes se forme causa contin…</t>
  </si>
  <si>
    <t>Mote-, José</t>
  </si>
  <si>
    <t>José Mote-</t>
  </si>
  <si>
    <t>…] 8 i 2 dente d el Consejo de M inistros. del 26 de Octubre último, por el término de 50 d ias, contados desde el de esta publicación, á D. José Antonio M arúlla de Te­ Idem 7. ruel Pinilla yMotezuma, conde de este título: á D. José Mote- zuma y Roja 3 , vecino de la ciudad de Ronda, ó á las personas PARTE NO OFICIAL. El L iverpool llegó al fia al puerto de este nombre después que representen el derecho de estos, como d cualquiera que lo le una travesía de 17 dias. tenga en el pleito que quedó pendiente á la extinción d…</t>
  </si>
  <si>
    <t>Motezuraa, Pedro</t>
  </si>
  <si>
    <t>Pedro Motezuraa</t>
  </si>
  <si>
    <t>…miro López, ve­ NOTICIAS EXTRANGERAS* ba sido seguido por todos los bancos de las ciudades del Sud y cino que fue de la ciudad de Guadix, en 5 de Marzo de 1509 , y leí Oueste de la Union. Eo los de Boston y N ew-Yorck conti­ D. Pedro Motezuraa , hijo del Emperador de este apellido , en PRUSIA. núan los negocios. Méjico á 8 de Setiembre de, 1570, con sus unidos y agregado-, Difícil nos seria dar una idea de lo grave de este aconteci­ de cualquiera modo incorporados, y grandeza de España do B erlín 29 d e O ctubre . mient…</t>
  </si>
  <si>
    <t>Mounier</t>
  </si>
  <si>
    <t>…han dado á ios ilustres extrangeros una idea exacta de los i n ­ En la Camara de los Pares se ha leído hoy la proposición sar los presupuestos, y á una disminución de los impuestos, mensos recursos del comercio ingles. del barón Mounier, relativa á restringir en ciertos casos los como se verificó en el año ú lt im o ; y en el caso en que corno lo El pueblo se agolpaba en los alrededores de Sta. Catalina derechos de la Corona en el nombramiento de los individuos presum im os, nuestra fiel Asamblea de los Estados nombrase u…</t>
  </si>
  <si>
    <t>Moure</t>
  </si>
  <si>
    <t>…víverts; pe­ escribir un volumen entero. Con este motivo recomenda­ llos pueblos. ro se lo da por via de anticipación solamente, y está cal­ mos al celo patriótico y laudable de nuestra sociedad eco­ En Chantada al Sr. coronel Moure lo realizaron también culado que se necesitan 16 años para que el nuevo colono nómica , y de su digno presidente el Excmo. Sr. marques cuatro hombres de los antiguos de la facción del Ebanista , con pueda acostumbrarse á los deberes que le impone el re­ viudo de Pomejo*, saque del polvo de los…</t>
  </si>
  <si>
    <t>MOURE</t>
  </si>
  <si>
    <t>…eñor y escribanía del número de D. Santia­ gusto de poder reuniruie á mis a preciables compañeros. maba. Asi pues, yo desearía que los Sres. de la comisión , su­ go Manuel de Albóniga , á deducir la acción que les competa, El Sr. M O U R E : Sr. Presidente, tengo que hacer una in­ puesto que esta ley deberá sufrir ciertas modificaciones en el pues de lo contrario se dará á los autos formados sobre declara­ terpelación al Sr. Ministro de la Guerra con respecto á la con­ trascurso de ios tiempos por la posición mas ventajosa e…</t>
  </si>
  <si>
    <t>…enta en la imprenta y librería de Boix individuos de su partida y siete mozos de los sacados de aque­ calle de C arretas, núm. 8 . llos pueblos. D O N Diego Bahamonde, juez de primera instancia de este En Chantada al Sr. coronel Moure lo realizaron también partido de Navahertnosa. Por el presente edicto cito y cuatro hombres de los antiguos de la facción del Ebanista con emplazo á todos los acreedores á los bienes relictos por falleci­ /^ O M P E N D I O de la obra que escribió el caballero Filangíeri, sus armas. miento abi…</t>
  </si>
  <si>
    <t>Moure, Carlos</t>
  </si>
  <si>
    <t>Carlos Moure</t>
  </si>
  <si>
    <t>…aya habido por nuestra parte otra des­ gracia que la caida por un derrumbadero del comandante de dora y la Serma. Sra. Infanta Doña María Luisa Fernán» que debe escoltarlas está prevenida y adoptadas cuantas dispo­ la columna D. Carlos Moure , de cuyas resultas se halla aun siciones conceptúo necesarias para la ejecución de esta medida. indispuesto. da, continúan en esta corte sin novedad en su importante En lo&lt; cinco dias de trabajo que han trascurrido desde el 11 salud. del corriente inclusive hasta ei 17 se han construi…</t>
  </si>
  <si>
    <t>Moure, José</t>
  </si>
  <si>
    <t>José Moure</t>
  </si>
  <si>
    <t>…a del indicado establecimiento. Contestó­ Capitanía general de Galicia. — Estado m ayor.rzE l coronet úmeado su mérito relativo, se concederán, á los que se juz- les aquel gefe con la urbanidad y educación propios de los in ­ D. José Moure, comandante general de operaciones en la línea §&gt;en acreedores, títulos, medallas, ..distinciones ó gratificacio- dividuos del benemérito cuerpo á que pertenece. del Norte de la provincia de Orense , con fecha de ayer desde j*es; en el concepto de que la sociedad premiará con preferencia…</t>
  </si>
  <si>
    <t>Moutalemr-</t>
  </si>
  <si>
    <t>…eo de -emociones, de movi­ co medio de consolidar la nacionalidad de la Bélgica. El ora-- &lt; tad han ido alentando cada vez teas á la diplomacia. Pues bien, miento y de renombre. d o r, después de-impugnar las opiniones del conde Moutalemr- •cerremos los ojasd^todas esas *declamaciones acerca del respete A esta clase de hombres podría parecer suficiente la lucha berg, concluye .d iciendo que su mandato iio se ^extiende hasta que oe debe ádos tratados., y puesto que la diplomacia «os *bá anterior^ cuando esta decidiese en cad…</t>
  </si>
  <si>
    <t>Moutlósier</t>
  </si>
  <si>
    <t>…. M . , sobre declara­ de acontecer en Francia con motivo dé haber negado el Sr. obis? ción de g u e rr a , ó sobre tratados de p a z , de a lia n z a , de comer­ ANUNCIOS. po de C lerm ont la sepultura eclesiástica al conde de Moutlósier¿ cio ó de subsidios. E L B U E N T O N O , periódico de modas, artes y oficios, que por no haber querido retractarse de las doctrinas héterodojas 3.a Form ar los proyectos de leyes, y los reglamentos ó ins­ se publica en esta corte el 15 y últim o de cada mes, y su que había sentado e…</t>
  </si>
  <si>
    <t>Movillon, Antonio</t>
  </si>
  <si>
    <t>Antonio Movillon</t>
  </si>
  <si>
    <t>…arrafa, calle del Terminará la función con baile nacional. Príncipe , número 15, y eo la librería de la viuda de Paz,frente á las Covachuelas , en cuyos puntos hallarán los aficionados un Asimismo se cita, llama y emplaza á D. Antonio Movillon, grande y variado surtido de walses, rigodones, mazourkas, o sea Mevoilho» , para que en el término de nueve dias , que galops, marchas y otras piezas de mejor gusto, extractadas de por segundo se le señala, se presente en la escribanía principal las operas del dia ; diferentes himn…</t>
  </si>
  <si>
    <t>MOYAYANGELER</t>
  </si>
  <si>
    <t>…lamación del comisionado de Carava- bien los partidos tornar esa arma para decir, á ver si pasa. aun duda que en el caso de que el Gobierno se la hubiese dado ca por haberse introducido papeletas de sugetos que no solo no El Sr. M O Y A Y A N G E L E R : En uno de ios artículos de estuviese en las atribuciones de este el concederla ; por todo lo eran electores, pero ni aun ciudadanos, por estar encausados. la ley electoral se dice quecuando se presente alguna reclamación cual ruega á la comisión que tome en consideración d…</t>
  </si>
  <si>
    <t>Moyos</t>
  </si>
  <si>
    <t>…Roldan.—J. Victoriano piroz para practicar un reconocimiento sobre Ch uli lla , al cual Séame permitido también , Exorno. Sr. , unir mi débil voz Galom.—Manuel Antonio Mai ús.zz Diego Sanguino. — Rafael a&gt;ist»o también el general Moyos con las tropas de su inmediato al clamor universal , felicitar al ilustrado Gobierno, que ve co­ Vivas.—Francisco de Sales M u ñ o z —Juan Francisco de la Riva — mando , y q ue Ueuo su objeto, volvió el general en gefe con ronados con tan feliz resultado los constantes esfuerzos y las Joaquín…</t>
  </si>
  <si>
    <t>Mr, Posen</t>
  </si>
  <si>
    <t>Posen Mr</t>
  </si>
  <si>
    <t>…igue hacerse dueño c á m a r a d e los LORE&amp;.m mmmSesion del 1 1 de Marzo. de! confluente de los dos rios, el Eufrates y el T igris, BassQra caerá inmediatamente en su poder, y esta caida no solo tendrá El asunto del arzobispo de Posen Mr. D unin llama hoy Lord Lyndhurst: He sabido que nuestras tropas enviadas eco en el A sia, sino también en Europa. Este será un aconte­ exclusivamente la atención pública,, E| plazo últimamente con­ de Bornbay han tomado por asalto la fortaleza de Aden, y que cimiento que complicará mas y ma…</t>
  </si>
  <si>
    <t>Mr, Sebastiani.</t>
  </si>
  <si>
    <t>Sebastiani. Mr</t>
  </si>
  <si>
    <t>…hacerme escuchar en este sitio sin provocar vuestra ha abierto se ha aumentado de tal modo su población , que el risa ? valor de las casas y el precio de los alquileres se han triplica­ N úm . 4*° E t vizconde Palmerston al conde Sebastiani. Mr. L ncns : Sr. Presidente, pido que se llame al orden. d o , y es muy difícil encontrar habitaciones desocupadas. Se El Presidente: El reglamento dice que cuando un honora­ están construyendo actuahneute en Postdarn mas de 300 casas, honor Foreign-Office 9 de Abril de 1839.z=Señor co…</t>
  </si>
  <si>
    <t>Mulgrave</t>
  </si>
  <si>
    <t>Normanby, antiguo lord lugarteniente de Irlanda bajo el 6fr rs. importan.................................................... 52920 RESUMEN. nombre de conde Mulgrave, y actualmente secretario de Esta­ do de las Colonias. Esto seria modificar el ministerio en un DATA. Total producto de! concierto 52920 sentido mas favorable á los radicales. {Id.) Id. de la exposición......................... 6684 Alquiler del salón en la noche del con­ cierto, como…</t>
  </si>
  <si>
    <t>Municiones, Frias.</t>
  </si>
  <si>
    <t>Frias. Municiones</t>
  </si>
  <si>
    <t>…n por escrito , en cuyo caso seguirá los trámites del 25 chuzos enastados. Mi amigo: Maroto capituló con 2 i batallones y siete escua­ reglamento: entre tanto no puedo conceder la palabra al señor drones con Espartero. duque de Frias. Municiones para infantería. D . Cárlos se escapa por Aragón con cinco batallones que se** Se leyó la proposición firmada por el Sr. González que de­ 26.400 cartuchos de fusil españoles. levan quedando; yo creo lo hará por el alto Aragón. cía asi: 200 piedras de chispas para fusil. N o pued…</t>
  </si>
  <si>
    <t>Murgadas, Ignacio</t>
  </si>
  <si>
    <t>Ignacio Murgadas</t>
  </si>
  <si>
    <t>…ara todos igual­ bién desterrado. Niím. 69. D. Ramón Vila y Figueras, profesor de prime­ mente; quiero que nadie mas que la ley califique los delitos, y Se declara el punto suficientemente discutido, y puesto á ra educación; D. Ignacio Murgadas, negociante; D. Pedro únicamente por esto rae opongo á toda ley arbitraria donde votación el dictámen, es aprobado. Pujadas, fabricante de sombreros; D. Ramón M illa, maestro los actos no se califiquen por un tribunal expreso. Pero se dice, El Sr. PRESID EN TE: Se suspende esta dis…</t>
  </si>
  <si>
    <t>Muriel</t>
  </si>
  <si>
    <t>…o y á su Rey. Resisten­ á consentir aquella 1 I _________________ | _____________ men toda lá clave de la historia contemporánea^ 26400000 ! 1520000 2955800 cia en estas circunstancias era imposible, y mas todavía igno­ El Sr. Muriel ha puesto á la instrucción varias notas rando el soberbio duque el grado de humillación que la ven­ ¡ Cinco por 100 suspendido.. . . 5 2 0 0 0 0 0 j 1Í50000 sumamente curiosas por contener sucesos no conocidos ganza del Papa le estaba preparando en secreto. Seis id e tn . ...................…</t>
  </si>
  <si>
    <t>Muriel, Manuel</t>
  </si>
  <si>
    <t>Manuel Muriel</t>
  </si>
  <si>
    <t>…teta; 1: suelto. 197. Los de la tercera compáñía del mismo, desde Tudeía 9 258. El presbítero D. Juan José Roldan, solicitando se íe tajas inmensas que pueden resultar a nuestra patria de que se con igual pretensión. - 19o. D. Manuel Muriel , sobre reintegro de varias suma; s;4 ^declare cumplido en la condena de presidio á que fue senteu- adopte generalmente en ella. Véndese á 3 rs. vn. cada ejemplar en las librerías de Jordán y ci^e aesembo¡só para la.compra de granos y otros efectos desti- ciado en 1826. Sojo, calle d…</t>
  </si>
  <si>
    <t>Murillo, Bravo</t>
  </si>
  <si>
    <t>Bravo Murillo</t>
  </si>
  <si>
    <t>…er levantar al Gobierno á que hable, ma­ sos males. vacila el Gobierno. El Gobierno no vacila, tie­ nes personales á los Sres. Iznard i, Viadera y. Argüelles. Pasa después á hacerse cargo de varias observaciones del se­ El Sr. Bravo Murillo reclama la palabra, mediante á ha­ vía ne formada su proposición de lugar, y marcha á ella; y toda­ ñor Montes de Oca , y concluye diciendo que debe aprobarse el berte pedido en te discusión promovida sobre la interpelación marcha. no sé yo qué fuerza será la que le obligue á variar s…</t>
  </si>
  <si>
    <t>Muro</t>
  </si>
  <si>
    <t>…1 PRESIDENCIA DEL SEÑOR IST U R IZ . puestos era uno D. Pascual Fernandez Baeza , ministro de la ley particular. audiencia d e V a l L d o l i d , á cuya plaza habia sido trasladado (Se leyó dicho artículo por el 8r. Secretario Muro.) Sesión del día 2 de Enero de 18 39. D. Ramón López V ázqu ez, dejando otra igual que obtenía en Señores, esta es la ley viva en la m a t e r i a : esta que fue uo la audiencia de Cáceres, cuya traslación se verificó á virtud tiempo ley constitucional, es hoy la que rige como ley p articu­…</t>
  </si>
  <si>
    <t>MURO</t>
  </si>
  <si>
    <t>…. siste en su primer dictámen y por ello opina que el Congreso Al hacer el Sr. duque de Gor su interpelación, ha manifes­ debe acordarlo asi. MADRID 5 DE ENERO. tado una porción de datos, y habiéndomelos mostrado S. S ., El Sr. M U R O : Ya se considere el art, 45 Je la Constitu­ puedo asegurar que el número de raciones que se están dando ción en su objeto ó en su espíritu , el Sr. Valladares no debe en el distrito de Castilla la Nueva es exactamente el mismo que quedar sujeto á reelección. Para mí seria indiferente que…</t>
  </si>
  <si>
    <t>…y T o le d o , manifiesta que para a d q u ir ir p a r t ic u la r , puesto que el articulo estaba terminante. se componen, íntegra y sin ninguna reducción. datos acerca de los autores que cometían varios robos en las cer­ El Sr. M U R O contestó que en la anterior legislatura h ab ia Art. 2.° En las provincias en que no se hubiesen he­ canías de C o n s u e g r a , practicó algu n a s d ilig e n c ia s , siendo su d irig id o ig u a l solicitud el Sr. Ramírez de A r e l l a n o , la cual cho asi ios repartimientos, las dip…</t>
  </si>
  <si>
    <t>…acciosos. Ensayo poético en octavas pot de la Rosa. pais en Europa mas fecundo én escenas lam entables, y en dis­ un oficial del ejército del Norte. Se vende en la librería de la Se leyeron dichos decretos por el Sr. Secretario Muro. cordias y perturbaciones políticas que el nuestro, este pais, d i­ viuda de R azóla, á 2 rs. El Sr. PRESIDENTE: Se suspende por un momento esta go , ¿n o tendrá entre sus cuerpos legales alguna disposición discusión. El Sr. M inistro de M arina tiene la palabra. análoga para contener esos di…</t>
  </si>
  <si>
    <t>…s declaración indagato­ La comisión encargada de examinar las proposiciones pre­ Sr. Ramírez de Arellano en 16 de Abril , corno he dicho ; vino ria. La comisión no quiere saber cuál sean los méritos para ello, sentadas por el Sr. Muro , relativas á las reformas que S. S, juz­ la nueva solicitud, pidiendo se le admitiese á jurar y tomar i pero está persuadida de que se ha recibido esa declaración. Sabe ga convenientes hacer en varios artículos del reglamento , ha asiento; y la comisión, a la que tuve el honor de pertenecer, q…</t>
  </si>
  <si>
    <t>…; la comisión cree que Dasiara esie auueiuu ucivj en que pudieran dedicarse á él y solamente á él, posponiéndo­ Idem sin ínteres, 4 | á 60 d. f. ó vol.: 4 | id. á prima de } greso para obviar los inconvenientes notados por el Sr. Muro. lo todo, olvidándolo todo, menos la reparación de los daños por 100 nuevas. 4-° Ultimamente para evitar los que puedan seguirse de ha­ causados á tercero. Como el conducto ordinario por donde la Acciones del banco español de S. F ernando, 00* blar los tres Sres. Diputados en las interpelacion…</t>
  </si>
  <si>
    <t>Muro, Angel Ramón</t>
  </si>
  <si>
    <t>Angel Ramón Muro</t>
  </si>
  <si>
    <t>…té fiel á su Rey , él solo es bastante también de ascenso, en la provincia de Badajoz; y para el de do en amigos á los que durante sangrienta lucha fueran ene­ para concluir con todos los de la Reina. ¡ Baladrón í !! Zafra á D. Angel Ramón Muro , juez de Segorbe, cuyas dos migos, admiran esa paz, don del cielo, afianzada con la expul­ {EL Desengaño.) últimas traslaciones han sido solicitadas por los respectivos in­ sión del Príucioe que os© disputar sus derechos á la corona á teresados: para la judicatura de Segorbe, de…</t>
  </si>
  <si>
    <t>Muro, Secretario</t>
  </si>
  <si>
    <t>Secretario Muro</t>
  </si>
  <si>
    <t>…ontra los facciosos. Ensayo poético en octavas pot de la Rosa. pais en Europa mas fecundo én escenas lam entables, y en dis­ un oficial del ejército del Norte. Se vende en la librería de la Se leyeron dichos decretos por el Sr. Secretario Muro. cordias y perturbaciones políticas que el nuestro, este pais, d i­ viuda de R azóla, á 2 rs. El Sr. PRESIDENTE: Se suspende por un momento esta go , ¿n o tendrá entre sus cuerpos legales alguna disposición discusión. El Sr. M inistro de M arina tiene la palabra. análoga para conte…</t>
  </si>
  <si>
    <t>MUSICA, Evaristo San Miguel.</t>
  </si>
  <si>
    <t>Evaristo San Miguel. MUSICA</t>
  </si>
  <si>
    <t>…al tercero, y 35 al cuarto. nez A guilar: Cádiz, en la de Hortal y compañía: Sevilla, en PERIODICO M EN SU A L casa de D. José Romualdo O rtiz, abogado. Nota.rzLa publicación del octavo cuaderno se ha retardado redactado por D. Evaristo San Miguel. MUSICA. por enfermedad del autor. Número 12. Escalas y saltos para el solfeo, preparación al canto y arie­ CORRESPONDIENTE AL MES DE MARZO DE 1839. servatorio tas por el célebre Asioli, adoptado para la enseñanza del con­ LA INJUSTICIA. de música, dividido en dos partes, cada…</t>
  </si>
  <si>
    <t>Mustafá-Ben-Tsmael</t>
  </si>
  <si>
    <t>…teniendo presente para esto último estereotipada de Didot. que han tenido del R ey , se puede casi con seguridad afirmar co horas de un fuego vivísimo de artillería y fusilería se ap o­ que les sucederá lo mismo que al general Mustafá-Ben-Tsmael, deraron nuestros valientes soldados de las obras y posiciones de quien decia á los árabes que le rodeaban á su vuelta á Africa: A rroniz, centro de la Solana. La cabellería enemiga fue acu­ "D e todo cuanto he visto en mi viaje á Francia , lo que mas chillada por la nuestra, to…</t>
  </si>
  <si>
    <t>Muyalde, Rafael</t>
  </si>
  <si>
    <t>Rafael Muyalde</t>
  </si>
  <si>
    <t>Nº. 1757. MIERCOLES 4 DE SETIEMBRE DE 1839. d ie z c u a r t o s . PARTE OFICIAL. Que en otro choque que tuvo el 20 el comandante de la se­ se hallaba en el carruaje la duquesa cuando ocurrió este acon­ gunda columna D. Rafael Muyalde quedaron muertos en el tecimiento. campo los rebeldes Isidro Aguila, alias Chicharra , y Juan Ro­ bledo , alias Piernas. Que el subteniente D. Máximo García , del batallón de M i­ El Rey y la familia Real, asi como la com itiva, han ido S . M. la R e i n a , s u augusta M adre la…</t>
  </si>
  <si>
    <t>Muía, Fancisco Márquez</t>
  </si>
  <si>
    <t>Fancisco Márquez Muía</t>
  </si>
  <si>
    <t>…............. 2 5 5 .. 1 58 5 1 1 .. 1 Otra id ., barranco Jaroso, término de Cuevas, la Estrella, P enuelas. ......................................... .................. ................ 112.. 0 .. 17 20 1 3 2 .. 0 .. 17 por D. Fancisco Márquez Muía , en 29. Otra id ., barranco Jaroso, término de Cuevas, la Corona, Totales................. .............................. 7 7 ,9 4 7 ..0 .. 2 2,522 _ “ 8 0 ,4 6 9 ..0 .. 2~ por D. Enrique Alarcon , en 31. D em arcaciones. RESUMEN. Una mina plomiza, calar de G üejar, términ…</t>
  </si>
  <si>
    <t>MUÑOZ</t>
  </si>
  <si>
    <t>…en que este Sr. D ip u ­ D¿uda activa española 16| . obligación; pero sí se considera en este artículo conrfo un re­ tado no debe quedar sujeto á reelección. quisito indispensable el que la oiga; y lejos de perjudicar la El Sr. MUÑOZ M A L D O N A D O : Con el mayor senti­ Portugueses, 5 por 100 , 51 |: 3 por 100 20 £. acciou libre del Gobierno en materia tan importante, le forti­ miento tomo la palabra en contra dél dictámen de la coinisiou; Belgas 99 b</t>
  </si>
  <si>
    <t>Muñoz</t>
  </si>
  <si>
    <t>…satisfactorias. La de este año creyó de su deber dar ducir al éxito del negocio, y que solo lo ha propuesto la comi­ ejecución d e esta su Real disposición. Dios guard e á V. S. el dictamen sobre una proposición hecha por el Sr. Muñoz sión por si algún dia llegase á suceder que dos proposiciones, , m uchos años. M adrid 5 de E nero de 1839. = H o m p a n e r a Maldon&amp;do, en la cual se segregaba de las clases pasivas á los una suscrita bajo el nombre de una casa española y otra bajo el, d e C o s.= S r. ge fe político de....…</t>
  </si>
  <si>
    <t>Muñoz, Antonio Luzan y D. Aniceto María</t>
  </si>
  <si>
    <t>Antonio Luzan y D. Aniceto María Muñoz</t>
  </si>
  <si>
    <t>…ña.—Un oficial con­ cia ha sido recibida con aplauso por estos habitantes, que se á esta división hasta incorporarse al cuartel general), asi como tuso. prometen opimos frutos del desprendimiento del Gobierno de los auxiliares D. Antonio Luzan y D. Aniceto María Muñoz, Totales.zzUn gefe herido: un oficial muerto, 11 idem he­ S. M . ; y no aventuraré un juicio equivocado si añado que ha­ el primero del cuerpo y estos agregados, supieron conservar el ridos, tres idem contusos: 18 individuos de tropa muertos, brá capitalistas q…</t>
  </si>
  <si>
    <t>Muñoz, Guadalcjara. Salamanca. Almería. Sr. D. José</t>
  </si>
  <si>
    <t>Guadalcjara. Salamanca. Almería. Sr. D. José Muñoz</t>
  </si>
  <si>
    <t>…lagarcía. Sr. D . Manuel Franco, electo. Sr. D. Manuel de Seijas Lozano. Sr. D. Pedro María Fernandez Villaverde. Sr. D. José Guillen y Gras. Sr. D. Juan José Fonseca. Sr. D. Ramón López Vázquez. Sr. D. Vicente Santón ja. Sr. Guadalcjara. Salamanca. Almería. Sr. D. José Muñoz Maldonado. Sr. D. Joaquin de Vilches. Sr. D. Santos López Pelegrin. Sr. D. Manuel José Perez. Sr. D. José Salamanca. Sr. D. Manuel Hidalgo Calvo. Sr. duque de Gor, Vicepresidente 2.° Sr. conde de las Navas. Sr. D. Miguel Chacón y D uran. Guipúz…</t>
  </si>
  <si>
    <t>Muñoz, Juan</t>
  </si>
  <si>
    <t>Juan Muñoz</t>
  </si>
  <si>
    <t>…° REM ATES. Manuel y Car meo , por Andrés Diaz, en 28 id ., id. Otra i d . , hoya de M arto s, término de L á u ja r , la Patricia, Otra id ., sierra A lham illa, cuesta de las Tejas, término T ribunal d e C om ercio . por D. Juan Muñoz, en 4* Otra de azufre, barranco del Merchalillo, termino Benadux, de Viator, Virgen de los Dolores, por Luis T ru jillo , en 5 de Enero de 859. Para el remate de la hacienda cuya subasta se anunció en la Ignorancia , por Pedro Moreno, en 7. Otra plomiza, sierra L u ja r, barranco de L…</t>
  </si>
  <si>
    <t>Muñoz, Juan Francisco</t>
  </si>
  <si>
    <t>Juan Francisco Muñoz</t>
  </si>
  <si>
    <t>…epto algunos de mucha gravedad que quedaron en On­ pital D. Francisco Amorós y López, que conoce de la tes­ demasía el cuadro de abyección y abatimiento á que se halla da por ser peligroso su trasporte. tamentaría del difunto D. Juan Francisco Muñoz L u ja n , ofi­ reducida en este imperio la hermosa mitad del genero humano, Los enemigos se han dividido y están colocados hoy de este cial jubilado de la secretaría de Gracia y Ju s tic ia , se cita y Débese á la justa penetración de V. A. la inapreciable gracia de modo: Cab…</t>
  </si>
  <si>
    <t>Muñoz, Manuel</t>
  </si>
  <si>
    <t>Manuel Muñoz</t>
  </si>
  <si>
    <t>…r notas certificadas en la forma que se han extendido en ios años anteriores D. José Asimismo se cita, llama y emplaza á D. Antonio Leizaval, á la im prenta Nacional, donde deberán hallarse precisa­ Gorocochea Fernandez Acuña, D. Manuel Muñoz, D. Juan Bautista Tj^N virtud de providencia del Sr. juez de primera instancia D. Benito Serrauo y Aliaga , se saca nuevamente á p ú ­ mente para el l.° de Diciembre próxim o, pues ai paso que D. Antonio , del D. Juan Laraña, D. Andrés Mendez y Pareja, R io, D. Ignacio de la Riva, D.…</t>
  </si>
  <si>
    <t>MUÑOZMALDONAD</t>
  </si>
  <si>
    <t>…ndizabal ha quedado satis­ dice que á los M inistros se les conceda siempre que la pidan. adornada y revestida con toda la fuerza que debe te n e r , con el fecho del uso de aquel voto de confianza tan conocido. N o se lo El Sr. M U Ñ O Z M A L D O N A D O : Pido la palabra. asenso de todos. Yo digo que esta ley no es mas que la produc­ d ificu lto , pero yo he sido menos audaz ; podría no haber sido El Sr. P R E S I D E N T E : N o h ay halabra. ción de u n sentimiento común á todos los españoles aqui y tan a f o r tu n…</t>
  </si>
  <si>
    <t>…yes el modo como el capitán general ha de apartarse ó seguir puesto en combustión á todo el Congreso. vo. La Real orden por la cual S. M. se ha servido conceder su dictamen. Por consiguiente que los jueces tienen que obrar El Sr. M U Ñ O Z M A L D O N A D O , viendo la tormenta que esa gracia al Sr. Lasagra no ha salido de M adrid, y no h a - según la ley, y su fallo es resolutivo, y los auditores no pasa su se habia levantado por los que habían sido M inistros, dijo que biéudolo sabido este señor, no ha podido renunciar. De…</t>
  </si>
  <si>
    <t>…que se pueda d a r u n voto de censura á un G o ­ jos diarios. Se leyó el p á rra f o 1.° bierno que ha tenido ta u ta p arte en que se h a y a concluido la A ñ a d ió que hasta ahora no se h a b ia reun ido la comisión El Sr. M U Ñ O Z M A L D O N A D O : S eñ o res, al lev a n ta rm e g u e rra , porque en este momento el p rin c ip al objeto era a c ab ar m i s t a ; pero que no habia inconveniente en que se re u n ies e, pues p a ra im p u g n a r el p rim e r párrafo del proyecto del discurso de con la fa cc ió n :…</t>
  </si>
  <si>
    <t>Málaga, Livings-</t>
  </si>
  <si>
    <t>Livings- Málaga</t>
  </si>
  <si>
    <t>…istado el CAMBIOS. - * como tai Londres, á 90 dias, 58f papel. Coruña, l f á 2 di PRIMER DATO. Cabo San Vicente; pero suponia hallarse veinte y ocho ¿ Paris, 16-6 d. Granada, d. treinta millas al SSO 5o O del mismo. El Capitán Livings- Málaga, £ a; i d. f La carta numero 21 del Atlas y Derrotero publicado ton dio la noticia del fracaso agregando haberla recibido Santander, par din. • en Amsterdam el año 1715 por Nicolás Janz y Juan Van- en Malaga por Setiembre de 1822 del Capitán Tankersly Alicante, 1 á £ d. Santiago, l…</t>
  </si>
  <si>
    <t>Márquez</t>
  </si>
  <si>
    <t>….—Benito Trejo.ziAlonso Calles.— mente tenia, habiéndose disuelto la confederación. inedia. Se calcula que de 259 cabezas de ganado que poseían Francisco Calzada.“ Santiago Herrera. En la Nueva Granada el presidente es el general Márquez; los colonos y los indígenas, han sido robadas mas de 209. en Venezuela el general Paez; en el Ecuador el general Flores; En el Brasil D. Pedro n Emperador, durante cuya minoría el Señora: Los que suscriben, vecinos de la capital de Orense, imperio está administrado por un regente. En Bue…</t>
  </si>
  <si>
    <t>Mélida, Nicolás</t>
  </si>
  <si>
    <t>Nicolás Mélida</t>
  </si>
  <si>
    <t>…y responde: la canoa está en lizado con las formalidades que la misma previene, tocó á los Santo Domingo el cúter está anclado en la lín ea el seno de esta navegación en m in iatu ra es donde Isabey En sugetos siguientes: D. Nicolás Mélida, D. Martin López Sala- DE LOS TEATROS zar, D. Eduardo Arenas, D. Cayetano de Dilio y Rubio, Don forma esos preciosos dibu jos, esos a preciables cu ad riles con Rauion Guerra, D. Román Matute , D Bernardina Eraña , Don MODERNO ESPAÑOL Y EXTRANGERO. que se enriquecen todas las colec…</t>
  </si>
  <si>
    <t>Mínis</t>
  </si>
  <si>
    <t>…las comandancias de carabineros. (Id.) &gt;í Idem sin iiíterés, 5^ lal: contddo: 5 un treintaidosávos y 5|- L a ig lesia de A to c h a con su in tá g e n y banderas.*’^ 4 : &gt; Real decreto concediendo la gracia de media firma al Sr. Mínis^ f. d-vól.r: 5 | v ^ , f y 5 f id. á prima de i , |\ y. | por E l coro de c a p u c h in o s de R o to a cón toda su ié ó ln ú ú id á d . * ? tro de la Gobernación de la Península. (Id.) 100: 4i* y 4 f * d vdl. á pritúá d é f , nueve tréihtaidós- E s tá a b ie rto todos los d ia s d esdé la s…</t>
  </si>
  <si>
    <t>Módena</t>
  </si>
  <si>
    <t>…on á la guardia im­ denominará de Presupuestos. (Núm. 1855.) ue se negociaba el matrimonio de la condesa de Rosni, hija perial. Después de varios brindis á la memoria de Napoleón y 3 e la duquesa , con el hijo mayor del duque de Módena, que de los mas brillantes hechos de armas del ejército francés, que nombrando en propiedad Secretario de Estado y del Des­ pacho de M arina, Comercio y Gobernado» de Ultramar á viaja actualmente por Alemania. (Id.) fueron aplaudidos con eutusiasmo , se disolvió la reunión. D. Manuel Montes…</t>
  </si>
  <si>
    <t>Mórga, Felices Perea</t>
  </si>
  <si>
    <t>Felices Perea Mórga</t>
  </si>
  <si>
    <t>…de la gavilla del cura Y erre: el momo dia una partida del provincial de Laredo lo hizo de La presente obra es una continuación de la que en el año de otros dos en Retuerta , y fusiló á uno e.¿ Redilla del Campó. 1827 publicó D. Felices Perea Mórga bajo él titulo de C o lec­</t>
  </si>
  <si>
    <t>Móvillou, Antonio</t>
  </si>
  <si>
    <t>Antonio Móvillou</t>
  </si>
  <si>
    <t>…acén t i p o g p d f i ^ ^ c q l l e ' d e I q f lJfiPsas , núm. 10. S e ‘avisa; á los impresores qué al £ur;t,idétjdé stejto- El dia 12 deben subastarse de nuevo los teatros de la Cruz Asimismo se c it a , llama y emplaza á D. Antonio Móvillou das clases y gustos;, ¿ « { n a * - .- t i y -.*&amp;?«&lt;&gt;*,,!*uÚ-*(MBÍfe y del Príncipe de esta corte en las casas consistoriales de doce ó sea Mevoilhou , para que eri eltérroino de nueve dias se pre­ prensas , cajas , g aleras,.tabla,s ,t cuñas , tornii¡§sa iJ)Srfl£t9!I'#Ilt34 á una d…</t>
  </si>
  <si>
    <t>N, Francisco</t>
  </si>
  <si>
    <t>Francisco N</t>
  </si>
  <si>
    <t>…ntes­ c ia s, y sobre todo los desgraciados que están á 500 leguas de En el ano de 50 ó principios de 51 hizo tam bién proposi­ la casa y fam ilia. tado á esta d ijo : «A q u i concluiría mi contestación al Sr. Casa- ciones D. Francisco N. para el camino de Granada á M otril: Iru jo ; pero habiéndose extendido á otros particulares, para lo El G AM RRO JVERO : Señores, voy á sacar esta cues- proposición ventajosa, y al mismo tiempo se presentó, otra para cual no vengo preparado , mal podré hablar sobre ellos.” ÍÍ9P , $…</t>
  </si>
  <si>
    <t>Nacio</t>
  </si>
  <si>
    <t>…nión general en Alepo era que lbrahim se confor­ El capitán general de Galicia en su parte de novedades, fe­ maría , en la apariencia al menos, con las órdenes que le han cha 29! del anterior, dice que el 22 avistó el capitán de Nacio­ de que El vi rey declara al cónsul general que sé obliga, en el caso trasmitido por Mehemet-Alí de no comenzar las hostilidad-es, nales movilizados del Brollon D. Roberto Robles u tí a facción cerca de las tropas del Sultán que han atravesado el Eufrates pero que nada descuidará p3ra provoca…</t>
  </si>
  <si>
    <t>…rreglo á la letra Campo de Criptaua y cuatro sugetos que llevaban presos los j ñanzas en este dia, y su local á disposición de aquel piadoso y al espíritu de sus estatutos. rebeldes, entre edlos á D. Manuel Pinedo , teniente de Nacio­ establecimiento. nales y secretario dei ay untam iento, á quien habían ya in ti­ Al mismo tiempo se previene al público que el lunes 20 no mado la suerte de ser pasado por las armas. habrá cátedra de derecho público con motivo de la festividad El de la quinta y sexta (comandante Amieva) en…</t>
  </si>
  <si>
    <t>NACIONAL, ISCIPL INA DE LA MILICIA</t>
  </si>
  <si>
    <t>ISCIPL INA DE LA MILICIA NACIONAL</t>
  </si>
  <si>
    <t>…al: que el Congreso conoce bien CONTINUA EL PROYECTO DE LEY P A R A LA ORG ANIZ ACION, SE R ­ cito del N orte, y mas grande todavía la esperanza de que ellos de toda su extensión, y que conviene fijar de un modo legal, VICIO Y D ISCIPL INA DE LA MILICIA NACIONAL D E L REINO. pongan fio brevemente á la guerra civil que ha devastado los con el que se pondrá término á la reclamación de este interesa­ pueblos, y que hasido el oprobio dH siglo en que vivimos. do , como á las de otros muchos que por diferentes motivos, CAPITULO…</t>
  </si>
  <si>
    <t>Nacionales</t>
  </si>
  <si>
    <t>…g u arn ició n , com­ puesta de un capitán , tres tenientes, un subteniente y 76 in ­ brador y procurador síndico de Potes. — Francisco de La Ma-&gt; J rid .—José Perodia , labrador y Nacional. ^ L a a c de Linares, teniente de Nacionales. —Juau D om ínguez, sombrerero y N a - dividuos de tro p a, apoderándose ademas de 100 fusiles y 12® cional.^Valentin Cortina.^Leonardo L am as, propietario. S. M. la R e in a , su augusta Madre la R e in a G o bernacartuchos; habiendo tenido por nuestra parte cinco muertos y 11­ herid…</t>
  </si>
  <si>
    <t>NACIONALES, DE LO TE RIAS</t>
  </si>
  <si>
    <t>DE LO TE RIAS NACIONALES</t>
  </si>
  <si>
    <t>…la posible perfección por mues- En el mismo punto de Zornoza subsiste la artillería gruesa. ros primeros artistas, y otros desempeñados por los mejores le Paris. La estampa que se ha dado en el primer mes, ha DIRECCION GENERAL DE LO TE RIAS NACIONALES. S an tand er 7 d e M ayo. Las operaciones de nuestro ejército ido el retrato del actor D. José García L u n a , según sale en el sobre Ramales no tuvieron efecto tampoco el dia 5 del corrien­ Iraraa El A rte d e co n sp ira r. La que se dará en este, será el N oticia d e…</t>
  </si>
  <si>
    <t>NACIONALES, DE LO TERIAS</t>
  </si>
  <si>
    <t>DE LO TERIAS NACIONALES</t>
  </si>
  <si>
    <t>DIRECCION GENERAL DE LO TERIAS NACIONALES. interventor Antonio Garbo. —Sr. intendente de la provincia de tas de pago..................................................... o Huesca.*’ El resultado definitivo de las comunicaciones insertas y Noticia de los pueblos y adm inistraciones donde han Cabido Id. al cuerpo…</t>
  </si>
  <si>
    <t>…recurso los profesores españoles, participe de sus beneficios la humanidad tienda; empezando desde el martes próximo 16 del corriente de doliente. nueve á doce de la mañana. Lo que se anuncia al público. Da­ DIRECCION GENERAL DE LO TERIAS NACIONALES. do en Madrid á 12 de Abril de l839.=:Manuel Fernandez de Este medicamento se vende en cajas selladas y con la firma del autor, conteniendo ademas el método de usarlas, y para Noticia d e los pueblos y adm inistraciones donde han cabido Pazos. vitar la falsificación llevan…</t>
  </si>
  <si>
    <t>…ro del preciso 1 50 477.* 1 5 0 .. . Id. é iroprorogable término dé nueve dias que por tercero y últim o 1 5 1 0 8 1 .. 150 . . . . . . Id . se le conceden, contados desde el en que se publique e&gt;te a n u n ­ DIRECCION GENERAL DE LO TERIAS NACIONALES. 154506.* 1 5 0 . . . . . . . id. c i o , se presente á desempeñar úna corta porción de ropas oue 155544* * 1 5 0 . . . . . . . Id. en el mes de Octubre del año pasado de 1857 dejó en poder de N oticia d e lo s p u eb los y a d m in istra cion es d o n d e han ca b id o 1 5…</t>
  </si>
  <si>
    <t>NACIONALES, DE LOTERIAS</t>
  </si>
  <si>
    <t>DE LOTERIAS NACIONALES</t>
  </si>
  <si>
    <t>…y pasteles para celebrar la fies­ Un tomo, en 12;° de letra gruesa se hallará á 6 rs. en pas­ ta. Esta, que no tierre ninguna Y elación con la manera de ta en la librería de Cuesta, frente á S. Felipe el Real. DIRECCION GENERAL DE LOTERIAS NACIONALES. santificar el nacimiento de Jesucristo entre nosotros, debe dejar* una profunda impresión en el ánimo de un extran- Novena á honor del glorioso patriarca S. José. Se haliará Noticia de los pueblos y administraciones donde han cabido gerc^{ Admira t^rdaderamenté la armonía qu…</t>
  </si>
  <si>
    <t>…drugada de este dia en los pueblos de que desde Hamburgo pasasen ¿ Lubeck, procedentes del ] \ ancla res de la Oca y V illodus , con expresión d e las m ar del Norte, la cantidad de diez chelines de banco hatn- DIRECCIONY GENERAL DE LOTERIAS NACIONALES. com pañías y cuerpos á que perten ecen . bnrguesps por quintal de pe-&gt;o, mientras que á las que pa­ C ircu la r . D. Andrés Ordoñana, capitán de la primera compañía del sasen de Lubeck á Hamburgo, procedentes del Báltico, so­ batallón 6.° de Alava. lo se les cargaba la m itad…</t>
  </si>
  <si>
    <t>…por cuya razón juzga que debe ser m ente con relación á la filosofía, protestando contra otra objeto especial de la sección de ciencias antropológicas lle­ cualquier interpretación que se quiera d ar á nuestras DIRECCION GENERAL DE LOTERIAS NACIONALES. n ar el inm enso vacío que se encuentra en nuestros estu­ ideas. dios filosóficos, para ponernos de algún modo al nivel de Añade á todo esto varias observaciones sobre los peli­ Noticia de los pueblos y administraciones donde han cabido los adelantos m odernos hechos en los d…</t>
  </si>
  <si>
    <t>…entos en que nos apoya­ Casi no habia en Grecia vida doméstica que tanto con tri- mos para creerlas reglas de mera convención. Mas no hay duda bpye á jm p rim ir caraetéres individuales á las pasiones y á las DIRECCION GENERAL DE LOTERIAS NACIONALES. que pertenecen á la verosimilitud material; y por tanto son de c^p.stulabres» Los ciudadanos vivían en , el foro: las ideas y sen­ tanto valor én la dramática por lo menos com o la propiedad de tim ientos, y hasta los sucesos' y los afectos eran comunes. Noticia de los pu…</t>
  </si>
  <si>
    <t>…ercibido que de no hacerlo le parará entero perjuicio por suscripción y por cuadernos con las siguientes condiciones. la sustanciacion del sumario. 1 Esta obra constará de dos tomos en 4-°» de unas 4 OO pági-* DIRECCION GENERAL DE LOTERIAS NACIONALES. ñas el primero y 300 el segundo poco masó menos. Noticia dé los pueblos y administraciones donde han cabido Se dará á los Sres. suscriptores de Barcelona en nueve en­ los 14 premios mayores de los 500 que comprende el sor­ Tribunal de comercio. tregas á razón de 5 rs. cada…</t>
  </si>
  <si>
    <t>NACIONALES, DE LOTERÍAS</t>
  </si>
  <si>
    <t>DE LOTERÍAS NACIONALES</t>
  </si>
  <si>
    <t>…de Ñipóles. SEGUNDA SERIE. TOMO I._N U M . Í.° La relación y semejanza notadas entre el Evangelio, ’ de Junio de 1859. Contiene los artículos siguientes: según San Lucas, y las Actas de los Apóstoles, han dado DIRECCION GENERAL DE LOTERÍAS NACIONALES. A nuestros suscriptores.=Por D. Gervasio Gironella y Don origen á creer unánimemente que estas dos obras están es­ P. J. Pida). J critas por una misma mano; á lo menos asi lo piensa la Noticia de los pueblos y administraciones donde han cabido Biografía contemporánea.=Laífite…</t>
  </si>
  <si>
    <t>Nacionales.rrFrancisco</t>
  </si>
  <si>
    <t>…u e z , procurad or síndico.rrJose C i im e n , cura ecónomo.— M a ­ S e ñ o r a , re p ito ; pues creen que directamente han contribuido ~ p a z , cimentada en tan sanos principios, no puede me­ nuel M a r t i n , comandante de Nacionales.rrFrancisco C a m a ­ a e l l o , y lo acreditan sus cuerpos. Lo celebran con un j ú b i l o nos de producir todo genero de p ro sp erid ades, favoreciendo ch o , secretario. ve rd a d e ro y p u ro ; bendicen á V . M . , persuadidos, como lo la a g ric u ltu ra , animando las artes y fo…</t>
  </si>
  <si>
    <t>Nada, Broglie.</t>
  </si>
  <si>
    <t>Broglie. Nada</t>
  </si>
  <si>
    <t>…Habiendo el mariscal Soult renunciado á formar u n Gabi­ ponde mezclarnos indiscretamente en las negociaciones. Pero de ,wque habia dado ja existencia á un nuevo mundo para res­ n ete, fue llamado ayer . por el R ey el duque de Broglie. Nada « a em bargo, es de desear que la Francia se penetre bien de tablecer la balanza en el an tiguo ” , serán perdidas para la In­ de positivo se ha traslucido sobre la conversación que el d u -</t>
  </si>
  <si>
    <t>Nada, José</t>
  </si>
  <si>
    <t>José Nada</t>
  </si>
  <si>
    <t>…r » derecho á los bienes que á su fallecimiento dejó Doña tm lo sucesivo para la p rosperid ad de la m onarquía. existían motivos fundados para la abolición de aquel ins María Martin de Jorge, natural de esta corte, hija de D. José Nada manifiesta mejor q ue esta instrucción ios senti­ titu to ; sino p o rq u e desde e x tin g u ir una o rd e n religiosa y de Doña Margarita Antonia Fraile, para que en el término m ientos patrióticos de aq u e l buen Rey. «La circunstancia hasta la c ru e ldad de c o n d u c ir a to d o…</t>
  </si>
  <si>
    <t>Nada, Toreno.</t>
  </si>
  <si>
    <t>Toreno. Nada</t>
  </si>
  <si>
    <t>…l que el mundo no gozaba ; derramando la Otra de las calumnias inventadas en estos últimos dias ventura bajo el techo doméstico, centro de la felicidad conyu­ 8 i§ § S 2 -^ H g sg £ 2 g -i se funda en la venida del Sr. conde de Toreno. Nada sabe gal , y única tal vez que es dable gozar sobre la tierra. •s -s ? s » I ! ¡ s . I s I ! f s - s - ü el Gobierno de los proyectos que los periodistas atribuyen Pero entre tanto, las saludables máximas del Evangelio h a­ • • : ? i sí 8 • i «g ? : ? • i g ? g á este Señor, porque ha…</t>
  </si>
  <si>
    <t>Nada, Zorrilla.</t>
  </si>
  <si>
    <t>Zorrilla. Nada</t>
  </si>
  <si>
    <t>…mos nada del extrangero; pero somos francos, sentimos oir ponsabilidad á la diputación de Toledo. Opinaba la comisión de Agosto último entre el duque de la Victoria y el teniente las palabras arriba citadas proferidas por el Sr. Zorrilla. Nada que pasase esta instancia ál Gobierno. general D. Rafael Maroto. diremos de )a inconveniencia de arengar al público, ni de ex­ Observado por el Sr. Madoz que se debia decir en el dictá- Art. 2.° Se confirman los fueros de las provincias Vascon­ plicar en parte la intención del autor…</t>
  </si>
  <si>
    <t>Nadales, Victoriano</t>
  </si>
  <si>
    <t>Victoriano Nadales</t>
  </si>
  <si>
    <t>…rio, que Coruña................... 6 22395 58100 dralejo, de la misma clase, en la provincia de Badajoz , vacan­ deberá ser persona inteligente en la construcción y uso Ciudad-Real. . . . 9 ' 27476-22 62890 te por renuncia de D. Victoriano Nadales, á D. Pautaleon V i- de las máquinas; dos porteros, uno para el gabinete , bi­ Cáceres......... .. li 70692 80820 tin i, que sirvió la judicatura de Alcaráz. Canarias. .............. blioteca y secretaría , y otrq para las cátedras,,, que sean Guadalajara. 5 131475 459004 oper…</t>
  </si>
  <si>
    <t>Najel</t>
  </si>
  <si>
    <t>…vincia de tantes. Si el buitre no huele ni espía la presa desde lo mas Otra id., Cabrero pelado , id., Jesús, por Ginés Martínez, Oviedo. elevado del aire, donde esta haciendo la ru n d a, percibe a en 5. El mismo dia dicho Sr. Najel , á nombre de la expresada lo menos á las otras aves subalternas y mas cercanas a la Otra de carbón de piedra, barranco de Z u ja r, término de compañía, hizo renuncia ó devolución de cuatro pertenencias tie rra, cuando en los movimientos de su alegría van a go­ Z u ja r, Carbonera , por D.…</t>
  </si>
  <si>
    <t>Nalda</t>
  </si>
  <si>
    <t>…A las doce de anoche salió de esta TEATROS. plaza una columna compuesta del regim iento provincial de Lo ­ P R IN C IP E . H oy sábado se ejecutará el drama nuevo ea Lisboa 26 de Julio.. g roñ o , las compañías del comandante Nalda , la colum na del dos actos , traducido del francés , titu lado: coronel Zurbano y com o 2 0 0 caballos del regimiento de caba­ llería de B orbon , 5.° de linea ; todo á las ordenes del goberna­ L i censura moderada y justa es «correctiva saludable* EL ABUELO. dor de esta plaza D . Bernar…</t>
  </si>
  <si>
    <t>Nalda, Tomas</t>
  </si>
  <si>
    <t>Tomas Nalda</t>
  </si>
  <si>
    <t>…de la compañía de cazadores del pro­ vincial de Avila. Londres 27 de M arzo . I E van dro, el episodio de Eurialo y Niso serán leidos con entusiasmo y enternecim iento, mientras los afectos del El citado comandante general D. Tomas Nalda recomienda Fondos públicos . Bonos del tesoro 46. I am or, de la amistad y de la paternidad no sean nombres á todos los valientes de su columna, pues á pesar de que contaba Consolidados 9 2 1. ] vanos entre los mortales. La obra del poeta latino es mas 14 leguas andadas cuando cayó sob…</t>
  </si>
  <si>
    <t>Nancy</t>
  </si>
  <si>
    <t>…or para preparar la Madre de Dios, calle de Piepus, núm. 23. La ceremonia general de las tropas que operan en Aragón , con fecha 2 del los alojamientos de los Príncipes y de su comitiva. A las once será presidida por el obispo de Nancy. actual desde Plou me dice lo siguiente : y media el Gran Duque, el Príncipe de los Países Bajos y sus El coadjutor de Nancy, y no el obispo, es el que ha sido re­ Excmo. Sr.: Son las once de la noche , y acabo de regresar gentiles hombres de cámara recibieron en su alojamiento las cibido en…</t>
  </si>
  <si>
    <t>Nar, Francisco</t>
  </si>
  <si>
    <t>Francisco Nar</t>
  </si>
  <si>
    <t>…ps.) piedra filosofal, hé aqui el gran problema que acaba de resol­ po n da Está rub ricado de la L e al mano.—Dado en P ala­ verse. Un habitante de Ferrara ha descubierto el movimiento cio á 1.° de Noviembre de 1 8 3 9 .= A D. Francisco Nar­ continuo, cuyas investigaciones no habían tenido hasta ahora En una de las últimas reuniones del Consejo se ha tratado otro resultado que el de enviar á rnorir á Charenton á los que vaez. de la próxima promoción de Pares. Asciende, según se nos ha se habian dedicado á esta investig…</t>
  </si>
  <si>
    <t>…bediencia al Gobierno de S. M . , prestando dóciles los • (G.de Leipsik.) corresponda.s=Está ru bricado de la Real m ano.=sEn Pa­ subsidios necesarios, como lo hace esta capital» la cio á 26 d e N oviem bre de 1 8 3 9 .= A D. Francisco Nar­ vaez» Todo lo que tengo el honor de poner en conocimiento de V» E. para que elevándolo al superior de S. M ., se sirva Y . E. SU IZA . inclinar su Real ánimo á la aprobación de mis determinacio­ nes en este particular. Basilea 15 de Noviembre. PARTE RECIBIDO EN LA SECRETARIA DE E…</t>
  </si>
  <si>
    <t>Naranjo, Ramón</t>
  </si>
  <si>
    <t>Ramón Naranjo</t>
  </si>
  <si>
    <t>…d del haber que D. Juan José García Martínez, D. Eugenio Batanero, D. A n­ de 1828, determinando ai mismo tiempo el que haya de gocen por clasificación , y tendrán derecho al abono de la tonio Fuentetaja , D. Manuel Mosquera, D. Ramón Naranjo, satisfacerse á los cesantes y jubilados que esten encausa­ otra mitad si fuesen absueltos plenamente. D. Manuel Quintana, D. Santiago Alonso Cordero, D, Ro­ dos igualmente; y con presencia de lo que acerca del par­ 10. Los jubilados á quienes se forme causa continua­ mán López y D. M…</t>
  </si>
  <si>
    <t>Narciso</t>
  </si>
  <si>
    <t>…dar alli un establecimiento m ilitar, se apo­ nión que la de un simple espectador. N o ha habido el menor trucción. deró de él , y mandó construir el fuerte que aun existe. De es­ desorden. Este joven , que en vida de su padre D. Narciso R ubio, te ruodo el germen de la civilización francesa, que no hace dos Igual escena hubo el mismo dia en Bath. Las autoridades de la misma profesión , trabajaba á su lado en esta corte, daba siglos pisó las playas africanas, no se retiró de ellas sino para de esta ciudad , las de Bristol y…</t>
  </si>
  <si>
    <t>…Josefa Menendez, hijos y * Dios guarde á Y. E. muchos años. Sevilla 8 de Diciembre herederos de D. Salvador Menendez , se presenten en.la escri­ de 1858 =EI conde de Clonard.ziExcmo. Sr. general D. Ramón El mariscal de campo D. Narciso L ópez, en 29 del mes banía principal de rentas de Amortización á cargo de D. José María Narvaez. último desde Valencia , participa que, habiéndose presentado Balduque, sita en la calle del Lobo, núm. 8 , pisó segundó , á Eota comunicación se trasladó al comandante general de en los pueblos…</t>
  </si>
  <si>
    <t>…s de c ris ta l: cu­ el 31 de Octubre último llegó á O rgañá ei vocal de la junta reconocerlos, pero que no quiere entrar en relaciones oficiales biertos de oro por valor de 80 guineas (unos 8000 rs.) ; y 30 rebelde de Berga D. Narciso le rre r , y aquella misma noche cou ellos hasta después de que él haya sido reconocido en cali­ docenas de platos que valen 26 guineas cada uno. Por últim o, trasladaron al tigre á una casa de campo á media hora de Or­ dad de gobernador de todo el cantón. Nunca han sido mas dé­ el magnífic…</t>
  </si>
  <si>
    <t>Narciso, José</t>
  </si>
  <si>
    <t>José Narciso</t>
  </si>
  <si>
    <t>…peradoras; se erigen menor auxilio, y las hordas de Gabrera tan apuradas, que sin establecimientos caritativos, y se procura contrarestar la fatal haberse atrevido á disparar un tiro, han visto tomar posesión ciónLuego de que D. José Narciso Á p arici, encargado de la lega­ España en Roma, tuvo noticia de los felices aconteci­ tendencia al egoísmo, que observado en ciertas clases de la so­ sin dificultad de la corte de los obispos y frailes , M iram bel, por mientos que habia ciedad , parece ser el espíritu dominante del s…</t>
  </si>
  <si>
    <t>Narvaez</t>
  </si>
  <si>
    <t>…e Ja comisión. En los tres seré fiel Quintana , y los de Tomas Otero é Inés Fernandez Corni- pedido pasaporte por la capitanía general. breve. fle , hermana esta de la fundadora de que se hizo rnéiíto. Cas Una carta del general Narvaez d irigid a á su amigo y se­ Yo creia que la cuestión de ayer era cuestión agena de p ar­ purtes nombren á tercero día peritos por el omiso de oficio y cretario de campaña el comandante D. José Saavedra y Teno­ tidos y de personas , y que debía hacerse abstracción de todo tercero en discordi…</t>
  </si>
  <si>
    <t>…r de Barrameda 2 8 de Diciembre de 185 8.= colores, que ni eran ciertos, ni posibles en m í , contrajo un a de B arram eda me pareció el mas o p o rtu n o , tanto por hallarse Excmo. S r.= E l com andante secretario del general Narvaez.=José obligación para conmigo y p ú a el público : después se ha per­ de gobernador un b rigadier atento y circu nspecto , como por Saavedra y Tenorio.= Excmo. Sr. c a p itá n general de A n d a l u - suadido hasta la evidencia de su injusticia , y sin embargo ha h allarse fuera del camin…</t>
  </si>
  <si>
    <t>…s por fallecimiento de Doña M aría L a ­ mon María Narvaez.zzEs copia.— El comandante secretario del desde Igualada traslada un parte del comandante de armas de drón de Guevara , ocurrido según parece en el t año pasado general Narvaez, José Saavedra y Tenorio.z=Es copia de otra.— dicho punto, manifestando qne una compañía del batallón de de 1812, para que dentro del término de 30 dias, contados Clanard. Málaga y 30 individuos del batallón primero provisional fran­ desde la publicación de este anuncio en la G aceta, ac ud…</t>
  </si>
  <si>
    <t>…, aca­ se le han suministrado de los Ministros españoles. Según un&lt; fdeina Gobernadora , asi como los individuos de uno y otro ba de expedirse el R.e¿¿l decreto de 16 del corriente que precede periódico de esta mañana el general Narvaez no tendría otro cuerpo y de granaderos de la guardia y compañía volante del á esta instrucción , y en su artículo 6.° se prescribe que la re­ mérito que el de ser el secretario del duque de la V icto ria; el T u r i a , contenidos en la adjunta propuesta. novación de ayuntamientos se verif…</t>
  </si>
  <si>
    <t>…porque sabe m uy bien de lo que h a­ Por persona recien llegada de G ibraltar se nos asegura que U na id. id , niíoi. 1 5 8 ,8 9 1 , de 6 ,1 10 rs. y 20 mrs. bla ; y cuando condena la conducta del G obierno, cuando ve el general Narvaez marchó en el paquete que salió de aquella grandes riesgos para lo sucesivo, con un punto de vista m ili­ plaza para Londres en los primeros dias de este mes. tar , bien puede uno fiar en sus palabras. (Diario d e Sevilla.) Trabóse en seguida un debate en algún modo estratégico R E D AC CI…</t>
  </si>
  <si>
    <t>Narvaez, Francisco</t>
  </si>
  <si>
    <t>Francisco Narvaez</t>
  </si>
  <si>
    <t>…ueva al trictamente la traducción del texto, si bien con alguna ligera teniente general D. Antonio Q u iro ga, y nombrando en su omisión; y el de M ad rid , sin culpar aquel parecer, antes res­ reemplazo al mariscal de campo D. Francisco Narvaez. (Id.) LOTERIA P R IM IT IV A NACIONAL. petándole, se ha atrevido á anotar algunos pasajes, por rnaa . . relevando del cargo de iospector general de la Milicia na­ En la extracción celebrada en este dia han salido agraciados que esto se atribuya á demasiada confianza y se tache d…</t>
  </si>
  <si>
    <t>…hronicle 4,619 libras: el tado y del Despacho de la G uerra, que interinamente despa­ barcos de esta han naufragado solo en el puerto de Tarragona, Morning-Post 5,191 libras esterlinas (unos 2.215® rs.) cha el teniente general D. Francisco Narvaez (Id.) sin que, por fortuna, haya perecido persona alguna de ellos. disolviendo el Congreso de Diputados, y convocando I&amp; Carecemos aun de noticias respecto á los que se hallaban mas reunión de las nuevas Cortes para el 18 de Febrero de 1849 * allá y los que se hallaban en alta mar…</t>
  </si>
  <si>
    <t>…y la ri­ lord corregidor, cuya librea era azul Real m ano.= E n Palacio ¿ 19 de Noviembre de 1 8 39 .= A lo cual habrá de acreditarse debidamente, se abone á sus galoneada de oro. El lord corregidor ha invitado á los jueces D. Francisco Narvaez. ayuntamientos el haber ordinario de cada uno de los m en ­ de los diversos tribunales para que asistan al banquete que se cionados enfermos ó heridos según sus clases.” verificará esta noche en GuiJdhall. Según costumbre, los ladro­ De Real orden lo traslado á V. &amp; para su intel…</t>
  </si>
  <si>
    <t>…declarará los que deban conservar el to.=Está rubricado de la Real mano.=En Palacio á 16 de El navio Tritón , encargado de una misión particular, ha empleo ó perderlo, gozando solo del indulto de la pena Noviembre de 1839.=A D. Francisco Narvaez. llegado á Smirna el 25 por la mañana. i</t>
  </si>
  <si>
    <t>…er por el Harz. da.=E stá rubricado de la Real m a n o.= E n Palacio á 26 de sión del pago de contribuciones, ya para vindicar á la corpo­ El general Hacket ha partido á toda prisa para Osoabruck: N oviem bre de 1 8 3 9 .= A D. Francisco Narvaez. ración municipal de una imputación calumniosa , yá también se dice que en este principado una pretendida gran-conspira- para destruir el efecto que en la provincia hubiese podido pro­ cion , cuyo objeto era proteger hostilmente al pueblo, en caso ducir lo que en el Eco se afirma…</t>
  </si>
  <si>
    <t>…s; que le sos- oportuna; y vengo en resolver se encargue interinamente tenia porque solo era ministerio nacional, no ministerio de del referido ministerio de la Guerra el teniente general, capitán general de esta provincia, D. Francisco Narvaez.= CORTES. partidos, Después sino para todos los individuos de la nación. de sentar yo aqui que este es un ministerio ideal, un ministerio poético que S. S. se ha formado en la cabezo; Tendréislo entendido, y dispondréis lo necesario á su cum- CONGRESO DE DIPUTADOS. creo que no…</t>
  </si>
  <si>
    <t>Narvaez, José María</t>
  </si>
  <si>
    <t>José María Narvaez</t>
  </si>
  <si>
    <t>…erederos de D. Salvador Menendez , se presenten en.la escri­ de 1858 =EI conde de Clonard.ziExcmo. Sr. general D. Ramón El mariscal de campo D. Narciso L ópez, en 29 del mes banía principal de rentas de Amortización á cargo de D. José María Narvaez. último desde Valencia , participa que, habiéndose presentado Balduque, sita en la calle del Lobo, núm. 8 , pisó segundó , á Eota comunicación se trasladó al comandante general de en los pueblos del R.io-Blanco parte de la infantería y caballe­ prestar un reconocimiento de la fir…</t>
  </si>
  <si>
    <t>Narvaez, Ramón María</t>
  </si>
  <si>
    <t>Ramón María Narvaez</t>
  </si>
  <si>
    <t>…me han im­ neral N arvaez, en que le participa desde S. Lucar de B a rr a - cial de esta provincia, á fin de que se inserte en dichos peuó- pulsado á tomar la palabra; primero por haber dado mi apoyo meda la fuga del general D. Ramón María Narvaez. diros, con objeto de que llegue á noticia de los que puedan ser al dictamen de la minoría ; segundo para decir que las razo­ Igualmente se leyeron los documentos siguientes: i terciad os, especialmente los descendientes que puedan existir Un oficio del Sr. conde de C leonard,…</t>
  </si>
  <si>
    <t>…ría del 4-° ligero; la que, habiendo alcanzado á los rebeldes en Dirección de Hidrografía . N úm . 5.° Capitanía general de Andalucía.—Al Excmo. se­ número de 5 0 0 , fue el resultado causarles la pérdida de 12 á ñor general D. Ramón María Narvaez digo con esta fecha lo 14 hombres, habiéndoles cogido nueve fusiles y porción de De Real orden se ha comunicado á este establecimiento por siguiente: otros efectos. la Secretaría de Estado y del Despacho de M arina, Comercio y Excmo. Sr.: Acabo de recibir la comunicación de Y. E…</t>
  </si>
  <si>
    <t>Nassau</t>
  </si>
  <si>
    <t>…te de su jurisdicción y en poder de mas que el Emperador Nicolás ha elegido por yerno al jóvea consternación entre los cartistas en la montaña. Asi que se ha personas que no están autorizadas para tenerlos, dando sin em­ duque de Nassau. sabido que se esperaba artillería en las inmediaciones de la cár­ bargo la preferencia por sus consecuencias á los que se encueo- Mr. de Metternich parece restablecido-, pero solo recibe á cel, se han despachado dos hombres de esploradores para averi­ tren en los caseríos y en los densas pu…</t>
  </si>
  <si>
    <t>Nautet, Pedro</t>
  </si>
  <si>
    <t>Pedro Nautet</t>
  </si>
  <si>
    <t>…ctico y analítico para En M ad rid , á D. Juan de G uardam ioo, calle de Postas. que por ella se preparen los niños á saber leer en tres meses, la dél dom ingo, se entregerá con el billete dé cada localidad de En Sev illa, á D. Pedro Nautet. por el autor del misino método D. Manuel Benito Carrera. Se una sola persona otro que contendrá un número de opcion al vende en esta corte en la librería de la Sra. viuda de Razóla; sorteo, el cual conservarán los concurrentes al entregar el bille­ te de entrada. en V alladolid en l…</t>
  </si>
  <si>
    <t>Navarrai, Zaragoza. Córdoba.</t>
  </si>
  <si>
    <t>Zaragoza. Córdoba. Navarrai</t>
  </si>
  <si>
    <t>…go Moreno M uñoz, electo. Sr. D. Miguel Puche y Bautista. »D . Ezequiel Diez de Tejeda. Sr. D. Audres Carabantes. Sr. D. Diego María Chico, electo* Sr. D. Juan Gerónimo Cebados. Sr. D. Manuel Martinez Ayala. Zaragoza. »Duque de Zaragoza. Córdoba. Navarrai »j D. Juan Antonio Castejon. Sr. D. Diego Alvear. Sr. D. Fermin Arteta. »D . Miguel Laburda y G alindo, obispo electo Sr. D. José Soldevilla , electo. Sr. D. Agustín Arrnendariz, Vicepresidente 4»° de Puerto-Rico. Sr. D. Francisco Gamero Cívico y Benjumea. Sr. D. Gaspar…</t>
  </si>
  <si>
    <t>Navarrete, José</t>
  </si>
  <si>
    <t>José Navarrete</t>
  </si>
  <si>
    <t>…Sán­ se ha hecho una elección muy acertada, y en su dia debe apo­ Lóndres 4 de Junio. chez y 40 caballos del 4»° ligero, todos á las órdenes del capi­ yarla V. E. Al mismo tiempo que nosotros, emprendieron su tán de Santiago D. José Navarrete, tuvieron estas tropas la marcha las dos brigadas con 200 presidiarios, llegando á Fer- Continúa reinando igual languidez en la bolsa. Sin embrgo, suerte de encontrarse en él camino con los dos primeros batallo­ I nannuñez con diferencia de algunas horas. hay mas facilidad que ayer p…</t>
  </si>
  <si>
    <t>Navarreíe</t>
  </si>
  <si>
    <t>…ndancia de ar­ ques que en tan pequeño período amenazaron á su existencia. inspira inquietudes; el de la Gran Duquesa Olga no es tampo­ tillería, llamó la atención del público por las mejoras que en Con la sensible muerte del Sr. Navarreíe, acaecida en Julio an­ co mas satisfactorio. El Gran Duque no ha partido todavía de poco tiempo hizo. Hombres asi, organizadores, que encuen­ terior, pudieron tal vez los émulos de la sección envanecerse de M oh i lew. (!Temjps.) tran recursos en donde á nadie le ocurre siquiera buscarlos,…</t>
  </si>
  <si>
    <t>Navarro, Alonso</t>
  </si>
  <si>
    <t>Alonso Navarro</t>
  </si>
  <si>
    <t>…allería de Bar­ examinar severamente las maravillas que la prensa parisiense suyos se retiró por medio de una llanura con el mayor orden* celona; publicaba acerca del gfán matemático de 13 años. (Id.) y del diputado provincial D. Alonso Navarro que le acompañó voluntariamente en aquélla expedición; S. M ,, enterada y satisfecha, ha resuelto se den las gracias en su Real nombre á lás tropas del ejército de Cataluña y M i­ Asuntos de Oriente . licia nacional que han concurrido á ésUr ventajosa expedición* El comandante gene…</t>
  </si>
  <si>
    <t>Navarro, Andrés</t>
  </si>
  <si>
    <t>Andrés Navarro</t>
  </si>
  <si>
    <t>…ra id ., sierra Lujan , solana de Algarrobos, término de Velez, S. Antonio, por Antonio Lorenzo, en 17. Descuento de letras, á 6 por 100 al año. TEATROS. Otra id ., barranco de Ghinchirrines, término Cuevas, los Remedios, por D. Andrés Navarro, en 22. PRINCIPE. A las ocho y media de la noche. Se ejecuta­ Otra id ., barranco-de Pinalbo, término Cuevas, S. Anto­ rá la comedia nueva, en dos actos, traducida del francés y ti-» nio de Padua, por D. Tomas Navarro , en 22. P OR el Diario de avisos y Gaceta del Gobierno de esta ca…</t>
  </si>
  <si>
    <t>Navarro, D. Joaquín Jiménez</t>
  </si>
  <si>
    <t>D. Joaquín Jiménez Navarro</t>
  </si>
  <si>
    <t>…, los arrojaron dejan que recaigan. Sevilla y Noviembre 6 de 1859. z: Miguel de do muchos muertos por las calles: se han hecho ademas tres ge Asme, escribano. fes prisioneros y 16 facciosos cogidos en la iglesia, de doncf El Sr. D. Joaquín Jiménez Navarro, marques de Rodezno, fueron sacados"á toda costa. La facción se retiró hácia Segurí ó su sucesor en el referido título, se servirá presentar en la ad­ bien escarmentada. ministración de rentas de esta provincia su fe de existencia, La partida de Campillo ha tenido un pris…</t>
  </si>
  <si>
    <t>Navarro, José</t>
  </si>
  <si>
    <t>José Navarro</t>
  </si>
  <si>
    <t>…de S. M . por ría al mas sublime de sus deberes, si no trasmitiere á V. M. la prudencia , tin o , ilustración y sabiduría cón que se ha con­ los alegres parabienes, con que no desmintiendo la unión y S e ñ o ra : E l mariscal D. José Navarro S a n g r a n , comisiona­ ducido eo bien de la p a t r i a , del verdadero honor nacional, puros deseos que les caracteriza , desahogan sus leales corazones. do en virtud de Real orden en esta c a p it a l , se apresura á feli­ completo triunfo de nuestra ley fun dam eotal, integridad…</t>
  </si>
  <si>
    <t>Navarro, Tomas</t>
  </si>
  <si>
    <t>Tomas Navarro</t>
  </si>
  <si>
    <t>…s, por D. Andrés Navarro, en 22. PRINCIPE. A las ocho y media de la noche. Se ejecuta­ Otra id ., barranco-de Pinalbo, término Cuevas, S. Anto­ rá la comedia nueva, en dos actos, traducida del francés y ti-» nio de Padua, por D. Tomas Navarro , en 22. P OR el Diario de avisos y Gaceta del Gobierno de esta capi­ tulada Otra id ., cabezo Jaroso , término Cuecas, Purísin&amp;a Con­ tal de 8 y 9 de Setiembre de 1838 se llamó á los acree­ DOS PADRES P A R A U N A H IJA . cepción , por D. Francisco Marques, en 22. dores alimentistas…</t>
  </si>
  <si>
    <t>Nazario</t>
  </si>
  <si>
    <t>…s del banco español de San Fernando, 00. de la Imprenta Nacional. vincias V ascongadas residentes en M adrid . CAMBIOS. Colección de poesías castellanas traducidas en verso toscano, Anoche á las ocho se reunieron en casa de D. Nazario C a r­ Londres, á 90 dias, 58^. C oruña, 1J á 2 d. é ilustradas por el conde D. Juan Bautista Gonji. Cuatro to­ riquin gran número de individuos naturales de las provincias París, 16 -4 a 5. G ranada, id. mos en 8.° marquilla, edición de 1782, á 50 reales en pasta Vascongada'» y Navarra ; y…</t>
  </si>
  <si>
    <t>NCHO, SA</t>
  </si>
  <si>
    <t>SA NCHO</t>
  </si>
  <si>
    <t>…ncluye diciendo que debe aprobarse el berte pedido en te discusión promovida sobre la interpelación marcha. no sé yo qué fuerza será la que le obligue á variar su dictamen de la minoría de la comisión. del Sr. Iznardi. r El Sr. SA NCHO manifiesta que con sentimiento ha disen­ Pero sea de esto lo que quiera, vendremos á la cuestión, y tido de la opinicn de sus dignos compañeros los Sres. Olózaga El Sr. P R E S ID E N T E : N o puedo concedérsela á V. S., pues preguntaré: no puedo reproducir las palabras de entonces. ¿Q u…</t>
  </si>
  <si>
    <t>…te de la ley á que se referia, debía atenerse a la que dinario que nos engrandece á los ojos de las naciones y es el regia para todas las demas provincias. cimiento de nuestra felicidad, acaba de ocurrir en el centro del £1 Sr. SA NCHO, haciéndose cargo de las observaciones del se­ pais vascongado. B IB L IO G R A F IA . ñor Benavides, contesta en cuanto á lo primero que no habien­ Las masas que por seis años han derramado lastimosamente su do mediado para la reclamación del comisionado de Peñíscola sangre , se han abrazad…</t>
  </si>
  <si>
    <t>Ncsselrode</t>
  </si>
  <si>
    <t>…s . Cinco por 1 0 0 , 1 1 1 , 5 5 , 40. nuevamente á Berlín , se levautó la tapa de los sesos el dia si­ Se han dado instrucciones generales, terminantes y p revi­ Cuatro i d . , 106. guiente de su audiencia en casa del conde de Ncsselrode, ha­ soras á ios comandantes de nuestros diversos apostaderos en las Tres id ., 7 9 , 4 5 , 50. biendo destruido antes todos sus papeles. W itk ew it ch eia ori­ costas de España y Portugal. Las fuerzas de que se componían, Acciones del Banco , 2757 , 50. ginario de la Polonia rusa y ca…</t>
  </si>
  <si>
    <t>Nego</t>
  </si>
  <si>
    <t>…nte del tribunal de Arlóa , representante, sin rebozo. Las jornadas de Junio fueron para la Francia los primero» Acciones del Banco, l 9 l | . D euda española a c tiv a , 19^. Parece que ha quedado decidido que el Ministro de Nego­ Í dias de luto. Sin embargo, podia dudarse, al considerarlas co- cios extrangeros y de lo Interior designaría á los miembros d&lt; ¡ n o efecto de la casualidad de un acompañamiento fúnebre, que Cinco por 100 portugués, 55f* esta comisión que deben ponerse directamente en relaciones cor I fuese…</t>
  </si>
  <si>
    <t>Negocios</t>
  </si>
  <si>
    <t>…Cortes; y seria injusto el no reconocer que la mayor par­ de la Gran Bretaña y de Rusia se adhieran á la presente nota, te de los periódicos de esta capital han respondido * no Después de la lectura del informe del Ministro de Negocios aprovechando la ocasión que les proporciona el hohor de reno­ diremos que á nuestra sincera y patriótica invitación, que extrangeros de Bélgica acerca de las negociaciones y los traba­ var a SS. EE. la segundad de su iaas alta con sideración. ^ F ir ­ bien puede tenerse como la voz del Gob…</t>
  </si>
  <si>
    <t>Negri</t>
  </si>
  <si>
    <t>…citación, con la doble satisfacción de ser quien primero comunica á S. M. tan suspirada nueva de haber desaparecido del territorio español el alucinado Príncipe que banderizaba una guerra de destrucción y de desolación. El conde Negri , el feroz M erino, G uibelalde y otros muchos gefes', cu­ ras , frailes &amp;c. están llegando á esta. Todo lo que me apresuro á comunicar á V . E. de priesa y por extraordina­ rio para su mas pronto conocimiento y satisfacción, sirviéndose elevarlo al de S. M. la augusta R eina Gobernadora. D…</t>
  </si>
  <si>
    <t>Negro, León</t>
  </si>
  <si>
    <t>León Negro</t>
  </si>
  <si>
    <t>…fes de P a l a c io , lo to­ D. Féhx Gctmez, de 11 años de edad , monitor de la quin­ rnarán ig ualm en te en sus respectivos puestos los Sres. P re ­ p»osa con intención de aprovecharse de esta circunstancia. Se ta clase* y D. León Negro, de edad de 12 a ñ o s, qué lo es de sidente y demas in div id uo s de ambos Cuerpos colegislado-</t>
  </si>
  <si>
    <t>Neipperg</t>
  </si>
  <si>
    <t>…de mi corazón. Conozco bien y son de todo el mundo conocidas las nobles Se asegura que el casamiento de la Princesa María de W u r - prendas que distinguen vuestro carácter , y que os han granjea­ temberg con el joven conde de Neipperg, que sirve en nuestra Parece que deben terminarse las diferencias que se han sus­ do un concepto universal de heroísmo y de lealtad: con tales arm ada, se verificará dentro de poco. citado entre la Francia y el Gobierno napolitano acerca del d e­ antecedentes solo aspiro á merecer vuestra…</t>
  </si>
  <si>
    <t>Nelson</t>
  </si>
  <si>
    <t>…todo con el mayor detenimiento. Entre otras cosas le de Carlos v ; los arneses y caparazones de los cabalDs que mon­ y o estoy seguro de que el mundo estará convencido de que los han enseñado el vestido que llevaba el almirante Nelson cuan ­ taban los Archiduques Alberto é Isabela en el sitio de O tende; pocos años de S. M . ni su sexo la impedirán de manifestar v a­ le r , ni de tener un ju icio recto y alta comprensión. do una bala puso fin á sus dias. {M ornirig-H erald.) pilas bautismales fundidas en cobre de fecha d…</t>
  </si>
  <si>
    <t>Nemours</t>
  </si>
  <si>
    <t>…as siguien tes, que da uní dicho supremo tribunal en acordadas de 3 del actual, se carta de aquel pais. lia servido declarar que la excepción del número 14 di 1 Estamos abocados á otra nueva revolución. Las tropas ar­ El duque de Nemours ha regresado á Paris después de h a ­ artículo 63 de la ley vigente de reemplazos es extensiva y gentinas y de Entre-ríos han hecho una demostración hosti ber recorrido el mediodía de la Francia. Ha guardado el mas aplicable, asi en su espíritu como en su sentido literal, a cootra Montevideo…</t>
  </si>
  <si>
    <t>…rancia. ......... das antes ep remojo por 24 horas, habiéndose expefimen1- Lisboa 27 de Junio . El tiempo va confirmando el juicio hecho por-el pro­ lado que .esta preparación ayuda mucho á arraigar la nue­ S. A. R. el duque de Nemours, acompañado del ministro fesor Brunfant, pues en menos de cuatro años ha crecido va planta. Si la tierra, al tiempo de cortar las puntas en de Francia residente en esta, de varios individuos de la misma la mitad mas el producto de la remolacha en Francia. la cosecha, no estuviere suficientem…</t>
  </si>
  <si>
    <t>…do im­ consejo municipal de Bayona para recibir en este punto y periódico desu país, llamado el Nacional Qinebrino, Que ha­ pidiendo que nadie pueda ¡otroducir en ningún punto fortifi­ acompañar á Francia á S.'A . R. el Duque de Nemours, que biendo, regresado a su casa, fue a visitarle uno de £U$ ¿amigos, cado por las autoridades de S. M. la Reina ningún géoero de según noticias que tienen aquellas* puede llegar en breve á es­ quien permaneció con él como unos tres cuartos de bfc»r*,en te puerto. víveres y comestibles, t…</t>
  </si>
  <si>
    <t>…del pais para los años sucesivos. Las con­ Sabemos por buen conducto que en este momento se trata (Conozco las virtudes y las apruebo , testaciones del Gobierno contienen también algunas promesas que Jel casamiento del duque de Nemours con la duquesa de Leuch- no dejan de ser muy satisfactorias. El gabinete se ocupa ahora tenberg , hermana del yerno del Emperador de Rusia. y sigo la maldad.) en discutir un nuevo plan de organización para el tribunal de (Univers.) Por consiguiente, el ministerio de la predicación que so cue…</t>
  </si>
  <si>
    <t>…que tengaa por ha recibido, los dos Príncipes se han despedido fraternalmente Estella, pequeña capital de la Navarra carlista. Maroto se vio objeto asegurar una paz definitiva al pais. Aun se espera que y han salido, el duque de Nemours por el camino de Cette , y obligado á destacar cuatro batallones de su ejército para re­ las representaciones del honorable almirante Fioussin produzcan el príncipe de Joinville por eldeTolon. Un pueblo numeroso les forzar la guarnición de Estella. Al mismo tiempo el coronel tin resultado sa…</t>
  </si>
  <si>
    <t>…e per­ gratitud y dándole las mas expresivas gracias. tenezcan, como enemigos destinados al cange, ni pueden Nos escriben de Bayona con fecha del 7 í servir sus plazas, ni de consiguiente relevar del servicio S. A. R. el duque de Nemours ha desembarcado hoy á las á sus suplentes. Noticias importantes del Perú . doce menos cuarto en la plaza de la Libertad, donde ha sido re­ 3.° Correspondiendo á estos por la ley el derecho de cibido por las autoridades civiles y militares. La tropa le aguar­ Una carta deM azatlan recibida…</t>
  </si>
  <si>
    <t>…mas la perar que bajarán mas todavía si la República continúa coa recha en la aldea de Arbona. han ofrecido ocasión oportuna para presentar ai mundo en so los prospectos de paz y de progreso material que nos presenta El duque de Nemours, general en gefe, llegó á las once y espontáneo general pronunciamiento un espectáculo asombroso, hoy dia. Y aun no será extraño que en tai caso veamos otro cuarto al campo de las maniobras. S. A. R. venia á recibir en admirable y decisivo, sustituyéndose repentina, sim ultánea y estableci…</t>
  </si>
  <si>
    <t>…, le dijo: do m ariscal: Después de haber tenido dos años ha el placer de hecho y a para el sosten de nuestra colonia , es preciso que-lo$ **£ Cómo queréis que ejerza mis funciones episcopales?” El ca­ ver á mi hijo el Duque de Nemours tomar parte á vuestras medios que h ay para conservarla sean capaces de reanimar á nónigo le contestó que el Gobierno le permitiría ir á residir á órdenes en las gloriosas hazañas dé la toma de Coostantina , me to^la la n ación , no solo por el presente, sioo también para el otra parte fuer…</t>
  </si>
  <si>
    <t>…00 consolidados, 111 fr. 20 c. los representantes de la nación y sancionado por la corona, es Ideui 5 por 100, 8 l fr. 10 c. razón bastante para que todo contribuyente lo haga sin demora Deuda activa española, I9 f. El duque de Nemours llegó el 5 t de Mayo á Montpeller, efectivo, y no caiga en uua responsabilidad culpable á los ojos Pasiva, donde S. A. R. fue recibido por las autoridades judiciales , ci­ de sus conciudadanos: pero con todo, existen en favor de su re­ viles y militares. caudación otros motivos que mas de…</t>
  </si>
  <si>
    <t>…Mandará una brigada del ejército reunido en nues­ que debe percibirse eu el Escalda en beneficio de los P aises-B a- bierno. tras fronteras del Norte. jos 5 y la tasa de un floriu 50 cens. (5 fr. 16 cent.) por tonel, El duque de Nemours llegará también en breve á Mézieres, de lo cual resultará evidentemente la supresión del servicio de en donde establecerá su cuartel general. Se dice que el Príncipe los barcos de vapor que semanalmente hacen el viaje de Londres habitará en el palacio de la prefectura. ó de I I u ll, y que d…</t>
  </si>
  <si>
    <t>…o caso; pero es menester hallarse El correo del M ediodía refiere la visita hecha por S. A. R. del patronato inglés al patronato ruso, amenazando la Ingla­ preparados, y para ello aumentar nuestras fuerzas navales y el duque de Nemours á la ciudad y puerto de Cette. terra en apariencia al Egipto por contentar las pasiones de aun nuestro ejército de tierra, por una consideración qué se ^Antes dé trasladarse á bordo del barco de vapor el Coco­ Constantinopla, y amenazando en efecto á Rusia que es su ver­ ocurrirá a todo el…</t>
  </si>
  <si>
    <t>…ayor tino y actividad, toda la leí desfile, durante el cual se han dado vivas al Rey por pelo- Julio 5 á las ocho y media de la mañana. Al romper el fuerza del desctaainento'eoemigo, compuesto de un capitán, un ones, el duque de Nemours recibido por nuestra población con dia se han retirado las tropas á sus cuarteles por estar las ca­ subteniente , un sargento, 4 cabos y 18 soldados, los cuales, os mismos testimonios de entusiasm o, ha vuelto á la pre­ lles enteramente desiertas. Los magistrados han estado toda la visto e…</t>
  </si>
  <si>
    <t>…­ asegura , haya sido el inventor, el propagador y el que. ha acre­ ditado semejante embeleco, cuyas consecuencias podrían haber cho basta el dia las mas exquisitas diligencias para descubrir Después de haber recibido el duque Nemours á las auto ri­ sido desagradables. ¿Q uién es capaz de discurrir los excesos de el sitio donde se celebran estas reuniones. dades del departamento y de la ciudad , S. A. R. pasó á visi­ que se habria hecho culpable esta población atemorizada, si por tar á la vizcondesa D uchatel, habiendo di…</t>
  </si>
  <si>
    <t>…ronunciase S. M. la R , augusta Madre la R G ­ Nos escriben de Canterets con fecha 15 de Julio lo que la sentencia. (C. P.) sigue: e in a su ein a oberna dora y la Serma. Sra. Infanta Doña María Luisa Fernan­ El Sr. duque de Nemours ha llegado esta mañana á Cante­ da, continúan en esta corte sin novedad en su importante rets, procedente de Aguas Buenas por la montaña. S. A. R. Esta mañana se adelantó hácia el palacio Borbon (Cámara habia dormido la noche anterior en Argelez. de Diputados) una turba de 600 obreros, dir…</t>
  </si>
  <si>
    <t>…ejo guerrero. En sus sa­ consejo, en todas partes repite sin cesar: "Es me­ si lo fuesen todos, se adjudicará á la Hacienda lo que to­ lio , que empobreciendo las clases , agota también el erario nester que casemos al Duque de Nemours.” Puede concebirse dos hubieran debido percibir en otro caso. Lo digo á V. S. público. E n los urgentes apuros en que este se ba encontrado en que esta opinión encuentra ecos simpáticos en palacio, lo que de Real orden para su inteligencia y efectos correspon­ los seis años de desoladora g…</t>
  </si>
  <si>
    <t>…naba. Por su em peño, y reducido este al año, podrán tomar sobre ellas otra parte ¿qué tenia de particular que yo diese la preferencia mayor cantidad puesto que será menor la que se deduzca de su NOTICIAS EXTRANGERAS. al duque de Nemours sobre el duque de Leuchtemberg? Esto era tasación ó valor efectivo. muy natural, puesto que la Francia habia declarado que no re­ 5.° Asimismo ha acordado se inserte en este anuncio el si­ BELGICA. conocería al duque de Leuchtemberg : no reconociéndole no nos guiente estado comparativo de c…</t>
  </si>
  <si>
    <t>…CUARTOS. bajada para regresar á Constantinopla. Alim et-Rechi bajá , em­ periódicos han dado una noticia la mas inexacta. PARTE OFICIAL. bajador de T urq uía en P a r is , no saldrá de dicha capital hasta S. A. R . el duque de Nemours, comandante superiores ñn del mes. Ayudantes de cam po: el conde Golbert, teniente general ; B o - y e r , mariscal de campo.—Oficiales ordenanzas: Boerio, gefe de batallón; D e la r u e , capitán de caballería; B o re l, capitán de es­ S. M. la R e i n a , s u augusta Madre la R e i n a…</t>
  </si>
  <si>
    <t>Nepo, Juan</t>
  </si>
  <si>
    <t>Juan Nepo</t>
  </si>
  <si>
    <t>…el de Loulé l .° : de Julio de 1859.— siderado. ' de acompañar con el presente informe. A. A. C unha, mayor de brigada. La clase de aritmética teórico-práctica con aplicación al co­ mercio , desempeñada por el mismo bachiller D. Juan Nepo­ Dios guarde á V. SS. muchos años. Habana y M ayo i i Está conforme. Cuartel general en Faro 1.° de Julio de de 1859.—Manuel Puig.iz: Domingo Del monte.—Sres. presidente 1859.—C. C. Pedroso, teniente coronel, gefe de estado mayor. muceno Blasco, demostró igualmente sus extensos conocimien…</t>
  </si>
  <si>
    <t>Nesseirode</t>
  </si>
  <si>
    <t>…describién­ medad. Niego que se hayan hecho respecto á la pacificación de Es­ doos el estado de sus pérdidas en Vizcaya. Hé aqui la vérdaderá posición de los carlistas en Vizcaya: paña proposiciones (ouvennres ) por el conde de Nesseirode sin El hecho de la ocupación de Orduña por los cristinos mere- en mi próxima carta trataré de la de Alava. que la Inglaterra haya mostrado el mas ardiente deseo de aco­ :e la mas séria atención , porque Orduña , aunque dependiente (Memorial des Pireiineés.) gerlas y abrazarlas. Era á tod…</t>
  </si>
  <si>
    <t>Nessel-</t>
  </si>
  <si>
    <t>N.° 1878. MARTES 31 DE DICIEMBRE DE 1839. DIEZ CUARTOS. ción oficial de l*s instrucciones dadas por el conde de Nessel- i sobre loa proyectos de ley de que el público está instruido , y PARTE OFICIAL. rodé á M r. de B ru n ow , eo las cuales le dice qu e, según lo que en ios que han trabajado las comisiones. Ea este caso es cuando ha asegurado lord Clauricarde, embajador de Inglaterra en San verdaderamente…</t>
  </si>
  <si>
    <t>Nesselrode</t>
  </si>
  <si>
    <t>…o él habría creido que uo noble marques hubiese creido de su deber el provocar sobre ellos debían darse ulteriores pasos sobre el asu n to , toda vez que el una discusión hasta este momento, me inclino á creer que a l­ conde de Nesselrode, contestando á sus preguntas, dijo que NOTICIAS EXTRANGERAS. g ún otro motivo distinio del que ha alegado S. S. le habrá i n ­ por su parte no tenia ninguna insinuación que hacer. ducido á obrar de este modo, y que en este momento cree que También preguntaré al noble marques si sabe que…</t>
  </si>
  <si>
    <t>….n Juan A l - refulgente, que disipa los horrores de una noche tenebrosa, tam ira, secretario. isi ha abierto la senda espaciosa al progreso de la prosperi­ dad n acio nal, que por seis años tocara el punto de extrem a El conde Nesselrode ha salido de Londres el 7 dirigiéndose á Stuttgard. {Id.) decadencia. Señora: Seis años de continuos desastres precipitaba la na­ ¡ L o o r e tern o, S e ñ o r a , al invicto caudillo duque de la ción al borde del abismo: la España fatigada por la cruel guer­ ictoria, que con tanta pru…</t>
  </si>
  <si>
    <t>…de Estado de tra el Gobierno ingles de la India. Hemos sabido que se h ab ia que se propone seguir el lunes prdximo. N adie duda que los Negocios I extrangeros comunicar pronto á la Cám ara los docu­ recibido un pliego del conde Nesselrode, desaprobando, en conservadores adoptarán por un an im idad todas las medidas que mentos i que pueden explicar los proyectos de la Rusia respecto nombre de su Soberano, las intrigas rusas que habiau tratado les proponga su sabio y hábil gefe. 2á las Indias inglesas? de excitar hostilidad…</t>
  </si>
  <si>
    <t>…partido poderoso se esfuer­ ga* iniciadas eo los misterios del Gabinete austríaco sabían que mas, aunque pueda sufrir todavía alguna m odificación, puede za en ^colocar « n el primer rango-; de suerte que la unión de d conde de Nesselrode había enviado expresamente á su propio considerarse ya como definitivamente aprobado. estos tres personajes no es firme ni sincera. Cada uno desconfié . ^*¡0 á la quinta de J o h ta ijb e rg , á fin de que el archicanciller ¿G onlendrá el discurso, como debemos ejperarlo , el pro­ de sus…</t>
  </si>
  <si>
    <t>Ney</t>
  </si>
  <si>
    <t>…ancia salió á la mar la escuadra fran­ que esten enteramente fenecidos. TOMO VI. cesa en 50 de Marzo de 1805, y habiéndose unido con un es­ Por este medio se están reuniendo los datos mas importan­ Causa 1.a Proceso del mariscal Ney. cuadrón español de Cádiz, se dirigió á las Indias occidentales; ! tes para que la parte española no desmerezca de la buena opi­ 2.a Proceso de la viuda Morin y su hija. mas perseguida por la escuadra inglesa volvió al puerto de Cá­ nión que justamente tiene adquirida la magistratura y el foro…</t>
  </si>
  <si>
    <t>Nicanor</t>
  </si>
  <si>
    <t>…vista general , como unos de Baltanas , vacante por traslación de D. Ju a n Pablo T rigue- j de Diputados tres ejemplares auténticos del tratado firmado en 150 á 200 hambres se dirigieron á la calle B ourg-l’Abee , y r o s , á D. Nicanor G a r ra u s ,q u e reúne los requisitos preveni- j Lóudres para la separación definitiva de la Holanda y de la entraron, después de haber roto las puertas y escalado las venta­ dos en la circular de 29 de Diciembre último. Bélgica. nas, en los almacenes de los hermanos Lepage, apoderándose…</t>
  </si>
  <si>
    <t>Niceto</t>
  </si>
  <si>
    <t>…en rama como en rústica en el mera vez esta obra de orden y á expensas del célebre cardenal D. Francisco de la Maza, capitán de caballería en espectacion Cisneros, fue mirada y ha sido constantemente reputada por ¿re tiro : D. Niceto M oñiao, teniente de infantería ilimitado: despacho de dicha Imprenta. clásica en su ramo, y con justa razón, por cuanto Herrera no í&gt;. Francisco Segura, subteniente de infantería: D. Ramón Comprende varios decretos, órdenes y circulares del solo compiló lo mejor que hasta su tiempo hábia es…</t>
  </si>
  <si>
    <t>Nico</t>
  </si>
  <si>
    <t>…eapitan general manifestando que los acertados cu erp o respecto de los dem as ram os de la instrucción p ú ­ expresada Real orden , al gefe político de Sevilla , para que á la movimientos del comandante general de operaciones D. Nico­ b lic a , conform e á lo dispuesto en el reg la m en to d e la dado brevedad posible se verifique el relevo de los presidiarios, man­ lás de L una han libertado al país de los infinitos estragos que m ism a dirección de 20 de N oviem bre último. practicar; y á este fin y con el objeto de que n…</t>
  </si>
  <si>
    <t>Nicolao, Isidro</t>
  </si>
  <si>
    <t>Isidro Nicolao</t>
  </si>
  <si>
    <t>…E n ero , A y e r el M inistro de Hacienda y el de J u stic ia no se p r e ­ verdad cuestiones de suma trascendencia é importancia. sentaron en el Sen ad o , adonde asistieron sus tres colegas. Sin Refiere el articulista que D. Isidro Nicolao, oficial mayor En el número del B oletín d e la s l e y e s que salió ayer, se embargo se asegura que el R ey no ha aceptado su dimisión. del parte, separado por aquel decreto, se resistió abierta­ inserta una ordenanza Real por la cual se suprime el Consejo mente á dejar su plaza, f…</t>
  </si>
  <si>
    <t>Nicolasa</t>
  </si>
  <si>
    <t>…equivale al total de rechos á los bienes que quedaron por, fallecim iento ab in - pedidos que hace el G obierno, se ven privados de la esperanza las o rd in arias, no puede menos de hacer algunas observaciones. tcstato de Doña Nicolasa M a rtin , natural que fue de T alavera de intercalar algunas adiciones que pudieran sin duda hacer Que no se opone á este proyecto de le y , porque al cabo conoce de la R eina y vecina de esta corte, h ija de D. M atías y de Do­ menos am arga la suerte de los pueblos, pues se presentan es…</t>
  </si>
  <si>
    <t>Nicolson</t>
  </si>
  <si>
    <t>…rd e á V. S. debia ocupar y hora en que debía presentarse para facilitarle m uchos años. M adrid 5 de N oviem bre de 1839. — A rra - A su tiempo anunciamos á nuestros lectores los pasos dados z o la .= S r ...... por el almirante Nicolson, comandante de las fuerzas navales lapueblosentrada en ella. Esta era la voz general que circulaba en los inmediatos. de los Estados Unidos en Buenos-Aires, á fin de terminar nues­ Los granos de diezmos y de las rentas secuestradas á los tras diferencias con aquella república: sus esfuer…</t>
  </si>
  <si>
    <t>Nicolás</t>
  </si>
  <si>
    <t>…de J u s t i c i a y Otra id. en sierra de Gador, loma del Vicario, término del la junta á los mejores postores, según los resollados de los re ­ r e g e n te s de la s au dien cias territo ria les. Presidio, Esperanza, por D. Nicolás M an zan o , en 5. mates que se han celebrado, comprendiéndose también el to­ Otra id. en dicha sie rr a , pecho de L astras, término de tal de los meses anteriores, según está mandado. Por ef art. 8 o del reglamento del supremo tribunal Berja , antes los Conejos, ahora E strella, por Ma…</t>
  </si>
  <si>
    <t>…mes próximo pasado se devolvían varios billetes del tesoro, cuyo Masía: Málaga, Quincoces: Murcia , Benedicto : Oviedo, Lon- se desmorone sin hacer hebras. pormenor se expresa á continuación; y habiendo sido intercep­ goria, D. Nicolás: Palma, Guasp: Plasencia , Pis: Reus, tado por los facciosos, quedan sin curso ni valor alguno. Roca: Salamanca, Blanco: Santander, Martínez: Santiago, Esta agitación con los remos en las enfriaderas es la Ochenta billetes, mims. 1116 á 1244 5 de la série 2.a, á 200 Rey Romero: Sevilla ,…</t>
  </si>
  <si>
    <t>…u lo , D. Jo¿é Este artículo contiene ademas un aviso que no deben des­ Rico y E spada, D. L u is Sáez de R iv an cierre, D. Jo a q u ín I d em 2 1. preciar nuestros agricultores ni tampoco el Gobierno, cu y a G utié rre z, D. Nicolás R u iz y G allego , D. J u a n de Igualado, suerte será inseparable de la de aquellos por todo el tiempo que D. Andrés de Z a y a s , D. Andrés García , D. Francisco J a v ie r Gusanos d e sed a y rem o la ch a d e az úcar . la industria fabril permanezca entre nosotros tan atrasada res­ A…</t>
  </si>
  <si>
    <t>…es y juez de c lu y e : "el mas leve rumor. B. L. M. de V ., Sr. editor.—N. N .,” primera instancia de esta H. villa , refrendada del escribano de denunciado por los Sres. comandantes de las tres armas de la numero de la misma D. Nicolás O rtiz, se c i t a , llama y empla­ P R IN C IP E . A las ocho de la noche. Después de una bri­ M ilicia nacional de esta ciudad en 18 del mismo mes de Oc­ llante sinfonía se pondrá en escena la comedia n u e v a , o rig in al, za a los que se crean con derecho á los bienes quedados por fa­…</t>
  </si>
  <si>
    <t>…e la finada Doña M aría de los Dolores Fernandez de Londres, á 90 d ias, 5 8 f din. C o ruñ a, l f á 2 d. na , Safo y otras herroinas en G recia; Lucrecia , U níinia y no­ Rivera y R u an o , h ija y única heredera que fue de D. Nicolás F aris, 16 -6 á 5. G ranada, l f á 2 id . bles matronas en Roma ; Elisabet en Inglaterra; Catalina M á la g a , f á f id. Fernandez de R iv era, agente que ha sido de lol del número de en R u sia; Blanca de C astilla, y M aría Teresa en F ran cia; la In d ias, con objeto de liquidar los cr…</t>
  </si>
  <si>
    <t>…las tres de la tarde. mes con las que se han examinado cuidadosamente para la 2*° L a divertida comedia en un acto titulada formación de la presente; aclarando diversos puntos en que E FE C T O S P U B LIC O S. se equivocó D. Nicolás A nto u io , por no haber visto todas E L D IA M A S F E L IZ D E L A V ID A . las obras de qué se trata , y porque no pudo dar la última Inscripciones en el gran libro á 5 por 1 0 0 , 0 0 . mano a su erudita Biblioteca. En cuanto á los autores de que 3.° U n baile nacional. Títulos al po…</t>
  </si>
  <si>
    <t>Niza</t>
  </si>
  <si>
    <t>…ier y gefe político de M adrid ; y aunque es cierto que en adelante se hagan estas mas frecuentes y temibles. MSeria progreso de las ciencias; de este congreso verd^deramete mode­ que el padre de Mario de Candía era gobernador de Niza , no necesario, dice, para evitarlas, otro sistema mercantil en E u ­ rado, porque dominará en él la moderación , que es el carácter todas las estrellas son tan románticas, como ha sido, según di­ ropa , y otras leyesen Inglaterra. Pero es tan difícil hacer adop­ propio de la sabiduría; de este…</t>
  </si>
  <si>
    <t>Niñas</t>
  </si>
  <si>
    <t>…rcio de n egros, no han producido un resultado A ! amanecer del 7 salió de esta plaza la brillante compañía satisfactorio. La semana última ha recibido el Gobierno plie­ franca de lanceros organizada por nuestro digno gobernador Niñas. gos de su embajador en Lisboa anunciando que no h ay pro­ T r illo , que como gefe del arma ha sabido darle el impulso ne­ babilidad alguna de obtener la ratificación de este tratado por Clase 1 .a Ocho premios de cinta y medalla de plata á las cesario á su valor é instrucción ; se dirigió…</t>
  </si>
  <si>
    <t>No, Bretón.</t>
  </si>
  <si>
    <t>Bretón. No</t>
  </si>
  <si>
    <t>…lla y la armonía que reinó no es Ni el argumento de! Día de Campo es tampoco propio ni figuran ensayar. Pero en cambio ha ganado en chistes que la fácil á la mejor pluma el describirlas; saludándose con la ma­ exclusivo del Sr. Bretón. No hay escritor de costumbres bueno ha añadido de su propia cosecha e! Sr. Vega, y todos de tan yor urbanidad los.de uno y otro bando , bebiendo juntos y di­ ó rnalo que no haya dibujado con mas órnenos acierto las con­ buen tono como de él eran de esperar. virtiéndose en los juegos propios…</t>
  </si>
  <si>
    <t>No, D. Cayetano Cortés.</t>
  </si>
  <si>
    <t>D. Cayetano Cortés. No</t>
  </si>
  <si>
    <t>…nistros, Barcelona, á ps. fs., J b. Sevilla, ¿ id. ha parecido esta esmerada y correspondiente á las ventajosas no­ puede llegar el dia de un acomodamiento feliz entre los Bilbao, 1 ¿ d. Valencia, ¿ id. ticias que tenemos del Sr. D. Cayetano Cortés. No pareciéndo- partidos beligerantes. Ese dia será el mas fausto para nues­ Cádiz, í id. Zaragoza , 1 papel id. nos empresa fácil traducir á Chateaubriand de manera que la tras instituciones, porque solo de esa m anera pueden ro­ Descuento de letras 9 á 6 por 100 al año. traducci…</t>
  </si>
  <si>
    <t>No, Lujan.</t>
  </si>
  <si>
    <t>Lujan. No</t>
  </si>
  <si>
    <t>…el ca­ presente el Sr. Ministro de la G uerra, se procede á la interpe­ sos pocos; habia uua guarnición de tre sañ o s; pero el Sr. D i­ n a l , nos encontramos con que no está hecho lo mas principal, lación anunciada por el Sr. Lujan. No puedo menos de hacer putado conocerá que tanto en esa guarnición como en otras ha y eso que el Gobierno ha dado á la empresa todo lo que pro­ observar á S. S. que se ciña extrictamente al objeto de la in ­ habido soborno; por consiguiente no es culpa del Gobierno ac­ m e tió , y mas a u…</t>
  </si>
  <si>
    <t>No, Villanueva.</t>
  </si>
  <si>
    <t>Villanueva. No</t>
  </si>
  <si>
    <t>…ado la minos de hierro, allí no podrá menos de recordarse con g r a t i ­ c am in o , que asciende con sus depósitos completos y un poder mejora c u b a n a , y desembarazado ai Gobierno de la grave é tud el uornbre del conde de Villanueva. No h a y corona mas motor bien organizado á 2 .0 0 5 ,4 7 8 ps. 6 \ rs., ó sean 4 4 ,56 6 impropia carga de continuar trabajando en el plan de comuni­ digna para un hombre de sus virtudes c ív ic a s ; por eso es la pesos por milla. De modo que la suma y a citada de 5-459,850 caciones…</t>
  </si>
  <si>
    <t>Noble-</t>
  </si>
  <si>
    <t>…firmaron: Y. T. M ur.—Cándido A. de Palacio.^M a- de Gaviria. = Miguel Angel de Muguiro. =1 E. Arenas. entrar en el seno de la madre á quien habia abandonado, y roborarlos I I fuan Pablo Maroto.—Yicente Espinosa.—J. el duque de Noble- volver á aquella ciudad santa fundada por el Altísimo, en la Sin em bargo, acordándonos de nuestro deber, y pensando as , mariscal de Castilla.—Manuel Hurtado de Mendoza. que únicamente puede hallarse salvación. Porque hácia el fin del siglo x v i, los obispos rusos que es­ que "C de lo a…</t>
  </si>
  <si>
    <t>Nogueiras, Antonio</t>
  </si>
  <si>
    <t>Antonio Nogueiras</t>
  </si>
  <si>
    <t>…a. todo el lleno de mi carácter. Ciudad-Real 16 de Noviembre de granaderos D. Basilio Mateos y al subteniente de la misma Lo que de orden de S. 8. se hace saber al público para su l859.^José María Ruiz Perez. ( B. O.) compañía D. Antonio Nogueiras. conocimiento y satisfacción. Zaragoza 19 de Noviembre de Lo que tengo la honra de poner en conocimiento de V. E., 1859.n:El com andante, gefe de estado m a y o r, Francisco de recomendando muy eficazmente á la expresada columna é indi­ Cascajares. ( E , de A,) viduos que la compo…</t>
  </si>
  <si>
    <t>Nogueras, Agustín</t>
  </si>
  <si>
    <t>Agustín Nogueras</t>
  </si>
  <si>
    <t>…rribles, y que ofrece en su curso un vado en el pueblo de las tas. Logroño 12 de Noviembre de 1839.:rEl director, Víctor D. Pedro Allende Salazar. Chimeneas, otro en Suria y el pueate de M alagariga, que pre­ Lana* Zaragoza. = D. Agustín Nogueras, nombrado por renuncia senta al enemigo mil ocasiones favorables de atacar nuestros de D. Miguel Laborda. convoyes, y entorpecer la marcha de las operaciones, á menos Idem 15. de cuajar de puertos fuertes la distancia de cinco horas que media entre las Chimeneas y Cardona. El sá…</t>
  </si>
  <si>
    <t>Nolasco, Pedro</t>
  </si>
  <si>
    <t>Pedro Nolasco</t>
  </si>
  <si>
    <t>…atendidos los méritos, distinguidos servicios á quienes se saquen esos bienes se les adm itirá en las contribu­ todas ellas in c u lta s , y no pudiendo producir nada en dos ó tres y desgraciada muerte del mariscal de campo D. Pedro Nolasco ciones la parte del producto que habían de r e n d ir ; quiere deci: años por lo menos. B a sa , se conceda á su viuda Doña Francisca Lasaleta , y á sus que si se habían de repartir 20 millones se habrán de repartí: Yo creo que el mejor medio seria darles esas fincas de los ijos, a p…</t>
  </si>
  <si>
    <t>Noli, Soria.</t>
  </si>
  <si>
    <t>Soria. Noli</t>
  </si>
  <si>
    <t>…nis­ Sres Salas y Orna ña , marques de CasteIJosrius, Zarco del Va­ conceda oua pensión á Ib riada é hijos del general D» Pedro tro á caja, secretaria corresponda, leyéndote «desde- lia tribuna, lle1 , di»|ne de Frías y general Soria. Noli,asco Basa, muerto alevosa méate ea Barceioma al tratar dle y entregando al Presidente d i ejemplar aatea tico. PrcMcediéiidose ali orden del di ¿a se poso á disensión el díe—! resta Mecer .la Ira aq o iIIidad póbl km. Art. 74* Oída la lectora de una ley, el Presidente cantos- támen de…</t>
  </si>
  <si>
    <t>Nos, Carbonero.</t>
  </si>
  <si>
    <t>Carbonero. Nos</t>
  </si>
  <si>
    <t>…francesa; pero rigido á Lucarno para fraternizar coa todos los habitantes del vándola toda entera. (Moniteur parisién .) nos lisonjeamos de que adelantarán mucho los niños bajo la di­ C3II tOO. rección de un profesor como el Sr. Carbonero. Nos tomamos sia Hemos tomado las medidas necesarias para la conservación embargo la satisfacción de recordar á dicho caballero que no del orden y la seguridad de nuestro pais, conservando en él Se dice que los dos buques que salieron de Tolon para A r ­ deje pasar ninguna ocasión , en la…</t>
  </si>
  <si>
    <t>Nos, Correos.</t>
  </si>
  <si>
    <t>Correos. Nos</t>
  </si>
  <si>
    <t>…as de esta capital, cuyas copias en no comparecer ó sus herederos le parará entero perjuicio la sus- nada ceden al original, obra de los acreditados M M . Andrew tanciacion del expediente. Best y Leloir. Dirección general de Correos. Nos abstenemos por ahora de hablar de nuestra traducción, hasta que haya juzgado de ella el público, pues conocemos bien Asimismo se cita y emplaza á D. Joaquín María Sangui­ por experiencia cuán ridículo es juzgarse á sí mismo y cuán El dia 25 del actual fue sorprendido por una partida…</t>
  </si>
  <si>
    <t>Notábasele, Romea.</t>
  </si>
  <si>
    <t>Romea. Notábasele</t>
  </si>
  <si>
    <t>…de presentarse ea ella por primera vez el Sr. A iv e rá , ajustado natural en una primera salida, no disgustó al público: su mé­ en hacer una reseña de las obras ejecutadas en el mismo Alcá­ para galan joven en reemplazo del Sr. Romea. Notábasele al todo de canto es excelente, y su voz, aunque escasa, agradable. zar con posterioridad á las de D. Pedro. Pero antes pasemos al nuevo actor la timidez y el encogimiento propios del que por El segundo tampoco pareció m al, á pesar de que su acción no piso alto, en donde se encuent…</t>
  </si>
  <si>
    <t>Nougier, Mr. Boucli y Mr.</t>
  </si>
  <si>
    <t>Mr. Boucli y Mr. Nougier</t>
  </si>
  <si>
    <t>…irano. de la reparación. Refiere en seguida el modo cómo se ha organizado la socie- ! Se suspendió la audiencia por un cuarto de hora ; pasado el dad de las Estaciones. Acusa de agentes revolucionarios á cual el abogado general Mr. Boucli y Mr. Nougier, sustituto TRIBUNAL DE LA CÁMARA DE LOS PARES. Barbés, Blanqui y Martin Bernard, haciendo recaer sobre este del procurador general r sostienen alternativamente la acusa-' último todo el peso de la acusación. Expone que para conseguir cían , el primero contra Roudil y Gilb…</t>
  </si>
  <si>
    <t>Noval, Ramón</t>
  </si>
  <si>
    <t>Ramón Noval</t>
  </si>
  <si>
    <t>…eñora =A L. R. P. de V. M.zsEI prior R. para el de Fuente el Saúco, de entrada en la provincia de Za­ en el mes de Agosto 114 2l4309L.il 2661616.. 3 Btanquer.=CónsuI primero T. España.= Cónsul segundo Pedro mora^ que desempeña D. Ramón Noval, y que este juez pase Id. anteriormente. • 621 5443373..20 6265652..17 Vigoao.:rJuan Royira Tresarrio, secretario. i servir el de Astudillo que aquel deja y es de igual clase en la provincia de Patencia , considerándose los servicios que pres­ Total hasta fia de Agosto. 755 7586464..5Í 8…</t>
  </si>
  <si>
    <t>Nuestra, Malagon.</t>
  </si>
  <si>
    <t>Malagon. Nuestra</t>
  </si>
  <si>
    <t>prisioneros todos heridos, y entre los que se encuentra , y lo está &gt;&gt;c lee en el D iario d e los D ebates del 2 lo que sigue: de su apoyo momentáneo, y que al Rey no se le permita d i ­ mortalmente , el cura de Malagon. Nuestra pérdida ha sido la El anuncio de la disolución de la Cámara ha hecho estallar solver la Camara porque Carlos x la disolvió en 185 0 ! C a r -* de un cabo y un soldado heridos, y un caballo muerto. en la prensa una horrible tempestad: los periódicos de la coa­ los x disolvió la C ám…</t>
  </si>
  <si>
    <t>Nurn, Oajaea.</t>
  </si>
  <si>
    <t>Oajaea. Nurn</t>
  </si>
  <si>
    <t>…= M ariano Rivero P az.= :A l Sr. Secretario tas podrán valorar , y cuyos felices resultados no pueden ocul­ de Gobernación, Lic. Pedro N. Arri&amp;ga. tarse , porque purgado el Norte de nuestra campaña de e»ta mandancia general de Oajaea. Nurn. 354 =Excmo. Sr.: Con fe­ Y por disposición del gefe interino del Estado , se imprime, horda de salvajes que la infesta y la ro b a, poseeremos una r i ­ cha 27 del actual me inserta el teniente coronel D. José de J e ­ publica y circula. Goatemala Ju u io 21 de l8 5 9 .= A rr ia g a…</t>
  </si>
  <si>
    <t>Nuñez, Cámara D. Eusebio</t>
  </si>
  <si>
    <t>Cámara D. Eusebio Nuñez</t>
  </si>
  <si>
    <t>…Presbítero D. José Ramón Alfonso, teniente de Licenciado D. José de Silva y Suarez...................... 5 2 aproximaciones d e ... 8 para el an­ cura de la Salud .............................................. 2 El escribano de Cámara D. Eusebio Nuñez.............. 3 terior y posterior al premio de 8d. 16 Id. D. Rafael de H ita, capellán del regimiento de El tasador general D. Manuel Camuñas................... 1 lanceros........................................................................... i El procurador D. José Sat…</t>
  </si>
  <si>
    <t>Nuñez, Eusebio</t>
  </si>
  <si>
    <t>Eusebio Nuñez</t>
  </si>
  <si>
    <t>…o D. José Ramón Alfonso, teniente de Licenciado D. José de Silva y Suarez...................... 5 2 aproximaciones d e ... 8 para el an­ cura de la Salud .............................................. 2 El escribano de Cámara D. Eusebio Nuñez.............. 3 terior y posterior al premio de 8d. 16 Id. D. Rafael de H ita, capellán del regimiento de El tasador general D. Manuel Camuñas................... 1 lanceros........................................................................... i El procurador D. José Saturnino Bla…</t>
  </si>
  <si>
    <t>Nuñez, Francisco</t>
  </si>
  <si>
    <t>Francisco Nuñez</t>
  </si>
  <si>
    <t>…e esta muy heroica villa D. Angel Mazon, por D. Ignacio M a­ interior, una coalición entre Mehemet-Alí y la Inglaterra en lo peces, reptiles é invertebrados. Todo ejecutado con el mayor ría Asensio, como apoderado de los Sres. D. Francisco Nuñez, acerca dedelalacual A rabia, no asegura la exactitud de esta noticia^ esmero. no ha recibido mas pormenores. intendente; D. Timoteo G alan, contador; y D. Manuel Sanz El 7 se negociaron en Londres los consolidados á 92¿: la se practica En este compendio se ha procurado, á imitación…</t>
  </si>
  <si>
    <t>Nuñez, Manuel</t>
  </si>
  <si>
    <t>Manuel Nuñez</t>
  </si>
  <si>
    <t>…cial por la g u e r r a vincia de C iu d a d -R e a l, vacante por ser trasladado á la de los oficiales y tropa que se hallaron en la expresada jornad a , y mas feroz que h a n conocido los siglos. Burgos el intendente electo D. Manuel Nuñez, al secreta­ p a rtic u la rm e n te el mérito contraido por el sargento de la com­ Dios g u ard e la im p o rtan te vid a de Y . M . d ila ta d o s años. rio con ejercicio de decretos D. Pedro Raíael del Bosque, pañía de g u ía s Bernabé A g u i r r e y los in d iv id u o s de ella T…</t>
  </si>
  <si>
    <t>NZALEZ, GO</t>
  </si>
  <si>
    <t>GO NZALEZ</t>
  </si>
  <si>
    <t>…o D. M i ­ no no habia cumplido con su deber, puesto que no habia sín­ que tiene presentados. guel Sánchez del Pozo, Dip utado suplente por la provincia de tomas de alteración de la tran q u ilid ad que motivasen la diso­ El Sr. GO NZALEZ manifiesta que en esta segunda parte Cáceres, en reemplazo de D. A lvaro Gómez B ec e rra, que ha lución de la junta. se presenta una cuestión enteramente contraria á ia primera, sido nombrado Senador. El Sr. COBO DE L A T O R R E manifestó que excluido el puesto que en el primer caso se q…</t>
  </si>
  <si>
    <t>Nárvaez, Francisco</t>
  </si>
  <si>
    <t>Francisco Nárvaez</t>
  </si>
  <si>
    <t>…el m ism o GRAN BRETAÑA. en momentos poco oportunos. Suponen algunos que el Psp*, m in isterio ; cesando en el desem peño in terin o de él el te­ en el dia en la mejor inteligencia con el Gobierno de Luis Fa n ien te genferal D. Francisco Nárvaez. T end réislo en ten d i­ . L ondres 6 d e N oviem bre lip e , no piensa recibir en audiencia al duque: acaso también la indisposición del Santo Padre le haya impedido recibir al P rín ­ d o , y d isp o nd réis lo necesario á su cu m p lim ien to .= E stá cipe. La duquesa de Berr…</t>
  </si>
  <si>
    <t>O-D, Leopoldo</t>
  </si>
  <si>
    <t>Leopoldo O-D</t>
  </si>
  <si>
    <t>…trastornar las instituciones del pais. Esta mañana á las cuatro ha salido el Excmo. Sr. general el ano de 1857, el mismo que es ahora objeto de nuestra dis­ Los solemnes procedimientos de los tribunales de justicia y en gefe D. Leopoldo O-D onnel! por el camino de Liria. Le cusión, el Sr. A rrazola, tratando de invalidar las elecciones de la impávida ejecución de las leyes por todos los que la tienen ha seguido un numeroso convoy de artillería , pertrechos , m u ­ Malaga se explicó en estas terminantes palabras que va i oí…</t>
  </si>
  <si>
    <t>O-Donell</t>
  </si>
  <si>
    <t>…pasará de 27 á 28 g r a ­ Desde el 28 del último Noviembre permanece eo esta plaza suelo trabajado , no esquivéis la participación que la ley os con­ dos centígrados, y los trabajos se detendrán , porque probable­ el Sr. general O-Donell con el E. M. y los batallones, ocupando cede, ni olvidéis que el pueblo que de veras ama la p a z , ese la mente se encontrará alli el agu a ascendente. M r. Arago parece los cantones de C am arillas, el Soto, Inojosa, Monteagudo y A l - consigue negándose abiertamente á influencias perjudi…</t>
  </si>
  <si>
    <t>…queda destrozado, y á pesar de todo se defiende sin apa­ culadores para cometer fraudes, esto es, para vender colores tieron en hacer pasar una corriente de agua acidulada al tra­ rentar el menor desaliento. Pero nuestro general O-Donell tie­ falsos por sólidos, y de ahí la necesidad de abrir una nueva de una vena (la crural de un hombre; sumergida en un ne buen corazón para tratar facciosos; que si no se le entregan, senda á los conocimientos humanos para cultivar el arte de re­ vés baño de tintura azul de tornasol, que…</t>
  </si>
  <si>
    <t>O-Donnell, Leopoldo</t>
  </si>
  <si>
    <t>Leopoldo O-Donnell</t>
  </si>
  <si>
    <t>…año próximo pasado , inserta en el Bole­ valiente y aguerrido general en gefe del ejército del Centro’ y que el color del agua subsistía variado, m iró al fondo, tín num. 8 7 2 , los medios que debían emplearse, según el dic- D. Leopoldo O-Donnell con su estado mayor. ( Id.) y se en contró sobre un m ar blancuzco con m anchas negras, ameo emitido por el Sr. D. Antonio Ferrer, vocal de la Exce­ sem ejante al Banco de B a h a m a , dirigiéndose á proa para lentísima diputación de esta provincia, haciéndose á los al­ descu b…</t>
  </si>
  <si>
    <t>OACTUALDELAS</t>
  </si>
  <si>
    <t>…2 4 .... 400............. Zaragoza. Y ULTIMO TEATROS. La dirección general ha dispuesto que el sorteo que ha de PRINCIPE. Hoy martes no hay función. verificarse el dia 10 de Junio próximo, sea bajo el fondo de D E L M E TO D O A C T U A L D E L A SUSTANCIACION Mañana miércoles se ejecutará la comedia en tres actos, no 44^ pesos fuertes, valor de 223 billetes á dos duros cada uno, de cuyo capital se distribuirán en 600 premios 35000 pesos representada hace síeis años, arreglada á nuestro teatro por fuertes, en la forma s…</t>
  </si>
  <si>
    <t>OARTISTA</t>
  </si>
  <si>
    <t>…odas las que se imprimieron. mientos de beneficencia y de utilidad pública , corno depósitos a u x iliar. E n el dia se dice: m e habéis m e n e s t e r , y rara VC2 de mendicidad , colonias agrícolas &amp;c. A L D E S G R A C IA D O A R T I S T A habéisme m e n e s t e r . Es verdad que pudo haber puesto esta ex­ No obstante, resta aun mucho por h ac er, y el aflictivo es­ t r a v a g a n c i a gram atical en boca del gracioso , en la que no tie­ DON AN T O N IO M A R I A E SQ U IVEL. pectáculo de la extremada miseria de l…</t>
  </si>
  <si>
    <t>Oartistas</t>
  </si>
  <si>
    <t>…ecio á que ahora se vende. por las observaciones curiosas que contienen , la 9 .a en que tra­ José Montes Salazar , se llam a, cita y emplaza á los que se Todos ellosO serán T R O DIA ejecutados B LO Ppor R E Ddistintos IC A D Oartistas; R, y para ta de la tierra , y la 11 .a en que habla m uy detenidamente de consideren con derecho á su fincabilidad, ya sea en concepto los de los autores antiguos se buscarán los originales mas fieles los cometas y de la influencia que puedan tener ó hayan te­ de herederos, ó ya en el d…</t>
  </si>
  <si>
    <t>Obras</t>
  </si>
  <si>
    <t>…ue 110 con tanto ardor como antes. Los negros del campo se muestran mas dóciles; pero los de la ciu­ 8 e lee en el mismo periódico: dad son cada dia mas indóciles. Se han presentado varias peti­ FRANCIA. M r. Nothomb, ministro de Obras públicas, ha partido hoy ciones al cuerpo legislativo para que se revisen las leyes electo­ para Londres por Amberes. No estará de vuelta en Bruselas rales , como igualmente para que se haga mas extenso el dere­ Paris 9 de Abril. hasta dentro de 10 ó 12 dias. Su viaje tiene por objeto en ta­ c…</t>
  </si>
  <si>
    <t>…una crisis larga y dolorosa ha dado prue­ Leido en seguida el proyecto de ley á que hace referencia mitida. bas, por la prudencia de su actitud, de cuánto conoce y apre­ este preámbulo, y otros varios que presenta el ministro de Obras cia esa necesidad de reposo y de estabilidad que hoy experimen­ públicas pidiendo fondos para diferentes atenciones del servi­ ta el pais. {Aplausos en 'el centro.) La Cámara continuará esta cio , dió cuenta de varias peticiones la comisión encargada da EFlunes último reinaba la mayor eferv…</t>
  </si>
  <si>
    <t>Oca</t>
  </si>
  <si>
    <t>…in a l y ostensible e m ­ S a l g a d o , secretario d e l.a y u n t a m ie n to de A r o y com andante de peño envolveros en nuevas desgracias y a m a r g u ra s en cambio N acionales de la B a ñ a ; D. Jacobo b eñorans, cura de Oca ; Don de vuestros sinsabores é incomparables c a la m id a d e s, o b ligán do ­ Redro O t e r o , e s tu d ia n te ; D. M ig u e l López V e r e a , c ura de Chiva 2 2 d e F ebrero. me los partes que con tales justiflcriLivos me fueron á Tolosa A n g e r i t , y D o m in go S a lg a d o , la b…</t>
  </si>
  <si>
    <t>Ochan, José</t>
  </si>
  <si>
    <t>José Ochan</t>
  </si>
  <si>
    <t>…rilla de malhechores , salieron en su persecución 12 Nacio­ tado del extrangero á Rusia, sin comprender las cartas geográ* brar ta m b ié n suplentes de estos últimos, conforme al nales de dicha villa , mandados por el capitán D. José Ochan­ ficas, los grabados y los libros de música, 495052 volúmenes, art. 4.° de la misma ley. do , los cuales consiguieron dar muerte á uno, coger un pri­ de los cuales cerca de una tercera parte han venido de Francia, Por últim o, es la voluntad de S. M. encargue al celo sionero y dos escope…</t>
  </si>
  <si>
    <t>Ochando</t>
  </si>
  <si>
    <t>…ex p ed ició n de d ichos ce rtifica­ que acredita de bizarros á cuantos concurrieron á él , reco­ salud. do s, y rem itien d o n oticia circ u n stan ciad a de las q u e l i ­ mienda á todos, y con especialidad al citado capitán Ochando, b r a re al m in isterio de vuestro cargo. al subteniente de la misma Milicia D . Nicolás Alvarez , al sar­ gento primero Juan Manuel M artin , al cabo Isidro M ig u el, y T en d réislo e n te n d id o , y d isp o n d réis lo n ecesario á su al Nacional Dámaso Alonso. cu m p liffiien t…</t>
  </si>
  <si>
    <t>…pocos eran los libros buenos que tenían los pro­ y se le ha visto, se han alzado los vivas de aquel pueblo in­ fesores para enseñar á los franceses la hermosa y rica len­ complacería hacer no pareciesen exactas al juicio del Sr. Ochando, me menso con tanto entusiasmo, que apenas se oian las salvas de gua española: el Sr. Sotos Ochando con su talento y la­ en responder á cualquiera objeción ó duda la artillería. boriosidad se ha propuesto llenar este vacío escribiendo que se le ofreciese, y tendría particular complacencia en…</t>
  </si>
  <si>
    <t>Ochando, Bonifacio Solos</t>
  </si>
  <si>
    <t>Bonifacio Solos Ochando</t>
  </si>
  <si>
    <t>…ras forman una vocal compuesta Los claros y avenidasMe extramuros estaban cubiertos de que tiene el sonido de 0; pero si fuese diptongo, se pro­ gentes que le querian ver y aclamar primero que los de las do Obras que del Dr. D. Bonifacio Solos Ochando , diputa­ fue á Cortes , y profesor de lengua castellana de nunciaría au. Este ejemplito basta para hacer ver la exac­ calles, y en el pasco de Stn. Engracia y plaza de la Consti­ SS. AA. los Sermos. Sres. Duque de Orleans, Príncipe de titud de mi preposición sin necesidad d…</t>
  </si>
  <si>
    <t>Ochando, Sotos</t>
  </si>
  <si>
    <t>Sotos Ochando</t>
  </si>
  <si>
    <t>…aquel pueblo in­ fesores para enseñar á los franceses la hermosa y rica len­ complacería hacer no pareciesen exactas al juicio del Sr. Ochando, me menso con tanto entusiasmo, que apenas se oian las salvas de gua española: el Sr. Sotos Ochando con su talento y la­ en responder á cualquiera objeción ó duda la artillería. boriosidad se ha propuesto llenar este vacío escribiendo que se le ofreciese, y tendría particular complacencia en Del arco triunfal que hay á la salida del paseo á la pla­ al efecto cuatro volúm enes, sin c…</t>
  </si>
  <si>
    <t>OCHO</t>
  </si>
  <si>
    <t>…siego algo mas largo nistro de la Gobernación , acompañando una manifestación del aclaraciones. á tratar del reglamento, y comenzaron las conferencias, que con Sr. D. Alvaro Gómez Becerra, pidiendo ser admitido ea el Se­ El Sr. OCHO A : Tengo que rogar antes de todo á los se­ penosa im p ortunidad habia yo tanto solicitado , y que siem­ nado. ñores taq u íg rafo s, que si no me oyen ó no me en tien d en , que pre diferian las mudanzas ministeriales; porque cuando un m i­ Entró á ju rar y tomó asiento el Sr. D. Francisco…</t>
  </si>
  <si>
    <t>…la supresión de aquel periódico; pero yo apareciese la verdad y supiera á qué atenerse el Senado. que ha dicho S. S. para que se sirva el Gobierno dar sobre ello apelo á todos los que me escuchan que me digan si hubo m a­ El Sr. OCHO A expuso ei¿ contestación á lo dicho por el explicaciones. dre de familia en Madrid que no quemara aquel periódico ape­ Sr. Becerra, que la comisión examinaba cuidadosamente la le­ En el dia de ayer tropa armada circuía este recinto, y las nas llegó á su casa para que no lo leyeran sus hijos; t…</t>
  </si>
  <si>
    <t>…ara sn'conocimiento coro© para e ld e 'Ion demás Sres. Se­ SúéíeocraM# á otra cualquiera.. . el Gobierno ¡no debía tener mas óbices que aquellos que le pu­ nadores ,, que es los proyectos de ley» si Is resolución era nega­ El Sr. OCHO A expuso qae liquidar mo quería idecir otra siese» las leye% y que con establecer la junta; quena et proyecto tiva f, no podían volver i la comisión# lio qae no sucedía con cosa sino qne las oficinas de la ' Hacienda pública' presentarían' se proponía» solo conseguiría establecer gastes conside…</t>
  </si>
  <si>
    <t>OCHOA</t>
  </si>
  <si>
    <t>…ta arma , y dichosamente la nuestra tieue en su fa­ extrangera no son franceses: hay en ella sobre todo muchos po­ de los demas, pero no cooperar al trabajo. lacos que serán admitidos á recibir los subsidios concedidos por El Sr. O C H O A iudicó que esta proposición mas debia vor la instrucción, la disciplina y la fuerza moral. Es verdad la Francia á los refugiados. considerarse como una petición que no como un proyecto, y que la extraña topografía de nuestra Península les favorece pa­ E n seguida queda aprobado el párrafo…</t>
  </si>
  <si>
    <t>ley , y a estaba reconocida la R ein a Gobernadora como tato ra y El Sr. OCHOA contestó en cuanto á las ju n tas de partido la hacienda p ublica procederán ejecutivam ente con el mavo ‘ curadora de su augu sta H ija : asi pues que era inoportuno en­ que no las creia necesarias por las mismas razones ya expuestas, gor contra los deudores. ^ r r,~ trar en esta cuestión.…</t>
  </si>
  <si>
    <t>Ochoa</t>
  </si>
  <si>
    <t>…l influjo del partido dominante vencía en la cho campo de la política, y engolfarse en cuestiones , hechos sertaremos íntegro en el número de mañaoa.) contienda. y opiniones de.alta im p ortan cia, pero que no tienen rela­ El Sr. Ochoa. hizo v arias aclaraciones. Nuevas dilaciones se excogitaron. Alegó el Gobierno portu­ ción n ing un a con las actuales circunstancias. Ciertamente que El Sr. M inistro de E S T A D O : Con ocasión del párrafo del gués que el reglamento contenía muchos artículos que estaban ambos oradores se a…</t>
  </si>
  <si>
    <t>…bastar el ver que la persona pueden llamarse rebeldes, y han podido y debido ser admitida*. ñores Diputados que le defendieron anteriormente. misma iuteresada no reclama ; buena prueba que no reside tem­ Después manifestó el Sr. Ochoa que no habia exactitud en de­ Se declaro el punto suficientemente discutido como también poralmente en el extrangero contra su voluntad. ¿ T a n fácil es, cir en el discurso del trono, que las bandas rebeldes que infesta­ que había lugar á v o tar, siendo aprobado el dictamen. J sino-, hacer…</t>
  </si>
  <si>
    <t>Ochoa, Benito</t>
  </si>
  <si>
    <t>Benito Ochoa</t>
  </si>
  <si>
    <t>…4 DE JUNIO. habiéndose realizado con las formalidades que la misma pre­ viene, tocó á los sugetos siguientes: D. Alejandro Peña Villa- toando en esta provincia pudo con un puñado de soldados con­ rejo, D. José María Alvarez, D. Benito Ochoa, D. Francisco tener á las hordas facciosas en los límites de sus guaridas , y López, D. Juan Tejada y Lozano, D. José María M altrana, uuuca osaron pisar esta fértil vega, ni fhvadir los ricos pue­ D. Eugenio Hernández Borbon, D. Juan Bautista Verdegal, blos de 1a Ribera. Es el mismo…</t>
  </si>
  <si>
    <t>Ochogavia, Gerónimo</t>
  </si>
  <si>
    <t>Gerónimo Ochogavia</t>
  </si>
  <si>
    <t>…s y contadu- de acreedores se consideren con derecho á los bienes que han los que quieran optar á dicha plaza dirigirán sus solicitudes y ría general de valores estados trimestres expresivos de los quedado por fallecimiento de D. Gerónimo Ochogavia , vecino mas documentos, francos de porte , á la secretaría de este ayun­ productos y gastos de los derechos arrendados. y administrador que fue de cuentas decimales del partido de tamiento; en la inteligencia que solo se tomarán eu considera­ 11. Si el arrendatario no cumpliese…</t>
  </si>
  <si>
    <t>Octa, José</t>
  </si>
  <si>
    <t>José Octa</t>
  </si>
  <si>
    <t>…ea saber de la existencia y paradero de D. Francisco Seis juegos de útiles para barrenos: 12 barrenos de vario? ciones enérgicas para frustrar cualquiera tentativa , y que e Pernigotti, natural de N o v i, en Italia , hijo de D. José Octa­ tamaños; 12 agujas de idem idem: 11 atacadores de idem: 6 cuerpo de celadores de protección y seguridad pública, aunqui vio. El que pudiere dar razón la dirigirá al Sr. cónsul de Es­ pies de cabra ó palancas: 2 embudos; 2 medidas para pólvora; no muy numeroso, estando distribuido como e…</t>
  </si>
  <si>
    <t>OCUME</t>
  </si>
  <si>
    <t>…:onsideracion &amp;c.:=DedeI. tos presentados por una y otra parte, la Conferencia vino á ¡ignar eu la nota dirigida al infrascripto, con los proyectos de proponernos á fines de Octubre una suma media de 5-400,000 fr.; tratado. J D O C U M EN TO C. suma que ha reducido mas tarde á cinco millones, mientras Los Sres. plenipotenciarios de las cinco grandes Potencias que por nuestra parte hemos acabado por presentar la de 4000, inun dan que han pesado cuidadosamente las diferentes recla­ Vota dirigida por la Conferencia al pleni…</t>
  </si>
  <si>
    <t>OCUMENTOA</t>
  </si>
  <si>
    <t>…negociación; pero íntimamente conven­ tado ventajoso. Con esta idea lórd Palm erston, por su tema i d o en el fuero interno de su conciencia de haber seguido la de 50 de Setiembre de 1852 , y nuestros plenipotenciarios , por D O C U M E N T O A. senda de las representaciones y de la perseverancia todo el la nota que pasaron en 1855 , propusieron que se suspendiera tiempo que ella le habia trazado para el ínteres bien entendido el reembolso del todo ó parte de los atrasos hasta que la liqui­ Nota dirigida á la Conferenci…</t>
  </si>
  <si>
    <t>OCUMENTOD</t>
  </si>
  <si>
    <t>…reglamento definitivo en el tratado, y no Las dilaciones en la ejecución de los 24 artículos, dilacio­ dejar consagrar de hecho el precedente de una aplicación pro­ nes que no son imputables á la Bélgica, y que estrechando los D O C U M E N T O D. visional. Es de notar que la tarifa de Maguncia hubiese im - lazos formados por una larga comunidad de gobierno, de re­ “ puesto al rio un derecho de mas de cuatro íiorines; derecho tan cuerdos nacionales y de simpatías han dado lugar á que su p u - Respuesta de la Conferencia á…</t>
  </si>
  <si>
    <t>ODE</t>
  </si>
  <si>
    <t>…uosas* e rig id a s por la i n ju s tic ia para oprobio é ignom&gt;iaia de ses después desafió al lord S id m o u th que era m i n is t r o , y á la especie h u m a n a ? El bien público, la salud del E sta d o , la se­ T R A TA D O D EL DERECHO P E N A L, q u ie u creia causa de su prisión. Fue preso segunda v ez, y á g u rid a d . Salus p o p u li su p rem a lex es to. N o : p rim ero debe poco tiempo puesto en lib ertad. El 25 de Febrero de 1 8 2 0 se perecer todo el género h u m a n o , antes q u e u n inocente suba al p…</t>
  </si>
  <si>
    <t>ODELDER</t>
  </si>
  <si>
    <t>…ti rú e en esta inacción. mento a c a b a m ^ d e recibir algu n as noticias de B uenos-A ires. El infrascrito debe asegurar á Y . S. que dichas reclam acio­ Rosas se halla furioso á consecuencia de cierta correspon­ T R A T A D O D E L D E RECH O P E N A L , nes han merecido y merecen siempre una especial atención al dencia que ha interceptado. Según él se ha descubierto una Gobierno de S. M .; pero debe repetir al mismo tiempo lo que nueva conspiración; en un momento han sido presos 25 per­ d e Mr, R ossi: traducido al ca…</t>
  </si>
  <si>
    <t>Odo-</t>
  </si>
  <si>
    <t>…endones; Mas de las Matas y las demas divisiones en dicho pueblo , L a ha querido hacer de esta elección un acontecimiento político, se Y cubrían mis caves la llanura Ginebrosa, A gu av iv a , Calanda , y Alcorisa ; y el general Odo- hace cada vez mas improbable. La Academia no querrá sin d u ­ Del ancho mar profundo, oell con las suyas en Camarillas y pueblos inmediatos. da que la república de las letras sirva de instrumento á una pandilla, y se decidirá por un hombre enteramente literario Y no cabiendo aqui la gloria tni…</t>
  </si>
  <si>
    <t>ODOLFOS</t>
  </si>
  <si>
    <t>…e M a drid . Baus. acomodándola á lo que exige la mudanza de los tiempos y al 1 .° Una escogida sinfonía. estado actual de los conocimientos humanos. Esta corporación celebra su junta general ordinaria el sába­ 2.° V E L L I D O D O L F O S , drama n u e v o , h istórico, o rigi­ Inútil fuera detenerse á enumerar las ventajas de que los do 14 del corriente á las ocho de la noche , lo que se pone en nal , en cuatro actos y en verso. escritores modernos se propongan como dechado á los que en conocimiento de los Sres. soci…</t>
  </si>
  <si>
    <t>…u ­ Títulos al portador del 5 por 100, 27 con cupones al con­ 1.° Una escogida sinfonía. ra de sus virtu des sin el temor de parecer exagerad o y tado: 2 8 ¿ , 2 8 , 27 trece diezúeisavos, 2 8 f , 2 7 \ y 2 7 f á 2.° V E L L I D O D O L F O S , drama nuevo, histórico, origi­ sin el peligro de ser desmentido. Desde el regio alcázar v. f. ó vol. y firme: 2 9 | , y 50 á v. f. ó vol. á prima de | , i nal , en cuatro actos y en verso. hasta el h u m ild e alb erg u e del pobre han pasado de u n o y 3. por 100 con cupones. Al pon…</t>
  </si>
  <si>
    <t>Odouell</t>
  </si>
  <si>
    <t>…Se añade que anoche estaba acabando. decia que á consecuencia Je haber interceptado uo parte en el n o , ocupando el m inistro que nuev am en te se no m b re la ( Constitutionnel.) que el duque de la Victoria prevenia al general Odouell avan­ plaza vacante en la sala de donde salga el que pase á ser zara hacia Villarluengo y fortificar el convento de monjas del presidente. Moote Saoto, habia dispuesto Cabrera fortificarlo inmediata­ 3.° Q ue sin em bargo de lo que va dispuesto, cu ando Leemos en el Semafora de Marsella del…</t>
  </si>
  <si>
    <t>Odriozola</t>
  </si>
  <si>
    <t>…tan bien puesto el nombre del director D. Juan Claudio cinco alumnos. Estos dieron claras muestras de sus conocimien­ Diaz y el de sus dignos colaboradores. tos en los órdenes dórico, jónico, corintio y compuesto, trazan­ El Sr. Odriozola completa con esta obra, fruto de sus Las clases de religión , lectura, caligrafía española é ingle­ do eu la pizarra por sí mismos la planta de los varios que se sa , aritmética elemental , gramática castellana y escritura prác­ les pidieron, con explicación minuciosa de sus partes y nom…</t>
  </si>
  <si>
    <t>…d o r, gránde político y gran general. Es verdad que este lé hon­ en lugar de la fuerza humana. 110 solo a los que puedan tener necesidad de sus principios raba cuanto p o d ía;, pero la presencia de un aitro no permite El Sr. Odriozola, para hacer extensa la utilidad de su en la fabricación y uso de las maquinas , sino también á brillar mucho á sus satélites. L e y v a tenia en el ejército una libro á los que se dedican á la práctica de la maquinaria los sábios que hayan estudiado estas doctrinas en libros ex- compañía…</t>
  </si>
  <si>
    <t>Oersted, Estado</t>
  </si>
  <si>
    <t>Estado Oersted</t>
  </si>
  <si>
    <t>…hará progresos en la civilización, cuya senda ha abierto Fede­ ca de 9000 libras esterlinas, ó 22 millones y medio de francos) rico vi á su pueblo. votados por las cámaras. Se creia que esta emisión causaría un El consejero de Estado Oersted tomó en seguida la palabra: gran trastorno en la plaza de Rio-Janeiro. (Glube.) El jueves próximo es cuando debe ocuparse la academia V i v irnos , dijo , en una época notable, llena de peligros pa­ francesa en nombrar un nuevo individuo en reemplazo de Mr. ra el pueblo y para el pr…</t>
  </si>
  <si>
    <t>Ofalia</t>
  </si>
  <si>
    <t>…c t a ^ los artículos 6 5 ,y El Sr. I S L A F E R N A N D E £ deshizo una equivocación pa­ $itá en el .propio local, -donde,-estarán de manifiesto los arance­ 67 que van á leerse al Senado. / w * •&gt;. ¡ decida por el Sr. conde de Ofalia , á que replicó dicho señor. i</t>
  </si>
  <si>
    <t>…...... . . . . . . . . . Logroño. autor D. Fraocisco de Rojas. ofrecer en general el lustre y la fijeza que se requieren Marques viudo de Valladares.......................... . . L u g o . para representarla fielmente. Conde de Ofalia.............................................. Idem. Se hallará á 3 rs. en la librería de Cuesta, frente á S. Fe­ D. Juan M u g u iro .............................................. .. Madrid. lipe el Real. Con el objeto de evitar semejante escollo, se ha pro- D. Eugenio Ladrón de Guevara....…</t>
  </si>
  <si>
    <t>…da á la audiencia ó tribunal superior , y favor del Pretendiente. íe ha citado de una manera, á mi entender , un poco am bigua, no habia mas que una audiencia en Santo Domingo. Nosotros Presentado el ministerio del Sr. conde de Ofalia , se descu­ sin que se crea que por esto trato de hacer inculpación ai ac­ hemos tenido mas progreso: en este siglo, señores, tenemos y a ; brió lo que para mí es evidente. No hablo, señores, de esa pa­ tual Gabinete. Voy á hablar de loque ea el discurso de S. M. tres tribunales superiores :…</t>
  </si>
  <si>
    <t>Ofarrill, José Ricardo</t>
  </si>
  <si>
    <t>José Ricardo Ofarrill</t>
  </si>
  <si>
    <t>…. 51 1,094. . . . 8000 ps. fs .. Zaragoza. 4.0 La gran vista de m arina, saludo y naufragio de un D. Juan Montalvo......................................................... . 51 8,664 . . O. 5000.............. Algeciras. buque. D. José Ricardo Ofarrill.................................................. 54 1 9 .5 8 5 .... 1000.................. Valencia. Empezarán á las cuatro y media de la tarde y siete y me­ Conde de Feroandioa......................................................... 51 8.275.. .. 1000.................. Madr…</t>
  </si>
  <si>
    <t>Ofelia</t>
  </si>
  <si>
    <t>…creí ha­ 4o una breva diiíCttswu sobre d 8 2 , que fue sostenida entre i dos terceras parles fie votos porque se trataba fie la. desposesioo ber obtenido siquiera aquella nrbauidad y cortesanía que «s los Sres, P eros, conde de Ofelia , marques de Y al gomera „ Ca- ; fie un derecho fie mucha importancia y trascendencia, cual propia.' -ialravx* Rui» de la Yaga y duque de Castrotenreño, El córate- : era fie cas© fie declarar la incapacidad del Rey. E3 Sr, Peña Aguayo insistió en que el Sr- Ortigosa hablaba nido da dictaos…</t>
  </si>
  <si>
    <t>Oiave, Matías</t>
  </si>
  <si>
    <t>Matías Oiave</t>
  </si>
  <si>
    <t>…isuelto el dia 17. ii p rra: Luis Igartuburu: D. Benito Picardo: D. Grego- proyectos de ley ó reglamento, conforme lo acordó en la legis­ Que no habiendo llegado á noticia de aquellos electores su atabal: IX Pedro Martínez:. D. Matías Oiave; D. Manuel latura anterior en igual caso. expulsión hasta el 21 , no pudieron hacer valer su derecho ha­ d ar*A?: ^08&lt;l u*0 U rtetegui: D. José de la Viésca: D. A n- . Aprobado sin discusión. llándose disuelta la diputaciou provincial. es varez: D . Manuel Leiras: D. Pedro Pascual Vel…</t>
  </si>
  <si>
    <t>Oiivan</t>
  </si>
  <si>
    <t>…elativa al suplente? Pídanse ios docu­ El punto se ha atacado, sí, pero es secundario, y la elec­ sí; pero tengamos presente cómo eq esos países, donde tantos mentos que quiera el Sr. Iñigo para con ellos aclarar la ver­ del Sr. Oiivan no debe solo llamar la atención de las Cor­ adelantos se han hecho en el Gobierno representativo, se forman dad de tos hechos; pero no suspendamos la admisión de los D i­ ción tes, las que la han debido llamar son las primeras elecciones; los juicios exactos, esos grandes jurados, ¿ cómo form…</t>
  </si>
  <si>
    <t>Oiría</t>
  </si>
  <si>
    <t>…on la escuadra del ca­ tro plenipotenciario de Rusia cerca de la corte de los Fúses- guiente: pitán bajá.- Bajos, como también el conde de Ilandenbcrg, m inistro resi­ Q ue habiendo salido de la plaza de Tam pico el Sr. general Oiría périódicó ab u n d a que üri torreo llegado de Marsella dente de Hanoóver cerca de la misma corte. D . José Urreá á asuntos del servicio , suced¡endose de esto al­ en pocÓS días há dédo m otivo á qué se celebre 110 consejo en el gunas circunstancias desagradablesá la plaza, á que se acum u­ Ga…</t>
  </si>
  <si>
    <t>Oiózaga</t>
  </si>
  <si>
    <t>…actas, necesidad d e q u e estaban bien siva am abilidad. ju n ta preparatoria, puesto que aquel aun no se halla constitui- convencidos los legisladores, porque de dejar abierta la puerta . do. Por lo m ismo, quisiera que el Sr. Oiózaga , que tiene pedi­ para que no asistan, no habrá quien certifique de la celebración d a la p alab ra, se sirviera desvanecer esta duda que se me del acto, ni menos quien denuncie los abusos que se puedan A yuntam iento constitucional d e M a d r id . ofrece. cometer. El Sr. O L O Z A G A :…</t>
  </si>
  <si>
    <t>…los buenos efectos que debia producir la ministrativo: esto es lo que se quiere evitar por esta ley. nuevo á la deliberación del Congreso. Constitución del Est ado , observada, si uo en su to ta li d ad , en Pero ha dicho el Sr. Oiózaga que ya no estábamos bajo el E n vista de esta manifestación del Sr. I n fa n t e , quedaron la parte posible; fue ta m b i é n , y hago este justicia al Gobierno, Gobierno de ciertos hombres; pero si este hecho es cierto ¿cómo retirados los artículos. un reconocimiento de esos excesos, y una…</t>
  </si>
  <si>
    <t>Oiózuga</t>
  </si>
  <si>
    <t>…si digo que padecido una equivocación S. S. aí expresar que yo he dicho testigo presencial de todo. yo le formulé, y me refiero al Sr. A rteta; ya desde entonces que para toda ley que se vote en el Congreso se necesitaba El Sr. Oiózuga fue el primero que fue á abrazar al señor el Gobierno consignó su modo de pensar. Después el Sr. con­ tener la confianza del Gabinete; no he dicho yo eso: lo que Artera y este al Sr. Sancho , juntamente que al Sr. Ministro de de las Navas llegóse á este banco, y preguntó si admitiría he man…</t>
  </si>
  <si>
    <t>Ojeda, Manuel</t>
  </si>
  <si>
    <t>Manuel Ojeda</t>
  </si>
  <si>
    <t>…que las tiernas Sabemos que ha llegado á esta capital nuestro compatricio dos presentación. Pero siendo imposible esto, sedian visto precisa­ criaturas que se ponen bajo su dirección, han de ser algún dia el acreditado artista D. Manuel Ojeda A m andi, primer tenor los preceptistas á couceder el espacio de un dia ó dia y me- hombres que deben presentarse en la sociedad , no solamente que ha sido del teatro de Zaragoza, y ajustado er» la actualidad : habiendo ya en esta concesión una verdadera falta de ve­ adornados de conoci…</t>
  </si>
  <si>
    <t>Ojero</t>
  </si>
  <si>
    <t>…cepresiden­ esta sociedad se halla y a constituida aunque no definitiva­ res Solanot , Caamaño Pardo, Diez Tejeda , Salas Omaña , Ve- mente. rea Cornejo, Llenpart, Ondovilla y Francisco Navarrete. te duque de Frias , Secretario Ojero , Vicesecretario Rich. 3.a Sres. Presidente duque de Bailen , Vicepresidente Ochoa, Reuniéronse antes de ay e r en nuestra redacción los señores 2 .a Sres. Quintana , Rich , G arelly, Marques de Santa Cruz, que y a otra vez nombrarnos para seguir tratando de los me­ M ed ran o , González,…</t>
  </si>
  <si>
    <t>…iende en los casos er* El Sr. DIEZ DE T E JE D A expuso que y$ cuando,se discutió de ló cual se atrevía á asegurar que no h ab ia dos Senadores que los Sres. D iputados son agraciados por el Gobierno una ex­ éste articulo el Sr. Ojero ¡'.izo dos observaciones acerca del nbm- que opinasen dé! mismo m odo: que siendo una ley dé ta n ­ posición del Sr. D. Ram ón L a s a g r a , fecha en P a ris , m anifes­ bramiento de los in dividuo s de ay u n ta m ie n to : prim era acerca ta trascendencia la que se estaba d iscu tien d o ,…</t>
  </si>
  <si>
    <t>OJERO</t>
  </si>
  <si>
    <t>…cierta parte tenia razón; pero lejos de tra ­ poder dar una satisfacción á los comitentes. noble y justísim o, la pretendió, porque reconoció que la gran ­ tar de inculparle, porque yo le hago la justicia que le es debi­ El Sr. OJERO contesta diciendo que los señores que han deza ya no era una mera dignidad como hasta entonces. El da , me acordaba del noble ejemplo que d io , y ha repetido hoy pedido la palabra en contra han convenido en dar su voto at coude de Toreno ha hecho igual pretensión, y se le ha recono­ aqui mis…</t>
  </si>
  <si>
    <t>…para calificar la pro­ Gobernación. posición del Sr. conde de Vigo sobre señalamiento de término En cuanto á la adición á dicho párrafo 10, propuesta por el Sr. Tarancon , que dice: "y que se asegure la subsistencia por El Sr. OJERO impugnó el dictamen por creer que en la á los Senadores para presentarse en el Senado. tantos títulos debida á las religiosas y á los exclaustrados,” la adición no se hacia mas que prevenir una cosa que lo estaba Discusión del dictámen de la Presidencia y Secretaria sobre comisión , que siem…</t>
  </si>
  <si>
    <t>…una razón de suma fuerza para ser cauto*, tinentos , y los arrendadores de puestos públicos &amp;c. era una necesidad reconocida de hecho por todos los Gobiernos y esta razón se deduce de un principio que sienta la comisión; El Sr. OJERO se opone al proyecto, y mas particularmente y por los hombres de todos colores. He dicho que es una fata­ Dice esta , y con sumo acierto, que hay necesidad por instan*» á la creación de tas juntas para la liquidación de los créditos, lidad que en ciertos casos haya necesidad de leyes excepcion…</t>
  </si>
  <si>
    <t>…i la comiiion sobre1cada uno de loa artículos» manifestando que ley oe tenia efecto retroactivo. díamos prometernos otro resobado que el de unos 50 á 60 m i- las causar incoadas os podían venir i esa parte» que esto' pro­ E.l Sr. OJERO pidió' U lectura dé los des decrete dados, IleBflii, sin calcular los gastos anuales de estas j t i m t t e „ dallo pre­ duciría) usa gran co®fusión» y qoe las juntas pedían calificar» -e» 9 de Enero de 5 5 , y verificada, dijo que se necesitaba la cios© y que hubiera deseado ver consignado en…</t>
  </si>
  <si>
    <t>OKA</t>
  </si>
  <si>
    <t>…ra su cu m plim ien to, y dispondréis se im prim a , p u bliqu e de la fecha de este mí Real decreto serán admitidos en lo r , según tasación, de los que se declaren útiles,, la nota y circule.— Y O L A R E IN A G O B E R N A D O K A ^ E s t á ru­ los puertos españoles de la Península é islas adyacentes de in u tilid a d , expresando ;el m otivo de e lla , v los nom ­ bricadlo de la Reíd r a a n a ^ E u Palacio á 10 de E nero de los buques mercantes de C h ile en los mismos términos bres de los dueños y pueblos cíe su d…</t>
  </si>
  <si>
    <t>Olabarrieta, Francisco López</t>
  </si>
  <si>
    <t>Francisco López Olabarrieta</t>
  </si>
  <si>
    <t>…e Santa C ru z , presiden­ te de la comisión , y los Sres. D. Eugenio Perez, cura párroco Este puente no tiene mas de cinco arcos. ñó ayer con sus lágrimas firme hoy la sentencia de muerte de de S. G io é s, D. José Escario, D. Francisco López Olabarrieta, No siendo nuestro objeto al presente describir los otros puen­ su hermano? Sois libres, añadió , de negar vuestra refren­ D. J u a n Manuel Ballesteros y D. Eusebio M aría del V a ll e , se tes de piedra , aun mas magníficos que el mencionado, solo h a ­ dación á una co…</t>
  </si>
  <si>
    <t>Olea, Ignacio María</t>
  </si>
  <si>
    <t>Ignacio María Olea</t>
  </si>
  <si>
    <t>…regente, magistrados, dependientes de la 1 8 ,7 9 5 .... 5 0 0 ....... Cádiz. Id. D. José Rafael Fuentes, colector de Granabacoa. 8.. 4 audiencia y abogados del colegio de Puerto Prín­ 4 ,4 8 7 .... 5 0 0 ....... Zaragoza. Id. D. Ignacio María Olea.......................................... 8.. 4 cipe . 271 3 ,2 5 8 .... 5 0 0 ....... Madrid. “ Id. D. Antonio José González, cura párroco de 1 1 ,8 2 2 .... 5 0 0 ....... Sevilla. Consolación 8 .. 4 La suscripción abierta en la audiencia de Puerto Rico ha 1 2 ,1 9 2 .... 5 0 0…</t>
  </si>
  <si>
    <t>OLFOS</t>
  </si>
  <si>
    <t>…bajo en la rueda que el hombre, aunque no pesa mas de 1.° Una escogida sinfonía. una cuarta parte de este. Por último, la fuerza del perro pue­ Í R S c r ip c io n e s en el gran l i b r o á 5 p o r 1 0 0 , 00. 2.° V E L L ID O D O L F O S , drama nuevo, histórico, origi­ de aplicarse con mucha utilidad. Es verdad que el animal no Títulos aí portador del 5 por tOO, 2 7 | y 28 con cupones al nal, en cuatro actos y en verso. tiene fuerza en ei espinazo, pero la tiene en el pecho, por lo contado : 27} , § , 23 , 2 7 | , , 28}…</t>
  </si>
  <si>
    <t>…o por intentado, é incurrirá en la multa de cuatro 2.° Ultima representación, por a h o ra , de V E L L ID O Traída el agua del Nilo hasta este valle, que riega en toda su ducados, parándole ademas el perjuicio que haya lugar. D O L F O S j drama nuevo, histórico, original, en cuatro acto* longitud, no necesitaría ser conducida hasta el lago Amargo y en verso. para hallarle solamente á algunas leguas de distancia de Suez. Al poner en escena , con desconfianza del acierto, uno de los La utilidad inmediata que Mehemet sacó…</t>
  </si>
  <si>
    <t>OLI</t>
  </si>
  <si>
    <t>…cimiento de fanegas de cebada y 80 cabezas de ganado lanar de inas de 12 ! superioridad; enviando al Sr. intendente general m ilitar co­ carniceras cada u n a , que debía conducirles el siguiente día E L ASTROLOGO DE V A L L A D O L ID. pia de tao expresivo escrito, que tanto honor hace al que lo í Ager. produce, como á mí en poderte contestar; dando á V. S. las Los Sres. La torre (D. Carlos) y Guarnan (D. Antonio) se mas expresivas gracias, quedando enterado de cuanto V. S. tie­ Soria 50 de E n ero « Cuatro facciosos de…</t>
  </si>
  <si>
    <t>…ión al Gobierno á que un pedido que importará sobre 5 ó 4 millones sobre la con­ Ministerio de la Gobernación al de Hacienda. los efectos que crea oportunos. tribución extraordinaria de guerra, y ha creido que debia pro­ El Sr. O L IV A N contestó manifestando que esa fuerza ar­ El Sr. C A N T E R O : Señores, esta petición envuelve una poner se distribuyese esta cantidad con arreglo al cupo total mada pertenece mas bien al orden civil que al militar, y que cuestión sumamente im portante, y en ella seria muy conve­ design…</t>
  </si>
  <si>
    <t>Oliva, Francisco</t>
  </si>
  <si>
    <t>Francisco Oliva</t>
  </si>
  <si>
    <t>…s lisonjeros sucesos, Puntos de suscripción: En Barcelona se suscribe en la li­ bación de las actas , debe servir de norma la ley y hacer recaer y que confiaba eo que este heroico vecindario se apresuraría á brería del editor D. Francisco Oliva , calle de la Platería , n ú ­ aquella sobre las que resulte que se ha faltado á ella de una ma­ demostrar su júbilo y satisfacción, iluminando las fachadas de mero 8 , y en los demas puntos en las librerías siguientes: M a­ nera clara y terminante ó de un modo que pueda haber sospe­…</t>
  </si>
  <si>
    <t>Olivan</t>
  </si>
  <si>
    <t>…l Sr. Lozano. saber hum ane, y de qué fuente mana el purísimo raudal que D e aleman el Sr. Mieg. San M artin de Valdeiglesias 50 de Diciembre. La co­ los contiene. Asi es que mientra* vemos otro* establecimientos De ingles el Sr. Olivan. lumna que opera en ei valle del Tietar á las órdenes del coman­ nacer y morir casi en un punto, y algunos vivir pero cou una De geografía el Sr. Fabre. dante D. Luis Serrano , tuvo noticia como eu el pueblo de Fres- vida valetudinaria y achacosa , el nuestro se alimenta , pros­ De árabe el S…</t>
  </si>
  <si>
    <t>…odas las Cortes, á excepción putados los Sres. Férraz, Ayerve, Jiménez y Pertz de Rivas; Satisfecha cumplidamente la junta y el público de la ope­ de las constituyentes; y si este Congreso ha de representar los y respecto al Sr. Olivan que se pidan las actas de Montaña, y ración, el Sr. vicepresidente dió por concluido el acto conforme intereses del pais, podemos vanagloriarnos de que los que he­ una copia de un documento de otro distrito. 2.° De Zaragoza, mos salido elegidos por Navarra los representamos con una que opin…</t>
  </si>
  <si>
    <t>…tuviesen revestidos de facultades competentes* sión .sobre el expediente delcanal de Castilla. j En seguida anunció que continuaba la discusión de la to­ pero facultades arregladas á la le y , y exigirles la responsabilG El Sr. Olivan , á quien, tocaba, ¡a p a lab ra, la renunció. ' talidad del proyecto de iey sobre estados excepcionales, [id éa se d ad , caso de excederse de ellas. *. ¡ i: il| t El Sr. A K T E T A dijo en nombre de la comisión que si en la Gaceta de 5i de Diciembre último. El Sr. P ID A L se opone ai p…</t>
  </si>
  <si>
    <t>Olivan, Alejandro</t>
  </si>
  <si>
    <t>Alejandro Olivan</t>
  </si>
  <si>
    <t>…......................... D. A. de O ..................... ........................................................... 100 20 U a in c ó g n ito ............... . ................ D. G. de O ........................... 80 4 D. Alejandro Olivan. . . . . . . ............................................. D. V. de P ................................................................................... 80 12 Un Miliciano nacional............................................................ D. Manuel de A r r a z o la ...........…</t>
  </si>
  <si>
    <t>Olivan, José</t>
  </si>
  <si>
    <t>José Olivan</t>
  </si>
  <si>
    <t>…57. Doña Piosalía Jo y a, e n ‘solicitud de penúon. préstamo, y de contribuciones extraordinarias. de lo actuado en un pleito que sigue, y pidiendo ¿e suspenda 258. D. Antonio Jiménez, solicitando se restablezca la M i­ 177. D. José Olivan , presentando un plan de organiza­ todo procedimiento contra su persona. i licia nacional de Jerez al estado ea que se hallaba anterior­ ción de varios escuadrones de caballería. 220. Los curtidores y zurradores de la villa de O ío t, en so­ mente. 178. D. Antonio Llóreos de Simón, gua…</t>
  </si>
  <si>
    <t>…te á ocho , D. Juan M ie g , aleman. una brillante sinfonía se volverá á poner en escena el melodra­ M . G . . . ...................................................................................... 10 Idem.—De ocho á n ueve, D. José Olivan , inglés. ma nuevo, de grande espectáculo, en cinco actos, que tanto F. L. .................................................................. 20 Sábado.mDe siete á ocho, D. Saturnino Lozano , griego. ha gustado, titulado D . Felipe Giménez..................................... 57 U n caba…</t>
  </si>
  <si>
    <t>Olivan, Manuel Perez Hernández. Sr. D. Alejandro</t>
  </si>
  <si>
    <t>Manuel Perez Hernández. Sr. D. Alejandro Olivan</t>
  </si>
  <si>
    <t>…el Cosío. Sr. D. Francisco de Lujan. Sr. D. José Queraltó. Sr. D. Francisco Bartolomé y Colorao. Sr. D. Juan José García Carrasco. Sr. D. Antonio Puicerciís. Sr. D. Facundo Infante. Sr. D. José Perez de Rivas. Sevilla. Sr. D. Manuel Perez Hernández. Sr. D. Alejandro Olivan. Sr. D. Francisco Olavarrieta. Sr. Jaén. Sr. D. Rarnon María Narvaez. Baleares {islas). Sr. D. Joaquin Francisco Pacheco. Sr. D. Bartolomé Marin y Tauste. Sr. D. Juan Morales Cortina. Sr. conde de Ayamans. Sr. D. Antonio Benavides. Sr. marques de l…</t>
  </si>
  <si>
    <t>Olivares</t>
  </si>
  <si>
    <t>…desgracia de ser bastante para España en aquella época. Ojalá la hubiese adoptado tes; pero al ob&gt;ervar á los otros dos, en quienes todavía no poderosos para excitar sus sospechas, hallaron en él un su sucesor el conde duque de Olivares, cuyo furor belico­ habían aparecido los primeros síntomas de la terrible enferme­ amo inexorable. Casi todos sucumbieron; a 11i donde su so fue la causa de que decayese el poder español. dad , indicó al momento cuál de los dos seria el que los tendría mano 110 se descargó, fue porque su…</t>
  </si>
  <si>
    <t>Olivares, Francisco</t>
  </si>
  <si>
    <t>Francisco Olivares</t>
  </si>
  <si>
    <t>…ron ayer mañana á París, y los rumores que pasaje de esta bahía. (C. Ni) Y lo ha logrado: la enseñanza filarmónica dió ya principio circulan sobre los diversos despachos que se han recibido en el bajo la dirección del célebre D. Francisco Olivares, y á cargo ministerio de Negocios extrangeros, parecen, dice el Tiempo , de los dignos maestros D. José Garlos Borreguero y D. Blas Sán­ sumergir en la indecisión, ó dilatar al menos hoy, la cuestión chez E gido, auxiliados de pasantes de mérito conocido. Las aca­ que ayer pare…</t>
  </si>
  <si>
    <t>Olive, Pedro María</t>
  </si>
  <si>
    <t>Pedro María Olive</t>
  </si>
  <si>
    <t>…emente persuadido de que hace un ser­ crita en francés por A. F. Fourcroy , y trasladada al castella­ que también puede servir para el ataque, resultaría de aqui vicio eminente a su patria; pero cabalmente lo que noso­ no por D. Pedro María Olive , impresa de orden de S. M. año que la esgrima se convertiría en un verdadero juego de manos, tros extrañamos es que S. S. crea esto después de haber de 1803. Diez tomos en 4*° á I 4O r$* en rústica y 170 en pasta que haciendo perder al ejercicio de las armas toda su nobleza y si…</t>
  </si>
  <si>
    <t>Olive, Tomasa</t>
  </si>
  <si>
    <t>Tomasa Olive</t>
  </si>
  <si>
    <t>…ue por el m inisterio de la G u e r ­ ccEn las diligencias formadas en este juzgado sobre desapari­ El Sr. Ministro de la Guerra me dice con fecha 18 grau nsetandirigió al de mi cargo en 29 del mes an terio r p re ­ ción de Doña Tomasa Olive con su hija menor de la casa de d o si los cuerpos de la Milicia nacional tienen alg u­ su esposo D. Pedro María Delgado, habiendo resultado en las del actual lo siguiente: mismas que la Doña Tomasa, si bien se ausentó de casa de su «Deseosa S. M. la Reina Gobernadora de que se obser­…</t>
  </si>
  <si>
    <t>Oliver, Angel Iñiguez y D. José</t>
  </si>
  <si>
    <t>Angel Iñiguez y D. José Oliver</t>
  </si>
  <si>
    <t>…D. J u a n R u b io , D. Antonio S e g a le r v a , D. Eugenio S o u b i- á la puerta de la torre h ay la siguiente inscripción : D octrinam Satisfizo completamente las preguntas relativas á determi­ ron , D. Felipe B e n a , D. Angel Iñiguez y D. José Oliver , se e t justiliam d ir ig e J e h o v a in co r d en i c o r o n a d Christiani n ar la longitud por ambos medios, y principios en que se fun ­ les manifestó que en razón á lo bien que lo habían hecho, y q u a rti , 1642. wD ir ig e , Señor , el corazón del R ey Crist…</t>
  </si>
  <si>
    <t>Oliver, Gabriel</t>
  </si>
  <si>
    <t>Gabriel Oliver</t>
  </si>
  <si>
    <t>…Señores de E sp aña, con­ Otra id. en sierra Almagrera , cabeza de los Garrobos , tér­ P R O V ID E N C IA S JU D IC IA L E S . tiene el tomo primero la relación de la parte geográfica anti­ mino de Pulpí, Las Maravillas, por D. Gabriel Oliver, en 13. g u a , y de los primeros pobladores de España y diversas y ex­ Otra id. en dicho térm ino, en el Aquilón, puerto de los D N José Alfonso, abogado de los tribunales nacionales, trañas naciones que sucesivamente la dominaron y se disputa­ Peines, La Candelaria, por D. Diego Ma…</t>
  </si>
  <si>
    <t>…e 12 Otra id. , siena de Montroi, barranco de Pioalvo, término Títulos al portador del 5 por 1 0 0 , 2 0 £ , £, 2 l ^ y 21 á p. y 7 1. de a lt o , y 9 p. y 8 1. de ancho: Precio antiguo 14 Cuevas, Sr. de la Misericordia , por D. Gabriel Oliver, en 6. v. f. ó vol. : 20|, á 9 d. f. ó vo!. á prima de £ por 100 con reales, y moderno 10 . Otra i d . , loma y llano de Flores, térmiuo de A lm ería, Bue­ cupones. Idem de un Enano que está sentado en el suelo, pintado na vista , por D. Fernando Orihuela , en 6 . Inscripciones en el…</t>
  </si>
  <si>
    <t>Olmedo</t>
  </si>
  <si>
    <t>…isión de para el de Villadiego,D . Vicente los créditos que han debido presentarse liquidados, y se á D . Bonifacio Sauz, promotor Agramunt y Agram unt, juez electo de Solsona: de entrada, en la provincia de Burgos, fiscal de Olmedo; y para el de hayan considerado admisibles en cuenta de ella, debe Sigüenza , de ascenso, en la provincia REAL DECRETO. principiar á verse el resultado de los ingresos que en me­ te por proraocion de D. Tomas H uet, deá Guadalajara , vacan­ D. Francisco M artí­ tálico se han de realizar.…</t>
  </si>
  <si>
    <t>Olmos, José</t>
  </si>
  <si>
    <t>José Olmos</t>
  </si>
  <si>
    <t>…guerra , que las cantidades entregadas por este concepto á pueblo de Viana con sus armas y cananas. «Se ha presentado ya en este punto el comandante interino sus comisionados en las provincias son insignificantes, á coronel D. José Olmos.” pesar de lo que tan eficazmente se previno sobre el asun­ Lo que he creido conveniente transcribir á V. E. para su to a todos los intendentes en las Reales órdenes de 18 conocimiento. y 31 de Marzo último. Este resultado, tan contrario á las PARTE RECIBIDO EN LA SECRETARIA DE ESTADO…</t>
  </si>
  <si>
    <t>Olondriz, José Pablo</t>
  </si>
  <si>
    <t>José Pablo Olondriz</t>
  </si>
  <si>
    <t>…os á propuesta de las respec­ tivas audiencias, para la promotoría fiscal del juzgado de Fuen­ Amortización, Lorenzo María Cortijo.nSecretario , Francisco al mas puro regocijo, con la fundada esperanza de que m uy te Ovejuna D. José Pablo Olondriz , y para la de Guadix Don Catalá.rrEl asesor, Joaquín María Valcarcel.—El abogado fiscal, en breve, si no la persuasión , la fuerza destruirá estas ma­ Miguel de la Tubilla Ramirez. José Tomas Benjumea y Garboneil.zrEl contador interino de sas, y se pondrá térm ino á nuestras pr…</t>
  </si>
  <si>
    <t>OLOZ</t>
  </si>
  <si>
    <t>…mas español; si*se añ ad e, repito, todo es­ leyó el art. 4 ? del reglamento. En seguida dijo b le, y los profanos é iniciados pueden acercarse al arca santa, to se acercará mucho á la proposición can que contribuyen las El Sr. OLOZ íA G A ; Corresponciiéadome como autor de la y si van con buena intención, la verdad se revelará. Yo me demas provincias. Y sobre to d o , ¿ n o hemos dicho que el con­ proposición la preferencia sobre los demas señores Diputados en propongo probarlo, si el Congreso me continúa su benevolencia…</t>
  </si>
  <si>
    <t>OLOZAGA</t>
  </si>
  <si>
    <t>E! Sr. O L O Z A G A dice que no han podido menos los n in g u n o ha prom ovido en las C ortes m enos cuestiones buyeron al buen éxito de una función que desempeñaron todos que han formado el voto particular, de sentir el verse privados abstractas , y menos discusiones irritantes. Su lema es sus­ con perf…</t>
  </si>
  <si>
    <t>…, Rodríguez V era, Flerques, marqués dé Casé Iru jó , Olivan, g u ir su discurso. - '■ ;■ -^ 1 E l comandante general de! distrito m ilitar de Burgos en 27 Gispert, marques de Viliagarcía , M artínez Ay ala, Borrego, Bé- El Sr. O L O Z A G A : El Congreso tuv o á bien resolver con traslada una comunicación del comandante de la columna m ó­ navides, Ilúelves , Ferraz, F uentes, G uillen y G ra s , L in d e ro , «gusto mío, que quedáse para h oy - la coú t i nu ación Ide liúT, d is- vil del alto Ebro D. Francisco de Paula M…</t>
  </si>
  <si>
    <t>Olozaga</t>
  </si>
  <si>
    <t>…ificaron el 14 y 15 El Sr. SA N C H O deshizo largamente algunas equivocacio­ sino de un hecho aislado, del arresto del Sr. Diputado A lv a — de este mes en el colegio de humanidades de la plaza de Isa­ nes cometidas por el Sr. Olozaga , y con el mismo objeto usó re z ; si ha habido ó no infracción, no es ahora del casos el G o­ bel 1 1 , á cargo del profesor D . Tomas Y a re la , creo de mi deber después dicho señor de la palabra. bierno ha pedido autorización para proceder contra ese Sr. D i ­ manifestar al público mis…</t>
  </si>
  <si>
    <t>…rtenos de a d h e r ir s e a l re g la m e n to . do de rnis o p i n i o n e s , y q u e si le d o y es por e v i t a r m a y o re s &gt;ey de .as L u r t e s , procedió al r e p a r t im ie n t o de la c o n tr ib u c ió n j Ei Sr. O L O Z A G A ex p uso a l g u n a s razones en defensa de m a l e s , y p a r a tener sie m p r e á r a y a c u a n t o p ueda la a r b i t r a - j e x t r a o r d in a r i a de g u e r r a ; y qu e las p e g o n a s qu e ad m in istra r» j lo q u e p revien e el r e g la m e n to acerca del derec…</t>
  </si>
  <si>
    <t>…dad; y Ale­ rían el aire con sus exhalaciones pestíferas. Los buitres, es lectura , pidió la palabra , y dijo jandro Dumas comenzó escribiendo malos vaudeviUes. Ci­ Verdad, tienen menos lerocidad que la hiena y adive; mas El Sr. O L O Z A G A : Sensible es, Sr. Presidente, que en es­ tamos estos ejemplos entre los infinitos que pudiéramos esta diferencia puede provenir de la admirable locomo­ te momento no se halle constituido el Congreso. Yo creo que mencionar, solo como prueba de lo que arriba hemos di­ ción de aquellos a…</t>
  </si>
  <si>
    <t>…quien certifique de la celebración d a la p alab ra, se sirviera desvanecer esta duda que se me del acto, ni menos quien denuncie los abusos que se puedan A yuntam iento constitucional d e M a d r id . ofrece. cometer. El Sr. O L O Z A G A : Yo me alegro mucho haber oido al Hizo en seguida otras varias observaciones, manifestando El Excmo. ayun tam ien to constitucional ha acordado se ce­ Sr. Benavides, y deseo que tanto á S. S. como á los Sres. D ip u ­ que en su sentir las actas que se h ay an remitido al Congreso ó l…</t>
  </si>
  <si>
    <t>…ría de la comisión, siempre pacíficos habitantes. Ningún incidente ha turbado el GALERÍA DRAMATICA. y entonces esta ejercerá el pleno uso de sus derechos. alborozo de esta capital. E L M E D IC O Y L A H U E R F A N A , El Sr. O L O Z A G A : Señores, si el Congreso, si la na­ ción toda no supiera cuán grave es La cuestión sobre conce­ Z am ora 1.° de Octubre. Se ha cantado en la Santa igle­ comedia en dos actos y en prosa, traducida del francés por sión ó modificación de los fueros, serian un síntoma seguro sia catedral…</t>
  </si>
  <si>
    <t>…O : Yo miro la cuestión de distinto modo mienda al mismo tiempo que el proyecto de la comisión. larga lista, aunque fuese en el lugar mas remoto, porque apro­ que el Sr. Roda; porque lejos de creer que no hay diferencia en El Sr. O L O Z A G A contestó que el reglamento en el art. ¿\1 bándose la proposición, me llegaría mi turno de hablar. Pero discutir antes ó después la enmienda, veo que hay una distan­ da á los autores de una proposición, sobre la que no ha recaído señores, nada valen mis buenos deseos, ni los del Sr. Est…</t>
  </si>
  <si>
    <t>…de esta acta ? Que 578 electo­ que se oponga ningún artículo. lación á la comisión, porque esta habia prescindido de otros res nada menos habían sido admitidos á tomar parte sin estar El Sr. S A N C H O : Yo lo mismo que el Sr. Olozaga, quiero puntos en donde ocurrían dificultades. La comisión dice que ha comprendidos en las listas de la provincia. ¿Se coutradijo este que se adelante tiempo; pero me parece que lo que quiere S. S. reclamado las actas de los distritos donde han sido anulados los hecho, se negó por el comisio…</t>
  </si>
  <si>
    <t>…equivocación en que concepto; y que en la cuestión que nos ocupa los sentimientos salido de mi boca. habia incurrido, suponiendo que hubiese dicho que no habia de todos son uniformes, son iguales, y antes de entrar en el El Sr. O L O Z A G A : Señores, prescindiré de manifestar los fuero alguno en contradicción de la Constitución, cuando des­ eximen de la enmienda presentada por los Sres. Olózaga y de-r motivos ni las razones que justifican la presentación de la en­ de luego habia hecho una excepción á esta base. roas co…</t>
  </si>
  <si>
    <t>…rque no ha h ab lado sobre esta cuestión. e s e n c ia l p a r a q u e la cu e stió n sea de p a r t id o ¿ q u e o t r a cosa p r in c ip ia s i n n e g a b l e s de p o l ític a y de l e g is la c ió n q u e tan f e ­ E l Sr. O L O Z A G A : A mí me es indiferente que se me i n ­ p u d i e r a h a c e r q u e lo f u e s e ? Y o lo d i r e , s e ñ o r e s , con to d a li z m e n te tocó a y e r , las l e y e s , s e ñ o r e s , q u e h a g a n los D i p u ­ terru m p a ó n o , que muestren un as ideas d o t r a s : lo q…</t>
  </si>
  <si>
    <t>…derechos, se encontró un medio f e l i z , por el sertarem os íntegram ente el discurso.) las principale s, sobre las qoe conviene fijar la consideración. cu al sin abstracciones se conseguía lo que necesita el ciudada­ E l Sr. O L O Z A G A : Prenuncio la palabra que habia pedido Comenzando por la composición , es felicísima en la colocación no para su bienestar y segurid ad. N o se puso «todos Jos es­ para deshacer equivocaciones , porque son m u y graves las que de las f i g u r a s , unidas sin monotonía . contrastada…</t>
  </si>
  <si>
    <t>…u n q u e no sea tan a n t i g u o como el Sr. Sanch o, qu ie re la form u le a h o r a ? El Gobierno no puede. potencia p arlam e n taria se aconseja por los enemigos de la Cons­ y a u n q u e reconozca qu e sabe menos. E l Sr. O L O Z A G A : E n vista de la m a n ife sta c ió n del se­ t itu c ió n , ó por am igos h ip ó critas, que dicen que se use de ella Decia , se ñ o res, qoe precisamente cuan do a u n no se h a b ia ñor M in is tr o de G ra cia y J u s t i c i a , r o g a r ía a l S r. Presidente porque desean qu…</t>
  </si>
  <si>
    <t>…t.)s, de defender las ideas que la minoría de la comisión habia con­ cuando algún Sr. Diputado falte á él. Sres. Madoz y conde de la Navas piden la palabra para una signado en su dictamen; y es un deber mió muy agradable El Sr. OLOZAGA : Muy pronto se ha alarmado el señor personal) han propuesto ai Sr. ministro de Gracia y manifestar á la nación entera que no nos hemos equivocado, Ministro: lo que he dicho no es nada absolutamente en com­ alusión como algunos han querido hacer creer. Nuestro pensamiento ha paración de lo…</t>
  </si>
  <si>
    <t>…eso única mente. A esos bancos (señalando al dé los minis­ confianza en el Gobierno.” ¿Pues qué mas se exige? tros) he llegado con el corazón en la mano; que digan si Hay mas todavía; me referí á lo que el Gobierno habia El Sr. OLOZAGA: El Congreso ha oido al Sr, Madoz, en mis palabras han encontrado maldad alguna. ¿Cómo ha- manifestado en la comisión: dije á los señores de la comisión amigo del Sr. Ministro de Gracia y Justicia , que se ha ex­ b a de figurarme, que cuando acababa de dar un abrazo de y demas que concurri…</t>
  </si>
  <si>
    <t>…s, Fuente Andrés , Fuente Herrero, préstito que se aprobó. El G obierno ha cubierto todas sus la barra. Alonso, Ayllon, Sánchez Toseano, Suarez, Orozco, Aquino, atenciones; como por encanto se han completado los batallo­ El Sr. OLOZAGA: Bueno es que quede sentado que esa Campuzano, Calero, Olózaga, Ferro Montaos, Arellano, nes y escuadrones: el mismo M adrid ha sido testigo de la ac­ palabra se la ba aplicado S. S. mismo, aunque quejándose des­ Starico, López (D. Joaquín), Alcalá Zamora, Sacnz, Velo, tividad y del movimi…</t>
  </si>
  <si>
    <t>…de los señores autores gunas noticias útiles á mi patria, ló hice eu castellano no obstante de la proposición tiene derecho á apoyarla. hallarme eo París , y ser alii las impresiones en nuestra lengua BOLETIN DE COMERCIO El Sr. O L O Z A G A manifestó que pensaba haberla apoyado; mucho mas caras que en la francesa. Ademas resulta de hacerlo pero que creyéndolo ocioso por estar bien persuadido de que asi el grave inconveniente para el autor de que su obra en cas­ B O LSA D E M A D R ID . lodos los Sres. Diputados estaban an…</t>
  </si>
  <si>
    <t>…festado el Sr. Osea no es para inter­ de primera instancia depende de los regentes de las audiencias, Ju s tic ia . * pretarla sino para argüir contra ella. y que es sabida la influencia que tienen en las elecciones estos El Sr. O L O Z A G A , refiriéndose al Diario de las sesione?, En la sesión del 5 de J u l i o , página 5 0 , columna 2 .a, al fin jueces de primera instancia. manifestó la inteligencia que la comisión habia dado á la parte dícese en una proposición: ccNo pueden ser D iputados los m a­ El Sr. C O R T I N…</t>
  </si>
  <si>
    <t>…Sr. Pa s­ putados con el Sr. Baraona , gefe político que fue de aquella desde ahora la pido en pro del Sr. Cortázar. a‘ 0 c u a l , quien habiendo obtenido la palabra pronuoció un breve p ro v in c ia , y otros varios.) E l Sr. O L O Z A G A fue de parecer que habiéndose Va j disc urso, en el cual manifestó que el deber de la comisión era l i é aqui cuál ha sido la in icia tiv a , el principio de mi elec- clarado ayer suficientemente discutida la cuestión princi 1 el de sostener el dictamen que habia presentado á la deli…</t>
  </si>
  <si>
    <t>…en esta la deuda, puesto que hay una casa que se obliga á ello, nadie debe el Congreso por lo tanto aprobar el dictamen. cuestión; pero me veo obligado á ello, porque se ha querido habrá que se oponga á esta proposición. El Sr. OLOZAGA: El mismo motivo que me obligaba á aludir á los actos de un ministerio. Pues bien, si un dia ha de llegar en que reconozcaqtps la iu&gt; tomar parte en esta cuestión, me ha movido después á to­ necesidad de contratar un empréstito para pagar los intereses marla, de modo que hubiera faltado á la…</t>
  </si>
  <si>
    <t>…o los Sres. Carrasco (D , Juan) y Cambronero. venir al Gobierno, ni hacer cargo alguno á la comisión, y de El Sr. Ministro de la GOBERNACION: Señores, empiezo referir loque habia pasado en la discusión de la ley de ayun­ El Sr. OLOZAGA dice que en su concepto no se debe pre­ por manifestar que ha sido sumamente exacto el Sr. Presidente tamientos, dijo: ¿ Y cuántos artículos faltan de esta ? Creo que juzgar la resolución del Congreso, porque se ha hecho la pre­ en lo que ha dicho relativo á la indicaciou que le hizo el G…</t>
  </si>
  <si>
    <t>…ión ap robando las elecciones de la p r o v in ­ y asi se a c o r d ó , qued an d o sobre la mesa el oficio en cuestión. h a tenido p o r o b j e t o i m p u g n a r de a lg u n a m an era la razón de cia de Pontevedra. El Sr. O L O Z A G A h iz o presente que creía deber m a n ife s ­ que se ha hecho uso el otro d i a , f u n d a d a en que el núm ero de electores de P ontevedra no tuvo tiempo para votar en los dias A petición del Sr. Sanch o se leyó el oficio q u e el Congreso tar al Congreso qu e la comisión de conte…</t>
  </si>
  <si>
    <t>…o de la proporción en que estaban los electores de ó reunidos en gr u p o : reunidos hay una prueba irresistible que A y a la y Moría. los pueblos á quienes se ha reb ajado , con los de ios pueblos á aconseja la nulidad. El Sr. O L O Z A G A observó que basta los enemigos mas quienes se quería rebajar. Una de las razones en que se funda la comisión es el retra­ apasionados del Congreso habían podido ver que no estaba eu él (El orador leyó en seguida un estado que demostraba la so con que la diputación provincial publicó e…</t>
  </si>
  <si>
    <t>…ón alguna. La comisión confiesa esto, y sin embargo sión no h ay a resuelto ya este asunto. res voten por una candidatura , y desechen la otra. Y eso no lo se fia solamente de las reclamaciones de varios electores; y como El Sr. O L O Z A G A manifestó las razones que habían mo­ dic e , repito, corno un mero consejero, y como su imaginación quiera que yo he examinado esos documentos en que se fun da, vido á los autores de la proposición para presentarla, volvien­ ó su deseo le podia .sugerir, sino de una manera excesivame…</t>
  </si>
  <si>
    <t>…o al Sr. Ministro de la Gobernación, que ínterin no puedan tisfactorias del Norte , rebosando en júbilo todos sus habitantes adelantadas. construirse edificios á propósito para este objeto , provea por por la próxima paz. El Sr. O L O Z A G A : Señores, yo renunciaría la palabra des­ medios artificiales, por la vigilancia, por el buen orden, que se pués de los discursos tan bellos y filantrópicos que, acaban de eviten ciertos abusos en las cárceles y presidios, castigándolos Granada 11 de Setiembre. La feliz é inesperada nu…</t>
  </si>
  <si>
    <t>…y el Rey restablecieron legítimamente en 1820, que la nación cho algo menos exacto, ruego á S. S. me excuse. agradecidos de todos. y S. M. la Reina Gobernadora con igual legitimidad restable­ Se suspendió esta discusión. El Sr. O L O Z A G A : He pedido la palabra antes que el señor cieron en 1836, y que es base de la Constitución actual. Lo Se dió cuenta de algunos expedientes, cuya lectura no nos Ministro de Estado hiciese relación de sus hoorosos anteceden­ que en un particular seria un desacierto mayor ó menor, en un…</t>
  </si>
  <si>
    <t>…rt. 12. Podrá el Gobierno, cuando lo creyere necesario á días contados desde su publicaciou. país. la conservación del orden público, prohibir durante un tiempo A rt. 54» Los editores de los periódicos tendrán obligación El Sr. O L O Z A G A , apoyando las observaciones del señor determinado la publicación por las calles de toda clase de im ­ de insertar gratuitam ente en ellos las contestaciones que les di- ¡ conde de las Navas en cuanto á no entrar en la discusión del presos. rija el Gobierno por sí ó por medio de sus ag…</t>
  </si>
  <si>
    <t>…e yo di­ que ha hecho á Alemania. S. S. ha insistido en una negativa bra para una aclaración. je en aquella sesión, eu el punto relativo á la oportunidad para completa; y yo, concediendo esa negativa que hizo ayer el señor El Sr. OLOZAGA: Si el Sr. Ministro tuviese un talento conseguir lo que se deseaba, es que habían convenido los indi­ ministro de Estado en pleno Congreso de que el Sr. Zea no lle­ tan suspicaz que me probase que no ha dicho lo que ha dicho: viduos de la comisión, en el otro punto no. En cuanto á la vaba…</t>
  </si>
  <si>
    <t>…tancia la ley les im pide que puedan ser elegidos por la provin­ El Sr. L A N D E R O : Pido la palabra para hacer una alusión niestras suposiciones. cia donde desempeñan su encargo 5 pero que hay que tener pre­ personal. El Sr. O L O Z A G A : Cuando se nombró en otra sesión al sente que los auditores no ejercen jurisdicción propia, pues no El Sr. P R E SID E N T E llamó al orden á los Sres. D iputa­ Sr. Lasagra, nombrado por S. M. comendador de la orden de son otra cosa que consultores del capitán general á quien mani­ d…</t>
  </si>
  <si>
    <t>…gítim o s; intención no dijo nuoca que era enviado del Gobierno español, y por que mi convicción es esta. emanada de su sola voluntad y celo, tanto mas apreciable, consiguiente d o ha podido de modo alguno comprometerle. El Sr. O L O Z A G A : He tenido mucho gusto en oir de boca cuanto que ha producido resultados grandiosos. Porque es me­ Yo repito y a por segunda vez que ni este ministerio ni el del Sr. Ministro que considera como legalmente restablecida y nester que el Congreso sep a, porque es un hecho de bastante í n…</t>
  </si>
  <si>
    <t>…explicara der hasta Villalgorda. n.,e lecouoce que ha infringido la Constitución, que ha faltado mas. El comandante general de esta provincia , con la mayor ;í Us ln&gt;es, y sin embargo cree que tiene derecho para pedir un El Sr. O L O Z A G A : Siento que el Sr. Ministro haya creí­ parte de la fuerza de caballería que opera bajo sus inmediatas t.ii» de indemnidad. Si no tuviera otra intención el actual Ga~ do que mis palabras se hayan podido referir á que se ejerza órdenes, se halla en Casas-Ibañez é inmediaciones, protegi…</t>
  </si>
  <si>
    <t>OLOZAGA, Quinto El Sr.</t>
  </si>
  <si>
    <t>Quinto El Sr. OLOZAGA</t>
  </si>
  <si>
    <t>…la palabra, y ha hecho expresarme en los términos que plicación. no es esa la cuestión que nos ocupa. De fueros se trata hoy. el Congreso ha oido. La causa constitucional nadie puede El Sr. Ministro de GRACIA Y JUSTICIA: El Sr. Quinto El Sr. OLOZAGA: Cuando acabe se verá que tiene rela­ apreciarla, sino en tanto que puede ser víctima de ella por ha tenido la bondad de dirigirse al Gobierno con expresiones ción esto con la cuestión: porque aqui pide el Gobierno una defenderla contra toda clase de enemigos. Los que se han v…</t>
  </si>
  <si>
    <t>Oló-</t>
  </si>
  <si>
    <t>…Diputado de N avarra fueron adm itidas por te , ha tomado en la consideración que merecía la enmienda ó la Coustitucion que hemos jurad o , si efectivamente la pacifi­ la comisión por el órgano de uno de sus in dividuo s, el Sr. Oló- adición del Sr. Mendizabal. No entraré en la calificación de cación de aquella dependiese de la concesión de los fueros! zaga. su contenido que considera g rav e, gravísim o, y nadie mejor No ocuparé al Congreso de mi persona; pero es indispen­ El Sr. O LO ZAG A: Pido qué se lea la contestaci…</t>
  </si>
  <si>
    <t>Olóza-</t>
  </si>
  <si>
    <t>…todos los españoles no quemábamos entonces in ­ cepcionales. presiva de sus méritos y circunstancias” que contiene dicha cienso en una misma sala? ¿ N o tremolábamos unos mismos Continuando la discusión pendiente, propuso él Sr. Olóza- proposición, y quedando esta limitada á solo la cualidad de ce- pendones? No se oia otro grito que el de salvación de patria ga¡ que con arreglo al art. 105 del reglamento se preguntara al sa n te sq u e e n la misma se expresa. El Congreso podrá servirse y Rey. ¿ Y qué necesidad habia de est…</t>
  </si>
  <si>
    <t>Olózaga</t>
  </si>
  <si>
    <t>…no por el nión de sus dignos compañeros ; y siendo ya pasadas las cuatro glada á nuestra escena , por D. Y. de la Vega. Ministerio y la oposición, y en MM. Hipólito Passy y D u - horas de sesión , el Sr. Presidente anuació al Sr. Olózaga que El chistoso F ígaro, en un artículo que publicó con el títu­ chatel, conocidos individuos de esta última. M r. Odilon Bar- creyendo que aun continuaría 8 . S. en el uso de la palabra , se lo De las traducciones , y en el que analizaba las de las pie­ rot obtuvo 169 votos para cuarto vice…</t>
  </si>
  <si>
    <t>…én aquel mismo dia cogió uno en el pueblo de Sar- Ha sido también objeto de sus conferencias, por indicación que el éxito ha correspondido á sus esperanzas. tajuda de cinco que habia , cogiéndoles ademas los cinco fusi­ del Sr. Olózaga , presidente de la sección , el triste estado de Noventa y tres socios han entrado en el Ateneo en este les y cinco mantas que tenian. nuestras cárceles, y la manera como podría mejorarse. Para este añ o, y 4 i se han separado por distintas causas, resultando un fio nombró una comisión que…</t>
  </si>
  <si>
    <t>…. J . j , Ruiz del A rb o l, C o - El Sr. P R E S I D E N T E : O rd en del dia. C on tin úa la d is c o s efectos. lomo, Esteban , Hompanera , A lia g a , Carra molino , P u ig Mol­ sion interru m p id a antes de a y e r: el Sr. Olózaga puede prose­ ió , Rodríguez V era, Flerques, marqués dé Casé Iru jó , Olivan, g u ir su discurso. - '■ ;■ -^ 1 E l comandante general de! distrito m ilitar de Burgos en 27 Gispert, marques de Viliagarcía , M artínez Ay ala, Borrego, Bé- El Sr. O L O Z A G A : El Congreso tuv o á bien resol…</t>
  </si>
  <si>
    <t>…or 52 votos, habiendo obtenido el Sr. Calderón C o - se ei expresado convenio de V e rgara.” E f artículo í.° de la n arquía” , se dijese " p a r a el arreglo délas cuatro provincias que llantes 1 0 , el Sr. Cortioa 1 5 , el Sr. Olózaga 2 , el Sr. L a h e - minoría dice lo mismo que el Gobierno, y añade " en cuanto se contienen” &amp;c. ra 5 , y uno los Sres. Cosío, Laborda, y Sancho. no se opongan á los derechos políticos que sus habitantes tie­ . Esa simple modificación bastaba para alejar á l.ar^a dis- Para cuarto Vicepres…</t>
  </si>
  <si>
    <t>…ro es indispen­ El Sr. O LO ZAG A: Pido qué se lea la contestación. que S. S. lo ha manifestado en la exposición que ha hecho; sable que me justifique; y haciéndolo , justifico al partido po­ El Sr. M E N D IZ A B A L: Si el Sr. Olózaga lo pide, yo tam ­ pero obligada á ser muy circunspecta, viendo que el voto pro­ lítico que me ha sostenido eo las épocas en que he sido M i- bién lo déseo. puesto por el Sr. Meodizabal seria de la mas grande y elevada nistro. Se leyó el expresado discurso. im portancia; circunscrita por la…</t>
  </si>
  <si>
    <t>…do el Sr. M in istro el parte que daba el gene­ de la nación han vo tad o , y , ó S. S. tiene alguna incógnita c irc u n sta n c ia ; nosotros hemos creído mas , que la ley está h e ­ ral E s p a rt e ro , tomó la palabra el Sr. Olózaga , y movido de un que no me es dado despejar, o no es exacto lo que ha dicho. cha y a : hemos creído , rep ito , que está hecha y a , y que no im pulso de patriotismo tan difícil de rep rim ir en circunstancias O tra equivocación en que ha incurrido el Sr. m inistro de falta sino revestirla…</t>
  </si>
  <si>
    <t>…esiones extraordinarias de la palabra á todos los Sres. Diputados en la discusión de la jas de su dictámen. hasta que se concluyese el asunto de los fueros. enmienda en qué el Congreso iba á ocuparse. El Sr. Q U IN T O : El Sr. Olózaga se ha olvidado de una El Sr. B A R RIO AYUSO, como autor de ella, la apoyó di­ El Sr. P A SC U A L expuso que estando aprobada la propo­ circunstancia que se ha observado; esta es que se ha presenta­ ciendo: Que hallándose dos millones de españoles, y tal vez el sición de los Sres. Estrada…</t>
  </si>
  <si>
    <t>…do menos El Sr. ministro de G R A C I A Y JU ST IC IA : No entraré las Navas, que creo serán de algunas palabras; pero S. S. re­ de decir que ai ver que no se halla consignada la palabra en pormenores acerca del discurso del Sr. Olózaga: me levanté cordará el calor hijo de su celo con que cuatro Sres. Diputa­ de "salva la unidad constitucional” , no extrañará el Congre­ para defenderme del cargo, porque creia que á un ministerio dos me tenían cercado y hablaban á la vez. so que hoy dé mi aprobación á la enmienda, aun cuan…</t>
  </si>
  <si>
    <t>…i , si.) tión de paz se ha pasado á la cuestión de guerra; pero n o , no de cumplir con mi obligación. El Sr. Ministro de la Guerra El Sr. A R G U E L L E S : Por si acaso se fcreyese que los tema la nación que la haya. El Sr. Olózaga ha principiado sabe, y siento tener que recordarle este suceso, que le merecí individuos que componen la comisión encargada de dar su haciendo cargos al G obierno recorriendo toda su adm inistra­ un honor muy grande y superior á mis merecimientos, que dictámcn sobre el proyecto del Gobierno…</t>
  </si>
  <si>
    <t>…obierno. No me hago cargo por la misma razón del discurso EX POSICION ES A S. M. L A REIN A G O B ER N A D O R A . n ovar en este asunto antes que lleg ue el proyecto definitivo del Sr. C o r t i n a , y me concretaré al del Sr. Olózaga por del G o b ierno ? No lo c r e o , y tengo motivos para cree r que ser el mas reciente; y refiriéndose el Sr. Olózaga á una in­ Excmo. Sr.: Tengo el honor de pasar á manos de V . E. la no lo preten derán , sino que ellas allanarán las dificultades. dicación del Sr. Ministro de la G u e…</t>
  </si>
  <si>
    <t>…naciones mas miserables tienen crédito. el proyecto de ley sobre matrículas, habia elegido presidente al la consideración del Gobierno, el Gobierno obrará en justicia, Causa espanto que los fondos de Ñapóles esten á íOÍ^pór Sr. Olózaga, y secretario al Sr. Mata Vigii. y no podrá menos de premiarlo. Por lo tápto cree que debe 100, y el 5 por 100 de Portugal esté á 20 por 100, y á mas El Sr. PRESIDENTE: No hallándose presente el Gobier­ omitirse este artículo, porque las consideraciones de las leyes de 50 el 5 por 100; y en…</t>
  </si>
  <si>
    <t>…eterminación, h aber optado el Sr. Caballero por la p ro v in c ia de C u e n c a , y el de e s c r u t in io ; 5 0 0 y tantos son los votos de ese distrito. de los cuerpos colggi.slado.res. A q u i también me haré carón de Sr. Olózaga por la de Logro ño. Pues si h a y todos estos antecedentes para conocer la v o lu n ­ otra o p in ió n , e m itid a en el Congreso días pasado s. que no c-stú Pasó á la comisión de A c ta s. tad de los electores de! distrito de C e r v e r a , sus votos no deben conforme c oa la C onstituci…</t>
  </si>
  <si>
    <t>…ón, es las reclamaciones que Después de una breve explicación del Sr. Mayans en con­ del pais, y el deseo de que las leyes orgáuicas de administra­ tengo de varios pueblos de mi provincia. Los ayuntamientos es- testación al Sr. Olózaga, se pregunta al Congreso si pasará á ción se pongan en consonancia con la ley política ; pero el G o­ tan formados; pero como todos ellos saben que esta ley está casi las secciones, y resolvió negativamente. bierno tiene la desgracia de ver los medios de conseguirlo de concluida, todos se…</t>
  </si>
  <si>
    <t>…les daba, pe­ él tribunal competente, fue el que se quebrantó en Francia en que el estado excepcional exige medidas excepcionales, propias ro jamas fue tal la situación que exigiera declarar á ninguna una época que citó el Sr. Olózaga con poca exactitud. Está tan de las circunstancias. Es un mal todo loque se diga acerca de ciudad ni provincia en estado de sitio ó guerra. Variando des­ éercano de nosotros, y tiene tal influjo en la cuestión presenté, los males de estas leyes, es verdad ; pero él mal no está en ellas, pué…</t>
  </si>
  <si>
    <t>…parte varios Sres. Diputados, y consultado el Congreso del dictamen de la comisión encargada de informar acerca de evacuaron las provincias que estaban ocupadas por los franceses sobre si se haría la pregunta indicada por el Sr. Olózaga, se la proposición del Sr. Guillen y Gras y otros Sres. Diputados, se establecieron consejos de guerra permanentes para juzgará, los acordó que la votación fuese nominal. Verificada esta , se deci­ para que se declare fiesta nacional el dia 18 de Junio. que se llamaban entonces afrancesados;…</t>
  </si>
  <si>
    <t>…tículo del reglam ento, pero ha creído que la proposición que pero abiertas y a las Cortes es otra cosa. contenga noticias políticas ni variedad de artículos. se presenta no está comprendida en el referido artículo , pues El Sr. Olózaga rectificó hechos. Art. 20. El impresor es siempre responsable de los abusos no se formula contra ningún m inistro, sino es que se habla del Se preguntó si se entraría en la discusión del asunto de Fue­ que contenga esta clase de impresos, quedándole reservado su Gobierno. Pareciéudole á la…</t>
  </si>
  <si>
    <t>…nos generales nombre augusto, que solo el nombrarle en ciertas cuestiones es V oy á decir dos palabras sobre cada uno de estos extremos: del credo político del Gobierno, de su manifestación de fé po­ profanarle, como dijo el Sr. Olózaga? en cuaoto á que no lo pondría desde luego eo práctica, ó no lo lítica , que la habia hecho en los documentos oficiales. Habló el Sr. Cortina de la causa del Sr. Ortigosa : algo d i­ sancionaría, ine parece que ha sido demasiado aventurar S. S., Señores, quisiera que no hubiera tanto credo e…</t>
  </si>
  <si>
    <t>…rece que estas fueron las expresiones El Sr. LOPEZ manifestó que habiendo pedido la palabra fuerza y vigor á estas leyes, algo menos podía restablecer otras de la Real orden; pero que ante todas cosas dijese si seria opor­ el Sr. Olózaga al mismo tiempo que é l, y no habiendo tenido mas esenciales y como el fundamento de aquella Constitución, tuno y político agitar desde luego esas gestiones. Ya ha oido aun oportunidad de hablar, le cedía gustoso la palabra. La consecuencia que de esto se deduce es que, no siendo leyes el Co…</t>
  </si>
  <si>
    <t>…Doña Isa­ do preguntado que iba movido de un impulso propio ,sin m i­ la sanción. bel 1 1 , como le sugirió su celo propio, pero sin que se la encar­ sión del Gobierno. Esa expresión una vo z lle n a d e co n fia n z a , El Sr. Olózaga quiere que yo exprese mi opinión: poco gara nada oficialmente por n a d i e , ni decia nada de eso el m a­ la entiendo yo la voz desús amigos, de personas leales interesa­ puede v aler; pero con todo diré que tengo por restablecida la nifiesto que publicó en el extrangero, y que se me mandó…</t>
  </si>
  <si>
    <t>…as las leyes, las he roto con esta El Sr. M inistro de G RACIA Y JU ST IC IA : Quisiera que qué quiere la ley que se haga esto. (Continuó l e y e n d o .) Con m ano, con la misma he salvado la libertad , ahí teneis mi ca­ el Sr. Olózaga me permitiese extender la explicación. que está sometido al juicio de la auto ridad, porque ella es la beza.” La fortuna no le ha favorecido tanto, pero tampoco le El Sr. O LOZAG A: Con mucho gusto: me siento para eso. que debe impedir la expendiclon del periódico, y está sometido ha falta…</t>
  </si>
  <si>
    <t>…hom­ El Sr. Ministro de G il AGI A Y JU S T IC IA : Siento que gre por una gavilla de mas de 59 bandidos ; pero con la ma­ bres se han avenido? Si no tenemos otro Pretendiente armado hayan dado lugar al sentido discurso del Sr. Olózaga uoas yor serenidad los batieron , causándoles cuatrp muertos y algu­ co . un simulacro de Gobierno, ¿como ha de acontecer ese su­ cuantas palabras rnias que S. S. supone rectificadas, y que yo nos heridos, si bien tuvimos la desgracia de perder al sargento res o de esa naturaleza? Dejemos,…</t>
  </si>
  <si>
    <t>OMAENCANTADA</t>
  </si>
  <si>
    <t>…ayer tres facciosos pertene­ nombramiento se incluyen en la Guia de Forasteros, que titulo * r cientes al batallón de L a-C ova, que hace dias estaban para ve­ para la del año de 1840 se sirvan pasar notas certificadas L A R E D O M A E N C A N T A D A . rificarlo, y habían sido conducidos de nuevo hácia Morella- pa­ en la forma que se han extendido en los años anteriores rece que hay otros que intentan también venirse á esta ú otros a la imprenta Nacional, donde deberán hallarse precisa^ Su autor D. Ju an Eugenio Hartzembu…</t>
  </si>
  <si>
    <t>Omaña, Salas</t>
  </si>
  <si>
    <t>Salas Omaña</t>
  </si>
  <si>
    <t>…ento del art. 11 ñor Ruiz dé la Vega 1 6 , el Sr. Ondovilla 1 2 , el Sr. C h a - D. Pió Pita P iz arro , en que manifiesta que habiendo sido re­ del ceremonial dispuesto para la misma. coa 1 1, el Sr. Tmres Solanot 1 9 , el Sr. Salas Omaña 2 , el se­ elegido por la provincia de Pootevedra, y elegido al propio El Sr. Presidente anunció que mañana á las doce se reuni­ ñor marques de V ilu m a 1 2 , el Sr. González 1 , el Sr. Ileros 1 tiempo Diputado por dicha provincia , d ir ig ía copia del acta ría e! Congreso para discut…</t>
  </si>
  <si>
    <t>OMI</t>
  </si>
  <si>
    <t>…tación fuese n om inal, y verificada , re­ esperaban por otras en ei turno de la discusión , y esto por sultó aprobado el nuevo articulo por 53 votos contra 24* espacio de muchos dias. No iban todas directamente al ac­ E S T A D O M IL IT A R Se leyó otra enmienda de los mismos señores, reducida á tual G ob iern o, es verdad, y no seria justo sostener lo con­ que cada labrador que no tenga mas que un par de m u ías, y trario; pero le obligaban á dar contestaciones; le ponían PARA EL PRESENTE ANO DE 1839, cada carromatero…</t>
  </si>
  <si>
    <t>…iduos, si se les atribuyera llaban en este punto salieron el 28 por la mañana para Colin- solamente la consulta délos negocios arduos de público Ínteres, dres , y se unieron á los cuatro que se hallaban en dicho p u n ­ E ST A D O M ILITAR bien pudiera ser muy reducido; en cuerpos meramente consul­ to á las órdenes del brigadier Castañeda, marchando todos so­ tores parece inútil un crecido número de personas: pero debien­ bre Atnpuero , excepto Granada que no pasó la ria , y siguió PARA EL PRESENTE AÑO DE 1859. do ser pr…</t>
  </si>
  <si>
    <t>…. Y M in istro de la G u e rra , á quien se rem ite la an terio r del mismo T a que tanto ha llam ado la atención la v ista de la T ierra interesado. S a n t a , an im ada con el m ovim iento de la lun a y nubes que se E ST A D O M IL IT A R elevan sobre el horizonte á la salida del s o l, y por la afluencia de gentes y ganados que se ven andar por los caminos h acia el C O R R E S P O N D E N C IA DE LA GACETA. PARA EL PRESENTE AÑO DE 1859# portal de B ele ii, se ha dispuesto enriquecer este cuadro ha­ ciendo pasar la…</t>
  </si>
  <si>
    <t>…ara el mejor servició del Real decreto nombrando Senador por la provincia de Granada \ Estado en las dependencias del tninistgrio de la Gobernación. al mariscal de campo D. "Manuel de Soria. (Núm. 1479.) * ¡ (Idem.) \ É S T A D O M IL IT A R rnnnpdiendo la gracia de la riiedla* firma ai Sr. Secretario Réal decreto nombrando tenientes generales á D. Isidro A laix de Estado y del Despacho dé la Guerra D. Isidro A la ix .(Id .), 1 y á D; Antonio Yan-Halen. (Núm. 1502.) ; * ’ P A M ?EL PRESEl^Té ANO DE Í859. &gt;;1. J _ _ _ no…</t>
  </si>
  <si>
    <t>ONA</t>
  </si>
  <si>
    <t>…mo distrito de Puen­ tros de la corte. tes, eu unión cou los de Sau M artin de P iñ ey ro, les persiguen Seguirá un intermedio de baile; dando fin á la función con sin in term isión, consiguiendo dispersarles, dar muerte á uno, D O N A ntonio V alenzuela, juez letrado de primera instancia un divertido sainete. aprehender dos yeguas y otros varios efectos; y á fin de que la ^ de la villa de Chinchou y su partido. 1 e jecu ción sea uias activa y completa ha reclamado c a p í- Por el presente c ito , llamo y emplazo á Geraldo D…</t>
  </si>
  <si>
    <t>ONADO</t>
  </si>
  <si>
    <t>…. D ip u ­ D¿uda activa española 16| . obligación; pero sí se considera en este artículo conrfo un re­ tado no debe quedar sujeto á reelección. quisito indispensable el que la oiga; y lejos de perjudicar la El Sr. MUÑOZ M A L D O N A D O : Con el mayor senti­ Portugueses, 5 por 100 , 51 |: 3 por 100 20 £. acciou libre del Gobierno en materia tan importante, le forti­ miento tomo la palabra en contra dél dictámen de la coinisiou; Belgas 99 b</t>
  </si>
  <si>
    <t>ONAGUS</t>
  </si>
  <si>
    <t>…de 5 por 100 á papel , 00. E NSAYO político sobre el reino de Nueva-España sacado del que escribió en francés Alejandro de Humboldt: 2 to­ , que ha tenido. Idem sin ínteres,5§ al contado: 5§ , 4 , siete dieziseisavos y PO R D O N A G U ST IN DE BLAS. 5£ á v. f. ó vol: 54 &gt; f y 54 á v. f. ó yol. á prima de 4 y | mos en 8.° grande , prolongado, á 4 O rs. por 100: 4 y 44 á 60 do f. ó vol. á prima de 4 por 100 Este viaje, uno de los mas instructivos y curiosos de los tiempos modernos por la universalidad de noticias y profu…</t>
  </si>
  <si>
    <t>ONAGUSTI</t>
  </si>
  <si>
    <t>…el S o l, á 6 rs. para M adrid y 8 para las provincias, fran­ q u e ha te n id a en cuanto á los negocios domésticos ni aun los poetas de profe­ co de porte. sión acostumbran á escribirlos sino en hum ilde y rastrera pro­ P O R D O N A G U S T IN DE BLAS. sa. La epístola, ya m oral, ya satírica, si ha de interesar, no puede hacerlo sino describiendo los hombres y los caractéres En esta o b ra , original en su clase, se presentan los prin ci­ r jN A L M A D E A R T I S T A , comedia en tres actos, arreglada pios generales qu…</t>
  </si>
  <si>
    <t>ONAGUSTIND</t>
  </si>
  <si>
    <t>…tribución de riquezas y de pobla­ q u e ha te n id a ción que instruirán sobradamente al que trate de profundizar Y DE LAS DIRECCIONES Y AUTORIDADES SUPERIORES. la materia, han proporcionado á la Alemat.ia una agricultura P O R D O N A G U S T I N DE B L A S . floreciente y también una gran fuerza debida propia ; pero al Entrega del mes de DICIEMBRE anterior con el apén­ mismo tiempo han sido contrarias al desarrollo industrial, y dice, índice general y portada, que todo forma mas de 20 En esta obra, original en su clase, se…</t>
  </si>
  <si>
    <t>…eziseisavos y 5 j á V. f . ó vol. tínicas que en la detenida lectura del prospecto nos han ocur­ Acciones del banco español de S. Fernando, 00. que ha tenido. rido , vemos en todo él , que el Sr. Fernel, aprovechándose de P O R D O N A G U S T I N DE B L A S . sus viajes al extrangero, y estudiando con reflexión y cuidado CAMBIOS. la organización de los que se hallan mejor montados, ha ele­ En esta obra ^ original en su clase, se presentan los princi­ gido todo cuanto era adaptable á nuestro país. El estudio de la Londres ,…</t>
  </si>
  <si>
    <t>ONB</t>
  </si>
  <si>
    <t>…eniente que el teatro se convierta en vehí­ mar los ánimos y que para la noche volviesen á Andoain; pero culo para dirigir invectivas contra ningún poder ni con­ bien la pronto se renovaron los desórdenes, y ayer á las tres de D O N Bernardo Latorre, benemérito de la patria, ministro mañana se pusieron nuevamente en marcha al cuartel gene­ ^ togado honorario de la audiencia de Cáceres, juez de tra ninguna clase. Y esas expresiones, que parecen insig­ ral á deponer nificantes , adquieren fortaleza en la mente del pueblo que…</t>
  </si>
  <si>
    <t>…o r qué pues esta falta de conside­ pueden apetecerse. L a generación actual de la Holanda , gene­ ración únicam ente con 1a correspondencia pública , cuando es ración llena de probidad y re lig io sa , ha sido educada bajo el D O N Bernardo L atorre , benemérito de la patria , ministro ál mismo tiempo 1a única que no áuménta los gastos en p ro ­ togado honorario de 1a audiencia de Cáceres, juez de p r i­ régimen de esta misma ley , y por consecuencia por el solo h e ­ porción de lás distancias; y que por otra parte ofrece…</t>
  </si>
  <si>
    <t>OND</t>
  </si>
  <si>
    <t>…a infantería del Saviñao, con cuatro PROVIDENCIAS JUDICIALES. tica. Se hallará de venta en la imprenta y librería de Boix individuos de su partida y siete mozos de los sacados de aque­ calle de C arretas, núm. 8 . llos pueblos. D O N Diego Bahamonde, juez de primera instancia de este En Chantada al Sr. coronel Moure lo realizaron también partido de Navahertnosa. Por el presente edicto cito y cuatro hombres de los antiguos de la facción del Ebanista con emplazo á todos los acreedores á los bienes relictos por falleci­ /^ O M…</t>
  </si>
  <si>
    <t>Onda</t>
  </si>
  <si>
    <t>…inesperado, y que hacia á V . E. se digne dar cuenta. A l intento di las instrucciones convenientes á los coman­ nulas todas las defensas que el enemigo habia acumulado para Dios guarde á V . E. muchos años. Cuartel general de Onda dantes generales de artillería é ingenieros, y reunidos en los hacer mas fuertes sus posiciones y a respetables por la naturale­ 16 de Agosto de 1859.—Excmo. Sr.zzLeopoldo O-Donnell,^: últimos dias de J u lio en M urvied ro un pequeño parque de z a , la desconcertó de tal modo que marcó extr…</t>
  </si>
  <si>
    <t>…er una comunicación al Senado. ción, manifestando asi al duque de la Victoria la efusión de que recogió el cuerpo de ingenieros. El Sr. Ministro de la Guerra ocupa la tribuna, y después nuestros sentimientos. Cuartel general de Onda 15 de Agosto de 1859.^.Ei B. G. de manifestar que no lo había verificado ayer por no estar reu­ El Sr. PR E SID E N T E: El Sr. González ha entendido mal interiuo del estado mayor g e n e ra l.±Juan de Becar. nido el Senado, leyó el parte publicado ayer en Gaceta extraor­ las facultades del Pr…</t>
  </si>
  <si>
    <t>…, y asi se verificó si» que los enemigos se apercibieran del movimiento, Fuella de la Nereida d Francia. Barcelona 11 de Agosto. y ni por lo tanto molestaran nuestra retaguardia. Dios guarde á V. E muchos años. Cuartel general de Onda 16 de Agosto Brest 10 de Agosto de 1839.i=Ayer mañana hicieron re­ LICEO. de l859.r=Excmo. Sr.—Leopoldo O Donnell.—Excmo. Sr. Se­ tumbar de repente nueve cañonazos los ecos de la rada. Era la cretario de Estado y del Despacho de la Guerra. Nereida , era el almirante Baudin que volvia á ver la F…</t>
  </si>
  <si>
    <t>…, ni la ha solicitado , ni jamas la concederé para arbi­ mos los causantes de tanta inocente víctima sacrificada. Dios trariedades ni crímenes; conocéis mis principios; sabéis mis in­ guarde á Y. muchos años. Cuartel general de Onda 17 de TEATROS. cesantes desvelos por vuestro bienestar y por acelerar el tér­ Febrero de 1839. = Antonio Y an-H alen. r=Sr. D . Ramón C a- P R IN C IPE . A las siete de la noche. Se ejecutará una va­ m ino de los males que os afligen. Maroto ha hollado el respeto brera, gefe superior de las…</t>
  </si>
  <si>
    <t>ONDE</t>
  </si>
  <si>
    <t>…lu gar á votar sobre este dictámen, ningun a manera quería que el Gobierno fuese sorprendido. con el Sr. Ram írez de Arellano ; pues debe cortar el Congreso y decidiéodose que fuese nominal la v otació n, á petición del El Sr. ONDE V IL L A contesta diciendo que la mesa al pro­ por cuantos medios están á su alcance que se arranque de su Sr. Barrio A y uso , fue aprobado por 7 6 votos contra siete. poner su dictamen está m uy lejos de querer sorprender al Go­ seno ningún D iputado. Se dió cuenta de varios expedientes. bi…</t>
  </si>
  <si>
    <t>ONDEYI</t>
  </si>
  <si>
    <t>…El Sr. P R E S ID E N T E anunció para m añana la discusión El Sr. GO NZALEZ hace una aclaración. ñor Esteban , y a por el mal trato que dio á ios presidiarios de los asuntos pendientes, y levantó la sesión á las cinco y El Sr. O N D E Y IL L A dice que lo expuesto por el Sr. preo­ encargados de los trabajos del caual de C astilla, y a por la mala cuarto. pinante puede ser objeto de una enmienda , la cual está dis­ dirección que dio á estos, motivo por el cual se le formó su­ puesta á ad m itir la mesa si S. S. tiene por…</t>
  </si>
  <si>
    <t>ONDOV</t>
  </si>
  <si>
    <t>…e dejó su puesto acto co n tin u o , pero anunciando que se remitan de otro poder del Estado. v ariar su dictámen en los documentos que presentó ay e r el se­ estaba disuelta la junta porque asi convenia para conservar el El Sr. O N D O V lL L A , después de varias razones en apoyo ñor Benavides. óiden público. del dictamen de la m esa, dice que la cuestión está reducida Fue aprobado sin discusión otro dictámen de la misma co­ .S. S. dedujo de esta observación que el gefe político in teri­ á saber si el Gobierno quiere repr…</t>
  </si>
  <si>
    <t>…de lo que n o se a d m itirá excusa de níngum presentarse á los electores de San M%ló , y el prefecto de Ille- teramente conformes para hacer sentencia.” e t-Y iia in e hace todo lo posible para &lt;Jue tenga buen éxito esta El Sr. O N D O VILLA manifestó que el decir en el artícu­ especie. F in a lm e n te S. M. espera que los gefes políticos n o ol candidatura de corte. Los electores independientes resistirán, lo que bastarían tres votos, daba á entender que los votos que estamos seguros de ello, á todas las influencias a…</t>
  </si>
  <si>
    <t>ONDOVI</t>
  </si>
  <si>
    <t>…l periódico titulado el Noso­ comisión excluía los bienes pertenecientes al patronato R eal. las causas de aprehensión sin reo, ha tenido á bien S. M. tro s del d ia 7 del co rriente, que p rin c ip ia : "E l 5 de Enero” , El Sr. O N D O V ILL A contestó á la prim era duda que no declarar que previniendo el art. 206 de la ley de 3 de y concluye: "d el Sr. D. Carlos” , denunciado por el promotor era cuestión del momento la responsabilidad de la persona que Mayo de 1830, que en la aplicación y distribución de los fiscal D. P a…</t>
  </si>
  <si>
    <t>…suntos que quedaron pen­ Pasó en seguida á hacerse cargo de los argumentos del se­ del Congreso por su in iciativ a. dientes de la anterior legislatura. ñor Cobo d é la T o r r e , expresando que la circular del gefe po­ fíl Sr. O N D O V IL L A lee la lista de los que se encuentran Y á la hora de las once se reunirán las secciones para nom­ lítico era un motivo de coacción, pues que proscribía la candi­ pendientes. brar las comisiones que deben dar dictámen sobre el proyecto datura c o n traria, mandando formar sum aria á…</t>
  </si>
  <si>
    <t>…del centro cotnun que los de 59. co en Jerusalen , han sido bien recibidos. Sin embargo , al mis­ barla. Que no habia podido, por no haber caractéres ba tantes, fi­ mo tiempo que S. M. ha reconocido la piedad y humanidad El Sr. O N D O V IL L A expuso que en esto solo se trataba de jar el dia í.° las listas electorales impresas *, pero que las había en que se funda esta solicitud, ha manifestado á los firmantes dar al Gobierno una noticia de todos los proyectos de ley pre­ fijado manuscritas, siendo esto á su entender ind…</t>
  </si>
  <si>
    <t>Se lej ó el art. L ° Se leyó el 16 que también fue retirado á petición del señor del partido nacional, que no solo no ha estado jamas en con tra­ El Sr. O N D O V IL L A manifestó que la com isión, aunque Isla Fernandez. dicción con ninguna otra d o ctrin a, sea de la ciase que quiera no había creído necesario que se entrase ea la discusión de los Se aprobaron sin discusión los artículos desde el 17 al 2 2 sico que recooocida por tnuy católica. ar…</t>
  </si>
  <si>
    <t>…la extrac­ él, lejos de ampliarse la defensa de los reos, se les coarta esta, de primera instanci.i. ción á Portugal del corcho de la provincia de Salamanca. en razón á que en una causa criminal en que versan unos inte­ El Sr. O N D O V IL L A observó que es. sabido que en todas reses de tal naturaleza coino el honor y aun la vida de los las audiencias del reino hay abogados de pobres, los cuales tie­ hombres, se establecen unos trámites tan cortos para su sus­ nen obligación de defender las causas de pobres por reparti…</t>
  </si>
  <si>
    <t>…espuesta del R e y , esperándose encontrar en te número uno de los que asistieron á la vista.” cia las diputaciones provinciales que h u b ie re n elegid o los ella algunos datos sobre el porvenir del Gabiuete. La ansiedad El Sr. O N D O V ILL A la apoyó brevemente, rogando á la alu m nos para e l l a , y anticipado el p rim e r semestre de la es grande en todas las reuniones políticas. comisión que la admitiese por ser mas expresiva. pensión c o r r e s p o n d ie n te , con a rr e g lo á lo p re v e n id o en H ay una gran…</t>
  </si>
  <si>
    <t>Ondovilia</t>
  </si>
  <si>
    <t>…s ventajosos que adversos al Eti cuanto á esa designación no es constante la práctica que tenían derecho á disponer de todo ó parte del medio diezmo, se Sr. Ramírez de Arellano, y que por lo tanto no debía haber ha citado el Sr. Ondovilia, sino que en unas audiencias se hace encontrarán ahora embarazados , como también el Gobierno dificultad en que fuese admitido. á principios de año, y en otras se espera á cada caso, y reuni­ para la cobranza de la contribución extraordinaria de guerra, El Sr. G U IL L E N Y G R AS dijo qu…</t>
  </si>
  <si>
    <t>Ondovilla</t>
  </si>
  <si>
    <t>…tía el El Sr. Isla Fernandez 1(5, el Sr. duque de F iv a s 1 2 , el se­ Se acordó pasase á la comisión de Actas un oficio del señor Sr. M inistro de Gracia y Justicia en cumplimiento del art. 11 ñor Ruiz dé la Vega 1 6 , el Sr. Ondovilla 1 2 , el Sr. C h a - D. Pió Pita P iz arro , en que manifiesta que habiendo sido re­ del ceremonial dispuesto para la misma. coa 1 1, el Sr. Tmres Solanot 1 9 , el Sr. Salas Omaña 2 , el se­ elegido por la provincia de Pootevedra, y elegido al propio El Sr. Presidente anunció que mañana á…</t>
  </si>
  <si>
    <t>ONDOVILLA</t>
  </si>
  <si>
    <t>…que debe par­ siguiente no, puede tener intervención el esposo de la Reina. m i ¡oa r u na le gis-lat a ra f, sea pa ra di sotv er las, se re a uii rá cad a. tir mañana para D ren a, para asistir á la triste ceremonia de E l Sr. O N D O V I L L A contestó que se había pnesto al ó la cuerpo colegí skd or en su palacio respectivo , y des pues de leí­ Loa funerales de la princesa María., ha encargado al mariscal consorte del Rey ó Reina para dar mas pompa y solemnidad al da y a¡ pro bada en cada uno el acia de la sesión anteri…</t>
  </si>
  <si>
    <t>…rte de este servicio en la misma pro­ tículo en contradicción con el 57 de la Constitución. litares, q u ie n e s con presencia de la situación de cada c u e r­ porción y plazos que se fijan pará las entregas; con el bien El Sr. O N D O V I L L A replicó que estaba el artículo en un p o (5 d a s e , c o n respecto á h a b e r e s , pu ed en y d e b e n g r a ­ entendido que no se admitirá proposición fuera del acto de la todo conforme al de la Constitución , y que no habia término d u a r lo q ue á cada uno ha de aplicars…</t>
  </si>
  <si>
    <t>…art. i .° Se leyó el art. 55. aspecto p olítico, sin perjuicio de contraerme también al ecle­ Se leyó el art. 2 .° , y después de una ligera discusión del El Sr. duque de F R IA S manifestó que este artículo debía siástico. Sr. Ondovilla , fue aprobado con la enmienda propuesta por la ponerse ea armonía con el 2 4 y que ademas seria mejor en su E l Congreso recordará que entre otras cosas anuncié que el comisión. concepto que la fórmula de "siéntense los Senadores y D ip u - Gobierno de S. M. no está en el caso de solicita…</t>
  </si>
  <si>
    <t>…IZ como de la comisión cree que con tará d la de escribirá , para evitar un mal sonido . uno de los que asistieron á la vista. la lectura que acaba de hacerse, se manifiesta bien claramente Se leyó la siguiente enmienda del Sr. Ondovilla: ” 5.a Conforme. que los auditores de guerra no están excluidos. "Pido que en el último párrafo del art. 1.°, á la palabra latina apud a cta , se sustituya la de en los autos . 4.a El número de cinco jueces que han de formar la sala en chasElrazones Sr. B U R R IE L : No creo que sea nec…</t>
  </si>
  <si>
    <t>…iosa que tantos debates ha ocasionado en el Sr. marques de Valígornera á ios artículos 65 , 64 y 65. neral tan suspirada, va á poner termino á ellos, y va á en­ Prusia entre el Gobierno y el clero católico se representa en El Sr. ONDOVILLA propuso se suspendiese por hoy la jug ar las lágrimas que el temerario empeño de ese Príncipe Polonia donde el obispo de Augustowo se niega , como los ar­ discusión de este dictámen, y quedase sobre la mesa. nos hiciera verter. zobispos de Colonia y de Posen, á bendecir todo matrimonio No…</t>
  </si>
  <si>
    <t>…encia con el vice-alm irante Leida la disposición 3.a se presentó á la misma otra en­ objeto tan útil y necesario , no puede h a b e r m otivo razo M a c t a u , c u y o nombramiento se trata de asegurar para poder mienda del Sr. Ondovilla , que decía : n a b le qu e impida el h a c e r l o ; sin perju icio de que si al confiarle después un Ministerio. Pido que la disposición 3.a del art. 3.° se redacte del modo g unas tuviesen escasez de fondos para satisfacer la pen Parece que se habian adoptado otras combinaciones con r…</t>
  </si>
  <si>
    <t>Ondovilla, Secretario</t>
  </si>
  <si>
    <t>Secretario Ondovilla</t>
  </si>
  <si>
    <t>…tán nombrados. El Sr. P R E S ID E N T E : Se procede al nombramiento de las recibirse del Gobierno. 7.a L a jun ta directiva fundadora d u rará cuatro años: p a­ dos comisiones de Actas , empezando por la de los siete. El Sr. Secretario Ondovilla ocupó la tribuna , y leyó un ofi­ sado este período se renovará por mitad cada dos años, nom­ Los Sres. M inistros de la Gobernación y de Gracia y J u s ­ cio del Sr. Secretario del Despacho de la Gobernación de la Pe­ ticia entraron en el salón y ocuparon sus respectivos asien…</t>
  </si>
  <si>
    <t>OndoviUa</t>
  </si>
  <si>
    <t>…á las comúnfpacion’es &lt;lq JjcTió3p ^ reproduciendo algunas de las ob&gt;er- quisiere: hacer mejora de) medio diezmo, diezmo ó cuarto, acu^ los cuerpos colegislftdares entre sí y con el Gobierno. La,¡ 5vációÁfe0^á'ém?tidaS por el Sr. OndoviUa, da á la. misma dirección por la* escribanía principal del ramo, s i o n , . ha .presentado nuevamente r e d a c t a ^ los artículos 6 5 ,y El Sr. I S L A F E R N A N D E £ deshizo una equivocación pa­ $itá en el .propio local, -donde,-estarán de manifiesto los arance­ 67 que van á leerse a…</t>
  </si>
  <si>
    <t>ONE</t>
  </si>
  <si>
    <t>…o propondré una adición á los señores de la tos de ios pueblos ó de sus representantes las certificacio­ com isión, que creo de im portancia, pues en ella se interesa la nes de los suministros que hubieren realizado en el an­ D O N Eulogio de las O livas, alcalde primero constitucional economía política y las buenas costumbres. Creo que con 1a re­ terior, ferida adición se logrará lo que en otra ocasión tuve el honor de esta villa de Chinchón y regente del juzgado de pri­ Y á fin de que en ningún tiempo pueda alegarse m…</t>
  </si>
  <si>
    <t>ONF</t>
  </si>
  <si>
    <t>…ilecto, comedia en cinco actos en verso, por D . Eugenio de Tapia. SU BASTAS. El nombre de los autores de las mencionadas piezas es la me­ LA ESPAÑA MARÍTIMA. jor recomendación que de ellos puede hacerse al p ú b lico , y la D O N Francisco de Beranger * caballero gran cruz de la Real y militar orden de S. Herm enegildo, pensionado d é la S erie d e artículos rela tiv os á las cien cia s y a rtes, prop ia s garantía mas positiva del mérito de todas las que se insertarán en la Galería dram ática. Real y distinguida ord…</t>
  </si>
  <si>
    <t>…blemente situada para el PROVIDENCIAS JUDICIALES. comercio por su proximidad á la Nueva Orleans , Yeracruz, Comprende los artículos siguientes adornados con dibujos Cuba y demás islas, asi como por una costa de 150 leguas, en D O N Francisco Celestino Gutiérrez, juez de primera instan- y grabados originales. dónde hay buenos puertos como Galveston, Matagora , A ra n - ^ cia del partido de Laredo, &amp;c. Antigüedades españolas.=Las ruinas de Itálica. zás, y los brazos de Dios, Santiago y otros. Tiene también mu­ Hago saber:…</t>
  </si>
  <si>
    <t>ONI</t>
  </si>
  <si>
    <t>…éo y en el poema de A lejandro. T ri­ P E R IO D I C O M E N S U A L , Las maravillas de aquel arle canto gueros y algunos poetas peores que él solicitaron resta­ blecerlo á fines del siglo pasado: empresa para ia cual no POR D O N INOCENCIO MARIA RIESCO L E -G R A N D . cuando á su autor parecía un verdadero sáficó. Lo mas bastaría el genio de Herrera, gracioso es que ambos disputaban y ambos tenían razón, En el siglo xv estuvo en uso el verso de doce sílabas, Cuaderno 12 y ultimo, contiene los artículos siguientes: •c…</t>
  </si>
  <si>
    <t>ONJ</t>
  </si>
  <si>
    <t>…rvicios en favor de la T r a d u c id o s e n p r o s a y v e r s o . La entrada á 8 rs. y 4 los niños. causa que defendemos. Hace tres dias que este principió sus operaciones, pues que una noche, introduciéndose muy cerca PO R D O N JO SE D E L C A ST ILL O Y A Y E N S A. de los Arcos, se trajo 1500 cabezas de ganado lanar, del que el Excmo. Sr. capitán general le ha dado la mitad nara él. T E A T R O S . Un tomo en 8.° (¿arquilla con el texto griego al frente de PR IN C IPE. A las siete de la noche. Se volverá á poner la…</t>
  </si>
  <si>
    <t>…s 25. Tres pujabantes en form a de muletas dobles para las lu ­ os despedís? Leonor. Es que quiero chas de los hombros y el pecho , útilísimos sobre todo á los m a­ que sintáis el que me vaya. rineros: la escala de un sexto. D O N JO S E C A Ñ IZ A R E S . Federico. ¿ P u e s para quedar m urie nd o 26. U n a palanca c u rv a para llevar pesos á los extremos, uoa vez no basta ? poniéndola in distin tam ente en uno ú otro hombro para descan­ A R T IC U L O III. Este diálogo es el tipo del discreteo entre damas y galanes…</t>
  </si>
  <si>
    <t>ONL</t>
  </si>
  <si>
    <t>…las provin­ PROVIDENCIAS JUDICIALES. cias en las administraciones de correos y principales librerías. Precios de suscripción: en Madrid 4 rs. al mes y 36 por un p O R el presente se cita , llama y emplaza á Leonarda Costa, D O N Laureano Gutiérrez, del Consejo de S. M ., su secreta­ natural de D aim iel, para que dentro del término de seis año. En las provincias 24 rs. por seis meses, franco de porte* rio honorario de decretos, individuo de varias sociedades dias siguientes ál de la publicación de este anuncio, que por…</t>
  </si>
  <si>
    <t>ONM</t>
  </si>
  <si>
    <t>…dias siguientes: P R O V ID E N C IA S JU D IC IA L E S dicado se proveerá al profesor que sea agraciado con casa g ra ­ Palabras y plumas. tis 9 y quedará exento de toda gabela vecinal. Esta población La Celosa de sí misma. D O N Manuel U rru tia, vecino de la ciudad de T íld ela, pro­ vincia de Navarra , fideicomisario elegido por Doña Se­ por su aseo in terior, situación y abundancia de aguas sa­ ludables, ofrece un temperamento sano: es delicioso por su Privar contra su gusto. Precio de suscripción , 14 rs. cada…</t>
  </si>
  <si>
    <t>…eparado en los ocios que le habia dejado comisión ha tenido una previsión buena para cuando nos ha­ la separación de los negocios públicos para organizar las clases llemos en la situación de Francia ó Inglaterra, qué tienen la D O N Manuel Ortiz de Tara neo', caballero de la Real y dis­ pasivas, tinguida orden española de Carlos iit , intendente de la idea nos pareciócaracterizándolas por clases, sueldos y gerarquías. La provincia de Madrid , y presidente de la junta diocesana de sulos trabajos de una á todos buena, buems…</t>
  </si>
  <si>
    <t>Onofre</t>
  </si>
  <si>
    <t>…vocales de la misma en una de las salas de la casa El capitán general de Galicia en su parte periódico de no­ la primera vez que se verifica. Al propio tiempo que en el P ar­ lo n ja , con arreglo al programa que el profesor D. Onofre vedades , fecha 3 del a c t u a l , dice que en las últimas operacio­ lamento británico se trata de acreditar que uno de los motivos J aim e Novella habia presentado con anticipación á dicha junta. nes que han emprendido las columnas de Carres y M ontesal- que hace necesaria la formación de u…</t>
  </si>
  <si>
    <t>Onofre, D.</t>
  </si>
  <si>
    <t>D. Onofre</t>
  </si>
  <si>
    <t>…bailado por la Sra. Diez lo proveyó, mandó y firmó á presencia del jurado el m uy ilus­ y el Sr. C asas, composición de este ú lt im o ; terminando la fu n ­ apercibimiento de que pasado se dará á los autos el curso qu&lt; tre Sr. D. Onofre G rado li, del Consejo de S. M . , su ministro corresponda y les parará el perjuicio que h a y a lugar. ción con un divertido sainete, no ejecutado hace muchos años, honorario en la audiencia territorial de Albacete y juez de p ri­ titulado mera instancia de esta ciudad y su p artido , d…</t>
  </si>
  <si>
    <t>Onofre, Tomas</t>
  </si>
  <si>
    <t>Tomas Onofre</t>
  </si>
  <si>
    <t>…Aymes de Circunregui: D. Luis de Losas, hijo de D. Juan José: Doña Jacinta Alva- BIBLIOGRAFIA. te. Que él habia quedado extremamente pesaroso de lo su­ rez, cedido, y mucho mas cuando el prisionero habia sido to­ de D.hija de D. Tomas Onofre: Doña Tomasa Almarza , viuda Miguel de Vidarreta y Echegaray : D. Vicente Rodrí­ mado como sospechoso de haber causado la muerte. Que guez, en representación de Doña Serafina González: D. Ma­ habiendo acabado de pasar la visita de juez en aquel con­ nuel Ribera , heredero de Doña Josef…</t>
  </si>
  <si>
    <t>ONR</t>
  </si>
  <si>
    <t>…menso gentío que estaba en la plaza del Carrussel. {Debats,) PRINCIPE. A las ocho y media de la noche. Ultima re­ PROVIDENCIAS JUDICIALES. presentación, porahora , de Hasta ahora nadie está encargado definitivamente de for­ D O N Ramón C ailá, notario público y escribano de los juz- N O G A N A M O S P A R A SUSTOS. mar un ministerio. Ayer y hoy el mariscal Soult ha asegura­ gados de primera instancia de la presente ciudad, con ejer­ cicio en el cuarto de ellos, infrascrito. Certifico: Que en la Seguirá un P as-de-deux,…</t>
  </si>
  <si>
    <t>…mperador Pablo i estaba en medio de menos satisfactoria , la cordial y sincera reconciliación que á la un numeroso círculo, en que se hallaban diferentes príncipes consoladora voz de paz y unión, aclamada por todos con el ma­ D O N Ramón Iglesias, escribano de S. M. , y número en el rusos con el conde Rostoptchine , su ministro favorito , De­ yor entusiasmo, se está obrando en esta provincia en todos los pueblos y entre toda clase de habitantes, después de seis años de juzgado de primera instancia de esta ciudad y su par…</t>
  </si>
  <si>
    <t>ONT</t>
  </si>
  <si>
    <t>…los indicados sucesos: como igual­ se constituye autoridad superior en la provincia, lo comunica mente se halla la comisión acorde en que al autorizarse al Go­ á las autoridades subalternas, acuerda la destituciou del capitán D O N Tiburcio García Gallardo, juez de primera instancia bierno de S. M. para dicha continuación de causa, convendrá general, y sé la intim a, prepara procedimientos de reoresa- ’h ' de esta ciudad y su partido &amp;c. expresarse que se siga por el tribunal competente, entendién­ lias, comunica su movim…</t>
  </si>
  <si>
    <t>Oomenech, José</t>
  </si>
  <si>
    <t>José Oomenech</t>
  </si>
  <si>
    <t>…e para el 1.° de Diciembre próximo, pues al paso que L inares están con stru yen do un f u e r t e , del c ual han nombrado por este medio se espera conseguir mayor exactitud , no L iceo artístico y litera rio . gobernador á D. José Oomenech , que lo fue en A l i a g a . permite tampoco lo adelantado del tiempo que se extien­ L a defección de los rebeldes c o n t i n ú a , a u n q u e en pequeño dan órdenes á lodos los establecimientos ó corporaciones. L a sesión celebrada el do m ingo 21 ofrecid bastante a n im a número…</t>
  </si>
  <si>
    <t>OOÑACÍ</t>
  </si>
  <si>
    <t>…mplaza á los que se crean con derecho al nimiento saludaron con alborozo, empieza á producir sus be­ ^ patronato de legos, memoria de misas que fundaron Don neficiosas consecuencias , y de ellas deben reconocerse deudores B A N D O O Ñ A C ÍN O . J u a n de Batoja y Doña M aría Herrera , su m uger , vacantes á la solicitud del Gobierno constitucioual de la Reina Doña por fallecimiento de Toribio de la Piaza y V a r g a , ocurrido Isabel ti y á la constancia y denuedo heroicos del ejercito. D iputados . en 6 de Marzo último e…</t>
  </si>
  <si>
    <t>ORA</t>
  </si>
  <si>
    <t>…lito de alta traición, p o r la parte que tuvo quien corresponda para su cumplímiento.== Y O LA REINA Ar.t. 3.° L os contribuyentes podrán pagar esta en los movimientos revolucionarios en Italia, S. M. el Empe­ G O B E R N A D O R A .^ P a la cio I.° de Junio de 1 8 3 9 .= A Don anticipación en d in e r o , ó en especies, según elijan, rador conmutó esta pena en 20 años de prisión en la fortale­ Evaristo Perez de Castro, Presidente del C onsejo de Mi­ siendo el precio de estas en el primer caso el que las za de Monfgatz.…</t>
  </si>
  <si>
    <t>…narquía austríaca. Asimismo ha dejado una suma conside­ portante salud. rable á la orden de jesuítas. Nueva-York 26 d e Octubre. P ro ceso d e los Sres. Ruiz y M ontes. E X P O SIC IO N E S A S. M. L A R E IN A G O B E R N A D O R A . IL A L I A . Estos desgraciados españoles siguen en la prisión con asom- Señora : El ayuntam iento constitucional de la villa de L a - bro de todos los hombres de bien. El abogado D. J u a n Bautis­ Liorna 20 d e N oviem bre. redo , en representación de todo su leal vecindario , llega con…</t>
  </si>
  <si>
    <t>…; pero renuncio á ello por ser favo ra ble al proyecto del ¿ Y será tal la impaciencia de las provincias que quieran in­ Gobierno. No me hago cargo por la misma razón del discurso EX POSICION ES A S. M. L A REIN A G O B ER N A D O R A . n ovar en este asunto antes que lleg ue el proyecto definitivo del Sr. C o r t i n a , y me concretaré al del Sr. Olózaga por del G o b ierno ? No lo c r e o , y tengo motivos para cree r que ser el mas reciente; y refiriéndose el Sr. Olózaga á una in­ Excmo. Sr.: Tengo el honor de pasar…</t>
  </si>
  <si>
    <t>…ie n to , y dispondréis que se im p rim a , p u b liq u e y los negocios. En el rio de Cantón no hay ningún buque ingles, sin otra novedad, habiendo sido insignificante nuestra pérdida: circule. = YO L A R E IN A G O B E R N A D O R A . = E n P a la ­ pero sí navios americanos que protegen el comercio siempre ac­ que el Excmo. Sr. duque de la Victoria debía hallarse con las cio á 9 de N oviem bre de 1839.— A D. Lorenzo Arrazola. tivo de los negociantes de los Estados Unidos. (Sun.) fuerzas que personalmente dirige sobre A g…</t>
  </si>
  <si>
    <t>…esos y fusilados impunemente, sin que las fuerza* su p te aav o lu n tad uu trat&amp;dq definitivo? Entretanto ia sola re­ j francesas tenga» medios eficaces de intervenir en estas violen- c u l e . — YO L A RE IN A G O B E R N A D O R A . = E n P a la c io unión de las escuadras habría dado u » a posición formidable, que ¡ cías. Se prepara una expedición contra Roxas , mandada por el á 9 de N o v ie m b re d e l S S O . ^ A D. L o renzo A rra zo la. al miatuo tiempo no hubiera facilitado n ingún pretexto, y a n ­ \ general…</t>
  </si>
  <si>
    <t>…cum plim iento, y dispondréis se im prim a, publique y nifiesto el pliego de condiciones, y en las afueras del edificio lo r , según tasación, de los (pie se declaren útiles, la nota c ircu le .^ Y O LA R EIN A G O B E R N A D O R A = Esta rubri­ las 14 acémilas indicadas desde las ocho de la mañana del refe­ de inutilidad, expresando el motivo de ella , y los nom ­ cado de la Real mano En Palacio a 10 de Enero de 1839.== rido dia. bres de los dueños y pueblos de su d om icilio: estos asien­ Lo que de Real orden com un…</t>
  </si>
  <si>
    <t>…neral Azpiroz sabe que la brigada de la riberá te n d id o , y lo comunicareis a quien corresp orn la.=Y O LA menor pert urbación del orden. ocupó el pueblo y fuerte de Chelva el dia 12 , y que los ene­ R E I N A G ü B E R N A D O R A . = E n Palacio a 18 de Noviem­ L o s pueblos no pueden dis fr ut ar de seguri dad sin migos atacaron dichos puntos el 1 4 , pues habiendo marchado bre de 1839.— A D. Evaristo Perez de C astro , Presidente orden. L a libertad política no tiene otro objeto que en su socorro el expresado general…</t>
  </si>
  <si>
    <t>…res que los tuvieren dcsti- también que despoes .)# toftbía sido.pog la. faccio» JU partidla de riailos; á su um*e*Jkto set'vicio en campaña* aoestras armas. ' :' ' " " E X P O S IC IO N A . S , M A L A R E IN A G O B E R N A D O R A i A r t 12. Las generales en gefe de los ejércitos de ope­ En. YIlk^terperos completé mi ccpMicimieiif^ raciones,, v coma tula m es .generales de los cuerpos de reser­ ■ SEÑO-RAL ( ! kiiiídóiálié 19" saMiliei' dél 'réfer'Iido'11.sega o,do ' esc'uaár»!',"Érapí^ dekroiEad'ffls y t e k ó « y i…</t>
  </si>
  <si>
    <t>ORAS</t>
  </si>
  <si>
    <t>…dando una recolección de vendas, hilas y lien­ en diversas casas de la carrera que llevaron SS. M E Uo cua­ zos que inmediatamente se remitieron al hospital de Cervera, derno en folio, edición de 1788, á 24 rs. en rústica. p lL D O R A S y emplasto admirable del Dr. Clerambo, muy en donde se hallan los heridos , á excepción de 51 que antes de ayer tarde entraron cuesta plaza y en su hospital militar que Disertación sobre la explicación y uso de una nueva máqui­ que haaprobado merecido para tercianas y cuartanas. La general…</t>
  </si>
  <si>
    <t>ORDENES</t>
  </si>
  <si>
    <t>…o testigo presencial, en par­ REALES DECRETOS, A v irtud de providencia del Sr. D. Tornas Pacheco, juez de ticular tocante á los primeros años de la vida de Cabrera. primera instancia de esta v il la , refrendada del escribano ORDENES Y REGLAMENTOS DEL GOBIERNO Solo falta añ adir respecto á la parte tipográfica que se ha del número de la misma D. Domingo Baude , se lla m a , cita y unido el esmero y limpieza de la impresión á la buena calidad emplaza por término de 20 dias , contados desde la publica­ del pape!. La fundi…</t>
  </si>
  <si>
    <t>ORDENES, Manuel García y Duarte</t>
  </si>
  <si>
    <t>Manuel García y Duarte ORDENES</t>
  </si>
  <si>
    <t>…ste anuncio, a os que se crean con derecho á los bie­ REALES DECRETOS, desangre: otros varios hombres y algunos perros concurren al mismo objeto. Le grabó Molés (Pedro Pascual) con mucho brío nes quedados al fallecimiento de D. Manuel García y Duarte ORDENES Y REGLAMENTOS DEL GOBIERNO y toque determinado. Tiene 25 p. y 8 1. de alto , y 18 p. y 4 u para que le deduzcan en forma legal por el dicho juzgado y de ancho. Precio antiguo 46 rs., y moderno 30. escribanía , parándoles eo otro caso el perjuicio que haya lugar. T DE…</t>
  </si>
  <si>
    <t>Ordovás, José</t>
  </si>
  <si>
    <t>José Ordovás</t>
  </si>
  <si>
    <t>…, por 3154 rs.: la viuda y herederos d? Don Manuel de U lloa, por 180 rs.: D. Feliciano dé Lara , por 500 Veamos pues si el siglo sabe desem peñar su cargo. La material exaltada é impetuosa sometida á la dom inación reales: D. José Ordovás, por 84OO rs.: los herederos de D. A n ­ cuestión queda resuelta con solo no em peñarnos en cerrar moral de la creencia. D os bellísimos án g eles, en cu yo tonio Brugada, por 21900 rs.: Doña Josefa de Heras ó sus los ojos. La religión y la justicia son sinónim os en el sen­ semblant…</t>
  </si>
  <si>
    <t>Ordoñana, Andrés</t>
  </si>
  <si>
    <t>Andrés Ordoñana</t>
  </si>
  <si>
    <t>…n d e las m ar del Norte, la cantidad de diez chelines de banco hatn- DIRECCIONY GENERAL DE LOTERIAS NACIONALES. com pañías y cuerpos á que perten ecen . bnrguesps por quintal de pe-&gt;o, mientras que á las que pa­ C ircu la r . D. Andrés Ordoñana, capitán de la primera compañía del sasen de Lubeck á Hamburgo, procedentes del Báltico, so­ batallón 6.° de Alava. lo se les cargaba la m itad; de que resultaban favorecidas Estando concedido un premio de 2500 rs. en todas las D . Gregorio Lapeña y D. Antonio Q uintana, subtenientes…</t>
  </si>
  <si>
    <t>Orea, Francisco López</t>
  </si>
  <si>
    <t>Francisco López Orea</t>
  </si>
  <si>
    <t>…e asesinado por el feroz Merino el sacrificio de la misa , escogidas de los mejores devocionarios, por Hoy domingo 17 á las doce de la noche. Por extraordinario año 1855 en O ntoria del P in a r ; y como haya quedado sin sub­ D. Francisco López Orea. Q uinta edición: contiene este librito entre otras muchas oraciones los actos de fe , esperanza y cari­ gran baile de máscara en el que se sortearán varios lotes consis­ sistencia a lg u n a , é imposibilitada de ganarla por hallarse cie­ tentes en dulces. g a y en edad avanza…</t>
  </si>
  <si>
    <t>ORENGAÑADO</t>
  </si>
  <si>
    <t>…limo. Sr. D. José Mariano Vallejo, presidente. Mora sobre división de censos que gravitan sobre los mayo­ Sr. D. Basilio Castellanos, secretario. razgos de Bustos, Cepeda y Alderete, que hoy posee el refe­ 2.° E L E N G A Ñ A D O R E N G A Ñ A D O ; ópera en un acto, rido Sr. conde de la Puebla, y el mayorazgo de Rofar y Mora, cuta. Será desempeñada música del maestro M ehui, que hace ya muchos años no se eje­ que actualmente disfruta la mencionada Sra. condesa , y que co , García , Caballero, Galan por la Sra. Feijas, y…</t>
  </si>
  <si>
    <t>…alde D. Felipe Gómez 1.° Sinfonía característica española del maestro Mercadante. de aquel, cuyo expediente ha sido sustanciado por los trámites Acebo , y para celebrar juicio de conciliación, se cita por el 2.° E L E N G A Ñ A D O R E N G A Ñ A D O ; ópera.ea nn acto, prescritos en las leyes de libertad de imprenta; y señalado el presente á D. José Mosquera, de esta vecindad , cuyo paradero música del maestro M ehul, que hace ya muchos años no se eje­ día para celebrar el jurado, se ha calificado el papel denuncia­ se ignor…</t>
  </si>
  <si>
    <t>…briese este canal en provecho Hay colecciones desde principio de la segunda série. 1.° Sinfonía característica española del maestro Mercadante. de una rtaciou rival.” Los ingleses, mediante ciertos privile­ 2*° E L E N G A Ñ A D O R E N G A Ñ A D O ; ópera en un acto, gios de instalación y de derecho mercantil que han solicitado, música del maestro M ehul, que hace ya muchos años no se eje­ propusieron abrir á sus expensas este canal, y ahora últim a­ M E M O R IA en que se trata de algunos puntos relativos al cuta. Será…</t>
  </si>
  <si>
    <t>Orense</t>
  </si>
  <si>
    <t>…esta provincia, F on dos pú b licos . Cinco por 1 0 0 , 111 fr. , 5 c. Y últimamente dice el capitán general que el comandante al puerto de Sackett, á bordo del steamer C om m odore B a r r ie , Cuatro id ., 101-80. general de Orense le da parte de haberse pacificado completa­ deseamos dar un público testimonio de nuestra gratitud á sir Tres id ., 5 1 -2 0 -Í5 . mente el partido de Guizo de L im ia con la presentación á in­ dulto de los últimos facciosos que vagaban por él y los recien­ Jorge A rth u r, á cuya clemencia…</t>
  </si>
  <si>
    <t>…n algunas materias una instrucción elemental, las diserta­ gusanos de seda con la harina de las cereales, cuestión pro­ ciones oratorias que aqui se pronuncian familiarizan á los en­ Sr. D. Angel Polo y Monge. puesta por el Sr. Orense: de las minas de azogue del Almadén, tendidos con la parte sublime de las ciencias, y acostumbra á Sr. I). Pió La borda. sobre las cuales dieron oportunísimas noticias los Sres. Cabani- los ignorantes á escuchar el lenguaje técnico, y les inspiran Sr, conde de la Rosa. llas y Collado: de un…</t>
  </si>
  <si>
    <t>…, y a! fia se la per dona. con arenas. cel mérito de D. I ñ ig o , le desprecia, y trata mal por compla­ E s ta f a b u l a , bien se gu id a en todo el d r s r a a , adolece sin En este momento recibo del comandante general de Orense cer á un rival preferían , hay un rasgo satírico contra el bello ezuüargo de tu; defecto con tra la v e n ú m i ü t u d m oral , m il v e ­ el parte circunstanciado de la acción arriba indicada sobre la sexo , el cual supone Tirso mas dispuesto ¿ pagarse de las exte­ ces fTíáj ira porta ote…</t>
  </si>
  <si>
    <t>…les cogieron dos armas también ruidoso y alborotado, y presenta igual mezcla de an­ de fuego. En 9 Director , periódico portugués, hemos visto el cianos y de jóvenes. Se dirá que no hay ningún mal en su A l comandante general de Orense se han presentado á in ­ anuncio de una obra titulada Efectos del matrimonio so­ contacto; en cuanto a mí solo pondré dos objeciones. ¿Es dulto un desertor del batallón de Castilla y tres quintos también bre la duración de la vida , publicada últimamente en Ber- necesaria esa mezcla?...— ¿Es…</t>
  </si>
  <si>
    <t>…n Y últimamente que el expresado dia 11 se presentaron á i n ­ sacrificarme á interpelaciones falsas y explicaciones equívocas; S. M. la R e i n a , s u augusta Madre la R e i n a G o b e r n a ­ dulto al comandante general de Orense con sus armas los f a c ­ pero los intereses del país se hallan demasiado ligados á toda d o r a y la Serma. Sra. Infanta Doña María Luisa Fernan­ ciosos Antonio Espino y Manuel C a lv o ; el primero procedente cuestión relativa á una modificación completa del Gobierno n a ­ da , continúan…</t>
  </si>
  <si>
    <t>…24 BOLETIN DE COM ERCIO do de V alb u e n a, D. Felipe Gil de Taboada. 181 8 __________ 15 1 85 5 ......................... 19 19. D. Diego de A lav a y B eau m on t, el conde de Gondo- mar , Pedro de Rivadeneira , el obispo de Orense, el conde de B O L SA DE M A D R I D . Campomanes, el conde de Floridablanca. 49 81 Cada cuaderno de seis retratos con el epítome de su vida. Cotización d e l día 27 á las tres d e la tarde Precio antiguo 50 r s . , moderno 44* 4 .a Qne el número de personas ahogadasen cada uno de los •…</t>
  </si>
  <si>
    <t>ORESD</t>
  </si>
  <si>
    <t>…s- El di rect or de semana , Francisco del a c e b a l y A r r a - 6 . a " L a reducción de los Reales i mpuestos sobre vi nos y t i a . r = E l c o n t a d o r , A n t o n i o G u il l e r mo Moreno. = El tesorero, L A B R A D O R E S DE EUROPA. a g u a r d i e n t e s , y los males que causan los reglament os de puer­ J o a q u í n de F a g o a g a . — El s e c r e t a r i o , R a i n o u Mesonero R o ­ tas” , son sin duda de las trabas que mas conoci damente g r a ­ H ace al g u n tiempo que nos propusi mos d a r á nu…</t>
  </si>
  <si>
    <t>ORESDELOSA</t>
  </si>
  <si>
    <t>…de se hallaba cuando descubrieron el desamparo en que se hallan, porque les es im posible h a ­ B a n co, y qué maniobras vid h a ce r, y si vid alguna va­ llar socorro, sobre todo cuando van solos, que es lo mas LO S C A Z A D O R E S D E L O S ALPES. riación de color en el mar y piedras bajo del agua, dijo: frecuente; un desgraciado resbalón le precipita en un Que estaba de guardia y se hallaba sobre cubierta; vid La ru picabra, conocida generalmente por el n om bre abism o, y un paso inconsiderado le pone en situación d…</t>
  </si>
  <si>
    <t>Oria</t>
  </si>
  <si>
    <t>…m ica aplicada á las artes Señores Senadores. Rs, vn. M álaga, ~ id. coutendrá todos los descubrimientos mas recientes, no solo del Santander, 1~ id. reino in org án ico, sino que también del o rg á n ico , á cuyo ob­ Conde de Oria te...................................................... 1000 A lica n te, par. Santiago, l f id. jeto ha consultado su autor los trabajos de los profesores mas D. Manuel .José Ouintana................................... 100 Barcelona, á ps. f s . , § papel b. S evilla, par din. distinguidos d…</t>
  </si>
  <si>
    <t>Oribe, Manuel</t>
  </si>
  <si>
    <t>Manuel Oribe</t>
  </si>
  <si>
    <t>…a de su fallo; ha recibido. La nación la ha condenado ; sométase á ocupe el lugar que le corresponde, y esa conducta él sin resistencia y con sincera satisfacción. Por el correo que salió de esta corte en 22 del mes último, D. Manuel Oribe subió entonces á la silla, de que yo des­ traerá mas pronto el ejercicio de los poderes tutelares, que sus­ se remitió á Palma un paquete que contenia billetes del tesoro cendía. N o es de aqui poner en duda la legalidad de su elec­ pende la necesidad de prevenir nuevas asechanzas. de l…</t>
  </si>
  <si>
    <t>Orieans</t>
  </si>
  <si>
    <t>…un las instancias generosas que de tan alto proceden. Pero hay una violin casi en miniatura , ejecutó las variaciones de la Ceni­ 10. En las capitales de provincia y en los demas pun­ eutpridad superior todavía á ía del duque de Orieans; es la cienta, acompañado de la orquesta , á la cual hacia seña con un tos donde sea conveniente, se establecerán secciones auxiliares del Rey que como tal y como padre puede no ceder á los de­ seos de su hijo. N o es menester que á cada alerta que puedan gracioso movimiento de cabeza para l…</t>
  </si>
  <si>
    <t>Orihuela</t>
  </si>
  <si>
    <t>…al guerra ; Cabrera con toda su junta apostólica la domina el poder que á fines del siglo xv se les habia usurpado, y yo El clero en España, sin excepción, obtuvo el sufragio ó vo­ con escándalo de los fieles. A lli el obispo de Orihuela se titula creo, á pesar de que S. S. diga que se ratifica en ello , que no \ to electoral activo y pasivo , y un gran número de eclesiásticos obispo general delegado por la sede de Valencia y Zaragoza. han variado desde el año de 15 acá las reglas que debeo servir &gt; tuvieron entrada en la…</t>
  </si>
  <si>
    <t>Orihuela, Fernando</t>
  </si>
  <si>
    <t>Fernando Orihuela</t>
  </si>
  <si>
    <t>pertenencia (pequeña) sobre el criadero de carbón del Prado de de Almería, Virgen del M ilagro , por D. Fernando Orihuela, en 4 de Febrero de 1859. P R O V I D E N C I A S J U D IC IA L E S . la Rectoría, término de dicho Borincs,en Pilona, partido del Iafiesto , en la p r o v i n c i a de Oviedo. Rivadeo i.° de Junio Otra id., loma del Pocico, término de Huercal, Chiripa, P OR providencia del Sr. D…</t>
  </si>
  <si>
    <t>Orives</t>
  </si>
  <si>
    <t>…Santa Catali­ prófugos facciosos, ó los de sus padres cómplices en el crí na por tierra, y logrado esto hacer levantar el sitio. El 50 lo­ m en, y no conformándose con los principios del derecho gró reunirse al cuerpo del capitán Orives, quien instruido de Escriben de Tarbes. se resuelvan gubernativamente cuestiones judiciales, suje* la poúcioa de los rebeldes aconsejó al presidente que se volvie­ La próxima llegada de S. A. R. el duque de Nemours á los las acaso á pruebas difíciles y complicadas, no hay duda ra á la ciu d a…</t>
  </si>
  <si>
    <t>ORIÉNTE, EL</t>
  </si>
  <si>
    <t>EL ORIÉNTE</t>
  </si>
  <si>
    <t>…por Herodes Atico , y en se­ para acordaros de Smaragdi: yo conservaré la otra. Acaso un guida volviendo hacia la costa, os encontrareis en el tarapo dé dia estos dos pedazos de hoja, los solos que pueden ajustarse MEM ORIAS D EL ORIÉNTE; batalla éntre uu templo de Hércules, los sepulcros dé los per­ uñó.con otro, lleguen á reunirse: este es un á Dios de la amis­ sas y los trofeos de los atenienses. Iréis á pasar la noche en úna tad.” Fuertemente conmovido estreché contra mi corazón la pre­ II de las casás de U raná, á…</t>
  </si>
  <si>
    <t>Orlando, Francisco de Paula</t>
  </si>
  <si>
    <t>Francisco de Paula Orlando</t>
  </si>
  <si>
    <t>…p a • ,■ declarando cesante en el empleo de intendente general mi­ 17^; 16|4 d7¿ , ¿7 y 18 á vV f.^ q YoL á ^rtú^ ú é ; ^ ’!; ;y i ñ a situ a d o á la e n tra d a d é d a é á fle 'd e la A lá ú ié d á ^ ju n to á" !á litar á D. Francisco de Paula Orlando, y Nombrando pára por-100 con cupones. í - V'v!-'‘ v - . ^ ' f á b r ic a p la te ría dé M ú rtin e Z y én e lq ú é áé v e p o r ahóVa i ' 1 ; ' su reemplazo pl interventor general militar D¿ José Joaquín Inscripeiónes^én el gran libróla 4 pór 100001 ^ ? ■ / El^suntuoso m…</t>
  </si>
  <si>
    <t>Orleans</t>
  </si>
  <si>
    <t>…ido el silencio. que importa señalar á la atención pública de un modo p arti­ des de peras, cuatro de melocotones y cinco de uvas; del con­ El Sr. conde de las N A V A S anuncia al Sr. Ministro de cular. Se dice que el duque de Orleans se ha visto en la necesi­ de de Roto va, D. Franco de Sena Chocometi; D. Pedro M o­ M arina una interpelación acerca de la inversión de ciertos fon­ dad de que inmediatamente se abandonen muchos pequeños rales, D. Vicente Llopis, canónigo de e¿ta metropolitana , con­ dos de su ramo. r terr…</t>
  </si>
  <si>
    <t>N.° 1822. MARTES 5 DE NOVIEMBRE DE1839. DIEZ CUARTOS. PARTE OFICIAL. S. A. R. el duque de Orleans ha llegado de Coostantina á jeneral Lavalíe. ¡Ojalá produzca también para nosotros felices Milah el 17 de Octubre, y á Ma-Allah el 18. Por el camino j •esultados! (Id.) le han acogido las poblaciones con la misma efusión que en Constantina. (Id.) S. M. la R e i n a , s u augusta M adre l…</t>
  </si>
  <si>
    <t>…ecimientos en gel , anuncia que los dos paquebotes de vapor que salieron de la Art. 2.° El Gobierno teniendo por norte principalmente las respectivas comandancias generales, por quienes se des­ Port-Yendres el 19 con el duque de Orleans, han tocado en do conservación de la paz, presentará en tiempo oportuno,oyen­ pacharán los negocios pendientes, ó que en lo sucesivo Mahon el 2 1 , prosiguiendo su ruta por O ran, adonde han armonía con el espíritula demodificación á las provincias, de fueros que esteo en la Constitucion.…</t>
  </si>
  <si>
    <t>…EMBRE DE 1839. d ie z c u a r t o s . A U S T R IA . PARTE OFICIAL. PARTE NO OFICIAL. Vie na 19 d e N oviem bre. S. M. la R e i n a , s u augusta Madre la R e i n a G o b e r n a ­ El Sr. duque de Blacas ha dejado al duque de Orleans tirt NOTICIAS EXTRANGERAS. legado de tres millones de francos que Luis x v m le habia dado d o r a y la Serma. Sra. Infanta Doña María * Luisa Fer­ pocos momentos antes de morir. Ha dejado también al prínci­ nanda, continúan en esta corte sin novedad en su im­ E ST A D O S UNIDOS. pe todos…</t>
  </si>
  <si>
    <t>…Solos Ochando , diputa­ fue á Cortes , y profesor de lengua castellana de nunciaría au. Este ejemplito basta para hacer ver la exac­ calles, y en el pasco de Stn. Engracia y plaza de la Consti­ SS. AA. los Sermos. Sres. Duque de Orleans, Príncipe de titud de mi preposición sin necesidad de acudir á una tución no cabían de pies. Cuando aqui se han oido las salvas Joinville y Princesa Doña María Cristina (1). explicación mas extensa. de las balerías, se ha notado un movimiento general de ale­ Si las indicaciones que me he tom…</t>
  </si>
  <si>
    <t>…de La intendencia sanitaria ha mandado disponer en el laza­ legítima B.eioa Doña Isabel ti y las libertades nacionales con­ cosas, monopolizan el comercio del te para conducirlo á In gla­ reto la estancia de S. A. R. el duque de Orleans con todo el signadas eu la Constitución de 1857! terra , y mas principalmente á las posesiones británicas de las esmero y la elegancia que permite el local. El cuarto d e L p r í n - Recibid, Señora , con la bondad que á Y . M. caracteriza, lud ias. £ a cuanto á los chinos, aficionados al o…</t>
  </si>
  <si>
    <t>…do de la Tafna que A bd-el-K ader ha rasgado M A D R I D 11 D E D I C I E M B R E . estaban premeditadas mucho tiempo antes, y se vé que remon­ con sus propias manos, era un baldón para la dignidad del tan al viaje del Duque de Orleans, habiéndose concebido el pais, y todos celebran que se nos presente la ocasión de derri­ proyecto de sorprender al Príncipe y hacerle prisionero. bar la potencia que habíamos cometido el desacuerdo de fo­ Un hecho notable, y que puede hacer juzgar del género de mentar. D. Manuel María de A…</t>
  </si>
  <si>
    <t>…ecogidos en las levas, Se ha señalado definitivamente el viernes 9 del corriente de jóvenes reclutados por las partidas de b a n d e r a , y de El capitán general de Granada con fecha 7 del actual dice para la salida del duque de Orleans, con motivo del viaje que la clase mas m iserable del estado, en quien venia á recaer que teniendo formada en la plaza de Andújar el teniente Don debe hacer al Mediodía de la Francia. La duquesa de Orleans en las quintas la suerte de soldado por las in n u m erab le s Antonio Mena la partida…</t>
  </si>
  <si>
    <t>ñaña* uoa inmensa muchedumbre rodeaba el campo de las m a ­ El duque de Orleans llegó á Argel el 27 de Setiembre á las raz, la sola que puede producir bienes, como esos instru­ niobras. A la una las salvas de artillería anunciaron la llegada siete de la mañana á bordo del Fhare. mentos q uirúrgicos, que dirigidos por hábil m ano, dan la del Rey. Los coches de S, M. se d…</t>
  </si>
  <si>
    <t>…mente hacen el viaje de Londres habitará en el palacio de la prefectura. ó de I I u ll, y que deberían pagar mas de 1500 fr. en cada En el Eco del Comercio de antes de ayer jueves he­ Parece que está y a resuelto que el duque de Orleans se en­ viaje. mos leido un artículo, en que aplaudiéndose el Real de­ cargue del mando en gefe del ejército reunido en la frontera. Sin embargo , las personas mejor enteradas aseguran que la creto del martes 12 del corriente, por el que S. M. ha te­ El cuartel general se establecerá en Maube…</t>
  </si>
  <si>
    <t>…ños. Real fuerte de Tales á 6 de les disposiciones comerciales del Gabinete austríaco. ser imposible negar la existencia del tratado ; que sus disposi­ Agosto de 1858 nE I gobernador, Autonio Tefes Jordan.r:Se- El señor duque de Orleans, que debe partir mañana para ciones han sido públicas, y que se verificó entre el Emperador ñor alcalde de la villa de Almenara. Burdeos , según se dice, ha estado hoy en el ministerio de lo y las Potencias extrangeras. Nota . Se ha olvidado decirle á V. que me mande igual Interior. Después…</t>
  </si>
  <si>
    <t>…s han dejado las mas estupendas obras ciendo las mas activas preparaciones para edificar un nue­ de la mente humana en astronom ía, filosofía, física y me­ vo palacio; y mientras se erige la fabrica, un gran espacio El duque de Orleans ha partido esta mañana para Burdeos tafísica, y aun historia natural. Por cultivadas que se ha­ de terreno ha sido convertido en jard in es deliciosos. Alli con la Princesa E lena, su esposa. {Id.) llen ahora las ciencias, debemos confesar que ninguna na­ se hallan todas las plantas e u r o…</t>
  </si>
  <si>
    <t>…donde domina el partido reaccionario Según dice el Temps , parece que se ha determinado que grada que este carácter les im pone, y que desean satisfacer au­ actualmente: aquel periódico prevé que tarde ó temprano ten­ el duque de Orleans vuelva otra vez al ejército de Africa ; pero xiliando á vuestro Gobierno para la consolidación del trono, dremos que deplorar nuevos alborotos, y clama sobre todo con­ no para tomar el mando en gefe, que quedará confiado a! ma­ oue acatan, y la libertad nacional que simboliza el mismo; en tr…</t>
  </si>
  <si>
    <t>…sto con que solo él puede llegar á este resultado. La traducción siguien­ el fin de consagrar este tiempo á procesiones y juntas solemnes te de una carta que acabo de recibir de persona que se halla en Se asegura que el duque de Orleans no tomará el camino para deliberar sobre el estado verdaderamente del pais, y seña­ coyuntura de apreciar las circunstancias, dará una idea de la de Carcasona para ir á Perpiñan. Pasará por el departamento lar los medios de poner un término al odioso despotismo que situación. de l'Ariege,…</t>
  </si>
  <si>
    <t>…leyó á continuación , del socio Don joven viene á instruirse á Francia y trae de regalo al Rey de ai que opusiese reparos á ellas.” A g u stín Y añ c z , manifiesta sucintamente la marcha del term ó ­ Jos franceses y al duque de Orleans tres magníficos caballos Después de estas reflexiones el acusador público presenta metro en esta ciudad durante el estío y el otoño de 1 8 5 8 , c o m ­ árabes. sucintamente los hechos; se aparta del cargo agravante de inca­ parando dichas estaciones con las dos primeras del mismo año. paci…</t>
  </si>
  <si>
    <t>…ríncipe do Metternich con el embajador prorutnpieron en gritos de \v iv a el R ey ].... ^vlva el Sr. du­ puerto. metes. que de Orleans]..u \viva la Duquesa !.... Habiéndose restable­ cido un poco el silencio, entregó el duque de Orleans al joven G R A N BRETAÑA. Fiere, de Romans (Drome), la medalla de honor que todos los años la sociedad M onthyon y Francklin concede al mejor dis­ M ADRID 24 DE A GOSTO. cípulo del establecimiento. Al partir el Sr. duque de Orleans Lóndres 1 4 de Agosto . ha dejado 13 francos para los h…</t>
  </si>
  <si>
    <t>…, Ja gran duquesa O lga están e n ferm o s, y de N i un solo acon tecimiento desagradable se a dvierte, y se manera que in fu n d e serios temores para el porvenir. Si tu v ié ­ U n despacho telegráfico anuncia que el duque de Orleans camina por to do el pais va scongado con la m a y o r tr an q u ili­ semos un ministerio h á b i l , un Min is tro de N e go cios extra nge - ha salido de cuarentena el 15 de N ovie m bre á las once de la dad y confianza : in cesantem ente, y por vein ten a s, pasan f a c ­ ros mas in ic…</t>
  </si>
  <si>
    <t>…del Gallo, y noche, y el r a y a r el dia del 13 Paris estaba tranquilo. S. A . R . oficial, el sargento y tres soldados. M as a d e la n te , y cuando siguiendo por escalones hasta el fin de la calle de S. Honorato, el duque de Orleans recorrió toda la l ín e a , empezando por los llegue el caso de calificar los culp ab les, haremos una descrip­ se enlazaban con la del M ercado: habíanse construido otras en baluartes y volviendo por los m u e lles: fue dign am ente acogi­ ción circunstanciada de esta esceua horrible y de d…</t>
  </si>
  <si>
    <t>…pensamiento que la ha dictado, el que domina en cada pa'gina S. M. la R e i n a , s u augusta Madre la R e i n a G o b e r n a ­ y que forma su conclusión , se parece á esas otras idea s n apo­ londe dice: "cuando el duque de Orleans iba á salir para L is ­ y la Serma. Sra. Infanta Doña María Luisa Fer­ boa &amp;c.” , léase "p ara Libourne.” Igual corrección debe h a ­ dora león ica s á quienes y a ha hecho completa justicia la sensatez pública. cerse un poco mas abajo. nanda, continúan en esta corte sin novedad en su im­…</t>
  </si>
  <si>
    <t>…l príncipe Real, lo que veíamos, y si era un niño de seis años el que nos nombrando entre los socios quien reemplace al imposibilitado. 8 .a Esta junta se reunirá siempre que lo tenga por conve­ Sabemos cuánto desea el duque de Orleans volver á ver el embelesaba Cuanto con sus armonías. digamos será inferior á la realidad: el público es­ que niente; y por medio de acuerdos, que se extenderán ea un libro, Africa para combatir al enemigo de la Francia; k justa popu­ taba embelesado; al efecto llevará uno de los secretario…</t>
  </si>
  <si>
    <t>…de la corona ha sido escuchado con religiosa atención. L a con­ te la razón pública y la voluntad nacional. currencia ha aplaudido vivamente los principales pasajes, p a r ­ ticularmente lós relativos al viaje del Sr. duque de Orleans á En la R evista d e Paris leemos el artículo siguiente: La Reina Victoria ha concedido los títulos de barón y con­ una parte considerable del reino. de del Reino Unido de la Gran Bretaña y de Irlanda al muy Los desórdenes que han ocurrido en la apertura del curso S. M. la Reina y las Pri…</t>
  </si>
  <si>
    <t>Orleansha</t>
  </si>
  <si>
    <t>…e r v e , renuncia copeteros atacaron á un grupo de rebeldes en la garganta de las : Jicho cargo, hallándose dispuesto á pasar á desempeñar en él Ocesilla», siendo el resultado quedar muertos dos y herida ’ El coche del duque de Orleansha volcado eo Agen. S. A. R. Senado el cargo de Senador para que ha sido nombrado. uno m ortal mea te, sin pérdida alguna por nuestra parte. 1 10 ha experimentado ningún accidente. Por un feliz acaso no Se acordó pasase al Gobierno una exposición de D. N. Ser-</t>
  </si>
  <si>
    <t>Orleaos</t>
  </si>
  <si>
    <t>…chamos aun en el mismo palacio, es que desgraciada- I Hemos anunciado que se habia decidido en consejo de M i­ con fecha 22 del corriente me dice lo que sigue: mente no vemos próximo un arreglo definitivo. nistros que el duque de Orleaos tomase parte en la nueva ex­ El dia 18 del actual se presentaron á indulto 17 facciosos, N o se trata en manera alguna de restituir la escuadra tur­ pedición contra Abd-el-Kader. Hoy se dice que llevará de ayu­ incluyendo en ellos á D. Andrés Beiosa , padre del cabecilla ca ; y digan lo que…</t>
  </si>
  <si>
    <t>Orloff</t>
  </si>
  <si>
    <t>…edido socorros á la Per- yor parte de su comitiva en Rotterdam , pues debe marchar ra los carlistas. La toma de Belascoain y de cinco bocas de fue­ sia. Se dice que el Gobierno ha recibido esta noticia. directamente con el conde Orloff á la Haya , en donde comerá go. La pérdida del valle de Echauri, donde los carlistas reu ­ «El conde Medem se ha decidido á esperar aqui al bajá con y pasará la noche en el palacio del Príncipe de Orange. Maña­ nían gente y víveres. Por haber abandonado los carlistas los dos la seguridad que…</t>
  </si>
  <si>
    <t>Orosco, Ramón</t>
  </si>
  <si>
    <t>Ramón Orosco</t>
  </si>
  <si>
    <t>…7, que trata de la venta de Una mina plom iza, en barranco Jaroso, término de Cue­ letras en la ciudad de S e v illa , recurre al Congreso exponiendo: la sexta parte de los bienes del clero é iglesias. v as, Observación, por D. Ramón Orosco, en 14 . que la comisión de Escuelas de aquella proviucia , establecida La comisión opina se tenga presente en tiempo oportuno. Otra id. en cerro M inicas, término H uércal, Constancia, conforme al plan provisional de instrucción primaria , m anda­ por D. Antonio Perez , en 20. do o…</t>
  </si>
  <si>
    <t>Orozco</t>
  </si>
  <si>
    <t>…onte.—Feliz Recuero, Real decreto de 50 de Agosto de 1856, pero que S. M. no tu­ Quedó sobre la mesa un dictámen de la comisión de Actas vo á bien sancionarla , cuya circunstancia dejó sumergidas en acerca de la admisión del Sr. Orozco, D iputado electo por la -Señora: Después de una guerra desoladora, en la que por si abatimiento , miseria y confusión á innumerables familias; provincia de Almería. espacio de mas de seis años ha sostenido la naciou con una fir­ y hace algunas reflexiones sobre e tos hechas, concluyendo con…</t>
  </si>
  <si>
    <t>Orozco, Rainon</t>
  </si>
  <si>
    <t>Rainon Orozco</t>
  </si>
  <si>
    <t>…que en esa fecha no estaban reunidas las Cortes. Y a digo admitiendo á todos los españoles bajo su maternal am paro, para trate de este asunto. que este es un error cronológico; pues las Cortes constituyentes Y 5 .° Otro de D. Rainon Orozco, que solicita también su dieron principio á sus sesiones al otro diá que se dice en esa ley. que unidos formen una sola familia, y proporcionar de este admisión. modo un dia de gloria ai trono de vuestra excelsa Hija Düña Isa­ La otra equivocación del Sr.'Banavides es, que creyendo s…</t>
  </si>
  <si>
    <t>Orozco, Ramón</t>
  </si>
  <si>
    <t>Ramón Orozco</t>
  </si>
  <si>
    <t>…os al Real ánimo de V. M ., un dictámen de la comisión de A c ta s , en que propone la a d ­ resultar n ingún cargo contra nadie. Empezó S. S. á hablar del después de tantos dias de aflicción y am argura. Dios guarde misión de D. Ramón Orozco, Diputado electo por Almería. coronel retirado que se halla con un atraso de 58 meses en sus la importante vida de V. M. muchos años. M álaga 25 de Se­ J u r a n y toman asiento dos Sres. Diputados. p a g a s ; el Ministro del ramo podrá dar razón de esto; pero tal tiembre de l859.=iSc;…</t>
  </si>
  <si>
    <t>…dose trepando por las elevadas Otra id. , cerro del A lgarrobo, término de P u lp i, Santa savos á v. f. ó vol. á prima de ¿ , £ y \ por 100 con cupones^ montañas que circundan dicho pueblo. ( E. d e A.) M aría de G racia, por D. Ramón Orozco, en 14» Inscripciones en el gran libro á 4 p°r 1 0 0 , 00. Otra id ., sierra A lm agrera, cabezo Pinalbo, término de Títulos al portador del 4 Por 1 0 0 , 00» C oevas, Virgen de la Soledad, por Tomas de la Torre Flores, Vales Reales no consolidados, 00. en 14. Deuda negociable de 5 p…</t>
  </si>
  <si>
    <t>Ortega, Andrés</t>
  </si>
  <si>
    <t>Andrés Ortega</t>
  </si>
  <si>
    <t>…de Onís, nero: en Arenillas de Ñuño Perez apaleó igualm ente á la m u- y a nuestros lectores) en que se llamaba á M adrid al señor San dándole gracias por el celo con que ha desempeñado interi­ ger del alcalde y á la madre de D. Andrés Ortega por no ha­ M ig u e l, segundo cabo de A ragón. Pocos di as ha ejercido el namente el despacho del ministerio de Estado. (Núm. 1556 } ber podido satisfacer su venganza con sus respectivos consortes. toando el señor E g u ag u irre; pero á lo menos ha dado pruebas C ircular del minister…</t>
  </si>
  <si>
    <t>Ortig</t>
  </si>
  <si>
    <t>…s los dom ingos del año 1 * nocim ie nto legítimo que ha tomado el metropolitano de S evilla presentado para esa misma iglesia s u fra g á n e a ? cantidades que cualquiera persona se p u e n te á imponer en ella5 sobre el Sr. Ortig osa , y deje que no se exija ’ a rsidagoctoi*. Véase ese capítulo de reformaciones, concilio trid e n tin o , en desde la de 4 rs* hasta la de 500 in clu sive en cada semana. I * N o dir é que sea esta la intención nel Sr. A r g u e ll e ,, e ha o que dice que las causas graves las ju zgará…</t>
  </si>
  <si>
    <t>Ortigosa</t>
  </si>
  <si>
    <t>…iscusió n, dijo ha dicho en las Cortes como hombre público. reino , y ser fieles al R e y ? ” y los Regentes puesta la mano sobre El Sr. P I D A L : Al pedir la palabra en contra 110 ha sido En esta persecución, señores , el Sr. Ortigosa fue un a de las los E v a n ge lio s, responderán en voz alta : " s í j u r o : ” con clu­ mi ánim o combatir en manera alg u n a la proposición , sino m a­ personas que mas me consolaron, y que mas ine sostuvieron en y en d o el Presidente con la fórm ula acostumbrada. nifestar que esto…</t>
  </si>
  <si>
    <t>…fensa eu todas las cuestiones que prom ueven Faccioso Jo a n García 5 paisan o. tan arduo? ¿ y bajo que aspecto en la misma Real orden se re­ los partidos. Soldados Celestino Puente y V alentín Puente,, desertores conoce at Sr. Ortigosa como» prelado, como obispo electo , y se Yol viendo ya al aso oto de este a r tic u lo , nos parece del batallón franco de Rio ja alavesa. le presenta al cabildo de Málaga coisio acreedor' á sus conside­ im posible que baya quienes sostengan la doctrina de que Sargento seguradlo José Blanc…</t>
  </si>
  <si>
    <t>…y d ice: {Leyó). Es decir, que después de haber tomado las cosas Ha dicho el Sr. Argiielles que he confesado que la cuestión en ellas el Gobierno, y este desde entonces empezó á fijarse so­ este carácter ju d icial, el mismo Sr. Ortigosa conoce que lo que es grave. Lo he confesado, es cierto, y diré sobre qué punto bre este grave asunto, excitó al obispo y ai cabildo á que re­ le corresponde en derecho es la declinatoria de iuwsdíccioii. En lo digo. Es grave por lo peligrosa, y sabido es de S. S. de don­ nunciaran á sus pre…</t>
  </si>
  <si>
    <t>…Sr, Peña Agoayo creyó ayer que convendría mejor á.la Art, 78. La misma formalidad se guardará cuando, uno- de dictamen de" te co misión sobre te adición hecha al proyecto .so­ defensa'qne biso de sns doctrinas e! degradar al Sr. Ortigosa, los «roerpos resuelva presentar á 8. M.,. mensaje fie felicitación o bre extracción fie corcho , por tes Sres. Fer.ner y Gonalea. llamándote simple presbítero y arcediano fie Caratona. Esto me pésame, ¡indieikta agregarse á la diputación tes, hafinrideaosque Se iey© él dicta meo , que á…</t>
  </si>
  <si>
    <t>…e algunas refle­ política# entonces todo es posible; y en ese supuesto no trate­ el año de 1715 cuando Felipe estaba sentado en el trono se hu­ xiones que ha hecho el Sr. Peña Aguayo^ á pesar de que el mos de la suerte del Sr. Ortigosa ni lo demas, porque ese su­ biera hostigado el Papa en llevar adelante sus designios los hu­ Sr. Argiielles las ha resuelto. ceso fortuito es bastante. biera llevado ? En esta cuestión, señores, no he visto mas que la parte po­ ¿ A qué aspira S. S. ? ¿á que deje de proseguirse esa causa?…</t>
  </si>
  <si>
    <t>…no creeríamos ni úlü o * * «d o leer el decreto de 'tes Cortes aboliendo b ioqaisictea; ni con veniente continuar en esta fetal é inexcusable polé­ E L D IA B L O S U E L T O , periódico destinado á instruir y por eso dijo «I Sr. Ortigosa que se presea tase en Sevilla f j que ' divertir al público á costa de sus mismos vicios. Se pu­ mica, provocadla por demasías á epe no podrá menos de blica cuatro» veces al raes, enasta odo cada o d cuero de na pliego’ esto ae entendiese sin que el Gobierno prejuzgase ta cuestión, respon…</t>
  </si>
  <si>
    <t>…de su manifestación de fé po­ profanarle, como dijo el Sr. Olózaga? en cuaoto á que no lo pondría desde luego eo práctica, ó no lo lítica , que la habia hecho en los documentos oficiales. Habló el Sr. Cortina de la causa del Sr. Ortigosa : algo d i­ sancionaría, ine parece que ha sido demasiado aventurar S. S., Señores, quisiera que no hubiera tanto credo escrito: bueno jo sobre esto el Sr. Arguelles; y todo viene á recaer en cargos porque ni es infalible , ni es eterno en ese puesto ; y no sabe S. S. será que el Gobierno d…</t>
  </si>
  <si>
    <t>Ortigosa, IX Valentín</t>
  </si>
  <si>
    <t>IX Valentín Ortigosa</t>
  </si>
  <si>
    <t>…cu er­ «ctuaí administrad.ou; y segunda, dle lo que á esta puede to­ pos colegisi&amp;dores»' A, la Ies extrem os conduce una opinión carle. En cuanto á. lo primero , es casi notorio que habiendo ,. llegado á Málaga el Sr. obispo IX Valentín Ortigosa, y lo de- errada. élaro porque cede eu loor de S. S. llena.., removió al secretario' Esperarnos que las razones aq u í expuestas,, y las que dbe gobierno , que era precisamente un canónigo; y de aqoi to­ ya se expusieron en la d iscu sión , serán, atendidas por el D IA R IO…</t>
  </si>
  <si>
    <t>Ortigosa, Ramón</t>
  </si>
  <si>
    <t>Ramón Ortigosa</t>
  </si>
  <si>
    <t>…habiendo acabado de pasar la visita de juez en aquel con­ nuel Ribera , heredero de Doña Josefa Correa: Doña María GALERÍA DRAMÁTICA. dado (l), si él se hubiera entregado al magistrado como Leocadia Salgado, hija de D. Mateo: D. Ramón Ortigosa, causador de aquella muerte, aunque no dudaba hubiera hijo de D. Manuel : los hijos de D. Juan Antonio Guardia: FUNCION DE BODA SIN BODA. &gt;ii\ ' hallado reo solo de homicidio involuntario, seria D. José González de Gomara : D. Gerónimo Coliantes, apode­ ¡ lénipre necesario estar en la…</t>
  </si>
  <si>
    <t>Ortiz, José</t>
  </si>
  <si>
    <t>José Ortiz</t>
  </si>
  <si>
    <t>…ara todos de pan blanco y carne , contribuyendo asi á la el Sr. D. Raraoa de la Sagra.) tiago y León han de operar en este distrito al mando del v a­ empresa no solo con sus palablas y su presencia, sino con me­ liente coronel D. José Ortiz. dios reales y positivos. Casa d e c i e g o s d e A m s ter d a m . Ayer el Sr. comandante de este fuerte mandó ocho paisa­ Aunque en los primeros trabajos ha sido constante y pre­ nos á los pueblos inmediatos á adquirir noticias de la facción,: cisa la asistencia del ingeniero directo…</t>
  </si>
  <si>
    <t>…é María Trucharte, que úl­ PARTE OFICIAL. timamente ejerció la jurisdicción en Fraga. Dígnese, pues, V . M. acoger con su maternal solicitud la expresión fiel del mas acrisolado patriotismo, y una muestra Por traslación de D. José Ortiz ha quedado vacante el juz­ segura de que con los deseos de esta se identifican los de es­ gado de C h iv a , de entrada en la provincia de Valenciaj para ta corporación celosa por su mejor cumplimiento. S. M. la R e i n a , s u augusta Madre la R e i n a G obern a­ el cual ha sido nomb…</t>
  </si>
  <si>
    <t>…campameoto de tropas africanas que dirige sus fuegos de listas tales que firmaron el convenio estaban poco acostumbrados en contratos, pudiendo añadir que aunque se entienden por componen, debido todo á su infatigable gefe D. José Ortiz. artillería á la plaza mas ó meaos caprichosamente, y que en Hace mucho tiempo que este pais necesitaba un sugeto de su muy pocas horas concurren 403 moros á tiro de fusil de la mis­ armas personales el armamento de la tropa con su correaje, no temple, de modo que como por encanto y en…</t>
  </si>
  <si>
    <t>Ortiz, Nicolás</t>
  </si>
  <si>
    <t>Nicolás Ortiz</t>
  </si>
  <si>
    <t>…uerte y activa de la autoridad no solo las descubre, sino im - juez de primera instancia de esta M . H. v i l la , refrendada del pooe con celeridad y justicia las penas legales, nos contempla­ escribano del número de la misma D. Nicolás Ortiz, se ha señalado Piensa mal y acertarás, en tres acto s, á 6 rs. mos al abrigo de los tiros de los delincuentes, y se cree con r a ­ el domingo 21 de J u lio á las diez de su mañana ea la casa h abi­ Una crisis m in is te r ia l, en un a c to , 4 ¡J . zón que está asegurada la propiedad…</t>
  </si>
  <si>
    <t>Ortiz, Romualdo</t>
  </si>
  <si>
    <t>Romualdo Ortiz</t>
  </si>
  <si>
    <t>…...... 2000 .................... 2000 M ES D E A G O ST O D E 1831#. laga , en la de la viuda de Martínez de A guilar: Cádiz, en la 2................ de..... 1000............... 2000 de Hortal y compañía: Sevilla , en casa de D. Romualdo Ortiz. 2 .................. d e ........... 500.................... 1000 Maniobras de un ejército.=Siguen los reconocimientos. E n las mismas librerías se halla también el tomo primero. 6 .................. d e ........... 4 OO.................... 24 OO Historia del arte de la g u e rra .…</t>
  </si>
  <si>
    <t>Orus, José</t>
  </si>
  <si>
    <t>José Orus</t>
  </si>
  <si>
    <t>…ovedad por las tropas que han salido á su llenar el cúmulo de sus graves obligaciones ; porque donde quie­ encuentro, en virtud de orden del nuevo comandante general ra haya un patriota puro, un ciudadano honrado, alli hallará D. José Orus. un fiel auxiliador de su eficacia y celo; y cuando los legítimos En la maestranza de artillería se trabaja con una actividad “L A ñol Solterona, comedia en un acto arreglada al teatro espa- ascensos en su carrera lo hagan separarse de esta provincia, ira, admirable en la recomposición de…</t>
  </si>
  <si>
    <t>Oráa</t>
  </si>
  <si>
    <t>…ento de magistrado, que ni aun estaba sujeto á reelección. no habia llegado la guerra al estado terrible que llegó después, Igual resolución recayó sobre las actas de elecciones presen­ Que en igual caso se encontraba el general Oráa, que siendo ca­ tadas por el Sr. Arguelles y el Sr. Lasaña, Diputados electos, pitán general de Aragón, habia sido propuesto y nombrado pues por en 1854 se hicieron ya las elecciones excepcionalmente; y no poder ir los comisionados ¿qué se hizo? Se procedió al el primero por la provincia de B…</t>
  </si>
  <si>
    <t>Oráa, Marcelino</t>
  </si>
  <si>
    <t>Marcelino Oráa</t>
  </si>
  <si>
    <t>…aciones de correos del reino. en la forma que se h a n extendido en los años anteriores grafiando para acompañar á la memoria que piensa publicar el á la im prenta Nacional, donde d e b erán hallarse precisa­ teniente general D. Marcelino Oráa sobre las operaciones que m ente para el l.° de D iciem bre p ró x im o , pues al paso que bajo su mando tuvieron lugar en Julio y Agosto de 1838 , se por este medio se espera conseguir m ayor ex a c titu d , no hallarán de venta autorizados con su media firma y al precio COLECCION…</t>
  </si>
  <si>
    <t>Oríe</t>
  </si>
  <si>
    <t>…como lo es también que en presencia de una docena de Pares, en cuyo numero se cuen­ cional en todos los ramos de la administración de intereses pú­ el número de desmontados es bastante. Según las noticias parti­ ta al duque de Oríe3ns, queda aprobada. blicos, con distinción del contrabandista ó defraudador activo, culares que he podido re u n ir, calculo que si esta requisición El orden del dia es la continuación de la discusión del pár­ del pasivo ó funcionario connivente: 2 .a prevenir la tendencia produce proporcional…</t>
  </si>
  <si>
    <t>OS, SIND. ONIM</t>
  </si>
  <si>
    <t>SIND. ONIM OS</t>
  </si>
  <si>
    <t>…ión 2 rs. Van publicadas á esta escogida tino es el común de todos los sabios del m undo, se propuso fa­ colección que da al público el editor del teatro antiguo y mo­ derno español los dos dramas titulados Pablo el marino y Don SIND. ONIM OS castellanos de D. José López de la Huerta y Nicasio Alvarez de Cienfuegos, edición microscópica, cilitar las comunicaciones botánicas españolas y extrangeras, enseñando latinidad al mismo tiempo que botánica* Juan de Maraña ó la caída de un ángel. hecha de orden superior el año de…</t>
  </si>
  <si>
    <t>OSC</t>
  </si>
  <si>
    <t>…cto á otra q u e ta m b ié n se *1 sec i ' 86* Pues*° defecto de v e n i r firm adas ú n ica m en te por v a r a , confinado en la plaza de A lh u c e m a s , por sí y en nombre rozaba con las prero gativas de la corona. El Sr. OSC A contesta que no ha d icho q u e el C ongreso r e ­ ración* i a J 'u n t a m *e n í o &gt; J no se h a tomado en c o n s id e - de otros seis q u e su fren sus condenas en aquel presidio , hace «ísnto ^ ta *p ° rq ue se h a creid o que obrando esos d o c u - p re se n te ; Q ue exponiéndose á se…</t>
  </si>
  <si>
    <t>OSCA</t>
  </si>
  <si>
    <t>…ción de granos de los pósitos y fomento que sucedía con todas las leyes que tenían por objeto libertar ^ey 5 y en eso estaba su dificultad. de estos establecimientos. á Es pueblos y particulares de una carga determinada. El Sr. OSCA: Yo fui el que pidió que se exigiese la respon­ Los acuerdos tomados por los ayuntamientos sobre cualquie­ El Sr. Ministro de la G O B E R N A C IO N : Contestaré con sabilidad al mayordomo mayor; y cuando se trató de este asun­ ra de estos objetos, se comunicarán al gefe político de la provin…</t>
  </si>
  <si>
    <t>…de la palabra , cedo á la invitación MADRID 7 DE SETIEMBRE. regular á los caballos, y harto mas inteligentes en sus propios del señor Presidente , y me siento. intereses que los que pretendan dirigirlos, conocen muy bien El Sr. O S C A dijo que á su parecer esa exposición docu­ todo cuanto desmerece un potro, á quien se castra , en belleza, mentada debia quedar sobre la mesa para ocuparse de ella lue­ en formación, en robustez y en aprecio. N o se les oculta que go que estuviese constituido el Congreso, porque parecía que…</t>
  </si>
  <si>
    <t>…sentó una del Sr. Calderón de CONGRESO DE D IPUT AD O S. rácter de interinas. Todo esto después de nombrar las secciones lá B arc a, la cha! fue desechada , y después se precipitaron otras. sus Presidentes y Secretarios. El Sr. O S C A : No se presentó mas que una que fue la dél PRESIDENCIA DEL SEÑOR CALATRAVA. Sr. Calderón de la Barca. El Sr. conde de las N A V A S pidió la palabra para una cuestión de reglamento , y no concediéndosela el Sr. Presidente El Sr. S A N C H O : A lgu n as mas se presentaron, pido que Sesi…</t>
  </si>
  <si>
    <t>…or no molestar al locado las siguientes valizas en el C ate g a t, el JBelt de Saru- influencia, porque veo versa ya sobre una resuelta. Congreso , que persuade lo inexacto que es esto, que es la de que soe y el Báltico. El Sr. O S C A : Cuando he recurrido al D iario de las sesio­ los intendentes, los contadores y demas á que se han referido C ategat . nes he recorrido todos los dictámenes que dió la comisión, y no lo son mas que de una provincia ; la modificación por tanto 110 he encontrado esa adición. He visto que to…</t>
  </si>
  <si>
    <t>…e debe siempre arder ha considerado sin duda las consecuencias á que podia condu­ tarle. ante el ara sag rad a: sus reflexiones enérgicas y vigorosas sub­ cir ese principio que sienta. El Sr. Esteban d ic e : 'T uesto que El Sr. O S C A : Anuncio la interpelación para el dia que siguen á la enarracion de estos hechos; y concluye pidiendo se se las ha despojado de su propiedad, devuélvaseles.” ¿ Y sabe los Sres. Ministros tengan á bien señalar. sirva acogerlas bajo el amparo de su sabiduría y justicia el el Sr. Esteban las…</t>
  </si>
  <si>
    <t>…u n ta general de acreedores el d ía 2 l de O ctu bre próximo ve­ varios hechos. ofreciendo á sus Soberanos un nuevo hem isferio c o n q u is ta d o , y nidero desde las nueve de su m a ñ a n a á todos los interesados en El Sr. O S C A pidió se suspendiese la votación de este n e­ m u ltitu d de esclavos cargados de f r u t o s , aves y primores de las citados a u t o s , los que c o n c u rr ir á n por sí ó por medio de pro­ gocio hasta estar info rm ad o de si h a y ó no a l g ú n precedente desconocidas regiones. Isabe…</t>
  </si>
  <si>
    <t>…. C o rtin a. Dice S, S. que el C o n ­ Sr. M in is tr o de G racia y J u s t ic i a . requisito que e xige la ley electoral , y que las demás n u lid a d e s greso ha establecido un precedente con haber ap ro bado el acta El Sr. O S C A : Y o no tengo mas noticias de esas personas que se han supuesto de esos tres distritos , c u y a s eleccioues pro­ de un d istrito en que a lg u n a s papeletas se h a b ia n extendido que lo que he oido leer en ese d ic tá m e n : sin e m b a r g o , no p u e ­ pone la cornision sean a p r…</t>
  </si>
  <si>
    <t>OSDELAI</t>
  </si>
  <si>
    <t>…. 2.692,159-4Í 2-674,287.-51 1.532,840-5 1.866,326-7 30,562-l[íÍ.574,591-2 771,572-7 r 3.083,528-1* 2 59,226-4 851.856..5 307,416-6*i 1.046,955-3 ,20 .4 7 1 , 102.-44 IMPORTACION GENERAL M ARITIM A DE LOS PUERTOS H A B IL IT A D O S D E L A IS L A DE C U B A E N E L A Ñ O D E 1858. .», COMERCIO N A ­ COMERCIO EX TR A N G E R O , C IO N A L. P U E R TO S. En buques na­ DEPOSITO. En buques na­ De las ciuda­ De Dina­ De puertos di­ De los Estados- De los Países- De Portu- cionales. cionales. des Anseá­ marca. sidentes. Uni…</t>
  </si>
  <si>
    <t>OSE</t>
  </si>
  <si>
    <t>…calle del P ríncipe, núm. 1 3 , cuarto entresuelo: Romero.zrMatias B jzo.=Juan D atil.=José M aria Sancho.=José en las provincias eo las administraciooes de correos y princi­ A g apito Real.=Fernando de Palacios. U A B I E N D O S E adm itido la cesión hecha por D . Julián O r - pales librerías. Auto. En la villa de M adrid á 25 de Setiembre de 1859, *--*■ tiz Canelas, vecino de esta corte, para pago de sus acreedo­ y acto seguido, el Sr. D. Francisco Am orós y López , ministro res, se ha mandado convocarlos á junta ; y…</t>
  </si>
  <si>
    <t>…C apitanía general de A ragón.—Estado mayor.^Seccion cen­ de 1859. = Rafael M aroto. VACANTES. tral.—Acabo de recibir del Sr. comandante general de arabas Riojas la comunicación fecha de ayer que á continuación se H A L L A N D O S E vacante el magisterio de primeras letras de copia. la ciu dad de C alahorra , provincia de L o g r o ñ o , por di­ E! gobernador m ilitar de Viana en oficio de hoy que a c a ­ D IR E C C IO N D E H ID R O G R A F IA . misión de su ú ltim o poseedor por falta de s a l u d , c uy a dotación bo…</t>
  </si>
  <si>
    <t>…rtuna la proposición presentada por Leídos el proyecto presentado por el Gobierno, el aproba­ los Sres. Ochoa , conde de Puñonrostro , Primo de Rivera, do por el Congreso y el dictámen de la comisión del Senado, I G N O R A N D O S E la habitación en esta plaza de Doña M e l- Isla Fernandez, sobre nombramiento de una comisión que pre­ proponiendo la aprobación del proyecto, según ha sido presen­ chora y D . Antonio B a y l e n , herederos de Doña Tomasa sentase un proyecto de ley penal y preventiva acerca de frau­ ta d o…</t>
  </si>
  <si>
    <t>…utores clásicos griegos y latinos, pone un largo catálogo de Se halla de venta en el despacho de la Imprenta Na­ los que han escrito acerca de una y otra lengua , y de los prin­ cional á 16 rs. pasta y 13 en rama. IG N O R A N D O S E la habitación en esta corte del Sr. D. M a - cipales autores en ambas, comprendiendo también á los SS. PP. Es una bella edición , hecha con el mayor esmero y * nuel Nieto Rojo , oficial que fue de la secretaría del Des­ y las mejores colecciones de sus obras, é indicando siempre las con suma c…</t>
  </si>
  <si>
    <t>…te al facultativo contratarse con ellas para la asistencia á sus enfermos. EL ENTREACTO, UNION Y PAZ. PERIODICO DE T E A T R O S, LIT E R A T U R A Y ARTES. Himno patriótico dedicado á S. M . la Reina Gobernadora. JIA L L A N D O S E vacante el destino de secretario de la dip u- Compuesto con motivo de los felices acontecimientos de V e r- _ tacion provincial de A v ila , cuya doUCion es de 59 rs. gara por D. Ju an del P e ra l,y puesto eu música por el maestro al ano, por haberse promovido á otro al que le obtenía, ha ac…</t>
  </si>
  <si>
    <t>…A inglesa para uso de los españoles. Compuesta por D . Sebastian F á b re g a s , director del colegio universal de la calle de las In f a n ta s , y catedrático de la escuela m ercan­ H U n a lm a d e A rtista . A B I E N D O S E hecho concurso de acreedores á los bienes de til de la jun ta de comercio de M ad rid . P a b lo el M a r i n o . . los consortes D. Ignacio V ergara y D oña Bárbara H e r­ Del análisis que h an hecho de esta obra los profesores de D on J u a n d e M arañ a. reros, vecinos de G e ta fe ; se…</t>
  </si>
  <si>
    <t>…S 3 ncuez, en 5 de Abril. P R O V ID E N C IA S JU D IC IA L E S . Oha id., loma de la Fuente, término A lm e r ía , Dolores, por José Zapata , en 5. en un gabinete particular de lectura, donde están á su disposi­ H A B I E N D O S E denunciado ante el Sr. alcalde primero cons- Gira i d . , id. id. t S. Pedro en Gracia , por D . José Prats ción á todas las horas del dia 40 periódicos, de M a d r id , de las titucionai D. Tomas Fernandez Vallejo por el promotor B asco , en 5. provincias y del extrangero. fiscal D. Regino…</t>
  </si>
  <si>
    <t>…iscusión alternativam ente una ley y otra ; y o que soy vab a su t r o p a , consiguió desvanecer el riesgo que am enazaba el Presidente deseaba complacer á todos. En este estado se me al citado convoy de municiones. H A B IE N D O S E hecho postura al arren dam iento del paso de hizo una insinuación de parte de un poder del E stado, á quien la barca de V i llama nrique , perteneciente a l a encomien­ esta silla debe com placer ; por eso me decidí’ definitivamente* á da m a y o r de C a s t illa , ag re ga d a á la nación…</t>
  </si>
  <si>
    <t>…os para negarse, con dema­ da, continúan en esta corte sin novedad en su importante siada m oderación, á obedecerlos. No hay palabras con que po­ salud. der recomendar bastante la escrupulosidad con que los Estados T A B IE N D O S E denunciado ante el Sr. alcalde primero cons­ Unidos debieran examinar los pasos de la Francia en esta con­ titucional D . Tom as Fernandez de V allejo por el promo- tienda. Es de esperar que las diferentes voces que empiezan á ACTAS DEL GOBIERNO. or fiscal D. Jo aq u ín M aría San M ig u e l…</t>
  </si>
  <si>
    <t>…el Fernandez según dispuse, por haberse retrasado esta en su salida por de Pazos. falta de auxilios para la marcha. He dado las órdenes con­ Idem 6 de Marzo. venientes al gefe político de Córdoba para que tan luego T T A B IE N D O S E denunciado ante el Sr. alcalde primero cons- como lleguen á aquella capital los rematados procedentes Los magistrados y los presidentes del colegio del estado lla­ titucional de esta M. H. villa D. Tomas Fernandez de esta los organice en brigadas y entregue al comisiona­ Vallejo , por D. Luis…</t>
  </si>
  <si>
    <t>…Se ad­ E n trega de MARZO de 1839. m itirán proposiciones en una y otra para todo el número de Se halla á 3 rs. tanto en rama como en rústica en el quintales expresado, y también para entregar 8 3 en esta cor­ T l A B I E N D O S E denunciado ante el señor alcalde primerc despacho de dicha Imprenta. t e , y los 123 restantes en Granada y otros pu ntos, que se ex­ constitucional D . Tom as Fernandez de V allejo por D or presarán en las condiciones que se h allarán de maoiílesto en Comprende varios decretos, órdenes y c…</t>
  </si>
  <si>
    <t>…esto que la opinión gene­ bargada por la autoridad , y su dueño ó depositario su frirá una ral de los hombres sobre un robo o un asesin ato, es la misma: multa de 19 á 6 0 rs. y desde un mes á un año de prisión se­ T T A B IE N D O S E extraviado dos lám inas de deuda sin .interés en esta clase de juicios se puede suponer , sin grande e r ro r, á d irig id a s por el corred» dé esta corte de 4 de Ju n io ú lti­ gú n la gravedad del caso, incurriendo siem pre en perdim iento todos los jueces dom inados de iguales ideas y baj…</t>
  </si>
  <si>
    <t>Osea</t>
  </si>
  <si>
    <t>…abilidad. 4.0 Sobre la formación y alineación de calles, pasadizos y diputación provincial. A la autoridad toca regir, gobernar, y El Sr. Ministro de la G O B E R N A C IO N : D oy gracias al plazas. á los pueblos obedecer. Sr. Osea por lo templada y blandamente que me ha dirigido sus 5.° Sobre los presupuestos municipales y todo género de gas­ La segunda observación es que ha dicho S. S. que por el ar­ observaciones. Estoy conforme con todas ellas; mas sin embar­ tos é ingresos, asi ordinarios como extraordinarios. tícu…</t>
  </si>
  <si>
    <t>…, con­ El Sr. S A N C H O : Señores, yo creia que se debia im p u gn ar Por V a le n c ia : Sr. Ciscar y Odriola. forme con el parecer del Consejo de M in istro s, le habia auto­ el d ictám en, diciendo: aqui está la ley. El Sr. Osea ha hecho Por Orense: Sr. Alvarez Pestaña. rizado para presentar á las Cortes, el c u a l , después de un breve la im pugnación diciendo que la ley no dice lo que debia decir: Por Zamora: Sr. duque de Castroterreno. preámbulo, comprendía los dos artículos siguien tes: no ha contado mas que la…</t>
  </si>
  <si>
    <t>…señores, importa mucho á las Cortes, no se crea que van contra concluir solamente una observación , que la suerte de los jueces lar de convocatoria remitida por el Sr. Ministro de Gracia y la ley ; y lo que ha manifestado el Sr. Osea no es para inter­ de primera instancia depende de los regentes de las audiencias, Ju s tic ia . * pretarla sino para argüir contra ella. y que es sabida la influencia que tienen en las elecciones estos El Sr. O L O Z A G A , refiriéndose al Diario de las sesione?, En la sesión del 5 de J u l…</t>
  </si>
  <si>
    <t>…, los te A «id t es. Sres. Teste, Passy , D uch atel, Villemain y D ufaure. 4-a sección. Presidente el Sr. González Alonso: Vicepresi­ PARTE RECIBIDO EN L A SE C R E T A R IA DE ESTADO dente el Sr. S ilv a : Secretario el Sr. Osea : Vicepresidente el se­ Y DEL DESPACHO DE L A GU E RR A . L a salida de Port-Yendres del Príncipe Real se ha fijado ñor Alfonso. para el 12 próximo. 5.a sección. Presidente el Sr. Chacón: Vicepresidente el S e ­ Comandancia general de la provincia de Alava.zzExcelentí- ñor L ab o rd a: Secre…</t>
  </si>
  <si>
    <t>…fresco está ejecutado con un a g a ll a r d í a ad m ira b le , y la exp re­ Pre g u n ta d o si se suspendería la votación para el fin pedido sión de las fig u ra s y la belleza del con jun to revelan el g en io del por el Sr. Osea , dicho señor pidió se trajera el expediente de pintor. B IBLIO G R A FIA . las elecciones de PHencia del año 57 , y se leyese todo. Sobre cada u n a de las cinco p u e rta s h a y otros tantos m e ­ Interin se tr a ía el expediente se leyó y quedó sobre la me­ dallones pin tados por D. V ic…</t>
  </si>
  <si>
    <t>…a la palabra si no me quedase a lg o qu e decir todavía sobre mayor im parcialidad ? Pues ¿có m o estará se g u ra la mesa de dice que c o n c lu id a u n á d ip u ta c ió n t e r m in a n cuantos negocios la proposición del Sr. Osea , que h a sido la que me ha o bligado que se ha hecho la operación bien al ver que la papeleta nó la pen d ían en el C on greso , y deberán comenzarse n uevam ente si á pedirla. M e parece que d ijo S. S. que h o y mismo se debia de­ vVisto escribir? P a r a q u e la mesa esté se g u ra de qu…</t>
  </si>
  <si>
    <t>…Gobierno de seguir D :ña María Teresa P an ie go , viuda del gpfe político D. A n - Otro cargo que se ha hecho al Gobierno , que prueba que cobrando las contribuciones que no han votado las Cortes, des­ to?&gt;io Buch : otro del Sr. Osea , Guillen y Gras y otros varios no es parlam entario, ha sido su influencia en las últimas elec­ pués de lo que aqui se ha dicho en otra ocasión , y sobre todo señores , para hacer extensiva á todos los contribuyentes la car­ ciones. Sobre este punto ha callado hasta ahora el Gobierno , á en lo…</t>
  </si>
  <si>
    <t>Osende, José</t>
  </si>
  <si>
    <t>José Osende</t>
  </si>
  <si>
    <t>…bíteros D. M i» u e l estad o d e d e s u n i ó n q u e r e i n a e n t r e los p a r t id a r io s d e D o n C helv a h a cia A l p u e n t e , dejando en aquel punto a lg u n a s com­ S a lg a d o , c ura de E ntre-cruces y D. José Osende, cura de T r a ­ C arlo s. E j e c u t a d o e l f u s i l a m i e n t o , d i r i g i ó el m ism o M a ro jo p a ñ ía s , y otra que recorre los pueblos desde Domeño por la ba , han dado en esta causa firmes g aran tías de que su conduc­ á su p r e t e n d id o R e y u n a c a r t a p…</t>
  </si>
  <si>
    <t>Oses, Juan Ramón</t>
  </si>
  <si>
    <t>Juan Ramón Oses</t>
  </si>
  <si>
    <t>…iguiente s 7 ,5 2 5 .... 5 0 0 ....... Jerez dé la Frontera. El presbítero D. Calixto Alfonso de Armas, tenien­ 3 ,5 8 1 .... 500.............. Madrid. te de cura de la Puerta del Golpe.......................... 8 Sr. regente D. Juan Ramón Oses.. . . . . . . . . . . ; . . 20 5 ,414 * • • • 5 0 0 /...... Idem. Id. D. Pedro Bajado Villate. ................. 4 Sr. ministro D. Juan Duro Espinosa.. . . . . . . ,/V 10 6 ,2 9 6 .... 500............ Algeciras. La R. madre priora y comunidad de Sta. Catalina. 4** ^ Sr. ministro D. J…</t>
  </si>
  <si>
    <t>Oseñalde, Luis</t>
  </si>
  <si>
    <t>Luis Oseñalde</t>
  </si>
  <si>
    <t>…cional d e M a d r id . tídpico de Capricornio. Si el artista ha pasado el Ecuador . no hay otro medio para hacerle que dé la v e l a , que ir le Habiéndose denunciado ante el Sr. alcaide constitucional a ilarnar por tierra. D. Luis Oseñalde por el promotor fiscal D. Ramón Alonso de Al pie de la casita de Isabey está situado el puerto de au escuadrilla. Una docena de estacas p un tiagud as, clava­ las lle ra s, en concepto de incitador á la desobediencia, el artí­ culo que con el título de cencerrada se estampa en el m…</t>
  </si>
  <si>
    <t>…la Concepción Gerónima; en Barcelona en la de Y DE A P L IC A R EN SU CASO tor fiscal , licenciado D. Ramón Alonso de las Heras, ante el D. José Torner, calle del R eg o w ir, y en k de la viuda de Sr. alcaide constitucional D. Luis Oseñalde, de la cencerrada del núm. 101 del periódico titulado El G irigay , correspondien­ LA PENA CAPITAL, D. Antonio B ru si, calle de la Libretería. te al sábado 27 de Abril últim o, que existe en tni escribanía, se halla el acta del jurado, que copiada á la letra dice asi : escritas y publ…</t>
  </si>
  <si>
    <t>…o tributar á W a t t cu yo émbolo, movido por la balanza , da el mismo número de A yuntam iento constitucional d e M a d r id . golpes que el émbolo del cilindro grande, extrayendo sucesi­ honores verdaderamente nacionales. D. Luis Oseñalde, coronel graduado de infantería retirado, En 1824 se celebró una junta en Londres presidida por el vamente el agua y el aire que se hallan en el condensador. caballero de la Real y militar orden de S. Fernando , condeco­ primer ministro de Estado conde de Liverpool, y asistida por ra…</t>
  </si>
  <si>
    <t>…astante, haciendo de l859.:=Zenoa Asuero. grande estrépito unos con otros, pero no se rompieron ningu­ Habiéndose denunciado ante el Sr. alcalde constitucional na costilla: algunas lanchas chatas (de canal) subieron al mue­ D. Luis Oseñalde por el promotor fiscal D. Ramón Alonso de lle y hasta la calle South. las Heras el artículo inserto en el periódico titulado el Guiri­ Los desatracados escaparon peor. El bergantín Susan al PARTES. gay , núm. 8 5 , perteneciente al sábado 6 del corriente, en ancla en el rio del Este…</t>
  </si>
  <si>
    <t>…tados desde el en que se inserte en Ja Gaceta del TTABíENDOSE deounciado ante el Sr. alcalde constitucional Excmo. S r.: Entre las medidas que S. M. la Reina Gobierno un edicto igual á este, comparezca ante esta subdele- -*** D. Luis Oseñalde por el promotor fiscal D. Andrés Mon­ gacion de Rentas por la escribanía mayor del infrascrito á re­ tero, Gobernadora ha mandado llevar á efecto por Real orden conocer en concepto de subversivo el artículo inserto en el perió­ de esta fecha con el fin de fijar la fuerza de infanter…</t>
  </si>
  <si>
    <t>Oseñalds, Luis</t>
  </si>
  <si>
    <t>Luis Oseñalds</t>
  </si>
  <si>
    <t>…i parte. Miguel María D u ra n , juez de primera instancia de esta capi­ Habiéndose denunciado ante el Sr. alcalde primero constitu­ tal, que la tiene donde fue repeso de corte frente la fuente de cional de e*U M. II. villa, D. Luis Oseñalds, por D. Gabriel Santa Cruz por la escribanía de número del crimen de D. M a ­ (1) El Sr. Am at publicó su Biblia á sus expeusas, y no con Valbuena , vecino deda ciudad de León, y residente al presente nuel López Pintado, a fin de hacerla saber una providencia en la circunstancia 'que…</t>
  </si>
  <si>
    <t>OSGA</t>
  </si>
  <si>
    <t>…mismos. el estado clasificado de la tropa presente en esta plaza, anotan­ se en el ínterin su admisión. La concurrencia era inm ensa, y ha permanecido en aque­ do en él el sugeto que comisionen , para que presentándose al El Sr. OSGA reclamó que se preguntase si se daba el pun­ llos sitios hasta cerca de las dos de la noche, saludando al ge­ Excmo. ayuntamiento se entere de la hora y formas en que to por suficientemente discutido* neral Bertrand con vivas aclamaciones. deba hacerse ia distribución de los artículos que se me…</t>
  </si>
  <si>
    <t>OSME</t>
  </si>
  <si>
    <t>…e los pro­ N O T IC IA S EXTRANGERAS. gresos que produce el comercio y la paz por que tanto hemos dora y la Serma. Sra. Infanta D oña María Luisa F ernan­ suspirado. Se esperan algunas fuerzas mas, pues se nos ha di­ E ST A D O S M EJICANOS. da, continúan en esta corte sin novedad en su im portante cho que al Sr. general D . Ciríaco Vázquez se le ha dado ya la salud. Ministerio del exterior.=Circular.:=Excmo. S r.: A consecuen­ orden de replegar las qúe tiene á su mando sobre estas cerca­ cia del estado de guerra en que…</t>
  </si>
  <si>
    <t>…R A N B RETAÑ A. do la tranquilidad en lo mas mínimo. N O T IC IA S E X T R A N G E R A S . Con este motivo se lee en el Monitor parisiensez Léndres 5 de Julio . Las noticias particulares que recibimos de Marsella dicea ESTA D O S M EJIC A N O S. Los consolidados que han corrido por la manaña á 93£ no lo que sigue: han obtenido después ventaja alguna por efecto de la venta de En la tarde del 29 de Junio anterior se dio á la vela el M r jico 4 de Mayo . cierto número de consolidados reducidos. Se busca cou empeño barco d…</t>
  </si>
  <si>
    <t>OSMEJ</t>
  </si>
  <si>
    <t>…mas exacta disciplina en la sección para evi­ no se elabora en España, ha tenido á bien S. M. la Rei­ tar toda desgracia ; y hoy por extraordinario le he repetido lo na Gobernadora .permitir la introducción de una parti­ E ST A D O S M E JIC A N O S. mismo, y que si no considera fácil apoderarse de L rre a, que da del extrangero, á fin de que un fabricante de loza que se retire para este punto. lo ha solicitado no carezca de este medio de perfeccionar Ministerio de Guerra y M arin a.- Comandancia general d&lt; Son las tres tres…</t>
  </si>
  <si>
    <t>…sores Idem 15. NOTICIAS EXTRANGERAS. de la patria de este departamento, con que contaba aquel. Al amanecer de este dia tomé posesión de una ermita que domina A l presentar á la Cámara de D iputados el Excrao. Sr. M i ­ EST A D O S M E JIC A N O S. 2I Calvario á tiro de fusil fuera de las casas de la població n; y nistro de Relaciones el tratado de paz y convenio celebrado en avistándose el enemigo á las once, formé en batalla y mandé Veracruz el 9 del corriente, pronunció esta mañana el discurso Gobierno general.^Minist…</t>
  </si>
  <si>
    <t>Oso-, Mariano</t>
  </si>
  <si>
    <t>Mariano Oso-</t>
  </si>
  <si>
    <t>…el de los fRios, D. Antonio Fernandez Urrutia , D. Carlos Otra id. en dicho sitio , la Casualidad, á D. Antonio C a­ Quintana de Triaba , su procurador J o sé T eijeiro, demandan- x Gutiérrez de la T orre, D. Manuel Abascal , D. Mariano Oso- ballero, en id. te de una parte: Andrés Diaz Pardo y mas testamentarios de rio de Moscoso, D. Ramón Gerboles, D. Manuel Fernandez Otra id. en dicho s itio , la Solera . á D. José G arc ía, en id. D. José Diaz de Caucio, vecino que ha sido de Riveras de A u -</t>
  </si>
  <si>
    <t>OSP</t>
  </si>
  <si>
    <t>…gedia en cinco actos, original déf cé­ BOLETIN DE COMERCIO. cional á 20 rs; en rústica. _J3e darán dos ejemplares gratis lebre Casimiro D elavigne/titulada Londres 19 de Febrero. al que compré una docena. E L PA R IA . F O N D O S PUBLICOS. Estas traducciones de Anacreonte y de Safo son las últi­ En seguida se tocará una sinfonía ; terminando la fu n c ió n mas que;sé han publicado en castellano y las mas arregladas al con u n divertido sainete. . Consolidados 9 2 f al contado , 9 2 | por cuenta de Abril. original ; seg…</t>
  </si>
  <si>
    <t>…155,520 rs., y se halla afec­ Manuel Ballesteros. Seis tomos en 8.° en pasta , que ss tulada &gt;v to á cinco capitales de censos, importantes 9 ,584 rs* 22 mrs. vendeo en las librerías de Cuesta y Razóla : su precio 80 rs. . ' , .D O S PA D R E S P A R A U N A H IJA . Un cortijo nombrado del Pilar , en el partido de A r r a y a ­ L a M inerva es una obra dedicada expresamente á la j u v e n ­ n a l , término de U población de T orrem oliuos, valorado en la tud española; y por esta razón, ademas de los diversos ramos que A co…</t>
  </si>
  <si>
    <t>OSPADRESPARAU</t>
  </si>
  <si>
    <t>…onsolidados, 00 . Los 15 premios mayores de los 600 que comprende el sor­ D euda negociable de 5 por 100 á p a p el, 00. GALERÍA DRAMATICA. teo de este dia. Idem sin interés, á 60 d. f . ó vol. á prima de £ por 100 , nuevas. D O S P A D R E S P A R A U N A H IJ A . NÚMEROS. PREMIOS. ADMINISTRACIONES. Acciones del banco español de S. F ern a n d o, 00* Comedia en dos a ctos, traducida del francés por D . Juan CA MBIOS. L om b ia , y representada con aplauso en el teatro del. Principie. 18,985 . . . . 8000 ps. fs. Cádiz…</t>
  </si>
  <si>
    <t>…dio de baile; terminando la función coa la divertí-* Que suponiendo que la tierra que se les adjudique sea de de la universidad . da comedia en dos actos, titulada tercera calidad, y que valga á 80 rs. la fanega, corresponde­ D O S P A D R E S P A R A U N A H IJ A . rán 18 fanegas á cada uno por los I 44 O rs., y que siendo el Este nuevo establecimiento de educación, sito en la pla­ total de premiados 150 9, no llegan á tres millones las fanegas zuela de S. M artin de M adrid, núm. 8 , se halla bajo la d i­ de tierra qu…</t>
  </si>
  <si>
    <t>OSPUBLI</t>
  </si>
  <si>
    <t>…E COMERCIO el pensamiento del noble artista. Ley sancionando la extracción del corcho á P ortugal por la ¡Ojalá que la amable ‘hospitalidad de los parisienses, sus aduana de Fregeneda en tablas, peones ó pannas de la pro­ FO N D O S P U B L IC O S. brillantes salones, sus sublimes talentos h ag an olvidar á Doni­ vincia de Extremadura. (Núm. 1573.) zetti largo tiempo las frescas aguas de Baía , las colinas de Pór- Real decreto declarando del ejército permanente á los actuales L ond res 21 d e M arz o . tici y de P oú lip o…</t>
  </si>
  <si>
    <t>…am ino, fue cargada la mitad de la retaguardia por fuerza* enviaban al repetido p u n to, y las han hecho retroceder, pre­ considerables enem igas, consistentes en tres batallones y dos es­ sentándose con ellas en Liria. F O N D O S P U B L IC O S . cuadrones, con mas otra columna sobre el camino del Toro La brigada Am arillas ha pasado á M urviedro. sin que á pesar de todo lograsen interrum pir la marcha y des­ Los consolidados han tenido un ligera alza, pues están á 927 ordenar un escalón. á cu en ta, 9 2 |, f al conta…</t>
  </si>
  <si>
    <t>…IO . E l coro con su bellísima ig lesia, en la que se oye el órga^ ejército del Norte. Un cuaderno en 8.® de m arca, impreso en Logroño. Se hallará á 2 rs. en la librería de Cuesta, frente á no con un singular efecto. F O N D O S P U B L IC O S . las Covachuelas. E l panteón de los Reyes Católicos iluminado La iglesia de Atocha con su imágen y banderas. Lóndres 3 1 d e E n ero . E l coro de capuchinos de Roma con toda su comunidad. T A N D A S de rigodones, sacadas de las óperas de la Ipermes- Está abierto todos los…</t>
  </si>
  <si>
    <t>…BOLETIN DE COMERCIO. cristal, loza, piedra y ch in a, á 2 rs., todo á satisfacción. determ inadas, que de un núm ero á otro se encadenan del m odo rnas estrecho. El p r im er o , que es el que da p rin cip io siem pre F O N D O S P U B L IC O S . al n ú m e r o , trata de la parte profesional ó técnica de la gu erra , I ^ L día 5 de Marzo de este año llegó á Cádiz procedente de :onsiderándo!a com o arte ó com o ciencia. El redactor ha co­ Londres 28 de Febrero. Manila la , famosa fragata española nombrada Colón , de me…</t>
  </si>
  <si>
    <t>…la con el texto griego al frente de una ni otra parte. Los ocho restantes de tan criminal compa­ la traducción. Se vende en el déspacho déla Imprenta N a­ ñía , sentenciados á uno de los presidios de Africa, han sido ya F O N D O S P U B L IC O S . cional á 2(1 rs. en nística. Se darán dos ejemplares gratis conducidos al correccional de la Coruña para que lo sean desde aquel á su destino en primera proporción. al que compre una docena. Este es el merecido fin que ha tenido la cuadrilla de G ui­ Londres 1.° de Marzo . s…</t>
  </si>
  <si>
    <t>…de esmerada y correcta im p resió n , que sé expen­ BOLETIN DE C O M E R C IO derá al precio de cuatro reales cada uno en esta co rte, y cinco Id em 6. en las p ro v in cias, sin aum ento; algun o aunque de cuando en F O N D O S P U B L IC O S . cuando se acom pañarán fac-sím ilés de escritura autó grafa de El v alien te , el liberal , el patriota y decidido capitán Don L on d res 2 d e M arzo . a lS unos personajes de la historia contemporánea. G regorio del Castillo ha salido hoy para A lm enara á tomar el Su publi…</t>
  </si>
  <si>
    <t>…á Estella, en don­ BOLETIN DE COMERCIO. de se han mandado preparar 20 catnas para su séquito. Por XJ'L Astrólogo de Valladolid, comedia histórica en cinco ac- ahora, según voces de la facción , ,no se trata de expedición. F O N D O S P U B L IC O S . tos y en verso, por D. José García de Villalta , represen­ Hay desavenencias entre ellos. tada con aplauso en el teatro del Príncipe. Véudese á 8 rs. en El pienso para la caballería escasea. Tienen bastante abun­ Londres 5 de Febrero . las librerías de Escamilla, calle de Carre…</t>
  </si>
  <si>
    <t>…Sr. Paris, ó por mejor decir, entre él y la em­ BOLETIN DE COMERCIO. presa que encargó á aquel de un papel que no podía desempe­ ñar, pusieron á la pieza tan mal parada que no extrañamos el CORRESPONDENCIA DE LA GACETA. F O N D O S P U B L IC O S . fallo del público, ni que los que no conocen la original la ha­ ya n creído malísima. En fio , basta ya de esto, y pasemos á ha­ Bilbao 5 de Marzo, El viernes último llegó efectivamen­ Londres 5 de Marzo . blar del te á Durango el caudillo rebelde Maroto con la fuerza de unos…</t>
  </si>
  <si>
    <t>…. «Si se loman los huevos de un pájaro que canta, se le BO LETIN D E C O M E R C IO . L A MARIPOSA, pot.en para que los empolle á otro que no canta, y se crian los poiluelos en la soledad, sin que llegue á sus oidos nin­ F O N D O S P U B L IC O S . PERIODICO DE LITERATURA Y MODAS. gún canto, cuando ios machos lleguen á la edad de su Londres 12 de Abril . ! El dia 20 salió á luz el segundo número de esta publica­ entero desarrollo, cantaran lo mismo que los otros machos Consolidados á cuenta, 92 £: al contado, 95£. ción.…</t>
  </si>
  <si>
    <t>…fonso G utiérrez, por pan: D. Francisco Es­ BOLETIN DE COMERCIO. teban Oyarzabal, por aceite: Manuel Aragón y Juan Cansegre, SIN O B L IG A R A SUSCRIBIRSE, por leña: D. José María Costa, por letras, y el administrador F O N D O S P U B L IC O S . del canal, para que en el dicho término comparezcan por sí y a la mitad del precio que los publicados hasta el dia, hacen ó persona legítimamente autorizada á percibir sus láminas res­ esperar á su editor la buena acogida del público. Londres 15 de Abril. pectivas, con apercib…</t>
  </si>
  <si>
    <t>…que mas bien serviría para la Siberia se aumenta todos los d ias; sus terrenos, incultos des­ desterrar el terror saludable que la justicia debe tener siempre de la creación, se desmontan y se cubren de ricas m ieses, y F O N D O S P U B L IC O S . á la vista de los culpables. La duración de la pena de los con­ los brazos del imperio ruso se extienden en el Asia. De aquello denados á los trabajos forzados no puede en ningún caso , á que eia un origen de males y de discordias en sus provincias . L ondres 18 d e Marzo* menos…</t>
  </si>
  <si>
    <t>…ronel del regimiento de la Habana por sí, los A rtillería..................... 731 gefes y oficiales del cuerpo......................................... 158 Un Nacional de artillería.................................. 520 F O N D O S P U B L IC O S . El coronel del regimiento l.° de Cataluña por si, Milicia de infantería de Reinosa................................. 560 los gefes v oficiales del cuerpo................................. 204 Id. de caballería i. ....................... 520 El coronel ael regimiento infantería mi…</t>
  </si>
  <si>
    <t>OSROMANOS</t>
  </si>
  <si>
    <t>…stado en esta ciudad En ta tarde del domingo 20 de Octubre llegó el duque de con una misión del virey. Burdeos á Roma. Se supone en la embajada que la llegada del Las escuelas continúan en un buen estado. Hekekam-bey, E ST A D O S R O M A N O S. cuñado de Artinbey, está organizando una escuela de artes y oficios. En El-K hanke se ha establecido una escuela con la de­ (i) Ya se ha dado principio en Paris á esta obra bajo la di­ Roma 21 de Octubre, nominación de los Príncipes, y en la que los hijos de S, A. re­ rección de…</t>
  </si>
  <si>
    <t>OSS</t>
  </si>
  <si>
    <t>…ben las actas de este últim o punto. á acrecer los placeres de esta noche verdaderamente fantástica. El Sr. PRESIDENTE anunció el orden del dia. Esta sucinta narración es lo único que puedo escribir á V V CONGRESO DE D IPU T A D O S Sin discusión fueron aprobados los dictámenes de la comi­ porque yo también quiero gozar de los públicos regocijos. * sión de Actas que á continuación se expresan: (D e nuestro corresponsal,) PRESIDENCIA DEL SEÑOR ZU M ALACAR RE G U I. 1.a Relativo á las elecciones de Cuenca , en las cuales por…</t>
  </si>
  <si>
    <t>…a dos bat dlones de la G u a rd ia R eal de i n f a n t e r í a , u n a com pa­ Et p e u t-é tre a u x censeurs de P y r r h a s ñía de Zapadores y la batería de m o n t a ñ a ; y salido p a ra Go- A M A N T E S Y ZELOSOS TO D O S SO N L O C O S : Dois tu les nobles traits dont tu peignis B u rrh u s . rera el 2 .° batallón del 9 .° ligero. re f u n d id a por D. D ionisio Solís. RecordáLaraode los papeles en que el público le h abia m a ­ I d e m 2 2. Se confirma lo que d ije á Y Y . en m i an te rio r, Interm edio de…</t>
  </si>
  <si>
    <t>Osset, Miguel</t>
  </si>
  <si>
    <t>Miguel Osset</t>
  </si>
  <si>
    <t>…ran cor­ Estado de la pérdida que ha tenido el cuerpo de ejército que dillera , y que marchase de frente una brigada de la 5.a divi­ opera á las órdenes del Excmo. Sr. general en gefe en la ac­ sión á las órdenes del coronel D. Miguel Osset, compuesta de ción de este dia sobre las alturas de Villareal y montes de los dos batallones de cazadores de L u ch an a, el tercero de Za­ Arlaban. ragoza y un escuadrón de húsares de la Princesa. Dada la señal de ataque rompieron el fuego con acierto las Artillería del 5.° departam…</t>
  </si>
  <si>
    <t>OSU</t>
  </si>
  <si>
    <t>…s millones de francos que Luis x v m le habia dado d o r a y la Serma. Sra. Infanta Doña María * Luisa Fer­ pocos momentos antes de morir. Ha dejado también al prínci­ nanda, continúan en esta corte sin novedad en su im­ E ST A D O S UNIDOS. pe todos los dominios que poseía en la vasta extensión de la monarquía austríaca. Asimismo ha dejado una suma conside­ portante salud. rable á la orden de jesuítas. Nueva-York 26 d e Octubre. P ro ceso d e los Sres. Ruiz y M ontes. E X P O SIC IO N E S A S. M. L A R E IN A G O B E R…</t>
  </si>
  <si>
    <t>…s K. Polh , presidente de la Cámara de Representantes.:^ corporaciones para conceder con este motivo á cada alum­ W l. R. K i n g , presidente'interino del Senado. no 300 rs. vn. por una vez, librándolos á favor del di­ E ST A D O S UN ID O S. Aprobado á 5 de Marzo de l859.r=Mr. Y an -B u ren . rector de la escuela, el cual los tendrá en depósito para En votación nominal de esta ley en la Cámara de Repre­ Cuestión d e lim ites. irlos entregando á los interesandos conforme los vayan ne­ sentantes hubo 201 votos á f a v o r…</t>
  </si>
  <si>
    <t>Osu</t>
  </si>
  <si>
    <t>…ros y continuos destruyeron sus premacía política en Francia, Italia y Alemania: el que Remedio contra la hidrofobia. ejércitos, desmoralizaron sus pueblos, y agotaron sus úl­ se opuso constantemente á los esfuerzos del duque de Osu­ timos recursos. En el mes de Mayo de 1812, cediendo á na, del marques de Villafranca y de otros guerreros ilus­ Un periódico de Paris con referencia á una carta de Viena los deseos de sus Ministros, de los miembros del Di van, tres que deseaban dar nuevos aumentos á la monarquía, que dice se…</t>
  </si>
  <si>
    <t>OSUNI</t>
  </si>
  <si>
    <t>…S EXTRANGERAS. La ciudad de Rio-Grande continúa con la misma tranqui­ d o r a y la Serma. Sra. Infanta Doña María Luisa Fernan­ lidad. (Periódicos de New-York.) da, continúan en esta corte sin novedad en su importante .E S T A D O S U N ID O S . salud. N ew York 4 de Mayo . GRECIA. Buques de vapor del Este . Nuestros amigos de Boston Maurocordato, embajador del Rey Othon en M unich, será MINISTERIO DE LA GUERRA. están contentos con motivo de la línea de navegación por va­ acreditado en la misma calidad cerca del Gabinete…</t>
  </si>
  <si>
    <t>…á enterarse de una NOTICIAS EXTRANGERAS. providencia dada por el S r. D . T ib u rcio G arcía G allard o , juez de prim era instancia de la ciudad de B a d a jo z ; en inteligencia Stuttgart 1.° d e F e b r e r o . E S T A D O S U N ID O S D E AM ERICA. que de no hacerlo le parará el p erju icio que haya lugar. S. M . el Rey ha abierto hoy con toda solemnidad la sesión ^ ;___________ i — i-,; — - - — - -— — ------------------------------ 1,— * S r. editor del N oticioso d e Ambos M undos, zz Filadelfia y de los Estad…</t>
  </si>
  <si>
    <t>…corbetas y cinco bergantines. Total 20 velas. A Dios. Su afectísimo compadre.=Vicente Rocafuerte. Cuenca 12 de Julio. A los habitantes de la provincia de Cuenca el capitán Se lee en el Monitor lo que sigue: general: E ST A D O S U N ID O S. A la primera noticia de las tormentas que en tan gran nú­ Ciudadanos: He venido á recorrer vuestra provincia y á mero han descargado sobre nuestros departamentos, destruyen­ adoptar algunas medidas preliminares de su total pacificación; Nueva- York 15 de Junio. do los sembrados, y…</t>
  </si>
  <si>
    <t>…etición solicitan- iI Convención nacional recientemente establecida en L o n d res, de- do la prolongación de la sesión actual. S. M. ha accedido á ello ¡I bia sufrir hoy su interrogatorio , por lo que (a ciudad estaba E ST A D O S U N ID O S. por medio del decreto siguien te: I entregada á la mas cruel agitación. Las tiendas y talleres e sta - Cuestión d e límites. Siendo el prin cipal objeto el de perpetuar la confianza que I ban cerrados, y en las calles solo se veian grupos de quince y reina entre el Gobierno y los…</t>
  </si>
  <si>
    <t>…lejandría del 6 de Julio confir­ Sr. almirante: lie recibido la carta que Y. rae ha dirigido en ma esta misma derrota: el combate ha durado dos horas: todo 18 del corriente , y que trata de las lanchas de Bermeo que se E ST A D O S U N ID O S . el materia!, como fusiles, cañones y municiones, ha caido en ocupaban en la pesca sobre la costa, y que cazadas por el Isa­ poder de los egipcios. bel n se dirigieron sobre la Coqueta. Me habla V. al mismo Nueva-York 24 de Junio . tiempo del quechemarin francés Amable María , que…</t>
  </si>
  <si>
    <t>OSYBELLEZASDE</t>
  </si>
  <si>
    <t>…scribe al Semanario en las librerías de Jordán , calle de Carretas, y de Paz, frente á las Covachuelas; y en las provin­ cias en las administraciones de correos y principales librerías. CAJA DE AHORROS DE MADRID. R E C U E R D O S Y B E L L E Z A S D E E SPA Ñ A . Precios de suscripción: en Madrid 4 rs. al mes y 56 por un ano. En las provincias 24 rs. por seis meses, franco de porte. Los suscriptores á esta preciosa é interesante obra se servi­ Hay colecciones desde principio de la segunda série» Domingo 22 de Setiembr…</t>
  </si>
  <si>
    <t>Otaola, Valentio</t>
  </si>
  <si>
    <t>Valentio Otaola</t>
  </si>
  <si>
    <t>…bajo. Comparada Por el presente se c ita , llama y emplaza por segundo edic­ una providencia en la causa que á su instancia y contra Isido­ máquina con otra de simple efecto de los mismas dim en­ to y térm ino de nueve dias á D. Valentio Otaola , oficial 5.° ro Rubio sobre que la cumpla la palabra de casamiento pende siones, resultará que aquella consume dos veces tanto v ap o r, y que fue de la contaduría de rentas de esta provincia , y caso de en el juzgado de Chiochoo ; con apercibimiento de que pasado produce un efect…</t>
  </si>
  <si>
    <t>Otarola, Manuel</t>
  </si>
  <si>
    <t>Manuel Otarola</t>
  </si>
  <si>
    <t>…ilitares que la Inglaterra tiene en sus pose­ los naranjos: D. Manuel Castañeda , una copia de un Ecce- sieron ir á ganar las indulgencias, no espirituales, que n’os' he siones de Ultramar ascienden á 155,199 hombres. Hotno, y D. Manuel Otarola otra de un niño dormido. Fi­ mos también concedido. Las propiedades públicas y particulares que se encuentran nalmente, llamaron la atención tres bodegones pintados por Merece de justicia que hagamos en este lugar particular en ellas están valuadas en 2445.150,000 libras esterlinas.…</t>
  </si>
  <si>
    <t>Otazu</t>
  </si>
  <si>
    <t>…tamen de la comisión, reproduciendo las mismas razones emi­ tecedentes que hay en el asunto, y siente no haber formado de elector , y después elegido en la segunda elección sin que nadie tidas por su compañero de comisión el Sr. Otazu. su resultado el mismo juicio que sus compañeros de comisión, le tachase; que habia permanecido después un mes en Córdoba, Acto continuo declaró el Senado haber lugar á pasar al por cuyQ motivo no está de acuerdo con el dictámen que creen y que cuando emprendió su marcha á la corte lo hizo ba…</t>
  </si>
  <si>
    <t>Otazu, Fausto</t>
  </si>
  <si>
    <t>Fausto Otazu</t>
  </si>
  <si>
    <t>…, por hallarse ausente con anterioridad , por Don tinuo embate y atormentada carrera de la prensa periódi­ Alejo Farro , D. Gabriel Alvarez, D. Cándido Parainio, Dou ca. Por otra parte, aunque el poder y la influencia de esta D. Fausto Otazu. ..................................... Alava. Blas Alonso y D. Antonio Aparicio, se declaró no haber lu-*- sean un hecho incontestable , los sucesos se multiplican de D. José María Calatrava. Albacéte. gar á la formación de causa , habiendo dicho que sí lo$ tres tal modo y las opinione…</t>
  </si>
  <si>
    <t>OTEATROSP</t>
  </si>
  <si>
    <t>…te h a lla r á eñ la lib re ría de la v i u d a de R azó la, á 4 0 rs. en rú s t ic a .' J u a n Perez para su satisfacción. HISTORIA Ayuntam iento constitucional de M a d rid . D E L A C O N Q U IST A D E L N U E V O -M U N D O T E A T R O S PR IN C IPE ; H o y lunes no h a y f unció n . 7 ^ Habi éndose denunci ado ante el Sr. al cal de pri mero consti ­ Corno en él descub rim ien to de las A m éric a s las ú n ic a s qu e tucional D. Tornas Fernandez de Vallejo por el promotor fiscal merecen el nombré de conquistas s…</t>
  </si>
  <si>
    <t>Otero, José</t>
  </si>
  <si>
    <t>José Otero</t>
  </si>
  <si>
    <t>…cos para los trabajos de la rada de Verdun. antes de ayer al jardín de plantas: entre ellos se notan un so­ sultado muertos en el campo cuatro facciosos, uno de los cua­ berbio león, un zorro azul y una grulla coronada. les es D. José Otero, graduado de teniente, según cédula que se le encontró expedida por el canónigo Martínez ; y otro de­ Se lee en el Diario de la Instrucción pública : nominado M arino, estudiante y oficial también, pertenecientes La cuestión de la retribución de la universidad ha sido lar­ ambos á la facc…</t>
  </si>
  <si>
    <t>Otero, Juan Francisco Carballo</t>
  </si>
  <si>
    <t>Juan Francisco Carballo Otero</t>
  </si>
  <si>
    <t>…pertenecer á una f a m ilia , han estado por tanto do en comisión la judicatura de Chiva. tiempo obcecados. do de nuestra excelsa Reina Doña Isabel ii , cuya vida Dios El mágico acento de paz produjo en estos leales habitan­ D. Juan Francisco Carballo Otero , juez de primera instan­ guarde muchos años asi como la de V. M. para la prosperidad tes el júbilo que era de esperar, sin que la coincidencia de cia de Luarca , y D. Manuel Pasaron y Lastra, que lo es del de la monarquía. hallarse algunas hordas enemigas á la vista…</t>
  </si>
  <si>
    <t>Othon</t>
  </si>
  <si>
    <t>…sin experimentar la me- vincias superiores, excepto algunas tropas que debían perma­ ñor agonía. S U IZ A . necer alli para proteger al S h a h , bajo las órdenes del emba­ ™ “ *Jiodia eI ® in'Stro secretario de E stado, conde Othon jador británico. El general air John Keaoe debía acompañar la de M oltke, en presencia de los príncipes, de los otros Ministros Lugano 7 de Diciembre. división hasta A tto r c k , desde cuyo punto habia de dirigirse á y de varios funcionarios , se asomó al balcón del palacio que Bombay, y d…</t>
  </si>
  <si>
    <t>Otra</t>
  </si>
  <si>
    <t>…id en dicha sierra y térm ino, cerro de las Cucharas, das en él. El comandante general de Búrgos da parte con fecha 29 M in erva, á D. Eleuterio Carrascosa , en id. del pasado, y refiriéndose al de Santander, que el brigadier Otra id ., Loma del Poyo, término de Huercal, antes A u­ D enuncios, gefe de la 2 .a brigada de la división de la izquierda marchó el rora , ahora Forzosa, á D. José Villarroel , en id. dia 23 hácia Arredondo, cuyo movimiento frustró el proyecto Otra id ., cerro del M uerto, término de Benadux,…</t>
  </si>
  <si>
    <t>…osé de Céspedes Fernandez, derecho crean convenientes en las diligencias que penden en d ir en 27 de id. cho juzgado con motivo de haberse hallado ahogado en, las agua? El Excmo. Sr. general en gefe desde su cuartel general del Otra id., id .,cerro de los Garrobos, térmioo de P u lp i, San del canal al expresado Maroto García el dia 18 de Ju n io lilti — campamento a la vista de Tales con fecha de ayer dice que el N ico lás, por el mismo, en 27 de id. mo; en la inteligencia que de no verificarlo les parará el perr 31 perno…</t>
  </si>
  <si>
    <t>…do que se les tiene dado á percibir sus respectivas cuotas de Sta. Casilda, por D. Vicente Jiménez , en 27. Su interesante argumento es ya bien conocido;.^! publico, los síndicos D. Toribio M edrano,que vive calle del Duque de Otra id ., sierra Almagrera , barranco Jaroso , término Cue­ Alba , número 1, cuarto segundo, ó á D. Martin A tienza, calle y :la empresa no ha perdonado gasto para .presentarla; coa ; el vas, la Diosa, por D. Antonio M arques, en 27. de Preciados , número 7 0 , cuarto segundo; en inteligencia que…</t>
  </si>
  <si>
    <t>…. auditor bano mayor del ramo , se cita , llama y emplaza á D. Francis­ de guerra,calle de Relatores, núm. 7, cuarto segundo: Una tierra de 8 fanegas, tasada en 1,280 rs. co Troncoso Avalle y demás patronatos del fundado por Don Otra llamada de la L aguoa,su cabida 11 fanegas 10 cele­ Alonso Perez Almansa , para que en el término de nueve dias, Filia de Hortaleza, mines, valuada en 5,560 rs. que por tercero y último se les señala se presenten en el juzga­ Otra llamada del Olivar del Chorrillo, de 4 fanegas 4 ce­ do á agit…</t>
  </si>
  <si>
    <t>Otra, Carlos</t>
  </si>
  <si>
    <t>Carlos Otra</t>
  </si>
  <si>
    <t>…ugetos siguientes: D. Diego Perea Buendia , D. Ju an M i­ sidio , Santa E ugenia, á D. Francisco Nuñez Dorado , en id. Sentencia. En pleito que sigue en este tribunal D. Ju an guel de los fRios, D. Antonio Fernandez Urrutia , D. Carlos Otra id. en dicho sitio , la Casualidad, á D. Antonio C a­ Quintana de Triaba , su procurador J o sé T eijeiro, demandan- x Gutiérrez de la T orre, D. Manuel Abascal , D. Mariano Oso- ballero, en id. te de una parte: Andrés Diaz Pardo y mas testamentarios de rio de Moscoso, D. Ramón Gerbole…</t>
  </si>
  <si>
    <t>Otra, D. Andrés Avelino de Artiaga</t>
  </si>
  <si>
    <t>D. Andrés Avelino de Artiaga Otra</t>
  </si>
  <si>
    <t>…an de la comisión de Actas. Agosto D. Claudio Pastor, vecino de esta ciu dad, á nombre Ju an Bautista , por D . % a n Nuñez Abellan, en 26. Canarias.rrLa comisión las halla conformes, y en su vista y por encargo especial del Sr. D. Andrés Avelino de Artiaga Otra id. , sierra de G a d o r, loipa|del V icario, término del propone sea admitido el Sr. marques del Buen-suceso , Senador y C arvajal, conde de Cores y Sta. E ufem ia, que lo es de la Presidio, Ecce-homo , por Diegé Q # í a , en 26. electo por dicha provincia. villa…</t>
  </si>
  <si>
    <t>Otra, D. Juan de la Cruz Tirado.</t>
  </si>
  <si>
    <t>D. Juan de la Cruz Tirado. Otra</t>
  </si>
  <si>
    <t>…del presente roes dará principio á las siete y Una mina plomiza en Cabo de Gata , término de Ni ja r, La SUSCRIPCION. media de la noche la cátedra de geografía desempeñada por el Casualidad , á D. Bernardo de C am po, en 7. Sr. D. Juan de la Cruz Tirado. Otra idí. en sierra de G ador, cerro de la M onterilla, tér­ H IST O R IA G E N E R A L D E E S P A Ñ A , compuesta, en­ La de principios de literatura, desempeñada por el Sr. D on mino de Benadux, nuestra Señora del M a r , á Antonio Esqui­ mendada y añadida por el P. Ju…</t>
  </si>
  <si>
    <t>Otra, DIRECCION GENERAL DE PRESIDIOS DEL REINO.</t>
  </si>
  <si>
    <t>DIRECCION GENERAL DE PRESIDIOS DEL REINO. Otra</t>
  </si>
  <si>
    <t>…en sierra Alhamilla,. cuesta de las Tejas, término de buena, D. Alejo Perez, D. Genaro Bayon, D. Pedro José de Viator, Virgen de los Doloros, por Luis Trujillo, en 3. Cea , D. Gabriel Alvarez de Alvarez , D. Miguel Carbajo, Don DIRECCION GENERAL DE PRESIDIOS DEL REINO. Otra en sierra de Gador, Balsanueva, término de Berja, Juan María Barte, D. Alejo Carro y D. Juan Bustamante; y El Boliche, por D, Francisco Sánchez, en 8. hallándose enfermo hace tiempo el D. Miguel Carbajo y ausen­ Excmo. Sr.: En Real orden de 21 de Feb…</t>
  </si>
  <si>
    <t>Otra, Luis de la Morena</t>
  </si>
  <si>
    <t>Luis de la Morena Otra</t>
  </si>
  <si>
    <t>…ia del Sr. D. Manuel Lu­ gos , en 3 1 , á Antonio Sánchez. ir i. j61?0,’ maSIst,;ado honorario de la audiencia territorial de Otra id. en dicho sitio, La Estrella , á Amaro Reina* en 30. Yalladolid, y escribanía del número de D. Luis de la Morena Otra id. en dicho sitio, Santos de D iaz, á Francisco Díaz, REDACCION DE LA GACETA. se vende una casa de libre pertenencia sita en esta corte y su en 31. S * wJrr'vaPies, “din. 2 9 , maoz. 44, que contiene de área Berja 10 de Febrero de 1839.==P. A. D. S. I. , Bernabé Sán­ plana *¿…</t>
  </si>
  <si>
    <t>Otra, Manuel Fernandez</t>
  </si>
  <si>
    <t>Manuel Fernandez Otra</t>
  </si>
  <si>
    <t>…e Triaba , su procurador J o sé T eijeiro, demandan- x Gutiérrez de la T orre, D. Manuel Abascal , D. Mariano Oso- ballero, en id. te de una parte: Andrés Diaz Pardo y mas testamentarios de rio de Moscoso, D. Ramón Gerboles, D. Manuel Fernandez Otra id. en dicho s itio , la Solera . á D. José G arc ía, en id. D. José Diaz de Caucio, vecino que ha sido de Riveras de A u -</t>
  </si>
  <si>
    <t>Otra, Pedro</t>
  </si>
  <si>
    <t>Pedro Otra</t>
  </si>
  <si>
    <t>…onio Gó­ Otra id . , sierra de L u ja r, loma del Cordero, término de mez y Paran, D. Manuel Guinea , D. José de Mesa, D. A n­ Velez , S. Antonio , por Nicolás Cabrera , en 22. tonio Marte! y Nuñez, D. Francisco Gómez Acebo, D. Pedro Otra i d . , calar de Guejar Sierra , término de i d . , S. T r i- Ibañez, D. Ventura Martínez Remoa y D. Francisco Astiz, IM P R E N T A N A C IO N A L baldo, por D. Juan Nepomuceno Villalada, en 22. quienes por unanimidad declararon 110 haber lugar á la for­ Otra id ., cuesta de las Tejas…</t>
  </si>
  <si>
    <t>Otras</t>
  </si>
  <si>
    <t>…tugal. Esta ciudad es de grande antigüe­ Componían las tropas turcas un efectivo de 360 hombres, d a d , y por su situación ventajosa ha sido en todos tiem ­ de las cuales 230 infantes estaban al mando de los bajaes de di­ P. D. Otras varias cartas hacen subir la pérdida de cada pos un pueblo in te re sa n te, porque consta de la historia visión Sadoula-Haidan y K urd-M ehem et; 50 caballos man­ ejército á cerca de 60 hombres entre Muertos y heridos total haber side habitado por todas las razas de hom bres que dados por Sc…</t>
  </si>
  <si>
    <t>Oueste</t>
  </si>
  <si>
    <t>…antes civiles y militares. Los jóvenes árabes pre­ nel D alm au, puesto al frente de las columnas primera, segun­ dicho térm ino, sin mas citarles ni emplazarles, se harán y sus­ sen fados al Rey , son el hijo del comandante del Oueste , Reo da y tercera, salía el 5 sobre los cortijos y montes del Espíritu tanciarán los autos en los estrados del tribunal, y les parará el el Hami&amp;wi , anciano fuerte y vigoroso, hábil, experimentado Santo, que es lo roas escabroso de la sierra y elcuartel general perjuicio que haya lugar. Da…</t>
  </si>
  <si>
    <t>Oui-, Juan</t>
  </si>
  <si>
    <t>Juan Oui-</t>
  </si>
  <si>
    <t>…u probi­ dad y demas virtudes cívicas. BOLETIN DE COMERC IO. pprT0Q5;,5 • r , w .. - Alcaldes! D. Francisco Montenegro, propietario: D. D o- BOLSA DE MADRID; miago Fernandez, id. Regidores: D. Antonio María M iranda, id.: D. Juan Oui- roga y Porras, id.: D. Salvador María Q u irog a,id .: D. José Cotización del dia 16 á las tres die ta tarde • * TEATROS. ^ Pardo San Cibrian, id.: D. José Gajoso Pombal, id.: D. José PRINCIPE. A las siete de la noche. Se pondrá en escena Pardoi y Luac»s, id.: D. José Soto Alvarez, letr…</t>
  </si>
  <si>
    <t>Ouseley</t>
  </si>
  <si>
    <t>…por cuatrip licad a la pre­ atroz y d ign a de un severo castigo , el que suscribe hace saber presentado á in dulto . Y con referencia al comandante general sente acta form al á los efectos y para los usos que el mismo y al Sr. Ouseley que el cuerpo del delito que debe servir de m a - de C astelló n , que el dia 2 1 , habiendo destacado el comandante la R eal orden d e .21 de Noviembre p rev ien en , de que certifica |teria al proceso está y a en poder del juez competente para el vocal secretario. M ad rid 29 de Ju lio d…</t>
  </si>
  <si>
    <t>Out</t>
  </si>
  <si>
    <t>…e d i a , y por tanto la plazuela de la Cebada. res, tener 15 años de edad y saber l e e r , escri bi r y g r a m á t i c a de aquéllos solos queremos ocuparnos. S i n e m b a r g o , nada n u e ­ No qu i s i é ra mos que el Sr. Out i ver os t omara estos aplausos castellana. vo podemos decir tampoco de ellos. ¿ No es y a proverbial la m a ­ en mas de lo que v a l e n , ni que en ellos f undase grandes preten­ El p r o g r a ma de enseñanza con expresión de los di as y horas g i s t r al perfección con que se ejecut an en…</t>
  </si>
  <si>
    <t>OuwaroíF</t>
  </si>
  <si>
    <t>…l articulo inserto en el periódico En virtud de una nueva orden del ministro de Intruccion tendentes de Rentas, jueces de primera instancia , ó cua­ titulado EL Guirigay udin. 24 del lunes 28 de Enero último, pública el conde de OuwaroíF, se ha creado un establecimiento lesquiera otras autoridades no militares, servirán en los que principia con las palabras De qué hablaremos hoy?” , en donde no se enseñará otro idioma que el ruso, que deberá ministerios de que aquellas dependan para los efectos que y concluye con las "y n…</t>
  </si>
  <si>
    <t>Ovalle, Rafael</t>
  </si>
  <si>
    <t>Rafael Ovalle</t>
  </si>
  <si>
    <t>…e á impulsos de un arado ó de F eb re ro de 1 8 3 9 .= A D. Isidro Alaix. rina como de su Milicia nacional , á las órdenes de su gober­ de cualquier otro instrumento de labranza, se han hallado pre­ nador el teniente coronel D. Rafael Ovalle, también han teni­ ciosidades que llenan de respetuosa admiración á los inteligen­ do ocasión casi al mismo tiempo de acreditar su valor y entu­ tes. Las reíiexiones del Sr. de la Cortina no pudieron menos de siasmo por la causa que defendemos , saliendo al encuentro de hallar acogid…</t>
  </si>
  <si>
    <t>OVE</t>
  </si>
  <si>
    <t>…el arreglo de la á las tres y inedia. Lo fueron sin discusión el 2.°, 5.° y 4*° Hacienda para atender á las necesidades del ejército y poder Se lee el 5.° concluir la guerra. Por esta razón todas las medidas que se han El Sr. O V EJERO :. Seré breve, pues únicamente he toma­ propuesto en la Hacienda me han llamado la atención, y las he C O N G R E S O D E D IP U T A D O S . do la palabra para que conste mi voto, contrario á estas con­ comparado con el anuncio hecho por el Ministro. cesiones; y para evitar el haber teni…</t>
  </si>
  <si>
    <t>OVEJ</t>
  </si>
  <si>
    <t>…­ en cosas de tan grave trascendencia, no solo es bueno Puesto á discusión dicho voto particular, dijo rir en Melilla , pues estoa, como todos los Diputados saben, y conveniente, sino tam bién necesario, que la discusión El Sr. O V E JE R O : Señores, deseaba con ansia que llegase han tenido lugar poco tiempo hace en Alhucemas, y lo que de la prensa periódica salga al encuentro de la discusión el dia de la discusión del dictamen de la comisión de Caminos hoy se nos refiere por los periódicos que ha sucedido en ese pe- de…</t>
  </si>
  <si>
    <t>Oveje</t>
  </si>
  <si>
    <t>…el impuesto de cuatro maravedís en cántara se piensa atenuar los excesos y los horrores de los rebeldes y mientos cuotas de 8 y 159 duros para que las repartiesen entre de v in o , porque de aprobarse el voto particular del Sr. Oveje­ agravar con mas fuerza los actos, aunque extraviados que pue­ los desafectos y sospechosos. ro seria objeto de una ley que pasaria al Senado, ofreciendo mas den haberse cometido por parte de algunas corporaciones. Concluyó expresando que el Senado, lejos de ponerse en r i ­ dilaciones, Dic…</t>
  </si>
  <si>
    <t>Ovejero</t>
  </si>
  <si>
    <t>…uales tienen mu-' d o r a y la Serma. Sra. Infanta Doña María Luisa Fernan­ las cuales esperaba ver S. M. muy en breve ventajosos resultados. cha relación con la cuestión del d ía, y sirven para la irnpug-» _ A propuesta de! Sr. Ovejero se acordó que se reprodujera y nación que rae propongo hacer del voto particular sometido á da»continúan en esta corte sin novedad en su importante señalara día para la discusión del dictamen sobre el expediente nuestra deliberación. Pide este que el Congreso declare que no salud. del canal…</t>
  </si>
  <si>
    <t>…ley, no son solo las viudas, sino también los hijos; y que res­ las leyes presentadas ha sido la de hacer efectivos los atrasos, nia el Real decreto inserto en la Gaceta del 6 de corriente pecto á la protesta que ha hecho el Sr. Ovejero , na puede me­ cuya discusión concluyó ayer; y ya ha visto el Congreso hasta para el establecimiento de una junta de aranceles. nos de manifestar que la comisión está siempre dispuesta á con­ qué puntó puede contar el Gobierno con esos medios efectivos Se leyó otro del mismo señor, relativ…</t>
  </si>
  <si>
    <t>…y reglas, celebrará en el día 1.° de Marzo próximo varios Sres. D iputados, dicho Sr. M oure convino en retirarla. drían la* influir en el descrédito del G obierno, en el descrédito de Cortes ó de la misma compañía. Dice el Sr. Ovejero que el la junta general de accionistas* Se procedió al órdeu del d ia , continuando la discusión so­ troto de canal hecho hasta el dia es inservible. Yo no entraré Tendrán derecho á asistir y votar en ella los propietarios de bre el canal de Castilla. 20 acciones inscritas ó pasadas á su…</t>
  </si>
  <si>
    <t>…astilla va creciendo por momentos á medida que pertenecer, resistieron las indicaciones, S. M. los ha premiado, dades, es menester esclarecer un poco la cuestión. La importan­ hablan los Sres. Diputados. Empezó el primero el Sr. Ovejero, y yo me honro de manifestar esta circunstancia. * cia de la plaza de Melilla la saben los Sres. Diputados: después y se limitó á sostener los dos puntos en que se apoya su voto Uu simple cabo y uuos cuantos soldados de artillería fueron de Ceuta es la parte mas interesante que tenemos. Des…</t>
  </si>
  <si>
    <t>Ovejero, Domingo</t>
  </si>
  <si>
    <t>Domingo Ovejero</t>
  </si>
  <si>
    <t>…te, hacen interesantísima su lectura. A nadie pesará ver el retrato de este hombre cuyos hechos desfigurados por el tiem­ dentro del improrog.ibie término de 50 d i a s , contados desde h o y , en este juzgado y escribanía de D. Domingo Ovejero , á deducir el que tengan por el orden debido; trascurrido el po pudieran llegar á la posteridad como otros tantos rasgos de heroísmo; y deber es de la generación actual presentarlos cual IM PRE NTANA CIO NAL son en sí para que no sean infieles al escrito de la historia de cu…</t>
  </si>
  <si>
    <t>Ovejero, Ignacio</t>
  </si>
  <si>
    <t>Ignacio Ovejero</t>
  </si>
  <si>
    <t>…in as, y confi­ 4.0 H IM N O A L A P A Z , compuesto expresamente para 2................. d e ........ 1000................... 2000 riendo dicha plaza á D . D ionisio Alcalá Galiano. (Id.) esta función por el mencionado oino D. Ignacio Ovejero. 4 d e .. 6 00 ................... 24OO _ _ por el que se confiere la superintendencia de la casa de 5.° ¡¡ UN L IB E R A L !! dram a en un acto, que tanto ha 12................. d e .......... 500................... 6000 moneda y cobrería de Jubia á D. Francisco Rodríguez de agrad…</t>
  </si>
  <si>
    <t>…lares del 4*° HIMNO A L A P A Z , compuesto expresamente para a r¿tigucs , 40, 2 y 1 modernos, rnauz. 4 ^ 1 , anunciada varias raductor, relativas a España , con un paralelo dialogado e n - esta función por el mencionado niño D. Ignacio Ovejero. veces en este periódico, y á la cual está hecha postura y me­ re Napoleón y Robespierre, y con las conversaciones del p r i- 5.° j j UN L IB E R A L ! ! drama en un acto, que tanto ha jora hasta en cantidad de 72© rs. vn ., y para su remate se ha nero con el célebre Canova; adicione…</t>
  </si>
  <si>
    <t>…ipes con sus pueblos, asi como !a de los amantes, fuertes en la forma siguiente: puede quizá soldarse, una vez rota, pero nunca queda PRINCIPE. A las ocho de la noche. Habiendo compues­ tan firme.” Premios. Pesos. to el niño D. Ignacio Ovejero , cuya edad no llega á 11 años, Creemos haber dicho en otra ocasión que si Doña Isa­ una sinfonía, y pareciendo á juicio de los profesores que esta bel de Solís no es la mejor obra del autor de Edi.po y del 1 ........... . • d e .. 8000 ps. f s .. . . 8000 singular muestra de un ta…</t>
  </si>
  <si>
    <t>Ovejeró, Ignacio</t>
  </si>
  <si>
    <t>Ignacio Ovejeró</t>
  </si>
  <si>
    <t>…el Ortiz de Taranco. e hau afanado por presentárnoslo únicamente como guerrero La función se distribuirá del modo siguiente: If usurpador, habran perdido enteramente su trabajo; pues otro 1.° La sinfonía compuesta por el niño D. Ignacio Ovejeró, ntérprete mas fiel ha sabido probarnos que ese genio inmortal socio de mérito de la academia matritense, y cuya edad no llega SUBASTAS. lirigió todos sus conatos y esmeros desde el primer momento á 11 años. jue se apodero del poder á trazar el verdadero camino que h a- 2.° NO ERA…</t>
  </si>
  <si>
    <t>Overisscl</t>
  </si>
  <si>
    <t>…im e en es la credulidad tan risible c o mo inverosímil de los dos vi ej os triales han sido forzados á tomas las armas en servicio del E s­ esta ocasión , p.o será pues en este momento mas que el eco fiel y de un joven conde de Overisscl , am ante antiguo de Lisena ? tado. Este es un grave abuso contrario á la a r mo n í a que hasta del descontento de lord Palmer,ston. E n cuanto á nosotros, nues­ ¿ q u é valen las truhanerías y a lc a h u e ta d o s del portero Gaseo», aqui ha existido entre la G ra n Br e t a ña y la R…</t>
  </si>
  <si>
    <t>OVI</t>
  </si>
  <si>
    <t>…ndo de acuerdo solución. Igualmente se aprobó el dictámen de la misma comisión con el d i v a n y Mehemet Alí. ’ún embargo, nada se adelanta, acerca de las primeras elecciones de Logroño , en que opinaba El Sr. Secretario O N D O V IL L A contestó que la observa­ y los detalles que nos suministra el correo de Marsella no nos ción de S. S. se dirigia á la cuarta cuestión, y no á la que en se admitiese al Sr. Adana. dan motivo para esperar que se resolverá pronto una cuestión aquel momento se discutía, puesto que esta en r…</t>
  </si>
  <si>
    <t>Oxholtn, Carlos</t>
  </si>
  <si>
    <t>Carlos Oxholtn</t>
  </si>
  <si>
    <t>…una 4-° ligero, mandados todos por el gefe de la primera brigada á la sombra de las leyes del Ecuador , de cuya ejecución está V. sola excepción. Se presume que es Lebardic. La deliberación es de la primera división el coronel D. Carlos Oxholtn , estando felizmente encargado, y a dar tiempo á que calmen las pasio­ demasiado prolongada para que el tribuual haya podido agitar todavía la fuerza enemiga de La-Cova en el lugar de Navajas, nes en mi patria , y pueda volver ai seno.de mi familia. A u n ­ la cuestión de penalidad. y…</t>
  </si>
  <si>
    <t>OYNADA</t>
  </si>
  <si>
    <t>…onía se pondrá eu escena la divertida Marco Antonio os llo rará.” Paris, 16-6 id. Granada, papel d. comedia en tres actos titulada M álaga, ■£ d. Este sarcasmo es excelente y pin ta m uy bien la índole de Santander, id id. TO D O Y N A D A , ó EL V E L E T A . las venganzas amorosas. Alicante, 1 papel d. Santiago, 2 á 1 | d. Aunque el enlace de esta acción está m otivado y las Barcelona á ps. f s ., i papel b. Sevilla, par á i d. Seguirá un intermedio de baile. Dando fin á la función escenas bien com binadas, creemos sin…</t>
  </si>
  <si>
    <t>…Lorenzo G a r - tres actos titulada rigós y Suarez, y D . Manuel M aría de la O rd e n , á fin de que Coruña 15 de Abril. Una gavilla rebelde no cesa desde 26 comparezcan en dicha escribanía principal á reconocer las fir­ T O D O Y N A D A , ó EL V E L E T A . de Marzo últim o de recorrer el territorio que comprende la mas que de sus nombres y apellidos aparecen en el insinuado parroquia de Santa M aría de Gestoso en el partido judicial de cré d ito , bajo de apercibimiento. La cual hace muchos años no se ha representado e…</t>
  </si>
  <si>
    <t>Ozores</t>
  </si>
  <si>
    <t>…o n a l y p en a l d e E spaña. *n ejercicio y que r.o asistieron á la junta preparatoria. mientos hechos por las mismas en estos términos: Procediéndose al sorteo de las cinco secciones de que ha de 1.a sección. Sr. Presidente Ozores , Vicepresidente Fernan­ T om am os del C orresponsal lo que sigue: componerse el Senado, dió el resultado siguiente: dez N a v arre te, Secretario Torres So lan o t, Vicesecretario Diez Tenemos la satisfacción de anunciar á nuestros lectores que 1.a sección. Sres. Ozores, Montesoro , Isla…</t>
  </si>
  <si>
    <t>Ozores, D. José</t>
  </si>
  <si>
    <t>D. José Ozores</t>
  </si>
  <si>
    <t>…riquecer este cuadro ha­ sean tarde? Este tem or, que no carece en verdad de fun­ ñora marquesa viuda de S. M artin de Hombreiro: en Santiago, ciendo pasar la brillante comitiva y séquito de los Reyes que se casa del Excmo. Sr. D. José Ozores, Sr. de Rubianes: en la dam ento, es el que ha influido en nosotros para que le­ villa de Rivadeo D. Fernando M artínez; y en Mondoñedo el verán postrados adorando al Niño Dios recien nacido, á quien vantemos la voz antes de que sucediéndose los aconteci­ escribano D. Fernando Paz Vi…</t>
  </si>
  <si>
    <t>Ozores, Presidente</t>
  </si>
  <si>
    <t>Presidente Ozores</t>
  </si>
  <si>
    <t>…nombra­ cio n a l y p en a l d e E spaña. *n ejercicio y que r.o asistieron á la junta preparatoria. mientos hechos por las mismas en estos términos: Procediéndose al sorteo de las cinco secciones de que ha de 1.a sección. Sr. Presidente Ozores , Vicepresidente Fernan­ T om am os del C orresponsal lo que sigue: componerse el Senado, dió el resultado siguiente: dez N a v arre te, Secretario Torres So lan o t, Vicesecretario Diez Tenemos la satisfacción de anunciar á nuestros lectores que 1.a sección. Sres. Ozores, Monte…</t>
  </si>
  <si>
    <t>Oía</t>
  </si>
  <si>
    <t>…{leyo otro teriores al 28 de Octubre, y las comunicaciones que habían me­ tienen un derecho al abono del medio diezmo, no se les abona. ’rozo.) Pero ¿cuál fue el pensamiento de las Cortes? ¿cuál la diado entre los Sres. conde de Oía lia y marques de Espeja. Por consecuencia ruego al Sr. Ministro de Hacienda se sirva de­ idea del Gobierno, representada por el que entonces era Minis­ El Sr. Ministro de HACIENDA manifestó que la interpe­ cir si declarará por órdenes terminantes que á los que se hallen tro? Fue la de hacer el a…</t>
  </si>
  <si>
    <t>OÑAB</t>
  </si>
  <si>
    <t>…rse á pública subasta la contrata del Boletín GALERÍA DRAMATICA. oficial de la provincia de Soria para el año próximo de I 84B G U IA D E F O R A S T E R O S . bajo las condiciones que se hallarán de manifiesto en la secreta­ D O Ñ A BLANCA DE N A V A R R A . ría del gobierno político de la m ism a, se invita á los que qui­ siesen interesarse en ella 5 en la inteligencia que para su pri­ Drama histórico original en cuatro actos en prosa y verso D e orden del Sr. M inistro d e la G o b ern a ció n se pre­ mer remate est…</t>
  </si>
  <si>
    <t>Oñate</t>
  </si>
  <si>
    <t>…os de la guerra en el Sres. O ndovilla, M edrano, Gómez Becerra, duque de Castro- leguas de aquella villa , en la que se hallaba emigrado h uyen ­ Norte de España , y a que apresuran el dia de la paz que ha de terreño y conde de Oñate. do de las persecuciones de los facciosos. u n ir á todos los pueblos en una sola familia. El célebre trata­ Para la que ha de examinar la ley de beneficencia , los se­ El Sr. J A E N propone que se determine que en la secreta­ do de Vergara ha robustecido la consolidación del trono de ñores…</t>
  </si>
  <si>
    <t>O’Campo, Pedro José</t>
  </si>
  <si>
    <t>Pedro José O’Campo</t>
  </si>
  <si>
    <t>…esos fuer­ vican...................................................................... .. 4- 2 El juez letrado Meliton Balanzategui.. . . . . . . . . . 6 tes, inclusas las dos aproximaciones, en la forma siguiente: Presbítero D. Pedro José O’Campo, cura párroco El juez letrado D. José Cuchi . . . ¿ 10 de Santiago................................................................... 4 El Sr. auditor de guerra honorario, juez letrado, Premios. Pesos. Id. D. Pedro Ignacio de Acosta . . ................... 4 .2 D, Benigno Orbegos…</t>
  </si>
  <si>
    <t>O’Donnell</t>
  </si>
  <si>
    <t>…ómodo, se avisará de A l a b u x , durando el fuego de guerrillas unas dos horas; mas 1 .................... d e . . 8 0 0 0 ps. f s . . . . 8 00 0 á los Sres. suscriptores. habier do tenido noticia de que el Excmo. Sr. general O’Donnell 1....................... de. . 5 0 0 0 ........................... 5 000 Cada cuaderno constará de 40 páginas , y se expenderá al mn la segunda división del Centro se acercaba por el camino de 2..................... d e . . 1000 .......................... 2000 precio de 4 rs» vn. en C ád…</t>
  </si>
  <si>
    <t>P.zr</t>
  </si>
  <si>
    <t>…de Casa P izarro, vicepresidente “ Joaquín S. M. la R e i n a , s u augusta M adre la R e i n a G o b e r n a ­ rá del modo que co nsidere mas á propósito. Dios g u ard e Muñoz de Cossio, D. P.“ Dionisio Jim énezdeSalvadios, D. P.zr a V. S. m uchos años. M adrid 16 de S etiem b re de 1 8 3 9 .= d o r a y la Serm a. S ra . In fan ta D oña M aría L u isa F e r­ C arram o lin o .= S r. eefe político de...... Antonio M aría Perrino , D. P ., decano.—Por acuerdo de S. E., nanda, co n tin ú an en esta corte sin n o ved ad en…</t>
  </si>
  <si>
    <t>Pa, Andrés Muriel.</t>
  </si>
  <si>
    <t>Andrés Muriel. Pa</t>
  </si>
  <si>
    <t>…r a d ir e cció n de la j u n t a de E stado que cr e ó Por lo tanto lo que mas que todo deseamos es que desaparezca las auto ridad es civiles y m ilita re s con la m a y o r parte de la po­ este M o n a r ca : dada á luz por D. Andrés Muriel. Pa­ todo motivo de u lterio r conflicto con el Gobierno prusiano tan blación y de la g u a rn ic ió n se trasladaro n á aquellos sit io s : todo ris, 1838. luego como los dos obispos se hallen restituidos á sus iglesias y removidos los obstáculos que en el Gobierno prusiano encuentra…</t>
  </si>
  <si>
    <t>Pa, Angel Perez</t>
  </si>
  <si>
    <t>Angel Perez Pa</t>
  </si>
  <si>
    <t>…chados circunstancias, por algunos, que no consideran aquellos tiempos se propuso de poco liberales; pero sirva, para apreciar lo aumentar la población y la riqueza del pais y me­ de la brigada á las órdenes del Sr. coronel D. Angel Perez Pa­ que hicieron y lo que para ello tuvieron que luchar, el concep­ jorar su condición m oral; persiguió á los vagos, fundó hospi­ lacios , compuesta de 500 caballos, para dar auxilio á la divi­ sión comprometida , y con 1S) infantes de la misma y sus cinco to, que merecieron mucho desp…</t>
  </si>
  <si>
    <t>PA, D. Be- DOS PADRES</t>
  </si>
  <si>
    <t>D. Be- DOS PADRES PA</t>
  </si>
  <si>
    <t>…. M edida l a r g a ó de varis* PROVIDENCIAS JUDICIALES. GALERÍA DRAMATICA. Metro. Esta es la unidad de m edida la r g a , y de la que se derivan todas según su extensión. F)O R el presente, y en virtud de providencia del Sr. D. Be- DOS PADRES PA R A U NA H IJA . Milímetro. = • línea de Burgos. de metro. * nito Serrano y Aliaga , juez de primera instancia de esta Centímetro. = • dedo id. j i z de metro. capital, se c it a , llama y emplaza á todas las personas que en Comedia en dos actos, traducida del francés por D. J…</t>
  </si>
  <si>
    <t>Pa, Fraocisco González</t>
  </si>
  <si>
    <t>Fraocisco González Pa</t>
  </si>
  <si>
    <t>…ntander, tiene la honra de elevar al solio Torre Cuesta, secretario. les y 600 hombres, con el fin de unirse á A naya; y al mo­ de V. M. el testimonio de gratitud que le es debida por la re­ mento dispuse que el señor coronel D. Fraocisco González Pa­ organización del ministerio en el sentido del orden, único, con­ vón con dos piezas ligeras , 200 infantes y 270 caballos si­ veniente y adaptable á esta nación próverbialmente sensata, y Señora: El ayuntamiento constitucional de la villa de las guiera á marchas dobles hasta…</t>
  </si>
  <si>
    <t>Pa-, Francisco Pellico</t>
  </si>
  <si>
    <t>Francisco Pellico Pa-</t>
  </si>
  <si>
    <t>…en q u e, diencia de Madrid, para una reiatoría vacante en la misma urgente del camino de Málaga el ingeniero D. Sera lia Der- á falta de ellos, se habrán de construir casernas ó barracones por muerte de D. Juan Asensio , á D. Francisco Pellico Pa- gui , que el director general ha puesto á sus órdenes, marchó y que verificado esto y evacuada la conferencia cou la dipi?Li­ ^«igua. con el aparejador D. Ildefonso Valera para que se fuese ha- ción proviucial , para que fue citado, solo aguarda que cejeu ,/</t>
  </si>
  <si>
    <t>Pablen</t>
  </si>
  <si>
    <t>…su justicia, en calidad de embajador ruso cerca de la corte de Ing laterra. Se ron á las manos los dos ejércitos en los alrededores de Nezib, y está m agnánim am ente decidido á vencer ó perecer con glo­ dice que es el conde de Pablen: L a duquesa de Bragauza h a lle­ sobre el territorio s i r io , á algunas le^uis del Eufrates. ria. El ejército h a sufrido las mas d u ras privaciones con un a gado á Londres. El ejército egipcio se componía de 509 hombres p róxim a­ resignación que parece pertenecer á los fieros soldados…</t>
  </si>
  <si>
    <t>…emprender en breve otro nuevo viaje á sacerdote católico. En ambas ceremonias ha sostenido el velo G oritz, á petición de la corte de Kirchbcrg. rew-bajá , en la cual le haté presente: sobre la cabeza de la Princesa el conde de Pablen , embajador í.° Que el difunto Sultán Mahamud me hizo en un tiem­ de Rusia en Francia; y sobre la del duque el Príncipe heredi­ po por medio de Sarkim-effendi proposiciones mucho roas tario, su cuñado. En el baile de la noche solo se bailaron po­ ventajosas que las que S. A. me dirige ahora…</t>
  </si>
  <si>
    <t>Pablo</t>
  </si>
  <si>
    <t>…neral D. Francisco García , fusiLdo por orden de M aroto: bri­ batirse estas tropas me convencí con indecible satisfacción que brado primer M in is t r o , y R au ff-b ajá Presidente del Consejo gadier Carinona, id. id.: general Pablo id. id : general G u e r - su disciplina en las marchas era igu al á su ardor en los com­ guá id. id .: D Florencio S * n z , primer secretario de la g u e r r a , supremo. bates. Cuando los resultados son tan satisfactorios puede omi­ conducido á muerte por Maroto: brigadier M a tio L. Ech…</t>
  </si>
  <si>
    <t>…ará el octavo para socorrer al ejército, ha tenido á bien mandar que se re­ de la Fuente. baile en el magnífico y suntuoso salón de la casa del conde de comiende al M inistro de Hacienda , como con esta fecha lo ve­ El capitán D. Pablo M ayor ha capturado ea Yilbiestre á A ran d a, calle de Luzon , número 4 » cuarto p r i n c i p a l ; du­ rifico, el vivo Ínteres y patriótico celo que ha desplegado este un faccioso de infantería, cogiéndole tres fusiles que abando­ rara hasta el amanecer. gefe ea circunstancias críticas para…</t>
  </si>
  <si>
    <t>…la Rusia y la Inglaterra Fernandez: en Lugo en la de Pujol: en Málaga en el colegio ques. Averiguado este primer punto por los geógrafos comisio­ tratarán de hacer realizables. de Isabel i i : en Orense en casa del comerciante D. Pablo M a­ nados, Napoleón quiso también reconocer la otra extremidad teos; en Oviedo en la librería de García Longoria: en Palma del canal. Dirigióse pues con este objeto unas 10 leguas hácia en la de G uasp: en Pamplona en la de Erasun y Rada : en Sa­ el Noroesteen el O u ad y -T o u m j lad, dond…</t>
  </si>
  <si>
    <t>Pablo, Cavendish y El Príncipe</t>
  </si>
  <si>
    <t>Cavendish y El Príncipe Pablo</t>
  </si>
  <si>
    <t>…nde M e ­ dem se decidió á a gu a rd ar el correo. del vizconde Torrington y del conde Orloff. SS. A A . Imperial y Real fueron recibidos en el salón de mármol por las señori­ tas Sp rio g-R ice y George C am p b ell, el coronel Cavendish y El Príncipe Pablo E ste rh az y , embajador de Austria en In­ lord Alfredo P a g e t, quienes los introdujeron en el salón del gla ter r a , salió de Vieoa el 18 de regresó a Londres. {Id.) Escriben de Beyrouth (Siria) con fecha 28 de A b r il: b a ile, donde fueron recibidos por S. M .…</t>
  </si>
  <si>
    <t>Pablo, D.</t>
  </si>
  <si>
    <t>D. Pablo</t>
  </si>
  <si>
    <t>…n­ Antes que eu Alemania se diesen los primeros pasos para Ja Reina Doña Isabel n , declaró instalada la escu ela; y tal mas que la memoria. reunir y establecer estas reglas, y acomodar la práctica á ellas, por ultim o , el Sr. D. Pablo M ontesino, vocal de la direc­ De aquí \e inferirá que apenas es posible aprender menos una enseñanza sin método regular y la instrucciou limitada de ción general tle Estudios y director del nuevo estableci­ en el tiempo ordinario de asistencia ; y que cuanto puede decir­ que hemos hecho m…</t>
  </si>
  <si>
    <t>Pablo, Juan</t>
  </si>
  <si>
    <t>Juan Pablo</t>
  </si>
  <si>
    <t>…ra la de Olmedo, á D. Donato Gómez. de nuestra desunión. Pero la alta penetración de V. M. y la fir­ obediencia á D. Pedro Lemus, y exigiéndole entregase ef m an­ meza de vuestro Gobierno, encontrarán suministros para el do á D. Juan Pablo A naya, que se halla en las villas del Ñor - ejército; y este al grito eléctrico de su ilustre general, sabrá ani­ te. De resultas de esta ocurrencia el referido D. Pedro Lemut quilar á los enemigos del Estado. Dígnese Y. M. escuchar los y su hermano D. José marcharon para Béjar con uno…</t>
  </si>
  <si>
    <t>…e respecto de las Excrno. Sr. Secretario de Estado y del Despacho de la Gober­ Alba de Tormes: para este partido, de entrada en la provincia d em as secciones. nación de la Península. de Salamanca, al juez electo de Medinaceli D. Juan Pablo T ri­ Art. 5.° C o m p o n d rán la expresada sección u n o de los gueros, accediendo á su solicitud: para la judicatura de M e­ dinaceli, de entrada en la provincia de Soria, á D. M agia Fer­ actuales vocales facultativos de la dirección , elegido por PARTES RECIBIDOS EN LA SECRETARIA…</t>
  </si>
  <si>
    <t>Pablo, ON Juan</t>
  </si>
  <si>
    <t>ON Juan Pablo</t>
  </si>
  <si>
    <t>…público SUBASTAS. que por vagar fuera de los códigos de la nación, no es fácil que tan generosa protección ha dispensado á todos los in d iv i­ tenerse á mano cuando se necesitan. También se echa de menos duos de la compañía. D ON Juan Pablo M artínez de H ervás, marques de Almena­ un sumario compendioso de las providencias generales que ex­ ra , intendente de la provincia de Badajoz y subdelegado pide cada autoridad superior en lo concerniente á sus peculia­ de rentas &amp;c. 0 res atribuciones, pues suele acontecer se olv…</t>
  </si>
  <si>
    <t>Pablo, Ramón Yillaiba y D. Juan</t>
  </si>
  <si>
    <t>Ramón Yillaiba y D. Juan Pablo</t>
  </si>
  <si>
    <t>…Junio último, octava del Corpus, un joven pintor D. Manuel Maderne y D. Valentín Galarza. mero de 30. El resultado de esta m em orable jorn ada fue francés se encontró con una de 1as numerosas procesiones que Idioma francés, D. Ramón Yillaiba y D. Juan Pablo L a ­ la toma de 130 g a l e r a turcas, y m ayor el num ero de las en este dia recorren las calles de Roma. Ha granadero del des­ sante. echadas á p iq u e , quem adas y destrozadas. Veinte y cin co tacamento que acompañaba á la procesión dijo al pintor de un Idioma…</t>
  </si>
  <si>
    <t>Pac, D. Tomas</t>
  </si>
  <si>
    <t>D. Tomas Pac</t>
  </si>
  <si>
    <t>…; razou por la que el b riga d ie r A z p ir o z , que iba en su esto para mí im portaría poco, siempre que el Congreso lo con­ se g u i m i e n t o , después de in tro d u c ir el 7 un convoy de víveres P o r providencia del Sr. D. Tomas Pac h e c o , juez de p rim e ra ceptuase ú t i l ; pero debo decir en honor de la verdad lo que y m unicio nes en el citado castillo de V i l la f a m é s , habia hecho instancia de esta v i l l a , refrendada del escribano del n ú ­ habido. alto eu Betera. El expresado general en gefe p…</t>
  </si>
  <si>
    <t>Pache, Tomas</t>
  </si>
  <si>
    <t>Tomas Pache</t>
  </si>
  <si>
    <t>…los jueces de hecho que suscriben, su participación; los comisarios radical de 30 de E nero, votada sin ministración: es preciso que se tenga mas firmeza , y que le­ pante su voz. citados por el Sr. juez de primera instancia D. Tomas Pache­ una proclama del 9 de este mes, federales han convocado, por Es preciso que el Senado adopte hoy mismo una medida co para calificar el artículo inserto en el periódico EL Guiri­ tuyente sobre bases que se asemejan mucho á Asamblea una nueva las que consti­ habia fuerte y decisiva…</t>
  </si>
  <si>
    <t>Pacheco</t>
  </si>
  <si>
    <t>…cargo del profesor D . Tomas Y a re la , creo de mi deber después dicho señor de la palabra. bierno ha pedido autorización para proceder contra ese Sr. D i ­ manifestar al público mis observaciones eo dicho acto, por si El Sr. Pacheco, á quien tocaba por turno la palabra, la re­ putado ; el Congreso examinará si debe ó no concederla ; si la en aígo pueden contribuir al esmero con que todos los padres nunció en concede, desde entonces empezará la responsabilidad del Gobier­ de fam ilia deben procurar sacrificarse cuanto l…</t>
  </si>
  <si>
    <t>…que V. manda. Pero ¿cuál habra sido mi asombro 2 ________ d e .. 1 0 0 0 ......... 2000 ' a1 ver la sumaria de que incluyo á Y . c o p ia , por la cual se ve Í 2 . . ..... d e ., 4 OO. . . . . . . . . 48 OO y entre ellos al Sr. Pacheco que usó de la palabra, que el G o­ bierno no podia ni estaba autorizado para retirar los artículos, el asesiuato cometido en la persona del coronel D . Viceote María 8 6 . . . . . . . . d e ,. 4 O*. . . . . . . . 34 40 } R einoso, gefe de títado mayor ¡leí cuerpo de operaciones de la 10 L .…</t>
  </si>
  <si>
    <t>PACHECO</t>
  </si>
  <si>
    <t>…haber dado una extrema extensión á esos puntos como de de­ resuelva lo que crea conveniente. bierno ha tomado las medidas suficientes para reparar este da­ portación : se ha cometido el error de mandar confinados á esos El Sr. PACHECO mauifiesta que hallándose presente un in ­ ño, y que no se propague: 3.° si el Gobierno de S. M. se halla puntos, que son tan mal sanos é insalubres. Puntos tati costo­ dividuo de la empresa , á él toca contestar á los cargos que se satisfecho de la autoridad militar que manda allí. No debe…</t>
  </si>
  <si>
    <t>Pacheco, D. Tomas</t>
  </si>
  <si>
    <t>D. Tomas Pacheco</t>
  </si>
  <si>
    <t>…E. Hoy no hay función. taran eternamente. No nos atrevemos á decir otro tanto PROVIDENCIAS JUDICIALES. de Moratin. Mucho han contribuido a &gt;u celebridad el co­ lorido local cjue españoliza sus dramas, los chistes pecu­ E L Sr. D. Tomas Pacheco, juez de primera instancia de esta CRUZ. A las ocho y media de la noche. A petición de liares del pais de que e^tan salpicados, la naturalidad y corte , se ha servido señalar el domingo 25 del corriente varias personas se repetirá el concierto verificado en la noche sencillez del…</t>
  </si>
  <si>
    <t>…. Y CIRCULARES Es innegable pue*, que la idea de la existencia entra «o la composición de todos los verbos activos o pasivos, y q u e , ideológicamente h a b lan d o , no hay mas que un verbo, E N virtud de providencia del Sr. D. Tomas Pacheco, juez de primera instancia eo esta villa, se saca á pública subas­ ta una casa de planta baja , sita en la calle dé la Madera A l­ DEL RAMO DE POSITOS, siendo los otros com puestos de este verbo y de un adjeti­ ta , núra. 11 antiguo y moderno, que tiene dé sitio 1,575 vo, puéda&gt;e…</t>
  </si>
  <si>
    <t>…. LA VERDAD ES SOSPECHOSA. DIRECCION GENERAL DE LOTERIAS NACIONALES. Intermedio de baile, terminando la función con un diver­ Noticia de los pueblos y administraciones donde han cabido E N primera virtud de providencia del Sr. D. Tomas Pacheco, juez de tido sainete. ios 1-4 premios mayores de los 8 Q4 comprende el sor­ por término deinstancia 50 dias en esta villa, se saca á pública subasta útiles, una casa sita en esta corte, y su teo de este dia . calle del Eguiluz, núm. 8 antiguo y moderno, manzana 525; A las siet…</t>
  </si>
  <si>
    <t>…con­ Se halla á 3 rs. tanto en rama como en rústica en el curso de D. Manuel de Moreda, sobre pago de réditos de un despacho de dicha Imprenta. censo que se dice impuesto sobre una casa en esta corte y su T&gt;OR providencia del Sr. D. Tomas Pacheco, juez de prim e- calle de la Escuadra; apercibidos que de uo hacerlo les parará ra instancia , refrendada del escribano del número D. Eu­ Comprende varios decretos, órdenes y circulares del el perjuicio que haya lugar. genio del Castillo , se ha señalado el dia 20 del corriente para…</t>
  </si>
  <si>
    <t>…sla reforma es Los diamantes de la R e in a , contiauacion. mas bien considerada bajo el punto de la decencia y del aseo, L a fatalidad. que el de los inconvenientes que pudieran resultar para la mo­ p O R providencia d e l Sr. D. Tomas Pacheco, juez de prim era Éstéban M a rc , biografía. ra). El estado de las costumbres en Irla n d a , la severa Organiza­ instancia de esta co rte, se saca nuevamente á pública su ­ U na crónica. ción de la sociedad, el temperamento de los individuos sus­ basta una casa sita eo la calle…</t>
  </si>
  <si>
    <t>…oca. to mas se asegura la propiedad en un destino, mayor es la res­ ponsabilidad; y esto es tan cierto, cuanto que si bien en el ar­ tículo se declara que esos empleados sean nombrados con ese PARTES. p O R providencia del Sr. D. Tomas Pacheco, juez de prime­ con prueba sinlegal. carácter, embargo pueden ser removidos por causa justa ra instancia de esta villa, refrendada del escribano del nú­ N o se crea por eso que la comisión , y en particular el in­ mero de la misma D. Juan Manuel Aguado, se ha señalado el dividuo…</t>
  </si>
  <si>
    <t>…..................... 17.595.545..2| Depósito de entrada............................................. .. 2.875,545 24.729,878..1|- PR O V ID E N C IA S JUDICIALES. REALES DECRETOS, E xportación. A virtud de providencia del Sr. D. Tomas Pacheco, juez de ORDENES Y REGLAMENTOS DEL GOBIERNO primera instancia de esta capital , refrendada del escri­ Comercio nacional................... 2.692,159 .4 f bano del número de la misma D. Domingo Bande, se llama, Y DK LAS DIRECCIONES Y AUTORIDADES SUPERIORES. Idem extrangero..........…</t>
  </si>
  <si>
    <t>…ciencia, completa el Gobierno, publicados en París por disposición y á costa de aquel se comprobaron , tradujeron é imprimieron de orden presente m anual, y io hace de la mayor utilidad , tanto á los P o r providencia del Sr. D. Tomas Pacheco , juez de primera que empiezan el penoso estudio de la anatom ía, corno para los superior año de 1782. Un cuaderno en 8.°, á 2 rs. en rústica. instancia , refrendada del escribano del número D. E uge­ profesores de la ciencia de curar. España dividida en provincias é intendencias ,…</t>
  </si>
  <si>
    <t>…mientos nueve dieziseisavos, f y 20§ á v. f. ó vol. y firme con cupo­ (á no ser en una llena), disfrutando ademas libremente del au ­ nes: 21 y 2 0 f- á y. f. 6 vol. á prima de por 100 con cupones A v irtud de providencia del Sr. D. Tomas Pacheco, juez de xilio de médico. Se tomarán en consideración las solicitudes de Inscripciones en el gran libro á 4 P°r 100 s 00. primera instancia de esta c a p ita l, refrendada de! escriba­ los sugetos que estando casados, su esposa sea también maestra, Títulos al portador del l\ por 1…</t>
  </si>
  <si>
    <t>…de esta corte, que cualquiera persona que sepa de la existencia 6 paradero de los Barcelona, librería de José Matas y de Bodallés, editor nominados D. Baltasar Payan y D. Die^o Jim énez, ambos re­ virtud de providencia del Sr. D. Tomas Pacheco, juez de calle de la Platería , niím. 50. Madrid , librería de Cuesta. Cá­ sidentes en la ciudad de Alicante el año 5 2 , el segundo capitán primera instancia de esta capital , refrendada del escriba­ diz, Hortal y compañía. Figueras, Matas. G erona, Fígaro. de la compañía fija de…</t>
  </si>
  <si>
    <t>esto es, en el p r i m e r o , y á h a c e r v er la d e p en d e n c ia q u e que unos y otros tengan tiempo de proveerse de profesores ó , T ?N virtud de providencia del Sr. D. Tomas Pacheco, juez de de él tienen todas las v irtu d e s so c ia le s, todos los m edios partidos. primera insjaucia de esta villa , se sacan á pública subasta d e fe licid ad qu e se h an c o n ce d id o á la n atu rale z a h u m a ­ 9 .a Los aspirantes tendrán término para d ir ig ir sus soli…</t>
  </si>
  <si>
    <t>…res. vocales D. Pedro Sain z de B a ­ este sobre el p a r t ic u la r , requería también que el Senado se con­ ran d a y D. A le jan d ro L ó p e z , in d iv id u o s de la dipu tación pro­ p N v ir t u d de providencia del Sr. D. Tomas Pacheco, juez gra tu lase con S. M . por sus acertadas disposiciones. C reyó pues v i n c i a l ; D. L u is Sorela , presidente de la ju n ta de liquidación de primera instancia de esta c orte, y por la escribanía del conveniente la comisión redactar bajo estas miras el siguien te pro­ de…</t>
  </si>
  <si>
    <t>…o en un todo con vuestra sabiduría y patrio­ tism o, experimento la mas viva satisfacción por contar con F ondos pú blicos. No hay en estos gran movimiento. Los vuestro celo y vuestro apoyo.” ’P 'N virtud de providencia del Sr. D. Tomas Pacheco , juez consolidados á 92|- demanda á cuenta. L ord G len elg , Secretario de Estado de las colonias, des­ de primera instancia en esta villa , se sacan á pública su­ Bonos del tesoro 64 *66 . pués de contestar á una interpelación de lord Brougham , rela­ basta dos casas sitas en el…</t>
  </si>
  <si>
    <t>…nco en­ ma fácil para arreglar la ortografía á la pronunciación. tregas. Eo fin , toda la o b ra , fundada en los principios de la g r a ­ mática ge n eral, y enriquecida con observaciones y notas m u y ■pOR providencia del Sr. D. Tomas Pacheco, juez de prime- Romances segundo y tercero sobre los triunfos de nuestras a preciables, presenta nuestro id io m a, no en el estilo pueril y ra instancia de esta v il la , se convoca á jun ta general de tropas en R am ales, por un oficial del ejército del Norte. Se trivial con que…</t>
  </si>
  <si>
    <t>Pacheco, D. Tomás</t>
  </si>
  <si>
    <t>D. Tomás Pacheco</t>
  </si>
  <si>
    <t>…io de Música de Madrid. á v. f. vol. á prima de i , f y siete treintaidosavos por 100 del corriente á las once de su mañana en la casa habitación Historia de la academia de ciencias eclesiásticas de S. Isido­ con cupones. del Sr. D. Tomás Pacheco, juez de primera instancia de esta ro de Madrid. Inscripciones en el gran libro á 4 P°r 100, 00. corte, se ha suspendido y trasladado para el 19 del mismo mes De los profesores de primera educación. Títulos al portador del 5 por 100, 00. de orden de dicho Señor. Al claustro genera…</t>
  </si>
  <si>
    <t>Pacheco, D. Tornas</t>
  </si>
  <si>
    <t>D. Tornas Pacheco</t>
  </si>
  <si>
    <t>…to que se ha propuesto el autor de esta ligera obrita , quien se ha procurado los mejores datos posibles, ade­ mas de algunos hechos de que he sido testigo presencial, en par­ REALES DECRETOS, A v irtud de providencia del Sr. D. Tornas Pacheco, juez de ticular tocante á los primeros años de la vida de Cabrera. primera instancia de esta v il la , refrendada del escribano ORDENES Y REGLAMENTOS DEL GOBIERNO Solo falta añ adir respecto á la parte tipográfica que se ha del número de la misma D. Domingo Baude , se lla m a ,…</t>
  </si>
  <si>
    <t>Pacheco, Joaquín Francisco</t>
  </si>
  <si>
    <t>Joaquín Francisco Pacheco</t>
  </si>
  <si>
    <t>…tura A. G .................................................................... 100 española. Terminará la función con baile nacional. A. R ....................;•'••••_ ........................... ±2 M artes.=De siete á ocho, D. Joaquín Francisco Pacheco, D . Ramón Ortiz Otañez........................... 10 derecho penal. o . de v ............................................................................... y y y 20 recho político. ocho á nueve , D. Antonio Alcalá Galiano , de­ Idem.inDe 20 D. F. G .................…</t>
  </si>
  <si>
    <t>…do, á prestar sus respectivas declaracio­ Frenologia.mPor D. Juan Drument. simular tantas faltas. Mas no hay nada de eso. Lo que mas des­ nes en causa criminal que se sigue en dicho juzgado sobre adul­ Las Cortes de 1857.= Por D. Joaquín Francisco Pacheco. conocían aquellos hombres era el idioma castellano: y los versos teración de endosos de varios vales, apercibidos que de no ha­ U n recuerdo de Italia. = Por D. Francisco Martínez de que cita Moratin en el Cafe' , de la comedia supuesta del Cerco cerlo les parará todo perj…</t>
  </si>
  <si>
    <t>…y la feliz aprehensión de 7900 periódico los Sres. D. Audres L e a l, D. José M aría H u et, Don fusiles, con el bergantín conductor, verificada en los Alfaques Descuento de le tra s, á 6 por 100 al año. Juan Bravo M u rillo , D. Joaquín Francisco Pacheco, D. M a­ de Tortosa, y la correspondencia arrojada al mar por el capitán nuel Perez Hernández y otros. de dicho buque, que saco la red de un barco pescador que paso El primer número de la Crónica Ju ríd ica contiene, por uo por aquellas aguas. haberse aun decidido ninguuo d…</t>
  </si>
  <si>
    <t>Pacheco, Tomas</t>
  </si>
  <si>
    <t>Tomas Pacheco</t>
  </si>
  <si>
    <t>…rme. Igual resultado ha tenido en la Cámara de los Repre­ Sentencia.=En la villa de Madrid á 31 de Marzo de 1839: REINO D E H A N N O Y ER. sentantes, después de algunas observaciones de Mr. Evans, de! el Sr. juez de derecho D. Tomas Pacheco, por ante mí el es­ Maine. Ambas comisiones han permanecido reunidas todo el cribano de S. M. y á presencia del jurado reunido, dijo S, S. Hannóver 11 de Marzo. dia , y mañana darán cuenta de su informe. Las medidas qué que habiéndose observado en este juicio todos los trámites un d…</t>
  </si>
  <si>
    <t>…es remitió la superintendencia ge­ D . Cárlos” , el que ha sido presidido por el Sr. juez de primera A rt. 48. El padre ó madre del Rey menor para ejercer su neral ejemplares de la circular del ministerio de Gracia y instancia D. Tomas Pacheco ; y después de haber oido la acu­ tu te la , siendo recibidos y acompañados en las Cortes con las Justicia, á que acompañó anuncio de las librerías en que sación y defensa, y conferenciado entre s í , se procedió á ta vo­ form alidades antes expresadas, prestarán sobre los Evangelios e…</t>
  </si>
  <si>
    <t>…, para que se inserte en esta clase de novelas: es menester ceder un elegante y erudito discurso sobre la historia, vicisi­ cuya Octubre subasta se anunció en el Diario y Gaceta de 15 y 17 de último , han señalado los Sres. D. Tomas Pacheco que sea conforme á las costumbres del tiempo; y difícil­ tudes, índole y valor del romance castellano. mente se probará que en ei siglo xiv habia esa especie de Ocupó después la tribuna nuestro colaborador, ya nombra­ el viernes 29 María y D. Miguel del Duran, jueces de primera in…</t>
  </si>
  <si>
    <t>Pacheco.zrJu, Joaquín Francisco</t>
  </si>
  <si>
    <t>Joaquín Francisco Pacheco.zrJu</t>
  </si>
  <si>
    <t>…estable­ en su acepción mas general, comprende el sentimiento del g u s­ verá que la sublimidad no es una contraposición de la belleza, to y la actividad del genio, que reproduce las bellezas, esco­ cimiento en E spaña, por D. Joaquín Francisco Pacheco.zrJu— sino una adición. El verdadero contrapuesto de la belleza es la giéndolas. La diversidad de las artes de im itación depende solo risprudencia.—Observaciones sobre el decreto relativo á los re­ deformidad. del instrumento que cada una toma para im itar. cursos de nu…</t>
  </si>
  <si>
    <t>Padilla, María</t>
  </si>
  <si>
    <t>María Padilla</t>
  </si>
  <si>
    <t>…n , son dignos de especial mención. A des oficinas que se levantan al costado izquierdo del antigno Al D. Antonio Alverá. / todos aconsejamos que procuren madurar sus facultades con el cazar sobre los baños, que llaman, de Doña María Padilla: di D. José Guzman. estudio, y desterrar ciertos resabios de provincia que á las ve­ cha obra se hizo i causa de las ruinas que sufrió la fábrica e D. Ignacio Silvostri. ces les perjudican gravemente. Es digna de todo elogio su el terremoto de 1755. D. Angel López. aplicación, asi co…</t>
  </si>
  <si>
    <t>Padre, Alejandro de Rusia. El Santo</t>
  </si>
  <si>
    <t>Alejandro de Rusia. El Santo Padre</t>
  </si>
  <si>
    <t>…reia en la ra ­ gida que ha hecho al obispo de Argel, va á enviarle un cua­ dro de mosáico del mismo gusto que el que regaló su Santidad MADRID 3 1 DE MARZO. zón y en la m oral: y ese es su defecto á las ojos de I09 al gran duque Alejandro de Rusia. El Santo Padre muestra en m odernos dramaturgos. esto el Ínteres que toma por Mr. D upuch: verdad es que este Boissy falseó pues el pensamiento de C ald eró n , inspi­ piadoso prelado excita en Roma una especie de entusiasmo. El LA V ID A ES UN SUEÑO, DE C A L D E R O N , Y LA V…</t>
  </si>
  <si>
    <t>Paez</t>
  </si>
  <si>
    <t>…Se calcula que de 259 cabezas de ganado que poseían Francisco Calzada.“ Santiago Herrera. En la Nueva Granada el presidente es el general Márquez; los colonos y los indígenas, han sido robadas mas de 209. en Venezuela el general Paez; en el Ecuador el general Flores; En el Brasil D. Pedro n Emperador, durante cuya minoría el Señora: Los que suscriben, vecinos de la capital de Orense, imperio está administrado por un regente. En Buenos Aires es Los tiradores de nuevo modelo de Vincennes han recibido y que pertenecen en los…</t>
  </si>
  <si>
    <t>Paez, Francisco Verdejo</t>
  </si>
  <si>
    <t>Francisco Verdejo Paez</t>
  </si>
  <si>
    <t>…los E N la librería de Escamilla , calle de Carretas, se hallarán de Palais Royale et le theatre fraucais, á razón de 8 rs. por mes muertos luego que espiraban , del uso de embalsamarlos, de las venta las siguientes obras de D. Francisco Verdejo Paez. para M adrid, y 10 para fuera, franco el porte. mortajas y ataúd; de los cementerios, leyes y concilios que ha­ Principios de geografía astronómica, física y política : 5.a Los números sueltos se venden en Madrid á 10 rs. blan del abuso de enterrar en las iglesias; de las pr…</t>
  </si>
  <si>
    <t>Pagan, Manuel</t>
  </si>
  <si>
    <t>Manuel Pagan</t>
  </si>
  <si>
    <t>…nto frustró el proyecto Otra id ., cerro del M uerto, término de Benadux, Desco­ Una mina plomiza en sierra de Gador, cerro de las Cucha­ que el enemigo habia concebido de invadir la provincia por nocido ó Encarnación , por D. Manuel Pagan , en 20. ras, término de A lm ería, titulada San N icolás, por D. Eleu- Ramales y Marrón. Que sin embargo de haber repetido los re­ Otra id ., sierra de Gador , dicho término, llano del plomo, terio Carrascosa, en 11 . beldes las órdenes prohibitivas de comunicación con nuestro Sta. T…</t>
  </si>
  <si>
    <t>…l uso de los Otra id. en la cuesta de las Tejas, sierra A lham illa, tér­ sucesos mas notables, sumamente necesario para metodizar el ^ caballeros grandes cruces de la referida orden, trabajado mino de Viator, La Confianza, á D. Manuel Pagan , en 6. estudio de la historia, por D. José María Gutiérrez de la Pe­ con el mejor gusto y brillantez, siendo de notar que no se ha Otra id. en el cerro de las Mmillas , término de E nix, Santa ña, y un escrito clásico del Sr. conde de Floridablanca á Don estrenado. Calle de S. A n tó…</t>
  </si>
  <si>
    <t>…nchez, en 15. Otra id. en Cerro de Q u in ta n a, término de C aojayar, La O tra id. en llano de Flores, término de dicha ciudad , la DIRECCION GENERAL DE M IN AS. G rande, por D. Cristóbal C a n e t, en 21. Traslación , por D. Manuel Pagan , en 15. Otra id. en Sierra A lham illa, cerro de Culatabí, término Otra id. al final de dicho lla^o , y en el propio térm ino, la Inspección de minas de las provincias de Granada y A l­ de Tabernas, San Eugenio, por Jua n Diego Moreno Fenoy, Estrella, por D. Cristóbal José R ubira, e…</t>
  </si>
  <si>
    <t>…franco de porte. Otra i d . , cerro de la Fuente, Llano de Flores , término de biéndose realizado con las formalidades que la misma previene, Nada diremos acerca de la baratura del pr ecio , que tanto Almería, la Alianza, por D. Manuel Pagan, en 4 . tocó á los sugetos siguientes: D. Alfonso Peralta, D . Manuel ban encomiado ya todos los periódicos al hablar del nuestro; Otia id., sierra de Gador , cerro de la Monterilla , término G uinea, D. José Sandoval , D. Francisco Arra tia, D. Juan pues basta fijar la consideración e…</t>
  </si>
  <si>
    <t>Pagar, Manuel</t>
  </si>
  <si>
    <t>Manuel Pagar</t>
  </si>
  <si>
    <t>…ego que han atrapado a la descuidada víctima y sa­ Otra id., llano de Flores, término de Alm ería, Alianza, Los escritores clásicos antiguos a tribuyeron unánim e­ ciado su apetito, revolean contentas y proclaman su infa­ por D. Manuel Pagar, en 5 de Abril id. mente á los buitres un olfato finísimo, y la forma y pro­ me triunfo coh voces tan desagradables, sonido tan mo­ Otra id., sierra de Gador, loma de en medio , término del minencia de los órganos de este sentido favorecen cierta- , no tono, canto tan fastidioso y exp…</t>
  </si>
  <si>
    <t>Pajes, Salvador</t>
  </si>
  <si>
    <t>Salvador Pajes</t>
  </si>
  <si>
    <t>…» 3 ^ V » I ^ ^ , il¿4Tir» iiñ r^ ~ ^ 7 irrp n r'rT T iii. r m nrp -nTÍw -r.iinT&gt;iTa 'iw iwi iiiiiin i . 1 11 i t i t n u n w m m w w w tii " &gt; im ' n m ir tenido un consumo tan rápido y prodigioso, que én medio de Ndm . 45. D. Salvador Pajes, sargento i.° del extinguido La dirección general de Caminos ha acordado sacar á pú ­ la penuria y trastornos consiguientes á la guerra c iv il, nuestra regimiento infantería de la patria, 75 de línea, eo exposición blica subasta por tiempo de uq año el arrendamiento de los tercera ed…</t>
  </si>
  <si>
    <t>Pajol</t>
  </si>
  <si>
    <t>…s muestras en nada desmerecen á Por la tarde recibió S. M. al mariscal Soult, al canciller Pas­ Jas prim eras; y de todas acompañamos á V. S. los ejemplares F R A N C IA . qu ier, al duque Decases, al conde Flahaut y el general Pajol. que tuvimos á la vista para el mas acertado juicio que desde Por la noche recibieron SS. M M . ú los embajadores de A us­ luego pueda formar la ilustre sección á quien damos cuenta. P aris 5 de Abril. tria y de Españ a, al Ministro de los Estados U nidos, á lord Concluidas las tres referida…</t>
  </si>
  <si>
    <t>Palacio, En</t>
  </si>
  <si>
    <t>En Palacio</t>
  </si>
  <si>
    <t>…plim iento.= Esta rubricado de la Real mano.== Sevilla. Asimismo se cita y emplaza por término de tercero dia á M inas nacionales de Riotinto 50 de Noviembre de 1858.=: D. Joaquín María Mendez y Suarez, D. Manuel M iranda , Don En Palacio á 30 de Diciembre de 1838.=A1 Presidente Ignacio Goyanes. José Viton y D. Joaquín Sánchez, á fin de que se presenten á interino del Consejo de Ministros. prestar declaración en la escribanía mayor de Amortizicion i cargo de D. José Balduque, sita en la calle del Lobo, niím. 8 , ACTAS…</t>
  </si>
  <si>
    <t>Palacios, Angel Perez</t>
  </si>
  <si>
    <t>Angel Perez Palacios</t>
  </si>
  <si>
    <t>…ventos de la guerra, destacó todala caballería de la bri­ jía, con mas de 200 de las otras clases, y según tengo noticias m ay o r pompa en la iglesia catedral. Ofició .el obispo de Bastía , gada á las órdenes del Sr. coronel D. Angel Perez Palacios, ! Urrea está herido, y deberá caer en todo el dia de hoy en mi y tanto las autoridades civiles como las militares y casi toda la compuesta de 500 caballos,para dar auxilio á la división com­ poder. Cuando dé el detalle recomendaré á V. E. á los que se población han asistido á…</t>
  </si>
  <si>
    <t>Palacios, Cándido</t>
  </si>
  <si>
    <t>Cándido Palacios</t>
  </si>
  <si>
    <t>…do con arreglo al artícu­ de la de Pamplona , y ha solicitado esta traslación , y para es­ pero habiendo salido con ventaja los primeros, los paisanos pa­ lo 3.° de la misma ley electoral , se formará la propuesta ta resulta á D. Cándido Palacios, fiscal de la propia audiencia. recían desalentados por el momento. Sin embargo, rehúsan pa­ correspondiente para que S. M., en uso de la Real prero­ gar los tributos, y el bey se encuentra en el mayor embarazo por no poder pagar sus tropas. gativa, se digne hacer ia oportuna elecc…</t>
  </si>
  <si>
    <t>Palacios, D. Carlos</t>
  </si>
  <si>
    <t>D. Carlos Palacios</t>
  </si>
  <si>
    <t>…toria Sección temporal de atrasos.rrIgnorándose donde habite en u n iv ersal, principalmente en consideración á vuestra incalcula­ nos años se me censuraba, y aun se me acusaba , si no en esta esta corte la señora viuda del Sr. D. Carlos Palacios, último te­ ble influencia sobre la consolidación de los lazos que unen entre C ám ara, al menos fuera de este recinto, de ser el amigo y de sorero que fue de las Cortes en la pasada época constitucional, sí las poblaciones alemanas. V . M. está siempre dispuesto a ha­ ser llevad…</t>
  </si>
  <si>
    <t>Palacios, León</t>
  </si>
  <si>
    <t>León Palacios</t>
  </si>
  <si>
    <t>…álico........................... 1 8 - 4 5 4 ,3 4 5 Por un escuadrón del 6.° ligero, mandado por su acreditado g a r , con sujeción al art. 9.° de dicha instrucción, excitó el se­ En efectos de la deuda con &gt; Igual. comandante D. León Palacios; en este intermedió el coronel Ser­ ñor vicepresidente a los espectadores á que tomasen ejemplares ínteres............................. 5 . 5 1 6 , 7 4 9 ..1 6 J rano con su pequeña escolta lo hacia por la izquierda con et del suplemento á la Gaceta de 27 de Febrero último que esta­ ar…</t>
  </si>
  <si>
    <t>Palacios, Nicolás María</t>
  </si>
  <si>
    <t>Nicolás María Palacios</t>
  </si>
  <si>
    <t>…r. Secretario del D espacho de la G u e r ra dice cóii éste partido á D. M agín Fernandez y Villegas, electo de M e- esta lecha al in té n d én té general m ilita rlo siguiente: C on­ dinacélij sirve el de para ésta vacante á D. Nicolás María Palacios, que La sentencia de Barbes ha sido conmutada. lié aquí comd Belchite , entendiéndose estas dos últimas provisión se expresa el Monitor , periódico oficiab siderand o S. M. la R eina G o b ern ad o ra que la actual p o ­ nes en el concepto de haber sido promovidas á solicitud…</t>
  </si>
  <si>
    <t>Palanca, José</t>
  </si>
  <si>
    <t>José Palanca</t>
  </si>
  <si>
    <t>…este partido ría A 1fosea, teniente de infantería ilim ita d o ; al de ig u a l clase lia que ha llegado á Nueva Orleans , habiendo salido de Vera- me proporciona y una pequeña partida del provincial de M on- D. José B u i l ; D. José Palanca , teniente retirado en Zaragoza; cruz el 27 de Octubie y de Tampico el 4 del corriente, se sa­ terey , pude obtener sobre la gav illa de Guisande las dos veces D. J u a n González, teniente retirado en Piedrahita ; D. José be, que el almirante Baudin habia llegado el 26 á Sacrificios qu…</t>
  </si>
  <si>
    <t>…i e^ elsa Hija la Reina Doña duado decapitad ilimitado; D. Agustín O rtiz, teniente de in­ R E A L E S D ECRETO S. Isabel i i , que:interinam ente , y sin perjuicio de lo que poi fantería retirada* impurificado y amnistiado; D. José Palanca, ley se determine expresamente y se observe y cumpla le teniente retirado en Zaragoza; D. Francisco Pelegriny ilim ita­ Convencida de la indispensable necesidad de centrali­ siguiente: d o; D i Jmé vlVÍaría C o Ion , subteniente de infantería; D . Mar-* zar en la contaduría y pagadurí…</t>
  </si>
  <si>
    <t>Palanca, Pedro</t>
  </si>
  <si>
    <t>Pedro Palanca</t>
  </si>
  <si>
    <t>…o quedarán sujetos á las re­ gundo escuadrón, solo ejerzan estos cargos aquellos que por su probidad ofrez­ glas siguientes: también franco, mandados por el alférez can garantías , y que no se intrusen otros, como ha sucedido D. Pedro Palanca , 6.a A los individuos de la Milicia nacional se les acor­ muefto en la resistencialos que lograron sorprenderle, quedando sin conocimiento de la administración , repitiéndose los excesos que opuso á nuestras tropas. El fin de de que queda hecha referencia; y á fin de conseguir tan i…</t>
  </si>
  <si>
    <t>…r sus fines. oe infantería del i.° de Castilla D. Luis González y del alfé- En las inmediaciones de Cuarte en las Valles de Sagunto U n id os, defendiendo lo que habéis jurado, y haciendo sa­ 1 ez del segundo escuadrón franco D. Pedro Palanca salieron han robado esta mañana tres hombres con cachuchas y sus cor­ crificios de todas especies para terminar la guerra cuanto antes con dirección á Villasarracino , con órden de cercar el pueblo respondientes trabucos á un hombre y á un muchacho cuanto sea posible, nuestro triunfo e…</t>
  </si>
  <si>
    <t>Palarea, Juan</t>
  </si>
  <si>
    <t>Juan Palarea</t>
  </si>
  <si>
    <t>…Parsent. lo« Senadores y D iputados de esta le g is la tu ra , y habiendo G uadalajara. «D . M ariano Egea. o currid o desde el año an terio r a c a , en que los p ub licaro n « D . Gerónimo Valdés. «D . Ramón López Pelegrin. D. Juan Palarea. casi todos los p erió d ic o s, co n sid erab les alte racio n es, los « D . Joaquín Montesoro. « D . José Ciscar y Oriola.</t>
  </si>
  <si>
    <t>…facciones que ha pedido misa: por la de Valencia á D. Andrés García Camba , en de todo el mundo artista: en seguida fue también reconocida con la destitución de ciertos funcionarios civiles y m i l i t a r e s .de reemplazo de D. Juan Palarea : por la de Zaragoza á Don su autenticidad por todos nuestros inteligentes y aficionados. El quienes particularmente nuestros compatriotas tienen motivo de Joaquin Ayerve, en reemplazo de D. Juan Romeo y Teilo: cuadro, que representa un cristo atado á la columna, es de lo queja. por la…</t>
  </si>
  <si>
    <t>Palaros</t>
  </si>
  <si>
    <t>…eñalado Se da cuenta de haber sido agregado el Sr. Mateu á la se­ Bibliografía.=:/tec7¿er&lt;:ñe?5 su r l e s p r o g r e s d e l'a stro n o m ie para su remate el dia 22 del corriente á las doce de su mañana gunda sección, el Sr. Palaros á la tercera, el Sr. Aleson á la | e t d e s S cien ces nautlques en E spagne.zz Indagaciones acerca en la audiencia de S. S . , que la tiene en el piso bajo de la au ­ cuarta, el Sr. Lasaña á la quinta , el Sr. Abascal á la sexta, y diencia territorial, de los progresos de la astronomía y…</t>
  </si>
  <si>
    <t>Palencia</t>
  </si>
  <si>
    <t>…fe, y no el de barón de lAinros, co­ mo se habia dicho generalmente. S. M. la R e in a , su augusta Madre la R e in a G oberna ­ El capitán general de Castilla la Vieja con fecha 5 trasla­ da un parte del comandante general de Palencia , en que ma­ El gran Duque hereditario de Rusia se ha suscrito con la dora y la Serma. Sra. Infanta Doña María Luisa Fernan­ nifiesta que el gefe de carabineros de Hacienda D. Manuel suma de 500 libras esterlinas al monumento que debe elevarse da , continúan en esta corte sin novedad en su…</t>
  </si>
  <si>
    <t>Palencia, Gregorio</t>
  </si>
  <si>
    <t>Gregorio Palencia</t>
  </si>
  <si>
    <t>…ona , briga­ la-colección de novelas. La Muger y los dos Amigos , novela 2 Oviedo................. í 164700 ' 441500 dier que fue de caballería , para que los que sean acudan á de­ de costumbres, de Paul de Cok, traducida por D. Gregorio Palencia.. . . . . .. 5 531722 : 1190526 ducirlo al juzgado militar de esta plaza , sito en el Postigo de Romero y Larráñaga , concluye en el presente mes. 755258..19 S. M artin, nucu. 7 , piso bajo, con apercibimiento de que no 'Se suscribe en Madrid én 4á librería extraugera , calle de l…</t>
  </si>
  <si>
    <t>Palensia</t>
  </si>
  <si>
    <t>…ar, que lo El capitán general de Castilla la Vieja traslada una comu­ de sus hijos todos los servicios, todos los sacrificios, una consa­ prevenido sobre la responsabilidad de los que sirven por nicación del comandante general de Palensia, fecha 23 del que gración absoluta á sus deseos. Obedezco pues á la nación sobe­ sustitutos, es aplicable y se aplique á todos los que cu­ rige, en la que participa que el comandante de carabineros de rana , y me encomiendo de gobernar sus destinos. bren su plaza con otro hombre, bien sea q…</t>
  </si>
  <si>
    <t>Palenzuela, Luis</t>
  </si>
  <si>
    <t>Luis Palenzuela</t>
  </si>
  <si>
    <t>…á familiarizar al pue­ Otra id. en dicha sierra, cerro del Artesón, término de guna con la expresión, con la inteligencia que la Sra, Villó. blo con los autores y las obras de mayor m érito, y á darle Huercal, la Cuchar? , por D. Luis Palenzuela , en 21. En el célebre dúo de Un ultimo addio ha estado tierna, dulce, una idea y á tenerle al corriente, tanto del estilo de cada uno Otra id. en dicha sierra, loma del Vicario, en las Cañadi­ interesante; en la conclusión del primer acto feliz y acertada; de ellos, como de las prod…</t>
  </si>
  <si>
    <t>…8 334 14 , 164. . 0 . . 8 Otra plomiza, cerro del Pocico, término de Huercal, la Ponce?..................................................................................... 15,002.. 0 .. 22 336 15,538.. 0 .. 22 V entana, por D. Luis Palenzuela, en 19. G uayam a................................................................................ 17, 442. . 5 .. 1 362 17,804-. 5 .. 1 Otra id ., humbría del Estepar , término de Dalias , S. Ra­ A guadilla............................................................................…</t>
  </si>
  <si>
    <t>…simismo, y á fin de que la sensible circunstancia de Otra id; eoí dicha sierra , Loína del Pocico, término de IHuelva.. . . . . „ '1 4 ' 88555 250556 bailarse sumariados el comandante, ayudante y furriel Huercal, Chiripá, pdr D. Luis Palenzuela , eo 12 . H u e s c ^ . . 47 ' 755671..50 1979160 del presidio de Granada, no sea un motivo que impida se Otra id. efi dí chasierra, Lomá ’del Mortero, término de Jaén.'...’ . . . . . . . 119 1314386 2702136 ' , cumpla con actividad y exactitud cuanto conduzca al asun­ Laq jar, San Á…</t>
  </si>
  <si>
    <t>…artido del Iafiesto , en la p r o v i n c i a de Oviedo. Rivadeo i.° de Junio Otra id., loma del Pocico, término de Huercal, Chiripa, P OR providencia del Sr. D. Ju an José Rodríguez Valdeosera, de 1839.—Guillermo Schulz. por D. Luis Palenzuela , en 12 de Enero de 1859. caballero comendador de la Real orden americana de Isa­ Otra id ., barranco del Poyo, término de Huercal, S. Es­ bel la Católica, juez togado de primera iustancia de esta corte, teban, por Antonio Catorla , en 5 de Agosto de 1857. Otra id ., cerro del M…</t>
  </si>
  <si>
    <t>Paleozuela, Luis</t>
  </si>
  <si>
    <t>Luis Paleozuela</t>
  </si>
  <si>
    <t>…id. en el cerro del Algarrobo, término de Pulpí, V ir­ Julio César. gen del Carmen, por Juan H idalgo, en 20. Ataúlfo. Otra id. en sierra de G ador, cerro del Muerto , término de A N U N C IO S . Alarico. Benadux, Fé 5.a, por D. Luis Paleozuela , en id. El precio de suscripción es de 22 rs. vn. por tomo en rús­ O tra id. en dicha sierra Umbría del Eslepar, término de B A L B I compendio de geografía universal, traducido del tica en Barcelona y demas puntos. En el acto de suscribirse se Dalias, Escarola, por Diego H errera,…</t>
  </si>
  <si>
    <t>Palhen</t>
  </si>
  <si>
    <t>…me retrae de la crítica á que el Gobierno ruso ; pero se trata de que recaiga el nombramiento rior de los pueblos. En esas comunicaciones no solo se procura- provoca aquella absurda comunicación. Sorprende en extremo en el conde Palhen , embajador en P a r is , en el conde M a tu z e - lia d iv id ir á la nación de su Gobierno., sino que se inspiraban que después de publicados los documentos de las conferencias w ich , ministro en Estokolmo, y del conde Strogonoff, á q u ie­ desconfianzas respecto de la buena fe J e este,…</t>
  </si>
  <si>
    <t>Palillos, Antonio</t>
  </si>
  <si>
    <t>Antonio Palillos</t>
  </si>
  <si>
    <t>…ra punto se esperaba la llegada de 500 caballos procedentes de la Pintó este cuadro D. Francisco Bayeu, con la ‘fraoqueza* de los puntos indicados, para cuyo desempeño se valdrá de los facción de Cabrera, con el titulado coronel Antonio Palillos; expresión y correcto dibujo que distinguen á este acreditado corresponsales que tiene en todas partes. el gefe carlista ha prohibido la introducción de víveres en los profesor. La Virgen levanta una sabaaita con la mano derecha, Esta empresa cree que sin mas apología que la simple…</t>
  </si>
  <si>
    <t>Pallete, D. Baltasar</t>
  </si>
  <si>
    <t>D. Baltasar Pallete</t>
  </si>
  <si>
    <t>…eles, en cu yo tonio Brugada, por 21900 rs.: Doña Josefa de Heras ó sus los ojos. La religión y la justicia son sinónim os en el sen­ semblantes brillaba todo el candor y la pureza que el herederos, por 7335 rs. 19 mrs.: el Sr. D. Baltasar Pallete, ppr tido bíblico que nos las representa com o la m ayor perfec­ hom bre puede prestar á un espíritu in corp óreo revesti­ 4500 rs.: D. Francisco de Isla, vecino de C ádiz, por 2735 ción en la criatura: ambas comienzan á resplandecer en do de humanas form as, habían fascinado l…</t>
  </si>
  <si>
    <t>Palm</t>
  </si>
  <si>
    <t>…diócesis en 18 de Mayo úb.imo. KViendo , dice en El 'pá tria rea de Us Indias, inquisidor general , el Sr. de Ar­ ella , que cunde cada dia mas entre el pueblo la lectura de la G U IA D E FO R A STE R O S. ce , y e) arzobispo de Palm ira, tío del obispo de Astorga , que Bibúa en español, y que en las edicioa&lt;io extranjeras, y hasta había hablado á Carlos tv , Rey de España, acerca de ia nece­ en las que se han hecho en Barcelona y otros puntos, se han D e orden del Sr. Ministro de ia G o bernación se p re ­ sidad que tenia…</t>
  </si>
  <si>
    <t>….’á polvo ó h arin a, la cual bien apretada en útilísimo libro. Cristianísima Luis xv , y trad ucid o al castellano por el Ilus­ sacos, y libre d% h u m ed ad , d u ra por mucho tiem po conser­ trísimo Sr. A m a t , arzobispo de Palm ira. Recomendamos m u y van do todas las cualidades dé! dátil. N o se necesita mas que particularm ente esta obrita á los señores curas párrocos , no d u ­ Junta de quema de documentos de la deuda pública. dand o la dispensarán el aprecio que se merece , en atención á mojarla con agua para h…</t>
  </si>
  <si>
    <t>Palmert, Manuel</t>
  </si>
  <si>
    <t>Manuel Palmert</t>
  </si>
  <si>
    <t>…trón pués de haber cumplidamente llenado sus funciones ad­ un pequeño ministrativas, para reclamar el apronto con una prudente obras, y construir ensanche á los fondos asignados para estas que fondeó enSan Francisco de Paula D. Manuel Palmert, aquel puerto el mismo d ia , había declarado anticipación al vencimiento de los tributos. simultáneamente las tres alcantarillas que en el anterior desembarcaron y tomaron posesión de la lí­ 3.° Que si las contribuciones ordinarias de provincia­ tual , núm. 58, podriaen darse que…</t>
  </si>
  <si>
    <t>Palmi</t>
  </si>
  <si>
    <t>…el correo en la remisión. En las provincias Pastoral sobre la Biblia, un cuaderno en rústica 2 HONRA POR HERENCIA. estará abierta la suscripción en casa de los comisionados de la Vida del llrno. Sr. D. Félix A m at, arzobispo de Palmi­ Los repetidos aplausos que ha recibido en los centenares de agencia literaria. ra , un tomo en 4*° mavor................................................. representaciones que de él se han hecho en los teatros de Pa­ Se insertarán á precios convencionales los artículos con que­ Retrato del mi…</t>
  </si>
  <si>
    <t>Palomino, Juan</t>
  </si>
  <si>
    <t>Juan Palomino</t>
  </si>
  <si>
    <t>…mente el Españoleto, precio antiguo *............ 6,715 1.° de Julio de 1825.. 5^808.. 7 12 rs., y moderno 10. 8 Principia en el portillo de Embajadores y sube por la mis­ 1 124,161 29 de Febrero de 1856. 712.. 15 Retrato de D. Juan Palomino, precio 2 rs. ma calle acera de la derecha á la de Toledo, calle Imperial, Retrato de D. Rafael M engs, precio 2 rs. plaza de Provincia, calle de Atocha, Concepción Gerdníma, Trece estampas grabadas al agua fuerte de varios pensa- Barrio Nuevo, los Remedios y la de Atocha á la puert…</t>
  </si>
  <si>
    <t>PaLrea, Juan</t>
  </si>
  <si>
    <t>Juan PaLrea</t>
  </si>
  <si>
    <t>…- D. Manuel de Pedro. . . ........................ Tarragona. Teruel. L ’ULTIMO GIORNO DE POMPEI. D. Dionisio Capaz.......................................... .. Toledo. (1) Por un olvido involuntario se dejó de insertar una D. Juan PaLrea. ................................................. Valencia. cuartilla de este artículo; corno de aqui resultase la consiguien­ D. José Ciscar y Oriola........................................Idem. Será exornada con todo el aparato que exige su asunto. te falta de sectido y de exactitud…</t>
  </si>
  <si>
    <t>Pamplona</t>
  </si>
  <si>
    <t>…eros y Constitución. autorizar la voluntad del M onarca. Las Cortes de N av arra se celebrado de una manera solemne y pública , ¿todavía h ay quien Que afortunadamente el convenio de Vergara no es obstá­ componían del obispo de Pamplona , el obispo de Tudela , el se opone á que se apruebe el proyecto tal como lo presenta el culo en esta cuestió n , pues que el duque de la V icto ria coa prior de R o ncesvalles, el vicario general de P a m p lo n a , siete Gobierno de S. M .? Cuando aquellos individuos conocen mejor todo e…</t>
  </si>
  <si>
    <t>Pantaleon</t>
  </si>
  <si>
    <t>…o con las CUADERNO SEGU NDO 500 millones para evitar que los infelices helenos sucumbiesen formalidades que la misma previene, tocó á los sugetos siguien ­ bajo el hierre de los turcos; y la Francia de la revolución ¿será tes: D. Pantaleon M u n tio n , D. José d é la Q u in t a n a , D. Fran­ del método actual de la sustanciacion civil y crim inal en la j u ­ menos g ran d e, trenos generosa? ¿hará menos por una nación cisco Ortiz y Flores, Sr. marques de Cerralbo, D. Antonio risdicción Real ordinaria. Por D. J u a n M arti…</t>
  </si>
  <si>
    <t>…emo tribunal de Justicia se ha servido acordar que ha de constar; pero los señores que no habiéndose suscrito has­ Causa i.* Procesa llamado del se lio seguido contra los M M . por la Gaceta y Diario de esta capital se cite á D. Pantaleon ta de presente gusten hacerlo para lo sucesivo, podrán haber el II. SS. ministros del tribuna) de Valencia D. Manuel ViUafañe, Félix G alilea, gefe político interino que fue en el año pasado primer tomo por el mismo precio de suscripción al tiempo de D, Ramón G¡raido, D. Lorenzo Villanueva…</t>
  </si>
  <si>
    <t>Papaceite, Chelva</t>
  </si>
  <si>
    <t>Chelva Papaceite</t>
  </si>
  <si>
    <t>…büstanean. batallón de Mora y unos 5 0 0 caballos. Añade dicho comandan­ • L á cébada al fábo¿ * * te de Chiva que la expresada facción continuaba en Chelva. En segundo parte de igual fecha anuncia que el titulado gobernador de Chelva Papaceite se halla gravemente herido de un balazo que recibió en la cabeza en la última acción de la Yesa. (D iario m ercan til d e V a le n d a ,) B O L E T IN DE C O M E R C IO . ANUNCIOS. T; L T ABTENDO.SE quedado m uchas personas sin poder pon cu r - BO LSA D E M A D R ID . ¡ f* ; 'se…</t>
  </si>
  <si>
    <t>Papas, Eugenio Moreno.</t>
  </si>
  <si>
    <t>Eugenio Moreno. Papas</t>
  </si>
  <si>
    <t>…/). Enrique. ¿Desde que os muráis? pues m uerto Presidente. D. José García de Villalta. Galletas............................................................ 15/)02 6 55 de que os sirve? D. Lucas Tengan cuenta: Vicepresidente. D. Eugenio Moreno. Papas 11,857 7 17 pues ¿cómo queréis que mande Consiliario. D. José de Espronceda. Pastas harina.................................................. 15,018 5 17 que viva un hom bre con ella, Secretarios. D. Salvador Bermudez de Castro y D. Miguel Sal 6,501 7 16 si es hacienda de m o…</t>
  </si>
  <si>
    <t>Paquita</t>
  </si>
  <si>
    <t>…za , Polo; Cádiz, Hortal. mas el mérito del ingenio distinguido de quien tratamos. lejos de ser el poeta de las sensaciones fuertes, sino de deli­ Mucha fe y constancia debió tener para no desmayar en su ciosa ternura. Quizá Doña Paquita aparece a veces sobra­ carrera , porque también conviene recordar que el gusto do candorosa, y entonces fin g e , porque se muestra harto del público estaba completamente pervertido en su tiem­ ignorante de la vida, siendo asi que habia ya entregado REVISTA MILITAR. p o ; y aficionado extrao…</t>
  </si>
  <si>
    <t>Par, Caamaño</t>
  </si>
  <si>
    <t>Caamaño Par</t>
  </si>
  <si>
    <t>…lbao, par. Valencia, ¿ á par b. se dio principio á la junta , ocupando la silla de la presidencia Entre los magníficos artículos que se hallan en esta Cádiz, f á | d. Zaragoza, i id. como el mas anciano de los concurrentes el Sr. Caamaño Par­ obra, redactados por las mas brillantes plumas de aquella Descuento de letras , á 6 por 100 al año. do, quien invitó á los Sres. Torre* Solanot y marques de V i- época, se distingue la introducción extendida por cTAlem­ luroa , como los mas jóvenes, á que desempeñasen la funciones bert,…</t>
  </si>
  <si>
    <t>Par, Gómez</t>
  </si>
  <si>
    <t>Gómez Par</t>
  </si>
  <si>
    <t>…. b. Santiago, á 2 id. bre ^ , contiene los artículos siguientes : ban : que si el Sr. González Alonso la presentaba, como en otra Exceso de compasión de una monja, anécdota. ocasión lo hizo el Sr. Benavides con respecto al Sr. Gómez Par­ Barcelona á ps. fs., | á $ id. Sevilla, i á | id. Bilbao, par din. Valencia, \ b. V iena, viajes. do, quedaría retirado el dictamen. Cádiz, |&gt; d. Zaragoza, $ id. El pañuelo blanco, novela. r El Sr. GONZALEZ ALONSO dijo que formalizaba la Origen de la poesía. reclamación, y la comisión r…</t>
  </si>
  <si>
    <t>Para</t>
  </si>
  <si>
    <t>…ento electo­ corren los pueblos de C hulilla y Losa, pidiendo raciones, ex­ ral que comienza entre uosotros. tendiendo la exacción á Pedralba y A lcublas, bajo las penas Cuatro compañías de Saboya al rnando del valiente coronel Para im itar completamente lo que se hace en Francia , se ha mas severas. La columna de la Ribera sigue en L iria. Buil llegaron ayer para reforzar la columna de la Ribera que tratado durante dos dias de una disolución de la Cámara , pa­ se halla en esta , y antes lo habían hecho dos del 4.0 de lig…</t>
  </si>
  <si>
    <t>…infante­ dirección omita ría D. Benito María Miranda, vengo en nombrar para energía con que recomendar debe á Y. S. el impulso de eficaz verificarse su recaudación* PARTES. que la desempeñe en propiedad al de la misma clase Don Para graduar el que reciba la de todos los ramos que Fernando Norzagaray, coronel del regimiento de Soria, en atención á su mérito, servicios y circunstancias. Ten- van expresados, y formar un juicio exacto de los resulta­ PARTES RECIBIDOS EN LA SECRETARIA DE ESTADO dos mas ó menos ventajosos que d…</t>
  </si>
  <si>
    <t>Paradela</t>
  </si>
  <si>
    <t>…bernantes con los go­ que ademas se han presentado á indulto 57 rebeldes, contán- Ii Cada noticia que llega es nuncio de nuevos desastres. El 24 bernados, dando garantías seguras de orden y libertad. dose entre ellos al cura de Paradela ; á su sobriuo D. Marcos \ de línea perdió ayer cerca de la Chíffa 127 hom bres, que fue- 2.° Que el Gobierno cuenta con la inas eficaz y decidida L ópez, ayudante que fue del cabecilla Souto ; á D. M iguel; j ron degollados, entre ellos un.capitán , dos o tres tenientes y cooperación de t…</t>
  </si>
  <si>
    <t>Paradis</t>
  </si>
  <si>
    <t>…aldes constituciona­ D u p ré , p*opietario.—H uberl, propietario.—Barón D 11 Cluzeau sencia y rebeldía, parándoles el perjuicio que haya lugar. les, promotores-fiscales, abogados, profesores de práctica en las de Cler*nt.~Doctor Paradis , presidente de la comisión, paso de academias y un iversidades, curiales y demas personas á q u ie ­ Santa M aría número 15. Paris 7 de Abril de 1859. nes interesa conocer la administración de justicia. Su precio 8 Por providencia del Sr. intendente de Rentas de esta pro­ v in c ia , se c…</t>
  </si>
  <si>
    <t>Parainio, Cándido</t>
  </si>
  <si>
    <t>Cándido Parainio</t>
  </si>
  <si>
    <t>…acerca de ellos opiniones sólidas, agenas del con­ Nombres, 'Provincias. Genaro Bayon , por hallarse ausente con anterioridad , por Don tinuo embate y atormentada carrera de la prensa periódi­ Alejo Farro , D. Gabriel Alvarez, D. Cándido Parainio, Dou ca. Por otra parte, aunque el poder y la influencia de esta D. Fausto Otazu. ..................................... Alava. Blas Alonso y D. Antonio Aparicio, se declaró no haber lu-*- sean un hecho incontestable , los sucesos se multiplican de D. José María Calatrava. Albacéte.…</t>
  </si>
  <si>
    <t>Paralox</t>
  </si>
  <si>
    <t>…poca feliz de la regeneración española. 1.° La admisión del primer suplente por Valencia. no de Y. M .,le tributa este ayuntamiento el mas cordial y sin­ Tales son, Señora, los votos de esta Milicia ciudadana: ta­ 2.° La del Sr. Paralox, Diputado por Gerona. cero parabién ^suplicándole se digne acoger con su Real agra­ les sus esperanzas y deseos que espera seráu cumplidos con el 5.° La del Sr. M ath e u , cuarto suplente por Barcelona. do y benignidad este pequeño testimonio de su constante y auxilio de la sensatez y con…</t>
  </si>
  <si>
    <t>PARAMEJ</t>
  </si>
  <si>
    <t>…diversas categorías á todos los. montar á caballo á la primera noticia de urgencia , y penetrar presos, según el sexo, la edad y grado de culpabilidad. personalmente eu Martorell para defenderla al frente de sus bra­ SO C IED A D P A R A M E JO R A R L A M O R A L 2.° Adoptar los medios de procurar á todos, en cuanto fue­ vos Nacionales. se posible, un trabajo regular y sin interrupción. DE LOS PRESOS. &amp;. E., á quien la comisión ha considerado m uy instruido de 3.° Proporcionar á los que tuviesen necesidad de ello una hn n…</t>
  </si>
  <si>
    <t>Paravey</t>
  </si>
  <si>
    <t>…á Mr. CPConnell por haber 106 Fondos públicos. Cinco por 100, 112, 5. cesado tan á buen tiempo de ser un agitador. 17 Tres id., 8 0 , 10. Acciones del banco, 2775. Convalecientes de Belen. España: deuda activa, l9 f El abad Paravey, que en 1850 se presentó vestido con sus Idem pasiva, 4*- hábitos sacerdotales á bendecir la tierra donde fueron deposi­ 2,147 tados los restos de las víctimas de Ju lio , acaba de ser nombra­ 1,951 do por decreto de 27 del corriente canónigo de segundo orden 1 Varios periódicos han habl…</t>
  </si>
  <si>
    <t>Parcent</t>
  </si>
  <si>
    <t>…móvil en los juicios del hom bre; la mal entendida del Rey el mariscal S o u lt , el M inistro de la Guerra, e! maris­ gratitud , la injusta deferencia suele serlo igualmente. cal Gerard , el teniente general Trezel, el conde de Parcent, Cuando a cualquiera de estos sentimientos escucha, enton­ secretario de! Infante, los ministros de S u ec ia, de W u r t e m - NOTICIAS NACIONALES. ces es bastarda ; entonces es ilegitima entonces el agra­ berg , de Ilaunóvcr , de Dinamarca , todos a caballo 5 muchos oficiales de dragones…</t>
  </si>
  <si>
    <t>Pardillos, Manuel</t>
  </si>
  <si>
    <t>Manuel Pardillos</t>
  </si>
  <si>
    <t>…sé Lacosta , Don VACANTE. doble objeto de que se encuentren roas fácilmente las materias José Pascual , D, Bernardo D olé, D. José Preyo y Cacho, Don que se busquen, y de presentar en compendio cuanto de ellas Joaquín M Aral y D. Manuel Pardillos, sorteados conforme á S E halla vacante el partido de médico de Z ornoza, señorío de mas esencial se contie?ie en la obra. En cuanto al aumento que las leyes vigentes sobre libertad de imprenta para examinar la ^ Vizcaya , dotado en 6® rs. anuales pagados por semestres ha recibido e…</t>
  </si>
  <si>
    <t>Pardo</t>
  </si>
  <si>
    <t>…ados elegidos por la provincia en donde estaban esperar sobre la admisión de las actas de Valcarlos y Lumbier; Se abrió á las doce y media, y leída el acta de la anterior, desempeñando sus destinos. En prueba de ello citó al Sr. Pardo pero como conozco esa tendencia de que antes he hablado, debo quedó aprobada. Montenegro y al Sr. Fernandez Baeza, magistrados el uno de la hacer algunas reflexiones. Se mandó pasar á la comisión de Revisión de actas la del audiencia de la Coruña, y el otro de la de Valladolid , contra Desde…</t>
  </si>
  <si>
    <t>Pardo, Caamaño</t>
  </si>
  <si>
    <t>Caamaño Pardo</t>
  </si>
  <si>
    <t>…en la legislatu- órdenes del rebelde Gornez salió de las Provincias Vas­ gales de la elección hubiesen decid id o que esta vez habia q u e­ dado vencido. Para sostener su pretensión, el partido d e m o crá - ra^pasada por el Sr. Caamaño Pardo , y reproducida por dich o congadas, tuve en distintas ocasiones la gloria de batir al señor en la sesión de hoy , acerca de que sean adm itidos para tico en vió á lla r r is b u r g o , capital del E sta d o, pocos dias antes enemigo, haciéndole conocer que su salvación consistía en…</t>
  </si>
  <si>
    <t>…ciones habían nombrado las si­ tuar sus proposiciones, que serán admitidas sieudo arregladas, ACTAS DEL GOBIERNO. y ninguna después de verificado el remate» guientes comisiones que han de informar sobre la proposición del Sr. Caamaño Pardo, acerca de que se admitan para la com­ pra de bienes nacionales los documentos de crédito con interés no negociable, y la de los Sres. duque de Bailen y otros seño­ EXPOSICION A S. 31. LA REINA GOBERNADORA. Intendencia g en era l militar . res Senadores, acerca de que se eleve un m…</t>
  </si>
  <si>
    <t>…el Sr. González al párrafo 1.° La ceso comunicado á este cuerpo. la generación presente trasmitirá á las venideras el reconoci­ primera fue tomada en consideración, que era relativa á que Se dió cuenta de una proposición del Sr. Caamaño Pardo miento á los inmensos beneficios que la Reina Doña Ma: ía se recomendase al Gobierno Ja regularidad en los pagos, pues reducida á que con motivo de la plausible noticia que se habia Cristina de Borbon ha derramado sobre la monarquía durante solo asi podrán cubrirse las muchas y grave…</t>
  </si>
  <si>
    <t>Pardo, Cahatnaño</t>
  </si>
  <si>
    <t>Cahatnaño Pardo</t>
  </si>
  <si>
    <t>…e dió cuenta de que las secciones habían calificado no ser que obtiene el juzgado de Señorin de Carballino, de entrada, Quiera la divina P r o v i d e n c i a , Señora , seguir dispensando útil ni oportuna la proposición del Sr. Cahatnaño Pardo re-* en la referida provincia de Orense; y para esta judicatura á su protección á la m onarquía, á V. M ., á la Reina nuestra lativa á que se declarase festividad nacional , y que se vistiese D . Mafias Diez del Prado , juez de Sahagun , que ha solicita- Señara y toda la Real famil…</t>
  </si>
  <si>
    <t>Pardo, Francisco</t>
  </si>
  <si>
    <t>Francisco Pardo</t>
  </si>
  <si>
    <t>…nación de la Península, lo traslado á V. S. para Ramón S. M. la Reina Gobernadora se ha dignado conceder á Don Excmo. Sr. : Tengo la satisfacción de poner en noticia su inteligencia, la de evsa diputación provincial y efectos D. Francisco Pardo, juez de primera instancia de Guadalajara, y á de Y. E. que S. M. el Rey de le s Paises-Bajos ha renova­ consiguientes, de cuyo cumplimiento deberá V. S. dar que han solicitado de Vera, que lo es de Pontevedra , la permuta do sus relaciones políticas con la España, suspendidas cuen…</t>
  </si>
  <si>
    <t>Pardo, Gómez</t>
  </si>
  <si>
    <t>Gómez Pardo</t>
  </si>
  <si>
    <t>…altando el pre^t 5 . ° Una exposición de la diputación pro vincial de San tan ­ al soldado y su mantenimiento , como igualmente sin medios d e r , haciendo varias observaciones para justificar la conducta miento respecto al Sr. Gómez Pardo. L a com isión , á pesar que sabia que era regente el Sr. C o rtá z a r , como no la constaba, para acu dir á otras atenciones vitales de que depende la salud que habia observado en las últimas elecciones. de la patria y de la causa púbhca. 4 *° Otra exposición de varios electores de…</t>
  </si>
  <si>
    <t>…isión sobre los expedientes pendientes, y leí­ tropas en esta capital desde el dia 5 del corriente, y en la m a­ ó cual o t r a , no lo he creído porque lo he oido extraoficialmen­ do el en que opinaba aquella la admisión del Sr. Gómez Pardo, ñana de hoy ha salido por el camino real de Guipúzcoa , ha­ t e ; pero como las cosas y los casos me han hecho ser un poco Diputado por M a d r i d , se opuso el Sr. Benavides, manifestan­ biendo cruzado á corta distancia en dirección de las cendeas de^ desconfiado, y por otra parte es…</t>
  </si>
  <si>
    <t>Pardo, José Vigil y D. Juan</t>
  </si>
  <si>
    <t>José Vigil y D. Juan Pardo</t>
  </si>
  <si>
    <t>…ra solicitud en favor de aquellos amados cito por la ley, examinada detenidamente la denuncia htcha zobispo de V icew , metropolitano de toda la R usia, suscri­ hijos, que en dicha nación no han podido ser engañados con 3 por D. José Vigil y D. Juan Pardo, autorizados competí-ate­ bió coa los griegos el famoso decreto de u n ió n , y aunque artificios, ni aterrados con amenazas, ni seducidos con elejetn- j neo te por D. Felipe Fernandez, coronel dei regimiento cabaile- poco después se frustró el plan por los desórdenes qu…</t>
  </si>
  <si>
    <t>Parece, Bugeaud.</t>
  </si>
  <si>
    <t>Bugeaud. Parece</t>
  </si>
  <si>
    <t>…que; se habia diferido la reunión del Parlamento. (Stam dard .) obre Como le parezca en estas circunstancias. También se dice cha de aceituna, que ya mirábamos en muy mal eatado. que se ha ofrecido un mando en Argel al general Bugeaud. Parece qae por capitulaciou honrosa de le guarnición de Se asegura que se va á enviar una embajada al Emperador Estercuel , se !á permitió ,.aunque sin fusiles , incorporarse con de Marruecos para intimarle que tome un partido definitiva­ nuestras tropas, quizás esto sea ya u« preámbulo p…</t>
  </si>
  <si>
    <t>Parece, Tornas</t>
  </si>
  <si>
    <t>Tornas Parece</t>
  </si>
  <si>
    <t>…arlamento imperial que importa resolver cuan­ hecha en 8 del corriente por el promotor fiscal D. Joaquín M a­ to antes esta cuestión vital , no solo á causa de la multiplici­ n a San M iguel, ante el Sr. alcalde constitucional D. Tornas Parece que se halla atacado el celibato de los clérigos cató­ dad de los intereses que abraza , y que se encuentran compro­ Fernandez de Vallejo, de dos artículos insertos en el periódico licos: eí reverendo Miquel Crotty, sacerdote católico, ha notifi­ metidos por el retraso, sino también en…</t>
  </si>
  <si>
    <t>Parecería, Toreno.</t>
  </si>
  <si>
    <t>Toreno. Parecería</t>
  </si>
  <si>
    <t>…vin­ Sr. Montes de Oca el de ser el hombre del Sr. Isturiz , y el se­ Y lo traslado á V. E. para su conocimiento y satisfacción. cias Vascongadas según tengan de fuero y costumbre, debien­ ñor Perez de Castro el del Sr. conde de Toreno. Parecería que Dios guarde á V. E. muchos años. Cuartel general de Chelva do tomar posesión de sus destinos los nuevamente nombrados en el M inisterio debería verse el agente de un sistema , cuyos "22 de Noviembre de l 8 5 9 .= J a v ie r Aspiro-z. ( D . M. d e F .) para el 1.° de Enero del…</t>
  </si>
  <si>
    <t>Paredes</t>
  </si>
  <si>
    <t>…nición de Tuspan , por los principios indicados, América toda contra las usurpaciones de una poderosa y arro­ dora y la S e r m a . S r a . In fan ta Doña M aría L u isa F e r ­ depone las arm as, y en consecuencia el Sr. general Paredes, á gante nacioo europea. n a n d a , c o n t in ú a n en esta corte sin n o v e d a d en su im - nombre de la nación y del Gobierno, por quien está am p lia­ Sabido es que hace 17 meses que las fuerzas navales f r a n ­ * mente facultado, garantiza las v id a s , libertad y propiedades cesa…</t>
  </si>
  <si>
    <t>Paredes, Calixto</t>
  </si>
  <si>
    <t>Calixto Paredes</t>
  </si>
  <si>
    <t>…ex­ gada por todos estilos; pero faltaría á mi deber si no recomen­ solver que se admita respectivamente á cada pueblo en pedición, y muy eficazmente para que se sirva hacerlo á S. M. dase particularmente al teniente de navio D. Calixto Paredes, pago de sus contribuciones ordinarias el importe de los al capitán de fragata D. Santiago de Soroa , comandante del comandante del Soberano, y toda la tripulación; al primero recibos liquidados de suministros hechos á las tropas, que referido bloqueo , al secretario de esta capita…</t>
  </si>
  <si>
    <t>Paredes, Diego</t>
  </si>
  <si>
    <t>Diego Paredes</t>
  </si>
  <si>
    <t>…q u e , estando lejos todavía de ponerse en práctica, omitiremos de esta pro v in cia, juez de Amortización , se cita , llama y em­ para decir algo sobre la últim a causa indicada de ios n aufra­ plaza á D. Antonio R u b ín , D. Diego Paredes, D. José L a t o r - gios* ' * re y D . 3 uan José de S o m o v ilia , c uyas habitaciones y para­</t>
  </si>
  <si>
    <t>Paris</t>
  </si>
  <si>
    <t>…­ bienes quedados por el Fal lee i miento intestado de Pedro Parroh^1 S e ñ o r, la Francia entera ha saludado con sus aclamacio­ culo. d o , vecino que fue de esta corte , ocurrido en 27 de Octubre nes el nacimiento del conde de Paris, Rodeamos con nuestros El Sr. P O L O Y M O N G E : La parte que designa la comi­ del año ú ltim o, para que dentro del término de 50 dias, con­ homenajes la cuna de ese joven P rín cip e, otorgado á vuestro sión á los ayu nta m iento s, es una parte de interés del reparti­ tado desde la publi…</t>
  </si>
  <si>
    <t>…10. El decano del Consejo de Estado gozará por ahora Londres, á 90 d ia s, 38y papel. C oruña, 1 d. de España é Indias, como cuerpos meramente consultivos, han el sueldo de 60§ rs .; los consejeros el de 5 0 § , y el secretario Paris , 16-5 Á 4* G ra n a d a , 1 £ id* dejado un vacio que no llenaba otra institución, pues que nin­ del Consejo 4^$* M álaga, i id. guna había encargada de conocer y fallar en los referidos y Art. 11. Siempre que un consejero tenga alguna comisión, Santander, 1 | id. _ frecuentísimos negocios…</t>
  </si>
  <si>
    <t>…expresamente compuesta por el maestro Don bre, se dio orden en 17 del mismo al embajador de S» M. en clases de la sociedad los estudios útiles y amenos de las ciencias, Ramón Carnicer; y los bailes inventados y dirigidos por Don Paris para que sin pérdida de tiempo formalizase enérgicamen­ de las letras y de las artes, y servir de este modo de modesta y Antonio Cairon y D. Juan Bautista Cozzer. te dicha reclamación. Lo hizo asi el 28, y en 7 de Diciembre cómoda biblioteca, á donde todas las familias pueden adquirir ya te co…</t>
  </si>
  <si>
    <t>…para sa­ volverán á Fontenebló. El R ey, la Reina, el duque de W u r t e m - y apellido en aquel distrito, querían algunos hacer ver que era lón de banquete y de baile. Este edificio tiene 525 pies de largo; fcerg y el conde de Paris saldrán á recibirlos. El Rey permane­ este el elegido. a sala de baile 168, y la del banquete 157. En el centro h ay cerá en Fontenebló hasta que se levante el campo. También se acordó quedasen sobre la mesa los siguientes dictámenes de la misma comisión : UQ.salón de 20 pies. En la sala de…</t>
  </si>
  <si>
    <t>…, almacén donde de música deL odre, carrera de S. Gerónimo, antiguamente estaba, se acaban de recibir las las cuatro quintas partes de los electoras ? ¿ N o son hombres de f. ó vol. á prima de 1 por 100. óperas U g o , conde de Paris, II Bravo, II Juramento, Marino todos los partidos los que me han elegido 7 Deuda negociable de 5 por 100 á papel, 00. Faliero, Zam pa, Lucrezia B orgia, Lucia Lamermour, la Sea— Si esta circular hubiera podido influir , de ningún modo Idem sin interés, 9 f , f , f y 10 á v. f. ó v o l.: 1 0…</t>
  </si>
  <si>
    <t>…conde de N eiperg, cuyo padre se una grande emisión de nuevas piezas de plata. En cuanto a los rumores que han circulado acerca de Mr. habia desposado morganáticamente con la Emperatriz María Clausel de Montáis y del arzobispo de Paris, se uos asegura Luisa. {Id.) que están fundados en noticias equivocadas, nacidas, según Resulta de datos oficiales que desde el 24 al 50 de Octubre parece, del viaje de Mr. Teste á Chantres; y según lo que ce A L E M A N IA . se han embarcado 460,727 onzas de plata en plata: idem en oro allí…</t>
  </si>
  <si>
    <t>…muy poco cir, feliz en su versión al castellano ; que tratando de acomodar esta cional.para introducir en nuestra patria la verdadera ópera na­ pieza á nuestra escena, la ha hecho perder todo su mérito, y que entre él y el Sr. Paris, ó por mejor decir, entre él y la em­ BOLETIN DE COMERCIO. presa que encargó á aquel de un papel que no podía desempe­ ñar, pusieron á la pieza tan mal parada que no extrañamos el CORRESPONDENCIA DE LA GACETA. F O N D O S P U B L IC O S . fallo del público, ni que los que no conocen la orig…</t>
  </si>
  <si>
    <t>…esburgo en 12 de Joaquín Murat gran duque de Berg. El 30 de Marzo José atacó por segunda vez* Mr. de Metternich estaba aun eu Diciemnre: «Estuve en Briinn y en Viena, mi querido Boi/ipane es proclamado Rey de Ñapóles: el mariscal Paris; Champagny recibió orden de acompañar al Empe­ Ha a erive, para ver al Emperador antes de trasladarme Beni.vier recibe el principado de Neuchatel. Sin embargo, rador; Hauterive no habia tomado casi ninguna parte eu aqui. Ayer llegué con un tiempo muy frió que solo ha he­ el 20 v'e Abril, Fox,…</t>
  </si>
  <si>
    <t>Paris, Amorós.</t>
  </si>
  <si>
    <t>Amorós. Paris</t>
  </si>
  <si>
    <t>…curso hasta llegar á la sala r o m a n a , el non p lu s manual de educación física, gimnástica y moral, publicado por Nuestro corresponsal de Almería nos dice con fecha 2 5 : u ltra de esta herm osura arquitectónica. el coronel Amorós. Paris, edición de 1856.) La academia Real El dia 10 del corriente mes se encontró en uno de los al­ Después de a d m i r á r o s t e lujo extraordinario de la de las ciencias de Paris premió estos trabajos sobre la educación tares de la parroquia de Santiago de esta capital una criatura Glyp…</t>
  </si>
  <si>
    <t>Paris, Cayetano Cortés.</t>
  </si>
  <si>
    <t>Cayetano Cortés. Paris</t>
  </si>
  <si>
    <t>…l castellano por D. Luis Miguel Badin. Un universidad de Paris , y de economía política en el colegio de Londres, á 90 dias, 5 8 |. C oruña, l f d. cuaderno en 4 o? á 4 rs. en rústica. Francia : traducido al idioma español por D. Cayetano Cortés. Paris, 16-6. Granada, id. id. Explica esta obra el origen y fundamento de los derechos Dos tomos en 8.° marquilla de muy buena impresión. Se halla Málaga , £ á 1 d. del S und, los de este respecto á las mercancías, y los derechos á 56 rs. en las librerías de Escarnida, calle de Car…</t>
  </si>
  <si>
    <t>Paris, Mauuel López Mencha.</t>
  </si>
  <si>
    <t>Mauuel López Mencha. Paris</t>
  </si>
  <si>
    <t>…Morales, sexto D. Ma*v CAMBIOS. quez , y séanos permitido esperar que con la ayuda de sus ami­ nuel García Melgar. Lóndres, á 90 dias, 38. Coruña, 1} d. gos y de facultativos inteligentes, recobrará el Sr. Esquivel la Síndico: D. Mauuel López Mencha. Paris, 16-5. Granada, 2 | á £ id. vista para añadir nuevos triunfos á los que ya tiene consegui­ M álaga, id. dos con sus pinceles. (/?/.) Zaragoza 12 de Diciembre. Tengo el gusto de anunciar Santander, par. á V. que la elección de personas que han de entrar en el ayun­ Alicant…</t>
  </si>
  <si>
    <t>Parker, Sir Hyde</t>
  </si>
  <si>
    <t>Sir Hyde Parker</t>
  </si>
  <si>
    <t>…a médico-legal sobre supuesto envenena­ En 1801 fue empleado en la expedición contra Copenha­ mente, indicando las medidas que conciliaran los intereses de la miento por un marido á su tnuger. gue bajo las órdenes del almirante Sir Hyde Parker, donde se redacción, y salvaran la responsabilidad del Gobierno intere­ 2.° Proceso del conde Mirabeau contra su esposa. condujo con tanto valor que destruyó las baterías de la ciudad sado en que no se publicaran causas que pudieran alterar la 5.a Historia de un bigamo, cuyas dos mu…</t>
  </si>
  <si>
    <t>Parma</t>
  </si>
  <si>
    <t>…enidero, los lunes, miércoles y viernes, la Milicia de la edad media. car la palabra á la nota, con seis arietas de una dificultad pro­ repartiéndose á los Sres. suscriptores de una á dos de la tarde. Alejandro Farnesio, duque de Parma. gresiva. Se hallará en el almacén de música de Lodre, carrera Constará de un pliego de papel, cuya calidad, tamaño y for­ Crónica militar del mes de Mareo. de Sao Gerónimo, núm. 26 (antes 13.) ma será igual al del prospecto, y de los artículos siguientes: Se vende en la imprenta de D. Miguel…</t>
  </si>
  <si>
    <t>Parra</t>
  </si>
  <si>
    <t>…io. facción de Cabrera por las tropas del general Ayerbe, en unión que Los tenia libros de caballería debian agradar á una sociedad todas las virtudes y vicios de la niñez, como fue Loja Marzo 25 de 1859. con las del brigadier Parra , en las inmediaciones de Segura, habiendo también llegado las del general en gefe, concluida ya la de la edad media, cándida,crédula y valiente. En dichos la acción. Dice que la pérdida del enemigo es de grande consi­ libros está prodigado lo maravilloso á manos llenas; pero el deración j…</t>
  </si>
  <si>
    <t>…diata y demasiado ilimitada de los pue­ acción mas arrojada. Los batallones de la Reina de infantería la m ano de su sobrina. blos inmediatos , sin privar á la industria de los auxilios ne­ pertenecientes á la brigada del general Parra , y muy particu­ ¡C u án ta mas profunda es la idea de C alderón! En él cesarios para su prosperidad. larmente el segundo, subió con el mayor arrojo á los parapetos, apenas manifiesta el príncipe otro am or que el sensual: ve 5.° Facilidad, acceso en la carrera de los altos estudios cien­ y l…</t>
  </si>
  <si>
    <t>Parre-</t>
  </si>
  <si>
    <t>…mados á Argel. En el do esto corrobora y confirma la comunicación que antecede. ESTADOS MEJICANOS. caso en que la expedición formal que se prepara contra A bd- (E. de A.) el-Kader se verifique antes de la primavera , el general Parre- chappe, que manda una de las dos brigadas de la guarnición Méjico 4 de Setiembre. de L yon , acaba de recibir la orden de marchar inmediatamen­ te á Africa. Zaragoza 14 de Diciembre. El supremo Gobierno acaba de recibir por extraordinario N o sabemos qué mando se le confiará alli. del se…</t>
  </si>
  <si>
    <t>Parsent</t>
  </si>
  <si>
    <t>…DE E N E R O . «Conde de Almodóvar. «M arques de M alpica. «Conde de Santa Ana. «D . Dionisio Capaz. «D . José M aría Perez. V alencia. No habiéndose p ub licad o en la G aceta los nom bres de « D . M anuel de Soria. «Conde de Parsent. lo« Senadores y D iputados de esta le g is la tu ra , y habiendo G uadalajara. «D . M ariano Egea. o currid o desde el año an terio r a c a , en que los p ub licaro n « D . Gerónimo Valdés. «D . Ramón López Pelegrin. D. Juan Palarea. casi todos los p erió d ic o s, co n sid erab les alte r…</t>
  </si>
  <si>
    <t>…s estudios mayores que sedan en cursos completos, Toledo. =¿ El reemplazo del Sr. marques de Malpica. le separa de Berga, que es de seis horas. lo verificarán á la posible brevedad ; porque cerrados estos , ya Valencia —¡Conde de Parsent, y D. Gerónimo Valdés. Sin embargo, no es adoptable esta avenida por las grandes no se podrá entrar á estudiar hasta el Setiembre del siguiente Valladolid. =z El reemplazo del Sr. D. Evaristo Perez de dificultades que ofrece su comunicación con Manresa por u a año, á no ser que quieran perfe…</t>
  </si>
  <si>
    <t>Parseval</t>
  </si>
  <si>
    <t>«fía provincia, bajo apercibimiento que de no comparecer den­ las obras completas de Federico &gt;ii , según los manuscritos que tregados por los capitanes al comandante Parseval, entonces co­ tro -del referido término les parará el perjuicio que haya existen y según las mejores ediciones. Los literatos encargados mandante superior de las fuerzas navales estacionadas en la Ha­ logar. de la revisión crítica del texto han recibido orden especial de bana, fueron expedi…</t>
  </si>
  <si>
    <t>París</t>
  </si>
  <si>
    <t>…iones siguientes: El Sr. PRESID EN TE: En este momento se presenta la lis­ un niño presentaba á la Duquesa un ramillete compuesto de una siem pre-viva, un pensamiento y una rosa, acompañando esta ofrenda con votos por el conde de París, ün sol ardiente todo el esmero digno de los zaragozanos. , 1.° En esta noche y las dos inmediatas se ilum inará tanto ta de actas aprobadas; si le parece al Congreso podrá pasar á la en la ciudad como en el teatro, y las casas se adornarán con comisión. {Varios señ ores: s i 9 s i d e sd e…</t>
  </si>
  <si>
    <t>…e ortografía , historia sagrada y de España , y adelantamientos Vizcaya. Un batallón entero , al cual se han unido otras com­ que ha indicado en los demas ramos que comprende toda la ins­ .Al principio de semana el arzobispo de París se bailaba pañías, se ha sublevado y desconocido la autoridad de Castor, trucción y cuidado de su clase se le considerará acreedor ai bastante g ra v e ; estos últimos dias ha experimentado una no­ que trataba de enviarle á la provincia de Santander. Goiri ha primer premio de segunda clase, qu…</t>
  </si>
  <si>
    <t>…ifuentes hubiera sido presa de la facción. las nueve de la noche concluyo mi sistema sanitario con otra ina de Moliere. Tenia este 51 años, un mes y dos dias. cornposición anodina , y en seguida me voy á acostar. El arzobispo de París negaba la sepultura á Moliere por­ La gravedad de los jueces no pudo sostenerse mas al oir la que habia sido có m ico !!... Su viuda se vió precisada á ir historia de tan extraño régimen, y la cueuta del boticario fue á Versalles acompañada del cura de Autenil ,, á echarse á los VARIEDADES.…</t>
  </si>
  <si>
    <t>París, José</t>
  </si>
  <si>
    <t>José París</t>
  </si>
  <si>
    <t>…opi­ niones y sentencias de los filósofos mas ilustres; traducidos de Lóndres, á 90 dias, 38 á C oruña, 2 á 2 i d. Asimismo se c ita , llama y emplaza á D. Ramón de Prado la lengua griega , é ilustrados con algunas notas por D. José París, 16-5 á 6. G ran ad a, 2£ a £ id. y D. José Lesea, para que en el término de nueve dias, que por Ortis y San*. Dos tomos en 4 .0, edición de 1792, á 32 reales M álag a, 1¿ id. segundo se les señala, comparezcan en la escribanía principal de en pasta común. Santander , i b. Amortización,…</t>
  </si>
  <si>
    <t>Pas</t>
  </si>
  <si>
    <t>…lamentaba los abusos, unía sus lamenta­ El Sr. conde de las N A V A S manifiesta que no ha hecho do el autor de esa disposición, si ella fuere vituperable, lo que ciones á las de S. S . , é insistió en lo manifestado por el Sr. Pas­ alusión alguna al Sr. director del tesoro, sino que ú ticamente no reconozco. cual acerca da la desigualdad de las clases, añadiendo que en se ha lamentado del abuso que ha nombrado relativo á .;ue el el ministerio de la Gobernación tenían ingreso 50 millones, y Paso ahora á contestar al Sr.…</t>
  </si>
  <si>
    <t>PAS</t>
  </si>
  <si>
    <t>…e su dictámen. hasta que se concluyese el asunto de los fueros. enmienda en qué el Congreso iba á ocuparse. El Sr. Q U IN T O : El Sr. Olózaga se ha olvidado de una El Sr. B A R RIO AYUSO, como autor de ella, la apoyó di­ El Sr. P A SC U A L expuso que estando aprobada la propo­ circunstancia que se ha observado; esta es que se ha presenta­ ciendo: Que hallándose dos millones de españoles, y tal vez el sición de los Sres. Estrada y Egaña , ya no tenia logar la suya do una enmienda á la enmienda en cuestión , y se ha dicho…</t>
  </si>
  <si>
    <t>…ritos tienen mucho térm ino, y estoy creído que greso tomar la resolución que juzgue oportuna. La comisión, imparcial en todos los dictámenes que ha pre­ aun cuando se an u !aran las elecciones, si se formaran las listas, El Sr. P A SC U A L : La comisión uo resuelve nada por sí, sentado, y en los que presentará en lo sucesivo; la comisión, resultarían no solamente esos electores, sino aun mas. Por to­ esperando á que resuelva el Congreso. repito, ha visto una ley escrita , explícita, terminante, y se ha das estas razones,…</t>
  </si>
  <si>
    <t>…faccioso que se ha pasado en la tarde de pronunciamiento por las tropas que mandaba el general Cerde- quilo. hoy á las tropas, que al mando de un oficial de E. M. practi­ ña en Arequipa. Et batallón Guizco aII mando del coronel Pas­ Este despacho nos obliga á hacer tristes reflexiones. caban un reconocimiento sobre el pueblo de Pallejá, se ha sa­ tor Riva y del primer coma odiante Rafael Garbo defendieron Desde luego se debe deducir que aun no se ha fulminado bido que los enemigos que se hallaban al frente de Molins del a…</t>
  </si>
  <si>
    <t>…las partes inmediatas. Este líquido parece que se | nar A ’zabe, amo que fue de Castor. noche presentan la apariencia de una conflagración en la at­ derrama por otras partes del cuerpo, en donde mezclado con la El comandante de Pas penetró ia noche del 14 en Somo- mósfera, despidiendo algupas tanta luz, que un solo iodividuo grasa de que abunda su epidermis, produce por la fusión el rostro, desde donde trajo consigo á dos aduaneros. que cogimos junto á las orillas del Paraná nos daba claridad aceite de ballena del comerc…</t>
  </si>
  <si>
    <t>Pas, Juan</t>
  </si>
  <si>
    <t>Juan Pas</t>
  </si>
  <si>
    <t>…exornada en trajes, decoraciones y acompañamientos al buen concepto y opínion de aquella corporación, los artícu­ esta la gracia y ternura que constituyen el carácter peculiar de los comunicados que el prebendado de la misma D. Juan Pas­ cual Sama mandó insertar en el periódico titulado Correo N a­ antiguo Murillo. Tiene 25 p. de alto, 18 p. y 6. 1. de ancho: precio con todo el aparato que su asunto exige. cional, que se publica en M adrid, y en la Revista de esta ca­ 70 rs., y moderno 60. pital en sus suplementos de lo…</t>
  </si>
  <si>
    <t>Pas, Juau</t>
  </si>
  <si>
    <t>Juau Pas</t>
  </si>
  <si>
    <t>…dicho térmi­ la edición estereotipada de Didot. Certifico: que habiéndose denunciado ante el alcalde prime­ n o , á cuyo fin se les enterará del pliego de condiciones , que se ro constitucional de la misma , por el presbítero D. Juau Pas­ hallará de manifiesto en la secretaría de esta intendencia mili­ cual Sama , racionero de la santa iglesia catedral de esta capital, tar y en los ministerios de Hacienda militar de los referidos el impreso , bajo el epígrafe "el venerable cabildo de esta santa iglesia catedral, al público”…</t>
  </si>
  <si>
    <t>Pasado</t>
  </si>
  <si>
    <t>…l , en 5. BOLETIN DE COMERCIO. trangero, asi como de los acontecimientos mas recientes de U Otra id ., loma del R i o , término del Fon dón, la Piedad capital. Un programa extenso de las funciones teatrales pone fin (,il¿as Sr. Pasado) por Francisco Godoy Escobosa , en 5. BOLSA DE M A D R ID . al periódico , especificando los nombres de los actores y los de Otra id ., loma de C om edio, término i d . , Virgen de la los personajes que representan. Pied *d , por Manuel Alonso , en 5. Cotización d el dia 1 1 á las tres de l…</t>
  </si>
  <si>
    <t>Paschier</t>
  </si>
  <si>
    <t>…s sos­ del mes próximo. {Le Temps .) pechas. gefes, gobernadores y demas autoridades, asi civiles como SS. MM. han llegado á Saint-Cloud á las seis y cuarto. militares y eclesiásticas, de cualquiera clase y dignidad, El doctor Paschier, llamado al cuarto de la Reina, fue in­ que guarden y hagan guardar, cumplir y ejecutar la pre­ Los hijos de Maroto han llegado á Paris recomendados mediatamente á él: y el resultado del examen que hizo de la sente ley en todas sus partes. Tendréislo entendido para su por su padre á la pro…</t>
  </si>
  <si>
    <t>Pascua</t>
  </si>
  <si>
    <t>…poco común en Inglaterra. Comenzadas oficiales y comunicada á las audiencias y juzgados de primera 4-a El falso hermafrodita. las hostilidades después de la paz de Amiens, Nelson fue nom ­ instancia, por la que se autoriza á D. Pascua! Madcz é Ibá­ 5.a Notarios falsarios. brado capitán general de todas las fuerzas marítimas inglesas ñez para extraer bajo su recibo y responsabilidad en la corte, 6.a Padre desconocido. en el Mediterráneo , y por casi dos años mantuvo constante­ y fuera de ella bajo la del abogado del coleg…</t>
  </si>
  <si>
    <t>…e por lo cual ruega al Congreso se sirva acceder á la indicación está la circular , y el Congreso encontrará bien pronto en todo te razón a lg u n a , ni me mueve ningún género de odiosidad S que acaba de referir. lo que el Sr. Pascua] ha manifestado que no tiene fu ndam ento tra t a , señores, de sostener u a principio sobre el que está fú El Sr. P R E S I D E N T E : N o está en mis facultades citar al a lg u n o , pues ha partido de supuestos que no existen. dada la base del Gobierno representativo ; y en este raoroent…</t>
  </si>
  <si>
    <t>Pascua, D. Agustín</t>
  </si>
  <si>
    <t>D. Agustín Pascua</t>
  </si>
  <si>
    <t>…mas vativo, para en vista de lo que resulte acordar lo que correspon­ ñora Doña Manuela Caballero, se ha mandado que ninguua librerías del reino. da en justicia. persona que adeude cantidades á esta por sí ó como viuda del Sr. D. Agustín Pascua , su primer esposo, las paguen y satis­ fagan á persona alguna , sin que ademas del documento justi­ ficativo de la deuda , le presente habilitación de dicho Sr. juez suscriptores á las lecciones orales de medicina ho­ meopática pasarán á la librería de la viuda de Razóla á DIR…</t>
  </si>
  <si>
    <t>Pascual</t>
  </si>
  <si>
    <t>…e la provincia de Salamanca. El Sr. M inistro de G R A C I A Y J U S T I C I A : Todo lo que honor de acercarse por mi conducto al regio trono en medio de Procediéndose á la orden del dia es aprobado sin discusión ha dicho el Sr. Pascual podría ser verdad , y sin embargo no la complacencia en que consideramos al Real ánimo de V. M ., un dictámen de la comisión de A c ta s , en que propone la a d ­ resultar n ingún cargo contra nadie. Empezó S. S. á hablar del después de tantos dias de aflicción y am argura. Dios guarde misió…</t>
  </si>
  <si>
    <t>…posiciones para poner al nivel todas las que diciéndose en el referido d ict ám en que se tenga presente en gustosos, como 9e han prestado si em p re , á todo lo que el G o ­ clames en el cobro de sus sueldos. Apoyada por el Sr. Pascual, se tiempo o p o r t u n o , consistía esa o p o rt u n id a d en que se tuviese bierno les exigiese para subvenir á las necesidades del país. Y o tomó en consideración y pasó á las secciones. presente en el examen de di cho proyecto. no repetiré lo que con tanta exactitud y opo rt uni dad…</t>
  </si>
  <si>
    <t>…de su c i r g o , en comisiou y sin de­ de votantes 104- contador y tesorero. recho ni opcion á sueldo alguno , al Sr. D. Domingo R u iz de M ucho nos prometemos del ardiente celo y extensos cono­ Para séptimo fue electo el Sr. Pascual por 7 1 , obteniendo 20 la V e g a , Senador por la provincia de Sevilla. cimientos que han manifestado los Sres. de la ju n ta directiva. el Sr. L e a l, 8 el Sr. V iadera, 2 el Sr. S an ch o , y á 1 los seño­ Se leyó un oficio del Sr . Secretario del Despacho de la G uer­ res O lózaga,…</t>
  </si>
  <si>
    <t>…e debia poner ó no a votación, y de manifestar la comisión tá en el caso de aprobar el dictamen de la comisión. cambiar de aspecto. que no era su ánimo alterarle, quedó aprobado. El Sr. C A L D E R O N C O L L A N T E S : El Sr. Pascual dice El Sr. Calderón Collantes hace algunas aclaraciones. A continuación se leyó el dictámen de la misma comisión, que no se ha hecho la reclamación en el término prevenido por El, Sr. C O R T IN A apoya el dictámen , manifestando que proponiendo que se aprobase el acta de elecciones de Mu…</t>
  </si>
  <si>
    <t>PASCUAL</t>
  </si>
  <si>
    <t>…ey no puede consentir, ni nosotros saocionar, aun por el dado en iguales razones á las ya expuestas por el Sr. La fuente. contradicciones; pero ya tal como está es menester observarle y crédito mismo del poder judicial. El Sr. P A S C U A L reprodujo las ya manifestadas por el se­ sujetarse á la ley. Respecto á los magistrados ¿ q u é sucedió? En consecuencia pues de estas ligeras observaciones, ruego ñor Q u in to , de que el deber de la comisión era sostener el dic­ Porque el Sr. 0&gt;ca no ha dicho nada. al Congreso, ó…</t>
  </si>
  <si>
    <t>…fue y tos hechos por las secciones. será eternamente el de mis afecciones. 1.a sección. Presidente el Sr. Calatrava : Yicepre ideóte el Recibid de nuevo la seguridad de mi profundo é inalterable Sr. Arguelles: Secretario el Sr. Pascual: Vicesecretario el se­ reconocimiento. ñor Sánchez Tosca no. S. M. la R e i n a , s u augusta Madre l a R e i n a G o b e rn a ­ A. T h ie r s, Diputado del distrito de Aix. 2 .a sección. Presidente el Sr. López de Pedrajas: Vicepre­ dora y la Serma. Sra. Infanta Doña María Luisa Fer­ sid…</t>
  </si>
  <si>
    <t>…, pertenecen al progreso le g a l; dice asi la princip io. S(le el E l Sr. P R E S I D E N T E : N o me considero autorizado para carta : E l Sr. B E N A Y I D E S : E l Sr. Presidente tiene mucha apro bar la indicación del Sr. Pascual ; sin embargo se pregu n­ ( S . S. la l e y ó , y en la cual se manifiesta que en una reu­ pero como he o i d o , al pedir la palabra un Sr. D ip u t a d o ^ 0"’ tará al Congreso para que este decida. nión de amigos se trató de ponerle en la candidatura de D i ­ gu nta r si era en pro ó en…</t>
  </si>
  <si>
    <t>…palabra, de de las Navas. E n mi concepto por mas que diga el Sr. Be­ El Sr. B E N A V I D E S : Pido la palabra. probaria que la cuestión suscitada por el Sr. López no es del nav ides, la cuestión no se ha extrav iad o : el Sr. Pascual habló El Sr. P R E S I D E N T E : N o puedo concederla hasta que el momento. en v ir tu d de la resolución particular del Congreso: después h a Congreso la tome en consideración. Pero dejando esto á u n lad o , y viniendo al pu nto de la hablado el Sr. López; y e n concepto del Presidente…</t>
  </si>
  <si>
    <t>…la exposición. mayores elogios; pero esta parte de gloria toca con la mayor mandante de la partida volante de aquel distrito. {Id,) Leida dicha exposición , dijo igualdad á los que tuvimos entonces el honor de ser simples El Sr. PASCUAL: N o he pedido la palabra para hacer la Milicianos nacionales. apología de la benemérita Milicia nacional de Madrid , porque Allí habia ancianos venerables que abandonaron sus casas 00 necesitan de ella sus individuos; todos los españoles la cono­ y hogares por ir con el fusil al hombro de…</t>
  </si>
  <si>
    <t>…itr a r ie d a d de los gob er­ ella dos suntuosas a ra ñ a s con 220 bujías. C u b r ía n la mesa el plato de bellísimo gusto con el fondo de Exceso de com pasió n de u n a m o n ja , an écdota. nantes. U n a crónica. L l Sr. P A S C U A L pidió la p a la b ra p a ra a p o y a r la como cristal a z o g a d o , b a ran d illa d o de u n a lin d ísim a cenefa fo rm ad a uno de sus autores. por fig uras y flores, todo perfectam ente dorado. G rup os de las Se suscribe en M a d r id en la lib re ría de C u e s t a , frente…</t>
  </si>
  <si>
    <t>…ernandez.— El Sr. Secretario C aballero leyó el acta de la sesión de a y e r . Pedro Pican.zzPedro Encina.=:Por la c iu d a d de C h i n c h i l l a , J o ­ En todos l o í paseos que SS. M M . h an dado en las cercanías El Sr. P A S C U A L m anifestó que en el a c ta , al hacer mención sé R a m ó n C a w b r o n e r o , secretario interino . del palacio R eal D ’Eu h a n sido recibidas con u n án im es a c la ­ de la proposición que a y e r tu v o el honor de p resentar, solo se maciones. Los h a bitantes de los contor…</t>
  </si>
  <si>
    <t>…que tenia entendido el Sr. Benavides si habia ó 110 obstáculo ponga á cubierto de la arbitrariedad de los gobernantes. para la admisión del Sr. Góm ez Pardo; y asi e* que la comisión serán del Sr. M in istro de Hacienda. E l Sr. P A S C U A L : Señores, poco tendré que esforzarme en no ha estado en el caso de hacer lo que hizo el otro dia. Por lo tanto y o le ruego que se explique f r a n c a m e n t e , y nos a p o y a r esta proposición. Me limitare únicamente á decir que E 1 Sr. B E N A V I D E S : E l Sr. C ortina, que…</t>
  </si>
  <si>
    <t>…: Veo que en el acta do se haca como debia hacerse, de que ayer antes de tomarse en PARTE RECIBIDO EN LA SECRETARIA DE ESTADO provincial de León, tan interesada en la suerte del país que re­ consideración la proposición del Sr. Pascual, reclamé la lectura Y DEL DESPACHO DE LA GUERRA. presenta como en la de toda la nación española , se apresura á de los artículos 58 y 59 del reglamento, lo que suplicaría á la felicitar á V. M. por las ventajas decisivas obtenidas última­ mesa tuviese á bien insertar en el acta porque quie…</t>
  </si>
  <si>
    <t>…vincias no se -hubie- Se leyeron y no fueron tomadas en consideración dos pro­ so , que indudablem ente debió causar grande impresión en •sen acogido ¿ la proclama del año 36 , cuando interrogado el posiciones, la primera del Sr. Pascual pidiendo que el Congreso sus oyentes. Palabras tan dignas de un español y de un sacer­ «Gobierno por las ‘Cortes sobre el particular había contestado se sirviese acordar que hubiese sesiones de noche con el fia de dote , adquieren m ayor valía cuando se propalan desde sitio que no se habia h…</t>
  </si>
  <si>
    <t>…á la Reina Gobernadora , y órdenes al Consejo Real y puso fin á su discurso haciendo presente su equivocación. 7.a Los doctores no catedráticos, que desde luego aspiren á Secretarios de Estado y de los Despachos de S. M. El Sr. P A S C U A L comparó el dictámen de la comisión con disfrutar de las prerogativas que seles conceden en las declara» Empiezan las convulsiones intestinas que dan principio á la el que la misma habia dado en la petición núm. d í , y dijo que ciones que anteceden, se presentarán á inscribirse en la m…</t>
  </si>
  <si>
    <t>…bra en el e x p e d ie n te ; pero si S. S. su l u g a r , y debe aprobarse. El Sr. C O R T I N A : L a com isión se ha visto al e x a m in a r las se h u b ie ra tomado el trab ajo de e x am in ar las justificaciones que El Sr. P A S C U A L : El coronel de que tra t a esa exposición actas de la p ro v in c ia de G u a d a la j a r a en la necesidad de pro­ h a n venido d e s p u é s , h a b r ía visto que h a y testigos que expresan hizo una exposición al c a p itán gen eral de G r a n a d a pidiendo el poner un d ictam…</t>
  </si>
  <si>
    <t>…sala, se completará esta eldijoart.el 56 de la ley electoral. Entonces hubo un vaticinio, pues dichos artículo y párrafo, reducida á que al final del párrafo se gradualmente con los fiscales de 8. M ., jueces de primera ins­ Sr. Pascual, hablando de que los jueces de primera ins­ diga: " y si no supiere firm ar, lo harán dos testigos á su rue­ tancia de la capital, ó abogados que el tribunal juzgue á pro­ tancia fuesen invalidados de poder ser nombrados Diputados, go” pósito. que quisiera que no lo fuesen, porque estos se…</t>
  </si>
  <si>
    <t>…ro vin cias V a s c o n g a d a s , h an d e s a p a re c id o ; no h a quedado oi leyes. prom ulgación . , asi como tam bién el año en que se ju ró la C o n s­ un solo soldado en esas provincias , donde no se podia nadie El Sr. P A S C U A L se opone al p á r r a f o porque supone q u e titución . i n t e r n a r , donde p ara c on ducir un p li e g o , para hacer pasar un el suceso de Y e r g a r a h a cam b iado la faz de las cosas p ú b lic a s, C ontinúa manifestando que con lo que consigna en su e n ­ convoy era nec…</t>
  </si>
  <si>
    <t>Pascual'</t>
  </si>
  <si>
    <t>…de im pugnar una ción que presentó ayer, y de que no habia querido se diese cutido, y fue aprobada. enmienda mas ó menos diferente, es hacer ver al Congreso que cuenta en obsequio de la brevedad. Se leyó otra proposición del Sr. Pascual', reducida á qué los el dictamen de la comisión es preferible á la enmienda. C uan­ Se leyó la enunciada proposición, relativa á que el Congre­ individuos de la comisión de Fueros sean preferidos en el uso do tenga la palabra S. S ., manifestará las excelencias y venta­ so se sirviese dete…</t>
  </si>
  <si>
    <t>Pascual, Aguiiia</t>
  </si>
  <si>
    <t>Aguiiia Pascual</t>
  </si>
  <si>
    <t>…epartió á los suscriptores á las novelas la 7.a sus principios anti-monárquicos; Guillermo Tell sacudien­ entrega de Una conspiración en tiempo de Luis x iu , y la 8.x do el yugo de la tiranía; Juana de A re , muger de la ple­ D. Aguiiia Pascual, id. id. de siete á ocho. se repartirá en la próxima semana. be , elevándose á la altura de ios tronos con su heroismo; Geografía, Carlos Moor, creando una especie de república de ladro­ nes; y en fin , Fiesco, muriendo asesinado por no seguir D. Sebastian Fábregas, id. id. de ocho á…</t>
  </si>
  <si>
    <t>Pascualaprobada</t>
  </si>
  <si>
    <t>…ontribuir á que se salve la nave del rior,Se fue abrió á la una menos cuarto, y leida el acta de la ante­ cha de esta nación magnánima , la de nuestra augusta Reina Estado, tan furiosamente combatida en las borrascas de nues­ Sr. Pascualaprobada á la después de unas ligeras observaciones del misma, á que satisfizo el Sr. Roda. Doña Isabel ir y la de su excelsa M a d re , delicias de los es­ tras discordias intestinas. A la maternal y memorable regen­ Se mandaron pasar á la comisión de Actas: pañoles cia de V. M ., auxiliad…</t>
  </si>
  <si>
    <t>Pastas, José de Espronceda.</t>
  </si>
  <si>
    <t>José de Espronceda. Pastas</t>
  </si>
  <si>
    <t>…llalta. Galletas............................................................ 15/)02 6 55 de que os sirve? D. Lucas Tengan cuenta: Vicepresidente. D. Eugenio Moreno. Papas 11,857 7 17 pues ¿cómo queréis que mande Consiliario. D. José de Espronceda. Pastas harina.................................................. 15,018 5 17 que viva un hom bre con ella, Secretarios. D. Salvador Bermudez de Castro y D. Miguel Sal 6,501 7 16 si es hacienda de m ontana, de los Santos Alvarez. Té................................................…</t>
  </si>
  <si>
    <t>Pastell, D. José Antonio</t>
  </si>
  <si>
    <t>D. José Antonio Pastell</t>
  </si>
  <si>
    <t>…an López Pelegrin. Sr. D. Francisco Posada Fernandez de Córdoba. Sr. D. José Fermín Muro. Sr. D. Juaa Alfonso Montoya. Sr. D. Alejandro Mon. Alava . Sr. D. Pedro José Pidal. Sr. D. Blas López. Gerona. Valencia. Albacete • Sr. D. José Antonio Pastell, electo. Sr. D. Juan Cano Manuel. Sr. D. Juan Pou. Sr. D. Antonio Ilom panera de Cos. Sr. D. Ramón Pretel de Cozar. Sr. D. Pedro Camps y Ros , electo. Sr. D. Román Ovejero. Sr. D. Diego Montoya. Sr. Sr. D. Bartolomé Amor , electo. Sr. D. Francisco Javier Rodríguez de Vera…</t>
  </si>
  <si>
    <t>Pastor, Claudio</t>
  </si>
  <si>
    <t>Claudio Pastor</t>
  </si>
  <si>
    <t>…reglamento. en 26. 9 Se dio cuenta, y fueron aprobados los siguientes dictámenes Gobierno político de la provincia de Cuenca.- En 24 de Otra id ., barranco de Fernandez, término de Cuevas, San de la comisión de Actas. Agosto D. Claudio Pastor, vecino de esta ciu dad, á nombre Ju an Bautista , por D . % a n Nuñez Abellan, en 26. Canarias.rrLa comisión las halla conformes, y en su vista y por encargo especial del Sr. D. Andrés Avelino de Artiaga Otra id. , sierra de G a d o r, loipa|del V icario, término del propone sea ad…</t>
  </si>
  <si>
    <t>Pastor, D. Angel</t>
  </si>
  <si>
    <t>D. Angel Pastor</t>
  </si>
  <si>
    <t>…malmente que se abstendrá de todo acto hostil , á menos que iio sea provocado. Por las cuatro hachas para el alum­ sillas. O t r a carta contiene lo que sigue: Desde mi última carta de brado de la escalera á la entrada y El Sr. D. Angel Pastor cedió 4OO sillas. ’ J.° de Mayo no ha ocurrido nada de importante; pero cada dia despedida de S. M . ..................... 48 se afirma entre nosotros la convicción de que nuestro Gobier­ Por toda la demas cera que se consu­ Nota de los números premiados en la rifa de labores y ob­…</t>
  </si>
  <si>
    <t>Pastor, Joaquín</t>
  </si>
  <si>
    <t>Joaquín Pastor</t>
  </si>
  <si>
    <t>…rgo el teniente de importa emprender los trabajos para una primera habili­ te circu lar, alteren en los anuncios los títulos de las obras tación, las proporciones que haya para alojamientos de los lanceros de la Guardia Real D. Joaquín Pastor con varios des­ dram áticas. confinados, á fiu de poder colocar cou la debida comodidad las tacamentos, auxiliado por los Nacionales de Guadam ur , Pulan De Real o rd en lo com unico á V. S. para su inteligen­ brigadas de que pueda disponerse, y hacer lo posible para y Puebla de Mon…</t>
  </si>
  <si>
    <t>Pastor, Perez</t>
  </si>
  <si>
    <t>Perez Pastor</t>
  </si>
  <si>
    <t>…rimer lugar se observa que cuando existían los fueros ta se expresa que el número de votos fueron 2405 : que estos se presentó acosado de las circunstancias , resuelto á adherirse á repartieron, 2158 al Sr. Arteta ; 1592 al Sr. Perez Pastor; 785 todo trance, como lo manifiesta esa proclama que ha publicado escritos, se veiar» las juntas, que no solo se ocupaban de nego­ a otro señor; 575 al Sr. Gallego, y 22 ai Sr. D. Diego Valle- m Bilbao, al convenio que se le proponía. Veamos ah o ra, seño­ cios pequeños , sino de asun…</t>
  </si>
  <si>
    <t>Pat, José</t>
  </si>
  <si>
    <t>José Pat</t>
  </si>
  <si>
    <t>…cilla , D. Pedro Calderón de la B a r c a , Mi g u el de Cerva nt es feliz, que de dolientes que del primer sexo se h a n presentado han salido curadas 2 1 , y de 2 6 desvalidos del se gundo no se DE LA GUERRA CIVIL Saavedra y D. José Pat ino. 4»° D, A nt on io A g u s tí n , D. Sancho D áv il a , D J u a n de h a n desgraciado mas que cuatro. DESDE OCT UBRE DE 1832. A u s tr ia , D. Alvaro de Buzan, A n t o n i o de Nebri ja y Pedro M e ­ riendes Aviles. C U A D E R N O X I. 5 ° D . J u a n de Aus tr ia , Fr. L ui s de G…</t>
  </si>
  <si>
    <t>Patencia</t>
  </si>
  <si>
    <t>…fué asesinado por los facciosos en Octu­ fuerzos posibles por vencer aquellas provincias, porque la de g u e rra , no estén sujetas á la previsión de las leyes, y que bre de l856en el monte de Villacañas al mismo tiempo que Don Patencia lo mismo que todas las de Castilla eran las mas intere­ no lo estén tampoco las circunstancias en que esos estados José Clérigo de las Mozas. Que la viuda de estedisfruta seis rea­ sadas en que se hiciese este canal: en la época que he citado se d e cretarse, y aquellas en que deban levant…</t>
  </si>
  <si>
    <t>Patri</t>
  </si>
  <si>
    <t>…ocal es m uy vasto, y nada se ha escaseado para su construc­ formar al secretario de la sección, y devolverle lo que no h u ­ biesen distribuido en los cuatro trimestres del año. nombre del Liceo su digno Presidente interino D. Patri­ tentadoal que entrar mas bien se le tomaría por el palacio de un po­ por un asilo de la pobreza. El pórtico , la escalera, La dirección de la sociedad se halla al cargo de nueve se­ cio de la Escosura, y no sin manifestar verbalmente á los las salas de recibimiento, ñoras, esto es, una para…</t>
  </si>
  <si>
    <t>Patricio</t>
  </si>
  <si>
    <t>…-Moreno, se traslada pira 20 ,7 1 2 .... ; 400. . . . . . Madrid. los sábados. de cada casa para ejecutar sonatas de cánticos sagrados ó ; 6,645. , , . 400............ Córdoba. La de principio^ genérales de literatura, por D. Patricio «detidír. prbfm áís 1 lo que*agrada mucho ;á los haiiiburgue- ípié sop róuy aficionados a la música, 19,929.... 400 .............. Madrid. de la Escosura, principiará el domingo 1Q de Marzo. - 13 ,242. . . . - 400. . . . . . . Cádiz. Las lecciones sera ti a fás siete y media de la uóCÍ…</t>
  </si>
  <si>
    <t>…as producciones de los acreditados ingenios: Sres. Bre­ San Pedro en Rorna , San Pablo en L o n dres, y quizás alguna haber concurrido el número suficiente, se acordó en ella que tón , Gil (D. Antonio), Hartzembusch, Escosura (D. Patricio), otra catedral latina moderna , ha perdido la primacía en el cris­ para terminar de una vez este tan dilatado negocio evitando Vega (D. V e n tu r a ), García G utiérrez, Príncipe &amp;c. Esta co­ tianismo, y per un caso sin gular pasó á a d q u irir una nueva los gastos consiguientes á las re…</t>
  </si>
  <si>
    <t>…eo nuestro pais es tan atrasado , que bien puede decirse que es tán en adelante las producciones de los Sres. Bretón, G il, H art- necesario renovarla en todas sus partes rompiendo abiertamente ienbusch , Gutiérrez, Escorara (D. Patricio), Vega (D. Vento­ con lo pasado. Su estudio, por otra parte, es de la mas alta la) y Príncipe, y aquellas que el público reciba con extraordi­ importancia para el jurisconsulto, que, sin conocer sus teorías nario favor. POESIAS y los hechos y principios que la sirven de base , jamas llega…</t>
  </si>
  <si>
    <t>Pau</t>
  </si>
  <si>
    <t>…Orense. blico en el teatro desde las once de la noche en adelante, al cual 5.° Sobre la de Salamanca. podrán asistir con máscara las personas que gusten , y desde el 6.° Sobre la de Castellón de la P lan a, presentada por Don Pau 50 d e Agosto» mediodía es permitido á todo el que quiera andar vestido de José C alatrav a, Diputado electo por dicha provincia. máscara por las calles. 7.° Sobre el acta de segundas elecciones de Córdoba. Hoy han llegado felizmente á esta ciudad SS. A A. R R el Y para que llegue á noticia de…</t>
  </si>
  <si>
    <t>Pautaleon</t>
  </si>
  <si>
    <t>…or el co - A lc añ ice s, de la misma dase en la provincia de Zamora : para plo de los oficiales de a r tille r ía , allanaron todos los obstáculos ¡ ronel comandante general interino de ingenieros D. J u a n N a ­ Alcañices á D. Pautaleon V i t i n i , juez de Alcnendralejo; y pa­ que con el fuego enemigo se ofrecian para subir las piezas. To­ varro. El ejército, viuo aquella noche á pernoctar á O n d a , sin ra este juzgado en la provincia de Badajoz al referido D. R e ­ do aquel dia jugaron con mucho acierto sobre el torr…</t>
  </si>
  <si>
    <t>…......... 6 22395 58100 dralejo, de la misma clase, en la provincia de Badajoz , vacan­ deberá ser persona inteligente en la construcción y uso Ciudad-Real. . . . 9 ' 27476-22 62890 te por renuncia de D. Victoriano Nadales, á D. Pautaleon V i- de las máquinas; dos porteros, uno para el gabinete , bi­ Cáceres......... .. li 70692 80820 tin i, que sirvió la judicatura de Alcaráz. Canarias. .............. blioteca y secretaría , y otrq para las cátedras,,, que sean Guadalajara. 5 131475 459004 operarios inteligentes en los…</t>
  </si>
  <si>
    <t>Pavas, Francisco</t>
  </si>
  <si>
    <t>Francisco Pavas</t>
  </si>
  <si>
    <t>…el estado de valores se com prendan con José García M artínez, D. Julián Alonso, D. José Quintana, fin los muchos heridos que en ellos se hallan. Con este m otivo, y á la distinción debida los de las rentas y ramos que se ad« D. Francisco Pavas, D. Juan Bautista de Llano, D. Juan M a ­ ademas de poder acudir al alivio de estos beneméritos militares, que nuel Muela y D. José Coll,, quienes por unanimidad declara­ de jas privaciones y fatigas que sufren , se encuentran m inistran por este m inisterio, aunque con independenci…</t>
  </si>
  <si>
    <t>Pavón</t>
  </si>
  <si>
    <t>…voz'para manifestar, que la corporación que sabido rodearse de un Gobierno leal y de fortaleza suficiente apronta á obedecer y observar cuantas órdenes y disposiciones representa , está Todo salió como me prom etí, pues el Sr. Pavón logró al­ para procurar los recursos qué necesita el valiente ejército en canzar y destruir á los facciosos, como verá Y. E. por la co­ esta cruda estación, y en los momentos que va á consumar su decrete y mande V. M .: estos son los sentimientos de nuestros pia que acompaño atentamente, y C…</t>
  </si>
  <si>
    <t>Pavón, Fraocisco González</t>
  </si>
  <si>
    <t>Fraocisco González Pavón</t>
  </si>
  <si>
    <t>…n ocurrido en el principado han muerto 29 tinguido, haciendo entre tanto la que merece el Sr. coronel tado , despreciando todo pretextp que en laspreseotes críticas facciosos, se han cogido 4 prisioneros y se han presentado á D. Fraocisco González Pavón, por haber cumplido tan á mi ciréúnstandas póndríacáí Gó1)íérno en conflicto y baria se di-* satisfacción fas órdenes que le di para el exterminio de aquella látase la páéíficibo dél |&gt;aís, y por la disolución dé los cuerpos indulto 44* , El capí tan general desde Vich f…</t>
  </si>
  <si>
    <t>Paz</t>
  </si>
  <si>
    <t>…a p ro vin c ia de M u r c i a , en que putados está c om pren d ida la de los suplentes: luego si en F a ­ movido de nuevo una cuestión que y o creia acabada y a para e ra de parecer la com isión qu e fuese a d m it id o el Sr. Paz G a r ­ lencia en vez de elegir 15, que era el número que correspondía sie m p r e , y sobre la cual me es preciso decir algo antes de p a ­ c ía como suplente. porque eran cinco las personas que fa lta b a n , se h an elegido n u e ­ sar á p e r su a d ir al Congreso jde la ju sticia del d ict…</t>
  </si>
  <si>
    <t>…Albacete, pasando en seguida á rec­ terior, quedó aprobada. de ay er, dijo que el Gobierno en esta última época ha faltado tificar varias equivocaciones los Sres. Capas y Caneja. El Sr. PR E SID E N T E concedió la palabra al Sr. Paz G ar­ á los artículos mas principales de la Constitución; que en sus El Sr. GO M EZ BECERRA expone que no puede aprobar­ cía para dirigir una interpeheioo al Gobierno. manos peligra la libertad de la patria , y que exceptuando al se el dictamen de la mayoría de la comisión, en e! cual se dice E…</t>
  </si>
  <si>
    <t>Pcrella, O. Joaquín López</t>
  </si>
  <si>
    <t>O. Joaquín López Pcrella</t>
  </si>
  <si>
    <t>…dido celebrarse el dia 25 del corriente , como BIBLIOGRAFIA. de sus conjugaciones. ^ estaba an un ciado, la junta general de acreedores al con­ En la sintaxis se analiza filosóficamente la construcción y curso formado por el Sr. O. Joaquín López Pcrella , radicado las diversas clases de oraciones, los oficios del nombre según en la auditoría de guerra de e^ta corte, con motivo de no h a ­ L ECCIONES orales de medicina homeopática pronunciadas ante mas de 500 peritos de todos los sistemas médicos por sus relaciones sin vale…</t>
  </si>
  <si>
    <t>Pcuro</t>
  </si>
  <si>
    <t>espinales de aquel siglo. El Rey D. Alonso de Portugal quiere con luz tan desalumbrado * ho n ras, dineros , favores: casar á su hijo el Príncipe D. Pcuro co&amp; Doña B iü ica , infanta y ocioso el desnudo acero? de su general, peligros; de N a v a rra , que á este efecto habia ya llegado á Coimbra; y de su honor, ocasiones. pero D. Pedro estaba ya casado secretamente con Doña Inés de Estefanía despierta, y atraviesa su pecho el puñal del marido. C…</t>
  </si>
  <si>
    <t>PE, LO</t>
  </si>
  <si>
    <t>LO PE</t>
  </si>
  <si>
    <t>…que se anulasen, sino á que con mas cono­ El dia ha estado hermosísimo, siendo innumerable el gen­ cimiento de la comisión un dictamen mas arreglado. tío que se agolpaba á las calles por donde debia pasar la Real Idem 2. El Sr. LO PE Z (D. Joaquin): N o creo, señores, que tendré comitiva. El regreso de S. M. á palacio se ha verificado con las mis­ El bravo general en gefe ha impuesto al orgulloso Cabrera, que hacer grandes esfuerzos para convencer al Congreso de la mas formalidades que á su salida. (Morning Chronicle.) y…</t>
  </si>
  <si>
    <t>Pe, M.-irtin</t>
  </si>
  <si>
    <t>M.-irtin Pe</t>
  </si>
  <si>
    <t>…en d i fe r e n te s sesiones. causas que h a y a n m otivado tan bochornosa a f re n ta . F u l a n o de tal, que escribe en el periódico... es un pedan­ L a comisión entiende que debe pasar esta exposición al se­ 'fuñí. 17. D. M.-irtin Pe l a e z, eri exposición de 51 de Agos- ñor M in is tr o de la Gobernación. teo , un purista insufrible, un hombre que no sabe ha­ i l t i mo , _ se queja del mal régimen que se observa en Sevi l l a blar mas que de Calderón y de Cervantes.” La historia la colocación de oficiales y sarg…</t>
  </si>
  <si>
    <t>Pearson</t>
  </si>
  <si>
    <t>…fia dejado entre los turcos gratos recuerdos ; y si no gozó de la larmente á que toe dijesen cómo se han mauejado para destruir las posesión de una hermosa Princesa adorada de su p ad re, por lo hom bres, mandada por el capitán Pearson, tuvo un com­ barreras que la etiqueta y las preocupaciones tienen levantadas menos se vió libre de las terribles pruebas que le a g u ard ab a» bate en Setiembre de 1779 con el Bon Homme Richard, contra la introducción de los extrangeros en el serrallo y su li­ durante su misión. americ…</t>
  </si>
  <si>
    <t>Pebrer</t>
  </si>
  <si>
    <t>…Reyes y por los que mandan, ofrecen de Carretas, frente á correos, tienda del tasador de joyas Gaseo. brería d é la viuda de Razola. Sigue abierta la suscripción. un nuevo ínteres. Impugnación á las cinco proposiciones del Sr. Pebrer so­ bre los grandes males que causa la ley de aranceles á la SE da enarriendoóenventa real una botica montada á la nación en general, á la Cataluña en particular y á las mismas antigua, bien provista de medicamentos y enseres para fabricas catalanas, por D. Manuel María Gutierre*, un tomo…</t>
  </si>
  <si>
    <t>PECH</t>
  </si>
  <si>
    <t>…enerla hacer la historia de este derecho ó contribución pagado por los literalmente por la rnesa. labiéndome encontrado en una interpelación que no conocía, grandes y títulos, dijo que interpelaba al Sr. Ministro para que El Sr. PECH E: Yo no he tratado de inculpar á la mesa en f habiendo visto que el Sr. Ministro de Hacienda actual para le dijese qué razón hay para que unos títulos de Castilla y gran­ lo mas mínimo. :ontestar á ella , ha venido á fundarse en dos ó tres resolucio- des de España satisfagan al erario publico…</t>
  </si>
  <si>
    <t>Pechell</t>
  </si>
  <si>
    <t>…ranquilidad en la cap ital, cuya población está C r o k e ha dirigido al cónsul de Veracruz. hábido demasiada* sangre vertida. Diez y seis individuos ban mucho mas tranquila de !o que debería esperarse según los es­ E l capitán Pechell: ¿Ha regresado el paquebote VExpress! sufrido la pena de muerte , y según'm uestras no se cree que fuerzos que se hacen para agitarla. (Id.) Deseo saber esto , poique la respuesta que diere el honorable ?sto sea suficiente. Los despachos oficiales justifican demasiado secretario cjel alm i…</t>
  </si>
  <si>
    <t>…e comercio. H am burgo 2 8 d e M ayo. hiero de todo corazón á la proposición de M r. Fletwood , y Lord Palmerston a m d e en respuesta á una interpelación del celebraría infinito la reforma que pide, asi como cualquiera capitán Pechell que el cónsul de Buenos Aires ha recibido in s­ otra favorable al pais. trucciones formales para que se ocupe m uy particularmente en. Las ciudades anseáticas sabrán con infinito placer que Res­ M r. IVankieyi Yo no dudo que la Cám ara p articipará de la solución de la cuestión de indemnid…</t>
  </si>
  <si>
    <t>Ped</t>
  </si>
  <si>
    <t>…ito­ sabe tampoco si este tratado necesitará ser aprobado por los duque Federico de Popleí. res dramáticos con sus consejos y con su bolsillo. L a academia Congresos eu los Estados constitucionales: en el ínterin ,«e dice Í.° D. Ped ro , el caballero atoado, y su hija Amarilis. i m p e r ia l, en cuyo seno se le habia recibido solemnemente como que aun falta el consentimiento de los Cobiérncts de Badén y 4»° El prisionero ó el Príncipe Pickelhacriu ( personaje có­ á uno de sus in d iv id u o s, le comisionó para que escrib…</t>
  </si>
  <si>
    <t>Pedio</t>
  </si>
  <si>
    <t>…de se­ Gobernadora , y sobre todo á su augusta Hija Doña Isabel ir ^e dio cuenta de haber sido destinado á la tercera sección ñores Diputados con otras varias. el dia que se abrieron las Cortes , y toe llené de júbilo al verla D. Pedio M iranda, Diputado por Madrid. Ha dicho también el Sr. González que el Gobierno, separán­ alzada y robusta, porque en mis principios entra que en lle­ El Sr. P R E S ID E N T E : El Sr. conde de las Navas tiene la dose de un rumbo que había adoptado habia vuelto á segregar gando el caso de el…</t>
  </si>
  <si>
    <t>Pedrajas, López</t>
  </si>
  <si>
    <t>López Pedrajas</t>
  </si>
  <si>
    <t>…íctimas; in­ do por su Presidente de sueldos de viudas y retirados, había nom bra­ proporcionara. ¡Loor eterno a Y. M.I ¡Loor eterno á los dig­ cendiaron los pueblos; talaron los campos, y cubrieron el rio al Sr. Saudoval. al Sr. López Pedrajas , y por su Secreta­ nos consejeros de la corona! jLoor y corona inmarcesible de suelo español de destrucción y m uerte, ¿que' mayor bien que El Congreso quedó enterado de una comunicación del señor laurel y olivo al ilustre guerrero y al leal y valiente ejer­ la paz pudiera dispensars…</t>
  </si>
  <si>
    <t>Pedraza, D. Manuel Gómez</t>
  </si>
  <si>
    <t>D. Manuel Gómez Pedraza</t>
  </si>
  <si>
    <t>…ha comunicado al los Sres. m inistros, ha nombrado para el ministerio de Relacio­ formarse con ellos. M i elección ha recaído sobre personas que re­ de la Gran Bretaña lo acordado para anular y abrogar la con­ nes al Excmo. Sr. D. Manuel Gómez Pedraza , y para el de lo presentan y pertenecen á todas las clases y á todas las profesio­ vención de 6 de Setiembre de 1827 , por la cual la compañía Interior al Excmo. Sr. D. Juan Rodríguez Puebla, quienes aca­ nes, y asi confío que en todas las cuestiones que se sometan á de la…</t>
  </si>
  <si>
    <t>Pedre, Juan García</t>
  </si>
  <si>
    <t>Juan García Pedre</t>
  </si>
  <si>
    <t>…ares, en 14» Habiéndose denunciado ante e! señor alcalde constitucional Para el segundo remate de la casa sita en esta corte, calle Otra id . , sierra de Gador , hoyos de Mancha , término del D. Manuel Maestre y S. Román, por D. Juan García Pedre­ del A guila , núm. 22 , manzana 115 , que tiene de sitio 4925 Presidio, Sta. R ita , por D. Juan Antonio Montero, en 14* ro, alcaide de la cárcel Nacional de corte, en unión de Don pies superficiales, tasada con fecha 2 de Junio del año último Otra id ., sierra de Gador, loma de…</t>
  </si>
  <si>
    <t>Pedro</t>
  </si>
  <si>
    <t>…ia ! Al anochecer hemos visto form ar ál batálfon dé M allor­ Ademas, después de hacer todos los sacrificios hasta ahora ca, y tom ar la dirección del castillo, en donde ha entrado , y Despedida que hace el m ariscal de compo D. Pedro A znar por la causa de los territo rio s, la Bélgica debe pensar hoy en después de mas de dos horas ha descendido parte de é l, condu­ al tiempo de dejar el manda de su regimiento. la conservación de su independencia y prosperidad; y , es pre­ ciendo presos á más de 100 individuos del provinc…</t>
  </si>
  <si>
    <t>…s de peras, cuatro de melocotones y cinco de uvas; del con­ El Sr. conde de las N A V A S anuncia al Sr. Ministro de cular. Se dice que el duque de Orleans se ha visto en la necesi­ de de Roto va, D. Franco de Sena Chocometi; D. Pedro M o­ M arina una interpelación acerca de la inversión de ciertos fon­ dad de que inmediatamente se abandonen muchos pequeños rales, D. Vicente Llopis, canónigo de e¿ta metropolitana , con­ dos de su ramo. r territorios en que los dos tercios de nuestros soldados se halla­ des de Parcent, de…</t>
  </si>
  <si>
    <t>…Gobierno político de la provincia de Santander.rHlegistro ción esta exposición , debiendo tenerse presente en tiempo opor­ sidio , S. Juan de Dios , por Juan González , en 17. de una mina de carbón de piedra , descubierta por D. Pedro tuno. Otra id. en sierra G ador, loma del A g u a , término Berja, López Oliveros, vecino de esta c iu d ad , en el barrio de P ro n i- Yegüeros ó Lealtad , por Joáquin H errera, en 2Q, 11o, término de la misma. Núrn. 40. D. Matías Bonilla y Contreras, vecino de Alcau- Otra id. en sierra L…</t>
  </si>
  <si>
    <t>…ones para examinar los pro­ Mostrósenos también las obras de dibujo natural, que bajo cirse que arrojados de su madriguera de Chelva, seles han frus­ yectos de ley que se les han presentado ayer: la reunión ha la inspección de D. Pedro A costa han sido hechas por las niñas trado enteramente todos sus proyectos sobre el reino de Valen­ sido muy numerosa, y no ha terminado sus trabajos prepara­ que tiene á su cargo, y las de bordado y costura, que lo están cia , y faltado el objeto de la expedición á este pais. Porque torios,…</t>
  </si>
  <si>
    <t>…es en los veinte prim eros lizado con las formalidades que la misma previene , tocó á los nes del norte rae hace presente la suma escasez de trapos é hilas dias del inm ediato siguiente. sugetos siguientes: D. Alberto Tolosa , D. Pedro V illar, Don que hay en aquellos hospitales para atender á la curación de Q ue en el estado de valores se com prendan con José García M artínez, D. Julián Alonso, D. José Quintana, fin los muchos heridos que en ellos se hallan. Con este m otivo, y á la distinción debida los de las rentas y r…</t>
  </si>
  <si>
    <t>…osquejado ya el carácter fiero é impetuoso del M onarca, y seáis que haya una mudanza, venid cuantos deseáis convertir á cada uno de los individuos del ministerio en particular en despertado el Ínteres por el héroe del drama. D. Pedro sabe con la casa de la pobreza en una casa opulenta. Venid todos aque­ consideración á su distinguida moralidad. sentimiento que las diligencias mas exquisitas de su privado llos a quienes la humanidad enseña á hacer con los demas lo Mr. Dessauret, ó mas bien la comisión en cuyo nombre ha- h…</t>
  </si>
  <si>
    <t>…la nobleza de sentimientos de las de Samuel L ev í, y el espectador sabe las ejecuciones sangrien­ Madre vuestra me llamabais, antiguas damas castellanas han concurrido á animar la musa tas ordenadas por el Rey. Samuel dice á D. Pedro que puede Y yo os llamaba mi encanto. del poeta en la pintura heroica de D. Ju3n de M anuel; pero el concitar á la venganza los parciales de Doña María de Padilla ¿ N o os acordáis? yo me acuerdo, autor del drama no ha querido que el espectador gozase m u ­ contra los héroes de Doña Blanca , y…</t>
  </si>
  <si>
    <t>…s, habiendo obtenido el Sr. L u z u ria g a 2 1 , y los se­ Eraña , A rib au y Cobo de la T o r r e , vocales.zzLos Sres. Pastor participa que S. M. ha tenido á bien nombrar vocal de la j u n ­ ñores Montoya , V iadera y Gil (D. Pedro) á 1 , siendo el total y M a d o z , secretarios. F alta nombrar los dos vicesecretarios, ta consultiva del ministerio de su c i r g o , en comisiou y sin de­ de votantes 104- contador y tesorero. recho ni opcion á sueldo alguno , al Sr. D. Domingo R u iz de M ucho nos prometemos del ardient…</t>
  </si>
  <si>
    <t>…ento en el Congreso, pues de ello hay ejemplares tan­ puzano, Perez de R ivas, Alcalá Z am ora, López (D. Joaquín), viese lo que fuera conveniente. to en la legislatura anterior corno en la preseote. Citó al efecto Velo, Gil (D. Pedro). Ayllon , Paz G arcía, Starico, MiranéáJ' Repito que el negocio es complicado 5en él existen una por­ las actas de Badajoz, en cuya junta de escrutinio general se Pascual, Bresca, La Calle, Serrano, Iñigo, Atejo, Alcon, L a- ción de reclamaciones de los pueblos, y por consiguiente el anular…</t>
  </si>
  <si>
    <t>…gastaron en el famoso E scorial, que al Cotización d e l dia 2 á la s tres d e la tarde dicos de la quiebra y testam entaría del Excmo. Sr. duque que fin no es mas que un convento en un d e sie rto , ó los 2 4 fue de O íu aa , D. Pedro A lcán tara Tellez G irón, con el citado EFECTOS PÚBLICOS. m illon es, según B ourgoing, empleados en los jardines San D. Francisco y los síndicos del concurso de D. M anuel M ore­ Ildefonso ó la G ra n ja , para c o n ve rtir montes áridos en da sobre pago de réditos de un censo que se dice…</t>
  </si>
  <si>
    <t>…mbrado Director del gobierno; y la pa. Fernando dejó un hermano que se habia rebelado contra él, su navegación, se redobló en él la esperanza de conseguir su enfermedad de la Reina, habiendo terminado en una completa y contra D. Pedro se rebeló otro hermano suyo. D. Miguel grande intento, este era la riqueza comercial de las Indias, por demencia, fue Juan declarado regente con pleno poder regal. usurpó el trono de la jóven Reina de Portugal hasta que fue lo que dió el nombre de cabo de Buena Esperanza al entonces La estre…</t>
  </si>
  <si>
    <t>…n, y tarda mucho menos tiempo horas silenciosas de la noche.... de la noche!... Cuántos recuer­ que el hombre en pasar de una primera ofensa de poca g rav e ­ dos dolorosos, cuántas ideas tristes y melancólicas deben asaltar D. Pedro G il, por s í , y por los demas interesados en la el ánim o de estas mugeres! ¡A lg u n a vez quizá se mezclará al­ dad á las maldades mas atroces. empresa que tuvo d su c 3 rgo la renta de salinas en el princi­ Razones análogas á las que he manifestado han presidido á gún recuerdo agradab l…</t>
  </si>
  <si>
    <t>…anuncia por últim o con la mas fiera m alig n id ad : N o es mas dichoso que ella , D» Enrique continúa recordándole la muerte de su madre N o se envanezca en su estrella y de su hermano y el rapto de su esposa. ¿Q u é opone D. Pedro M uy pronto su sien Porque mas que todas brilla. á tanta grandeza? La crueldad y la barbarie. No puede sufrir Tendrá una corona J M i trono , mi régia s illa , tanta elevación de sentimientos; ordena que conduzcan al con­ De triste ciprés. E s m iseria, es humo v an o , de á la mas negra pr…</t>
  </si>
  <si>
    <t>…, calle de Carretas , y m a n , D. Enrique y Doña Ju an a de M anuel su esposa, y sobre murieron en la guerra de la independencia , y en la gloriosa »n la redacción, calle del Príncipe, núm. 15 , cuarto entresue­ todo el de D. Pedro, son creaciones, y creaciones admirables. La lucha que sostenemos por los legítimos derechos de Doña Isa­ lo , adonde se d ir ig irá n las reclamaciones y las c a r t a s , francas, interesante Andrómaca de Hacine no ofrece analogía ni seme­ bel n y las libertades de la n a c ió n , h a cabid…</t>
  </si>
  <si>
    <t>…a comisión de Actas la reclamación ha de enseñar con ella la crítica?.... No; porque nada hecha por varios electores de la provincia de Vizcaya, y ea tiene de inconveniente ni en su trama ni en sus caracteres. particular por D. Pedro L em ouria, vecino de Bilbao, sobre la MADRID 1 3 DE S E T IE M B R E . Limítase á ser un tegido de inverosimilitudes, sin plan nulidad de las elecciones. fijo, sin objeto. ¿Entonces deberá mirarla la crítica con Igual determinación se adoptó con otra reclamación de los indulgencia?..... No:…</t>
  </si>
  <si>
    <t>…de sitio, y se halla retasada en 43,644 iio, A i iza y Estepa, que loes de la villa y corte de Madrid, ha timientos h a n sido generales en todos los habitantes de la capi­ reales por los arquitectos D. Bartolo Tegeda D ie z , D. Pedro registrado una mina de hierro en término de Valdecabras, y tal que se daban con abrazos tan fausta nueva. Blas de Uranga y D. José María G u a lla rt, lo que se anuncia sitio denominado dehesa Cotillas, al saliente de esta, en el pa­ Hasta la una de la noche ha estado iluminada la población, a…</t>
  </si>
  <si>
    <t>…expusieron lo que tuvieron por con v e- botica de Olmedilla , calle de Carretas, núm. 22 , y en las prin­ IY /IE LCH O R Perfecto de Pascual, escribano por S. M . , n ota - ni ute el promotor fiscal, el defensor del procesado D. Pedro cipales librerías del reino, por entregas de 52 páginas, á 2 reales rio de R einos, y vecino de la villa de la Casa de Uceda. S jÍz Castellanos, y este por sí propio; y habiendo hecho el mis­ vellón para M adrid, y á 2| para las provincias, remitidas por D o y fe : Que eu virtud de providenc…</t>
  </si>
  <si>
    <t>…la columna de Refojos, al mando del capitán gradua­ ó tienen relación al estado general del cuerpo , ó solamente á tial, las personas magnetizadas son incapaces de sentimientos do I). Alejandro Marquina , dio muerte al llamado D. Pedro algunas actividades particulares de la organización. Los fenó­ im puros, y hasta los mas viciosos experimentan los sentimien­ de Cotovad , y á un tal Perez, de la parroquia de Deba, captu­ menos de la primera clase , que son los mas propios del mag­ tos de virtud. rando sus armas y municiones.…</t>
  </si>
  <si>
    <t>…ado Real decreto de yado por los de Búrgos y 4*° úe ligeros, á cuya cabeza mar­ 15 de Maizo y la instrucción de 12 de Agosto , el número to- Existencia para í.° de M a rz o .. . . chaban dando el mejor ejemplo sus comandantes D. Pedro A l­ 2 3 - 7 7 1 ,0 9 4 -1 6 tal de las inscripciones destinadas á la quema y el de paquetes cántara Rute y D. Ramón Casadevall , fue tomado y puesto que las contenían. La cual se halla en fuga aquel con grande p érd id a , el que fue cargado en ella Concluida la lectura, y colocados estos…</t>
  </si>
  <si>
    <t>…ie r n o , á quen asi á los con tratistas que tienen á su cargo el s u m in is ­ todos los que se crean con derecho á los bienes quedados por tro de víveres para ios ejércitos , como los que en adelanti fa lle cim ien to de D. Pedro Y a ñ ez de S an ta C r u z , vecino q u e B U E N A - V I S T A . A las ocho y m edia d é l a noche. D e s­ tomen este im p o rtan tís im o ram o del s e rv ic io , sean re lig io s a ­ fue de esta corte , a fin de que se presenten ante el Sr. juez de pués de un a b rillan te sin fo n ía se…</t>
  </si>
  <si>
    <t>…re estas cuestiones, de Rivas , Olózaga , Calero, Alcalá Zamora , V e l o , Saenz, medios y fuerza para atropellarlos; porque este es un hecho. y opinioQ igual á la de mis amigos contemporáneos en aquella Paz G a rc ía, G i l (D. Pedro), A y l l o n , V a rg a s , Fuente A n ­ ¿ Y qué es la Constitución? La Constitución es también &gt; se­ funesta época en que se quisieron destruir esos venerables fue­ drés, Starico, M uño z, Serrano, Pinto , Polo y Monge , I ñ i ­ ñores, un sistema de administración popular nacido en tiem­ ros…</t>
  </si>
  <si>
    <t>…denes vigen­ compuesta dé su vicepresidente el Excmo. Sr. D. A n tonio B a ­ v i r t u d de denuncia hecha por el promotor fiieal del m ism o , tes sobre el particular. rata , consejero de E s t a d o , y de los Sres. vocales D. Pedro S ain z se ha p rincipiado causa contra D. Antonio L u is B o a n , autor Y. M. en su vista se dignará acordar lo que fuere de de B arand a y D , A le jan dro López, in d iv id u o s de la d i p u t a ­ responsable del folleto titulado Contestación al papel que a ca­ su Real agrado. ción p r…</t>
  </si>
  <si>
    <t>…ón pro­ posee las dos cartas autógrafas. canina que cada año se renueva. El mas célebre de los ducen una crisis, un estado violento, un ejercicio penoso, Dos pintores de marinas, ambos célebres en la escue­ nietos del perro de D. Pedro pertenecia á Mr. Julio Ja­ una especie de capricho de niño. Este estado tiene sus la francesa, se distinguen por dos manías enteramente n in , y se llamaba J. J ., nombre que se escribe y se pro­ síntomas: el desasosiego, la agitación, la falta de sueño, la opuestas. Mr. Isabey, que con su tra…</t>
  </si>
  <si>
    <t>…Inés, y la sigue poco desdeñado amante de Estefanía. La infiel sirviente declara su ¿ qué heroico b río , maldad y se arroja por una veatana al Tajo. Este incidente es qué osado disponer en graves casos, después al sepulcro. D. Pedro veoga cruelmente su difunta es­ tomado del Ariosto. qué rostro sin mudanza en los fracasos, posa en los desapiadados estadistas, y la corona después de muer­ Estefanía muere con el consuelo de ver reconocida su ino­ qué desden de la muerte ta. Se ve pues que nuestro poeta encerró en un solo…</t>
  </si>
  <si>
    <t>…, de los capitanes D. Fran­ da la proposiciónDespués por una de una corta discusión , fue desecha- 1 mayoría de 85 votos contra 50. A I i n g l e s e s estiman todavía á su M illón, los italianos á su cisco Javier Naneti y D. Pedro M arin; del capitán de caba­ las nueve y media se procedió á la votación nominal acerca de Tasso. Y si los franceses no aprecian la Henriada de Vol- llería Guias de Alava D. Pedro Guerra Santoyo, y del alférez la mocion de Mr. French, relativa á presentar un mensaje á taire, no es culpa de el…</t>
  </si>
  <si>
    <t>…la viuda de Razóla á recoger el porque con toda la m ano primer extracto de la de este dia á Doña María Isabel Mora­ cuaderno 6.° y último del tomo 1 .° de dicha obra. Continúa no es templa lio , es desabrillo,” les, hija de D. Pedro, capitau de la Milicia nacional de la la suscripción. Membrilla, muerto en el campo del honor. Y diciéndole Sirena «Solia yo ser BOLETIN DE CO M ER CIO . TEATROS. dueño vuestro. PRINCIPE. A las ocho de la noche. Se volverá á poner BOLSA D E M A D RID . en escena el drama original en cinco…</t>
  </si>
  <si>
    <t>…M ay o de canos, á imitación de los europeos, se empeñan en cultiv er la este año se lee el artículo sigu ie n te, que no puede menos de remolacha y fabricar el azúcar que necesitan para su consumo, qu ín Valdés Torrontegui , D. Pedro G utié rre z, D. M an uel llamar la. atención de nuestros agricultores, y promover serias y sabemos por experiencia que este pueblo emprendedor no re­ Hernández y D. Joa quín Silveira. reílexiones acerca del porvenir que nos espera. Dice asi: Se abrió el examen sum an d o , restando, multipl…</t>
  </si>
  <si>
    <t>…ubes de eferves­ Una expresión ha usado el Sr. Ministro de la Guerra , im ­ lagro, Montesino, Perez de R ivas, Egafia, Bmiavidos, Gil cencia que nos amenazaban. propia de toda persona versada en las prácticas parlamentarias; (D. Pedro), Sancho, Chacón, Puga, C. Collantes, Cuetos, El G obierno vino á pedir á las Cortes una contribución esa palabra turco , que yo no he usado , y que S. S. crea que ha C ortázar, Zum alacarregui, U hagon, Lacoste, F ajard o , C u­ de hombres y una requisición de caballos; los pueblos se pres­…</t>
  </si>
  <si>
    <t>…batirle. tida del Sillero: no puedo menos, Excmo. S r ., que recomen­ á quien se esperaba el jueves en Bruselas, retardará la partida Entra en seguida á examinar la facultad que la comisión dar á V . E. al teniente de navio D. Pedro C arv ajal, aseguran­ de 3» M . hasta fines de la semana. concede al consejo de conocer de los negocios contcncioso-ad- do á Y . E. me hallo m uy satisfecho del buen comportamiento m inistrativos, y la de decidir las competencias entre la auto­ del de la misma clase D. Blas Quesada , y de…</t>
  </si>
  <si>
    <t>…na plaza de ministró de la audiencia de Cáceres, vacante pGr vencer las dificultades que debían presentarse en los primeros Que la deserción ha consistido en el poco tacto que ha h a­ fallecimiento de D. José M aría Sancho , á D. Pedro A yuso y momentos, y reanimar el espíritu de los confinados, que se bido para la elección de cabos de vara y capataces nombrados L a r r a g o i t i , magistrado electo de la de C a n a r ia s , con la a n ti­ hallaba m u y abatido por el recuerdo de las privaciones y mal para su custodia, ace…</t>
  </si>
  <si>
    <t>…a por un fuego durante r.u alboroto en el reinado de Jus- P R O V ID E N C IA S J U D I C I A L E S . GALERÍA DRAMATICA. tmiano. Sosegado el tu m u lto , este piadoso Emperador resolvió A instancia del síndico del concurso de D. Pedro M ig u e l CO LE C C IO N DE L A S M E J O R E S O B R A S reedificar una basílica que excediese en grandeza á la anterior. G u ic h o t, D. Ignacio España y compañía , se citó y em­ A ntem io, arquitecto del im p e rio , formó el p la n , y su geuio plazó nominalmente por el Diario y Gaceta d…</t>
  </si>
  <si>
    <t>…deas y al gusto Cam puzano, Estrada, Alonso ( D. Juan Bautista) Pascual, término de L au ja r, Tres M arías, por Diego de C am pos, en 24 . del público de aquella época. Tan insustancial era entonces Aillon , Temprado, Gil ( D. Pedro) Feliu, Sánchez de la Otra id., barraoco de los C hirrinchines, nuestra Señora de como ahora; de tan poca importancia cual hoy; una circuns­ F uente, Rodríguez Leal , Silva , Lujan , Calatrava (D . R a­ los Remedios, por D. Juan Antonio Nuñez Abellan, en 26. tancia hay que nos la hace conside…</t>
  </si>
  <si>
    <t>…e in a G o b e rn a ­ los arquitectos D. Bartolomé Tejada Diez y D. Pedro Blas de é inconciliables, representante de antecedentes, de principios, d o r a y la Serma. Sra. Infanta Doña María Luisa Fernan­ Uranga: otra en la de D. Pedro, que hace esquina y vuelve á de esperanzas contrarias ; conducida por gefes que habian ex­ la de San Isidro, señalada por la primera con el núm. 11 nue­ tendido por toda la Francia el rumor de sus debates, no era, da , continúan en esta corte sin novedad en su importante vo* y por la segunda…</t>
  </si>
  <si>
    <t>…s restablecido, y entre tanto remitirá los documentos (D. José), conde de las N a v a s , Mendez Y i g o , L u z u r ia g a , Gil gun a provincia los que tuviesen jurisdicción en ellas. Pasó la que acreditan su aptitud legal. (D. Pedro), y A y a la . adición á la comisión, y después se pusieron algunas palabras Asimismo lo quedó de otro oficio del Sr. Secretario del Tercera sección.—Sres. L u j a n , M ontesino, López, Sánchez que pueden indicar que pueden ser adm itidos; lo cierto es que Despacho de la Gobernación manifest…</t>
  </si>
  <si>
    <t>…ciones, es podrán consultar mas fácilmente por el que desee registrar un Por providencia del Sr. intendente de Rentas de esta pro­ punto y sus respectivos extractos, para lo cual con la duodéci - vincia , se cita y emplaza á D. Pedro A ngelis y V arg as, para ma entrega se repartirá la portada é ín d ice, que han de colo­ que en el término preciso de nueve dias se presente en la escri­ carse á la cabeza de cada volúmen. En el primer número del banía principal de A m ortización, calle del Lobo , núm, 8 , pi­ LES AVENTURES a…</t>
  </si>
  <si>
    <t>…pro­ mente se rompió al trasponerlo de un lugar á otro. quedasen desmentidas; y nadie ignora ya que en las cien­ piedad y limpieza con que antes de todo escribieron á presen­ La de dibujo natural, que desempeña el licenciado D. Pedro cias físico-matemáticas se prescinde en teoría de muchos cia nuestra los de la citada última clase algunas cartas sobre de Acosta , también ofreció á la expectación de los concurren­ elementos, imposibles de apreciar por solas las combina­ distintos temas que se les dio en el acto por nosotr…</t>
  </si>
  <si>
    <t>…y galan materias de . cionada d rá conseguirse de ella. Las personas mas instruidas dicen que por ser limítrofe á la capital Sevilla , Carmona y otros un armenio, padre de una numerosa familia , que hace mas de amoríos, oye á D. Pedro hablar de su infiel Leonor, una reteras de Andalucía;y las puntos comerciales, en que la atraviesan las principales car­ 20 años desempeña sus negocios sin recibir salario alguno , esdama que idolatró en Castilla, ya le contesta, ya le inter­ vaderos que la circunvalanabundantes y bueoas fuen…</t>
  </si>
  <si>
    <t>…e el cabecilla Felipe Muñoz se ha presentado al coman­ Boese no ha sido arrestado; pero por uua orden del ministerio de los asuntos generales. Por otra parte las noticia? deben lle­ dante de la columna de la izquierda del Tajo D. Pedro R odrí­ se le prohíbe viajar por la provincia de Brema. No puede dar gar mas pronto a vuestro conocimiento y con mas certeza por guez Cármenes. un paso sin que vaya escoltado por un gendarme. la via de Alejandiía, que las que yo os diera por la dei Cairo. {Corresponsal de Hamburgo.) {Debats.)…</t>
  </si>
  <si>
    <t>…jocosa en dos a c to s, m úsica del despacho de dicha Imprenta. maestro R ic c i, titu lad a : 4 R T E DE H A B L A R BIEN F R A N C E S , ó G ram ática com - Comprende varios decretos, órdenes y circulares de! ^ pleta , por D. Pedro N icolás C hantreau. Segunda edición U N »A V V E N T U R A DI S C A R A M U C C IA . Gobierno y de las direcciones generales. hecha con presencia de cuaptas se han publicado hasta el d ia , dedicada á la ju n ta de com ercio, y revisada por uno de sus En ella tendrá el honor de presentarse p…</t>
  </si>
  <si>
    <t>…es cter.tivAnente decidió que s í , y que pasase a las secciones. no está v icia d a la elección siempre que los electores h a y a n dado la que ha de entender en la resolución de todas las dudas y r e ­ Se leyó un oficio de D. Pedro M i r a n d a , suplente por M a ­ su, voto con entera libertad. Está probado que h a y una r e p re ­ clamaciones que o c u r r a n , sin que por esto sus resoluciones «*ar» d rid , en que pedia su adm isión en el Congreso , m ediante á sentación de la m a y o ría de ese d istrito electoral…</t>
  </si>
  <si>
    <t>…á la pre­ tir por Se unos dias á las sesiones. leyó una proposición de los Sres. Vila , Cuetos, G il petidos golpes de tantos infortunios y desastres. Se ha salva­ visión de vuestro G obierno, y al valor y prudencia del in­ (D. Pedro), Mateu , M adoz, Fajardo , Sardá y otros, reduci­ do la patria y con ella sus hijos, porque sus hijos eran los victo general del ejercito del Norte. La diputación de O vie­ da á que se reclamase del Gobierno el expediente sobre conce­ que se despedazaban y desgarraban su seno. Los españoles d…</t>
  </si>
  <si>
    <t>…n o Ga r cí a S a r a b i a , D. M a n u e l A l - hasta esta edición. A s i presenta esta obra el c u a d ro completo de las g u e rra s qu e Según se nos ha asegurado parece que el dí a 11 el general varez de L i n e r a y D. Pedro G a rrid o , quienes declararon h aber l ug a r á la form ació n de causa por seis votos c ontra tres. tu v iero n los españoles para d o m in a r el nuevo hem isferio , y los Ay e r v e , despees de haber de rrui do el fuerte y todas las obras datos mas preciosos acerca de la situ ac ió n…</t>
  </si>
  <si>
    <t>…rinci­ D. F rancisco López Nuñez.................................................................. 60 pales librerías. D. M atías A n g u lo .................................................................. . ............ 60 D. Pedro M u ro ....................................................................................... 20 BOLSA DE M A D R ID . AVENTURAS L a Sr a. marquesa de Cela....................................................... . . . . 6 0 I d . n. p ..........................................................…</t>
  </si>
  <si>
    <t>…r: Que finalizando en fio de Junio de este año la actual ó nuel Segura, D. Francisco Bargas Perez, D. Benito Lagarza, contrata con D. Pedro Martínez Crespo, por la cual se halla á D. Manuel Bartolomé M iranda, D. Manuel Lindo, D. Pedro su cargo la subsistencia, asistencia y curación de los enfermos LOS ASESINOS D E FL O R E N C IA . Martínez Crespo, D. Pedro O rd u ñ a, D. Pedro Yarte. Y para del ejército que ocurren en el hospital militar de esta plaza, su publicación en la Gaceta de M adrid, según previene la ley, he dispu…</t>
  </si>
  <si>
    <t>…A este fin sé ha entregado ayer y se entrega hoy con el bi­ Ademas del primer cuaderno han salido ya el segundo y llete de cada localidad de una sola persona otro que contendrá Drama en cinco actos, traducido del francés por D. Pedro tercero, correspondientes al mes de J u lio , que pueden recoger un número de opcion al sorteo, el cual conservarán los concur­ Baranda de Carrion , representado con general aplauso en el los señores suscriptores abonando 4 r s . , importe del cuarto. rentes al entregar el billete de entrada.…</t>
  </si>
  <si>
    <t>…cisco Calzada.“ Santiago Herrera. En la Nueva Granada el presidente es el general Márquez; los colonos y los indígenas, han sido robadas mas de 209. en Venezuela el general Paez; en el Ecuador el general Flores; En el Brasil D. Pedro n Emperador, durante cuya minoría el Señora: Los que suscriben, vecinos de la capital de Orense, imperio está administrado por un regente. En Buenos Aires es Los tiradores de nuevo modelo de Vincennes han recibido y que pertenecen en los distintos ramos de propiedad á la clase presidente el g…</t>
  </si>
  <si>
    <t>…individuos de esta villa la noche pectáculo, que tantos aplausos ha obtenido en sus anteriores 2 o D. José Pantaleon de Aguirre. del 1.° del a c tu a l, en cuyo proceso he dado providencia de representaciones, titulado 5.° D. Pedro M aría de Albiz. prisión contra Román P o rre s, natural de B riñ a s, en la p ro ­ vincia de Lo gro ño , el cual no ha podido ser habido para pren­ R egid ores electos. derle. A l efecto exhorto y requiero á todos los Sres. jueces del E L D E L A T O R ó L A B E R L IN A D E L E M IG R A D…</t>
  </si>
  <si>
    <t>…. Eduardo Posse por su actividad , celo y sobresaliente El comandante general de la provincia de Avila en comu­ Al amanecer del 26 di mis órdenes y se principió el paso de manejo ; el de la lancha Luchana , alférez de navio , D. Pedro nicaciones de i i y 15 del actual participa que el subteniente los batallones, artillería, caballería y bagajes á Coiindre, cuyas del Castillo, que con igual actividad y celo verificó las dispo­ del 4*° batallón franco D . Jorge Gutiérrez y el capitán del operación continuada dias y noches s…</t>
  </si>
  <si>
    <t>…Niím. 69. D. Ramón Vila y Figueras, profesor de prime­ mente; quiero que nadie mas que la ley califique los delitos, y Se declara el punto suficientemente discutido, y puesto á ra educación; D. Ignacio Murgadas, negociante; D. Pedro únicamente por esto rae opongo á toda ley arbitraria donde votación el dictámen, es aprobado. Pujadas, fabricante de sombreros; D. Ramón M illa, maestro los actos no se califiquen por un tribunal expreso. Pero se dice, El Sr. PRESID EN TE: Se suspende esta discusión: conti­ sastre; D. José V…</t>
  </si>
  <si>
    <t>…e la segunda le­ su conducta y sobre todo por su interés y moralidad. Antes de ayer á las once de la mañana se trasladó el presi­ gión, enteramente decidido á tomarlo á viva fuerza. El título es P e d ra ria s D á v ila , por D. Pedro G orosti- dente de Kleits á la fonda de S. Petersburgo acompañado de Muchos guardias nacionales han sido heridos: se habla de za , nuestro amigo y antiguo colaborador , poeta bien cono­ un consejero, para notificar al arzobispo de Posen la sentencia algunos muertos. La guardia municipal ha suf…</t>
  </si>
  <si>
    <t>…y de un tipo fantástico ó una innata idea de la hermosura, y no quedar exentos de su responsabilidad en favor de la masa lo y del dogma. El que señalándonos con su mano el cie­ com ún, y son los siguientes: los herederos de D. Pedro R uiz lo nos explicó el universo desierto y vacío, hízonos por un por consiguiente im posible, degeneró com o era de pensar y R o jo , vecino que fue de Vailecas, por 41500 rs.: D. José momento huérfanos en la tierra, y en vez de derramar en un amaneramiento m on óton o, cu yo correctivo so…</t>
  </si>
  <si>
    <t>…nido la desgracia de perder su votación? No es difícil bia una persona que influía en distinto sen tido , mandó un que la diputación provincial abusara ; mas este abuso no tiene veredero para que mandase venir á su presencia á D. Pedro remedio, porque la ley no pone coto ni da regla algun a en la D irecció n g e n e r a l d e C orreos. R o jas, que asi se llam ab a, y h ay que advertir que este señor distribución de los d istritos, sino que lo deja á su arbitrio. tiene mas de 60 años. Se presentó en efecto y le preguntó de P…</t>
  </si>
  <si>
    <t>…entos de la tro ­ b allo , pues la infantería no pudo se gu irle , aprehendió á dos P u en te d e l Guadalbullon. pa y Guardia nacional que se hallaban estacionados en los de ellos con sus armas y caballerías, llamado el uno D. Pedro principales puntos. Parga , ordenado de Evangelio, y el otro Francisco Laraela, Se han ocupado en esta obra Cuatro albañiles , 2 4 peones, Desde las cinco de la mañana se veía una inmensa concur­ siendo grande el arrojo de este oficial, que con una pistola en cuatro sacadores de mampostería…</t>
  </si>
  <si>
    <t>…e tebeldes que gadas. vagan por él han resultado muertos en el campo el faccio o Puestas en ejecución estas cedidas, la renta de la contribu* C O N F E D E R A C IO N G E R M A N IC A , asesino José A lonso, alias Cuuqueira; D. Pedro V illan, capi­ cion personal de indígenas podrá ascender á 200$ pesos libres, tán de gavilla; el Barroco; Felipe Estebez, alias Tripa-rota; después ds haber .satisfecho todos los gastos de recaudación , de­ Francfort 5 de Junio . D . J o cé Ramos, titulado teniente de caballería, natural de…</t>
  </si>
  <si>
    <t>…, según nos han asegurado personas d ig­ consiga felizmente su objeto. en caracteres arábigos. nas de entero crédito. También se piensa reproducir para el Se dispone la inmediata representación de la ópera predi­ Se cree que D. Pedro para llevar á cabo su plan se valic dia 27 E l arte de conspirar , drauia en que está admirable lecta del público, de I Puritani de Bellini. Sin que sea pre­ de arquitectos y operarios árabes; y asi es de creer si atende­ el Sr. García Luna. Antes de que este artículo vea la luz p ú ­ venir e…</t>
  </si>
  <si>
    <t>…én él úna cuarta dé la compañía bajo compreúdfer cómo han sido castigados los mayores culpa­ p o r el art. 9 de la referida instrucción se declara p e rm iti­ Cano Cortés ydelosPlasencia de cazadores mandada por su teniente D. Pedro bles con úna pena mas dulce, y por el mismo tribunal; salvaguardias de infantería dirigidos por sü do e x tra er en especie en los casos de hallarse los p rim e ­ teniente D. José Cándido Riego, siguiendo la restante infan­ pesoEstas dos consideraciones serán * no lo dudamos , de alguri par…</t>
  </si>
  <si>
    <t>…resan al individuo^ márgen. mas, Los todos pasados E N la ciudad de Salamanca á 14 de Febrero 1859, reunido el jurado de calificación del folleto denunciado en 25 de Enero último por el promotor fiscal de este juzgado D. Pedro 7.a A los individuos reemplazados en sus destinos de perseguidos por el segundo escuadrón navarro hasta la Sánchez Tom é, titulado: "Contestación al papel que acaba de que trata la fegla anterior, que según la misma ley de fueron vista de* la plaza, cuyo gobernador Cree que haya dado lugar d…</t>
  </si>
  <si>
    <t>…de Sevi­ llegó el eonde de Negri al cuartel R ea l; seis compañías de pre­ lla , se cita, llama y emplaza por tercero y último edicto y tér­ ferencia de los batallones guipuzcoanos acompañaban al prínci­ mino de nueve dias á D. Pedro M aría Tremens y D. Antonio pe rebelde, y la circunstancia de llevarse este consigo á su fa­ M aría Bonomo , cuyas habitaciones se ign o ran , para que tan CRUZ. Hoy no h ay función. m ilia hacia sospechar su introducción al suelo extrangero , si luego como llegue á su noticia este an un cio…</t>
  </si>
  <si>
    <t>…podido in ílu ir de modo algun o en P aris, 1 6 -5 . G ranada, 1| á 1 id. sin tener autoridad para e llo ; que esto no solo podia influir la conciencia de los electores; y aunque hubiera influido en sus M álaga, $ papel b. en D. Pedro R o jas, sino también en todos los que viesen las conciencias, aunque los hubiera persuadido que aquella c an d i­ Santander, par din. d. violencias con él cometidas, prin. i pálmente en los sencillos h a ­ datura era la que debían v o t a r , si esa convicción nacia de su Alicante, $ din. b.…</t>
  </si>
  <si>
    <t>…que por seis años dice que el comandante de la columna de Sarria dió alcance que trato de recordar la célebre sesión del 7 de Octubre, que no hizo correr á torrentes la preciosa sangre de españoles, hijos el dia 6 al cabecilla D. Pedro M añ á, que con ocho rebeldes he olvidado ni olvidaré jamas, y que seré constante siempre en todos de esta nación, á quien algunos desnaturalizados quisie­ llevaban presas 32 personas, y el resultado fue quedar muer­ lo que allí pasó. Suele suceder que en cualquier pueblo dos j ó ­ ron descono…</t>
  </si>
  <si>
    <t>…esante: el del del corriente se recibió por el correo ordinario en esta capital u r q u e s parécenos el mejor entendido, y sobre todo el mas c a­ la noticia oficial del honroso convenio celebrado por el esclare­ balleresco: D. Pedro sin sus frecuentes arrebatos, á las veces cido duque de la Victoria con el geueral en gefe de las fuer­ TEATROS. 1 iju'.tilicados, seria perfecto. De propóúto hemos dejado para zas enemigas D. Rafael M a ro to , y la sincera y tierna recon­ lo último el del R ey, porque le juzgamos el menos b…</t>
  </si>
  <si>
    <t>…inco celemines rá el perjuicio que h ay a lugar. Lo que se hace saber á los íines y un cuartillo , en............................................... 400 REDACCION DE LA GACETA. consiguientes. Y alencia 13 de Febrero de 1859.= D. Pedro M o­ Otra en la vereda del Carmelo, de 10 celemines, en. liOO lla Sartorio. Otra en Y a íd erillas, de 11 celemines, en. . . . . . . . 900 Otra en la V i ñ u e la , de nueve celemines y me­ d io , en ........................................................................ 4 50 NOTICIAS EXTR…</t>
  </si>
  <si>
    <t>…er un hombre. El espíritu p ú b li - la calcografía efe Ia Im prenta nacional, ^ go que ,füe d e C u e n c a , jel que los vinculó en I 5 l 9 , y los hubo co mejora mucho en todo el p r i n c ip a d o , y todos esperamos de D. Pedro M an riq ue. q u e i cambiará pronto el aspecto de las cosas. 11. J u a n de T o rq u e m a d a , H ern and o de S o to , D . R o d rig o Q u ien supiese éLparaderorde los expresados tres privilegios de ju co s , se servará•avisarlo á D . Pedroit García Teresa , que Ji m é n e z , Santo Tom…</t>
  </si>
  <si>
    <t>…ra residencia L a s n o t ic ia s q u e h em o s r e c ib i d o d e N a v a r ra c o n f ir m a n sus cabecillas en M a te t. de D Jacobo S eñ o ra n s, cura de O c a , |a v illa de Rivadeo ; y la v illa del Ferrol para la de D. Pedro O tero , estu d ia u te.= G e - las q u e y a se t e n i a n d e l f u s i l a m i e n t o d e v a rio s g e í e s r e ­ romrao Valdes. b eldes. A ntes d e t o m a r esta r e s o lu c ió n p u b lic ó M aroto con El com andan te de la colum na de la R ib e ra dice en parte de S an tia g o 6…</t>
  </si>
  <si>
    <t>…e buques vapores, por la escribanía principal del rarno, sita en el mismo local, en pañola ea la universidad de M adrid. establecidas entre el Havre y los puntos á c o n tin u a ció n , de Se hallará en las librerías de Sanz (D. Pedro), calle de C ar­ donde salen los vapores para el H a v r e , como s i g u e : donde estarán de manifiesto el arancel y pliego de condiciones bajo las que se ha de ejecutar la subasta y su primer remate, retas, y de M artín ez , frente á S. Felipe el Real, , E p o ca s d e salida y d u ra ció…</t>
  </si>
  <si>
    <t>…a r l e de al cabo primero Jo -é Ballestero. J o é S u árez, Manuel Restra- baza ; idem segundo Saraos Co¡ mado , Luis R u iz ; idein pri­ la m is er ia L .. ¡ C u a n t o h a b r á sufrid o su a m o r pro p io antes meros D. Pedro M uñ oz, practi ante de cirugía de los hospita­ TEATROS. d e hacer c om p le ta a b s tr a cc ió n cíe t i , re s o lv ién d o s e a pre- les de1 ejército de A rag ó n ; Ju a D i a z , Vicente M a tu ro n , C á n ­ seruarse en e sp e c tá c u lo hoy a un p ú b lic o que se lastima P R I N…</t>
  </si>
  <si>
    <t>…stos bravos soldados. rectamente en nuestro idioma. El segundo escuadrón de guias mandado por su coronel Dor Escriben de Rio-Janeiro el 18 de M arzo: José Lemerí y uno de Borbou á las órdenes del capitán con gra El Emperador D. Pedro n ha dado una gran comida el 16 do de comandante D. Juan del Hoyo que hice marchar por 1í de M ayo al Príncipe de Saboya C ariñ an , que llegó á R io-Ja­ derecha, no fueron esperados por los rebeldes, sin embargo di neiro á bordo de un navio de guerra sardo. U n barco de vapor destinado, seg…</t>
  </si>
  <si>
    <t>…osto de 18 5 9 .= normal y examinador del método aualítico de D . José M a r ia ­ S. M. la R e i n a , s u augusta Madre la R eina Gobeuna- Excmo. Sr.zrGregnrio Piquero Argúelles.=Excmo, Sr. Secretario no V allejo , los Sres. D. Pedro E y t i e r , alcalde primero consti­ dora y la Serma. Sra. Infanta Doña María Luisa Fer­ de Estado y del Despacho de la G ue rra . tucional y presidente de dicho ilustre a y u n ta m ie n t o ; D. M a r ­ tin José de Ríaya , D. Jacinto Belda , D. A n ton io de Z ? fra , nanda, continúan en…</t>
  </si>
  <si>
    <t>…ido recibir grado ni condecoración de n in ­ También pidió el iudulto GordíaaQ Guarnan 5 por cuyo esperanzas fueron burladas por el momento, pues solo hallé gún Gobierno txtrangero. motivo se ha mandado que el teniente coronel D. Pedro C o r- El G o b i e r n o ha recibido aviso extraoficial de que la fragata vestigios d e q u e efectivamente habían estado s l l i , y de que se tazar se replegué á G uauajuato. habían ido poco antes de mi llegada , sin que (lie hubiesen sen­ denominad* M ejicana t uno de ¡os corsarios armad…</t>
  </si>
  <si>
    <t>…a.......................... 200 Bonos del tesoro , 62. El subinspector del batalioo de Pardos de la Haba­ Subteniente de artillería D. Jacinto Eguaras .. 40 Bonos de las Indias , 66. na por sí y los oficiales delcuerpo 67.. 2 D. Pedro A nas............... 10 Acciones del banco, 201. El coronel de lanceros del Rey por s í, los gefes y Deuda activa española, 20f. oficiales del cuerpo ...................................... I 49 La Milicia nacional de la provincia de Sevilla ha contribuido Portugueses 5 por 100, 53¿; 3 id ., 2…</t>
  </si>
  <si>
    <t>Pedro, D.</t>
  </si>
  <si>
    <t>D. Pedro</t>
  </si>
  <si>
    <t>…e la arm ad a nacional . c e s i t i a d d e r e g u l a r i z a r la g u e r r a , l e í d o e n e l S e n a d o c n se recomiendan. Madrid 18 de Enero de 1 8 3 9 . la s e s i ó n d e l 19. En v ir t u d de providencia del Sr. D. Pedro J u l i á n A u p e t it , a u d ito r de m a r i n a , honorario de g u e r r a , y asesor general del L a comisión encargada de info rm ar sobre la proposición de ramo en la corte , refrendada del escribano p rincipal de dicho varios Sres. Senadores, relativa á que el Senado eleve á S.…</t>
  </si>
  <si>
    <t>…(Id.) rodada y la de lomo ó de montaña , y han tomado la dirección de M urviedro. p O R providencia del Sr. D. M anuel Luceño , juez de primé - Consiguiente á lo que insertamos en uno de nuestros núme­ A las nueve el Excmo. Sr. D. Pedro A z n ar, comandante ra instancia en esta v illa , refrendada de! escribano del ros anteriores dando parte del cange celebrado en Artesa de nues­ general de la primera d iv isió n , ha llegado al Coliado, desde el húmero de la misma D. Jacinto Revillo , y á voluntad de sus tros prisioneros,…</t>
  </si>
  <si>
    <t>…estas que á V. gracias por las uoticias que en ella me d a , y responderé el tinuamente se elevan del cuerpo de los cometas, y que se d iri­ aun que favorables al primero* siri em b argo , el referirlas próximo correo.:=Al Sr. D. Pedro.... gen siempre á su parte opuesta. Fijó la atención en el movimiento general de estos astros y rio es establecer de intento distiri^iones, n i tributar á uno Número 12 . en la dificultad que presenta, según Mr. Arago , el determinar­ mas elogios que á otro. Estos son hechos, no lisonja…</t>
  </si>
  <si>
    <t>…tículos del reglamento provisional de justicia, se das de la provincia de Granada con motivo de la gestión hecha declaró haber lugar á deliberar por artículos. Si por no hallarse en ninguno de estos casos hubiese empe­ por el Sr. D. Pedro E gaña, Diputado electo por aquella pro­ Se leyó la primera disposición del artículo único propuesto zado á verse alguna causa con menor número , y opinare cual­ vincia ; y no habiendo reclamación ninguna contra su aptitud por el Gobierno , que dice asi: quiera de los ministros que corresp…</t>
  </si>
  <si>
    <t>Pedro, Felipe</t>
  </si>
  <si>
    <t>Felipe Pedro</t>
  </si>
  <si>
    <t>…al, que será precisamente comunicada por un ayudante de plaza ó del es­ los que se crean con derecho á los bienes que qcedaion por el fondos que le fuerou arrebatados por una ley de 1813 , ha sus­ tado mayor. fallecimiento de D. Felipe Pedro M oreno, presbí ero c iiómgo citado una respuesta explícita de los nuevos ministros sobre el 3.° Mientras se toca la generala se disparará en la cindade­ que fue de la santa primada iglesia de esta ciudad, para que en provecto de conversión. la de seis en seis minutos un cañonazo, que s…</t>
  </si>
  <si>
    <t>Pedrosa</t>
  </si>
  <si>
    <t>…ía Tapia. no puede conseguirse sino por la unión legislativa entre las Esta revolución, ya anunciada por los últimos acontecimien­ provincias. Si la población del alto Canadá está justamente cal­ tos, ha debido elevar al general Pedrosa , antiguo Presidente de culada en 4009 almas, si los habitantes ingleses del bajo Cana­ la república mejicana, y á quien se cree animado de benévolas Dirección general de rentas provinciales . d á ascienden al número de 1 50 9, y los franceses al de 4 5 9 , la disposiciones en favor de los…</t>
  </si>
  <si>
    <t>PeJrajas</t>
  </si>
  <si>
    <t>{ante lata de trabajos legislativa preparados de que *e han de ; de S. M. la iU'ina Doña María Cristina. mandó-que constase en el acta el voto del Sr. PeJrajas ocupar las actuales Cortes ; y si bien no se ha hablado de !a ley Seutado este preliminar, necesario para vindicar á mis ami­ conforme con el de la mayoría que desechó en la sesión el dic­ de estados excepcionales, cabalmente en el tercer párrafo, habiaa- gos políticos como á mí mismo, y po…</t>
  </si>
  <si>
    <t>Pelaez, Fausto Rojo</t>
  </si>
  <si>
    <t>Fausto Rojo Pelaez</t>
  </si>
  <si>
    <t>…p ais, corriéronse novi­ D. Basilio Carranza , D. José Ramón E g u ía , D. Rito G ar­ llevar la sociedad del juicio que ha formado acerca de ella , aca­ llos , encendiéronse fogatas por la noche , y las casas se vieron rido , D. Fausto Rojo Pelaez, D. M auricio José de los M árti­ so parecerían exagerados sus elogios; mas puesto que la obra es ilum inadas espontáneamente. En fin , tantas y tales fueron las res y D. José de G orgolas, resultando por unanim idad haber quien mejor puede hacer por sí misma su inform ación, y q…</t>
  </si>
  <si>
    <t>Pelaez, Martin</t>
  </si>
  <si>
    <t>Martin Pelaez</t>
  </si>
  <si>
    <t>…quién se naba que pasase esta exposición al ministerio de Hacienda. Preguntado si el punto estaba suficientemente discutido, y avergonzará de imitar estos modelos7... ¿Quién de recorrer 2.° Sobre la petición núm. 17, en que D. Martin Pelaez se contestado que sí, se puso á votación el dictámen, y resultó parte de la senda que siguió en la antigua Albion el gran au­ queja del mal régimen que se observa en Sevilla en la coloca­ aprobado. tor de Mache th , del Rey Lear y de Otelol... ción de cabos y sargentos para la instru…</t>
  </si>
  <si>
    <t>Pele-</t>
  </si>
  <si>
    <t>…Faustino Arranz , á D. Lorenzo Cobo de la Torre llemain , Dufaure y el alm irante Duperré se han declarado en por Elio con cuatro compañías del 7.° y una parte del 11.° ba­ que desempeña el de Logroño; para esta judicatura á D. Pele- favor de que se adopten medidas prontas y enérgicas ; los otros tallón. grin José Saavedra que sirve la de Toro; para esta vacante a ¡ cuatro adictos á la opinión del Rey son M M . So ult, Schneider, El segundo hecho e s , que no obstante la presencia de Don D. Benigno M artínez V id a l, ju…</t>
  </si>
  <si>
    <t>Pelegrin</t>
  </si>
  <si>
    <t>…, no ha ración. El Sr. AYALA Y MOR LA dice que á pesar de !a exac­ sido comunicada la orden ni al interesado ni al tribunal. El Sr. Castro es víis tin to ; no se apele* ál ingenio , no á las titud de cuanto ha manifestado el Sr. Pelegrin, se ha olvidado El Sr. Castro era Ministro de Gracia* v Justicia en 6 de sutilezas, sino á la búena fe, al sentido cotnun, al recto enten­ de una circunstancia de la que no se ha hecho cargo ; y esta es Setiembre del ano anterior, en cuyo dia S. M, tuvó á bien ad­ dimiento de todos los Sre…</t>
  </si>
  <si>
    <t>Pelegrin, Francisco</t>
  </si>
  <si>
    <t>Francisco Pelegrin</t>
  </si>
  <si>
    <t>…­ Discurso sobre la utilidad de los diccionarios facultati­ L ’ ULTIM O GIORNO DI POM PEJ, miento infantería, 4* de I&lt;nea, PabloGortari, ClaudioSegortari, vos , con un exámen de los que se han escrito de Mari­ y Solero Valero: D. Francisco Pelegrin, ilimitado; Julián Sua- n a ,^ ., 4 rs. exornada con todo el aparato que su asunto exige. rez, soldado del regimiento infantería , 8.° de línea: D. José Disertación sobre la parte que los españoles tuvieron Lopéz , en concepto de apoderado de D, Santiago de* la Torre en las guerra…</t>
  </si>
  <si>
    <t>Pelegrin, Ramón López</t>
  </si>
  <si>
    <t>Ramón López Pelegrin</t>
  </si>
  <si>
    <t>…res que cubren á Casserras, Granada. — Conde de Alm odóvar, y D. José María Perez. presentando ademas el inconveniente de su mal piso en general sierra de Viure , Porreig y Viver, y las dos columnas entre Bal­ Guadalajara. = D. Ramón López Pelegrin. que exigiría una larga composición : en su curso se encuentran sareny y Berga ; lo que hará uu total de 17,500 infantes y Guipúzcoa. = D. Joaquín M aría de Ferrer. ademas barrancos de dificil acceso , dominados por un flanco , y 500 caballos. Huelva. z=D. Antonio González. éF…</t>
  </si>
  <si>
    <t>Pelegriny, Francisco</t>
  </si>
  <si>
    <t>Francisco Pelegriny</t>
  </si>
  <si>
    <t>…D ECRETO S. Isabel i i , que:interinam ente , y sin perjuicio de lo que poi fantería retirada* impurificado y amnistiado; D. José Palanca, ley se determine expresamente y se observe y cumpla le teniente retirado en Zaragoza; D. Francisco Pelegriny ilim ita­ Convencida de la indispensable necesidad de centrali­ siguiente: d o; D i Jmé vlVÍaría C o Ion , subteniente de infantería; D . Mar-* zar en la contaduría y pagaduría generales del ministerio Art. 1.° Los compradores de bienes nacionales en la ti a Dominga# alférez de…</t>
  </si>
  <si>
    <t>Pelet</t>
  </si>
  <si>
    <t>…c la n , Don A utoíiio G u ille rm o M oreno y D. José Bonaplata. T endréis- lel (de la Lozere), y habló en los términos siguientes: SENADO. lo e n ten d id o y d isp o n d réis su c u m p lim ie n to .— R u b ric ad o E l barón Pelet (de la Lozere): Hago justicia al espíritu qué d e lif Real m an o E n P alacio á 4 de E n e ro d e 1839. = A ha dictado el párrafo que se nos propone. La comisión ha em­ O R D E N D E L D ÍA pleado los términos mas enérgicos que ha encontrado para ex­ D. P ió P ita P izárro. presar el interé…</t>
  </si>
  <si>
    <t>…Mr. hay una persona que no haya dado una significación política En seguida se nombraron las comisiones de examen de tí­ Pelet. á estos primeros actos de la Cámara. Hé aqui la consecuencia tulos de los nuevos Pares. Mr. el barón Pelet (de la Lozére) podemos menos de elogiar al honorable Par por su con­ mas razonable que puede sacarse de la sesión de este dia. hizo una proposición cuyo objeto es el de provocar explicacio­ ductaNo: ha La nueva Cámara se encuentra, como la anterior, dividida nes con motivo de las negociaciones…</t>
  </si>
  <si>
    <t>…ra, después siguiente quedaron adm itidos, se procedió á la interpelación actual y acortar la línea: que la ejecución de estas cuatro obras del incendio cou que los mismos rebeldes han destruido la po­ propuesta por Mr. el barón Pelet (de la Lozere) con motivo de deberá verificarse por contrata, pero que por ahora hay algu­ blación , inclusa la iglesia y todos los caseríos de las inmedid- la crisis ministerial. na dificultad para pasar á reconocer y medir los sitios de las cioues; atendido el fuerte temporal de nieves y agu…</t>
  </si>
  <si>
    <t>…s fueron conducidos al principal por el alcalde de barrio. íiei,ta que con arreglo al art. 58 del reglamento, debe h.*bíar giró sobre ¡ econocimiento de poderes, habiéndose señalado pa­ (Idem.) primero en esta cuestión el barón Pelet (de la Lozere) ; pero ra el inmediato la continuación del mismo asunto. que debia hacer presente á la Cámara que el mariscal Souit de­ seaba se le oyese antes que al Sr. interpelante. Hemos oido con referencia á los conductores del correo de El barón Pelet (de la Lozere) convino en ello, re…</t>
  </si>
  <si>
    <t>Pelew, Sir Eduardo</t>
  </si>
  <si>
    <t>Sir Eduardo Pelew</t>
  </si>
  <si>
    <t>…mestizo y natural de Goa, agua.” J mayordomo en un buque de mi mando, que cuando con DATO TERCERO. igual plaza navegaba en la fragata Infatigable de S. M. CRUZ. A las ocho y media de la noche. Se pondrá en siendo su comandante Sir Eduardo Pelew^tocó en una escena la ópera nueva en dos actos, titulada » Una carta francesa, anónima y sin fecha, general del Piedra á las inmediaciones del Cabo Finisterre. Entiendo At amico setentrional pone un Bajo 45 millas al S 5o O que el suceso se ha negado, aunque aparece ser cierto; G…</t>
  </si>
  <si>
    <t>Pelion</t>
  </si>
  <si>
    <t>…cierto modo otra parte, habiendo sido heridas muchas personas durante la de sus excesos. retirad a: sin em bargo, no tardaron en aglomerarse en mayor En el cuartel de la Halle la m ultitud ha permitido á los La herida Jel coronel Pelion , producida ayer por un fusi­ número en otra parte. La caballería dió repetidas cargas para insurgentes hacer algunos excesos: amenazaban aquellos incen­ lazo á boca de ja rro , parece muy grave. El R.ey y los Prínci­ disipar los grupos, sin conseguirlo enteram ente, porque ape­ diar las casa…</t>
  </si>
  <si>
    <t>Pellion</t>
  </si>
  <si>
    <t>…uestra Señora, el muelle Pelletier y el de G évres, extendién­ después en las calles de Feydeau y de Richelieu. A l entrar en dose desde este punto hasta la encrucijada que forman las c a ­ esta últim a calle el teniente coronel Pellion , ay u d an te de c am ­ La ejecución de semejante proyecto fue tan audaz como el lles P lao ch e -M ib ray , S a in t-J a c q u e s -la Boucherie, de la V a n - po del Ministro de la Guerra , recibió dos balazas en los riñones. provecto mismo. Distribuidas que fueron las armas y las m u ­…</t>
  </si>
  <si>
    <t>Pellizari</t>
  </si>
  <si>
    <t>…al Gobierno para llevar á efecto la nue­ POESÍAS tanto desembarazo, gracia y expresión, que nada dejó que de­ va quinta de 40J hombres; el Real decreto repartiendo el sear á los concurrentes. No estuvieron menos felices la Sra. Pellizari, primera da­ número no; la de reemplazos entre todas las provincias del rei­ ley que autoriza al Gobierno para hacer una re­ DE DON ALBERTO LISTA, m a , su criada Doña Nicolasa Yillafranca, y madama Mon- tañana , las cuales respectivamente obtuvieron muestras inequí­ quisición de 6J ca…</t>
  </si>
  <si>
    <t>PENAAGUAYO</t>
  </si>
  <si>
    <t>…ría. si se dan esos sueldos por entero á los cesantes, será eterna la labra en contra el Sr. Ros y O la n o , la ced ió en El Congreso quedó enterado. com isión . N o , el G ob iern o procurará que esa institución co r­ El Sr. P E N A A G U A Y O : Tres son las razones en que me Se leyeron y hallaron conformes con lo aprobado por el responda á sus m ira s , ademas de que están prefijados los trá­ fu n d o para pedir al Congreso se sirva desaprobar el artículo Congreso dos proyectos de ley : uno para une los eclesiásticos…</t>
  </si>
  <si>
    <t>Pepe</t>
  </si>
  <si>
    <t>…masCOQOCÍm^ países t o s con que se enriquece la hum anidad en de la Europa no deben serles desconocidos. vale un co m u n ic an te, q ue sin d u d a n o ha e n ten d id o el conocerla. Hallábase en Florencia cuando el general Pepe , irri­ Malvica es demasiado ilustrado para no comprender esta ver­ objeto de la v is ita , ó ha p ub licad o su juicio antes d e te­ tado contra Lamartine por los versos que habia escrito contra dad , y su espíritu elevado podrá dar una buena dirección á n e r datos para form arle; no se trata…</t>
  </si>
  <si>
    <t>Peral</t>
  </si>
  <si>
    <t>…artis- 6,1 el ■ rio. «El poeta latin o , queriendo im itar la n aturaleza lia" .lleno de gloria por terminar de este modo una vida consagra­ o que la naturaleza y Homero eran una misma cosa., Pai'ccenos que los desvelos del Sr. Peral para plantear su da constantemente, ya lo sabéis, á la causa del derecho y de Este es el caso de d ecir con V oltaire que solo á los rico periódico, quedaran suficientemente recompensados con el fa­ la verdadera libertad que es inseparable de ella.” es licito robar. vor y protección del públ…</t>
  </si>
  <si>
    <t>…­ BOLSA DE M ADRID. Hago saber: Que en cumplimiento de la superior orden de lemnizó el liceo artístico y literario las faustas noticias de Ver- la dirección general de rentas de 24 de Agosto últim o, se sa­ gara. Poesía del Sr. Peral, música del maestro Iradier. Cotización del dia 19 d las tres de la tarde. ca á pública subasta el arriendo por el año próximo de’los de­ Segunda parte . rechos de alcabala , cientos y fiel medidor que constituyen las EFECTOS PÍBLIC 08 . rentas provinciales de la villa de Zafra , los de las…</t>
  </si>
  <si>
    <t>…o inspirada por dido que de no comparecer le parará el perjuicio que haya la triste nueva de haber perdido la vista el apreciable artista lugar. . La M dúca , poema por D. Tomas de Iriarte, tercera edi­ Esquive!. La letra, del Sr Peral , está llena de ternura y de ex­ ción, ano de 17S ). Un cuaderno e„ 4 .0, adornado con seis es- presión: su sola lectura produce una amarga compasión; u n i­ tampas linas, a 56 rs. en pasta coiuuo. da á una música análoga á los versos, grata , apasionada y Este poema se halla dividido en cinco…</t>
  </si>
  <si>
    <t>Peral, Francisco</t>
  </si>
  <si>
    <t>Francisco Peral</t>
  </si>
  <si>
    <t>…s dias domingo y lunes últimos ha sido robada la tien­ ja , y del ínteres que se toma por su engrandecimiento y pros­ pasar sin alguna reflexión esta natural clasificación , esta res­ da de galones y géneros de oro y plata de D. Francisco Peral­ peridad. Acompañado del Sr. gefe político e intendente, de puesta al llamamiento de la previsión y de la economía que ta. Este establecimiento está situado en la calle Francos, esquina una comisión de la Excma. diputación provincial , del primer han dado según sus respectivas circ…</t>
  </si>
  <si>
    <t>Peralta, Alfonso</t>
  </si>
  <si>
    <t>Alfonso Peralta</t>
  </si>
  <si>
    <t>…o de Flores , término de biéndose realizado con las formalidades que la misma previene, Nada diremos acerca de la baratura del pr ecio , que tanto Almería, la Alianza, por D. Manuel Pagan, en 4 . tocó á los sugetos siguientes: D. Alfonso Peralta, D . Manuel ban encomiado ya todos los periódicos al hablar del nuestro; Otia id., sierra de Gador , cerro de la Monterilla , término G uinea, D. José Sandoval , D. Francisco Arra tia, D. Juan pues basta fijar la consideración en que el abono á cualquier de Iluercal , S. Nicolás, po…</t>
  </si>
  <si>
    <t>…on el título M anglano, D. Antonio Cebrian G arcía, D. Joaquin González De la instrucción pública en España desde 1834.:=Por Don de: Lo que hace un manto en M a d r id , de Calderón. El Bustamante, D. Santiago Alonso Cordero, D. Alfonso Peralta, Antonio Gil y Zarate. anotado»* continúa: yo creo que es de R ojas. A mí no me D. Hermenegildo Mezquia, D. Manuel de Gaviria y D. M a­ La historia considerada como ciencia de los hechos.^:(Con­ lo parece: porque Hojas no podia escribir dos páginas nuel M altrana, quienes declararon…</t>
  </si>
  <si>
    <t>Peralta, Andrés</t>
  </si>
  <si>
    <t>Andrés Peralta</t>
  </si>
  <si>
    <t>honorario de la audiencia territorial de Barcelona, y juez pri­ y D. Andrés Peralta , ayudantes de medicina del ejército de fluyeron estas expediciones desde el siglo xi hasta el xv ei&gt; mero de primera instancia de esta ciudad y escribanía de mi Centro ; y Vicente Moreno, quinto por la villa de Chiclana, la extensión del comercio m arítim o, y en los progresos cargo…</t>
  </si>
  <si>
    <t>Peralta, Augel</t>
  </si>
  <si>
    <t>Augel Peralta</t>
  </si>
  <si>
    <t>…que según tenernos entendido es el d ice : Manuel Herclaes, D. Mariano Nicolás Espinosa , D. Dom ingo Sr. D. Manuel Benito A gu irre, oficial primero de la inspec­ «Caballeros de alta guisa, Pereda, D. Ventura Martínez Ramón, D. Augel Peralta, Don ción general de la Milicia nacional del reino, y oficial también Dios os dé bienes y honores; Pedro Alvarez y D . Jacioto San Salvador, quienes declararon del segundo batallón de la de esta corte. ¿q u é mandáis? no haber lugar á la formación de causa por seis votos con­ Recome…</t>
  </si>
  <si>
    <t>Peralta, Francisco</t>
  </si>
  <si>
    <t>Francisco Peralta</t>
  </si>
  <si>
    <t>…resentase liendo en un alm irez, hizo sospechar á un vecino si los galones Domingo 17 id em ..................................... 29606 una libreta de mayor cantidad. Es preciso que todos se conven­ y demas efectos robados á D. Francisco Peralta se estarían Domingo 24 idetn. ............ 21172 zan deque el estímulo y el ejemplo deben partir de las clases quemando en aquella casa. Domingo 51 idem •• 24102 ilustradas á las que no lo son, las cuales les retribuirán en Inmediatamente dió aviso de esto al escribano D. José Go…</t>
  </si>
  <si>
    <t>Perca, José</t>
  </si>
  <si>
    <t>José Perca</t>
  </si>
  <si>
    <t>…arará el perjuicio que haya lugar. Otra id.,, cerro del Poyo, término de Iluercal, Sta. Cán­ Una mina plomiza, sita en cerro de Palomares, en Sierra de L u ja r, titulada Virgen del Carmen , por Antonio Jiménez, dida , por D. José Perca, en 29 id ., id. Otra id ., barranco del Poyo, término de H uercal, San en 1 .° REM ATES. Manuel y Car meo , por Andrés Diaz, en 28 id ., id. Otra i d . , hoya de M arto s, término de L á u ja r , la Patricia, Otra id ., sierra A lham illa, cuesta de las Tejas, término T ribunal d e…</t>
  </si>
  <si>
    <t>Perceval</t>
  </si>
  <si>
    <t>…mal definido de la mocion 1824 fue pedida, no en sentido contrario á las miras del G o ­ puramente una fábula , debe cesar enteramente. {Atención.) en estos últimos áñtiiSy notando que la Cámara al pronunciar bierno, E l coronel Perceval reprueba la política seguida por el su juicio sobre un punto tan indefinido, podia contradecirse; rios fue sino por el Ministerio mismo, y uno de sus partida­ nombrado presidente de aquella comisión. En el hecho Gobierno en Irlanda. Dice que lord N o rm anb y, lejos de pac ifi — que si n…</t>
  </si>
  <si>
    <t>Perdereau</t>
  </si>
  <si>
    <t>…al Temple vieron levantada la diligencia y la bar­ desolación el Temple y el Marais en el dia 15 de Mayo. Se han individuos del arrab l de San A ntonio le habia d ad o, que por ricada sin uno que la defendiese; y diciendo el Sr. Perdereau visto á otros in d iv id u o s, vestidos con decencia, cargar los fu ­ lo sucio no quiso ruinar, y lo puso en el bolsillo, no querien­ que los insurgentes acababan de marchar de su casa , los dos siles de los'insurgentes, darles balas, y aun á uno de ellos lle­ do arrojarle en pre encia de…</t>
  </si>
  <si>
    <t>Pereda, Vicente</t>
  </si>
  <si>
    <t>Vicente Pereda</t>
  </si>
  <si>
    <t>…trabajado seis albañiles, 50 peo­ lla por fallecimiento de J3&gt; Manuel Fernandez de los Senderos, cional movilizada que debe custodiarles ; y llevan , como nes , nueve sacadores de piedra , 10 caballerías y seis carros , y á D. Vicente Pereda , que lo es de la de Valladolid : para esta las demas brigadas que han salido para lo$ trabajos , los v í­ han hecho lo siguiente: sentar en el machón de la izquierda resulta á D. Antonio Benavides y Navarrete , ministro de la veres suficientes para 15 dias. Como se carecía de bombos…</t>
  </si>
  <si>
    <t>Pereira, José</t>
  </si>
  <si>
    <t>José Pereira</t>
  </si>
  <si>
    <t>…que pueda emplearse. Ahora , si de esta provincia , se cita , llama y emplaza á D. José Moreno la prosodia: las silabas largas acensuadas en los tiempos princi­ alguno quisiere sujetarse á leyes mas estrechas desechando los y D. José Pereira para que en el término de nueve dias que* pales del compás, al subir y bajar la mano del que lo lleva , y sáficos y adórneos que 110 lleven acento en la primera , el que por tercero y último se les señala, se presenten en la escribanía Ls breves en lugar ícenos marcado. De esto se cui…</t>
  </si>
  <si>
    <t>Perella, D. Diego Lopez</t>
  </si>
  <si>
    <t>D. Diego Lopez Perella</t>
  </si>
  <si>
    <t>…o provincial de Monterey que el señor gobernador cha , se sacan de nuevo á pública subasta las finca* siguientes, Ortia de Taraaco. coronel D. J u a n Vasadre puso á mi disposición con la misma propias de la testamentaría del Sr. D. Diego Lopez Perella. buena voluntad y perfecta armonía que antes lo habia hecho, Una casa en el Real sitio de S. Ildefonso, titulada Fonda r \ O N Manuel Ortiz de Taranco, caballero de la Real y d is - y á las cuatro de la mañana me hallaba en el punto que se me de los Milaneses, que tiene de sit…</t>
  </si>
  <si>
    <t>Perella, D. Joaquín López</t>
  </si>
  <si>
    <t>D. Joaquín López Perella</t>
  </si>
  <si>
    <t>…alfombra bordads , al Sr. D. Felipe Reyes. lado para junta general de acreedores al concurso formado poi corona de España de U Infanta primogénita Doña María Isa­ r Iti. Un tirador de 'Campanilla bordado sobre cañamazo, a el Sr. D. Joaquín López Perella, intendente honorario y comi­ bel Luisa. la Sra. Doña Josefa Sentiste bao. sario de guerra, ya difunto, el dia 25 del corriente á las oncí 644* U 11 gran cogio de casimir blanco bordado de lanas, a de su mañana en la posada del Sr. auditor de guerra del mis­ la Exorna. Sr…</t>
  </si>
  <si>
    <t>Perero, Bruno</t>
  </si>
  <si>
    <t>Bruno Perero</t>
  </si>
  <si>
    <t>…nceros, y que merecen particular men­ A yer S. M. el Rey de Baviera se presentó en el Vaticano salud. ción el teniente de artillería de marina D. Antonio Lasaga y con el objeto de hacer una visita al Papa. S. M. iba acompaña­ D. Bruno Perero, subteniente del batallón de la P atria, y mas do de la legaciou bávara y de los oficiales de su comitiva. El especialmente el citado capitán de lanceros Gutiérrez. acompañamiento iba en seis coches magníficos. S. M. ha sido PARTES RECIBIDOS EN LA SECRETARIA DE ESTADO recibido por el…</t>
  </si>
  <si>
    <t>Perez</t>
  </si>
  <si>
    <t>…oyada brevemente por su a u t o r , se toma en pasado el Sr. L u j a n , estaban al corriente en sus pagas; y que m u y respetuosamente, que se digne adm itir las mas sinceras consideración , y es aprobada una proposición del Sr. Perez aprovechaba la ocasión de hallarse presente el Sr. M inistro de protestas de mi sum isión, lealtad y adhesión, é igualmente las Roldan , en que pide se reclamen del Gobierno las actas de se­ Gracia y Justicia para llamar su atención sobre estos abusos. de los gefes, oficiales y tropas de este…</t>
  </si>
  <si>
    <t>…sto el tiempo que pudiese tardar en lacio y al de las Cortes; nombrando una comisión para que queEspaña unos escritos que vivirán tanto como la lengua en se compusieron. llegar el acta del distrito á que se habia referido el Sr. Perez con este objeto pasase á visitar á los señores comandantes de la La obra constará de siete á ocho tomos 8 .° m ayor, de im ­ de Rivas, á fio de que se viese que en nada iniluia en el re­ Milicia nacional. Al mismo tiempo extendió una alocución al presión compacta, legible y herm osa, adornados…</t>
  </si>
  <si>
    <t>…culos. conde de Toreno y su fam ilia ; y en vista de esta determ ina­ M oría. Fueron sucesivamente aprobados sin discusión los nueve ar­ ción el Gobierno expidió la Real orden de 25 de Agosto de Habiendo pedido la palabra el Sr. Perez dé R iv a s , d ijo , tículos que contiene dicho proyecto. 18 58 , que yo suplicaría á uno de los Sres. Secretarios tuviese que ayer se había presentado una exposición por D. Antonio El Sr. Medrano ocupó la tribuna y lo le y ó , y el Senado lo á bien leer. (Se leyó.) Ramírez de Arel la no , q…</t>
  </si>
  <si>
    <t>…de recomendación de un íntimo amigo del Perez, en la que le Quisiera también poder hablar para presentar con pruebas Una casualidad ha traído á nuestras manos el descubri­ suplicaba lo atendiese como si fuera á él mismo. El Sr. Perez, incontestables la verdad de los hechos en los cuales he tenido miento que á favor de la hum anidad paciente acaba de ha­ hombre parte y que han pasado desde 8 de Marzo ú ltim o , dia eu que cer el profesor que suscribe la exposición que en seguida inser­ ces, dió generoso entrada y hospitala…</t>
  </si>
  <si>
    <t>…Balmaseda con 150 caballos, detalles, aunque variada en sus pormenores, la idea siempre es y merecido, tanto respecto de la traducción como de la ejecu­ la misma, y el autor se la ha hallado hecha con todos sus ad­ ción. La Sra. Perez ha estado en ella llena de sentimiento á ve­ algunas caballerías sueltas y nueve soldados nuestros que co­ m inículos, con el amante que se encaja en el coche en el sitio ces, otra donosa, y siempre feliz y acertada. La Sra. Teodora gieron en la carretera de Valladolid. A las once de la noche…</t>
  </si>
  <si>
    <t>PEREZ</t>
  </si>
  <si>
    <t>…á deshon­ liberar ó no ; si cree infundada la petición , no ha lugar á de­ to en la materia. ra, ni nunca se ha proscrito de la república de las letras. Los liberar ; mas si la cree fundada , se está en el caso de que se El Sr. PEREZ D E R IV A S, como de la comisión de Pe­ hombres ilustrados de todos los países han profesado siempre tenga presente en tiempo oportuno : Creo por lo tanto que la ticiones , observó que ninguna analogía tenia la proposición comisión no puede dar otro dictámen que el que presenta. Pero que ac…</t>
  </si>
  <si>
    <t>Perez, Alejo</t>
  </si>
  <si>
    <t>Alejo Perez</t>
  </si>
  <si>
    <t>…a, por Tomas Maldonado, en 5. se procedió al sorteo de los nueve Sres. jueces de hecho que de­ bían componer el jurado, y tocó á los siguientes: D. Luis Bal- Otra en sierra Alhamilla,. cuesta de las Tejas, término de buena, D. Alejo Perez, D. Genaro Bayon, D. Pedro José de Viator, Virgen de los Doloros, por Luis Trujillo, en 3. Cea , D. Gabriel Alvarez de Alvarez , D. Miguel Carbajo, Don DIRECCION GENERAL DE PRESIDIOS DEL REINO. Otra en sierra de Gador, Balsanueva, término de Berja, Juan María Barte, D. Alejo Carro y D…</t>
  </si>
  <si>
    <t>Perez, Ana</t>
  </si>
  <si>
    <t>Ana Perez</t>
  </si>
  <si>
    <t>…l banco 2615 . zas de que disponía el general mejicano. M il soldados es todo para que lo puedan evacuar los ausentes Doña Francisca y Renta de Ñapóles 99 c. 20 . lo que Rincón ha podido tener. El ejército total de Méjico no Doña Ana Perez, mediante á que se ignora su paradero , que Cinco por 100 del Estado romano 101. asciende á mas de 8 ó 103 hombres repartidos en 700 leguas se llaman por medio de nota que se estampe en fa Gaceta g e ­ España. Deuda activa 17£, de costas, y auu cuando la mayor porción de estas fuerzas no n…</t>
  </si>
  <si>
    <t>Perez, Antonio</t>
  </si>
  <si>
    <t>Antonio Perez</t>
  </si>
  <si>
    <t>…Escuelas de aquella proviucia , establecida La comisión opina se tenga presente en tiempo oportuno. Otra id. en cerro M inicas, término H uércal, Constancia, conforme al plan provisional de instrucción primaria , m anda­ por D. Antonio Perez , en 20. do observar en 21 de Ju lio de! año inmediato pasado, no se ar­ Núm. 43. D. Bernardo Medrano y D. T^más González, Otra id. en barranco Jaro so , término de Cuevas Espe­ reglaba a los artículos 20 y 21 del plan eu los exímenos para relatores jubilados de la audiencia de Cácer…</t>
  </si>
  <si>
    <t>Perez, Antonio María</t>
  </si>
  <si>
    <t>Antonio María Perez</t>
  </si>
  <si>
    <t>…ina de un 100 de los principales prisioneros. De Lucas Jordán , biografía. O u a id. id . , cerro de Minica s, térinioo de Huercal, la los ejemplares que se tiraron apenas existe n ingu no, sino es el Constancia de Perez, por D. Antonio María Perez, en 29. M oscou, topografía. que una rara casualidad ha hecho llegar hace a l g ú n tiempo á El Craken , historia natural. ^ Otra id., sierra Almagrera, barraoco Jaroso, término de manos del edit or, que ha : creído reimprimirlo por su glorioso Cuevas, Sau Francisco de Paula, p…</t>
  </si>
  <si>
    <t>Perez, D. Julián Iluelves. Sr. D. Antonio</t>
  </si>
  <si>
    <t>D. Julián Iluelves. Sr. D. Antonio Perez</t>
  </si>
  <si>
    <t>…D. Salustiano de Olózaga. Sr. D. Joaquin Romero y Domingo. Sr. D. Santiago Azuela. Sr. marques de Someruelos. Sr. D. Ramón de Santillan. Lugo. Toledo. Sr. D. Félix M artin. Cáceres. Sr. D. Antonio María M iranda, electo. Sr. D. Julián Iluelves. Sr. D. Antonio Perez Aloe. Sr. D , Manuel Vázquez Queipo; &gt; Sr. D. Mariano Jaén. Sr. D. Gonzalo Carvajal y IIIloa. Sr. D. Gregorio Quiroga y Frias. Sr. D. Juan José ligarte. Sr. D. Rufino García Carrasco. Sr. D. Vicente Vázquez Móscoso. Sr. I). Juan Pedro Quijana. Sr. D. Vice…</t>
  </si>
  <si>
    <t>Perez, Demetria</t>
  </si>
  <si>
    <t>Demetria Perez</t>
  </si>
  <si>
    <t>….... 4 con cupones. E D I C I O N M A G N Í F I C A P. M .............................................................................................................. 60 Inscripciones en el g r a n libro á 4 Por 1 0 0 , 00. Doña Demetria Perez............................................................................. 4 Títulos al portador del 4 Por 1 0 0 , 00. CON Vales Reales no consolidados, 1 5 - al contado. 1734 Deuda negociable de 5 por 100 á p a p e l, 00. Trin itarias descalzas 20 m onjas, 4^0 rs. Idem sin inter…</t>
  </si>
  <si>
    <t>Perez, Eugenio</t>
  </si>
  <si>
    <t>Eugenio Perez</t>
  </si>
  <si>
    <t>…spondió: dente de la sociedad, y los individuos de la comisión de escue­ ¿Cómo queréis que la ruano que la hermana de Barbés ba­ las de párvulos, Excmo. Sr. marques de Santa C ru z , presiden­ te de la comisión , y los Sres. D. Eugenio Perez, cura párroco Este puente no tiene mas de cinco arcos. ñó ayer con sus lágrimas firme hoy la sentencia de muerte de de S. G io é s, D. José Escario, D. Francisco López Olabarrieta, No siendo nuestro objeto al presente describir los otros puen­ su hermano? Sois libres, añadió , de nega…</t>
  </si>
  <si>
    <t>Perez, Felices</t>
  </si>
  <si>
    <t>Felices Perez</t>
  </si>
  <si>
    <t>…bado por S. M . que exi stirá de manifiesto en la secretaría de L a presente obra es un a cont i nuac i ón de la q u e en el a ño esta i nt endenci a , en donde y en c u y o d i a se a d m i t i r á n siendo de 1827 publicó D. Felices Perez M o r g a bajo el ti t ul o de Co­ le c c ió n de R eales céd u la s , in s tr u c c io n e s , ói'denes y d isp o ­ BOLETIN DE COMERCIO. a r r e g l a d a s : en el concepto que concl ui do el rérnat e, no se o i ­ rá n mas propos c i o n e s , por ventaj osas que sean. sicion es d…</t>
  </si>
  <si>
    <t>Perez, Francisco</t>
  </si>
  <si>
    <t>Francisco Perez</t>
  </si>
  <si>
    <t>…bierno á las Cor­ jue de no comparecer le parará el perjuicio que baya lugar. la ciudad de Toledo , bajo testamento , en que dejó por herede­ tes ; pero es la voluntad de S. M. que en lo sucesivo sé observe ro de sus bienes á. D. Francisco Perez D eni, é ignorándose su con todo rigor lo mandado en el artículo 3.° de la ley de 14 de paradero, se le avisa por este anuncio para que Comparezca por Abril dél año anterior; y como todavía pueden encontrar los si ó por persona legalmente habilitada á entregarse de dichos estudiantes…</t>
  </si>
  <si>
    <t>Perez, Francisco Bargas</t>
  </si>
  <si>
    <t>Francisco Bargas Perez</t>
  </si>
  <si>
    <t>…intendente militar del distrito de Extremadura r^Hago sa- L A Q U IN T A D E P A L U Z Z I ron el jurado los siguientes: D. Alejandro Barrantes, D. Ma­ be r: Que finalizando en fio de Junio de este año la actual ó nuel Segura, D. Francisco Bargas Perez, D. Benito Lagarza, contrata con D. Pedro Martínez Crespo, por la cual se halla á D. Manuel Bartolomé M iranda, D. Manuel Lindo, D. Pedro su cargo la subsistencia, asistencia y curación de los enfermos LOS ASESINOS D E FL O R E N C IA . Martínez Crespo, D. Pedro O rd u ñ a, D.…</t>
  </si>
  <si>
    <t>Perez, Félix</t>
  </si>
  <si>
    <t>Félix Perez</t>
  </si>
  <si>
    <t>…anga para que puedan bajar .y salvarse las gentes de cualquie­ 669. Uu ejemplar del tratado de las aguas, al Sr. D. Juan Por providencia del Sr. intendente subdelegado de Rentas, ra casa que se halle incendiada, inventada por D. Félix Perez, de Acebedo. 641» Una alfombra grande bordada con figuras de relieve, juez de Amortización, y para poder cumplimentar cierto des­ de esta corte, cuyo modelo obra en poder del Excmo. ayunta­ al Sr. D. Pedro García del Valle. pacho, se cita, llama y emplaza á D. Francisco de Paula Ló­ m…</t>
  </si>
  <si>
    <t>Perez, Genaro</t>
  </si>
  <si>
    <t>Genaro Perez</t>
  </si>
  <si>
    <t>…embocadura L 159,009 pesos. 105000 pellejos................ .. 20000 Cacao . Este era el artículo mas principal del producto de C ampeche, I 46 OO qu in tales.,, 17000 cierra el espacio un bambalinón con flecos, pintado por Don Genaro Perez V illam il. k . Venezuela bajo el dominio de España /mandando á la Penínsu­ T abaco , 586O00 libras................ ..................... 9 90 0 0 Ganado, 1700 cabezas................ 2*000 v El escenario tiene 2 4 pies de fondo hasta la embocadura y la de 7 á 8 millones de libras cad…</t>
  </si>
  <si>
    <t>Perez, Joaquín</t>
  </si>
  <si>
    <t>Joaquín Perez</t>
  </si>
  <si>
    <t>…des se embarcasen en los escolta en el territorio de esta, también sufrirá los gastos de la en bahía y fuesen conducidos ¿Chafarinas, misma hasta el límite de aquella, todo ello en la confianza de D. Juan y D. José Jordana, y D. Joaquín Perez, arre n ­ en donde se estaban buques que hallaban nuestros buques de guerra. que la dignación de S. M. se servirá aprobar el arbitrio que se datarios cíe los ramos decimales de Zaragoza, solicitan el proponga al efecto, porque agobiados los pueblos con tanto sa­ abono de los daños y…</t>
  </si>
  <si>
    <t>Perez, José María</t>
  </si>
  <si>
    <t>José María Perez</t>
  </si>
  <si>
    <t>…. durante los cuales deben mantenerse, no solo las tropas sitiado­ miento. El de R ipolfes largo, pues qué son 10 horas de camino, ras, sino también los 4 5900 hombres que cubren á Casserras, Granada. — Conde de Alm odóvar, y D. José María Perez. presentando ademas el inconveniente de su mal piso en general sierra de Viure , Porreig y Viver, y las dos columnas entre Bal­ Guadalajara. = D. Ramón López Pelegrin. que exigiría una larga composición : en su curso se encuentran sareny y Berga ; lo que hará uu total de 17,500 inf…</t>
  </si>
  <si>
    <t>Perez, Juan</t>
  </si>
  <si>
    <t>Juan Perez</t>
  </si>
  <si>
    <t>…: el segundo trsta de U expresión positor es el Sr. Iradier. de los varios afectos, dando reglas particulares para el acierto Acompaña á la canción una preciosa estampa alusiva, in­ ventada y litografiada por el joven artista D. Juan Perez Y i- lltacnil, y estampada por el Sr. Bachiller. Si continúa como ha LA ESPERANZA, en ella ; y en el tercero , después de probarse las excelencias de la música con argumentos fundados eu razón y en autoridad se reducen sus principales usos á cuatro, considerándola d - d ¿ empezado el A…</t>
  </si>
  <si>
    <t>Perez, Juan José Anguila Mateo</t>
  </si>
  <si>
    <t>Juan José Anguila Mateo Perez</t>
  </si>
  <si>
    <t>…el tiempo que se extien­ gulo. D. Manuel Aguilar, D. Manuel Estevez de Rivera, Don y 4 I nuevo , de la manz. 449, que se compone toda ella de 5,810 dan órdenes á todos los establecimientos ó corporaciones. Juan José Espinosa, D. Juan José Anguila Mateo Perez, Don pies cuadrados superficiales, vale 478,917 rs. en venta, en ren­ Las que particularm ente están com prendidas en esta dis­ Manuel Moreno, D. Agapito Balenzuela y D. José Meleodez, ta anual 50© rs., y está libre de farol y aposento, teniendo solo posición son las si…</t>
  </si>
  <si>
    <t>Perez, Juan Manuel</t>
  </si>
  <si>
    <t>Juan Manuel Perez</t>
  </si>
  <si>
    <t>…unta general de la sociedad para propagar y de los capitales de los censos que hoy se pagan á las parroquias, 251. Doña Juana Vela, viuda del promotor fiscal que fue hermaudadés y capellanías provistas y vacantes. dé'Cüeíláf D. Juan Manuel Perez, en igual pretensión. mejorar la educación del pueblo , celebrada el dia 4 de 191. Los profesores de farmacia de Cádiz , pidiendo la abo­ 252* El ayuntam iento de M u rc ia , quejándose de que se le Agosto de 1859, ó relación de las operaciones y progre­ lición del derecho llamad…</t>
  </si>
  <si>
    <t>Perez, Lesmes</t>
  </si>
  <si>
    <t>Lesmes Perez</t>
  </si>
  <si>
    <t>…INantes, los señores adjuntos, los individuos de la oficiua de que precipitadamente la administración del colegio Real , como también otras per­ salió el pequeño Napoleón encerraron en el fuerte, y acto continuo llería del Rey D. Lesmes Perez al frente de 21 caballos de su so n a ste distinción, se habian trasladado á toda prisa al colegio villa D. Ramón Llopis, comandante , que asi se llama el alcalde de dicha cuerpo, y 9 y 28 infantes de la partida volante, con objeto Dirigida por un alumno de laclase de retórica la músic…</t>
  </si>
  <si>
    <t>Perez, Luis</t>
  </si>
  <si>
    <t>Luis Perez</t>
  </si>
  <si>
    <t>…esidio, la Leona ó L u c ia , por Pedro Cabrera, en 4* TEATROS. Sale jueves y domingos á las ocho de la mañana en elegan- Otra i d . , loma del V ica rio , término de i d . , Potrillas, por tísimo papel y esmerada impresión. D. Luis Perez, en 6, V PR IN C IPE . H o y no hay f u ncion. Contiene artículos de teatros, de costumbres, de historia, Otra id., peñón N e g r o , término de Velez , Dolores, por anécdotas curiosas, noticias de vía je s n o v e la s cortas é intere­ José Gutiérrez, en 15. santes , teniendo particu…</t>
  </si>
  <si>
    <t>Perez, Mariano Nicolás</t>
  </si>
  <si>
    <t>Mariano Nicolás Perez</t>
  </si>
  <si>
    <t>…ores. Dado en Toledo á 22 de Noviembre al mayorazgo de Orozco y sus agregados, por el presente se cita de l859.=Laureano Gutierrez.zzPor mandado de S. S ., José llama y emplaza á los que sean tales, y especialmente á los re­ D. Mariano Nicolás Perez, catedrático de lengua fancesÉ María Gallego. presentantes de las memorias de Orbe y á D. Domingo Gon­ en este establecimieoto, dará principio á sus lecciones los mar­ zález Chavarri y los suyos, para que al término de 50 dias se tes y jueves, de seis á siete de la noche, des…</t>
  </si>
  <si>
    <t>Perez, Mateo</t>
  </si>
  <si>
    <t>Mateo Perez</t>
  </si>
  <si>
    <t>…nuel A g u ilar , D. M auel Estevez de R iv e r a , Don tas, con toda la parte baja de las paredes como vara y C ircu lar del m inisterio de H acienda para que la sección de Ju a n José E spinosa, D. Ju a n José A n g u ila , D. Mateo Perez, cu arta, son de hermoso m árm ol de un mismo c o lo r; las contabilidad de U ltram ar en dicho m inisterio tome razón de D . M anuel M oreoo, D. A gapito B aleozueia, D. José M elen— paredes colgadas de damasco carmesí , y los techos ad o r­ los títulos y cédulas que se expidan en ade…</t>
  </si>
  <si>
    <t>Perez, Matías</t>
  </si>
  <si>
    <t>Matías Perez</t>
  </si>
  <si>
    <t>…la r d e l lim o, ayuntam iento d e esta ciu d a d p o r e l d i­ al mismo premio. libertad de 60 personas. Pocos dias antes hubo igual resolución r e c t o r d e la so cie d a d ec o n ó m ic a d e am igos d e e s t e p a is D. Matías Perez, de once años de edad , D. Francisco R u a ­ too respecto a 70 individuos contra quienes no había lugar á a l d a r p rincipio á la adju dicación d e p r em io s á Los a lu m ­ no. de edad de doce, auxiliadores á la clase de monitores, por proceder. nos d e la es cu e la p rim a ria p o…</t>
  </si>
  <si>
    <t>Perez, Ramón González</t>
  </si>
  <si>
    <t>Ramón González Perez</t>
  </si>
  <si>
    <t>…ro . verdad hasta h o y , es no mas que lo que voy á referir á Y.: el miento, como su tesorero. jueves, ó mejor diré miércoles, cumpleaños de la Princesa, hubo Y para que no faltase su lugar á la escultura, el socio Don 101. D. Ramón González Perez , como alcalde constitucio­ baile de máscaras en el teatro , y estuvo tal cual concurrido en Juan Astorga ofreció al exámen del público un medio relieve, nal de Sevilla, acude al Congreso con fecha 50 de Marzo úl­ razón á haberse en aquel dia distribuido una paga: la noche que…</t>
  </si>
  <si>
    <t>Perez, Salvador María</t>
  </si>
  <si>
    <t>Salvador María Perez</t>
  </si>
  <si>
    <t>…boleras, á doce, llamadas del Marinerito. Bilbao, id. Valencia, par. 4.0 La comedia nueva , en un acto, q«e lleva por título E L Cádiz, i | d. Z aragoza, id. A R T IC U L O 9 6 0 , en la que la Sra. Baus desempeñará un pa­ D. Salvador María Perez, escribano de S. M . , del colegio Descuento de letras , á 6 por 100 al año. pel de hom bre, y D. José García L u n a uno característico. de esta ciudad y de ndtnero interino en la misma y su parti­ do &amp;c. Certifico: Que en el juzgado de primera instancia de esta ciud ad, y po…</t>
  </si>
  <si>
    <t>Perez, Vicente Juan</t>
  </si>
  <si>
    <t>Vicente Juan Perez</t>
  </si>
  <si>
    <t>…rección del Tesoro sobre las tesorerías de provincia.......................................................................... 2804000 que se trata de proveer. En libranzas sobre derechos de Duertas nara, naeo de vestuarios á D. Vicente Juan Perez________ ____________ 256 2 5 9 2 .. 7 En libranzas por cuenta de los víveres contratados para Bilbao y S. Sebastian.................................. 2000000 260 25147.. 15 MINISTERIO DE HACIENDA. Consignado en las provincias para pago de los víveres que consume el ejército en…</t>
  </si>
  <si>
    <t>PEREZD</t>
  </si>
  <si>
    <t>…spección de se pueden interesar cuestiones políticas. La manera de ejecutar Los Sres. Valdés y Armendariz hacen algunas aclaraciones. otra clase de intereses. una ley y de aplicarla puede ofrecer dudas, y hablo no solo de El Sr. P E R E Z DE R IV A S re opone al artículo, manifes­ El Sr. Q U I J A N A indicó que la cornision al redactar el a r­ una ley adm inistrativa, sino política también. En este caso los tando que no encuentra motivo por el cual deba negárseles á tículo habia tenido presente la necesidad de que se ado…</t>
  </si>
  <si>
    <t>…ate á que se pueda v o lv e r , á menos que el Sr. Perez de R iv a s no q u ie ra nuevamente hablar. están en manos del Gobierno esas n o ticias, por las cuales la publica, sino también de los mas apasionados parciales de El Sr. P E R E Z DE R .IVAS obtuvo la p a la b r a , y reprodujo a u to rid ad de C a ta lu ñ a ha restablecido la división económica los diversos bandos políticos que nos dividen. ligeram en te lo que antes h abía dicho. de las provincias ; que ha suspendido la venta de bienes n a ­ Un periódico hay que s…</t>
  </si>
  <si>
    <t>…re las actas de L u g o . E¡ Sr. M E N D I Z \ B A L dijo la pedia en este sentido. cho esa o f e r t a , y lo sé por u n a ilación lógica. Pues si existía El £&gt;r. C O R i IN A, defendiendo el dictám en de la com isió n, El Sr. P E R E Z DE R I V A S : Y o no h u b ie ra pedido la p a ­ esa proposición , y si no se contentaba en elia con d ar ocho m i ­ manifestó que esta no podia dejar de darle como veia el C on ­ labra á no haber oído al Sr. M in is tr o la in tro d ucció n y la c on ­ llo n es, sino que ofrecía hasta v…</t>
  </si>
  <si>
    <t>…dose h a n tomado las a r ­ neral para c on seg uir su propósito. justificado ese h e c h o ; solo se decía de o íd a s , y por esta razón mas en contra de las i n s t i t u c io n e s , á quienes se ha i n d u lt a d o . El Sr. P E R E Z DE R I V A S im p u g n ó el dictam en de la co­ solamente no podia aquel desaprobar las elecciones. Por lo m ism o , y o creo que el Congreso debe tom ar en conside­ m isión, fundándose en que la ju n ta de E sc ru tin io gen eral ex­ H a dich o tam b ién el Sr. C ortina que en los distri…</t>
  </si>
  <si>
    <t>PEREZDERI</t>
  </si>
  <si>
    <t>…que terminen de una tribuciones han procedido del error de no conocerlo a s i; y examinarla. los litigios interminables que por efecto de no poder hacer efec­ por los abusos de la curia que tenia que entender en esa clase E l Sr. P E R E Z D E R IV A S cree que el proyecto es ocioso é tivo el cobróse han entablado ante los tribun ales, se ha pro­ de negocios se han apoderado de ellos los escribanos, y se han inoportu no, y que lejos de ser conveniente es perjudicial. puesto la creación de una comisión en cada capital de prov…</t>
  </si>
  <si>
    <t>…, « apresura hoy a' felicitar á V. M. por la venturosa exposición,delen Sr. A rteta ; pero se ha encontrado aqui con una la que se dice que el Congreso se sirva declarar palabras las tomará el Gobierno en consideración. El Sr. P E R E Z D E R IV A S : El Congreso ha oido que el</t>
  </si>
  <si>
    <t>…ta de un juez togado, de esta manera, lejos de ser contrario á ¿ la segunda sección. vocación de sus anteriores dictámenes. el artículo constitucional, nace y está calzado sobre el mismo. Habiendo obtenido la palabra, dijo El Sr. P E R E Z D E R IY A S contesta que en efecto era cier­ Me parece que con esta observación debe desaparecer esa El Sr. PU C H E : En la sesión del 21 corriente anuncié una to cuanto habia expuesto S. S. acerca de la conformidad de la dificultad que se creia constitucional. interpelación al Sr. M in…</t>
  </si>
  <si>
    <t>…reglam ento, y que dando suno apoyo puesto puede menos de aprobar la admisión de dicho señor, poner á discusión la ley de ayuntamientos. al voto particular. la ley manda que para estos casos se libren exhortos. E n este El Sr. P E R E Z D E R IV A S creyó que podia el Gobierno tiempo ocurrieron los sucesos de Morella , en donde á un hijo Los Sres. Pidal y Arguelles hacen varias aclaraciones. manifestar su opinión respecto á la elección de alcalde, me­ mió le atravesaron un muslo de un balazo, y tanto por esto, al Congre…</t>
  </si>
  <si>
    <t>PEREZDERIVAS</t>
  </si>
  <si>
    <t>Hizo presente que el acta del d istrito de J a d r a q u e se pre­ El Sr. P E R E Z D E R I V A S : He pedido la palabra para des- constitucional. La comisión cree que esta solicitud debe pa'sar al sento le g a lm e n t e , pues fue firm ada por u n s e c r e ta r io , único h acer una e quivo cación del Sr. C o rtin a. Dice S, S. que el C o n ­ Sr. M in is tr o de G raci…</t>
  </si>
  <si>
    <t>…auto rizado p era lle v a r p r o v i­ G u a d a la j a r a . d a la ja r a . sionalm ente á cum p lim ie n to el artícu lo a n t e r i o r , d an d o c uenta Solo de un distrito se dice que todas las papeletas se escri­ El Sr. P E R E Z D E R I V A S a p o y a el d ictá m e n de la co­ á las Cortes á tiempo oportuno. bieron f u e ra del lo c a l; de los demas se dice que algu n o s so la ­ m isión. A r t. 5.° P a ra el arreglo de las d iversas p ro v in c ia s que com ­ mente. E l p rim e r d i s t r i t o , la comisión…</t>
  </si>
  <si>
    <t>Perfecto</t>
  </si>
  <si>
    <t>…a el gozo que ex­ Lugo 28 de Setiembre de 1839.=El presidente, J u a n de la perimentan al admirar los faustos sucesos ocurridos en el N or­ T ejera.= Juan Pardo y P rado.= M anuel V alcara y Saavedra.=: Habiendo solicitado D. Perfecto G an da rias, ministro elec­ te de la monarquía. Anhelosos de la consolidación de las insti­ to de la audiencia de Oviedo, y D. Ramón María Arrióla, que tuciones que rigen á la España , y que Y. M. ha sabido salvar José Saavedra y P ard o .n jo sé A nto n io Somoza.=Manuel M. sirve plaza d…</t>
  </si>
  <si>
    <t>Perfz, Félix</t>
  </si>
  <si>
    <t>Félix Perfz</t>
  </si>
  <si>
    <t>…terio de Guerra y Marina. =Ndinero 2.—Division de cuyo resultado no parece el mas favorable, pues el déficit llega operaciones =Ger*eral en gefe.—Excmo. S r.: Curnplieudo con las á 9133 libras esterlinas (22 823,000 francos). D. Félix Perfz ha presentado 3 8. M. por conducto del órdenes de V. F. de no atacar al enemigo hasta que estuviese Eí mismo Mr. Spriug-Rice ha anunciado á la Cámara que gefe político de Madrid un modelo de «scahra de U3*»ga por» cerca de Puebla , para que la fuerza de aquella ciudad auxilia­ en breve…</t>
  </si>
  <si>
    <t>Perií</t>
  </si>
  <si>
    <t>…________ La misma han solicitado los revoltosos del Í9 de M a y o deí gunas quemazones* año anterior en Aguasealientesu Desde ese punto mandé reconocer el campo, y se me avisó El presidente provisorio nombró gran mariscal del Perií a) Eu Valladolid se bao presentado el faccioso R o íd a y otros que los salvajes se hallaban ea la Lagun a de B ig u a l , adonde general chileno Boulnes; pero este no aceptó el nombramiento cabecillas de varios rumbos de ese departamento desgraciado. inmediatamente dirigí mi marcha ; pero des…</t>
  </si>
  <si>
    <t>Permantin.rzA, Francisco de Paula</t>
  </si>
  <si>
    <t>Francisco de Paula Permantin.rzA</t>
  </si>
  <si>
    <t>…le ha regalado en cambio El premio de conducta, que es el primero del colegio, su ad­ se componía de barcos g r a n d e s , y las baterías en las cu­ tina caja de oro para tabaco f cuya tapa representa la iglesia de judicó á D. Francisco de Paula Permantin.rzA. L, biertas mas altas; error d e construcción que favoreció m u ­ San Pedro en mosaico, de un trabajo precioso , y ademas las cho á los ingleses, q u e con sus barcos pequeños y bate­ medallas de los fa s le poníij¡cali. Estas medallas se funden to­ rías bajas podi…</t>
  </si>
  <si>
    <t>Pero</t>
  </si>
  <si>
    <t>…Toledo. literaria, y de nuestras costumbres. nidas en este último tomo. En la página 164 y siguientes se habla de los agüe­ Acerca de los trajes, asi de hombres como de muge- ros, y se copia un hermoso pasaje de la crónica de D. Pero res, hay varias notas con motivo de los pasajes de Cervantes, Niño lleno de reflexiones juiciosas y filosóficas muy su­ en que se hace mención de dichos vestidos. Es muy nota­ periores á las luces del siglo en que se escribieron. A la MADRID 1 7 DE NOVIEMBRE. ble la de la página 15 , porque en…</t>
  </si>
  <si>
    <t>Pero, Burdeos.</t>
  </si>
  <si>
    <t>Burdeos. Pero</t>
  </si>
  <si>
    <t>…ste ejército y reino con fecha 1.° del actual paz que tanto necesita. Se asegura que en el próximo consistorio se hará mención me dice lo que copio : Dígnese admitir V. M. la expresión sincera de los senti­ especial del duque de Burdeos. Pero se dice que aquel no se ve­ A las seis de la tarde llegué á este punto, en el cual per­ mientos que animan á los que suscriben como un reconocimien­ rificará hasta Í84O. Se le ha predicho al Papa que debe morir nocté, to de su deber, y en corroboración de lo que esta diputación este añ…</t>
  </si>
  <si>
    <t>Pero, Considine.</t>
  </si>
  <si>
    <t>Considine. Pero</t>
  </si>
  <si>
    <t>…que el año anterior los en la cima de una montaña inmediata , muy concurrida por devotos del pueblo. Van á ella en procesión, y bajan des­ repugnancia á adoptar un candidato presentado igualmente tuvo para no adm itir al coronel Considine. Pero como lord pués con pasos mesurados serpenteando á lo largo de los costa­ por sus antiguos adversarios. Pedían que se votase la concien­ Ponsomby haya desplegado en este asunto bastante energía , to­ dos de la montaña , ya ocultándose por la arboleda, ó por un cia de cada uno; mas se…</t>
  </si>
  <si>
    <t>Pero, Pedro.</t>
  </si>
  <si>
    <t>Pedro. Pero</t>
  </si>
  <si>
    <t>…co: su mé­ en hacer una reseña de las obras ejecutadas en el mismo Alcá­ para galan joven en reemplazo del Sr. Romea. Notábasele al todo de canto es excelente, y su voz, aunque escasa, agradable. zar con posterioridad á las de D. Pedro. Pero antes pasemos al nuevo actor la timidez y el encogimiento propios del que por El segundo tampoco pareció m al, á pesar de que su acción no piso alto, en donde se encuentran restos en casi todas las h a ­ primera vez sale al te atro ; pero en el curso de la representa­ fuese in u y propia…</t>
  </si>
  <si>
    <t>Perrot</t>
  </si>
  <si>
    <t>…rcera división en Mezieres: S. A . R. el duque de N e­ que sea dicho en justicia nadie acata tanto como S. M. En el número de los consejeros entran los M in istro s, el d i­ mours ; gefe de estado m a y o r , el teniente coronel Perrot. P r i ­ Los hechos referidos y estas inducciones que de ello se rector general de montes &amp; c ., el conde V o n -d e r-D e c k e n , el mera b rig a d a , Bourkolz, mariscal de ca m p o ; segunda b rig a­ saca son sumamente inexactos, y el respeto y veneración conde de Holberg-Soeder. da ,…</t>
  </si>
  <si>
    <t>Pesos, Ventura de la Vega. Premios.</t>
  </si>
  <si>
    <t>Ventura de la Vega. Premios. Pesos</t>
  </si>
  <si>
    <t>…os redactores del E n trea cto son: fuertes, en la forma siguiente: rnino que está á tiro de fusil de aquellas; anadian que en todo D. J uan Eugenio Hartzembusch. aquel día quedarían dichas casas de Ramales en nuestro poder, D. Ventura de la Vega. Premios. Pesos. pero que serian solo sus escombros, porque los rebeldes las re­ D. Patricio de la Escosura. ducirían á cenizas antes de abandonarlas; sin embargo que con D. Juan del Peral. 1............ . . d e . . 12000 ps. fs___ 12000 aquel paso conseguirían nuestras tropas…</t>
  </si>
  <si>
    <t>Pesquera</t>
  </si>
  <si>
    <t>…bastante confianza en el apoyo de la Gutiérrez Sigler. El alcalde presidente de Loscarabeoa, F ra n - S Fracia y de la Inglaterra para desafiar la cólera rusa. Es sor­ nortante salud. cisco Rodríguez Navamuel.zrEI presidente de Pesquera, M a - § prendente y dolorosa la incuria con que los representantes de las nueí Martínez Rubio. = Et alcalde de Cinco V illa s , Cosme G u - 1 decnas Potencias han manejado en este pais los intereses euro­ tierres.^El alcalde presidente de V aiderredib le, Vicente de 9 peos y la indiferen…</t>
  </si>
  <si>
    <t>Pestaña, Alvarez</t>
  </si>
  <si>
    <t>Alvarez Pestaña</t>
  </si>
  <si>
    <t>…ores, yo creia que se debia im p u gn ar Por V a le n c ia : Sr. Ciscar y Odriola. forme con el parecer del Consejo de M in istro s, le habia auto­ el d ictám en, diciendo: aqui está la ley. El Sr. Osea ha hecho Por Orense: Sr. Alvarez Pestaña. rizado para presentar á las Cortes, el c u a l , después de un breve la im pugnación diciendo que la ley no dice lo que debia decir: Por Zamora: Sr. duque de Castroterreno. preámbulo, comprendía los dos artículos siguien tes: no ha contado mas que la mitad de la historia del a r tí…</t>
  </si>
  <si>
    <t>Pestaña, José Aivarez</t>
  </si>
  <si>
    <t>José Aivarez Pestaña</t>
  </si>
  <si>
    <t>…ha felicitado surar el sistema rentístico propuesto en el discurso regio. P a­ á S. M. una comisión en nombre de la audiencia de la Coruña, rees que se ha desistido de toda oposición, porque ni un solo compuesta de los Sres. D. José Aivarez Pestaña , D. Joaquin PAR TE RECIBIDO EN LA SE CR E T AR IA DE ESTADO ápice se ha intercalado en la contestación. Nunca respuesta fue Eugenio de Castro y D. Francisco A gustín Silvela. mas benigna ; nunca se ha escrito discurso menos significativo. T D E L DE SPACHO DE L A G U E R R A…</t>
  </si>
  <si>
    <t>Pestaña, José María Alvarex</t>
  </si>
  <si>
    <t>José María Alvarex Pestaña</t>
  </si>
  <si>
    <t>…deos 22 d é Agosto, in te rro g a d o s, contestando con la m ayor p ro n titu d ’ y despfjo, Córdoba á D. José Espinosa de los Monteros, y por la de no solo en la parte teórica de las materias referidas, sino en la Orense á D. José María Alvarex Pestaña, reelegidos por El d uq u e de O r le a n s h a regresado á Burdeos a l a s diez. practica, mereciendo todos ellos una general aceptación de eita las mismas: por la de Alava a D. Iñigo Ortés de Velasco, 8. A. R. saldrá mañana temprano para la Teste. D u r a n t e ilustre…</t>
  </si>
  <si>
    <t>Petersburgo, José</t>
  </si>
  <si>
    <t>José Petersburgo</t>
  </si>
  <si>
    <t>…s, dirigiéndolas francas de porte por todo el Jas com unica&lt; iones entre &lt;uretra cap ital, Coustaotinopia , S»n tes de consentir en ninguna especie de transacción se reunirían próximo mes de Marzo al secretario de gobierno Dr. D. José Petersburgo , Lú-»dres y Paris; y .si bien 00 lian podido enten­ á la Fiancia. Han adoptado por divisa: V encer ó m orir. Ha­ Lastells, ó al infrascrito, que lo es de correspondencias exlran- derse aun las Potencias sobre la proposición que tiene por obje­ biendo sabido lo &lt;;ue pasaba el Infant…</t>
  </si>
  <si>
    <t>Petra</t>
  </si>
  <si>
    <t>…crimen de su juz­ L U C R E Z IA B O R G IA , que se ha difundido entre los individuos de todas las opinio- gado D. Manuel Fernandez de Pazos, se cita , llama y emplaza visa’da'16 ” reU" eQ ®4U Urde *“ una comida ¡a*pro- á Doña Petra H ernández, viuda de D. Andrés R am os, mayor adornada con el aparato correspondiente. de plaza que fue en la villa del F erro l, cuya habitación se ig ­ «L a puerta del Sol se halla llena de gente que con sus pala­ nora t para que tan luego como llegue á su noticia este anuncio bras y adem…</t>
  </si>
  <si>
    <t>Petronila</t>
  </si>
  <si>
    <t>…premio por su magnífico metrosideros: otras varias Pedro García Torrebesano, implorando la protección y amparo macetas ha presentado también que prueban su buen gusto é Total cargo 102859.. 27 de la misma en favor de su hija Doña Petronila , dedicada á inteligencia en el cultivo. la escultura , presentando al efecto un bajo relieve en cera que El Sr. A lfaro, con variados y curiosos ingertos , ha reuni­ DATA. presenta la ruina de Troya , y fue sacado de una estampa co­ do en una sola maceta los cactos, que por sus flores so…</t>
  </si>
  <si>
    <t>PEZ, LO</t>
  </si>
  <si>
    <t>LO PEZ</t>
  </si>
  <si>
    <t>…rti­ presado en el otro cuerpo la cláusula unidad constitucional P a r ís , 1 6-6. G r a n a d a , id. id. dos h ay hombres de bien? cuando se trató de la ley de fueros, y á S. S. no le satisface la M á la g a , ¿ á | id. El Sr. LO PEZ : El Sr. Ministro de Gracia y Justicia supo­ explicación que alli di en nombre del Gobierno: este dijo que Santander, $ b. ne una -cosa que yo no he dicho : el argumento que he hecho creía salvarse la unidad de una cosa salvando los principios que A lic a n te , \ b. S a n tia g o , 1£ á 2 d.…</t>
  </si>
  <si>
    <t>Peza.zrSon</t>
  </si>
  <si>
    <t>…maestros de las escuelas ordinarias para la educación do sidentes de Acajete.=Es copia.=Guartel general de Acaj*te, encontrado papeles importantes, de los cuales en la cama , se han niños pobres. Mayo 5 de 1859 = J u a n de ,D. Peza.zrSon copias. Méjico 4 de que ia autoridad procederá á hacer otras prisiones. s« dice resultará Las escuelas particulares se distinguen en escuelas de se- de l8 3 9 .= J. Velaaquez de León. v Los dias an­ {Alcance al Diario de Méjico.} teriores han corrido en Marsella los rumores mas absurdos…</t>
  </si>
  <si>
    <t>Peña</t>
  </si>
  <si>
    <t>…io su­ El Sr. Presidente suspendió esta discusión. píritu de partido, ni color alguno político. Unos que yo puedo yo, sino de los electores. Y pregunto yo: y los que se han nom­ Entró á jurar y tomó asiento en el Congreso el Sr. Peña llamar ahora conservadores de la antigua práctica y jurispru­ brado Diputado siendo oficial de la secretaría , pueden dejar Aguayo. dencia que se habia ido estableciendo en el Congreso, dijeron: de nombrarle cuando ha pasado á magistrado? ¿ Y es mas in­ Se leyó un oficio del Sr. Presidente int…</t>
  </si>
  <si>
    <t>…, es carlista ; pero ese no El Sr. A R G U E L LE S dijo qae si hubiera estados preparado r~\ICCIONARIO de hacienda p o rD . José C anga A rguelles, y firmó la representación: ¿pero cómo había de firm a rla , señores? como el Sr. Peña A g u a y o , no le cedería el triu n fo aun cuando observaciones sobre la h istoria de la guerra de España, Los carlistas encubren interiorm ente sus m aquinaciones para no se considera rendido. por ¡el m ism o: se vende en la lib rería de Sánchez , calle de cuando pueda llegar su triu n fo ;…</t>
  </si>
  <si>
    <t>…ntiguas colonias, do una aseveración im portante; ¿ y es conforme esa aseveración La causa verdadera que ha existido siempre para que el y enviado el Gobierno expediciones respetables bajo el mando con lo manifestado por el Sr. Peña A g u a y o , á lo que S. S. no Pontífice no remita las bulas, es la misma ; la cláusula que pa­ de M orillo, necesario era que se reuniesen y que dejasen para ha contradicho? Para tachar las disposiciones gubernativas por rece indecorosa, es porque evitaba el Papa el reconocimiento de despu…</t>
  </si>
  <si>
    <t>…ción en asuntos de m enor El Sr. Secretario del D espacho de H A C I E N D A : El G o - cu aitfíá dúte. dos y tres .tribunales* batallas, q u e las q u e h u b ié r a m o s p o d i d o ga n a r c o u todas bíérnó agradece al Sr. Peña A g u a y o que la primera vez que ha Entiió el .Sr. .M in istra de H acienda en el salón. las pro fe sio n e s de fe política dad as p o m p o s a m e n t e en el tom ado S. S. la palabra le haya negado su v o t o , y que esta ne­ E l S E F U E N T E S contestó q u e d e accederse á la prim…</t>
  </si>
  <si>
    <t>…rarán la comisión que ha de le dio principio un dúo de la Lucía , ejecutado por la señorita han decidido al Liceo á adoptar una resolución que propor­ redactar el proyecto de contestación al discurso del trono. de Castro y el Sr. Peña: de este podemos decir que á pesar de cione el número de concurrentes á la capacidad del local , al La Cámara de los Pares, según costumbre, nombrará el la timidez/ que en él se notaba , harto natural en quien por pri­ cual no entrará ya persona alguna sin papeleta. De esta suerte primer dia l…</t>
  </si>
  <si>
    <t>PEÑA</t>
  </si>
  <si>
    <t>…E SID E N T E anunció que quedaban publicadas Se leyó el art 5.° llería por la otra en que se batia Extrem adura , logré que es­ como leyes y se a rc h ivaría n . carmentados en todos puntos los rebeldes no incomodasen con El Sr. PEÑA Y A G U A Y O : Señores, he aprobado con s a ­ Se dió cuenta de que la com isión encargada de in fo rm a r so­ tisfacción los cuatro artículos anteriores de este proyecto de ley, sus ruegos la marcha de las tro p as, las que dispuse se acanto­ bre la proposición del Sr. Senador Caam año P a r…</t>
  </si>
  <si>
    <t>Peña, Antonio Carrion</t>
  </si>
  <si>
    <t>Antonio Carrion Peña</t>
  </si>
  <si>
    <t>…n beneficio; y concluye MADRID 2 1 DE OCTUBRE. fijo del anuncio. manifestando que el mejor medio seria abonarles en metálico esa cantidad , porque asi recibirian un socorro efectivo que no dejaría de aliviarles. El capitán D. Antonio Carrion Peña, vecino de la ciudad TEATROS. El Sr. R O D R IG U EZ L E A L , como de la comisión, con­ de M álaga, y residente en esta corte, cuya habitación se igno­ testó á las observaciones del Sr. Madoz, manifestando que S. S. ra , se servirá presentarse deutro de tercero dia en la escr…</t>
  </si>
  <si>
    <t>Peña, Argiielles. El Sr.</t>
  </si>
  <si>
    <t>Argiielles. El Sr. Peña</t>
  </si>
  <si>
    <t>…última prueba que nos puede quedar. iuexactos los principios de derecho canónico que ha sentado el como clérigo particular, es contraria á los cánones y á las leyes. Como apéndice al apostrofe añadió una circunstancia S. S. Sr. Argiielles. El Sr. Peña A g u a y o , habiendo dado una razón El Sr. Arguelles nos citó una disposición del concilio que es que envuelve una grave cuestión, la cual puede conducirnos á exacta y sujeta á las disposiciones canónicas que la materia exi­ el cap. 5.° de la sesión 24 9 y nos dijo que segú…</t>
  </si>
  <si>
    <t>Peña, Manuel</t>
  </si>
  <si>
    <t>Manuel Peña</t>
  </si>
  <si>
    <t>…consis­ sentan garantías, como verá V. por la lista siguiente: amorosa. La causa de esta desgracia ha sido ua joven y bellc toriales á las once de la m añana, donde ha de celebrarse la se­ Alcaldes: D. José Varela , abogado: D. Manuel Peña, id. lazarooi de 19 años. {Id.) sión de la instalación de la sociedad. Regidores: D. Juan Patricio Sebastian, comerciaste: Don Juan de Mata Escolar, hacendado: D» Casimiro Calle: D. So- BASES DE ORGANIZACION DE LA SOCIEDAD. tero Sabaaz», comerciante: D. Francisco Gómez, carpintero, c…</t>
  </si>
  <si>
    <t>Peñaranda, Fernando María</t>
  </si>
  <si>
    <t>Fernando María Peñaranda</t>
  </si>
  <si>
    <t>…el pasado M ay o , y el papelucho Rey nuestro Señor de una instancia de su mayordomo de se­ es posible presentarle la b atalla, y solo sí irle conteniendo , y que me citaba en ella. S. M . agradece las intenciones con que mana D. Fernando María Peñaranda , encargado en Gosport de tratando de destruirle conforme vaya internándose: bien veo este papel se le ha e n viad o , y se ha desengañado á su lectura )a custodia del cadáver de la Reina Doña María Francisca de que no pasará de la línea exterior que ocupa , á pesar de su si…</t>
  </si>
  <si>
    <t>Pfiffer</t>
  </si>
  <si>
    <t>…de la man­ los que no entienden ambas lenguas. cabeza con una calabaza. zana? Esta es la pregunta que os dirigen muy formalmente Se ve pues , que el inconveniente del bilingüismo se re­ No hablaré del famoso relieve del general Pfiffer, porque muchas personas como si una tradición popular hubiera de ser duce á muy poca cosa, sobre todo cuando los Diputados están ¿qué podría yo decir de él? Tampoco diré nada de la catedral verdadera. ligados por instrucciones especiales. En las deliberaciones en que ni de la capa de San L…</t>
  </si>
  <si>
    <t>Philimore</t>
  </si>
  <si>
    <t>…Lo que se avisa al público para su debido conocimiento* muertos en el campo en los diferentes encuentros que estas han Gouksffsky y al vizconde Torrington. tenido con la facción los rebeldes Domingo González, de A lge- El doctor Philimore pronunció en seguida un discurso en ciras; Antonio Guzman, de Aldea del R e y ; Zoilo M ontes, de honor de S. A . I .,é hizo que dos alguaciles pusiesen en manos de A benoja; Remigio Torrejon, de Villarubia de los O jos; San­ los vicerectores el diploma sellado con el gran sello de la univ…</t>
  </si>
  <si>
    <t>Pi, Ildefonso</t>
  </si>
  <si>
    <t>Ildefonso Pi</t>
  </si>
  <si>
    <t>…arido que de Doña María Fernandez (que residía en Madrid el mes de la grande obra de que él no ha podido dejar mas que el d i­fingida inclinación á Carlos, á quien los celos han hecho de Marzo de 1822), que pueden dirigirse á D. Ildefonso Pi­ seño, y buscar en sus yernos unos auxiliares y firmes apoyos. discreto con harta prontitud y solo por la gracia del poe­ queras, vecino de la ciudad de Toledo, quien les comunicará N o hay la menor duda que ha pensado en ello, mas la in ­ta ; el melindre con que se deja besar la mano…</t>
  </si>
  <si>
    <t>Pi-, José</t>
  </si>
  <si>
    <t>José Pi-</t>
  </si>
  <si>
    <t>…común. pones. el escribano de S. M., del colegio y juzgado D. Manuel En esta obra, que se halla dividida en cinco partes, se da Inscripciones en el gran libro á 4 Por 100, 00. Fernandez de Pazos, se cita , llama y emplaza á D. José Pi- una extensa noticu de las antigüedades del m en ci o n a d o Real ñeiro y D. Juan Manuel Bonilla, vecinos de esta corte, cuyas sitio, formación del bosque Real, y agregaciones á Aranjuez Títulos ai portador del 4 por 100, 24£ á 58 d. f. 6 vol. a habitaciones prima de L por 100 con cupones…</t>
  </si>
  <si>
    <t>Picado, Pedro</t>
  </si>
  <si>
    <t>Pedro Picado</t>
  </si>
  <si>
    <t>…0 al año. Patencia 21 de Julio. El valiente y denodado sargento 2.° buenaEstaimpresión, obra constará de 24 á 25 pliegos en octavo m ayor, de que se dividirán en cuatro ó cinco cuader- del primer batallón franco de Castilla D. Pedro Picado, des­ u o s, los cuales se entregarán tacado desde Carrion con una columnita de 15 caballos y ocho criptores: está ya para concluirse sucesivamente á los señores sus- el primero. te a tr o s. infantes para perseguir á los cabecillas Bey y Escalera , y el mismo que les dió alcance y…</t>
  </si>
  <si>
    <t>Picardo, Benito</t>
  </si>
  <si>
    <t>Benito Picardo</t>
  </si>
  <si>
    <t>…endido á lis numerosas 2o p. arcia : Jacinto Ibañez: D. Mariano Adán: D. Loren- dia el Senado mandar se lleve á efecto la suspensión de dichos reclamaciones que hubo por haberse disuelto el dia 17. ii p rra: Luis Igartuburu: D. Benito Picardo: D. Grego- proyectos de ley ó reglamento, conforme lo acordó en la legis­ Que no habiendo llegado á noticia de aquellos electores su atabal: IX Pedro Martínez:. D. Matías Oiave; D. Manuel latura anterior en igual caso. expulsión hasta el 21 , no pudieron hacer valer su derecho ha­ d…</t>
  </si>
  <si>
    <t>Picó, Antonio</t>
  </si>
  <si>
    <t>Antonio Picó</t>
  </si>
  <si>
    <t>…r mortal al suelo, Una mina plomiza , en sierra de Gador , barranco del Poyo, ojos son negros, y el pico delgado y derecho, encorvado no le ataca el hambriento buitre hasta confederarse toda término de Huerca! , la P ura, por D. Antonio Picó , en 11. un poco hacia la punta. El color blanco de las plumas no una bandada. Destituido de generosidad, sé lanza sobre el Otra id , id., barranco del A» tesón , térmiuo de Benadux, viene sino después de muchas m udanzas; al principio son inocente polluelo que se ha retirado de la pr…</t>
  </si>
  <si>
    <t>Pida</t>
  </si>
  <si>
    <t>…de. p.ijci|.q.r:ia .. J^ucirañ á que devolviese lo que hubiese recibido de mas. tando á las observaciones del Sr. L u ja n , y concluye diciendo': L a música ha sido expresamente compuesta por el ¡maestro Don A petición del Sr. Pida I , se declaró el punto su fi cien temen- ¡ que cuando se discuta esta ley por artíc ulos, la coro i sie n , en R,a moa ■Car n icer; y... los ha i les. insrjM^dm^jL .diogidos ■, te discutido, y fue aprobada el dictamen de la. comisión ea es­ vista de las reflexiones de los señores que los impu…</t>
  </si>
  <si>
    <t>…Lucini* que pedí la palabra, con las que me han ocurrido al oir la exac­ T raída esta cuestión al terreno en que y a está , y habién­ La música ha sido expresamente compuesta por el maestro Don ta y profunda impugnación del Sr. Pida!. Desde luego que vi dole dado una nueva fisonomía el Sr. Martínez de la Rosa , ne­ Ramón C arnicer; y los bailes inventados y dirigidos por Don este proyecto , rae asaltó la idea de que parecía un proyecto cesario es que yo cambie de rumbo; y puesto que S. S., hon­ Antonio Cairon y D. Ju an B…</t>
  </si>
  <si>
    <t>Pida, D. Pedro José</t>
  </si>
  <si>
    <t>D. Pedro José Pida</t>
  </si>
  <si>
    <t>…ero entusiasmo por Se leyeron asimismo y pasaron á la comisión de Actas, la •Á ProPa§a^au Hama devoradora de la insurrección tan faustos acontecimientos, rogando al Todopoderoso conser­ del distrito de Aquiles que remitía el Sr. D. Pedro José Pida!, l ! 00111 f)as*on estéril ó quizás del insultante despre- ve la preciosa vida de V. M. tan dilatados años como su leal­ Diputado electo por Oviedo, y una exposición de la D ip uta­ °c ffiismoi que se gozaran eu nuestra mortal agonía, tad y amor desea. ción provincial de la mis…</t>
  </si>
  <si>
    <t>Pida, P. J.</t>
  </si>
  <si>
    <t>P. J. Pida</t>
  </si>
  <si>
    <t>…verso 6, se teo del dia 10. Observaciones sobre la poesía dramática, y en especial so­ /encuentra la falta que hemos encontrado en el Evangelio NÚMEROS. PREMIOS. ADMINISTRACIONES. bre el precepto de las unidades, art. 2.°^Por D. P. J. Pida!. según San Lucas. Anás fue nombrado sumo sacerdote po­ La historia considerada como ciencia de los hechos. cas semanas después de la muerte de Jesucristo. 5.725... ¿ , 8000; ps, fs.. Madrid. Orillas del Pusa.z=Poesía.=:Por D. Ventura de la Vega. Ahora bien, en las Actas de los Apóstoles…</t>
  </si>
  <si>
    <t>Pidal</t>
  </si>
  <si>
    <t>…o ello, sino por personas enemigas del conde; y que si el Sr. Iz- elsinCongreso,hacer de que sin ser responsable de lo acaecido en Cádiz, y dice ninguna manera apología de los hechos, y sin que se refiere al testimonio del Sr. Pidal acerca de lo nardi conociese personalmente al conde , desde luego no le su­ prejuzgar la cuestión, el Gobierno tome la palabra cuando se que en la cuestión de estados de sitio manifestó. pondría capaz de semejante bajeza. de un empleado suyo. No se empeñará el Gobierno en neteQue su opinión…</t>
  </si>
  <si>
    <t>…creia hacer, por parecerle dos ha sido impugnado este artículo, pues veo con sorpresa que El Sr. V A L D E S : Dice el artículo que se discute (leyó.) Yo que estaba confuso el articulo. Que si se dice que haga el a y u n ­ el Sr. Pidal dice que agraviamos á les ayuntamientos descon­ quisiera que la comisión tuviera la bondad de decirme que en­ tamiento el repartimiento, está conforme; pero que si señala al­ fiando de ellos y agregándolos como hemos hecho cierto n ú ­ tiende por otorgar peticiones, porque si esto quiere decir…</t>
  </si>
  <si>
    <t>…a to s , lo v e ­ El Sr. Q U I N T O : H abía pedido la palabra en pro d é l a pro ­ gumentos y esforzar mis raciocinios. rificarán en el salón de las sesiones del Senado en los mismos posición que se d isc u te; mas como el Sr. Pidal no la ha com ­ El orador lee una Real orden de 27 de J u n i o del año próxi­ términos que los demas S en ad o res; pero sera'n recibidos fuera batido en manera a l g u n a , creo que no debo e n trar en la cues­ mo p asa d o , por la cual se manda al obispo electo de M á la g a del salón po…</t>
  </si>
  <si>
    <t>…glaterra se votan de las rentas del Estado los gas­ ta el dia. traería de obrar con justicia. to®* y que si hay sobrante hay consolidación, y si uo no, se da Se leyó la lista de las peticiones presentadas desde la ú lti­ El Sr. Pidal ha indicado si la declaración de grandeza en nada. ma de que se dio cuenta al Congreso, las cuales pasaron á la el conde de Toreno debe mirarse como gracia ó como un acto Que si la amortización sirviese para consolidar y dar eré* comisión. de rigorosa ju stic ia, y yo pregunto: ¿puede la cor…</t>
  </si>
  <si>
    <t>…traba S. S. de Ministro de Gracia y serán por efecto de la ley , mas 110 de la arbitrariedad. desde el dia 12 del presente, y pasaron á la comisión. Justicia. Por consiguiente no ha podido menos de tener parte en Ha dicho el Sr. Pidal que las primeras medidas excepciona­ Fue tomada en consideración y pasó á las secciones una las resoluciones de aquel Gabinete, el cual aprobó todas las re­ les, fueron las que adoptó el partido del progreso. Hay una proposición de ley del Sr. Maldonado, cuya lectura estaba au­ soluciones to…</t>
  </si>
  <si>
    <t>…omisión no lo ha El Sr. PRESID EN TE: Continúa la discusión pendiente habiéndose sucedido diferentes m inisterios, y renovados los hecho porque está persuadida deque aunque no conste en la ley, sobre estados excepcionales; el Sr. Pidal quedó con la palabra cuerpos colegisladores según el método de elección que ha sido no tienen derecho esas juntas para sacarlas de allí. ea (a últim a sesión. adoptada , siempre han existido estas leyes sobre estados excep­ Con respecto á tas observaciones acerca del beneficio que se El Sr. P…</t>
  </si>
  <si>
    <t>…toinar en el año 8 al 10 ni eu adelante. Se mandó pasar á la comisión las adiciones que proponia el dicha l e y , la ha exam inado, y no halla inconveniente en que Pero, señores, ¿son nuestras circunstancias hoy como eran en­ Sr. Pidal a varios artículos del proyecto de ley sobre estados ex­ el Congreso la apruebe, suprimiéndose la cláusula de wnota ex­ tonces? ¿ Acaso todos los españoles no quemábamos entonces in ­ cepcionales. presiva de sus méritos y circunstancias” que contiene dicha cienso en una misma sala? ¿ N o tremo…</t>
  </si>
  <si>
    <t>PIDAL</t>
  </si>
  <si>
    <t>…previsión mas que del hecho de poderse tu rbar la paz, y de poder pasar raciones. del legislador no tiene una ley á preve ación para cualquiera de a u n estado de g u e r r a , entonces este hecho no puede ser a s u n ­ E! Sr. P I D A L : El Congreso conocerá que según nuestras estos dos casos? Pues qué, cuando la salud del IGtado esté ame-* to de nuestra determinación ; es u n hecho que desgraciada­ opiniones, no es verdaderamente el art. 1.° el que se discute, nazada , ¿estarán siempre las Cortes abiertas? Y aun cuando…</t>
  </si>
  <si>
    <t>…pensión á la traerte en sus tareas ni entorpecer sus resoluciones: solo una tiempos calamitosos se dedican i este comercio , ai les prohibía viuda del mariscal de campo D. Froilan Mendez Yigo. especie de alusión hecha por el Sr. Pidal sencillamente acerca este modo de ganar su subsistencia subiendo los derechos de ex­ Se leyó dicho dictamen, el cual contenia un solo artículo de! estado de la causa , por no haberme presentado en Sevilla, tracción, los iba á poner en la necesidad de pasarse á la facción que dice asi: es ei ú…</t>
  </si>
  <si>
    <t>Pido, Ondovilla.</t>
  </si>
  <si>
    <t>Ondovilla. Pido</t>
  </si>
  <si>
    <t>…mento provisional para la administración de justicia. presentes á este acto, ( Dehats .) Leida dicha regla 2.a (Erase la G aceta d e a y e r ) , se leyó MINISTERIO DE LA GOBERNACION DE LA PENINSULA. la siguiente adición del Sr. Ondovilla. Pido que en el párrafo l.° de la disposición 2 .a, se sustitu­ Cuarta sección. Circular . Esta mañana ha habido Consejo de Ministros. A la noche y a en lugar de las palabras "en todas las in stancias,” las si­ se celebrará otro después que se haya leido al Rey la contesta­ guientes: "e…</t>
  </si>
  <si>
    <t>Pie</t>
  </si>
  <si>
    <t>…cino de Madrid, para que dentro de 30 dias, contados desde la cesario para su cumplimiento.^Está rubricado de la Real fecha de este anuncio, se presenten en dicho juzgado y escri­ m ana En Palacio á 22 de Febrero de 1839.= A D. Pie banía á deducirle, bajo ae apercibimiento, que pasado dicho Pita Pizarra D ON Juan de la Cuadra, intendente de esta provincia y sub­ término se procederá á lo que haya lugar. Dado en Chinchón delegado de Rentas de este partido &amp;c.=Por «1 presente á 19 de Febrero de 1839.=Antonio de Valenzuel…</t>
  </si>
  <si>
    <t>Piedra</t>
  </si>
  <si>
    <t>…gata Infatigable de S. M. CRUZ. A las ocho y media de la noche. Se pondrá en siendo su comandante Sir Eduardo Pelew^tocó en una escena la ópera nueva en dos actos, titulada » Una carta francesa, anónima y sin fecha, general del Piedra á las inmediaciones del Cabo Finisterre. Entiendo At amico setentrional pone un Bajo 45 millas al S 5o O que el suceso se ha negado, aunque aparece ser cierto; GABRIELLA DI VERGY, e ¿abo San Vicente con este membrete «Piedra anega­ pues tengo ahora un informe, en que puedo confiar, dado mús…</t>
  </si>
  <si>
    <t>Piedras</t>
  </si>
  <si>
    <t>…65 decretado en dicha entre muertos y heridos, cuando la de los federalistas fue insig­ toda su habilidad en disimular, ocultar ó abjurar sus convic­ le y , se ha servido S. M. mandar se reencargue á los ca­ nificante. El general Piedras parece también que tuvo la desgra­ ciones. Hace diez años el órden constitucional estaba amenazado pitanes generales, y demas autoridades civiles y militares, cia de caer prisionero, y fue pasado por las armas. que entienden en la ejecución de las operaciones de re­ Eu uua carta de Nueva Or…</t>
  </si>
  <si>
    <t>Pientas</t>
  </si>
  <si>
    <t>…26 . Febrero últim o... tEn papel de varias clases.......................127190585. . lo) M adrid................................ A J \.'irfV_/ s j Ld X-l- 0 • Aé s-/ 429900 35905 465805 Por entregas de la dirección general de Pientas. 64058274- .22 ] Málaga................................ 1510350 47949.. 19 1558299..19 579854.. 16 .................... Por id. de la dirección general de Loterías................................ M u rc ia ............................. 12651. . 16 483950 2872..17 499475.. 55 Por id. de la…</t>
  </si>
  <si>
    <t>Piferrer, Juan Francisco</t>
  </si>
  <si>
    <t>Juan Francisco Piferrer</t>
  </si>
  <si>
    <t>…Caballer, escribano de Cámara. pueblo ea que actualmente se halle ó h aya fijado su residencia. tes puntos. M adrid, casa referida de la viuda de Cruz: Barce­ 2.a Informe de la Real chanciilería de Valladolid sobre las lona, D. Juan Francisco Piferrer: Coruña, D. José María Pé­ Causas de estupro. rez: Granada, D. Manuel Sanz: Sevilla, D. José Hidalgo y 3.a Recurso de fuerza-en el conocer y proceder. Reflexiones compañía: V alencia, D. Ju an Bautista Jim e n o : Zaragoza, tobre la instancia seguida por D. Juan Raroon balid…</t>
  </si>
  <si>
    <t>Pigera, D. Benito</t>
  </si>
  <si>
    <t>D. Benito Pigera</t>
  </si>
  <si>
    <t>…ación se no ocupado por este prelado, á quien el dolor quebrantó la s a ­ les, lo ha conducido por fin al sepulcro, con sentimiento de su publique en los diarios de esta capital para que sea de todos lud , sino por el IUre. Sr. D. Benito Pigera , dignidad de arce­ fam ilia, de sus amigos y discípulos. En medio á « sus largos pa­ conocido el relevante mérito de Y . S. y el justo aprecio de la autoridad. Dios guarde á V. S. muchos años. Sevilla 28 de J u ­ diano del Llobregat, del cual recibiólos últimos consuelos es­ deci…</t>
  </si>
  <si>
    <t>Pihet</t>
  </si>
  <si>
    <t>…e Marzo, En el de Ch. L aíleur trabajan ocho hombres y un deter­ cunstancias mas importantes , cree haber oido decir á P h ilip — convencían también que no se procedería á nuevas hostilidades minado número de mugeres: el del Sr. Pihet ocupa por lo me­ pet al tiempo de enseñar la bandera: " l i é aqui la que ha dado sin que el Gobierno de Francia sustituyese á sus primeras pre­ nos 4 00 obreros; y entre otras cosas se fabrican fusiles para el ó dará la vuelta al mundo.” Al fin Lebarzic conviene en que tensiones otras menos e…</t>
  </si>
  <si>
    <t>…rrían voces en las inmediaciones de la pla­ ideas republicanas , tratando de atraer á sus compañeros para poco tiznadas, consistía en haber tenido por algunos i tota mes que tomasen parte en la insurrección, y que cuando el Sr. Pihet za Real de que un número considerable de insurgentes estaba el papel de uu cartucho que habia encontrado en la calle. Dive atacando la caserna de los Mínimos guarnecida por la guardia 1é despidió di jo que estaba seguro lo hacia por sus opiniones, que habia ido á la de Blancs-M anteurs para…</t>
  </si>
  <si>
    <t>Pila-</t>
  </si>
  <si>
    <t>…por 100, 20f y 20 tres dieziseiseis- tos á Anas y Caifas. madrugada emprendió la marcha para el mismo punto la 2.a avos1co¿i cupones al contado: 20£, cinco dieziseisavos, nueve Acaso se me objete que si tio fue el secretario de Pila- brigadaoperación con un convoy de víveres que introdujo en Lucena,en dieziseisíiVós, § * y, y 20^ á v. f. ó vol. y firme con cupones: tos el que escribió la sentencia hebraica cuando? habla de cuya no pudieron tomar solo tuvimos tres heridos, porque los rebeldés 2 0 |, i , y 20f á v. f. ó v…</t>
  </si>
  <si>
    <t>Pin, Manuel López</t>
  </si>
  <si>
    <t>Manuel López Pin</t>
  </si>
  <si>
    <t>…cia de esta capital, á dar sus descargos en la causa que por situación de esta provincia desde 1815, no quedaba mas que tracta no basta á la conciencia para justificar el sacrificio} la ante el escribano del número del crimen D. Manuel López Pin­ un medio para conciliar los intereses de la Alemania con el conciencia vacila, quiere vacilar, y se complace en sus vacila­ tado se sigue contra el mismo por haberse marchado á la fac­ deseo de las poblaciones luxemburguesas ; tal era el de sustituir ciones hasta que los hechos vi…</t>
  </si>
  <si>
    <t>Pineda, Francisco</t>
  </si>
  <si>
    <t>Francisco Pineda</t>
  </si>
  <si>
    <t>…orrores, han puesto en grave Compromiso la tran­ asi como la del capitán gefe accidental del provincial de Sa­ El subteniente D. Alberto Robati, muerto. quilidad de la capital: su frenesí llegó al extremo de asesinar lamanca D. Francisco Pineda, que fue herido en una m ano, y Regimiento de Cataluña , 6.° ligero. = El comandante Don alevosamente á uno de sus mismos compañeros de aquellos ex­ continuó en su puesto, animó sobremanera á las tropas , y con­ Ramón de las Llainosas, herido. cesos, en los umbrales de la sala capi…</t>
  </si>
  <si>
    <t>Pinedo, Manuel</t>
  </si>
  <si>
    <t>Manuel Pinedo</t>
  </si>
  <si>
    <t>…do Ministerio cer el campo, logrando Marsella , Lyon , N a n ci, Brest, Strasburgo , presentaron en­ á D. Lorenzo Arrazola, actual Secretario del Des­ tos que llevaban presos, alentre mismo tiempo rescatar cuatro suge- ellos D. Manuel Pinedo, secre­ tonces sus estados, y el número considerable de libretas espe­ didas da á conocer la rápida propagación y multiplicación en pacho de Gracia y Justicia. Tendréislo entendido, y tario del ayuntamiento de la Puebla de Ahnonacid, y 19 m u - estos departamentos de las cajas de aho…</t>
  </si>
  <si>
    <t>…ue en todas sus partes con arreglo á la letra Campo de Criptaua y cuatro sugetos que llevaban presos los j ñanzas en este dia, y su local á disposición de aquel piadoso y al espíritu de sus estatutos. rebeldes, entre edlos á D. Manuel Pinedo , teniente de Nacio­ establecimiento. nales y secretario dei ay untam iento, á quien habían ya in ti­ Al mismo tiempo se previene al público que el lunes 20 no mado la suerte de ser pasado por las armas. habrá cátedra de derecho público con motivo de la festividad El de la quinta y…</t>
  </si>
  <si>
    <t>Pinillos, Teodoro García</t>
  </si>
  <si>
    <t>Teodoro García Pinillos</t>
  </si>
  <si>
    <t>…ual la Reál orden si- con arreglo á Reales órdenes é instrucciones. con las formalidades que la misma previene, tocó á los suge- gniente: CARGO. Reales vellón» tos siguientes: »He dado cuenta á S. M. la Reina Gobernadora del D. Teodoro García Pinillos, D. Yicente Martínez, D. An­ expediente promovido en virtud de la duda suscitada por Existencia que resultó en fin de Diciembre úl­ timo.............................. tonio 10887747..12 Baltasar Elola, D. Justo Hernández, D. Domingo del Rio, Don el intendente de Rarcelona…</t>
  </si>
  <si>
    <t>Pinjas, Pedro</t>
  </si>
  <si>
    <t>Pedro Pinjas</t>
  </si>
  <si>
    <t>…pagaban Acerca de la coacción que la comisión supone ejerció el gef&lt; por sí ó por medio de persona competentemente autorizada con la contribución que la ley exige para gozar del derecho electo­ político, citó S. S. el caso de D. Pedro Pinjas, á quien llan.c los documentos justificativos de sus créditos á exponer lo que ral, no por eso debían ser excluidos de él b i s u que no estuviese aquella au to rid a d , y le calificó con los dictados de revolucio­ crean conveniente á su derecho, en uso del traslado que se les ha jus…</t>
  </si>
  <si>
    <t>Pino</t>
  </si>
  <si>
    <t>…r io , todo lo q u e no lleg a ella á la redacción de la Gaceta del Gobierno para su inserción, Strauss, con decoración. al terren o p o lítico , todo en fin lo que do satisface ó exci- y que se devuelvan los autos.=rEl conde de Pino fiel.:=D. M i­ 4.0 C avatina en la ópera S em iram ide , del maestro R ossi- Jas pasiones desencadenadas. guel Antonio de Zuma laca rregui.zzD. José de M ier.^D . Ra­ n i ; por la señora Lombía , con decoración y traje. Sentim os una gran satisfacción al tr ib u ta r n uestras a la ­ món Mac…</t>
  </si>
  <si>
    <t>Pino-</t>
  </si>
  <si>
    <t>…as acertado. Salón de comisiones del Senado 20 de Se­ duos de la comisión por los términos corteses con que desecha­ rios que tienen la honra de halUrse encargados por V. M. de tiembre de 1859 —Nicolás María Garelly.r^El conde de Pino- ban su adición, manifestó que si bien era cierto que los cuerl una parte de la administración pública, unen sus votos al be­ fieh=Gaspar de Ondo vil la.—Domingo Ruiz de la Vega. pos colegisladores tienen la iniciativa de las leyes, también lo néfico anhelo de V. M. por la paz y prosperidad de…</t>
  </si>
  <si>
    <t>Pinofiel</t>
  </si>
  <si>
    <t>…on el pronto arre­ comisiones del Senado 10 de Setiembre de 1859.—Nicolás M a­ saban sobre el Estado por los sueldos de las clases pasivas, y pentimiento, aunque arrancado en dolorosos sacrificios; y que ría Garelly.—El conde de Pinofiel.—El duque de Rivas.—Gaspar principalmente por las cesantías de cerca de 100 ministros, que si para conservar la preciosa joya de la tranquilidad fuera ine­ de Ondoviila.—Domingo Ruiz de la Y ega, secretario. eran los que iban hasta la fecha desde nuestra última regene­ vitable apelar á un…</t>
  </si>
  <si>
    <t>…ormar sobre el proyecto de ley acerca del Consejo de Estado, que si lo teoia á bien, se sirviese acordar si se reuniría en sec­ He sido terco como un mulo; caprichoso como una co­ habia nombrado por su Presidente al Sr. conde de Pinofiel, y ciones después de cerrarse la sesión. queta; alegre como un niño; perezoso como una marmo­ por Secretario al Sr. Onís. Hecha esta pregunta por un Sr. Secretario, se resolvió por ta; El Sr. PRESIDENTE anunció que mañana se reuniría el la afirmativa, y el Sr. Presidente levantó la sesión…</t>
  </si>
  <si>
    <t>…egún señala el ar­ Navarrete, duque de Bailen, arzobispo electo de Toledo, Don no constitucional de nuestra Reina. (B ien, bien,) tículo 75 de la Constitución, las cuentas, y á que las oficinas Francisco Varea Cornejo , conde de Pinofiel, duque de Castro- El Sr. P R E SID E N T E : Propongo a! Senado que se pregun­ activen los trabajos necesarios para la formación de ellas. terreño, duque de Zaragoza, marques viudo de Pontejos y los te si se aprueba la proposición del Sr. duque de Frias. Puesto á votación el párrafo 1 0 ,…</t>
  </si>
  <si>
    <t>…gracias, y es­ Pregunto ¿en qué consiste, señores, aue una Potencia de las merando que el Congreso réchácé coa iiidignacion toda idea principales de Europa , como indicó sabiamente el 0Uo dia un v ¡a enmienda los Sres. conde de Pinofiel, O 5que tienda ú semejante objeto.; r Sr. Diputado , una de las mas poderosas y que mas debe á este V‘Ua j Rjiii^dO:la V ega., citando varios casos ocurridos,en; qué, :" 4f&gt;é féyó J a listaM e ¡W j^eticiohes presentadas en esta semana, pais ha permanecido y permanece sin haber dado muest…</t>
  </si>
  <si>
    <t>…uste honrar el tea­ .'tenores duque de Frias, arzobispo de Valencia, marques sobremanera que deslustren y afeen tan apreciable obri- tro con su presencia , á fin de que haya mas localidades para de Viluma Salas Omaña , conde de Pinofiel, Torres Solanot, ta las erratas tipográficas en que abunda. el público, y que los establecimientos de beneficencia que tie­ Chacón nga ’ (-)ráa » ESea&gt; marques de Vallgornera y nen las principales cargas sobre los teatros no sufran un per­ juicio tan considerable como el que en este año e…</t>
  </si>
  <si>
    <t>Pintado, Manuel López</t>
  </si>
  <si>
    <t>Manuel López Pintado</t>
  </si>
  <si>
    <t>…r r *.................. • ••• 206,967 cia Julve. te de Sta. C ru z, por la escribanía del número del crimen de Panel....................................... • 38,398 El desaliento del enemigo es cada dia mas grande , y ha I D. Manuel López Pintado, á fin de hacerla saber una pro vi- Coches y erneses............... 49,131 • •• principiado la defección del soldado. En Daroca se presentan ¡ dencia en la causa que á su instancia y contra Isidoro Rubio Alambre en limpio y su cio .............. . . . 1,560 • • • 9’ muchos i…</t>
  </si>
  <si>
    <t>…e y sin ánimo para sos­ que se sigue contra el mismo por ante el escribano del número ?4 -.......... £ • ................ 416 ................ 552,800 tenerse en las alturas que ocupa. Hechos semejantes al que aca­ del crimen D. Manuel López Pintado por haberse marchado á y, P ................. 355................ 399,600 bo de referir, forman el íntimo convencimiento de la impoten­ a facción, continuando después en la cobranza de sus sueldos, ^ 4 ............ £ .................. 585................ 1.399,200 cia de las…</t>
  </si>
  <si>
    <t>…primera instancia dé esta capital, que la tiene donde fue re­ peso de corte, frente la fuente de Sta. Cruz, por la escriba­ TEATROS. Juoio de este año , se ha determinado la subasta y remate de la nía del número del crimen de D. Manuel López Pintado, á fin PRINCIPE. A las siete de la noche. La 54.a, última é im- anticipación del rnedio diezmo del fruto de aceituna de todos de hacerla saber una providencia en la causa que en su instan­ prorogable representación de la oomedia nueva de magia, en los pueblos de los partidos de…</t>
  </si>
  <si>
    <t>Pintón, José</t>
  </si>
  <si>
    <t>José Pintón</t>
  </si>
  <si>
    <t>…tracto del compendio histórico de la religión , compues­ ú prima ^ y * por 100: 5 once dieziseisavos á 59 d. f. ó vol, Marjolin , Velpeau &amp; c ., traducido de la tercera edición. A u ­ mo compendioypara corregido aumentado por D. José Pintón, autor del m is­ uso de los niños. U a tomo en 8.°, edición nuevas. mentado con un compendio de anatomía general puesta al nivel de 1804 # á 5 rs. en pasta común. Acciones del banco español de S. Fernando, 00« de los trabajos publicados mas recientemente sobre esta ciencia. El deseo…</t>
  </si>
  <si>
    <t>Pio-</t>
  </si>
  <si>
    <t>…s diarios si quería alistarse con los fac­ dejó su paraguas en casa de un conocido por temor de que se Je el ministerio no pudo encontrar en ellos nada que no fuese con­ ciosos, á lo que no quiso prestarse de n ingún modo. El Sr. Pio- robasen , y que se marchó á los baluartes para ver lo que pasa­ forme con los que constantemente había profesado. La nota del mazotti entregó en el acto de la declaración cinco cartuchos de ba : que al llegar al baluarte del Temple vió reunidas allí m u ­ contraalmirante, aunque escrita con sev…</t>
  </si>
  <si>
    <t>Piquero</t>
  </si>
  <si>
    <t>…podido reunir. Las tropas de Guipúzcoa tieoen or­ p e rid a d , con cu y o motivo manifestó el p resid en te los p u ­ to y á la am argura que se hacia sentir por todas partes. den de operar sobre la parte de Lesaca. El general Piquero con ros y leales se n tim ien to s de q u e está a n im a d o el p r im e r La reconciliación ha principiado: ^abrazos de cordialidad las tropas de Alava bloquea el castillo de Guevara. El general t r ib u n a l de la n a c ió n , t rib u ta n d o al propio tiem p o su estrechan los víncul…</t>
  </si>
  <si>
    <t>Piquero, Gregorio</t>
  </si>
  <si>
    <t>Gregorio Piquero</t>
  </si>
  <si>
    <t>…rancisco CarbonelIzrEI intendente, Jo ­ de Guevara, que hace algunos dias bloquea el mariscal de cam­ sé Sánchez Ocaña.rzFrancisco Martinez.=:Luis Soriaiio.zrFran- En la Gaceta del sábado 14 del corriente, por un descuido po D. Gregorio Piquero, comandante geueral de la provincia cisco Sarthon. — Melchor Ferrer. = Pedro Tcrner de Torner. == involuntario de imprenta , hubo una otnision en la exposición de Alava. Vicente Tortosa C erda.=Juan Bautista Castillo.“ Vlariauo P ar­ dirigida á S.,M. por el Sr. inspector general in…</t>
  </si>
  <si>
    <t>Pisa</t>
  </si>
  <si>
    <t>…o todos los sábios en el paLcio para celebrar un banque­ por su habilidad uoa profesora ; los de las señoritas Campuzano rán aquella expresión de M ontaigne: c&lt;El fruto de las revueltas te, cuyos honores ha hecho el gobernador de Pisa con la m a­ y Puñonrostro, y de las señoras Montenegro y Canga Argue­ no aprovecha al que las causa ; revuelve y enturbia el agua eu yor cordialidad. También han sido convidadas á este festín, y lles que contribuyen con sus hermosas voces al encanto de las provecho de otros pecadores.” muy obse…</t>
  </si>
  <si>
    <t>Pita</t>
  </si>
  <si>
    <t>…m ño hay anim ación en el rostro. zarro. C R U Z . H o y no h a y fu n ció n . A l lado de e.tos cuadros está uno petjueñito de la señorita Clase de ló g ic a .n D . Isidro González. W e i s , que representa la familia del Sr. Pita. ’La ejecución es Clase de m a te m á tic a s , primer año.—D . Isidro González d elicad a, como todo lo que sale de sus manos; la disposición | D. M anuel A g u ir r e y D. A g u stín D u ro .</t>
  </si>
  <si>
    <t>PITA, EL CA</t>
  </si>
  <si>
    <t>EL CA PITA</t>
  </si>
  <si>
    <t>…sultó por un an i­ estadística universal de aquella capital, individuo de la Real midad haber lugar á la formación de cau a , y el Sr. Presiden­ academia de cieucias, de literatura y artes de Burdeos, de las A L A S ACUSACIONES D EL CA PITA N G EN ERAL te publicó la votación: Nicolás Mélida. —M artin López Sala­ sociedades de agrónomos y naturalistas ó de Lineo, y filomáti- zar.^: Eduardo Arenas.—Cayetano de Diliz y R ubio.—Ramón ca de la misma ciudad, ex-director presidente de la Real so­ CONDE DE LUCHANA. Guerra Urdan.—Rom…</t>
  </si>
  <si>
    <t>Pita, Pió</t>
  </si>
  <si>
    <t>Pió Pita</t>
  </si>
  <si>
    <t>…el Sr. duque de F iv a s 1 2 , el se­ Se acordó pasase á la comisión de Actas un oficio del señor Sr. M inistro de Gracia y Justicia en cumplimiento del art. 11 ñor Ruiz dé la Vega 1 6 , el Sr. Ondovilla 1 2 , el Sr. C h a - D. Pió Pita P iz arro , en que manifiesta que habiendo sido re­ del ceremonial dispuesto para la misma. coa 1 1, el Sr. Tmres Solanot 1 9 , el Sr. Salas Omaña 2 , el se­ elegido por la provincia de Pootevedra, y elegido al propio El Sr. Presidente anunció que mañana á las doce se reuni­ ñor marques d…</t>
  </si>
  <si>
    <t>…d réis lo co n v e n ie n te a su c u m p li­ siderable de las fuerzas de la Francia. m iento R ub ricad o de la Real m a n o .= En P alacio á 4 de Verdad es que el orador no pide hoy nada de esto, pero si E nero d e 1839.— A D. Pió Pita P í z u t o . N O T IC IA S EXTRANG ERAS. quiere una conferencia: ¿ y cuál seria la utilidad de este expe­ diente? Desgraciadamente estoy muy convencido de que esa R E A L D E C R ET O . F R A N C IA . conferencia no conduciría á nada; decididos corno estamos á no conceder dinero ni homb…</t>
  </si>
  <si>
    <t>Piuofiel.mEl</t>
  </si>
  <si>
    <t>…l Senado 29 de Enero de 1859.=:EI d uq ue de B a i- corte á tr a ta r con el inqu ilin o de la casa núrn. 2 de la calle del tí i de ellas, si se han de desempeñar con imparcialidad y acier­ len.zzEl conde de O falia.—El conde de Piuofiel.mEl marques de C a n d il , cuarto segundo ; y si fuese sugeto de las provincias t o , patecen incompatibles con las de otros cualquiera destinos; Y ilu m a .—Nicolás María G arelly. puede dirigirse á dicha casa y núm ero con el sobre á D . J u a n e&gt;ceptuando empero los M M . R R . arzob…</t>
  </si>
  <si>
    <t>Pizarro, Federico</t>
  </si>
  <si>
    <t>Federico Pizarro</t>
  </si>
  <si>
    <t>…no adolece de manera. Clase de de geografía.—D. M anuel A g u irr e , D . Felipe V a r ­ zón. El uso frecuente de ciertas medias ti n ta s , poco naturales, E ntre los varios cu&amp;dritos de género del profesor D. J u a n gas y D. Federico Pizarro. da al colorido de las carnes del Sr. López u n aspecto falso, que Calvez, nos han parecido los mejores por la verdad del colori­ Clase de filosofía moral y fundam entos de religión.—Exce­ hace todavía mas sensible la profusión de tintas demasiado ver­ d o , natu ra lid ad y graci…</t>
  </si>
  <si>
    <t>Pizarro, Hacienda D. Pió Pita</t>
  </si>
  <si>
    <t>Hacienda D. Pió Pita Pizarro</t>
  </si>
  <si>
    <t>…los ejércitos. (Id .) In s e rip c io n e s en el g ra n lib r o á 5 p o r 100, 00 . --Z'y m ' v , ,: Real decreto concediendo la gracia de la inedia firma4 ál señor Títulos al portador d elv § ^pór ? , 17 y 16| con Ministro de Hacienda D. Pió Pita Pizarro. (Num . 1489.) cupones al contado: 16J , 17, 16J , 17^ _y 17 á y. f. ,6 ^yol.: ; E s ta b le c im ie n to ' dé ü n géú'éro éh téra m érité n u e W fe n i' E s p a • ,■ declarando cesante en el empleo de intendente general mi­ 17^; 16|4 d7¿ , ¿7 y 18 á vV f.^ q YoL á ^rtú…</t>
  </si>
  <si>
    <t>Pizarro, Pita</t>
  </si>
  <si>
    <t>Pita Pizarro</t>
  </si>
  <si>
    <t>…ome quedado adm i­ rado al ver los rastros y balsas de sangre, y los muchísimos c a ­ D e los 862 individuos entregados hay que rebajar 103 que se debían á los enem igos, según órdenes del general en g e fe : de Desde que el Sr. Pita Pizarro ha vuelto á encargarse del m i­ dáveres que ellos mismos quemaron y enterraron, pues que he nisterio de Hacienda de España, reconocemos con placer en aquel mandado descubrir bastantes sepulturas, y nos hemos encon­ consiguiente 658 que entregaron los enem igos, mas 103 que se les debía…</t>
  </si>
  <si>
    <t>…y nervio, de que carece la dicción siempre fluida, pero Idem sin interés, 00.. Acciones del banco español de S. Fernando , 00. que se verifiquen nuevas ventas. pocas veces correcta, de Lope de Vega. Debe esperarse que el Sr. Pita Pizarro perseverará en el sis­ CAMBIOS. tema que ha adoptado, de publicar las operaciones que pueden Pues considerado como poeta cómico y satírico, con Londres, á 90 dias, 5 8 | din. Coruña, 1 | d. dar á conocer al pais el producto de sus rentas y la aplicación dificultad se hallara un escrit…</t>
  </si>
  <si>
    <t>Pizarro, Pió Pita</t>
  </si>
  <si>
    <t>Pió Pita Pizarro</t>
  </si>
  <si>
    <t>…s no pudieron ser cum plim iento— Rubricado de la Real m a n o = E n Palacio Hacienda pública , ha de disminuir necesariamente los produc­ bastantemente apreciados, porque en las provincias lim í­ á 19 de Enero de 1 8 39 .= A D. Pió Pita Pizarro. tos líquidos que se apliquen á las obras, los cuales no alcanza­ rán en tres años á cubrir la cantidad presupuesta, el Gobierno trofes á las en que se introdujeron aquellas novedades, tu­ se ve en la precisión de proponer que la autorización para per­ vieron los consumidores la…</t>
  </si>
  <si>
    <t>…considerarse transitoria, vino a ser necesaria­ de la Real m a n a = E n Palacio a l . ° d e Febrero de 18 39 .= Por Real orden de 15 del corriente, comunicada á este mente estable en dos épocas diferentes. La primera cuan­ A D. Pió Pita Pizarro. a y u n ta m ie n to por el Sr. comandante general de la p ro v in cia, do por uno de los decretos expedidos por las Cortes en 29 se ha servido resolver S. M. que se expidan los correspondien­ de Junio de 18 2 1 se abolieron ios descuentos para los tes diplomas para el uso de la cr…</t>
  </si>
  <si>
    <t>…su cumplimiento.^ ANUNCIOS OFICIALES. juntas, aunque presididas por los respectivos capitanes Rubricado de la Real mano.= En Palacio á 28 de Diciem­ generales, á la vez gefes políticos superiores de las islas, bre de 1838.=A D. Pió Pita Pizarro. se componen de sugetos, que estos han debido elegir en­ Dirección general de Rentas provinciales. tre empleados y vecinos de ellas, conviene sin duda que Conformándome con lo propuesto por el Consejo de otros individuos procedentes de la Península, nombrados Ministros, En Real o…</t>
  </si>
  <si>
    <t>…ha sido concebido por la Real sociedad de ciencias, y Secretario de Estado y del Despacho de Hacienda El capitán general de Galicia en oficio del 2 da parte de las el Gobierno ha cedido para que se lleve á cabo el proyecto los D. Pió Pita Pizarro, de cuyo celo y lealtad he que­ dos navios de S. M. el 'Terror y el Ilu d a . Dichos navios no novedades ocurridas desde el 30 del anterior, fecha de su co­ podrán estar en disposición de darse á la vela hasta entrado dado muy satisfecha : y vengo en elegir para que se municación p…</t>
  </si>
  <si>
    <t>…regase el Gobierno á la menoría, que adop­ cule.=YO LA REINA GOBERN ADORA.=En Palacio á lo verificado le parará el perjuicio que haya lugar. tase por programa el proyecto de contestación que la Cámara' 8 de Febrero de 1839.=A D. Pió Pita Pizarro. habia desechado, dando á los gefes de la oposición , con el ejér- cicio de sus derechos y prerogativas, los medios de crearse en MINISTERIO DE LA GOBERNACION DE LA PENÍNSULA. REDACCION DE LA GACETA. una y otra Cámara la mayoría que con sus propias fuerzas d o podían conseguir.…</t>
  </si>
  <si>
    <t>…, que son también del Turia. cumplimiento. = Rubricado de la Real mano.=:En Palacio á 25 vas que tan bien sabe pintarnos; vano es decir que nos gustó Lo probable será que habrán hecho esta nueva incursión de Enero de í859.= A D. Pió Pita Pizarro. sobremanera; otra linda composición á una rosa presentó el para proveerse de recursos, de los que están careciendo, y con­ señor Tenorio, con pensamientos bastante delicados, y el señor seguido el fruto de sus rapiñas, regresar á sus guaridas. A LAS CORTES. Yaldelomar nos leyó u…</t>
  </si>
  <si>
    <t>…os. (Id .) In s e rip c io n e s en el g ra n lib r o á 5 p o r 100, 00 . --Z'y m ' v , ,: Real decreto concediendo la gracia de la inedia firma4 ál señor Títulos al portador d elv § ^pór ? , 17 y 16| con Ministro de Hacienda D. Pió Pita Pizarro. (Num . 1489.) cupones al contado: 16J , 17, 16J , 17^ _y 17 á y. f. ,6 ^yol.: ; E s ta b le c im ie n to ' dé ü n géú'éro éh téra m érité n u e W fe n i' E s p a • ,■ declarando cesante en el empleo de intendente general mi­ 17^; 16|4 d7¿ , ¿7 y 18 á vV f.^ q YoL á ^rtú^ ú é ; ^ ’!…</t>
  </si>
  <si>
    <t>…obrar las contribucio­ tos del ministerio de Hacienda en 1838 , im portante cumplimiento.=Rubricado de la Real mano.—Ea Palacio d 25 nes precisamente cuando mas necesidad tiene de recursos; 1.015,427 rs- * de Enero de 1859.—A D. Pió Pita Pizarro. porque, ¿con qué derecho, se ha dicho, podrá pedírse­ En 30 del mismo pidió un crédito de 303 rs. para la las a los pueblos, y cuál seria la obligación de estos para plaza de un intendente secretario de la junta consultiva de A LAS CORTES. pagarlas ? aduanas y aranceles. ¿Ha pod…</t>
  </si>
  <si>
    <t>…. = En Palacio á 2Í del presente año; se b ace saber á todos los que quieran intere­ sarse en él , bajo el concepto de que para su primero y último caudales que pertenecen á la Gobernación. El premio y de Febrero de 1839. = A D. Pió Pita Pizarro, remete he señalado, el dia 11-del próximo Marzo , y horade las fianzas de los mismos administradores se determinaran doce de su mañana en adélante, en los estrados de esta i n t e n ­ por uña instrucción especial que sometereis a mi apro­ dencia , hallándose de manifiesto con an…</t>
  </si>
  <si>
    <t>…quemados por los mismos rebeldes. cumplimiento.—Rubricado de la Real tnano.=^En Palacio tendrán opcion á ocupar la vacante que les con espon Asimismo dice se han encontrado y recogido en el fuerte i t á 26 de Abril de 1839.= A D. Pió Pita Pizarro. d a, aunque hayan pasado de la edad señalada por regla escaleras de mas de 25 pies cada u n a, tablas, portaderas, wjx</t>
  </si>
  <si>
    <t>Pizarro, Pío Pita</t>
  </si>
  <si>
    <t>Pío Pita Pizarro</t>
  </si>
  <si>
    <t>…con rétrátós^á.T. . . . . . . . . 28; :/J _ nombrando Secreta rio de Estado y del Despacho de H a - : extensiva á las ventas que se verifiquen en lo sucesivo. (Id.) D e idém tómun sin .4 . . . .4 . . . . V. V . ^ ^ cienda a D. Pío Pita Pizarro, Senador-"por la provincia de Real decreto relativo á la colóeácíon de las oficinas del Gobierno A la rustica. . . . . . . . . •. 17 ^ Pontevedra. (Id.) v ; ^ ; r¿h .&lt;o?t s'm-. -.mo ■ . i ?' * r * én edificios pertenecientes al Estado. (Núm . 1506.) : E tt{páp¿i fihóv. .4 . 4 b í…</t>
  </si>
  <si>
    <t>…ien to, y dispondréis se im p rim a, publique y D. Jaim e Cam precios, cirujano. circule. = Y O LA REINA GOBERNADORA. En Palacio Ademas existen los oficiales y Nacionales que ya se h alla­ SENADO. a 16 de Enero de 1 8 3 9 .= A D. Pío Pita Pizarro. ban en este depósito, y algunos soldados de los regimientos de PRESIDENCIA DEL SEÑOR MOSCOSO DE A L T A M IR A . A frica y Córdoba. Horcajo.=D. M anuel González, subteniente de A f r ic a , y Sesión d e l dia 25 d e E nero. PARTES. mas de 30 soldados enfermos. Abierta á la u n…</t>
  </si>
  <si>
    <t>…e­ nistros, he tenido a bien nombrar Senador por la p r o v in ­ ñas maniobras d irig id as en u n p rincipio por el c o ro n e l, y m a n ­ ron de sobrecalientes cada u n o .e n su respectiva otase, fueron cia de Pontevedra a D. Pío Pita Pizarro, reelegido por la dadas en seguida por el P r í n c ip e , S. A. R. d irig ió á los ofi­ condecorados por el Sí. presidente del modo siguiente: Los de misma. Tendrcisio en ten did o, y lo comunicareis á quien primera clase, colocándoles en el pecho unas medallas de plata ciales y s…</t>
  </si>
  <si>
    <t>Pió</t>
  </si>
  <si>
    <t>…ro del corriente añ o , principia en el ta el dia 26 del corriente. traducido del francés por D . Gaspar Fernando Coll. dia en que hubiere sido cortada la cuenta con los mismos pueblos. (Núm. 1655.) Real decreto admitiendo á D. Pió P ita Pizarro la dimisión del ministerio de Hacienda, y nombrando para que lo desempe­ B IB L IO G R A F IA . ñe interinamente al actual director del tesoro D. José F e r - raz. (INdin. 1658 ) EL ENTREACTO. L A extraordinaria aceptación que han merecido del público _ admi t i endo la dimisi…</t>
  </si>
  <si>
    <t>…os resultados al crédito na­ to. Rubricado de la Real mano. = En Palacio á 22 dé miento por termino de jo s meses desde el dia de la fecha» T a - cional, por cuanto saldrá de la circulación considerable Febrero dé 1 8 3 9 ,= A D. Pió P ila Pizarro, '“ ! ra^oga. 14 4?, £ de i§ 5 9 f i ’ " ‘‘ '</t>
  </si>
  <si>
    <t>Pió, D.</t>
  </si>
  <si>
    <t>D. Pió</t>
  </si>
  <si>
    <t>…sfagan los com­ Hemos oído decir á personas bien informadas que no reina pradores de bienes nacionales del tiempo constitucional de la sioneros, 8 pudientes y 14 © 16 yeguas y caballos: varias casas la mayor armonía eutre el Sr. D. Pió P ita Pizarro y el general época anterior lo que por dicha razón están adeudando. (Id.) fueron saqueadas, y después de racionarse tomó la dirección de</t>
  </si>
  <si>
    <t>…enta del producto y gastos del concierto celebrado en la Úna señora que fue á la exposición.. .. 40 5 4 1 . Un dibujo, á la Sra. Doña Ramona Dalp. noche del 18 de Mayo último en el palacio de Villa­ La Sra. esposa del Excmo. Sr. D. Pió 859. Un almohadón bordado de recortes de terciopelo, oro hermosa á benefició de la Inclusa de esa corte . Pita Pizarro. ..................... .. 4• 140 y perlas , al Sr. D. José Rodríguez Calonge. Sr. D. Rafael Bustos y Castillo, al 530. Una jardinera de laca con flores , al Sr. marques de…</t>
  </si>
  <si>
    <t>Pió, José Perez</t>
  </si>
  <si>
    <t>José Perez Pió</t>
  </si>
  <si>
    <t>…ciones de este teatro, y he­ tes de este Gaspar de la Vega, sobrino de Luis. Lo mismo suce D. Antonio Campos. mos salido bastante complacidos de ellas. La compañía que dia en Granada. En el reinado de Felipe m se construyó 1 D. José Perez Pió. tiene es bastante regular; la Sra. N a v a rro , dama joven; los que llaman apeadero , con columnas pareadas, y encima un salo D. José Casta ñon. Sres. Olaso, primer g»lan, Robello, b arb a , S ierra, gracioso, destinado para armería. Fernando vr mandó construir las grar D. Ildefon…</t>
  </si>
  <si>
    <t>PJá-</t>
  </si>
  <si>
    <t>…provincial habia excluido indebidamente mas los Sres. Senadores quedarían suspensos, mientras sus autores no de la mitad de los electores de Gibraleon, Villanueva del C as­ • i ^ dosé Vicente Durana: D . Antonio Ruiz Tagle: D. PJá- quisieran renovarlos, sobre el que la mesa era de parecer que po­ tillejo, Trigueros y Lete, sin haber atendido á lis numerosas 2o p. arcia : Jacinto Ibañez: D. Mariano Adán: D. Loren- dia el Senado mandar se lleve á efecto la suspensión de dichos reclamaciones que hubo por haberse disuelto el…</t>
  </si>
  <si>
    <t>Plácido</t>
  </si>
  <si>
    <t>…te para equi­ ha pertenecido á bienes nacionales* p R I N C I P I O S del Derecho político y civil de los romanos, vocar la propiedad de una o b ra; y para evitar esto se advierte fundados en los del natural y de gentes ; por D. Plácido que D. J . de V . , autor del Compendio de la legislación y j u ­ M aría Orodea. risprudencia española, vende su obra á 25 rs. en rústica. El simple título de esta obra manifiesta la importancia de El Compendio del derecho Real de España de Siñeriz se T ) O R aut o fecha de h o y , que dic…</t>
  </si>
  <si>
    <t>…eres .para laprom otoría fiscal del juzgado de Coria, producir buenos resultados , sieqipre que dicho gefe se hallase y el Guadalquivir. Jaén * 16 de Marzo de 1839. =:Francisco vacante por no ;haherse presentado á desempeñarla D. Plácido aquel mismo dia 15 en el expresado punto* El enemigo , con­ Muñoz. • La Calle* á D . Santiago de Alba, tinúa diciendo, que se presentó marchando á la una, del dia Igualmente á propuesta de la audiencia de Madrid ha ve­ de ayer para dirigirse sin duda, al citado Pineda , ha sido per­ nido en…</t>
  </si>
  <si>
    <t>Po, Benito</t>
  </si>
  <si>
    <t>Benito Po</t>
  </si>
  <si>
    <t>…información tan lisonjera excitó á algunos pudientes, nuestra parte ocurriese desgracia alguna : que entre los enemi­ los que formaron una com pañía; y hechos todos los reconoci­ gos muertos lo es el teniente del 5.° de Aragón D. Benito Po­ tado^, oficio y habitación del que le hace ; el nombre del niño ó nina cuya incorporación se pretende; ti parentesco que con mientos necesarios, obtuvieron la aprobación del Parlamento y blador, que mandaba dicha partida. el peticionario tenga ; si vive coa é l , ó e u caso contrario la…</t>
  </si>
  <si>
    <t>PO, EL TIEM</t>
  </si>
  <si>
    <t>EL TIEM PO</t>
  </si>
  <si>
    <t>…no de la causa que defendía. Leónidas pereció en las Termopilas, y T e - París, 1 6-5 id. M á lag a , par. místocles triunfó en Salamina : la muerte del primero es tan Santand er, ¿ d. RESPUESTA AL ARTICULO DE U N SUSCRITOR D EL TIEM PO . gloriosa como el laurel del segundo. Ambos pelearon por la in­ Alicante, | a | d. S antiago, 2¿ id. dependencia de su patria.=A. L. (E l Tiempo.) Barcelona á ps. f s . , \ papel b. Sevilla , ¿ b. Artículo 2.° Bilbao, l £ d. Valencia , £ papel d. E!resto de este artículo es una serie…</t>
  </si>
  <si>
    <t>Pocas, D. Andrés Caballero. Prospecto.</t>
  </si>
  <si>
    <t>D. Andrés Caballero. Prospecto. Pocas</t>
  </si>
  <si>
    <t>…ebastian-le-Normand , profesor de ciencias desm oralización de los mineros. Yocales.zzExcmo, Sr. duque de Gor. físico-químicas aplicadas á las artes. Traducido al castellano La ordenanza actual quiere por el contrario que se Sr. D. Andrés Caballero. Prospecto. Pocas o ninguna obra existe hasta el presente m idan los terrenos lo m ism o en el centro que en la su ­ Sr. D . Francisco Travesedo. para norma de nuestros encuadernadores ; asi es que si aléanos perficie, de donde nacen el espionaje entre unos y otros Excrno. Sr. ma…</t>
  </si>
  <si>
    <t>Poesía</t>
  </si>
  <si>
    <t>…, abintestato del presbítero D. Narciso Alvarez, se cita á una pri- Costumbres aacionalés.=La novillada. y grabado por Vázquez (José). Tiene 9 p. de alto , y 12 p. de fl»a, única panenta que se conocía en esta corte, llamada Doña Poesía.=:El crepúsculo. ancho: Precio antiguo 14 rs., y moderno 10. Joaquina, que vivia en la calle déla Montera, asi eom oácuai- Se suscribe al Semanario en las librerías de Jo rd án , calle d quier otro pariente ó persona extraña, que por cualquier con­ Carretas, y de Paz, frente á las Covachuelas…</t>
  </si>
  <si>
    <t>Poesía, Juan Eugenio Hartzembusch.</t>
  </si>
  <si>
    <t>Juan Eugenio Hartzembusch. Poesía</t>
  </si>
  <si>
    <t>…RROS DE MADRID. nales. El teatro del Liceo. L A REDO MA EN CA N T A D A . D omingo 10 d e N oviem bre. El Liceo valenciano, y los Sr es. Amorós y Esteve. Rs vn. Mrs. Antigüedades españolas.nDescubrimieoto de Baena. Su autor D. Juan Eugenio Hartzembusch. Poesía —Valencia. Han ingresado en este d ia , depositados por 175 Se suscribe al Semanario en las librerías de Jo r d á n , calle de individuos , de los cuales 17 han sido nuevos Carretas, y de Paz, frente á las Covachuelas; y en las provin­ imponentes 55 8 l 2 CRUZ. H…</t>
  </si>
  <si>
    <t>Poglia</t>
  </si>
  <si>
    <t>…Alcañiz y CasteUerás, en donde se hallan nues­ depravada: ademas tiene una conciencia, si no religiosa, á lo de nuevo su imperio. tras tropas. {E, de A,) menos dispuesta á la religiosidad, porque tal es el principio El consejero Poglia , seguido de un refuerzo que venia de dominante de la sociedad general. Este hombre, reducido al Bienio, ha llegado aqui felizmente. (Temps») espacio de su celda, puede hallar en sí mismo algunos elemen­ MADRID 24 DE DICIEM BRE. tos para la resignación y el arrepentimiento; porque la ex?s-…</t>
  </si>
  <si>
    <t>POI</t>
  </si>
  <si>
    <t>…o con su de á Y. E. muchos años. Granada 24 de Abril de 1859. = Ex­ Fuerte \ la P e­ A. extrao-jjI TO TA L. deber; prevendrán á estos, fijándoles tarea determi­ 40 celentísimo Sr.“ Alfonso Escalante.^-Excmo. Sr. Secretario de POI nada, las recomposiciones y recorridas que tienen Estado y del Despacho de la Gobernación de la Península. que hacer en el camino hasta su visita inmediata, 1 __ I bajo su responsabilidad ; y darán parte de lo que h a­ 6225f- yan observado y disposiciones que hayan dado al ~ ingeniero gefe in…</t>
  </si>
  <si>
    <t>Polanco, Emilio</t>
  </si>
  <si>
    <t>Emilio Polanco</t>
  </si>
  <si>
    <t>…cio, servirá de división el camino que va desde la puerta de en francés por Mr. Eugenio Sue; traducida libremente al cas­ ser necesaria su presencia: las autoridades que asistieron inme­ S. Vicente á la de Hierro. tellano por D. Emilio Polanco. diata y preventivamente fueron el señor gobernador, general En la puerta de Segovia, que divide el juzgado de Palacio de Isidro ; señor gefe de dia ; señor alcalde constitucional de del de S. Francisco&gt; el camino divisor será el de Navalcarnero. acuella demarcación D. Cirios Martin R…</t>
  </si>
  <si>
    <t>Pollon</t>
  </si>
  <si>
    <t>…ado un mentís d ’AUesbury, Mr. Temple, el ministro de los Estados-U nidos, do de justificar unos actos tan contrarios al derecho de gentes. al coronel, el dicho declaró que no respondía al mentís de M r. Mraa. Stewenson, el conde Pollon , el ministro de Hannóver, 2.° Si el Estado de M aine persistiese en llevar su idea ade­ H u m e, porque le despreciaba y le miraba como m uy inferior á el conde y la condesa de T a n c arv ille , lord Ossulton , la con­ la n te , la guerra con todas las calamidades que le son anejas él. El P…</t>
  </si>
  <si>
    <t>Polloz</t>
  </si>
  <si>
    <t>…ión, sin que en esto intervenga el Jorge á presencia del conde y de la condesa Sebastiani, del fecha 23 de Enero últim o , en contestación á la de 14 de M ar­ ejército holandés. Después del acto de la toma de posesión , se conde Polloz , ministro de Cerdeña, del general A lav a, lord' zo de i 8 5 8 , por la que les anunció que se le habia comunicado procederá á organizar la adm inistración m ilitar de las provin­ M elbourne, el canciller del Echiquier y otras personas distin ­ orden de firmar con SS. EE. los 24 artículo s,…</t>
  </si>
  <si>
    <t>Polo</t>
  </si>
  <si>
    <t>…tes ; pero el mas seguro no creo que es el de For­ del monte pío militar, la pensión de 203 rs. anuales, máximum lizmente en los partes se ve que no huelga, que imita á su pa­ mar una ley sobre la organización de la caja. El Sr. Polo jly Monge ha puesto el dedo en la llaga y señalado la verdadera de las de guerra, abonable por el tesoro público para sí y sus dre. El mismo general Escalera mereció una recomendación de causa seis hijos huérfanos ; quienes asi como la madre perderán el de­ las Cortes de Cádiz por la muerte…</t>
  </si>
  <si>
    <t>POLO</t>
  </si>
  <si>
    <t>…ión el voto particular, en que se halla concebido es preciso eliminar del mismo artícu­ lo los párrafos 9.°, 10 y 1 1 que deben pasar al art. 3 .°, pues de p l a n : el p úb lico ve las sospechas in fern ales in ic u a ­ El Sr. POLO Y MONGE como uno de sus autores le habiendo de procederse á los arrendamientos de fincas ó arbitrios m en te e sp arcid a s, séanlo por q u ie n q u i e r a n , contra un apoya diciendo: La mayoría de la comisión cree que para que sean ejecutados los acuerdos y tengan el carácter de tales, exi…</t>
  </si>
  <si>
    <t>Polo, Angel</t>
  </si>
  <si>
    <t>Angel Polo</t>
  </si>
  <si>
    <t>…Mora, D. Francisco de Paula García, res, todos los documentos que para la calificación de los D. Ignacio Perez de Soto, Exctno. Sr. conde de Sástago, Don méritos sé juzgue conveniente que se tengan presentes, Mariano A stiz, D. Angel Polo, D. Juan Escorial y G il, Don RUSIA E ING LATERRA . obrarán en las capitanías generales de las provincias en José López y D . Andrés Fernandez, quienes por unanimidad tiempo oportuno para que no se retarde la formación de declararon haber lugar á la formación de causa, y el Sr. pre­ Baj…</t>
  </si>
  <si>
    <t>POLOYMONGE</t>
  </si>
  <si>
    <t>…iento intestado de Pedro Parroh^1 S e ñ o r, la Francia entera ha saludado con sus aclamacio­ culo. d o , vecino que fue de esta corte , ocurrido en 27 de Octubre nes el nacimiento del conde de Paris, Rodeamos con nuestros El Sr. P O L O Y M O N G E : La parte que designa la comi­ del año ú ltim o, para que dentro del término de 50 dias, con­ homenajes la cuna de ese joven P rín cip e, otorgado á vuestro sión á los ayu nta m iento s, es una parte de interés del reparti­ tado desde la publicación de este anuncio en la Gaceta…</t>
  </si>
  <si>
    <t>…al acuerdo. Rogó por ú lti­ t enen Jos demás ciudadanos, á quienes no Ies está privado, entiendan. j mo á la comisión que accediese á su súplica de que al menos mas 110 el de representación como pueblo, porque no Ies toca El Sr. P O L O Y M O N G E : La voz parte no es para el ín­ huoiese de concurrir m n i'eintena p*ra tomar estos acuerdos, mas que mirar por los intereses materiales, y por todo aquello teres, sino para la intervención que señalan los reglamento*. y que los contribuyenos fuesen elegidos por suerte. que toca…</t>
  </si>
  <si>
    <t>Pombal, José Gajoso</t>
  </si>
  <si>
    <t>José Gajoso Pombal</t>
  </si>
  <si>
    <t>…iago Fernandez, id. Regidores: D. Antonio María M iranda, id.: D. Juan Oui- roga y Porras, id.: D. Salvador María Q u irog a,id .: D. José Cotización del dia 16 á las tres die ta tarde • * TEATROS. ^ Pardo San Cibrian, id.: D. José Gajoso Pombal, id.: D. José PRINCIPE. A las siete de la noche. Se pondrá en escena Pardoi y Luac»s, id.: D. José Soto Alvarez, letrado: D. R a- EFECTOS PÚBLICOS. la acreditada y graciosa comedia en tres actos, titulada mon Neira Montenegro, propietario. Inscripciones en el gran libro á 5 por…</t>
  </si>
  <si>
    <t>Pombo, José</t>
  </si>
  <si>
    <t>José Pombo</t>
  </si>
  <si>
    <t>…que tengan entre si graodb la misma previene, tocó á los sugetos siguientes: D. José Lá­ nes de física del conservatorio de Artes en el local acostumbra­ analogía , pues se bastardean coit ha mésela de su pelen; yapar*- zaro, D. José Pombo, D. José Laplana, D. Francisco Esquer­ do calle del T urco, y continuarán hasta concluir el curso los ra evitar ó corregir contratiempos y dirigir la cria de lofe aut¿- ra , D. Manuel Viejo, D. Alberto Tolosa, D. Joaquin Alcal­ martes , viernes y sábados dé cada semana de doce á dos. male…</t>
  </si>
  <si>
    <t>Pons, Dolores</t>
  </si>
  <si>
    <t>Dolores Pons</t>
  </si>
  <si>
    <t>…e de la Rusia á emprender igual y un doblon de á dos á Doña Merced Alzag » , Doña Ju i ­ los trabajos. Por ultimo me manifiesta que las brigadas que se una lucha en la Siria para conjurar la tempestad que le ame­ na Gavilán, Doña Dolores Pons, Doña M argaiili Y aldés Do­ hábian situado en Alendin y Otura , y principiado los traba­ naza en el Bosforo, se ve solicitado también en el mismo sen­ ña Susana Tournier, Doña Concepción Montes, D ¡ña Rosario jos, continuaban sin novedad y á satisfacción del ingeniero tido por la Ingla…</t>
  </si>
  <si>
    <t>Pont, Vicente</t>
  </si>
  <si>
    <t>Vicente Pont</t>
  </si>
  <si>
    <t>…cualidades que concurren en el modo la adm in istració n, cómo no ha de obtener la aprob.cion p rin cipado, y auditor de guerra honorario, por un interno. barón de Ribera de Sabrosa, que por mi decreto de este día ha general. D. Vicente Pont, por idem. .sido nominado M inistro y Secretario de Estado de la G uerra, Por lo que dejamos expuesto se demuestra claramente que D. José E strad a, por idern. y encargado interinamente de las secretarías de Negocios extran­ estamos resueltos á satisfacer los deseos del Sr. Presidente d…</t>
  </si>
  <si>
    <t>Ponte, Joaquín</t>
  </si>
  <si>
    <t>Joaquín Ponte</t>
  </si>
  <si>
    <t>…ados, donde resulte su debe y haber respectivos, te ocho piezas, dirigidas por el comandante general de artille­ á ocupar sus posiciones, fue iuútil porque los nuevos enem i­ estampando por primera partida la que por cada ría D. Joaquín Ponte, que jugaron por espacio de siete horas, gos continuaion el mismo rumbo que los anteriores. concepto resulten adeudando, según las liquidacio­ que casi todosá discreción &gt;e rindieron los defensores que sobrevivieron , au n ­ El comandante mili ar de Cifueutes elogia la conducta y he…</t>
  </si>
  <si>
    <t>Pontevedra</t>
  </si>
  <si>
    <t>…embre . y su bienestar sin necesidad de imponer nuevas contri­ la dirección de ciertos guardas, y se les sometió a una dis­ buciones ni sacrificios. ciplina ó régimen muy severo; por último, en vez de en­ Comandancia general de Pontevedra.=EI Excmo. Sr. capi­ El primer pais donde se pensó poner en práctica es­ tregarles un lote para que lo explotasen por su cuenta, se tán general de este ejército y reino en 15 del actual me dice lo tas teorías fue la Holanda; y puede asegurarse que hasta les consideró como peones á destajo…</t>
  </si>
  <si>
    <t>….188,800 muchos años. Lugo 17 de O ctubre de 1859.:^L:aureano Sanz.n francos.^ Los reía ti v 09 á las tropas empleadas en Argel ascien­ estará dentro del tambor : se presentará después otro sol de 4 0 á Sr. comandante general de Pontevedra.=:Es copia.zzRávago. den á 55.495,909 francos, en los que se comprenden 20.985,221 50 pies de diámetro anunciando la conclusión. Y por últim o se un gran sol de 80 ¿ 90 pies de diámetro; term inan ­ f rancos; que forman el excedente del pie de guerra ai de paz do con ver dejará una g…</t>
  </si>
  <si>
    <t>…M a til­ M elchor. E nviaréte noram ala chos años. L ugo 20 de O ctubre de l8 59 .~ L au rean o Sanz.=zSe- de , enfadado D. Iñigo con una expresión m al sonante, le am e­ si no callas, necio: ig u a la ñór com andante general de Pontevedra.—Es copia = R ávago . naza d icien d o : Ja Scitia con la E tiopia. (fe. O .) L a mano que á mí me ha muerto ¡V iv e el cie lo , descortés, que estoy * de una vuelta se adornaba de red. Các er es 2 d e N oviem bre . G allardo E a , ¿ y a empezamos? V en tura. Bolsillos pescaba. M el…</t>
  </si>
  <si>
    <t>…la otra una muerte segura al tenaz y de luego las mejores esperanzas de su Gobierno. obcecado en su rebeldía. Los que la han abtenido: la han que­ Tomando en consideración el M. I. ayuntamiento la perdí - Comandancia general de Pontevedra.—El Excmo. Sr. capi­ rido, y á su pertinaz y criminal proceder la han debido, y no dida lamentable que acaba de experimentar esta población con tán general de este ejército y reino con fecha 6 del actual me á mis providencias. el falleciraieto del Sr. brigadier D. Joaquín Escario , gobern…</t>
  </si>
  <si>
    <t>Pontois</t>
  </si>
  <si>
    <t>…Noviembre . Atribuye S. S. la excisión entre la iglesia griega unida y la Boletín oficial de esa provincia sirva de satisfacción á sus lea­ corte de Roma , únicamente á las intrigas y seducciones de los les habitantes. El conde Pontois ha tomado una posición influyente en obispos rusos. Machinationes et imprudentes falladas epis - la cuestión que se agita. El Divan y M ehemet-Alí le adulan, y coporum. enti ambos cuentan con él. La última alocución de la Santa Sede contra el Rey de Pru- El Excmo. Sr. capitán general de este…</t>
  </si>
  <si>
    <t>…as y los avisos del joven griego, agente pagado por la Pidiendo la inserción de estas líneas en su siguiente núme­ ce á una generación que comenzó por proscribirlos, y ha sofo­ Inglaterra, son los que sirven de norma al conde de Pontois. ro, soy de usted muy atento seguro servidor y constante lector.^ cado y extinguido en su alma los sentimientos morales, porque Todavía no queremos dar crédito á esto, mucho mas cuando El amigo de la verdad. es miembro podrido de una sociedad que tampoco los venera. sabemos lo que son el p…</t>
  </si>
  <si>
    <t>…, relativamente á la política aislada de la corte de Francia, I dando al Senado'convocar una asamblea para anunciarla su ad ­ peranzas del b ie n , y nosotros creemos que si bien V . M . no Se trata ahora de saber si el conde de Pontois logrará que M e - j venimiento al trono , á fin de que el pais sea gobernado en ade­ hizo sino cum plir con la nías alta de las obligaciones hacia la hem et-A lí y la Puerta concluyan un tratado de paz antes de lante en su nombre. El vSenado ha contestado que ante todas co­ salvación de su p…</t>
  </si>
  <si>
    <t>Ponzoa</t>
  </si>
  <si>
    <t>…ecreto inserto en la están por consiguiente en el caso de hacer aplicación de esas nue­ Gaceta de ayer, por el cual S. M. se ha servido nombrar Se­ vas doctrinas al caso del Sr. Fernandez Baeza. año otra. En el año pasado el Sr. Ponzoa, que habia sido oficia nador por la provincia de Tarragona al Sr. marques de Y a l- gornera, reelegido por la misma. Recuerdo bien que los Sres. M a rtin , Burriel, Iluelves, do laá gefe de secretaría de la Gobernación, siendo cesante fue ascendi­ de sección de la misma secretaría, y dijo…</t>
  </si>
  <si>
    <t>…siempre le habia interesado, porque habia visto que asi en tiem­ El Sr. conde de las N A V A S , rectificando equivocaciones y pos de absolutismo como de libertad, para él no habia habido haciéndose cargo de lo dicho por el Sr. Ponzoa, dijo , que mas Milicia nacional de infantería. = Tercer batallón. —Ma­ nunca tiempos de pagas y de ventura. Indicó ademas que 110 que dinero se necesitaba justicia, y solo justicia , á la que era drid 16 de Enero de 1859.=:Sres. redactores de la Gaceta: muy podía menos de reclamar el cumpl…</t>
  </si>
  <si>
    <t>Poque</t>
  </si>
  <si>
    <t>…er dos caballos, que se han aplicado al ser­ egidor; después iban el teniente general Boyer, su primer ay u - rencia. vicio de la caballería , siendo nuestra pérdida la de un oficial íante de cam po, el general Jacobi, el coronel Poque, goberna- Apenas se apoderaron los constables de las banderas y de los y seis soldados heridos, y un caballo muerto. lor del castillo , los agregados, ayudantes de campo y oficiales estandartes, cuando los cartistas los acometieron furiosos; y co­ Que en la noche del 24 el comandante del bata…</t>
  </si>
  <si>
    <t>Por</t>
  </si>
  <si>
    <t>…rucción lejado 10 hijos. El difunto duque era duque y conde de Bed­ los remates, comprendiéndose también el total de los meses vigente. anteriores, según está mandado. ford, marques de Tavistock; barón Russell de Cheueys, barón Por último dice el mismo capitán general que en diferentes Russell de Thorhangh y barón de Howland, de Streatham, tí­ puntos de aquel distrito se han presentado á indulto siete re­ tulos todos al que va anejo el de Par de la Gran Bretaña. S. G. Número beldes, y han muerto en el campo en los encuentr…</t>
  </si>
  <si>
    <t>…haya decidido de la suerte futu­ En los dos años anteriores 1857 y 1858 ha habido 22 explo- G ueibor, el cual habia sido antes indultado: haberse hecho ra del pais.” dos prisioneros, uno de ellos espía y confidente del canónigo Por otro decretó el general Santa Cruz anula la presidencia sionesyde cuyas resultas han perdido la vida 157 personas. {Id.) Reza, llamado José1Vázquez* haberse presentado á indulto nue­ de la Bolivia, y en una alocución que dirige al pueblo dice: ve facciosos y cuatro desertores; y últimamente ha…</t>
  </si>
  <si>
    <t>Por, Carlos.</t>
  </si>
  <si>
    <t>Carlos. Por</t>
  </si>
  <si>
    <t>…rno de S. M . Se ha G u ille rm o , y por consiguiente considera como legítimas las un idas con la primera se ocupen en las inmediaciones de esta dicho que el Gobierno de S. M . habia formado el proyecto de pretensiones del duque Carlos. Por otra p a r te , la p o lític a del ciudad. Dios guarde á V. E. muchos años. M álaga 17 de A b ril comunicar estas explicaciones al Parlamento. En este caso, me Rey de Hannóver se identifica tan bien con la de Rusia , que de 1859.=Excmo. Sr.zzSimon de R o da.—Exctno. Sr. secretario parece…</t>
  </si>
  <si>
    <t>…rción del soldado cristiuo Descuento de letras , á 6 por 100 al año. viaje fue en parte para servir á su amigo y proporcionarle los es el aliciente de la paga. Cuando en el pasado otoño sepagaba medios de volver á la gracia de D. Carlos. Por lo demas no puntualmente el prest al soldado, se nos pasaban diariamente contiene la carta dato alguno de im portancia. Habla por in c i- 50 ó 4 O de loscristinos; pero posteriormente se suspendieron los BIBLIOG RAFIA. pagos, mientras los cristioos recibían dos meses de sueldo; de mod…</t>
  </si>
  <si>
    <t>Por, D. Juan</t>
  </si>
  <si>
    <t>D. Juan Por</t>
  </si>
  <si>
    <t>…rtización . r a , y el otro de un caballero, y el otro de una éscalera de Sra. Doña Josefa de la Peña de Fuentes. manga para que puedan bajar .y salvarse las gentes de cualquie­ 669. Uu ejemplar del tratado de las aguas, al Sr. D. Juan Por providencia del Sr. intendente subdelegado de Rentas, ra casa que se halle incendiada, inventada por D. Félix Perez, de Acebedo. 641» Una alfombra grande bordada con figuras de relieve, juez de Amortización, y para poder cumplimentar cierto des­ de esta corte, cuyo modelo obra en poder…</t>
  </si>
  <si>
    <t>Por, Fernando.</t>
  </si>
  <si>
    <t>Fernando. Por</t>
  </si>
  <si>
    <t>…a . . .... 5 47555 47550 dio de su d ip u tación á fe lic ita r á V . M . c o a m o tivo del f a u s ­ tan holladas y escarnecidas por algu no s. C iu d a d -R e a l..,.. 56 1292 /,2..26 195 6/,0..24 to d ia de S. M . el R e y D. Fernando. Por ú l t i m o , se ofreció á la a c ad em ia u n a o b rita t i t u l a d a el £ asteL,on 22 514048..24 1055457 L a ventura y felicidad de los portugueses está lig a d a estre­ In d ica d o r C ordobés , ó sea resumen de las noticias necesarias á C ° r u n a 17 2 5 0 9 8 .1 1 76124 cham…</t>
  </si>
  <si>
    <t>Por, Francisco Lucini.</t>
  </si>
  <si>
    <t>Francisco Lucini. Por</t>
  </si>
  <si>
    <t>…neral, A. M. Terradillos. y restauradas todas las decoraciones de los cuatro primeros ac— léliz alguno; todos falsos en la doctrina y exagerados en tos, y nueva la del ultimo, pintada por el acreditado profesor el principio. D. Francisco Lucini. Por fortuna nuestro carácter y nuestras costumbres Terminará la función con baile nacional. repugnaban y rechazaban altamente la nueva escuela; el Alcaldía constitucional de Valencia. público conoció un dia todos sus errores y tendencias, y aquel dia silbo lo que antes habia apl…</t>
  </si>
  <si>
    <t>Por, Husgen.</t>
  </si>
  <si>
    <t>Husgen. Por</t>
  </si>
  <si>
    <t>…progreso de las nacio­ les conferidos al arzobispo por tres añ o s, h an sido renovados república continúan manifestando el Ínteres mas vivo y cor­ nes , y hoy desgraciadamente nos encontramos con pocos ade­ en favor del doctor Husgen. Por consiguiente la adm in istra­ dial para su prosperidad , y que otras no unidas todavía por lantos y sin uu plan que pueda prometer, al menos para un ción diocesana está ahora organizada de una manera capaz de tratados con ella , desean celebrarlos para estrechar mas y mas tiempo f u tu…</t>
  </si>
  <si>
    <t>Por, Mon.</t>
  </si>
  <si>
    <t>Mon. Por</t>
  </si>
  <si>
    <t>…er las mismas equivocaciones que ha rectificado que en las circunstancias lamentables en que nos hallamos nin­ decir respecto á la del Sr. Borrego sobre que esto se habia traído el Sr. Gómez Acebo, y e n que ha incurrido el Sr. Mon. Por gú n talento adm inistrativo busca ese remedio heroico y ese pro­ de F ra n c ia , que fuese ó no del extran gero , era un pensamien- de pronto diré que S. S. ha combatido lo que no ha dicho nin­ d igio que ha indicado el Sr. Puche. to ú t il, y que en Francia en 1 8 1 5 , después de la r…</t>
  </si>
  <si>
    <t>Por, Ovejero.</t>
  </si>
  <si>
    <t>Ovejero. Por</t>
  </si>
  <si>
    <t>…partir este exámen de las que existen en virtud de una gravite sobre la provincia de Palencia, no lo creo justo; y REDACCION DE LA GACETA. contrata ya celebrada por el Gobierno? Yo creo que no hay esta parte apoyo el voto del Sr. Ovejero. Por todo ló que, con­ motivo para poner en cuestión el origen y legitim idad de ese cluyo diciendo que el Congreso debe m anifestar qúe nb tiene contrato; y si hay alguna que ventilar, seria acerca de la con­ nada que oponer contra ia legitim idad de la contrata; esta es la cesión que po…</t>
  </si>
  <si>
    <t>Por, Rentas.</t>
  </si>
  <si>
    <t>Rentas. Por</t>
  </si>
  <si>
    <t>Por satisfecho á partícipes de todas clases. .............. [ Por id* de la di rece ion general de loterías, . Art. 7.° El local para las escuelas deberá reunir Por id. á libranzas de la dirección general de Rentas. Por id. de remesas de Ultramar. Libranzas expedidas circunstancias de salubridad, extensión y demas preveni­ Por robos ejecutados.............. * sobre varios puntos.............................. das en el reglamento provisional de estos eslablieeiuúenins Por trasladados á las ca jas de líqu…</t>
  </si>
  <si>
    <t>Por, Sancho.</t>
  </si>
  <si>
    <t>Sancho. Por</t>
  </si>
  <si>
    <t>…esto, de ma­ tículo no cabe duda alguna de que no pueden tener lugar los bando este artículo , lejos de perjudicarse á nadie, se favorece á nera que la facultad que s e d a , es para aumentar la inmora­ temores fundados del Sr. Sancho. Por lo tanto renuncio la pa­ todos, y al votarle acordémonos, señ&lt; res, de que el papel está lidad fomentando el juego. La caja puede hacer operaciones con labra. al 1 6 , y que esto significa !a r u i n a , ó por mejor decir, la se­ seguridad de g a n a r, y se quiere, señores, poner á pr…</t>
  </si>
  <si>
    <t>Pore, Pascual</t>
  </si>
  <si>
    <t>Pascual Pore</t>
  </si>
  <si>
    <t>…os, que por espacio d e m e d io siglo la sirvió con celo, la de Cachiri, Cabulla de Caqueza, llanos de S. Martin, puede considerarse de absoluta necesidad para los Sres. gefes y honradez é inteligencia, en el teniente general D. Pascual Pore, Ceja alta y Rompe Bujías, Atrato, la Plata, y por oficiales dividuos de la Milicia, y de conocido ínteres para todos los in^ de ella. Se suscribe en Madrid en la librería de Boix, Enrile, caballero gran cruz de la Real y militar orden último, la del Tambo. americana de Isabel la Cató…</t>
  </si>
  <si>
    <t>Porque, González.</t>
  </si>
  <si>
    <t>González. Porque</t>
  </si>
  <si>
    <t>…completo sin em barazo, sin trab as; pero es m u y difícil posible. Creo que en esta indicación está comprendido cuanto El Gobierno por el contrario ha manifestado que da i m ­ superar todas las situaciones. puede desear el Sr. González. Porque ¿cómo se reanima el c r é ­ portancia , y mucha, á ese reconocimiento. Comprendo y o , co­ Habló en seguida S. S. del clero , y después de manifestar dito donde oo se desembaraza la adm inistración7 mo el Sr. Ochoa , que para mantener á la Reina en su trono el estado de abatimiento…</t>
  </si>
  <si>
    <t>Porras, Pedro</t>
  </si>
  <si>
    <t>Pedro Porras</t>
  </si>
  <si>
    <t>…talvan contra las facciones D. Melchor García, D. Francisco Romeral, sugetos siguientes: después de arrojar al agua 250 barriles de carga y largar las reunidas, durando aquel hasta las tres de la tarde, y según ca Santipetri, D. Pedro Porras, D. Felipe López VadeIdem D. Juan la Ro­ dos cadenas: la goleta O rear, procedente de S. Agustine, varó todas las referencias de donde procede esta noticia los enemigos D. Nicasio González Cabellos, D. Francisco Iñigo, D. José oro, al Sud de Staten Island, pero no tuvo avería en el car…</t>
  </si>
  <si>
    <t>Portocarrero, Gaspar Jiménez</t>
  </si>
  <si>
    <t>Gaspar Jiménez Portocarrero</t>
  </si>
  <si>
    <t>…la conducción de las cartas. Pe­ lla ; y le fue admitido en providencia del mismo dia 5. fiscalización recibe el castigo eu sus mismos excesos, sin contar factoria ro el autor desvanece esta objeción de una manera muy satis­ D. Gaspar Jiménez Portocarrero, médico-cirujano de la vi­ con lo que pierde la moral por efecto de estas trampas. para el público, sugiriendo la idea de dos salidas de lla de Ojén, en 4 de Abril denunció la mina de carbón de pie­ Y esto es de tanto bulto , cuanto que es evidente que los correo cada dia…</t>
  </si>
  <si>
    <t>Portugal, Enrique Ataide</t>
  </si>
  <si>
    <t>Enrique Ataide Portugal</t>
  </si>
  <si>
    <t>…e la T orre -L u zon, ó la persona que le represente en esta cor­ Tesoro de los niños: obra útil para su cristiana y civil edu­ le , se servirá personarse en esta intendencia para asuntos con­ cación , traducida al español por D. Enrique Ataide Portugal. cernientes á dicho título. Madrid 12 de Octubre de 1859. =2 JLTALLANDOSE pendientes en el juzgado de primera instan- Es uq resúmen de los principios de la moral cristiana y la ci­ Manuel Ortiz de Taranco. cia de esta capital, que despacha el Sr. D. Ju a n José Ro­ vilidad ,…</t>
  </si>
  <si>
    <t>Posada, Doña Juana</t>
  </si>
  <si>
    <t>Doña Juana Posada</t>
  </si>
  <si>
    <t>…­ en renta en 14,908 rs. ; previniéndose para conocimiento de los El dia 26 de Octubre dicho Sr. N a g e l, como apoderado de biesen las farán sido expendidos los billetes, con la puntualidad que tie­ licitadores , que la Sra. Doña Juana Posada , como dueña de la los referidos Sres. Raveneau, Soigni y Gousillon, tomó pose­ ne acreditado este establecimiento. cuarta parte de dicho cuarto, está couforme en que se ia inclu­ sión de la mina de carbón de ya en dicha subasta con la precisa calidad de que el compra­ El Fondon ,…</t>
  </si>
  <si>
    <t>POSADAARGUELL</t>
  </si>
  <si>
    <t>…álico y su m in is­ consideraciones de ninguna especie. Estos empleados no tendrán opcion á jub ilació n ni cesantía. tros por la provincia de Huesca y cuenta Y o rito diré , señores, que en tiempo de revueltas y vicisi­ El Sr. P O S A D A A R G U E L L E S manifestó que no podia de consignaciones presentes y f u t u ra s 8 .5 7 0 ,5 3 8 . . 21 tudes políticas los ayuntamientos en la parte de color político convenir en que los alcaldes suspendiesen un acuerdo del a y u n ­ Ingresado en papel m o n ed a, como son billetes…</t>
  </si>
  <si>
    <t>Posadas</t>
  </si>
  <si>
    <t>…hasta que presentar al ¿Senado ¿ :ao 'haMaudo motivo para variarle, por1 vo esa dignidad 5 baMe.afioi¿ido arates obispo titular fie Mallor­ S. M, la despida. ' , crea* que haciéndalo se seguirían mayores perjuicios,' ca. El Sr. Posadas^ obispo:qné'fue dé'Oirihaela ha' sido fies- A rt 82., A ser, testigos Pde, 1a. preseetoetíM y .reconocimiento El Senado eso» su superior- ilustración resolverá como siem­ p o n presentádé parí'el arzobispado fie Y atabe»'; el actual a.r- de lo» hijas recta® gincidos del R ey .P rin cip e d…</t>
  </si>
  <si>
    <t>Posen</t>
  </si>
  <si>
    <t>…s, y habia pocas personas paseándose. salud. En todos los puntos del jardín hay fuerzas imponentes es­ (Extracto de Una carta particular.) calonadas. Los regimientos de línea í.° y 28 dan e&lt;te servicio La carta del arzobispo de Posen fecha 1.° de M ayo, inser­ en concurrencia y simultáneamente con el primer batallón de ' MINISTERIO DE HACIENDA» té en los periódicos franceses, es sin la menor contradicción oficiales subalternos veteranos. En todas las puertas hay centi­ nelas dobles. muy curiosa , y aun lo seria mas si l…</t>
  </si>
  <si>
    <t>…una fiesta magnífica. Estaban hechos ha creído nuestro Gobierno deber intervenir con las dos partes los preparativos de muchos dias antes. S. M. llegó á las siete y beligerantes. Las negociaciones entabladas con el arzobispo de Posen , so­ media con su comitiva , habiendo empezado á poco la comida. L ord Joh n R u s sell: No se ha recibido noticia n in g u n a bre resolver la cuestión católica, siguen su curso de un modo el Las duquesas de Ha rail ton y de B redfo rt, el marques de A n - de una ruptura y de un principio de…</t>
  </si>
  <si>
    <t>…as que mas adelante d i r é , y entre ellas á los h a ­ deseo que no se omita nada de cuanto pueda ilustrar la opinión bitantes de los condados investidos de propiedades semejantes y de la Cámara. Según se dice, el arzobispo de Posen , M r. D u n in , ha dotados de la misma inteligencia que los deuaas. (Aplausos.) Si Queda adoptada la mocion. recibido hace dos dias contestaciou del Rey á la carta que esta últim a clase reuoe absolutamente las mismas cualidades que S ir S t r a t fo r d C anning: Deseo d ir ig ir al secreta…</t>
  </si>
  <si>
    <t>…l pais para juzgar por Art. 6.° La renovación de ayuntamientos se verifica­ exactitud. su acento si era belga ú holandesa. r á en las cuatro provincias según tengan de fuero y cos­ de suDias antes de la llegada del arzobispo de Posen, ya se hablaba Esta sola prueba ha podido salvarla, y la baronesa de H u­ tum bre, debiendo tomar posesión de sus destinos los nue­ fal pararegreso, y los habitantes le habian preparado un arco triun­ gendorp fue conducida en triunfo á su domicilio, mientras que recibirle. Habian dispuesto a…</t>
  </si>
  <si>
    <t>…| , 5 4 f. Brasileño 79^. M unich 51 d e E nero. M ejicano 24* Apenas se hacen negocios sobre acciones de caminos de ACTAS DEL GOBIERNO. La G aceta p o lítica de 1.° de Febrero contiene la respuesta hierro. del arzobispo de Posen al documento publicado contra él por la G aceta d e E stado d e P rusia á virtud de orden del Gobierno prusiano. Acompañan á la respuesta documentos justificativos. Antes de concluirse la sesión de la C ám ara de los Lores el MINISTERIO DE L A GOBERNACION DE L A PENÍNSULA. Insertamos á con…</t>
  </si>
  <si>
    <t>…ía en aquel territorio. PRUS1A. Según comunicación del general en gefe del ejército del Berlín 6 de Abril . Norte fecha en Villarcayo el 19 del actual, resulta que el día PARTE RECIBIDO EN LA SECRETARIA DE ESTADO El arzobispo de Posen ha llegado aqui ayer con su capellán anterior practicó un minucioso y detenido reconocimiento so­ W alkouski y el deán Feischer de Schwerin. Como la corte de bre las obras y demás obstáculos que los rebeldes han opuesto Y DEL DESPACHO DE LA GOBERNACION DE LA P E N IN SU L A . Roma ha dado rec…</t>
  </si>
  <si>
    <t>…nada les falta por ahora mas que algunas camisas que también se están construyendo. Con fecha del 6 roe manifiesta el mismo Montesinos que en PARTE NO OFICIAL. A y e r concluyó el plazo de seis dias concedidos al arzobispo de Posen para apelar de la sentencia pronunciada contra él. Se cumplim iento de lo prevenido en Real orden de 2 6 de A b ril cree que el Rey le permitirá elegir el sitio de su residencia e a ú ltim o se habia retirado de la carretera de M otril y punto del P adul el presidio de la de Córdoba á A n tequ…</t>
  </si>
  <si>
    <t>…s ejerzan sus funciones espirituales. Se asegura también mal estado de su salud , está mucho mejor. Todas estas noticias gla 5.a se previene, y contándose estos como quintos en­ que hay fundadas esperanzas de que el arzobispo de Posen vuel­ las da la Gaceta de Augsburgo refiriéndose á una carta de tregados al arma por cuenta de los que haya pedido para va, si no á Posen mismo , al menos á algún otro pueblo de su Vieoa de 10 de Noviembre. {Id.) su reemplazo.” diócesis. Este leoguaje está bien calculado y es muy á propósi­…</t>
  </si>
  <si>
    <t>Posse, Barcino D. Maximino</t>
  </si>
  <si>
    <t>Barcino D. Maximino Posse</t>
  </si>
  <si>
    <t>…y según e o icio ber concluido nuestras conferencias hasta las dos de ia ma­ cabeza del ejército, sobre cuya solicitud aun no resuelven 1 * ñana. . Cám aras, y que no tendrá su verificativo sino en el caso n S del comandante del Barcino D. Maximino Posse, habiendo Eran las cinco y media de esta cuando el contra-almiramte sano. reconocido este buque, encontró que su cargamento eran oa c - gefe de la escuadra enem iga, á pesar de sus protestas y sin h a ­ E n cuanto á lo segundo, la benemérita guarnición de la nes de fusiles,…</t>
  </si>
  <si>
    <t>Posse, Eduardo</t>
  </si>
  <si>
    <t>Eduardo Posse</t>
  </si>
  <si>
    <t>…es asignaciones, los precios de jornales tinuamente están prestando á la causa nacional el citado co­ y objetos de consumo de primera necesidad en la provin­ En la condición 5.a de la circular emanada del ministerio mandante D. Eduardo Posse, el de la Luchana D. Pedro del cia ó pueblos donde hayan de ejercer sus fuucioues dichos de la Gobernación, é inserta en la Gaceta del dia 8 , donde di­ Castillo, tercer piloto D. Francisco Muñoz y demas individuos ce “cuando se celebren juntas generales” , debe decir “cuando comisi…</t>
  </si>
  <si>
    <t>…que fuere de su Real agrado, recomendándole ademas el particu­ conferencia que tuve con S. S. dispuse mi salida con el convoy lar mérito que han contraído el citado comandante teniente de sobre Treto, como se verificó. navio D. Eduardo Posse por su actividad , celo y sobresaliente El comandante general de la provincia de Avila en comu­ Al amanecer del 26 di mis órdenes y se principió el paso de manejo ; el de la lancha Luchana , alférez de navio , D. Pedro nicaciones de i i y 15 del actual participa que el subteniente lo…</t>
  </si>
  <si>
    <t>Posse, Luis</t>
  </si>
  <si>
    <t>Luis Posse</t>
  </si>
  <si>
    <t>…idas, y por consiguiente favore­ Se mandaron pasar á la comisión de A ctas: que se citan en este artículo 1.° En este se cita un decreto f no cía á las miras del Gobierno el indicar que no le son descono­ Una comunicación de D. Luis Posse, y otra del primer su­ una ley ; y yo ofendería muchísimo la ilustración de todos los cidos algunos argumentos aqui empleados, y que ya de ante­ plente por Córdoba, solicitando su admisión en el Congreso. Sres. Diputados que me escuchan si tratase ahora de explicar mano ha manifestado en…</t>
  </si>
  <si>
    <t>am argura y lulo el suelo de España ; porque como madre ma de D. Luis Posse, D iputado decto por la provincia de la trarios? E&gt;e dictamen está fuera de l u g a r ; necesitaba para fun­ cariñosa , todas las tribulaciones (fue lian pesado sobre sus Coruña. darse una reclamación del Diputado electo y un testimonio de hijos han herido mas cruelm ente el corazón de V.…</t>
  </si>
  <si>
    <t>Posse, Maximino</t>
  </si>
  <si>
    <t>Maximino Posse</t>
  </si>
  <si>
    <t>…usa nacional el alférez de navio de la 13 y 22 de Marzo; l.° y 24 de Abril, 5 de Mayo, 19 de Junio y 11 de Agosto del año último, de que son igual­ de Caminos los 3$ presidiarios que pide para la construcción irmada nacional D. Maximino Posse, oficial de distinguido mérito que he tenido ocasión de conocer en el tiempo que lle­ las carreteras de Jaén á Bailen, y desde Granada á mente copias las adjuntas; en el concepto de que no pul Málaga y Motril, de los sentenciados á los presidios pe­ vo de mando en estas costas, y c…</t>
  </si>
  <si>
    <t>…icio ber concluido nuestras conferencias hasta las dos de ia ma­ cabeza del ejército, sobre cuya solicitud aun no resuelven 1 * ñana. . Cám aras, y que no tendrá su verificativo sino en el caso n S del comandante del Barcino D. Maximino Posse, habiendo Eran las cinco y media de esta cuando el contra-almiramte sano. reconocido este buque, encontró que su cargamento eran oa c - gefe de la escuadra enem iga, á pesar de sus protestas y sin h a ­ E n cuanto á lo segundo, la benemérita guarnición de la nes de fusiles, y según mi…</t>
  </si>
  <si>
    <t>Pottingor</t>
  </si>
  <si>
    <t>…á Candahar, en donde sus talentos diplomáticos han en la plaza por el Rey de armas al son de trompetas. En se­ indignación general. El pueblo ha desarmado á los soldados, se sido de tanta utilidad en otras ocasiones. El teniente Pottingor guida el Rey Christierno v m se presentó en el balcón para sa- ha apoderado de sus armas y municiones, ha expulsado á los habia ajustado en Herat un tratado de comercio con K a m - ludar al pueblo. r miembros del Gobierno, y ha pedido que se forme otro nuevo K am , el cual habia enviado á…</t>
  </si>
  <si>
    <t>Pou, José</t>
  </si>
  <si>
    <t>José Pou</t>
  </si>
  <si>
    <t>…&amp;c. S. E. quedó enterado y complacido del buen orden que rige en el local. A res; llamando particularmente la atención la casa en que habi­ ai pais del uso que haya hecho de esa espantosa d ictad u ra?” ta el digno nacional D. José Pou , cuyo frontis estaba per­ Los Ministros responden por el poder R ea l, que en cierto mo­ cada in útil o mutilado pregunto la causa de su inutilidad , y la acción en que la habia contraido, dirigiendo á todos pala­ fectamente iluminado y adornado con el retrato de la Reina do les ha sido…</t>
  </si>
  <si>
    <t>Poveda, José</t>
  </si>
  <si>
    <t>José Poveda</t>
  </si>
  <si>
    <t>…n nombrar pa­ ra úuo de los juzgados de primera instancia de Valencia , va­ PARTE NO OFICIAL. M I N I S T E R I O D E L A G O B E R N A C IO N D E L A P E N Í N S U L A . cante por fallecimiento de D. Mariano García Bajo, á D. José Poveda, electo de Santiago ; y para el de M álaga, también v a­ Segunda sección.—Circular. cante por muerte de D. José Yelasco de Castró, á D. Faustino NO TIC IAS E X TR A N G ER A S. A rranz, que sirve el de Burgos. P o r el rninisterio: de la G uerra en 7 de este mes se ha Para el juzgado…</t>
  </si>
  <si>
    <t>…de los Pares de la mera instancia de Santiago, vacante por renuncia de D. R a - I Los Ministros de la G uerra, de Instrucción pública y de H a ­ causa que se le sometió por decreto R eal del 4 de M ayo mon Martinez Arenzana, á D. José Poveda, que sirve el de ) cienda han presentado diversos proyectos de ley ya adoptados de 1839. Molina de Aragón: para este á D. Gabriel García de García I por la Cámara de los Diputados. El marques de Laplace ha Caballero, juez de Navalcarnero; y para esta resulta á D. Jua n ] presentado su in…</t>
  </si>
  <si>
    <t>Pozas, Juan Bautista</t>
  </si>
  <si>
    <t>Juan Bautista Pozas</t>
  </si>
  <si>
    <t>…igurar mismo ruido. Sin embargo no se hizo ninguna diligencia para en el número de aquellos. averiguar la causa y verdadero carácter de él, y se pasó la no ­ El comandante militar de Liria en parte de ayer dice que El capitán D. Juan Bautista Pozas, si no logró hallarse en che. A la m añana siguiente entró la criada en la habitación de van reuniéndose en Chelva los dispersos de la facción del T u ­ el recio de la acción, todavía llegó oportunamente para hacer M m a. Desurleau , y no encontró en ella su ama; pero creyen­ r…</t>
  </si>
  <si>
    <t>Pozzo</t>
  </si>
  <si>
    <t>…die, como los años auteriores, á circular en derredor de las ella se propone. Es preciso no equivocarse: no es solamenté ei táculo. La concurrencia era numerosa, y se componían las dos mesas. Un poco antes de las siete, el conde Pozzo di Borgo, ínteres de la España constitucional el que exige la ejecución sin­ terceras partes de ella de damas. embajador de R u sia , que habia sido convidado á comer, envió cera y formal de los tratados, sino también el de la misma una carta excusándose de asistir por causa de una ligera y…</t>
  </si>
  <si>
    <t>…(las nueve de la noche) están reunidas en mundo. {Estrepitosos aplausos.) la plaza del mercado mas de 50 personas. M r. de Cordoue pidió hoy á nombre de la comisión de P e ­ E l P residente dirige en seguida un brindis al conde Pozzo ticiones se remitiese al M inistro de Instrucción pública una pe­ di Borgo. Este diplomático se expresa en estos térm ino s: Me tición d irig id a con este motivo por el director de un pequeño contemplo feliz en haber sido por espacio de medio siglo el seminario. D ich a petición, im p u g n…</t>
  </si>
  <si>
    <t>…la tienda del panadero Briot, sin el cual nada se atreve á em prender, es lo único que le ha calle Mouffetard, núm. 25, en cuya casa dormía M artin Bernard: impedido atacar: sin embargo, ha adoptado todas las medidas E l conde Pozzo di Borgo , embajador extraordinario y m i­ un comisario de policía comisionado al efecto, M r. Vascal y 10 necesarias para poner el ejército turco en una situación deses­ nistro plenipotenciario del Emperador de todas las R usias, ha individuos de seguridad pública, entraron en la tienda. p…</t>
  </si>
  <si>
    <t>…ero, Milores, conde de Nesselrode, adelantándose mas a u n , insinuó en su co­ de estar seguro de que toda intervención de los e x tran g e ro s, en como el digno preopinante ha hecho una alusión tan marcada municación al conde Pozzo di Borgo, y en su nota á lord C lau­ las instituciones políticas de los españoles que no sea solicita­ á mi persona , y como no dudo de que mi noble amigo contes­ ricarde, que se adoptasen algunas medidas para poner término da por ellos mismos, se estrellará miserablemente. Asi seiia i n ­ t…</t>
  </si>
  <si>
    <t>…tro en Estokolmo, y del conde Strogonoff, á q u ie­ desconfianzas respecto de la buena fe J e este, y se hacían ío o i- de Jalap a , h a y a podido escribir una nota que m uy lejos de jus­ nes se designa como sucesores del conde Pozzo di Borgo , que paraciones entre las diferentes épocas políticas de U República, tificarle, va á servir de fundamento á los terribles cargos que vuelve á entrar en la vida p rivada á la edad de 70 años. {Id.) tan odiosas.como agenas de una legación extrangera. Si esa con­ ciertamente h ará el…</t>
  </si>
  <si>
    <t>…p r o ­ mayor Stephens, fueron del número de los concurrentes. Igu al­ un modo violento in v ad ir una parte de la provincia de la N ue­ cede á votar 14 4 ,0 6 1 libras esterlinas para el alojamiento de mente asistieron el conde Pozzo di B c r g o , el conde Sen fft-P il- va B run sw ick , sujeta á la jurisdicción de la Gran Bretaña, tropas, comprendiéndose en ella las de v ig ilan cia en el Reino sach , lord y lady Stuart de R o th esay, lord y lady Poltirao- tan distinguida por el espíritu de justicia que la caracteriza U…</t>
  </si>
  <si>
    <t>…uos qué componían la conferencia se reunieron eo Foreing- testamento la mayor parte de sus bienes, que todavía eran de ficiente para premiar los que hace quien expone su vida y office. Asistieron el príncipe Esterbazy , el conde Pozzo di Bor- sumucha consideración, á su nieto Joaquín M urat, hijo de L u ­ derrama una sangre que á toda costa debiera conservarse ? De go, el barón de Bourqueríey, lord Palmerston y el barón de ciano Murat. Según las últimas disposiciones de la entre nosotros han salido centenares de estos defe…</t>
  </si>
  <si>
    <t>…seó á caballo por el par­ la sociedad, vienen á constituir esa co m ún ilu stració n , q u e que. El mismo dia comió S. A. I. con la Reina Victoria. Ayer no sin fu n d am en to envidiam os á otras naciones. noche ha dado el conde Pozzo di Borgo en Arburnham -House, El ministerio de lord Melbourne ha sido derrotado en la Las clases de esta segunda enseñanza estarán bajo la una fiesta magnífica en honor del gran duque. El sábado fue­ Cámara de los Comunes en la cuestión del bilí de la Jamaica. inspección inm ediata del profeso…</t>
  </si>
  <si>
    <t>…sia y el Príncipe de los P aíses-Bajos, acompaña­ He aqui los detalles que da el S ta n d a r d , periódico tory, negativ a se les registrarían sus libros. Mr. de Beaulieu , direc­ dos d e sú s respectivas servidumbres; del conde Pozzo di Borgo, acerca de las negociaciones ministeriales, cu y a dirección pare­ tor de policía, ha examinado por sí mismo los libros y tomado embajador de R u s ia ; de S, E. el embajador de H olanda, y de ce haber sido confiada por la Reina Victoria al duque d e ' W e ­ nota de los compradores en…</t>
  </si>
  <si>
    <t>Pozzo, Carlos</t>
  </si>
  <si>
    <t>Carlos Pozzo</t>
  </si>
  <si>
    <t>…Torrington , ch am ­ cho gusto en consideración la declaración que sobre este p arti­ belán de S. M . , llegó á las once, y ^ u e recibido por M M . de cular nos fuese presentada. Kisselef, el conde Alexis de StrogonoíF, el conde Carlos Pozzo V ista la importancia de este asu n to , y sabiendo cuán equi­ di Borgo y M r. de Berg. SS. A A . RR. el Duque y la D uque­ E xtracto d e la sesión d e la Cámara d e Diputados d e l dia vocados están ciertos colegios electorales acerca de nuestras i n ­ sa de Cambridge llegaron á las d…</t>
  </si>
  <si>
    <t>Pozzo-di-Borgo</t>
  </si>
  <si>
    <t>…gle de una ocupá todos los ánimos en Pera. lando-belga, á la que asistieron el Príncipe de Esterhazy, el manera definitiva y con ventajas recíprocas para Méjico y la Las noticias de Salónica del 12 de M ayo dicen qne habían conde Pozzo-di-Borgo , lord Palraerston , el barón de Bourgue— Francia sus relaciones en lo sucesivo, los agentes diplomáticos estallado afli los alborotos después de la partida de la g u arn i­ ney y el baion de YVerther. y consulares , los ciudadanos de todas las clases, los navios y ción : sin em bargo…</t>
  </si>
  <si>
    <t>PPiESi</t>
  </si>
  <si>
    <t>…star su gratitud á la comisión por el 4 ? votos contra 4 2 * : ■ ■ ' ■ írii . -' ¡ s n J *.;\q tos términos: " A s i opina la comisión que el expediente se de­ trabajo que habia presentado, pasó el orador á indicar que no El Sr. PPiESi D E N T E , después de señalar el orden del di a vuelva al Gobierno para que reuniendo los datos necesarios y habia hecho bien en haber admitido una adición del proyecto para el jueves 2 4 , levantó la sesión á las cinco y media. ^ los que digan velación á la cuestión mercantil, se sirva &amp;c…</t>
  </si>
  <si>
    <t>PPiESIDENTE</t>
  </si>
  <si>
    <t>…del M i­ Extraña situaciou es la del crítico, que al juzgar una pro­ pender la discusión hasta que el Ministerio estuviese presente. nistro en este negocio. ducción cualquiera, halla esta ajustada á sus creencias y prin­ El Sr. PPiESIDENTE: Debo advertir al Congreso que el Los Sres. López y Jiménez rectificaron varias equivoca­ cipios, y tiene sin embargo que combatir algunos de los que Gobierno tiene ya noticia de que se iba á tratar de este nego­ ciones. en otra parte emite el autor de ella. Esto nos sucede hoy á no­ c…</t>
  </si>
  <si>
    <t>…les sean nombrados por el pueblo , y el mer esos rumores, y lo que puede seguirse después de ellos. do el principio sobre el uso de la prerogativa de la suspensión Gobierno quiere nombrar ios alcaldes y tenientes alcaldes. El Sr. PPiESIDENTE: La mesa hasta ahora no ha notado de las Cortes; este es otro sofisma. ¿Se sabe hasta qué puuto. Y no se diga que la corona elige uno entre 15 , 20 ó 2/j. falta de libertad en ningún Sr. Diputado en los discursos que nos puede llevar la teoría de S. S. ? Establecidos sus principios, que…</t>
  </si>
  <si>
    <t>PR.E</t>
  </si>
  <si>
    <t>…, y embarazada la sangrientas discordias, y verlos ocupados como á una gran f a ­ voz, no acierta á articular todo lo que siente el a'nimo conmo­ milia en derredor del trono constitucional, llenándole ds ben­ siónElpendiente Sr. PR.E31DENTE: Orden del dia. Continúa la discu­ sobre el acta de elecciones de Lugo. vido por el sublime ejemplo de patriotismo dado á toda España diciones, y haciéndole recobrar la grandeza y esplendor que ie Después de algunas ligeras observaciones hechas por el señor y al mundo entero en 51 de…</t>
  </si>
  <si>
    <t>PR.ESIDENTE</t>
  </si>
  <si>
    <t>…res­ comisiou 9 no podia menos de expresar la sorpresa que le causó Se suspendió la discusión. tablecieron' las libertades publicas , afianzándolas en la Cons­ que ayer fuese al principio interrumpida la lectura de su voto El Sr. PR.ESIDENTE señaló por primera vez la discusio titución de 1 8 3 7 , será de hoy en adelante' el d u lce' nombre particular, por creerla algunos Sres. Senadores poco convenien­ de los dictámenes sobre declarar fiesta nacional el dia 18 A que resuene en todos los ángulos de la monarquía, y el que te…</t>
  </si>
  <si>
    <t>Prat, José</t>
  </si>
  <si>
    <t>José Prat</t>
  </si>
  <si>
    <t>…de está atacadas por la cuarta del primer regimiento de artillería , al do las dificultades que detienen horas enteras á los hombres mas tropa vióse al momento cargada por alguna mas fuerza de in­ mando de su bizarro Capitán D. José Prat , jr poco después por eminentes Je la cietiCia. Invitamos á nuestros conciudadanos á fantería y unos 130 caballos rebeldes; pero formando en el acto otras dos dél mismó cuerpo y un destacamento de lá Milicia que vayan á aplaudir a este prodigioso calculador, que no ha en masa su tropa, e…</t>
  </si>
  <si>
    <t>Prat, José Melchor</t>
  </si>
  <si>
    <t>José Melchor Prat</t>
  </si>
  <si>
    <t>…refe­ bel n la gracia y facultad de usar de la media firma de Dios guarde á V. E. muchos años. Córdoba 8 de Junio rencia que he hecho. R iv era en todos los oficios, órdenes, cédulas, pasaportes de 1839.=Excmo. Sr.rzEI Presidente José Melchor Prat.=Joa- Que á los ayuntamientos de los tres pueblos se les den las y demas documentos que expidáis para España y para Ul­ quin Golmayo, secretario.=Excmo. Sr. Secretario de Estado y mas expresivas gracias por su cooperación y disposiciones en tramar, exceptuando aquellos en que Yo po…</t>
  </si>
  <si>
    <t>…mo buenos defensores del san gui­ D ocu m en to s q u e s e cita n e n e l e x t r a c t o a n t e r io r . na» 10 y feroz despotismo, enemigo de todo orden social. (Id.) 4«° T a l l e r e s d e b e n e f i c e n c i a . Sr^ D. José Melchor Prat.—Córdoba.“ M adrid 25 de Ju n io de 1859 —M u y señor m ío: Sirve de algún consuelo ea medio Se cuentan 50 repartidos en las provincias asi como sigue: de las calamidades que aííigen á nuestra desgraciada patria ver Tres ea la de Güeldre¿: siete en la Holanda del N o rte: cinco e…</t>
  </si>
  <si>
    <t>Prats, Pedro Juan</t>
  </si>
  <si>
    <t>Pedro Juan Prats</t>
  </si>
  <si>
    <t>…o y reimpreso; , y refrendada del escribano del nú­ y hemos en fin tratado de perfeccionar todo aquéllo &lt;jue?tenia ordenanzas. La comisión opina debe pasarse esta exposición al Sr. M i­ mero dey principal del propio tribunal D. Pedro Juan Prats, se nuevo á subasta una masía titulada la Casa del Campo, aun menos lima , y mas particularmente lo que se ha podido" nistro de la Guerra , y copia literal al de la Gobernación por saca recayente en la referida quiebra , sita en el término de la villa cion del libro Grammaire des…</t>
  </si>
  <si>
    <t>Pre</t>
  </si>
  <si>
    <t>…la subroga­ lado sin hueso, 405 de arroz, 750 de paja y 188 fanegas de terior , que fue aprobada. ción que se proponía. cebada para abastecer los puntos de Moya y Requena en la El Senado quedó enterado de una comunicación del Sr. Pre­ El Sr. SAN MIGUEL dijo que la única razón que habia provincia de Cuenca, aplicándose á su pago las sumas que sidente interino del Consejo de Ministros, manifestando que tenido para firmar el dictámen, era que la renta que se pro­ sean posibles de las que se consignan para el ramo de provi­ S. M…</t>
  </si>
  <si>
    <t>…ón el leerla. sa lucha, economiza gastos inmensos, y fija en lia el principio de vida á la agricultura, al comercio, á las artes y á tocias las Sesión del dia 13 de Setiembre, Leída, se preguntó al Congreso por indicación del Sr. Pre­ fuentes de la riqueza pública , harto aniquiladas ya por los ex­ sidente si pasaría á las secciones para que estas nombrasen una travíos y vicios de una administración envejecida, no menos Se abrió á la una menos cuarto. comisión especial, y se resolvió afirmativamente. que por los estragos de…</t>
  </si>
  <si>
    <t>…otesto que cuando lo he sabido ha sido ta y demas señores: porque ¿ cuál es la otra cuestión que se ha mientras esto no sucede, ¿ puede haber discusión sobre este pun­ cuando se ha presentado la proposición. Repito que si el Sr. Pre­ empezado á discutir, y la que se presentaba hoy al Congreso? to? Téngase presente que este proyecto de ley procede del G ol sidente hubiera estado persuadido , y lo hubiera estado habien­ ¿es acaso de menos importancia que la ley dé ay untamientos la bienio y puede retirarlo : no dice que le r…</t>
  </si>
  <si>
    <t>…tando q u e en el discurso f a l ­ discusiones es vo lu n ta ria. dad. Y o creo que si todas las demas au to ridades procediesen taba el que se hubiese h ablado de la presentación de u n a ley El Sr. G O N Z A L E Z : Pues, Sr. Pre sidente, permítam e Y . S. con el tino que lo hizo el segundo cabo de Y a le n c ia D . F a ­ sobre la m a teria. que le d ig a que no h a y voluntad en el Gobierno p ara c u m p l ir cundo I n f a n t e , que m an dab a entonces, en n in g u n a parte h u ­ El Sr. G O N Z A L E Z : El Sr. M in…</t>
  </si>
  <si>
    <t>…de la caballería facciosa 1 Jb ago, y este n ú m e r o , que representa la indiscreción de una muchacha ; de Canotiés Mlie. Desgarcius , que tan bien h a b ia reempla­ en dicha ciu dad se aseguraba que en el cuartel general del Pre­ que se entrega á frívolos p asatiem pos.^Infidelidad de las m u - geres entre los romanos. ±: E stravagan cias. — L a conformidad, zado á la menor de las S a i n t - V a l , eran sus mas asiduos con­ tendiente se h abían preso t i b i e n á otras diez ó doce personas. vidados. Tam bién encon…</t>
  </si>
  <si>
    <t>Pre-</t>
  </si>
  <si>
    <t>…0 fuese, que no podía comprender á su descendencia. El supremo tribunal de justicia se ha servido acordar en El Sr. conde de las N A V A S : Respeto ese derecho , Sr. P re ­ Disponiéndose S. S. para continuar, le advirtió el Sr. Pre- providencia d^ I 4 de este mes se cite y emplace, por medio de sidente, y si hs palabras pronunciadas por el Sr. Ministro de ¡idente que, siendo la hora en que debia cerrarse la sesión, podría la Gaceta del Gobierno y Diario de esta corte , á D . José A n­ Hacienda, que me han llegado al corazó…</t>
  </si>
  <si>
    <t>Precio, Tomas Enguídanos.</t>
  </si>
  <si>
    <t>Tomas Enguídanos. Precio</t>
  </si>
  <si>
    <t>…as, con la sola excep­ Tres vistas del anfiteatro de M urviedro , gratadas por D o n osidades primorosas, como tableros para el juego del ajedrez, ción del oro y de la plata. Los cuadros son magníficos; en ca­ Rafael Esteve y D. Tomas Enguídanos. Precio antiguo cada dagas y juguetes. ' ° 1 9 da, capilla hay una obra maestra de los mas célebres piotores una 8 rs., moderno 6. Hemos hablado deNápoles con respecto i su situación y parte italianos, Lucas Giordani, II Calabrese y otros; pero los lienzos Vista en perspectiva de…</t>
  </si>
  <si>
    <t>Precios</t>
  </si>
  <si>
    <t>…ne­ quisito indispensable que los individuos comprendidos en ella y eo Y alencia en la librería de Mallen. cesarios para determinar con acierto en vista del estado que presten sumisión al Gobierno legítimo de S. M. la Reina Doña Precios: E n papel de c h i n a , sin letra, 5 0 0 rs. vn. E n pa­ presenta la nación al tiempo de sancionarse esta ley , el plazo ó Isabel 11 , y los que hubiesen de permanecer en la Península é pel blanco , sin letra , 4^0. En papel de c h in a , con letra , 3 00. plazos que ha y an de concederle…</t>
  </si>
  <si>
    <t>Preciso</t>
  </si>
  <si>
    <t>…lee en el M onitor P arisiense 2 petente almohada , dos sábanas, una manta blanca de M allorca ridades no se observa con la conveniente oportunidad la L a mejoría que se habia m anifestado en 1a salud de la P rin ­ y hasta el D. Preciso para las urgencias nocturnas. anterior resolución, se ha servido mandar S. M. la Reina cesa M a ría , duquesa de W u rtem b erg , no ha continuado por También observé que para la mayor comodidad del in v á li­ desgracia. Esta m añana han recibido SS. M M . noticias desa­ do se coloca una s…</t>
  </si>
  <si>
    <t>Premisa</t>
  </si>
  <si>
    <t>…reglo á las cantidades que se vecto de ley, y la comisión al dar sobre él su dictamen, presa. Que con este motivo el Ministro Ballesteros reunió en su libraban. La dificultad está sin embargo, en que en la corte despacho al Sr. Premisa , director del tesoro , á D. Javier de Bur­ se han entregado algunos socorros pecuniarios, que se llaman difíciles han tenido que resolver son sin duda ninguna de las gos y al que tenia el honor de dirigir la palabra al Congreso, dos pagas , y no ha podido realizar lo mismo en los departa­…</t>
  </si>
  <si>
    <t>PRES</t>
  </si>
  <si>
    <t>…obro de mara. N o , señores. El Sr. Cortina mismo, qae con tan fu n d a­ reuniese la mitad mas uno. sus haberes: se oyó á las autoridades de Hacienda y de otras da reputación ha ejercido la m agistratura en un tribunal su­ El Sr. P R E SID E N T E señaló los asuntos para mañana , y dependencias, y resultó en efecto que no h ay la mitad de los perior del re in o , sabe cómo se administran esos productos, y levantó la sesión á las cuatro y cuarto.</t>
  </si>
  <si>
    <t>* Y es esto satisfactorio para el Congreso? ( E l S r , M inistro de El Sr. P R E SID E N T E (coa enfado): Sr. orador, sírvase lamanca , duque de G or, Cambronero , Fuentes , Pacheco, Pe^ la (¡tierra pidió la palabra.) ¡ V. S. reducirse á la cuestión, pues no viene al caso decir que rez Hernández, Ballesteros, A y ala, López V ázquez, Sancho, C o n c l u y ó el o r a d o…</t>
  </si>
  <si>
    <t>…aporte para trasladarse d esta corte, y no Se aprobó por unanimidad lo propuesto por el Sr. O ózaga. mente las producciones extrangeras, no; pero elíjanse las habiéndoselo facilitado por no hallarse dicho señor con facul­ El Sr. P R E SID E N T E levantó U sesión, y dirigiéndole á que tienen siquiera algún valor literario, no se nos den tadas para ello , acude al Congreso para que delibere lo que los Sres. Ministros de la Guerra y Grácil v Justicia los abra­ por Dtos farsas tan tristes como Salvoisy, que ni al abri­ tenga…</t>
  </si>
  <si>
    <t>…posición? ro el dictamen no se discutirá sin avisar, al Gobierno.” Estas El Sr. duque de RIV A S: Para hablar sobre este particular. son las circunstancias del artículo, y conforme á ellas puede re­ NOTICIAS EXTRANJERAS. El Sr. P R E SID E N T E : Tiene V. S. la palabra. solver el Senado, quedando el Sr. Presidente descargado de toda El Sr. duque de R IV A S: Señores, este acontecimiento tan responsabilidad. FRANCIA. grande, tan inesperado , tan portentoso , es uno de aquellos en El Sr. PR ESID EN TE: El primer deber del…</t>
  </si>
  <si>
    <t>…ando llegue lante coronas entretejidas con el laurel victorioso y la o iva pa­ el caso se discutirá bajo su verdadero punto de vista. cificadora , á c u y a sombra descansarán, protegidos los constan­ por unanim idad. . El Sr. P R E SID E N T E manifestó q u e no habiendo por ahor­ L a comisión ha confesado que no solo esta provincia ha in ­ tes defensores de la legitimidad y de la ley fundamental del ra asuntos pendientes, se avisaría á domicilio á los Sres. Sena-, c urrido en ese e r r o r , sino en o tras, y que en to…</t>
  </si>
  <si>
    <t>…ditos que se les reclamen , y en los dos meses sub­ se previene en el artículo anterior. ra que sea el tu to r , prestará su juram ento arrodillado y tocan­ siguientes resolverá la comisión por m ayo ría absoluta de votos El Sr. P R E SID E N T E levantó la sesión á las cinco menos do con su mano derecha los Evangelios bajo de esta fórm ula que todos los expedientes sometidos á su reconocimiento y califica­ c u a rto , señalando para m añana el sigu ien te leerá un secretario: " ¿ Ju rá is observar la Constitución de la m…</t>
  </si>
  <si>
    <t>…de la caja de Amor­ no sé cómo ha podido ni soñarse esto. La caja de Amortización M endizabal. tizació n, mucho mas cuaudo hemos tenido Cortes que han es­ debe ejercer sus funciones, y no se dice que no esté sujeta á la El Sr. P R E SID E N T E : Se suspende por un momento esta tablecido las mismas bases que hoy se proponen, y cuando esto dependencia del Gobierno, sino que en el ejercicio de estas fun ­ discusión para leer y votar un proyecto de ley. no es mas que repetir lo que está mandado y prevenido. ciones no la ten…</t>
  </si>
  <si>
    <t>…. que sujetarse á las fórmulas establecidas en él; por tanto no tradiciones serán las que le sirvan para reflejarse en el espejo puede menos de aprobar el dictamen. del porvenir. ¿ Y qué perderá el Gobierno porque le diga El Sr. P R E SID E N T E : El Sr. Ministro de la Gobernación Proyectos de ley que presentó el Ministro de H a­ esta corporación, que ve pasar los dias sobre sí y los aconteci­ tiene la palabra. cienda en el Congreso de Sres. Diputados el dia 2 6 de mientos ; qué perderá , digo, porque una corporación depos…</t>
  </si>
  <si>
    <t>…esidente que quedaban publicadas como leyes en el Con­ para el m u n d o , nacerá para la prensa litográfica.zzJ. del P. to de la caja. greso , y se archivarían. Después de hacer otras varias observaciones , concluye d i­ El Sr. P R E SID E N T E : Teniendo el Congreso que tratar ciendo que por la introducción que se hace de los cuatro ins­ de varios asuntos interiores del establecimiento, va á quedar en pectores de los dos cuerpos colegisladores, y la intervención sesión secreta: mañana en la pública se seguirá tratando de…</t>
  </si>
  <si>
    <t>…e la caja B ernabeu, in u tilizó todos los esfuerzos del enemigo por aque­ bierno para hacer una requisición de 6$ caballos en todo el reino. de Amortización. lla p arte; al mismo tiempo que amenazándole yo con la caba­ El Sr. P R E SID E N T E anunció que quedaban publicadas Se leyó el art 5.° llería por la otra en que se batia Extrem adura , logré que es­ como leyes y se a rc h ivaría n . carmentados en todos puntos los rebeldes no incomodasen con El Sr. PEÑA Y A G U A Y O : Señores, he aprobado con s a ­ Se dió cuenta…</t>
  </si>
  <si>
    <t>…s perjuicios que son pliego de condiciones, y en las afueras del edificio las 20 acé­ á quieo corresponde para la devolución de dichos títulos. consiguientes. milas indicadas desde las ocho de la m añana del referido dia El Sr. P R E SID E N T E : Se procede á la discusión del d ictá­ El Sr. E G E A : La comisión sé reserva hablar después que men de la com isión, relativo á hacer efectiva la contribución se hagan mas im pugnaciones; pero para que esta discusión se extraordinaria de guerra. trate con segu rid ad , debo de…</t>
  </si>
  <si>
    <t>…alabra en pro ó en trabajado este pobre” : se procedió á celebrar el sorteo de Jos en 60 rs. contra. nueve jueces de hecho que con arreglo á la ley debían compo­ Quien quisiere hacer postura á dichas fincas y tinajas jun­ El Sr. P R E SID E N T E : Extraña petición..... ner el jurado, y habiéndose realizado con las formalidades que tas ó separadas, acuda al juzgado de dicho señor y escribanía El Sr. BARRIO A YUSO : Déjeme V. S. la palabra para la misma previene, tocó á los sugetos siguientes: D. Francisco del citado M anri…</t>
  </si>
  <si>
    <t>…llarse contra derechos adquiridos; tiene embarazo alguno en que se entre en la discusión. nistros para contestar á estos clamores: no lo s é , y estoy espe­ pero querian s í, y con la mayor razón, que se las diese lo que El Sr. P R E SID E N T E : En vista de lo que la comisión ma­ rando vérlo. N o he visto una cosa mas singular: todo el estu­ se las debia de justicia, pues era un tormento, que no habia im a­ nifiesta , ábrese la discusión de e,te proyecto. dio de todos los Ministros ha sido siempre buscar las disculpas g…</t>
  </si>
  <si>
    <t>…nterior ha acordado se publique responda , y con esto contesto á un cargo. remuevan los obstáculos. en la Gaceta y Diario de M adrid esta v ac an te , para que los Debo confesar también que es sagrada la promesa hecha sn El Sr. P R E SID E N T E anunció que después del despacho á que quieran pietenderla puedan d ir ig ir sus solicitudes hasta fia 24 de Octubre de 1 8 4 5 , y debo confesar que debe llevarse á primera hora se entraría en la discusión de los dictámenes de del corriente mes á la secretaría del Senado. efecto…</t>
  </si>
  <si>
    <t>…e nisterio amenazaba caer, los cuidados que le rodeaban eran ex­ Sanador por la provincia de A v ila. salga mi discurso lleno de contradicciones y disparates. cusa para ocuparse del Duero; y cuando aparecía el nuevo m i­ El Sr. P R E SID E N T E : Orden del día. Discusión del dicta­ S. S. se ocupó primeramente en manifestar que S. M . la n isterio, dos ó mas meses eran exigidos para que el nuevo M i­ men de la comisión de Actas sobre las de Jaén. Reina no tenia necesidad de ser reconocida por las Potencias nistro tuviese…</t>
  </si>
  <si>
    <t>…sario tomar Valencia, y como Enrique iv confundió la liga á las puertas Se aprobó el párrafo 9.° esta nomenclatura ; y no digo esto porque yo rehúse jamás adop­ de París. En momentos tan venturosos nada nos queda que ha­ El Sr. P R E SID E N T E suspendió esta discusión para que tar lo bueno de todas partes, sino porque en el punto de que se cer sino entregarnos á la esperanza del bien futuro, y á pro­ la comisión encargada de extender el proyecto de mensaje fe­ trata tenemos lenguaje propio. curar el bien de ouestra pat…</t>
  </si>
  <si>
    <t>…no tome en cuenta este negó— que únicamente reclaman es que ya que han concluido su con­ nadío. cío, y haga justicia á los interesados que piden la observancia dena, puedan volver á sus casas , según esa misma ley lo au ­ El Sr. P R E SID E N T E invito á las secciones á que se reu­ de la Constitución y las leyes; que no se opone á que pase al toriza. niesen para nombrar las comisiones que han de dar su dicta­ Gobierno la solicitud como opina la comisión; pero quisiera El Sr. LOPEZ: Todos los d ias se traen aqui estas notic…</t>
  </si>
  <si>
    <t>…ildez á Burgos. Se leyó y aprobó sin discusión el dictámen sobre la petición S a n ta n d e r , 4 h. Reales disposiciones á que dan lugar los empleados de Cor­ núm. 60. A lic a n te , f b. S a n tia g o , 1| á 2 d. reos. El Sr. P R E SID E N T E dijo que mañana por ser domingo Barcelona, á ps. f s . , 4 á par id. S e v i ll a , ^ á 1 id. Se suscribe en esta corte á 4 rs. vn. por cuaderno en la li­ no habría sesión , señaló para pasado mañana los asuntos pen­ B ilb ao , par d. V a le n c ia , \ din. b. brería de B oix, call…</t>
  </si>
  <si>
    <t>…ilitares, y ora para resistir á los facciosos ó El Sr. Kios fue agregado á la primera sección. interior apreciaba mucho las observaciones del Sr. Sancho , y para prevenir los tumultos que pudieran ocu rrir en sus disfriA El Sr. PRES1 D E N T E : Orden del día. Continua ladiscu­ las tendría á ¡a vista. tos , con venia estuviesen revestidos de facultades competentes* sión .sobre el expediente delcanal de Castilla. j En seguida anunció que continuaba la discusión de la to­ pero facultades arregladas á la le y , y exigirles l…</t>
  </si>
  <si>
    <t>…os Sres. Carramoiino , Secretario de Instado y dei para que se calcule esa ganancia. Octubre. D e sp a c h o de la Gobernación de la Península , y Primo de R i ­ El Sr. Estéban nos ha presentado la idea de un cúralo todo, El Sr. P R E SID E N T E anunció que mañana después del vera, de M a r i n a , Comercio y Gobernación de Ultramar, nom­ y yo no le agradezco esa medicina general con que concluyó su despacho ordinario se abrirá la discusión sobre ei proyecto de brando interinamente para sustituir al primero al Sr. Arrazo…</t>
  </si>
  <si>
    <t>…curridos en el norte de la Península. las quemas solemnes de documentos de la deuda pública. de Falces. ftstos apresuran el día tan suspirado de la paz, como igual­ Asimismo de otro del rnismo Sr. Ministro, en que remitía El Sr. P R E SID E N T E invitó á las secciones á que se re­ mente la unión de todos los españoles, para que como herma­ los suplementos de la Gaceta en que se contienen los documen­ unieran hoy, ó cuando lo tuvieran por conveniente, para exa­ nos empleen sus brazos y armas en defensa del trono legitimo…</t>
  </si>
  <si>
    <t>…la ja r a , y formación de diez ó doce testigos que d igan que aquellos in d i­ admitidos también los Sres. Lillo y Muñoz Maldonado. NO E R A A E L L A . viduos tenían todos los requisitos que la ley previene para ser El Sr. P R E SID E N T E señaló para mañana la discusión dt electores? ¿ Estos doce testigos han de d a r m a s fe que el juicio Seguirá el melodrama de grande espectáculo en dos actos, los expedientes que han quedado sóbrela mesa, y después la del todo de la diputación p r o v in c ia l, que con conoci…</t>
  </si>
  <si>
    <t>…también tengo yo la suerte de qoe han hablado Idem, negras 15. N o puedo m e a o s de insistir en. la necesidad de que pues es­ ..eqites que jo dos Sres, D iputados, qae han a a o ociado las mlsi- Total de votantes 79. El Sr. P R E SID E N TE ; E l Senado aprueba* ta comisión ha de ser una especie cíe ..tribunal que la,lie, es pre­ . reos medios de qae pe.asa.1ba valer me paira hacer ver ai Congreso qae este artícu lo , asi como el espiralu de la fey ea general, se Pasándose en seguida 4 la votacicm dd seguido proyecto…</t>
  </si>
  <si>
    <t>…vas á Já ninguna duda que debe haber eo la validez de la ley de mayorazgos, con otras varias ubservaciones que no pudieron escribirse por falta de luz. ü E B R E R O ' novísimo ó librería de jueces , abogados y escriba- El Sr. P R E SID E N T E anunció que mañana continuaría la nos, ret undida , ordenada bajo nuevo método, y adicio­ discusión pendiente, y se levantó la sesión á las seis. nada con un. tratado de juicio crim inal y algunos otros. Por D . Eugenio de T apia , tercera edición , revistada , corregida y DE SAN…</t>
  </si>
  <si>
    <t>…usión niestras suposiciones. cia donde desempeñan su encargo 5 pero que hay que tener pre­ personal. El Sr. O L O Z A G A : Cuando se nombró en otra sesión al sente que los auditores no ejercen jurisdicción propia, pues no El Sr. P R E SID E N T E llamó al orden á los Sres. D iputa­ Sr. Lasagra, nombrado por S. M. comendador de la orden de son otra cosa que consultores del capitán general á quien mani­ d o s , y dirigiéndose al Sr. M uñoz Maldonado le dijo que con­ Isabel la Católica, dije que podia no saber este nombramient…</t>
  </si>
  <si>
    <t>…prudencia. Bajo este supuesto es una batalla , no es la toma de una plaza , es un suceso que greso. voy á decir ahora aqui lo que me parece acerca de la misión no ha podido bajar del cielo de repente, es necesario que haya Ei Sr. P R E SID E N T E señaló para mañana la continuación del Sr. Zea y de su manifiesto, que según se ha dicho, no sido preparado, que se hayan dado instrucciones, y es claro de la discusión pendiente, y levantó la sesión. acata los principios constitucionales. Supongo yo que ha sido que en esto no habr…</t>
  </si>
  <si>
    <t>Presas, Francisco de Asís</t>
  </si>
  <si>
    <t>Francisco de Asís Presas</t>
  </si>
  <si>
    <t>…resentado á indulto el faccio­ portugueses, conduciendo apresados buques que encontraron em­ 5. D. José Calasaoz Casanovas. so de la gav illa de R am o s, M anuel Seoane, vecino de San V i ­ pleados en tan nefando comercio. 4* D. Francisco de Asís Presas. cente de Arceo, eutregando un fusil ingles recortado. Hoy ha entrado en el Tajo la escuna de guerra F a y a l con 5. D. Rarnon Avellana.</t>
  </si>
  <si>
    <t>PRESI</t>
  </si>
  <si>
    <t>…señalara día para la discusión del dictamen sobre el expediente nuestra deliberación. Pide este que el Congreso declare que no salud. del canal de Castilla. puede aprobar la prisión del Diputado deque se trata, y si bien El Sr. P R E S ID E N T E : Orden del dia. Dictamen de la co­ pudiera limitarme al círculo estrechó que con tanto tino se trazó misión sobre la piision del Sr. Diputado Alvarez. hace poco en una cuestión semejante á esta , y decir como aque­ Los Sres. conde de las Navas y Pacheco pidieron la pala­ lla co…</t>
  </si>
  <si>
    <t>…o que me ha precedido, para fundar la impugnación al en una situación tan crítica. n a rd i p id ió la p a la b ra p a r a h a c e r una rectificación .) Falso, voto particular, voto sumamente sencillo, y que está única­ El Sr. P R E S ID E N T E interrumpió al orador haciéndole fallísim o: para probarlo, ese tratado debia haberse hecho for­ mente circunscrito á censurar, ó por mejor decir, á reprobaren ver que la cuestión estaba reducida al voto particular de los zosamente entre el general que entraba en Sevilla á toma…</t>
  </si>
  <si>
    <t>…ministrar justicia, y que si alguna vez cio de las Córtes , y á su juicio somete su deliberación. de censura se aprobase por la mayoría , el G obierno, ó debia llegase á serlo, la Constitución no autoriza semejante indem­ El Sr. P R E S ID E N ! E: El Sr. Ministro lia dicho al empe­ abandonar ese puesto, ó disolver las Cortes. {El Sr . Arguelles nidad. zar su discurso que el Congrego podía ocuparse en las leyes que la palabra .) Se dice que el voto de censura es al conde tiene presentadas; y esto parece que da á entender…</t>
  </si>
  <si>
    <t>…bría sesión m añana, y acor­ do , á pesar de cuanto sobre el particular dejó dicho Fígaro. Cámara : dó que no. Le domino noir (y no Les Masques noires , como dice el "Señores y muy honorables colegas: Obedezco á la Cámara El Sr. P R E S ID E N T E : El año pasado se nombró una co­ Correo Nacional) original de esta comedia, es una de esas obras aceptando la alta y dificil misión de presidir sus trabajos y de misión para felicitar á S. M. en el dia de Reyes: si al Con­ dramáticas, conocidas en Francia con el título de Operas…</t>
  </si>
  <si>
    <t>Presi</t>
  </si>
  <si>
    <t>…rilo Sanchez.=Aureo Jiménez ^Cristóbal Y ergara.= ilustrado Gobierno, á los sacrificios y lealtad de la nación Fernandez.i=Adcninistrador de aduanas, Ju an R ivina.rrA dm i- P. A. de la D ., Jn . G olm ayo, secretario.=Excmo. Sr. Presi­ magnánima cuyo destino V. M . preside, al denuedo y patrio­ nistrador de puertas, José Albeniz.—Comandante accidental de dente del Consejo de M iaistros. tismo del general afortunado duque de la Y icto ria, y á los va­ carabineros, Ju an Manuel Carranza. lientes ejércitos que defienden su nob…</t>
  </si>
  <si>
    <t>…felicitado á S. M . los ayuntam ien­ d o , y cuánto se prometía de su eficaz cooperación. Se lee el ndm. 4 4 ? en q ue propone la comisión pase al se­ tos de la Calzada de C ala tra v a , M e s t a n Z a , Villanueva de la El Sr. P R E S ID E N T E : El Senado queda enterado. ñor M inistro de la Guerra una exposición de Doña Bernarda Fuente y Pedro M u ñ o z , y el gefe político, secretario y oficia­ Recomiendo á los presidentes de las secciones que se sirvan Segura y A lb a, viuda de D. Pió Gómez G u tié rre z , teniente re…</t>
  </si>
  <si>
    <t>…la últim El Sr. duque de FRIAS rectificó una equivocacioa cometi­ dama de honor viviente de Catalina 1 1 , acaba de morir. (Id.) da en el Diario de las Sesiones. El Rey de los belgas ha llegado de incógnito el 17 á Colo­ El Sr. P R E S ID E N T E anunció que habiendo suficiente nú­ nia. S. M. viaja bajo el nombre de conde de Ardennes: des­ mero de Sres. Senadores presentes, se iban á votar en su totali­ pués de algún descanso ha continuado su camino hácia W ies- dad las leyes sobre testamentifaccioo de los eclesiásticos de…</t>
  </si>
  <si>
    <t>…IO N : Solo, se conforma mas lo qué quiere la comisión, lo que no puede menos de que­ pañera. €l Gobierno en que ésaconcesión sea únicamente para objetos, rer el Congreso, y lo que exige la razón y el buen juicio, es que El Sr. P R E S ID E N T E señaló el orden del dia para m a ñ a n a , ( W ° ha dicho la comisión ) propios de su i atribuciones. en M adrid cómo en todas partes responda un solo funcionario y levantó la sesión á las cinco y cuarto. Fule, (opiada en consideración esta enmienda. de la policía urbana y rural…</t>
  </si>
  <si>
    <t>…mulos. 1005 muías y habia á sacrificarse , cuanto le fuese posible, por la mejor edu­ cación de sus h ijo s, escaseando para e llo , si necesario fuese, un pudieudo menos de extrañar que este por el órgano del Sr. Se-** E l Sr. P R E S ID E N T E anunció que mañana á las doce se plato de su mesa ó cretario del Despacho de Gracia y Justicia hubiese dicho que reunirían las secciones para nombrar una porción de comisio­ de mañana se lo retribuirían sus hijos con usura. alguno de sus tra je s, puesto que en el d ía no tenia n…</t>
  </si>
  <si>
    <t>…de dos que talan vuestros campos, roban vuestros gan ado s, cap­ ción de consejos de provincia. ■poco los facciosos van a recibir lecciones a las que no están turan vuestras familias y cometen toda clase de excesos y aten­ El Sr. P R E S ID E N T E : Orden del dia. Se procede á la dis­ acostumbrados. El general V an -IIale n salió ayer de Segorbe con tados. Para tan importante fin necesario es que todos trabaje­ cusión de los dictámenes de la comisión de Peticiones. su div isió n ; y la primera que se hallaba en esta plaza m…</t>
  </si>
  <si>
    <t>…electos que hasta el dia se han presentado. Los cuales se sustituirán en caso de enfermedad ó im p edi­ se iba á dar cuenta de algunas comunicaciones que acababan de mento accidental por el órden con que están nombrados. El Sr. P R E S ID E N T E : Se procede al nombramiento de las recibirse del Gobierno. 7.a L a jun ta directiva fundadora d u rará cuatro años: p a­ dos comisiones de Actas , empezando por la de los siete. El Sr. Secretario Ondovilla ocupó la tribuna , y leyó un ofi­ sado este período se renovará por mita…</t>
  </si>
  <si>
    <t>…l Dignaos, Señora, admitir benigna esta franca y sincera Diferida antigua , 9 |. Sr. Alooso nombrado cuarto suplente por Madrid.) manifestación , ya que á la generosa y benéfica mano de Y. M. Ciuco por 100 portugués, 95. El Sr. P R E S ID E N T E : No habia reparado; pero creo que p s debido suceso tan venturoso , y recibid los votos de un ay u n ­ Id. 5 i d ., 25b la persona á quien se alude se preparaba á entrar con conoci­ tamiento tfüe pide al cielo guarde la vida de la augusta Isabel miento de que se trataba de su a…</t>
  </si>
  <si>
    <t>…ne todos los pormenores y detalles, del reino de Valencia de los pagos de estos derechos. el total de estos seria 15, que dividido por tres, daba el cocien­ era in ú til, como lo era el dar modelo de las actas de distrito El Sr. P R E S ID E N T E : Va á entrar á jurar un Sr. D i­ te cinco, que serian los que tuviesen mayoría absoluta; de lo que ó de la del escrutinio general, y otra porcíon de ritualidades putado. resultaba que con arreglo al art. 56 de la ley electoral, tres se­ que con la misma razón hubieran podido ex…</t>
  </si>
  <si>
    <t>…su ejecución , el alcalde la cer dificultades, basta recordar la legislación sobre la materia. distrito. suspenderá , dando cuenta motivada al gefe político. Cierto es que las Cortes del año de 1811 al 1813 dieron el de­ El Sr. P R E S ID E N T E : Tengo la satisfacción de anunciar 2.° Señalar con conocimiento del ayuntamiento los barrios creto ó decretos que se han citado ; pero lo primero que pre­ al Coogreso que hay dos Diputados mas de la mitad mas uno ó cuarteles en que conveoga dividir la población , conforme al gu…</t>
  </si>
  <si>
    <t>…no habría sesión hasta el lunes próximo: con lo con lo alegado por ambas partes, pruebas y documentos ^dun­ guerra. dos y demas resultante de auto,: Considerando: 1.° que el Con que levantó la sesión á la una y cuarto. El Sr. P R E S ID E N T E : Orden del d i a : se procede á la dis­ J u a n Quintana es el único interesado que se apersono y probo cusión del dictamen de la mayoría de la comisión sobre la pri­ « i bastante forma su libación y entronque con el ultimo po­ sión del Sr. Diputado Alvarez. Señores, este es el…</t>
  </si>
  <si>
    <t>…no había sido su ánimo tunidad con que se han leido esos documentos cuando se está Vázquez Moscoso , Sr. Presidente. inculpar á la mesa en lo mas mínimo. discutiendo una cuestión del mayor ínteres. Señores que dijeron sí: El Sr. P R E S ID E N T E : Tiene la palabra el Sr. Presidente El Sr. Argiielles, hablando de la inobservancia de la Cons­ Conde de las N avas, Florez E strad a, Muñoz Maldonado, interino del Consejo de Ministros. titución , ha preguutado si se quiere otra cosa; y yo voy á Y ilches, Ruiz del A rbol, Perez…</t>
  </si>
  <si>
    <t>Gallegos y Sánchez..r=El regidor qu in to, Nicolás Corona.z=El El Sr. P R E S ID E N T E : Se van á leer los artículos 1.° y 2.° Vascongadas, en cuanto no se opongan á los derechos políticos regidor sexto , Pedro Clavijo.—El regidor séptimo , J u a n de C a - adicionales al reglamento. de sus habitantes. sasoia.—El regidor octavo , Esteban Romero.—El síndico p ri­ Se…</t>
  </si>
  <si>
    <t>…nada prueban contra el Congreso: po­ mientras estuvo acantonado en las inmediaciones de la capital. ahora.” Otros creyeron que se comprometía la independencia de drán probar en un caso contra los que eso dijeron. Asi pues El Sr. P R E S ID E N T E : No teniendo el Congreso inconve­ los Diputados, si se daba ocasión al Gobierno para poder abu- espero que el Congreso desaprobará el dictámen de la cornision. niente, como creo que no lo tendrá, se puede proceder desde sar&gt;? que era indispensable mostrar mayor severidad. Pues bi…</t>
  </si>
  <si>
    <t>…r. Secretario del Despacho , porque el expedienté para el arriendo de puertas de los derechos de mar. Diúse cuenta de varias adiciones al mismo proyectó, que seria injusto, y también porque me consta de positivo que S. S. El Sr. P R E S ID E N T E : Continúa la discusión sobre casos pasaron á la comisión. se ocupa asiduamente en el arreglo de la administración mili­ de reelección. El 8r. PR .ESID EN TE: Se suspende esta discusión: maña­ tar : sé que tiene frecuentes conferencias con el intendente ge­ Se leyó el siguiente…</t>
  </si>
  <si>
    <t>…eligencia y satisfacción. Dios El Sr.C A S T R O : Pido'la palabra para una alnsioa personal. fenderse f .qu e los geíes del lado izquierdo del -Congreso guarde á V . S. muchos años». Burgos Enero 31 de 1B d9. ii :L au­ E! Sr. P R E S ID E N T E : El regí ameato no me autoriza para guardaron eu la discusión un silencio prolunció sobre tan reano Sanz.=Sr, gefe político de esta provincia. conceder la palabra coa ese objeto , sino i los que hubiesen ha­ im portante m ateria, conociendo sin duda que era este mal llado en…</t>
  </si>
  <si>
    <t>…directa á ellas; pero sí quisiera hacer una advertencia que menor discusión fueron aprobados. voz fuerte: Voluntarios , ¿ m e reconocéis por vuestro Rey y me ha sugerido la simple lectura del d ic tám e n , y es que v a ­ El Sr. P R E S ID E N T E : A las tres y media se reunirá la estáis dispuestos á seguirme donde quiera ? ” S í , s í , se oyó por mos á fijar un precedente, y que teniendo presente la elección diputación para ir á felicitar á S. M . con motivo de los ú l t i ­ todas partes ; pero pasados algunos instantes…</t>
  </si>
  <si>
    <t>…, no es posible disim ular que esta desgracia afectarla presentarse, mediante la enfermedad que ha padecido, subsis­ á la Francia. tiendo aún en el mismo estado. Pido pues, que si nada se puede hacer por la E sp añ a, al El Sr. P R E S ID E N T E : El art; 4^ del reglamento previene menos se hagan cesar esos socorros de d inero, ese influjo que que á propuesta del Presidente determ inará el Congreso á p rin ­ A N U N C IO S O F IC IA L E S . tiende á alimentar en aquel desgraciado pais la guerra civil con cipios de cada…</t>
  </si>
  <si>
    <t>…do que por lo que habia oido al Sr. B urriel, habia tro , se aprobó el dictamen de la comisión. propone la comisión hacer efectivo el pedido que se hace en el entendido el artículo de diferente manera que S. S. Que supo­ El Sr. P R E S ID E N T E : Debo hacer presente que si en cada art. 2 .° que se está discutiendo , porque si bien los pueblos se ca nía la contribución extraordinario de guerra como una hipote­ petición tardamos hora y media, como hemos tardado en esta, apresurau á satisfacer las contribuciones por mas gr…</t>
  </si>
  <si>
    <t>…es, los Sres. Diputados y men de ellos, y cuenta que se nos ha puesto en el espacio de un enmienda. el pueblo necesitan apreoder la verdad, y yo deseo que la pre­ mes á expectación del público, y todos han hecho armas con­ El Sr. P R E S ID E N T E manifestó la necesidad de que no se cipitación no sirva de estorbo á esto. El Gobierno, con justicia, tra nosotros. pidiese la palabra por todos á la vez, para poder sentar los nom­ afecta desear que se lleve esta cuestión á su término ; y entonces Yo quisiera que el Sr. CFózaga…</t>
  </si>
  <si>
    <t>…ervo el uso de El Excmo. Sr. arzobispo electo de Toledo....................... 240 la palabra para cuando se trate de sus artículos en particular. Doña Ventura González Romeo........................................... 80 El Sr. P R E S ID E N T E anuncio que mañana continuaria la discusiou de los asuntos pendientes, y levantó la sesión á las Doña F. A. C. de M ............................................................... Doña R. II. y P ......................................................................... 380 20…</t>
  </si>
  <si>
    <t>…nsolidados, 00. been &amp;. S»qit€ ftffl'S obispos iMMB.braban uta iuqciisídar ardí cario, nes * asi se acordó'.. Deuda negocia ble de 5 por 100 á papel # 00. di cual procedía cora® ¡«e s con los inquisidores .Reates. Por coa- El Sr. P R E S ID E N T E señal® para mañana la disensión Idem, d a Interes, i 60 d. f. ó voi secuencia e a ¡««risdlicclio» « is t ia ñutes de que fuese arrancada' pendiente, j leva otó h\ sesión i tes cinc®. Amones del baoce español de S. Fernando,OQl por b inquisición, J volvió j debió volver i k » dioc…</t>
  </si>
  <si>
    <t>…otesta, bien lo ha manifestado el Sr. Moya y Aogeler acerca de que quedaremos sin discutirle la mitad. la razón está de parte de quien ha votado ; y no se crea, seño­ las juntas de escrutinio no son tribunales de alzada. El Sr. P R E S ID E N T E : La mesa preguntó desde luego si res, que podrán influir en la fisonomía de las elecciones esos Que la junta general de la. provincia de Orense declaró ex­ se aprobaba el dictámen: se opusieron los Diputados: se ha he­ votos; porque téngase entendido que han tomado parte 5628 cl…</t>
  </si>
  <si>
    <t>…as proviucias, deben ser Alicante, £ á $ d. Santander, par din. admitidos como teles eo el Congreso. Santiago, á 2 d. Barcelona á ps. fs., | á * b. Sevilla, | á 1 id. CRUZ. La función que se ha de ejecutar esta noche se El Sr. P R E S ID E N T E anunció que mañana se discutirían 5 Par’ Valencia, par á 4 id. anunciará por carteles. los dictámenes de la comisión de Actas que quedaban sobre la Cádiz, 5 á | d. Zaragoza, $ b. mesa, y levantó la sesión á 1as cinco menos cuarto. Descuento de letras , ¿ 6 por 100 al año.</t>
  </si>
  <si>
    <t>…que su importancia se la idea de que por consecuencia de la ley que hagamos sobre bierno..... la hemos dado nosotros, porque si el ilustre general Espartero este particular ataque la Constitución y se traspase la línea, de El Sr. P R E S ID E N T E : Sr. M inistro, esa expresión exige que va á adquirir el renombre de pacificador de E spaña, en el la cual no podernos pasar ninguno de nosotros? Pues he aqui una contestación de mi parte: el proyecto ha entrado conforme momento que nuestros hermanos arrojaron lasarm as ¡es h u —…</t>
  </si>
  <si>
    <t>…da pasagero se le permiten dos arrobas de equ i- rin se votan los presupuestos. Se mandó pasar á las secciones. de siete dieziseisavos y \ por 100 con cupones. page , pagando por lo que exceda á razón de 4 rs. por arroba. El Sr. P R E S ID E N T E señaló los asuntos para m añana, y Inscripciones en el gran libro á 4 Por 1 0 0 , 00. Los pasageros que prefieran embarcarse en bonanza y to­ levantó la sesión á las cinco y media. Títulos al portador del 4 por 1 0 0 , 00. men sus billetes en Cádiz para seguir de allí á Sevilla ,…</t>
  </si>
  <si>
    <t>…los. cartagineses? Tampoco. ¿ D e los romanos? Tampoco: fueron Se dio cuenta de algunos expedientes. Me refierñ, señores, á un hecho; y en prueba de esta ver­ ;us alia d o s, no sus víctimas. Tampoco fueron domioados por El Sr. P R E S ID E N T E : Continúa la discusión que aye r dad á ninguno de nuestros generales que han mandado en aquel os arabes; ni antes que estos pisasen el suelo español, lo habian quedó pendiente sobre el asunto de los fueros. territorio se le ocurrió jamas hablar de ios fueros hasta que el »ido por…</t>
  </si>
  <si>
    <t>…cursos tenia prontos; vi­ ción de España, y no solo no hallarán oposición alguna de mi sidente. nieron los acontecimientos de Estella , y el ejército empezó parte en cuestiones de grande interés, sino que si lo acepta, me El Sr. P R E S ID E N T E : Señores, mañana no habrá sesión, á formar su línea de operaciones, hasta que por ultim o , se­ tendrá á su lado.... porque no hay nada preparado para el despacho, pasado ma­ ñores, este G obierno despótico, anticonstitucional, arbítria- ¡ El Sr. Ministro de la GUERRA (profunda…</t>
  </si>
  <si>
    <t>…enta esta ley de represalias, no se podrá cu mplir. rasco.—José Sánchez de la F u ente, secretario. tro corazón. Sucedió la desgracia de M aella, y después de ren­ Después de im pugnar el proyecto el Sr. González, repro­ El Sr. P R E S ID E N T E : C ontinúa la discusión de ayer. dida nuestra caballería ha sido degollada: á poco tiempo han duciendo las ideas de los señores que han usado la palabra en Se leyó el artículo que dice: sido asesinados noventa y tantos sargentos. En la ribera del Ja- co ntra, se declaró el punt…</t>
  </si>
  <si>
    <t>…r á a lg u n a s observaciones del se­ c ircu la r del tesoro, me inform aré y contestaré. Rectificaré un hecho im p ortan te, concerniente á la suspen­ ñor Baeza, conclu ye d ic ie n d o : que el G obiern o , de que formó El Sr. P R E S ID E N T E : El Sr. R u iz de Arbol hizo en ‘50 sión de bienes nacionales. p arte, se creyó, como ha dicho al principio, en la facultad de d ic ­ de Enero la in te rp elació n , y con fecha 51 se d ir ig ió al Sr. P re ­ El pensamiento del capitán general h a sido cen tralizar to­ ta r tales…</t>
  </si>
  <si>
    <t>…llamar á un orador al orden; ningún Diputado to del Todos los demas casos que ha puesto el Sr. Cortázar respec­ que los navarros son honrados, y por convicción propia se han tiene derecho para interrumpirle: reclamo pues del Sr. Presi­ el mismo Senado, no tienen nada que ver. El del Sr. Baeza no es afiliado en las banderas de Carlos; pero en Cataluña, en A ra­ dente que en lo sucesivo no se me interrumpa. de S. S. El Sr. Baeza fue elegido magistrado después gón los individuos de esas partidas que por sus crímenes no re­ d…</t>
  </si>
  <si>
    <t>…ión era general, entregaban, ó si seria bastante el pago de la quinta parte para ñor Calatrava desea. y que en ella estaba interesada la buena adm inistración que *e les considerase exentos de continuar abonando los rédi­ El Sr. P R E S ID E N T E : Se suspende esta discusión: el señor de justicia por los atropellamientos sufridos por el ilustrí- tos. Esta duda se resolvió en Real orden de 24 de Febrero de Ministro de la Guerra va á dar cuenta de una comunicación simo Ortigosa. No. En prim er lugar porque tales atrope- 18 5…</t>
  </si>
  <si>
    <t>…la pregunta de si pasaría el convenio á la secretaría, M INISTERIO DE HACIENDA. Lo que tengo el honor de poner en el superior conocimien­ se acordó que sí. to de V. E. para los fines que estime convenientes. Dios guarde El Sr. P R E S ID E N T E : Orden del dia. Dictamen de la co­ Real orden . á V. E. muchos años. Burgos 7 de Setiembre de i859.=:José de misión de Actas. O/d&gt;.—Excmo. Sr. Secretario de Estado y del Despacho de la Se leyó e! relativo al acta de primera elección de Hues­ Deseando S. M. la Reina Gobernadora…</t>
  </si>
  <si>
    <t>…a provin­ em elo mas documentos respecto á las actas que ahora nos ocupan, cia de Lérida reclamando contra las elecciones de la misma. ociones excita en ellos. porque no tenia idea de que existiesen mas que los que tiene El Sr. P R E S ID E N T E dijo que mañana se discutirían los A cordém onos de haber visto tiem pos atrás en ei teatro redamados; pero supuesto que los hay , desde luego acepta la dictámenes que habian quedado sobre la mesa, y que en segui­ del G im nasio de. P aris, á cuyo reperto rio pertenece tam ­ adi…</t>
  </si>
  <si>
    <t>…el Gómez , vecina de Cas­ ja del bien de la España, regentada por la augusta Reina G o­ Medrano. tañedo, los tres hacendados en la provincia de L u g o , ha pe- bernadora en nombre de su excelsa Hija Doña Isabel n , y con El Sr. P R E S ID E N T E advirtió que los Sres. de la diputa­ lido la concesión de tres pertenencias contiguas sobre el cria- motivo de los felices resultados del convenio de Vergara , dis­ ción podrían reunirse mañana en el salón; invitó á los Presi­ 3ero de carbón del G ab ito , situado en el cerro de S…</t>
  </si>
  <si>
    <t>…nación. Logroño 5 de Setiembre de 1859.—Señora.— en u n a notable e q u i v o c a c i ó n ....... de ayer, y he formado esta carpeta. Debajo de ella tenia todos A L. R. P. de V. M.rzEl P. Joaquin Berrueta.=:i\lanuel María El Sr. P R E S ID E N T E : Sr. Ceballos, á la cuestión. los expedientes; pero la mesa no tiene culpa de que varios se­ García.—Manuel María Marqueta.=:Cenon María Adaoa.i^José El Sr. C EB A LLO S: Estoy en ella. Yo no he sido contra­ ñores Diputados se los lleven y luego no parezcan. Esta es L Ordoyo.zrFr…</t>
  </si>
  <si>
    <t>…cuyos dos primeros tomos serian los Pontevedra : tercero de Patencia , segundas elecciones. cretaría del ministerio de la Guerra acaba de dar un testimonio d d viaje á Holanda y Bélgica ; el tercero la traducción al cas­ El Sr. P R E S ID E N T E : Señores , según el anuncio que se de elevados sentimientos y notoria ilustración, propia solo de una tellano de la noticia sobre las cárceles de Inglaterra, Escocia y hizo en la junta extraordinaria , se ha presentado una proposi­ lealtad acrisolada, y yo creo faltaría á la jus…</t>
  </si>
  <si>
    <t>…pias y A m p uero , donde permanez­ brado Presidente al Sr. Egea y secretario al Sr. Diez de Teieda. que hacer algun as aclaraciones. El verdadero fundamento de co hoy, obligado por el regio temporal que con m ayor furia El Sr. P R E S ID E N T E : Y a á ju ra r el Sr. m arques de V a l - las observaciones que tengo que hacer contra este artículo le iré continúa , y el que ha privado puedan llegar con oportunidad gornera , Senador nom brado por la provincia de T arragon a. proponiendo contra cada una de esas funciones esp…</t>
  </si>
  <si>
    <t>…no cree que el medio de restablecer el crédi to sea f un da n do la j para los ejércitos. niente. ca ja y dotándola con fondos particulares, porque el Gobi e r no j S. S. continuó haciendo otras reflexiones, y propuso por El Sr. P R E S ID E N T E suspendió esta discusión , y seña­ se halla s u m a m e n t e apurado en esf as circunstancias, y tendrá ú ltim o, que se omitiesen de la parte tercera del articulo las pa­ lando los asuntos para la de mañana , levantó la sesión á las que echar mar;o á veces de los fondos para cum…</t>
  </si>
  <si>
    <t>…, en cuyo acto entregará á consiguiese la pacificación general. 0 9 los señores comandantes la alocución que las d i r i g e , y que será fausto suceso de V ergara. Los Sres. Chacón y Fernandez manifestaron que no habién­ El Sr. P R E S ID E N T E manifestó al Sr. conde que y a en el leida , formando círculo para el efecto, tan luego como los tam­ dose hallado presentes cuando se aprobó en la sesión de ayer el proyecto de mensaje de ayer se decia que se daria una prefe­ bores de drdea toquen u a redoble de atención. Durant…</t>
  </si>
  <si>
    <t>…orque todo premio trabaja porque los bienes se trasladen al dominio particular, nación y del trono. colectivo no puede menos de envolver injusticia , y no puede para que todos los ciudadanos, en proporción á sus haberes, El Sr. P R E S ID E N T E : El Congreso lo ha oido con suma sostenerse la m oralidad. contribuyan para cubrir las atenciones, ya generales, va espe­ aatisfaccion. E ntrando después en la cuestión del repartim iento de ter­ ciales de una provincia ó partido, sobre lo que indudablemente Pasaron á la comisi…</t>
  </si>
  <si>
    <t>…arcelona, es de dic- al püblico de lo que han visto. t r it o , cayeron sobre los rebeldes , y les causaron varios heridos támen que se llame al suplente. y tres prisioneros, cu y a activa persecución obligó á los ladro­ El Sr. P R E S ID E N T E : Orden del d i a : dictamen de la co­ nes á retirarse hácia A l mansa y volver á sus guaridas. ( I d .) misión de Actas sobre las segundas elecciones de la Coruña. FR A N CIA. El Sr. L A S A Ñ A impugnó el dictám en, porque creia i n ­ necesario se pidiesen las actas de los di…</t>
  </si>
  <si>
    <t>…despojado de su propiedad, devuélvaseles.” ¿ Y sabe los Sres. Ministros tengan á bien señalar. sirva acogerlas bajo el amparo de su sabiduría y justicia el el Sr. Esteban las consecuencias que traeria esa devolución? Por El Sr. P R E S ID E N T E : M añana no habrá sesión para d ar Congreso, dictando las oportunas providencias para que las de pronto la ruina de nuestro crédito; y después ¿sabe el señor lugar á que las comisiones puedan adelantar sus trabajos. El ponga al corriente de sus pensiones, y se les continúe paga…</t>
  </si>
  <si>
    <t>…que no hay (Momentos de agitación; varios señores, y entre ellos el se­ que fiarse en manos agenas, sino en nuestros propios recursos. N O T IC IA S E X T R A N G E R A S . ñor Sancho, piden precipitadamente la palabra: el Sr. Presi­ Ahora vamos á decir al inundo que no estamos bajo tutela da dente se esfuerza en restaLiecer el silencio ; pero el ruido no per­ nadie; está bien que cuando aseguremos una administración FR A N C IA . mite oir distintamente su vez.) acertada, cuando estemos en un estado roas íloreciente, po…</t>
  </si>
  <si>
    <t>…ó otra comunicación del mismo Sr. Secre­ hasta que se presentase el Sr. Ministro de Hacienda. to s de la contribución extraordinaria de guerra, y fechas en tario del Despacho , acompañando oficio del gefe político de Pa­ El Sr. P R E S ID E N T E : Si la comisión cree que la presen­ que se publicaron , según las noticias recibidas en esta direc­ lé nci a , en que manifiesta haber fijado los dias en que debe ce­ cia del Gobierno es necesaria , se suspenderá esta discusión. ción con posterioridad al 10 de Diciembre último…</t>
  </si>
  <si>
    <t>…n Vindet del 5 al 6 del acttial, se hallaban en la m a­ se imprimirían y pasarían á las secciones. Borja en la cantidad de 5150 rs., de los cuales ha satisfecho ñana del 7 en Villanneva de Alcorón, y anunciaban su direc­ El Sr. P R E S ID E N T E : Orden del dia para mañana. Pro­ 1500. Suprimido por las Cortes el expresado voto de Santiago ción á Aragón. yecto de ley sobre la caja de Amortización : idem sobre esta­ él mismo año de 1834, tes labradores se han negado con razón El comandante general salió de está Capital el…</t>
  </si>
  <si>
    <t>…a s , se suspendió la discusión mientras í u - tado por la comisión de actas relativo á elecciones. labran después de su desta o y en dias de fiesta , y y o he visto raba un Sr. D ip u tad o , y verificado este acto dijo El Sr. P R E S ID E N T E señaló para mañana la discusión por labrarlas á la luz de la lu n a: resulta pues que sin desatender El Sr. A R T E T A : Me levanto para fundar mi voto, por­ artículos del proyecto c u y a totalidad se habia discutido , y le­ sus jornales se encuentran al fin del año con el pro…</t>
  </si>
  <si>
    <t>…doles entero tinuación de la prisión en la cárcel de Orense del cabecilla podemos colocarnos, retirasen e*te artículo, como que lejos de perjuicio. Vázquez. ser beneficioso es perjudicial, pues de aprobarle no se hace mas El Sr. P R E S ID E N T E : Se avisará al Gobierno. Orden del que autorizar el monopolio que ha querido evitarse en el ar­ dia. Continúa La discusión del art. 19 del proyecto de ley sobre tículo anterior. Juzgado del 5.° departamento de artillería . organización de la caja de Amortización. El Sr. C A N T…</t>
  </si>
  <si>
    <t>…. M. se digne acoger benignamente sus sen­ El Sr. F U E N T E H E R R E R O : Pido la palabra. esperarlas ni osare disparar un tiro , ni aun presentarse sobre timientos de adhesión y de respeto, y permitir que á ellos una El Sr. P R E S ID E N T E : ¿Sobre qué? la m archa, tanto á la ida como á la vuelta; sin embargo de los testimonios de júbilo de que está poseída por unos resulta­ que nuestras tropas en su marcha tuvieron que atravesar el rio dos que libran á la nación de la ansiedad inseparable de la con­ el Sr.El cond…</t>
  </si>
  <si>
    <t>…juicio de tercero, el Congreso resolviese que que se ponen de manifiesto los vicios de la administración , el una de las principales causas del abandono en que se deja á las á lo menos se difiriese para mañana. Ruego pues al Sr. Presi­ Congreso y el Senado vendrían á convertirse en meras estafe­ religiosas es la mala administración. dente que, si cree que no está en sus facultades, lo consulte al tas para conducir al Gobierno ó archivar aqui el derecho de S. S. mismo ha dicho que en unas partes hay atraso, y que Congreso, y…</t>
  </si>
  <si>
    <t>…Ion. y general en gefe del ejército al tra sm itir este hecho al tiende en casos de reelección. evitar qué en las provincias qué se hallen en. el caso que Gobierno de S. M . , confirman estas recomendaciones, añ a d ie n ­ El Sr. P R E S ID E N T E : El orden del dia debe empezér por la de León, se refugien caballos de otras y se liberten in­ do á ellas la del expresado comandante m i l it a r de V illafam és. la continuación de la interpelación suspensa a y e r : no h allán ­ debidamente de la suerte de requisición que con…</t>
  </si>
  <si>
    <t>…en, o alguno de los 15 premios mayores de los 500 que comprende el sor* los ofrecerá á discusión. Varios Sres. D iputados piden la palabra. los prisioneros procedente de nuestras filas padeciese por esta teo de ayer• i El Sr. P R E S ID E N T E : Y o no puedo conceder sobre este causa , entonces todos los que habia hecho el ejército de mi mando , solo á la feroz barbarie de los suyos acusarian de la NUMEROS. PREMIOS. ADMINISTRACIONES. asunto la palabra. El Sr. P A C H E C O : El proyecto no es del G obiern o; es de tr…</t>
  </si>
  <si>
    <t>…a que se abrieron las Cortes , y toe llené de júbilo al verla D. Pedio M iranda, Diputado por Madrid. Ha dicho también el Sr. González que el Gobierno, separán­ alzada y robusta, porque en mis principios entra que en lle­ El Sr. P R E S ID E N T E : El Sr. conde de las Navas tiene la dose de un rumbo que había adoptado habia vuelto á segregar gando el caso de elegir esposo podamos elevarnos al carácter de palabra para apoyar su proposición de ayer. de una mano el gobierno político y económico de varias pro­ nación digna é i…</t>
  </si>
  <si>
    <t>…i»o en 5 0 , sino si fuera posible en 20 de betiembre; téngase te al redactar el proyecto de ley. diera marcar el espíritu de partido. Este festejo duró hasta las presente que mi proyecto tiene por objeto proteger la ley. El Sr. P R E S ID E N T E : Me parece m u y justo lo que aca­ dos de la mañana del dia de h o y , y rae seria imposible hacer Ahora verá el Congreso si hay m a jo r escándalo que el que ba de decir el Sr. M e n d iz ab al; y puesto que hay una comisión una pintura exacta de la alegría y contento con que e…</t>
  </si>
  <si>
    <t>…o hubiera sido por la brillante defensa que hizo la habia reunido el consejo de Castilla. Por consiguiente mal po­ aptitud legal debia ser admitido. guarnición ? dia el Gobierno en un espacio de 24 horas traer á la comi­ El Sr. P R E S ID E N T E : Continua la discusión pendiente del Yo creo que la cuestión es únicamente sobre si han de ser sión datos estadísticos en que formular su aquiescencia ó su re­ art. 1.° del proyecto sobre recompensas militares. 1440 rs* ó 2 0 , y no se olvide que no es una adulación, es una sist…</t>
  </si>
  <si>
    <t>…, y entre ellos gravem ente el mismo Morales. D icho co­ usar de la palabra para su propia defensa. tución de la monarquía española Reina de las Españas, m an d an te general elogia la ac tivid a d y decisión de su tropa, El Sr. P R E S ID E N T E : No me he atrevido á resolver sobre y en su nombre Doña María Cristina de B orbon, Reina el acierto con que ha d irig id o el capitán O ria la fuerza que esta exposición, poique el art. 9 . ° del reglamento dice que los D i­ Regente y Gobernadora del reino, á todos los que las p…</t>
  </si>
  <si>
    <t>…ño de 1829 recauda ese impuesto, el cual por la cuen­ que reúne ademas la cualidad de Diputado. porque hice presente la memoria ó relación del expediente que ta que el director ha sacado no baja de 253 duros cada año, cu­ El Sr. P R E S ID E N T E : Yo desearía que S. S. se limitase á obra en el ministerio; dije también que una parte de los fon­ deshacer equivocaciones, no á responder. La interpelación es al dos destinados para la construcción de estos caminos existían en ya tos suma debe ascender á siete millones de reale…</t>
  </si>
  <si>
    <t>…y dijo Como este proyecto de ley es de suyo tan im portante dó el Congreso que se pasara á otro asunto. El Sr. L U J A N : Señores, por muy contrario que sea el y difícil, tal vez dedicaremos algunos artículos de este pe­ El Sr. P R E S ID E N T E : Se procede á la discusión del dic­ Congreso a interpelaciones, por muy repugnante que me sea el tamen de la comisión sobre el canal de Castilla. hacerlas, me veo en la dolorosa precisión de anunciar una al que riódico á exam inarle con detenim iento y con calma : por­ Se leyó…</t>
  </si>
  <si>
    <t>…glo á lo que previene el reglamento se contestará. conservatorio de M aría Cristina, del cual es maestro de canto debían haber tenido una lección de infortunio. dicho profesor , sabemos que acaba de componer , como ya he­ El Sr. P R E S ID E N T E anunció para mañana la discusión Acostumbro poco á hablar de mis antecedentes y servicios mos anunciado, otra ópera titulada: Cleonice , Regina diSi­ de los dictámenes de la comisión de Actas que quedaban sobre patrióticos, continuó, pero ya que se me precisa á ello diré al ria,…</t>
  </si>
  <si>
    <t>…erva al León. mandó del coronel D. Juan Morales, cuyos movimientos di­ PARTES RECIBIDOS EN LA SECRETARIA DE ESTADO rigí según las órdenes que me comunicaba S. E ., es digna igual­ Núm. 4 ° A nombre de la nación y del Excmo. Sr. Presi­ Y DEL DESPACHO DE LA GUERRA. mente de todo elogio por haber practicado una marcha forzada dente interino ofrezco á todos los disidentes refugiados en Aca­ El Sr. capitán general en gefe de los ejércitos reunidos, du­ de nueve leguas , y por no haber tomado alimento en 24 horas. jete, que si…</t>
  </si>
  <si>
    <t>…la causa me detuviese á probar lo que mente aprobados sin discusión los párrafos 12 , 15 y 1/j.. unir su destino á un Príncipe digno de su augusta mano, que está tan fuertemente impreso en el ánimo de todos los Sres. Se­ El Sr. P R E S ID E N T E manifestó en seguida que teriainada pueda, gobernando 3. M. la monarquía con la Constitución que nadores como en el mío. Por lo mismo renuncio la palabra, y\ la discusión del proyecto se discutirían mañana las adiciones y nos rige, mandar los ejércitos españoles y llevarlos á la…</t>
  </si>
  <si>
    <t>…e el Sr. Heros al párrafo que trata de las Poten­ por lo tanto la tranquilidad de los pueblos” , y .... tos, D. Aotonio Fajardo y otro Sr. Diputado electo por la cias del N orte, nombró S. S. á una persona por nombre pro­ El Sr. P R E S ID E N T E : Sr. O choa, yo no puedo perm itir misma. p io, agravándola con una calificación acerba, que creo que que se interrumpa al que habla. El que desee rectificar hechos Paso á dicha comisioo el acta de segundas elecciones de la en este momento no repetiría y a S. S. ó deshacer equi…</t>
  </si>
  <si>
    <t>…iendo tales servicios prestados, no En contra : Sres. marques de V ilu m a y Ruiz de la V ega. pero racional. He defendido los fueros que convenían á mi pais, solo en pro de la causa de la legitim idad , sino también de la El Sr. P R E S ID E N T E : El Sr. marques de V ilu m a tiene rio aquellos que ofenden á la civiliz ació n , que h a y algunos libertad y pacificación de la Península , he tenido á bien ele­ la palabra en contra la totálidsd del proyecto. fueros, á la par que adm irables, que son hijos de su tiempo. varos…</t>
  </si>
  <si>
    <t>…mental. Y o me hallo aqui con la misma legalidad que el Secretarios nel Congreso de D iputados. ción en fincas que esten á media legua ó poco tnas de distancie Diputado de Burgos , el Senador de C á diz, el de Córdoba &amp;c. El Sr. P R E S ID E N T E dijo que habiendo anunciado por dos del dom icilio de los interesados, y á que los 56 0 rs. se les en­ S í , señores, mi voto es tan válido eorno el del primero. dias consecutivos la discusión de contestación al discurso de la tregasen tan luego como se les adjudícase fa propieda…</t>
  </si>
  <si>
    <t>…xtraordinaria de guerra. presencia de los datos que ya tengan reunidos ó puedan reunir, Leída dicha ley, dijo y de los que existan en las oficinas de provincia, fijarán, con Cuenta de los pueblos con la Hacienda pública. El Sr. P R E S ID E N T E : Queda publicada como ley, en el acuerdo délos intendentes y gefes de administración, el precio Senado , y se archivará. medio que deba considerarse á la unidad de cada artículo de Art, 61. El cargo de la cuenta de los pueblos con la H a­ El Senado quedó enterado de los oficios…</t>
  </si>
  <si>
    <t>…2 4 inrs., El Sr. Ministro de M A R IN A dijo , según pudimos perci­ puesta de D. Tomas Jordán. premio de las dos letras giradas sobre Zaragoza, con el queasr bir por su escasa voz, que no tenia que decir otra cosa para El Sr. P R E S ID E N T E : El lunes seguirá la discusión de los ciende la suma total que recibirán los prisioneros de Maella contestar al Sr. conde de las N avas, sino que las libranzas des­ asuntos pendientes. Se levanta da sesión. á 55,671 rs. 24 mrs. vn. tinadas á la marina se habian repartido con ig…</t>
  </si>
  <si>
    <t>…encia form al, es decir; adoptó respecto de elecciones lo que ción del Sr. González Alonso. voy hacer de lo que sucedió en el distrito de la Palma. Se pre­ los jurisconsultos hacen respecto de las pruebas , que dos pruebas El Sr. P R E S ID E N T E anunció para mañana la discusión sentó un alférez con 13 soldados al juez de primera instancia, semiplenas forman una plena. Y o me atrevo á decir que no es de los asuntos pendientes, y levantó la sesión. no como quiera á decir aqui estamos, sino que iba por las elec­ este el modo…</t>
  </si>
  <si>
    <t>…encias, y que mañana podrian producir acusaciones que h i­ proemio. cia de Alava , se suspendió esta discusión. cieran al Senado ejercer sus deberes como tribunal. He dicho que estoy de acuerdo con la comisión en esto, asi El Sr. P R E S ID E N T E levantó la sesión á las cuatro y tres Pues que hay estas dudas, señores, ¿n o será justo tratar de como en lo que dice después de que la paz es la primera nece­ cuartos, anunciando el siguiente disiparlas? ¿cómo votaremos la ley los que queremos la paz? sidad de los pueblos, que…</t>
  </si>
  <si>
    <t>…esquie­ lutamente necesaria. ciendo que fuese mas desventajosa nuestra posición en la lucha ra que sean los esfuerzos de la nación y del Gobierno, la guer­ con los facciosos. Pero señores, no es este el objeto del mensa- El Sr. P R E S ID E N ! R suspendió en seguida esta discusión ra no se regularizará ja «ñas por parte de nuestros enemigos, y levantó la sesión á las cuatro y media , anunciando el si­ se; él no condena las represalias, sino su abuso y los crímenes porque ademas de ser feroces y bárbaros de suyo , tienen…</t>
  </si>
  <si>
    <t>…sobre este asunto remedie los inmensos do al Congreso si tomaba en consideración el voto particular, males que ha acarreado el contrato. Se halla de venta en dicho despacho á los precios siguientes1 decide negativamente. El Sr. P R E S ID E N T E señaló los asuntos para m añana, y Puesto á discusión el dictamen de la m ayoría, presentó una levantó la sesión á las cinco y cuarto. De lujo..................................................... 249 adición el Sr, marques de G asa-Iru jo, la que fue retirada por De medio lujo á…</t>
  </si>
  <si>
    <t>…cómo juez de ascenso , cuyo y hagan la felicidad de todos los españoles. Pretendiente á pais extrangero. carácter le fue concedido cuando se le nombro para Sahagun. Estos son los votos de todos los que componen el arma de El Sr. P R E S ID E N T E : Orden del dia : Abrese la discu­ mi cargo que tengo la dicha de trasmitir á los pies del trono, sión sobre las proposiciones de la mesa, relativas al curso que seguro de que V. M. se dignará acogerlos con su natural am a­ debe darse á los expedientes que quedaron sin despachar…</t>
  </si>
  <si>
    <t>…o por 7 6 votos contra siete. poner su dictamen está m uy lejos de querer sorprender al Go­ seno ningún D iputado. Se dió cuenta de varios expedientes. bierno. Hizo presente S. S. que resultan graves cargos contra el se­ El Sr. P R E S ID E N T E anunció para m añana la discusión El Sr. GO NZALEZ hace una aclaración. ñor Esteban , y a por el mal trato que dio á ios presidiarios de los asuntos pendientes, y levantó la sesión á las cinco y El Sr. O N D E Y IL L A dice que lo expuesto por el Sr. preo­ encargados de los trab…</t>
  </si>
  <si>
    <t>…er principios que concedan á las provincias una legisla­ que se tenga presente en tiempo oportuno. triunfos conseguidos anteriormente. Y no quiero que esto se ción absoluta contraria á los principios fundamentales que nos El Sr. P R E S ID E N T E : Se procede á la discusión del dic- atribuya todo á la sumisión de los que antes sostuvieron otros rigen. t ame ti sobre las actas de la provincia de Albacete. principios , quiero sí que se realce el mérito del ejército como Si se diesen los fueros de ese modo, autorizábamos el a…</t>
  </si>
  <si>
    <t>…r asiento en el hasta los 800 ducados consignados por Reales órdenes. bajo cierto aspecto contraria á las ideas que tienen los señores Congreso. El valle se compone de cinco antiglesias, comprendiendo 700 de la comisión. El Sr. P R E S ID E N T E señaló para m añana, después del des­ vecinos; es muy saludable, y situado sobre el camino Real que Yo combatiré el artículo bajo dos conceptos: 1.° que d los pacho ordinario, la continuación de la discusión pendiente, y dirige desde Bilbao á la ciudad de V ito ria , distante sie…</t>
  </si>
  <si>
    <t>…por lo que era necesario que la ley fijase Hecha la pregunta * se resolvió por la negativa. presa del canal de Castilla, lejos de facilitar y favorecer el co­ todos los casos, y sustituyese al capricho. Que desde que los E l Sr. P R E S ID E N T E manifestó en seguida que habiéfw mercio, le perjudica La , proporcionándosele los medios de ha­ pueblos conocieron la necesidad de ser regidos por Gobiernos re­ dolé hecho presente-varios Sres. Diputados que mañana es la cerle por sí sola, y otros privilegios que lejos de report…</t>
  </si>
  <si>
    <t>…las primeras elecciones de Oviedo, en el que Bogotá 5 de Mayo. se opina que deben pedirse antecedentes sobre varios distritos NOTICIAS NACIONALES. de la provincia. El Senado y Cámara de representantes de la Nueva G ra­ El Sr. P R E S ID E N T E : Orden del dia : Continúa la discu­ nada reunidos en Coogreso decretan : Mequinenza 10 de Setiembre. sión sobre los expedientes que quedaron sobre la mesa. Artículo 1.° Los buques mercantes españoles no causarán Se dió cuenta y fue aprobado sin discusión un dictamen de en los pu…</t>
  </si>
  <si>
    <t>…; ¿cómo habia yo de ofender á los individuos no tengo una íntima convicción, retiro el dictámen* siderando. Yo no habría pedido la palabra sobre el particular de las Cortes de Navarra? Por el principio solo de Cortes, yo El Sr. P R E S ID E N T E : Retirando el voto particular, se si el Sr. marques de Vilunsa no hubiera hablado ea ei dia de respetaría á sus individuos. Yo he hablado de que era ineficaz procede á la discusión de los dos artículos propuestos por la ayer y en un sentido que no puedo dej ar pasar. la instituc…</t>
  </si>
  <si>
    <t>…a el fin de Deuda negociable de 5 por 100 á p a p e l , 00. bó el dictásne i con e^ta enmienda. que se indemnizase á los que con esta medida resultaban per­ Idem sin interés, 1 0 ¿ á 60 d. f. ó v o l.: 6| á 53 id. nuevas. El Sr. P R E S ID E N T E : Continúa la discusión pendiente so­ judicados. Acciones del banco español de San F ern an d o , 00. &gt; bre premios militares. El Sr. M E N D I Z A B A L contestó que la comisión no habia c a m b io s. Él Sr. conde de las N A Y A S : Si en otras ocasiones es ven­ tratado de ataca…</t>
  </si>
  <si>
    <t>…brazos y armas en defensa del trono legitimo tos de la deuda del Estado que han sido entregados al fuego. minar la proposición presentada por el Sr. Ramonet. de vuestra excelsa Hija, nuestra Reina y Señora, de la Consti­ El Sr. P R E S ID E N T E : Va á jurar el Sr. Senador por la Añadió que hallándose aun pendiente la sesión secreta dei tución del Estado, y de la independencia y gloria de la nación. provincia de Huesca D . Valentín Ferraz. sabado para tratar de asuntos de gobierno ioterior, se reuniría Es indudable que…</t>
  </si>
  <si>
    <t>…provincia , debia ser gallanes , secretario. Francisco Castellá.—Por la clase de tenientes, José Aloy.r^admitido. Por la de subtenientes, Francisco M as.nPor la de sargentos, Continuando el orden del d ia , sé anunció por el Sr. Presi­ Domingo M artí.rrPor la de cabos, Pablo Trulls.r=Por la de dente que se abría la discusión del proyecto de contestación al discurso de la corona ; y después de leido este , asi como la Señora: E l ayuntamiento constitucional y departamento Milicianos nacionales, M elchor B u fill, Antonio…</t>
  </si>
  <si>
    <t>…­ de la conveniencia pública? Pues entonces dejamos el puesto, ñor Presidente: continuaré mañana. niones, cuáles mis ideas particulares acerca de la administra­ porque la ley entendida en sentido lato es el gobierno; todo El Sr. P R E S ID E N T E : Se suspende esta discusión. ción del presente ministerio, y de todas las materias que ha acto que esté fuera de la ley es desgobierno, y los hombres de­ Se leyeron algunos expedientes que el ruido producido por sujetado á examen desde que ha nacido hasta ahora. ben quererse á…</t>
  </si>
  <si>
    <t>…el Congreso decidió haber oido con agrado, una do apoyarse en la resolución que sobre dichas actas ha adoptado exposición del ayuntamiento constitucional de Segorbe, en que el otro Cuerpo coiegislador; pero contestado por el Sr. Presi­ C O N G R E SO D E D IPU T A D O S . felicitaba por la memorable sesión del dia 7 del presente mes. dente que la prohibición que hacia el reglamento era con rela­ Se anunció haber ingresado el Sr. Elordi en la segunda ción á los discursos, para lo que se leyó el art. 89, recayó so­ PRESIDEN…</t>
  </si>
  <si>
    <t>…otra que lleva contra sí el odio de los españoles, se pone en dad y el carácter nacional. si el Ministro de la Guerra es leal, es imposible que sean t r a i- situación precaria á los autores del proyecto: estos no pueden El Sr. P R E S ID E N T E : Se suspende esta discusión: queda cicies sus compañeros después de tantos actos en que han obra­ querer nada que rebaje el lustre de M ilic ia n acional, su in d e ­ con la palabra para mañana que continuará el Sr. Ló p ez; ciér­ do de concierto; y me rchero á uno que mañana p…</t>
  </si>
  <si>
    <t>…ó si la juró completamente. Esta es una expre­ ranquilizar á los españoles, haciendo D. Carlos su renuncia; PROVIDENCIAS JUDICIALES. sión para mí escandalosa. jue esto no puede tranquilizarnos, porque prescindiendo deque El Sr. P R E S ID E N T E : Ruego á Y. S. se contraiga á des­ íl que nada tiene nada puede renunciar , se podría decir que Supremo tribunal de justicia . 10 era válida siendo hecha eo pais extraogero, y aun cuando hacer equivocaciones, y respete el derecho que tienen ios denlas Sre-:. Diputados para habl…</t>
  </si>
  <si>
    <t>…ejor educación y gradas , se m irará y rem irará pa­ mente en la secretaría del Con «re-o» jo cargo .será co ib o los demás desempeñado gratuito mentó.’ ra dejar el estado, acto,a l, privándose de ser madre de familia* E l1 Sr. P R E S ID E N T E : Orden del, dia. Dictim eaes de fe E l Sr- conde de C A M P O A L A N C E : Unicam ente be lo ­ E l Senado lia podi do deducir cuál es el espirita y tenden­ comisión de Peticiones. mado la palabra para preguntar i k comlsina moa dadla que cia de mi oposición , para que tomand…</t>
  </si>
  <si>
    <t>…sus hoorosos anteceden­ que en un particular seria un desacierto mayor ó menor, en un fue posible oir. tes: digo esto porque no se crea que fue mi ánimo poner en funcionario público es un crimen, y crimen será también en El Sr. P R E S ID E N T E señaló para mañana después del des­ duda cuanto S. S. tuvo por conveniente decir. mi concepto el del Gobierno de S. M . , si nada ha hecho para pacho ordinario la continuación de la discusión pendiente , y Como la cuestión es muy grave y tiene también pedida la desmentir estas c…</t>
  </si>
  <si>
    <t>…rne que las se publique sin los requisitos que se exigen para los periódicos ejercer aquellos actos. Cortes no se abran el dia señalado, el Gobierno puede y debe y que no exceda de un pliego de la marca determinada en el El Sr. P R E S ID E N T E : La mesa ha tenido presente el ar­ excitar á los Sres. Diputados y Senadores para que no falten; art. 17, siempre que se limite á tratar de un solo asunto y no tículo del reglam ento, pero ha creído que la proposición que pero abiertas y a las Cortes es otra cosa. contenga notic…</t>
  </si>
  <si>
    <t>…acentes se­ tes estaban sujetos á 90 y 150. de Tejeda acerca de la coartación de la defensa que por esta ley vista las causas cinco en que ministros para ver y fallar en vista ó re­ el juez de primera instancia haya im­ El Sr. P R E S ID E N T E : Se avisará al Gobierno. se hace á los reos , y conclu ve exponiendo que el Seuado no debe puesto , ó pedido el fiiscal de S. M. la pena de muerte , extra­ Orden del día t dictámen de la comisión de Actas sobre la tener reparo en aprobar el dictamen. admisión del Sr. Egaña. Desp…</t>
  </si>
  <si>
    <t>…ciarlas hasta níomentos antes de la dis­ no estuviesen en relación con los Ministros ; pero como sabia que dro Egaña , Diputado electo por Málaga. cusión en otros. el D iputado que obtenía una gracia estaba un algún tiempo El Sr. P R E S ID E N T E : Habiendo varios asuntos pendientes El cumplimiento del artículo constitucional no debe depen­ antes á ver si la obtenía, no encontraba inconveniente en apro­ de que las secciones deben ocuparse, voy á proponer al Con­ der del arbitrio de los Diputados que el Gobierno pueda agra…</t>
  </si>
  <si>
    <t>…b iio ” , entonamos salmos á vuestro el mismo orden, y método que ea los anteriores. M adrid 27 de nombre, tributándoos rendidos homenajes.” Setiembre de 1859. res D. Saturnino Calderón Goilaoles y D. M auricio García. El Sr. P R E S ID E N T E : Las secciones tienen algunos asun ­ Regocijémonos pues en el Señor, cantemos con placer sus tos que discutir; si al Congreso le parece podrán reunirse ahora alabanzas , aprasurémonos á presentarnos ante sus aras con el D irecció n g e n e r a l d e Correos. debido acatamiento…</t>
  </si>
  <si>
    <t>…sposi­ {Lo leyó.) Esto es lo que previene el reglamento. La interpela­ ría de la comisión. ción 2.a ción de Y. S. está hecha el 21 , y tanto de esta como de las que Ei Sr. R A M IR E Z D E A R E L L A N O : Doy gracias al El Sr. P R E S ID E N T E : Abrese la discusión sobre el pro­ tienen hechas varios señores se ha dado cuenta al Gobierno; de Con greso por el honor que rne ha dispensado de admitirme en yecto de ley relativo á la extracción á Portugal del corcho de U consiguiente por parte del Congreso no ha habido la meno…</t>
  </si>
  <si>
    <t>…endo recaído auto de prisión contra discusión y á su tiempo llegará la que ahora se suspende. dada , ó expusiese las causas que tenia para no hacerlo. Euvié dicho Sr. A rellano, se le debe adm itir á ju rar; y en este su­ El Sr. P R E S ID E N T E : En este caso no hay dificultad en un certificado fundándom e en el art. 8.° del reglam ento, y que dando suno apoyo puesto puede menos de aprobar la admisión de dicho señor, poner á discusión la ley de ayuntamientos. al voto particular. la ley manda que para estos casos se l…</t>
  </si>
  <si>
    <t>…9 —Sancho.rrOlózaga.izMuro.iz nadero por el derecho que tenia de multarle. El castigo mayor I&gt;enavides.=Luis Rodríguez Camaleño.—Lujan , secretario. que pueda yo imponer y la disfamacion pública prometo al que dernoLa 5.° El Sr. P R E S ID E N T E : Mañana se pondrá á discusión la tales bajezas cometiera. Arreglen el servicio de alojamientos y público importancia de esta obra no necesita recomendarse al ley sobre atribuciones de ayuntamientos. Se levanta la sesión. bagajes de modo que no llegue á ser el patrimonio de algún…</t>
  </si>
  <si>
    <t>…esupuestos: esto parece que no se explica , porque ó el artícu­ las cartas partícula res y un pequeño cargameuto. están cobrando, y que no han sido votados. lo constitucional echa abajo la prerogativa, ó esta al artículo. El Sr. P R E S ID E N T E : Todo eso estará muy bien, Sr. A l­ La corona es verdad tiene la prerogativa de disolver las Cortes; varo; pero Y. S. conocerá que no vieue al caso, porque no es pero los Ministros están en la precisa y exacta obligaciou de no del párrafo que se discute. poner en el compromiso á…</t>
  </si>
  <si>
    <t>…s iglo , y á la historia inmortal de vuestros escla­ ción hasta que vuelvan á servir sus empleos. nuestras instituciones? ¿Muchas veces un buen amigo suele h a - recidos hechos, cuya célebre sonadla no tienen competidor en El Sr. P R E S ID E N T E : Orden del dia. Continúa la discu­ cer mas daño que un grande enemigo. los anales del mundo; reciba V . M . por tan venturoso suceso sión de las elecciooes de León. El orador manifiesta que es imposible que un ministerio la felicitación mas grata de estos fieles súbditos y trasmi…</t>
  </si>
  <si>
    <t>PRESID</t>
  </si>
  <si>
    <t>cion topográfica ha sido desde su principio el teatro de ella. El Sr. PRESID E N TE manifestó que aunque conocía la im ­ en las atribuciones de este recomendándole que decida los asun­ Iafioitos elogios se deben al valor , disciplina , decisión y portancia de este asunto , no podía menos de hacer presente al tos en vista de tal ó de cual antecedente: por lo que opina…</t>
  </si>
  <si>
    <t>…rviría p a r a dar tazgo de Fuencarr^l con su intervención de S. A g u s t ín , y por serta remos., ot^o diai , - .• t ... : f mayor perfección á las leyes. el de tres el de S. Cristóbal de la* V.ég^, rematado aquel en la' El Sr. P R E S I D j E N T E : Orden del día. Continúa la dis-f ' ; E l ár; Cónde &lt;Jc O F A L IA sostuvo el a rtíc u lo , y rebatió lo cantidad de 9 5 , 5 2 0 rs., y e s t e e a , U de i3,03Ó anuales. Quien cusion del proyecto de ley relativo á las comúnfpacion’es &lt;lq JjcTió3p ^ reproduciendo algunas de la…</t>
  </si>
  <si>
    <t>…allería , y se asegurarán unos caballos que se­ la excepción que deseaba el Sr. Senador. de los débitos en favor del erario proceden de estos últim os años, rán de mejor condición , de mejor serv icio , y por consiguiente El Sr. PRESID E N TE anunció que se procedía á la v o ta - es d e c ir, desde que la guerra se ha encrudecido en nuestro pais. mas económicos, aunque costasen algo mas. cian por bolas, y verificada dió el siguien te resultado. En el año pasado presentó el M inistro de H acienda un •es­ Por manera que m ed…</t>
  </si>
  <si>
    <t>…rva al Rey de los franceses la facultad de elegir la Po­ badas las actas de esta provincia. que debe haberse verificado en las inmediaciones del castillo del tencia que deberá ser árbitra en la cuestión de indemnizaciones. El Sr. PRESID E N TE invitó á los señores que resultaban mismo nombre en los últimos dias de A gosto, llamaba extraor­ La R ev ista d e lo s d os M u n d o s anuncia que el Gobierno aca­ nombrados para estas comisiones á fin de que se retirasen á dinariamente la atención en todo el reino unido de la Gran b…</t>
  </si>
  <si>
    <t>…años el canal con sus tres r a ­ lo mismo obtener dicho arbitrio que otra cosa equivalente. procuró remediar ó contener los efectos de los acontecimientos in ales, y he visto que lo que ha hecho no está bien hecho. Siete El Sr. PRESID E N TE : Se suspende esta discusión; estando de la costa de Africa. Las necesidades eran inmensas , los recur­ anos trascurrieron, y cuando se debió dar por concluido el ca­ presente el Sr. Ministro de la G uerra, se procede á la interpe­ sos pocos; habia uua guarnición de tre sañ o s; pero…</t>
  </si>
  <si>
    <t>…alencia, y que no habia motivo para que el Senado las cali­ támen. saje que presenta la comisión. La comisión de Actas ha vuelto á examinar las de la pro­ ficase de ilegales, pues era demasiado grave , y podia ser alta­ El Sr. PRESID E N TE : Se suspende por un momento esta mente injusta esta calificación comprendiendo , como compren­ vincia de Málaga , ya aprobadas, con motivo de la gestión he­ discusión. Tiene la palabra el Sr. Ministro de la Gobernación d í a , apersonas m uy beneméritas que acaso en eso mismo, que ch…</t>
  </si>
  <si>
    <t>Presideate</t>
  </si>
  <si>
    <t>…cuerdo con las au­ sible percibir, anunciándose que quedaban sobre la mesa. di vidual. Hay mas. Se dice que este individuo que hace la petición toridades de la hacienda pública, para establecer un derecho mó­ Acto continuo el Sr. Presideate señaló el orden del dia pa­ tiene relación con el voto de indemnidad. Téngase presente que dico sobre el bacalao : 2 ° la proposición hecha por la casa de ra mañana, y levantó la sesión á las cuatro. aquella indemnidad se pide por un abuso, y este individuo no Carsí, en Valencia, que ofre…</t>
  </si>
  <si>
    <t>Presiden</t>
  </si>
  <si>
    <t>…l Romántico. 'prarogarrá la sesión. cu ja s filas'per te aecieroa, sino que á toda costa esta o. resuellos 5.° El Clásico , compuestos para piano-forte por el p r o f e s o r ■ E Í Sr. Ministro de G RA C IA Y JU S T IC IA : Sr. Presiden­ á defender la. justa causa que cordial mente ha o abrazado ; no D. Pedro Albénix. cabiendo duda alguna en que las das compañías dte G olas,. for­ ¡Se hallará 11 de venta en el al macen de música de Garrafa, te* d o teago Ínteres en continuar. Hecha la pregunta al Gosgresode si se pm oga…</t>
  </si>
  <si>
    <t>…ración territorial. Estas demostra­ M r. de Merode se sienta. 1 ^UC * 1111 resPecta 5 avergüenzo de llevar el nom - ciones efectivas eran indispensables para atraer á nuestra cau­ E l Sr. Ministro de Negocios extran geres: Sr. Presiden­ sa á la nación que podía prestarla un sólido a p o y o , á la na­ .r e , ® belga , y de buena gana renunciaría á mi calidad de te , en todo cuanto se ha dicho nada se ha tocado acerca de la ciudadano belga, que aprecio mas que la v id a : tal es el hor­ ción cuya bandera habia producido…</t>
  </si>
  <si>
    <t>…corresponsal de la sociedad de EN CONTESTACION dades de la ley se procedió á la votación, y resultó por un an i­ estadística universal de aquella capital, individuo de la Real midad haber lugar á la formación de cau a , y el Sr. Presiden­ academia de cieucias, de literatura y artes de Burdeos, de las A L A S ACUSACIONES D EL CA PITA N G EN ERAL te publicó la votación: Nicolás Mélida. —M artin López Sala­ sociedades de agrónomos y naturalistas ó de Lineo, y filomáti- zar.^: Eduardo Arenas.—Cayetano de Diliz y R ubio.—Ramón c…</t>
  </si>
  <si>
    <t>…declararon, no haber lugar á la cu erp o , y no se sabe si servirá de ejército de observación ó si tru cción form ada para la de Madrid.=±El prim er d ire c to r, m ar­ form ación de causa por seis votos contra tr e s , y el Sr. Presiden­ debe hacer un servicio activo. Estas tropas marcharon hacia la ques viudo de Ponte jos. &gt; • te publicó la votación. fro n tera: deben situarse entre Malmedy y Ileinsberg. El sépti­ mo cuerpo está destinado probablemente a cu brir la frontera á PO Rdeprovidencia del Sr. D . Benito Serran…</t>
  </si>
  <si>
    <t>PRESIDEN</t>
  </si>
  <si>
    <t>…a r s e en su cuerp o ; pero que el alférez Mena , menos fiel á Sr. Egea , y secretario al Sr. Ferrer. dictámen que fuese distinto á lo acordado por el Senado al to­ 3a causa que elios, habia tomado parte con el enemigo. E l Sr. P R E S I D E N ! £ : Orden del dia. Contin úa la d is c u ­ marse en consideración la proposición. C u a n d o me h ac ía n esta relación se me incorporo también en sión pendiente sobre el mensaje que ha de dirigirse a S. M . Dice que los mensajes cuando son congratulación deben de T i lia herrer…</t>
  </si>
  <si>
    <t>…reclamaciones de parte de todos aque­ (Despacho telegráfico.) general da cuenta en fecha 25 último de haber evacuado su llos cuyos intereses padecen con esta medida, y de la mayor El embajador de Francia en Constantinopla al Sr. Presiden­ encargo satisfactoriamente en una conferencia que tuvo con el parte de los agentes diplomáticos que piden, si no la supresión te del Consejo de Ministros. comandante de la estación francesa en Pasages, de cuyas resul­ del decreto , al meaos que no se ponga en e j e c u c i ó n hasta que Te…</t>
  </si>
  <si>
    <t>Presiden, Dalmacia</t>
  </si>
  <si>
    <t>Dalmacia Presiden</t>
  </si>
  <si>
    <t>…lutas para embajador cerca de S. M . el Rey de las Dos Sicilias. ciones con el re&gt;to del mundo; ellos tienden al retroceso de las las guerras civiles; donde el asesino político encuentra brazos Ademas ha sido nombrado el duque de Dalmacia Presiden­ ideas y cubren la retaguardia del siglo : ocupados únicamente prontos y armados para saciar su venganza, y asegurar los te del Consejo de Ministros. en el aumento de sus caudales, entran en revoluciones por can­ planes de su ambición. M r. Teste M inistro del departamento de la Ju…</t>
  </si>
  <si>
    <t>PRESIDENTE</t>
  </si>
  <si>
    <t>…gastos, y se acordó pasara á la co­ anos. E n te ra d a S. M. y con form án d o se con el p a re c e r del lealtad que conviene á una gran nación. misión. trib u n al su p rem o de G u e rra y M arina en acord ad a de 20 E l Sr. P R E S I D E N T E : Orden del dia ; se procede á la d¡s Yernos con un dolor profundo que España se consume en de D iciem bre ú itim o , se ha servido d e c la r a r: 1.° Q ue eí cusion del dictamen de la cornision de Actas sobre la reelec­ medio de los horrores de la guerra civil. Deseamos ardie…</t>
  </si>
  <si>
    <t>…, unión y obediectes al sabio Gobierno que los rige y y aprobados en la legislatura anterior. esté presente el Sr. M inistro de ¡a Gobernaciou la discusión del el duque de la Victoria , á quien se le deben tantos benefi- El Sr. PRESIDENTE dijo que se im p rim iría en el Diario número 59. cios., , i=Señora.—A. L. R. P. de V. M .üEI presidente del a y u n ­ de las sesiones la parte de este proyecto que no estaba confor­ Se lee el número 46 , en que la comisión opina pase al se­ tam iento, Manuel Rodriguez.!=El cura párroco…</t>
  </si>
  <si>
    <t>…steban * Jim é n e z , G isp e r t, M a r­ tiis ecclesiasticis praeposi- los negocios eclesiásticos, en aten­ R ey. _ _ _ _ _ _ _ _ _ _ _ tínez de la Rosa. t é S e c re ta rio , habita ra~ cion á las peculiares circunstan- El Sr. P R E S I D E N T E : D esem peñada.esta parte que pre­ tione peculiarium circun- cías que mueven su ánimo , ha A lgu n os periódicos de la coalición insertan la siguiente viene el reglam en to, v -•/ á otra. M ediante á que estamos á siantim um animum stturn prorogado benignamente el in - lista del…</t>
  </si>
  <si>
    <t>…abajos aparezcan como nuevos proyectos pasase una copia á la comisión que entiende en el asunto. tión? Yo la considero como cuestión de P A Z ; y es muy dis­ aunque tan avanzados se hallaran para su resolución, y cuando* El Sr. PRESIDENTE: H ay pendiente una proposición del tinta la cuestión de fueros en el sentido de arreglarlos defini­ difícilmente han de recibir ya mejoras, si se consideran bien Sr. Mendizabal, cuya discusión se suspendió hasta que estu­ tivamente. Esto se ha manifestado asi en el proyecto del Go­ los…</t>
  </si>
  <si>
    <t>…z V ázquez, baste; si p p , yo pez (D. J .) , Villaverde , ■H u e t , barón de Gasablanca , C. de la d aré á S. S. todas las explicaciones que desee.- f / R o s a , Salamanca , C am b ron ero , Camateño , Florez Estrada, El Sr. P R E S I D E N T E : Tiene la palabra el Sr. Ministro El general en gefe del ejército del Centro en 28 del mismo Mela , Valdés. de Hacienda. dice desde Daroca : que el Í 8 salió de Mequinenza por disposi­ C uarta sección : Sres. E lo rdi, Baeza , Barrió Ay uso , Jaeñ, Ocupó la T rib u n a , y leyó…</t>
  </si>
  <si>
    <t>…de M a ­ S e s uspe ndió esta discusió n. r e b a ja d o las re n ta s m as p in g ü e s de la h a c ie n d a en a q u e lla s p r o ­ d r i d h a t e n id o al h a c e r el r e p a r t im ie n t o sobre todos los bienes E l Sr. P R E S I D E N T E señaló los a sun to s p a r a el l u n e s , y v i n c i a s , c u a n d o las d em a s esta b a n s u f r ie n d o , a d e m a s de la g u e r ­ te r r ito r ia le s de la p r o v i n c i a , p a r a c o m p re n d e r s e g ú n la ley al le v a n tó la sesión á las cinco y c u…</t>
  </si>
  <si>
    <t>…os, digo que no: por lo mismo estoy mas en­ misión. E l Sr. A R M E N D A R I Z : Pido la palabra. tero y firme en mi propósito de combatir esta infernal doctri­ Los Sres. Benavides y Sancho hacen varias aclaraciones. E l Sr. P R E S I D E N T E : En primer lugar esta es una dis­ na. (Ligeros murmullos de aprobación en la tribuna pública.) E l Sr. S A N C H E Z D E L A F U E N T E : Antes de usar de la palabra , desearia saber si se ha comenzado el proceso contra cusión inusitada que y o no debia consentir; pero tiene…</t>
  </si>
  <si>
    <t>….° del convenio de V e rgara.” Esa diante á no hallarse reclamación a lg u n a en el acta. total de votantes 8 8 , y no teniendo ninguno mayoría absoluta, palabra, sa lv a su modificación, que dice el artículo, forma par­ El Sr. PRESIDENTE: Mañana á primera hora se, discu? se procedió á nueva elección entre los tres Sres. prim ero s, y re te del mismo artículo , y forma parte de la misma concesión; tiran los dictámenes de la comisión de Actas que quedan pen­ sultó electo el Sr. M o y a por 56 votos del total de 9 9 , obte…</t>
  </si>
  <si>
    <t>…cer fante” "a n o ó mas lo,faales.” se retirará eo seguida con el mismo ceremonial y acompaña­ efectiva la cobran» de atrasos. A rt, 18. Si asistiere á la sesión regia el heredero inmediato miento, co© que fue recibido, E l Sr. P R E S I D E N T E : Orden del dia. Discusión en la to­ de lia Corona ocupará una silla á la derecha del. R e y , sobre la Art., 4 I),. E l P r í o,cipe Regente, a.ntes d-e encargarse del Go­ talidad sobre el ■■proyecto de ley para las corauaicacioaes de ami­ «eguuda grada del trono ; y si concurr…</t>
  </si>
  <si>
    <t>…r t . 51. Los M in istros pueden tom ar p arte en todas las ciones de aquella auto rid a d . los españoles todos en su interior extrañ arían que á un eclesiás* discusiones , y tendrán la palabra siempre que la pidan. Po­ El Sr. P R E S I D E N T E dijo que a v isa ría al Gobierno. tico que el Gobierno considera corno prelado , se le mande c o m ­ d rá n asimism o asistir á las comisiones de ambos c u e r p o s , y a Procediéodose al orden del d i a , se puso á discusión el d ic — parecer desde su diócesis á otra que no se…</t>
  </si>
  <si>
    <t>…xpresado de la y lo que es conveniente h o y , podría ser nocivo mañana. ¿Pues alusión nersona). manera mas clara y term in an te que puede expresarse en esta qué tiene que ver que lo que no vino bien en tiempo del señor El Sr. P R E S I D E N T E : N o h a y palabra. clase de docum ento s, á s a b e r: (leyó el párrafo del mensaje que Mendizabal lo venga boy ? ¿ Q u é tiene que ver la época del El Sr. B A R R I O A Y I J S O : N o hay palabra para deshacer empieza : " A s i q u e , no solo ratificarán si es necesario &amp;c.…</t>
  </si>
  <si>
    <t>…petando esta enmienda habrépara poner la enmienda sin este pensamiento capital; me equivocado. tera el pensamiento de la comisión. Todo lo contrario. Noso­ desearía que fuera posible adoptarla, y si asi fuera lo haria sin El Sr. P R E S I D E N T E : Sr. Sancho, concrétese V . S. á la tros en nuestra enmienda admitimos todas las ideas de la co­ ninguna dificultad , pero la voluntad y la posibilidad son dos equivocación. m isión, sin faltar ninguna , solamente que las damos otro cosas distintas. Dice S. S ., repito, que su e…</t>
  </si>
  <si>
    <t>…a: cons­ hecho de los firmantes de la enmienda f y que por ser exage­ tará que no se me permite hablar. rada no estoy por mí parte dispuesto á admitirla; el Sr. Be­ Urda 2 de Octubre. Desde el 18 de Setiembre último hasta El Sr. P R E S I D E N T E : Constará que V . S. ha pedido la navides ha podido tener la idea de que tomándose aquella en la fecha se han presentado á indulto sobre 150 facciosos todos palabra , y que no se le ha concedido porque el reglamento consideración era un proyecto de ley que únicamente se ha­ con…</t>
  </si>
  <si>
    <t>…ks mismos rosones ! ei siguiente s ■ oes al mismo de los Sres. Pasada ArgudOes» Aloe y eteoi. que el Sir» Gw eja, dioe que el artículo constitiiicsoatal sol© babk i Art* 67. Si no. pudiere poner» de acuerdo la comidon mis­ El Sr. PRESIDENTE; O d ea é d día. Coatímú b d i » - oqixelks Senodores ú Diputados que aémifiamempleas, gra­ ta , de amaera que u© hubiere auyoría entre ks 10 indiridaos íñena píndwjolí ayer soíbw la saAerpelacMa del Sr. Argwelita. El cias o condeoorsciones del Gobierno, mns no oon ks que sol© [ de d h…</t>
  </si>
  <si>
    <t>…odo lo que era acordó que pasase á las secciones para él nómbrámiéñtó de 1$ 'de parecer de que el articuló estaba ceñido al de la Constitu­ comisión que sobre él debía informar. '' v 1‘ j ción y asi debia ser aprobado. E l Sr. P R E S I D E N T E hizo presenté*que los^Sres. Senádo-f v ñ Sr. M E D R A N O e x p r e s ó que r e s p e ta n d o la opinión de ANUNCIOS OFICIALES. res conde del M oñtijo y Allende Salazaf no podíaú ’aáíVtir á Jai la comisión se a t r e v í a á decir qúe n o habia e s ta d o muy acerta­ sesión p…</t>
  </si>
  <si>
    <t>…o francés la nueva república de Tejas ha en virtud de haber optado el Sr. Arrazola por la de Valladolid. cia de nueva sustitución á aquellos que justifiquen haber sido firmada ayer por el mariscal Soult. La negociación en El Sr. PRESIDENTE: Orden del dia. Continúa la discu­ practicado las medidas y precauciones que dicta la pru­ sión pendiente sobre fueros; el Sr. conde de las Navas tiene la dencia para asegurarse de la fidelidad y constancia de su nombre de Tejas se ha hecho por Mr. Anderson. Se asegura, dice el mismo p…</t>
  </si>
  <si>
    <t>…s l e y e s , com o E l Sr. E G A Ñ A : P i d o la palabra para a n a rectificación. a l g o sus d o c t rin a s y sus p rin c ip io s . d i j o m u y bien el S r . L u z u r i a g a , c u y o dis cu rs o m e satisfizo E l Sr. P R E S I D E N T E : N o se la puedo conceder á Y . S. P u e s si fa lta este m o t i v o p r i m e r o , si f a l t a esta razón c o m p l e t a m e n t e , p o r q u e c o n o c e m e j o r q u e y o los f u e ro s y los porque no ha h ab lado sobre esta cuestión. e s e n c ia l p a r a q u e…</t>
  </si>
  <si>
    <t>…d a d ante el G o b ie r n o , esto es, para o b ­ d o s juzgara' á unos y á otros. cillez del ilustre varón que con su ejemplo conducía las huestes te n e r los cargos públicos: se gund o, la ig u a ld a d ante la le y. E l Sr. P R E S I D E N T E : Se suspende esta discusión para con­ de la pelea al triu n fo ; que se abrasaba en el fuego vivísim o de y y a en estos principios, como en otros semejantes á ellos, h ay tin uarla mañana. Se levanta la sesión. la fe cristiana; que de un solo golpe de hacha dividía en dos par­…</t>
  </si>
  <si>
    <t>…a tener ocasio­ para la elección del Sr. marques de Y a lg o r n e r a , que remi­ nes de mostrarle siempre su benevolencia. El capitán general de Castilla la Nueva en 5 del propio tía el Sr. Ministro de la Gobernación. El Sr. P R E S I D E N T E : El Senado queda enterado. participa que el comandante que manda la columna de opera­ Se acordó que quedaria sobre la mesa y se imprimiría un Se dió cuenta de haber sido nombrados por las secciónese ciones en la provincia de T o le d o , capturó tres rebeldes el 2 9 dictámen d…</t>
  </si>
  <si>
    <t>…cuenta nu eva, y por este medio po­ ra traba que tenga en vez de serle ú t i l , le será perjudicial. de 9 de Enero de 1854 se concede al Gobierno esa facultad. drá imponerse una responsabilidad á los empleados encargados El Sr. P R E S I D E N T E : Tengo que advertir á V . S. que ha Que se pone en mano de esta junta una atribución que no ha en la recaudación. pedido la palabra en pro y está hablando en contra. tenido ningún tribunal hasta ahora; en este supuesto espera Asi q u e , me parece haber demostrado que no se tr…</t>
  </si>
  <si>
    <t>…pagado el diezmo.” bien contestarme S. S. D iputado, y acusado por un Ministro , me toca contestar. Por esta simple lectura habrá conocido el Congreso que el El Sr. Q U I J A N A : Pido que se lea lo que se dijo en la se­ El Sr. PRESIDENTE: Orden, Sr. M o n , o rd e n ; yo no Sr. Ministro de Hacienda, salvas las protestas anteriores , ha re­ sión de 12 de Ju n io sobre ei particular por el Sr. Cosío. puedo remediar que el reglamento esté terminante; esta es la suelto un caso del mayor in terés, cual es que los propietarios…</t>
  </si>
  <si>
    <t>…ue yo no he dicho si tro, en cuanto á decir que interpelar es preguntar; interpelar El Sr. MON : Sr. Presidente, una palabra. habían sido bien ó mal tomadas, no traté de inculpar á nadie es mas, interpelar es reconveair. El Sr. PRESIDENTE: No lo permite el reglamento. ni es costumbre mia hacerlo. Yo creo que esas disposiciones han En cuanto á lo dicho por el Sr. Ministro sobre que en su El Sr. MON : Si el Congreso no tue concede la palabra, in­ sido muy justas, y creo también que 110 eran sobre Ja cuestión concepto la in…</t>
  </si>
  <si>
    <t>…repi­ cia de que se trata el que dé algunas explicaciones, no al C on­ de esta determinación. tiendo que la castración de los potros favorecía el interés de íoi greso que y a ha fallado sobre las actas de dicha provincia, El Sr. P R E S I D E N T E : Mañ ana se dará cuenta de los dic­ criadores pobres; y lo apoya haciendo presente que la libertad sino á la nación entera á quien tanto se le ha fastidiado hasta támenes de comisión que hap quedado sobre la mesa. No te­ debida proporciona al propietario la facultad de castrar s…</t>
  </si>
  <si>
    <t>…se e n c a m i­ ñor P re sid e n te , y pido la p alab ra en pro de la enm ien da. bles á la C on stituciou; ó salva la u n id a d constitucional ‘ un a naban á un fin. Pero por si se echaba a q u i de meoos la palab ra El Sr. P R E S I D E N T E : El Sr. Q a in to tiene la p a la b r a , frase en fin , por la cual la C onstitución quede in tacta. Y o por C o n s t itu c ió n , para que no se tem iera que la Constitución iba á ( M u l t it u d de Sres. D ip u tad o s se ap re suran á p ed ir la p ala b ra mi parte no d…</t>
  </si>
  <si>
    <t>cuestión incidental. Sabido es que me constituí en la necesidad El Sr. PRESIDENTE: Haré que se observe el reglamento El Sr. Sancho, el Sr. Madoz y otros Sresy Diputados (t.)s, de defender las ideas que la minoría de la comisión habia con­ cuando algún Sr. Diputado falte á él. Sres. Madoz y conde de la Navas piden la palabra para una signado en su dictamen; y es un de…</t>
  </si>
  <si>
    <t>…general em oción, y con voz profundamente con­ el Sr. Olózaga á ningún individuo del Gabinete. Le hago áS. S. sicion la mas desagradable. movida:) este justicia. Ei Sr. Olózaga debe saber que el Ministro de la Guerra et El Sr. PRESIDENTE: Señores, este dia premia en mí Después de esto, señores, anunciaré al Congreso, que , i</t>
  </si>
  <si>
    <t>…ución. Sres. D ip utados no sepan á qué atenerse. He oido hoy en la discusión preguntar si habia otro gé­ No voy á hacer un discurso académico, y no se eche menos nero de compromiso ademas del que ha podido producir el E l Sr. P R E S I D E N T E suplicó al orador suspendiese su d is ­ detalles. Hablaré solo de los fueros por toques generales, y convenio de Y e rg a ra . S í , señores: hay compromisos de va­ c u rs o , pues siendo pasada la hora que prescribe el reglam ento, supongo , señores , que los fueros pueden red…</t>
  </si>
  <si>
    <t>…A lic a n te , y fue agre­ circunstancia aumenta la im portancia de estos h e ch o s , y es gado á la quinta sección. EXPOSICION A S. M. LA REINA GOBERNADORA. que una fracción de la representación nacional es cóm plice El Sr. P R E S I D E N T E : La com isión encargada de exam i­ del atentado. nar el proyecto de ley sobre hacer efectiva la co n trib u ción ex­ SEÑORA: C u an do las últim as elecciones , el partido de M r. V a n B u ­ traordinaria de g u e rra , puede leer su dictám en. rén pretendió que sus candidato…</t>
  </si>
  <si>
    <t>…m ente el artículo. ! y poner en rid ícu lo á todas las ju nta;,, com o habia hecho el se­ esta ultima disposición los débitos á la Hacienda pública pos­ ñor Benavides, cu a n do él por su parte podia decir que era in ­ El Sr. P R E S I D E N T E propuso que'.//estando solo tres ar­ teriores al año de 5 3 , lo, que deberán satisfacerse por las per ci­ d iv id u o de una , y trabajaba m u ch o , m u c h o , sin consideración tículos al p r o y e cto , y no habiéndose h e ch o ninguna enmienda de ningu na especie. ñas o…</t>
  </si>
  <si>
    <t>…do por su presidente El comandante general de Ceuta en comunicación de 1.° del caso de serlo» al Sr. marques de Castelldosrius, y por secretario al Sr. Soria. actu al, recibida por extraordinario, da parte de haber descu­ El Sr. PRESIDENTE observó que no habiéndose presen­ bierto una conspiración , en la que sé trataba de poner aquella tado el dictámen acerca de las enmiendas del proyecto acerca plaza á disposición del Pretendiente, y que esta circunstancia, ANUNCIOS OFICIALES. de la correspondencia entre los dos cuerpos co…</t>
  </si>
  <si>
    <t>…se haga, ni aun"por via de .ensayo, la­ gunas aclaraciones. y el Sr. llompanera de Cas ¡i la quinta.. mas pequeña reforma de aranceles sin venir á las Cortes, pues Después de unas ligeras observaciones del Sr. marques de El Sr. PRESIDENTE : Orden del día. Continúa la' ínter-' se trata nada menos que de una reforma que puede producir Yalgcrnera en contra del dictamen, á Las que satisfizo el Sr., Gi­ pelado*» del Sr. Fernandez Raeza. la completa ruina de la industria. Siento pues este precedente re]ly , se suspendió esta dis…</t>
  </si>
  <si>
    <t>…os datos necesarios, y los remitió al director general de a d u a ­ tos del voto de confianza. ción y las leyes sean u n a verdad en C ata lu ñ a . nas., quien se au x ilió de la ju n ta de a ra n c ele s, y esta inform ó El Sr. P R E S I D E N T E : Se procede á la interpelación del A la segunda pregu nta solo puedo decir que uo tengo no­ al director que era necesario adoptar a lg u n a medida que e v it a ­ Sr. R u iz del Arbol. ticia que las leyes h a y a n autorizado al barón de M eer para h a ­ se el contrabando. El di…</t>
  </si>
  <si>
    <t>…o y invocando el respeto á la ley. Dice que la opinión de Navarra de dictámen deben aprobarse. la Real orden de 21 de Noviembre previenen , de que certifica el está falseada , y que apela á la ley para que se cumpla. Eso El Sr. PRESIDENTE: Mañana se discutirán los dictáme­ vocal secretario. Madrid 50 de Agosto de 1859,= Antonio Ba­ quiero yo, que la ley se cumpla sin acepción de personas; y si nes que quedan sobre la mesa. Se levanta la sesión» rata.=FéNx D ’Olabarriague y Blanco. = Manuel de V illota,= eso ha de ser asi…</t>
  </si>
  <si>
    <t>…terac se la señalaban 123 rs., ciendo las obligaciones del Estado. votación el dictamen, quedo aprobado. á mas de los 83 de sus hijos, y la viudedad que la corres­ Como en mi opinión , en la época que hemos alcanzado to­ El Sr. PRESIDENTE anuncio que no habiendo ni ngu n pondiere por decretos vigentes. das las atenciones se refunden sobre el Ministerio de Hacienda asunto despachado, se reuniria el Senado el sábado prdxirno En cuanto á lo que ha manifestado acerca de los hijos, están asi como la vista de las Cortes está fi…</t>
  </si>
  <si>
    <t>…cional el día del aniversario tra priuci, las leyes? Seria , y lo diríamos cora mucha razo o, un con­ mitirá siendo arreglada. de ia Constitución de la monarquía. pía» El poder ejecutivo debe .ser a bso iata mee le libre El Sr. PRESIDENTE; Orden del dia.zdCoiitinMa la dis­ en el círculo de sus facultades, coust i ¡Encloca,ales, corno ei único ensión de. la totalidad del proyecto sobre creación de un Conse­ responsable de sus actos» jo de Estado. Tiene la palabra era contra el Sr. Gala Ira va» ¿Debemos ademas mirar el Con…</t>
  </si>
  <si>
    <t>…e admitido las ac­ Hecha esta manifestación voy á hablar por su orden de las por la de Cuenca. tas de los distritos, no solo cuando van por los ayuntamientos, ctas de los distritos anulados por la junta general escrutadora El Sr. P R E S I D E N T E contestó que esa declaración podría sino por el correo ó propio, de cualquiera manera que llegue e la provincia. hacerla por escrito. el acta á la junta electoral, debe ser escrutada: todas tres lle­ El acta del distrito de Legreira se anuló por dos causas so- En seguida dijo que…</t>
  </si>
  <si>
    <t>El Sr. P R E S I D E N T E invitó á los señores que componen Caso de salir premiado el número 1 con los 83 pesos fu er­ _ nombrando para la intendencia de la provincia de Cáce- la diputación que ha de cum plim entar á S. M . , y anunc i a ndo tes, la aproximación anterior será el 2 2 3 , y si este obtuvies…</t>
  </si>
  <si>
    <t>…edó retirada la proposición. triótico. El Sr. Presidente invitó á los señores que componen la d i ­ 5.° Cuando reciba la orden el gefe de la línea la formará en putación que ha de poner el mensaje en manos de S. M. que se El Sr. P R E S I D E N T E : Las secciones se servirán retirarse sirviesen concurrir al Congreso en traje de ceremonia. á sus respectivos locales, y entre tanto se suspende la sesión c o lum n a, y dirigiéndose por el camino de Capuchinos a la puerta de Santa Engracia y plaza de la Constitución, pasará en…</t>
  </si>
  <si>
    <t>…su mando hasta que ha sido re ­ conseguir la paz y la reconciliación de todos los esp.añ des. habido cuatro adiciones que se han leido: no es una sola. Esa gente de la audiencia: lo que esto quiere decir lo dejo al buen El Sr. P R E S I D E N T E : El Congreso ha oido con ia m ayor del Sr. Calderón de la Barca, que comprende todo, fue desecha­ juicio de los Sres. Diputados. Por lo que i mí toca, tengo un satisfacción la manifestación que hace su Presidente. d a , y en seguida hicieron otras varios Sres. D ip u t a d o…</t>
  </si>
  <si>
    <t>…saña á la quinta , el Sr. Abascal á la sexta, y diencia territorial, de los progresos de la astronomía y de las ciencias náuticas en á la séptima el Sr. Castro. I España.zzNaticia de esta obra recien publicada en Francia. El Sr. PRESIDENTE señala para mañana la discusión pen­ Isla Isabe!a.=Sobre el pretendido derecho de los portugueses diente , y si hubiese tiempo la de los dictámenes de la comisión á esta isla recien formada en la barra del Guadiana. de Peticiones, y levanta la sesión. p O R providencia del Sr. vicario ecl…</t>
  </si>
  <si>
    <t>…se las manos a si? ¿ Puede blado de jugadores. intereses de la deuda interior se satisfagan, y de que los cupo­ haber un caso en que esto perjudique al Estado? nes vencidos se combinen con las cantidades en metálico que El Sr. PRESIDENTE: Orden. Sr. Acebo, está V. S. en el uso de la palabra. Yo concibo muy bien, señores, que este medio de los plie­ deben darse á los acreedores españoles, dividiéndolos en men­ gos cerrados se usa en contratas de cierta especie ; también con­ sualidades. El Sr. GOMEZ ACEBO: Estoy en el u…</t>
  </si>
  <si>
    <t>…de 1859.=Tom o 2.°= N u - putados para la lectura de la adresse , y la situación del pais teiia. m ero 8 .°:=Contiene este número los artículos siguientes: era la misma : el ministerio preparándose para el debate en la El Sr. PRESIDENTE suspendió la discusión , accediendo á _ Nobles a r t z$,z:Sobre lá escuela española de pintura. Cámara popular , y esta disponiéndose igualmente ,» ya á la de­ los deseos de la comisión. Por R, N . S. fensa del sistema ministerial 9 ya al ataque del mismo. Se dio cuenta de un Real decr…</t>
  </si>
  <si>
    <t>…o el pan del extrangero , y ; para deshacer equivocaciones 6 para algu n a alusión bado. están persuadidos de que soy una persooa honrada , de carác­ S R u e g o por lo mismo á V . S. qua se concrete á esta „„ Perso“il. E l Sr. P R E S I D E N T E : Hallándose presente el Sr. Cortázar ter conciliador , que no defenderé principios suprem os, y que i E l Sr. P A S C U A L : Pues la equivocación en que se va á leer la resolución acordada ayer por el Congreso acerca me someteré á las circu n stan cias; estos amigos son los qu…</t>
  </si>
  <si>
    <t>…pacho de Gracia y al Sr. López, quien ha dividido en dos partes su discurso: en buna.) J u s tic i a , y yo no necesito sostener que mi obediencia , lejos la primera ha hablado de una circular expedida por el M i n e r o El Sr. P R E S I D E N T E : Es m u y conocida la disposición de ser pasiva, ha sido constitucional. L a he circulado porque de Gracia y Ju s tic ia ; y en la segunda de los manejos operados del reg lam en to, relativa á los espectadores: estos no pueden dar no contenia n in g u n a cosa contraria á las le…</t>
  </si>
  <si>
    <t>…. Luis B ion, quienes declararon por unanimidad no ha­ posada de dicho señor que la tiene calle de Bordadores, núme­ deje hablar todo...... ber lugar á la formación de causa. Madrid 9 de Setiembre ro 1 2 , cuarto segundo. El Sr. PRESIDENTE (con energía): Tiene V. S. la palabra, de 1839. ._______________ _ Sr. Cortázar. O rden, Sr. Barrio Ayuso: sírvase V. S. guardar órdeti , y estar sentado. El Sr. BARRIO AYUSO (coo cólera): Estoy sentado. BOLETIN DE COMERCIO» El Sr. CORTAZAR: Señores, yo he visto esa circular que VACANTE…</t>
  </si>
  <si>
    <t>…clara de la tas al de la Guerra para que se expidan los correspondientes si habia lugar á deliberar sobre esta petición. nación los bienes del clero secular. despachos. N o he creído oportuno pasar en silencio esta obser­ El Sr. PRESIDENTE replicó que esta pregunta no podía Se leyó el dictámen sobre la petición núm. 49 de D. José vación , porque hallándome en este lugar no se creyese que no tener lugar, porque ya se habia deliberado. Alexandrowiez, comandante de caballería, emigrado polaco, pi­ cuidaba de las atribuciones…</t>
  </si>
  <si>
    <t>…ecordado estos p rincipios de la ley electo­ q u e se h a n a n u la d o en la p ro vin c ia. del Sr. González Alonso , asi como de todos los demas Sres. D i ­ ral en atenció n á que lo he creído de sum a im p ortan cia. El Sr. P R E S I D E N T E : C o n tin ú a la d iscusión pen dien te putados, que no h a y semejante d ivisió n de D ip u ta d o s suplentes El Sr. C O R T I N A : E! Sr. Benavides ha dado p rin c ip io á sobre los dictám enes de la comisión de A ctas. y D ip utados p ro p ie tario s, sino que en la signi…</t>
  </si>
  <si>
    <t>…a p a la b ra acerca de esperar. Salió vestida con el gusto y e le g a n c ia que la d i s t in g u e n , lo que acabaña de leerse. y después de sa lu d a r afablem ente á c a d a u n a de las personas REVISTA DE MADRID. El Sr. P R E S I D E N T E manifestó no podia concedérsela, y c o n v i d a d a s , pasaron todos á la mesa. que h abía que d e jar para m a ñ an a t ra ta r de la proposición. Constaba esta de 4 1 c u b ie rto s, y e r a n : n u e v e i n d iv id u o s SE TIE M BR E DE 1839. El Sr. P A S C U A L expuso…</t>
  </si>
  <si>
    <t>…or la cual se guridad se renuncian los derechos mas a.menos explícitos. Para dictamen es aprobado. previene que todos los Reales decretos, órdenes é instrucciones adquirir legítimamente habrá dificultades; pero para rénun- El Sr. PRESIDENTE: Halla adose‘presente el Gobierno, del Gobierno que se publiquen en la Gaceta de esta corte bajo ciar lo cierto y lo dudoso no las hay :, ¿ qué inconveniente hay continúa ia discusión pendiente sobre la organización de% el jartícalo oficial , sean obligatorios desde el momento de su pu­ e…</t>
  </si>
  <si>
    <t>…uu Sin mas debate se aprobó esta. A s i q u e , si h a y que hacer algu na reclamación , como su­ cedió cuando se presentó el dictamen del Sr. C o r t á z a r , eo que co n v e n io , el cual se presenta como ruinoso. E l Sr. P R E S I D E N T E dijo que n o creyeodo contrario al re ­ el Sr. Mendez V i g o hizo una reclamación , la comisión retira­ E n cuanto á r o í, y en mi p a r t i c u l a r , no re h u yo la pre­ glamento H excitar á que se reunieran las vectiones sin una reso­ rá su dictam en, y oirá las que se h…</t>
  </si>
  <si>
    <t>…im as ocupaciones que le p riv a n de poder contes­ preguntó en seguida si se pasaría á otro a s u n t o , y asi para u n a alusió n r.essonah t a r á los periódicos; pero y a no es solo un periódico el que lo se acordó. El Sr. P R E S I D E N T E contestó que no h a b ié n d o la usado en ha d i c h o ; se ha dicho por un D iputado. ¿ Y se ha contesta­ El Sr. P R E S I D E N T E an unció que con tin u ab a la d iscusión esta cuestión no podía concedérsela. do por el M in is tr o ? N o : luego es cierto. El Sr. G a v i r…</t>
  </si>
  <si>
    <t>…A C I E N D A : El Sr. conde de las N a ­ votación el dictam en , fue aprobado. S r . conde de las N a v a s , pues y o debo hacerle la ju stic ia de vas ha insistido en que la d e sig u a ld a d de los pagos es una prue­ El Sr. P R E S I D E N T E : Se suspende esta discusión. Conti-= creer qu e q u ie re como el prim ero que se g u a rd e n los derechos ba de la m ala ad m in is tr a c ió n . Y o confieso que h a y esa d e s ig u a l­ n ú a la de recompensas m ilitares. y las p re ro g a tiv a s de todos los poderes del…</t>
  </si>
  <si>
    <t>…ia antes qué á otro p ro ye c to , como no sea de recursó* g e r el fuerte de V illa f a m é s , sitiado por el e n e m ig o , em p ren ­ ó presupuestos. d ió su m arch a desde T e r u e l , y con siguió el objeto haciendo El Sr. P R E S I D E N T E : El arf. 2 t del reglam ento me i m ­ q u e el enem igo levantase el sitio y que no invadiese la h uerta pone entre otras obligaciones la de señalar y d i r i g i r las d isc u ­ d e V ale n c ia , como lo h ab ia m editado y e m p rend ido , pues que ANUNCIOS OFICIALES. siones…</t>
  </si>
  <si>
    <t>…uencias funestas; y o q u ie ro , como he dicho en un p rin c i­ pondía. co del m in iste rio y de la m arch a de la a d m in is tr a c ió n . S i la pio, firmeza en el Gobierno p ara c u m p lir y hacer que se cum p lan El Sr. P R E S I D E N T E a n u n c ió se iba á d a r cuenta de un as m a y o r ía adopta el rum bo que a qu el le s e ñ a la , entonces puede las leyes. proposiciones de la mesa acerca de los expedientes que quedaron contar Con el ap oyo de la inm ensa m a y o r ía de los Cuerp os d e ­ Pero t o d a v í…</t>
  </si>
  <si>
    <t>…ñoles. al Congreso que ansiaba mas que ninguno verlo puesto á dis­ cuerdos. Señores, cualquiera que lea esto, y no conozca los senti­ cusión. C A P I T U L O IV, mientos que animan á los individuos de la comisión, pudiera El Sr. PRESIDENTE dijo, para satisfacción del Sr. A rte- entender que el Senado, aprobando esta cláusula, reconocía ta , que estaba resuelto á no anteponer ningún asunto al que [Privaciones. como conformes á la Constitución los estados excepcionales á ya el Congreso dió preferencia. que han estado sujetas…</t>
  </si>
  <si>
    <t>…abundando ahora lladas por el célebre convenio entre este y el general Maroto las cienda y Marina. como en todas ocasiones en estos piadosos sentimientos, los difereocias que separaban á españoles de españoles y que tanta El Sr. PRESIDENTE: El Sr. Presidente del Consejo de sangre, tanta horfaodad y desconsuelo ha manifestado del modo mas tierno y expresivo al reci­ pais, ve con indecible gozo asomar el término de las calamida­ han derramado sobre el Ministros tiene que hacer uoa comunicación al Senado. bir la interesante n…</t>
  </si>
  <si>
    <t>…D eum en acción de g r a c i a s ; que a q u e l l a , por la de Barceloua. m i l i t a r e s , políticas y mu ni ci p a l es de e&gt;ta c a pi t a l . el teatro se i lu mi n e corno en ios di as de g a l a , y que se canten El Sr. P R E S I D E N T E : A y e r se leyó un proyecto de l e y Por la mi sma causa el di rector de la c ompa ñí a g i mná s t i ca en el mi smo hi mnos p a t r i ó t ic os , a l usi vos á tan gratos sucesos, Mr . Paul , dio en ia tarde de a y e r una f unci ón en el anfiteatro presentado por el Sr. A…</t>
  </si>
  <si>
    <t>…do en la 4»a sección el se­ Covachuelas; en la estampería de V alle, calle de Carretas, y en ñor Cuetos, el Sr. La Corte en la 5.a y el Sr. Fajardo en la 6.a la redacción, calle del Príncipe, nútn. 15, cuarto entresuelo. El Sr. PRESIDENTE anunció que el Congreso se reuniría En las provincias en las administraciones de correos y princi­ en secciones , y levantó la sesión. Suscripción para socorrer cí las religiosas existentes en los pales librerías. Erau las dos menos cuarto. monasterios y conventos de esta corte. Nota. C…</t>
  </si>
  <si>
    <t>…práctica, extendiéndose hasta hacer salir de este Pestaña, Iribarren , Ojero, Ooís, Isla Fernandez, y Ondovilla. na fe nunca desmentida y los recursos i ome usos de Ja nación son territorio á dos redactores de periódicos. El Sr. PRESIDENTE manifestó que tnanaoa se reunirían una garantía de que en breve mejorará coa notable beneficio de Después de reproducir S. S. lo expuesto en las sesiones an­ para discutir el dictámen de la mesa acerca de los proyectos los acreedores nacionales y extranjeros ; que cesará ¡a necesidad te…</t>
  </si>
  <si>
    <t>…mo una censura del Gobierno. Apareciendo que no era esta este artículo creo no se verificará. no puedo menos de mirarla con absoluta indiferencia , é in d i­ la idea del Senado, la comisión reformó la proposición ; y aho­ El Sr. PRESIDENTE: Se avisará al Gobierno. Orden del ferente me será que el Senado la apruebe ó n o, yo por mi parte ra que ve el Sr. Calatrava que el mensaje se convierte en una dia. Continúa la discusión sobre la empresa del canal de Casti­ no la aprobaré, y no por otra razan que por la de creer que un…</t>
  </si>
  <si>
    <t>…aceta pa ra satisfacción de los interesados. m o n s t r u o ? Los coge y lleva de brecha en b recha, y cuando y a conform e con lo aprobado. están c a n s a d o s , no con las a r m a s , no con el f u e g o , sino con E l Sr. P R E S I D E N T E levantó la sesión á las cuatro y cuar­ una piedra les machaca la cabeza ; esta es la nueva práctica. Y o to anunciando el siguiente me he honrado con apreciar á un patrio ta d istin gu id o que REDACCION DE LA GACETA. en 1 8 5 4 &gt; en el mes de F e b re ro, hizo servicios im p…</t>
  </si>
  <si>
    <t>…ras mas Que el Sr. Carnaleño habia citado los reinados de Car­ rn 1 i.«cse esos do; u mentes. convenientes y ventajosas bajo todos aspectos, corno lasq u e los n i y i v , diciendo que entonces no se dió al poder militar El Sr. P R E S I D E N T E contestó que no creia que hubiese presentaba la Imprenta N acional, pues lo hacia por menos pre­ las facultades que por esta ley se le conceden , lo cual era muy otro medio hábil de obtener esos documentos , sino el de re­ cio , con mejor impresión y papel , y menos errores y fa…</t>
  </si>
  <si>
    <t>…la se juzguen necesarias, pues de lo contrario con tinuarán rigien­ pasasen á las secciones. comisión retiraría el proyecto para hacer modificaciones i m ­ do los decretos de 19 de Enero de 1 8 5 7 , la ley de 17 de Abril El Sr. P R E S I D E N T E señaló para el lunes la discusión de portantes según el cambio de la opinión. Confieso francamente de 1 8 2 1 , restablecido ea 50 de Agosto en 1 8 5 6 , cuyo decreto los asuntos pendientes, y levantó la sesión á las cinco y cuarto. que me tranquilizó sobremanera esta idea , y as…</t>
  </si>
  <si>
    <t>…e que y como no sé que se haya tomado medida alguna en favor de no fuese mas que dos minutos. fueron recibidas por el Gobierno, quien dictaría las providen­ estos desgraciados, que están privados del placer de poder volver El Sr. P R E S I D E N T E : N o puedo concederla. cias que haya creído oportunas; y puesto que hoy no se queja al seno de sus familias , quisiera que el Sr. Ministro, sin que juz­ El Sr. B E N A V I D E S : M e parece que importaba á todos el el peticionario de abandono , descuido é indiferencia de parte…</t>
  </si>
  <si>
    <t>…s palabras me conmovieron , no porque las personas que jara , la comisión retiró su dictámen. clarar el lugar en que tienen su oficina ; precauciones indispen­ ahí se sentaban, y que yo respeto mucho como á todos, ya sean El Sr. PRESIDENTE señaló para mañana la discusión de sables para que la autoridad pueda perseguir con el debido ri­ amigos ó cootrarios^ no porque no apreciara como es debido el los asuntos pendientes , y levantó la sesión á las cinco menos gor toda imprenta clandestina, que en naciones donde la liber­ m…</t>
  </si>
  <si>
    <t>…o, 9 l£ ofer­ crim inal, y de ultrajes de palabra hechos á los agentes de la teriorSe ,abrió á la una y 20 minutos, y leída el acta de la an­ fue aprobada. ta para el 27 de Noviembre. fuerza pública. (Le Constitutionnel.) El Sr. PRESIDENTE: Orden del dia. Discusión por artí­ Deuda activa española , 31£. culos del proyecto relativo ú las comunicaciones de los cuerpos Pasiva, 7f. D iferida, 14^. Hoy á las cinco de la tarde en el momento en que el car­ colegisladores entre sí y con el Gobierno.</t>
  </si>
  <si>
    <t>…e hizo con la p ro vin cia tado electo por la m ism a. que las p ro vin c ia s esten d iv id id o s, en p artid o s para la elección, de C iu d a d -R e a l p o r u ñ a pequeña f a l t a , lo c u a l o rig in ó estuviese El Sr. P R E S I D E N T E : Orden del d ía. C o n tin ú a la d is c u ­ para que los q u e se consideren vencidos reputen como ilegales detenido diez dias para e n trar en el C on g reso , por c u y a razón sión de los expedientes que se h a lla n pendientes. las elecciones de los vencedores. Esas inform…</t>
  </si>
  <si>
    <t>…jos de ser asi Pasó á la comisión una enmienda al proyecto, del Sr. Ruiz RUSIA. está limitada solo á los casos de ceremonia, puesto que en la en­ de la Yega. mienda se dice que será Presidente aquel que lo sea en propie­ El Sr. PRESIDENTE levantó la sesión á las cuatro, anun­ S. P etershurgo 9 d e O ctubre . dad en el salón donde se celebre la ceremonia. ciando el siguiente El Sr. duque de RIV A S manifestó que retiraba de la eo- El 18 de Agosto á las ocho de la mañana un violento mieoda la palabra ^ceremonia.” terremo…</t>
  </si>
  <si>
    <t>…é María de Ezpeleta, Senadores el primero por la pro­ cunstancias , descansa en paz entre el polvo de las biblio­ vincia de Soria , y el segundo por la de Navarra. tecas, ha querido salvar y conservarnos el autor de este E! Sr. PRESIDENTE interino dijo que hallándose presen­ a preciable folleto un dibujo, aunque ligero, bien enten­ te el Sr. Presidente nombrado por S. M ., rogaba á S. S. tuviese dido y exacto de aquel grandioso monumento. á bien pasar á ocupar su asieoto. TEATROS. Sigue á este extracto un apéndice 1.°…</t>
  </si>
  <si>
    <t>…rio que este no se entienda como nos h j m an ifesta­ por diferentes Sres. Senadores. na discusión. do la c o m is ió n , y como h asta ahora debe entenderse. A la comisión encargada de in f o r m a r sobre el proyecto de El Sr. P R E S I D E N T E recomendó la p u n tu a l asistencia en L a comisión ha dicho que el suceso de V e r g a r a ha c a m ­ le y ocerca de las comunicaciones entre los Cuerpos c o le g isla d o ­ la p rim era sesión para votar la ley que acababa de aprobarse; biado felizmente la faz de la nación ,…</t>
  </si>
  <si>
    <t>Presidente'h</t>
  </si>
  <si>
    <t>…ión de Mosaico del periódico t it u ­ firmantes. Resuelta la g u a r n i c i ó n , compuesta de un destacamento de a r ­ lado N osotros de 7 del a c t u a l , núm. 2 8 9 , p rin c ip ia : " E l 5 de Él Sr. A R T E T A : Si el Sr. Presidente'h ubiese estado en el E n ero ,” y concluye "el Sr. D. Carlos ,” se procedió á celebrar interior de los D iputados que han firmado la proposición , h u ­ tille r ía d e m a rin a y de la colum na m óvil de Castelloif, á d e ­ el sorteo de los nueve jueces de hecho que con arreglo á la l…</t>
  </si>
  <si>
    <t>PRESIDENTE, Secretario. El Sr.</t>
  </si>
  <si>
    <t>Secretario. El Sr. PRESIDENTE</t>
  </si>
  <si>
    <t>…correspondientes, y también que se les admita en pago la parte El Sr. PRESIDENTE: Preguute Y. S. si se pasará á otro El Sr. M IN ISTRO : S í, á todas. que sea proveniente de esos convenios ó contratos. En este caso, isunto, Sr. Secretario. El Sr. PRESIDENTE: Pues se procede á la del 3r. conda repito, desisto de todas mis pretensiones. Verificada la pregunta, estuvo el Congreso por la negativa. de las Navas sobre pago de lanzas. El Sr. PR ESID EN TE; Debo decir antes de pasar á otra El Sr. PR ESID EN TE: Tiene la palabra…</t>
  </si>
  <si>
    <t>Presidente-que</t>
  </si>
  <si>
    <t>…añana , con El Sr. FERNANDEZ BAEZA: No hallándose presente el asi como el de que estoy conforme con S. S. en el principio Ib cual el Sr. Presidente levantó la sesión á las cuatro y media, Sr. Ministro de Hacienda,, regaría al Sr. Presidente-que se sus­ constitucional de que el ministerio por sí ni podo ni debió señalando d siguiente pendiese hasta que diicho Sr. Ministro se presente. hacer esta reforma. Pero con todo f de ninguna manera hu­ El Sr, PRESIDENTE: Pues continúa la discusión del ar­ biera tomado la palabra sí no…</t>
  </si>
  <si>
    <t>Presideote</t>
  </si>
  <si>
    <t>…o conocéis que vuestra falta pre­ multo algunas palabras al Presidente. cipita a la Bélgica en el oprobio y en la desgracia? anuncio de que el Rey Guillermo consentía en el tratado cuya E l ministro de negocios extrangeros: Sr. Presideote, esto aceptación por parte de los gobiernos de Bélgica y Holanda P ero, señores, la Bélgica ha contraido distintas obligado-* no es tratar de la cuestión de orden ; el reglamento prohíbe los exigían las Potencias representadas en la Conferencia de L on ­ nes que el Gabinete: á la voz de…</t>
  </si>
  <si>
    <t>Presideute</t>
  </si>
  <si>
    <t>…apitán Chan- recompensas al mérito, he dado las gracias a nombré, de la na­ persuadidos que solo teniendo de su parte él tro n o , la nobleza chard , al teniente Tholer , d Jos Sres. Mallet, Cabaret y Guil- ción y del Excmo. Sr. Presideute al general en gefe, á los ge­ y el clero, podían apoyar sobre duraderós cimientos las refor­ hermy , y en general á los demas Sres. oficiales, tropa y m a­ nerales de las brigadas , á Jos gefes, oficiales y tropa que con­ mas proyectadas. Se dirá que esto era proceder con demasiada rine…</t>
  </si>
  <si>
    <t>…ren Y DEL DESPACHO DE LA GUERRA. Oportunamente remitiré á Y. E. para conocimiento del Ex­ * í V. M. felicitándole por el célebre tratado de Yergara , lo re- El general segundo cabo de Cataluña, con fecha 6 del ac­ celentísimo Sr. Presideute, el detall de esta jornada , recomen­ ^ S u é U a ’iíéjbatián á satisfacer tas contribuciones que legíti- tual dice en el parte periódico de novedades, que en diferentes dando á los Sres. gefes, oficiales y tropa que se hubiesen dis­ *1Mpobgaq pai;a las urgentes atenciones. del Es­ encu…</t>
  </si>
  <si>
    <t>PRESIDIANTE</t>
  </si>
  <si>
    <t>…en el término preciso de otros ocho dias, y circula­ ord inaria de guerra. rá inmediatamente á los pueblos el repartimiento adicio­ Leida que fue dicha ley, dijo El propio capitán general con la misma fecha , y referencia El Sr. PRESIDIANTE: Queda publicada como ley en el nado para su cobranza, que tendrá efecto desde luego en al com andante general de C iu d a d -R e a l y Toledo, acompaña u n a Congreso, y se arch iv ará. su primera mitad, sin perjuicio de las rectificaciones qut relación de las operacipnes de las tropas…</t>
  </si>
  <si>
    <t>Presidios</t>
  </si>
  <si>
    <t>…rcera sección.—Circular» dido siete caballos. Dice igualmente que se han presentado á rio de esta ciudad, que ansiaban porque el enemigo atacara pa­ indulto nueve rebeldes. ra escarmentarlo con las armas. El director general de Presidios ha expuesto á S. M. Reproduzco á V. E. todas las seguridades de mi considera­ la Reina Gobernadora los graves perjuicios que se origi­ ción y respeto. nan de la remisión de continados por tránsitos á estable­ cimientos situados á larga distancia de los puntos de don­ PARTE. NO OFICIAL. Y…</t>
  </si>
  <si>
    <t>…s años. Madrid 10 de Abril de «ido cumplidas, ni sus miras auxiliadas por los gefes de 1839. = Excm o. Sr— Cenon Asuero. =E xcm o. Sr. Secretario de la Hacienda pública en las provincias, de la manera y con Dirección general de Presidios.= Excmo. Sr.: El visitador Estado y del Despacho de la Gobernación de la Península.</t>
  </si>
  <si>
    <t>…inados, Para darle las instrucciones estoy esperando que el di­ Fondos id. 255. (Sun.) útiles para los trabajos, que se podrán destinar á dichas rector carreteras, á su distribución en los puntos mas convenien ciones general de Presidios me dé noticia de las disposi­ para la reunión de los 1500 á 23 tes para las obras, y á su manutención, vestuario, hospi presidiarios quedado que ha deben ocuparse en la expresada carrete­ c á m a r a d e lo s l o r e s . Sesión del dia 1 4 de Febrero. talidad, el plus que deberá dárse…</t>
  </si>
  <si>
    <t>…el Despacho de la Gobernariou de la Península. tribunal supremo decida el negocio. de los Lores: cuando las dos Cámaras no se hallen de acuerdo, es menester que una ú otra sean consultadas; y si la .opinión Dirección general de Presidios.=Excroo. Sr. : El visitador de los Comunes difiere de la de los L ores, la primera es la que general de presidios D. Manuel Montesinos me dice desde G ra­ debe prevalecer, según el voto d éla Constitución. Si la C ám a­ nada en 17 del actual , que en cum plim iento de prevenciones Se lee e…</t>
  </si>
  <si>
    <t>Presidios.zrExcmo</t>
  </si>
  <si>
    <t>…en las existen disponibles para los trabajos.=:Exc(no. Sr.i^Zenoa Asuero. audiencias públicas de los dos Sres. jueces. P a r te q u e s e cita en la a n te r io r co m u n ica ció n . ANUNCIOS OFICIALES. D irección general de Presidios.zrExcmo. S r .: D. M anuel PAR T E RECIBIDO EN L A SE C R E T AR IA DE ESTADO M ontesinos, visitador de los presidios situados en la costa de EN Vv irtu d de providencia del Sr. D. Ju a n José R odríguez aldeosera, caballero comendador de la Real orden am e­ Y DEL DESPACHO DE LA GOBERN…</t>
  </si>
  <si>
    <t>Presidíos</t>
  </si>
  <si>
    <t>…unstancias que exigen seme­ Y DEL DESPACHO DE L A GOBERNACION DE LA PE NINSULA. das por ellos. El gobernador Fairíield ha dirigido al cuerpo le­ jante medida , y examinaré si es necesaria una averiguación. Dirección general de Presidíos.= Excmo. Sr.=E n varios pe­ gislativo de M a in e, bajo la forma de m ensaje, un documento Se pretende que la mocion que presento es un atentado á los riódicos de esta capital se ha dicho que de la cuerda de rema­ muy extenso y enfático. Iíabla con desden de las miras mani­ derechos de la…</t>
  </si>
  <si>
    <t>Preádeate</t>
  </si>
  <si>
    <t>…legislador al otro los 'pro-, ém ya por SL M ; y cendaida b lectura', anunció soauira- tos. que «dMufon, y que considerando este articulo corno una yertos de ley que hu.lb.kse aprobado, su Presidente I® pondrá en i UMBote el Sr. Preádeate qoe qoednbou pm-bticodks como leyes en Ser penal, porque efectivamente al Senador o Diputado que noticia del Ministerio por. medio de-no oficio. el Congreso, y » erchiroeiop. admite cualquiera gracia d cnndecnracinn del Gobierno , se le Art,. «6,5,» Si uno de los dos cuerpos coilegísliti…</t>
  </si>
  <si>
    <t>Preúdente</t>
  </si>
  <si>
    <t>…tial dislá del pue­ Este convenio tampoco tiene artículo secreto ni adicional. y á batir el orgullo de los vándalos. En las tropas que manda, blo 6 6 0 0 v a r a s , y en el dia de hoy llegan los carruajes direc­ Tales son, Sr. Preúdente, las estipulaciones que el Congre­ y en las que componen la brigada del Sr. comandante general, tamente hasta la puerta del edificio de baños , mediante el có­ so va á e x am in a r, y que si merecen su aprobación , pondrán modelo todas de subordinación y disciplina , se percibe el en tu­…</t>
  </si>
  <si>
    <t>Priegne</t>
  </si>
  <si>
    <t>…ga.z=Juan A n to ­ 8.° Sinfonía patriótica , del maestro D. Ramón Carnicer. nio del Adalid.r:Andrés de Torres Moreno.—Mateo de Hernan- 9.° La Jota aragonesa , baile nacional ejecutado por las se­ dez.~José Rui Suarez —El conde de Priegne.—José María V i - Obras que se hallan de venta en el despacho y almacén ñoras A n d u ja r , Molina , Ruiz y M aladem , y por los señores lela.=:Antonio Deus.~Antonio García.—Gerónimo V idal.nP e- de la Imprenta Nacional. G arcía, A g u irre , Rodríguez y Caballero. dro Perez Tapia. Los inte…</t>
  </si>
  <si>
    <t>Prieto</t>
  </si>
  <si>
    <t>…mos de propiedad á la clase presidente el general Rosas; en Montevideo el general Riveraj; la orden de marchar al A lfica , formando cuatro compañías de mayores contribuyentes, han llegado á saber que la dipu­ en Chile el general Prieto; en Bolivia el general Velasco; en el con la fuerza de 150 hombres cada una. Todavía quedarán en tación provincial elevó á Y . M. una reverente manifestación Perú el general Gamarra. Yincennes dos compañías que servirán de modelo para organi­ de los sentimientos de lealtad y respeto que anima…</t>
  </si>
  <si>
    <t>Prieto, José</t>
  </si>
  <si>
    <t>José Prieto</t>
  </si>
  <si>
    <t>…e la glo­ neti , D. Pedro Marin y D. Domingo Celada , á quienes seña­ pasen general, y particularmente el referido capitán Montal— ló los puntos que debían ocupar, quedándose el comandante vo; el teniente graduado de capitán D. José Prieto ; el de igual ria aMuchos solo el nombre de Aquiies. Nalda con la primera columna y 54 caballos á las órdenes de clase D. Manuel Ipola ; el teniente de infantería ayudante del siglos, diversas creencias, revoluciones m uy su capitán D. Pedro Guerra Santoya. provincial de Ecija D. José…</t>
  </si>
  <si>
    <t>Prim, José</t>
  </si>
  <si>
    <t>José Prim</t>
  </si>
  <si>
    <t>…núm . 5 9 ,9 0 1 , rectam ente de arriba. adm itiendo la dim isión que del m ioisterio de M arin a h a­ por rs. vellón 6 94 9 mrs., á favor de D. A ntonio y Doña Do­ A un lado de la gaieríadnterior^hay una serie de 23 ga­ ce D. José Prim o de P av era, y nombrando para que lo des­ lores A rq u ero : otra lám ina de deuda sin Ínteres, em itida con el binetes para las pinturas p e q u e ñ as; y al otro lado corre empeñe iateriaam en te al M inistro de la G uerra. (N ú m e ­ número 2 2 ,0 5 1 , por rs. vn. 7 2 , á favor de D…</t>
  </si>
  <si>
    <t>…nte y con solo considerar su objeto, que go al gefe de escuadra, Senador por la provincia de Cá­ des que nos apuran es el de hacer efectivo y libre el principio su autor, dotado de vastos conocimientos, tanto en las cien­ diz, D. José Prim o de Rivera. Tendréislo entendido, y de la representación popular. cias naturales, como en las morales y políticas, se ha pro­ dispondréis lo necesario á su cumplimiento.=Está rubri­ Es preciso que este debate termine de una ú otra manera: puesto, por un sentimiento de humanidad y de verda…</t>
  </si>
  <si>
    <t>Primer</t>
  </si>
  <si>
    <t>…su Real nombre á Las cuestiones propuestas por Mr. Árago y sus resultados portante salud. los oficiales citados y tropa de su mando que ha concurrido á son los siguientes: este encuentro; y ha mandado animismo que el comandante Primer;». Multiplicar 7829654 por 8643597: producto general de Guadálajara los proponga con arregló á reglamento 67.676200953498. . , PARTES RECIBIDOS EN LA SECRETARIA DE ESTADO para las recompensas qué crea de justicia. 2.a Extraer la raiz 17 de 221851 1 i 06740436992: solu- Y DEL DESPACHO DE LA…</t>
  </si>
  <si>
    <t>Primera, Reven.</t>
  </si>
  <si>
    <t>Reven. Primera</t>
  </si>
  <si>
    <t>…er. da , M eslin, idem. que debemos á un nombre augusto, nos obliga á rectifi­ Cuarta división en L il a : el teniente general B u g e a u d ; gefe carlos, prévia la correspondiente autorización. de estado m a y o r, el coronel Reven. Primera b r ig a d a , de L a s - En el año pasado de 18 38 hubo diferentes contesta­ Sabemos que el mariscal hereditario , conde de M un ster, c o u r t ; segunda brigada , de R u ro ig n y . ha rehusado tomar parte en los trabajos del Consejo de Estado, ciones entre el Ministerio de la G…</t>
  </si>
  <si>
    <t>Primera, Yiterne.</t>
  </si>
  <si>
    <t>Yiterne. Primera</t>
  </si>
  <si>
    <t>…á causa de su avanzada edad y el estado de su salud. general L a la in g d ’ A udenarde; gefe de estado m a y o r , el tenien­ (G a cette d e H an novre.) como innecesaria la oficina del parte; y no habiendo Ha­ te coronel de Yiterne. Primera b rig a d a : G uiler , mariscal de campo; segunda b rig a d a , B lan q uefo rt, idem. bido al principio una completa conformidad entre ambos D ivisión de dragones en Sedan : el teniente general de L a - Ministerios, se comunicó por el de Estado al oficial mayor Escriben de M un…</t>
  </si>
  <si>
    <t>PRIMERO, ARTICULO</t>
  </si>
  <si>
    <t>ARTICULO PRIMERO</t>
  </si>
  <si>
    <t>…fondo, admitió formas diíérentes. T r a ­ tiempo protege los convoyes que vienen de esta pate. En Gine- tábanse en ei púlpito las materias políticas, porque el cris­ brosa hay otra brigada perteneciente á la divisiou del general ARTICULO PRIMERO. tianismo habia sido en los siglos anteriores un poder po­ León , que también se ocupa en fortificar aquel pueblo. lítico. Pronunciábanse en aquel lugar sagrado elogios f ú ­ Aqui se establece el hospital general para los enfermos de Consideraremos en este artículo la elocuencia de…</t>
  </si>
  <si>
    <t>PRIMERO, IA</t>
  </si>
  <si>
    <t>IA PRIMERO</t>
  </si>
  <si>
    <t>…de hoy , que tenemos á la vista, nos dicen lo siguiente: en nombre del Señor, la práctica de las virtudes. Continúa la deserción carlista. Todos los dias van llegando Para ese son las censuras y los ludibrios de los que poseen D IA PRIMERO. facciosos á este punto, y lo verifican igualmente en todos, en ó creen poseer la prudencia del siglo. donde se hallan nuestras tropas. Los sentimientos cristianos son de dos clases en cuan­ Se dará principio á ios exámenes por un discurso que pro­ Un arriero llegado á este cuartel gener…</t>
  </si>
  <si>
    <t>Primo, Rafael</t>
  </si>
  <si>
    <t>Rafael Primo</t>
  </si>
  <si>
    <t>…lanceros mandada por el alférez D. Federico Berriz, que rido. y el impasible de la ley* he venido en publicar él siguiente se hallaba avanzada con las guerrillas , fueron destinadas tres Estado mayor.=El capitán de caballería D. Rafael Primo bando. 0 mitades del mismo cuerpo á las órdenes del coronel capitán Don de R ibera, herido. Art. i.° La capital queda declarada en estado de sitio por Rafael León N avarrete, quien tuvo la pérdida de un caballo Segundo batallón de la Reina, 2.° de línea. = El capitán el tiempo que exi…</t>
  </si>
  <si>
    <t>PRIMODERIVERA</t>
  </si>
  <si>
    <t>…tomado ya medidas para que los restos de la legión sean trata­ de R iv e r a .—José de Isla Fernandez. Otra de las razones que nos obligan á reforzar la caballe­ dos como los militares que formaron parte de ella y que han El Sr. P R I M O D E R I V E R A la apoyó brevemente, m a n i ­ ría consiste en el aumento que está recibiendo la del Preten­ vuelto á Francia. Añadiré que hace dos meses les he hecho su­ festando que esta proposición se fundaba en un Real decreto de diente, pues á los arbitrios que comunmente emplea para…</t>
  </si>
  <si>
    <t>Prince</t>
  </si>
  <si>
    <t>…nte. plina , que es admirable. Igualmente está dispuesta la sociedad á conceder otro a c - Mr. O’Connelh Los periódicos conservadores han a n u n ­ Nuestro gobernador T rillo , segundo gefe de la provincia, ciado que el coronel Prince habia hecho matar á sangre fria c e s i t , que consistirá en un título impreso ó litografiado, á los que tenemos en esta hace algunos d ia s , trabaja incesantemente niños y niñas que, siendo acreedores al premio, no puedan en el Canadá á cuatro individuos que habian sufrido una la r ­ en…</t>
  </si>
  <si>
    <t>Principado, Pedro Ontiveros.</t>
  </si>
  <si>
    <t>Pedro Ontiveros. Principado</t>
  </si>
  <si>
    <t>…ificación de Caserras, 500. Fortificación de la derecha de Búrgos. z=D. Gaspar de Ondovilla. Entre las muchas avenidas que de los diferentes puntos del la sierra V iu re, 1,200. Porreig ó Viver, 1,200. Columna para Cáceres.= D. Pedro Ontiveros. Principado conducen á la plaza de Berga, son las mas practica­ asegurar la comunicación de Balsareny á Caserras, 10 . Iuem Cádiz.zzEl reemplazo del Sr. D. José Primo de Rivera. bles por el E. la de Ripoll, por el S. las de Vich y Manresa, de Caserras á Berga, 13. Para reforzar la c…</t>
  </si>
  <si>
    <t>PRINCIPE, Carlos. Por F. M. E.</t>
  </si>
  <si>
    <t>Carlos. Por F. M. E. PRINCIPE</t>
  </si>
  <si>
    <t>…erra y ocupa las fortificaciones de la provincia , com­ pondrán aproximativamente el número de 63 hombres. Y SOBRE LAS PRIM ERAS CAMPAÑAS DE NAVARRA. Extractadas de las que escribió un oficial ingles al servicio TEATROS. de D. Carlos. Por F. M. E. PRINCIPE. A las ocho de la noche. Después de una bri­ BOLETIN DE COMERCIO. Desde el 1 .° del próximo Mayo 6alen á luz estas memo­ llante sinfonía se ejecutará la comedia nueva, en dos actos, rias;,' extractadas de las que escribió en inglés un oficial aven­ del célebre Scri…</t>
  </si>
  <si>
    <t>PRINCIPE, EL</t>
  </si>
  <si>
    <t>EL PRINCIPE</t>
  </si>
  <si>
    <t>…de procurador con poder bastante á ex­ Y^ORRIDAS de toros, sus ventajas y desventajas: obrita es- poner en los referidos autos lo que á su derecho convenga 5 con ^ crita por el erudito y discreto señor conde de Salazar, V ID A D EL PRINCIPE T A L L E Y R A N D , apercibimiento que pasado dicho término en su ausencia y re­ ministro que ha sido muchos años de M a rin a , dedicada al cé­ beldía se sustanciarán los autos en los estrados del trib u n al, y lebre lidiador señor Pedro Romero , maestro director de la es­ enlazad…</t>
  </si>
  <si>
    <t>PRINCIPE, José</t>
  </si>
  <si>
    <t>José PRINCIPE</t>
  </si>
  <si>
    <t>…es: D. Antonio María M iranda, id.: D. Juan Oui- roga y Porras, id.: D. Salvador María Q u irog a,id .: D. José Cotización del dia 16 á las tres die ta tarde • * TEATROS. ^ Pardo San Cibrian, id.: D. José Gajoso Pombal, id.: D. José PRINCIPE. A las siete de la noche. Se pondrá en escena Pardoi y Luac»s, id.: D. José Soto Alvarez, letrado: D. R a- EFECTOS PÚBLICOS. la acreditada y graciosa comedia en tres actos, titulada mon Neira Montenegro, propietario. Inscripciones en el gran libro á 5 por 100 , 00. MARIDO JOVEN Y MUG…</t>
  </si>
  <si>
    <t>Procuraré, López.</t>
  </si>
  <si>
    <t>López. Procuraré</t>
  </si>
  <si>
    <t>…os que se le achacaban, orden, a lo que el Sr. Mioistro de Gracia y Justicia dijo ayer, ca. Y añade que se habían presentado á indulto en esta plaza puesto que la comisión no encontraba en el acta cosa alguoa respondiendo al Sr. López. Procuraré hacerlo con 1» tempW** el secretario Manuel Velazquez y 16 individuos mas de la par­ que pudiese decirse contraria á lo prevenido en la ley electoral. y moderación con que creo debe hablarse siempre enceste lu­ tida de Gervasio Serrano. El Sr. G O N Z A L E Z manifiesta que nunca…</t>
  </si>
  <si>
    <t>Proust, Luis</t>
  </si>
  <si>
    <t>Luis Proust</t>
  </si>
  <si>
    <t>…147.. • 400. ............ Algeciras. Anales de Historia natural, redactados de orden superior nez de la Rosa : la aparición del mozo Venegas también 6 ,8 4 1 .... 400 .............. Madrid. por los Sres. D. Christiano Herrgen, D. Luis Proust, D. Do­ excita vivamente la atención, y presagia mas extraños 1 ,0 5 6 .... 4 0 0 . . . . . . . Barcelona. mingo Fernandez y D. Antonio José Cabanilles, adornados de lances y aventuras. 8 ,8 5 8 .... 4OO.............. Zaragoza. muchas y preciosas láminas que facilitan la inteligencia de…</t>
  </si>
  <si>
    <t>PROVINCIALES, DE RENTAS</t>
  </si>
  <si>
    <t>DE RENTAS PROVINCIALES</t>
  </si>
  <si>
    <t>…e, y el aumento ó disminución experimentados pero alcanzada su retaguardia por el comandante general de la en cada renta y ramo en cada provincia. sierra , quien rescató na oficial prisionero y le cogió varios DIRECCION GENERAL DE RENTAS PROVINCIALES. 4.a Para proceder con la severidad que requiere la efectos, se vió precisado á abandonar sus guaridas, y dirigirse Tercera sección.— - Circular. menor omisión en este punto, los Sres. intendentes darán hacia el Burgo de Osma por Vadillo, contiuuando nuestias aviso circunsta…</t>
  </si>
  <si>
    <t>…da división del ejército del Centro, y proponiéndome yo presentarlo en la junta que se cele­ desdeEnCortes el día con fecha 25 del actual me dice lo siguiente: de hoy han recibido siete batallones enemigos á DIRECCION GENERAL DE RENTAS PROVINCIALES. bra todos los meses bajo la presidencia del Excmo. Señor ministro de Hacienda, creo inútil hacer áV.S. otra indica­ las órdenes del famoso Cabrera una buena lección, de cuyos Sección central.—Circular. ción que la de quedar muy lisonjeado con la idea de que resultados daré…</t>
  </si>
  <si>
    <t>Prusia</t>
  </si>
  <si>
    <t>…stantinopla, pero que la Inglaterra consentirá MBMa—w— «mdnwiJr. un mm«Btaihwiiwm mwni irn ■m■maaftBBgg Barón de S t u r m e r , internuncio de Austria* en ello-difícilmente , y el Austria jamás. Conde Kaenigsmark , ministro de Prusia* Barón R o ussiu, embajador de Francia. NOTICIAS EXTRANGERAS» Boutenieff, ministro de Puusia. F R A N C IA . EGIPTO. C ircular d e M eh em et-A lí d los bájüeb. Bayona 4 d e Setiembre. A lejandría 6 d e A gostó . El C a p u -K ia ja ha entregado al v ire y una carta de K o s- M ehem et…</t>
  </si>
  <si>
    <t>Présidéhte</t>
  </si>
  <si>
    <t>…io^ y Dórf . Lfadpfis. 8t..deyJFfbrfir#r . •. v • ; Mtitíás LópezMÍI Frías;, quienes por unanimidad declararon np tos territorios han pertenecido á la Bélgica. C oncluida la dom i­ habéFlugar á ’ lfi formación dé cáusá ; y el Sr. Présidéhte públir Fondó$'''púhltcds. \"¿ioíi'sbliládoV 4é|qa&gt; nda''ál&gt; cpeD ' nación francesa en estas com arcas, justo era que volviesen á la «ó W ^ o tac io b f.^ ád rid ig^ke-^Fébréró Ue 1859.: É spáñóles, deuda áctíyáV^ltf/cdu^cugotí./ _ ,f ' B élgica. Lord John Rusell ha sostenido que el R ey…</t>
  </si>
  <si>
    <t>Príncipe</t>
  </si>
  <si>
    <t>…Ocupó después la trib u n a el Sr. Cueto; y accediendo á la in ú 14 un coronel de los rebeldes que á la v u e lta fue escoltado por nuestros caballos. tumbrado insertar en la Guia de Forasteros, pues en ello v itaciou d tl Sr. Príncipe, que su plicó á los concurrentes se sir vienen hacer las observaciones que estimasen oportunas sobre I El 16 en la tarde llegó á C a m a rilla s el Sr. P a n ia g u a , del liaran un servicio agradable é interesante al publico. composición que acababa de leer, manifestó en un breve per ;st…</t>
  </si>
  <si>
    <t>Príncipe, Nemours. El</t>
  </si>
  <si>
    <t>Nemours. El Príncipe</t>
  </si>
  <si>
    <t>ha opinado que el príncipe habia fomentado la insurrección el buque A la mañana siguiente salió la escuadra para Galipolis, *3 íkgada de S. A, R. el duque de Nemours. El Príncipe se ha para desembarazarse del Senado. Según se dice ha abdicado el debido salir francés de vapor la halló alli el Í 5 , y en este dia ha apeado eu el palacio de la prefectura. (Id.) príncipe en favor de su hijo M ilán , y hasta la decisión de la de los Dardanelos. Puerta una c…</t>
  </si>
  <si>
    <t>Próspero</t>
  </si>
  <si>
    <t>…muchas nealogía de los Reyes de E sp a ñ a , considerados como este Mirón habían confundido los historiadores con otros veces cuestiones importantes que se trataban con el mayor si­ Soberanos independientes de su marca. Por D. Próspero príncipes del mismo nombre y parientes suyos, condes de gilo en el ministerio de Negocios extrangeros, se discutían y re­ de Bofaru 11 y Mascaró. Dos tomos en 8.° mayor. Barce­ Cerda ña y Besalú. solvían sin ninguna reserva en presencia de su ayuda de cá­ lona, 183G. 3.° Las victorias del…</t>
  </si>
  <si>
    <t>Ptamirez</t>
  </si>
  <si>
    <t>…taba del voluminoso expediente que se habia tenido á la como estos, podernos permitirnos semejante presunción; pero el dia que podría venir á hacerse cargo de esta interpelación. vista era que habia un procedimiento contra el Sr. Ptamirez sea a s i; es bien seguro que en el momento que se haga esa ma­ Yo no tendría inconveniente en dejar correr un término de Arellano sobre averiguar su conducta de ut: acto que como trícula de abogados y lleguen á ser conocidos los litigantes, an­ mayor si no se tratase de un asunto de tanto…</t>
  </si>
  <si>
    <t>Ptxa</t>
  </si>
  <si>
    <t>…en Acá jete, Mayo 5 de 1859..= teme por su vida. Los médicos desconfían de su salvación, y ma de ílon»es 2.69í,394..68 sacad* de 1* 2 722,698 .9 8 , pro­ ducto total de las reatas de aquel año. Hablaré drteuidam iote Juan de D. Ptxa. habieudo declaiado por unanimidad que lo masque puede vi­ de estas útiles instituciones, y en e*pecial de la que he visitado. vir serán tres semanas. La enfermedad del Sultán es una ti ais Ministerio de Guerra y M arina.nD ivision de operaci»nes.= cou el carácter de los toas graves. Se dice…</t>
  </si>
  <si>
    <t>PUBLICA</t>
  </si>
  <si>
    <t>…, porque niero logro llenar la cavidad y dejarla al parecer perfectamen^j te se gu ra; pero siendo el terreno sobre la roca de una n a tu ra ­ Dor°la°7r&lt;&gt; ^00 años, y hubiera durado otro tanto ESTABLECIMIENTOS DE UT IL I D A D PUBLICA. leza desmenuzable , el peso del a g u a , en una marea extraordi­ do! d l , ° “ ^ UD° nueLV0&gt;cuyos ojos fueran mas a d a p ta - n aria que^ ocurrió en 26 de Enero de 1 8 0 8 , hizo reventar el rio S o cied a d p a r a p r o p a g a r y m ejo ra r la ed u ca ció n d e l pueblo. n o ! dp ^nn…</t>
  </si>
  <si>
    <t>PUBLICOS, Juan EFECTOS</t>
  </si>
  <si>
    <t>Juan EFECTOS PUBLICOS</t>
  </si>
  <si>
    <t>…tares que haw llegado á esta ciudad después de haber teni­ Sánchez Ocaña, D. Antonio M altrana, D. Ezequiel Martin y do parte en ella , la cuentan coino un hecho glorioso de armase Alonso, D. Manuel Regidor, D. Manuel Bretón, D. Juan EFECTOS PUBLICOS. mis conocimientos de la localidad y medios con que se ha con­ Miguel Inclan y D. Juan R u iz, quienes por unanimidad de­ seguido me la hacen ver del mismo modo; y la insignificante clararon haber lugar ¿ la formación de causa. Madrid 25 de Inscripciones en el gran libro á 5…</t>
  </si>
  <si>
    <t>Puche</t>
  </si>
  <si>
    <t>…ue las ha explicado sa­ La cuestión pues consiste en saber si esta mitad que se ha dome asistir al Congreso, y obligándome d salir de Madrid. de abonar y se destinó entonces á la contribución extraordina­ tisfactoriamente el Sr. Puche; pero no puedo menos de hacer En este estado se cerraron las Cortes; pero vueltas á a b r ir , creí ria de guerra, ha de ser abonable á los propietarios ó á los a r ­ una observación al Congreso; y es que asi , en los término, que de mi obligación llenar el deber que habia contraido conmigo re…</t>
  </si>
  <si>
    <t>…e las NAVAS (desde la tribuna) después de cosa, respecto á las expresiones que hayan podido usarse en la Hollantes. empezar diciendo que hacia tiempo que habia pensado ea esta comunicación hecha al Gobierno, lo siguiente; El Sr. Puche, con El Sr. CALDERON COLLANTES : La cedo al Sr. Mon. interpelación porque ella encerraba un principio de justicia, y arreglo al reglamento, hizo en 2 i de Enero esta interpelación El Sr. M ON: El Congreso habrá notado la impaciencia se proponia evitar otro de injusticia , grave, gravísimo y d…</t>
  </si>
  <si>
    <t>…ni­ d icial. • ✓ mas de 500 millones. Que no ha podido menos de extrañar lo zar un establecimiento que dé confianza á los acreedores de que El Sr. Gómez Acebo rectificó varias equivocaciones com eti­ que ha m anifestado el Sr. Puche acerca del estado de las rentas las cantidades que en él se depositen han de ser sagradas, y das por el Sr. Mon. en Ñ ipóles y P o rtu g a l, pues cree no es comparable el estado que ni por la atención mas urgente podrá tocarse á ellas. El Sr. M inistro de la G O BE RN A CIO N : Yo tam bién…</t>
  </si>
  <si>
    <t>craJar., lo considera injusto , n o , ni lo puede mirar de ninguna han hecho. Que la mayoría de la comiáíon al ver el expediente ner el Gobierno dificultad en decirlo, para que la nación sepa manera «como io ha mirado el Sr. Puche, porque hablando con por el cual habia concluido el término de la contrata , crevd que el Gobierno tiene toda la energía debida para hacerse res­ la verdad con que aqui debemos h ab la r, yo diré que por aho­ indispensable que o bien se prorogase o rescindiese ; pero que petar. r a no estam…</t>
  </si>
  <si>
    <t>PUCHE</t>
  </si>
  <si>
    <t>…as • poyaba et artículo conforme está aprobado por el Congreso. porque el reglamento me !o prohíbe. habiendo tenido el honor hace 17 años, cuando contaba 28, de El Sr. G O N Z A L E Z , oponiéndose al proyecto por creerlo El Sr. P U C H E , haciendo aclaraciones, dijo que su ánimo ocupar un asiento en estos escaños. Sin em bargo, al pedir la impolítico y a iit ¡económico , dijo que la razón de po’ítica por no habia sido hacer inculpación alguna á la mesa. palabra no ha sido mi ánimo entrar en la cuestión legal, ni que le im…</t>
  </si>
  <si>
    <t>PUCHE, Alcántara El Sr.</t>
  </si>
  <si>
    <t>Alcántara El Sr. PUCHE</t>
  </si>
  <si>
    <t>…iría en el posición de las respectivas autoridades militares, y en demos­ Habiendo obtenido la palabra , dijo d ia r io , y pasaría á las secciones para el nombramiento de la trar detenidamente no ser cierto lo dicho por el Sr. Alcántara El Sr. PUCHE: El Sr. Ministro del Despacho de Hacienda comisión respectiva. Navarro de que Cabrera no cambiaba de conducta por las re­ ha publicado una disposición en la Gaceta de ayer para llevar . Continuando la discusión in terrum pida, pide la palabra presalias, pues en un periódico…</t>
  </si>
  <si>
    <t>Puchhaeen</t>
  </si>
  <si>
    <t>…B R É H A T , D E P A R T A M E N T O g e , asi como nuevos pensamientos á los poetas; pues vemos en El archiduque Maximiliano , que viaja con el nombre de todos los idiomas una diferencia tan notable en el dialecto de conde de Puchhaeen,y el Pcíocipe de Módena bajo el de con­ D E LAS COSTAS D E L N O R T E . la poesía con respecto al de la prosa. Veamos pues si podemos de de Villafranca, han llegado á Francfort el 29 de vuel- hallar algún principio filosófico que explique este fenómeno ge­ de su viaje á Holanda. (Temps.)…</t>
  </si>
  <si>
    <t>Puebla</t>
  </si>
  <si>
    <t>…uales . 500 Dios &amp;c. Molcajeque Mayo 16 de 1859 = Anastasio T orre- acaban de esculpirse, la una eu latín y la otra en francés. El A lbum ............................................... 500 jon.zrSxcmo. Sr. comandante general de Puebla.—Son copias .=3 La Siempre viva.................................... 600 Méjico Mayo 18 de 1859.= J . Velazquez de León. A PRESEIYCrA D E L REY La Cartera Cubana............................... 600 LU IS F E L I P E T, ES T E OBELISCO, El Plantel.............................................…</t>
  </si>
  <si>
    <t>…meza en el momento del peligro: descansad después á la educación. Continuaba la discusión á la salida del correo. la sombra de vuestro* laureles. Mr. Spi ín g -R ice, canciller del Echiquier, ha presentado en Cuartel general de Puebla , Mayo 5 de l839.=Antonio Ló­ b Cámara de los Comunes el presupuesto. El orador se ha exten­ MA DR ID 1 5 DE J ULI O. pez de Santa-Anna. dido en varios pormenores acerca de U situaciou de las rentas, Ministerio de Guerra y Marina. =Ndinero 2.—Division de cuyo resultado no parece el mas favor…</t>
  </si>
  <si>
    <t>Puebla, D. Juan Rodríguez</t>
  </si>
  <si>
    <t>D. Juan Rodríguez Puebla</t>
  </si>
  <si>
    <t>…r y abrogar la con­ nes al Excmo. Sr. D. Manuel Gómez Pedraza , y para el de lo presentan y pertenecen á todas las clases y á todas las profesio­ vención de 6 de Setiembre de 1827 , por la cual la compañía Interior al Excmo. Sr. D. Juan Rodríguez Puebla, quienes aca­ nes, y asi confío que en todas las cuestiones que se sometan á de la bahía de Hudson ha establecido, en virtud del permiso ban de prestar el juramento de estilo. vuestro examen y deliberación, procederéis . con la atención, y de acuerdo con el Gobierno in gle…</t>
  </si>
  <si>
    <t>Puente, Casa</t>
  </si>
  <si>
    <t>Casa Puente</t>
  </si>
  <si>
    <t>…tor ofrecer una lección útil acerca de las bella­ Marques de Espeja .. ........................... Salamanca. CRUZ. A las ocho y media de la noche. Se pondrá en es­ querías y manejos de ciertas gentes, de ningún modo se Conde de Casa Puente..................................... .. Santander. cena la grande ópera seria en dos actos, música del maestro llega mas derechamente a este fin que presentando las co­ D. Ignacio de la Pezuela.......................... Segovia. Paccini , que hace ya ocho años no se ejecuta, y que siemp…</t>
  </si>
  <si>
    <t>Puente, Luis García</t>
  </si>
  <si>
    <t>Luis García Puente</t>
  </si>
  <si>
    <t>…rcito, y leyéndose por tres dias consecutivos al frente de los A rt. 2.° Los empleados en la judicatura y en la adm inis­ se empeña una acalorada discusión , en la qué se dirigen á los batallones. Tendréislo entendido &amp;c.:=A D. Luis García Puente. tración que hayan gozado de los beneficios de la disposición qu&lt; ministros expresiones poco parlam entarias, se hacen interpela­ 4*° Es mi soberana voluntad quede suprim ida la ju n ta precede, gozarán las dos terceras partes del sueldo que en lí ciones violentas, y mas de una v…</t>
  </si>
  <si>
    <t>Puentes, Gervasio</t>
  </si>
  <si>
    <t>Gervasio Puentes</t>
  </si>
  <si>
    <t>….......... 5 aproximación anterior será el 22000; y si este obtuviese igual Id. D. Manuel García ........................... 5 premio, la posterior será el 1 . Los Sres. generales, gefes, oficiales y cuerpos de la isla de Id. D. Gervasio Puentes............................................... 5 Los 22^ billetes estarán subdivididos en la clase de cuartos, Cuba han contribuido en la primer remesa con i8 i9 pesos Id. D¿ Leonardo Moral.................. 8 á diez reales cada uno de ellos, los que se despacharán en las y 6 rs. 9…</t>
  </si>
  <si>
    <t>Pues, Ochoa.</t>
  </si>
  <si>
    <t>Ochoa. Pues</t>
  </si>
  <si>
    <t>…inistro de H a­ un modo satisfactorios el Sr. M inistro de Estado. V o y ahora circunstancias: no ha de ser todo, señores, culpa del Gobierno. cienda presentarse atenciones indispensables , quiero satisfacer á á contestar al Sr. Ochoa. Pues q u é , los empleados, y menos aun el Gobierno, apurado dos especies contenidas en el discurso de ayer del Sr. González. S. S. ha dirigido con tal mesura su discurso, que yo no se­ por mil u rgen cias, ¿te n d r á n Ínteres en no cobrar las contri­ Dijo S. S. hablando de hacienda , que…</t>
  </si>
  <si>
    <t>Puesto, Frias.</t>
  </si>
  <si>
    <t>Frias. Puesto</t>
  </si>
  <si>
    <t>…l Sr. P R E SID E N T E : Propongo a! Senado que se pregun­ activen los trabajos necesarios para la formación de ellas. terreño, duque de Zaragoza, marques viudo de Pontejos y los te si se aprueba la proposición del Sr. duque de Frias. Puesto á votación el párrafo 1 0 , fue aprobado. Sres. secretarios conde de V igo y D . D iego Medrano. Hecha la pregunta se aprobó por unanimidad. Se leyó el párrafo 11 y una adición del Sr. Medrano , re­ El Sr. P R E S ID E N T E dijo que conforme á la anterior re­ ducida á que en los pro…</t>
  </si>
  <si>
    <t>Puidullés, José</t>
  </si>
  <si>
    <t>José Puidullés</t>
  </si>
  <si>
    <t>…ón del 11 de esté més se leyó eii el Congreso el liberar. t* &gt;dictdm en siguiente. Real orden prohibiendo la introducción del extrangero de va­ L a comisión de Gobierno interior del Congreso, convenci- 51. D . Joaquín Gómez y D. José Puidullés, gefes políti* rios Artefactos. (Núm. 14 76.)</t>
  </si>
  <si>
    <t>Puig</t>
  </si>
  <si>
    <t>…y los saduceos materialistas y carnales? No en va­ hasta después de comer. ” mia en su seno á las,señoritas de Ezpeleta y Quiroga , á las no decia ya nuestro divino maestro Jesucristo: «Habéis Sras. de Vega y Montenegro, al Sr. Puig , y á todas las nota­ oido decir que se ha enseñado á vuestros pasados: tendrás {D. G il de las calzas verdes.) bilidades filarmónicas de Madrid. En fin, tanto el instituto de odio á tus enemigos í£c.... Después de esta vida los hom­ que hablamos como el Liceo artístico y literario , han veni…</t>
  </si>
  <si>
    <t>Puigdoller, Bartolomé</t>
  </si>
  <si>
    <t>Bartolomé Puigdoller</t>
  </si>
  <si>
    <t>…. José Saturnino Blanco................. 1 602 53000 Id. D. Martiniano Gómez, capellán del castillo El escribano de número D. Bartolomé N uñez.. . . 4 de Atarás .......................................................... 1 Id. D. Bartolomé Puigdoller....................................... 4 Caso de salir premiado el número 1 con los 8000 ps. fs ., la La R. madre abadesa de Sta. Clara y su comunidad. 17 Id. D. Jesualdo Gayá.................................................... 5 aproximación anterior será el 22000; y si este ob…</t>
  </si>
  <si>
    <t>Pujol, Juana</t>
  </si>
  <si>
    <t>Juana Pujol</t>
  </si>
  <si>
    <t>…on caracteres bel ir y las libertades de la nación, ha cabido en suerte con el A Boabdil, último Rey moro de Granada: fragmento. castellanos para que entendidá sü pronunciación por todos, primer extracto de la de este dia á Doña Juana Pujol, hija Crónica : caja de ahorros. . puedan cantarse también las odas originales por cualquier afi­ de D. Ju an , comandante de infantería , muerto en el campo Concierto á beneficio de la casa de expósitos. » cionado. . ; Sigue abierta la suscripción al Semanario en Madrid en la Este libr…</t>
  </si>
  <si>
    <t>Pulina, Magin</t>
  </si>
  <si>
    <t>Magin Pulina</t>
  </si>
  <si>
    <t>…dia en por el juez de primera instancia de Cervera de Rio Pisuerga, sentantes. Aunque temeroso de mi insuficiencia, yo procuraré el puuto de Puñan, quedando el campo por el ejército unido el comandante de armas de aquel punto D. Magin Pulina, corresponder con uoa conducta digna de la magestad de la R e­ restaurador á las cuatro de la tarde: que nuestros bravos bus­ y subteniente del destacamento D. Andrés Velasco, en la cap­ pública y digna de mi reputación. Serviré con patriotismo, ce­ caron al enemigo en sus inexpugnables…</t>
  </si>
  <si>
    <t>Pulina, Magín</t>
  </si>
  <si>
    <t>Magín Pulina</t>
  </si>
  <si>
    <t>…trágico, en cuatro actos, del maes­ dos á incorporarse con los ejércitos en caso de guerra, Valencia 8 de Mayo, El comandante de armas de Cervera tro Donizetti, titulado prestaron señalados servicios a la España en sus guerras D. Magín Pulina se dirigió la noche del 5 de este mes al pue­ BELISARI0. contra los portugueses. A despecho de unos convenios tan blo de Resova con el objeto de sorprender al fraile Murguia, sagrados, los déspotas de la Europa no tuvieron el menor que se hallaba oculto en el expresado pueblo de Resova…</t>
  </si>
  <si>
    <t>PUN</t>
  </si>
  <si>
    <t>…ción a c tu a l, es d e c ir , cuando se trata del aumento de 6 3 ca­ y 14- para hacer efectivo el d escubierto, cual lo demuestra e f a r t íc u - ballos an u ales, que no pueden conseguirse por otro medio. Des­ El Sr. conde de PUN O N RO STRO expresó que deseaba sa­ lo 4 ° del p royecto, en el cual se designan las facultades de lá de luego este sistema tiene todas las condiciones opuestas al de ber si el Gobierno consideraba montados á los geuera’es y b ri­ comisión m andada crear por el art. 2.° eu cada cap ital de pro­…</t>
  </si>
  <si>
    <t>Purgold</t>
  </si>
  <si>
    <t>…caminaba á un abismo, y cuando para neral segundo cabú, que en la noche del 15 del actual mandó servicio y decidida por la causa de la libertad , ha sido gene­ Rapárselo entender se unían á la misma oposición. No cierta­ al barón Purgold, comandante del batallón del Infante , que ralmente sentida, y el dolor que ha producido su m archa, ú n i­ mente. Entonces se les llamaba disidentes; ¿se atrevería hoy con la fuerza de este, la* compañía* de cazadora» de Castilla camente puede hacerse mas llevadero con la esperanza de que n…</t>
  </si>
  <si>
    <t>Purroy</t>
  </si>
  <si>
    <t>…egros, y en fin en la notoriedad de la in ju s­ obsequiarlas, al que han asistido todas las notabilidades d¿:l á proporcionarlos, trabaja hoy sin descanso por completar la ticia cometida con los presos ; todo lo cual probó el Sr. Purroy pais y los extrangeros de mas categoría. El domingo último se obra grande de la p a z , sobre el principio vital de la reconci­ de un modo tan claro como la luz del d i a , y sin que nos deja­ ha celebrado en el teatro nuevo un baile de máscaras, porque liación consignado en el célebre conv…</t>
  </si>
  <si>
    <t>Puusia</t>
  </si>
  <si>
    <t>…maaftBBgg Barón de S t u r m e r , internuncio de Austria* en ello-difícilmente , y el Austria jamás. Conde Kaenigsmark , ministro de Prusia* Barón R o ussiu, embajador de Francia. NOTICIAS EXTRANGERAS» Boutenieff, ministro de Puusia. F R A N C IA . EGIPTO. C ircular d e M eh em et-A lí d los bájüeb. Bayona 4 d e Setiembre. A lejandría 6 d e A gostó . El C a p u -K ia ja ha entregado al v ire y una carta de K o s- M ehem et-A lí ha dirigido á los bajaes del imperio una c ir ­ D iscurso que d irig ió e l se ñ o r obis…</t>
  </si>
  <si>
    <t>Puy</t>
  </si>
  <si>
    <t>…se nos asegura, las causas que han influido en el do a' dos años de prisión e&gt; una fortaleza por haber fijado una cuentan los Estados-Unidos, el Brasil , el Portugal y la Cerdeña. ministerio para fijar su atención en el obispo de Puy, c o n s te n proclama sediciosa el d¡a del aniversario del nacimieuto del Rey, No falta mas que la ratificación á los tratados concluidos en que dicho prelado en un viaje que acaba de hacer á Roma ha obtenido por fin su indulto después de seis meses de prisión. entre la Francia y la Inglaterra.…</t>
  </si>
  <si>
    <t>Puñonrostro</t>
  </si>
  <si>
    <t>…, V ic e ­ ye cto , que discutido y m uy mejorado con las enmiendas y ob­ de A la n g e , marques de V ilu m a y Ochoa. servaciones que hicieron varios señores, quedó definitivamente 4.a Sres. Egea , Zarco del Valle , conde de Puñonrostro , P e- presidente T aran co n, Secretario marques de G u ad alcaz ar, V i ­ aprobado en estos términos: legrin , R am o n et, duque de R iv a s , E ntren a, Ileros, M ad rid cesecretario Perez. D áv ila y conde de Ezpeleta. I Para la comisión encargada de contestar ai discurso del tro­…</t>
  </si>
  <si>
    <t>…aya lugar. Se anunció que las secciones primera, segunda y quinta ha­ de caballos. bían graduado de muy oportuna la proposición presentada por Leídos el proyecto presentado por el Gobierno, el aproba­ los Sres. Ochoa , conde de Puñonrostro , Primo de Rivera, do por el Congreso y el dictámen de la comisión del Senado, I G N O R A N D O S E la habitación en esta plaza de Doña M e l- Isla Fernandez, sobre nombramiento de una comisión que pre­ proponiendo la aprobación del proyecto, según ha sido presen­ chora y D . Antonio…</t>
  </si>
  <si>
    <t>…la base de ope­ efectos de parque de ingenieros que se consideran necesarios para Navarra. = Marques de Montesa. raciones en C ervera, 15 horas de Berga, en un pais pobre y las operaciones del sitio de Berga. Orense. = Conde de Puñonrostro, y marques de Leis» muy distante del pais de recursos, teniendo ademas que atra­ Setenta y cinco mil sacos á tierra: 126 acémilas necesarias Oviedo. = Conde de Vigo. vesar la línea de operaciones por un terreno en parte cubierto para su conducción: 500 zapapicos: 15 idem: 250 picos de u…</t>
  </si>
  <si>
    <t>Puñorirostro</t>
  </si>
  <si>
    <t>…esa. drá por sucesor á lord Radnet. La tranquilidad de la Irlanda «D . Félix Torres A rnat, obispo de Astorga. se ve turbada con harta frécuencia por asesinatos. (Sun.) «D . Ramón M acia Lleopart. O rense. D. B urgos. «Conde de Puñorirostro. «M arques de V ilum a. «D . José Alvarez Pestaña. - Según una carta de Filadelfia sir John Colbóurne había «M arques de Falces. «M arques de Leis. fijado el 7 de Diciembre pará hacer rogativas generales á íiu «D . Gaspar Ondovilla. D. de im plorar el favor de la divina Providencia co…</t>
  </si>
  <si>
    <t>Pvech-</t>
  </si>
  <si>
    <t>…instrucciones, no habiendo obtenido satisfacción mismo, donde adm itirán las que se hagan siendo arregladas. La siguiente es la respuesta que el Rey dirig ió en el mismo suficiente de parte del Gobierno de Bélgica , el conde de Pvech- dia al Presidente del S to rth iu g : b erg , como igualmente su legación, salió de Bruselas el 6 de "Señores: La historia, que nos representa los dos pueblos de Febrero,, y ademas se ha declarado en nombre de S. M . al em­ jp O R providencia del tribunal supremo de Justicia de 1.° del la…</t>
  </si>
  <si>
    <t>Pvivas</t>
  </si>
  <si>
    <t>…, Gas­ y con el Gobierno, se leyó el dictamen de la comisión sobre la chos conforme á sus reglamentos, y á que ninguno de los dos par Moreno y Ruiz.izPor la clase de sargentos del escuadrón, enmienda propuesta por el Sr. duque de Pvivas al artículo 5.° cuerpos pueda invitar al otro á hacer una proposición ó peti­ Agustín G allardonPor la clase de cabos del escuadrón, Anto­ El Sr. marques de VALLG O RN ERA manifiesta que á su ción cualquiera ó dirigir un mensaje al trono. nio de Palma.“ Por la clase de soldados del escuadrón,…</t>
  </si>
  <si>
    <t>Pálmela</t>
  </si>
  <si>
    <t>…r sus regimientos contra ocuparon sus respectivos lugares según se designan en el artí­ confírme. ( E . de B.) Orfa y Diarbekir. culo 42 de la Constitución. Muchos son las reflexiones que naturalmente ocurren con El Sr. duque de Pálmela, Presidente de la Cámara de Se­ la lectura de estos documentos importantes. La victoria se ha nadores , ocupó el lugar de la presidencia; y estando ya presen­ Escriben de Argel el 15 de Julio: declarado por el virey: esta podría ser una razón de mas para tes los Sres. Ministros déla corona…</t>
  </si>
  <si>
    <t>Pára</t>
  </si>
  <si>
    <t>…stante de la futilidad del género de S c u ­ truyó el príncipe rebelde, y guarida habitual de los enemigos, llego , destacado con 14 caballos en Villatobas, noticioso de que fue seguido.por varias columnas, y la 5.a (comandante Pára­ d e r y , era nada menos que e n s e ñ a r á reinar. Ahitóse en él* andaban facciosos en las inmediaciones, salió con su fuerza y mo), aunque lo divisó muy de lejos, lo persiguió hasta la algunos Nacionales de infantería de Villatobas , y después de ademas de la excelente y variada elocución…</t>
  </si>
  <si>
    <t>Páramo</t>
  </si>
  <si>
    <t>…eneral en gofe el Excmo. Sr. capitán general del prin­ á aquel distrito. morales: que no se proponga el au tor ex p o n e r solo los vi­ cipado, establecer equi un asilo donde poderos recibir. S. M. La tercera columna (comandante Páramo) ha perseguido cios del siglo sin indicar el correctivo, sino que este sur ­ lo aprueba, pero con la calidad de provisional, porque quiere varios grupos de enemigos, rescatando personas y muías roba­ ta su efecto a los ojos del espectador, que le aleccione; y teneros en Madrid á su inmediació…</t>
  </si>
  <si>
    <t>…ra el que impetró de 3. M, Descuento de letras, á 6 por 100 al año. Véndese en el despacho de la Imprenta Nacional á 7 la cruz de Isabel ti en recompensa del servicio que contrajo. reales rústica. La tercera columna (comandante Páramo) participa que sa­ liendo de Urda en unión de la primera columna , encontró las En esta edición que ahora se anuncia se há añadido facciones reunidas en el sitio llamado de la Umbría , donde la Liceo artístico y literario. el form ulario á que deberán sujetarse los procesos que atacó, y de…</t>
  </si>
  <si>
    <t>…sa, se propone darle la muerte Cuando regresaba á esta ciudad el dia 8 del corriente, el i la Reina , notario público del colegio de dicha ciudad, certifi­ por 3ai va r su honor. Huye la in feliz, y busca asilo en casa comandante Páramo con la columna de su mando tuvo noticias co : Que ante el Sr. D. Felipe Alraec, alcalde tercero constitu­ del conde de O rgaz, al mismo tiempo que el R e y , pren­ se dirigía un gran convoy para los enemigos, el cual compuesto cional de esta capital, y por rni testimonio, se ha formado ex- d…</t>
  </si>
  <si>
    <t>Páramo, José</t>
  </si>
  <si>
    <t>José Páramo</t>
  </si>
  <si>
    <t>…Fígaro, de M o - ñado. Tendréislo entendido, y dispondréis lo con­ jeto, según noticias de sus confidentes, de atacar á la tercera zart. (Id.) veniente á su cumplimiento. = Está rubricado de la columna al mando del comandante D. José Páramo situado so­ Real mano. = Palacio 10 de Mayo de 1859. = A Don bre Villanueva de los Ojos; pero que recibido oportunamente Evaristo Perez de Castro, Presidente del Consejo este aviso, dió las órdenes convenientes para que incorporadas i de Ministros. dicha columna la primera y tercera marc…</t>
  </si>
  <si>
    <t>…armonía, y trabajando cada dose en Puerto Lápiche el 7 la tercera columna dirigida por D. M anuel D elgado, en representación de los escrito­ cual por su parte con el mayor ahinco para conseguirlo. El se­ supatria comandante D. José Páramo, compuesta de tiradores de la y 5.° ligero de caballería , tuvo aviso de que 50 caballos res dram áticos de esta co rte, ha acudido á S. M. la R eina ñor gefe político por sí mismo ha visto los raachos, ha visita­ G o b ern ad o ra haciendo presente q u e m uchos em presarios do los a…</t>
  </si>
  <si>
    <t>Pé, Evaristo</t>
  </si>
  <si>
    <t>Evaristo Pé</t>
  </si>
  <si>
    <t>…protegían. dispondréis su cu m p lim ien tos Está rubricado de la Real El fu ego se generalizaba y avivaba por momentos: eran S. M . en su vista ha resuelto se den las gracias al com an­ m ano.=Palacio á 18 de Mayo de 1839.^A D. Evaristo Pé­ estos los únicos para que los soldados de la Reina cogieran el dante é individuos de la citada columna. rez de Castro, Presidente del Consejo de Ministros. fruto de sus desvelos. D iv id í la infantería en dos m itades; y colocado á la cabeza de la caballería que marchaba por el cen­…</t>
  </si>
  <si>
    <t>…u m p lim ie n to s Está rubricado de la Real m ano.= mamente el cargo de embajador del Rey en Inglaterra. Tam po­ guerraque de queda en posesión de la Francia como trofeo de la Méjico. E n Palacio á 20 de Agosto de 1839.= A D. Evaristo Pé­ co se ignora la parte tan activa que ha tomado en las negocia­ 2.° Dejar á S. M. el Rey de los franceses la elección de la ciones de la Conferencia de Londres. Por lo tanto, esta elección tercera Potencia á quien se difiere el juicio de las cuestiones de rez de Castro, Presidente del C…</t>
  </si>
  <si>
    <t>Pé, José María</t>
  </si>
  <si>
    <t>José María Pé</t>
  </si>
  <si>
    <t>…lo ea que actualmente se halle ó h aya fijado su residencia. tes puntos. M adrid, casa referida de la viuda de Cruz: Barce­ 2.a Informe de la Real chanciilería de Valladolid sobre las lona, D. Juan Francisco Piferrer: Coruña, D. José María Pé­ Causas de estupro. rez: Granada, D. Manuel Sanz: Sevilla, D. José Hidalgo y 3.a Recurso de fuerza-en el conocer y proceder. Reflexiones compañía: V alencia, D. Ju an Bautista Jim e n o : Zaragoza, tobre la instancia seguida por D. Juan Raroon balido Cañave­ BOLETIN DE COMERCIO. D. Jo…</t>
  </si>
  <si>
    <t>Pé, Reinaldo</t>
  </si>
  <si>
    <t>Reinaldo Pé</t>
  </si>
  <si>
    <t>…rzan influjo y mando los doblon de á cuatro pesos. trañas de la t ie r r a , y que allí pusiesen á cubierto el tesoro de directores de reuniones tenebrosas que h a y a n llegado á predo­ Hubo nueve aproximados, que los fueron D. Reinaldo Pé­ la fe contra las asechanzas y violencias de tan encarnizados m inar en e lla s , no por sus servicios en favor del bien público, rez, D. Nicolás Castellano , IX Pablo P rie t o , O. Genaro C a­ enemigos. Los primitivos fieles se congregaban en secreto, no sino por ser mas audaces, mas a…</t>
  </si>
  <si>
    <t>Pórtela</t>
  </si>
  <si>
    <t>…mas lo son de ligereza é im p rev isió n , y sobre en su obsequio para tran qu ilizarlos estás lineas. (El Sevillano.) extraordinario y M inistro plenipotenciario de S. M . B ., de 27 todo para con el enfermo , á quien el doctor Pórtela prodigó tan de Agosto ú ltim o , en la cual S. S. se queja del retraso con que generosas atenciones antes de su partida , las continuas pesqui­ el Gobierno portugués trata de satisfacer á las reclamaciones presentadas en diferentes ép ocas, y llam a de nuevo la atención sas y remoción en to…</t>
  </si>
  <si>
    <t>PÚBLICOS, EFECTOS</t>
  </si>
  <si>
    <t>EFECTOS PÚBLICOS</t>
  </si>
  <si>
    <t>…* J u a a ) , se sus pendí ó la dlscusica,. C o tiz a ció n d e l d ía 6 á la s tr e s d e la ta r d e, lia ja incidido en proposiciones de b «atórale** de las del señor Eotró á jurar y tomó astéalo el Sr. Hora panera,, Diputado EFECTOS PÚBLICOS. O r t ig o » .; pero sí diré «1 Sr* Arguelles que no porque ef esta- reelecto -por 1» provincia de Patencia. ideci miento de Ib tnquisfcioQ, uo porque este tribunal se * bra­ Se acordó imprimir y que se seña I» ría día para la discosioa Inscripciones en el gran libro á 5 por' 100,…</t>
  </si>
  <si>
    <t>PÚCHE</t>
  </si>
  <si>
    <t>…,es provinciales, y se ha pregúntelo' tombiea si©;®,, por cuya causa »o pe»du aprobar e! proyecto. 1.° E l sistema de .admimistoradiom de t e propios , arMtrios a ios ayuntamientos* 'porque nadie-sabe mejor que ellos cuál Él Sr. PÚCHE, dijo que »o se proponía defender ¡el dicta— y di.ea.as fe®,dos del como o. es la. verdadera v®|lu.W'tod de los p&amp;eUas» m e a p o iq u e ya ¡©tras dignos individuos de la comWon lo ha­ 2,® Eli disfrute i e tos, pastos-, aguas J demás ¡osos y a p ro - Por estas "comasderaciomcs espero que l»…</t>
  </si>
  <si>
    <t>Qsulibar, D. Edmundo</t>
  </si>
  <si>
    <t>D. Edmundo Qsulibar</t>
  </si>
  <si>
    <t>…omicilios, para avisar es á fía cia que observa el enemigo, y su continua repetición de órde­ nes rigorosísimas para saber los movimientos de las tropas na­ de que pasen á recoger los tomos según v ay an salieudo á luz. El Sr. D. Edmundo Qsulibar B e a r , poseedor en el año cionales, las que vienen redactadas de pluma mucho mas maes­ de 1822 del título de conde de B iarab en , sus sucesores, caso tra que las que antes acostumbraba. Se conoce que alguna nue­ de haber fallecido, D. J u a n Antonio V a r g a s , apoderado…</t>
  </si>
  <si>
    <t>Que</t>
  </si>
  <si>
    <t>…= E n Palacio á 30 de Agosto de a y e r tard e en Oñate coa las tropas de su in m ed ia to mando. r i , qu ie n tam b ién pretendía estar a p oyad o por el Gobierno i n ­ 1 8 3 9 . = A D. Evaristo Perez de Castro, Presidente del Que se ocupa en recoger varios efectos y pertrechos de a r t ille ­ g l e s , no ha producido n in g un os resultados , y por otra se pre­ Consejo de Ministros. ría , en d e stru ir las fá bricas de fu n d ic ió n y otras disposiciones g u n ta en qu é consiste que el general en gefe del ejército d…</t>
  </si>
  <si>
    <t>…20© pesos coa la su- por la de Hannover , el barón de Straliheim , consejero privado giado á Portugal. presiou de las contadurías mayores, cortes de distrito y adm i­ del Gabinete; por W urtem berg, el consejero de Estado barón Que asimismo ha sido aprehendido por el patriota Domin­ nistración de rentas internas. de T ro tt; por la de Badén , el consejero privado Mr. de Dusch; go Bautista Fernandez en el pueblo de S. M artin de Lirnia, Todo lo que facilita la aproximación de los objetos útiles por la de Hesse electoral ,…</t>
  </si>
  <si>
    <t>Que, Bermu-</t>
  </si>
  <si>
    <t>Bermu- Que</t>
  </si>
  <si>
    <t>…ocuentes para ablandar la y de la venganza; él le habia ofrecido ya caballero, y la pa­ Fue solo fugaz anhelo ira de un hombre. El sentimiento no nos da lugar al juicio, y sión de la venganza debia ser superior en él. Llega D. Bermu- Que no llegó al corazón ? no sabemos darnos razón de tantas bellezas. D. Pedro deja en­ do de Carranza con la agitación y el mas marcado pesar sobre ¿ N o sabéis que en su despecho, trever á Doña Leonor un rayo de esperanza: Doña Leonor se su fre n te, y dice á D. Enrique que tome su casc…</t>
  </si>
  <si>
    <t>Que, Diputado.</t>
  </si>
  <si>
    <t>Diputado. Que</t>
  </si>
  <si>
    <t>…disposición del Sr. Ramírez Arellano no presenta motivo para proponer al de negar que hecha la designación de jueces quede excluida to­ que es de la competencia del Congreso. Van pasados ocho dias Congreso la admisión de este Sr. Diputado. Que todo lo que da arbitrariedad, si es que hablando de tribunales colegiados y el Sr. Ministro de Hacienda no ha contestado ni ha indicado resultaba del voluminoso expediente que se habia tenido á la como estos, podernos permitirnos semejante presunción; pero el dia que podría venir á hac…</t>
  </si>
  <si>
    <t>Que, Eleu- Ramales y Marrón.</t>
  </si>
  <si>
    <t>Eleu- Ramales y Marrón. Que</t>
  </si>
  <si>
    <t>…o­ Una mina plomiza en sierra de Gador, cerro de las Cucha­ que el enemigo habia concebido de invadir la provincia por nocido ó Encarnación , por D. Manuel Pagan , en 20. ras, término de A lm ería, titulada San N icolás, por D. Eleu- Ramales y Marrón. Que sin embargo de haber repetido los re­ Otra id ., sierra de Gador , dicho término, llano del plomo, terio Carrascosa, en 11 . beldes las órdenes prohibitivas de comunicación con nuestro Sta. Tecla, á D. Antonio Gómez, en id. Otra id. en dicha sierra, Pecho de la H ig u…</t>
  </si>
  <si>
    <t>Que, Perez de Castro.</t>
  </si>
  <si>
    <t>Perez de Castro. Que</t>
  </si>
  <si>
    <t>…eriores, no son cargos. T én­ por la pagaduría del M inisterio de Estado, y va unida al mo advertencia de un representante de la nación. gase por testim onio, repito, el que presente yo como razones de I 84 O rubricada por el Sr. Perez de Castro. Que tenga presente el Gobierno que Isabel la C atólica, Isa- convincentes ciertos argumentos á las personas ‘que me han En la parte que trata de los consejeros de Gobierno y de Es­ bel ii reunió en una todas las provincias de la m onarquía, y atacado; nad^ de cargos presentaré. tad…</t>
  </si>
  <si>
    <t>Que-, Vicente</t>
  </si>
  <si>
    <t>Vicente Que-</t>
  </si>
  <si>
    <t>…gos, rechazándolos, tomándoles sus posiciones, y preci­ las personas q ue son objeto de esta ley. pitándolos por los barrancos, donde debieron su salvación, co­ REDACCION DE LA GACETA. Art. 6.° Los hijos del teniente general D. Vicente Que- mo siempre, á la naturaleza del terreno, en que solamente se sada serán atendidos por el G o bierno de S. M. en su res­ muestran como único medio de conservar la existencia. pectiva c a rre ra , p ro cu ra n d o p rem ia r en ellos los distin­ Su cobardía nodió tiempo á que otras fuer…</t>
  </si>
  <si>
    <t>Querol, Joié Blas</t>
  </si>
  <si>
    <t>Joié Blas Querol</t>
  </si>
  <si>
    <t>…8 1. de ancho: por Andrés Gdngora, en 6 . Vales Reales no consolidados, 00. Precio antiguo i 4 r s ., y moderno 10. Boliche de fundición, pago del Caminillo, término de Adra, Deuda negociable de 5 por 100 á p a p e l, 00. por D. Joié Blas Querol , en 7. Idem sin interés, 00. EN PLIEGO DE M ARC A IM PE R IA L . Otra id., sierra Alhamilla, M atagallar, término Dalias, Acciones del banco español de S. Fernando, 00« Fortuna, por Pedro Rodríguez, en 8. Idem de Esopo, pintado también por Velazquez (D .), y Otra id ., umbría de…</t>
  </si>
  <si>
    <t>Quesada, Blas</t>
  </si>
  <si>
    <t>Blas Quesada</t>
  </si>
  <si>
    <t>…de la semana. concede al consejo de conocer de los negocios contcncioso-ad- do á Y . E. me hallo m uy satisfecho del buen comportamiento m inistrativos, y la de decidir las competencias entre la auto­ del de la misma clase D. Blas Quesada , y de los alféreces de Escriben de Sitard : ridad judicial y administrativa , cuya facultad im pugna, al navio D. Nicolás Cbicarro y D. Manuel A bad, cuyos oficia­ Los preparativos para el recibimiento del conde de Ausetn- paso que cree necesario el que entieuda en los negocios gra­…</t>
  </si>
  <si>
    <t>Quesada, Vicente</t>
  </si>
  <si>
    <t>Vicente Quesada</t>
  </si>
  <si>
    <t>…personas, y volver la influencia á la caja de Amortización. Que á su ciones, el Congreso debe desecharla. objeto de esta ley. modo de ver es un error lo que el Gobierno dice en la parte Art. 6.° Los hijos del teniente general D. Vicente Quesada dispositiva , cuando manifiesta que la organización de la caja El Sr. GOMEZ ACEBO empieza manifestando que el pro­ serán atendidos por el Gobieroo de 8. M, en su respectiva car­ será el fundamento del crédito, porque este podrá apoyarse yecto está reducido á organizar el personal de…</t>
  </si>
  <si>
    <t>QUI</t>
  </si>
  <si>
    <t>…dere­ 10. Sobre aceptar ó no las donaciones ó legados que se h i­ Leída por el Sr. Secretario , dijo cho de petición sitio dentro de la esfera de* la Constitución, no ciesen al común ó á algún establecimieuto municipal. El Sr. Q U IN T O : A pesar de la lectura que acaba de h a ­ comprendiéndose en esta medida las 'Cortes ni la diputación 11. Sobre la repartición de granos de los pósitos y fomento cerse á petición del Sr. Polo y M onge, encueutro motivos pa­ permanente de las mismas. de estos establecimientos. ra oponer…</t>
  </si>
  <si>
    <t>…ables, y liara que las traducciones escaseen E¿te género neophron en el mundo antiguo puede con­ por unanimidad. tanto como ahora abundan. Entre los que hoy se dedican siderarse como el mismo que el cal hartes en el Nuevo El Sr. Q U IN T O : El objeto de que sea nominal la votación a aquellas hay jóvenes muy recomendables y capaces de mundo, pues que ambos se aproximan tanto en la forma, es para que se sepa qué Diputados se hallan presentes. crear cosas mejores de las que traducen. Desaparezca pues en los hábitos y en las r…</t>
  </si>
  <si>
    <t>…re requisición de 1005 muías y 420 4.0 Terminará la función con un divertido sainete. tado mayor general que existe en Castilla la N ueva, y los indi­ mulos. viduos transeúntes que tienen derecho á raciones, encuentro un El Sr. Q U IJA N A impugna el dictámen á pesar de conocer exceso grave entre toda esta fuerza y las raciones que se sacan. los apuros en que el Gobierno se eucueatra para que las opera­ Asi pues yo creo que esto no podrá corregirse si no se hace ciones se hagau prontamente. lo que ha indicado el Sr. duque…</t>
  </si>
  <si>
    <t>…o del año 58 para cor­ nidad , ínterin quedan rogando al Todopoderoso conserve di­ tar esos abusos de las enmiendas. latados años la preciosa vida de nuestra augusta R eina D o­ PARTES RECIBIDOS EN LA SECRETARIA DE ESTADO El Sr. Q U IN TO : Siento mucho no haberme podido poner ña Isabel t i , y la importante de V . M. Pego 29 de Setiem- de acuerdo con mis compañeros, sin embargo, tomo la palabra bte de 1839.=Señora.=i A L. R . P. de V . M .= EI alcalde pri­ Y DEL DESPACHO DE LA GUE RRA. gustoso, y creo que debe admitirse la…</t>
  </si>
  <si>
    <t>…les dicede esta manera: ” A vosotros, ó ciudadanos tar el número de votos que habia obtenido. rio de Tiberio César comenzó el Bautista su predicación. Al tarsenses, ha tocado la suerte de ser los primeros en esta nació»*, El Sr. Q U IN TO , indicando que las actas eran válidas, ex­ Santo Evangelista citan S. Clemente Papa, los Santos mártires no solo por habitar la ciudad mas grande de todas las de C ili­ puso que la comisión no opinaba aun por la admisión del se­ Ignacio, Policarpo y Justino, S. Clemente de Alejandría y Te…</t>
  </si>
  <si>
    <t>…as, y sobre el que tengo que manifestar te , como he dicho antes, que se discuta junta ó separada. cluyó manifestando que su opinión era que se discutiese la en­ mis ideas; por cuya razón vendría muy bien colocarme en esa El Sr. Q U IN T O : Yo miro la cuestión de distinto modo mienda al mismo tiempo que el proyecto de la comisión. larga lista, aunque fuese en el lugar mas remoto, porque apro­ que el Sr. Roda; porque lejos de creer que no hay diferencia en El Sr. O L O Z A G A contestó que el reglamento en el art. ¿\1 bándo…</t>
  </si>
  <si>
    <t>…eguido á ningún español, l cómo aplausos en el salón y triburias'). gro que vaya aA saliendo la verdad. habia de hacerlo? ¿cómo? N o hay ninguna sum aria, nin­ E l Sr. Ministro de G R A C IA Y JU S T IC IA ocupa la tr i­ El Sr. Q U IN T O : Cuanto ha dicho aqui el Sr. ministro es gún decreto para que se haga , solamente por el acontecimien-* buna y lee el proyecto, concebido en los siguientes términos: exactísimo : yo tuve la ocasión de hallarme presente á esa to de Ceuta: lo demas ei G obierno no ha querido mas que Artic…</t>
  </si>
  <si>
    <t>…arregle las El Sr. Ministro de G RA CIA Y JU STICIA : Ya iba j o á de que cuanto antes presente una ley. condiciones que hayan de observarse en el ejercicio del entrar en la cuestión de tradiciones, porque es la parte mas El Sr. Q U IJA N A : La petición que se discute es una expo­ derecho de interp elar: pero quisiéramos que la p r u d e n ­ capital del discurso del Sr. Calatrava. Ademas esa voz no está sición de la diputación provincial de Madrid, haciendo ver consignada en ningún artículo ; todo lo que se h a ja podido…</t>
  </si>
  <si>
    <t>Qui</t>
  </si>
  <si>
    <t>…re el F ra tricid a , que fue vencido en el que se da noticia de una adición manuscrita hecha en Ale­ Se han devuelto á solicitud de 6 interesados.. . . 6,640 ilesa fio. , mania al Q uijote, con el título de Capítulos de mi D. Qui­ Este duelo merecia sin embargo particular mención, jote de la M ancha no podidos publicar en E spaña : pa­ tanto porque recaía sobre un juicio, como porque siendo labras que ya por sí manifiestan el poco conocimiento de El director de semana , el marques viudo de Pon tejos juez el mismo Bey…</t>
  </si>
  <si>
    <t>…, tornó las noticias convenientes de la i n ­ Congreso fallar con mas conocimiento de causa. posición era una reconvención á ella, á la vez que excitación al tendencia, y se hizo con cuantos datos la fue posible para con­ El Sr. Q U IN T O : El Sr. Benavides ha combatido uno por Gobierno, del cual dijo S. S. que pues retardaba el enviar los seguir que ía ley quedase c u m p lid a ; pero los que pedían que uno loa apoyoí en que la comí don se ha fundado, y prescin­ documentos que se le habían pedido desde el dia 12 después…</t>
  </si>
  <si>
    <t>…llevase el expediente que hubiera Voy á hacerme cargo de cuanto ha dicho S. S. relativo á niador. tenido presente ó de que se hubiera valido para la formación las coacciones que han tenido lugar en aquella provincia , en El Sr. Q U IN T O : Yo de n inguna manera he aludido al del proyecto de ley. Y en efecto , en el mismo dia y hora m ar­ que la mas grave de todas ha sido la pastoral del gobernador Sr. Benavides ni á ningun a otra persona. Solo he dicho que me cados por la comisión asistió el Gobierno , hizo la exposición…</t>
  </si>
  <si>
    <t>…desde hoy al 25 del corriente en el des* tos contra 26. la comisión debía modificar su dictámen. 4 ba°t e or!e Per|ddico, donde se admitirán suscripciones desde Se leyó el dictámen relativo á la proposición cuarta, acerca El Sr. Q U IN T O contentó á las observacioues del Sr. Aya!» guientes: rs* vn* Los individuos suscritos hoyJ son los si­ de si los proyectos de ley ó reglamento que tienen su orígeo de que la diputación provincial habia excluido indebidamente mas los Sres. Senadores quedarían suspensos, mientras sus auto…</t>
  </si>
  <si>
    <t>…, y tos, y esto no lo hace aplicable á las de Albacete, habiendo podían circuir este edificio. que por complacer á una persona de quien recibía su subsisten­ fundamentos para ello': dice S. S. -que en las actas que se han El Sr. Q U IN T O : El Sr. Ministro no contesta categórica­ cia los habia hecho. Que no los habia escrito su pluma ni su mandado anular, que son las del distrito de Monterroso , en mente á mis preguntas: el Sr. Ministro debiera decir si efecti­ corazón, sino la uiano férrea del despotismo, y que á pesar de…</t>
  </si>
  <si>
    <t>…im p ulsan d o y lle v a n d o , pera que el Congreso dará su aprobación al voto particular. Por tanto que si después el Congreso conoce que la ley de si es p o sib le , a su fin una g u e r r a qu e desuela esa patria, El Sr. Q U IJA N A expuso que las resoluciones de los a y u n ­ tamientos podian m uy bien envolver perjuicios por efecto de diputaciones provinciales está en oposición con algunos puntos y diezm a tan h o rrib le m e n te a ese pueblo por q u ie n tan­ medidas dictadas con intención, y cuya reparación im…</t>
  </si>
  <si>
    <t>Quijana</t>
  </si>
  <si>
    <t>…inantemente " a no ser hallado infraganti” , y no aprobada. reglo áPart. Ífí de la Constitución.* El Congreso, sin embara­ ^molestaré yo la atención del Congreso porque ofendería su ilus­ -Se acordó que constaría el voto de! Sr. Quijana contrario á go,resolverá lo mas acertado. Palacio del mismo .20 de D i - tración, si entrara en la Verdadera acepción de la fra se infraganti. la resolución del Congreso sobre la adición del Sr. duque de cietobre de 1858. Todos conocen qué tomada esta de otro idioma , significa como G or al…</t>
  </si>
  <si>
    <t>QUIJANA</t>
  </si>
  <si>
    <t>…ra de ejecutar Los Sres. Valdés y Armendariz hacen algunas aclaraciones. otra clase de intereses. una ley y de aplicarla puede ofrecer dudas, y hablo no solo de El Sr. P E R E Z DE R IV A S re opone al artículo, manifes­ El Sr. Q U I J A N A indicó que la cornision al redactar el a r­ una ley adm inistrativa, sino política también. En este caso los tando que no encuentra motivo por el cual deba negárseles á tículo habia tenido presente la necesidad de que se adoptase ayuntamientos tienen el derecho de hacer exposiciones a…</t>
  </si>
  <si>
    <t>…o existe y debe conservarse. Lo único (pie ha hecho la com i­ guirse 1acón ver* ieute ejecución corresponde al alcalde,^ y ese articulo toma en cuenta sión en este p u n to , señores, y no m a s , es establecer una sola El Sr. Q U I J A N A &lt;lijo que señalándiv.e en el artículo que l2s JL9i¿erdos cualq u ie ra que sean , y la facultad que a lli se co­ distinción ; pero al Sr. Acebo le ha sorprendido una palabra. el alcalde debe ejecutar y hacer ejecutar los acuerdos, f a c u lt á n ­ mete es ju z g a r de la o p o r t…</t>
  </si>
  <si>
    <t>…dictámen de la comisión 2.a Si el Sr. Presidente persiste en ella, le preguntaré si la de peticiones. El sábado pasado quedó pendiente la del núm e­ Francia puede estar segura de que no h ab rá contrarevolucion ro 5 8 ; él Sr. Quijana tiene la palabra. H A BIEN D O SE fugado de esta corte á principios de M ayo en España. D icho señor la renunció. ; ultimo en la que se hallaba en libertad bajo lianza carce­ Si sobre esto se nos dan seguridades positivas, quedaré sa­ El Sr. IN F A N T E dice que no puede menos el Congreso…</t>
  </si>
  <si>
    <t>…Debo manifestar que interpelado por un específicos, después de pagado el diezmo.” bien contestarme S. S. D iputado, y acusado por un Ministro , me toca contestar. Por esta simple lectura habrá conocido el Congreso que el El Sr. Q U I J A N A : Pido que se lea lo que se dijo en la se­ El Sr. PRESIDENTE: Orden, Sr. M o n , o rd e n ; yo no Sr. Ministro de Hacienda, salvas las protestas anteriores , ha re­ sión de 12 de Ju n io sobre ei particular por el Sr. Cosío. puedo remediar que el reglamento esté terminante; esta es la…</t>
  </si>
  <si>
    <t>…rque creía que afectaba á Acebo. El Congreso ha visto por la lectura de la discusión que En este estado encontré yo las cosas, y me encontré suma- intereses particulares de provincias que no pueden menos de ser ha pedido el Sr. Quijana , que entonces tuve yo el honor de lente embarazado sobre el modo de hacer este abono, porque miradas con atención por al Congreso, y al mismo tiempo en— hacer una adición que la comisión adopto y las Cortes y el Se­ 10 habia formalidades, ni recibos, ni documentos en los que volvia una cue…</t>
  </si>
  <si>
    <t>El Sr. Q U I J A N A , defen dien do e! a rtícu lo , trató de m ani­ T a m p oco lo fue la del Sr. Perez de R iv a s , en que pedia que festar que no habia m otivo para in clu ir en una censura general mienda del Sr. Sánchez de la F u ente, y quedó aprobada , com o al hnal del artículo se pusiera lo sig…</t>
  </si>
  <si>
    <t>…E M A D R ID . nes sino por motivo gubernativamente justificado. lles de Atocha y Jacometrezo. Se leyó el art. 5.° Si es Y . persona poco conocida , tiene el disgusto de oír Cotización del dia 10 d las tres de la tarde • El Sr. Q U I J A N A : M i objeto al pedir la palabra ha sido decir á todo el que p asa : E p ifan io B a ld r a g a s .... , pues ni le el de manifestar que si los individuos de los cuerpos colegisla— he oido nombrar tan siquiera. Si por el contrario su reputa­ EFECTOS PUBLICOS. dores á quienes se dé esta…</t>
  </si>
  <si>
    <t>…lea el dicta­ de la Rosa, sobre que los empréstitos no se verificaban á las de 6 de Setiembre. men para que se vea la firma del Sr. M artin, por la cual se circunstancias políticas y militares no lo permitían*; y ruego a El Sr. QUIJANA cree que el Congreso debe desechar el verá que ha,convenido con los demas señores. S. S. que tenga presentes las circunstancias en que sé pidió dictamen, ó determinar que vuelva á la comisión, para que El Sr. MONTOYA dice que prescindiendo de si está ó no aquella autorización, y las que des…</t>
  </si>
  <si>
    <t>…nes Después de hacer una ligera indicación el Sr. Q u in to , h a­ y l a s r i v a l i d a d e s e t e r n as de los p a r t i d o s * de los ay untamientos; y que si en este mes no hay orden de biendo sido contestado por el Sr. Quijana , se declaró el punto suspenderlas , se lleven á efecto; que estas resoluciones son rela­ suficientemente discutido, y puesto á votación el artíc u lo , es tivas á pastos, montes y reparación de caminos; en cuyo caso aprobado habiendo sido nominal la del último p árrafo , en la el Congres…</t>
  </si>
  <si>
    <t>Quijano, Benito</t>
  </si>
  <si>
    <t>Benito Quijano</t>
  </si>
  <si>
    <t>…. 7.° Si ha habido alguna correspondencia reciente entre los tado, como encargado interinamente del despacho del ministe­ dos Gobiernos con motivo de la libre navegación en los rios na­ rio de Guerra y M arin a, el Sr. general D. Benito Quijano. Z u rich 22 d e F eb rero . vegables que separan las posesiones territoriales de los Estados-r Unidos y de la Gran Bretaña en la Am érica del Norte ó en los Las últimas comunicaciones d irigid as al Gobierno por los otros ríos igualm ente navegables. Idem 18. dos comisarios federa…</t>
  </si>
  <si>
    <t>QUIJOTE</t>
  </si>
  <si>
    <t>…ner en escena la ópera seria en dos actos, EL INGENIOSO HIDALGO música del maestro Saldonf , titulada jVjOS el doctor D. Luis García Casarrubios, del gremio y claus­ tro de la universidad de Santiago, abogado de los tribu­ D. QUIJOTE 1PERMESTRA. * nales nacionales, racionero prebendado de la insigne iglesia co­ legiata de Bayona , provisor y vicario general interino por in ­ Deseosa de contribuir al nqble objeto de la función de este disposición del propietario en esta ciudad d e T u y y su diócesis, d ia , y corresp…</t>
  </si>
  <si>
    <t>Quijote</t>
  </si>
  <si>
    <t>…ta acepción puramente etimológi­ en nuestros dias la literatura de la edad m edia, seria tan íntimos senos del corazón humano y de arrancarle á te ca no hay nada que se oponga al carácter y á las re­ descabellado como el de D. Quijote. ¿Cómo en una época naturaleza sus secretos. Hará descripciones de las escenas glas de la literatura que se cultivó en los siglos de Peri- de filosofía pueden agradar las mismas cosas que entusias­ mas bellas del universo, pero siempre las enlazará con cles y de Augusto, á los cuales ha d…</t>
  </si>
  <si>
    <t>…n en subasta ? porque ha dirigido sabrán bien defender sus opiniones, porque yo no director quiere que le diga como se invierte, se lo diré y des­ se ha visto que las obras no se han hecho por el orden de su necesito meterme á D. Quijote: bástame defender mi derecho. de este sitio. Ese dinero sale del presupuesto de gastos antes que importancia, pues las mas necesarias son las que se han pro­ S. S. padeció una grande equivocación diciendo que yo ata­ del de entradas : traduzca S. S. esa frase al lenguaje vulgar. puesto á la…</t>
  </si>
  <si>
    <t>…ndose de todo tían la toga eran los que juzgaban de opiniones políticas, y de Cervantes recuerdo que se juzgaba de igual manera, porque lo prevenido. que ahora mismo se acababa de ver un ejemplar de una pro­ cuando refiere que D. Quijote iba á Barcelona se encontraba Que para castigar ciertos delitos tenemos leyes que determi­ vincia declarada en estado de guerra ; un juez de primera ins­ con los pies de los que estaban colgados en los árboles. Se me nan quién ha de juzgar en esos casos , tal como la ley de 17 de tancia habi…</t>
  </si>
  <si>
    <t>Quiniela, Manuel</t>
  </si>
  <si>
    <t>Manuel Quiniela</t>
  </si>
  <si>
    <t>…lias Ebanista, dando muerte á cinco; entre ellos fueron reco­ Sr. gobernador de la plaza de la,Seo de Urgel, no cabe ya la me­ queña omisión,, y u^aré al efecto del poder y facultades que se nocidos su segundo titulado capitán D. Manuel Quiniela , en­ nor duda de ser el cadáver encontrado ahogado en el Segre á las hallan en mis atribuciones. cargado de los partidos de Taboada y Gamba , cuyo cadáver inmediaciones del Gol de Nargó, ligado de pies, tnaooi y pes­ M uy lastimada está la provincia coa los infinitos males que condu…</t>
  </si>
  <si>
    <t>…icio agradable é interesante al público. co, y entre ellos fueron reconocidos el segundo de dicho Eba­ Las personas particulares que deseen hacer alghna rec­ 'T ’O D A S las personas que se crean con derecho á los bienes nista D. Manuel Quiniela , encargado del partido de Taboada quedados por fallecimiento abintestato de Sebastian M i- y Camba , según lo demuestran los papeles cogidos , sobrino del tificación, p o d rá n dirigirse á d ic h a im p ren ta Nacional abad de I\ousos 5 como igualmente lo fueron D. Joaquín Mos­ has…</t>
  </si>
  <si>
    <t>Quintana, José</t>
  </si>
  <si>
    <t>José Quintana</t>
  </si>
  <si>
    <t>…to siguiente. sugetos siguientes: D. Alberto Tolosa , D. Pedro V illar, Don que hay en aquellos hospitales para atender á la curación de Q ue en el estado de valores se com prendan con José García M artínez, D. Julián Alonso, D. José Quintana, fin los muchos heridos que en ellos se hallan. Con este m otivo, y á la distinción debida los de las rentas y ramos que se ad« D. Francisco Pavas, D. Juan Bautista de Llano, D. Juan M a ­ ademas de poder acudir al alivio de estos beneméritos militares, que nuel Muela y D. José Coll,…</t>
  </si>
  <si>
    <t>Quintana, Manuel</t>
  </si>
  <si>
    <t>Manuel Quintana</t>
  </si>
  <si>
    <t>…haya de gocen por clasificación , y tendrán derecho al abono de la tonio Fuentetaja , D. Manuel Mosquera, D. Ramón Naranjo, satisfacerse á los cesantes y jubilados que esten encausa­ otra mitad si fuesen absueltos plenamente. D. Manuel Quintana, D. Santiago Alonso Cordero, D, Ro­ dos igualmente; y con presencia de lo que acerca del par­ 10. Los jubilados á quienes se forme causa continua­ mán López y D. Mariano de la Paz García , quienes por una­ ticular han expuesto la contaduría general de Valores, la rán percibiendo ín…</t>
  </si>
  <si>
    <t>Quintana, Manuel José</t>
  </si>
  <si>
    <t>Manuel José Quintana</t>
  </si>
  <si>
    <t>…rlos proponía á los Sres. Do* cuelas. que de G or, teniendo á sus lados á los Sres. marqués de Santa Antonio Saodalio de Arias, D. Gerónimo del Campo, D. Euge­ Lo expendido en las obras hechas para preparar las cuatro Cruz y D. Manuel José Quintana , y el Sr. secretario general nio Perez González, cura párroco de S. Ginés (reelegidos), Don existentes asciende á '18,946 rs. Por arrendamiento hasta fin del D. Mateo Seoane leyó el acta de la primera junta general de la Diego Fernando Montañés, D. Juan Antonio Seoane, Don año…</t>
  </si>
  <si>
    <t>Quintas, José</t>
  </si>
  <si>
    <t>José Quintas</t>
  </si>
  <si>
    <t>…la de SS. MiM. del Real P a la c io , y otros tantos su lleg ada a i «sanana. Al parecer de los cariosos reuaidos en gran udraero i inmortal Cristina. edificio del Congreso. a transito esta bastante acabado y muy pensativo. D. José Quintas, de edad de 12 años , monitor primero, por su aplicación y mérito en los conocírnieutos que ha manifesta­ Art. 6.° En ei pórtico de este se h a lla rá n con a n tic i­ do en la lectura en prosa y verso, calografía, aritmética, doc­ pación para recib ir á SS. MM. los Ministros y la d i…</t>
  </si>
  <si>
    <t>Quinto</t>
  </si>
  <si>
    <t>…ta se reunirá siempre que lo tenga por conve­ P rimer in dividuo de la comisión el Sr. C ab alle ro , por 6 9 hallarse pronto á ad m itir dicho encargo, reservándose presen­ votos, habiendo obtenido el Sr. Benavides 1 6 , el Sr. Quinto niente; y por medio de acuerdos, que se extenderán en un libro tar documentos que acreditan su aptitud legal. 2 , el Sr. Roldan 7 , el Sr. Alcon 1 , el Sr. Mascaró 1 , el se­ que al efecto llevará uno de los secretarios, resolverá cuanto Otra comunicación del Sr. duque de Castroterreño, Sena…</t>
  </si>
  <si>
    <t>QUINTO</t>
  </si>
  <si>
    <t>…r t. 48 . C uando los hijos del R e y ó del heredero in m e d ia ­ crean conducentes. ción del C ongreso, porque de ella me propongo sacar mis a r ­ to h a y a n de prestar el-juram ento como Senadores n a to s , lo v e ­ El Sr. Q U I N T O : H abía pedido la palabra en pro d é l a pro ­ gumentos y esforzar mis raciocinios. rificarán en el salón de las sesiones del Senado en los mismos posición que se d isc u te; mas como el Sr. Pidal no la ha com ­ El orador lee una Real orden de 27 de J u n i o del año próxi­ términos q…</t>
  </si>
  <si>
    <t>…rá su dictáinen. mado D. A ntonio Morales. El Sr. M A D O Z: Me alegro mucho que se haya puesto en Señora: El gefe político, secretario y demas empleados Y finalmente, que el capitán- D. Santiago López de la Lla­ armonía el Sr. Quinto con mis deseos, porque en un principio dependientes dt?l ministerio de la Gobernación de la Penínsu­ ve batió á los cabecillas Chaves y Pinchorras que se habían estaba opuesto á las doctrinas de S. S. Tengo á la vista el artí­ la en la provincia de A v ila , elevan á los R . P. de V . M. reun…</t>
  </si>
  <si>
    <t>…traor­ quedar separados los dictámenes ó la enmienda. El Sr. P R E S ID E N T E dijo que el Congreso había visto que dinarias, había buscado la brevedad, sin que por esto dejara de El Sr. O L O Z A G A : Siento mucho que el Sr. Quinto haya cuaodo se anunció el resultado de la votación,se agolparon m u ­ ilustrarse la cuestión todo cuanto fuera dable. extrañado la manera con que se ha presentado una enmienda chos Sres. Diputados á la mesa, por lo que habia sido imposi­ El Sr. Ministro de G R A C IA Y JU S T IC IA dijo que…</t>
  </si>
  <si>
    <t>…ra mas al G ob iern o , que no h u b ie ra dado l u g a r tos los bancos.) tenerle. Y o creo que mis compañeros se c o n form arían con esto, á qu e se e n trara en esta a r e n a , á la c u a l por f o r tu n a no creo El Sr. Q U I N T O : Pensaba usa r de la p a la b ra en s it u a c ió n y estoy firmemente persuadido de que este es el ún ico medio que espera tan m a la causa ! mas a g ra d a b le de la que por d e sg ra c ia h a ten id o l u g a r . Desde de que salga de esta cuestión como debe sa lir esta le y , y…</t>
  </si>
  <si>
    <t>…a de figu­ V o lv ía exponer la idea para tranquilizar á los Sres. D i­ Deseara que el Sr. Sancho , si no lo lleva á mal , conten­ rarme que llegase el momento, este momento de desconfian­ putados; y hecho esto se levantó el Sr. Quinto, y volvió á tase si las expresiones que yo dije eran que lio podia formu­ za , y que habia de tener que subir á este sitio y hablar de­ aludir al mismo asunto: la contestación fue "que el Gobierno larse el principio, porque si se portian esas expresiones irian masiado fuerte y arrojado? no…</t>
  </si>
  <si>
    <t>…dividuos que a incurrido el Sr. Madoz, el suponer que la diputación p rc - ba sobre el particular. se hubieran presentado en el pais para que se les aplicasen vo ­ incial ha cometido una ilegalidad que no existe, porque en El Sr. Q U I N T O contesta á S. S. que la jurisprudencia de tos, pa^e; pero uno solo era del pais, y este cabalmente ha sido lo ha procedido conforme en un todo á lo que dispone la ley'. la comisión habia sido el considerar la junta general de escru­ el que ha obtenido menor número de votos: estos resulta…</t>
  </si>
  <si>
    <t>…A (como de la comisión): L a comisión cree del párrafo de que trató el Sr. Sánchez Lafuente. gistrados y fiscales de las audiencias en las provincias donde se que esta cuestión depende de confundir lo que ya existe a pro­ El Sr. Q U I N T O , después de leído el art. 6 .° del reglamen­ sitií-.n aquellas.” Aqui dice: c'donde se sitúan aquellas.” Esta bado con lo que debiera ser. Y o por mi parte debo asegurar al to á petición de S. S . , manifestó que habiéndose en cierto mo­ proposición fue aprobada , y tomaron parte en e…</t>
  </si>
  <si>
    <t>…s, y bado con la adición de la palabra e le c to s á las de son d e cla r a ­ Lo que se anuncia al público para su conocimiento. no me parece que debe ser bastante discreto , porque tiene tam­ d os D iputados á propuesta del Sr. Quinto. bién mucha desconfianza , y á mí rae la ha pegado. No me me­ Igualmente fue aprobado el dictámen dé la misma comisión teré en si este papel es ó no del Gobierno ; pero veo en dos p ár­ que proponia que el Congreso accediese á 1a petición de varios rafos de su discurso que trata de la disol…</t>
  </si>
  <si>
    <t>…id o s, á pesar de h a ­ El Sr. B E N A V I D E S : Cuando he dicho que me compla­ d o , sufriré con gusto que se roe rectifique si me equivoco. ber pedido que asi se hiciese, y h ay motivo para creer que h u ­ cía de que el Sr. Quinto siguiese la carrera de la moderación, Se ha dicho que no constaba que el Gobierno hubiese con­ biera variado la elección, mucho mas cuando se ha hicho que no quise suponer de modo alguno que S. S. hubiese faltado de testado á la invitación de la comisión. El hecho de la verdad es fue di spu…</t>
  </si>
  <si>
    <t>…e digno y floreciente. Parecía destinado aquel Rey va­ muchas ocasiones», y de aprovechamiento siempre. lo mismo que ninguna relación tenían con la política. letudinario é imbécil á acabar no sofe con una dinastía que ha­ El Sr. Quinto principió manifestando que sentados sufi­ El Sr. Quinto repuso que no podia considerarse á la España bía alcanzado tan glorioso origen, sino con los pueblos mismos cientemente los preliminares de esta cuestión, se creia ya en el en la abnegación absoluta que respecto á sus instituciones polí­…</t>
  </si>
  <si>
    <t>…er ofendido al Congreso, discúlpeme que no he podido contener­ los Cuerpos coíegisladores por la Constitución examinar las ac­ de aili. me, no lo he podido evitar. tas y las cualidades de sus individuos, concluyó indicando El Sr. Q U I N T O : He notado que el Sr. Ministro no ha Ha hablado ayer S. S. de la ley de im p ren ta: cuando lle­ que lo mejor seria que volviese el dictámen á la comisión para contestado al último punto que ha tocado en su interpelación gue el caso consignaré yo mi opinión sobre este punto. Ha he­ que…</t>
  </si>
  <si>
    <t>Quinto, D. Javier</t>
  </si>
  <si>
    <t>D. Javier Quinto</t>
  </si>
  <si>
    <t>…ección por lucidan cuestiones interesantísimas para la sociedad , y fijan Sr. D. Joaquín Iñigo. el marques viudo de Pontejosrde la utilidad que podría sacar­ sobre ellas la opinión de los concurrentes, sirviéndoles taiúbien Sr. D. Javier Quinto. se del cultivo del Phormium tenax ó lino de Nueva Holanda, de estimulo para estudiar y prepararse para estas palestras in ­ y con este motivo se extendió el Sr. Presidente á manifestar la telectuales. facilidad que habría en aclimatar dicha planta en las provin­ N i los socios ni…</t>
  </si>
  <si>
    <t>QUIROGA</t>
  </si>
  <si>
    <t>…c o m p a ñ e ro s , venia en busca de ellos para protegerlos. M a n - de ayer. porque 110 recae sobre nin gún hecho g r a v e , y mucho mas cuan­ •dé inm ediatam ente que se me facilitasen por aquel a y u n t a m ie n ­ El Sr. Q U I R O G A t Señ ores, no trato de hacer Oposición al do la misma comisión lo dice en su dic tá m e n , cuando m a n i­ t o 2 4 o 5 0 b ag age s m a y o r e s , y habiéndolo hecho esta corp o­ m ensaje, in creo que n ingún Senador la h a g a ; pero la cues­ fiesta que están concluidos casi todos…</t>
  </si>
  <si>
    <t>Quiroga, Antonio</t>
  </si>
  <si>
    <t>Antonio Quiroga</t>
  </si>
  <si>
    <t>…su cum plim iento. Dios guarde no durante la m enor edad de mi excelsa Hija la R e i ­ á Y. E. muchos anos. Madrid 1.° de Junio de ltf3 9 .= C a r - na D o ñ a Isabel i i , vengo en decretar lo siguiente : ram olin o.= S r. D. Antonio Quiroga. R E A L D E C RE TO . A r t í c u l o í .° C o m o medida provisional para el C om o Regente y G obernadora del reino durante la sostenimiento del culto y clero , y para atender á otras m en or edad de mi excelsa Hija la Reina Doña Isabel n, obligaciones precisas y perentorias d…</t>
  </si>
  <si>
    <t>…ictá­ BANDO. R oyale, et le theatre frangais , á razón de ocho reales por raes menes de la comisión de Actas. para Madrid y 10 para las provincias, franco de pórte. Los El Sr. P RE SID E N TE: Orden del dia para el lunes, los D. Antonio Quiroga, teniente general de los ejércitos na­ numero* sueltos se venden en Madrid á 10 rs. asuntos señalados y el dictamen de reelección de los Sres. Cas- cionales y capitán general de Castilla la Nueva &amp;c, &amp;c.=¿Las iro , Salamanca y López Vázquez. Ciérrase la sesión» circunstancias de la g…</t>
  </si>
  <si>
    <t>Quiroga, Juan María</t>
  </si>
  <si>
    <t>Juan María Quiroga</t>
  </si>
  <si>
    <t>…fe­ Mes de Agosto de 1859.—Relación de los registros de minas licitar á S. M. el dia de su cumpleaños los Sres. conde de Ez- ocurridos en dicho mes. peleta , Presidente, marques de Falces, Torres Solanot, Fer­ En 22 de Agosto D. Juan María Quiroga , vecino de la nandez Mela , Balanzat , Q uiroga, López, marques de Monte- dudad de L u g o , por sí y á nombre de D. Antonio López, Celoso el ayuntamiento constitucional de Colmenar de Ore­ s a , Diaz Caneja, L leopart; y Secretarios, conde de V ig o , y residente en Barbeitos, y…</t>
  </si>
  <si>
    <t>Quiutana, Manuel José</t>
  </si>
  <si>
    <t>Manuel José Quiutana</t>
  </si>
  <si>
    <t>…El número de tropas que se ha considerado necesario para A Imería.zrD. Diego Entrena. dirección de la cresta de dicha sierra, situada á uoas mil varas los expresados objetos es el de 253 hombres distribuidos en U Badajoz. =: D. Manuel José Quiutana. al S. O. de Berga , se prolonga en dirección de E. S. Se igno­ forma siguiente: Baleares (islas). = D. Joaquín del Rey, nombrado por renun­ ran las circunstancias de este parapeto; pero se cree se haya Para cubrir las provincias de Lérida, Tarragona, 2,500. cia de D. Ignacio…</t>
  </si>
  <si>
    <t>Quiñones, Joaquín</t>
  </si>
  <si>
    <t>Joaquín Quiñones</t>
  </si>
  <si>
    <t>…y del Despacho de presente, previene sea satisfecha cuando los buques que Y DEL DESPACHO DE LA GUERRA. Hacienda ha comunicado á esta dirección con fecha 9 del pasen al mar Negro reciban su firman ó permiso de tran­ El brigadier D Joaquín Quiñones, comandante general dé actual la Real orden siguiente: sito, previas ciertas formalidades, sobre las cuales, asi co­ He dado cuenta a S. M. la Reina Gobernadora del mo sobre la facultad indicada por lo futuro , parece han laAlgora provincia de Guadalajara, coa fecha 25 del actual d…</t>
  </si>
  <si>
    <t>Quiñones, León D. Manuel</t>
  </si>
  <si>
    <t>León D. Manuel Quiñones</t>
  </si>
  <si>
    <t>…hombres á Ayodar. Entre nuestros oficiales han tos. Los primeros en el corto espacio de pocd mas de un año AV ISO A L O S N A V E G A N T ES. que reciben el beneficio de la instrucción , presentaron el pri­ demuerto el capitán de León D. Manuel Quiñones; y el ayudante mer dia excelentes muestras de letras, contestando con acierto y Descatllar , que era un joven valiente, llamado A znar, á Con Real o rd en de 26 de Ju lio últim o se recibió e n soltura á las preguntas que se les hicieron sobre historia sagra­ quien sido su…</t>
  </si>
  <si>
    <t>Quiñones, Manuel</t>
  </si>
  <si>
    <t>Manuel Quiñones</t>
  </si>
  <si>
    <t>…á Ayodar. Entre nuestros oficiales han tos. Los primeros en el corto espacio de pocd mas de un año AV ISO A L O S N A V E G A N T ES. que reciben el beneficio de la instrucción , presentaron el pri­ demuerto el capitán de León D. Manuel Quiñones; y el ayudante mer dia excelentes muestras de letras, contestando con acierto y Descatllar , que era un joven valiente, llamado A znar, á Con Real o rd en de 26 de Ju lio últim o se recibió e n soltura á las preguntas que se les hicieron sobre historia sagra­ quien sido sus compañ…</t>
  </si>
  <si>
    <t>Quíntela, Manuel</t>
  </si>
  <si>
    <t>Manuel Quíntela</t>
  </si>
  <si>
    <t>&lt;L 1837 que los Ministros de V. M. han j u r a d o , y que aun que concede á la cor ona el art. 26 de la Constitución, 1 el segundo de dicho Ebanista, D. Manuel Quíntela, D. Joaquín a riesgo de su existencia presentarán ilesa á las Cortes. ha tenido á Li e n, c onfor má ndose con el parecer de Mosquera de Funsin y D. Fernando Medela de Baldomar, que­ Por lo tanto someten á la aprobación de Y. M. el si­ s u Co nse jo de M i n i s t r o s , disolver e…</t>
  </si>
  <si>
    <t>Qüijíiriá</t>
  </si>
  <si>
    <t>…ealizar este proyecto que el de la comisión. •&gt;&gt; enérgicas para averiguar el origen de tan escandaloso abuso, y tivas esas plazas que la nación paga; es necesario corregir la de­ El Sr. SA N M IG U E L contesta brevemente al Sr. Qüijíiriá que, fuera la persona que quisiera la que le cometiese, se le nuncia que ha hecho el Sr. Infante sobre asistentes al sexo fe­ haciendo ver la necesidad que hay de conceder al Gobiernb éste ‘ impusiese inmediatamente el castigo. menino, que yo creo que no se limita solo al número de 200,…</t>
  </si>
  <si>
    <t>R, José</t>
  </si>
  <si>
    <t>José R</t>
  </si>
  <si>
    <t>…lvética, ha tenido el honor de ñas que compouen las dos clases de gramática castellana en que V alencia 25 de Febrero. presentar ayer al Rey sus cartas de llamamiento como enviado se divide este ram o, la primera dirigida por D. José R. T ra­ extraordinario y ministro plenipotenciario cerca de la corte de vieso* y la segunda por D. José Z. González del Valle. Estas Atendido el género de guerra que nos hace el enemigo, cual­ los Países-Bajos. niñas manifestaron un verdadero conocimiento de lo que decían: quier medio tendre…</t>
  </si>
  <si>
    <t>R.afael</t>
  </si>
  <si>
    <t>…orme a seis facciosos; y que la columna que opera sobre la derecha bían empezado á reclam ar -un simple aumento de salario. Asi al proyecto, y de faltarle todavía los ramales de comunicación de T a jo , al mando del comandante D. R.afael T rabado, habia que, la explosión por inesperada ha llenado de estupor á la pe- con la costa del S u r, y con la villa de S. A ntonio, nos in d u ­ tam bién cogido á siete individuos mas con arm as, sin mas pér­ b’.acion entera , que se ha quedado paralizada. El motín se ha cen á creer que p…</t>
  </si>
  <si>
    <t>R.oda</t>
  </si>
  <si>
    <t>…in is tr o de G R A C I A Y J U S T I C I A : N o be tenido el Sr. Iñ ig o acerca del perjuicio que se hace á ios c o n t r i b u y e n ­ men de la comisión, en que proponía la admisión por la p ro v i n ­ el gusto de oir al Sr. R.oda mas que a! final de su discurso: tes del diezmo, no abo nán do os con anticipación »&lt; que se les exi­ cia de Orense de un Sr. D i p u t a d o c u y o nombre no pud imo s no sé por lo ta nt o si se ha d ir i gi do al G o b i e r n o , ó si no ha gió á buena cuenta en frutos y dinero. II *y mas…</t>
  </si>
  <si>
    <t>R.oussin</t>
  </si>
  <si>
    <t>…encargado de v ig ila r sobre las ne­ pezado una información acerca de su conducta. Este arresto cesidades de la capital ha sido depuesto de su empleo. tiene relaciones coa el ultimo suceso del campo de Geismar. El El almirante R.oussin ha recibido de! Sultán su audiencia El Gobierno se afana en adquirir trigo por todos los m e­ de despedida el 9 de Octubre: con este motivo el D iario d e regimiento llamado del príncipe de Yarsovia ha sido completa­ dios posibles, y parece que, como eu la antigüedad, el Egipto Smirna se e…</t>
  </si>
  <si>
    <t>R.ubio, Pascual</t>
  </si>
  <si>
    <t>Pascual R.ubio</t>
  </si>
  <si>
    <t>…ra patria, y mereciendo el aprecio de los inteligentes en lite­ ra proveerse de m. deras de construcción, tan raras en Africa, después se levantará el débil exclamando: ¡Soy fu e rte !” La ratura y bellas artes, se encuentra á D. Pascual R.ubio, relojero pu s bajarían ílotando por el Qued—eLK ebir, que no lejos de mayor parte de los que componían esta procesión, eran hom­ de profesión , y de 22 años de edad , el cual ha presentado en a' i i desagua en el mar después de haber atravesado muchos bres del campo. El acompañamient…</t>
  </si>
  <si>
    <t>R.UIZ</t>
  </si>
  <si>
    <t>…onocido que debe da r cuenta á las C ortes; y h a y que cediéndosela el Sr. Presidente , dijo vigo r y su energía quede tan airoso como los demas h a n que­ tener presente que esta facultad es necesaria para poder con ella El Sr. R.UIZ D E L A R B O L : No necesita el Sr. M in is tro dado. modificar los artículo s en que sea indispensable hacer a lg u n a venir preparado para contestar á e lla ; está red ucida á dos p a ­ El Sr. C A M B R O N E R O : L a moderación con que los se­ va ria c ió n , pues frecuentem ente está su…</t>
  </si>
  <si>
    <t>…c o m isió n , p a rtie n ­ cand idatos que h a n obtenido m a y o ría . M a d r id . El m in isterio de D ic ie m b re tenia un a m a y o r ía com ­ do del p rincipio d e q u e la ley debía ser c lara y explícita , h a ­ El Sr. R.UIZ D E L A R B O L , su a u t o r , la ap oyó brevem en­ pacta y resuelta á sostenerse; y sin e m b a rg o , de resultas del si­ bía añadid o en el proyecto á las palabras "fiesta n acio nal” las t e ; mas no fue a d m it id a por la comisión , y el Congreso no la tio de M o rella tu v o que ab…</t>
  </si>
  <si>
    <t>Ra, D.</t>
  </si>
  <si>
    <t>D. Ra</t>
  </si>
  <si>
    <t>…la Sra. Doña Barcelona, con varios acreedores sobre graduación y preferencia EL BUEN T O N O , María Fernandez. de los bienes concursados de su pádfe Pablo Juncosa, bajo aper­ 494. Un acerico bordado de felpillas y oro, al Sr. D. Ra­ cibimiento que de no hacerlo les parará el perjuicio que haya fael Bertodano. PERIODICO DE M ODAS, ARTES Y OFICIOS. lugar. 76. Un almohadón redondo con recortes, al Sr. conde de Se publica en esta corte el 15 y último de cada raes, y su Montefuerte. núm. 11 contiene dos elegantes figurine…</t>
  </si>
  <si>
    <t>Ra, D. Antonio</t>
  </si>
  <si>
    <t>D. Antonio Ra</t>
  </si>
  <si>
    <t>…P R E S ID E N T E : Se procede á la discusión del dictá­ ¡o prevenido en la regla 5.a del art. 5 i del reglamento provisio­ El Sr. O T A Z U manifestó que la comisión estaba entera­ men de la comisión de Actas sobre las del Sr. D. Antonio Ra­ nal para la administración de justicia; pero que al mismo tiem­ mente conforme con los principios del Sr. González; pero que mírez de Arellano, Diputado electo por la provincia de Cór­ po si habia alguna acusación contra m í, pedia se afianzase de era necesario que tuviese presente e…</t>
  </si>
  <si>
    <t>RA, Ministro de la GUER</t>
  </si>
  <si>
    <t>Ministro de la GUER RA</t>
  </si>
  <si>
    <t>…En toda su pureza. las sustancias animales podridas y esparcidas por los cam­ El Sr. O L O Z A G A : ¿Cómo? to?.... En este punto no conoce aquella sus intereses: una pos ha sido en todos tiempos reconocida. A proporción El Sr. Ministro de la GUER RA : Eu toda su pureza. pieza en dos actos no dara mas de dos entradas; una bue­ que nos retiramos de la zona templada, se va perdiendo El Í5r. O L O Z A G A : Como lo supoogo, como es preciso, na comedia proporcionara doble por lo menos. ¿Por qué la presencia de los buitres, ha…</t>
  </si>
  <si>
    <t>Racyneiki</t>
  </si>
  <si>
    <t>…y a que hay nombrado embajador cerca de la corte de M ad rid , en este caso (en el de hallarse in f r a g a n t i ) , y en el de ser pro­ Pasemos á ver la segunda, en la cual se hace una indicación y se dice que es este el conde Racyneiki. {J. des Debats.) cesados ó arrestados cuando estuvieren cerradas las Cortes, se particular que corresponde á los jueces que conocen de causas deberá dar cuenta lo mas pronto posible al respectivo cuerpo de Diputados. Yo no puedo menos de extrañar que á la ilu s­ para su conocimiento y r…</t>
  </si>
  <si>
    <t>Raday</t>
  </si>
  <si>
    <t>…osicio­ El comité de la Dieta acaba de ponerse en pugna abierta S. A. I. concluyó su discurso hacieodo votos sinceros por nes, que por lo visto no están dispuestos á abandonar, des­ con el Gobierno por la elección del conde de Raday para la di­ la prosperidad de la universidad y de la ciudad de Oxford , vol­ putación. Ayer se dio lectura ante el primero de un rescripto en em peñando cada uno el papel que había escogido en las viendo á ocupar su asiento al ruido de los aplausos y de los el cual se dice que el conde Ged…</t>
  </si>
  <si>
    <t>…al ma­ rando que la comisión de Pesth debe proceder inmediatamente Hasta ahora se habia puesto en duda que una fragata corro no.—En Palacio a 20 de Agosto de 1839.=A D. Evaristo á la elección Je un Diputado en reemplazo del conde Raday, la Nereida pudiese pasar la barra que existe á la entrada de, contra quien se está procediendo criminalmente. este solo puerto de todo el golfo de Méjico , donde los grandes Perez de Castro, Presidente del Consejo de Ministros. navios hallan un abrigo seguro. La cuestión está ahora resuel­…</t>
  </si>
  <si>
    <t>Raeza</t>
  </si>
  <si>
    <t>…la de r e ­ quía , y que en algunos puntos esto paueerá demasiado. Por lo mo el Gobierno necesitan saber Ja opinión del pais, y no creo caud ación, pues también tenían parte en ella los ayuntam ien­ demas para satisfacer al Sr. Raeza se poce en el articulo m a­ que haya otro conducto mas seguro que el de estas corporacio­ tos , diciendo por último que por parte entendía el Gobierno yores contribuyentes del pueblo ó distrito m unicipal; para sa­ nes que son las que mas conocimiento tienen de las necesidades lo mismo que i…</t>
  </si>
  <si>
    <t>Raf</t>
  </si>
  <si>
    <t>…abl eci mi ent o, sin que precisamente premio que el anteri or. e x- g ob e r n a dor de A n d r i n ó p o ü ; Hafiz • bajá , general del e j é r c i ­ se la garanti zase un feliz resultado. As i q u e , solo costeó a l g u ­ D. Raf ael Gonzál ez, cinco años de e d a d , número pri me ro to que está h oy al frente de I b r a h i t n - b a j á ; R i f a l h - b e y , e m ­ nos útiles y libros ,■prefijando al preceptor el corto periodo de de la tercera c l a s e , por su apli caci ón y mérito en leer en el c a ­ bajador en…</t>
  </si>
  <si>
    <t>Rafael</t>
  </si>
  <si>
    <t>…vir­ inmortalizando á su autor honran al pais á que pertenece. E l razón que al cabo habría de terminar e&gt;ta contienda , abrazán­ tud de una l e y , pueda perjudicar en lo mas mínimo al c u m ­ infatigable é ingenioso grabador D. Rafael E steve, después de dose como hermanos los que el dia antes peleaban como ene­ plimiento de lo pactado, ó de lo que en adelante legítimamen­ prolijos y bien aprovechados estudios , después de largos años migos. te se pactare, cuyo exacto y fiel cumnlimiento se deriva de de afortunada práctica…</t>
  </si>
  <si>
    <t>…ión de S. A. R, la admirable resignación con que so­ También han merecido mención honorífica D. Luis Bor- aquellas provincias de tanta riqueza y población. portaban su miseria. Añaden que es preciso haber visto esto de deore, D. Rafael M artínez; Sres. vicario del hospital, D. Fa- El Sr. M A D O Z se adhiere á esta interpelación. cerca para formarse una idea de la energía y constancia que bio Bucelli, D . Joaquin Cabrera , Félix M onge, Bautista Gi- Se procede á la~órden del dia , y leído un dictámen de la tienen en Africa…</t>
  </si>
  <si>
    <t>…rno 10. 8 Principia en el portillo de Embajadores y sube por la mis­ 1 124,161 29 de Febrero de 1856. 712.. 15 Retrato de D. Juan Palomino, precio 2 rs. ma calle acera de la derecha á la de Toledo, calle Imperial, Retrato de D. Rafael M engs, precio 2 rs. plaza de Provincia, calle de Atocha, Concepción Gerdníma, Trece estampas grabadas al agua fuerte de varios pensa- Barrio Nuevo, los Remedios y la de Atocha á la puerta del p O R providencia del Sr. intendente de Rentas de esta pro­ mientos, por D. Ramón Bayeu , precio 1…</t>
  </si>
  <si>
    <t>…miento de V ille g a s , D. Lorenzo M a r a c i, D. Andrés M a r t i, D . Ju a u G a- en otros, como sucede en casi todas las galerías de p in tu ­ los ind ivid uo s que han de componer las diputaciones pro­ r a y y C a sa !, D. Rafael C añavera! y D. Francisco Ja v ie r S á n ­ ras , excepto la del L o u v re , pues de otro modo seria su- vinciales. (N úm . 1815.) ch ez, que aparecen endosantes de varios créditos de deuda sin perfiua la rica colgadura de sed a, y bastaría solamente en- Real decreto adm itiendo al tenient…</t>
  </si>
  <si>
    <t>…nuevos antecedentes y leales informes he visto y cionales. Se distribuyeron al pueblo muchas proclam as, y se separados por consecuencia del tratado celebrado entre la Bélgi­ conocido que el teniente general gefe del E. M. G. D. Rafael hicieron algunas prisiones: en todas partes desplegó la au to ri­ ca y las cinco Potencias y entre la Bélgica y la H olanda, que M arotn ha obrado con la plenitud de sus atribuciones y g u ia­ dad grandes fuerzas militares. La noche se ha pasado con tra n ­ gozan de la calidad de ciudadanos…</t>
  </si>
  <si>
    <t>…virtud de las facultades con que me ha reves­ T U R Q U IA . do presentada á SS. MM. Dicha señora es muger de un a n ti­ tido él Gobierno de S. M . , he celebrado con el teniente gene­ guo capitán de la marina mercante. ral D. Rafael M aroto, gefe superior que fue de las fuerzas ene­ Constantinopia 51 de Julio. Al salir de Cayeux fue el Rey á visitar un pequeño lago migas. situado entre Cayeux y la aldea de Auld. SS. MM. volvieron En su consecuencia han concurrido hoy á esta villa cinco Hoy ha partido para Alejandría Mr…</t>
  </si>
  <si>
    <t>…n Vergara por el Excmo. Sr. duque de la V ic- tiene tólicos del pais. No puede dejar de presumirse que esta reunión premo tribunal de Justicia lo conveniente; y conformán­ roto, toria y el teniente geueral del ejército enemigo D. Rafael M a- un fin religioso y político, con tanto mas fundamento, pues aunque en todo evento era incuestionable el triun­ cuanto que la presencia de Mr. O ’Connell en dicho punto da dote S. M. con su parecer, se ha servido mandar que los : dé las armas nacionales , tan extraordinario acontecimient…</t>
  </si>
  <si>
    <t>…en rústica. SU IZA. cupones al contado: 2 1 , 20 treintaiun treiutaidosavos, f , 2 l Memoria sobre el comercio y navegación de las Islas F i lip i ­ un dieziseisavo , f ¿ , § , f , £ y 21 * á v. f. ó vol. y firme: n as, por D. Rafael D iaz A r e n a s , comendador de la orden Z urich 20 d e M arzo . [i 9 y 21 once dieziseisavos á v. f. ó vol. á prima de americana de Isabel la Católica. Su precio 11 rs. en rústica. f y i Por 190 con cupones. Se venden en la librería de Sánchez, calle de la Concepción. El gran consejo se…</t>
  </si>
  <si>
    <t>…, cuyo número llega á 9 0 0 , de ese ilustre capitán general duque de la Victoria y el teniente ge­ El Sr. Secretario FELIU dice que ha declarado la votación pueblo heroico que tiene todas mis afecciones y la considera­ neral D. Rafael M afoto, respetando la Constitución política en sentido de que no se lea la enmienda. ción de la nación entera , que ha contribuido con su resistencia de la Monarquía de 1857, qué todos hemos jurado observar El Sr. PRESID EN TE: Sírvanse Y . SS. tomar la posición y sacrificios á consolidar e…</t>
  </si>
  <si>
    <t>…o del presente a n o , entre el ilustre cap itan general duque Señores que dijeron sí: R uiz del Arbol , M a d o z , R odríguez ño res, publicó pocos dias antes de los sucesos de V erg ara una la Victoria y el teniente general D. Rafael M a r o t o , respetan­ L e a l , C a m p u z a n o , A yllon , Fernandez , M e n d iz a b a l, S u rrá y proclama m u y notable , la cual considero yo como la in tim a ­ do la Constitución política de la monarquía de 1857 que to­ R ull. ción y el u l t im á tu m de ese ilustre guerrero. Y o…</t>
  </si>
  <si>
    <t>…D. J o a q u ín M ed ran o y D. M arian o M edrano. y armonía que se nota en sus obras. Si alg un a persona de j u i ­ en su género de lo mejor de la exposición. L a copia del cuadro E n discursos pronunciados en los exámenes.—D. Rafael cio pudiese d u d s r por un momento de la exactitud de esta ob­ de Teniers de S. P edro librado d e la prisión p o r un á n g el es A g u irre , D. M anuel A g u irr e y D. Francisco M illan. servación , wo tiene m a s q u e com parar las producciones del se­ muy exacta , porque conserva el…</t>
  </si>
  <si>
    <t>…ion militar del gran colegio de cabullería de tual luego que se recibió el oficio deJ Excmo. Sr. general en Sau m u r. Y p*ra que ni aun lo duden los mismos veterinarios g e f e , al que acó.* pañaba el convenio celebrado con D. Rafael fácilmente pad ráu recordar que h o u r g e l d t f u o d a d o r de da esJ M areta, L a pura á !f g n a «s veia rsirataíSa e a l o s semblan*</t>
  </si>
  <si>
    <t>…de l8 5 9 .= P io Pita. del distrito de Navahermosa , D. Antouio A m ie b a , la salida á las dos de la mañana del 4 de la compañía de tiradores de Casti­ EN EL SUNTUOSO SALON DE VILLAH E RM O SA. lla al mando de su capitán D. Rafael G arc ía, logró este encon­ trar en el punto que le habia indicado una g av illa de facciosos, H oy domingo 10 se verificará el quinto baile de los anun­ que cargó y puso en precipitada f u g a , siendo el resultado de ciados en este local. Hoy hemos recibido periódicos de París del 30 y d…</t>
  </si>
  <si>
    <t>…El Sr. C ISCA R, Secretario de la comisión encargada de m ar, término de San M artin de Bolera , provincia de Gerona, y se le ha admitido eo 21 de dicho mes. ’ informar sobre el proyecto retativo á la concesión de uua pen­ por D. Rafael X aubet y compañía, en el dia 17. Tarragona El mismo ha denunciado una oficina de beneficio abando­ sión á la Sra. Doña Luisa Oráa y Erice, viuda del general Don 51 de Agosto de l859.=:Casiano de Prado. nada en término de la expresada villa, en el sitio llamado el Froilan Mendez Vigo, leyó el…</t>
  </si>
  <si>
    <t>…Constitución de 1,8 3 7 . nacionales duque de la Victoria y el gefe superior que fue de monarquía. Badajoz 7 de Setiembre de 1859.=Señora.z=A L. Feliz V. M. y felices los españoles todos , pues tan próxi­ las fuerzas eoemigas D. Rafael M aroto; esta corporación, im ­ R. P. de V . M.=:Santi ago Mendez V ig o . I mos nos vemos y a al disfrute de tal cúmulo de bienes y á los pelida por el general aplauso y entusiasmo con que los habi­ infinitos que serán consecuencia infalible de las generosas fa ti­ tantes de esta provincia…</t>
  </si>
  <si>
    <t>…ido recibido el convenio celebrado entre V. E. y el gefe supe­ El Sr. C E B A L L O S: Es un negocio que afecta á mi honor: cultades , necesitaba hacer esta explicación para que cuando los rior que fue de las fuerzas enemigas D. Rafael M aroto, la, di­ suplico á V. S. me permita decir dos palabras; que yo si me he Sres. Diputados vengan á la mesa y tomen expedientes, tengan putación tiene por un deber de la gratitud y del reconocimien­ opuesto á la candidatura del Sr. Elipe no he calumniado..... cuidado de avisar cuándo lo…</t>
  </si>
  <si>
    <t>…y secun­ Joaquín Martínez de Medinilla, y en observación al mismo por sus anchuras, hueso y sanidad. Se declaran desde lue­ den con mayor actividad y acierto las intenciones de S. M. fuerte, y al otro lado de la ría al coronel D. Rafael O -L a u - g o inútiles los que padezcan asma, m uermo confirm ado y para que la ley tenga el resultado que S. M. apete­ lor , con el provincial de Granada que manda. vejigas anquilosadas, y los de cojera incurable por rotu­ ce. En consecuencia de la misma* le y , y deseando S. M. Al aproxima…</t>
  </si>
  <si>
    <t>…dram á­ H an seguido presentándose casos de ataques cerebrales de ticos de siglos anteriores, y asunto que excitó, no ha mucho, toda especie, algunos d e ellos m uy extensos, y muchos de Asimismo se c h a , llam a y emplaza á D. Rafael M uriel, la noble emulación de algunos poetas contemporáneos que sobre erupciones cutáneas, en especial de saram pión, aun en perso­ D. José M aría de Z av ala, D. José López, D. M anuel I tu rri- él escribieron poemas de conocido mérito , á propuesta de la nas jovenes ^hallándose n n gran n…</t>
  </si>
  <si>
    <t>…de sentir que en chos, he examinado personalmente, y con una escrupulosa afeo-* , producida por un objeto de humanidad , se ha­ cion, bs disposiciones populares, y este examen roe ba píopc-r- lum na, al mando del comandante D. Rafael T rabado, á quien yan verificado escenas muy vivas, sobre todo con motivo de la cionado el descubrimiento de un «síntoma nuevo. comisionó para batir las sierras de Yébenes , se encontró á las eíé cion de presidente. Mr. O ’Connell, que debia presidir la dos de la noche del 4 en Ia sierra de…</t>
  </si>
  <si>
    <t>…que se recibió la Precios de suscripción: en M adrid 4 rs* M naes y 56 por un plausible noticia del convenio celebrado entre el duque de la año. En las provincias 24 rs. por seis meses, franco de porte. V ictoria y el general D. Rafael M aroto, dispuso el ayu n ta­ H ay colecciones desde principio de la segunda serie. miento se procediese á la publicación solemne de la Paz. Por la Habiéndose denunciado ante el señor alcalde constitucio­ tarde se cantó con igual solemnidad un T e Deum en la in sig­ nal de esta M.' H. villa ,…</t>
  </si>
  <si>
    <t>…itué , segundo • D. Luis este anuncio en la Gaceta Puede que otros, mas rígidos censores, se atrevan á señalar S. Juan algunas faltas; no negaremos nosotros el que el drama las tenga, Yotn, tercero D. Pedro Lasala, c u a r t o D Rafael ciéndolo por sí ó por medioy Diario de avisos de esta capital, ha­ de apoderado autorizado competen* pero no por eso dejaremos de felicitar al Sr. de Figueroa por su Tolosana, quinto D. Voto N azarre, sexto D. Geróuiuio La- temente,a las diez de la mañana; apercibido que de no hacerlo se pri…</t>
  </si>
  <si>
    <t>…ión de contabilidad, de la V i Gobierno; del v a lo r y prudencia del invicto duque V icto ria y el teniente general, gefe superior que fue de las c t o r i a , y del heroico ejército que d irig e; pero debe fuerzas enemigas, D. Rafael M a r o t o , y el grito mágico de paz atendiendo á que las contadurías generales de Valores y confesar que ese inmortal tratado de Y e r g a r a le sorprendió. resuena desde la cumbre del Piren e hasta las Columnas de Distribución por su mismo instituto deben facilitar ai Mi­ Se ha visto mas…</t>
  </si>
  <si>
    <t>…igual por los pueblos de esta A nto nio José Godinez y D. Higinio García de Borunda, y del O jalá, Señora, veamos pronto cumplidas nuestras halagüe­ provincia, será célebre en los fastos de la historia, y su cele­ secretado D. Rafael D íaz de R iv e ra ; verificándolo el presiden­ ñas esperanzas; y do quier que antes en el suelo regado con san­ bridad será tan grande , como inestimable es el don que por él te eu estos términos : gre española brotaban el luto y la aflicción , ahora renazcan la se noj prepara, b í , Señora…</t>
  </si>
  <si>
    <t>…or el esclare­ balleresco: D. Pedro sin sus frecuentes arrebatos, á las veces cido duque de la Victoria con el geueral en gefe de las fuer­ TEATROS. 1 iju'.tilicados, seria perfecto. De propóúto hemos dejado para zas enemigas D. Rafael M a ro to , y la sincera y tierna recon­ lo último el del R ey, porque le juzgamos el menos bueno. El ciliación que se ha verificado entre los soldados, que pocos dias PRINCIPE. A las siete y media de la noche. Después de Sr. Zorrilla, que tanto desden manifiesta h ácia los tipos fran ­ ant…</t>
  </si>
  <si>
    <t>…s, por idem. Consejo de Ministro . El consejero &amp;c. (Diario do Guverno.) ellos juzgaremos, deseando ardientemente que nunca llegue el D. José R e x ac h , por idem. caso de que nos veamos en la precisión, cumpliendo con nues­ D. Rafael C om as, por idem. tro deber de escritores públicos, de negarle nuestro apoyo con­ Doña Teresa M o y , por idem. Y a están confiados á nuevas manos los asuntos gub ernati­ virtiéndose en censores suyos. (O D i r e c to r .) D. Tomas G enover, por idem. vos de la nación portuguesa. Ceso por…</t>
  </si>
  <si>
    <t>…este convenio cuantos se pasea á una N úm . 5.° Yoluntarios fieles vascongados y navarros.nEl ti otra parte no tendrán derecho á ser tratados como prisione­ M añana viernes 1.° de M arzo dará principio á las siete y general D. Rafael M aroto, abusando del modo mas pérfido é ros de guerra , si son cogidos, y sufrirán la pena que les m ar­ media de la noche las lecciones de arqueología de las artes, sus­ indigno de la confianza y la bondad con que le habia distin­ ca la ley establecida por el que los aprehenda. pendidas ha…</t>
  </si>
  <si>
    <t>…paso conciliador. ves calamidades que han pasado por nosotros de seis meses á cia en los barros de aquel famoso pueblo. Por otra parte se ha celebrado un D ivan solemne en Cons­ este día. Al lado siempre del teniente general D. Rafael M a ro - Una asa de una ánfora de barro c o m ú n , de ocho pulgadas ta n tin o p la, donde se ha decidido por todos los altos dignatarios fco , he allanado las dificultades que algunos dias se advirtieron, de largo y cinco de circunferencia ; tiene impreso con caracté­ y los principales ul…</t>
  </si>
  <si>
    <t>…tros, alé­ jese de Calatayud, porque cada uno de sus habitantes va á ser Comprende varios decretos, órdenes y circulares del desde ahora rígido fiscal , que celará por descubrirle , y enton­ Asimismo se cita, llama y emplaza á D. Rafael M urie!,D on Gobierno y de las direcciones generales. ces , ¡desgraciado! caerá sobre su cabeza la espada de la justicia José Maris de Zavala, D. José López, D. Manuel Iturriria y con la velocidad del rayo. No se diga de hoy en adelante en­ Doña María Algeciras, para que en término de nueve d…</t>
  </si>
  <si>
    <t>Rafael, D.</t>
  </si>
  <si>
    <t>D. Rafael</t>
  </si>
  <si>
    <t>…r subir y bajar las arañas.......... . . . 69 Por el alquiler y conducción de 100 6. Un cuadro pintado al óleo por S. M. la Reina Gole - sillas....................... .......................... 152 nadora, tocó la suerte al Sr. D. Rafael dé Bustos y Castillo. M A D R I D 1 8 DE JUNIO. Por poner y quitar la alfombra de la 587. Una parra dentro de un fanal, al Sr. D. José de Saft escalera.............. 200 Millan. 696. Un calientapiés de paño bordado, á la Sra. Doña Esta tarde á las siete se ha dignado S. M. la augusta P…</t>
  </si>
  <si>
    <t>Rafael, D. José Rodríguez Calonge. Sr. D.</t>
  </si>
  <si>
    <t>D. José Rodríguez Calonge. Sr. D. Rafael</t>
  </si>
  <si>
    <t>…el palacio de Villa­ La Sra. esposa del Excmo. Sr. D. Pió 859. Un almohadón bordado de recortes de terciopelo, oro hermosa á benefició de la Inclusa de esa corte . Pita Pizarro. ..................... .. 4• 140 y perlas , al Sr. D. José Rodríguez Calonge. Sr. D. Rafael Bustos y Castillo, al 530. Una jardinera de laca con flores , al Sr. marques de CARG O. recoger el cuadro pintado por S. M. •4 160 Iturbieta. De 952 billetes que entraron en suer- ■ Lá Excma. Sra. marquesa viuda de 502. Una banqueta bordada de lanas finas…</t>
  </si>
  <si>
    <t>Rafael, Villaoguina y S.</t>
  </si>
  <si>
    <t>Villaoguina y S. Rafael</t>
  </si>
  <si>
    <t>…dional? ¿Por qué no se enviarán cuyo establecimiento se están reclamando, en el pleito seguido donde están situadas las minas del Perú. Los productos alli misioneros católicos? ¿No parece indicada esta marcha por el Sr. conde de Villaoguina y S. Rafael contra el capellán vegetales de las vastas comarcas sometidas al Portugal, por los buenos sucesos que obtuvieron los españoles, quie­ ymayor corte del convento de religiosas de la Encarnación de la villa de Madrid , á fin de que por sí ó por medio de apode­ permanecerán i…</t>
  </si>
  <si>
    <t>Ragusa</t>
  </si>
  <si>
    <t>…e europea. En Uiikiar-Skeleissi no hay en Constantinopla, según la significa­ es oecesario hacer de él una rápida iñencion : queremos hablar pocas palabras, nada para nosotros eo Oriente, ó alguna cosa tiva expresión del duque de Ragusa , mas que un gobierno mu­ del tratado de comercio hecho por Inglaterra con la Puerta , y para nosotros en Occidente. nicipal. La Potencia que después de la Turquía ha recibido al cual hemos adherido. La política mas prudente y mas natural consiste en consti­ mas daño por este tratado ha sido…</t>
  </si>
  <si>
    <t>Ram</t>
  </si>
  <si>
    <t>…V én d ese á 4 rs. de la d ire ccio o . en los alm acenes de m ú sica de C a r r a f a , ca lle del P r ín c ip e , n ú ­ m ero 1 5 , y en loa de L o d re y M i n t e g u i , ca rre ra de S . G e ­ ró n im o. P oesías d e D. Ram ón C am poam or. A ten eo d e M a d rid . U no de los jóvenes qu e mas no tablemen te se d is tin g u e n e n ­ tre nosotros por el halag o y amenidad de su poesía es nuestro E sta corp oraci ón celebra su j u n t a general el sábado 2 1 del am ig o el S r. Gam poam or. V a r i a s y repetido…</t>
  </si>
  <si>
    <t>…­ del t ra t a d o , y es cabalm ente lo que está pisando. d u d e de la auto rizació n que se da por este p árrafo para hacer lo g rad a. U n a persooa poco conocida hasta ento nces, levantó En esta p arte y o se g u iré al Sr. Ram onet en la teoría m is­ y ratificar la p a z , esta ú otra c u a lq u ie r a que por desgracia ó u n a n ueva bandera en que sé qu e m an ifestab a en su proclam a m a que h a sentado sobre el modo de hacerse un trata d o de por fo rtu n a so b re v in ie r e , dan d o después c ue n ta d o cu…</t>
  </si>
  <si>
    <t>…medite con detención, pues de sión , para que admitiéndose á ese señ or, no sucediese lo que la palabra , se declaró haber lu gar á votar sobre este dictámen, ningun a manera quería que el Gobierno fuese sorprendido. con el Sr. Ram írez de Arellano ; pues debe cortar el Congreso y decidiéodose que fuese nominal la v otació n, á petición del El Sr. ONDE V IL L A contesta diciendo que la mesa al pro­ por cuantos medios están á su alcance que se arranque de su Sr. Barrio A y uso , fue aprobado por 7 6 votos contra siete. po…</t>
  </si>
  <si>
    <t>…n marcha para apoderarse del fuerte de las Dos Hermanas, habiéndole dado orden que llevase á prevención dos piezas de b a tir , aunque no dudo 7a que á Ja sola aproximación de las tropas será abandonado ó rendido. E l general D. Ram ón Castañeda , que con la 4 a división de su mando penetró por la B oru n d a, se halla sobre Estella, cuya plaza caerá pronto en nuestro poder, lo mismo que el castillo de G u e v a r a , que hace algunos dias bloquea el mariscal de campo D . Gregorio Piquero, comandante general de la provincia…</t>
  </si>
  <si>
    <t>…la comisión ; en tal estado ruego al Congreso que desde ir á dar una declaración, mas sin embargo que si la sumaria o esta especie de averiguación lo exigía, iria no obstante el estado cia de los tribunales con la causa del Sr. Ram írez, pues la com­ hoy ó mañana se ponga á discusión la segunda parte de la ley de los caminos. Con fecha 15 de Agosto se me volvió á notificar petencia está , enquelanocausa que se formó sobre este asunto. Por de ay untamientos que es la ley de atribuciones; se seguirá la me presentase dentro…</t>
  </si>
  <si>
    <t>Ram, D.</t>
  </si>
  <si>
    <t>D. Ram</t>
  </si>
  <si>
    <t>…h ab ia dos Senadores que los Sres. D iputados son agraciados por el Gobierno una ex­ éste articulo el Sr. Ojero ¡'.izo dos observaciones acerca del nbm- que opinasen dé! mismo m odo: que siendo una ley dé ta n ­ posición del Sr. D. Ram ón L a s a g r a , fecha en P a ris , m anifes­ bramiento de los in dividuo s de ay u n ta m ie n to : prim era acerca ta trascendencia la que se estaba d iscu tien d o , debería huirse de tando haber renunciado la gracia que se le ha concedido por de que no siendo de sus atribuciones lo que…</t>
  </si>
  <si>
    <t>Ram, Francisco</t>
  </si>
  <si>
    <t>Francisco Ram</t>
  </si>
  <si>
    <t>…rangeros. las medidas locales de desinfección. El Senador M anuel Alves Bsanco, de H acienda. A rtículo adicional. Queda expresamente entendido qué los Por cada fardo que pese de 1 oque ¿ 4 0 ........................... 4 El Sr. Francisco Ram iro de Assiz Coelho, de Ju sticia. almacenes que se han de construir en Feaer-Backtché , confor­ Idem de 41 oques á 8 0 ...................................... 8 El conde de Lagos continuaba en el m inisterio de la G uer­ me al art. 3.°, serán de fábrica de piedra. Los señores delega­ I…</t>
  </si>
  <si>
    <t>Ram, Gregorio</t>
  </si>
  <si>
    <t>Gregorio Ram</t>
  </si>
  <si>
    <t>…tra el departamento de obras públicas una suma de 25S) fr. quedó aprobada. que de común acuerdo entre la m unicipalidad y los ingenieros Procediéndose al orden del dia , se puso á discusión el dic­ an u n c io , en la casa de D. Gregorio Ram írez y Perez , uno de m arítim os debe invertirse toda en hacer terraplenes. tamen de la comisión , acerca del proyecto de ley presentado los sín dico s, sita en la calle de la P az, niím . 6 , cuarto 2.° de la d erech a, desde las nueve de la m añana hasta la una de la Estas obras ser…</t>
  </si>
  <si>
    <t>RAMAT</t>
  </si>
  <si>
    <t>…t i -,ti» tan precisa es la economía del tiem po, han llegado á persua­ B IBLIO GRAFIA . dirse las gentes de lo absurda que es semejante aserción. Bieu Ateneo científico , literario y artístico de M adrid, R E P E R T O R I O D R A M A TIC O . El editor de esta colección, conocenes esta los que tal enseñanza profesan lo asequible y fácil que brevedad; mas para conseguirla era necesario un libro El sábado 8 dará su última lección de literatura éxtrángera que tan benigna acogida ha merecido en toda España, nb que marcase…</t>
  </si>
  <si>
    <t>…prueba la superioridad y la noble osadía de la á las once de la mañana pira que en la plaza de la Constitución inteligencia humana. se efectúe la solemne quema de documentos de la deuda pública D E L A S M E JO R E S O B R A S D R A M A TIC A S Empiezan estos elementos por una breve explicación de los no endosable, contenidos en el suplemento á la Gaceta de 28 de instrumentos astronómicos, para la cual expone como prelimi­ Marzo próximo pasado. Lo que se hace saber al público para su TEARO DEL nar necesario las leyes de…</t>
  </si>
  <si>
    <t>RAMATI</t>
  </si>
  <si>
    <t>…conmovido por otra del peligro que corre el honor de su h erm an a, á quien am a. el M onarca, Picaro entra aquí mas roto se vale de medios exquisitos para couseguir que el R ey le li­ que tostador de castañas. G A L E R IA D R A M A T IC A . berte del peso de la p rivanza. Es pues comedia de costumbres ¡ B r a v a calle! y del género m o ra l, y de las pocas de Tirso en que la fábula Es la mayor , T eatro esco gid o d el m aestro 'Tirso d e Mblina.zzTomo n .= está disp uesta'co a regu larid a d y corrección. El desenl…</t>
  </si>
  <si>
    <t>RAMATICA</t>
  </si>
  <si>
    <t>…ebajo del retrato de la famosa escritora, hecho por ” "^21 Dharpentier ; dice a s í : que también entre otros firmó el Sr. D. J u a n Nicasio Gallegos, pidiendo que se abriese una suscripción entre los socios de la CR O N IC A D R A M A T I C A . corporación, sin duda con el objeto de proporcionar á Esqui­ F em ina f r o n t e p a t e t , v i r p e c t o r e , c a r m i n e m usa . vel los recursos necesarios para emprender un viaje á París ó La semana que acaba de trascurrir ha sido poco fecunda en Londres en busca de fac…</t>
  </si>
  <si>
    <t>RAMI</t>
  </si>
  <si>
    <t>…yo­ El Senado aprobó la adición de esta* palabras ¿ la disposi­ {Lo leyó.) Esto es lo que previene el reglamento. La interpela­ ría de la comisión. ción 2.a ción de Y. S. está hecha el 21 , y tanto de esta como de las que Ei Sr. R A M IR E Z D E A R E L L A N O : Doy gracias al El Sr. P R E S ID E N T E : Abrese la discusión sobre el pro­ tienen hechas varios señores se ha dado cuenta al Gobierno; de Con greso por el honor que rne ha dispensado de admitirme en yecto de ley relativo á la extracción á Portugal del corcho de…</t>
  </si>
  <si>
    <t>RAMONET</t>
  </si>
  <si>
    <t>…todas clases de que adolece en gran parte la requisición. clu ir en esto los débitos de am ortización y otros, y que siendp; PRESIDENCIA DEL SEÑOR ISTURTZ. esta ciudad con poca diferencia en su población á la de Zaragow El Sr. R A M O N E T : No tienen contestación las razones z a , venia á resultar que todo el Aragón no debia la tercera que acaba de expresar el Sr. preopinante, tanto por el interés Sesión d e l dia 7 d e E n ero . parte que la provincia de M álaga. Que en esto no culpaba á loa del establecim iento de la…</t>
  </si>
  <si>
    <t>…de respon­ cación que se ha servido leer el Sr. Presidente del Consejo de Se leyó el art 7.° sabilidad é inamovilidad de los jueces y arreglo general de es­ M inistros, por la cual se manifiesta el completo triunfo del I El Sr. R A M O N E T hizo algunas observaciones al párrafo cribanos , y en la contestación que corresponde á este párrafo trono. acerca de la propiedad del lenguaje empleado en el mismo, á se dice que el Senado se ocupará en la discusión de los códigos Volvieron por segunda vez los Sres. Senadores á vict…</t>
  </si>
  <si>
    <t>…. tienen qu e fijar d e fin itivam en te la cuestión. Rectifica varios hechos el Sr. L a n d e r o . T am po co creo oportuno remontarme á la h isto ria de los A l proponer semejante medio , se propuso un m o tiv o deco­ El Sr. R A M O N E T : S e ñ o re s , c u an do se abrió esta d i s c u ­ fuero s, c it a r con p ro lijid a d la época de su origen y demas c i r ­ roso, y en d a r tam b ién un premio á los valientes q u e profesan sión desistí de tom ar parte en ella por no d istraerla del g ir o c u n stancias p a r t…</t>
  </si>
  <si>
    <t>Ramonet</t>
  </si>
  <si>
    <t>…el Sr. marques de Montesa, tura para dirigirse á V. M. por sí y á nombre de este vecin­ y á la 1.a el Sr. Ferraz. dario , que rebosa de júbilo en anunciar tan sencilla felicitación, Pasó á las secciones una proposición del Sr. Ramonet para rogando á V. M. se digne acogerla con su nunca desmentida que se nombre una comisión de Corrección de estilo. C O NG R ESO D E D IP U T A D O S . benevolencia , en tanto que reiteran los mas ardientes votos por Se dio cuenta, y fueron aprobados los dictámenes de la co­ las preciosas…</t>
  </si>
  <si>
    <t>Ramos</t>
  </si>
  <si>
    <t>…encia fue nu ­ segunda dama duende, elegante y acertadamente acomo­ merosísima y brillante, y tuvo motivo para no salir des­ dada a nuestra escena por D. Ventura de la Vega, á Le Po­ contenta del conjunto total de aquella. El Sr. Ramos gustó BUENA-VISTA. A las ocho y media de ht noche. Des­ int no note; en ambas se han conservado la intriga y la mucho en el cuarteto de salida, que cantó con exquisi­ pués de una brillante sinfonía se pondrá en escena el drama marcha de los acontecimientos, pero rectificándolas en to método y…</t>
  </si>
  <si>
    <t>…uncio á cualquiera persona 5.° C avatina en la ópera M ARIN O F A L IE R O , del mis­ absolutam ente falso , y en prueba de ello podemos asegu­ que tenga noticia de los créditos que á continuación se expre­ mo maestro, por el Sr. Ramos ; con decoración y trajes. ra r que de bastante tiem po a esta p arte no ha habido ofi­ sarán , ó se crea con derecho á los mismos, los cuales parece 4.0 Dúo en la ópera P A R IS IN A , del mismo m aestro, por ciales franceses con misión de n in g u n a especie cerca de fueron quemados por la…</t>
  </si>
  <si>
    <t>…cipales á los niños en las máximas de nuestra Vitoria 14 de Mayo. Concebida con anticipación por el alumnos. religión sacrosanta, únicas capaces de formar buenos ciu­ Excmo. Sr. comandante general de esta provincia y el coronel Ramos accesorios o de adorno. dadanos, hombres irreprensibles en cualquiera estado en D . Martin Zurbano la idea de demoler la fortificación cons­ que la Providencia los coloque, y á propósito para hacer truida por los enemigos en el pueblo de Gainarra mayor, sa­ Las materias que abrazará esta ens…</t>
  </si>
  <si>
    <t>Ramos, Cipriano</t>
  </si>
  <si>
    <t>Cipriano Ramos</t>
  </si>
  <si>
    <t>…la victoria. El escuadrón de lanceros de El capitán D. Rafael Acedo R ico, su caballo herido. Este atentado y los muchos que se meditaban, que afortu­ la Guardia Real y dos del regimiento de León , 2.° de ligeros, El teniente D. Cipriano Ramos, herido. nadamente se alcanzaron á evitar, exigen una pronta repara­ á las órdenes del coronel comandante de aquel D. Francisco de Los alféreces D. Victoriano Ramos y D. Jacinto María, ción : la habrá, valencianos; y para conseguirlo, asegurar la Paula Vasallo, que operaron sobre la…</t>
  </si>
  <si>
    <t>Ramos, Manuel</t>
  </si>
  <si>
    <t>Manuel Ramos</t>
  </si>
  <si>
    <t>…trava. Albacéte. gar á la formación de causa , habiendo dicho que sí lo$ tres tal modo y las opiniones sufren diariamente tales modifi­ D. D. José María R eig........................ ........ ............. Alicante. restantes D. Manuel Ramos, D. Froilan García Sánchez y Don caciones, que la huella que dejan es transitoria, y es me­ Juan José Bonel y Orbe* obispo de Cór­ Bernardo Mallo, publicándose en seguida por el Sr. presidente doba........................................................... nester criterio harto fino y…</t>
  </si>
  <si>
    <t>Ramos, Pedro</t>
  </si>
  <si>
    <t>Pedro Ramos</t>
  </si>
  <si>
    <t>…conexión con otra persona por cuerpos inter­ La columna de Monterroso, al mando del teniente coronel un cuerpo eléctrico, la pérdida de poder en aquel será menor, mediatos, y le parece ver y conocer á las personas mas distan­ D. Pedro Ramos M aíador, persiguió un grupo de rebeldes, y mucho mayor el efecto producido en este. tes. El magnetizado olvida toda ienágen grosera y sensual , y se dando muerte á cinco, y apresando sus arm as; y las tropas que 2. Fenómenos en la persona magnetizada. Los fenóme­ halla absorto en la mas…</t>
  </si>
  <si>
    <t>Ramos, Vicente</t>
  </si>
  <si>
    <t>Vicente Ramos</t>
  </si>
  <si>
    <t>…la mas dulce satisfacción, y les anuncia adelantos positivos Salamanca.^:D. José Cafranga. puntos de apoyo, sí se queria a egurar el paso de los convoyes. siguiendo constantemente el camino principiado* Cada dia se Sevilla* = D. Vicente Ramos G arcía, obispo electo de Cór­ N inguna avenida ofrece mas ventajas que la de Cardona, .si van matriculando en el instituto nuevos alumnos, y en lacla­ doba* fuera fácil establecer en este punto los almacenes de víveres y se de pensionistas se cuentan ya mas de 40. Tarragona. = D. Anto…</t>
  </si>
  <si>
    <t>Ramouet</t>
  </si>
  <si>
    <t>…repique general de campanas: el misión de Fueros, la que ha de informar sobre la proposición ie Villardeveyo y Posada, en el concejo de Llanera, de la pro¿ 29 sé celebró una misa solemne , en que se exhortó en el púl pi­ del Sr. Ramouet, y calificar la proposición del Sr. duque de Hncia de Oviedo. Rivadeo 1 .° de Setiembre de 1839.=:Guiller- to á sus vecinos á la unión fraternal bajo la enseña de la ban­ Zaragoza; y auunciando el orden del dia para la sesión del 14 11o Schulz. dera coastitücional de Isabel 11. En su noche s…</t>
  </si>
  <si>
    <t>RAMQNET</t>
  </si>
  <si>
    <t>…a r , y desplegando celo y excelente v o lu n tad , formaron el ap ro b a d a, y pasó á la comisión. tentemente eran los que estaban en las provincias; y que el reglamento. Comunicóse este á ambos Gobiernos; el español le El Sr. R A M Q N E T dijo qué á su parecer eu la parte del origen de este abandono era causado por los ay untamientos* aprobó á pocos d i a s , no asi el portugués, que estrechado por la párrafo donde se dice w ambos m a r e s” podría decirse ** ambas pues manifestó S. S. que habia uno en el reino en una…</t>
  </si>
  <si>
    <t>Ramírez</t>
  </si>
  <si>
    <t>….—El al­ cillo.zzAgustin A l a v a , beneficiado de Santa M aría del Burgo.zz de los guarda-costas puestos por el bey. calde primero, Francisco Perez de Lu cía.“ Ju an de la Cruz, hacen- Vicente V a lle jo , administrador del Sr. Ramírez, zz M anuel En Souze habrá cosa de un mes que fue sorprendido un con­ dado.zzMaouel Orozco, abogado.—Cándido Martínez, propieta­ Poyales, propietario. =z Victoriano L ó p ez, maestro albañil.z: voy de siete camellos cargados de pólvora , que de noche c a ­ rio. zzEpifanio Orobio , hacendado.…</t>
  </si>
  <si>
    <t>…M A R T IN apoya el voto particular, fundándose en va causa. Que encuentra una novedad en el tiempo trascurri­ tener mas que atribuciones de hombres del pueblo? ¿Los ay u n ­ que no habiendo recaído auto de prisión contra el Sr. Ramírez d o , pues ya en él ha debido solventarse el negocio; y por úl­ de A rellano, debe admitírsele en el Congreso, pues de lo con­ tim o , que la comisión anterior no dió el nombre de causa sino tamientos han de tener atribuciones de administración judicial trario es establecer un precedente fun…</t>
  </si>
  <si>
    <t>Ramírez, Angel</t>
  </si>
  <si>
    <t>Angel Ramírez</t>
  </si>
  <si>
    <t>…ete. L ogroño. El Príncipe R.eal ha sido nombrado Presidente del Gobier­ «D . José M aría C alatrava. « D . Pedro González V allejo, arzobispo electo de Toledo. no, que se compone de cuatro consejeros de Estado, á saber: el D. Angel Ramírez. «D . M artin Fernandez N avarrete. ronde - floseubland , M inistro de Ju stic ia ; el conde Stjemeld, A licante. M inistro de Negocios éxtrangeros; el conde Lovenhieim y el Lugo. «D . Melchor Astiz. conde Adelsward. El Rey va acompañado en su viaje por el D. José Ferriol. « D . José…</t>
  </si>
  <si>
    <t>Ramírez, D. Antonio</t>
  </si>
  <si>
    <t>D. Antonio Ramírez</t>
  </si>
  <si>
    <t>…graciadas, multitud de niños inocentes? ¿ N o han obligado al ñalaría dia para su discusión los dos dictámenes siguientes: las represalias. Esta discreción es justa , y su único límite debe Uno relativo á la exposición del Sr. D. Antonio Ramírez padre á presenciar al sacrificio de su muger, de sus hijas y ser la necesidad , pues la necesidad solo puede hacer justo el aun desús nietas? ¿ N o han sacrificado á honrados é indefen­ de Arellano para que se le permita asistir al Congreso duran­ derecho de represalias: desde…</t>
  </si>
  <si>
    <t>Ramírez, Diego María</t>
  </si>
  <si>
    <t>Diego María Ramírez</t>
  </si>
  <si>
    <t>…España y diversas y ex­ Otra id. en dicho térm ino, en el Aquilón, puerto de los D N José Alfonso, abogado de los tribunales nacionales, trañas naciones que sucesivamente la dominaron y se disputa­ Peines, La Candelaria, por D. Diego María Ramírez, en id. juez de primera instancia del partido de Quiroga , pro­ ron su fértil y dorado suelo, las guerras que tuvieron, y hé­ Otra id. en sierra y término de Benadux, cerro de la M on- vincia de Lugo en Galicia 8cc. roes que mayor renombre se grangearon por su intrepidez, asi te…</t>
  </si>
  <si>
    <t>Ramírez, José</t>
  </si>
  <si>
    <t>José Ramírez</t>
  </si>
  <si>
    <t>…stri. ces les perjudican gravemente. Es digna de todo elogio su el terremoto de 1755. D. Angel López. aplicación, asi como lo son los esfuerzos del director, quien se Sobre los referidos baños no sabemos qué juzgar cuando ai D. José Ramírez. afana por dar a su teatro toda la variedad posible. Como p rin ­ tores antiguos en las relaciones del Alcázar nada dicen de tal \ D. Lorenzo Uzelay. cipal elemento de esta , piensa aquel poner en escena gran nú­ baños que no debían pasar eo silencio, si no por el mérito ( i D. Joaquí…</t>
  </si>
  <si>
    <t>Ramón</t>
  </si>
  <si>
    <t>…................................................................ 3-090,571.. 19 Por id. al de Hacienda........................................... ............................................................. 2.28 0 ,5 5 6 .. 2 D. Ramón S an tillan , del consejo de S. M ., su secretario con ejercicio de decretos y conta­ Por libranzas de la dirección general de Rentas anuladas..................................... .. 7.454,822. . 1 dor general de distribución en comisión. Certifico: Que el anterior estado de la tesoreiía de Po…</t>
  </si>
  <si>
    <t>…Sofía , bajando humildemente los ojos para no leer Casas d e a r r e p e n t i d a s e n B é l g i c a. én los inios que yo habia descubierto la verdad de todos los El tomo 2.° del F t aje d H o l a n d a y B é l g i c a por D. Ramón sacrificios que aquellas santas mugeres se habían ipripuesto p a­ A N U N C IO S. de la Sagra está próximo á publicarse. El autor ha tenido á ra llevar adelante su laudable empresa. En el di a sus cargas no bien comunicarnos las pruebas de esta importante obra. El ar­ son ya tan considerables,…</t>
  </si>
  <si>
    <t>…ultaron tener votos los Sres. Zumalacarre­ nera á que el Congreso adopte una disposición tan conveniente, lo á que h a jiec h o réffltfeocia el Sr. A rguelles, no fue encami­ g u i 7 9 , Cortázar 1 5 , Olózaga 7 , C alatrava (D. Ramón) 1 , L ó ­ que logremos el grandioso objeto que todos se proponen. nada á lo que S. S. ha expuesto, porque esto seria mirar coa pez Pinto 1 ? y Laborda 1 , quedando por consiguiente electo El artículo 1.° del proyecto del Gobierno d ice : cc8e confir­ desprecio la ¿mportaucia de esta cuestión…</t>
  </si>
  <si>
    <t>…obra y en los cuales funda sus aserciones. 15. La falsedad de la tutela de Doña Ermesindis, viu­ por la mañana, y recorriéndolas rápidamente arrojaba las unas Esta obra se presentó á S. M. en 1833 solicitando el da del conde D. Ramón i durante el reinado de su nieto ea un enorme cesto, y pouia las otras sobre la mesa del prínci­ permiso de la dedicación, que fue concedida, prévia cen­ D. Ramón ii, por sobrenombre E l V iejo. pe. Yo admiré la extraordinaria sangre fría con que M r.de Ta­ sura, tan favorable como justa, de…</t>
  </si>
  <si>
    <t>N.° 1 5 4 6 . VIERNES 8 DE FEBRERO DE 1839. ! d ie z c u a r t o s . S. M. la R e i n a , s u augusta Madre la R e i n a G o b e r n a ­ comisos y penas pecuniarias que se impongan por delitos absuelve á D. Ramón Y arela y U llo a , editor responsable de d o ra y la Serma. Sra. Infanta Doña María Luisa Fernán- de contrabando y defraudación , sigan las disposiciones dicho im preso, y en su consecuencia mandó que se ponga in ­ que actualmente rigen hasta que se dé una ley particular m ediatam ente en li…</t>
  </si>
  <si>
    <t>…llón de Navarra con nía independiente, y el asesinato cometido por el conde marino'. y en fin, la misma costumbre de fechar los d o ­ varias compañías sueltas. Desde Llodio á Miravalles hay cuatro D. Berenguel n en su herm ano D. Ramón n , por sobre­ cumentos públicos por los años del reinado de los Reyes cuatro batallones castellanos: en Orozco dos guipuzcoanos, y adernatf nom bre Cabeza de estopa, llamado asi á causa de &amp;u rubia franceses. La comparación que hace el Sr. Bofarull de esta ocurre compañías; novedad y en Oque…</t>
  </si>
  <si>
    <t>…os un pe, Esteban, V iadera, Belinchon, V illaba, Guillen y Roda, dias,el orden se restableció en todos los p u n to s, las juntas de hombre incansable , ojala pudiera decirse de mayores talentos. Sardá, Tornprado, Calatrava (D. Ramón), Cano, L ujan, M i­ represalias desaparecieron y todas aquellas nubes de eferves­ Una expresión ha usado el Sr. Ministro de la Guerra , im ­ lagro, Montesino, Perez de R ivas, Egafia, Bmiavidos, Gil cencia que nos amenazaban. propia de toda persona versada en las prácticas parlamentarias; (…</t>
  </si>
  <si>
    <t>…btengan mas ventajosas condiciones en beneficio del periódico de novedades , fecha 6 del actual, dice : que el co­ Sangarren. Erario, y se aleje todo motivo de desconfianza acerca de mandante de una secciou de la 7.a columna , D. Ramón A lva- El Sr. M A D O Z : No he tomado la palabra para im p u g ­ rez, tuvo un choque con los rebeldes el 5 i del an terior, del nar el dictamen de la comisión, pues esta ha llenado comple­ la legalidad de estas operaciones; se ha servido mandar que resultó muerto en el campo por el sargento…</t>
  </si>
  <si>
    <t>…ú­ A R T A S PO STUM AS del conde de Chesterfield, traducidas con seis meses de anticipación, ha dispuesto que asi se verifi­ mero 59. Barcelona , Piferrer. Badajoz , viuda de Carrillo. B úr- ^ de la décima edición inglesa por D. Ramón V i lia riño. que por el tiempo de cuatro años, que darán principio á con­ gos, V illanueva C ád iz , Hortal. Coruña , Perez. G ran ada, L i­ Esta interesante obra constará de 4 ó 5 tomos en 4.* de tarse en 1 .° de Abril de 1 8 49 , y concluirán en 51 de Marzo nares. Oviedo , Longoria. Santiag…</t>
  </si>
  <si>
    <t>…ón es e s tá : ¿ f u e cu lp a b le D. B e r e n g u e l en e l a s e s i­ la probidad de los ministros sucede como con la v irtud de las hábiles en la invención de tales expedientes, visto que de otra n a to de su h erm an o D. Ramón.? mugeres: no es común que se háble mal de las fáciles. manera no pueden lograr la victoria , han principiado y a á po­ S i h u b iése m o s de estar á la m -áxim a^w f bono f u e r h ~ . ner en uso tales resortes, bien que sin resultado satisfactorio á si d eb iésem o s a t r ib u i r todo…</t>
  </si>
  <si>
    <t>…tusiasmo al oir saludar á la patria con la voz mágica de paz guientes: en tributar á mi pais este homenaje tan bien merecido. Hasta desde el campamento del invicto ejército del Norte en el cora­ Por Badajoz, Lujan y Calatrava (D. Ramón). los artículos comunicados que se han cruzado en los peródicos zón mismo del pais que priuci pal mente sostenía la guerra de Por Huesca, Ferraz, Jiménez y Perez de Rivas. han sido escritos con templanza ; no han seguido ese mismo ca­ desolación y de exterminio? No señor; es bien seguro que no…</t>
  </si>
  <si>
    <t>…régimen adm inistrativo, con arreglo á los últimos decretos é comunicación interesante á su logro, que gusten los Sres. sus- pal del ram o, calle del Lobo, núm. 8. , cuarto 2.°, apercibidos instrucciones sobre la materia , por D. Ramón M aría Cañedo. criptores, ya de Reales cédulas y órdenes oportunas, bien de de entero perjuicio, pues los reclama D. Pedro Pascual Vela Consta esta obra de 12 cuadernos en 4 o Se hallará á 7 rs. cada discursos, escritos ó informes de derecho ultram arino. como de su propiedad , y por haber sid…</t>
  </si>
  <si>
    <t>…Aplausos en los bancos de la que concurrieron á este encuentro, y hace meucion particular conozco que lord W inchelsea, la Cámara y el país todo de­ Oposición.) Señores, el remedio á este mal , si es que lealroeute del sargento Ramón M oran, el cual muerto su caballo, tendi­ ben esperar por mi parte algunas explicaciones acerca de la existe, se hallará en la prudencia, la sabiduría y firmeza del do en el suelo y acosado por tres rebeldes, se defendió, matan­ última crisis ministerial; pero en mi juicio toda explicacicn es…</t>
  </si>
  <si>
    <t>…y habién­ bién al propio tiempo para la provincia de Alava , con ánimo, dose realizado con las formalidades que la misma previene, to­ á lo que se cree, de concurrir pasando por ella á la reconcen­ có á los sugetos siguientes: D. Ramón G alindez, D. Juan de tración de fuerzas, de que parece se ocupan actualmente los Aroste^ui , D. Alfonso R u iz, D. Tomas María Z anon , Don BIB LIO G R A FIA . enemigos hacia el extremo izquierdo de la línea de nuestro ejér­ Luis Martínez Leganés, D. Miguel Serralde, D. Lorenzo Me­ cito del N…</t>
  </si>
  <si>
    <t>…. jueces D . Francisco Fernandez, guno se halla agitado de un furor mas v io le n to , cuando sabe que le es permitida la venganza. Esta com binación Títulos al portador del 5 por 100, 20J y 2 0 f con cupones mayor presidente, D. Ramón R odrigo, D. José Gómez, D on al contado: 20¿ , once dieziseisavos, quince treintaidosavos, Javier N olibós, presbítero, D. José M arco, D. Manuel Sanz, bastaba para form ar un drama excelen te, y no era nece­ trece dieziseisavos, nueve dieziseisavos, f- , quince dieziseisavos D . Ignacio Lo…</t>
  </si>
  <si>
    <t>…to suficientemente discutido, y puesto á ra educación; D. Ignacio Murgadas, negociante; D. Pedro únicamente por esto rae opongo á toda ley arbitraria donde votación el dictámen, es aprobado. Pujadas, fabricante de sombreros; D. Ramón M illa, maestro los actos no se califiquen por un tribunal expreso. Pero se dice, El Sr. PRESID EN TE: Se suspende esta discusión: conti­ sastre; D. José Vila , herbolario, y D. Jaime Menta , maestro y en esto, señores, es menester hablar con franqueza , que estos núa la que quedó ayer pendie…</t>
  </si>
  <si>
    <t>…uarde a Y. muchos años. Cuartel general de leniel 22 esta palabra envolvería un sentido muy leal y inuy recto cuan­ den.) Yo pregunto ahora, después de destruir la administración ile Diciembre de 1858.—Antonio Van-llaleu,—br. D. Ramón do la guerra fuese de nación á nación; ¿pero están por ventu­ de un pais, y de privar á los ciudadanos de la libertad polí­ Cabrera , gefe de las fuerzas enemigas de Aragón y V a len c ias ra en ese caso los J a ra s, los Pecos, esos hombres que no son tica y civil ¿qué otra medida de mas imp…</t>
  </si>
  <si>
    <t>…a o r i e n t a l , del sen combatidas; despertará un poco en los Consejos de la corona €Í espíritu de la revolución de J u lio , y sabrá im prim ir al Ga­ sa y patriótica de los Nacionales Baldomero Sánchez Ferrer y maestro D. Ramón C arnicer, á completa orquesta. Eladio M iguel. Toledo 16 de Febrero de í8 59.= M artin de Fo­ A continuación se pondrá en escena la tragedia nueva , en binete la fuerza que necesita para allanar dificultades de políti­ cinco actos, original del célebre Casimiro D elavign e, titulada ca ext…</t>
  </si>
  <si>
    <t>…secciones de uu NOTICIAS EXTRANGERAS. tados por el Gobierno al Senado en las anteriores legislaturas proyecto aun cuando el mismo Gobierno no los reproduzca , presenta bre organización de ley que presentaba el Sr. Calatrava (D. Ramón) so­ de la dirección general del tesoro público. reformado el dictámen que retiró, y opina que se dé conoci­ FRANCIA. miento al Gobierno de los proyectos de ley que haya presenta­ y pasó á las secciones. por su autor, se tomó en consideración, Apoyado brevemente do al Senado eo las anteri…</t>
  </si>
  <si>
    <t>…n en las cercanías de la calle nueva de San M e r y , notán­ se sigue á instancia de dicha señora marquesa contra el coronel y emplaza por segundo edicto y término de nueve dias, conta­ D. José Santos Ariztnendi, el escribano D. Ramón l i r i a , y el dose que muchos de ellos llevaban pistolas debajo de las blusas; dos desde la publicación del presente an un cio, á D. José Gon­ pero como no hacían ninguna demostración hostil, la tropa es­ enunciado miguelete sobre el robo de 2 0 $ pesos, hecho por el zález C a r v a ja l,…</t>
  </si>
  <si>
    <t>…lecto de Toledo, gobernador s e d e vacante.~&amp;\ secretario de ayuntam ientos , que por una parte reciben auxilio de los ad­ disciplinado ejército, que con sus esfuerzos y prudencia han Cámara y gobierno del arzobispado , D r. D. Ramón D uran de juntos, y un alivio por o t r a , fiándose á los gefes m ultitu d de sabido conducirnos á un desenlace tan feliz ! Corps. pequeñas ocupaciones de la M ilic ia. La augusta Reina Gobernadora, poseída de los sentimien­ Pero en lo que/principalmente ha fijado su atención el Go­ tos ma…</t>
  </si>
  <si>
    <t>Ramón, Antonio</t>
  </si>
  <si>
    <t>Antonio Ramón</t>
  </si>
  <si>
    <t>…o trasladar al juz­ instancia de Loja, de entrada en ia provincia distrito en que ocurra, sin perjuicio de dar los demas que 30 dias prefijados en la ley de 16 del actual. Y queriendo de G ranada, vacante por fallecimiento de D. Antonio Ramón le estén prevenidos, de manera que transcrito dicho parte S. M. la Reina Gobernadora que la imposibilidad material Careaga , á D. José Genaro Gutiérrez y Cabiedes, juez de Me- de autoridad en autoridad militar, llegue al capitán ge­ indicada no dificulte ni dilate el justo reintegro de…</t>
  </si>
  <si>
    <t>Ramón, D.</t>
  </si>
  <si>
    <t>D. Ramón</t>
  </si>
  <si>
    <t>…José Almirall. Sr. Sr, D. Joaquin Borras. Sr. D. José G ispert, Secretario 5.° Lérida. Sr. D. Antonio Satorras. Sr. D. Pablo Gali. Sr. D. Juan Anguera. Sr. D. Pedro Moret. Sr. D. Antonio Viadera. Sr. D. Miguel de Córdoba. Sr. D. Ramón dé Bacardí. Sr. D. Pascual Madoz. Sr. D. Ramón Salvato. Sr. Teruel. Logroño. Sr. D. Ambrosio Sánchez. Burgos. Sr. D. Miguel Alejos Burrie!. Sr. D. Pablo Govantes Sr. D. Andrés Almarza. Sr. D. Ramón. María Tempradc. Sr. D. Manuel de la Rivaherrera, Vicepresidente 1.° Sr. D. Salustiano d…</t>
  </si>
  <si>
    <t>…el Gobierno de esta años.=&gt;evi!la 25 de Diciembre de 18 &gt;8 =EI conde de Clo­ T e n o r io , a y u d a n te y secretario de cam p a ñ a del Exorno, señor comunicación y de todos los documentos que la acompañan y nard. = Excmo. Sr. D. Ramón M a ría N arvaez. = Es copia.= D . R nm on M a r ía N a r v a e z , al entregarm e el ad jun to pliego pa­ ustifican, incluyendo en ella la parte de la d e l 2 que d i c e Clo nard. ra Y . E . , me h a manifestado, que habiendo salido a y e r dicho 'elación co n La p e r s o n a d e aqu el…</t>
  </si>
  <si>
    <t>…al de un carnero. (Sacado d e l v i a je d e B élgica y Holanda que ha publicado chas de tierra carbonosa que no han sido reducidas á ceniza Para fertilizar una fanega de tierra , se emplea el estiércol en f r a n c é s e l Sr. D. Ramón d e Lasagra.) por el fuego , las cuales quedan enterradas cuando vuelve á la­ de 100 carneros ó el de 100 hombres, ó el de 15 v a c a s, ó el brarse el terreno para la siembra del centeno. de 15 caballos. (Continuación.) 3.° Cuando la capa carbonosa es gruesa, pero buena de que­ La retama…</t>
  </si>
  <si>
    <t>…declarado mayor tra parte nos felicitamos de las noticias recibidas, y libres ya de edad por el d iv a n , ha sido proclamado Emperador. El 28 de zozobra, aguardamos con im paciencia la confirmación y de­ en fr a n c é s e l Sr. D. Ramón L asagra.) se había enviado orden á Hafiz-bajá de que suspendiese las talles de una jornada que no dejará de ser de las mas gloriosas hostilidades.” y decisivas que hayan brillado en nuestro desgraciado pais. (Conclusión.) (D. M. d e F .) Se ve pues que las patatas han dad &gt; en general en…</t>
  </si>
  <si>
    <t>Ramón, José</t>
  </si>
  <si>
    <t>José Ramón</t>
  </si>
  <si>
    <t>…s plazas y paseos Cecilio Scgues, D. Santiago Izquierdo, D. Francisco Cano, Si para dar al público una idea de esta composición se dejara públicos se formaban bailes á estilo del p ais, corriéronse novi­ D. Basilio Carranza , D. José Ramón E g u ía , D. Rito G ar­ llevar la sociedad del juicio que ha formado acerca de ella , aca­ llos , encendiéronse fogatas por la noche , y las casas se vieron rido , D. Fausto Rojo Pelaez, D. M auricio José de los M árti­ so parecerían exagerados sus elogios; mas puesto que la obra es il…</t>
  </si>
  <si>
    <t>…dent. bandidos sin dar la cara á las tropas del gobierso; pero el El capitán de este buque Cárlos B. H. Ross deseando en capitán Y idvgaray no podiendo tolerar ya los depredaciones y A l Excmo. Sr. gobernador delegado coronel D. José Ramón a q u e l tumulto proteger las propiedades inglesas , hizo desem­ otros excesos de esos facciosos, se presentó eu M o a te r e y , aco­ Meodez —Tan luego como recibí el dia 8 la orden de V. E. de barcar 100 hotnbies á las órdenes del gefe r e fu g ia d o , coo lo giéndose al indulto. mar…</t>
  </si>
  <si>
    <t>…po para representar las dos Guadalupe................................, ....................... 17 habia dicho á todo el pais que ó perecía Cabrera, ó nosotros no situaciones mas im portantes de la vida h u m an a, á saber; Id. D. José Ramón D áv ila, cura párroco de G ¡- nos acercábamos ya á su nuevo fuerte de Segura. Ellos de an­ la ilusión y el escarmiento. En la p rim e ra , Segismundo bacoa.................................................................. 17 temano se apoderaron de una eminencia llamada la Fuen de no es…</t>
  </si>
  <si>
    <t>Ramón, Ventura Martínez</t>
  </si>
  <si>
    <t>Ventura Martínez Ramón</t>
  </si>
  <si>
    <t>…dactor de dicho periódico, que según tenernos entendido es el d ice : Manuel Herclaes, D. Mariano Nicolás Espinosa , D. Dom ingo Sr. D. Manuel Benito A gu irre, oficial primero de la inspec­ «Caballeros de alta guisa, Pereda, D. Ventura Martínez Ramón, D. Augel Peralta, Don ción general de la Milicia nacional del reino, y oficial también Dios os dé bienes y honores; Pedro Alvarez y D . Jacioto San Salvador, quienes declararon del segundo batallón de la de esta corte. ¿q u é mandáis? no haber lugar á la formación de causa…</t>
  </si>
  <si>
    <t>Ranero, Juan</t>
  </si>
  <si>
    <t>Juan Ranero</t>
  </si>
  <si>
    <t>…Dom ingo Diez del V alle, D. Vicente Se concedió licencia por cuatro meses para restablecer sn sa­ no habia la arbitrariedad que habia querido suponerse. Yo aplaudo el celo de los Sres. D iputados que en esta ma­ r Pereda , D. Juan Ranero , D. Francisco López , D . José D íaz lud , solicitada por el Sr. D . M anuel M artínez A jala. y D. Esteban Góm ez, los cuales declararon no haber lugar a Se acordó im prim ir por apéndice al D iario de las sesiones teria defienden los intereses de los pueblos; pero es necesario la fo…</t>
  </si>
  <si>
    <t>RANO</t>
  </si>
  <si>
    <t>…r a de paz á que todos tan just amente anhel an. . .. Ella nos ve r si estaba conforme J u r a r o n y tomaron asiento estos Señores. c on d u c i r á á gozar de la prosperidad que prometen nuestra a d o ­ El Sr. Secretario M E D R A N O ocupó la t r i b u n a , y l eyó la L e í do el di ct amen de la comisión de Actas, relativo á las se­ r a d a Re i na Doña Isabel ir , que sábi ament e regent a su a u g u s t a m i n u t a de me n s a j e, que se halió c on f or me , y estaba concebida g u n d a s elecciones de la provinci…</t>
  </si>
  <si>
    <t>Rara-, D. Autouio</t>
  </si>
  <si>
    <t>D. Autouio Rara-</t>
  </si>
  <si>
    <t>…15 de Marzo de 1857 é instrucciones posteriores, porque ignora lo que esto quiere decir; porque el público uosabe se conoce su gusto por el clasicismo y por el romanticismo , por I j compuesta de su vicepresidente el Excaso. Sr. D. Autouio Rara- } ó no quiere saber, que en nuestro siglo es algo mas el teatro que la escuela moderna y por la escuela vieja. Hasta en algunos ¡ t a , consejero de Estado , y de los Sres. vocales D. Pedro Sainz | un sitio donde se representan farsas destinadas á llenar algunas ho­ versos notamos c…</t>
  </si>
  <si>
    <t>RARI</t>
  </si>
  <si>
    <t>…e habían vuelto á sus casas se armaron precipitada­ tunidad para coronar á la nación de glo ria! mente , y fueron á reunirse con los valientes soldados. Casi en todas partes se habian tomado las barricadas á la bayoneta por PE D R A R IA S D A Y IL A . las dos armas reunidas en medio de un granizo de balas que Entre los dramas románticos que han visto la luz pública PRUSIA. les disparaban desde las casas ocupadas por los facciosos. La de algunos años á esta parte, hemos leido uno , impreso últim a­ barricada de la calle…</t>
  </si>
  <si>
    <t>Raroon, Juan</t>
  </si>
  <si>
    <t>Juan Raroon</t>
  </si>
  <si>
    <t>…usas de estupro. rez: Granada, D. Manuel Sanz: Sevilla, D. José Hidalgo y 3.a Recurso de fuerza-en el conocer y proceder. Reflexiones compañía: V alencia, D. Ju an Bautista Jim e n o : Zaragoza, tobre la instancia seguida por D. Juan Raroon balido Cañave­ BOLETIN DE COMERCIO. D. Joaquín Yagüe. ras ante el provisor juez eclesiástico de Jaén sobre que se le de­ Precio de suscripción: 16 rs. vn. en la corte, y 17 en las clare no ser religioso profeso de la orden de Trinitarios calza­ BOLSA DE M A D R ID . provincias por cada t…</t>
  </si>
  <si>
    <t>Rasilla, Manuel</t>
  </si>
  <si>
    <t>Manuel Rasilla</t>
  </si>
  <si>
    <t>…iografía Española.=D. Antonio Agustín. Alicante, * á f b. Santiago, 2 d. escribano de S. M. del número del crimen; se cita, llama y em­ Antigüedades de Méjico.=Conclusion. Barcelona á p s.fs.,p ar. Sevilla, 1 * á 1 id. plaza á D. Manuel Rasilla, cuya habitación se ignora, para Viajes.—Francia. Pau. Bilbao, par. "Valencia, * dio. b. que tan luego como llegue á su noticia este anuncio comparez­ Poesía.zzEI sauce. Cádiz, 1 d. Zaragoza, * id. id. ca en la audiencia de S. S. , que la tiene piso bajo de la territo­ Conocimientos ú…</t>
  </si>
  <si>
    <t>RASYBAJ</t>
  </si>
  <si>
    <t>…a deducción de la noticia emitida por el asi como igualmente expresiones y modismos familiares que son periódico de Nueva-York. Aviso á los navegantes. i mirados como indignos del verso. FA N A L N U E V O S O B R E LAS P IE D R A S Y B A JO S Parece pues que la misma naturaleza inspira ouevo lengua- LLA M ADO S H É A U X -D E B R É H A T , D E P A R T A M E N T O g e , asi como nuevos pensamientos á los poetas; pues vemos en El archiduque Maximiliano , que viaja con el nombre de todos los idiomas una diferencia tan not…</t>
  </si>
  <si>
    <t>Raudiera</t>
  </si>
  <si>
    <t>…ult. es dado sospechar. Si hemos de creer á los detalles que nos dan, anclaje de Ourlac. La comisión de utilidad pública va á sufrir una modifica­ ha estallado en Servia una insurrección militar en los últimos El comodoro barón Raudiera, que estaba también cruzando ción importante: se da per cierto que todos los miembros e u ­ dias del mes de Mayo, Una parte de la tropa regular, nueva­ por la costa de Tenedos, ha salido ayer para Sinirna, y ha fon­ ropeos serán excluidos de ella. mente organizada por el principe Milosch,…</t>
  </si>
  <si>
    <t>Raudin</t>
  </si>
  <si>
    <t>…harán concebir Como á las ocho de la noche se me presentó el cónsul de aquella noble emulación que debe animaros en tan patriótica S. M. B. manifestándome que habia estado á bordo del bergan­ tín Coracero , y hablando con el Sr. Raudin, quien le encargó Declaración del Gobierno mejicano desmintiendo la renuncia carrera: el ayuntam iento solo puede deciros que la nueva era abierta á la libertad os promete dias de gloria sin cucuto.—L i ­ particularmente me hiciera una visita y que me protestaba en del Presidente de la repúb…</t>
  </si>
  <si>
    <t>Raya, Juan</t>
  </si>
  <si>
    <t>Juan Raya</t>
  </si>
  <si>
    <t>…icación de este anun­ Contemple antes el bien que nos agora. Niños tiernos, &amp;c. cio en la Gaceta del Gobierno, comparezca ante el expresado No mece aqui Minerva entre sus brazos; Sr. juez y escribanía de su número que ejerce D. Juan Raya, Ved cómo ensaya nuestra planta incierta Dando fin á tan grandioso acto D. Gregorio Miranda, de para hacerle saber una providencia ; apercibido que pasado di­ Y nos abre de aqui la hermosa puerta edad de nueve años, con la siguiente cho término sin verificarlo le parará el perjuicio que…</t>
  </si>
  <si>
    <t>RAZ</t>
  </si>
  <si>
    <t>…poesía c ó m ic a tiene p o r objeto p re se n ta r los d ire c fe g d IL R e a l muséó d e y escultura 7 D| ; q u i|r ^ fi^ J^ ^ ^ M a á r id d íé 1859. defectos y vicios de los h o m b r e s b a jo el a sp éeto m a s p ro ­ D R A Z 0 . p io p ara qu e exciten nuestra risa , y n o s . c p r r i j a m o s . de ellos por el tem or de e x c ita r la a g e n a , p a r e c e q u e la fue r­ N a da mas fácil que desfigurar,, un hechp cualquiera , callan- za cómica d e b e consistir e s e n cia lm en te en el a rte de b u s­…</t>
  </si>
  <si>
    <t>Re-, Angel</t>
  </si>
  <si>
    <t>Angel Re-</t>
  </si>
  <si>
    <t>…Veis? exclamó, nos habíamos equi­ de D. J osé DiOídado, J tropa, saltó en el barco enem igo, y no pudiénd ole segu ir vocado. N u e s t r o hombre no te atrevió á hacer ninguna obser­ Rudimentos de latinidad. D. José Sánchez, D. Angel Re- sus soldados por haberse separado los dos b u q u es, q u ed o vación, y pagó el jamón al mismo precio que el algodón, es de­ tortillo , D. Leopoldo Brockmann , D. Fernando Reyes, Don solo, prisionero y lleno de heridas; por esto d ijo: «Yo so­ c i r , á 4 pesetas la libra. {Id.) Manuel…</t>
  </si>
  <si>
    <t>Re-, Pedro</t>
  </si>
  <si>
    <t>Pedro Re-</t>
  </si>
  <si>
    <t>…cauce de la plaza de mioistro de la audiencia de Canarias vacante por á los albañiles, sacadores de la piedra , carpinte­ la ecequia que los enemigos habian destruido, después de uu traslación de D, Pedro Ayuso y Larragoiti, á D. Pedro Re- ros , peones y canteros, y á las caballerías y car­ choque en el que tuvieron nuestras tropas un soldado muerto y naon Zalduendo, juez de primera instancia de Lorca, y para ros que conducen materiales; compra de estos y 10 heridos, siendo de mayor consideración la pérdida del ene- este juz…</t>
  </si>
  <si>
    <t>Real, José Bojart. Ciudad</t>
  </si>
  <si>
    <t>José Bojart. Ciudad Real</t>
  </si>
  <si>
    <t>…m a y o r, Francisco de recomendando muy eficazmente á la expresada columna é indi­ Cascajares. ( E , de A,) viduos que la componen, y en particular al teniente de infan­ MADRID 22 DE NOVIEMBRE. tería y comandante de la misma D. José Bojart. Ciudad Real 18 de Noviembre . Lo que traslado á Y. S. para su inteligencia y satisfacción, esperando el qne se servirá disponer se publique en el Boletín Gobierno po!ítico.=El Sr. D. Trinidad Balboa, comandante Cuando la patria pierde uno de aquellos hijos que la oficial para la de l…</t>
  </si>
  <si>
    <t>Real, Mariar</t>
  </si>
  <si>
    <t>Mariar Real</t>
  </si>
  <si>
    <t>…vincia ha las mismas oficinas. En fin se consignará también la con­ y contaduría general de .Valores en 18 del corriente la de recibir, asi como también las que desde unos puntos a dición de la contrata general que concluye de D. Mariar Real orden que sigue: otros de la misma provincia se verifiquen. Pero en aque­ no G il, según la cual los contratistas habran de presentar «He dado cuenta á S. M. la Reina Gobernadora de las llas donde haya fabricas de tabacos no se ha de observar mensualmente en las respectivas intendencia…</t>
  </si>
  <si>
    <t>Real, Miguel de Búrgos.</t>
  </si>
  <si>
    <t>Miguel de Búrgos. Real</t>
  </si>
  <si>
    <t>…clase Don ción de los derechos de Isabel t i al trono de España , por Don del segundo, que será corto. Agustín Nogueras (Ndm. 1687.) Francisco de Zea Bermudez. U n tomo en 8.° mayor á 24 rs. Se hallará en Madrid , imprenta de D. Miguel de Búrgos. Real orden expedida por el ministerio de la Guerra declarando rústica. que la responsabilidad de los que sirven por sustitutos es La Filosofía y la moral del pueblo, ó arte de ser el hombre</t>
  </si>
  <si>
    <t>Reales, Bartolomé Tejeda Vales</t>
  </si>
  <si>
    <t>Bartolomé Tejeda Vales Reales</t>
  </si>
  <si>
    <t>…s en el gran libro á 4 por 100 00. manzana 69 , que tiene de sitio 552 l£ pies superficiales, re­ Véndese en el despacho de la Imprenta Nacional. Títulos al portador del 4 Por 100, 00. tasada en 45,644 rs» Por l°s arquitectos D. Bartolomé Tejeda Vales Reales no consolidados , 00. Diez , D. Pedro Blas de Üranga y D. José María G u allart, y Deuda negociable de 5 por 100 a pape!, 00. se anuncia para que quien quisiere comprarla acuda dentro de Idem sin interés, 00. los primeros 15 dias siguientes con la postura que hiciere…</t>
  </si>
  <si>
    <t>Reales, Rentas</t>
  </si>
  <si>
    <t>Rentas Reales</t>
  </si>
  <si>
    <t>…de todas las instituciones de este género, dura cinco años. Un á v. f. ó vol. á prima de i , f , * y ¿ por 100 con cupones. individuo del consejo visita diariamente el establecimiento , y O E A L decreto é instrucción general de Rentas Reales , én Inscripciones en el gran libro á 4 p or 160 00. distribuye las meda'ias para la salida á los jóvenes á quienes se que se declaran las facultades del superintendente gene­ Títulos al portador del 4 Por 1 0 0 , 00. ral de la Real Hacienda y sus subdelegados con relacion a las co…</t>
  </si>
  <si>
    <t>Recarey, Juan Antonio</t>
  </si>
  <si>
    <t>Juan Antonio Recarey</t>
  </si>
  <si>
    <t>…multaneidad de 214. Francisca Jorge Boisson, natural de Francia, soli­ 252. Doña María de la O N águens, pidiendo se adopten años escolásticos. citando carta de naturaleza. carias medidas relativas al crédito público. ' 172. D. Juan Antonio Recarey, sobre validez de una dona­ 215. Rafael de AlbareSloz y Domingo Ramírez, pidiendo 255. D. Juan Crisóstomo Alonso, reproduciendo la señala- ción hecha á favor de sus dos hijos. se declare nulo el sorteo practicado en la villa de Viguera el la con el número 9 8 , resuelta ya por…</t>
  </si>
  <si>
    <t>Rechberg</t>
  </si>
  <si>
    <t>…parte oficial el avi­ constaba de 64 O, y manifestaba querer sostenerlo con el resto pondiendo á su antigua reputación. so siguiente: de sus fuerzas. Tendré el honor de remitir á Y. E. las relaciones de gracias Mr. el conde de Rechberg , encargado de negocios de S. M. Marché pues á la cabeza de las divisiones vanguardia, 2.a, que con tal motivo he concedido sobre el campo de batalla, en el Emperador de Austria, y Mr. el conde de Seckendorf, en­ 5.a y una pequeña brigada de la 4 .a, cooperando también, uso de las faculta…</t>
  </si>
  <si>
    <t>Redondo, Aotonio</t>
  </si>
  <si>
    <t>Aotonio Redondo</t>
  </si>
  <si>
    <t>…neral la fausta y agradable nueva de los recientes triunfos al­ canzados por el tjercito del Norte en los campos de Elizondo y des que la misma previene, tocó á los sugetos siguientes: Don TEATROS. Antonio María Corbalan , D. Aotonio Redondo, D. Gabriel U rdax; y para solemnizarla de un modo conforme á su alta importancia, el ayuntamiento de esta capital acordó se cele­ de la Calle M a c ía , D. Ju lián Ja v ie r , D. José María Vildosola, PRINCIPE. A las siete y media de la noche. Después de brasen los regocijos y fe…</t>
  </si>
  <si>
    <t>Redondo, José González</t>
  </si>
  <si>
    <t>José González Redondo</t>
  </si>
  <si>
    <t>…en la escribanía principal de amortización, calle del Lobo, ndm. 8 , piso segundo, á dar sus descargos en la causa criminal que se sigue por la falsifi­ cación de un crédito de la deuda sin Ínteres del Estado, seña­ D , OCTOR D. José González Redondo juez de primera ins­ tancia del partido de Villarcayo , en la provincia de Sale todos los domingos por la mañana. Su precio en M a­ drid llevado á casa de los suscriptores es el de 2 reales al mes, y 10 por un trimestre, franco de porte, en las provincias. lado con el ndm.…</t>
  </si>
  <si>
    <t>Redpath, Leopoldo</t>
  </si>
  <si>
    <t>Leopoldo Redpath</t>
  </si>
  <si>
    <t>…or los mejores ingenieros de Londres y Es­ de el Cajé hasta La M ogigata.—Veíase en su tiempo pla­ cocia. á casarse , con la locuaz alegría de la que ha perdido á su gado nuestro teatro de las farsas ridiculas de Cornelia y D. Leopoldo Redpath, corredor jurado y agente ea Lon­ esposo. Este fin, que se adivina mas bien que se conoce, no dres, Lime Street, miro. 4^, ó D. Leopoldo Meoendez en V i- comparsa: viciábase lastimosamente el buen juicio del pú ­ está presentado como debiera para el necesario resalte; sin go, dará…</t>
  </si>
  <si>
    <t>…uinas para vapores y otros usos de fuerza de 20, 35, 4O, 50, 80 y 220 caballos , en bueo es­ Cotización del dia 29 d las tres de la tard e tado , construidas por los mejores iogeoieros de Londres y Es­ BIBLIOGRAFIA. cocia. D. Leopoldo Redpath, corredor jurado y agente en Lon­ dres, Lime Street, núm. 9 ó D. Leopoldo Menendez en V i- EFECTOS PUBLICOS. lascripcionei en el gran libro i 5 por i Oí», 00. go, darán todos los informes que se requieran de las circuns­ Títulos al portador del 5 por 100 , 32f y 32¿ con cupones…</t>
  </si>
  <si>
    <t>Refiriéndome, Felipe Montes.</t>
  </si>
  <si>
    <t>Felipe Montes. Refiriéndome</t>
  </si>
  <si>
    <t>…celona, es sumamen­ plano que la acompañaba , por el Excrao. Sr. director general te accesible, y facilita el aprovisionamiento de los grandes al­ se notó en la atmósfera hacia la parte del norte en las noches de dicho cuerpo D. Felipe Montes. Refiriéndome pues á dicha macenes. anteriores, que puso á los vecinos en cuidado. Por fortuna nin­ memoria y plano, que el Gobierno puede consultar , me con­ El punto fortificado de Sellin , distante tres horas de M an­ guna desgracia ha ocurrido. cretaré á indicar la clase de reparos…</t>
  </si>
  <si>
    <t>Regi</t>
  </si>
  <si>
    <t>…de pri mero consti ­ Corno en él descub rim ien to de las A m éric a s las ú n ic a s qu e tucional D. Tornas Fernandez de Vallejo por el promotor fiscal merecen el nombré de conquistas son las de M é jic o , P e rú y F lo ­ D. Regi no Piñales en concepto de i nci tador á la desobediencia r i d a , pues los demas países estaban com pletam ente i n c u l t o s y en C R U Z . A las ocho y m e d ia de la noche. Se vo lv e rá ,á en primer grado los párrafos que contiene el art í cul o de fondo el p rim e r período de la c iv…</t>
  </si>
  <si>
    <t>Regidor, Manuel</t>
  </si>
  <si>
    <t>Manuel Regidor</t>
  </si>
  <si>
    <t>…día 24 d las tres de la tarde • militares que haw llegado á esta ciudad después de haber teni­ Sánchez Ocaña, D. Antonio M altrana, D. Ezequiel Martin y do parte en ella , la cuentan coino un hecho glorioso de armase Alonso, D. Manuel Regidor, D. Manuel Bretón, D. Juan EFECTOS PUBLICOS. mis conocimientos de la localidad y medios con que se ha con­ Miguel Inclan y D. Juan R u iz, quienes por unanimidad de­ seguido me la hacen ver del mismo modo; y la insignificante clararon haber lugar ¿ la formación de causa. Madrid 25 d…</t>
  </si>
  <si>
    <t>REGLAMENTO, Olózaga CORRESPONDENCIA DE LA GACETA.</t>
  </si>
  <si>
    <t>Olózaga CORRESPONDENCIA DE LA GACETA. REGLAMENTO</t>
  </si>
  <si>
    <t>…seguida á analizar los discursos de los Sres. A r­ guelles y O 'ózaga, y dice que no se propone im pugnar el voto particular de la menoría de la com isión, porque está im pug­ nado por su propio peso, y que los argumentos del Sr. Olózaga CORRESPONDENCIA DE LA GACETA. REGLAMENTO le han destruido enteramente. P R O V IS IO N A L 26 Defendiendo la conducta del conde de Cleonard , con quien asegura no le liga ninguna afección personal ni le conoce mas Pontevedra de DiciembreHe leído en el mercio del domingo 16 del corriente…</t>
  </si>
  <si>
    <t>Reguer</t>
  </si>
  <si>
    <t>…ndo y que mas han honrado 5.° Dúo en la ópera Anua Bolena, del maestro Donizettí, toda a obra, recebendo já os 2 da primeira parte por 1600 la especie hum ana; de uno que por la importancia de sus ac­ por la Sra. Lombía y el Sr. Reguer; con decoración y trajes. réis. Prego avulso 48O réis. Acha-se ñas lojas da rúa Augusta ciones y por la excelencia de sus escritos, servirá siempre de 4.0 Yariaciones de flauta de Mr. K alt-bek, por el joven fiúm. 1 e 157 , rúa do Ouro ntim. 4 &gt; © do Chiado. Em modelo á los escritores y esta…</t>
  </si>
  <si>
    <t>…| once dieziseisavos y por5.°la Sra. Dúo en la ópera Anna Bolena , del maestro Donizetti, vivido sus individuos: pero tampoco fue combatido, vencido 2 7f con cupones al contado: 28*, 28*, | , 2 7#, * ,2 8 * á v. Lombía y el Sr. Reguer; con decoración y trajes. ni aniquilado por la acción de tas doctrinas inmorales esparci­ f. ó vol. y firme: 29 \ , 28 , 29¿ y 29 á v. f. ó vol. á prima de 4.0 Yariaciones de flauta de Mr. Kalt-bek , por el joven das en la sociedad, como ha sucedido en Francia. El delincuen­ i con cupones.…</t>
  </si>
  <si>
    <t>Reguer, D. Joaquin</t>
  </si>
  <si>
    <t>D. Joaquin Reguer</t>
  </si>
  <si>
    <t>…e a^gust^ aliada nuestra inocente Reina , y esperamos que del carpintero todos los dias de la Silva. lia^Gámaras francesas^ representantes de un pueblo gene­ exposición.............. 600 847. Un cuadro pintado al óleo, al Sr. D. Joaquin Reguer. roso, que ninguna simpatía puede tener con el rebelde Por 26 varas de bayeta verde á í i rs., 582. Un acerico bordado al pasado, á la Sra. Doña Fran­ y obcecado principe; coadyuvarán con su votó á que se 22 id. á 9 f y una amarilla á 1 1 ... 506 cisca Bindis. realice en benefi…</t>
  </si>
  <si>
    <t>Reguer, Joaquín</t>
  </si>
  <si>
    <t>Joaquín Reguer</t>
  </si>
  <si>
    <t>…cie de granos han desaparecido de nues­ ron á cantar............................ 160 Líquido producto............................. 49555.. 14 tros mercados, y reina la mayor consternación en el pais. Soli­ Al bajo del teatro D. Joaquín Reguer. 200 mán bajá y Achmet Menikli se hallan en esta: todos los días Por templar los pianos para los ensa­ tienen conferencias con Ibrahim- bajá , que ha declarado for­ yos y concierto........................... .. 100 A los copiantes de música................... 450.. 17 El Liceo artí…</t>
  </si>
  <si>
    <t>Reguiez, Juan</t>
  </si>
  <si>
    <t>Juan Reguiez</t>
  </si>
  <si>
    <t>…as de colar, La Rosa y Tirana, por García , á 4 ? y reuni­ justicia el abogado Careaga,el licenciado Yillalaz, el capitán das 20 : se hallará en el almacén de Lodre , con las canciones de la compañía de artilleros nacionales D. Juan Reguiez, y de los bailes españoles arregladas para piano solo, guitarra ó el Sr. de Mocoroa. J Y DE LAS DIRECCIONES Y AUTORIDADES SUPERIORES. flauta , á 2 rs. cada una. El primero, que hacia de D. Alvaro, dió á conocer su ha­ Nota. Dicho almacén de Lodre se ha trasladado interina­ Entrega d…</t>
  </si>
  <si>
    <t>Reiferaberg</t>
  </si>
  <si>
    <t>…revolución francesa , por Mr. Gui- se sometida á fórmulas que no le era permitido variar. Sus zot, precedida de un discurso sobre la historia de la Bélgica, pirámides ó írocallo, no eran mas que altares. Una ancha por el barón de Reiferaberg: van publicados tres cuadernos á escalera conducía á la plataforma sobre la cual se elevaban 8 rs. cada u n o , y el 4«° y último se publicará en el mes pró­ dos torres. El interior de aquellos monumentos, que no Dirección general de Correos. ximo. eran mas que una masa de barro revestid…</t>
  </si>
  <si>
    <t>Reims</t>
  </si>
  <si>
    <t>…, el lo por mandado del Señor. El Rey le respondió que considera­ duquesa de Bedford , fue encargada de averiguar la virginidad Rey del cielo, manda que se retiren , y que evacúen todas las ría su petición. Yendo el arzobispo de Reims á visitarla, y de la prisionera, y el informe fue en su favor; entonces fue ab­ ciudades que ocupan en Francia.” Inútil es decir el desprecio enteudiendo que ei Rey no quería q'ue dejase el ejército, excla­ solutamente necesario abandonar la parte de acusación cootra con que lós victoriosos…</t>
  </si>
  <si>
    <t>Reino</t>
  </si>
  <si>
    <t>…agoneses y un franco constitucional que solo desea que se dé una ley que tal que prescribe la aprobación de lbs Estados generales, no yai castellanos comunidad en gocesi con los individuos vascongados? asegure la paz general del Reino. para hacer válido el matrimonio, si.no- para ¡hacer, válida Jal he-j¡ Los. individuos que tienen privilegios conocidos ¿están en igual Las interpretaciones que en este sitio se han hecho son mu­ rencia. (Le Temps.) . .. .%• , , : • posicipn que aquellos queno los tienen?¿Cómo ha de existir…</t>
  </si>
  <si>
    <t>REINO, EL</t>
  </si>
  <si>
    <t>EL REINO</t>
  </si>
  <si>
    <t>…caima­ por sus nombres técnicos y tedioso por circunlocución , diremos nes. La distancia entre las dos columnas era uu cuarto de le­ solamente que está montado con cuanto el arte mecánico ha po­ N U M E R O D E EM IG RA DO S D EL REINO U N ÍD O gu a; tres líneas de hombres, cu 3tro varas una detrás de otra, dido sugerir para su mayor seguridad y mas delicados movi­ atravesaban el canal por cada pu nta , y por los lados se exten­ mientos, asi corno la mas exacta dirección al cuerpo celeste que DE LA GRAN BRETAÑA. dían ot…</t>
  </si>
  <si>
    <t>…to en ]a necesidad de dividir su fuer­ za, habiendo 4 O caballos suyos atravesado el camino real, y pasado á la media nocbe der 17 por U Aguilera; el resto Idem 26. dirigió con su caudillo hacia Áranzó,de Torre en direccioa D EL REINO. á lo interior del Pinar. Ahora nos llega la noticia de que en la Cámara de Dipu­ Las tropas destinadas al exterminio de la canalla están per» tados de Darrnstadt el Sr. Kertell ha hecho tina proposición Bilbao MI de Marzo . En la noche del 10 hizo una salida fectamente colocadas , y aume…</t>
  </si>
  <si>
    <t>Reinoso</t>
  </si>
  <si>
    <t>…s de los antecedentes de que llevo 600 55000 1 ; hecho m érito; mas en la sumaria está consignada la justifica­ asi mas de una vez. El Gobierno no ha dicho que los retira absolutamente: cree ción mas auténtica de que el coronel Reinoso* apeado del ca­ Los 22000 billetes estarán snbdivididos en la clase de cuar­ ballo , que se plantó sin querer romper , se entrego sin la me­ que en estos artículos está todo el cimiento de una ley que con ­ tos; á diez reales cada uno de ellos, los que se despacharán sidera importante. D ic…</t>
  </si>
  <si>
    <t>Reiooso</t>
  </si>
  <si>
    <t>…l era la clasificación de ¡os tres casos, pues en El Sr, P A C H E C O dijo que el Congreso y :1a comisión h a ­ el estado de prevención se daban facultades que creia perjudi­ bían oído con mocho gusto las observaciones del Sr. Reiooso ciales. Expresó ademas que este estado no se conocía por la or­ acerca de los intereses mercantiles; pero que con todo la comi­ M A D R ID 2 3 DÉ EN ER O . * denanza, pues esta 110 hablaba mas que de los estados de guer­ ■' J"¡■ .............................................................…</t>
  </si>
  <si>
    <t>Relaciones</t>
  </si>
  <si>
    <t>…upresión de los dias de fiesta, que se PARTE OFICIAL. tad , comercio y navegación con aquella república, logró veri­ sujetará á vuestra aprobación, por las razones que os expon­ ficarlo, y concluyó el tratado que el ministro de Relaciones drá el ministro de Relaciones exteriores. Igualmente recibirá exteriores os presentará. vuestra sanción el reglamento de visitadores para los conven­ S. M. la R e in a , su augusta Madre la R e in a G o b e rn a ­ En cumplimiento del decreto legislativo de 11 de Febrero tos de la Repúb…</t>
  </si>
  <si>
    <t>…ndres entre el plenipotenciario del Rey gran duque por una le han concedido, dejando todo á la final resolución del Con­ L a extracción presunta es una ficción de r e n ta ; no es en greso, como os lo manifestará el ministro de Relaciones inte­ parte, Que y por la otra los plenipotenciarios belgas. al mismo tiernpo, estaba encargado por parte de S. M . realidad u n aumento para el tesoro público, sino una anticipa­ riores. de hacer presente sus deseos de que la Alta Dieta tenga á bien ción de pago que se hace al tiempo…</t>
  </si>
  <si>
    <t>Rementería, Mariano</t>
  </si>
  <si>
    <t>Mariano Rementería</t>
  </si>
  <si>
    <t>…e puedan explicarlas otro dia á sus discípulos con precisión y D. Lucas Tornos , elementos de historia natural. zado y provisto 60 ó mas en el espacio de ocho años. claridad ; procediendo á su aplicación frecuente y repetida, D. Mariano Rementería , lengua castellana. También España , en medio de tantos y tan grandes obstá­ mensualmente y por escrito. Se dará un curso regular y tan D. Eduardo Rodríguez, elementos de geometría y dibujo culos, se resuelve á seguir el noble ejemplo; resolución mas ne­ completo como sea posib…</t>
  </si>
  <si>
    <t>Remigio</t>
  </si>
  <si>
    <t>…de primera instancia de R ia z a , de entrada frente de las nuestras , d ir ig ía n sus proyectiles á los diversos I fuerzas, y el siguiente dia se empleó en hacer los hornillos para en la provincia de Segovia , que desempeña D. Remigio G ar­ puntos donde veian situadas las masas. |las voladu ras, y retirar todo el tren. A las seis de la tarde am ­ cía , se ha servido nombrar S. M . la Reina Gobernadora á Don Concluido el camino amanecieron en la mañana del 8 las bas operaciones estaban concluidas, y á la señal dada desapar…</t>
  </si>
  <si>
    <t>Remisa, D. Gaspar</t>
  </si>
  <si>
    <t>D. Gaspar Remisa</t>
  </si>
  <si>
    <t>…, Miguel Flores, Rarnon M artí­ No dudamos que los profesores que escoja el Sr. Fernel para nez, José Yazquez, Ju an Jiménez y José M aría R am os, cruz ayudarle en sus tareas serán tales que satisfagan al público en Excmo. Sr. D. Gaspar Remisa , presidente , ausente. sencilla de María Isabel Luisa. la parte m oral, al par que se hallen adornados de la instruc­ D. Patricio de la Escosura y Si*, conde de las N av as, con­ Reiiia Gobernadora , primer batallon.zzCon grado de tenien­ ción necesaria para ser sus dignos colabor…</t>
  </si>
  <si>
    <t>…ndez de Córdoba, á quien estoy sumariando por las ocur­ los individuos siguientes: tum brado insertar en la Guia de Forasteros, pues en ello rencias desagradables que tuvieron lugar en la ciudad de Sevi­ Presidente.CzExcrao. Sr. D. Gaspar Remisa. lla en el mes de Noviembre del año próximo pasado ; usando "Consiliarios —Sr. D. Alejandro O livan, Excuso. Sr. conde harán un servicio agradable é interesante al público. de las facultades y jurisdicción que S. M. la Reina Gobernado­ de Cervellon y Sr. D. .luán Pedro Ayegui. Las…</t>
  </si>
  <si>
    <t>Remisa, Gaspar</t>
  </si>
  <si>
    <t>Gaspar Remisa</t>
  </si>
  <si>
    <t>….................................. .. Madrid. lipe el Real. Con el objeto de evitar semejante escollo, se ha pro- D. Eugenio Ladrón de Guevara................... Idem. puestacl Sr. Tapia examinar la regeneración política ac­ D. Gaspar Remisa........................................... .... Málaga. tual subordinando la pasión á la imparcial severidad de Vizconde de Huerta. .................................Murcia. una crítica desapasionada y racional. Verdad es que de es­ D. José Perez de Necoechea..........................…</t>
  </si>
  <si>
    <t>Ren</t>
  </si>
  <si>
    <t>…­ Excmo. Sr. Secretario de Estado y del Despacho de Marina. cumplimiento. Dios guarde á V. S. muchos años. Madrid varez, embarcado de ayudante de la expedición, lo recomienda 18 de Marzo de 1839.= Pita.= Sr. director general de Ren­ singularmente el referido comandante del bloqueo, y por el S. M. ha oido con satisfacción este parte, mandando se den tas provinciales. mismo he recibido los indicados pliegos. Dios guarde á V. E. las gracias en su Real nombre á los que han contribuido al muchos años. Málaga 28.de Marzo de l8…</t>
  </si>
  <si>
    <t>…ba, quieran interesarse en la subasta que ha de verificarse en di­ dictaren, ilustren al Gobierno en cada uno de los ramos subsecretario del Ministerio de Estado;D.D.Julián cho día en la sala de juntas de la dirección general de Ren­ y negocios que deban sujetarse ¿ leyes especiales en bene­ Calatrava, contador general de Distribución; D. JuanMaría Ramón José tas, podrán presentar sus proposiciones bajo las. condiciones y ficio de las provincias de Ultramar. Martinez, oficial del Ministerio de Marina, Comercio y formali…</t>
  </si>
  <si>
    <t>…itará el ju ic io , para el efecto de la re­ naria de los hospitales militares de los ejércitos del Norte y vergencia en las providencias dictadas sobre reclamaciones de versión acudirán los interesados á la dirección general de Ren­ Reserva, con el fin de hallar un medio de proveer fácilmente esta clase, el Gobierno ha creído necesaria una ley que establez­ tas y arbitrios de Am ortización, ante la cual gubernativamen­ de sanguijuelas á aquellos hospitales, en los que habia entonces ca de un modo claro y terminante las re…</t>
  </si>
  <si>
    <t>Renavides</t>
  </si>
  <si>
    <t>…r fig uras y flores, todo perfectam ente dorado. G rup os de las Se suscribe en M a d r id en la lib re ría de C u e s t a , frente á las C o v ac h u e la s ; en la e stam p ería de V a l l e , calle de C arre tas y e n E! Sr. Renavides pidió se leyese el art. 115 del reg lam en to. G ra c ia s m u y bien modeladas sostenían c anastillos de flores y la r e d a c c ió n , calle del P r í n c i p e , ntím. 1 5 , c u a rto entresuelo. Se leyó dicho artícu lo , en el que se previene que las propo­ candelabros. Asi la fuerza…</t>
  </si>
  <si>
    <t>RENAYI</t>
  </si>
  <si>
    <t>…ncipalmente no estando presente nin­ pasar á la do los dictámenes de la comisión de Peticiones. verdadero valor, r.o tendrían motivos para quejarse, ni tampoco gún Sr. M inistro; pero espero que esta discusión hará que el El Sr. R E N A Y ID E S: Si esas enmiendas á que hace refe­ por parte del comprador porque al capital positivo se hubiera Gobierno reconozca que no hay razón, que no hay causa nin­ rencia el Sr. Caballero son á los artículos, me parece que sin rebajado esa parte. guna para dejar á estas infelices y á otra…</t>
  </si>
  <si>
    <t>Rendon</t>
  </si>
  <si>
    <t>…misma noche en que se cometió estaban y a senta las necesidades morales y ios intereses materiales de los descubiertos los hilos de la infernal trama. Se encontraron a l ­ gunos efectos hurtados, entre ellos alguna ropa del Sr. Rendon, Íjueblos que se fundan en un principio común , cual es el de os Gobiernos representativos. y hoy debemos creer, después que el sumario pasó á la consulta ROMA SUBTERRÁNEA Bajo la influencia de este deseo y de esta alta necesidad es del Sr. asesor general primero, que están acreditados comp…</t>
  </si>
  <si>
    <t>Renedo, Miguel</t>
  </si>
  <si>
    <t>Miguel Renedo</t>
  </si>
  <si>
    <t>…ue si todas estas obligaciones im­ jo, también de entrada , en la provincia de M adrid; y para da , continúan en esta corte sin novedad en su importante periosas gravitan principalmente sobre la autoridad de los esta vacante á D. Miguel Renedo, juez de Lerma, accediendo salud. Sres. intendentes, la recaudación activa y puntualísima de á su solicitud. Para el juzgado de Momblanch , de entrada , en la contribución extraordinaria de guerra llama con espe­ la provincia de Tarragona , vacante por no haberse presentado cialidad…</t>
  </si>
  <si>
    <t>Rentas</t>
  </si>
  <si>
    <t>…con la mayor actividad ; y Art. 14. La contaduría general de Valores ex a m i­ á medida que vaya adelantando los trabajos, remi­ nará si hay algunos títulos cuyos poseedores se igno­ tirá sus resultados á la dirección general de Rentas ren , ó poseedores que por no haber presentado los su­ E l general gobernador encargado accidentalmente del des­ estancadas para que esta disponga la recaudación de yos á la toma de razón prevenida perm anezcan sin ha­ pacho de la capitanía general de Castilla la N ueva ha dirigido lo que cad…</t>
  </si>
  <si>
    <t>…char viv am e n te á los c a rlistas, ó por lo menos próximo pasado, que con aquella fecha comunica al di­ ladero del boquete de S alin as. ence rarlos en un círculo que no puedan t r a s p a s a r ; Operación rector general de Rentas provinciales * de Rea! o rd e n , lo T en go la satisfacción de haber previsto la necesidad de este excelente si al propio tiempo ocupase la costa. siguiente: m o vim ien to a n tic ip á n d o m e á c u m p lir las intenciones de S. E . , Sup on ien do que los proyectos de M aro to merezcan…</t>
  </si>
  <si>
    <t>…distrito m unicipal ,y g ma ciudad y en esta corte , por medio de pliego cerrado en la no constando su nombre pedia constase en el acta esta observa­ corno actor , ya corno dem andado. ^ sala de juntas de la dirección general de Rentas, de diez ádoce ción. 10. Elevar ai gefe p olítico, ó en su caso á S. M . por con­ de la mañana del expresado dia , bajo las form alidades estable­ A si se acordó. ducto de este, las exposiciones ó reclamaciones que el ay un ta­ cidas en la instrucción de 30 de Octubre últim o publicada en Se…</t>
  </si>
  <si>
    <t>…; pero todo depende de su buen éxi­ m aria. (Núm. 1543.) para que el director de presidios disponga de los senten­ to. El único obstáculo que impide ea el d ia un tráfico crecido R eal decreto cometieodo á la dirección general de Rentas pro­ ciados á los presidios de Africa para la construcción de las es la hostilidad de los cu manches. vinciales la recaudación de los arbitrios aun subsistentes de carreteras de Jaén á Bailen, si no puede facilitárselos al d i­ B ra sil . El m uy velero bergantin A r g y le llegó ayer á este…</t>
  </si>
  <si>
    <t>…................... 52 .7 42,698 .. 24 R ea les vellón . RESUMEN. Por la existencia que resultó en fin de Diciembre anterior.......... ........................ 110.626,859.. 25 Por remesa de libranzas de la dirección general de Rentas................................ . . 8.849,181. .2 1 Importa el cargo.............................................................................. 167 542,220. .2 2 Por recibido de la dirección general de Loterías......................................................... 115,000 Id. la data...…</t>
  </si>
  <si>
    <t>…tas oficiales del mismo Gobierno belga la fuerza cuando, como queda dicho, esta se componga en 1852 y 1853, actas en su mayor parte comunicadas á las de partidas sueltas, respaldándolos en este último caso. Dirección general de Rentas provinciales. 'Cámaras en diversas épocas , y aprobadas por ellas. 3.° Que estos recibos, asi como servirán para el abo­ Otra carta de la misma fecha dice' lo que sigue: no correspondiente al pueblo, mediante también los testi­ Estado de las provincias en que se han celebrado repartimien­ k…</t>
  </si>
  <si>
    <t>…. 85 c. se ha servido nombrar Secretario del Despacho de Hacienda á Deuda activa española, sigue siempre en favor, y está la Europa Este suceso español, y puramente español, va á pasmar á D . José S. Millan , director general de Rentas. á 2 l |. entera, al mismo tiempo que nos tiene á todos en un El Senado quedó enterado. Pasiva, no es tan solicitada. estado de gozo y enagenacion ta l, que no es posible que de mi Lo quedó igualmente de otra comunicación de los Secreta­ labio puedan salir grandes discursos, escogidas expre…</t>
  </si>
  <si>
    <t>…on el Consejo de Ministros, lo siguiente: tes que las contenían. C o n clu ida la le c t u r a , y colocados estos en Lo relacionado mas por menor aparece de la i n d ic a d a c ausa, Art. 1.® Se comete á la dirección general de Rentas su respectivo lu g a r con sujeción al artículo 9.° de dich a in s ­ y lo inserto concuerda fielmente con su respectivo o r ig in a l que provinciales la recaudación de los arbitrios aun subsisten­ trucción , excitó el Sr. vicepresidente á los espectadores á que obra en la misma y en mi pode…</t>
  </si>
  <si>
    <t>…ubricado de la Real mano.= En Palacio á 28 de Diciem­ generales, á la vez gefes políticos superiores de las islas, bre de 1838.=A D. Pió Pita Pizarro. se componen de sugetos, que estos han debido elegir en­ Dirección general de Rentas provinciales. tre empleados y vecinos de ellas, conviene sin duda que Conformándome con lo propuesto por el Consejo de otros individuos procedentes de la Península, nombrados Ministros, En Real orden de 29 de Diciembre último sé ha servida por V. M. directamente, y que se hallen dotados de…</t>
  </si>
  <si>
    <t>…ionado exclusivamente este sistema de arren­ S. M .; y á eate fin se remitirá inmediatamente el expediente su trabajo y responsabilidad: el importe de las cartas de pago damientos. original por conducto de la dirección general de Rentas , sin de las cantidades entregadas en la administración diocesana Art. 4*7. Las juntas reunirán con brevedad todos los datos perjuicio de que desde luego se conceda al rematante su inter­ procedentes de los frutos vendidos; y finalmente, el importe y noticias que puedan adquirir acerca del v…</t>
  </si>
  <si>
    <t>…imar trata ha consultado á la comisión especial consultiva del ■ le conceden de decidir las competencias entre las autoridades11 en su justo valor quien con osea la si.Loación topográfica del uisterio y á la dirección general de Rentas, que son los únicos judicial y administrativa 9 se pondrá un remedio en lo que pueblo, que se Baila circunvalado por elevados' montes. Con­ consultores para estos casos. La opinina de estas corporaciones quepa i los males que hasta ahora se han seguido de no haber cluye .manifestando la i im…</t>
  </si>
  <si>
    <t>…fecto la entrega , si dentro de los ocho años falle­ lunes 21 del mismo mes dentro de la casa comandancia general ciere el Sr. Laborda, quien también si los productos de bienes A consecuencia de orden de la dirección general de Rentas, y del en virtud de providencia del Sr. intendente subdelegado del dia departamento, y ante su justicia, que se cerrará á la una disminuyesen sin_culpa de los cedentes, sufriría aquel este per­ de los tres referidos. Y para que conste, expido el pre­ juicio. de Rentas de esta provincia, se…</t>
  </si>
  <si>
    <t>…n. 3773565.. 31 17/34g42 8 .. 35 Guerra. Enero último.. . .lE n papel de todas clases.......................... “ .1 0 / En la tesorería de corte. .. 71555959 .29 120151. .25 71476071. .20 Por entregas de la dirección general de Rentas............................ Ilb85j5b¿. . ¿) En la de Albacete .. , 4 2565.. 8 465507. . 12 P o r id. de la dirección general de Loterías.................................. 4¿ r . ¡n 120137858.. 10 Alicante.............................. .. 145900 5566 . 16 149466 .. 16 Por id. de casas de moned…</t>
  </si>
  <si>
    <t>….............................. 198800 2 2 2 1 7 .. 22 2 2 1 0 1 7 . . 22 A l del C on greso. 50 00 0 J Santander........................ .............................. 6 1 5 1 4 1 ..2 6 6 1 5 1 4 1 .. 26 A la dirección general de Rentas por libranzas faltas de pagó S eg ov ia ........... ................. ........... .... ....................... . 452500 "75.. 2 4 3 2 5 7 5 .. 2 •y devoluciones 74 54822. • |\ *tqovqoó í Sevilla .................. .................................... 4014500 1 0 2 8 0 1 .. 5 4 1 1 7 1 0 1 ..…</t>
  </si>
  <si>
    <t>…culpables de contrabando siguiente: El Sr. Ministro de Hacienda con fecha 23 del actual de primer grado, y con arreglo á lo dispuesto por la ley Art. l.° Se establece en Tudela un instituto elemental dice al director general de Rentas provinciales lo que penal de 3 de Mayo de 1830; y los que, abusando en una de segunda enseñanza. sigue: escala mayor de los referidos objetos de trafico, los condu­ Art. 2.° Este instituto se colocará en el edificio de uno He dado cuenta á S. M. la Reina Gobernadora de un jesen á puntos ocup…</t>
  </si>
  <si>
    <t>…s, se acreditará visadas por los administradores de decimales , ó en su defecto igualmente con los recibos originales dados por ios colectores por estos solos , en que se exprese el número , peso y medida de Dirección general de Rentas provinciales. de diezmo» y visados también por los administradores de ren­ todas las especies recibidas en la cilla, procedentes del total de tas decimales; en los que con toda claridad se expresa la canti­ la decimacion de cada pueblo, y la cantidad en metálico que Habiéndose examinado las…</t>
  </si>
  <si>
    <t>…razar el Gobierno ; y den provendría de M aroto, tal vez para mandarlo á los dia­ para probarlo, el M inistro, después de haber referido la his­ blos, corno ha hecho con otros generales del partido furibun­ Dirección general de Rentas provinciales. = Contribución toria de las negociaciones , explicó que por el sistema de las do apostólico, á los que no dudamos pertenece ese monstruo, extraordinaria de guerra. contemporizaciones, había aun la esperanza de couseguir la y no nos cabe duda que su muerte la hubieran celebrado…</t>
  </si>
  <si>
    <t>…l actual minis­ nugere$'y que se descubran , y nosotros nos descubriremos terio, que dan a conocer de un modo positivoque hay actividad; ambien. que hay previsión para atender al porvenir, y lo decimos con Dirección general de Rentas provinciales. Fueron inútiles los esfuerzos del cura para restablecer el or­ satisfacción, por cuanto á que habiéndose expresado en sentido len. El alcalde manifestó que se veria obligado á formar cau- contrario varios periódicos de la corte, se nos proporciona li * Por Real orden de 20 del…</t>
  </si>
  <si>
    <t>…la el sumo gozo de su cora­ que la general utilidad. SUBASTAS. zón; en tanto que Zoraya, si bien bajó los ojos con recato y modestia, se holgó mas de aquel tributo, pagado á su A consecuencia de orden de la dirección general de Rentas, y hermosura , que de la vana pompa y grandeza del trono.” en virtud de providencia del Sr. intendente subdelegado Aqui debiéramos poner fin a este artículo, porque al DIRECCION GENERAL DE LOTERIAS NACIONALES. de Rentas de esta provincia, se publica por término de nueve lado de los armonio…</t>
  </si>
  <si>
    <t>…o r el artículo 4.° de la R eal o rd e n de 6 d e A bril ú ltim o se previno que en el térm in o de un mes las dipu-. taciones provinciales y juntas de a rm a m en to y defensa Tercera sección.— Circulares. Dirección general de Rentas provinciales. diesen cuentas de los fondos de pósitos q u e , asi en gra­ n os, como en d in e ro , hubiesen en tra d o en su p o d e r, a C onform ándose S. M. la R eina G o bernad ora con lo Estado de las provincias en que se han celebrado repartimien­ consecuencia de la circular de 30 d…</t>
  </si>
  <si>
    <t>…ículos de instrucción que lle­ chos años. Madrid 22 de Febrero de l839.=Pita,=Sr. di­ brero de 1859.=Javier y gobierno de los interesados. Madrid 21 de Fe­ van consigo responsabilidad de reintegro, ni tampoco á rector general de Rentas provinciales. de Q uinto, secretario. los que lo fueren por ocultación ó malversación de los caudales de la Hacienda pública, desde el momento en que resulte comprobado el desfalco, conformé a lo dis­ Por Reales órdenes de 22 del corriente se ha servido S. M. nom­ puesto én Reales decreto…</t>
  </si>
  <si>
    <t>…rtido &amp;c. dándome aviso de su recibo, con expresión de los establecimien­ Por el presente hago saber : Que á consecuencia de reso­ tos á que/fuere comunicada la expresada Real orden. Dios guar­ lución dé la dirección general de Rentas, y en conformidad á de á V. S. muchos años. Madrid 18 de Octubre de 1839. lo prevenido en Real orden de 11 de Mayo de 1829 , se arrien­ CORRESPONDENCIA DE LA GACETA. Y para que llegue á noticia de todos los interesados se les dan en pública subasta los derechos respectivos á Rentas pro­ vi…</t>
  </si>
  <si>
    <t>….......................................... . 2304588.. 10 t Total cargo................................. 2566680. . 12 40000 1 Al del Congreso............................................ 50000 I DATA. A la dirección general de Rentas por libranzas faltas de pago \ . 1150500 I Por satisfecho al tesoro publico á cuenta de diferentes li­ A la comisaría general de Cruzada por id. id. id................. 90000 I branzas ..........................................................................................................…</t>
  </si>
  <si>
    <t>Rentas, Rous-</t>
  </si>
  <si>
    <t>Rous- Rentas</t>
  </si>
  <si>
    <t>…d i­ visión va á salir de un dia á otro. El contra-almirante Lalan- • te á los que realizaron la última, y al administrador de camente se le priva de ejercer sus funciones. de, que está en continua comunicación con el almirante Rous- Rentas que tan celoso se manifestó en la segunda, siendo Habiendo declinado él arzobispo la competencia del tribu­ sin , embajador frailees en Constantioopla , tiene órdenes de ademas su voluntad que se publique en la Gaceta para nal, no podia en efecto interponer la apelación de la sentencia;…</t>
  </si>
  <si>
    <t>República, Juan José Florez</t>
  </si>
  <si>
    <t>Juan José Florez República</t>
  </si>
  <si>
    <t>…s limitamos á publicar el D . Pedro Francisco A ram buru: para la de Lorca D. José C a - siguiente por parecemos el mas sustancial. n o v a ; y para la de Valdepeñas D. José María Córdoba. Discurso que pronunció S. E . el general Juan José Florez República peruana.—General en gefe del ejército nacional.= en el seno del Congreso al posesionarse de la presiden­ Cuartel general en Santa á 23 de Enero de 1839. = Al Sr. co­ cia de la República , después de haber prestado el ju ­ ronel Prefecto y comandante general del departame…</t>
  </si>
  <si>
    <t>Requería, Blas</t>
  </si>
  <si>
    <t>Blas Requería</t>
  </si>
  <si>
    <t>…. José Codecido, en el crucero; ra. De Real orden lo digo á V. S. para su inteligencia , y -gadier'gobernador de la plazahoras que á todas ha facilitado , y al Sr. bri- Dios guarde á V. E. muchos años. En las aguas de Meli­ D. Blas Requería por su activi­ lla á 25 de Marzo de í859.=rExcrao. Sr.nSantiago de Soroa.r: á fin de que tome las disposiciones convenientes á su dad y decisión. A mi ayudante de campo D. Constantino Al­ Excmo. Sr. Secretario de Estado y del Despacho de Marina. cumplimiento. Dios guarde á V. S. much…</t>
  </si>
  <si>
    <t>RES</t>
  </si>
  <si>
    <t>…nana y municiones; y que habia ocupado y conducido á dicha crecían tanto á la par que se continuaba, que á los 46 pies de plaza unas 20 cargas de trigo y cebada que tenia recogido el E L PUENTE S U B T E R R A N E O DE L O N D R E S . profundidad fue necesario abandonar el proyecto. Poco después enemigo perteneciente á la diezma. se hicieron otros barrenos; estos presentaron mejor aspecto; y El expresado gobernador recomienda al sargento segundo de la primera compañía constitucional Antonio Dam ian, que man­ Antes de en…</t>
  </si>
  <si>
    <t>Reschtadt</t>
  </si>
  <si>
    <t>…e en ua calabozo ahorcado cor jano', uno de los individuos de la cuadrilla, que ha sido con­ tina petición de Mrne. Lelizia Booaparte, única heredera en una corbata de seda. (O Director .} Francia de su difunto nieto el duque de Reschtadt, contramina ducido á esta capital. ( E . de A.) decisión del M inistro de Hacienda de 27 de Junio de 1855 desestimando una solicitud de la m ism a, dirigida á obtener la rehabilitación en su nombre de una inscripción de renta dg Acaba de establecerse en las inmediaciones de Bristol una MA…</t>
  </si>
  <si>
    <t>RESPARAUNAHI</t>
  </si>
  <si>
    <t>…s., y se halla afec­ Manuel Ballesteros. Seis tomos en 8.° en pasta , que ss tulada &gt;v to á cinco capitales de censos, importantes 9 ,584 rs* 22 mrs. vendeo en las librerías de Cuesta y Razóla : su precio 80 rs. . ' , .D O S PA D R E S P A R A U N A H IJA . Un cortijo nombrado del Pilar , en el partido de A r r a y a ­ L a M inerva es una obra dedicada expresamente á la j u v e n ­ n a l , término de U población de T orrem oliuos, valorado en la tud española; y por esta razón, ademas de los diversos ramos que A continuació…</t>
  </si>
  <si>
    <t>Responde, Antonio</t>
  </si>
  <si>
    <t>Antonio Responde</t>
  </si>
  <si>
    <t>…l campo del honor. Y diciéndole Sirena «Solia yo ser BOLETIN DE CO M ER CIO . TEATROS. dueño vuestro. PRINCIPE. A las ocho de la noche. Se volverá á poner BOLSA D E M A D RID . en escena el drama original en cinco actos, de D. Antonio Responde: Cotización del dia 6 á las tres de la tarde • García G utiérrez, titulado «Pasó ya ese tiempo. EFECTOS PUBLICOS. E L REY M O N JE . S iren a . Inscripciones en el gran libro á 5 por 1 0 0 , 00. Títulos al portador del 5 por 100, 20 siete dieziseisavos con Este drama está divi…</t>
  </si>
  <si>
    <t>Retortillo, Angel</t>
  </si>
  <si>
    <t>Angel Retortillo</t>
  </si>
  <si>
    <t>…iatamente el joven, le Geografía. D. Francisco de Mier y Teran, D. Federico Se­ vos que rem aban en ios barcos en em igo s obtuvieron su descargó el granadero un puñetazo en el pecho y al que se le g u í, D Fernando Gtrgollo, D. Angel Retortillo, D. Leopol­ libertad. La pérdida de los cristianos fue estimada en 10$ contestó con otro bastante violento en la cara. El soldado qui­ do Brockmann , D. José Soiis y D. Manuel Docavo. hombres entre soldados y marineros, d e m odo-que el gol­ so responder con un bayonetazo, pero se…</t>
  </si>
  <si>
    <t>Retureta, Manuel</t>
  </si>
  <si>
    <t>Manuel Retureta</t>
  </si>
  <si>
    <t>…talina. 4** ^ Sr. ministro D. José Serapio Mojairieta. * . . . . . i 10 El presbítero D. Rafael Al varado 4** 2 Sr. fiscal D. Fernando Perez Rozas. ............. 10 La dirección general ha dispuesto que el sorteo que ha de Id. D. Manuel Retureta, teniente de cura de M a­ El Sr. ministro honorario D r Juan María Blanco de verificarse el dia 15 de Abril próximo, sea bajo el fondo de 44© druga 4 ** ® la Toja................ 5 pesos fuertes, valor de 22000 billetes á dos duros cada uno, Id. D. José Luis de A stor, cura párroco…</t>
  </si>
  <si>
    <t>Reutas</t>
  </si>
  <si>
    <t>…s de nes de 28 de Enero y 18 de Marzo de este año, y á consecuen­ edicto se le asignan, se presente en dicho supremo tribunal y medicina operatoria escritos en francés por Mr. Alf. Velpeau, cia de otra de la dirección general de Reutas, se publica en su­ escribanía de cámara de D. Agustín Montijano , por sí ó por y traducidos al castellano y adornados con /fi láminas finas: basta la contrata procurador con poder bastante, á evacuar el traslado que se le 4 tomos en 4*°á 160 rs. en rústica, y los Nuevos elementos de debe ce…</t>
  </si>
  <si>
    <t>Reverter</t>
  </si>
  <si>
    <t>…ia n y -b e y , M inistro de G u erra; A r tin - cia , por su constancia, y en fin , por la perfecta medida con bey , intérprete del virey ; $elira -b ey , inspector general del El 2 t por la noche salió de esta plaza el capitán Reverter que ocupa el elevado puesto que la Carta le ha asignado en el departamento de m edicina; Alí-efFendi , primer arquitecto; con 59 caballos y 6 peones de su compañía , - y al amanecer Estado. Continuando asi , es com o lograremos dar á nuestras Achrnet- bey , director del arsenal; M oh am m…</t>
  </si>
  <si>
    <t>Reverter, Joaquín</t>
  </si>
  <si>
    <t>Joaquín Reverter</t>
  </si>
  <si>
    <t>…de esta plaza la compañía fran ­ Mateo para abajo hacia la parte del rio. ción ningun a , mediante la presentación del recibo, del p e r ió ­ ca de lanceros de Isabel ii de este distrito al mando de su deci­ dico. dido capitán D. Joaquín Reverter á efecto de reconocer los Por otra comunicación del 2 4 , llegada del cuartel general, pueblos del bajo corregim iento; pero sabiendo antes de llegar al se sabe que habiéndose fortificado el campanario de Sarrion y de Santa Bárbara que una pequeña partida de la compañía de abastecid…</t>
  </si>
  <si>
    <t>Revilio, Jacinto</t>
  </si>
  <si>
    <t>Jacinto Revilio</t>
  </si>
  <si>
    <t>…avilla de Souto de Rem esar, uno de los mas facinerosos de la de la comunicación que se le ha conferido en autos pendientes misma , con su caballo, montura , y un trabuco, por las tropas en el mismo y escribanía del número de D. Jacinto Revilio , á Clavos de hierro 52,207 5 25 de S. M. al mando del comandante de operaciones de la izquier­ instancia del Excmo. Sr. conde de San Román ; bajo apercibi­ Cobre...................................................................... 5.40L .. 12 da del M iñ o ; y se le fugaron otros c…</t>
  </si>
  <si>
    <t>Revilla</t>
  </si>
  <si>
    <t>…l de nuestra nación , con respecto á su opimon De fisiología el Sr. Frau. escape fue tras de ellos, y á pesar de su larga distancia y el m oral, política y religiosa, y á los demas ramos que consti­ De literatura española el Sr. Revilla. mal terreno logró alcanzarlos, acuchillando á siete que fueron tuyen la civilización de un pais. De arqueología el Sr. Castellanos. muertos en el acto, coger 11 prisioneros, 12 caballos, 16 ca­ Después se ha ocupado de los medios mas ventajosos para Si de los objetos de Ínteres público pa…</t>
  </si>
  <si>
    <t>Revillo, Jacinto</t>
  </si>
  <si>
    <t>Jacinto Revillo</t>
  </si>
  <si>
    <t>…hacemos tan malvados co Luceño en providencia dictada en los autos que ante el mismo autores nacionales y extrangeros, en una forma enteramente mo él? No hay remedio: ó el efecto de la descripción es y escribanía del número de D. Jacinto Revillo siguen Manue­ exorbitante nueva, y á un precio tan ínfimo comparativamente con el nulo, ó es perverso y antisocial: y en este caso es peor que la Vázquez, viuda, con la juota administrativa y liquidadora drán adquirirlas que cuestan las obras del teatro moderno, que po­ nulo, aun li…</t>
  </si>
  <si>
    <t>…Sr. D. Manuel L uceño, juez primera instancia de esta v illa , refrendada del escriba­ tro de la plaza y una ciega confianza en su vigilancia. ¿Cómo nos se afanen en la formación de excelentes leyes ; pero se ve no del numero D. Jacinto Revillo, y por término de 50 dias premiar el relevante mérito que está contrayendo y el tan in­ privada de tal satisfacción por el estado de abatimiento en que precisos, contados teresante servicio que presta á la causa nacional? la han colocado el genio del mal y los efectos de la guerra im…</t>
  </si>
  <si>
    <t>…cinos de Santa María de Labrada, á quie­ ra instancia de esta villa , refrendada del escribano del nú­ sas de franconia y de Suevia. Pruébanlo tantas muestras de nes anteriormente con autorización y aprobación superior se mero D. Jacinto Revillo , se cita y emplaza por término de 15 sumisión y de respeto de los Reyes y de las naciones á la habia distribuido algunas armas y municiones, acaban de se­ dias, contados desde el en que se anuncie en la Gaceta del Go­ sa n ta be de: tantas ordenes como emanaron de esta á los Gobier­…</t>
  </si>
  <si>
    <t>…ante el Sr. D. M anuel Luceño, juez de primera instancia en d e l g e n io , eran menos-pálidas, mas determ in adas; en una pa­ l a b r a , tenían algún fin moral. Este se deja conocer en La vid a esta corte, y escribanía de D. Jacinto Revillo ; apercibidos que CAMBIOS. d e un j u g a d o r , que tiempos.atrás llamó tanto la atención del de no hacerlo, les parará el perjuicio que h a y a lugar. publico m ad rileñ o ; y en Quince años Jid ^ representada cuan ­ A n d r é s , á 9 0 d ía s, 5 8 § din. C o r u ñ a , 1 d. do…</t>
  </si>
  <si>
    <t>…ría de Ren­ J de primera instancia en esta villa y corte, refrendada del tas de la provincia de M adrid el valor de los tabacos que reci­ Real instrucción de 16 de Enero de 1835 antes de expe­ escribano de numero de la misma D. Jacinto Revillo, se cita y ba en las fábricas, á cuyo fin las contadurías de estos estable- dir las guias ó licencias de salida. emplaza por término de 20 dias, contados desde el en que se! cimientos remitirán por e! correo mas inmediato á la dirección Encargamos á V. S. que teniendo presente cuán…</t>
  </si>
  <si>
    <t>…ar, comandante ra instancia en esta v illa , refrendada de! escribano del ros anteriores dando parte del cange celebrado en Artesa de nues­ general de la primera d iv isió n , ha llegado al Coliado, desde el húmero de la misma D. Jacinto Revillo , y á voluntad de sus tros prisioneros, donde se indicó habían quedado á debernos les cual se ha dirigido en derechura acompañado del comandante lueños se saca á pública subasta y término de 20 dias co nta- facciosos cuatro oficiales, un cadete y 92 in d iv id u o s; sabernos de inge…</t>
  </si>
  <si>
    <t>…mpo que los de los fac­ primera instancia de esta villa, refrendada del escribano ra autorizar el solemne sorteo de la segunda duodécima parte ciosos han sido conducidos á Murviedro: creo pues que un dia del numero de la misma D. Jacinto Revillo, y á voluntad de de la deuda extrangera diferida que debe pasar á la clase de de estos se verificará en estas inmediaciones. sus dueños , se sacan á pública subasta por término de treinta activa con arreglo al art. 6.° de la ley de 16 de Noviembre de En esta ciudad seguimos tranquil…</t>
  </si>
  <si>
    <t>Revillo, Manuel</t>
  </si>
  <si>
    <t>Manuel Revillo</t>
  </si>
  <si>
    <t>…lla penetrado. lié a q u i, señores, todo el delito. da por Oriente con el camino de Madrid á Hortaleza , por Me­ decreto. * Es verdad que mis primeras amonestaciones para que se des­ diodía , Poniente y Norte con tierras de D. Manuel Revillo , y Dado en Paris á 10 de Febrero de 1859.=iLuis Felipe.=Por cubriesen, no surtieron efecto; pero mis hijos no mostraron la está tasada en venta toda ella en 1575 rs., y en renta auual el Rey, el vicealmirante Ministro Secretariólde Estado de M ari­ menor resistencia cuando yo mismo…</t>
  </si>
  <si>
    <t>REVOLUCION, CARLOS</t>
  </si>
  <si>
    <t>CARLOS REVOLUCION</t>
  </si>
  <si>
    <t>…es de valuar la felicidad del amor vir­ hacia la parte de Estella, y se sabe que desde alli se dirigió tuoso, la desventura de los celos y el oprobio del honor ultra­ hácia Los Arcos, en doude puede tal vez tener lugar algún D. CARLOS REVOLUCION. Y LA jado. encuentro entre aquel caudillo y el general conde de Luchana. A muchos de nuestros lectores parecerá extraño que haya­ mos reunido en una misma categoría autores tan diversos en Logroño i i de Marzo . Desde los Arcos regresó á Lodosa las formas de estilo y de comp…</t>
  </si>
  <si>
    <t>Rexach, José</t>
  </si>
  <si>
    <t>José Rexach</t>
  </si>
  <si>
    <t>…ministración podrá conseguir la aprobación de (2) Reciben firmas en G erona, D. José Viñals* aficionar á su estudio las personas que componen la sociedad la mayoría nacional dentro y fuera de la Cámara , y deseamos, En O lo t, D. José Rexach. culta, haciéndoles ver su alcance y dom inio, y el estado de decirnos, que asi suced a, porque esa será un a muestra irrefra­ En Torroella de M o n tg r i, D. Francisco de Camps* perfección á que ha llegado en el dia. Asi que, no h ay que e s ­ gable de que las medidas adoptadas por la…</t>
  </si>
  <si>
    <t>REY</t>
  </si>
  <si>
    <t>…tanta mas franqueza, cuanto que no es S. 8. el responsable. Puet la Constitución. ñor Argiielles. q u é , porque nosotros hayamos tenido la tolerancia (y gracias E l Sr. S A N C H O contesta al Sr. Benavides diciendo que El Sr. R E Y : Y o debo decir que ese punto no se discutió en que no uso de otra palabra , porque estoy ante un Congrego), acerca de lo que ha dicho el Sr. R u iz del A r b o l , la comisión la comisión. Ja tolerancia, d i g o , de permitir que de este modo se falte á la entonces examinó si habia ó no cue…</t>
  </si>
  <si>
    <t>Rey, Adelsward. El</t>
  </si>
  <si>
    <t>Adelsward. El Rey</t>
  </si>
  <si>
    <t>…: el D. Angel Ramírez. «D . M artin Fernandez N avarrete. ronde - floseubland , M inistro de Ju stic ia ; el conde Stjemeld, A licante. M inistro de Negocios éxtrangeros; el conde Lovenhieim y el Lugo. «D . Melchor Astiz. conde Adelsward. El Rey va acompañado en su viaje por el D. José Ferriol. « D . José M aría Moscoso de A ltam ira. maris- al del reino conde Brake y los condés Loevenhaujot y D. Antonio M ira Perceval. D. Jav ier M artín ez, marques viudo de V alladares. YVeidemann. «D . José M aría Reig. «Conde de O f…</t>
  </si>
  <si>
    <t>Rey, D. Joaquin</t>
  </si>
  <si>
    <t>D. Joaquin Rey</t>
  </si>
  <si>
    <t>…lo Ayala y Moría. Sr. D, Francisco Armero y Peñaranda. Sr. D. Juan Burguez Zaforteza. Sr. Sr. D. Nicolás Rípoli. León. Soria. . Barcelona. Sr. D. And rés Leal. Sr. D. Segundo Sierra y Pambley. Sr. D Manuel Barrio-Ay uso. Sr. D. Joaquin Rey, Vicepresidente 5.° Sr. D. Pascual Fernandez Baeza. Sr. D. José Antonio Flaquer. Sr. D. León Ilerques. 7 1arragona. Sr. D. Carlos de Martí. Sr. D. Santiago Alonso Cordero. Sr. D. Baltasar de Toda. Sr. D. José Almirall. Sr. Sr, D. Joaquin Borras. Sr. D. José G ispert, Secretario 5.…</t>
  </si>
  <si>
    <t>Reyes</t>
  </si>
  <si>
    <t>…ruina. (Impreso suelto de Tampico .) árbol de fuego despedía una luz magnífica, y todos loi alrede­ del com andante general de Cuenca én que manifiesta que el ca­ dores se veiati tan claros como con el sol de medio día. pitán D. Reyes C antóm e con su compañía franca y las p a rti­ Después de la revolución de Julio no se ha gozado en l§ das del ejército qué se le confiaron, sorprendió, á beneficio de una fiesta de la noche de un tiempo tan sereno corno en este año. m archa forjada én la m adrugada del 50 del anterior, á los…</t>
  </si>
  <si>
    <t>Reyes, Felipe</t>
  </si>
  <si>
    <t>Felipe Reyes</t>
  </si>
  <si>
    <t>…cara. 558. Un cuadro con un pájaro bordado, al Excmo. señor El marido dedos mugeres. conde de Campo-Alan ge. A virtud de providencia dé la sala segunda del supremo La honra de mi madre. 147. Un país bordado de pelo, al Sr, D. Felipe Reyes. tribunal de Justicia, se cita y emplaza á la viuda ó sucesores Sigue abierta la suscripción en la librería de Boix, calle de 7/|5. Un cuadro con una Venus, al Sr. marques de Q uin­ de D. Manuel Alaix , únicos que restan serlo en el asunto, y Carretas, núm. 8 , á 12 rs. tomo ó sea 2 rs…</t>
  </si>
  <si>
    <t>Reyes, Fernando</t>
  </si>
  <si>
    <t>Fernando Reyes</t>
  </si>
  <si>
    <t>…na obser­ Rudimentos de latinidad. D. José Sánchez, D. Angel Re- sus soldados por haberse separado los dos b u q u es, q u ed o vación, y pagó el jamón al mismo precio que el algodón, es de­ tortillo , D. Leopoldo Brockmann , D. Fernando Reyes, Don solo, prisionero y lleno de heridas; por esto d ijo: «Yo so­ c i r , á 4 pesetas la libra. {Id.) Manuel Docavo y D. Juan Pablo Lasanta. Traducción latina. D. Manuel María Simó y D. José Dios- lo fui el triste entre tantos a l e g r e s , y el cautivo entre tan­ dado. tos libre…</t>
  </si>
  <si>
    <t>Reyes, Pedro Caparros</t>
  </si>
  <si>
    <t>Pedro Caparros Reyes</t>
  </si>
  <si>
    <t>…n escuadrón para el Otra id. , sierra Almagrera , barranco Pinalbo , término de sando de Africa a E uropa, y de Europa á Africa, de mo­ ataque, con la vil circunstancia de herir primero por los en 50. Virgen de la Piedad, por D. Pedro Caparros Reyes, Cuevas, do que no es posible distinguir cuál de estas dos partes ojos al pobre anim al, y matarle después por atrás á trai­ Demarcaciones, de la tierra puede llamarlos sus habitantes naturales. Otras ción. El cóndoro pues es el mas vil entre la vil clase de veces se ven en…</t>
  </si>
  <si>
    <t>REÍN</t>
  </si>
  <si>
    <t>…o estuviera i:tan sujeta á la ordenanza, y ción los luminosos principios del Sr. Arguelles. solo bajo la voluntad de la autoridad militar. Añadió que el es­ por ú ltim o , que desearía se restableciese la ley marcial. tA El Sr. R E Í NO S O , limitándose á la cuestión principal que tado excepcional era una dictadura permanente donde no ha­ El Sr* P R E S ID E N T E interrum pió al orador, manifiestan^ en su concepto debia tenerse presente, que era el objeto que el bia mas ley que el capricho del que mandaba; y que por o…</t>
  </si>
  <si>
    <t>Ribera</t>
  </si>
  <si>
    <t>…advertencia de S. A. R. el Piíncipe de J o in - villc, y el contra-almiraute Baudin ha informado de ella al He tenido á bien encargar interinamente el despacho de los Goheruo. Negocios extrangeros al brigadier graduado barón de Ribera F R A N C IA . de Sabrosa.=El consejero Julio Gómez de Silva Sec. N úm . 5.° E l conde Sebastiani al vizconde Palmerston . Paris 17 de Abril . He tenido á bien encargar interinamente el despacho de la Londres 3 de Abril de 1859.—M ilo rd : estoy expresamente secretaría de M arina y de Ult…</t>
  </si>
  <si>
    <t>…que parecen resultar en Suiza de u a vicio fundam én- vadieron el territorio de la República o rien tal, estaban á la tal de la Constitución. Este año ha presentado memorables ejem­ vista de las que manda el Presidente general Ribera , y se es­ plos de é l : después de las revoluciones del V ales, de Zurich y Un barbero arm enio, y su hijo, de 25 años, que tenían su peraba de un instante á otro la noticia de haberse dado una del Tessino, A rgoria prepara también la s u y a ; pero alii por fin tienda cerca de la escuela d…</t>
  </si>
  <si>
    <t>Ribera, Fructuoso</t>
  </si>
  <si>
    <t>Fructuoso Ribera</t>
  </si>
  <si>
    <t>…es sidente Oribe abdicó y pasó á Buenos-Aires en el bergantin de C ircular del ministerio de la Gobernación para que los capita­ alaveses, que son el 2.°, 4*° y 6*°9 y se esperaba al 5.° , á los S. M. B. S p a rrow -H a w k . D. Fructuoso Ribera hizo su entra­ cuales ha dado algunas prendas de vestuario. A mas dio or­ nes generales, diputaciones y demas á quienes corresponda da tranquilamente en la ciudad , y el vicepresidente queda den Maroto de que se permitiese á todo paisano transitar por redoblen su celo á fin de imp…</t>
  </si>
  <si>
    <t>Ricafort, Mariano</t>
  </si>
  <si>
    <t>Mariano Ricafort</t>
  </si>
  <si>
    <t>…................................... Granada. del ridículo, que mezclados á la efervescencia general de D. Agustín Diaz Camacho...................................Huelva. los mismos, ejercen casi siempre no sé qué poder magné­ D. Mariano Ricafort...............................................Huesca. tico que esta a punto de sojuzgarnos y hacerse dueño de D. Pedro Antonio Acuña............................ .. Jaén. BIBLIOGRAFIA. Buestra voluntad. El espejo en que haya de reproducirse D. Joaquín Diaz Caneja...................…</t>
  </si>
  <si>
    <t>Ricardo</t>
  </si>
  <si>
    <t>…colocados reciea teme ti­ ta , llam a y emplaza á D. Pablo Torrens y M irald a , D. José se req u iere un anteojo de ópera para d istinguir las p in tu ­ le en aquella embocadura. (Id.) de Acebo , D. Joaquín de E ch ev arría, D. Ricardo L ó p ez, Don ras colgadas ju n to al techo. Los cuadros, por otra p arte, del m inisterio de G racia y Ju s tic ia para que se proceda A ntonio González , D. José Castejon , D. M iguel M arques y han de estar separados unos de otros, y no encajados unos en todas las provincias á la renova…</t>
  </si>
  <si>
    <t>…pitán general de Castilla la V ieja, y ademas d ad con lo m anifestado po r el m in isterió dé M arina y Co­ y coíi deseó de fo m en tar *lás q u é de su especie e x is ta n , y destacó para la persecución al coronel de Borbon D. Ricardo m e rc io , S. M. sé ha servido reso lv e r: p ro m o v er la creación de Otras de sem ejante n atu raleza, Schely con dos escuadrones de su cuerpo. Atendiendo á la difi­ 1.° Q ue las referid as islas sigan en posesión de la fa­ s é ,h a serv id o S. M: la R ein a G o b e rn a d o ra reso l…</t>
  </si>
  <si>
    <t>Ricardo, Borbon D.</t>
  </si>
  <si>
    <t>Borbon D. Ricardo</t>
  </si>
  <si>
    <t>…bién al capitán general de Castilla la V ieja, y ademas d ad con lo m anifestado po r el m in isterió dé M arina y Co­ y coíi deseó de fo m en tar *lás q u é de su especie e x is ta n , y destacó para la persecución al coronel de Borbon D. Ricardo m e rc io , S. M. sé ha servido reso lv e r: p ro m o v er la creación de Otras de sem ejante n atu raleza, Schely con dos escuadrones de su cuerpo. Atendiendo á la difi­ 1.° Q ue las referid as islas sigan en posesión de la fa­ s é ,h a serv id o S. M: la R ein a G o b e rn a d o…</t>
  </si>
  <si>
    <t>Rich</t>
  </si>
  <si>
    <t>…ria. El Sr. C A A M A Ñ O P A R D O : Yo creo que por la noticia contestó que sí y se acordó que pasase á las secciones. tan satisfactoria debe señalarse este dia como época memorable. Igual resolución recayó sobre otra del Sr. Rich al mismo Y á las tres saldrá , para presentar á S. M . la Reina G o­ El Sr. P R E S ID E N T E : En consecuencia del acuerdo del Se­ párrafo después de haber manifestado su autor que no pidién­ bernadora el mensaje de felicitación acordado en la sesión del nado propongo que se reúnan las secc…</t>
  </si>
  <si>
    <t>…ARELLY contestó que con lo que la comisión in­ de I'clic ion es acerca de la de D. José Castro, vecino de Barce­ ros adoptó; pero que entonces no había bases sólidas para la tercalaba en el párrafo se llenaban los deseos del Sr. Rich. lona, solicitando se acuerde la publicación de la ley sobre vía- distribución, pues únicamente al buen juicio del Sr. Ministro Los Sres. Rich, Garelly y Ministro de la Gobernación usa­ cu 13don es, siendo la comisión de dictamen que se tenga pre­ se dejaba la referida distribución. ron suces…</t>
  </si>
  <si>
    <t>Rich, Los Sres.</t>
  </si>
  <si>
    <t>Los Sres. Rich</t>
  </si>
  <si>
    <t>…entonces no había bases sólidas para la tercalaba en el párrafo se llenaban los deseos del Sr. Rich. lona, solicitando se acuerde la publicación de la ley sobre vía- distribución, pues únicamente al buen juicio del Sr. Ministro Los Sres. Rich, Garelly y Ministro de la Gobernación usa­ cu 13don es, siendo la comisión de dictamen que se tenga pre­ se dejaba la referida distribución. ron sucesivamente de la palabra para rectificar varias equivo­ sente en tiempo oportuno. Que respecto á la práctica que ahora se sigue no pued…</t>
  </si>
  <si>
    <t>Rich, Ministro Los Sres.</t>
  </si>
  <si>
    <t>Ministro Los Sres. Rich</t>
  </si>
  <si>
    <t>…pero que entonces no había bases sólidas para la tercalaba en el párrafo se llenaban los deseos del Sr. Rich. lona, solicitando se acuerde la publicación de la ley sobre vía- distribución, pues únicamente al buen juicio del Sr. Ministro Los Sres. Rich, Garelly y Ministro de la Gobernación usa­ cu 13don es, siendo la comisión de dictamen que se tenga pre­ se dejaba la referida distribución. ron sucesivamente de la palabra para rectificar varias equivo­ sente en tiempo oportuno. Que respecto á la práctica que ahora se sigu…</t>
  </si>
  <si>
    <t>Richmond</t>
  </si>
  <si>
    <t>…ncia pueden votar contra la inform ación los hombres bate en que tomaron parte el duque de B uckingham , el conde que desean una modificación en las leyes de cereales. M INISTERIO DE GRACIA Y JU STIC IA . Stanhope, el duque de Richmond , lord Melbourne y el duque M. P. Thompsom : Me parece que la mocion debe tomarse de W eilin g to » , lord Brougham ha rehusado someter su mo­ en consideración: es natural en efecto que los amigos de la re­ ción sobre las leyes de cereales á una d iv isió n , y de este modo vocación de la…</t>
  </si>
  <si>
    <t>Richraond</t>
  </si>
  <si>
    <t>…­ del Gabinete. El duque de Buckingham , el conde de R i p o n , el recibió con ^iucha política. Esta precaución de parte de sir coles ó jueves. Se dice que 'a ausencia de Mr. H u m an a á quien duque de W eilington y el duque de Richraond han combatido John se atrib uye á una comunicación que habia recibido, i n ­ se destina el ministerio de H acien d a, es lo único que se opone la mocion. El vizconde Melbourne se ha pronunciado también formándole de que el objeto de esta diputación no era otro que á la constitución definit…</t>
  </si>
  <si>
    <t>RICIT</t>
  </si>
  <si>
    <t>…muy oportuno presen­ nombrar S. M. la Reina Gobernadora para lá promptoría fis*-; tarla, pues si lá comisión mista variaba lo aprobado por el Se­ de ley. cal del juzgado de R ia ñ o , vacante por cesación dé D., Hipólito El Sr. RICIT apoyó el proyecto manifestando las ventajas nado y se. presentaba al Congreso aquella variació n, claro era P ére z, á D . Francisco Buron Sierra* y pára la dé Á lb urquer- que resultarían á la patria de la publicidad de las cuentas , p u ­ que no se ¡presentaba lo que habia aprobado el Senado…</t>
  </si>
  <si>
    <t>Rico, Agustín</t>
  </si>
  <si>
    <t>Agustín Rico</t>
  </si>
  <si>
    <t>…orbeta 1 6 5 7 5 1 .. 1 5 0 ....... id . dos cuatro vecinos de Cervera del rio Á larn a, jurisdicción de guerra francesa la A lcm en a , que entró en este puerto el di 175509... 1 5 0 . .............. Id. del mismo nom bre,y á D. Agustín Rico (alias el Abanderado;, de a y e r : tanto dicho buque como los demas existentes , y qu 181242. . 150, Id¿ natural de Nalda y vecino de Zarzosa, jurisdicción de la c iu ­ se esperan en esta costa , están destinados por su Gobierno 1 8 3 5 5 5 .. 150................ Id. dad y partido de A…</t>
  </si>
  <si>
    <t>Rico, Juan</t>
  </si>
  <si>
    <t>Juan Rico</t>
  </si>
  <si>
    <t>…su Miiicia nacional comprendida, e n l a Jey de 14 de Octubre punto marítimo de la Mamola. 185. María Manuela de L am as, en solicitud á pensión. del año anterior/ 264 . Varios labradores del mismo pueblo, en igual pre 186. D. Juan Rico, vicario general que fue de los ejérci­ 226. D; José Alegre Galan , pidiendo que los sueldos de los tensión. tos de Valencia y M urcia, sobre admisión en pago de Hacas medios directores de baños se paguen del 20 por 100 de pro­ 265. Los traficantes de chorizos, jamones &amp; c., vecinos de n…</t>
  </si>
  <si>
    <t>Rico, Puerto</t>
  </si>
  <si>
    <t>Puerto Rico</t>
  </si>
  <si>
    <t>…forma era el cal Soult, y en el que Mr. D upin consintiese ser individuo. de ensanchar la base electoral, satisfacer al pueblo de los tres El Rey ha querido hoy dar un paso en este sentido cerca El gobernador capitán general de Puerto Rico participa en reinos, y hacer que todos tuviesen confianza en el Gobierno. No del duque de Dalmacia. 15 de Febrero del presente año al ministerio de M arina, de habiéndose llenado este objeto, pido á la Cámara se sirva adop­ Se espera la respuesta del mariscal. Comercio y Gobernación de U…</t>
  </si>
  <si>
    <t>Rico, Rafael Acedo</t>
  </si>
  <si>
    <t>Rafael Acedo Rico</t>
  </si>
  <si>
    <t>…tercera y tiradores de caballería del 6 .° de ligeros, mandada por su capi­ Gumucio, que desempeña la dirección de la caja nacional de quinta parte de tabacos y papel sellado. . . 1 .3 7 2 ,7 1 6 - 2 5 tán el denodado joven D. Rafael Acedo Rico , cuyo caballo re­ Amortización, por ausencia del propietario; D. Dámaso Recompensas y asignaciones............................... 3 2 ,2 7 1 - 2 3 cibió después dos balazos al embestir el último parapeto, refor­ A paricio, procurador síndico del ayuntamiento constitucio­ Devol…</t>
  </si>
  <si>
    <t>Ricoy, Ramón</t>
  </si>
  <si>
    <t>Ramón Ricoy</t>
  </si>
  <si>
    <t>…las provincias de Ciudad R.eal y Toledo en su parte periódico de novedades, fecha 50 del ante­ Lond res 2 2 de Agosto. C O N G R E SO D E D IPU T A D O S . r io r , dice que el alférez de cazadores á caballo de la Guardia Real D. Ramón Ricoy rechazó y dispersó á 50 facciosos de En las dos Cámaras del Parlamento los Ministros han de­ Sesión d el dia 5 de Setiem bre. Palillos que se le habian presentado en actitud hostil , causán­ jado sobre la mesa los papeles relativos á las pesquerías de os­ doles varios heridos , y aprehen…</t>
  </si>
  <si>
    <t>…su buen comportamiento á la columna de narias , P uerto-R ico é isla de Cuba. su m ando, lo hace con especialidad del alférez de cazadores á Lo que se anuncia al público para su conocimiento, Ma-* caballo de la G uardia Real D. Ramón Ricoy por la bizarría drid 25 de Enero do 1859. Se vuelve á in serta r en la G aceta de h o y la sig u ien te ley con que con los 30 individuos de su cuerpo que m an d a, cargó p o r q u edar p o co s ejem p la res d el núm. 18 d el co r r ien te , al enemigo por terrenos casi inaccesibles; d…</t>
  </si>
  <si>
    <t>RID</t>
  </si>
  <si>
    <t>…BOLETIN DE COMERCIO. idiomas el Quijote del siglo x v m . miradas como útiles al progreso de las luces y de las ciencias, y Cuando una obra es traducida en el extraogero con esta ra­ acogidas favorablemente. B O L S A DE M A D R I D . pidez, es seguramente porque allí es conocido su mérito , tal vez Se hallara en las librerías de Cuesta, frente á las gradas de roas bien que en la patria del autor. San F elip e , y de S a n z , calle de Carretas. Cotización d e l dia 3 0 d las tr e s d e la tard o . Nos complácenos en re…</t>
  </si>
  <si>
    <t>…os que los o ia n : ¿ H a n bajado acaso del cielo? 1824* (Núm. 1580.) En efecto, la colina eu cuya pendiente se eleva Bergamo h a ­ Circular del ministerio de la Gobernación para que los gefes C A J A DE A H O R R O S DE M A D R I D . políticos satisfagan de los fondos de su comisión p agaduría ce pensar en aquellas montañas que la mitología pagana nos presenta como sitios intermediarios en que se encontraban los las cantidades que se inviertan en la manutención de presos D om ingo 31 d e M arzo d e 1859. pobres, salario…</t>
  </si>
  <si>
    <t>…( M uch as v o c e s : A l DE L A FUNCION NACIONAL CON QUE EL AYUNTAMIENTO CONSTI­ timas de M adrid con su corona de l a u r e l , y á los costados del orden del d i a ! al orden del d i a ! ) TUTICIONAL DE LA M. 'H. V. DE M A D R I D , DE ACUERDO CON EL pedestal se leen las inscripciones siguientes tomadas de la Es­ M r, Mauguin declara que él quiere reasumir la cuestiou, c ritu ra. SXCMO. SEÑOR CA PITAN G E N E R A L , H A DISPUESTO SOLEMNIZAR y se admira de que habiendo sido aceptado el programa por to­ EL 2 DE MAYO E…</t>
  </si>
  <si>
    <t>…las ce rc an ías, cu y as cabezas se e x a lta n BOLETÍN DE COMERCIO* con num erosas libaciones de c id r a , ase g u ran qu e ai a t r a ­ vesar a q u e l distrito se ve au n la cab añ a a r d i e n d o , á los B O L SA DE M A D R I D , dem onios vestidos de azul y arm ado s con largos chuzos de h i e r r o , atizando las lla m a s , y h acien d o sa lta r e n m e d iu de e llas a l carbonero y á su m u g e r q u e e x h a la n horrorosos g e ­ Cotización del dia 31 á las tres de la tarde. EFECTOS PUBLICOS. LA MUGER mido…</t>
  </si>
  <si>
    <t>…6 L A BERLINA D E L EMIGRADO. BOLETIN DE COMERCIO. Terminará la función con baile nacional. Córdoba 26 d e S etiem b re . Para preparar la unión de los verdaderos amantes de la Constitución y de S. M. la Reina BOLSA DE M A D RID . Doña Isabel n , se verificó el lunes en el seminario conciliar una comida de 160 personas, que puede decirse era lo selecto dvl CRUZ. A las siete y media de la noche. Se volverá á po­ Cotización del dia 1.° d las tres de la tarde . ner en escena la grande ópera en cinco actos del maestro D…</t>
  </si>
  <si>
    <t>C A J A DE A H O R R O S DE M A D R I D . M adrid artí-.tico.—El claustro de San Fvlipe el Real. c¡na pública y ¿ ^ gratitud de todas las gei 's-s aT.ante» de su Conocimientos útiles.—Colonias agiícolas. D om ingo I.° d e D ic ie m b r e . Poesía,—A un arroyo. No se ofenda su modestia por nuestros ju t^s y merecidos Costumbres.—U…</t>
  </si>
  <si>
    <t>…cree q u e la cu e s tió n debe m ir a r s e bajo a v e r i g u a r , y q u e al efecto h a b ia r e d a c t a d o u n a p roposic ió n d is t in to aspecto. P o r ú l t i m o , qu e p u d ie r a m u y bien m ir a r s e la M A D R I D 3 DE F E B R E R O . p a r a q u e se d ie r a c u e n t a de el l a 1si acaso a lg u n o s señores D i p u * exp osic ió n como u n a d u d a de le y , y en ese caso las Cortes son ta d o s q u e r í a n f o r m a r p a r te en e lla , y c u y o co n te n id o d e c ia asi: las ú n ic a s q…</t>
  </si>
  <si>
    <t>…om edia de figu rón , en tres a c to s , titu lada ú ltim os dias la de una p ie z a ; pero les ha salido defectuosa. Pa­ CAMBIOS. rece que con este m otivo ha reclam ado C astor oficiales de mas E L A S T U R IA N O E N M A D R I D , in teligen cia que d irija n los trabajos de fa b rica ción . M a roto se halta en V illareal de A la v a , ten ien do unos seis L o n d re s , á 9 0 d ia s , 5 8 | . C oru ñ a, d. Y observado r in s t r u id o , ó siete bataPones y dos escuadrones en el m ism o pueblo y su* P a r is , 1…</t>
  </si>
  <si>
    <t>…infantería n ú ­ perdiendo los facciosos dos compañías enteras en los asaltos que mero t í t , la administración m ilitar francesa ha liquidado los han intentado. Siendo cierto lo p rim ero , no dudamos lo sea B O L S A DE M A D R I D . haberes de dicho d if u n to , resultando en favor de él 1265 fran - también lo último. cos y 46 céntimos; ios que se hallan en la caja de depósitos y Cotización del dia 1.° á las tres de la tarde • consignaciones de Paris , ante la cual deberán hacer valer sus derechos los herederos del r…</t>
  </si>
  <si>
    <t>…tos que quiso darle la falsa filosofía del siglo x v m . Repe­ la cual resulta la división que hace de los delitos en cuatro cla­ tiremos en compendio los raciocinios de nuestro a u t o r , para C A J A D E A H O R R O S DE M A D R I D . ses: á saber, contra las personas, contra el cuerpo social, con­ dejar bien fijas las ideas en esta importante materia. tra la propiedad p r iv a d a , contra la propiedad pública , y su El hombre tiene el sentimiento innato de lo justo y de lo subdivisión según la naturaleza de los bienes…</t>
  </si>
  <si>
    <t>…DE CO M E R C IO . S rs. en rústica y 8 en pasta. Véndese en dicha lib rería, don­ fíeos de cuerpo entero dibujados por colegiales con lápiz y tinta china. La capilla, que por su estructura es bella,aparecía toda- BOLSA DE M A D RID . de se hallarán otras obras de literatura y jurisprudencia del \ ía mucho mas por el primor con que est: ba adornada. A un autor. lado del altar mayor estaban en un elegante dosel dos magnífi­ Cotización del dia 4 d las tres de la tarde. cos retratos al óleo con marcos dorados hechos recienteme…</t>
  </si>
  <si>
    <t>…derogada la ley de 8 de Marzo de 1857 so­ ataque dirigido á nuestro comercio con el Brasil. Hemos e x a m i- bre franq uicia de puertos. dado el asunto bajo el aspecto de nuestros intereses nacionales C A J A DE AHORROS DE M A D R I D . y de nuestras relaciones exteriores. Como cosa de nuestro derecho El O r ien te. y de nuestro deber, al paso que nos lamentamos de la in cu ria 4 D om in go d e A gosto d e 1859. (pues esta es la única palabra que conviene) del Gobierno, le Se lee en el C ourrisr d e B ord e aux del 50…</t>
  </si>
  <si>
    <t>…. 25 contiene, y que su redacción es con­ forme á la fórmula de estilo. Resulta también de los mismos Si madama Recamier escribe al autor de los M ártires un datos que la nota remitida por el Gobierno belga , á fin de ob­ M A D R I D 5 DE M AY O. billete convidándole á com er, contesta que acepta su in­ tener una nueva redacción , no ha sido admitida. Que en cuan­ vitación no obstante su avanzada edad\ y si la rehúsa ale­ to á asegurar las libertades á los habitantes del Limburgo y ga también sus muchos años. En las cole…</t>
  </si>
  <si>
    <t>…a nacional de la la suscripción. Membrilla, muerto en el campo del honor. Y diciéndole Sirena «Solia yo ser BOLETIN DE CO M ER CIO . TEATROS. dueño vuestro. PRINCIPE. A las ocho de la noche. Se volverá á poner BOLSA D E M A D RID . en escena el drama original en cinco actos, de D. Antonio Responde: Cotización del dia 6 á las tres de la tarde • García G utiérrez, titulado «Pasó ya ese tiempo. EFECTOS PUBLICOS. E L REY M O N JE . S iren a . Inscripciones en el gran libro á 5 por 1 0 0 , 00. Títulos al portador del 5…</t>
  </si>
  <si>
    <t>…ués de haberse evaporado y clarificado en la En primer lugar observaremos su prod ucción, esto es, segunda vasija queda suficientemente reducido para caber los países que producen azúcar en cantidad suficiente pa­ BOLSA D E M A D RID . en la tercera, se pasa a esta con el cucharon, y después a ra formar un artículo de exportación. Los paises de don­ Cotización del día 6 á las tres de la tarde. la última paila. de se exporta el azúcar para el consumo de Europa son: Las enfriaderas, comunmente media docena, son arte­ Las Ind…</t>
  </si>
  <si>
    <t>…arto s, con 1 ,914 males, ó de otro rnodo destruida. Estas regulaciones son toda­ cepas v iv a s , 1,505 marras y 38 olivos, en 17,054 rs. vía rnas absolutas y rigorosas en A u str ia , R u s ia , &amp;c. Pero esto B O L S A DE M A D R I D . Otro llamado la Boca, al pago del Cascajar , con 1,951 ce­ &gt;ío se puede hacer en Inglaterra á causa de la libertad consti­ pas v iv a s, 517 m a rra s, 237 cepas de espesiilo puestas á marco, y tucional; el carnicero veoderá carne podrida si hay quien se la Cotización del dia 6 á las tres d…</t>
  </si>
  <si>
    <t>…de guia á Jos descubridores, ofrecieron flechas, ca­ de los Arkansas, en donde se habian detenido lumets, flores y espigas de maiz al Nilo de sus desiertos, y to­ te. Continuando su rumbo anduvo otras 100Joliet y Marquet­ M A D R I D 8 D E M A R Z O dos juntos saludaron al padre de las aguas: los indios no veian al término del rio: sus compañeros estaban asombrados; leguas sin llegar otra cosa que án r i ó ; pero sú§ compañeros veian en él todo un Lasalle siguió su marcha, y después de una travesía de 400pero le­ mundo.C…</t>
  </si>
  <si>
    <t>…nacionales y las revoluciones y las intenciones del pueblo; cuando las cuestiones irrita n ­ con cuya sanción se consolidará una paz permanente en la tes que versan sobre rivalidades en tre los poderes p ú b li­ BOLSA D E M A D RID . Europa (1). cos están ya satisfactoria y definitivam ente resueltas por Al hacer nosotros este anuncio de la Constitución europea, la Constitucioh del Estado, ¿puede consentirse que folico­ Cotización del dia 7 á las tres de la tarde. con la portada que antecede, confesamos de buena fe que no…</t>
  </si>
  <si>
    <t>…uno tán pro­ También nds dice "qué sti método no tiene límite alguno, digioso que causa adm iración, siendo todavía más de adm irar si Jos vasos son bastante fuertes ; ” pero esto es aplicar á su C A J A DE A H O R R O S DE M A D R I D . que tan grande descubrimiento h aya estado por cerca de tretf intento lo que había dicho Arquimedes en otro sentido: Da m i - siglos ignorado de todo el mundo; peró si considératóos él tiem­ hi'ú b iip ed en f f g á m e V t o t i ú ñ sublevaba*múndurn :^ Pero aun D om ingo 8 d e D iciem b re…</t>
  </si>
  <si>
    <t>…días las de o b r a s, en las cuales exige mas la vista que la razón. Don­ e ie^as tituladas de V i 1í asi ad a y Perales, sitas en el termino d e , como en E sp añ a, se carece de todas estas circunstancias, B O L SA DE M A D R I D . ju icial de Valencia de D. J u a n , provincia de L e ó n , tasadas la no juzgamos oportuno que se dé cabida en un solo teatro á primera en 1280 r s ., y la segunda en 640 rs. v n .: habiéndose este gén ero , cuando por desgracia se hallan tantos otros pros­ Cotización d e l dia 9 d las t…</t>
  </si>
  <si>
    <t>…circulares del Otra i d . , sierra de Gador, Caparros, término de Dalias, Gobierno y de las direcciones generales. El Dichoso, por Francisco García, en 4* Otra id. , sierra Almagrera, barranco Jaroso, término de BOLSA DE M A D RID . Cuevas, S. José, por D. Andrés Brabo Martínez, en 4» Otra id ., id ., id., Santísima Trinidad, por D. Antonio Cotización d e l día 11 á las tr e s d e la ta rd e. Catálogo d é las m ejo res estam pas que s o hallan d e ven ta en Marques , en 4» la ca lco g r a fía d e la Im prenta nacional…</t>
  </si>
  <si>
    <t>…ncia instintos antiguos que hacen aco- jer con alegría el anuncio de una guerra. Por otra parte ese la­ Se sabe que las hostilidades comenzadas por A bd-el-K ader mentable tratado de la Tafna que A bd-el-K ader ha rasgado M A D R I D 11 D E D I C I E M B R E . estaban premeditadas mucho tiempo antes, y se vé que remon­ con sus propias manos, era un baldón para la dignidad del tan al viaje del Duque de Orleans, habiéndose concebido el pais, y todos celebran que se nos presente la ocasión de derri­ proyecto de sorprender…</t>
  </si>
  <si>
    <t>…te número. CRUZ. A las siete de la noche. Se pondrá en escena la BOLETIN DE COMERCIO. Biografía contemporánea.rzAlejandro 1 , Emperador de R u - ópera n u eva, dividida en tres partes, titulada sia.=Por D. G. G. BOLSA DE M A D RID . Las Cortes de 1857.zr(Continuacion. Véase el número ante- I B R IG A N T I, rior.)z=Por D. Joaquin Francisco Pacheco. Cotización del dia 11 d las tres de la ta rifa Poesía popular.=Drama novelesco.^Lope de Vega.=Por Don poema de C rescini, cuyo asunto está tomada de la famosa tra­ A gustín…</t>
  </si>
  <si>
    <t>…ad de las composi­ por fincas nacionales vendidas en los años de 1820 á 1825, y ciones de ingenio no es peculiar de ellas sino de sus autores ; y en cüya posesión se hallan les compradores en virtud de los A T E N E O D E M A D RID. que ni esta ni otra consideración de igual especie podría hacer­ decretos de 3 de Setiembre de 1835 y 25 de Enero de 1837. le convenir con el Sr. Corradi ? en que se escogiese para asunto Conocida es generalmente la historia dé este importante ne­ SECCION D E LITERA TU RA . de las novelas mod…</t>
  </si>
  <si>
    <t>…e crean con derecho á los mestres de los fondos públicos en efectivo dinero. Los ramos bienes que dejó D. Francisco de A b ajo , natural del lugar de que comprende la enseñanza son los prevenidos en e! plan de B O L SA DE M A D R I D . Tabiño del Monte en dicho partido, prior que fue de! conven­ instrucción primaria referente al Rea! decreto de 2 l de Ju lio to de geróniinos del Prado de la ciudad de Valladolid , que fa­ de 1858 á las escuelas elementales completas. Los aspirantes d i­ Cotización del dia 10 a las tres de…</t>
  </si>
  <si>
    <t>…g u i a , pue­ de arrastrar tal vez hasta un extremo vituperable. Conviene mas célebres sucesos de la historia n acion al, cantado por nues­ por lo tanto ver si es posible fijar el justo límite , á fin de que B O L S A DE M A D R I D . tros antiguos r o m a n c e r o s , no olvidado por escritores dram á­ se conserven la riqueza, la soltura, la gala que tanto brillan en C otización d e l dia 12 á la s t r e s d e la ta r d e ticos dé siglos anteriores, y asunto que excitó, no ha mucho, las obras de los buenos escritores…</t>
  </si>
  <si>
    <t>…Por utt cionar.e el consuelo que apetece que el que se re m ita o r ig i n a l su año. E n las provin ci as 2 4 rs. por seis m e s e s, fran c o de porte* petiemu al Sr . m in istro del rauio. C A JA DE A H O R R O S DE M A D R I D . H a y colecciones desde p ri n ci p i o de la seg unda serie* Num. 52. D . Floren cio M aría H o y o s , abogado del colegio D om ingo 1 5 d e O ctu bre * de e¿ta c o r t e , an im ado dei patriótico se ntim iento de qu e no se Rs.vn. M rs. m alo gre el fruto del venturoso coovenib de V e…</t>
  </si>
  <si>
    <t>…g l a d a s : en el concepto que concl ui do el rérnat e, no se o i ­ rá n mas propos c i o n e s , por ventaj osas que sean. sicion es del ramo d e Pósitos ex p ed id a s hasta fin d e l an ó d e 18 2 6 . • 1 BO L SA DE M A D R I D . Véndese á 8 rs. en papel y 9 en r úst i ca en el despacho dé la i mp r e nt a nacional* Cotización del dia 15 á las tres de la tarde. EFECTOS PUBLICOS. IMPRENTA NACIONAL. Catalogo d e las m e jo r e s estam pas que se hallan d e v e tita en GALERÍA DRAMATICA. I ns cr i pci ones en el g…</t>
  </si>
  <si>
    <t>…er una prestándose todos gustosos á reconocer la autoridad de su leg í­ comedia del siglo xvn con la corrección que exige y enseña tima Reina Doña Isabel ir, vitoreándola, asi como á su excelsa C A J A DE A H O R R O S DE M A D R I D . el x ix ; pero enteramente española en su índole, en sus carac­ Madre la Reina Gobernadora, al duque de la V ictoria v al teres y en el giro de su enredo. Hasta qué punto lo haya con­ Gobierno de S. M. D om ingo 15 d e S etiem bre . seguido, y cuánto puede tener de nacional y honrosa para…</t>
  </si>
  <si>
    <t>…paña m arítim a; lo que se avisa á los señores suscriptores, á fia BOLETÍN DE C O M E R C IO . sueltas ; cada una á 80 rs. en rústica y 114 en pasta común. de que renueven si gustan sus abonos para el siguiente. BOLSA DE M A D RID . Descripción histórica del obispado de Osma con el catálogo de sus prelados, por D. Juan Loperraez Corbalan. Tres tomos Cotización d e l dia 16 d las tres d e la ta rd e en 4 ° m arquilla, adornados con los retratos de los limos, seño­ jp N S A YO general de educación física, moral é intele…</t>
  </si>
  <si>
    <t>…e C arretas, frente á correos, tienda del tasador de joya* sublevados eran los que componían un regimiento de ios insur­ BOLETIN DE COMERCIO. Gaseo. reccionados en el año 35 en M álaga , de los cuales algunos te­ BOLSA DE M A D RID . nían el nombre de patriotas, y que á pesar de ese d íctalo han sido los que han entregado M elilla á D. Cárlos. Cotización del dia 18 á las tres de la tarde • Concluye diciendo que si su voz vale algo, la une á la dei oi\ O ozaga para pedir al Gobierno que adopte medidas necesa­ EFECTOS PÚBLI…</t>
  </si>
  <si>
    <t>…. . 69 Por el alquiler y conducción de 100 6. Un cuadro pintado al óleo por S. M. la Reina Gole - sillas....................... .......................... 152 nadora, tocó la suerte al Sr. D. Rafael dé Bustos y Castillo. M A D R I D 1 8 DE JUNIO. Por poner y quitar la alfombra de la 587. Una parra dentro de un fanal, al Sr. D. José de Saft escalera.............. 200 Millan. 696. Un calientapiés de paño bordado, á la Sra. Doña Esta tarde á las siete se ha dignado S. M. la augusta Por el gasto en el ramo de carpintería V…</t>
  </si>
  <si>
    <t>…al para tomar de ah í ocasión de fundada que sea. En el discurso de la corona se dice: "las ban­ hacer un cargo al Gobierno ? Si un esp añ o l, que no pudo o l­ das rebeldes, ó no han prosperado, ó han sido exterminadas.” M A D R I D 1 8 DE S E T I E M B R E . vidarse de que lo e ra, aun alejado de su patria la hizo un ser­ ¿ Q u ié n duda que lo han sido en varias provincias? Si no lo vicio importante ¿q u ié n es el español que lo rechace, recom­ han sido en la provincia de B urg o s, ¿d ó nde están las bandas pensándo…</t>
  </si>
  <si>
    <t>…. de alto, y 15 p. y 8 Estas son las condiciones esenciales de la novela histó­ BOLETIN DE COMERCIO. 1. de ancho: Precio antiguo 20 r s . , y moderno 15. rica. Es necesario pues para llen arlas hacer antes un es­ BOLSA DE M A D RID . tudio profundo de la época que ha de describirse. ¿ Em­ La V irgen d e l Pez. prenden este trabajo los actuales escritores de este género Cotización del día 19 á las tres de la tard e. de novelas ?=A . L. ( El Tiempo.) Esta es una d e ja s obras maestras del expresado Rafael, tan EFECTOS PUBL…</t>
  </si>
  <si>
    <t>…...................................... 4O BOLETIN DE COMERCIO. Fernando de M agallanes, 5 rs. De lana y estambre................................. 80 Discurso sobre la utilidad de los diccionarios facultati­ 120 BOLSA D E M A D RID . vos , con un exámen de los que se han escrito de Mari­ Middlesex. na , Sfc., 4 rs. De algodón.............................................. 8 Cotización del dia 19 a las tres de la tarde. Disertación sobre la parte que los españoles tuvieron De seda..........................................…</t>
  </si>
  <si>
    <t>…IO* general D. Santiago W a l l , conde Armildez de T oledo, é ins­ sideración. trucciones que se le cometen para la pacificación del pais suble­ El Sr. Y I L L A L O N elogió la conducta de D. J u a n M a r ­ B O L S A DE M A D R I D . vado de las provincias exentas.. tin Arnedo; y dijo que creia ser esto una intriga de los con­ Comunicación notable desde Paris al v ire y en cargos de trabandistas para alejar un hombre que no les convenía. Cotización d e l dia 18 á las tr es d e la ta rd e ♦ N avarra. Sin mas discusión se…</t>
  </si>
  <si>
    <t>…en ei despacho de la imprenta e;tá considerada como una de las mas ricas y mas bien regadas N acional, á 160 rs. pasta y I 4O rústica. del tiuevo continente 9 siendo una ventaja característica de aquel CAJA DE AHORROS D E M A D RID . hérttioso pais el estar exento de ciénagas y pantanos. La tierra invariablemente va subiendo desde las orillas de los rios, levan­ Domingo 21 de Julio de 1859. tándose en colinas de bastante elevación para impedir toda acu- inúlacion de aguas muertas. Esta es la causa eficiente de la p u -…</t>
  </si>
  <si>
    <t>…provocados so­ sus proposiciones podrán verificarlo en la secretaría de S. E , lamente por el sentimiento de alegría que domina á los hab i­ donde se les enterará de los pactos y condiciones de este a r rie n ­ B O L S A DE M A D R I D . tantes; y en el dia de hoy con el producto de una suscripción do hasta el referido dia y hora, que se ejecutará el remate á abierta por particulares se solemniza el principio de una recon­ favor del mas beneficioso postor: advirtiendo que en el acto Cotización del dia 21 d las tres de la tar…</t>
  </si>
  <si>
    <t>…s Sres. Unanue y Salas ; con decoración y trajes. BOLETIN DE COMERCIO. la fe: hombre incomparable de quien nuestro español Q uioti- liano (el mejor juez de elocuencia y cultura que después de Ci­ Segunda parte. BOLSA D E M A D RID . cerón ha tenido el mundo), escribiendo en Rom a, decia "que para conocer los progresos que cualquiera hacia en las letras, 1.° Sinfonía nueva del maestro Carnicer, escrita expresa­ no se necesitaba mas que examinar el grado de gusto que ha­ mente para este beneficio. Cotización del dia 20 d…</t>
  </si>
  <si>
    <t>…boya y Ceuta, BOLETIN DE COMERCIO. comandante del castillo y el de carabineros; y colocados á ios p O R . muerte del Excmo. é limo. Sr. D. Fr. Hipólito Sánchez lados de la lápida se hizo la siguiente alocución : B O L SA DE M A D R I D . Rangel Fayas y Quirós , obispo que fue de Lugo , entien­ Almenarenses: Llegó y a el deseado dia en q u e , reedifica­ de la subcolecturía de Espolios y vacantes de dicha ciudad en dos los antiguos muros que circundan esta villa , y levantados las diligencias de inventario y tasación de los…</t>
  </si>
  <si>
    <t>…T A. H ay disponible en planchas estereotipadas el R ip alda añadido. BOLETIN DE COMERCIO* El silabario que para las escuelas de primera enseñanza or­ Cuidad-R eal 19 d e Julio. El comandante general en gefe B O L S A DE M A D R I D . denó la dirección de estudios y está en uso. de esta provincia y la de Toledo regresó a y e r á esta capital Se reciben asimismo encargos para toda clase de grabados desde la Mancha a l t a , y á su paso por los baños de los Her­ Cotización d e l día 22 d las t r e s d e la t a r d e . en…</t>
  </si>
  <si>
    <t>…OMERCIO. lizados. este se defiende solo cón la ra z ó n , el ambicioso inventa algun a La formación de imperios y la ilustraciou de los pueblos «cusicion contra su padre ó abuelos , y le sirve de pretexto para B O L S A DE M A D R I D . tlietou después á la fábula un aire mas refinado, porque e v ita n ­ despojarle de sus dominios. do la fUs* suposición de hablar los an im ales, se valieron de La tercera clase de fábulas se llaman mixtas ¡ porque en Cotización d el dia 22 á las tres d e la tarde» personas im agin arias, ó…</t>
  </si>
  <si>
    <t>…ontinuación temporada desde 1.° de Setiembre a fin de Octubre. se expresan, y de la residencia fuera de temporada de los pro­ fesores de medicina nombrados por S. M. para d irig irlo s, en P ro vin cia d e O viedo. BOLSA DE M A D R I D . cumplimiento del art. 1 4 , cap. l .° del reglamento para la d i­ rección y gobierno de los baños y aguas minerales del reino. Caldas de Oviedo. =: D. Joaquín Ruiz de L o p e , en C r e v i- C otización d e l dia 23 á la s tr e s d e la ta r d e . llente: desde 15 de J u n io á 30 de Setiem…</t>
  </si>
  <si>
    <t>…ar minosa y difícil de encontrar en el dia , que me ha parecido en la parte inferior de la glotis. conveniente extractarla para que á poca costa puedan formarse Coreo esta se halla situada en el extremo del tubo vocal, no M A D R I D 23 D E N O V I E M B R E . algunas ideas, y convencerse de que deben adquirir los libros puede alterar la extensión fundamental de la voz. que cito en mis notas. Hé aqui el objeto de la obra. Cuando la voz se eleva gradualmente desde el tono mas gra­ En la rápida lectura que hemos hecho de e…</t>
  </si>
  <si>
    <t>…LETIN DE COMERCIO. C O Y IS I M A R E C O P IL A C IO N . 5.° Elementos de gram ática castellan a, dando la posible ex­ tenúen á la ortografía. 6.° Elementos de geografía, cronología é h isto ria, especial­ pi BOLSA DE M A D RID . Número de Precio de Valores mente las de España. Cotización d e l día 24 á las tres d e la ta rd e. ciases, ejemplares cada uno existentes. en rs. vn. en rs. vn. Sobre estas materias versarán los ejercicios de oposición, que serán los siguientes : EFECTOS PUBLICOS. 1... En rama y pape…</t>
  </si>
  <si>
    <t>…1837 , y entre de esta época, es d ec ir, si abrazaba el indulto á todos los delitos, -otras cesas regencia de la augusta Goberuadora. ¿ Es asi como como los incendios, los robos, las violaciones, los asesina­ B O L S A DE M A D R I D . se barrena la Constitución? tos &amp; c . , 1.a cuestión ; 2 .a si estaban comprendidos el Preten­ Como he prometido no molestar al Congreso y no ser m u y diente y su f a m ilia : 3.a si la indemnización de que habla uno Cotización del dia 2 4 á las tres de la tarde • difuso contestando á infi…</t>
  </si>
  <si>
    <t>…cias, franco de porte. L a revista que SS. M M . deben pasar á la brillante división La entrega cuarta correspondiente al domi ogo 2 8 de A b ril de caballería organizada recientemente en las inmediaciones de B O L S A DE M A D R I D . contiene los artículos siguientes: esta corte por el inspector general de dicha arma D. Valentín L a torre de porcelana de N anking. =: Las dos rivales, c o n - Cotización d e l dia 26 á las tres d e la ta rd e . clusion.= Uti amigo ladrón, cuento.—Astucia de un abogado F erraz, tendrá luga…</t>
  </si>
  <si>
    <t>…mero 45. esta señalado para el dia í 5 del próximo J u lio á las doce de la mañana en la mencionada dirección general. C O LE C C IO N DE L A S M E J O R E S C O M E D IA S BOLETIN DE COM ERCIO. DEL TEATRO B O L S A DE M A D R I D . J ^ L intendente militar del distrito de Galicia. ANTIGUO ESPAÑOL. Cotización d el dia 27 d las tres de la tarde. Hago saber: Que en consecuencia de lo prevenido en R e a­ les órdenes, se saca á pública subasta el servicio de los traspor­ Los señores suscritores pueden pasar á recoger el pr…</t>
  </si>
  <si>
    <t>…n a, D. Felipe Gil de Taboada. 181 8 __________ 15 1 85 5 ......................... 19 19. D. Diego de A lav a y B eau m on t, el conde de Gondo- mar , Pedro de Rivadeneira , el obispo de Orense, el conde de B O L SA DE M A D R I D . Campomanes, el conde de Floridablanca. 49 81 Cada cuaderno de seis retratos con el epítome de su vida. Cotización d e l día 27 á las tres d e la tarde Precio antiguo 50 r s . , moderno 44* 4 .a Qne el número de personas ahogadasen cada uno de los •años especificados, ademas de las tripu…</t>
  </si>
  <si>
    <t>…señor D. Francisco Amorós y López, por la BOLETIN DE COMERCIO. escribanía del número del doctor D. Claudio San* y Barea, se 'Tribunal de comercio. saca á pública subasta por término de 20 dias la sexta parte de BOLSA D E M A D RID . la casa sita en la calle M ayor, donde estuvieron los postales de Por providencia del mismo, y término de 15 dias, se pu­ S. Isidro, núm. 37 nuevo, que se compone de varias habita­ Cotización del dia 27 d las tres de la tarde. blica de nuevo la subasta de una hacienda sita en Hortaleza, cion…</t>
  </si>
  <si>
    <t>…s interesantes á que tual sociedad, manejado con un interés progresivo , y que e á - ‘ dan margen los sucesos y doctrinas de la época, que no son cierre una lección m oral, constituye la verdadera comedia ; l a 1 BOLSA DE M A D RID . pocos ni de pequeña entidad. En el número que hoy se anun­ presente, aunque reducida á los estrechos límites de un ác'tó¿ C otizadon d e l dia 28 á las t r e s d e la t a r d e . cia ha tocado tratar el asunto del escándalo y desfachatez pú­ es una comedia de costumbres. Acerca de su mérito…</t>
  </si>
  <si>
    <t>…comitiva de S. M ., B O L E T IN DE C O M E R C IO . y de S. isidro de esta corte. Un cuaderno en 8.°, edición de 182 2 , 3.° á 5 rs. eo rústica. Las boleras del B ajelito, por la Señora Diez y el Sr. Casas» B O L S A DE M A D R I D . Contiene esta edición un largo prólogo que añadió su autor á la primera de 1 7 8 1 , en que presenta nuevos fundamentos de su arte , y contesta á varias objeciones que se le habían hecho, 4 *° Cotización d e l dia 2 8 á las t r e s d e la t a r d e . LA SO LTERO N A, roauifestaudo que su…</t>
  </si>
  <si>
    <t>…o que dicho señor presentó. El mismo dispuso , en c uan ­ BOLETIN DE COMERCIO. to se reconoció el punto de a taq u e , se formasen barricadas de bigas y sacos en las bocas-calles, abriendo fosos en algunos pa- B O L SA DE M A D R I D . rages , aspillerando las casas que dominaban la brecha, de mo­ El ministerio ingles ha conseguido una nueva victoria en Cotización del dia 2 9 á las tres de la tarde • do que aunque hubieran vencido todas las dificultades que se la Cámara de los Comunes, donde su mayoría se muestra fir­…</t>
  </si>
  <si>
    <t>…ido m uer­ nuestro victorioso ejército convidaros con la espada y con la to por los rusos.) oliva; y la elección no será dudosa si reflexionáis que aquella Desde Brünn pasó T alleirand á visitar el cam po de ATEN EO D E M A D RID . trae la muerte y la desolación, y esta la paz y prosperidad de batalla de Austerlitz, el 9 de Diciem bre escribe á su ami- vuestra hermosa provincia. Venid pues: basta de horrores, y £ o ; «¡Q uéfe c h a para un m inistro de negocios extrangeros Esta corporación celebra su junta general el…</t>
  </si>
  <si>
    <t>…ia recibir y es­ dias después volví á tra ta r de este asunto en una conversación peraba de la protección del Gobierno y del progreso de las lu­ que tu ve con otro de los inspectores no menos recomendable, el BO L S A D E M A D RID . ces en materias adm in istrativ as. cual me habló en estos té r m i n o s : "S eria m u y poco , convenien­ Con aquella fecha en el p árrafo 9.° de mi exposición dije Cotización del dia 30 á las tres dé la tarde . te que el clero se introdujese á enseñar los principios sen­ á S. M .: cil…</t>
  </si>
  <si>
    <t>Riec, Joan María</t>
  </si>
  <si>
    <t>Joan María Riec</t>
  </si>
  <si>
    <t>…el escrutinio ge­ una plaza de ministro de la audiencia de Valladolid , vacante Escriben de Túnez con fecha de 3 i de Octubre: neral en la capital de la provincia el 31 del mismo mes. por muerte de D. Santiago de los Ríos, á D. Joan María Riec, El Bey de esta regencia ha quedado muy satisfecho de los 6* Los comisionados, que según dispone el art. 34 de fiscal de la propia audiencia ; y para esta vacante á D. Anto­ pliegos que le ha dirigido el enviado del joven Sultán , Irscid nio Caro Muñoz, abogado del colegio de aquel…</t>
  </si>
  <si>
    <t>Riega, Bernardo</t>
  </si>
  <si>
    <t>Bernardo Riega</t>
  </si>
  <si>
    <t>…lento de los dos principios que representan otra José de Cregenzan, D. Gerónimo Tobaso, D. Pedro Sánchez y los profundos valles del Perú y de Colombia no permi­ cosa que un incendio devorador que no ha podido extin­ de Yebra, D. Bernardo Riega, D. José Antonio Lafarga, Don ten viajar en carruajes. guir ninguna potencia humana. Alonso de Queso y Valdivia y D. Fernando Muñoz de Guz- Ademas, la experiencia ha demostrado que tanto los Puesto que las dos Américas después de luchas tan m an, ó sus hijos y herederos, el derecho…</t>
  </si>
  <si>
    <t>Riego, José Cándido</t>
  </si>
  <si>
    <t>José Cándido Riego</t>
  </si>
  <si>
    <t>…encia de cazadores mandada por su teniente D. Pedro bles con úna pena mas dulce, y por el mismo tribunal; salvaguardias de infantería dirigidos por sü do e x tra er en especie en los casos de hallarse los p rim e ­ teniente D. José Cándido Riego, siguiendo la restante infan­ pesoEstas dos consideraciones serán * no lo dudamos , de alguri para los Ministros; y añadiendo á estas las que toda lá ros ejerciendo funciones de com isario de guerra , o em ­ tería de reserva. T an acertadas disposiciones, dice, tuvieron el prens…</t>
  </si>
  <si>
    <t>Riesgo, Clemente</t>
  </si>
  <si>
    <t>Clemente Riesgo</t>
  </si>
  <si>
    <t>…iendo sido destinados igualmente al servicio activo V illa - la librería de So jo , ¿ 4 4 rs» en Pasta* manca.=Viuda de Compañel, Santiago.=Sres. Hidalgo y com­ real y Sitnon Torre, que se hallaban de cuartel. pañía , Sevilla.^D. Clemente Riesgo , Santander.=:D. Juan J i - El Sr. comandante general de la sierra , Rodríguez, alcanzó merto , Valencia.—D. Pablo Rodríguez, ValIadolid.=D. Angel la retaguardia de la facción Balmaseda cerca de Canales el dia Polo y Monge , Zaragoza; y en las administraciones de correos 14, y la fu…</t>
  </si>
  <si>
    <t>Rijo, José Díaz</t>
  </si>
  <si>
    <t>José Díaz Rijo</t>
  </si>
  <si>
    <t>…iar ; idea exacta de los adelantos en ese ramo. cuyo exámen tuvo lugar el (lid 22. Establecimiento titulado nuestra Señora, del Cdrmen aue Se enseñan en él 51 niñas, 15 de estas pagadas por la so­ Almería 2 de Marzo. dirige D. José Díaz Rijo. * ciedad, y seis por favor dé la preceptora. Los ramos de ense­ Al paso que tuvimos un grande sentimiento, cuando nos ñanza son doctrina, lectura, gramática castellana, aritmética, vimos obligados a anunciar la traslación del Sr. Dj. Francisco Este tuvo lugar en los dias 16 y 17, y…</t>
  </si>
  <si>
    <t>Rincón</t>
  </si>
  <si>
    <t>…que el Gobierno de Méjico habia rehusado ratifi­ secuencia de la agitación ocasionada en el reino unido por la nombra al ilustre Scrzynecki general del ejército belga, y que car el tratado concluido por M r. Baudin y el general Rincón, tan grave cuestión de las le^es sobre cereales; pero la pública los pasaportes solicitados estaban á su disposición. Esta enér­ comandante de Yeracruz. Desde entonces debia esperarse lo que esperanza ha quedado engañada. El discurso nada ha dicho gica respuesta ha sido generalmente a p lau…</t>
  </si>
  <si>
    <t>r \ O N José M aría M ontem ayor, juez tercero de primera in s- F R A N C IA . tancia de esta ciudad de Granada &amp;c. El tratado firmado el 28 de Noviembre entre el alm iran­ te Baudin y el general Rincón á consecuencia de la toma de Hago saber: Como en este mi juzgado y por la escribanía T aris I 4 d e E nero . L l u a , sugiere á uno de nuestros suscriptores reflexiones, c u ­ numeraria del infrascrito se siguen autos de testamentaría á y a sustancia es esta : los bienes quedados por falle…</t>
  </si>
  <si>
    <t>Rincón, Manuel</t>
  </si>
  <si>
    <t>Manuel Rincón</t>
  </si>
  <si>
    <t>…trado de la Excrna. di­ de Yeracruz , y encargándome del mando que me entregó el de mas de 100 que quedaron en la ciudad y multitud de heridos. putación provincial la oportuna autorización para suministrar Excmo. Sr. general D. Manuel Rincón, comuniqué al contra­ Ademas se echaron al agua otra porción de enemigos, entre 4 rs. vn. en los dias de servicio á aquellos cuyos intereses sur almirante de la escuadra francesa el soberano decreto que de­ ellos el contraalmirante B audin, quienes se supone que han Irán por esta cau…</t>
  </si>
  <si>
    <t>RIO, BAR.</t>
  </si>
  <si>
    <t>BAR. RIO</t>
  </si>
  <si>
    <t>…como las enfermedades del cuerpo su suerte , y desde ahora pido que la votación sea nominal. ge fe que tanta parte ha tenido en los sucesos que dieron mo­ h u m an o : tienen sus momentos críticos, sus tiempos oportunos, El Sr. BAR. RIO A Y U S O : He pedido la palabra para un a tivo á ellas, contenia u n pensamiento político expresado de la y lo que es conveniente h o y , podría ser nocivo mañana. ¿Pues alusión nersona). manera mas clara y term in an te que puede expresarse en esta qué tiene que ver que lo que no vino b…</t>
  </si>
  <si>
    <t>RIO, IA</t>
  </si>
  <si>
    <t>IA RIO</t>
  </si>
  <si>
    <t>…I I A rasa : la de Sta. Colonia : las de Ezpeleta y la de Goyeneche, seisavos con cupones al contado: 2 9 - , siete d iez iseisavo s, f , | , D e otras m u ch as debiéramos hacer p a rtic u la r mención si h a ­ O LOS IN C E N D IA RIO S DE P A R IS . 2 9 , d 5 g" 9 2 8 g * ^9 ^ 3 a* &gt; 2 5 ü 5 §"1 once dieziseisavos y 2 8 ^ , á bíamos de ser justos y exactos; mas para ello necesitaríamos es­ v. f. ó vol. y firme con cupos.es: 5 0 ¿ , 5 i , 5 2 , 5 0 ^ , 2 9| y 5 0 c r i b i r un artícu lo de dos c o lu m n a s: y con qué o…</t>
  </si>
  <si>
    <t>Rioro, Manuel</t>
  </si>
  <si>
    <t>Manuel Rioro</t>
  </si>
  <si>
    <t>…tas dotes la magni­ tado, emitida con el número 58,678, por reales vellón 45 4 que reportará á todas aquellas personas que quieran conocer ficencia del aparato , para lo que no ha omitido la sociedad nin* maravedís, á favor de D. Manuel Rioro, para que en el térmi­ prácticamente y ejecutar con maestría las principales combina­ gun sacrificio, á pesar del poco tiempo que ha tenido, para po­ no de nueve dias, que por segundo se le señala, se presente en la ciones de la armonía en la guitarra , bien sea para saber acom­ nerla e…</t>
  </si>
  <si>
    <t>Rios, Salazar.</t>
  </si>
  <si>
    <t>Salazar. Rios</t>
  </si>
  <si>
    <t>…muchos años. Yapor Isabel 11 en San- D. Pedro Allende Salazar, participaba el fallecimiento del ex­ da , continúan en esta corte sin novedad en su importante toña 30 de Enero de l839.r:Excmo. Sr.ziJosé Morales de los presado Sr. Salazar. Rios.=Excmo. Sr. Secretario de Estado y del Despacho de salud. Igualmente lo quedó de otra comunicación del Sr. D. M ar­ M arina. tin Fernandez Navarrete, exponiendo qne el estado de su salud no le permitía concurrir á las sesiones. S. M ., satisfecha del buen desempeño de estos indivi…</t>
  </si>
  <si>
    <t>Ripalda</t>
  </si>
  <si>
    <t>…o, co­ desgraciados soldados. Estos oficiales llaman buenos y fuer­ mo lo son, los caballos capones de tanta fuerza y de ma­ tes caballos á los que resisten al ginete, que tiene que em­ ballos mandados por el titulado brigadier Ripalda, quien des­ pués de exigir el pedido de raciones que les tenia hech o, mar­ chó á su pais. (E. de A.) yor aguante que los enteros, admiten lambieu a su lado plear todas las reglas de equitación para sostenerse y con­ las yeguas para toda clase de servicios, inclusos ios del trariar sus i…</t>
  </si>
  <si>
    <t>Ripon</t>
  </si>
  <si>
    <t>…e s suprem os ó su p e rio re s, en v ir­ y caracteriza la situación de aquella época. honorable Mr. Villiers. Una. inform ación, si se verificase, no tu d de lo dispuesto e n el art. 7.° de los estatutos de los co­ E l conde de Ripon: El vicepresidente de la dirección del seria úti} sino mientras que una comisión especial se instruyese legios d e abo g ad o s, h ay a n de serlo p o r los decanos d e los comercio no podría considerarse como el órgano que expresaba de todo negocio. la opinión del Gabinete de 1855: su opini…</t>
  </si>
  <si>
    <t>…rangero, amonestándole que en adelante fuese mas circuns­ paz ha estado bajo un pie mas imponente. Cuando lord C ol- nuestras costas. pecto. [Standard.) chester cree deber quejarse de no haber encontrado en Spithead EL conde de Ripon : El asunto de que tratamos en este ningún navio de guerra , es porque ignora que nuestros buques momento es para mí de la mayor importancia, pues por esta están en Lisboa y en otros puertos donde las necesidades del discusión se enterará el pueblo de que un sistema mezquino de servicio rec…</t>
  </si>
  <si>
    <t>des ha aumentado considerablemente el producto de los c a r - , E l conde de Ripon: ¿T ien en relación con la Persia los &gt;ero sobre todo acusa al ministerio inglés por no haber envía­ lo con oportunidad al g olfo M ejicano una escuadra con fuer­ bones. 1 documentos que deben presentarse? En seguida pasa á dar algunas explicaciones acerca de los 20 j Lord M elbourne: En el…</t>
  </si>
  <si>
    <t>Riquer, Juan</t>
  </si>
  <si>
    <t>Juan Riquer</t>
  </si>
  <si>
    <t>…acción de L ep anto: pues vemos que el fa­ Salvador Viniegra y D. Ignacio Fernandez de la Somera. Clot bey, médico del virey de Egipto, ha tenido una au­ moso a rm a m e n to , llam ado la arm ad a invencible , q u e Baile. D. Juan Riquer , D. Guillermo Ghesio, D. Ma-nuel diencia del Santo Padre, en la cual le ha presentado libros re­ María Simó y D. Andrés Anglada. hizo Felipe n en L i s b o a , y destinado contra Inglaterra, ligiosos de los drusos. Su Santidad le ha regalado en cambio El premio de conducta, que es el…</t>
  </si>
  <si>
    <t>Rita</t>
  </si>
  <si>
    <t>…4 puesto los doctores D. Juan Ramón de Barcia y D. Angel Hidal­ derno en 8.° impreso en I 8 I 4 , á 12 cuartos en rústica. go , en el que se demuestra la clase de muerte que robó tan pre­ maturamente los preciosos dias de Doña Rita 9hijay hermana res­ Gramática de la lengua inglesa, que contiene reglas fáciles I B R IG A N T I, pectiva de aquellos, va precedido &amp;c.?” denunciado en 4 de J u ­ para su pronuuciacion , y aprenderla metódicamente , con nio último por D. José Maximino Castillo, la ley condena al muchas observ…</t>
  </si>
  <si>
    <t>Ritchie</t>
  </si>
  <si>
    <t>…iquezas; ciudad que elevándose de la sus piezas, y porque faltaban algunas esenciales, le ocurrió al ronados por el hr. presidente; y eo el caso de que todos lo h i­ nada, llegó á dominar los mares Adriático y Mediterráneo: í Sr. Ritchie tenderlo en la sala de la casa de su morada , donde procurarnos arreglarlo lo mejor posible, situando los huesos en ciesen igualmente, las coronas serán sorteadas. ¡ maravilloso cambio, debido solamente á esa industria pere­ Si después del examen de cualquiera de los ramos enuncia­ grina…</t>
  </si>
  <si>
    <t>Ritchie, Archivaldo Tucker</t>
  </si>
  <si>
    <t>Archivaldo Tucker Ritchie</t>
  </si>
  <si>
    <t>…a beneficios nos ha reportado! Las luces se difundieron ; florecie­ un terreno árido,desigual y escabroso : aqui se ve una fértil lla­ ron las ciencias; se abrió la comunicación entre los pueblos mas Señores: El honrado ingles D. Archivaldo Tucker Ritchie, nura ; allí un rio , en cuyas márgenes se descubren hermosas remotos; se multiplicaron los inventos; larrelaciones sociales se vecino ciudades, y toda ella está habitada de muchos pueblos, con dis­ aumentaron , como igualmente nuestras necesidades, placeres y tivo á laqueh…</t>
  </si>
  <si>
    <t>Rito</t>
  </si>
  <si>
    <t>…Scgues, D. Santiago Izquierdo, D. Francisco Cano, Si para dar al público una idea de esta composición se dejara públicos se formaban bailes á estilo del p ais, corriéronse novi­ D. Basilio Carranza , D. José Ramón E g u ía , D. Rito G ar­ llevar la sociedad del juicio que ha formado acerca de ella , aca­ llos , encendiéronse fogatas por la noche , y las casas se vieron rido , D. Fausto Rojo Pelaez, D. M auricio José de los M árti­ so parecerían exagerados sus elogios; mas puesto que la obra es ilum inadas espontáneamente…</t>
  </si>
  <si>
    <t>Riucon, Francisco Sánchez</t>
  </si>
  <si>
    <t>Francisco Sánchez Riucon</t>
  </si>
  <si>
    <t>…o por Rafael León N avarrete, quien tuvo la pérdida de un caballo Segundo batallón de la Reina, 2.° de línea. = El capitán el tiempo que exijan las circunstancias. m uerto, otro herido, y concluyó la acción en el tercero. El D. Francisco Sánchez Riucon, herido. Art. 2.° Se creará una comisión de vigilancia que tenga resto de la caballería dirigida por el bien conocido en esta lu­ Los capitanes tenientes D . Marcelino Líos y D. José R o­ por solo objeto auxiliar mis disposiciones durante las mismas. cha , y ya mencionado…</t>
  </si>
  <si>
    <t>RIV</t>
  </si>
  <si>
    <t>…de R IV A S: Pido la palabra. de una comisión, las secciones la nombrarán inmediatamente; pe­ El Sr. PR E SID E N T E: ¿Es para alguna proposición? ro el dictamen no se discutirá sin avisar, al Gobierno.” Estas El Sr. duque de RIV A S: Para hablar sobre este particular. son las circunstancias del artículo, y conforme á ellas puede re­ NOTICIAS EXTRANJERAS. El Sr. P R E SID E N T E : Tiene V. S. la palabra. solver el Senado, quedando el Sr. Presidente descargado de toda El Sr. duque de R IV A S: Señores, este acontecimie…</t>
  </si>
  <si>
    <t>…que- zález como autor de ella , fue tomada en consideración y se acordó pasase á la comisión. ria hacer alguna adición, la examinaría la comisión. Suspendida por este motivo la discusión del art. 86 , se apro­ El Sr. duque de RIV A S sostiene su enmienda tratando de bó el 87 con la variación de la palabra sustancial en vez de e s ­ NOTICIAS EXTRANGERAS. probar que con ella se abrazan todos los casos ea que ss pueden reunir los dos cuerpos colegisladores. p e cífica , hecha por el Sr. marques de Falces, y asimismo fue­…</t>
  </si>
  <si>
    <t>Rivadeo, Hncia de Oviedo.</t>
  </si>
  <si>
    <t>Hncia de Oviedo. Rivadeo</t>
  </si>
  <si>
    <t>…que ha de informar sobre la proposición ie Villardeveyo y Posada, en el concejo de Llanera, de la pro¿ 29 sé celebró una misa solemne , en que se exhortó en el púl pi­ del Sr. Ramouet, y calificar la proposición del Sr. duque de Hncia de Oviedo. Rivadeo 1 .° de Setiembre de 1839.=:Guiller- to á sus vecinos á la unión fraternal bajo la enseña de la ban­ Zaragoza; y auunciando el orden del dia para la sesión del 14 11o Schulz. dera coastitücional de Isabel 11. En su noche se ejecutó upa del actual, levantó la de este dia á la…</t>
  </si>
  <si>
    <t>Rivas</t>
  </si>
  <si>
    <t>…de los españoles; y de Frias, en el que reprodujo lo y a expuesto por los Sres. Gonzá­ h abrá penetrado que la comisión ha partido de un principio, elevando respetuosamente sus miradas al solio de su Rei »a , ve lez y duque de Rivas , y contestada por este último una obser­ de que las elecciones eran v álid a s, y que solo podría haber duda regocijado que sus inas brillantes adornos serán de hoy en ade- vación sobre la redacción del d ic ta m e n , quedó este aprobado acerca de ese Diputado suplente, cuya cuestión cuando…</t>
  </si>
  <si>
    <t>…que vivimos D. Zoilo Verdugón. mas celebridad, los Sres. Bretón, G il, Martínez de la Rosa, ner su defensa en la causa criminal que se sigue sobre falsifi­ Cuaderno primero en 8 .° que contiene las visiones siguientes: duque de Rivas, V ega, Gorostiza, Roca de Togores, Escosu- cación de una lámina de la deuda sin Ínteres número 105,555, .a Las máscaras literarias. 2.a Las trasforinacioues del Preten­ r a , Gutiérrez, Hartzenbusch , V illalta, Zorrilla &amp;c. de rs. vn. 59,257, apercibido que de no hacerlo le parará el 1dient…</t>
  </si>
  <si>
    <t>…isiones del Senado 10 de Setiembre de 1859.—Nicolás M a­ saban sobre el Estado por los sueldos de las clases pasivas, y pentimiento, aunque arrancado en dolorosos sacrificios; y que ría Garelly.—El conde de Pinofiel.—El duque de Rivas.—Gaspar principalmente por las cesantías de cerca de 100 ministros, que si para conservar la preciosa joya de la tranquilidad fuera ine­ de Ondoviila.—Domingo Ruiz de la Y ega, secretario. eran los que iban hasta la fecha desde nuestra última regene­ vitable apelar á un estado excepcional, s…</t>
  </si>
  <si>
    <t>…unieran fueran flojos y débiles. la legislación vascongada , á los cuales ha respondido ya el se­ la provincia, estado que siempre es desagradable, y que con­ Pero yo no comprendo por qué no se expresó esa frase, en ñor duque de Rivas, tal como al de la división de nobles y vi­ viene mucho que desaparezca. lugar de unidad , unidad constitucional; entiendo porque la llanos y al de las penas á que estaban sujetos por la violación. Reasumiendo pues, sin perjuicio de las observaciones que ley constitucional queda íntegramente e…</t>
  </si>
  <si>
    <t>…mas no lo es la historia 13 AR A el remate de dos casas sitas en esta corte, calles Mayor, ¡ de los tornilleros que vuelven fugitivos del campo á robar do examen la resolución de la cuestión propuesta. En seguida el Sr. duque de Rivas leyó un bellísimo ro - núm. 46, y de la Cruz del Espíritu Santo, núm. 51 , per- i y emborracharse. No basta que un suceso sea probable, mance que arrancó repetidos aplausos, á cuya lectura hizo pre­ tenecientes á la testamentaría de Doña María Isabel Grande, para que se inserte en esta clase…</t>
  </si>
  <si>
    <t>…obispado de Jaén. en él. opuesta; y al leerse su voto particular, fue interrumpida su Idem sobre las comunicaciones de los cuerpos colegisladores No habiendo quien hubiese pedido la palabra anunció la lectura por el Sr. duque de Rivas, que manifestó que era con­ entre sí y con el Gobierno. mesa que se pasaría á otro asunto. trario al reglamento por hacerse en él mención, y en cierto mo­ Se leyó, y el Congreso decidió haber oido con agrado, una do apoyarse en la resolución que sobre dichas actas ha adoptado exposición del…</t>
  </si>
  <si>
    <t>Rivera</t>
  </si>
  <si>
    <t>…RAN BRETAÑA. sus pasiones, y mostró á la República asombrada que en sus Londres 18 de M arzo . República oriental del Uruguay.=Documento publicado por principios las leyes son una traba innecesaria ; las garantías el presidente Rivera.= Declaración que hace el general constitucionales barreras perniciosas; que mandar no es otra co­ Los fondos ingleses están firmes: ha subido el valor de los en grfe del ejército constitucional de los principios que sa que oprimir ; y que el terror es el único medio de gobernar. consolidado…</t>
  </si>
  <si>
    <t>Riveraj</t>
  </si>
  <si>
    <t>…io está administrado por un regente. En Buenos Aires es Los tiradores de nuevo modelo de Vincennes han recibido y que pertenecen en los distintos ramos de propiedad á la clase presidente el general Rosas; en Montevideo el general Riveraj; la orden de marchar al A lfica , formando cuatro compañías de mayores contribuyentes, han llegado á saber que la dipu­ en Chile el general Prieto; en Bolivia el general Velasco; en el con la fuerza de 150 hombres cada una. Todavía quedarán en tación provincial elevó á Y . M. una reverente m…</t>
  </si>
  <si>
    <t>Rivero</t>
  </si>
  <si>
    <t>…a historia de la literatura y del drama se encuen­ conozco: hace 40 años os líamábais Peaon.” tos huyendo de la violencia del enemigo. tra con una verdad igual la división pagana y cristiana. ( Courrier de Bordeaux .) El general Rivero con su división se retiró en la noche del Esta distinción resulta sobre todo del modo con que los 28 á la Nestosa y Sangrices por causa del temporal : el gene­ antiguos autores dramáticos y los modernos han compren­ ral Castañeda con la suya ocupó la altura que habia dejado dido y expresad…</t>
  </si>
  <si>
    <t>…sáhó para Logroño la división Castañeda y gefes acreditados del ejército excedentes o retirados , residentes calde del pueblo , subinspector y gefe superior civil para la re­ otras tropas para fa ribera , quedando aquí el general Rivero ó arraigados en la provincia , los cuales tendrán á sus inme­ solución de S. M. encargado del vireinato, cuyo gefe saldrá asimismo mañaoa diatas órdenes el número de ayudantes que necesitaren y de la Art. 56, La separacioa de los sargentos y cabos correspon­ temprano para dar dirección á dife…</t>
  </si>
  <si>
    <t>Rivero, D. José</t>
  </si>
  <si>
    <t>D. José Rivero</t>
  </si>
  <si>
    <t>…mas brillantez mediar el daño, y lo lograron en parte algunos celosos adm i­ Doña Teresa Baus. que en esta ocasión. nistradores limpiando los arabescos; pero el daño estaba cau­ D oña Catalina Bravo. En seguida ha hablado el Sr. D. José Rivero , ccfeo repre­ sado, los colores aparecieron todos apagados; unos sin vida, D oña Teodora Lamadrid. sentante del Sr. fiscal eclesiástico, que por enfermedad no pudo si no es que se perdieron absolutamente. Algunos salones fue­ Doña María Fabiani. aú*tir. C &gt;mo dos horas duró su perora…</t>
  </si>
  <si>
    <t>Rivero, Felipe</t>
  </si>
  <si>
    <t>Felipe Rivero</t>
  </si>
  <si>
    <t>…Gobierno de vuestra excelsa Dígnese pues V. M. acoger benignamente este humilde pa­ sus casas. H ija , y de la Constitución de la m onarquía, repararán sus rabién de la municipalidad de esta capital como una prueba £1 general D. Felipe Rivero , comandante general de la pasados desastres y gazarán tranquilos el premio de su lealtad irrefragable de la acendrada lealtad de sus habitantes. Salas división de la Guardia Real , está en marcha para apoderarse y de sus heroicos sacrificios. - consistoriales de Guadalajara 2 i de Set…</t>
  </si>
  <si>
    <t>…mente provocado, y en cuyo caso la división de la G u a r d i a Hacia uiucho tiempo que el enemigo ? al apoyo de los f u e r ­ :or»duce á Ramales. Fuerzas enemigas ocupaban aquella casi Real al mando de su coruandaute general D. Felipe Rivero, tes de Ramales y de G u a r d a u ú n o , tenia en conti nua alarma la naccesible posición , cuyos fuegos por la distancia no produ- hubiera tenido lugar de probar también su ardi mi ento y e n t u ­ provi ncia de S an t a n d e r , amenazando hasta su capital en las eron n i ng ú n…</t>
  </si>
  <si>
    <t>RLTZ</t>
  </si>
  <si>
    <t>…l Uteresado se ^pnreeata» y dijese cuál cura su, voluntad con |C©«®iii,s¡i'Oiii9l se «euteaderá -desechad© el proyecto* REDACCION DE LA GACETA. respecto £ admitir © renunciar esta gracia. I Se leyó el 68, que dice asi s El Sr. RLTZ D E L A VEGA d i » que si ks Srea Senado­ I! Art* 68 * Aprobado el proyecto de ley por loa ém enera» res haa "dic ser anos pantanos defensores de ¡la. Constitocion, 1eokgisladores , se presentará á la saociara Real por una eomi- que en buen hora lo sea ,, per® de tal manera que: no » k dé la…</t>
  </si>
  <si>
    <t>Ro, José María</t>
  </si>
  <si>
    <t>José María Ro</t>
  </si>
  <si>
    <t>…tante regularidad , esencialmente las de la gramática caste- menNodesventajoso se crea por esto que se presenta á la comisión un exa­ al próximo pasado; hay adelantos en el ramo llana que está á cargo del acreditado profesor D. José María Ro­ del idioma contestando hasta el pronombre: tradujeron varios períodos del castellano al ingles los de la primera sección, y le­ dríguez, y la de los idiomas que esta al de D. Francisco G. de de costuras, y los hay también en la parte literaria; bien que no puede ser de otra manora,…</t>
  </si>
  <si>
    <t>Roa, Domingo</t>
  </si>
  <si>
    <t>Domingo Roa</t>
  </si>
  <si>
    <t>…gítim a: y lo segundo, que es un mal y un 62* Doña Isabel Margarita Roza de R oa, viuda del cor­ sar en el canal de Castilla , para cuya formación hubo muchos mal m uy grave que las declaraciones de un pueblo, de reo gabinete D. Domingo Roa, acude al Congreso manifestando obstáculos hasta en 1789, obstáculos que hicieron todos los es­ una ciudad ó de una provincia en estado de sitio ó de que el citado su esposo fué asesinado por los facciosos en Octu­ fuerzos posibles por vencer aquellas provincias, porque la de g u e rra…</t>
  </si>
  <si>
    <t>Roa, Piegino</t>
  </si>
  <si>
    <t>Piegino Roa</t>
  </si>
  <si>
    <t>…ba^ y concluye: "á los mandatos de los actuales Ministros” , de­ posición interior del cantón electoral explica este cambio ines­ íes del tratado de 1785 , para el 4 de Julio próximo los Etta— nunciado por el promotor fiscal D. Piegino Roa les en concepto dos Unidos tomarán posesión formal del territorio en litigio. de sedicioso en primer grado, y después de observar todas las perado Los que habrá evitado probablemente una guerra civil. carabineros del cantón de Thurgovia acaban de reelegir [Estrepitosos y prolongados a…</t>
  </si>
  <si>
    <t>Roales, Regino</t>
  </si>
  <si>
    <t>Regino Roales</t>
  </si>
  <si>
    <t>…ro de la G obernación de la P enínsula di­ les Ministros,” cuyo artículo ha denunciado el Sr. promotor Habiendo pasado á recorrer dicha carretera en todo el espa­ ce con esta fecha al de G racia y Justicia lo que sigue: fiscal D. Regino Roales, en concepto de sedicioso en primer cio que media entre la puerta de Arenas y la villa de Bailen, Enterada S. M. la Reina G obernadora de la com uni­ grado; después de observar todas las formalidades prevenidas con objeto de inspeccionar sus obras, he presenciado hallarse cación de V.…</t>
  </si>
  <si>
    <t>Robati, Alberto</t>
  </si>
  <si>
    <t>Alberto Robati</t>
  </si>
  <si>
    <t>…otros avezados á batallones de la Reina D. Pedro Mocret y D. Piarnon Infantes, herido. crímenes y horrores, han puesto en grave Compromiso la tran­ asi como la del capitán gefe accidental del provincial de Sa­ El subteniente D. Alberto Robati, muerto. quilidad de la capital: su frenesí llegó al extremo de asesinar lamanca D. Francisco Pineda, que fue herido en una m ano, y Regimiento de Cataluña , 6.° ligero. = El comandante Don alevosamente á uno de sus mismos compañeros de aquellos ex­ continuó en su puesto, animó sobr…</t>
  </si>
  <si>
    <t>Roberto</t>
  </si>
  <si>
    <t>…o se le dieron al comandante de la columna de la iz­ en todo género, debida es á la excitación de la sociedad eco­ culos de sangre y parentesco entre sus Reyes. Por otra par* quierda del Miño les salió al encuentro el capitán D. Roberto nómica de Madrid. te, la afición al saber que descollaba ya en España, las Robles con una partida de tropa de la de su mando, y logró Las ideas religiosas no fueron desatendidas tampoco en academias creadas que difundían la ilustración en lo po­ batirlos poniéndolos en dispersión , dando m…</t>
  </si>
  <si>
    <t>…u n caballo. L a actividad demostrada en es­ blación de Constalitiiiop!» ignoraba si su joven Soberano se pre­ con el ayuntam iento en cuerpo y una de las compañías de p re ­ te dia por el espitan de los movilizados de Brollon D. Roberto sentaría según ia costumbre todos ios días en público, pero ha ferencia del batallón de Milicia nacional con la banda de m úsi­ Robles, la deciúon y constancia de esta columna en la persecu­ visto con placer á Abdul Mejid recorrer las cades y las plazas. ca, á la iglesia de S. Francisco por…</t>
  </si>
  <si>
    <t>Robertson</t>
  </si>
  <si>
    <t>…co pais en que se trabajan enseñar, y del corto número de niños á quienes la sociedad pue­ distinguidos 5.° Que servidores de la corona. por el inmediato correo se solicite la Real autori­ carriles, al mismo prestamista el Sr. Robertson , en calidad de de suministrar educación primaria, y sin olvido de las inteli­ zación para la enagenacion camino propuesto en el informe agente: la frecuente correspondencia con él sostenida , que pue­ gencias menos prontas, determinar: i.® los ramos de la enseñan­ y con anterioridad acord…</t>
  </si>
  <si>
    <t>Robles</t>
  </si>
  <si>
    <t>…un enfermo; tan inteligente y ac­ Los mismos buenos resultados se tocaron en las clases de lec­ Escriben de Roma con fecha 16 de Febrero s tivo ha sido el cuidado con que ha sido atendida la tripula­ tura que dirige el mismo Sr. Robles, pues los niños que se pre­ El consistorio secreto, anunciado hace mucho tiem po, debí ción. Y aunque se ha visto continuamente expuesta á los vien­ sentaron en, ella leyeron con la mayor propiedad en diversos tenerse pasado mañana. El Sr. Tosti, tesorero general, y séñoi tos del Norte que r…</t>
  </si>
  <si>
    <t>Robles, José</t>
  </si>
  <si>
    <t>José Robles</t>
  </si>
  <si>
    <t>…ue eclipsar la esfera de su satisfacción; porque es tantopudiera mas hoy peno­ dirige la segunda de gramática, y á D. Guillermo Diaz, que , cuanto^s mayor la imposibilidad de acallarlo. Mucho se rosa mención de su director D. José Robles por el celo y empeño hace lo mismo con la tercera de aritmética, también discípulo so que cada dia demuestra por el adelanto de sus alumnos, entre los cuales se cuentan que reciben la misma educación que los demas del. propio. Las planas que se acompañan fueron las que se pre­ na titut…</t>
  </si>
  <si>
    <t>Robles, Roberto</t>
  </si>
  <si>
    <t>Roberto Robles</t>
  </si>
  <si>
    <t>…cha 29! del anterior, dice que el 22 avistó el capitán de Nacio­ de que El vi rey declara al cónsul general que sé obliga, en el caso trasmitido por Mehemet-Alí de no comenzar las hostilidad-es, nales movilizados del Brollon D. Roberto Robles u tí a facción cerca de las tropas del Sultán que han atravesado el Eufrates pero que nada descuidará p3ra provocar una agresión. La Siria de 50 infantes y 50 caballos en los montes que hay entre San ejecute un movimiento Bir se retiren á la otra parte del r io , á hacer que se estaba…</t>
  </si>
  <si>
    <t>…R eina D oña volver por varios puntos al capitán de la compañía de Nacio­ si nombraem-eftto de presidente , decía que desde su elevación Isabel it, vengo en concederle m erced de título de Casti­ nales movilizados del Brollon D. Roberto Robles, que con 68 al ministerio, la cuestión de la presidencia podría venir á ser lla para sí, sus hijos y descendientes, con la d e n o m in a­ hombres de su compañía y 29 caballos los salió al encuentro; una cuestión de Gabinete. La silla, á mis ojos , no es ni debe ción de conde de Belas…</t>
  </si>
  <si>
    <t>…, constancia y va­ las personas que llevaban presas. Recomienda al capitán de cólera, uno y otro se entienden y se escuchan, se dan la mano, lor , la ha solemnizado con el mas fervoroso entusiasmo, ena­ movilizados del Brallon D. Roberto Robles, ai alférez del es­ y sin que crea yo aplicable la segunda parte , se suelen ir á la jenado de gozo al considerar que de hoy mas en lo sucesivo cuadrón franco que mandó la cab allería, y al soldado del taberna, y alli se reconcilian: pues, señores, sin que se aplique no habrá mas que…</t>
  </si>
  <si>
    <t>Robles, Saturnino</t>
  </si>
  <si>
    <t>Saturnino Robles</t>
  </si>
  <si>
    <t>…bel la Católica , juez togado de primera instancia de Madrid, refrendada de D. Manuel Fernandez de Pazos, escribano de Música de la ópera Lucrecia Borgia de Donizetti S. M. y del juzgado de S. S., se cita , llama y emplaza á Don Saturnino Robles, vecino que parece ser de esta corte, cuya BIBLIOGRAFIA. Vara piano . Streta en la introducción del primer acto á 5 habitación se ignora , á fin de que comparezca inmediatamente reales. Vals sacado de dicha introducción, á 2. Romanza, á 5. en el juzgado citado, que está piso bajo de…</t>
  </si>
  <si>
    <t>Roca</t>
  </si>
  <si>
    <t>…entusiasmados los ejércitos, y se confunden y abrazan como a España. La ley electoral previene en su art. 29 que todas aquellas hermanos los que seis años combatieran como encarnizados é im ­ Al fin de la comida improvisó el Sr. Roca una composición placables enemigos. Los honrados y laboriosos naturales de las )oética, en la cual pedia al cielo la reconciliación de todos los papeletas en que haya un nombre de m as, no sirvan: este es, provincias Vascoogadas ceden á impulso tan generoso; deponen lijos de la madre patria. To…</t>
  </si>
  <si>
    <t>ahora intente dirigir sus miras hacia ninguno de los puntos del llamado también las macetas del Sr. Roca, por su número, por socorrer á los emigrados de Gandesa existentes Maestrazgo y la Plana, pues están niuy escarmentados del si­ la variedad de las plantas, por su vigor y lozanía, y lo bien en aquella capital............................................... oqqq tio de VilLfaimíá. entendido de su…</t>
  </si>
  <si>
    <t>Roca, José</t>
  </si>
  <si>
    <t>José Roca</t>
  </si>
  <si>
    <t>…s qu e, descuidando tan sagradas obligaciones, considero y de­ Ha habido 1 Í5 defunciones menos que en el trimestre a n ­ D. Francisco de Asís P resas, D. José Calasanz Casanovas y claro tra id o res á la p a tr ia . terior. D. José Roca que tenían aquellos números pasaron á ser exa­ Y en cumplimiento á lo que el expresado gefe superior hí minados respectivamente de las materias contenidas en los pun­ tenido á bien prevenirm e, lo hago á todos los ayuntam iento: Nacidos en este trimestre...................................…</t>
  </si>
  <si>
    <t>Rocafuerte</t>
  </si>
  <si>
    <t>…Para la judicatura de L érid a, vacante por haber sido nom­ cordia, de la ambición y de la inexperiencia. Su predecesor, el Perú paz, orden, libertad y dicha. {Id.) brado D. Joaquín M ir asesor de la capitauía general de Ca­ Sr. Rocafuerte , ha merecido del nuevo Presidente, en vez^ de ta lu ñ a , ha venido S. M. en nombrar á D. Antonio Arteaga, vejámenes, honrosos recuerdos que le unirán estrechamente á que desempeña la judicatura de Arévalo, y para esta vacante la nueva administración. No habrá granadino alguno amante El…</t>
  </si>
  <si>
    <t>…e han circulado hoy, y que nes volantes, tomando posiciones por la izquierda del enemigo, referimos sin darlos como noticias ciertas, hemos oido decir que y el batallón de Ciudad-Real á su frente de vanguardia, de Carta del Sr. Rocafuerte al general Flores. los individuos que componen lo que llaman los insurreccionistas manera que la facción de La-Cova quedó enteramente cerrada en su lenguaje de convención una semana , acaban de ser dentro de un perfecto cuadro turbada y sin saber el partido Guayaquil 15 de Marzo de 1859…</t>
  </si>
  <si>
    <t>Roda</t>
  </si>
  <si>
    <t>…es­ precio todas las penas , como casi se ha d icho ? Téngase en­ En el intermedio que se pidió la razón á la secretaría , el ventaja entre el que aboga por esos objetos y el que tiene en tendido que no ha salido de la ley. Sr. Roda dió cuenta de varios nombramientos hechos por las cierto modo que atacarlos defendiéndose, diré algo acerca de lo que se queja el Sr. conde. Yo he oido mucho también , que los Pero coa este motivo el Sr. Cortina ha entrado en una cues­ secciones para componer varias comisiones. tión un poco ma…</t>
  </si>
  <si>
    <t>…itunas, cultivado en esta vega. (Un número considerable de Sres . Diputados , entre ellos del coche en la fonda del Gran Rheimberg. Esta mañana con­ res , colecciónBautista D. Juan Berenguer, por uvas de las mas singula­ el Sr. Roda). Al orden , Sr. D ip utado ; no se puede hablar so­ tinuó el Rey su viaje para Wiesvade. de patatas , cacto especioso florido, paja de trigc bre un asunto votado ya por el CoDgreso. de Florencia, con la cual se teje la esterilla de los sombreros El Sr. E G A Ñ A quiere usar de la palabra, ma…</t>
  </si>
  <si>
    <t>…ón Collantes con 1 9 ; con 1 los Sres. P asc u al, C a n ­ jos de la sociedad y de la inversión y estado de sus fondos. de J a e a , ea reemplazo del Sr. A c u ñ a , presentaodo su nombra­ tero, Barrio A yuso y O lózaga, y el Sr. Roda con 2. Total de 10. En las capitales de provincia y en los demas puntos miento y documentos que acreditan su aptitud legal para to­ votantes 1 0 6 : mayoría absoluta 54» donde sea conveniente se establecerán secciones auxiliares de la m ar asiento en el Senado. ju n ta directiva. Tercer indivi…</t>
  </si>
  <si>
    <t>…y a por mas tiempo molestar al Con­ A y a l a , Roda, y L u ja n 1. ción, expresa en el artículo 2 .° del proyecto de la comisión , me greso , pido al Sr. Presidente retir© la enmienda que he pre­ Para Secretario segundo el Sr. Roda por 64 votos, habien­ parece que seria mas recomendable lo que propongo. Si en este sentado. | do tenido los Sres. A y a la 1 2 , Sánchez Lafuente 6 , Serrano 4 , intérvalo las provincias Vascongadas exigiesen del Gobierno la Quedó retirada. . Temprado 2 , Mascaros, y M o y a 1 . concesión de…</t>
  </si>
  <si>
    <t>…misión para examinar de nuevo el expedieuté. por la misma provincia. La comisión era de dictamen que el en la tribuna por el Sr. M inistro de la Guerra , deseaban feli­ Asi se acordó. acta debía aprobarse y admitirse á dicho Sr. Roda. citar á S. M . como particulares, por no hallarse aun con t it u i- Se leyó el dictámen de la comisión de Revisión de actas El Sr. AR1VÍENDARIZ: En el dictámen de la comisión se do el Congreso, S. M. la augusta Reiua Gobernadora se dignó acerca de las de la provincia de M adrid , relativamen…</t>
  </si>
  <si>
    <t>RODA</t>
  </si>
  <si>
    <t>…es. Benavides y conde de las N avas, que tenían pedi­ EXPOSICIONES A S. m. LA REINA GOBERNADORA. da la palabra para deshacer equivocaciones, renunciaron la palabra. Señora : El intendente, gefés y demas empleados de Ha­ El Sr. R O D A : Yo he pedido la palabra para decir cuatro cienda publica de esta provincia, tienen la Honra de acercarse El encargado dé Negocios de la Puerta cerca del Gabinete o seis , las que creo bastarán para convencer á los señores que h*n •1 trono constitucional de V. M. para felicitarla por los fa…</t>
  </si>
  <si>
    <t>…ya razón vendría muy bien colocarme en esa El Sr. Q U IN T O : Yo miro la cuestión de distinto modo mienda al mismo tiempo que el proyecto de la comisión. larga lista, aunque fuese en el lugar mas remoto, porque apro­ que el Sr. Roda; porque lejos de creer que no hay diferencia en El Sr. O L O Z A G A contestó que el reglamento en el art. ¿\1 bándose la proposición, me llegaría mi turno de hablar. Pero discutir antes ó después la enmienda, veo que hay una distan­ da á los autores de una proposición, sobre la que no ha recaí…</t>
  </si>
  <si>
    <t>…por paja , vecino de Fuenlabrada : Manuel A y u - 3.° M uerta para el mundo. ponían de grandes cantos de piedra de g r a n o , cortados en c u a ­ s o , por carbón: Alfonso G utiérrez, por pan: D. Francisco Es­ 4-° El obispo de Roda. dros y trián gulo s, fortificados con cinchos de h ie r r o , y pega­ teban O yarz ab al, por aceite: M anuel Aragón y J u a n Cansegre, 5.° Una orjia. dos los cantos con una infusión de plomo y cal viva ; y á fin por leña: D. Jo¿é M a ría Costa, por le tras, y el adm inistrador 6.° La campa…</t>
  </si>
  <si>
    <t>…ta pregun- tal 71. Mayoría absoluta 56. Quedó electo el Sr. Caballero. El Sr. A R T E T A : Siento mucho el tener que insistir sobre a es sumamente sencilla. Vale mas que se presenten las listas P a r a segundo Secretario el Sr. Roda obtuvo 56 v oto s, el un asunto del que con razón veo ya fatigado al Congreso; pe­ unque carezcan de este requisito, que no que los electores ca- Sr. L ujan 6 , y los Sres. Mestre, Arteta y otro Dip u ta do i . ro no puedo dejar de deshacer algunas equivocaciones. Yo he ezcan del derecho de ins…</t>
  </si>
  <si>
    <t>…idad es esta , qué es lo que pretendía hacer ? Y o no lo com­ cuestión de que se trataba. cuestión necesitaba hacerse cargo de los argumentos del Sr. L ó ­ p re n d o , y si comprendo algo es m u y malo (risas)', sí señor, El Sr. R O D A manifestó que creyendo ver en esta segun­ pez, y continuó manifestando que ciñcndose el segundo p unto tnu y m a l o , porque la a uto rid ad de los cuerpos judiciales es pa­ da qjroposicTu«^D^hie«lqmckrii^^ la mesa , creia de su deber á los abusos que hoy han podido cometerse por un fu ncio…</t>
  </si>
  <si>
    <t>…ones, está pron­ i.° LJua copia autorizada de las actas electorales de tos dis­ to á dar cuenta de su conducta en este particular asi como en tritos de la provin cia de A v i l a , que remitía de R eal orden el cuente. E l Sr. R O D A : E n vista de la inculpación que ha hecho i cualquiera otro; pero h a y que convenir en que la posición del Sr. M in istro de la Gobernación. Gobierno seria sauv crítica si de resultas de la discusión de *2.° O tra copia de las actas de varios distritos de la p ro v in ­ la comisión el Sr…</t>
  </si>
  <si>
    <t>…o yo dije que este no se hallaba anunciado en la orden remos en donde-se meten. Si pide el retirado, " n o hay recur­ res Ministros de la Gobernación y Hacienda. Poco después en­ del dia , desvaneció mi duda completamente el Sr. Roda; pero sos, la guerra ” ; si pide la viu da, "no hay recursos, la guer­ tró el Sr. Ministro de Gracia y Justicia. no asi con respecto a\ proyecto que ahora se trata de discutir. r a ” ; si pide la monja, "ao hay recursos, la guerra.” Señores, El Sr. Ministro de H A C I E N D A : Señores, ya el…</t>
  </si>
  <si>
    <t>…voto de Desaprobado el d ictám e n y habiendo sido el motivo de ello demás. g r a c ia s á los que h a b ía n tenido p arte en ellos. Se co n stitu yó el el excesivo núm ero de electores; la prim era cuestión que se pre­ El Sr. R O D A manifestó que com parando la p ro vin cia de C o n g re s o ; y a u n q u e la hora era a v a n z a d a , no sirvió esto de sentaba á la comisión era si estaban im p lícitam ente declaradas G r anad a que excede ind u d ablem ente en riqueza y e n número de obstáculo p a ra que se presenta…</t>
  </si>
  <si>
    <t>…, de decidir-en esta cuestión, porque cree que hay una y no podia por consiguiente contestar. inesperados acontecimientos que tan felizm ente acaban de cam­ especie de coacción ; pues se puede decir que si no se vota esta El Sr. R O D A convino en que se debia esperar á que estu­ biar la faz de la política en nuestra patria. La elocuencia sa­ le y , producirá matos efectos-, y recaerá el odio sobre el cuerpo viera presente el m inisterio, porque era m uy necesario para que grada desde su santa tribuna debia pues unir su vo…</t>
  </si>
  <si>
    <t>…iente se diese curso á esas parecerle que ya se habia hecho cuando rebatió los argum en ­ suficientemente discutido-, y contestado que s í , se aprueba el peticiones, porque en su concepto debía considerarse que h a ­ tos del Sr. Roda. dictamen de la comisión. bían caducado, y presentarlas los interesados de n u e v o , si asi El Sr. R O D A observó que en et calor de la improvisadora Se lee el que presenta la misma sobre la segunda cuestión. no lo estimaban. se le habia pasado decir que el secretario del gobierno político…</t>
  </si>
  <si>
    <t>…mienda ó frase en que taas explíci­ porque á mi patria y á mi Reina tanto como el que mas. estuviera cerca de la D ivinidad y a no lees permitido hacer na­ tamente se diga que el actual Gobierno no puede seguir d i r i ­ El Sr. R O D A : En el estado de esta discusión , son tales los da de eso, y aqui como Diputado y en todo lugar sostendré giendo los negocios del Estado. oradores que han tomado parte en ella , y tales las razones que con todas mis fue'z as q u ed e ningún modo se deben pagar las El Sr. LOPEZ: Empezaré mi…</t>
  </si>
  <si>
    <t>…para que la corona no nuación de mi contestación para mañana. Haré también la pre­ lerancia , moderación y sangre fria que distinguen el carácter pueda usar de su prerogativa? Yo creo que esta no puede tener texta que hizo el Sr. Roda ayer, esto es, que en bueaos prin­ aleman. En Osnabruck se continúa negando el pago del im­ esa restricción. cipios constitucionales el putblo no está obligado á pagar las puesto. La autoridad hace por su parte todos los esfuerzos po­ Pero se dice que debió pedir autorización á las Cortes. Y s…</t>
  </si>
  <si>
    <t>Rodil</t>
  </si>
  <si>
    <t>…hasta el sa en extremo agradable para el publico, y útilísima para unos las operaciones militares en las cuatro provincias desde la lle­ amanecer. cantantes que tratan de que sea esto un ensayo, por decirlo asi, gada del general Rodil hasta la expedición “de Gómez, y ata­ Los billetes se despachan en el mismo local, y en la calle para resucitar mejorada la ópéra española, y establecer un tea­ que p®r los facciosos de las líneas de S. Sebastian en 1856 ; y de Carretas, frente á correos , tienda del tasador de joyas Gaseo. tr…</t>
  </si>
  <si>
    <t>RODRI</t>
  </si>
  <si>
    <t>…uncio. manifestando que el mejor medio seria abonarles en metálico esa cantidad , porque asi recibirian un socorro efectivo que no dejaría de aliviarles. El capitán D. Antonio Carrion Peña, vecino de la ciudad TEATROS. El Sr. R O D R IG U EZ L E A L , como de la comisión, con­ de M álaga, y residente en esta corte, cuya habitación se igno­ testó á las observaciones del Sr. Madoz, manifestando que S. S. ra , se servirá presentarse deutro de tercero dia en la escribanía la PR IN C IPE . A las siete y media de la noche. Se…</t>
  </si>
  <si>
    <t>Rodrigo</t>
  </si>
  <si>
    <t>…l , quedando la D . J u a n Balinaseda , D . M anuel Carrascosa, D . E d u a rd o H i ­ ma n u e v o , de g ra n d e espectáculo, en cinqo a cto s , que ta n to Vista reposada y complacida. dalgo , D . J u a n José Heredia , D. Rodrigo V a r g a s , D . A g u s ­ h a g u s t a d o , titu la d o D e los tres buenos rétratos del Sr. C ard erera, nosotros d a ­ tín D u ro y D . M an u el A g u irr e . mos la preferencia al de á caballo: el ginete está m ontado con Clase de latinidad =R uditueQ tos.z:D . Pedro de la E nc in…</t>
  </si>
  <si>
    <t>…han padeci­ ción de los de la monarquía, fue indudablemente la expedi­ da su casa.— A. L. (E l Tiempo.) do bastante. be teme que haya habido desgracias en el mar. almohades á principios del siglo xm. El céle­ bre historiador D. Rodrigo, arzobispo de Toledo, pasó en­ tonces á Roma como embajador de Alonso v m , y consiguió Escriben de Oran con fecha del 17: no solo indulgencia, sino también cruzada para aquella ESTUDIOS HISTORICOS Y CRITICOS El general Guehesuc, comandante de la división, acompa­ guerra: lo que reforzó c…</t>
  </si>
  <si>
    <t>…misma no llorara por espacio de ocho siglos el cúmulo de m a­ les de la dominación sarracena , si la vida muelle, afeminada y H emos concluido, señores, el estudio de las funciones vi­ libertina de los godos en el reinado de D. Rodrigo, autorizada tales que tienen por objeto la nutrición, ó sea la conservación con los vicios y costumbres deshonestas de este M onarca, no SUBASTAS material del individuo, por un movimiento continuo de com­ hubiese perdido el imperio, dando motivo á la primera venida posición y descomposición.…</t>
  </si>
  <si>
    <t>…de D. Jo ­ para el como hacendado, habia dejado seguir el curso de la las MercedesPicó: sé Ramón Doña Francisca de Paula y Doña María de I IBRO^.rzPublicaciones nuevas.—La autoridad Real, según Márquez de la Plata , hijas de D. Rodrigo: Doña las leyes divinas y naturales y la Constitución : obra nue­ caus?, teniendo cuidado entre tanto de haber mantenido se­ Antonia García , viuda de D. Francisco Jimeno de la Riva? va de lo mejor, por Laserve, 10. cretamente al prisionero y á su familia con todo lo que po­ y Doña María Ter…</t>
  </si>
  <si>
    <t>Rodriguez</t>
  </si>
  <si>
    <t>…raer algunas, raciones se volvió á p re v e n id a s en el citado R eal d e c re tó , á éúyo fin se re n o ­ ív m é iá los nuevos éstatú to s ó ; reform as q u é co n v én g a ha^ la sierra. El comandante general de esta (coronel Rodriguez) se v a rá su p u b licació n ai circular* está órderí. , ¡; ^cér en losVáctá'átós', ^ p á s d conócfm ieñtO 'y*co rrec ció n d é "hallaba el dia 2 á las; dí&gt;ce de la noche en H uerta del Rey espe­ .AjL? . i * " q u é ¿ ó rio q » e puedan co n ten e r co n tra rio á las leyes, ja n d o sab…</t>
  </si>
  <si>
    <t>RODRIGUEZ</t>
  </si>
  <si>
    <t>…de acercarse í t e p ie dtel troaa», ta.a- yecto, »1 que no diado se servirá dar sa aprafaaci-oiiu ^ í&amp; mas. se gama,. 'Ono de los medites, mm felices y non de t e prc- ■ EÍSr. VALOES, observo qee hubiera sido macha mejor El Sr. RODRIGUEZ D E L V A L L E m a u iW o que de­ .Ga«¡c:i,o#»es irnais, eílceces para evitar los aboses de la administra- que trato tutee de reorganizar lia administrocian* qne qua co— searás que la oouiskw sustituyese la pa.lla.fara e le g ir m lugar cimives establecer el derecho 'de a,a»c¡,a,cio¡e y…</t>
  </si>
  <si>
    <t>Rodriguez, Aguslin</t>
  </si>
  <si>
    <t>Aguslin Rodriguez</t>
  </si>
  <si>
    <t>…de Marina, Comercio y formalidades establecidas en los arts. 11, i2 y 15 de la instruc— En materia de Hacienda es todavía mas necesaria esta medida. Incidencias ocurridas en la isla de Cuba al tiem­ Gobernación de Ultramar; D. Aguslin Rodriguez, direc­ | en cion aprobada por S. M. en 50 de Octubre último, publicada la Gaceta de L° de Noviembre siguiente. tor general de rentas cesante, y D. Miguel po de cumplirse la mencionada Real orden de 28 de Ju­ Nevares, gefe político que ha sido de Madrid. Tendréislo Cabrera de l…</t>
  </si>
  <si>
    <t>Rodriguez, Francisco</t>
  </si>
  <si>
    <t>Francisco Rodriguez</t>
  </si>
  <si>
    <t>…ios que prestare: para learon , paz sin mengua , y digna de admiración por no h aber SE N A D O . el juzgado de Sahagun , de entrada, en la provincia de León, sido debida á intervenciones agenas. ES amor y los sacrificios a' D. Francisco Rodriguez, que sirve el de Sarria, de entrada, de los españoles leales por su legítima dinastía prepararon tan PRESIDENCIA DEL SEÑ O R TA RA N C O N en la provincia de Lugo: para esta judicatura á D. Antero gloriosos acontecimientos: el convencimiento y la gratitud Rubio de Oroña , juez…</t>
  </si>
  <si>
    <t>Rodrí, Carlos</t>
  </si>
  <si>
    <t>Carlos Rodrí</t>
  </si>
  <si>
    <t>…villas continúan presentándose en esta ca­ de Albacete y juez de primera instancia de esta villa , refren­ llini titulada pital á disfrutar de la gracia de indulto, de modo que se cuen- dada del escribano de número de la misma D. Carlos Rodrí­ guez de Moya , que por ahora despacha la escribanía vacante NORM A. de D. Jubao García H uerta, se saca á pública subasta por tér­ (í) Jerswi., c. 15. mino de 50 dias, contados desde hoy, una casa sita en esta corte y su calle dei Mesón de Paredes, núm, 12 antiguo y 59</t>
  </si>
  <si>
    <t>Rodrí, José</t>
  </si>
  <si>
    <t>José Rodrí</t>
  </si>
  <si>
    <t>…a n , juez de primera instancia de esta capital, en los autos Grajas y la Fuente de la Umbría , cuya mina ha de llamarse Todas las bandas de música de los batallones de la Milicia que se siguen per la escribanía del número de D. José Rodrí­ San Andrés A v e lin o ;fu e admitido dicho registro el l/j. del nacional y de los cuerpos de la guarnición han dado una se­ guez Solano para este objeto. renata delante de los balcones de Palacio. SS. M M. se mos­ propio mes. En 12 de Julio D. Juan de la Cruz Jiménez , de esta ve­ tra…</t>
  </si>
  <si>
    <t>Rodrí, Juan José</t>
  </si>
  <si>
    <t>Juan José Rodrí</t>
  </si>
  <si>
    <t>…ragi- de Marzo y 31 de Mayo del corriente año por el Sr. juez to­ calle de la C ru z, núm. 2 0 , cuarto 2.° darán razón. «ios, y matar á tres de ellos. conocidos por el hijo de Masioa, gado de primera instancia de esta capital D. Juan José Rodrí­ el Ratón, y otro llamado el C olorin, vecinos del Corral de Al- guez Valdeosera , y anuncio en las Gacetas y Diario de 25 de reaguer, pudiendo escaparse uno de ellos por la velocidad de M arzo, 8 y 9 de Junio último; ha resuelto S. S. en providen­ Música de la Redoma encantada. s…</t>
  </si>
  <si>
    <t>Rodrí, Vicente</t>
  </si>
  <si>
    <t>Vicente Rodrí</t>
  </si>
  <si>
    <t>…- BIBLIOGRAFIA. te. Que él habia quedado extremamente pesaroso de lo su­ rez, cedido, y mucho mas cuando el prisionero habia sido to­ de D.hija de D. Tomas Onofre: Doña Tomasa Almarza , viuda Miguel de Vidarreta y Echegaray : D. Vicente Rodrí­ mado como sospechoso de haber causado la muerte. Que guez, en representación de Doña Serafina González: D. Ma­ habiendo acabado de pasar la visita de juez en aquel con­ nuel Ribera , heredero de Doña Josefa Correa: Doña María GALERÍA DRAMÁTICA. dado (l), si él se hubiera entregado al…</t>
  </si>
  <si>
    <t>Rodríguez</t>
  </si>
  <si>
    <t>…astando el espa­ cioso ámbito de aquella magnifica rotunda y sus desahogadas Burgos 51 de Marzo . A las seis de la tarde del 28 del tribunas á contener el golpe de gente que acudia atraída de la corriente la columna del coronel Rodríguez , compuesta de TEATROS. novedad , sin que en tan extraordinaria reunión se notase el 150 caballos y media compañía de guias, entró en Aranda de CRUZ. Mañana viernes se volverá á poner en escena la mas mínimo acto , no solo de escándalo, sino de descompostura Duero con 10 buenos caballos…</t>
  </si>
  <si>
    <t>…caballo, sable y carabina. cio del Sr. Secretario del Despacho de la Gobernación de la Que en otro encuentro que tuvo la partida de los Chornos Península acompañando la renuucia que hace D. Antonio At- al mando de su comandante Rodríguez, fueron muertos eo el meller, Diputado electo por la provincia de Gerona. campo dos facciosos y hechos tres prisioneros , á quienes se co­ FR A N C IA . Igual resolución recayó á otra comunicación de dicho señor gieron dos yeguas, cinco fusiles , tres cananas y otros efectos. Secretario, e…</t>
  </si>
  <si>
    <t>…os machos y ínu­ dia 22 de Febrero próximo pasado á la una de su tarde, des­ pués de háberles prestado todos los auxilios espirituales, y á la allasmando sin carga. Debo creer que las tropas que salieron de Búrgos del coronel Rodríguez sigan su pista y les dé pronto TR AD UC IDOS EN PROSA V VERSO. misma hora del dia 25 sufrieron igual pena en le plaza de Vigo alcance. Alejaudro de Castro, alias el Sedero, y otro de la propia ga­ POR DON JOSE D EL CASTILLO Y AYENSA. villa conocido por el Coello, sin que en la ejecució…</t>
  </si>
  <si>
    <t>…Sr. U zuriaga en su Soldado español , que nuestra patria os veis reducidos á la m ise ria , á v iv ir en las y del m undo todo? ¿p od rá tener mas efecto que la A tlán tida no solo es guerrero, sino poeta y disertador; y el Sr. Rodríguez breñas sin poder salir de ellas, aniquilando los mismos pueblos de Bacon, la Eutopia del canciller Tomas M o r o , d el proyecto Z ap ata en su Imitación de los Salm os , rica ciertamente de qúe os acogen, y privados de la compañía de vuestras familias, de paz universal del buen abate S…</t>
  </si>
  <si>
    <t>…d ifu n to Souto. no G arcía, secretario. de C arretas, y de la viuda de R u is en la de Preciados, frente Las tapias de la* Descalza* Reales. Soria 2 de Noviembre. El coronel Zurbano con su colum ­ na, y el comandante general Rodríguez con la de su mando, se han situado aquel en flíedinaceli y este en Sigúenza. Gobierno político de la provincia de Soria Debiendo sacarse á pública subasta la contrata del Boletín GALERÍA DRAMATICA. oficial de la provincia de Soria para el año próximo de I 84B G U IA D E F O R A S T E R…</t>
  </si>
  <si>
    <t>…ra. poeta británico , se podría decir que le habia robado esta esce­ república literaria, se muestra en el desempeño de su cátedra na. La verdad es que el genio se la sugirió , como el suyo á Burgos 17 d e M a rz o . El coronel Rodríguez se hallaba consecuente consigo mismo , y corresponde a lo mucho que de Shakespeare, y la íiteratura está llena de estas coincidencias, el 14 ?n el pueblo de Riocavado, donde dividió su fuerza en sus talentos é ilustración se esperaba. que solo prueban la igualdad de la inspiración en dos…</t>
  </si>
  <si>
    <t>Rodríguez, Antonio</t>
  </si>
  <si>
    <t>Antonio Rodríguez</t>
  </si>
  <si>
    <t>…cía, en 21. doleros que saqueaba la provincia de Pontevedra, cayendo en Otra id. en dicha sierra , cerro de la H igu era, término de nuestro poder nueve foragidos, entre quienes se cuenta al por­ H uebro, San R u fin o , por D. Antonio Rodríguez, en 26. Total de fincas ad­ t u g u é s, uno de sus gefes. El referido capitán general recomien­ Otra id. en dicha sierra, cuesta de las T ejas, término de judicadas en el da m u y particularmente al menciónelo juez de primera ins­ Viator , Sta. Catalina , por D. Francisco Molina…</t>
  </si>
  <si>
    <t>…uncia..eLijiscurso-que sigues «*.,• \ evidencia que Ias autoridades prudentes^ Jas que Renán el cir­ manejo es debido tal adelanto, y la de escritura, que regentea Señores: Exponer al público las medras de la educación pri-i D. Antonio Rodríguez ; siendo, el mejor comprobante las pla­ maria, descubrir la capacitadle las alumnas, é inspeccionar la cuid de sus deberes paracon él 0 oL|er,a.9^^u^L-tos. r^ombra con- ciliáudolos con los intereses.dé los pueblos oué pdministran, las nas que se acompañan, que ratificaron los mis…</t>
  </si>
  <si>
    <t>Rodríguez, D. Benito</t>
  </si>
  <si>
    <t>D. Benito Rodríguez</t>
  </si>
  <si>
    <t>…facciosos, cu y a número no se designa , penetraron teoii Múntion y Alonso; para contador él Sr. D . Francisco Al- én el pueblo de ía Abaditla ; se han llevado consigo al alcalde PINTORESCO ESPAÑOL. lam iras; para tesorero al Sr. D. Benito Rodríguez ^ y para se­ y ótréS personas,'sin especificar cuáles son. cretario aí Sr. D . Francisco Sandalio de Mesa. ' :&lt;l* ENTREGA 10 DE LA SEGUNDA S E R IE , T eru et 6 de M arzo, El general én gefe se hallaba el dia 5 correspondiente a l domingo 10 de M arzo. en MurviédrÓ, y la divis…</t>
  </si>
  <si>
    <t>Rodríguez, D. Eduardo</t>
  </si>
  <si>
    <t>D. Eduardo Rodríguez</t>
  </si>
  <si>
    <t>…tura hubiera sido de lo contrario un obstáculo para poner verifique en el término de quince dias, le parará el perjuicio en escena espectáculo tan i u teses* ate. Sr. D. Juan Miguel de los Ríos, presidente. que haya lugar. Sr. D. Eduardo Rodríguez, secretario. Nota. Gran función extraordinaria para el domingo 15 de Diciembre de 1859, á las cuatro de la tarde, á beneficio del Sección de comercio. U N los autos que siguen el Excmo. Sr. conde de la Puebla del cuerpo modo de coristas de la compañía de ópera. Se distribuirá…</t>
  </si>
  <si>
    <t>Rodríguez, D. Joan José</t>
  </si>
  <si>
    <t>D. Joan José Rodríguez</t>
  </si>
  <si>
    <t>…e co , García , Caballero, Galan por la Sra. Feijas, y por los Sres. Blas­ antes los poseyó todos reunidos la última Sra. condesa de M ora, y Casado. Liceo artístico y literario de M adrid . se ha dictado providencia por el Sr. D. Joan José Rodríguez 5 .° Manchegas nuevas, sobre un tema de la ópera II conte Valdeosera, juez de primera instancia de esta corte, refrendada O ri , por úo las Sras. Audújar, y Molina, vestida esta de hombre^ de tiples en la ópera I Capuleti ed i M ontecchi9 El miércoles 18 de! presente mes á…</t>
  </si>
  <si>
    <t>Rodríguez, D. Juan José</t>
  </si>
  <si>
    <t>D. Juan José Rodríguez</t>
  </si>
  <si>
    <t>…compo­ ahora ha llegado á la perfección en este punto , por lo cual ha nen la junta de gobierno, sino también por otro gran número de personas de las mas respetables gerarquías, que voluntaria­ P OR providencia dictada por el Sr. D. Juan José Rodríguez merecido en Francia un privilegio de invención, otro de per­ mente han concurrido todos los domingos á tomar parte en los Valdeosera , juez togado de primera instancia de esta corte, fección , y los elogios de la academia médica de Paris, asi como trabajos necesarios, y consti…</t>
  </si>
  <si>
    <t>…s al cootado: 50J , trece dieziseisavos, £, 34§, tres dieziseisavos, Descripcioti histórica del Real bosque y casa de Ariwíjuoz, 4, Í, i , 3 t , 32, 3 0 |, 30, f, 4, cinco dieziseisavos y 51 á p O R providencia dictada por el Sr. D. Juan José Rodríguez por D. Juan Antonio Alvarez de Quiudos y Raen*. Un tomo v. f. ó rol. y firme con cupones: 3 2 , 5 l £ , 35 , 51^, 551» 31 en 4.0 con el retrato del Sr. D. Carlos iv, edición de 1804, * ^4 y 52¿ á v. f. ó vol. á prima de 1, i , f y \ por lüO con cu­ te, ante Valdeosera , juez t…</t>
  </si>
  <si>
    <t>Rodríguez, Eduardo</t>
  </si>
  <si>
    <t>Eduardo Rodríguez</t>
  </si>
  <si>
    <t>…años. claridad ; procediendo á su aplicación frecuente y repetida, D. Mariano Rementería , lengua castellana. También España , en medio de tantos y tan grandes obstá­ mensualmente y por escrito. Se dará un curso regular y tan D. Eduardo Rodríguez, elementos de geometría y dibujo culos, se resuelve á seguir el noble ejemplo; resolución mas ne­ completo como sea posible de la geometría de las líneas , pianos lineal. cesaria entre nosotros por cuanto nuestras prolongadas desgra­ y sólidos; y cuando los medios lo permitan se…</t>
  </si>
  <si>
    <t>Rodríguez, Francisco</t>
  </si>
  <si>
    <t>Francisco Rodríguez</t>
  </si>
  <si>
    <t>…todavía, ha figurado» reportar á la conservación de este importante punto. tantes el don precioso de la unión que el cielo acaba de dis­ también en las asambleas parlamentarias. Está reputado por El comandante de estado mayor D. Francisco Rodríguez pensarles , unión que infaliblemente se conservará en los pue­ hombre de capacidad superior y de una gran firmeza de ca­ Muries y el de ingenieros de esta división que d irigió los tra­ blos con la obediencia á la ley y á las autoridades de la Reina rácter y principios. Ha servi…</t>
  </si>
  <si>
    <t>…serán satisfechos en los términos que previene el mismo después de concluido el acto proposición alguua por favorable muertos, 14 heridos , siendo de estos úllirnos el bizarro subte­ artículo. que sea. niente de la compañía D. Francisco Rodríguez, acreedor á todo Art. 13. La presente requisición se dará por con clu i­ elogio y consideración por haber sido el primero que salvando da para el dia 1.° de Marzo p róxim o venidero. los caballos de frisa llegó hasta hostilizar la puerta del fuerte, Art. 1 i. Se confirm an las…</t>
  </si>
  <si>
    <t>Rodríguez, Gaspar</t>
  </si>
  <si>
    <t>Gaspar Rodríguez</t>
  </si>
  <si>
    <t>…B run sw ick 11 d e D iciem b re . t o , escoltado por cuatro compañías á las órdenes del coronel racanes que han arrancado los árboles y arruinado los mas só­ lidos edificios. Los torrentes arrastraban consigo enormes peda­ D. Gaspar Rodríguez. {Id.) La apertura de la Dieta se ha verificado hoy con la solem­ zos de rocas. Han perecido bastantes personas, y otras han sido nidad de costumbre. l i é aqui el discurso de S. E. el conde de Yelheim dirigido á los Diputados : hiendas por las exhalaciones. {Presse.) "Señores: S…</t>
  </si>
  <si>
    <t>Rodríguez, Gaspar Antooio</t>
  </si>
  <si>
    <t>Gaspar Antooio Rodríguez</t>
  </si>
  <si>
    <t>…, debieodo los otros dos ramos tratar de la Zurbaoo en la villa de Agreda con la columna de su mando. ameno coa que está redactada, y con el que deja preparado el observación y raciocinio médico, ó expooer el arte de observar D. Gaspar Antooio Rodríguez, comandante general de esta ánimo de los discípulos y lectores para otros estudios que deben y el de raciocinar en medicina. Un tomo en 8.° mayor, á 11 rs. provincia, se ha dirigido á Sigüenza con las tropas que están seguirse á los de la lengua patria. en rústica. á sus órd…</t>
  </si>
  <si>
    <t>Rodríguez, Joaquín</t>
  </si>
  <si>
    <t>Joaquín Rodríguez</t>
  </si>
  <si>
    <t>…á la parte de Ojivar. ch o en estos términos el valor de los caballos requisados á En la toma del puente se distinguió señaladamente el te­ los militares que los tuvieren destinados á su inmediato niente de la misma compañía D. Joaquín Rodríguez, por ha­ servicio en campaña. ber sido el primero que sable en mano saltó la barricada , sien­ Art. 12. Los generales en gefe de los ejércitos de ope­ ANUNCIOS OFICIALES# do tan señalado hecho de valor imitado por toda su compañía. raciones, y comandantes generales de los cuerpo…</t>
  </si>
  <si>
    <t>Rodríguez, Lucas</t>
  </si>
  <si>
    <t>Lucas Rodríguez</t>
  </si>
  <si>
    <t>…la Encina, comandante del regimiento de Mallorca, por 2500 su seno un gérrnen enteramente n u e v o , la filantropía y la fo com pleto com o lo manifiesta palpablem ente la honrosa reales: D . Juan José Oderiz, por 180 rs.: D. Lucas Rodríguez tolerancia; semillas de la sociedad cristiana que no podían mención que han h echo de sus cuadros casi todos los pe­ y D . Agapito de la Gándara y compañía , del comercio de la . menos de fructificar con el tiempo. Aqui comienza el des- riódicos de Paris, tributándoles m erecidos el…</t>
  </si>
  <si>
    <t>Rodríguez, Manuel</t>
  </si>
  <si>
    <t>Manuel Rodríguez</t>
  </si>
  <si>
    <t>…su estable­ 192. Doña Andrea Solas de Coya , viuda del brigadier Dor ¡ establecimiento titulado de la Convalecencia. José de Cora, en solicitud de pensión. 255. Doña María Josefa Cid y Carincero, viuda de Doncimiento. 195. D. Manuel Rodríguez, familiar jubilado en el colegiey] Luis Correa; de Silva , en solicitud á pensión. Esta acta, que se ha impreso por suscripción, consta de un militar de Alcántara, sobre,pago de una pensión que disfruta J i 254.. El barón augusto H ugo de Bulow, quejándose de la folleto de mas de 8…</t>
  </si>
  <si>
    <t>Rodríguez, Pablo</t>
  </si>
  <si>
    <t>Pablo Rodríguez</t>
  </si>
  <si>
    <t>…h a d e az úcar . la industria fabril permanezca entre nosotros tan atrasada res­ A n g u lo , D. Luciano V id al , D. M anuel R a m íre z , D. M anuel pecto de las otras naciones. Por él vemos que los norte-ameri­ Vizcaíno y D. Pablo Rodríguez , no habiendo asistido D. J o a ­ En el N e w 'O r le a n s c o m e r c ia l bulletin de 20 de M ay o de canos, á imitación de los europeos, se empeñan en cultiv er la este año se lee el artículo sigu ie n te, que no puede menos de remolacha y fabricar el azúcar que necesitan para…</t>
  </si>
  <si>
    <t>…el, Santiago.=Sres. Hidalgo y com­ real y Sitnon Torre, que se hallaban de cuartel. pañía , Sevilla.^D. Clemente Riesgo , Santander.=:D. Juan J i - El Sr. comandante general de la sierra , Rodríguez, alcanzó merto , Valencia.—D. Pablo Rodríguez, ValIadolid.=D. Angel la retaguardia de la facción Balmaseda cerca de Canales el dia Polo y Monge , Zaragoza; y en las administraciones de correos 14, y la fue persiguiendo tres leguas en medio de un horroro­ so temporal de nieve, que dejó descalza á la infantería y le NUEVO método…</t>
  </si>
  <si>
    <t>Rodríguez, Salvador Antonio</t>
  </si>
  <si>
    <t>Salvador Antonio Rodríguez</t>
  </si>
  <si>
    <t>…el único objeto de hacer invadió las ventas de Soneja, y sorprendió á unos arrieros que conocimiento con ios habitantes, y de pasar el tiempo mas agra­ escritas por las niñas, que componen la clase de escritura al cuidado de D. Salvador Antonio Rodríguez, y en ellas se po­ conducían algunas cargas de bayeta, las que llevaron á sus dablemente. (G. de Prusse.) guaridas; y presentados dichos arrieros al cabecilla Forcadell, drá ver el bello carácter de letra que han adquirido, y la ga­ llardía y soltura con que la usan , ha…</t>
  </si>
  <si>
    <t>RODUMAS</t>
  </si>
  <si>
    <t>…filas. El rancho de nuestros desven- I te de todas, y la única en que tenemos inmediato Ínteres, exa­ turados cautivos aqui e s , si cabe, inferior al que se les adrni- I ES CRI TO EN F RA N CES POR E L C E L E B R E A L E JA N D R O D U M A S , minaremos parte por parte y m uy detenidamente el artículo uistra á los de Morella. Solo consta de berzas y pocas aluvias I de nuestro suscritor. cada 24 horas. V an casi desnudos: suben al fuerte -de S. Blas á [ Y TRADUCIDO A L CASTELLANO Llama á ia empresa de las Cruzadas **el del…</t>
  </si>
  <si>
    <t>ROEBELA</t>
  </si>
  <si>
    <t>…a ni® ¿ ^ ¥ i Sr» Párete! de Cmwr fol; agregadlo i ta lerdera secci®»,,, so está en el cas® de apreharie. El Sr.. Rui* ddt A rtel trace algunas aclarariomes. qoc había dicho S„ Su de que la, romimou debiere habar stnl*- ES Sr. R O E B E L ARBOL mmmméd qne tenia que dirigir El Sr,. M ARTIN iio e qne »u paede aprobar el proyecto do £ quién correspondía La cobranza de las contribncioiBes, i.! (iíO::bierD,»i, y partimh»ieaea!be al Sr« Misatstr© dk?^ liaciemda, parque :oo i* eaceemtra canfor me can la óanslitiicma 3 j t e habí…</t>
  </si>
  <si>
    <t>Rohan</t>
  </si>
  <si>
    <t>…Ilaunóvcr , de Dinamarca , todos a caballo 5 muchos oficiales de dragones de los Estados-Unidos de A m é rica , el viado de ella ó el favorecido deben repudiarla con alti­ marques de Roure , el teniente general Delort , el conde Rohan Z ar ag o za 10 d e Octubre . v e z , como que no esta pasada por el alam bique de la im­ de Chabot, el teniente general lle y in é s , el general de R u m i g - parcia lid a d , como que carece de esta su primera y esencial « y , el gefe de escuadror* de artillería T b ie rry , el coronel Be…</t>
  </si>
  <si>
    <t>Roig, Pedro</t>
  </si>
  <si>
    <t>Pedro Roig</t>
  </si>
  <si>
    <t>…inmenso concurso, c a m b io s . formalmente. {Id.) aumentado particularmente con habitantes de esta capital que han acudido á participar de la alegría de la fiesta. Londres, á 90 dias, 38§ á C oruña, 1¿ á 1 d. El presbítero D. Pedro Roig, párroco del hospital militar Paris , 16-6. Granada , 1 $ id. N O TIC IA S N A C IO N A LES. de Barcelona, sugeto distinguido por su liberalismo, padeci­ M álaga, par. mientos y demas prendas, tue el encargado del sermón , cuyo Santander, ¿ á i d. Lucena 50 de Marzo. empeño salió airos…</t>
  </si>
  <si>
    <t>Roito, Alfonso</t>
  </si>
  <si>
    <t>Alfonso Roito</t>
  </si>
  <si>
    <t>…nvestigación. asegurado, el número de los elegidos á ocho. A los nombres de En los periódicos italianos se lee lo que sigue: I MINISTERIO DE GRACIA Y JUSTICIA. MM. Etienne y Persil, que y a habíamos indicado, se añade hoy El Sr. Alfonso Roito, de Ferrara, ha hecho varios experi­ el de Mr. de Romiguieres, procurador general en Tolosa. Tam ­ mentos, en virtud de los cuales cree haber descubierto el movi­ miento continuo. Parece que esta cuestión no se ha mirado con C ircu lar . bién se habla de Mr. Gaillard de Kerbentin ;…</t>
  </si>
  <si>
    <t>Roix, José</t>
  </si>
  <si>
    <t>José Roix</t>
  </si>
  <si>
    <t>…actuaciones cuyos dere­ Saenz de Tejada: F ig u eras,D . Giliberto Bastan: Granada, cupones. ° las mas D. Manuel Sanz: Guadalajara, D. Regino Ruiz: Gerona, Ba- prontas y eficaces. lau rt: G ibraltar, R. L. Ilepper : Habana , D. José Roix: Jaén, Inscripciones en el gran libro á 4 por 100, 00. 2.° Desempeñará cualquiera oegocio de bolsa o' de giro ex­ Cereceda: Jerez, D. José Bueno: León, Paramio y Miñón: Títulos al portador del 4 por 100, 00. tranjero y nacional que se le cometa de las provincias con su­ Lucena, D. Pedro…</t>
  </si>
  <si>
    <t>Rojas, Pedro</t>
  </si>
  <si>
    <t>Pedro Rojas</t>
  </si>
  <si>
    <t>…5 5 , i , y 55^ con co­ las elecciones que y a estaban celebradas; que el haber llamado gefe político, es que mandó leer la ley de 17 de A b ril ( la ley pones al contado: 3 3 $ , f , f , 32 once dieziseisavos, 5 3 , f , £, á D. Pedro Rojas , en caso de que este hecho fuese verdadero, marcial) después de la convocatoria. Tampoco apruebo su con­ 3 2 f , 5 3 § , 3 4 í , 5 4 , 5 5 3 , 54 tres dieziseisavos y 3 4 f , á v. f. confirmaba mucho mas la opinión de que el gefe político no ducta en esta p arte ; pero ¿ h a y exceso e…</t>
  </si>
  <si>
    <t>Rojo, Francisco</t>
  </si>
  <si>
    <t>Francisco Rojo</t>
  </si>
  <si>
    <t>…r del ramo , se cita , llama y emplaza á D. Fran­ moderno, cuarto sagundo, para junta general de acreedores al O RD EN ES Y REGLAM ENTOS D E L G O BIER N O cisco Troncoso Avalle y demas patronos del fundado por Don concurso de D. Francisco Rojo, vecino que fue de esta corte, Alonso Perez Alrnansa , para que en el término de nueve dias y anunciarlo asi en este periódico para que comparezcan por sí Y DE LAS DIRECCIONES Y AUTORIDADES SUPERIORES» se presenten en el juzgado á agitar sus acciones en los autos que ó por persona com…</t>
  </si>
  <si>
    <t>Roldan</t>
  </si>
  <si>
    <t>…ad m itir dicho encargo, reservándose presen­ votos, habiendo obtenido el Sr. Benavides 1 6 , el Sr. Quinto niente; y por medio de acuerdos, que se extenderán en un libro tar documentos que acreditan su aptitud legal. 2 , el Sr. Roldan 7 , el Sr. Alcon 1 , el Sr. Mascaró 1 , el se­ que al efecto llevará uno de los secretarios, resolverá cuanto Otra comunicación del Sr. duque de Castroterreño, Sena­ ñor Olózaga 1 , y el Sr. Viadera 1. Número total de votantes convenga al logro de los fines que se propone la sociedad. dor po…</t>
  </si>
  <si>
    <t>Roldan, José Alvarez</t>
  </si>
  <si>
    <t>José Alvarez Roldan</t>
  </si>
  <si>
    <t>…oder irresponsable, y que desde el momento cisco García Semoiinos ; para la del juzgado de D. Benito á laguna , pues de lo contrario le parará el perjuicio que haya que se declara que un empleado es inam ovible, se declara que D. José Alvarez Roldan , y para la de Figueras á D. Ignacio lugar. no es responsable; pero esta es una equi vocación, porque cuan­ Sans y Roca. to mas se asegura la propiedad en un destino, mayor es la res­ ponsabilidad; y esto es tan cierto, cuanto que si bien en el ar­ tículo se declara que esos em…</t>
  </si>
  <si>
    <t>Roldan, Juan José</t>
  </si>
  <si>
    <t>Juan José Roldan</t>
  </si>
  <si>
    <t>…en una causa, en cuyo fallo defi/aitivo ha sido ab- á hacer conocer por otra el mecanismo de este sistema y las ven­ por él Sr. Arteta; 1: suelto. 197. Los de la tercera compáñía del mismo, desde Tudeía 9 258. El presbítero D. Juan José Roldan, solicitando se íe tajas inmensas que pueden resultar a nuestra patria de que se con igual pretensión. - 19o. D. Manuel Muriel , sobre reintegro de varias suma; s;4 ^declare cumplido en la condena de presidio á que fue senteu- adopte generalmente en ella. Véndese á 3 rs. vn. cada…</t>
  </si>
  <si>
    <t>Romanos, Mesonero</t>
  </si>
  <si>
    <t>Mesonero Romanos</t>
  </si>
  <si>
    <t>…ucir el agua por tubos subterráneos en apuntes que leyó en el Ateneo español de 1836 sobre este pondiente numero de tubos subterráneos á las fuentes pú­ virtud de su nivel; reglas que no solo han servido para insigne poeta el Sr. Mesonero Romanos, y en los cuales, blicas , cisternas y casas privadas. los modernos, mas no se han hallado otras mas exactas. Es si no nos engaña la memoria, hay noticias mas circuns­ Lo que mas distingue al acueducto de Evora sobre probable que los romanos prefirieron los acueductos de tanciadas…</t>
  </si>
  <si>
    <t>Romazotti</t>
  </si>
  <si>
    <t>…hablara con calor sobre a lg u ­ cía con m ayor extensión las revelaciones que habia hecho al esta verdad , cuanto que los que le acusan lo hacen acusándose nos pu.*;tosque mas llaman la atención, y se indicara con d ig n i­ Sr. Romazotti , y respondiendo al interrogatorio hecho por el á sí mismos. dad que no se insistiría ni en la forrna ni en los términos de juez que instruía la sumaria , se ratificó en ellas, comprendien­ W a l c h declara que paseándose el d o m ing o, encontró como, aquella célebre intimación. Convenci…</t>
  </si>
  <si>
    <t>Rombilla</t>
  </si>
  <si>
    <t>…celo y lealtad con que ha desem pe­ José Perez Redondo , álias Castaña, y Antonio Bautista , alias cio del puerto de Saint Yalery. S. M. no ha podido visitar á ñ a d o in te rin a m en te dicho m inisterio el actual Secretario Rombilla, naturales de Urda , Bernarda Casanova , muger de causa de lo bajo de la mar la punta de Ourdelle ni el Crotoy, del D espacho de M arina, C om ercio y G o b ern ac ió n de U l­ un cabecilla , y también la de R edondo, dos muías, una burra y ha llegado á Saint Yalery á medio d i a , siendo…</t>
  </si>
  <si>
    <t>Romea</t>
  </si>
  <si>
    <t>…xiliado de sienta semejante alarde de respeto á la memoria del gran Isi­ por el esmero con que van vestidos los niños que la frecuentan. algunos alumnos de los roas adelantados, lleva diferentes regis- doro, en quien corno el Sr. Romea tiene ornada la frente con Todos los alumnos están sentados en bancos teniendo delante tros.-^JDno de matrícula eu donde se inscriben los nombres de recientes laureles, y con mas de una corona en temprana edad sus mesas; los niños y niñas están mezclados, y únicamente se los alumnos , pais de…</t>
  </si>
  <si>
    <t>Romeo, D. Juan</t>
  </si>
  <si>
    <t>D. Juan Romeo</t>
  </si>
  <si>
    <t>…hasta que luchar contra los efectos A yuntam iento constitucional de Zrarágoza. cubrimiento. Consiguieron á fuerza de ruegos que cuatro in ­ dad: libre del peligro le suministraron.en la comida el dia de N avi­ JEl Excrno. Sr. D. Juan Romeo, Senador por la provincia dios les sirviesen de guias , y se embarcaron á la ventura en el á beneficio de la triaca siguió con mas de Zaragoza, ha remitido al Exctóo. ayuntamiento constitu­ lago Michigan en unas ligeras canoas de corteza; y llegando aidorComo la marcha que se había pro…</t>
  </si>
  <si>
    <t>Romeo, Ventura González</t>
  </si>
  <si>
    <t>Ventura González Romeo</t>
  </si>
  <si>
    <t>…....................... 10 to, no quiero molestar mas al Congreso , y me reservo el uso de El Excmo. Sr. arzobispo electo de Toledo....................... 240 la palabra para cuando se trate de sus artículos en particular. Doña Ventura González Romeo........................................... 80 El Sr. P R E S ID E N T E anuncio que mañana continuaria la discusiou de los asuntos pendientes, y levantó la sesión á las Doña F. A. C. de M ............................................................... Doña R. II. y P .....…</t>
  </si>
  <si>
    <t>Romera, Luis Ruiz</t>
  </si>
  <si>
    <t>Luis Ruiz Romera</t>
  </si>
  <si>
    <t>…el símbolo del heroísmo é insignia militar j Otra de fierro, collado del Guallo, término de la Peza, San Abunda mucho en Egipto y en las provincias adya­ entre las mas cultas y poderosas naciones antiguas y mo­ | M arcos, por D. Luis Ruiz Romera , en 8. centes de Asia, Africa y Europa, en España, en Italia; dernas, el nombre del buitre es usado en muchas lenguas Lna fabrica de fundición de plomo, Aljibe h u n d id o , té r­ pero muy rara vez se ha visto en Inglaterra. Es poco ma­ para denotar los vicios mas viles y brutal…</t>
  </si>
  <si>
    <t>Romeral, Cirios Martin</t>
  </si>
  <si>
    <t>Cirios Martin Romeral</t>
  </si>
  <si>
    <t>…gobernador, general En la puerta de Segovia, que divide el juzgado de Palacio de Isidro ; señor gefe de dia ; señor alcalde constitucional de del de S. Francisco&gt; el camino divisor será el de Navalcarnero. acuella demarcación D. Cirios Martin Romeral; señor regidor En el portillo de Embajadores,que divide el juzgado de Sao de la misma Caballero, que fue el primero que se presentó , y Francisco del de Lavapies, el camino divisor será el del em­ J^ L nes Catecismo de la doctrina cristiana explicado,ó explicacio­ del Astete q…</t>
  </si>
  <si>
    <t>Romeral, Francisco</t>
  </si>
  <si>
    <t>Francisco Romeral</t>
  </si>
  <si>
    <t>…as el malidades que la misma previene, tocó á los habiéndose realizado con las for­ W ashington (Ñ. C.), varó en el banco del Oeste, y salió bien fuego en las inmediaciones de Mootalvan contra las facciones D. Melchor García, D. Francisco Romeral, sugetos siguientes: después de arrojar al agua 250 barriles de carga y largar las reunidas, durando aquel hasta las tres de la tarde, y según ca Santipetri, D. Pedro Porras, D. Felipe López VadeIdem D. Juan la Ro­ dos cadenas: la goleta O rear, procedente de S. Agustine, varó to…</t>
  </si>
  <si>
    <t>Romero</t>
  </si>
  <si>
    <t>…del seno de sus fam Segovia. La comisión, vista el acta de segundas elecciones no ha encontrado esa expedición ninguna oposición eti su mar­ parte seducida por sugestiones d.e personas,ilias, y de que otra presentadas por el Sr. Romero, y hallándola conforme, era de ch a, y todo hace esperar que los importantes objetos con que trañas á la suerte del pais , se encuentra arrepentidadey ellas muchas ex­ pesaro­ dictamen que dedia aprobarse. Aprobado. se han emprendido aquellas operaciones militares se consegui­ sa de pertene…</t>
  </si>
  <si>
    <t>…o la enérgica actividad de nuestros Es copia.^C uartel general en V illa A ld am a, Agosto 19 de Méjico Agosto 26 de 1839. —V illa-B erruecos.=R am irez.= bomberos pudo libertar toda la manzana del voraz elemento. l839.=José D. Romero, secretario. Es copia.=M éjico Agosto 28 de l8 5 9 .= J. N . Espinosa de los A un no se ha avaluado la p érd id a; pero la casa C rum p ha per­ Monteros. dido 200 pesos eu mercaderías que no estaban aseguradas. D ivisión del N orte.=General en gefe.—Excmo. Sr.: Hace al­ Este incendio, dice…</t>
  </si>
  <si>
    <t>…ue habian entrado en el compM:, en particular el coronel Rolan. Se anuncia que m i n i s t e r i o d e H a c ie n d a . trada en las brigada*, de caballería hayan de presentarse el gobierno de Corrientes se conferirá al coronel Romero, y que Reales ordenes . con caballo y el demas eq u ip o , debiendo ser aqr.el de Ganna será su ministro. Esta elección será infaliblemente rati­ edad conocida, sin achaques ni dolencias, y con la alzada ficada por les demas gobiernos de la confederación. He ciado caeríta á S. M. la Reina…</t>
  </si>
  <si>
    <t>…pueblos, las autoridades, á cuanto pueda contribuir á que se realice coa y otros vivas de gozo y gratitud. pues las tropas de su selecta expedición sobre San L u is lo han la posible brevedad. abandonado, pasándose al Sr. coronel Romero unos, otros al se*» Asi quedó consignado sobre aquel terreno tan fausto y gran ­ L a diputación por su parte no perdona njedio con el mis­ dioso acto por si mismo y por las circunstancias que concur­ ñor general Arista, y pereciendo otros en la acción del Y a lie. ólo f i n , á que coopera…</t>
  </si>
  <si>
    <t>Romero, Pedro</t>
  </si>
  <si>
    <t>Pedro Romero</t>
  </si>
  <si>
    <t>…as Heras el folleto titulado: ccLa Otra id. en dicha sierra y térm ino, pecho de Lastras, San F RANCISCO Antonio Ferreiros y Saavedra , escribano de fuga del P. C ir ilo , encubierta por el Gobierno de 8 . M .” en P ascual, á D. Pedro Romero, en 15. ^ S. M . , y uno de los del poyo del juzgado de primera ins­ concepto de incitador á la desobediencia en segundo g rad o , se Otra id. en dicha sierra y término, loma del Sueño, antes tancia de esta ciudad y partido de Lugo , provincia del mis­ procedió á celebrar el sorteo de…</t>
  </si>
  <si>
    <t>Romeroso, Teresa</t>
  </si>
  <si>
    <t>Teresa Romeroso</t>
  </si>
  <si>
    <t>…as noticias nueve dias á D. Fernando Iglesias, D. Andrés G utiérrez, Don L e b la n c ,y trad u cid »al castellano por D. E. de S. P .: segunda que tengo de aquella ciudad, porción de prisioneros facciosos Manuel Domínguez, Doña Teresa Romeroso, y D. M anuel edición española, á 10 rs. en rústica. para ser cangeados por igual número de nuestros valientes que M aría de la Orden , endosantes que aparecen ser de un crédito Economía industrial de jornaleros: en 8.° se hallan en el depósito del H orcajo, los cuales probablemente…</t>
  </si>
  <si>
    <t>Romey</t>
  </si>
  <si>
    <t>…ección y austeridad de patria de los Cervantes, Herreras y Solises. contestables. Una de estas era que lo vago de la expresión su lenguaje , y aun de la crítica y filosofía con que des­ Lo que prueba hasta qué punto ignora el Sr. Romey daba á las ideas un color misterioso rnuy poético, cuyo empeñó so obra , muy superiores a lo que podia esperar­ nuestra literatura, es ver juntos é incluidos en una misma efecto se aumentaba aun por sus numerosas metáforas y se en su tiempo y en sus circunstancias individuales. proscripción lo…</t>
  </si>
  <si>
    <t>Romey, Carlos</t>
  </si>
  <si>
    <t>Carlos Romey</t>
  </si>
  <si>
    <t>…ón azteca ofrece otro rasgo de semejan­ ropea. En el prospecto de la traducción de la historia de en que empezó á ser habitada por el hombre, los que han za con el Génesis; C o xco x, Noé mejicano, viendo que las España del Sr. Carlos Romey, impreso en Barcelona, se sostenido por aquella época era muy poco lejana, hubie­ aguas cedían, soltó al cuervo, el cual habiendo encontra­ inserta traducido el prólogo del autor, y hemos leido con ran debido vacilar antes de sentar su opinión, en vista de indignación las siguientes e…</t>
  </si>
  <si>
    <t>Romi-</t>
  </si>
  <si>
    <t>el ayuntamiento, el prefecto, el procurador general Romi- formasen de frente en batalla por la izquierda, y el general trae un correo de gabinete, y los de la embajada otomana en guieres, coronel de la Guardia nacional en 1814 ; y por ultimo, ¡cosa notable! maniobró bajo el fuego de los cañones otoma­ París por un empleado de la misma. algunos antigu…</t>
  </si>
  <si>
    <t>Romualdo, José</t>
  </si>
  <si>
    <t>José Romualdo</t>
  </si>
  <si>
    <t>…MILITAR. que les han correspondido en el último dividendo de 176 rs. á los dos primeros, 86 al segundo, 96 al tercero, y 35 al cuarto. nez A guilar: Cádiz, en la de Hortal y compañía: Sevilla, en PERIODICO M EN SU A L casa de D. José Romualdo O rtiz, abogado. Nota.rzLa publicación del octavo cuaderno se ha retardado redactado por D. Evaristo San Miguel. MUSICA. por enfermedad del autor. Número 12. Escalas y saltos para el solfeo, preparación al canto y arie­ CORRESPONDIENTE AL MES DE MARZO DE 1839. servatorio tas por el c…</t>
  </si>
  <si>
    <t>Román</t>
  </si>
  <si>
    <t>…vi esa circular de un M i­ Manuel de Maltrana , D . Manuel Escolar , D. Rito Garrido. Primeramente la mitad de una casa, sita en el lugar de nistro encargado del mantenimiento de las leyes, mientras que D . Pedro Lamaignere, D. Román M atute, quienes declararon Fuencarreal y su calle Real, que linda con otra de Luisa Cres­ otro, encargado de dirigir la fuerza , se abstenía de hacer á sus no haber lugar á la formación de causa por cinco votos contra cuatro. Madrid 7 de Setiembre de 1839. po, tasada en 59 rs. .subordinados…</t>
  </si>
  <si>
    <t>Román, Manuel Maestre y S.</t>
  </si>
  <si>
    <t>Manuel Maestre y S. Román</t>
  </si>
  <si>
    <t>…alacnpio, por Fraucisco Juan Palomares, en 14» Habiéndose denunciado ante e! señor alcalde constitucional Para el segundo remate de la casa sita en esta corte, calle Otra id . , sierra de Gador , hoyos de Mancha , término del D. Manuel Maestre y S. Román, por D. Juan García Pedre­ del A guila , núm. 22 , manzana 115 , que tiene de sitio 4925 Presidio, Sta. R ita , por D. Juan Antonio Montero, en 14* ro, alcaide de la cárcel Nacional de corte, en unión de Don pies superficiales, tasada con fecha 2 de Junio del año último O…</t>
  </si>
  <si>
    <t>Román, San</t>
  </si>
  <si>
    <t>San Román</t>
  </si>
  <si>
    <t>…o, montura , y un trabuco, por las tropas en el mismo y escribanía del número de D. Jacinto Revilio , á Clavos de hierro 52,207 5 25 de S. M. al mando del comandante de operaciones de la izquier­ instancia del Excmo. Sr. conde de San Román ; bajo apercibi­ Cobre...................................................................... 5.40L .. 12 da del M iñ o ; y se le fugaron otros cuatro que se hallaban miento de qu e, dicho término pasado, se dará á los citados au ­ Hierro 10,244 6 10 ocultos en la casa inmediata , dejando e…</t>
  </si>
  <si>
    <t>RON</t>
  </si>
  <si>
    <t>…del gefe político; pero DEL TEATRO ción siguiente: que esta excepción no comprende á los comandantes de pro­ 1.° Una acreditada sinfonía. vincia ni demas autoridades militares. (Id.) 2.o R E T A S C O N , BA R BE RO Y C O M A D R O N , come­ Reales decretos nombrando Senadores por varias provincias ANTIGUO ESPAÑOL. dia en un acto que tantos aplausos ha obtenido en sus anterio­ (Ndrn. 1757.) res representaciones. Los Sres. suscriptores pueden pasar á recoger el tomo segun­ Real orden para que toda clase de moneda pueda co…</t>
  </si>
  <si>
    <t>…ón á los trabajos hechos ya. PRINCIPE. A las ocho de la noche. Se ejecutará la futí-- LA MARIPOSA, cion siguiente: PER IO D IC O D E LITERATUR A Y M ODAS. l . Q Una acreditada sinfonía. 2.o R E T A SC O N , BARBERO Y C O M A D R O N v come­ CORTES. Continúa sin interrupción publicándose este periódico dedi­ dia en un acto que tantos aplausos ha obteuido en sus anterio­ cado por su amenidad y ligereza ai bello sexo. res representaciones. SESION RE GI A , Al número del dia 30 de Agosto acompaña un bonito figu­ 5.° Tercet…</t>
  </si>
  <si>
    <t>…r. V alencia, par á Cádiz, £ á ¿ d. Zaragoza, i b. 1.° Una acreditada sinfonía. «En celebridad de tan grata noticia los Sres. Diputados á Descuento de le tr a s , á 6 por 100 al año. 2.° R E T A S C O N , BA R BE RO Y C O M A D R O N , come­ Cortes comerán juntos esta noche en la casa jardín de las De- dia en un acto que tantos aplausos ha obteoido en sus anterio­ licias, y han invitado á que les acompañen á los Sres. Seoado- res representaciones: * res por conducto de su Presidente.” 3.° Terceto de baile , compuesto y di…</t>
  </si>
  <si>
    <t>Ron</t>
  </si>
  <si>
    <t>…ado de los partidos de Taboada y Gamba , cuyo cadáver inmediaciones del Gol de Nargó, ligado de pies, tnaooi y pes­ M uy lastimada está la provincia coa los infinitos males que conduzco mañana á Chantada ; era sobrino del abad de Ron­ cuezo, el del ex-coüde de España , el mismo que fue enterrado ha sufrido; aun le quedan por cerrar las profundas llagas que zó*: como igualmente lo fueron D. Joaquín Mosquera, alias en el mencionado pueblo, habiendo sido imposible averiguar estos le han dejado; la curación y remedio está en ma…</t>
  </si>
  <si>
    <t>Ronquillo</t>
  </si>
  <si>
    <t>…habia habido en los diez años ordinarios los que juzgaron á los comuneros en el año 5 2 i ? So­ viene la ordenanza; por consiguiente extraña S. S. que daudo últimos comisiones militares de infausta memoria, pero que lo el alcalde Ronquillo juzgó á uno de ellos ; los demas lo fue­ la Constitución el camino recto para hacer la ley excepcional, S. S. se habia referido á otra época en que individuos que ves­ ron por el sable del vencedor, y no de otra forma. En tiempo no se haya tomado sino muy al contrario separándose de todo t…</t>
  </si>
  <si>
    <t>Roque</t>
  </si>
  <si>
    <t>…tes cedi­ en las diferentes clases bastantemente instruidos: la de aritm é­ la Real sociedad económica, sus sabias miras fueron las de^con­ das ventajas que la quitarían incontestablemente la intervención tica está á cargo de D. Roque J . V aldés, y la segunda al de seguir á todo trance la felicidad común a los habitantes de la de cualquiera fuerza brutal. ^ D. José M aría G arcía; la de gramática al de D. Manuel A n­ A n tilla ; su primer asunto fue el mas grandioso, el de mas v i­ Abandonada de sus aliados , obligada po…</t>
  </si>
  <si>
    <t>Roque, S.</t>
  </si>
  <si>
    <t>S. Roque</t>
  </si>
  <si>
    <t>…L a religión no ha querido permanecer extraña á las des­ es indispensable recurrir á la energía m oral, á la fuerza física. medidas contra los violadores del territorio. Dice solamente han gracias de la Martinica. El Sr. cura de S. Roque, solícito siem­ Aconsejarnos a los partidarios de la guerra que medi­ tomado parte en este negocio 15 ó 20 hombres armados. Al pre de socorrer á los desgraciados, ha ofrecido espontáneamen­ ten bien las palabras de este grande hombre de Estado. Es­ instante que se supo que el arsenal habi…</t>
  </si>
  <si>
    <t>Rosales</t>
  </si>
  <si>
    <t>…te de pin­ sos, poco mas ó menos; y el de los géneros importados á ..................... 4 7000 3 .1 0 9 ,0 0 9 pesos , incluyendo en esta últim a surna la .c a n tid a d Algodón , 195000 libras......... ... Í6 0 00 tura del Sr. Rosales, auxiliado de un sinnúmero de só cio sq u e h an acudido todos los d ias á ayudarle. de 4 003 pesos importados en especie. Los derechos percibidos A ñ i l , 525000 libras..................... 2 70 0 00 Cueros , 61000 cuero?. . . . . . . . 100000 El telón de boca consiste en una cortina de…</t>
  </si>
  <si>
    <t>Rosamel</t>
  </si>
  <si>
    <t>…orte), trados por la lu2 del cristianismo , inteligentes , civilizados, y creencias ni los sentimientos que ellos aspiran á inculcarle en Ministro de Trabajos públicos; Mr, Lacabe-Laplagne, Minis— :ro de Hacienda ; el almirante Rosamel, Ministro de M arina, que están acostumbrados á colocar sus intereses y sus libertades sus dramas. ' !*ajo la salvaguardia de los tronos. El romanticismo del dia, aleman, Podríamos añadir á los ejemplos ya citados el del teatro y Mr. de Salvandy , Ministro de la Instrucción pública, han con…</t>
  </si>
  <si>
    <t>Rosas</t>
  </si>
  <si>
    <t>…l coode desem­ nes de Aribe para hacer frente á la expedición del general L a - peñará en la próxima Dieta las funciones de mariscal del reino; valle. honor qne tal vez no aceptará prefiriendo ser caudillo del par­ El Presidente Rosas habia intentado hacer una nueva em i­ tido ministerial. La grande estimación y respeto que profesan al PORTUGAL. sión de cuatro millones en papel moneda. La escasez de dinero conde todos los partidos, y su raro talento parlamentario le ase­ era extremada en B ueno s-A ires, habiéndose visto pr…</t>
  </si>
  <si>
    <t>…s de la capital de Orense, imperio está administrado por un regente. En Buenos Aires es Los tiradores de nuevo modelo de Vincennes han recibido y que pertenecen en los distintos ramos de propiedad á la clase presidente el general Rosas; en Montevideo el general Riveraj; la orden de marchar al A lfica , formando cuatro compañías de mayores contribuyentes, han llegado á saber que la dipu­ en Chile el general Prieto; en Bolivia el general Velasco; en el con la fuerza de 150 hombres cada una. Todavía quedarán en tación provincia…</t>
  </si>
  <si>
    <t>…ires parecen to­ portante salud. car á su término» El comodoro Nicholson, comandante de la escuadra americana , se ha encargado de ser intermediario en la REAL DECRETO. PARTE NO OFICIAL. negociación. Se cree que el Presidente Rosas resignará sus funciones pa­ ra que otros puedan tratar cou la Francia con arreglo á las ba­ En consideración á las eminentes virtudes, distingui­ ses convenidas con el comodoro. dos méritos y relevantes circunstancias que reúne mi NOTICIAS EXTRANGERAS. pro-capellan, limosnero mayor y patri…</t>
  </si>
  <si>
    <t>Rosell, Antonio Gregorio</t>
  </si>
  <si>
    <t>Antonio Gregorio Rosell</t>
  </si>
  <si>
    <t>…s escritos. [uieaes á porfía se esmeren eu complacerle. número suelto. La suscripción se efectuará por trimestres ó se- P ara añadir á esta a lg u a requisito aventajado , ademas del siiefctn?*. Instituciones matemáticas por D. Antonio Gregorio Rosell. le las anotaciones de que se dió conocimiento a) público, se d a - C*ñ 3 año compondrá un tomo , y el til timo cuaderno se á gratis á los s u s c r i p t o s al fin de ella la famosa Constitución Un torno en 4*° « contiene la aritmética propia y los principios p r e s t a…</t>
  </si>
  <si>
    <t>Rosen, Juan</t>
  </si>
  <si>
    <t>Juan Rosen</t>
  </si>
  <si>
    <t>…r no tener te tigos que probaran su declaración. Rueda y Tejada , apoderado de D. Manuel Ventura Irure: frente á Ls Covachuelas. Que entia cada día mas que aquel hombre inocente estu­ Doña María Josefa Arias y Prada , viuda de D. Juan Rosen­ viese en prisión; mas pareciéndole que la prisión seria do González: D &gt;ña Teresa y Doña Josefa Camacho, hijas de para este, que era un jornalero, de menos importancia que D. Bonifacio: Doña Petronila Luisa Galan , viuda de D. Jo ­ para el como hacendado, habia dejado seguir el curso de…</t>
  </si>
  <si>
    <t>Ross</t>
  </si>
  <si>
    <t>…ircun sp ecció n y reserva hasta el momento L i m a , que habiendo sido herido por un soldado chileno un tre nosotros? ¿Es permitido todo contra é l? Y cuando por me­ oportuno. in g le s , el doctor M a c -L e a d , el almirante Ross ha pedido una dio de vuestras coaliciones inmorales, anti-constitucionales, es­ L a suspensión de las Cortes españolas es ya un hecho reparación. Los periódicos, escritos bajo la influencia de los candalosas, hayais despojado á la corona de todas sus preroga- qu e pertenece a la p re n sa, ¿…</t>
  </si>
  <si>
    <t>Rossi</t>
  </si>
  <si>
    <t>…us m onetarios, y el cuarto una herm ano co m o una b estia l deber para con Dios , para con nosotros mismos , ó para con bonita colección de cuadros p ara los fines expresados. El número no es mas que una formula , dice el Sr. Rossi, nuestros semejantes. Todas estas infracciones son p e c a d o s ; pe­ Las series publicadas hasta el dia son d o s, la una que com­ inventada para evitar la repetición de la u n id a d , y nada puede ro no todas son delitos. El hombre es responsable de todas an­ prende en 225 improntas la hi…</t>
  </si>
  <si>
    <t>…nda vez t a r , sino á aprender el contrapunto, ó sea la composición. Por me y un amor sin igual á las instituciones que nos rigen; pro­ de Inglaterra. Nos encontramos en el colegio ¡Mazzirini, adonde lo que invitamos á dicho Sr. Rossi á que nos haga experimen­ bando con circunstancias tan recomendables las virtudes cívicas iba á seguir el curso de lógica , al mismo tiempo que yo entra­ tar la satisfacción de tenerlo por algún tiempo en nuestra H a­ que os ad o rn an , vuestro respeto á las autoridades constituidas ba en las…</t>
  </si>
  <si>
    <t>Rossi, Lauro</t>
  </si>
  <si>
    <t>Lauro Rossi</t>
  </si>
  <si>
    <t>…nfermedad, que me obli­ delos dignos de su aplicación y gusto. Con ellos ha llegado á tado á la obediencia de mis disposiciones, son otros tantos tí­ gó á dejar el colegio mucho antes de que se verificase aquel so­ esta ciudad D. Lauro Rossi , maestro que era de dicha compa­ tulos que os hicieron ganar mi aprecio, tanto mas debido, cuan­ lemne acto, me privó del placer de presentarme en la escena ñía en M éjico, cuyo talento y conocimientos músicos lo hacen to mas difíciles han sido las circunstancias de la época. Sí, ara­ c…</t>
  </si>
  <si>
    <t>Rostoptchine</t>
  </si>
  <si>
    <t>…e y mudo. Asi goces tú de estas ventajas para descanso tuyo nio celebrado y el abandono de la línea de San Sebastian han Tarancon el 14 del actual para Cuenca y sus pueblos, fue in­ y bien del g énero h u m an o .= E l conde de Rostoptchine. llenado de júbilo á los habitantes de esta ciudad , que han ce­ terceptada por los facciosos el dia 15 en el pueblo de V illar del lebrado tan faustos sucesos con iluminación general, repique Horno. ilo ta s y ap untes d e l ed ito r f r a n c é s .. de campanas, y al dia siguiente u…</t>
  </si>
  <si>
    <t>Rosé</t>
  </si>
  <si>
    <t>…o ó secta á que pertenezcan. de Julio 9-de 74 toneladas, equipado con seis personas incluso los dias 1 0 , 20 y 5 0 , y da mensualcoente un figurín ilum ina­ Siendo la constitución mejicana una república federal, tie­ el capitán Rosé, viniendo de Maraniz con destino á San Vale- do de caballero ó señora, grabado magníficamente en acero: ne poder el Gobierno general para legislar scbre todo asunto r y , dado en 27 de Noviembre de 1858, comprendiendo ademas de tiempo en tiempo da también gratis á sus súscriptores u a de inte…</t>
  </si>
  <si>
    <t>Rosé, Pedio</t>
  </si>
  <si>
    <t>Pedio Rosé</t>
  </si>
  <si>
    <t>…erse construido en San Malo en el año pasado , y perte­ que publica la misma empresa: dos de Federico "'oulié, Cristina ’ rias que no conciernen al negocio general de la nación. La li­ necer al Sr. Garnier y D aude q, su capitán Pedio Rosé , con pa­ de Suecia en Fontainebleau (histórica), y los Dos Rivales, y bertad y propiedad están perfectamente aseguradas por leyes ses de la adqana francesa dejCette para conducir á Mompulcis los restantes de la graciosa novela^ de castutnbres L a muger y terminantes , y L administración…</t>
  </si>
  <si>
    <t>Rotalde</t>
  </si>
  <si>
    <t>…un escuadrón enemigo, actividad qué entre otros han desplegado los citados brigadie­ perada. Vito Mangiamele á nadie ha incomodado en nuestra salvando asi mucha parte dé nuestra infautéría; del sargento de res M aury y comandante Rotalde , y la decisión que en esta ciudad, á no ser á los incrédulas que venían cou intención de Nacionales Vicente M arti, qde reunido á algunos compañeros ocasión ha mostrado! la Milicia nacional de caballería de Bar­ examinar severamente las maravillas que la prensa parisiense suyos se retiró po…</t>
  </si>
  <si>
    <t>Rothschild</t>
  </si>
  <si>
    <t>…as nacionales. Las negociaciones abiertas se han sus­ mucho que desear. Se han aprovechado de la permanencia del p e n d id o ; sin embargo es de creer que todavía podrá ser e n via­ L uis Felipe, R e y de los franceses. barón de Rothschild para que por la Santa Sede se les auto ri­ do un plenipotenciario de América aqui para negociar un a r - A todos los presentes y futuros salud. ce á ejercer diversas profesiones que les estaban prohibidas. El Hemos ordenado y ordenamos lo sig u ie n te : barón ha desplegado el mayor celo…</t>
  </si>
  <si>
    <t>Rothsehits</t>
  </si>
  <si>
    <t>…s barbas , é instruyen al público de su afrenta.” al c a p ítu lo , tan abundante y a , de variaciones ministeriales. tienen la m align idad característica de Tirso. {Idem.) No en las letras solamente Las cacerías del barón de Rothsehits continúan siendo cada Todos los periódicos de la tarde dicen que han corrido r u ­ consiste, Otón ¿ ni se alcanza vez mas brillantes y políticas. Sin embargo, el ilustre banque­ mores hoy de que habia estallado una revolución en Constan- nuestra bienaventuranza : r o , avaro de í, u caza…</t>
  </si>
  <si>
    <t>Rotáldé, Leonardo Santiago</t>
  </si>
  <si>
    <t>Leonardo Santiago Rotáldé</t>
  </si>
  <si>
    <t>…al briga- ídem 20. tería nuestra, que se retiró en la dirección del punto en que él diér Maiiry con §00 hombres sobre Hospitalet; donde el bravo se hallaba, lo que no sucedió con algunos Naciooales que lo comandante dé É. M. D. Leonardo Santiago Rotáldé obsérirabá Acabamos de asistir á lá sesión ánunbiáda poir el ¡oven V i­ hicieron en dirección á Cheste * lós cuales pagaron caro su des­ desdé él dia antes á .los enemigos, haciendo frente á fuerzas to Mangiaméle: inútiles decir qué édá sesión ha añadido un graciado arrojo…</t>
  </si>
  <si>
    <t>Rouen</t>
  </si>
  <si>
    <t>…á pocos minutos dieron con ellos y Los comerciantes franceses de Puo-Janeiro acaban de diri­ empezaron a lidiar de un modo poco común y con grande en­ j V O habiendo resultado remate en las dos subastas celebradas g ir ai barón Rouen , M inistro de Francia en aquella residencia, tusiasmo. A cosa de hora y media, el puerto, á pesar de su ex­ en la intendencia militar de Castilla la Y ieja para contra­ diferentes observaciones sobre el decreto expedido el 6 de M ayo tensión estaba todo teñido en sangre, y sin reparar en el…</t>
  </si>
  <si>
    <t>…antiguo esplendor ; por lo demas , continuemos siempre sumisos al joven y noble príncipe que se halla á su S. M. l a R e i n a , s u augusta M adre la R e i n a G o b e r n a ­ cabrza.” VÍ El cardenal de C ro i, arzobispo de Rouen , ordenó á una Se cree que H afiz-bajá, que ha sido destituido del mando porción de personas en su seminario. Recibieron órdenes 51 sa­ d o r a y la Serm a. Sra. Infanta Doña M aría L uisa F e r ­ del ejército , reunirá los restos de su ejército , y seguirá el ejem­ cerdotes, 15 diáconos, 19…</t>
  </si>
  <si>
    <t>Roure, Francisco</t>
  </si>
  <si>
    <t>Francisco Roure</t>
  </si>
  <si>
    <t>…bido en el zaguan por el provisor, el censor y el limosnero debían conducirlas á dicho punto de Villa vieja , pues de lo con­ a la cabeza de todós los empleados del establecimiento, á los trario irian por ellas; El subteuiente D. Francisco Roure, comandante de la par­ cua es se habían agregado el director de la escuela secundaria de seis mas no verificaron esta promesa, y á las tida volante de Peñíscola , participa con fecha 24 del próximo m e d ian a , e de la eScuela normal primaria &amp;c. El corregidor Burriana y media de la…</t>
  </si>
  <si>
    <t>Rousein</t>
  </si>
  <si>
    <t>…sfacción que experimentaba al verse rodeado por los represen- progresivos resultados. Dios guarde á Y. E. muchos años. C uar­ antes de las Potencias amigas. tel general de Vitoria 9 de Agosto de 1859.—Excmo. Sr.=EI S. E. el barón Rousein , embajador de Francia , contestó en duque de la Victoria.^:Excmo. Sr. Secretario de Estado y del nombre de sus colegas en los términos siguientes: U n hombre con un gran talego de lienzo en la mano entró Despacho de la G uerra. "Los miembros del cuerpo diplomático se congratulan de esta mañ…</t>
  </si>
  <si>
    <t>Roussin</t>
  </si>
  <si>
    <t>…an en la rada de Alejandría el Z a ra go z a 3 0 d e Agosto. 7, y que el 5 habia llegado á esta ciudad un vapor turco con­ Las cartas de Alejandría del 2 6 de J u lio nos anuncian que duciendo á bordo á un edecán del almirante Roussin para re­ Sabemos que la facción que se hallaba en el bajo Aragón al los restos del ejército otomano, mandados por Hafiz-bajá , han clamar la escuadra turca en nombre de las cinco Potencias. mando de Llangostera ha pasado el Celia , y se ha dirigido al sido destruidos por los k u rd o s, y q…</t>
  </si>
  <si>
    <t>…cita entre otros al gran escudero Mr. de W a s - p o rtan te salu d . 5onstautinopla son del 7. Ocupábanse allí exclusivamente los genstein, dimisionario; al conde de Kiclmansegge, antiguo ínimos de la destitución del almirante Roussin, que natural- gobernador; al general Decheu ; en fin, Mr. M urchausen, en­ neuce no obtiene la aprobación del D iario d e Sm irna . viado en Londres, pasará aqui el tiempo de «u licencia. R E A L DECRETO. {Debáis.) ('T em ps .) P a r a el pronto y expedito despacho de los negocios Cuando…</t>
  </si>
  <si>
    <t>…jornada de Constantino pía el 50 de Marzo; que inmediatamente se reunió talento maravillosamente precoz recuerda los Zuccaros y los Pa- Prades , á V. E. lo deben y asi lo reconocen; pues para sal­ el D ivan, y que el almirante Roussin habia diiigido enérgi­ gliesis. Este niño, que apeuas puede sostener el violin en el cua varlos y las piezas de artillería de grueso calibre que condu-</t>
  </si>
  <si>
    <t>…te á los sol­ JNos dicen de Constantiñop a que el Sultán lia asegurodocoi caballo al faccioso Bartolomé Teva , de Quintanar del R e y : q u e dados ias doctrinas y los padecimientos de los cartistas. teda formalidad al almirante Roussin que no atacaría al eiér- de resultas del encuentro habido entre siete escopeteros d e JNa- Un oficial que ha llegado con el convoy de Liverpool dice cito de Ibrahim. Sin embargo este habia considerado tan innii valucillos y varios facciosos en el barranco del Orcajuelo, re­ que los cartist…</t>
  </si>
  <si>
    <t>…ora de la exposi­ Jacquemmot ea Boa a ; y el general Bernard en Balaroe. tamente al buque de vapor le Papin de que partiese para lle­ ción en que la diputación provincial de la Coruña con­ var despachos al embajador. El almirante Roussin quedó m u y sulta si para los electos del párrafo 14 del art. 63 de la sorprendido al saber la salida de la escuadra turca , constándole ley de reemplazos se entienden hallarse sirviendo en el El 47 regimiento de línea, que ha hecho parte de la división que el nuevo Gabinete es muy favorable…</t>
  </si>
  <si>
    <t>…ió la muerte de S. S . , cuya noticia fue publicada á MM . Eduardo Caldavene, conocido por sus escritos eo el Orien- gritos por los vendedores de papeles bajo las ventanas cL* lady t e ; á Anselme, ayudante de campo del mariscal Roussin; á Be- £1 estado de la salud de la Emperatriz es siempre alarman­ B rougham , que habia recibido noticias mas recientes, y sabia rard, su secretario p articu lar; y á Lejesme, comandante del te y casi desesperado. Los médicos no encuentran remedios pa­ que semejante rumor no tenia ningún f…</t>
  </si>
  <si>
    <t>…ica del prender las hostilidades püra acelerar un rompimiento. En estas cu en ta, y trayendo con nosotros al gefe de las armas carlistas, N orte y del Sud periódicos de D omerari de fecha reciente, y circunstancias el almirante Roussin ha expedido un correo para su E. M ., cuatro batallones y un escuadrón, según las noticias los de la isla M auricia del 12 de Diciembre último. El 11 de Toion , á fin de hacer que su Gobierno refuerce la escuadra fra n ­ recibidas; sin que tampoco el cielo permitiese la entrada en po­ Ener…</t>
  </si>
  <si>
    <t>…eerse. Escriben de B uchan, en el círculo del Danubio en W u r - Hé aqui lo que el S em áfora dice acerca de Constantinopla: Sabemos que el consejo de Estado del bajo Yates no ha tem berg, con fecha 28 de O ctubre: El almirante Roussin que se ha despedido del Sultán y de contestado á las primeras indicaciones que le dirigieron los re­ Los israelitas de esta ciudad acaban de inaugurar la nueva los otros M inistros, marchará inmediatamente en el barco de presentantes federales, y hasta que ha rehusado reconocerle. Sinagoga…</t>
  </si>
  <si>
    <t>…como una burla , y que en consecuencia será dese­ permaneció una hora con S. M. chada. Hay quien pretende que aquel arreglo seria muy justo, por­ que daria garantías contra la ambición que se le supone al vi­ El almirante barón Roussin ha llegado i Mompeller el 26 rey y contra la de sus hijos, quienes mas tarde y con nuevos del pasado en compañía de toda su familia. NOTICIAS NACIONALES. pretextos pudieran renovar la guerra con tanta mas facilidad, cuanto que de la herencia reclamada á la independencia recono­ cida hay aun…</t>
  </si>
  <si>
    <t>…uam ente establecido y que te, Par de F ra n c ia , embajador del R e y — (L. S.) —Firmado, lió de su palacio, precedido de la co m itiv a , y se d irigió al-con­ queda subsistente, debiéndose entender siempre que cualquier barón Roussin. (D eb á is.) vento de San Francisco por la calle de los Oficios. Poco después artículo comprado en el lugar del embarque con el objeto de las salvas de artillería y el repique general de campanas a n u n ­ exportarlo, y que h aya satisfecho á sa entrada los derechos del ciaron la salida del…</t>
  </si>
  <si>
    <t>…odo mano del labrador que busca en las entrañas de la tie rra los de Stourmer cayó al agua desde un bote, Mr. Boutenieif fue escondidos tesoros que muestra en sus infinitas y variadas pro­ herido por un carruaje, y el almirante Roussin cayó del primer el fru to conseguido en los campos de V e rg a ra . No hay gloria que exceda á la de ser español, porque es­ ducciones. Y a ve al industrioso utilizar las primeras materias, piso de una casa , por haberse hundido el pavimento; pero sin te nombre lle v a consigo la buena dis…</t>
  </si>
  <si>
    <t>…ultad de aprehender v circunstancias que han producido la cesación de sus funciones vincia, quien nunca la concederá para la corte; y que las presentar un prófugo, deque le resulte el beneficio de que­ diplom áticas, el almirante Roussin no ha perdido ninguno de mismas autoridades políticas, si algún eclesiástico se pre­ dar libre de la suerte que tenga en aquel reemplazo: con­ | loa derechos que se habia adquirido á la benevolencia del Rey senta sin dicha licencia en los pueblos de su distrito, dic­ formándose S. M. con el…</t>
  </si>
  <si>
    <t>…bos han sido encerrados en la prisión del condado, donde se tirá para F ran cia, donde hará únicamente una simple cuaren­ hallan bajo una fuerte custodia. Se temia se hicieran algunas tena de observación. Se cree que el almirante Roussin llegará tentativas para ponerlos en libertad; mas nada se ha empren­ á Marsella del 9 al 12 de este mes, y que después pasará á De B o u rg-M ad am e escriben á la Emancipación de Tclosa dido con e st e objeto. En el camino de N ew -p o rt á Monrnouth, Paris. con fecha del 12 del corriente…</t>
  </si>
  <si>
    <t>…r el Eufrates, y las do lo largo de esta parte del litoral s ir io , en donde los griegos tropas egipcias evacuar el interior de la Siria. Lord Ponsomby y los cruzados pudieron sostenerse por espacio de 200 años por­ y el barón Roussin tienen continuas conferencias, y están d i­ que eran los dueños de la isla de C h ip r e , que es la llave de la L a Cámara de los Diputados ha decidido hoy por u n a n i­ ciendo continuamente que al fin conseguirían mautener el statu Siria por la parte del Mediterráneo. m idad que se difi…</t>
  </si>
  <si>
    <t>…, ha podido dejar entrever el yor satisfacción al saber que solo sucumbieron ios primeros que placer que experimentaba sabiendo que iba á verse libre del temerariamente se presentaron al ataque. Y si el mal no ha sido almirante Roussin, con quien no v iv ia en bueoa armonía ; pero N O TICIAS E X T R A N G E R A S. mayor se debe á la prudencia de los magistrados y dél gefe de M r. de Pontois, al menos asi nos lo aseguran , ha debido cono­ la tropa , asi como al valor y buena índole del soldado. cer desde luego que lord Po…</t>
  </si>
  <si>
    <t>…zado otras diferentes averiguaciones políticas. {Id.) colta de Saint-Paul á Whitehall. de Siria. El doctor Fietcher ha sostenido la misma tesis: ha pre­ tendido que el derecho del pueblo era incontestable ; ha pro­ El almirante Roussin, embajador francés, ha cangeado puesto á título deenmienda á la mocion de Mr. Richardson, que hoy 1*s ratificaciones del tratado de comercio entre Francia y j D U C A D O D E B R U N SW IC K . se declare que el pueblo tiene derecho de armarse segu a todas las la Puerta. El estado sanitario d…</t>
  </si>
  <si>
    <t>…dentes en A le ja n d ría , para que hablen al jetos : en el segundo se presenta este baño bajo condiciones las D e la caja d e a h o r r o s , su c r e a c i ó n y objeto. bajá en los mismos términos que el enviado del almirante Roussin. mas favorables para recibir la impresión; y en el tercero se L a escuadra turca y egipcia reunidas contienen mas de 53 traslada en una im agen liiajú a y permanente el objeto de la Artículo 1.° La Caja de ahorros, creada en M adrid por bocas de fuego. Las escuadras francesa é inglesa , que…</t>
  </si>
  <si>
    <t>Roussiu</t>
  </si>
  <si>
    <t>…res eu los adelantos. d a , continúan en esta corte sin novedad en s u importante cíficas á consecuencia de las observaciones francas y leales del Las labores propias del sexo femenino finalizaron el examen, s a lu d . almirante Roussiu, cuyo talento no se desmentirá en esta oca­ presentándosenos esquisitos bordados en blanco y de colores , y sión para desbaratar las intrigas que amenazan por todas partes sin embargo que no somos peritos en esta materia, podemos PARTES RECIBIDOS EN LA SECRETARIA DE ESTADO al trono de los…</t>
  </si>
  <si>
    <t>Roux</t>
  </si>
  <si>
    <t>…e á él n o , por­ hasta la de la vida, y e n los alcaldes hasta la dé presidio du­ dia de la Ascensión, llevaron varios individuos una maleta á que estaba muy tranquilo. rante las actuales circunstancias. la habitación de la Sra. Roux, que habita en la misma casa; y M r, Renauldy quincallero , no conoce á ninguno de los 4«° Los efectos y caballerías aprehendidos, ó su valor, se que estando ausente dicha Roux cuando fueron por la maleta, acusados. repartirán por mitad para los aprehensores, sean en grande ó violentaron la pu…</t>
  </si>
  <si>
    <t>Roy</t>
  </si>
  <si>
    <t>…e Se anunció que el Sr. Sardá quedaba agregado á la 5.a sec­ las que aquel edificio ha estado colgado é ilum inado, han sido ningún género; pero S. S. cree que no pueden hacerse mejoras, ció n, el Sr. Garavantes á la 6.a y el Sr. Roy á la 7.a las demostraciones por cuyo medio se ha desahogado en parte la tnieutras no haya fondos ni recursos para ello é independientes Se dió cuenta de los siguientes uombramientos hechos por alegría del vecindario. En medio de estos regocijos no se ha de esto, mejoras que son m uy esenciales;…</t>
  </si>
  <si>
    <t>Royoj</t>
  </si>
  <si>
    <t>…Quedaron sobre la mesa dos dictámenes de la comisión de PRINCIPE. A las siete y media de la noche. Después de y ó á los electores? Pues después de esos documentos oficiales, A ctas, proponiendo en el primero la admisión del Sr. Royoj una brillante sinfonía se ejecutará la graciosa y acreditada co* después de esa operación tan p r o lija , ejecutada por la d ip u ta ­ Diputado electo por la provincia de Castellón ; y el segundo, media en un acto , titulada ción provincial , ¿cómo se dá crédito á una certificación ó in ­…</t>
  </si>
  <si>
    <t>Rozas, Fernando Perez</t>
  </si>
  <si>
    <t>Fernando Perez Rozas</t>
  </si>
  <si>
    <t>….. . . . . . . ,/V 10 6 ,2 9 6 .... 500............ Algeciras. La R. madre priora y comunidad de Sta. Catalina. 4** ^ Sr. ministro D. José Serapio Mojairieta. * . . . . . i 10 El presbítero D. Rafael Al varado 4** 2 Sr. fiscal D. Fernando Perez Rozas. ............. 10 La dirección general ha dispuesto que el sorteo que ha de Id. D. Manuel Retureta, teniente de cura de M a­ El Sr. ministro honorario D r Juan María Blanco de verificarse el dia 15 de Abril próximo, sea bajo el fondo de 44© druga 4 ** ® la Toja................…</t>
  </si>
  <si>
    <t>Rr, P-</t>
  </si>
  <si>
    <t>P- Rr</t>
  </si>
  <si>
    <t>…a vibración P R O V ID E N C IA S JU D I C I A L E S . tonico y G regoriano, adoptado por m ir a r a into-ic* Igíeda lateral causada por el viento fue experimentado en el muelle para el gobi erno de su c a l e n d a r i o , por D P- Rr» He! Rio. Un de Brighton f y el de la vibración vertical en el puente sus­ tomo en 4.0, edición de 1 7 9 0 , á 14 rs. en l u X i c a y 2 i en P O R el presente, y en virtud de providencia del Sr. intenden- pasta común. pendido de Broughton, cerca de Manchester, por el que pa­ JS~ . te de re…</t>
  </si>
  <si>
    <t>RR, SU</t>
  </si>
  <si>
    <t>SU RR</t>
  </si>
  <si>
    <t>…el Congreso que se supletorio creado al efecto y aplicable á la compra de bienes mandaria por escrito al Gobierno la interpelación. nación a les. Prestó juramento el Sr. Martin. Se resolvió pasara á la comisión de Actas El Sr. SU RR A dijo que se estaba votando una ley que te­ nia reLcion con los efectos que produjo la política de Carlos v BOLETIN DE COMERCIO. 1.° Un oficio de D. Gabriel Valbuena, Diputado electo y de Felipe it , en cuyos reinados fuimos á buscar á tierras ex­ BOLSA D E M A D R ID . por la provincia de…</t>
  </si>
  <si>
    <t>RRA, CA</t>
  </si>
  <si>
    <t>CA RRA</t>
  </si>
  <si>
    <t>…y Diputado hubie­ na ó mala existia. Puede decirse, sin que se crea que es exageración, que la ra cedido á cualquiera insinuación de su parte, pues no soy yo mayor parte de los pueblos están interesado.? en que se discuta El Sr. CA RRA M O LIN O : rTengo que decir en nombre de quien quiere provocar cuestiones que puedan embarazar la mar­ la comisión, como su secretario, que el Sr. Ministro de la Go­ fsta ley , porque en ella se fija su suerte, y desean que si algu­ cha del Gobierno. Mi ínteres está cifrado en que esta caus…</t>
  </si>
  <si>
    <t>RTINA, CO</t>
  </si>
  <si>
    <t>CO RTINA</t>
  </si>
  <si>
    <t>…ustifi­ cierra ; pero si se equivocan, ellos son los que deben responder, ruina de los pueblos. ca que solo el pueblo de Bilbao es el que ha tenido parte en esa dejando intacto el trono, y conservando el prestigio de los Él Sr. CO RTINA manifestó que en el dictámen se hacia exposición. Cuerpos colegisladores. Esto es lo que se hace en todos los p aí­ una reseña de todo cuanto acababa de decir el Sr. conde de las El Sr. U H AG O N , interrum piéndole: También lo ha he­ ses por los hombres públicos, porque al paso que están…</t>
  </si>
  <si>
    <t>Rttno, D.</t>
  </si>
  <si>
    <t>D. Rttno</t>
  </si>
  <si>
    <t>…ctor de la Gaceta de Augsburgo , de don­ (Sacado del viaje á Bélgica y Holanda que publicó en francés ram ente, y son diguos de la cousideraciou del supremo Go­ de copiamos e*ta noticia , observa que uiuguu efecto ha pro­ el Sr. D. Rttno» de la Sagra.) bierno. ducido eu la bol*a de Vieua , y que ¡a carta de Goustantino- El campo ha quedado regado de muertos y heridos, cuyo pta de donde éí la ha lomado no tieoe fecha, e* uo deber nues­ 2.° Comprenden las escuelas de 1.°: las escuelas de párvulos pobres y adultos; trabajo…</t>
  </si>
  <si>
    <t>Rubiano, Andrés</t>
  </si>
  <si>
    <t>Andrés Rubiano</t>
  </si>
  <si>
    <t>…necesitaban, no socorros tes p a ra un D iccion a rio p o lític o , dió á luz hace alguuos me­ siempre que el periódico salga á luz de una á siete veces en la momentáneos, sino otros que les pusieran en disposición de ser ses D. Andrés Rubiano. L a locución de este artícu lo , que he­ semana. Si el período de la publicación fuese de 15 d ia s, el de­ útiles al Estado; y que por lo mismo proponía que la solicitud mos leido con satisfacción, es pura y correcta: las ideas filosó­ pósito deberá reducirse á la mitad de dichas su…</t>
  </si>
  <si>
    <t>Rubio, Cayetano Juan</t>
  </si>
  <si>
    <t>Cayetano Juan Rubio</t>
  </si>
  <si>
    <t>…la administración de correos de esta corte, y do con las mismas circunstancias el subtenieute de infantería Habiéndose reunido esta corporación en junta general el dia la junta de beneficencia: y se invita a los señores curas D. Cayetano Juan Rubio. 12$ del corriente para nombrar los individuosque han de com­ párrocos de esta corte, para que se sirvan suministrar y Habiéndose ausentado de la plaza de Badajoz el dia 16 de poner su junta gubernativa en el año de I 84B, han resultado remitir á la imprenta Nacional , dentro de…</t>
  </si>
  <si>
    <t>Rubio, Felipe</t>
  </si>
  <si>
    <t>Felipe Rubio</t>
  </si>
  <si>
    <t>…s­ trado ya parte en él. cuadrón de su cuerpo y la compañía de cazadores del tercer que linda al Norte con la plaza pública; Poniente hace media­ batallón del de infantería de Borbon, y habiendo llegado á las nería con otra de D. Felipe Rubio; Mediodía con tierra de D on prim eras casas del pueblo á tiempo que los enemigos salían por José M artin de V illarragut, y Saliente con un solar titulado el lado opuesto en precipitada fu g a , continuó persiguiéndolos Dirección general de rentas estancadas. la casa del C u ra , la cu…</t>
  </si>
  <si>
    <t>…aza pública, ponien— nuestras facultades físicas é intelectuales. Al llegar á este punto, caro lector, estoy tentado de des­ tapermitir que un solo faccioso siente su osada é inmunda plan­ tetierra hace medianería con otra de D. Felipe Rubio; mediodía coa de D. José Martin de Villarragut, y saliente con un so­ pedirme de tí. Asi como asi, tú también debes estar cansado en aquel asilo de los libres. lar titulado la Casa del C u ra; la cual tiene de sitio 9457 pies Para proteger el sitio el cabecilla Forcadell tiene un bata…</t>
  </si>
  <si>
    <t>Rubio, Lucas Asentía</t>
  </si>
  <si>
    <t>Lucas Asentía Rubio</t>
  </si>
  <si>
    <t>….1 2 18.558.. 3 .. 2 Otra id ., fuente del Espino, término del mismo Huetor, Arecibo..................... ................... 1 7 .2 4 8 .. 4 ..2 0 177. . 0 . . 5l ___ ___ 2 0 2 ..0 .. 16; 1 7 ,6 2 7 ..5 .. 7 Sta. M dnica, por D. Lucas Asentía Rubio, en 12. Humacao...................................... 2 2,008.. 0... 15 2 4 0 ..5 ..2 5 ! .... 45. . 6 . . 1 5 2 4 7 .. 0 .. 10; 22,541.. 4 .. 29 Otra plomiza, aljibe de los Frailes, término de B erja, San Guavanilla.................................. 9 .6 5 1 ..7 .. 7 1 0 0 .. 6…</t>
  </si>
  <si>
    <t>Rufino</t>
  </si>
  <si>
    <t>…rz por no haber sido hallado in fragan ti , pues g il, Bacardi , Carrasco (D. Ju an ), Donoso, Montes de Oca, erfo no se había probado, á pesar de los documentos que se han H u e t, marques de C asa-lrujo, Galiano , Carrasco (D. Rufino), leído hoy sin objeto. Castro, Bravo M urillo, P idal, marques de Montevírgen, Sa­</t>
  </si>
  <si>
    <t>los cuatro ladrones, que era el numero de que se componía la partida , y de ellos mató tres, el titulado teniente Rufino T er­ sentes á la votación, quedaba de hecho reconocida por la Dieta. Esta últim a cláusula tenia por objeto obligar al alto Valés . nos que recuerdan los siglos x t i y x i t t Exaltado el pueblo de Zurich por sus pasiones religiosas , y triunfando en esta lucha cero , José L o m n ic h…</t>
  </si>
  <si>
    <t>Rufián, José</t>
  </si>
  <si>
    <t>José Rufián</t>
  </si>
  <si>
    <t>…oridades de aquella pro­ pérdida alguna por nuestra parte. el 19 o 20 á mis lardar al ministerio de mi cargo, expo­ vincia y reclamaciones que le han dirigido c o r p o r a c i o n e s y Que el capitán graduado de caballería D. José Rufián batió particulares sobre las últimas elecciones, y al m i n i s t e r i o de niendo su dictamen, oido con urgencia el de la contadu­ á un grupo de facciosos, á quienes aprehendió varios ganados Gracia y Justicia todos los partes remitidos por el juez de pri­ ría general de distribución,…</t>
  </si>
  <si>
    <t>RUI</t>
  </si>
  <si>
    <t>…ben ó prescribieren las vos memoriales, en el preciso y perentorio término de 50 dias, dida. leyes. á contar desde el de la fecha , expresando en ejlos las señas de Las necesidades de nuestras colonias y de nuestra navega­ El Sr. R U IZ D E L A R B O L dijo que si los ayuntami ;. ¿0s sus habitaciones, y acompañando las partidas de bautismo y ción serán el objeto de toda nuestra solicitud ; nos dedicare­ tienen parte en la formación del repartimiento individual vo­ horfandad. mos á conciliarias con los intereses de nuestra a…</t>
  </si>
  <si>
    <t>…o‘ tenga noticia el gefe político.” como en esta corte, ya sea en cantidad fija ó por aumento de al dictamen sobre atribuciones de los ay un tam ien tos, la una algún tanto por ciento ó de cualquiera otra m an era, siempre El Sr. R U IZ D E L A R B O L apoyó la enmienda fundán­ por el Sr. R uiz del Arbol, y ia otra por el Sr. Leal. dose en que creia que por ella podrían evitarse los perjuicios que la expresada proposición m a y o r, reducida á cantidad fija, Procedióndose á la renovación de las secciones, según to que pudie…</t>
  </si>
  <si>
    <t>Rui</t>
  </si>
  <si>
    <t>…'metropolitano de Sevilla, lítico', quien podrá suspender ó» a bu lar su ejecución. Cádiz , par. Za.rago.ia , I f d. Ha dicho el Sr. Arguelles que desde que se abolió la inqui­ Despees elle varías observaciones en contra del Sr. Rui* del Dcsicueiiito de tetras , i 6 por i 00 al ai®. sición, y par consiguiente cesó el tribuno!, de b fe , este es el A rbol, á que coatestó el Sr. Carra molino, como de la comisión, primer caso que .se presenta de tu* pirncediiiBÍento contra na y habiendo en sega id» i a» pu guiad o» tamiiíen e…</t>
  </si>
  <si>
    <t>…e ciertos principios, Lículo lo mismo que dice el Sr. Melgarejo , pues previene que en esta misma legislatura. cosa á que siempre se negó aquel ilustre eclesiástico, modelo los secretarios lo serán ios dos de menor edad. j El Sr. R U IZ D E L A V E Q A dice que habla con cierta ti­ inimitable de virtu d es, y sabiduría y fortaleza de án im o, que El Sr. duque de PC V A S manifiesta que eo cuanto á la p re- I midez ea esta cuestión' por no poder fijar de una manera d e ci-, no lé abandonó en el últim o trance de su v id a ,…</t>
  </si>
  <si>
    <t>Rui-Bamba</t>
  </si>
  <si>
    <t>…a orquesta de exponiendo las causas de su derrota ó vencimiento. La traduc­ íp era, distribuido en la forma siguiente: Podemos anunciar a publicagao do 2.° tomo do Quixote do ción es fiel y exacta, y para ella ha seguido el Sr. Rui-Bamba sécula xvtu queconlém as aventuras é trabalhos do heroe Mr. la que en 1764 hizo Juan Pablo Krauss. Prim era p a rte . LeG rand desde a sua sabida de P ariz, em varias cidades da Franca até ó sea embarque para o Ultramar ; é cheio de jocosos Historia de la vida de Marco Tulio Cicerón, escr…</t>
  </si>
  <si>
    <t>RUIZ</t>
  </si>
  <si>
    <t>…s que le impelieron á dar.un decreto que podia con­ Leido y puesto á discusión el art. 2.°, dijo so, y añadió que la comisión no tenia inconveniente eu adm i­ siderarse como de verdadera protección para la clase á que asi El Sr. RUIZ D E L A R B O L : Estoy dispuesto ¿ dar toda tir la adición que proponía S. S. el Sri “I ñigo corno él pertenecían. clase de auxilios al Gobierno para que atienda á las necesidades El Sr. A R T E T A se opuso al artículo nuevamente redacta­ Precedidas algunas rectificaciones de los Sres. Iñig…</t>
  </si>
  <si>
    <t>Ruiz</t>
  </si>
  <si>
    <t>…ida la guerra. pequeño como dice la comisión. deará victoriosamente en todos los ángulos de la Península el Por el art. 2 .° se dice la manera como se ha de h a c e r ; por El art. 1 .°, no habiéndose admitido la adición del Sr. Ruiz pendón co nstitucional, á c u y a sombra reunidos todos los p ar­ el 5.° se señala qué clase de tierras han de ser partióles. Esto del Arbol, se declarr cosa positiva y absoluta , y no^está ligado tidos, depondrán para abrazarse como hermanos las armas en­ supuesto, yo creo que el Congreso no…</t>
  </si>
  <si>
    <t>…zón ni de v o lu n t a d , sino á co­ como un medio de G obierno, de política y de pacificación ; y tu al , sino del que lo sea en lo sucesivo, y la de las pro vin cias acción en el modo con que se presentan las cosas. (E l Sr. Ruiz bajo de este punto de vista la esfera de esta cuestión es mucho m ism as. L a s provin cias am aestradas por una experiencia tan de la Vega dice que si) m as am plia que lo seria simplemente lim itada al convenio de a m a rg a , ¿ d e ja r á n de ser racionales? ¿ N o estarán bastante es­ P…</t>
  </si>
  <si>
    <t>…s de percibir de de conveniencia. Todas las otras consideraciones podrán produ­ orden público. las testamentarías de dichos eclesiásticos las halajas ó luctuosas cir efectos diversos, pero ninguna autoriza á infringir la El Sr. RUIZ D E L A V E G A ocupó la trib u n a , y leyó el que hasta ahora han percibido. fundamental del Estado, en que se encuentran consignadas las dictamen de la comisión acerca del proyecto presentado por el Se leyó en seguida, y el Senado lo encontró conforme con garantías nacionales que tanto nos…</t>
  </si>
  <si>
    <t>Ruiz, Antonio</t>
  </si>
  <si>
    <t>Antonio Ruiz</t>
  </si>
  <si>
    <t>…presentantes de estos, concordato con la Santa Sede de 1 7 5 5 . SOCIEDAD ECONÓMICA M A T R IT E N S E . como asimismo á D. Manuel de A rg u m o sa, administrador ge­ neral que fue también de rentas de la propia ciudad ; á Don Antonio Ruiz , D . J u a n Gómez de Ortega y D . A ntonio de la B IB L IO G R A F IA . Inven to d e un nuevo Instrumento geodésico llam ad o cuadru­ Rosa ; y en caso de-haber fallecido á sus hijos y herederos, para plicador del arco. que en el término de 2 0 dias acudan por medio de procurador…</t>
  </si>
  <si>
    <t>Ruiz, Manuel CasteI</t>
  </si>
  <si>
    <t>Manuel CasteI Ruiz</t>
  </si>
  <si>
    <t>…ue se prive a las facciones de la ad­ de 1839.=Carram olino.=Sr, gefe político de.... Art. 3.° Las rentas del instituto se compondrán i quisición de los expresados artículos, que en el estado ac­ L° Dé los bienes legados por D. Manuel CasteI Ruiz. tual de guerra civil, y usos á que se aplican, deben ser 2.° Del producto de matriculas y pruebas de curso considerados como contrabando de guerra, pero que sin que han de pagar los alumnos con arreglo á la Real or­ embargo se mantenga su libre tráfico en beneficio del co­ Cuar…</t>
  </si>
  <si>
    <t>Ruiz, Regino</t>
  </si>
  <si>
    <t>Regino Ruiz</t>
  </si>
  <si>
    <t>…, i y § por 100: 2 1 | á 60 d. f. ó vol. antiguos con chos serán con la mayor economía, y sus actuaciones cuyos dere­ Saenz de Tejada: F ig u eras,D . Giliberto Bastan: Granada, cupones. ° las mas D. Manuel Sanz: Guadalajara, D. Regino Ruiz: Gerona, Ba- prontas y eficaces. lau rt: G ibraltar, R. L. Ilepper : Habana , D. José Roix: Jaén, Inscripciones en el gran libro á 4 por 100, 00. 2.° Desempeñará cualquiera oegocio de bolsa o' de giro ex­ Cereceda: Jerez, D. José Bueno: León, Paramio y Miñón: Títulos al portador del 4…</t>
  </si>
  <si>
    <t>Rulhieres</t>
  </si>
  <si>
    <t>…s familias protegidas por astucia, ó porque estaba todavía indeciso, me volvió á es­ ¡ por el campamento de Fóndouck. (Aqui el sello de A bd-el-Kader.) cribir de modo que no me hacia sospechar un rompimiento El teniente general Rulhieres, que ha ido por mi orden á | Al honorable Mah rao u d-be u-Z on ad i. r:L a gra cia, la caise- como inminente. Pero hacia ya mucho que A b d - e l -K a d e r es­ Bouffarick , ha formado una columna votante compuesta de /jMO I ricordia y la bendición de Dios sean contigo! taba resuelto á…</t>
  </si>
  <si>
    <t>…ligado á ceder? chas veces tiene esta que retroceder. suscitaría la cuestión de saber si habian obrado bien en acre­ Este sentimiento de encono en el pueblo francés, existe y a A q u i tenemos al 41 de.línea. A y e r el general Rulhieres v i ­ centar tan en breve la circulación: por lo que á nosotros res­ de un modo m uy visible. Manifiéstase claramente en el len­ no de Bouffarick al frente del 2.° y 17 de ligeros. No hemos pecta , creemos que esto seria un verdadero servicio el que h a­ guaje d é l a prensa periódica de P…</t>
  </si>
  <si>
    <t>Rurriel</t>
  </si>
  <si>
    <t>…Habla el Sr. Rurriel de Aragón , en donde en otros tiempos peticiones por escrito á las Cortes y al Rey como determinen disponer una ley de Hacienda. Notó ademas que abrazando dos hubo muchas libertades municipales; pero el Sr. Rurriel sabe I las leves. ¿ Y cuál es el objeto con que la Constitución ha pues­ operaciones esta atribución, no se expresaba mas que una , á sa­ que esta ley no es solo para Aragón, sino para toda la m nuar- to este artículo? A mi entender es porque tanto las Cortes co­ ber , la de repartim iento…</t>
  </si>
  <si>
    <t>Rusca, Cárlos</t>
  </si>
  <si>
    <t>Cárlos Rusca</t>
  </si>
  <si>
    <t>…taban de regreso er Dióse principio al acto el primer dia por la clase de escri­ race dispuesta,á mantener el orden con grande energía, y en­ las Tullerías. El Rey , la Reina, Madamas la princesa Adelai­ tura , á cargo del Br. D. Cárlos Rusca, y los niños que la cuentra un constante apoyo en las disposiciones personales de da , la princesa Cleinentina y Mr. el duque Alejandro de Wur- componen escribieron á presencia de los concurrentes con toda presidente de la Cámara Mr. Raiken. Debiéndose perrnitide temberg recibieron ál…</t>
  </si>
  <si>
    <t>Rusia</t>
  </si>
  <si>
    <t>…a única del Despacho de la Guerra. T o rn eo d e E glington. que puede proteger mis intereses; y de ello debiera haberme persuadido antes. Escriben del castillo de Eglington al M o r n in g -I I e r a ld . El cónsul general de Rusia ha pasado la noche anterior á El conde de E glingto n, dueño de e&gt;t.e castillo y patrón de la salida de|¡ v a p o r , leyendo su correspondencia; ha retardado los caballeros que deben figurar en el torneo, ha llegado el sábado PARTE NO OFICIAL. la salida del paquebote otomano , que debia hab…</t>
  </si>
  <si>
    <t>…casa matriz de la congregación de Ejército de operaciones del Centro.. =Secretaría de campa­ bre universidad, donde les aguardaba Mr. de Benghausen, cón­ ña = Excmo. Sr.: El general D. Joaquín A yerve, comandante sul general de Rusia, que salió el dia anterior para preparar la Madre de Dios, calle de Piepus, núm. 23. La ceremonia general de las tropas que operan en Aragón , con fecha 2 del los alojamientos de los Príncipes y de su comitiva. A las once será presidida por el obispo de Nancy. actual desde Plou me dice lo sigu…</t>
  </si>
  <si>
    <t>…ierra con el prín­ Señora : El ayuntamiento constitucional de Elche de la Sier­ cipe de W urtem berg, el cual subió en el coche del conde de ra , provincia de Albacete, que eleva hoy sus respetuosos vo­ Medem , cónsul general de Rusia , que salió á buscarle. Pesá­ tos al trono legítimo de vuestra inocente H ija , y cuya regen­ bame en el alma no poder contemplar á mis anchuras el espec­ Idem 19. cia desempeña Y. M. tan dignamente , se poseyó de un inex­ táculo que se desarrollaba ante mis ojos; pero era preciso em­ plicable…</t>
  </si>
  <si>
    <t>…parada la habitación del P rín c ip e, no por de la invasión de la provincia de la N uev a Brunsw ick por una esterlinas destinadas á hacer frente á los sueldos y sostenimien­ su. ayudantes de campo, sino por el cónsul general de Rusia fuerza armada del Estado del M aine. to de los establecimientos de artille ría, tanto dentro como f u e ­ M ». Bcnkausen. Todavía no ha llegado á Lóndres ninguno de ra del pais. Después de algunas observaciones de M r. H um e, los que componen la comitiva de S A. I., á quien no se espera quedó…</t>
  </si>
  <si>
    <t>…rquía coutra el Egipto, se­ declaración se hizo saber á Mehemet Alí por conducto del cón­ rante su viaje la diplomacia europea se acostumbraba poco £ ria atacar á la Rusia , y encender uua guerra europea» Acaso en sul general de Rusia, y comunicada, según creemos, por los mirar esta voluntad que era preciso aceptar. esto anduvo prudente; pero es indudable que esta prudencia Ministros rusos á los Gabinetes de Paris, de Londres y de Vie- Volvió en el mes de Febrero de este año. La Europa no aco­ ha sido funesta para T urquí…</t>
  </si>
  <si>
    <t>…optadas. D os de las cinco ambos sexos interesados ea la educación. grandes casas que forman la fonda M ivart han sido alquiladas Reunidas á la hora designada por la directora las 58 alum­ por Mr. de Beukhausen, cónsul general de Rusia , para S. A. I. L a Cám ara de Diputados se ha ocupado hoy del exámen de nos de que según el estado adjunto se compoae dicho instituto, y su com itiva, desde ei i5 del corriente al 15 de Ju n io próxi­ los poderes. dióse principio á los exámenes por el de la clase de escritura al mo. Sabemos q…</t>
  </si>
  <si>
    <t>RUSIA</t>
  </si>
  <si>
    <t>…todos los documentos que para la calificación de los D. Ignacio Perez de Soto, Exctno. Sr. conde de Sástago, Don méritos sé juzgue conveniente que se tengan presentes, Mariano A stiz, D. Angel Polo, D. Juan Escorial y G il, Don RUSIA E ING LATERRA . obrarán en las capitanías generales de las provincias en José López y D . Andrés Fernandez, quienes por unanimidad tiempo oportuno para que no se retarde la formación de declararon haber lugar á la formación de causa, y el Sr. pre­ Bajo de este título publica hoy la Gaceta de…</t>
  </si>
  <si>
    <t>Rusio, Domingo</t>
  </si>
  <si>
    <t>Domingo Rusio</t>
  </si>
  <si>
    <t>…uientes, de cuyo cumplimiento deberá V. S. dar que han solicitado de Vera, que lo es de Pontevedra , la permuta do sus relaciones políticas con la España, suspendidas cuenta á este ministerio, acompañando nota de los facul­ á D. Domingo Rusio, de sus respectivos destinos, como también Juez de Arnedo, yá D. Domingo San­ hasta ahora, reconociendo el Gobierno de nuestra legíti­ tativos responsables que en la preinserta Real orden se in­ to Domingo, que lo es de Bribiesca , que han hecho igual so­ ma Reina la Señora Doña Isa…</t>
  </si>
  <si>
    <t>Róese</t>
  </si>
  <si>
    <t>…rogados por la autoridad. El objeto del Gabinete en flexionasen bien esto: el pueblo es bueno que esté armado y dis­ toda prisa á su auxilio, ha partido muy tarde. La diplomacia esta circunstancia es poner su acusación al coronel Róese, D i ­ puesto á entrar en campaña en defensa de sus libertades. La casi ha renunciado á la esperanza de conservar la paz , y se putado á quien se le considera como dimisionario por haber in ­ Reina Yictoria no tiene que hacer mas que renovar esta Real espera de un dia á otro del cuartel genera…</t>
  </si>
  <si>
    <t>Róguet</t>
  </si>
  <si>
    <t>…cibir de su agenté en él sistema con respecto á las pensiones; sin em bargo, ha adm itido C airo , el bajá de Egipto manifestaba intenciones dé poner Calais 9 de Jun io á las diez y inedia. 1 la enmienda propuesta por el general Róguet, la cual se d irig e obstáculos en las comunicaciones abiertas en el Egipto para Londres 8 de Jún io á las siete de la tarde. a aplazar la cuestión relativa á las pensiones hasta una época nuestras colonias orientales. Hace algún tiempo qüe se muestra El encargado de negocios de Francia al…</t>
  </si>
  <si>
    <t>Rúsiá</t>
  </si>
  <si>
    <t>…ce­ Cartas de la frontera de Turquía anuncian . pósitivatiiénte; se podia entender respecto de los que han permanecido fieles á der cpn mas franqueza, porque se empieza por decir que se que el conde de M edem , cónsul general de Rúsiá ¿ había de- i la causa de la Reiaa. Peshecha esta equivocación, voy á ¡eptr&amp;r confirman los fueros , partiendo de una base fija y conocida, clarado á M eheraet-A lí, que si Ibrahim se raókriá btéeia1,adé - 1 en la cuestión. de.da que puede partirse luego para la reforma conveniente. Jante enco…</t>
  </si>
  <si>
    <t>Rüíz, Domingo</t>
  </si>
  <si>
    <t>Domingo Rüíz</t>
  </si>
  <si>
    <t>…s escuelas públicas de ins.truc- ‘ En ídem común. . . 1. 1. . . . . . v i . . . . .* 16 i ro' ¡1485.) ■ " ’ 1'-" -y:r,: ' J'-' v &lt;iiV- 1 cio». pfitnari^ séHsujetéh á lb^píéyéoidó én el Reglamento Rea1.&lt;decreto admitiárrdole á D. Domingo Rüíz dé lérYé'gW la l Asimismo álguaos ejetíapiares con .la de^ litigantes, ' eú tafi^ aprobado poi* S.'M ; (Id.) ^ lete yIpasta fipa. - XiV.^r-'í &gt; ?x^ nr&gt; ■ .. dimisión del .cargo de Secretario de Estadh* y del Despachó ÍL-t-' modificando los déréchós imptléstos sobre él gánado á su de…</t>
  </si>
  <si>
    <t>S, Arrazola. S.</t>
  </si>
  <si>
    <t>Arrazola. S. S</t>
  </si>
  <si>
    <t>…el dia 2 del actual. suyo, (pie pocos, muy pocos, son capaces de salir airosos tío haber dado su voto para esta institución, yo le diréá S. S. que El Congreso concedió licencia al Sr. Carbonell por cuatro ella, como salió el Sr. Arrazola. S. S. solo se ciñó á los h e ­ aqui no sé lo que sucederá , poique en España los resultados no meses. chos, que por cierto en esta ocasión son mas elocuentes suelea ser conformes á los principios; pero como quiera que sea, Se lejó j mandó imprimir el dictamen de la comisión sobre que tod…</t>
  </si>
  <si>
    <t>S, Arteta. S.</t>
  </si>
  <si>
    <t>Arteta. S. S</t>
  </si>
  <si>
    <t>…os semblantes de la numerosa concurrencia que asistió á los deshacer una equivocación). Esto me obliga á anticipar la festejos indicados, y por consiguiente me concretaré solo á PR IN C IPE. Hoy no hay función. respuesta al Sr. Arteta. S. S. ha dicho que esto que llamamos manifestarle que estos leales habitantes han dado una prueba -enmienda o adición, r.i es lo uno ni lo otro; que es proyecto nada aquívoca de su verdadera adhesión al trono legítimo de de ley , y que no se observa como se debe el reglamento. E s­ nuestra…</t>
  </si>
  <si>
    <t>S, Diputado. S.</t>
  </si>
  <si>
    <t>Diputado. S. S</t>
  </si>
  <si>
    <t>…o D efensor del mas conocimientos que y o , que á la sazón me hallaba ausente no constando al Congreso cuál sea la verdadera causa de la pri­ pueblo ' de C ád iz, esperando la desempeñen con acierto, y guiados del sión del Sr. Diputado. S. S. prosiguió la narración dei Jo ocurrido en Cádiz con mismo deseo que me ha impulsado á tomar la palabra cual es las elecciones el 2 4 de Setiembre ,: en que un grupo de amoti­ Que el art. fifi de la Constitución no se habia puesto en nados después de rotas las urnas electorales por…</t>
  </si>
  <si>
    <t>S, Estado. S.</t>
  </si>
  <si>
    <t>Estado. S. S</t>
  </si>
  <si>
    <t>…al Ministro pleó sus buenos oficios una Potencia amiga. En fin, señores, mentira es menester no decir mas que la verdad. de la Guerra , diciendo que lo dirigía al corazón, y esto lo ha Tengo que hacer un cargo al Sr. Ministro de Estado. S. S. hecho llegar hasta el mió. El cargo es la órdeo respectiva á los yesteel punto Gobierno se resolvió tan felizmente como todo el mundo sabe, no lo cita aqui como un hecho digno de elogio nos ha dicho, no sé si ay er, porque S. S. ha parecido tan po­ generales Córdoba y Narvaez y algún…</t>
  </si>
  <si>
    <t>S, Estado. V.</t>
  </si>
  <si>
    <t>Estado. V. S</t>
  </si>
  <si>
    <t>…tim o, mandando la pueda organizarse y m archar para su destino con la cele­ ción general de contabilidad. De Real orden lo digo á colocación de todas las oficinas en edificios del Estado; y ridad que reclama el bien general del Estado. V. S. para los efectos consiguientes. Dios guarde á V. S. queriendo S¿ M. que se lleven á efecto con la mayor bre­ De Real orden lo digo á V. E. para su cúmplimiento, muchos años. Madrid l.° de Marzo de 1839.=Iiom panera vedad las económicas disposiciones del citado decreto, se y que dispon…</t>
  </si>
  <si>
    <t>S, González. S.</t>
  </si>
  <si>
    <t>González. S. S</t>
  </si>
  <si>
    <t>…culpa del Gobierno. cienda presentarse atenciones indispensables , quiero satisfacer á á contestar al Sr. Ochoa. Pues q u é , los empleados, y menos aun el Gobierno, apurado dos especies contenidas en el discurso de ayer del Sr. González. S. S. ha dirigido con tal mesura su discurso, que yo no se­ por mil u rgen cias, ¿te n d r á n Ínteres en no cobrar las contri­ Dijo S. S. hablando de hacienda , que habiendo una deuda ria justo si no contestase lo mismo. Empezó S. S. manifestando buciones? ¿ Qué ganan ellos? ¿Qué adelan…</t>
  </si>
  <si>
    <t>S, IC IA LE</t>
  </si>
  <si>
    <t>IC IA LE S</t>
  </si>
  <si>
    <t>trabajo necesario para adquirirla'; aféelo ó ías antiguas tra­ El descubrí asiento de Mr. Daguerre es sin duda de la ma­ PRO VIDEN CIAS JU D IC IA LE S. diciones de Escocia su patria; entusiasta del heroísmo con yor utilidad para las artes. q u e sus paisanos se habían consagrado á la causa perdida No es meaos pieeioso el Daguerrotipo considerado bajo el E n virtud de providencia de la sala segunda de la a u - de los Esiuardos; atento…</t>
  </si>
  <si>
    <t>S, ICIA LE</t>
  </si>
  <si>
    <t>ICIA LE S</t>
  </si>
  <si>
    <t>…a de su b o c a , y recogí por escrito todas las sumas, S a n t a n d e r , par di n. todos los c á l c u l o s , que sin esta precaución ha br í a podido ol­ Al i c a nt e, ! á £ d. S a n t i a g o , 1|- á 2 d. PROVIDENCIAS JU D ICIA LE S. v i da r . I Barcel ona, á ps. f s . , par di n. S e v i l l a , f á £ id. l i e a d q u i r id o en este v i a j e la convicción í nt i ma de que no j B i l b a o , ! papel d. V a l e n c i a , par. J u z g a d o d e A m o r tiz a ció n . solamente el estado próspero de las colonias es…</t>
  </si>
  <si>
    <t>S, IPUTADO</t>
  </si>
  <si>
    <t>IPUTADO S</t>
  </si>
  <si>
    <t>…no han respetado nunca mugeres débiles y ancianos venerables, sobre el esposo, la rau- ni de hecho ni de derecho las vidas de nuestros prisioneros. ger y el hijo que tienen la desgracia de tener en la facción á su CONGRESO DE D IPUTADO S. ¿ L a s han respetado, por ejemplo, después del convenio? Las h ijo , esposo ó padre? Esto no puede tolerarse por un Gobier­ han respetado por de pronto, pero matándolos después d unos de P R E SID E N C IA D E L SEÑOR IS T U R IZ . no que sea reconocido por sabio y por justo; por un G…</t>
  </si>
  <si>
    <t>S, López. S.</t>
  </si>
  <si>
    <t>López. S. S</t>
  </si>
  <si>
    <t>…a d r e también c é le b re de la i gle si a ; queda* se sin El Sr. Ministro de G R A C IA Y J U S T I C I A : Tendré él ho­ ninguno ? en una tan embrollada como la nuestra, en que siempre es ne­ nor de contestar primero ál Sr. López. S. S. ha asegurado cesario dejar alguna cosa al arbitrio de los juéces, porque no Por consecuencia no se ha violado la ley en dejar á la pru que h ay ministerio en qüe están pagados al corriente , y aun pudieudo ninguna legislación comprender todos los casos, me­ dencia de los jueces el fi…</t>
  </si>
  <si>
    <t>…Y REGLAMENTOS DEL GOBIERNO vencer las dificultades de este arte, las cuales se pueden supe­ no tienen. Una de esas cosas es ciertamente la interpela­ rar siguiendo sus reglas, sus verdaderos principios , y poniendo ción del Sr. López. S. S. mismo si reflexiona, conocerá Y DE LAS DIRECCIONES Y AUTORIDADES SUPERIORES. de su parte alguna aplicación y constancia. Si el discípulo tu­ cuan inoportuna, cuan inesperada, cuan indi sentible, per- viere una gran disposición natural, conseguirá con pocas lec­ m lia se nos esta expre…</t>
  </si>
  <si>
    <t>…decir al M in in o , ®l para que vea que mi juicio no es tan aislado , yo me referiré á mis expresiones. No me he propuesto hacer ningún cargo á Congreso y á la nación que aqui se quiereo confundir dos cues­ al civismo del Sr. López. S. S. ni argúirle de inconsecuente. He reconocido yo que el tiones, graves ambas en cierto sentido. Hablando de esos antecedentes, acusado el Gobierno por hombre debe ser examinado en tas circunstancias en que habla, Uua t s , señores , la posición del ministerio respecto a lo pa-</t>
  </si>
  <si>
    <t>S, Ministro de Estado. S.</t>
  </si>
  <si>
    <t>Ministro de Estado. S. S</t>
  </si>
  <si>
    <t>…ho un cargo al Ministro pleó sus buenos oficios una Potencia amiga. En fin, señores, mentira es menester no decir mas que la verdad. de la Guerra , diciendo que lo dirigía al corazón, y esto lo ha Tengo que hacer un cargo al Sr. Ministro de Estado. S. S. hecho llegar hasta el mió. El cargo es la órdeo respectiva á los yesteel punto Gobierno se resolvió tan felizmente como todo el mundo sabe, no lo cita aqui como un hecho digno de elogio nos ha dicho, no sé si ay er, porque S. S. ha parecido tan po­ generales Córdoba y Nar…</t>
  </si>
  <si>
    <t>Sa, José</t>
  </si>
  <si>
    <t>José Sa</t>
  </si>
  <si>
    <t>…ado de primera instancia de Yelez M álaga, de ascenso, en también en los de todos los que anima sangre española, no veo También dice que hay entre ellos un gr3n descontento por la provincia de Málaga , vacante por renuncia de D. José Sa­ mas que generosidad, piedad y unión Ca los inmortales decre­ los asuntos de N avarra, aunque sus gefes trabajan cuanto pue­ lamanca, á D. .José Galvez Cañero, que sirve el de Antequera: tos con que V. M. procura afianzar una paz sólida , duradera den para persuadirles que no hay tal cosa.…</t>
  </si>
  <si>
    <t>Sa, Laureano</t>
  </si>
  <si>
    <t>Laureano Sa</t>
  </si>
  <si>
    <t>…n hacer PR U SIA . tan si no se podrían explotar con ventajas estas tendencias. Se presente vuestras virtudes y servicios al digno capitán general sabe que en virtud del tratado concluido con la asociación ale­ de este reino D. Laureano Sa» z, vuestro compañero de armas, Berlín 9 de Noviembre . mana , los vinos franceses importados de los almacenes de Ho­ M artin José Iriarte. (B, O.) landa y por buques holandeses, no pagan mas derechos que los Nuestro Gobierno acaba de dar una nueva prueba de su importadosla Union, ea…</t>
  </si>
  <si>
    <t>Sa-, Esteban</t>
  </si>
  <si>
    <t>Esteban Sa-</t>
  </si>
  <si>
    <t>…y tocar los progresos que eu tan corto tiempo han he­ sados. Málaga 2 de Julio de 1859. = Insértese en el Boletín para cho los 172 niños que hoy reciben su instrucción en é l, cuya La de francés, que tiene 11 niños á cargo de D. Esteban Sa- conocimiento del público y del comercio = Requena. mayor parte solo cuenta de apreadizaje el cortísimo espacio de bourin, leyeron con bastante regularidad, y tradujeron bien ( La Crónica. ) seis meses que hace entraron aíli. Y si bien es cierto que el an­ algunos párrafos del Telérsaco…</t>
  </si>
  <si>
    <t>Saach</t>
  </si>
  <si>
    <t>…e p ito, tanta importancia á esta cuestión ? ¿ Por qué no conce­ que podrían acu dir á las diputaciones pro vin cia les, y decirles los beneficios que de la misma puedan d i s f r u t a r ; y desde lue­ der los fueros, que el Sr. Saach o dijo que habiau partido de la las razones que les asistían para sostener tal ó cual f u e r o , a u n ­ g o encuentro que hubiera sido mas conciliatorio , y hubiera ig norancia; pero que si es asi, y o digo que deseo la ignorancia, que pareciese contrario á la Constitución. Con el pensamient…</t>
  </si>
  <si>
    <t>Saajo</t>
  </si>
  <si>
    <t>…imule el Senado esta tardanza. mas puro , y este homenaje de la mas decidida lealtad á nues­ Se acordó pasasen á la comisión de Actas los documentos tra augusta é inocente Reina. que acerca de su aptitud legal presentaba el Sr. Saajo sa, Sena­ El ayun tam ien to constitucional de la fidelísima v illa de Dios guarde la im portante vida de V . M . por infinitos años dor electo por la provincia de M u rcia.</t>
  </si>
  <si>
    <t>Saave, José</t>
  </si>
  <si>
    <t>José Saave</t>
  </si>
  <si>
    <t>…que le manifiesta , refiriéndose á una comunica­ e« el áncora del Gobierno representativo, es la libertad misma. de la G uerra, insertando otro del Sr. Secretario de Estado, ma­ ción que ha recibido del comandante de batallón D. José Saave­ H ay algunos que creen que de los dos casos que se compren­ nifestando que S. M. la Reina Gobernadora accediendo á la ins­ dra y Tenorio, que el general Narvaez le habia dirigido una den en el art. ¿fi no h ay mas que un o , el c u a le s , que el Sena­ tancia del Sr. conde de A lm o d o…</t>
  </si>
  <si>
    <t>Saavedra</t>
  </si>
  <si>
    <t>…ización d a­ existido. ventajas de que se observase lo vigente que no de inventar co­ ta en España desde 1784? y etl 1798 por su dignísim o M in is­ Pasó á hacer ver que no estaba conforme con el art. 15 y sas nuevas. tro el Sr. Saavedra se ha establecido esta caja con mas indepen­ o tro s, concluyendo con manifestar que se reservaba im pugnar­ ? Después de in d icar que el momento oportu no de ocu par se d en cia, con mas cotíócVmieñtOs’ y con tnas conveniencia que los cuando llegase su discusión. de este asunto era la d…</t>
  </si>
  <si>
    <t>…l ardimiento de cuencia este tribunal ño podrá menos de declarar su opinión todas las tropas de su columna , lo hace muy particularmente acerca de esta especie de negativa á los impuesto?* Sí se reci­ del intrépido comandante Saavedra, los capitanes V argas, D on ben los documentos sin haber incurrido los abogados en la Tomas Fernandez, el graduado ayudante interino D . Félix ACTAS DEL GOBIERNO. Cordero, el teniente D . José María B lanco, todos del escua­ multa , es claro que el tribunal sanciona indirectamente la i…</t>
  </si>
  <si>
    <t>Saavedra, Doña María de la Candelaria</t>
  </si>
  <si>
    <t>Doña María de la Candelaria Saavedra</t>
  </si>
  <si>
    <t>…acer la de­ D. Tiburcio García Gallardo............................................... 100 En los periódicos se anunciará al público el dia preciso en claración de si la Constitución ha de regir en aq • el pais; pues Excma. Sra. Doña María de la Candelaria Saavedra &lt;que se abren aquellas cátedras que no puedan principiar el que ¿no ha regido desde su publicacioo en toda la monarquía? de Arana................................................................................... 160 dia 15 por ocupaciones de los profesores. Si…</t>
  </si>
  <si>
    <t>Saavedra, Leona</t>
  </si>
  <si>
    <t>Leona Saavedra</t>
  </si>
  <si>
    <t>…Andrómaca de Hacine no ofrece analogía ni seme­ bel n y las libertades de la n a c ió n , h a cabido en suerte con el l e porte. janza con Doña Leonor de Guzman; la respuesta de la prime­ primer extracto de la de este dia á Doña Leona Saavedra , h ija ra á Pirro de D. A ntonio, sargeuto segundo de la M ilicia nacional ae II m ourra d o n e ; il n’a p o u r sa d e f e h s e , Santa Cruz de M ú d e la , muerto en el campo del honor. Que les p leu rs d e sa m e r e et sa innocence• O R O N T U A R I O ju r í d i c o , ó com…</t>
  </si>
  <si>
    <t>Saavedra, Luis</t>
  </si>
  <si>
    <t>Luis Saavedra</t>
  </si>
  <si>
    <t>…el, acom­ El mismo con fecha i.° del actual da parte de que el co­ pañado por el Diputado suplente de Valencia D. Felipe Calza, DE LA EPOPEYA. mandante de la columna de operaciones de Alava, D. Tornas de y el teniente coronel D. Luis Saavedra lo hacia igualmente con ¿Es este género tan contrario al espíritu y al gusto N alda, con noticias que tuvo el 24 del anterior de que el ca­ dos mitades del escuadrón de su mando , y el oficial de estado del siglo actual como afectan creer algunos? Tal es la becilla Lesmes iba á pernoct…</t>
  </si>
  <si>
    <t>Saavedra, Miguel</t>
  </si>
  <si>
    <t>Miguel Saavedra</t>
  </si>
  <si>
    <t>…en cargos de Navarra, de dos muertos y 20 heridos, contándose entre los primeros e! abertura del aseadísimo cuartel de inválidos de esta ciudad, ve­ y que á la letra dice lo siguiente: malogrado capitán adicto al estado mayor D. Miguel Saavedra rificada en la mañana de ayer en celebración del cumpleaños de Excmo. S r.: Reunidos en dos dias sobre Belascoain todos El citado general recomienda el bizarro comportamiento de S. M. la Reina Gobernadora. Una brillante compañía del nacio­ las elementos que las circunstancias me per…</t>
  </si>
  <si>
    <t>Sab</t>
  </si>
  <si>
    <t>…Edessa, procurador especial del Erno. y Riño. Cárlos Odescalchi, firm e, y que el cardeual Cárlos quede absuelto en virtud de la do con distinción la cantidad que cada uuo haya entregado en cardenal del sacro colegio, obispo de Sab in a, con objeto de ha­ metálico y en papel. potestad apostólica, del vinculo de cualquier juramento al cual cer dimisión de la dignidad cardenalicia y obispado de Sabina, se halle obligado , ya por la dignidad cardenalicia , ya por el A rt. 85. S. M. encarga m uy particularmente á los intende…</t>
  </si>
  <si>
    <t>Sabater</t>
  </si>
  <si>
    <t>…este ría, señores, hasta que éramos injustos, si la musa tierna y armo- continuamente, y el daño que í is rocas del fondo podrían cau­ medio se conseguía asegurar al pueblo el goce de la carta. En niosa, grande y heroica del Sr. Sabater no resonase en el L i­ sar en los cables. Sobre las dichas rocas del fondo hay seis, seguida se separó la asamblea. (Id.) ceo valenciano, no se hiciese oir en este recinto de comunión ocho y nueve brazos de agua, y continuamente se estau po­ literaria y artística; y al dar nosotros cuenta de…</t>
  </si>
  <si>
    <t>A tado con mil cadenas dro el C ru e l; y le manifiesta, contestandoá la acusación de bas­ ; Aqui conocemos que el Sr. Sabater ha sorprendido los mas Tuve al pueblo á mi ra z ó n , tardo que ie había d irigid o, que su sangre es pura y que la su­ secretos pliegues del corazón de D. P ed ro ; que su genio ha a r­ Y cual ningún infauzon ya se ha ennegrecido: D . Pedro le replica indignado: rebatado sus afectos, que…</t>
  </si>
  <si>
    <t>…ad y L a eotrega correspondiente al domiogo 2 de J u n io contie­ de violencia que deshonraba la nobleza y pundonor castellano. En la extracción celebrada en este d ia h a n salido a g r a ­ ne los artículos siguien tes: El Sr. Sabater no solo ha pintado pasiones y sentimientos na­ ciados los números sig u ie n te s: El Califa y el J a r d in e r o , anécdota. cionales; ha sabido realzar su efecto, porque ha ligado á ellas El Secreto, conclusión. un vasto Ínteres filosófico y político; ha comprendido la ten­ Atenas , via…</t>
  </si>
  <si>
    <t>Sabater, D. Pedro</t>
  </si>
  <si>
    <t>D. Pedro Sabater</t>
  </si>
  <si>
    <t>…dieran mantenerse Un platero llamado Young leyó un discurso, porque siendo nado el drama heroico de D. Enrique el Caballero, primera alli los buques. las circunstancias demasiado graves no le permitían improvi­ producción del Sr. D. Pedro Sabater: nosotros hemos asistido ” A mi entender el medio mas seguro es cerrar los inter­ sar. Otro orador declaró que si los medies constitucionales no i su representación, hemos gozado en sus aplausos, y hemos valos, cosa fácil de hacer , con lo que podrán albergarse en el alcanzaban á a…</t>
  </si>
  <si>
    <t>Sabe, Mendizabal.</t>
  </si>
  <si>
    <t>Mendizabal. Sabe</t>
  </si>
  <si>
    <t>…S . tos que defendían la independencia del p ais; la resolución de He tomado la p ala b ra, principalmente por la especie de las Cortes de Cádiz en el año de i 811 permitiendo la enagena- interpelación que me ha dirigido el Sr. Mendizabal. Sabe m uy P o r providencia del Sr. M axim ino S i mon , alcalde constitu­ cion de los propios, é invirtiendo su producto en cubrir las bien S. S. lo que dije en la com isión, como Ministro de H a ­ cional de la villa de Torrejon de A rd o z , refrendada por atenciones públicas; las po…</t>
  </si>
  <si>
    <t>Sabina</t>
  </si>
  <si>
    <t>…s, cardenal c ie , correspondiente á cada uno; del precio señalado á la u n i­ señor Ignacio C adolini, arzobispo de Creta, secretario de la sa­ dad según el reputado corriente en los mercados inm ediatos, y Odescalchi, obispo de Sabina.” cra congregación de la Propaganda y procurador del dimiten- Leido este poder, el abogado consistorial continuó su ora­ del total valor á que asciendan las especies contenidas en la re­ te^Sr. cardenal Odescalchi. Después fueron introducidos mon­ lación. ción y súplica en los términos sigui…</t>
  </si>
  <si>
    <t>Sabino</t>
  </si>
  <si>
    <t>…deuda doméstica de Venezuélá á fin de J u lio de 1854 Cum an á......................... 143000 220000 6 60 0 0 Otras partes................................... 800 0 0 112000 ción se han encargado los sócio*. D, Jasé Tornas y D. Sabino había sido reducida á un miilo'n de pesos á corta diferencia, 2 70 0 0 de M edina. La cornisa arquitrabada que apoya sobre las men­ habiendo el Gobierno hecho grandes esfuerzos para su am o rti­ zación. • " 7 V.-Í: Pesos............ 5295000 5022000 II45OOO cionadas pdasf.ras, sigue el caráct…</t>
  </si>
  <si>
    <t>Sabio</t>
  </si>
  <si>
    <t>…trató de sorprenderlo , y al efecto com uni­ los trabajos es su alcalde y comandante m ilit a r , y que aquellos únto Gaona y Locchés , escribano del número de la mistoa, se có sus instrucciones al comandante Mdñes y al teniente Sabio, se dirigen á su bienestar. (Id.) 1a señalado el dia 2 del mes de J u n io pióximo en la h a b it a - los cuales emprendiendo su marcha la noche anterior llegaron don de S. S . , y hora de Ls diez de su m a ñ an a, para una g e ­ ayer por la mañana al pueblo, y pusieron en fuga á los rebel­ ne…</t>
  </si>
  <si>
    <t>…la Europa moderna, que por do quier hace sentir su El comandante militar de Jérida avisa con fecha de ayer sido.ran ya ; y como si un silencio tardío hiciera no ser lo que ha paternal influjo. que el dia antes salió el teniente Sabio con su fuerza á hacer venir Yla esnube, que, corno hemos dicho en otra ocasión , Cabrera ve Natural era también que hubiese un lugar sagrado couoce no ser esta campaña como otras anterio­ donde la religión aliviase con sus consuelos las penas del un reconocimiento por aquellos alrededores,…</t>
  </si>
  <si>
    <t>Sabio, Gregorio</t>
  </si>
  <si>
    <t>Gregorio Sabio</t>
  </si>
  <si>
    <t>…otro herido. átrio de la iglesia para que hoy domiog&lt;Lpueda ser visto y re­ Dice igualmente que él infatigable y bizarro comandante conocido por las personas que vengan á misa. El dicho alférez de la partida franca de Jérica D. Gregorio Sabio cogió el dia 5 Idem 16. ha sido herido en un costado por una bala, como igualmente en Barracas á un sargento y dos aduaneros facciosos con sus ar­ En el del 10 dicen sus editores: dos soldados del destacamento , aunque me consta que oinguna mas, una muía y otros efectos. Anoche y es…</t>
  </si>
  <si>
    <t>…lo mas puede engu­ pueblos de la encomienda de Begís á fin de llevarse los mozos, La clase roas ínfima de animales es la llamada zoófitas ó llir ó sorber cuerpos de un volumen poco grande; y en reali­ dispuso que el teniente D. Gregorio Sabio saliese en su perse­ plantas animales, como las varias especies de c o ra l, las que no dad todas las ballenas y ballenopteros se alimentan solo con pes­ cución , lo que ejecutó , obligándole á encerrarse en el fuerte de son mas que montones animados en masa , entre los que ningún c…</t>
  </si>
  <si>
    <t>Saboya</t>
  </si>
  <si>
    <t>…de modo puesto aquel punto en pocos dias en estado de defensa. En el la ausencia de m iasm as, efecto casi inevitable de la reunión de que los postes, las vigas y alfaogías son de hierro colado, y los segundo estaba el coronel de Saboya con la tercera brigada, muchos enfermos. L a botica bien surtida con su correspondien­ suelos de piedra. donde pernoctamos, sufriendo en aquella tarde un grande a g u a ­ te elaboratorio. Cada fábrica tiene 1500 pies de la rg o , y ea ellas se hacen cero, acompañado de viento fuerte que incom…</t>
  </si>
  <si>
    <t>…re de ros. (Id.) ción , hallándose también varios profesores de medicina y un 1839.=José de San Millan.=Sr. Ministro de.... sangrador para en caso de necesidad aplicarles los remedios que El Rey de Cerdeña y su hijo el duque de Saboya se hallan su situación reclame. de yuelta en Turin de su viaje á Chambery. Al dar cuenta á nuestros lectores de este suceso, participa­ mos de la alegría que han demostrado todos los habitantes de PARTE NO OFICIAL. La Reina de Suecia se dispone á hacer un viaje á Italia, agolparse esta po…</t>
  </si>
  <si>
    <t>Sabrosa</t>
  </si>
  <si>
    <t>…rios de devoción por las señales am enaza­ de varios súbditos ingleses, que se dicen acreedores del P ortugal, se habian notado síntomas de dem en cia, han sido puestos en doras y espantosas que habian visto en el cielo. el barón Sabrosa le ha contestado por medio de una carta p u ­ calabozos, se les ha cargado de cad en as, y permanecen inco­ T al es el influjo de la superstición producida por la ig n o ­ blicada en el periódico oficial Diario do G overno , cuyo con­ m unicados. Sus casas han sido saqueadas completamente ,…</t>
  </si>
  <si>
    <t>Sabrosa, Ribeira</t>
  </si>
  <si>
    <t>Ribeira Sabrosa</t>
  </si>
  <si>
    <t>…España, á tivo de una reclamación de varios súbditos británicos acerca de distinguidos en el Parlamento. Hombres y cosas , todo tomará pesar de todo el prestigio de uoa habilidad que nadie se atre­ un antiguo crédito que el barón Ribeira Sabrosa no cree que entonces ó recobrará su puesto natural. Querer fundir y am al­ vería á disputarle. debe reconocerse. gamar naturalezas incompatibles es un delirio , es ilusión. T ra ­ »H ay eu M adrid una sociedad filarmónica , exclusivamente La consagración de una nueva capilla constru…</t>
  </si>
  <si>
    <t>Sacristán</t>
  </si>
  <si>
    <t>…las tierras hácia la parte de la Alcora algunas descargas de fusilería: ig ­ creto de 2 de Juoio úitimo para dar principio á la propuesta de W ateren y de Veen-huizen inferiores á las provincias mejor noramos el resultado. El Sr. Sacristán habrá esperado parapeta­ de Senadores y al nombramiento de Diputados que han de re­ cultivadas. do á nuestra van guard ia, á la que le habrá saludado con a lg u - presentaros en las próximas, Cortes generales del. reino. Los ilus­ Para comparar los resultados en gran d e, sé ha ¿cordado ña…</t>
  </si>
  <si>
    <t>Sacro</t>
  </si>
  <si>
    <t>…ad matritense. Dedicada á su a m i­ Al mes seguirán dándose al menos des cuadernos, rem i­ go y discípulo el Excmo. Sr. Dr. Vizconde de G iiid y Pareent, tiéndose al domicilio de los suscriptores que 110 acudiesen á , conde del Sacro imperio &amp; c ., grande de España, y abogado de T&gt; A L T A S A R P a sto r, escribano público de número, uno de tiempo á recogerlos para evitar repeticionees de anuncios: con este ilustre colegio. Un tomo en 4*° mayor. Esta obra, cuyo ú l ­ los del juzgado de primera instancia de esta ciudad de…</t>
  </si>
  <si>
    <t>Sacz, Manuel</t>
  </si>
  <si>
    <t>Manuel Sacz</t>
  </si>
  <si>
    <t>…e alfabético de materias; y en la segunda se satisfacen es­ Declaración del jurado.—Reunidos en ei dia de la fecha en tos deseos del público, poniéndose al fin del segundo tomo uno las salas consistoriales los jueces de hecho D. Manuel Sacz , Don de todas las doctrinas contenidas en la obra , el cual tiene el Cristóbal Veces, D. Juau Santandreu , D. José Lacosta , Don VACANTE. doble objeto de que se encuentren roas fácilmente las materias José Pascual , D, Bernardo D olé, D. José Preyo y Cacho, Don que se busquen, y de pres…</t>
  </si>
  <si>
    <t>Sad, Francisco Lucini.</t>
  </si>
  <si>
    <t>Francisco Lucini. Sad</t>
  </si>
  <si>
    <t>…la leitre de de m an d e u n fil pour Obras que se hallan de venta en el despacho y almacén tos, y nueva la del últim o, pintada por el acreditado profesor m a rq u er la lougueur et le tour de taille. déla Imprenta nacional• D. Francisco Lucini. Sad resser provisoirem ent a P aris, place de la Bourse, Terminará la función con baile nacional. n.° 27 , san* aflranchir. Expédition dans les 5 j o u r s : en Las oraciones y cartas del padre de la elocuencia Isócrates, France contre r e m b o u rse m e n t, et a T étranger cont…</t>
  </si>
  <si>
    <t>Saenz</t>
  </si>
  <si>
    <t>…árceles de España no Comisión que ha de informar sobre el censo de la población augusta Madre la Reina Gobernadora , de su gratitud victo­ son nombrados libremente por el Gobierno ni por ninguna otra de Granada. Presidente el Sr. Saenz, secretario el Sr. Guillen reando el nombre del general en gefe duque de la V ictoria, y autoridad, son oficios, como ha dicho muy bien el Sr. Minis­ y Roda. de su sensatez y cordura rio manchando estos actos de acendra­ tro , enagenados de la corona , como antes se decia, ó enagena- Comisió…</t>
  </si>
  <si>
    <t>Saenz, Santiago</t>
  </si>
  <si>
    <t>Santiago Saenz</t>
  </si>
  <si>
    <t>…icaz y decidida L ópez, ayudante que fue del cabecilla Souto ; á D. M iguel; j ron degollados, entre ellos un.capitán , dos o tres tenientes y cooperación de todos los empleados públicos para cono-guir es­ Pardo y Ülloa, y á D. Santiago Saenz, prior de los Campos del \ dos subtenientes. El fuerte de Blidah está bloqueado. tos importantes fines sociales por medio del exacto cumplí.nieu- Luzon; y finalmente, que han quedado en nuestro poder 55 ar­ Acabamos de saber que el coronel Lamoricrere con su va­ to de las obligacione…</t>
  </si>
  <si>
    <t>Safon, José</t>
  </si>
  <si>
    <t>José Safon</t>
  </si>
  <si>
    <t>…u ja r,,, Pajaróte, térdupo de Ó rgiva, En 26 de Setiembre D. Andrés Coello, vecino de Oviedo, ^ en Real orden de 24 de Jun io último á las diputaciones p ro ­ Sta. R ita , por Juan Prieto , en 2 . , y apoderado de los Sres. D. José Safon , D. M ariano Barrio y vinciales y gefes políticos que no permitiesen apoderarse de los O tra id» en sierra G ad o r, collado eje.,V alien tes, térm ino D. Enrique M i s l e y , residentes en M a d r i d , ha pedido la con- i expresados derechos, y que vuelvan al Real P atrim o nio , ínt…</t>
  </si>
  <si>
    <t>Safont</t>
  </si>
  <si>
    <t>…rían entenderse en el otro de atribuir dichas enfermedades á buenas ¿las han desechado acaso los hombres de opinio­ vapores, ó sea á miasmas. nes contrarias?... ¿Hubo alguno que repudiase E l Trova­ Concluida la memoria del Sr. Safont, el socio D. Agustín dor ¡ Los Amantes de Teruel, Carlos H el Hechizado y Yañez hizo una reseña de las numerosas observaciones micros­ muchas otras pertenecientes á la escuela romántica?... ¿Se ESTADO GENERAL cópicas ejecutadas con extraordinaria constancia por Ehren- desconoció su mérito;…</t>
  </si>
  <si>
    <t>Sagiista, José</t>
  </si>
  <si>
    <t>José Sagiista</t>
  </si>
  <si>
    <t>…misma previene, á los sugetos siguientes: D. José López de Silva, D. José con que cada una de ellas debe contribuir para llenar teligencia que trascurrido dicho término sin cumplir coa este La serna, D. José Alvarez Crespo, D. José Sagiista, este servicio, ó encomendar al éxito de un sorteo el seña­ llamamiento, se le conducirá á esta capital en calidad de preso Moyana, D.Martínez D. Tomas Domingo Ibarra, D. Joaquín Alcalde, D. Basilio del Rio y D. Manuel Labraña , quienes lamiento de los individuos que han de compon…</t>
  </si>
  <si>
    <t>Sahajosa</t>
  </si>
  <si>
    <t>…­ El Senado quedó enterado de un oficio del gefe político de A rgu e lle s, González R o m ero, Ferraz (D. V a le n tín ), Jiménez, ría del Congreso estaba en este sentido. L a comisión por voto M u rcia acompañando otro del Sr. Sahajosa, Senador nombra­ C alatrava (D. José), y Pascual. del Sr. Sancho dió las razones mas explícitas para la inteligen­ do por la misma , manifestando que una grave enfermedad le Segunda seccion.nSres. Diaz G i l , M o y a y Angeler , Roda, cia de esto; y aprobado el artículo en el sentido que m…</t>
  </si>
  <si>
    <t>Sahajosa, Jesualdo López</t>
  </si>
  <si>
    <t>Jesualdo López Sahajosa</t>
  </si>
  <si>
    <t>…decreto sirve de prueba contra el electorales sobre la de la proviucia de M urcia y admisión del ha hecho. ¿Q ué tenia que hacer el Sr. Alvarez ? Desde el mo­ dictamen mismo de la comisión , porque se dice en el art. 7 .° 8r. D. Jesualdo López Sahajosa , y del proyecto de ley de fue­ mento en que supo esa resolución haber recurrido al Congreso que la autoridad remita testimonio para que el Congreso ju z ­ ros de las provincias Vascongadas y Navarra. presentando un testimonio de la causa para justificar si efecti­ gue , ¿sob…</t>
  </si>
  <si>
    <t>Sain, Pedro</t>
  </si>
  <si>
    <t>Pedro Sain</t>
  </si>
  <si>
    <t>…puntos á que se d i r i g í a , y que con ella presta­ ta de su vicepresidente el Excmo. Sr. D. Antonio B a r a ta , con­ se el conveniente apoyo al Gobierno. El celo desplegado por sejero de E stado, y de los Sres. vocales D. Pedro Sain z de B a ­ este sobre el p a r t ic u la r , requería también que el Senado se con­ ran d a y D. A le jan d ro L ó p e z , in d iv id u o s de la dipu tación pro­ p N v ir t u d de providencia del Sr. D. Tomas Pacheco, juez gra tu lase con S. M . por sus acertadas disposiciones. C reyó…</t>
  </si>
  <si>
    <t>SAINCHO</t>
  </si>
  <si>
    <t>…comisión, dictamen lleno de ira-*- ttheado completamente que sea inoportuno lo que he expuesto. Convencido el Congreso de la gravedad de este asunto, d e ­ parcialidad y justicia , con el cual quedan si ti duda desvane­ III Sr. SAINCHO; He dicho que para probar esas quejas y be aplicar el artículo 7.° y aprobar la proposición que ha pre­ •50* abuso* que se manifiestan , es neces.no probarlo; pero yo sentado el Sr. Iñigo; y cuando llegue el momento de la discu­ cidos los argumentos que se han presentado. Me resta por úl­…</t>
  </si>
  <si>
    <t>Saint</t>
  </si>
  <si>
    <t>…uinas y motores. d e r ; antes tornando la o fen siva, sorprendió con una marcha línea de rocas que se prolongan al E. otros seis desde su p aulo Esta obra es una prueba evidente contra los qué creen forzada al general conde de Saint P o l , le hizo prisionero, y li­ oriental forman un puerto semejante al de Trípoli de Berbería, inútiles para las artes y para la industria humana las su­ bró el ducado de enemigos. pero mas pequeño y menos abrigado: no obstante, se puede fon­ Mostró su pericia y prudencia cuando acompañó á…</t>
  </si>
  <si>
    <t>Sainz, Antonio</t>
  </si>
  <si>
    <t>Antonio Sainz</t>
  </si>
  <si>
    <t>…so por suscripción, consta de un militar de Alcántara, sobre,pago de una pensión que disfruta J i 254.. El barón augusto H ugo de Bulow, quejándose de la folleto de mas de 80 páginas en 4*°? de bonita impresión, y con­ I 94. D. Antonio Sainz dé la Peña, alcalde constitucionalMi e prisión que hace mas de tres años sufre. Spncillo , en nombre de varios valles , pidef su agregación 1I 255.. Varias viud as, residentes en Valencia , sobre pago de tiene no solo los acuerdos tomados en la junta general, sino también el discurso…</t>
  </si>
  <si>
    <t>Sainz, José Cano</t>
  </si>
  <si>
    <t>José Cano Sainz</t>
  </si>
  <si>
    <t>…solo los principios que se establezcan tamiento constitucional de esta M. H. V.; D. Manuel Villo- Los fundamentos en qtté sé han ápoyado éstas dos disposi­ le han movido á dictarla. En ellos no tendrán parte otras con­ ta y D. José Cano Sainz, del comercio de esta corte, y ciones han sido de muy diversa naturaleza: la primera se dic­ sideraciones qué las que aconseja la justicia , y estarán siémpre D. José Higinio Arche, contador general de la caja na­ tó para reprimir el vandalismo revolucionario, principalmente concili…</t>
  </si>
  <si>
    <t>…dido sus se verá bienes por efecto de la guerra, se vean privadas de votar, y pido quesi semerece mas fe una carta que el dicho de la comisión: cionales é5 D. individuo de la junta de enagenacion de bienes na­ Manuel Villota, D. José Cano Sainz, del comer­ privadas de los medios de hacer constar sus cualidades como la lea el acta de Viana. cio de esta corte , y D. José Higinio Arche, contador general, ley requería para que fuesen electores. Las listas de valles ó dis­ Se leyó, y su fecha era de Setiembre de 1857. de la caja…</t>
  </si>
  <si>
    <t>…rd MorpetU seria adoptada. cion de inconstitucionglidad promovida ppr Mr. de Pollénus, dividuo de la junta de enagenácion de bienes nacionales; Don qué fue désechádá por la comisión, y nos limitaremos única- Manuel Villota y D. José Cano Sainz, del comercio de esta menté i públíéár la part^ dél informé^ que tiene relación con el corte, y D. José Higinió Arche, contador general de la caja FRANCIA. fóndó de la cuestión, reduciré á lo siguiente: ¿Conviene ad-^ nacional de Amortización, vocal secretario; y colocada en el m i…</t>
  </si>
  <si>
    <t>Sainz, Manuel Villota y D. José Cano</t>
  </si>
  <si>
    <t>Manuel Villota y D. José Cano Sainz</t>
  </si>
  <si>
    <t>…neto de D. José Zorrilla. su prosodia y los admirables modelos que han sentado su dores síndicos de ayuntamiento constitucional de esta muy he­ Origen de la sonámbula. poder universal en una base indestructible. roica villa; D. Manuel Villota y D. José Cano Sainz, del co­ Un lance apurado, anécdota. El estilo dramático fundado en el siglo x v i i , debilita­ mercio de esta corte, y D. José Higinio A rche, contador ge­ Primeros órganos en España. do alguna vez en el xvm , jamás se ha abatido; este estilo neral de la caja n…</t>
  </si>
  <si>
    <t>Sainz, Pedro</t>
  </si>
  <si>
    <t>Pedro Sainz</t>
  </si>
  <si>
    <t>…icepresidente el Excaso. Sr. D. Autouio Rara- } ó no quiere saber, que en nuestro siglo es algo mas el teatro que la escuela moderna y por la escuela vieja. Hasta en algunos ¡ t a , consejero de Estado , y de los Sres. vocales D. Pedro Sainz | un sitio donde se representan farsas destinadas á llenar algunas ho­ versos notamos cierto olor á los de Calderón, Moreto, Q u inta­ I de Baranda y D. Alejandro López, individuos de la diputación 1 que ras de solaz y lícito recreo; y en fin, porque algunos escritores creen su deber es…</t>
  </si>
  <si>
    <t>Sainz, Santos</t>
  </si>
  <si>
    <t>Santos Sainz</t>
  </si>
  <si>
    <t>…quemados por la facción con la diligencia que los con­ la Sra. V illó y el Sr. C alvet; con decoración y trajes. los ejércitos españoles. ducía en el fuerte de Alcolea el dia 16 de Abril anterior, para entregar en Zaragoza á D. Santos Sainz, de aquel comercio, á S egun da p a r t e . quien pertenecían, y á cuya instancia se instruye expediente sobre expedición de duplicados, para que en el preciso término 1.° Sinfonía de la ópera GUGLIELMO T E L L , del maes­ CO RRE SPO N D E N CIA DE LA GACETA. de 50 dias contados desd…</t>
  </si>
  <si>
    <t>Saioz, José Cano</t>
  </si>
  <si>
    <t>José Cano Saioz</t>
  </si>
  <si>
    <t>…es el gérenen bien los corpulentos árboles que descuellan cargadas sus ramas individuo de la junta de bienes nacionales; D. Maauel ViHota. del sentimiento religioso, que solo empieza á desenvolverse cuan­ del sabroso fruto ? y D. José Cano Saioz, de! consorcio de esta corte, y D. José do la dependencia sucesiva de su nodriza , de sus padres y de Mas «i ostenta naturaleza sus escenas sublimes: si el rayo Higioio Arche , contador general de fa caja nacional de Amor­ los demas hom bres, le obliga á reconocer un Ser independien…</t>
  </si>
  <si>
    <t>SAIVCHO, El Sr.</t>
  </si>
  <si>
    <t>El Sr. SAIVCHO</t>
  </si>
  <si>
    <t>…toridades de las provincias por donde han sido elegidos. pide; según S. S. el Ministerio no la mere­ se ha faltado de una manera que no sé cómo nombrarla- á vo­ ce; y por eso era la dilación en conceder el proyecto de ley; Sr. El Sr. SAIVCHO : Según la conversación que tuve con el si no ¿ por qué no. aceptar la palabra que da el Gobierno de' ble cuestión ,. de sotros, compañeros, os toca adivinar mi pensamiento Ministro Gracia y Justicia acerca de esta desagrada­ No quitro usar de esa palabra, porque mas fuerza’tendrá c…</t>
  </si>
  <si>
    <t>Sajo</t>
  </si>
  <si>
    <t>…de A ljubarrota , de la cual son tan unas nuestras alm as, En la comedia O bligación á las m u g er es hay otro marido, escapó D. Ju an el i , Rey de C astilla, en un caballo que le dió que á un arroyo ó fueutecilla , duque de Sajo n ia, que dando ciédito á siniestros y alevosos in ­ Pedro Hurtado de M endoza, ascendiente de la casa del Infan­ adonde algunas mañanas formes, tiene por adúltera á su inocente m uger: pero se ven­ tado. Creemos que L uis Velez interpoló versos suyos entre los sale á recibirme Inés, ga de un…</t>
  </si>
  <si>
    <t>Sajonia</t>
  </si>
  <si>
    <t>…ra, y por poco no nos le presentan en por de guerra ingles Lightning conduciendo á su bordo á deración alguna pueda separarme de estos deberes. posesión de este gran establecimiento comercial. A falta de no­ S. A. R. el duque de Sajonia C o b u rg o -G o th a, padre de S. M. Barceloneses y pueblos de esta provincia: para conseguir ticias positivas se recurre á las eventualidades de toda especie. el R ey D. Fernando, acompañado de los Serenísimos Príncipes tamaños bienes, el aumento de las rentas nacionales y su exac­ Noso…</t>
  </si>
  <si>
    <t>Sal</t>
  </si>
  <si>
    <t>…d o procedió á la 5.° Escena y a ri a en la ópera I L F A N A T I C O , del ma e s ­ •día 2 de J u n i o úl t i mo. calificación del modo s i g u i e n t e , que fue publ i cada , asi corno el tro G u g l i e h u i , por el Sr. Sal as. fallo definitivo del j u e z, que ambas cosas dicen asi : 6 .° Escena y rondó de L ’ E S U L E , de Da ni z e i t i v :i C astellón 19 d e Ju lio. En la ma ñ a n a del 9 actual pasó por Cali ficaci ón. —En la c i u d a d de Córdoba á 9 de J u l i o de 1 8 5 9 , Jas i nmedi aciones de V i n…</t>
  </si>
  <si>
    <t>Sala</t>
  </si>
  <si>
    <t>…A REDOMA ENCANTAD A. llamos nosotros m uy recomendable el Catecismo político del se­ prólogo (plana 1.a, línea 50) dice que ha hecho variaciones en ñor A gu irre cuyos esfuerzos nos prometemos serán dignamen­ la obra del doctor Sala. ¿ Y quién le ha autorizado para esto te recompensados con la favorable acogida que el público v las en una obra que sirve de texto en las universidades? autoridades, a quienes está confiada la dirección de la enseñan­ CRUZ. A las siete de la noche. Se volverá á poner én es­ 3.a D. J . de V…</t>
  </si>
  <si>
    <t>Sala, José</t>
  </si>
  <si>
    <t>José Sala</t>
  </si>
  <si>
    <t>…se de la ju d ic atu ra de prim era instancia que serviq en dicha la energía necesaria para llevar á efecto lo prevenido en D e Real orden lo com unico á V. S. para su inteligen­ esta co rte , vacante por no haberla adm itido D. José Sala­ ridas corporaciones, Real o rd e n , sabrá tam bién com unicarlá á las refe­ cia , la de esa diputación provincial y efectos correspon­ m a n c a , a q u ie n le fue conferida sin sueldo y en comisión de que con la cooperación excitando su celo y patriotism o, á fin dientes á su mas exac…</t>
  </si>
  <si>
    <t>Sala, Juan</t>
  </si>
  <si>
    <t>Juan Sala</t>
  </si>
  <si>
    <t>…( fe! derecho Real de España publicado por D. Francisco Siñe- las horcaa, y puesto eo libertad á los prisioneros de Campro- 8 8 , 3 2 , 8 2 , 1 8 ,6 . úz, pues la obra de Siñeriz es un mero extracto de la obra de don y otro». D. Juan Sala, titulada Ilustración del derecho Real de España; Eila noticia ej auténtica , y ha sido enviada con propio e la de D. J, de V. se ha sacado de las obras de mas mérito que subprefecto de Prades (Frauda). e han publicado hasta el dia. La 1.a do contiene ninguna no- B O L E T ÍN D E C O M E…</t>
  </si>
  <si>
    <t>Salam</t>
  </si>
  <si>
    <t>…s, vincias vascongadas: 35,740 de gastos extraordinarios que car­ preferencia á este camino. C arram o lin o , T o ra l, Colomo , G a li, M a r ti, A lm ira ll, Córdo­ ga el Sr. ingeniero. Que el segundo escrito era por el Sr. Salam anca, D iputado b a , M ó ret, A n guera , A rm endariz , M ela, Sam aniego , m ar­ A qui verá el Congreso y el G obierno, á quien ahora me por M álaga , reducido á una proposición para llevar adelante ques de Sóm eruelos, Rodríguez del V alle , conde de la Rosa, d ir ijo , cuánta perspicaci…</t>
  </si>
  <si>
    <t>Salamanca</t>
  </si>
  <si>
    <t>…e estrellan en el art. 43 de la Cons­ Fue aprobado sin discusión el siguiente dictámen relativo 'tñeños influencia en los mercados extranjeros y con mas ójaotér titución, en que se dice que todo Diputado ó Senador que ad- td Sr. Salamanca i ños garantías. Por lo tanto si elGongreso adopta él artículo tal mita empleo, gracia ó condecoración del Gobierno , queda su­ Al Sr. Salamanca , sin haber tomado posesioo del juzgado cual lo ha propúeítd la comisión, desde ahora digo , lo que uir» jeto á réeleccion. Y yo pregunto ahora…</t>
  </si>
  <si>
    <t>SALAMANCA</t>
  </si>
  <si>
    <t>…: en él está esa cuenta que se dio á la diputación provincial, tar los medios oportunos á fia de quitar los abusos. tazgos .próximamente un millón de reales. S. S. ha contestado y se infringió la Real orden de 4 de Mayo. El Sr. S A L A M A N C A reclama el uso de la palabra , y el que solo producen 6580 rs. Pues bien, yo digo que con esa su­ Continúa el orador: Estas cuentas y otras cosas dieron mar­ Sr. Presidente le contesta, que es al Sr. Sánchez de la Fuente á ma bien empleada habia lo muy suficiente, no solo para la…</t>
  </si>
  <si>
    <t>…gan admisible la entrada de dicho señor; véase El Sr. P R E S ID E N T E : Mediante á la inculpación que ha Sr. R.arnirez de Arellano para que se le diese asie 0 en estos es­ pues como ha estado prudente la comisión. hecho el Sr. Salamanca á la mesa , es invitado por el Presiden­ caños. Debo hacer presente, y me alegro que me oiga el Sr. in ­ Respecto á lo que ha dicho S. S. sobre que encuentra nove­ te para que presente un voto de censura contra su conducta; y teresado, que el acuerdo de 18 de Enero lo consintió, porque dad…</t>
  </si>
  <si>
    <t>Salamanca, José</t>
  </si>
  <si>
    <t>José Salamanca</t>
  </si>
  <si>
    <t>…ntes de la m ism a, y pudiesen compren­ de fortificación y otras atenciones militares. (Nuin. 1508.) derla todos aquellos á quien sus carreras y educación no les ha _ _ del ministerio de Hacienda para que en la recaudación de D. José Salamanca. (Id.) Circular del ministerio de la Gobernación para que en el ter­ permitido dedicarse al estudio de las matemáticas. La obra de la rentas y contribuciones se proceda con todo el vigor y mino de un mes las diputaciones provinciales y juntas de M r. Ai*ago, este astrónomo francés,…</t>
  </si>
  <si>
    <t>Salas</t>
  </si>
  <si>
    <t>…» ocupaciones les im piden fijar debidamente su atención en todo lo que no sea el despacho diario de los expedientes dables motivos que predominan en la particioo. almacenados en los ministerios. De esta práctica ha resul­ El Sr. Salas se^ha encargado de qn papel característico de muger. La compañía espera que el ilustrado público aceptará tado hasta ahora que casi todos los proyectos de ley han sido poco m editados, porque ni los oficiales de las secre­ IMPRENTANACIONAL con su acostumbrada benevolencia este primer esfuerzo…</t>
  </si>
  <si>
    <t>…decoración y trajei. fanega y tres celemines, á 240 rs. 5.° Cavatina de bajo-cómico en la ópera Coradino , del CORRESPONDENCIA DE LA GACETA. Otra camino de Pozuelo, que linda á oriente con dicho ca­ maestro Rossini, por el Sr. Salas con decoración y traje. mino, de una fanega y seis celemines, á 190 rs. fanega. 4.0 Dúo de bajos en la ópera PPuritani , por los Sres. Cal­ Otra en el mismo sitio, que parte está de viña, de cuatro fa­ Lugo 7 de br. oviem N Nuestras tropas acaban de obte­ negas , á 200 rs. vet y Reguer…</t>
  </si>
  <si>
    <t>…el gefe senta , y que el de todos no sea el mismo. faccioso hacia para alejarse de él. dúo sobre todo en que la Sra. Lamadrid ejecuta la Casta diva Somos tan severos con el Sr. Bretón porque le apreciamos de N orm a , y el Sr. Salas un polo español, mereció largos sinceramente; porque el deber de la crítica es aconsejar é ilus­ aplausos por lo original de la idea: las demas piezas gustaron trar; porque comedias como la que juzgamos son poco dignas también bastante, aunque ninguna como aquella; pero en to­ del autor de M…</t>
  </si>
  <si>
    <t>…esta ejecutada su escribano de cámara en el mismo. M adrid 12 de Agosto de Strauss ; con decoración. con toda perfección y lim p ieza. í859.=José Calatrabeño. 8.° C avatina en la ópera C oradino , del maestro Rossini; por el Sr. Salas, con decoración y trajes. D irecció n g e n e r a l d e ren ta s esta n ca d a s . Segunda parte . BIBLIOGRAFIA. Debiendo procederse en pública subasta á la compra de una í.° Los Homenajesy cuarta tanda de walses de Strauss; partida de tabaco hoja Virginia y kentuqui, que no excederá de con…</t>
  </si>
  <si>
    <t>…ndo 4 rs. vn. por cuaderno en Barcelona, Strauss; con decoración. y fuera de ella franco de porte. 8.° Cavatina en la ópera Coradino , de! maestro Rossini; Si alguno quisiere suscribirse por 25 ejemplares, se le dará por el Sr. Salas, con decoración y trajes. uno gratis. Concluida la primera parte se adjudicarán por medio de un BIB LIO G RA FÍA. Se suspende por ahora dar con el primer cuaderno (que se sorteo dos premios á la concurrencia que haya habido en la re­ distribuirá por todo este mes de Junio) el prólogo de la…</t>
  </si>
  <si>
    <t>…undo tampoco pareció m al, á pesar de que su acción no piso alto, en donde se encuentran restos en casi todas las h a ­ primera vez sale al te atro ; pero en el curso de la representa­ fuese in u y propia ni desembarazada. El Sr. Salas, que tan per­ bitaciones de artesonados, y en algunas ornatos del gusto ara- ción se fue animando y nos manifestó sus felices disposiciones, fecta mea; te caracteriza á Leporelo, recibió justísimos aplausos, bese», ta'es como Ls ricas piezas que dan á la parte de la por­ y bastante inteligenci…</t>
  </si>
  <si>
    <t>…2.135...» 1000. Cádiz. 4.0 El acto quinto de LUCREZIA BORGIA. 8 .8 2 5 .... 1000............... Madrid. 5.° Escena y aria en la ópera 1L FANATICO, del maes­ 7 . 2 4 2 .... 1000. . . . . . . Cartagena. tro Guglielmi, por el Sr. Salas. P R O V ID E N C IA S JU D IC IA L E S. 4 5 2 .... 1000. .......... Guadalajara. 6 .° Escena y rondó de L’ESULE, de Donizetti. 7 .1 7 5 .... 5 0 0.............. Cádiz. H ABIENDO sido rematado en la cantidad de 2110 r s. anua­ 8 6 5 .... 500............ Madrid. les el arrendamiento deb por…</t>
  </si>
  <si>
    <t>…estudio de Mineralogía de esta corte. Uo tomo en 8 .° marqui­ 7.° Dúo del Posto Abbandonalo por la señorita García y mente para el l.° de Diciembre próxim o, pues al paso que da, edición de 1802 , á 14 rs. en pasta común. el Sr. Salas. por este medio se espera conseguir mayor exactitud, no Trátase en esta obra de las rocas en general, y en particu­ 8.° Cavatina de Kenilworth por la señorita García. permite tampoco lo adelantado del tiempo que se extien­ lar de cada una de sus ciases, circunstancias que unidas á la En los…</t>
  </si>
  <si>
    <t>…troducción en la ópera S C A R A M U G C IA , del maes­ despreciable á los ojos de los ingleses; pero no asi el Estado de n al d e ju s tic ia ; el relativo ¿ recu rsos de segu nda su p lica­ tro P u cci; desempeñada por el Sr. Salas, y cuerpo de coristas, N apul situado al Noroeste de la India en tas vertientes del H i- ció n ó injusticia n o to ria , y la R ea l o r d e n fijan do reglas con decoración y trajes. malaya. Este montañoso distrito está habitado por los gurkhas, para la p rovisión y en agen a cion de las es…</t>
  </si>
  <si>
    <t>Salas, Francisco</t>
  </si>
  <si>
    <t>Francisco Salas</t>
  </si>
  <si>
    <t>…al 1,219 blancas &amp;c., inventadas por Mr. A. Mothes, y preparadas bajo En ella desempeñará la parte del protagonista el primer 60----------- 500 1,211 al 1,270 la dirección de Mr. Dublanc, farmacéutico de Paris. Se hallan bajo D. Francisco Salas, quien cantará en el acto segundo una 800 . . . . 50 29.801 al 50,600 en la botica de Collantes, plazuela del Angel, núm. 7. letrilla popular , napolitana , nueva , composición característica 50 . . . . 1,000 1,220 al 1,249 Bien conocida es la admirable eficacia del bálsamo d e Co­…</t>
  </si>
  <si>
    <t>…noche pasada en Huesa ó algún otro puntó inmediato. formado y á otros sobre robos; y no habiendo noticia de su teatro Doña Antonia Campos, acompañada del primer bajo paradero desde el mesvde Diciembre de 1835, que se fugó del D. Francisco Salas, encargado del papel de Tomasso. presidio de Málaga; en cumpliiniento de lo mandado para la notoriedad de esta coudena, libro la presente que firmó en He­ { 9 por la tarde, llegaron nuestras tropas al mandóle! ge­ llin á 8 de Junio de 1839.</t>
  </si>
  <si>
    <t>…s, muchos de los cuales conocen ya su obra. teatro Doña Antonia Campos, acompañada del primer bajo ÍJ»r punto los elogios que las personas de buen gusto hacen de Pero faltaba tenerla en buen lenguaje castellano que facilitase D. Francisco Salas, encargado del papel de Tomasso. á todos su estudio; faltaba ponerla al alcance de todas las for­ &lt;n!° Se ,ÍmÍtJa á dar • viso ^ su propósito al tunas dándola á menor precio que lo que costaria haciéndola ’T vval Correg,do que i el? ’u*to, ret° ,neadj,,do la finura aldelPdbüco…</t>
  </si>
  <si>
    <t>Salazar</t>
  </si>
  <si>
    <t>…arezcan por medio de procurador con poder bastante á ex­ Y^ORRIDAS de toros, sus ventajas y desventajas: obrita es- poner en los referidos autos lo que á su derecho convenga 5 con ^ crita por el erudito y discreto señor conde de Salazar, V ID A D EL PRINCIPE T A L L E Y R A N D , apercibimiento que pasado dicho término en su ausencia y re­ ministro que ha sido muchos años de M a rin a , dedicada al cé­ beldía se sustanciarán los autos en los estrados del trib u n al, y lebre lidiador señor Pedro Romero , maestro director…</t>
  </si>
  <si>
    <t>Salazar, José María</t>
  </si>
  <si>
    <t>José María Salazar</t>
  </si>
  <si>
    <t>…D. Sebastian Fábregas, id. id. de ocho á nueve. francamente la causa republicana, son clara muestra de Matemáticas elementales, TEATROS sus doctrinas; son la personificación de sus ideas, y la expresión mas amplia de ellas. D. José María Salazar, martes y jueves de cinco á siete. en PRINCIPE. escena la muy A las cuatro de la tarde. Se volverá á poner aplaudida y acreditada comedia en dos actos, Y ciñéndonos ahora á nuestro siglo, á los años últi­ titulada mos tal vez, aqui es donde aparece mejor y mas dignamen­ Numismá…</t>
  </si>
  <si>
    <t>Salazar, Pedro Allende</t>
  </si>
  <si>
    <t>Pedro Allende Salazar</t>
  </si>
  <si>
    <t>…l Sr. de resolución que fuere de su Real agrado. Rubianes , en que como albacea testamentario del Sr. Senador d o r a y la Serma. Sra. Infanta Doña María Luisa Fernan­ Dios guarde á Y. E. muchos años. Yapor Isabel 11 en San- D. Pedro Allende Salazar, participaba el fallecimiento del ex­ da , continúan en esta corte sin novedad en su importante toña 30 de Enero de l839.r:Excmo. Sr.ziJosé Morales de los presado Sr. Salazar. Rios.=Excmo. Sr. Secretario de Estado y del Despacho de salud. Igualmente lo quedó de otra comunicaci…</t>
  </si>
  <si>
    <t>Salcedo</t>
  </si>
  <si>
    <t>…mas de este punto á fin de ponernos en espectacioo, toridades dispusieron hubiese iluminación, á lo que se prestó y diaco antiguo que sirve de friso al portal occidental , y que lo: pues sabíamos que la columna del Sr. brigadier Salcedo se ha­ anticipó gustoso el vecindario , y repique general de campanas, cristianos han sacrificado esculpiendo en él cruces griegas, e&gt;t; bía dirigido hácia Gaya , y era presumible hiciera un recono­ que sé echaron á vuelo inmediatamente. La Milicia nacional de ya casi enteramente estampado…</t>
  </si>
  <si>
    <t>…ega.z: Benito Valero.— ros y 20 heridos, consistiendo la nuestra en cinco de esta clase. siera; lo haré oportunamente de todo, asegurándole entretanto Salvador Hervas,^Mariano Navarro.—Agustin Jim énez, secre­ El 29 el brigadier Salcedo tuvo un encuentro con el enemi­ que esta reunión que servia de principal apoyo á la revolución tario interino» go, al que causó 4 muertos y 12 prisioneros, incluso un oficia’. queda terminada, porque dispersos todos los que no han side</t>
  </si>
  <si>
    <t>Salcedo, Fermín</t>
  </si>
  <si>
    <t>Fermín Salcedo</t>
  </si>
  <si>
    <t>…l comandante general de la 2 a gunos prisioneros, incluso el cabecilla de nota , alias el A lpar­ de la señalada para layallegada reunida mucha gente dos horas antes de la Reina. M uy numeroso era brigada de la 1.a división, D. Fermín Salcedo, me dicé desde gatero de Yillagrasa, muchos heridos, cinco caballos é iufiui- también el gentío en los alrededores del palacio de Butking— Sellent, fecha 20 del actual, lo siguiente: Excmo. Sr.: Conse­ tos efectos de guerra. ham. En la calle del Parlamento la policía formaba una líne…</t>
  </si>
  <si>
    <t>Salcedo, José Perez</t>
  </si>
  <si>
    <t>José Perez Salcedo</t>
  </si>
  <si>
    <t>…lico no sea fasci­ ales he dispuesto pase á percibir el coronel comandante en cados por Mr. Daguerre para producir los admirables efectos nado. Sin embargo, como no habrá m ajo r desengaño que ver maision del cuartel del mismo D. José Perez Salcedo, encar­ del diorama , y por último seis láminas explicativa?. por vía de muestra la primera entrega , se hallará de manifies­ ado al propio tiempo de presentar verbalcnente á V. S. y ro~ Esta memoria, que se acaba de publicar en París en este mis­ to un ejemplar en el despacho de…</t>
  </si>
  <si>
    <t>Saldo</t>
  </si>
  <si>
    <t>…ea n ingún hecho nuevo, el fundamento de aquellos rumores, y por desgracia podemos eontienen, impidiéndole el que se separe en n inguna ocasión, ni estipula derecho alguno que y a no existiese. asegurar con sentimiento que el Sr. Saldo n i, á pesar de sus por flaqueza ó por acalo ram ien to , de la verdadera línea de los buenos deseos y de su conocida laboriosidad, se ve privado de Antes de celebrar el tratado la Puerta estaba en disposición intereses nacionales. dar á luz sus inspiraciones líricas por falta de un argumen…</t>
  </si>
  <si>
    <t>Saldo, Baltasar</t>
  </si>
  <si>
    <t>Baltasar Saldo</t>
  </si>
  <si>
    <t>…r asi por tier­ Ha corrido la voz entre los filarmónicos de esta capital de aun ad q u irirá otro que ningun a Constitución puede im pedir­ ra como por mar con los socorros que le fueren pedidos. Por la que nuestro compatriota D. Baltasar Saldo n i, tan ventajosa­ la , cual es el de influir tácitamente por su continua v igilancia segunda la Rusia renuncia á ejercer el derecho que le concede mente conocido en ella por sus bellas composiciones líricas, y en la política activa y actual del Estado. Esta influencia acti­ el trata…</t>
  </si>
  <si>
    <t>Saldoni</t>
  </si>
  <si>
    <t>…M úsica de esta corte han dado los mas sa­ ejército del S u ltá n , y penetró en el corazón de la Anatolia. ra de las otras naciones. tisfactorios resultados. Acampó en K u ta h ia h á cinco jornadas de Constantinopla. L a El Sr. Saldoni hace con esto un gran servicio á la juventud Pero considerando las cosas mas de cerca, es imposible dete­ indiferencia de los pueblos entregaba á su disposición el Asia nerse en esta opinión tranquilizadora. Con efecto, dirigiéndose que se dedica al arte encantador de la m ú s ic a , servic…</t>
  </si>
  <si>
    <t>…cción de los alumnos. co n oce la M ilic ia por priócipioi?, y hablando cbñ la fránquéza su .PaU Ia ^e&lt;rol?ocera. la..jai.edi.cia del G obier-. no es la única salvadora en las tristes circunstancias á que . ^ Sabemos que el Sr. Saldoni , deseoso de instruirse y de set útil á su patria, asistió muchas veces á la clase de canto del que nos caracteriza, no sabemos de m uch os oficiales, q W h u b ie ­ sen p o d id o lle v a rá cabo con tánta papid^e^ la eóxpres'á ardua han. venido á p a r a r los negocios p ú b licos á caus…</t>
  </si>
  <si>
    <t>…nuestros lectores,, y c u y a r i o s e c r e t o d e 22 d e N o v i e m b r e d e 1859. mar con la E scritu ra: "Los juicios de Dios son un profundo j representación era tan anhelada. Sabemos que no queriendo el abismo.” | Sr. Saldoni dar la preferencia á ninguna de las dos primas Desde el principio de nuestro pontiíicado nos hemos visto Y a veis, venerables hermanos, por esta cruel herida hecha J donnas, propuso que se sortease entre las dos la parte de tiple; precisados, por las prolongadas calamidades de la época, á…</t>
  </si>
  <si>
    <t>Saldoni, Baltasar</t>
  </si>
  <si>
    <t>Baltasar Saldoni</t>
  </si>
  <si>
    <t>…recurrir al peor de los tampoco considero inútil ese testimonio, mediante á que en la bado 12 del actual la ópera de nuestro joven compatriota y medios, á la remoción de los jueces? ¿Por qué? Porque no distinguido compositor D. Baltasar Saldoni, titulada Jper- Constitución no están designados los jueces que han de enten­ tiene responsabilidad ninguna el poder judicial, y no hay otro der en los procedimientos contra los Diputados. mestra , porque para unas funciones puramente españolas, no m edio, entretanto que se forma u…</t>
  </si>
  <si>
    <t>…anista y vecino de esta corte, ha señalado ner en escena la aploudida ópera en dos actos, del inaestro y casa de beneficencia, la inclusa, la he rm a n d a d del re- dicho Sr. juez para la primera junta el dia 27 de Diciembre D. Baltasar Saldoni, titulada íqgio, la del pecado m o rtal, la asociación del B uen Pas­ próximo, á las diez de la m añana, en su casa habitación, ca­ to r, el m onte de p ie d a d , el asilo de m endicidad de San lle de Santiago, uumero 7 nuevo, cuarto segundo de la iz­ IPE R M E ST R A . B e rn a…</t>
  </si>
  <si>
    <t>…de obras Sau Pedro y San J u a n sanando á un cojo.—R afael. el presente año cómico de la ópera en dos actos, del maestro pintorescas, no habia servido aun para dar á luz un libro tan M a rtirio de San Lorenzo.:=J. R ib era. D. Baltasar Saldoni, titulada grandioso como necesario en el actual estado de la civilización: El coplero.=Van Ostade. En su primer ardor de popularizarse, las bellas artes reprodu­ M u e ite de Ananias.—Rafael. IPERM ESTRA. cían pasos de novela, y no se reproducían á sí mismas; o lv i ­ A iiad n e…</t>
  </si>
  <si>
    <t>Sales, Bartolomé</t>
  </si>
  <si>
    <t>Bartolomé Sales</t>
  </si>
  <si>
    <t>…ba­ ambos terror de aquel pais, verificada en Villavieja la misma El Sr. M O NTESIN O rectificó hechos, y pidió se leyera luarte de la libertad española, son dignos sus individuos de los noche, cuyo importante servicio prestó D. Bartolomé Sales, co­ la exposición. mayores elogios; pero esta parte de gloria toca con la mayor mandante de la partida volante de aquel distrito. {Id,) Leida dicha exposición , dijo igualdad á los que tuvimos entonces el honor de ser simples El Sr. PASCUAL: N o he pedido la palabra para hacer la M…</t>
  </si>
  <si>
    <t>…y la salida que de su orden hizo el dia antes el comandante de la estado que ofrecemos á nuestros lectores, h ay que recordar que al principio por el corto tiempo de aprendizaje que ten ian , sin partida volante de aquel punto D. Bartolomé Sales, hacia los dos de ellas (la del Carnaval , y la Santa) son las menos á pro­ embargo no dejaron de acreditar su decidida aplicación y apro­ montes de Alfondeguilla y A rtana infestados por una p arti- pósito acaso de todo el año para realizar ahorros por los pocos vechamiento en las p…</t>
  </si>
  <si>
    <t>Sales, Jaime</t>
  </si>
  <si>
    <t>Jaime Sales</t>
  </si>
  <si>
    <t>…raciones , siendo esto una Doña Manuela Garcés y Doña Antonia Berneau de Montene­ mismo, D. Manfredo Lauti, empleo de teniente de infantería. farsa ridicula, pues por la relación que acabo de hacer es con­ gro , con los socios D. Jaime Sales, D. Carlos Seutiel, y resto Comandante graduado, capitán de infantería agregado al es­ siguiente que este ahogamiento, pena merecida pero inusitada, de la sección de música. Con tino y acierto fue cantado tam ­ tado m ayor, D. Eusebio Calonge , empleo de mayor de ba­ ha sido inventado y…</t>
  </si>
  <si>
    <t>Salgado, Baltasar</t>
  </si>
  <si>
    <t>Baltasar Salgado</t>
  </si>
  <si>
    <t>…ndante m ilita r de esta c iu d a d disponga MADRID 2 8 DE FEB R ER O. su ejecución. Señalo el castillo del Castro de la plaza de V ic o El gobernador m i l it a r de Segorbe a n u n c ia con fecha de a y e r para pr.s.on de D. Baltasar Salgado , secretario del ay u n tam ien - que las facciones que infestan aquella comarca se h allab an con d°p n 1 r° V C0Q°- puilt0 ^ c o n f i n a m i e n t o ; y para residencia L a s n o t ic ia s q u e h em o s r e c ib i d o d e N a v a r ra c o n f ir m a n sus cabecillas en M a te t…</t>
  </si>
  <si>
    <t>Salido, Domingo</t>
  </si>
  <si>
    <t>Domingo Salido</t>
  </si>
  <si>
    <t>…onor ciertamente para un lüósofo como vos!... W iid m a n , cabo primero del regimiento suizo de W in f e n j morir solo, como él dice, anuncian del rnoao mas feliz, mas Entonces se levantaba Boileau de malísimo hu m or, y to­ D. Domingo Salido , sargento primero del regimiento de infan­ sencillo y mas gracioso , el carácter singular que Moliere se pro­ mando su sombrero y su bastón se disponía á marchar; pero tería 4*°de ligeros ; Esteban Carrasco, Marcos de la Torre, D o ­ puso piular. Molire le tendía la mano sonriendo ;…</t>
  </si>
  <si>
    <t>Salió, Fernando</t>
  </si>
  <si>
    <t>Fernando Salió</t>
  </si>
  <si>
    <t>…les peticioues de aquel vecindario kha expedí- S valiente sargento Diego Martínez: el de ía derecha al del i n t r é ­ derecho in te rn a cio n al; el buque había perdido su naturaleza do el siguiente decreto. j pido teniente D. Fernando Salió as , ocupando yo ei centro co n desde que se hizo corsario de San tac ru z; él tomó la bandera de El gefe interino did Estado de Goatemala se ha servido d i - j ■si resto; y dando órdeo de cargarlo s, se verifii.0 esta operación la titulada Confederación, y se habia hecho materia de…</t>
  </si>
  <si>
    <t>Salmerón, Francisco</t>
  </si>
  <si>
    <t>Francisco Salmerón</t>
  </si>
  <si>
    <t>…r del nuestro; Otia id., sierra de Gador , cerro de la Monterilla , término G uinea, D. José Sandoval , D. Francisco Arra tia, D. Juan pues basta fijar la consideración en que el abono á cualquier de Iluercal , S. Nicolás, por D Francisco Salmerón , en 8. Pedro A y e g u i, D. Fermín Diez Hernández, D. Benito Corta - gabinete de lectura , que nuestros suscriptores tienen gratis, Otra i d . , sierra Almagrera, barranco Jaroso, término de zar , D . Basilio Ramos, D . Antonio Prieto; quienes declararon cuesta 20 rs. al menos…</t>
  </si>
  <si>
    <t>Salomón</t>
  </si>
  <si>
    <t>…os tribunales administrativos. cia de Africa , se trata de atacar á los kabilas, y de vengar la Y arquitectura: lo que se avisa á los Sres. socios por si gustan Y la cuarta los gobiernos políticos. muerte del esforzado comandante Salomón, que pereció en una isistir. Contiene ademas una introducción y un apéndice, en que se emboscada cerca de Bugía. {Id.) trata del consejo de estado, de los ministerios y direcciones ge­ nerales; un prontuario de la legislación administrativa vigente por orden de materias y cronológico; una…</t>
  </si>
  <si>
    <t>Salvador</t>
  </si>
  <si>
    <t>…ena reunión, por D. Manuel Lavilla, Denuncios.zzUna mina plomiza en sierra de G ad o r, hoya Presidio , nuestra señora de la Guia , ahora de G uadalupe, por en 18. de Martos, término de L anjar, titulada Salud tercera (a) San D. Salvador G arrido, en 25. O tra id. en sierra Almagrera , término de P u lp í, San José, M atías, por Roque Samper , en 1.° Registros.=:Una mina plomiza en Sierra de L u j a r , baTran­ por D. Pedro Lledó y Valdivia , en 20. O tra id. en cerro de Q u in ta n a , término de C a nja yar, Sao quillo d…</t>
  </si>
  <si>
    <t>…ertades de la nación, ha cabido en suerte con el no en 8.° marquilla. Se hallará á 4 rSa en Ia librería de Cues­ ta , frente á S. Felipe el Real. primer extracto de la de este dia á Doña Carmen de Les, D IO R A M A . hija de D. Salvador, teniente coronel del regimiento de Gua- L A STIM O SO via-crucis de la tropa, ó sean décimas descrip- dalajara, muerto en el campo del honor. ^ tivas sobre las inimitables virtudes de nuestros sufridos Establecimiento de un género enteramente nuevo en Espa­ valientes en la presente lucha…</t>
  </si>
  <si>
    <t>…s. En Yiena reina tanto esta per­ participa la hazaña ejecutada por el patriota refugiado en gresos se constituye un fondo para socorros, cuyo Ínteres en­ suasión que los fondos han subido bastante. Todo el mundo aquella villa D. Salvador babater, incendiando un buque que tra en la caja com ún, y se emplea en beneficio de los que han quiere la paz, no quizás una paz duradera , sino para preparar­ los rebeldes habían construido en Rosell, pueblo situado siete salido de la prisión. se mejor a uno de esos acontecimientos que pa…</t>
  </si>
  <si>
    <t>Salvany, Joaquín</t>
  </si>
  <si>
    <t>Joaquín Salvany</t>
  </si>
  <si>
    <t>…gassa, del propio CRUZ. Hoy no h ay función. p artid o , por el mismo Romá y com pañía, en 1 .° Otra de hierro en el término de F rag u rá, del mismo p arti­ inspección de m inas de las provincias de Granada v A l do , por D. Joaquín Salvany á nombre de Esteban Carreras, mena.=Mes de Ju n io de 1859.=Reiacion de los denuncios y re - fabricante de hierro en B aget, en 5.</t>
  </si>
  <si>
    <t>Salvato</t>
  </si>
  <si>
    <t>…na ce la situación del reclamante; pero en la alternativa en que greso están satisfechos. satisfacción; en cuyos sugetos fue comprendido un brigadier la coloca el reglamento, El Sr. P ID A L : Señores, he oido con placer al Sr. Salvato que tanto el, como en la actualidad sus hijos, han derramado Opina que esta solicitad debe de pasar al señor Ministro de reclamar los principios en que estriba la seguridad individual su sangre en defensa de la libertad , y que igualmente un es­ Hacienda. de los españoles ; pero quiero que…</t>
  </si>
  <si>
    <t>Salvato, D. Pascual Madoz. Sr. D. Ramón</t>
  </si>
  <si>
    <t>D. Pascual Madoz. Sr. D. Ramón Salvato</t>
  </si>
  <si>
    <t>…Joaquin Borras. Sr. D. José G ispert, Secretario 5.° Lérida. Sr. D. Antonio Satorras. Sr. D. Pablo Gali. Sr. D. Juan Anguera. Sr. D. Pedro Moret. Sr. D. Antonio Viadera. Sr. D. Miguel de Córdoba. Sr. D. Ramón dé Bacardí. Sr. D. Pascual Madoz. Sr. D. Ramón Salvato. Sr. Teruel. Logroño. Sr. D. Ambrosio Sánchez. Burgos. Sr. D. Miguel Alejos Burrie!. Sr. D. Pablo Govantes Sr. D. Andrés Almarza. Sr. D. Ramón. María Tempradc. Sr. D. Manuel de la Rivaherrera, Vicepresidente 1.° Sr. D. Salustiano de Olózaga. Sr. D. Joaquin…</t>
  </si>
  <si>
    <t>Salviati, Pisa Francesco</t>
  </si>
  <si>
    <t>Pisa Francesco Salviati</t>
  </si>
  <si>
    <t>…ico-políticas del mismo autor. ruedas del universo pagano eran santas y respetables, ha­ su hermano, quien mandó ahorcar de una ventana del biendo desenterrado tan nobles reliquias con una vigilan­ palacio viejo al arzobispo de Pisa Francesco Salviati: Lau­ 9 •---------------------------------------------------------------------------------------------------------------------------------------------------------------------------- ------------- — cia y un celo sin igual. Mientras que Venecia traia la pin­ rencio fue el Lu…</t>
  </si>
  <si>
    <t>Salvá, Vicente</t>
  </si>
  <si>
    <t>Vicente Salvá</t>
  </si>
  <si>
    <t>…deben Convencida la sociedad de las ventajas singulares de la M r. L a b o u ch e re : Una comunicación del coronel Prince es ser cangeados con igual número de los que gimen en la desespe­ gram ática castellana publicada por D. Vicente Salvá , conce­ la única noticia que el Gobierno posee relativamente á este ne­ ración entre los vándalos. El cange parece se ha reducido á este derá el premio, con preferencia, á los niños que se presenten gocio. Resulta de esta comunicación que en un combate contra corto núm ero, por no h…</t>
  </si>
  <si>
    <t>Salvá, Viceote</t>
  </si>
  <si>
    <t>Viceote Salvá</t>
  </si>
  <si>
    <t>…encia: príncipe. pinta una sociedad ideal que no era la de su siglo, y son Tal es la acción de esta pieza, no m enos m oral que m uy pocas las comedias suyas en que merezca elogios por Y^OMPENDIO de la gramática castellana de D. Viceote Salvá. interesante. Los caracteres principales son altam ente tea­ la regularidad de la acción. Desde que se publicó la Gramática de este autor se le h i ­ trales y modelos de nobleza y de sentim ientos generosos: cieron tantas instancias para que formase un compendio que Al concluir nuestr…</t>
  </si>
  <si>
    <t>Sama, D. Juan Pascual</t>
  </si>
  <si>
    <t>D. Juan Pascual Sama</t>
  </si>
  <si>
    <t>…n.—Reunido el jurado para calificar el impreso la del distrito de Granada bajo las formalidades y condiciones necesaria para taldelgénero Si mereciese público amante de la ciencia la aceptación denunciado por el prebendado el Sr. D. Juan Pascual Sama, lo establecidas en el pliego geoeral aprobado por S. M. Lo que se porcionará con la misma deperfección empresa , el director de esta pro­ declara absuelto.z=Felipe Antonio Alvaro.zzJ. M. deVillarroel.= hace saber al público para que los que gusten hacer proposi­ una colección e…</t>
  </si>
  <si>
    <t>Sama, Juan Pascual</t>
  </si>
  <si>
    <t>Juan Pascual Sama</t>
  </si>
  <si>
    <t>…de los cráneos, deseaban habiéndose celebrado la vista de la causa formada á instancia de manifiesto en los estrados de la intendencia general, donde sin embargo agregar al estudio teórico de sus razones y argu­ del presbítero D. Juan Pascual Sama, prebendado de la santa se verificará el remate á las doce en punto del citado dia, y se mentos el práctico apoyo que ofrece la doctrina con la exte­ iglesia catedral de la misma, contra su venerable cabildo ecle­ adjudicará la subasta al que resulte mejor postor, luego que sea rio…</t>
  </si>
  <si>
    <t>Samaniego, D. Antonio</t>
  </si>
  <si>
    <t>D. Antonio Samaniego</t>
  </si>
  <si>
    <t>…luego como Zam ora, Barinaga, y otra el socio D. Pedro Miranda. Ademas de estas se halle establecido. el mismo secretario Barinaga leyó en una sesión posterior otras Los trabajos del presente año no desmerecen ni en objeto Sr. D. Antonio Samaniego. tres remitidas desde Sevilla por D. Fernando de la Puente á ni en resultados á los de los años anteriores. Los socios á porfía Sr. D. Francisco Ruiz del Arbol. los redactores del Correo Nacional . se han ofrecido á servir las cátedras, y aunque esta especie de Sr. duque de Ve…</t>
  </si>
  <si>
    <t>Samaniego, Doña Soledad</t>
  </si>
  <si>
    <t>Doña Soledad Samaniego</t>
  </si>
  <si>
    <t>…e tul de hilo bordado, al Sr. D. Juan Vela. Cordial y espontáneamente se han felicitado ya los dos que hicieron.» . . . . . . . . . . . . . . &gt; 27 6 6 1 . Un ridículo de terciopelo bordado de oro y sedas, á “------ 1273 la Sra. Doña Soledad Samaniego, hija de los Excmos. Sres. mar­ pueblos españoles, donde por su proximidad al territorio francés ha llegado esta noticia, y en Santander y en otros 1 . . - . . . i queses de Val verde. puntos, segün se nos ha escrito, han festejado por ella á Líquido producto de la exposici…</t>
  </si>
  <si>
    <t>Samaniego, José</t>
  </si>
  <si>
    <t>José Samaniego</t>
  </si>
  <si>
    <t>…nte al ejército del N o rte , dirigida por su ge-^ DECIMA NOVEN A QU EM A . fe accidental el esforzado coronel del regimiento provincial de T o t a l . . . , ............................ 2 0 8 - 5 5 2 , 6 7 4 - 5 5 Salamanca D. José Samaniego, y la batería rodada. Se empren­ ^Reunida en la plaza de la Constitución á las once de la dió el movimiento á las once de la mañana , dejando estableci­ mañana de este dia la junta nombrada por S. M. para presidir DATA. do en Cortes el hospital de sangre y depósito de bagages, la…</t>
  </si>
  <si>
    <t>Samuel</t>
  </si>
  <si>
    <t>…abia noticias á mediados del siglo x vm , íueron entrega­ o o. » ’ o* 2- *' 3 la dinastía austríaca, y que fue desapareciendo con lenti­ c. fr a .3 tud en la siguiente. Un G o b iern o, con tin u ó, que tenia que das al sueco D. Samuel T íq u et, quien las benefició por su cuenta , y* é n el añ o de 1768 aun continuaban dirigidas crear las sociedades económ icas para prom over la prim e­ p or el aleman P erin ger, habiendo seguido después por ra instrucción en un pais en que ni ios grandes, ni la cla­ .________. 1 m . x…</t>
  </si>
  <si>
    <t>San</t>
  </si>
  <si>
    <t>…os en este periódico en el mes anterior. m o cabeza que es de la g r a n familia q u e se llama Estado, de 50 dias, contados desde la publicación en la Gaceta de esta c a p ita l, comparezcan en dicho juzgado y escribanía de D. San­ &gt;resenta a su consejo la v e rd a d e ra situación en que se h a ­ Real decreto declarando derogado en todas sus partes el decreto Í lan Jos negocios, y le trasm ite sus mas íntimos pensa­ de 4 de Setiembre en el que se encargaba á la superintenden­ tiago Manuel de Albóniga ; con apercibimie…</t>
  </si>
  <si>
    <t>…' h e ­ biéndole dijo que no habia motivo por consiguiente de formar el Sr. R e y manifestó su opiaion , y ..... mos de continuar callando? Pues qué , ¿la tolerancia constitu­ causa. E l Sr. R E Y : Y o niego lo que dice el Sr. San cho, y en tan­ ye nunca derecho? ¿ H a y mas que la tolerancia? Se dirá que Añade que respecto á los estados de sitio nunca los ha de­ to se puso á discusión cuanto que al hablarse de consejos de hay Reales órdenes. Y q u é , ¿la Constitución está pendiente de fendido , y que su opinión es que…</t>
  </si>
  <si>
    <t>…samente anterior quedó aprobada. El Sr. conde de las N A V A S : Después de lo manifestado enervadas aquellas mientras las disensiones civiles ejercen su También lo fue la de la extraordinaria celebrada en la t a r ­ por el Sr. San ch o , nada nuevo tengo que a ñ a d ir: en el d ic tá ­ funesto inílujo. de del dia de ayer. men de la comisión están explicados los dos casos , y por con­ El Senado , Señora , con tan fausto m o tivo , tiene el honor El Congreso quedó enterado de una comunicación del señor siguiente cuando ll…</t>
  </si>
  <si>
    <t>SAN</t>
  </si>
  <si>
    <t>…r la fac­ sufrido el Sr. Iñigo, ya por lo respectivo á ja historia del cole­ tir mi enmienda. ción asciende á 700 y tantos reales diarios, y al cabo de los gio de abogados, ya por lo que se referia á los estatutos de los El Sr. SAN M IG U E L : Señores, la comisión siente decir años que dura la guerra asciende á una cantidad enorme , y por mismos. Dijo en seguida que nada podia serle mas doloroso que por mi órgano que es inadmisible la enmienda que ha hecho el eso seria do esperar que el Gobierno de S. M. tuviese en consi…</t>
  </si>
  <si>
    <t>…dijo estaba conform e en la cantidad mos que haya un solo hom bre de ju icio que no reconozca designada por el Sr. Sancho. hasta qué punto el hecho de que vamos hablando d eb ió Descuento de letra s, á 6 por 100 al año# El Sr. San M iguel expuso que de aprobarse la enmienda , el destruir la fuerza moral del G o b ie rn o , que la necesitaba Congreso destruiría en cierto modo lo mismo que acababa de inmensa. Una gran parte de la misma prensa hizo luego aprobar. Que la comisión no tendría inconveniente en admitir una treg…</t>
  </si>
  <si>
    <t>…e la capital. española la L ig era , ocurrido en la isla de Cuba en 1822. Montes y arbolados. su título. La Rrvisia m ili lar que publica y redacta el ilus­ Sobre el descubrimiento de la América por los escandinavos. tre general San M iguel, en ten d id o teórica y prác tica­ Indice alfabético y analítico del tomo primero. m ente en estas m aterias, trata con profund idad , y al mis­ BOLETIN DE COMERCIO. m o tiem po con sencillez y claridad didáctica, cuantas m a­ ■ - terias co m prenden en toda su extensión y en sus divers…</t>
  </si>
  <si>
    <t>…persona que se consideren con derecho á la herencia de la dominación de los romanos , y sus guerras con los cartagi­ L aujar, Santa Teresa de Jesús, por Mariano Lozano, en 15. D. Manuel Antonio Rodríguez Sierra , difunto abad de San neses, hechos inmortales de Sagunto y de Numancia , y su ca­ Otra id. en dicho sitio, La Concepción , por Miguel Pere­ Miguel de Monteferrado en este partido, y natural del pue­ tástrofe, nacimiento de Jesucristo , origen y progresos del cris­ grina , en id. blo de Miraballes, concejo de Cangas…</t>
  </si>
  <si>
    <t>…está ausente de España. Y o tenia la disfruten. de haber. esperanza de que se hallase presente en estos bancos para que Fue aprobado el art. 3.° sin d isc u sió n , que d ic e : El Sr. EGEA contesta que la expresión que el Sr. San M i­ contestase á los datos en que fundo mi acusación. Esto no se ha* A rt. 3.° Las comisiones de que trata el art. 2 .° procederán guel ha notado de " c o n endoso ó sin é l ” es en contraposición v erificad o , y adem as el reglam ento vigente no perm ite á lo$ en el desempeño de su en cargo…</t>
  </si>
  <si>
    <t>…la primera que se rep artirá, Una cons­ instado por su primo San L uis de Francia á pasar á la Tierra no de Romanones estuvieron ayer cometiendo robos y atando á piración en tiempo de L uis xiv , o rigin al del célebre conde de San ta, respondió: en España hay tam bién m ah om etanos que todos los pasajeros, y tuvieron la osadía de interceptar la co r- V ig n y. com batir . Esta prudencia no se aviene bien con el delirio del I respondencia que á esta comandancia general y gobierno polí- I Se suscribe en M adrid en la libr…</t>
  </si>
  <si>
    <t>…los que se pueden envanecer de tenerla perfecta; faccioso Ramón Gamallo, y aunque iba otro con él no pudo estación á la iglesia catedral, han rivalizado en magnificencia; quisiéramos decir todo lo que sentimos cuando toca el Sr. San­ dársele alcance. Todo lo que participo á V. S. á fin de que se debiendo hacer particular mención de la hermandad del santo clemente; pero para conocerle es preciso oirle , y oirle mucho, y sirva mandar se inserte en el Boletín oficial de esa provincia. entierro, para cuyo elogio no encontramos…</t>
  </si>
  <si>
    <t>…en ; es decir, que hasta que el Congreso que-* voto está bien ó mal comprendido; no, señores, de ningún mo­ ña administración de Zaragoza ; estos son hechos que sino exis­ de constituido , los documentos no vendrán , y ya el Sr. San­ do: yo hablo de aquellas que vician ei fundamento de la elec­ tieran, no corroborarian lo que se ha dicho. Esto es grave , y cho ha dicho que tal vez mañana se constituirá; por consi­ ción , tal como la que digo. (E l S r . conde de Las Navas p i- debe atajarse, porque si no, llegará tiempo e…</t>
  </si>
  <si>
    <t>…ho á este artículo por creerlo inm oral; pero la zón es muy sencilla. Los particulares que juegan en las opera­ examinar por una junta compuesta de tantas personas elevadas comisión conoce perfectamente , y creo que el mismo Sr. San­ ciones de la bolsa calculan por los datos que puede tener un par­ en dignidad , compuesta de los primeros empleados de la h a­ ticu lar, pues en cuanto se admita la concurrencia eventual ex­ cienda pública, de Senadores, de Diputados y de otras perso­ cho se convencerá de que no hay tal inmor…</t>
  </si>
  <si>
    <t>…y dos adiciones; pero no afectan en lo mas m í­ curso vean el medio de poder satisfacer la necesidad de la vida, Añadió que habia tomado la palabra para manifestar que nimo la totalidad ; una es al art. 1.° presentada por el Sr. San­ de su existencia, y se las diga (tao hay recurso, no hay medio, los deseos de los peticionarios no eran los que se suponían, pues cho, y otra del Sr. Sánchez: no afectan, repito, la totalidad, todo lo consume la guerra?” N o sé yo , ahora que la guerra se no querían que se las devolviesen sus…</t>
  </si>
  <si>
    <t>…1815 Plim outh ha mejorado considerable­ ses B rea k w a ter , literalmente rom pem ai\ El alm irante lord V alenc i a 7 d e D iciem bre, mente en edificios públicos y casas p articulares, habiéndose in ­ J e r v i s , conde de San V icente, propuso el plan en 1806 al lord troducido mucho gusto en la arquitectura. La fonda Real y el G r e y , primer lord del alm iran taz go ; y aprobado, fueron co­ Presidio correccional de Valencia. ~ En dos ocasiones he­ teatro forman un edificio de gran m agn itu d y hermosura. El mos…</t>
  </si>
  <si>
    <t>…ía D u r a n , juez letrado de prim era instancia de esta vez en medio de vosotros en el Parlamento», pues que deseo v i­ tará medidas de tal naturaleza que aseguren á aquella parte de v illa , por la escribanía del número de D. San tiago de la G ran­ vam ente recu rrir á vuestros consejos y á vuestra cooperación mi im perio el beneficio de la tran q u ilid ad in te r io r , y todas las ja , apercibidas que pasado sin hacerlo les p arará el perjuicio en una época en que muchos asuntos de grande im portancia que h ay a lu g…</t>
  </si>
  <si>
    <t>…enarcada t e , señores, si apuramos esta cuestión demasiado, llegaremos Se s u s p e n d i ó por un momento esta discusión para dar lu­ la jurisdicción ; pero no se diga que se i o valida ese poder por­ á lo que ha dicho el Sr. San ch o , á una cuestión de metafísica, gar a que prestaran juramento , como lo hicieron , los Sres. d u ­ que el Congreso determine si fulano es Diputado ó no. es d e cir, á que casi no nos entendamos. Asi sucede con ciertas que de V e r a g u a s, y Torrees y M iralda. A s i , yo creo que esta cu…</t>
  </si>
  <si>
    <t>…iciembre de 1859.r:José V i ­ tro muy adictos á la Reina nuestra Señora Doña Isabel n , la M á l a g a , 1£ id. llar y N u ñ e z , secretario. Reina Gobernadora y la nación. El Sr. duque de la Victoria ha sido nombrado diputado San tan d er, par. general por aclamación. A lic a n te , i papel d. S a n t ia g o , 2 d. Ayer 12 tomó posesión la nueva diputación fo ral; y en se­ Barcelona á ps. i s . , par. S e v il la , 1 ¿ id. M U S IC A . guida con un entusiasmo sin igu al se proclamó á Doña Isa­ B ilb ao , id. V alen cia,…</t>
  </si>
  <si>
    <t>…as que quedaron sin resolverse en la legislatura pasada, y a n u n ­ crutinio porque se creyó innecesario é intempestivo; y que no El Sr. González rectifica un hecho. ciado que quedaba sobre la mesa para su disc u sió n , el Sr. San ­ contestaba á las demas observaciones del Sr. Perez de R iv as por A petición de un Sr. Senador se pregunta si el punto está cho manifestó que no creia conveniente se diese curso á esas parecerle que ya se habia hecho cuando rebatió los argum en ­ suficientemente discutido-, y contestado que s…</t>
  </si>
  <si>
    <t>…demas, ¿es necesaria esta prolijidad a n isa sle a , que siempre son I03 m i s m o s , r e u n i d o s , inseparable Roma de la cristiandad, la musa de aquel Virgilio de que para describir la traición aleve de que fue víctima D. San­ e a esda planta ó en cada a n i m a l , pero diversos en sus propor- cionesMe un individuo á u o o t r o , de uno á otro pais, tan ufana se mostraba la Roma del paganismo. Queriendo cho?... | L a determinación precisa de estas proporciones en la sin- pues acrecer su gloria, trató de persuad…</t>
  </si>
  <si>
    <t>…independencia de ia nación? derechos de una minoría. Los Sres. D iputados, el público que me escucha , y la na­ Esto es lo que tengo que decir respecto de la parte diplomáti­ Pasó el orador á hacerse cargo de lo dicho por el Sr. San­ ción entera que lo leerá, se hará cargo de mi posición particu­ c a ; y yo qui.sicríi hallarme en la posición y con el prestigio que cho en la sesión del 4 J g Lebrero de este añ o , tratándose de la l a r , y del modo que tenga de usar de la palabra. tiene el duque de la V ic to ria, y coa s…</t>
  </si>
  <si>
    <t>…, ha hecho cuanto podia exigirse; ha respe­ disposiciones para ahogar las sediciones, y que tenga leyes mas tado el principio, y ha dicho: puesto que es uecesario absolu­ favorables para el caso presente. Pues qué, ¿desde que D. San­ PRIN CIPE. A las siete de la noche* tamente presentar un proyecto de ley excepcional, nuevo , que cho el Bravo destronó á su padre y usurpó el trono á los hijos Se dará principio con una brillante sin fo n ía; y á continua­ no existe hasta ahora, mi trabajo es este. Por tanto la comisión de s…</t>
  </si>
  <si>
    <t>…una aplicación de los principios establecidos en la t r a d u c ­ * 8.° roarquilla. Se vende en ia librería de R a n z , calle de cio a n ti g u o 10 rs. cada u n a , y moderno 8. ción á lis leyes y practicas de E sp añ a, por D. San ti ago A l - la C r u z , á 20 rs. C u a tr o de 19 p. y 5 1. de a l t o , y 12 p. y 9 !• de anc ho. varado de la Peña ; y esta pa rt e, la mas interesante para noso­ Esta obra publicada mas ha de 4 ^ años es curiosa en el dia Precio a n ti gu o 10 rs. cada un a , y moderno 8. tros , se limita á…</t>
  </si>
  <si>
    <t>…o, que violaba la Carta 8. S, continuando en sus observaciones , p?sa á im p u g n a r ante rioridad aí hecho. N o , señores , lo que se ha querido decir en la seguridad de los ciudadanos , dijo que habia sabido d e ­ las del Sr. San ch o , y á las que se han hecho por los (Lunas .se-* en el -artículo lo explicó ayer perfectamente el Sr. Sau cho , y yo cir el tribunal de Casación al mismo Rey de los franceses que ñores que han combatido el artículo, el cual sostiene , porqué fceogo que recordarlo. aquello era contrario á la…</t>
  </si>
  <si>
    <t>…r Luoo Villegas. = El alcalde presidente de V al de Prado , M a - i quiavélicos de la Rusia. a p r e c io las ex p o sicio n es sig u ie n te s de la d ip u ta c ió n g e n e ­ auei Garóía del Barrio.zzEl alcalde presidente de San M iguel 1 L a situación del ejército turco es lamentable y apenas cuen­ r a l d e V iz c a y a y a y u n ta m ie n t o s d e l p a r tid o d e R ein o sa y de A g u a y o , Felipe Fernandez de los Rios.:=: Manuel García C a - 1 ta ea el dia 400 hombres de tropas disciplinadas. Una parte de la…</t>
  </si>
  <si>
    <t>…os, y que para ello seria bueno el establecer una cual deseaba que la comisión le aclarase esta duda. Se dio cuenta de una comunicación del Sr. Ministro de Ha­ buena educación , con lo que se conseguiría la mejora de cos­ El Sr. SAN M IGUEL contesta que el abogado está en ple­ tum bres, pero que nos hallábamos en un estado que antes de na libertad de eximirse de la defensa que le encargue un reo cienda , por la cual ha tenido á bien S. M. nombrar para que empezar á coger esos frutos habian de pasar muchos años, por­ en vi…</t>
  </si>
  <si>
    <t>…e! Gobierno. Señora: Seis años ha que una guerra espantosa y fratrici­ El Sr. GOMEZ BECERRA contestó que de accederse á los da llenaba de amargura el corazón de los españoles. Seis años Z aragoza 24 d e O ctubre . deseos del Sr. San M ig uel, resultaría que continuar la discu­ há que los dignos sucesores de Pelayo sacrificaban su vida por sión de un proyecto , ya concluido en otra legislatura y en otro reconquistar su libertad , que arrebatar querían una porción El gobernador de Daroca con fecha del 25 da parte al se­ cuerp…</t>
  </si>
  <si>
    <t>San, Claudio</t>
  </si>
  <si>
    <t>Claudio San</t>
  </si>
  <si>
    <t>…y de Paz, frente á las Covachuelas; y en las provin* cepto se considere con derecho á sus bienes *para que le deduz­ cias en las administraciones de correos y principales librerías can ante S. S. por la escribanía de numeró de D. Claudio San* _ Precios de suscripción: en Madrid 4 rs. al mes y 56 por ui y Barca dentro del término de 20 dias, contados desde la pu­ año; y en las provincias 24 rs. por seis meses, franco de porte TEATROS. blicación de este anuncio en la Gaceta, con apercibimiento de En las mismas librerías se hal…</t>
  </si>
  <si>
    <t>…e se Suma.................................. 8,752..52 ^ siguen en el juzgado de primera instancia de esta capital, al cargo del señor D. Francisco Amorós y López, por la BOLETIN DE COMERCIO. escribanía del número del doctor D. Claudio San* y Barea, se 'Tribunal de comercio. saca á pública subasta por término de 20 dias la sexta parte de BOLSA D E M A D RID . la casa sita en la calle M ayor, donde estuvieron los postales de Por providencia del mismo, y término de 15 dias, se pu­ S. Isidro, núm. 37 nuevo, que se compone…</t>
  </si>
  <si>
    <t>San, Domingo</t>
  </si>
  <si>
    <t>Domingo San</t>
  </si>
  <si>
    <t>…o es de Pontevedra , la permuta do sus relaciones políticas con la España, suspendidas cuenta á este ministerio, acompañando nota de los facul­ á D. Domingo Rusio, de sus respectivos destinos, como también Juez de Arnedo, yá D. Domingo San­ hasta ahora, reconociendo el Gobierno de nuestra legíti­ tativos responsables que en la preinserta Real orden se in­ to Domingo, que lo es de Bribiesca , que han hecho igual so­ ma Reina la Señora Doña Isabel n. dican. licitud. En consecuencia S. M. el Rey Guillermo ha nombrado Dios…</t>
  </si>
  <si>
    <t>San, Evaristo</t>
  </si>
  <si>
    <t>Evaristo San</t>
  </si>
  <si>
    <t>…contado: 5 2 |, 35 tres dieziseisavos, 32^, 33£, 35, ^ y 3: En Cifuentes se presentaron ayer dos facciosos, y hoy lo cinco dieziseisavos á v. f. vol.: 55:*-, i y 54 á v. f. ó yol» á pri I?SPA Ñ A en Octubre de 1859. Paz. Por D. Evaristo San han verificado otros dos en Brihuega. ma de 1 , \ y 1 por 100 con cupones. Miguel. Un cuaderno en 4 ° Se vende i 4 rs. en Madrid Los salvaguardias se han apoderado también en Viana de Inscripciones en el gran libro á 4 Por Í0 0 , 00. en las librerías de Cuesta y Sánchez, y en la impren…</t>
  </si>
  <si>
    <t>San, Joaquín María</t>
  </si>
  <si>
    <t>Joaquín María San</t>
  </si>
  <si>
    <t>…sp/ibe con igual fecha una comunica­ tulado el G u irig a y , núm. 24 , denunciado por el promotor fis- El vicario eclesiástico de Madrid dió conocimiento al ción del comandante militar de Villafarpés, en que le partici­ 'cal D. Joaquín María San M iguel, como subversivo y sedicio­ Gobierno de que se le habia presentado una solicitud para pa que el cabeciPa Coba con el fin de apoderarse de aquel fuer­ so, la ley absuelve á D. Ramón Carsí , editor responsable de contraer matrimonio por medio de procurador apoyándola te log…</t>
  </si>
  <si>
    <t>…los catalanes que aprenden el Precio de suscripción 2 rs. cada drama. Por providencia del Sr. intendente de rentas de esta pro­ francés, y generalmente á todos los comerciantes y demas que vincia , se cita, llama y emplaza á D. Joaquín María San gui­ necesitan poseer esta lengua para sus negocios, el trabajo de te­ no, para que en el preciso término de nueve dias comparezca ner como intermediario otro diccionario castellano-frances para TEATROS. en la escribanía principal de amortización, calle del Lobo, uú- producir su…</t>
  </si>
  <si>
    <t>…l mismo hecho se pue­ Habiéndose denunciado ante el Sr. alcalde primero consti­ dan formar. tucional D. Tornas Fernandez de Yallejo por el promotor fis~ PO LO NIA. 4.a Los partes que los gefes de la Milicia nacional pue­ cal D. Joaquín María San M iguel, en concepto de subversivo Se lee en la Gaceta de Presburgo: dan d a r, asi como los que dirijan los gefes políticos , in­ y sedicioso en primer grado, el articulo inserto en el periódico En virtud de una nueva orden del ministro de Intruccion tendentes de Rentas, jueces…</t>
  </si>
  <si>
    <t>San, Juan Nepomuceud</t>
  </si>
  <si>
    <t>Juan Nepomuceud San</t>
  </si>
  <si>
    <t>…............................Orense. TEATROS. que falta aquel tono vigoroso que im prim en las fisono­ D. Manuel María Acevedo.................................. Oviedo. mías individuales; pero también es cierto que el plan ha D. Juan Nepomuceud San M iguel....................Idem. PRINCIPE. Hoy no hay función. ganado no poco en regularidad y concierto determinado. Marques de Santa Cruz deRivadulla.................Pontevedra. Páresenos esto conocida ventaja, porque siendo la inteu- D. Joaquín María P a ti n o .... ........…</t>
  </si>
  <si>
    <t>San, María Dolores</t>
  </si>
  <si>
    <t>María Dolores San</t>
  </si>
  <si>
    <t>…nosotros se­ reglamentos del precitado pió establecimiento se prescriben* * Después de apoyar el artículo el Sr. A rteta, conviniendo guimos uu camino lento nada adelantaremos; únicamente po­ Art. 4*° Se señala igualmente á Doña María Dolores San con algunos señores en que no debía haberse puesto en la ley, dremos Juan , viuda del coronel graduado D. Atanasio M endivil, te­ pero que ya puesto, el Congreso debe aprobarle, porque es de mos los hallar medios, porque los hay, si vencemos y obtene­ objetos que nos proponemos. N…</t>
  </si>
  <si>
    <t>San, Mieg.</t>
  </si>
  <si>
    <t>Mieg. San</t>
  </si>
  <si>
    <t>…ue le advierta de continuo cuáles son los catedrático* siguientes: los beneficios que debe esperar de cada uno de los ramos del De griego el Sr. Lozano. saber hum ane, y de qué fuente mana el purísimo raudal que D e aleman el Sr. Mieg. San M artin de Valdeiglesias 50 de Diciembre. La co­ los contiene. Asi es que mientra* vemos otro* establecimientos De ingles el Sr. Olivan. lumna que opera en ei valle del Tietar á las órdenes del coman­ nacer y morir casi en un punto, y algunos vivir pero cou una De geografía el Sr. Fabre. d…</t>
  </si>
  <si>
    <t>San, Pascual</t>
  </si>
  <si>
    <t>Pascual San</t>
  </si>
  <si>
    <t>…bricas de ca­ va ; en el primero estaba la segunda brigada al mando del te­ con sus cubiertas de i n d ia n a , en cu y a simetría descansa la vis­ bles están construidas sobre un plan de la mayor seguridad, no niente coronel D. Pascual San z, quien con su actividad ha ta y se ale g ra , sobre todo notando el desahogo, ventilación y habiendo mas material empleado que piedra y hierro, de modo puesto aquel punto en pocos dias en estado de defensa. En el la ausencia de m iasm as, efecto casi inevitable de la reunión de que los…</t>
  </si>
  <si>
    <t>San-</t>
  </si>
  <si>
    <t>…Isidro Tórrens , subteniente de carabineros de la1 formado en aquella provincia para el repartimiento de quintos asociaciones, puede menos de ser v e rd a d eram en te útil é hag!)6 Publica, pidiendo una pensión para su hijo D. San- • en el último sorteo. interesante. La filantropía , origen de todas las v irtu d e s 242. El ayuntamiento de L ucena, manifestando los males sociales, y á cuyo im pulso se debe la instalación de la e x ^ ^ i ^ ar*an9 R ic a f o r t, sobre reintegro de 703 rs. que I&lt;5; q ue ha de producir una…</t>
  </si>
  <si>
    <t>San-, Francisco</t>
  </si>
  <si>
    <t>Francisco San-</t>
  </si>
  <si>
    <t>…especula* Atendiendo al mérito distinguido, buenos servicios y sido trasladados á otra provincia * se presenten precisa­ ciones arriesgadas, que siempre se reproducen cuando los bancos constante lealtad del mariscal de campo D. Francisco San- mente en sus respectivos destinos para el dia 8 del próxi­ han perdido la confianza y la seguridad. Estos efectos apenas juanena, como Reina Regente y Gobernadora del reino mo mes de Diciembre; en el concepto de qué de no verifi­ se sentirán en Inglaterra, porque las únicas acciones…</t>
  </si>
  <si>
    <t>San-, Leocadia</t>
  </si>
  <si>
    <t>Leocadia San-</t>
  </si>
  <si>
    <t>…su hijo hermoso', que cada a ñ o ib a n á la ca­ do mejor. novelescos que d iv ie rte n la atención del espectador y de­ pilla de S. Blas el dia de este santo: lo q u e conviene p e r ­ E n la sección de música la señorita Doña Leocadia San- b ilitan el efecto d ram á tic o de las mejores escenas. C a ld e ­ fectamente á los Reyes F elipe iv é Isabel de B o r b o n , y á jnanena canto un aria de A n a Bolena^jÉra la vez primera que rón n o es tan trágico como él; pero c u a n d o pinta sucesos cantaba en el Liceo, y si su…</t>
  </si>
  <si>
    <t>San-, Morales</t>
  </si>
  <si>
    <t>Morales San-</t>
  </si>
  <si>
    <t>…ión los que anteriormente habían verificado sus seccio­ dad , considerado como parte de los conocimientos necesarios su administración.—José Morales Santisteban , secretario. nes , asi como la memoria leída por el Sr. secretario Morales San- para formar un buen sistema de pesos y medidas. tisteban , y de la que hicimos mención en el citado extracto. La 4-* sección ha examinado detenidamente las causas que pueden influir en la corrupciou del gusto. Nombramiento cle las secciones. También se ha ocupado de la cultura de los…</t>
  </si>
  <si>
    <t>Sanch</t>
  </si>
  <si>
    <t>…arse tal sin v io le n c ia , pero pasa por u n a e n ­ m ientras no se oponga ó en cuanto no se oponga á la C o n sti­ terna será c ie g o , no podrá ver su cara nun ca. Y , señores, el m iend a. El G obierno, á q u ie n el Sr. Sanch o se ha d i r i g i d o , t i e « ¿ tución , y y o daré la r-izoti que tengo para ello. Gobierno explicó a y e r cómo e ntend ía su artícu lo p r i m e r o ; y que rep etir h o y lo que d ijo el d ia a n terio r. El Gobierno c u a n ­ A y e r , señores, el G o b iern o , tanto por boca del S…</t>
  </si>
  <si>
    <t>…reflexiones u n e ble la m u ltip lic a c ió n de las elecciones, p u e s , como d ijo m u y á la tercera elección eo ia p ro v in c ia de Palencia. sobre él hace no pueden considerarse corno otro dictám en d i s ­ bien el Sr. Sanch o , las elecciones son un m al relativo , corno se E i'S r . D E L G A D O : L a prevención que contra m í tengo de tinto , sino como tales observaciones que d irig e al Congreso p a ­ puede decir que el Gobierno es un m a l , y si p u d iéram o s p a ­ ser interesado en e^&gt;ta c u e stió n ,…</t>
  </si>
  <si>
    <t>…evedra. El Sr. O L O Z A G A h iz o presente que creía deber m a n ife s ­ que se ha hecho uso el otro d i a , f u n d a d a en que el núm ero de electores de P ontevedra no tuvo tiempo para votar en los dias A petición del Sr. Sanch o se leyó el oficio q u e el Congreso tar al Congreso qu e la comisión de contestación al discurso de señalados por la ley. En efecto, en la c ap ita l de S e v illa vota­ pasó al Gobierno en la le g isla tu ra pasada , p re v in ie n d o qu e se la C o r o n a , a u n q u e tiene y a bien…</t>
  </si>
  <si>
    <t>Sancha, Feliciano</t>
  </si>
  <si>
    <t>Feliciano Sancha</t>
  </si>
  <si>
    <t>…ara comenzar misma previeoe, tocó á los sugetos siguientes: D. Manuel de E l huracán. Cada hora nos llegan averías de algún nuévo la obra en el plazo que la Real orden de 14 de Marzo señala: Galarza, D. José Tomé y Ondarreta, D. Feliciano Sancha, destrozo causado por la tormenta del sábado: poco sin embar­ pues excitado aquel ayuntamiento y junta de comercio inspiran D. Antonio Castro, D. Diego del Rio, D. Francisco Antero go podríamos añadir á lo publicado Casado , D. Custodio Moreno, D. José Alvarez Crespo y Don ayer si…</t>
  </si>
  <si>
    <t>Sancha, Justo</t>
  </si>
  <si>
    <t>Justo Sancha</t>
  </si>
  <si>
    <t>…negociable de 5 por 100 á papel, 00. primera instancia en esta capital, refrendada del escriba­ En las comedias de costumbres y de intriga (porque tam­ Idem sin interés, 5^ nuevas al contado: 6 á 34 d. f. ó vol. no del número D. Justo Sancha , se c ita , llama y emplaza á to­ bién las produjo esta escuela) se nota la imitación de nuestro nuevas, 10 á 60 id. á prima de ¿ por 100. das las personas que se crean con derecho á dos escrituras de teatro antiguo en cuanto á la aglomeración de los incidentes, Acciones del banco espa…</t>
  </si>
  <si>
    <t>SANCHEZDEL</t>
  </si>
  <si>
    <t>…dijo en 22 de O ctubre de 1858: diesen invalidar la resolución que tiene acordada el Congreso. ción que propone el Sr. Muro al art. 4*° de la reforma del re­ N o ha lugar á lo solicitado en lo principal, y otrosí, com uni­ El Sr. S A N C H E Z D E LA F U E N T E apoyó lo dicho por glam ento, que dice asi: "Cuando los dictámenes diferentes de qúese orden á la audiencia de Sevilla para que continúe sus­ el Sr. Lujan , añadiendo que asi como habia dado su voto en los individuos de unacornision no formen mayoría absoluta ni tanc…</t>
  </si>
  <si>
    <t>SANCHEZDELA</t>
  </si>
  <si>
    <t>…creído necesario pro­ fuera del recinto donde estaba c on stitu id a la mesa. darle de palos, primero por mano de un p r e s i d ia r io , y después poner el d icta m e n tal como se e ncuen tra. L a comisión m a n ife s­ El Sr. S A N C H E Z D E L A t U E N T E d ijo que desearía sa ­ por la del gobernador mismo. Pues este m i lit a r cuando se abrió tará los fun dam ento s qu e ha tenido para extenderlo en la for­ ber s i , a n u la d a s las actas de los distritos *en que consta que el presidio permaneció fiel á la caus…</t>
  </si>
  <si>
    <t>SANCHEZDELAFU</t>
  </si>
  <si>
    <t>…sito de combatir esta infernal doctri­ Los Sres. Benavides y Sancho hacen varias aclaraciones. E l Sr. P R E S I D E N T E : En primer lugar esta es una dis­ na. (Ligeros murmullos de aprobación en la tribuna pública.) E l Sr. S A N C H E Z D E L A F U E N T E : Antes de usar de la palabra , desearia saber si se ha comenzado el proceso contra cusión inusitada que y o no debia consentir; pero tiene Y . S. E l Sr. P R E S I D E N T E : Excuso recomendar el silencio á la el D iputad o A lv a r e z , ó si se han dirigid o l…</t>
  </si>
  <si>
    <t>…el acta observó que se h a b ía n a n u la d o en j u n t a el que constaba en el acta. pedir al Gobierno de S. M . , que me está o yen do, h a g a por que general seis disfritos. L a s causas por que esto parecía haberse Él Sr. S A N C H E Z D E L A F U E N T E observó que i m p u g ­ se dé c u m p lim ie n to á la o r d e n , y sea ese m i l it a r puesto en l i ­ hecho, no estaban tan completamente ju s t ific a d a s , que á p r i­ naba el d ic tá m e n de la comisión porque en su concepto debían bertad. mera vista se…</t>
  </si>
  <si>
    <t>…Sr. Ministro que le c o n ­ se habia practicado en legislaturas anteriores. Reprodujo las observaciones del Sr. Lujan respecto á la con­ teste á su pregunta. tribución decimal; y terminó diciendo que esperaba que el Con­ El Sr. S A N C H E Z D E L A F U E N T E contestó que la re­ greso El Sr, Ministro de la G U E R R A : He dicho antes que la pro­ comendación que deseaba el Sr. Temprado estaba ya hecha en tomaría en consideración un asunto de tanta ¡rapo, taocia. posición del Sr. Yila tendia á una pequeña interpelación ,…</t>
  </si>
  <si>
    <t>…o pinión que prevaleció en el Congreso fue la de que las vota­ de u n a e s c r i t u r a , a u n q u e se h a lle falta de los requisitos que la ciones en que a lg u n a s papeletas se h a b ía n escrito fu e ra del re­ El Sr. S A N C H E Z D E L A F U E N T E sostiene el dicta m e n , le y p r e v ie n e , pueda i n v a l i d a r la e scritu ra m ism a si es l e g ítim a , cin to de la elección , eran tan n u la s como aquellas en que todas m anifestando que a u n q u e por la letra y espíritu de la ley elec­ y tiene t…</t>
  </si>
  <si>
    <t>SANCHEZLA</t>
  </si>
  <si>
    <t>…ay otra, que es la de estar en contra­ po claro. y en el mismo aparece el dictamen de la comisión. dicción consigo misma , anomalía que hace poco favor al C on ­ Segunda. Sobre S o n d re-R o n n er, farallones distantes El Sr. S A N C H E Z L A f c 'U E N T E : Y o desde luego habia greso que la ha form ado, y al legislador que la consiente; pero como 5 millas al S i S O (de la aguja) del extrem o occi­ creído que la disposición de la ley era terminante y cla ra ; y como ya he dicho al principio , y repito ahora , mientr…</t>
  </si>
  <si>
    <t>SANCHEZLAFUEN</t>
  </si>
  <si>
    <t>…mprado estaba ya hecha en tomaría en consideración un asunto de tanta ¡rapo, taocia. posición del Sr. Yila tendia á una pequeña interpelación , y esa el dictamen con decir que el interesado habia recurrido otras nifestando El Sr. S A N C H E Z L A F U E N T E sostuvo el dictámen m a­ ya ha ido alargándose: Decia yo que si se quisiera interpelar dos veces al Congreso. la precisión que la comisión tenia de conformar su al Gobierno, se dijese francamente: " m a ñ a n a te interpelo 99, y dictamen El Sr. C O R T I N A insistió…</t>
  </si>
  <si>
    <t>Sancho</t>
  </si>
  <si>
    <t>…de una función que desempeñaron todos que han formado el voto particular, de sentir el verse privados abstractas , y menos discusiones irritantes. Su lema es sus­ con perfección y maestría.z=P. del P. de los conocimientos del Sr. Sancho. pensión de hostilidades entre todos los indi vi dúos del par­ Que no es cuestión de partidos, sino de buena fe, de pre­ tido lib era l , y rompimiento de hostilidades simultaneo La abundancia de materiales nos ha impedido estos dias visión del Congreso y de aplicación del art. ¿\\l de la C…</t>
  </si>
  <si>
    <t>SANCHO</t>
  </si>
  <si>
    <t>…sa­ nes que son las que mas conocimiento tienen de las necesidades lo mismo que intervención. tisfacer al Sr. Q u in to , se explica cómo se han de buscar los y opinión pública , y esto es tan necesario, como que no solo El Sr. S A N C H O , defendiendo el artículo , dijo que esto mayores contribuyentes, si existen varios de una misma cuota; en España , sino en todos los países y aun en los gobiernos des­ no podia im pugnarse en lo que hablaba de repartimientos, pues y por último para satisfacer al Sr. Rurriel , la comisi…</t>
  </si>
  <si>
    <t>…ta c ió n , resultando ción á los ayuntam ientos, sancionar en esta ley las opiniones ha dicho de importaciones extrangeras es equivocado. Lo que aprobado por 71 votos contra 59. emitidas en la discusión de ayer asi por el Sr. Sancho como por ahora se presenta es mejor que el sistema m u n ic ip al francés, y Lerdo el 2.°, fue aprobado. los individuos de la comisión ,' qüe dijeron que las peticiones de mucho mas popular que el sistema m u n ic ip a l francés, m e jora­ Leido el 3.°, se pidió que fuese nominal la votación…</t>
  </si>
  <si>
    <t>…r que 00 qui er an que recaiga sobre el conde de Clennnrd u o g u i r s e de : s em ejante s u s t i t u c i ó n . O t í ó á r g u m e f l í o ' sé fía Ahecho a u t o r i d a d que no fue^e el Mi n i s t e r i o mismo. ( E l Sr. Sancho voto de cens ur a: el Sr. Sancho no puede ser sospechoso: ha m a ­ en c o n t r a de la a p l i c a c i ó n del a r t í c u l o ¿fL de la C o n s t i t u c i ó n : pidió la p alabra p a ra d esh acer una equivocación.) ni festado f r ancament e que condena en olí as cosas la conduct a a r g u…</t>
  </si>
  <si>
    <t>…l Sr. A R G U E L L E S después de indicar algunas de las equi- 1 . a Observación. A l verme rodeado de niños desde la edad demas Diputados por Sevilla, estábamos dispuestos á dar las caciones en que dijo haber incurrido el Sr. Sancho, y que di­ de cinco hasta la de doce añ os, llamó particularmente mi aten­ gracias á S. S. por lo que respecta á sus intenciones, aunque no cho señor rectificó, entró á refutar las doctrinas del Sr. Bravo ción Ja excelente educación fisica de todos ellos, sin la cual de podíamos aprobarla p…</t>
  </si>
  <si>
    <t>…TOS HUMANOS. presa en una nota ad ju n ta, y son: A la v a , Alicante ^ A lm ería, j L u jan por 7 6 , habiendo obtenido 17 el Sr. A le so n , y 1 el A v i l a , Búrgos , C áceies, C á d iz , C an arias, Córdoba , Cuenca, ] Sr. Sancho. ' ATT ICULO PRIMERO. G eroua, G r a n a d a , Huelva , Jaén , Logroño, L u g o , M á la g a , \| Sancho por 7 0 , obteniendo 15 el Sr. D e lg ad o , y á i los M u r c i a , O vie do , Pontevedra, Salamanca , Segovia , Se v illa, Sres. E strad a, Puigmoltó y J a c o . Una (le las mas esplén…</t>
  </si>
  <si>
    <t>…será faltar a las leyes del pais guerra dije que no los excluía. Esto d i j e , y no lo negará el Reales órdenes? ¿ Acabaremos un dia de entenderla? Y o no re­ el suprim ir todos los tribunale s, y dejar únicamente los m i­ Sr. Sancho. conozco de manera ninguna sino como fuera de la ley todo lo litares; sin embargo de que esto está a d m itid o , pero es ún ica­ E l Sr. S A N C H O : L o niego : desde el principio se c o n v i­ que se hace en esos estados de sitio, y si llegase el caso lo dis­ mente cuando está sitiada u…</t>
  </si>
  <si>
    <t>…parte Sr. Baeza es una gracia , y si pues uua gracia sujeta á reelec­ Madrid. El Sr. Seijas tenia ese tiempo, y sin embargo fue su­ del dictamen de la comisión de Casos de reelección: jeto reelección. De consiguiente vea el Sr. Sancho como la ción, según estos señores , la autorización de la permuta le Al Sr. Fernandez Baeza opinaba la comisión en su primer tiene que sujetar necesariamente á reelección. Dice S, M. que comisión no se desquita presentando este dictamen. dictámen que no debía quedar sujeto á reelección por…</t>
  </si>
  <si>
    <t>…á el de res­ motivo para que el Congreso deje de aprobar el dictámen. titu ir al Gobierno de V. M . la fuerza y la energía de que ne­ Se abri ó á las doce y m e d ia , y leida el acta de la sesión El Sr. Barrio A y uso y el Sr. Sancho rectificaron un hecho. cesita para proteger todos los intereses legítimos, forzosamente anterior quedó aprobada. El Sr. conde de las N A V A S : Después de lo manifestado enervadas aquellas mientras las disensiones civiles ejercen su También lo fue la de la extraordinaria celebrada en la t…</t>
  </si>
  <si>
    <t>…obierno como un desaire que n in g u n o de mis amigos políticos votasen sesión de hoy. dió al general E spartero ; pero tengo e n te n d id o , por personas ni aun tornasen en consideración mi enmienda , ahora les dirijo E l Sr. S A N C H O : Señores, yo tomo la palabra en nombre que tienen motivos para saberlo, que el general Espartero no ha la mns encarecida petición para que.... de los compañeros que conmigo han presentado la enmienda, hecho mas que acomodarse literal y estrictamente á las instruccio­ El Sr. P R E S I D…</t>
  </si>
  <si>
    <t>…y que todos desea­ no que se concedan en cuanto no se oponga á ella. que están presentes. . mos , respecto á que las provincias tengan, todos los fueros Está conforme con el proyecto de la ley , ¿ y no debia es­ Ha dicho el Sr. Sancho que son iguales los dos proyectos que sean compatibles con la Constitución. No encontraba m e­ tarlo? Y o tengo un gran disgusto en haber puesto una en­ de la comisión y la enmienda que ha tenido á bien presentar dio mienda al proyecto de la m ayoría, pero esta enmienda no al­ S. S .: yo creo…</t>
  </si>
  <si>
    <t>…dos de Zaragoza, en que A continuación se dió lectura á una enmienda hecha á este algunas injusticias en este reparto de la contribución extraor­ hacen presentes los perjuicios que se les siguen de los nuevos artículo por el Sr. Sancho, reducida á que se dijese en él que dinaria. Yo 110 sé si se han cometido: también yo creo que mi estatutos mandados observar én los colegios de abogados, y la se haria la distribución teniendo cuenta de las provincias provincia ha sido recargada ; pero ¿qué le hemos de hacer es­ Oposición…</t>
  </si>
  <si>
    <t>…s primeros pasos del actual G abinete, y no cree­ C á d iz, \ id. Z a rag oza, % a 1 id# * El Sr, duqae de G O R dijo estaba conform e en la cantidad mos que haya un solo hom bre de ju icio que no reconozca designada por el Sr. Sancho. hasta qué punto el hecho de que vamos hablando d eb ió Descuento de letra s, á 6 por 100 al año# El Sr. San M iguel expuso que de aprobarse la enmienda , el destruir la fuerza moral del G o b ie rn o , que la necesitaba Congreso destruiría en cierto modo lo mismo que acababa de inmensa. Un…</t>
  </si>
  <si>
    <t>…nco se habia lim itado en el acta de Granada á la a p ti­ Se ha hecho segunda lectura del bilí de las pesquerías de dad de las satisfactorias noticias que se acaban de recib ir, ha tud legal del Sr. R oda; pero que ya que el Sr. Sancho habia ostras. resuelto, entre otras demostraciones de júbilo que se ocupa en manifestado que no solo en el acta , pero ni tampoco fuera de En la Cámara de los Comunes ha declarado sir J. Hobhon- disponer, dar el miércoles próximo 4 del actual un rancho de e lla , ni en la secretaría habia re…</t>
  </si>
  <si>
    <t>…a r m a d a , sino H e c h a , señores, esta salvedad , principio manifestando que Constitución hasta ahora en su m ayor parte no se compone cnas a un descontento general de aquellas provincias; que mas pron­ al paso que el Sr. Sancho nos dijo a ye r que encontraba un pen­ que de proyectos de fijy, por ejemplo , el art. 4 . 0 " U n o s mismos to o mas tarde puede causar males. N o soy y o de los que creen, samiento que dominaba en los tres proyectos presentados, y o códigos regirán eri toda la m onarquía, y en ellos no se…</t>
  </si>
  <si>
    <t>…alderón Collantes pidió la pa ­ pero se trata de las de la provincia donde he tenido el honor ¿donde está la de que se discuta en di a señalado? labra para rectificar un hecho.) Si S. S. no piensa asi, de de ser nombrado. Ei Sr. Sancho no citará ningún artículo del reglamento que ese modo yo habré entendido mal. Se dice que hay un obstáculo; y por lo tanto que es nece­ lo diga. Yo creo que perdemos tiempo, y retardamos el rao- El Sr. C A L D E R O N C O L L A N T E S : Hoy en el acta de saria la suspensión hasta tanto que s…</t>
  </si>
  <si>
    <t>…a contestación á los discursos contenidos en los No d.iré yo la contestación, pero sí suplicaré á cada uno exa­ Fijado ya el principio que los siete firmantes hemos creído Diarios de los dias anteriores. Ello es que vino el :Sr. Sancho mine consigo tnismo el voto que hubiera dado. deber respetar y que hemos acomodado en la enmienda presen­ con ua grao legajo de papeles, y fue sacando de uno una pa­ He dicho que esta cuestión no es ni puede ser de partidos: tada , paso á hacerme cargo de lo que mi compañero y amigo labra, d…</t>
  </si>
  <si>
    <t>…las Cortes, y hubo de pedir una del diezmo á los propietarios de las tierras respectivas.1* le ha de abonar al colono? A este no se le ha impuesto de con­ jarte de ella á buena cuenta con motivo de la aproximación de los El Sr. SANCHO: El derecho de los Sres. firmantes de la tribución ui uu solo maravedí, y se encuentra con que no pa­ ácciosos á Segovia. Hay mas, y es un caso práctico. El mismo proposición es indisputable; pero si la proposición es una ley, ga esta y con este rédito. dinistro de Hacienda, sentado en esos b…</t>
  </si>
  <si>
    <t>…nmien­ congadas serian regidas con las leyes con que se rigen las mas concedió la palabra á da ó adición se hizo acerca de mi persona uoa alusión, sobre la de la Monarquía , y entonces nuestros enemigos ¿q u é d ir ía n ? El Sr. S A N C H O : V o y á hacer dos observaciones sobre dos cual necesito dar explicaciones, aunque con aquella delicadeza Que esas esperanzas que hab ian concebido quedaban enteramen­ ideas capitales que el Sr. ministro de Gracia y Justicia dedujo y reserva que convienen. te desvanecidas. de mi discu…</t>
  </si>
  <si>
    <t>…decia qu e a l g u n a parte a lc a n z a al G o ­ rido de n in g u n a manera d a r á entender que no e stuvieran en y que debe tratarse con circunspección y con f r a n q u e z a , y no b ie rn o ; pero lo h a declarado el Sr. Sancho , y eso basta. S. S. oposición , sino que podían estar bien a v e n id o s , sosteniéndose me parece que será el Gobierno á q u ie n h a y a qu e achacarle pues ten d rá que reconocer que el Gobierno no h a d ad o enásgen uno y o tro; y que si a l g u n a cosa 9que son pocas, se o p o n e,…</t>
  </si>
  <si>
    <t>cuestión incidental. Sabido es que me constituí en la necesidad El Sr. PRESIDENTE: Haré que se observe el reglamento El Sr. Sancho, el Sr. Madoz y otros Sresy Diputados (t.)s, de defender las ideas que la minoría de la comisión habia con­ cuando algún Sr. Diputado falte á él. Sres. Madoz y conde de la Navas piden la palabra para una signado en su dictamen; y es un deber mió muy agradable El Sr. OLOZAGA : Muy pronto se…</t>
  </si>
  <si>
    <t>…Castilla ios tuvo, y los perdió en los No podía yo comprometer la voluntad de mis compañe­ labras campos de VUlular. Los reclamarán también, sí , porque ros: se me preguntó si en esc caso seria conveniente suspen­ gación del Sr. Sancho: este ha hecho una especie de interro­ cuando los castellanos los disfrutaban , disfrutaban de la dig­ der la discusión para que el ministerio consultase entre sí: conversación que tuvolaaquel al Gobierno, cual tenia un fundamento que era ía nidad de hombres; se los arrancaron con las bayo…</t>
  </si>
  <si>
    <t>…sin cnierer se está consignando la verdad; tal es su peso. Quien bierno turco! N o es esta la cuestión para esos cargos; esta es por no haberse entendido al principio, deponen las armas y oiga'al Sr. conde de las Navas y al Sr. Sancho no podrá m e- una cuestión de p a z , y ojalá, señores, que por bien de mi se abrazan, sin preceder ningún acuerdo, sin ninguna garan­ ‘ nos de convencerse de ello. El Sr. conde de las Navas dice país y de todos nosotros nos volviéramos á abrazar y los de­ tía. Españoles son también ahora los…</t>
  </si>
  <si>
    <t>…on la prueba de lo que se pretende, y esto lo saben bien los seño­ las dejaron caer ante las aras de la Patria. Y los llamo v a ­ lealtad , con la espad a y L fortu n a del du q u e de la Y ic to ria. res que los citan (el Sr. Sancho pide la palabra). Es precisa­ lientes con envanecimiento , pues que españoles son, y ya hoy L o s hechos dirá n si fue justa esta confianza. Sea lícito al G o ­ mente el Sr. Sancho uno de los diputados en quienes reco­ los reconocemos como hermanos; y no se pierda de vista que bierno este a…</t>
  </si>
  <si>
    <t>…por último del amor á la posesión para indi­ dos de ser el ludibrio de la ambición del príncipe rebelde. se han pronunciado en esta cuestió n, empezando por el del El tratado de Vergara ha reunido para siempre á los espa­ Sr. Sancho. carnos el p eligro de modificar después los fu e ro s , ¿ y hoy no ñoles en torno del trono constitucional de vuestra augusta Hija Anunció S. S. que habia un pensamiento común en la adi­ existe ese amor á la posesión, especialmente en la parte que ha la Reina Doña Label it , y prepara dia…</t>
  </si>
  <si>
    <t>…ue queden por consiguiente sin entrar los cuatro M ultitud de Sres. Diputados piden la palabra. se ha justificado. Por no molestar al Congreso omito entrar en Diputados cuya admisión aprueba la comisión ; esto es oponer­ El Sr. SANCHO? Por varias razones ine levanto á im pug­ otras consideraciones ó pormenores acerca de lo sucedido en se al dictamen. Y yo pregunto: ¿nos ha presentado el Sr. Iñ i­ nar esta proposición: Primera , dice el Sr. Iñ»go que siempre Huesca sobre el acta del Sr. O livan; día llegará en que se acla­…</t>
  </si>
  <si>
    <t>…ticia este aviso se presente en la au­ Si la doctrina fuese tal como la presentó en el dia de ayer el En el de 5 de Enero del corriente año se ha servido tam­ diencia de S. S ., sita en el piso bajo de la territorial de esta Sr. Sancho, el resultado seria que la doctrina de la inam ovili- bién S. M. nombrar á D. Manuel Alisal para la promotoría corte, de doce á dos de su tarde, con el fin de hacerle saber un dad era siempre un absurdo, porque dijo que una inatnovili- fiscal del juzgado de Baltanás, vacante por salida de D.…</t>
  </si>
  <si>
    <t>…otra parte. nombramiento á la inamovilidad , pues de no se verificaría una cede á los empleados del Gobierno es puramente reglamentario. Si estos empleados se dejan en las circunstancias que los de­ idea que indicó ayer el Sr. Sancho que no tiene contestación, El Sr. Secretario del Despacho de H A C I E N D A : El Con­ m ás, ¿n o ejercerá el Gobierno sobre ellos una acción excesiva é cual es, que se rompería esa cadena de la responsabilidad que greso conocerá que la situación del Gobierno en la cuestión pre­ influencia g…</t>
  </si>
  <si>
    <t>…á la comisión de Actas un ofi­ El Sr. C A B A L L E R O : Soy de la opinión que acaba de ver con la exclusión ni inclusión délas listas electorales ? ¿N o cio de D Pedro Alcalá Zamora en que manifestaba que h a ­ enunciar el Sr. Sancho , que todos los D iputados, cuyas actas dice la ley electoral que los comisionados son los únicos que de­ biendo sido elegido Diputado por las provincias de Córdoba y se hayan aprobado, y sobre cuya aptitud legal se haya presen­ ben entender Granada , y hallándose aprobadas las actas electo…</t>
  </si>
  <si>
    <t>…y mas especialmente del representativo, res­ ria sobre Hacienda pública. do á esta desgraciada, pero heroica nación,, que con ardoroso tituyendo por fin al equilibrio normal la casi disuelta máquina Se leyó una enmienda del Sr. Sancho al proyecto de ley so­ celo y denuedo ha sabido sostener el trono de vuestra augusta del Estado, proporcionarán á todos los ciudadanos la inaprecia­ bre cesantías de M inistros, relativa á que este cargo fueie en Hija , la regencia de Y. M. y las instituciónés que nos rigen, ble ventaja de…</t>
  </si>
  <si>
    <t>…halla autorizada.” Que en cuanto á lo que se ha dicho sobre que las medidas El Sr. Secretario del Despacho de H A C IE N D A , contestan­ que adopta la comisión son para fomentar el crédito y hacer do á las observaciones del Sr. Sancho sobre que se quite la pa­ MADRID 12 DE EN ERO. independientes los fondos de la caja , esto da á entender que no labra c o b ra r , dice que expresándose en el art. 7.° que si la do­ son los del tesoro general suficientes para cum plir las obliga­ tación de la caja se hiciese con rentas, fon…</t>
  </si>
  <si>
    <t>…dad sobre L a cqmisiqn de L e y electoral presentó su dictamen al Con­ Sres. Senadores, y que pasaría á las secciones para que nom­ nulidades cometidas en las elecciones de aquella provincia. greso, y en la explicación que el Sr. Sancho dió á su discurso brasen la comisión que h aya de examinarle. En vista de una reclamación de varios electores contra las en la sesión de 2 0 de J u n io de 1857 , dijo que era claro que se Se dió cuenta de un oíicio remitido por el Sr. Presidente elecciones de Pontevedra , anunció el Sr. Ród…</t>
  </si>
  <si>
    <t>…, y es necesario acatarla y S. S. reproduce con este objeto la historia del art. 57 de la que el Sr. Cortázar se halla enfermo. obedecerla; el artículo tieue anom alías, mas estas son hijas de ley electoral, hecha ya por el Sr. Sancho, y continúa diciendo: A petición del mismo señor se pregunta si el punto está s u ­ haberle hecho á pedazos. E u o supuesto, por mas convicción que tenga la comisión ficientemente discutido; y contestado que sí, se dió cuenta de Consecuencia del artículo. Que los gefes de casa Real no de qu…</t>
  </si>
  <si>
    <t>…s dé en­ traordinaria de la c a ja , aun cuando sea para amortizar el pa­ n a s , creo, digo , que es imposible imaginar una garantía mas trar en esta contestación , me permitirá el Congreso que recha­ ce una expresión del Sr. Sancho, que hasta cierto punto podia pel con una palanca tan fuerte como la de los fondos del Es­ segura del acierto y de la legalidad en esta materia , que la de •ser ofensiva á los individuos de la comisión, y al mismo Go­ tado, en cuanto se ponga en contraposición una máquina tan la intervención…</t>
  </si>
  <si>
    <t>…Herrero: Secretario el Sr. Estrada : V ic e ­ o peraciones y las sucesivas produzcan todo el efecto que se de­ secretario el Sr. Temprado. sea, ha determinado que el general D. Ramón Castañeda ven­ 7.a sección. Presidente el Sr. Sancho: Vicesecretario el se­ ga á Vitoria , á cuya plaza ha llegado esta tarde ; y que reunien­ Un incendio terrible ha estallado en Constantiñopla: I 4OO ñor Alcalá Z amora: Secretario el Sr. Ferro M ontaos: V icese­ do á los cinco batallones que trae consigo otros dos que deben casas que correspo…</t>
  </si>
  <si>
    <t>…Cor rales.—Por Cueuca.TiLoreiiZO García González de Santa lla, porque tal como se halla la considero arreglada al regla­ die lo espera. C ruz, secretario. mento. Me atrevo á proponer un trabajo que es absolutamente in ­ El Sr. S A N C H O : El reglamento autoriza esa pregunta; dispensable, si es que se han de castigar los males, y quedos pero..... pueblos vuelvan en sí de las muchas calamidades que hasta aquí El Sr. B E N A V ID E S : Pido la palabra sobre la pregunta. han sufrido. Ya es tiem po, señores, de que vengan…</t>
  </si>
  <si>
    <t>El Sr. S A N C H O sostiene que la le y no a d m it e n in g ú n g é ­ 1 cion del trono de la R e in a n de este n o m b r e , quiso su tiern a de 10 del corriente S e t ie m b r e , en los autos de concurso de los nero de duda , como se ha q u erid o s u p o n e r , y en su com proba­ M a d re presentar…</t>
  </si>
  <si>
    <t>…to lo dejo al cargo de la comisión ; pero habiendo manifesta­ ctidad ia , y en un aumento sobre el vino y aguardiente, cuya can­ asciende al año 7500 rs. granjearse el apoyo de la opinión pública. Para esto, sin duda, do el Sr. Sancho que no significa n ada, yo debo decir á S. S. El resultado es , que estos arbitrios se recaudan por la di­ era necesario este proyecto ú otro parecido con el objeto de que siempre significa una cosa decorosa al Gobierno, pues se rección general, y no se aplican á su verdadero objeto, que es…</t>
  </si>
  <si>
    <t>…oficial de contabilidad. == José' M orcillo, au xiliar.—Pe­ El Sr. conde de las N A V A S pidióse leyese íntegra. Aviles, en la provincia de O viedo, faltaría á los deberes que dro de Izu, auxiliar.= Juan Cuoñani, portero. El Sr. S A N C H O , después de concluida la lectura, propuso le impone el impulso de sus patrióticos sentimientos, si no acu­ se insertase en el Diario de las sesiones, y que también se fran­ diese á felicitar á V. M. en la solemne ocasión que ie pre­ sentan los faustos acontecimientos de Vcrgara. El ayun…</t>
  </si>
  <si>
    <t>…M iralda. A s i , yo creo que esta cuestión es muy sencilla, y no h a y cuestiones de principios; cuanto mas evidentes son estos, mas que decir que se invalidan los poderes, porque ei poder del difícil es su demostración. El Sr. Sancho con la maestría que El Sr. C O RT IN A manifestó que el capitán general hizo Congreso debe considerarse hasta donde alcance. A o estoy en trata siempre las cuestiones de principios ha d ic h o , y con ra ­ aquella comunicación como juez de la causa. que debe sentarse esta doctrina , á pesar…</t>
  </si>
  <si>
    <t>…to de Presidente de la c o m i­ u n a cosa á otra. Todos los D ip u tad o s que están presentes y h a y a n visto a l ­ resolvió por la n e g a t iv a . sión de Presupuestos hecho por esta en él Sr. B a rrio A y u s o , y El Sr. S A N C H O m an ifestó q u e h ab ie n d o declarado el C o n ­ g ú n caso de esta especie , sabrán que para la constitución de la del de Secretario en el Sr. L u j a n . greso que no eran legales las elecciones de la p ro v in c ia de Po n ­ Del n om bram iento de Presidente de la de M i l i c i…</t>
  </si>
  <si>
    <t>…, hemos convenido en so como debiera, porque el amor disculpa y hasta cierto denominarlas piezas. No podemos elogiar la elección del P o r Us observaciones que hemos hecho antes sobre loa p r i n ­ punto a?uengua su crim en; D. Sancho, si bien arrebatado traductor, pues nuestras costumbres y nuestros códigos, cipios de la meta mor foú s , podrá coucebirsa fácilsi eute que un y violento como fue, no pudo emplear nunca con Rui diferentes con mucho de los de F ra n c ia , hacen que no crecim ie nto tan rápido liará necesario…</t>
  </si>
  <si>
    <t>…z. E l Sr. P R E S I D E N T E dijo que la comisión, de Gobierno lar á los gefes m ilitares, y ora para resistir á los facciosos ó El Sr. Kios fue agregado á la primera sección. interior apreciaba mucho las observaciones del Sr. Sancho , y para prevenir los tumultos que pudieran ocu rrir en sus disfriA El Sr. PRES1 D E N T E : Orden del día. Continua ladiscu­ las tendría á ¡a vista. tos , con venia estuviesen revestidos de facultades competentes* sión .sobre el expediente delcanal de Castilla. j En seguida anunció que con…</t>
  </si>
  <si>
    <t>…istema de Gobierno , como que fue M i ­ conquistas y de nuestro im p e rio ? conozco los recursos que necesita un Gobierno, y conozco que nistro despees de jurada la Constitución de 5 7 ? ¿ q u é significa Me dirijo ahora al Sr. Sancho, esperando que S. S. me con­ esa necesidad le obliga á tomarlos de donde puede. Por lo de­ esto? Lo que después va á verse. Los papeles públicos españo­ teste a u n cargo que voy á hacerle. Me han dicho que no está, más espero que el Gobierno no desatenderá las proposiciones les, los extran…</t>
  </si>
  <si>
    <t>…el n om ­ de Peticiones. el Sr. conde de las N a va s hizo unas ligeras observaciones c on ­ bramiento de la m e s a , mas no de la votación. L eid o el correspondiente á la petición n ú m . 1 3 2 , y h ab ie n ­ testando al Sr. Sancho , y manifestando que la fó r m u la dé r e ­ Habrá observado el Congreso qu e se dice en el u ltim o p e ­ do pedido el Sr. T e m p rad o la p a la b ra sobre la g en e ra lid a d de com endar a lg u n a s peticiones debiera h aberla en el reglam ento. riodo de la ley que los electores llev…</t>
  </si>
  <si>
    <t>…ambién el Sr. Argiielles, hablando del reinado de guel y Muñoz Maldonado; en pro el Sr. Pidal. las razones del Sr. Camaleño , que mas bien que impugnación, J u an 11 , que no se establecieron en la guerra de Portugal estos El Sr. SANCHO dice que si consigue destruir el art. 1 .°, fueron disparos de metralla los que dirigió al proyecto, porque tribunales excepcionales. Efectivamente no se establecieron , por­ necesariamente debe ser desechada la le y ; y se propone analizar no contento con im pugnarle, habia. recomendado á lo…</t>
  </si>
  <si>
    <t>…as ni todos ios pueblos que se encuentran acome* no haya o. n pleonasmo* cían con este proyecto* La, comisión ha estado distante de creer tilias de ta guerra civil, san acometidos de on misino m o­ Respe!ando la ©pióion del Sr. Sancho manifestaré'que las .semeja a te cosa, porque conoció como conoce ahora lo difícil y do y con Igual gravedad. .¿Estará igualmente comprome­ palabras de irib ú n a l com petente , lo mismo aquí que en todas árda© de la empresa , y que no podría nanea corres pender del tida ta salvación de una…</t>
  </si>
  <si>
    <t>…el de Cerva nt es feliz, que de dolientes que del primer sexo se h a n presentado han salido curadas 2 1 , y de 2 6 desvalidos del se gundo no se DE LA GUERRA CIVIL Saavedra y D. José Pat ino. 4»° D, A nt on io A g u s tí n , D. Sancho D áv il a , D J u a n de h a n desgraciado mas que cuatro. DESDE OCT UBRE DE 1832. A u s tr ia , D. Alvaro de Buzan, A n t o n i o de Nebri ja y Pedro M e ­ riendes Aviles. C U A D E R N O X I. 5 ° D . J u a n de Aus tr ia , Fr. L ui s de G r a n a d a , M a r t i n de Azpilcueta , Pedro C…</t>
  </si>
  <si>
    <t>…endidos y mas enérgicamente de­ todo lo dem ás; y esto es tas* e vid ente, que el carácter mas per­ manezcan tranquilos en sus casas, de oo tom ar partido por fendidos. (Ví/.) fecta y mej or delineado de esta comedia es el de D. Sancho: los opinión alguna y oo armarse. Q ue si se recurre contra ellos á versos mejores y mas sentidos son los suyos. Señal cierta de que la fuerza , deberán d ar inm ediatam ente parte al consulado. Es­ Tirso conoció su im portancia. ¿ P o r qué pues no sometió Ls ta manifestación es del 11…</t>
  </si>
  <si>
    <t>…o falto á mi obligación, habia dirigido una proclama ó nota sino cuando lo pida la necesidad. siásticos por ejemplo. Asi q u e , juicios comunes serán aquellos diplomática al Rey. El Sr. Martínez de la Rosa , tan entendido El Sr. S A N C H O dice que las leyes deben ser como las cir­ que recaen sobre acciones que pueden cometer todos los españo­ en el arte oratorio, no conoció que este era un pobre recurso, cunstancias, y que siendo las circunstancias extraordinaria^, les , infr in gi end o las leyes comunes que á todos o bl…</t>
  </si>
  <si>
    <t>…n uno de copia al ministerio de Guerra mediante á que no se sabe con los partes anteriores. (El Desengaño.) certeza si está bien ó mal negada. Puesto á votación el dictámen , añadiéndose en él la cláu­ sula indicada por el Sr. Sancho, y adoptada por la comisión, Señora: A L. R. P. de V. M. El presidente del ayunta­ fue aprobado. miento constitucional, comandante del batallón de M. N. y cura CORTES. Se leyó la 25 relativa á una exposición que hace al Congre­ párroco de la villa de Yillahermosa, provincia de Ciudad-Real, s…</t>
  </si>
  <si>
    <t>…este proyecto: lo habían hecho con mucha ventaja los demas bía hacerse 5 y que en la cuestión de oportunidad no hubo di­ hecho S. S. porque he citado aqui nombres augustos. Yo recla­ individuos de la comisión ; y si bien del Sr. Sancho podía de­ sentimiento. mo la atención del Congreso para que me diga de qué modo cirse otra cosa , le han obligado las mismas razones, porque las Señores, á mi humilde persona es á la que ha aludido en los he pronunciado; ahora si el Sr. Ministro quiere que se pros­ circunstancias no son des…</t>
  </si>
  <si>
    <t>…de una breve impugnación del Sr. Tem prado, á objetos de la reelección, cree que es muy necesario que el Con­ que pudiendo ocurrir dos casos, á saber , el de estar reunidas las que contestó el Sr. Iñ ig o, y de manifestar el Sr. Sancho que al greso proceda á la designación de este término , que si se deja­ Cortes, ó el de no estar reunidas, y ademas otros dos, cuales eran pasar el proyecto á la comisión de Corrección de estilo podia se ilimitado podria dar margen á que se falsease el espíritu del los deque los Diputados pod…</t>
  </si>
  <si>
    <t>…qu e la i&lt;- Se p re g u n ta si se lla m ará á los suplentes por las otras tres. en un cuarto in m ed iato ó en la c a l l e , no lo prohíbe la ley. Yo yese. El Congreso debe tener presente que la j u n t a g en e ral de El Sr. S A N C H O dice que habiéndose nom brado un s u ­ he procurado enterarm e bien del contenido de ella , y ni d i r e c ­ escrutinio estaba interesada en que no saliesen D ip u ta d o s los plente de mas en la provincia de M a d r id como en otras v a ria s , ta ni in d ire c tam en te lo p ro h íb…</t>
  </si>
  <si>
    <t>…la im p re n ta de Burgos. n ueva de m a g ia , en c u atro ac to s, en prosa y v e r s o , que lleva dias. Sacado de las obras de los Sres. M a r i n a , Sempere , F lo r a ­ por t ít u l o ; ‘ . l e s , Aso y M a n u e l , D. Sancho L la m a s y otros autores de nota LA REDOMA ENCANTADA. que h a n escrito sobre esta m ateria. Publícalo D. J . de Y . p * O M i m C I C a v a l l a r i i , institutio nes j a r i s c a n o n ici. Por d e - L a obra que se ofrece a i público , no solo comprende c u a n ­ ^ mas está el hacer…</t>
  </si>
  <si>
    <t>Sancho, José Marcos</t>
  </si>
  <si>
    <t>José Marcos Sancho</t>
  </si>
  <si>
    <t>…tivos in­ sión del Príucioe que os© disputar sus derechos á la corona á teresados: para la judicatura de Segorbe, de ascenso, en la pro­ la legítima sucesora de los Fern^ados y Recaredos ? vincia de Castellón de la Plana , á D. José Marcos Sancho, que N o mas guerra, Señora ; paz y reconciliación entre todos desempeña la de Vivel, de entrada, en la misma provincia; y los españoles ; paz gloriosa, producida por un abrazo general en para esta á D. Juan José O r tiz , juez interino de C h iv a, con­ las orillas del Deva ent…</t>
  </si>
  <si>
    <t>Sancho, Vicente</t>
  </si>
  <si>
    <t>Vicente Sancho</t>
  </si>
  <si>
    <t>…cerca para formarse una idea de la energía y constancia que bio Bucelli, D . Joaquin Cabrera , Félix M onge, Bautista Gi- Se procede á la~órden del dia , y leído un dictámen de la tienen en Africa los soldados franceses. jon, D. Vicente Sancho, y abadesa del monasterio de la Zajdía comisión de .Aíj|as :sobre las elecciones de A v ila, lo retira la La misma incuria se habia notado en las dos expediciones por varios artículos que han remitido. comisión. . de Constantma. La iotendencia militar , y después de ella la Los nombr…</t>
  </si>
  <si>
    <t>…ió l l a g a r ai «uplente por Castellón de la Plana en | m arán en consideración* (F o m ó S. $&gt; i ti o d i los d o c u m e n ­ que en otra provincia de la monarquía se han circulado á los virtud de haber optado por Valencia D. Vicente Sancho. to s q u e ten ía d m a n o , y c o n tin u ó :) eclesiásticos , porque estos deben apagar el fuego de las pasio­ También se acordó que se llamase al suplente por Cáceres Este es un estado comparativo de la división de distritos de nes en vez de encenderlo; pero de esto á probar que…</t>
  </si>
  <si>
    <t>SanchoSSe</t>
  </si>
  <si>
    <t>…dea de un pensamiento político que al infinito al oir la exposición que ha tenido á bien dirigirnos ellos se proclaman los fueros modificados con arreglo á la no era el suyo. N o lo hubiera permitido. Ese pensamiento polí­ el Sr. Sancho. S. S. es demasiado justo para no conocerlo asi, Constitución. Por lo demas, si la comisión extraña que am i­ tico, pues, del mensaje fue aprobado también solemnemente y que si no es un obstáculo, pone á lo menos una dificultad gos de tanto tiem po, de tantos peligros y circunstancias h a ­ p…</t>
  </si>
  <si>
    <t>Sandalio, D. Antonio</t>
  </si>
  <si>
    <t>D. Antonio Sandalio</t>
  </si>
  <si>
    <t>…para admitir mas que ni­ ción no siguieran sosteniéndola después de establecida. La junta Escuela de }^ in o , y que con él se la distinga en adelante. ños que aústen con !a mavnr regularidad. Terminada la lectura, propuso el Sr. D. Antonio Sandalio al considerar el apresuramiento con que se presentaron tantas En la de Ch arriben, cava inauguración se hizo el 22 de personas benéficas á inscrib rse en la sociedad cuando apenas era de Arias que se diesen las gracias al Sr. Secretario general por Julio con una solemnidad part…</t>
  </si>
  <si>
    <t>Sandoba, José</t>
  </si>
  <si>
    <t>José Sandoba</t>
  </si>
  <si>
    <t>…cias Vascongadas y su es­ car el cetecLroo ) el dogma en presencia, de un director y una cribanía principal,qué se halla á mi cargo, se anuncia la m uer­ P E R IO D IC O L IT E R A R IO . señor* individuos del concejo. te de D. José Sandoba!, capitan con grado de com andante del Una de las cosas que debe llamar la atención de los extran- batallón franco voluntarios fle la Rioja castellana, para que en Sale to jo s los domingos por la m añana. Su precio en M a­ geros que visitan los hospicios de huérfaoos en H o lan d a,…</t>
  </si>
  <si>
    <t>Sandoval, José</t>
  </si>
  <si>
    <t>José Sandoval</t>
  </si>
  <si>
    <t>…nza, por D. Manuel Pagan, en 4 . tocó á los sugetos siguientes: D. Alfonso Peralta, D . Manuel ban encomiado ya todos los periódicos al hablar del nuestro; Otia id., sierra de Gador , cerro de la Monterilla , término G uinea, D. José Sandoval , D. Francisco Arra tia, D. Juan pues basta fijar la consideración en que el abono á cualquier de Iluercal , S. Nicolás, por D Francisco Salmerón , en 8. Pedro A y e g u i, D. Fermín Diez Hernández, D. Benito Corta - gabinete de lectura , que nuestros suscriptores tienen gratis, Otra…</t>
  </si>
  <si>
    <t>Sangui, Joaquín María</t>
  </si>
  <si>
    <t>Joaquín María Sangui</t>
  </si>
  <si>
    <t>…tanciacion del expediente. Best y Leloir. Dirección general de Correos. Nos abstenemos por ahora de hablar de nuestra traducción, hasta que haya juzgado de ella el público, pues conocemos bien Asimismo se cita y emplaza á D. Joaquín María Sangui­ por experiencia cuán ridículo es juzgarse á sí mismo y cuán El dia 25 del actual fue sorprendido por una partida de n o , para que en el término preciso de tres dias que por últi­ difícil es semejante juicio. facciosos en el pueblo del Frasno el parte diario que traía cor­ re…</t>
  </si>
  <si>
    <t>Sanguino, Joaquin María</t>
  </si>
  <si>
    <t>Joaquin María Sanguino</t>
  </si>
  <si>
    <t>…as las comisiones de la agencia literaria. V an publicadas ya 68 comedias originales del teatro mo­ vincia, se cita y emplaza por el término preciso de nueve dias derno y 112 del extrangero. Las primeras forman 16 tomos, y á D. Joaquin María Sanguino , para que se presente en calidad todas ellas son producciones de los autores contemporáneos de de pre*o en cualquiera de las cárceles de esta capital, á propo­ \7* lS IO N E S de un patriota somnámbulo. Publícalas para h on - ra y gloria del siglo en que vivimos D. Zoilo Ve…</t>
  </si>
  <si>
    <t>Sanguino, Joaquín María</t>
  </si>
  <si>
    <t>Joaquín María Sanguino</t>
  </si>
  <si>
    <t>…mor querer vencerle, Por providencia del Sr. intendente de rentas de esta provin­ exageró, como puede verse en D. G il de las calzas verdes, y Moreto en E l desden con el destituí En ios protagonis­ c ia , se cita y emplaza á D. Joaquín María Sanguino para que el Pretendiente al reves, la República al reves, Del m al tas de una y otra iiay a ia verdad fingim iento, ardid , que en el término preciso de seis dias, contados desde la publica­ el menos, y otras m uchas: pero tam bién debe confesarse perm ite el teatro; pero el v…</t>
  </si>
  <si>
    <t>…stenido y llorado por un ángel. El cadáver del divino Reden­ Sagrada Familia. escribano del número en la misma D. Tomas María Manrique, tor es admirable por su buen colorido, pastosidad y nobles for­ se cita, llama y emplaza á D. Joaquín María Sanguino, para mas: asi como la profunda pena del ángel e^tá tan bien expre­ Para dar una ventajosa idea de este cuadro hasta decir que que dentro del preciso término de veinte dias, contados desde sada que se comunica rápidamente al corazón de los especta­ le pintó Morillo con aquella…</t>
  </si>
  <si>
    <t>…mpuso varios informes para su embajador en S. Petersburgo, que los sentimientos del probar que su trabajo no debia publicarse, y repitió con Gobierno francés no habían sido nunca tan pacíficos: que Asimismo se cita y emplaza á D. Joaquín María Sanguino* tanta frecuencia esta opinión al Emperador y á su Minis­ lio se aumentaría el número de tropas; y en fin, que las para que en el preciso término de nueve dias comparezca en di­ tro, que se dilató indefinidamente la publicación de su comunicaciones dirigidas á aquel embajador…</t>
  </si>
  <si>
    <t>Sanjua</t>
  </si>
  <si>
    <t>…on el corresponsal del Eco en que so después á pesar de haber sido hallado infraganti, y que este los gefes de los cuerpos hacen los mayores esfuerzos para impe­ TEATROS. precisamente era el caso de Sevilla , y que si el general Sanjua— dir que haya u¡ una sola , lo cual en? ninguna circunstancia es PRINCIPE. A l as seis y media de la noche. Se ejecutará la última representación, por ahora, de la m uy aplaudida co­ nena no habia procedido á la prisión del Sr. Diputado Alvarez posible, ni aun en tiempo de paz y de tranquil…</t>
  </si>
  <si>
    <t>Sanjuan, Santiago</t>
  </si>
  <si>
    <t>Santiago Sanjuan</t>
  </si>
  <si>
    <t>…r te esp a ñ o la . dida usual. TOMO I . Kilolitro. = m e d id a por m ayor. 1000 litros. IM P R E N T A N A C IO N A L . Cau&lt;¡a l . f Parricidio alevoso. Proceso de Doña María V i ­ M edida a g r a r i a . centa Mendieta y D. Santiago Sanjuan, acusados de la muer­ te de D. Francisco del C o t illo , esposo de aquella, ejecutada el Area. Esta es la unidad de la medida para superficie?. COLECCION DE LEYES. C en liárea, lo mismo que un metro cuadrado. dia 9 de Djcietnbre de 1797. Area «=uii cuadro de 36 pies castellanos p…</t>
  </si>
  <si>
    <t>Sanjuanena</t>
  </si>
  <si>
    <t>…nte Fácil es manifestar la conformidad de ambos generales en esa villa que el Sr. Diputado que acaba de hablar califica de rebe­ impugnaba el dictámen de la com isión, sino que también en­ falta de transacción. Dice el general Sanjuanena que entró á to­ lión y de rebelión abierta , por mi parte no hubiera tenido d i­ traba en la interpelación del Sr. Iznardi. . mar el mando {leyó.) El general Córdoba, que entregó el mando, ficultad ninguna en entrar en este exámen. { E l Sr. A lc a lá El Sr. P R E S ID E N T E observó q…</t>
  </si>
  <si>
    <t>…asumida 1a autoridad, y esto no obstante , dice: «C ontinúa viva la El Sr. P R E S ID E N T E : Se suspende esta discusión para leer mi inspección. el dictamen de la comisión sobre la contribución de guerra. - E j S r . general Sanjuanena fue á Sevilla y encontró que el se­ lo fin, comunico al Gobierno para que lo haga á las Cortes.” Por señores , los acontecimientos de Sevilla sin prejuzgarlos son aprobado. Se leyó la ley, y el Congreso la declaró conforme con lo ñor Diputado Alvarez era uno de los que componían la ju…</t>
  </si>
  <si>
    <t>…entos de toda clase, que que el Sr. Diputado Alvarez hubiese sido preso infraganti. ¡ en su semblante que la educación moral perjudicase á su salud: habia procedido á la prisión del Diputado A lvarez, y que en Que el Sr. general Sanjuanena, puesto que se dice la halló m - prueba incontestable de que en este colegio se les trata con el 4 su consecuencia habia infringido el art. ^ de la Constitución. fr a g a n ti , debió de haberle puesto preso en el acto ; pero que ca riñ o , afabilidad y dulzura que corresponde á la ense…</t>
  </si>
  <si>
    <t>Sanjurjo</t>
  </si>
  <si>
    <t>…ente la Constitución otra cosa en la petición que se discute mas que un ciudadano de 1819. El Rey por su parte no muestra prestarse á n ing ún Y 5 o El acta de segundas elecciones de la provincia de Oren­ se, que presenta el Sr. Sanjurjo , D iputado electo por la misma. que acude al Congreso ea razón á haber sido atropellado por el medio de conciliación. Podría haber convocado las C á m a r a s , ha­ gefe político, mediante una orden reservada; y o , señores, creo ciendo como estas abstracción de la cuestión fun dam en tal,…</t>
  </si>
  <si>
    <t>Sanjurjo, Pedro</t>
  </si>
  <si>
    <t>Pedro Sanjurjo</t>
  </si>
  <si>
    <t>…iéndose como D iputa­ permitió decir que eran iguales las facultades concedidas á la La paz, Señora, ha sido siempre el anhelo del noble cora­ zón de V. M ., y el deseo constante también de los buenos espa­ do por la misma á D. Pedro Sanjurjo; y el 2.° en que opina se Corona per la Consiituci »n de 1812 que por. la de 1 837. Yo di­ ñoles. El cielo quiera concluir tan grandiosa obra , comenzada pidanSe unos documeutos sobre las de Albacete. procede á la discusión del dictamen de la comisión de go que tiene mas con la de…</t>
  </si>
  <si>
    <t>Sanjust, Juan</t>
  </si>
  <si>
    <t>Juan Sanjust</t>
  </si>
  <si>
    <t>…¿que'Ja co­ Art. 5.° Seconcede igualmente á Doña María de la Merced misión se ha propuesto dos objetos: i.° honrar la memoria de do: Después de hacer otras varias aclaraciones, continúa, dicien-* Albear, viuda del brigadier D. Juan Sanjust, comandante ge­ los que han muerto defendiendo el orden y, las leyes, y 2.° re­ caciones ; peroqueinsisto Yo creo esta ley podrá admitirse con algunas rectifi­ en lo que dije al principio, que mientras neral que fue de la provincia de Málaga , y por el mismo mo­ parar las desgracias…</t>
  </si>
  <si>
    <t>SANMI</t>
  </si>
  <si>
    <t>…ello A rt. 2.° En cada cap ital de provincia se form ará una co­ de clarid ad . ten g o , creo que el Congreso aprobará por ah o ra esta reticencia m isión compuesta del in ten d en te, que la p re s id ir á ; de un d i­ El Sr. S A N M IG U E L observó que h ab ia una cláusula en y h ará ju sticia á la extrem ada delicadeza que me hace supri­ putado provincial y dos in dividuo s del ayun tam ien to de la ca­ el artículo que no podia menos de llam arle la atención , y esta m ir por este instante todo argum ento en favor d e…</t>
  </si>
  <si>
    <t>SANMIG</t>
  </si>
  <si>
    <t>…n gas de 1abra de &gt; , g e r e n t e , ” * dijese.: «ó el q ^ h i c ^ r é « * . « * 4 . ” t o 4 &amp; &gt; qafómeloéeatifc«deoajguáo^8res. Diputados ofrecía es- aquella ép oca, reunirse con los'enemigos' de la •Constitución. Y. E l Sr. S A N M I G u E L manifiesta seria e$aiveíú$ri&amp;Y$e oaiirJ Sta discusión. Y o creo que es-m uy/delieado; pero para-mí nó le Mes pues de lo que sucedió en aquella época ¿nos. enlicgaiem os tiese Ja,segunda parte^del. artículo, .reticd ^ ie-d ék éi ptíc'a p o - jeonsidero tan to : parece^esto unaj)ar…</t>
  </si>
  <si>
    <t>SANMIGUEL</t>
  </si>
  <si>
    <t>…erías y depositarías de renta s, y aun d espu és, les son construirse 1ás que se contraten; en el concepto que se hallan Se leyó el 67. v io l e n t a m e n t e e x i g i d o s , ni tam p oco su re p a r tim ie n t o po­ El Sr. S A N M I G U E L dijo que á su parecer (staba este ar­ asegurados los valores efectivos por el ministerio de Hacien­ d ra ser e q u ita tiv o si no se verifica p o r los in te n d e n te s m i­ da para satisfacer él importe de este servicio en la misma pro­ tículo en contradicción con el 57 de la…</t>
  </si>
  <si>
    <t>Santa</t>
  </si>
  <si>
    <t>…res de la emancipación nacional: y si las heridas que re­ art. 8.° de la 4*a ley constitucional á suplir en la ausencia del dio de una parte considerable de nuestros recursos, llegaríamos cibió el benemérito de la patria general Santa A na no hubieran de la re p ú b lic a, ha manifestado en diversas comunicaciones la á sucumbir mas tard e; el Gobierno francés ha recibido un des­ puesto en riesgo su existencia, la noticia del suceso hubiera d i ­ imposibilidad en que lo tienen sus enfermedades; considerando engaño , tanto ac…</t>
  </si>
  <si>
    <t>…rez D. José Y alen zu ela, con andante del C oncurrían en fin otras causas seguram ente g r a v e s , y que de San M illa n .—Saturnino Calderón C oilantes.^M anuel Montes anton de T aran co n , habiendo sabido por el alcalde de Santa fueron expuestas á V . M ., y el Gobieruo hubo de acónsejar á iruz de la Zarza que habia sido robada su gan adería, por cuyo V. M . el uso de otra prerogativa constitucional. R E A L DECRETO. íscate pedían 6 3 rs. y el caballo del m isrno, se puso en m archa T odavía se retardaron los sucesos…</t>
  </si>
  <si>
    <t>…su augus­ los que se temian , sin embargo , las simpatías de los peruanos Está decidido que en todo el mes de Enero próximo el con­ ta Hija la Reina Doña Isabel n muchos y dilatados años. Lugo 10 están todas en favor del general Santa C ru z, que en la actuali* de Diciembre de 1859 z=Señora.r:A L. R. P. de V. M.zzJosé V a ­ dad vive m uy retirado en G uayaquil. de de Palhen , embajador de Rusia , estará de regreso en París. lladares.—José Saavedra y Pardo.—Manuel M. Yañez —Juan Par­ (Idem .) El E mma ha traído 180® duros…</t>
  </si>
  <si>
    <t>Santacaua, Jaime</t>
  </si>
  <si>
    <t>Jaime Santacaua</t>
  </si>
  <si>
    <t>…Dibujo. D. Guillermo Macpherson , D. Víctor García Ga.v- cajas nomen erat Jo a n m s . mas de un mes. ton, D. Ramón Viilaiba, D. José Gómez y D. José Garrido. E l uso de galeras para batallas navales parece que cesó Música. D. Jaime Santacaua , D. Fernando Gargollo, Eion después de la acción de L ep anto: pues vemos que el fa­ Salvador Viniegra y D. Ignacio Fernandez de la Somera. Clot bey, médico del virey de Egipto, ha tenido una au­ moso a rm a m e n to , llam ado la arm ad a invencible , q u e Baile. D. Juan Riquer…</t>
  </si>
  <si>
    <t>Santacruz</t>
  </si>
  <si>
    <t>…viana esconcluida.rrEl 15 tan felizmente empezado su campaña en Cataluña. del corriente arribo á la Puná la corbeta de S. M. B. Samarán Parte telegráfico,=Paris 13 de Julio á las cinco de la tar- conduciendo á su bordo al general Santacruz , á los generales de.srEI Ministro de lo Interior al prefecto de ía G ironda.^H oy Después de haber recibido esta noticia la hemos visto con­ Miller, R iva-Agüero y Cerdeña, y ú los Sres, García deí Rio, ha habido durante el dia algunos grupos en los que se leian firmada por el parte que h…</t>
  </si>
  <si>
    <t>Santaella, Manuel</t>
  </si>
  <si>
    <t>Manuel Santaella</t>
  </si>
  <si>
    <t>…D . J. V. d e N ........................................................................... 20 ria de España. D . M. de U. y R. . . . .......................................................... 20 Jueves.=De siete á oc h o , D. Manuel Santaella, geología. Primera parte . Dos señoritas herm anas. ................................................ 40 Viernes.z:De siete á ocho, D. Eusebio M aría del Valle, Una viuda...................... Se pondrá en escena la ópera nueva, b u fa, en un acto, D . José Gelabert ............…</t>
  </si>
  <si>
    <t>…s los En el anuncio de las cátedras del ateneo, inserto en la Ga­ Sr. editor de la Gaceta de Madrid : Muy señor inio y de verbos irregulares del castellano, aun los omitidos en la gra­ ceta del 6 del corriente, en donde dice: D. Manuel Santaella , tni mayor aprecio. La gratitud me obliga á suplicar á V. ten­ mática de la academia española. Ua tomo en 8.° m ayor, 12 rs* de filosofía del derecho, debe leerse: D. Manuel Seijas.</t>
  </si>
  <si>
    <t>Santaella, Mauuel</t>
  </si>
  <si>
    <t>Mauuel Santaella</t>
  </si>
  <si>
    <t>…Corradi, literatura 100 extrangera. VENDERE. Sr. D. Francisco Martínez de la Rosa.............................. 160 Segunda parte, D . Francisco Hilarión B rabo. .................................. 20 Idem.~De ocho á nueve, D. Mauuel Santaella, filosofía D. Francisco Cotoner.............................................................. 20 del derecho. 1.° Cavatina de Dulcamara en la ópera L ’Elissir d*Amo- El Sr. conde de M iranda............................................ 80 Advertencias, r e , del maestro Donizetti;…</t>
  </si>
  <si>
    <t>Santaliz, José Silvestre</t>
  </si>
  <si>
    <t>José Silvestre Santaliz</t>
  </si>
  <si>
    <t>…icarse el dia 15 de Abril próximo, sea bajo el fondo de 44© druga 4 ** ® la Toja................ 5 pesos fuertes, valor de 22000 billetes á dos duros cada uno, Id. D. José Luis de A stor, cura párroco de Q ui- El jue¿ letrado D. José Silvestre Santaliz.. . . . . . . 8 de cuyo capital se distribuirán en 602 premios 53000 pesos fuer­ vican...................................................................... .. 4- 2 El juez letrado Meliton Balanzategui.. . . . . . . . . . 6 tes, inclusas las dos aproximaciones, en la forma s…</t>
  </si>
  <si>
    <t>Santana</t>
  </si>
  <si>
    <t>…(Atención.) imperfecciones en el bilí de emancipación de los católicos, na­ Después de algunos debates de poco ínteres, no habiendo die trata de abolirle ni de modificarle en sus partes esenciales, Está ya en Méjico el general Santana, á cuya capital llegó suficiente número de representantes, se levantó la sesión. lo mismo que nadie propone demoler el palacio de Buckiug- con calentura ; pero ya está m ejor, y tomará dentro de pocos ha m , ó de reconstruir Regent-Street, aunque mas de un ar­ dias la presidencia, para que p…</t>
  </si>
  <si>
    <t>…Pero por este mismo hecho de Y eracruz, y no t a r d a r o n en a p o d e r a r ­ esta política parece que será atacada por la oposición tory. A suntos d e B élg ica y H olanda . se de nuevo de la plaza. Se dice que el general Santana ha per­ Dos de sus gefes en las dos C ám aras, el duque de W e l l i n g - dido una pierna en este choque, y que el general Arista ha (Correspondencia particular del Constitucional.) ton y sir Roberto Peel , han declarado que en este punto no es­ sido hecho prisionero por los franceses. N…</t>
  </si>
  <si>
    <t>Santana, Victoria.</t>
  </si>
  <si>
    <t>Victoria. Santana</t>
  </si>
  <si>
    <t>…a sabido que una particular, yo no la quise dar crédito hasta ahora que ha ve­ dio á un francés que mató á un mejicano; y cualesquiera que facción de 1 1 4 infantes y 10 caballos, mandada por el sobrino nido de oficio al general Victoria. Santana salió hasta Aca­ hayan sido las circunstancias atenuantes de este delito, el M i ­ de Palillos, estaba á la vista del pueblo de Yiílarta con el ob­ jete , y á su intimación se rindieron parte de los pronunciados: nistro de Francia no ha tenido presente que el fallo del juez jeto de…</t>
  </si>
  <si>
    <t>Santander</t>
  </si>
  <si>
    <t>…rles las ventajas que podrán sacar de la posesión de es­ Y DEL DESPACHO DE LA GUERRA. te Gibraltar del golfo arábigo, y es indudable que lo consegui­ rá á pesar de cuantos obstáculos se opongan á ello. El comandante general de Santander dice en comunicación Las complicaciones ocurridas en la Turquía asiática, que Al fin de la sesión de la Cámara de Lores de ayer preguntó de 25 del anterior, con referencia á otra que le ha dirigido el según las apariencias deben solventarse por medio de las armas, lord Brougham al preside…</t>
  </si>
  <si>
    <t>Santandreu, Juau</t>
  </si>
  <si>
    <t>Juau Santandreu</t>
  </si>
  <si>
    <t>…a de la fecha en tos deseos del público, poniéndose al fin del segundo tomo uno las salas consistoriales los jueces de hecho D. Manuel Sacz , Don de todas las doctrinas contenidas en la obra , el cual tiene el Cristóbal Veces, D. Juau Santandreu , D. José Lacosta , Don VACANTE. doble objeto de que se encuentren roas fácilmente las materias José Pascual , D, Bernardo D olé, D. José Preyo y Cacho, Don que se busquen, y de presentar en compendio cuanto de ellas Joaquín M Aral y D. Manuel Pardillos, sorteados conforme á S E hall…</t>
  </si>
  <si>
    <t>Santelices, María Josefa y Doña Josefa Blasa</t>
  </si>
  <si>
    <t>María Josefa y Doña Josefa Blasa Santelices</t>
  </si>
  <si>
    <t>…cosmógrafo Alonso de Juan de Maritorena , por D. Bernabé Andrés que no sabe fir­ recho á los bienes quedados por fallecimiento abintestato de Santa C ruz , 2 rs. mar, y á su ruego, Rafael Urries,Francisco Aivar, Manuel Ma- Doña María Josefa y Doña Josefa Blasa Santelices y Huyarra, Noticia histórica sobre los progresos que hizo en Espa­ gallón, por D. Joaquín Marco que no sabe escribir, y é su ruego, Rafael U rries, Manuel C autín, Eusebio Sebastian. hijas y herederas de D. José Angel de Santelices, para que en ña e-1 ar…</t>
  </si>
  <si>
    <t>Santia</t>
  </si>
  <si>
    <t>…uncio en la Gaceta de esta capital comparezcan en el cunstancias desgraciadas de familia que me han privado del el bien de la patria lo exigía y el honor de la nación lo recla­ juzgado de dicho Señor y escribanía del número de D. Santia­ gusto de poder reuniruie á mis a preciables compañeros. maba. Asi pues, yo desearía que los Sres. de la comisión , su­ go Manuel de Albóniga , á deducir la acción que les competa, El Sr. M O U R E : Sr. Presidente, tengo que hacer una in­ puesto que esta ley deberá sufrir ciertas modificacio…</t>
  </si>
  <si>
    <t>Santiago</t>
  </si>
  <si>
    <t>…de escándalo, de mas la república argentina estaba ya próxima á disolverse, por­ intereses del pais fuerzas mas considerables que las que se sos­ muertes y de venganzas; y el Sr. Sabater ha sabido oponer á que el gobernador de Santiago se ha sublevado contra Rosas y tienen hoy en el Mediterráneo, la barbarie y vicios triunfantes del Monarca toda la elevación sus partidarios , y los descontentos acuden de todas partes á sus Hasta ahora no es esto mas que una medida de precaución, banderas. Se decía que las provincias de…</t>
  </si>
  <si>
    <t>…idos á la presentación de desde el puerto de la C oruña la de la hermosa fragata española con apercibim iento que pasado dicho térm ino , procederé á lo segundos sustitutos. (N tíra. 1795.) Convenio d e er g a ra , su capitán D. Santiago M ontenegro que h a y a lu g a r , y á la d istribución de ellas entre los que se —■■ para que cesen ¡as comisipnes m ilitares ejecutivas y per­ Y illam a L Es buque nuevo y de prim era m archa , de porte de presenten , con arreglo á la ley de 27 de Setiembre de 1820. Y manentes en las pro…</t>
  </si>
  <si>
    <t>…ha de principiar á mediados de Octubre no desmerezca de la de Gobierno y nombramiento de una división al mando del gene­ D oña D. S ...................... 160 los anteriores años, ha invitado á sugetos de acreditado saber ral D. Santiago W a ll, conde de Armildez dé Toledo, é ins­ Excma. Sra. viuda de S. Fernando.................................... 520 para que se encarguen de las explicaciones. Reunidos en la no­ trucciones que se le cometen para la pacificación del pais suble­ S. C. de T . ...............................…</t>
  </si>
  <si>
    <t>…T rid e n te , Brabo.=yicente Hernández =M anuel Malo de M olina.—Por en­ nifestar á V . M. la expresión de sus sentimientos de respeto y y el bergantín Cometa con el steamer P ap in son los únicos que fermedad de mi esposo D. Santiago M arrón, M aría Bellido de obediencia al Gobierno de la nación , y la firme resolución en han entrado en Sm irn a, donde estaba y a el T ritón y el ber­ Marrón. que se halla el vecindario de poner en ejecución cumplida tas gantín BuugainviUe. La corbeta D iligen te , procedente de To­ ór…</t>
  </si>
  <si>
    <t>…e mente en dónde se encuentran los hombres que mejor convie­ principios por mi parte ha disminuido estos embarazos positi­ nen para llevar á un fin dichoso los asuntos del pais. El obis­ El juez de primera instancia de Bande D. Santiago A guiar vos; lo que sé todavía, es que el Gobierno no obrará con ar­ refiere po Barnet, sugeto de mucho saber y de grandes conocimientos, y Mella aprehendió el 6 kdel corriente, con el auxilio de seis ción reglo á principios diferentes de los que presidieron á la forma­ que en una conferenc…</t>
  </si>
  <si>
    <t>…n a , s u augusta Madre la R e i n a G o b e r n a ­ ó cada una de dichas fin cas, acud irán al juzgado del referido Después de firmado este p arte, que me tomo la libertad de Sr. D. Fraucisco Amorós y López, y escribanía de D. Santiago no rehacer por mis muchas ocupaciones , recibo una com unica­ dora y la Ser nía. Sra. Infanta Doña María Luisa Fernan­ M anuel de A lb ó m ga, ó bien al deí Sr. D. M iguei M aría de ción de Montesinos fechada en G ranada el 9 de este mes á las da, continúan en esta corte sin novedad en su i…</t>
  </si>
  <si>
    <t>…107..24 Logroño................... 38763-19 ción Perdiz ha sido batida el 8 por la columna que manda el 16 ...................... 491.. 2 Lugo. . . ................. 3999.. 18 capitán del 4*° batallón franco de aquel distrito D. Santiago i? ............ 1720..19 Málaga..................... 70ÍU2..27 López de la Llave entre el Pozo de la nieve y el Hoyo, juris­ 18 . . . . . . . . . 299..27 M urcia.. . . . . . . . . 21785..10 dicción de las Rozas de Puerto-Real; habiendo quedado eu el 19 ..................... 459.. 5 1 Oca…</t>
  </si>
  <si>
    <t>…es dictadas por sucedía con la mayor parte de ellas; y sin embargo,con arregío el Gobierno, y nombramiento de una división al mando del al reglamento se decia si eran dignas ó no de tomarse en con­ BOLETIN DE COMERCIO* general D. Santiago W a l l , conde Armildez de T oledo, é ins­ sideración. trucciones que se le cometen para la pacificación del pais suble­ El Sr. Y I L L A L O N elogió la conducta de D. J u a n M a r ­ B O L S A DE M A D R I D . vado de las provincias exentas.. tin Arnedo; y dijo que creia ser esto una in…</t>
  </si>
  <si>
    <t>…............. 520 El coronel ael regimiento infantería milicias de la El comandante de la Milicia nacional de Laredo Lóndres 19 de Marzo . Habana id................................................................ .... 2O4.. 1 D. Santiago M aría................ 20 El coronel del regimiento de Barcelona.por sí, los Milicia nacional de Santoya.. ................................... 120 Consolidados, 93. gefes y oficiales del cuerpo........................................ 102 Id. id. de Cabuérniga , de infantería...............…</t>
  </si>
  <si>
    <t>Santiago, D. Carlos de Martí. Sr. D.</t>
  </si>
  <si>
    <t>D. Carlos de Martí. Sr. D. Santiago</t>
  </si>
  <si>
    <t>…ona. Sr. D. And rés Leal. Sr. D. Segundo Sierra y Pambley. Sr. D Manuel Barrio-Ay uso. Sr. D. Joaquin Rey, Vicepresidente 5.° Sr. D. Pascual Fernandez Baeza. Sr. D. José Antonio Flaquer. Sr. D. León Ilerques. 7 1arragona. Sr. D. Carlos de Martí. Sr. D. Santiago Alonso Cordero. Sr. D. Baltasar de Toda. Sr. D. José Almirall. Sr. Sr, D. Joaquin Borras. Sr. D. José G ispert, Secretario 5.° Lérida. Sr. D. Antonio Satorras. Sr. D. Pablo Gali. Sr. D. Juan Anguera. Sr. D. Pedro Moret. Sr. D. Antonio Viadera. Sr. D. Miguel de…</t>
  </si>
  <si>
    <t>Santiago, Francisco</t>
  </si>
  <si>
    <t>Francisco Santiago</t>
  </si>
  <si>
    <t>…navio, cuya vida ha es­ re bajo su protección , se anunció ligeramente que, no descono­ Cristina. tado en peligro , se hallan y a restablecidos. No se sabe todavía ciendo la sociedad que la sólida y fundamental instrucción en D. Francisco Santiago, de nueve años de edad, número si este acontecimiento debe atribuirse á crimen ó á una simple los primeros años es la causa de las buenas costumbres civiles primero de la sexta clase, por su aplicación y mérito en los negligencia. y religiosas, acababa de extender su benéfico inll…</t>
  </si>
  <si>
    <t>SANTILLAN</t>
  </si>
  <si>
    <t>…tal otras que pueden dar origen á sospechas de que la caja tam ­ L o n d res, á 90 d ia s , 58^. C o ra n a , l i d . como está. bién se emplea en el agio , cosa que ningún favor le h aría, papel. i G ra n a d a ,.!¿ id* E l Sr. S A N T I L L A N cree que se debe resolver en el acto si por lo cual creía oportuno que se suprim ieran, tanto esta pa­ P a r ís , 1 6 - 5 á 4 . M álag a, J id. la caja ha de adm inistrar ó n o , y en cuanto á U palabra r e ­ labra , corno las que dicen: sobre la plaza. S an tan d er, 1| id. caudar…</t>
  </si>
  <si>
    <t>SANTONJA</t>
  </si>
  <si>
    <t>…ecimiento de te para evitar que las autoridades atropellen á ninguna corpo­ cuartel de inválidos. ración que use de su derecho. A s i, pues, yo ruego que esta ex­ Señora: E! ayuntam iento de la villa de Colmenar de Oreja El Sr. S A N T O N J A ; La comisión abunda en los mismoí celoso siempre del triunfo de la libertad, del trono y de la Cons­ principios posición pase al ministerio de Guerra , pues no dudo que estas titución, « apresura hoy a' felicitar á V. M. por la venturosa exposición,delen Sr. A rteta ; pero se ha enc…</t>
  </si>
  <si>
    <t>Santos</t>
  </si>
  <si>
    <t>…érito te el ejército , ó son forasteros en N a v a r r a , ó poseen allí m u y sin gular que no puede expresarse en un relato y que es necesa­ N O T IC IA S E X T R A N G E R A S. poca influencia. l i é aqui sus nombres: general Santos L dro»», rio verlo. El calor extraordinario del d ia , la absoluta escasez fusilado en Pamplona por Lorenzo: D. J u a n Echeverrís , des­ de agua , las altas montañas que es forzoso subir , todo a u ­ T U R Q U IA . terrado por orden de Maroto: general Z i m a L c a r r e g u i , muerto me…</t>
  </si>
  <si>
    <t>…ractadas de las que escribió un oficial v illa. 152461 id. id. al servicio de D Cáelos. I 624 O8 id. id. El cuaderno 1.° contiene: primeros levantamientos en las 165751 id. id. provincias.^Gefes y motores de la insurrección.—D. Santos L a ­ 175509 id. id . drón.—Primera acción de los Arcos y su muerte.—Presentación REM ATES. 181242 id. id. de D. Tomas Z um alacarregui á los carlistas.—Retrato de Z u - F ) A R A el remate del parador situado en el lu g a r de Fuencar- 185555 id. id. m alacarregui.—Primeras disposiciones…</t>
  </si>
  <si>
    <t>…ha podido lisonjear las esperanzas del Sultán terra consentiría diúciimente; el Austria jamás. bién fue aprehendido , y D. Joaquín Ladrón , hermano dél ca­ sobre la recuperación de sus dominios, y explotar sus temores becilla D. Santos, sugeto de prestigio entre los carlistas. Asimis­ El Austria parece ser la única Potencia que ha conservado exagerándole las consecuencias de una seguida victoria por una posición independiente, y como está de acuerdo con la In­ mo fueron hechos prisioneros tres facciosos, dos desertores de…</t>
  </si>
  <si>
    <t>…guerra. CAM BIOS. tud al ministerio de la Guerra. Captura de los sublevados de Talavera. Este dictamen fue aprobado después de un breve discurso Londres, á 9 0 d ia s , 3 8 f . C o ru ñ a , 1 d. Muerte ¿el mariscal de campo D. Santos L a d r ó n , y relación del Sr. L u jan , en que enumerólos distinguidos servicios del in ­ P a r ís , 1 6 - 6 . Granada, id. id. de sus antecedentes militares y políticos. teresado. M á l a g a , \ papel d. Llegada del conde de Armildez á Burgos. Se leyó y aprobó sin discusión el dictámen…</t>
  </si>
  <si>
    <t>…r, me parece m uy malo. En los momentos en que el Gobierno tal manifestando al Congreso que S. M. ha tenido á bien nombrar vez necesita usar de la autorización que en este sitio se le dio Senador por la provincia de Toledo á D. Santos L a Hera en para hacer un empréstito, en los momentos en que necesitamos MADRID 2 2 DE OCTUBRE. reemplazo de D. Dioni io Capaz. los representantes del pueblo dar robustez al crédito nacional Se acordó archivar la colección de las circulares expedidas ¿viene el Sr. Estéban á proponernos cre…</t>
  </si>
  <si>
    <t>Santos, D. Joaquin de Vilches. Sr. D.</t>
  </si>
  <si>
    <t>D. Joaquin de Vilches. Sr. D. Santos</t>
  </si>
  <si>
    <t>…zano. Sr. D. Pedro María Fernandez Villaverde. Sr. D. José Guillen y Gras. Sr. D. Juan José Fonseca. Sr. D. Ramón López Vázquez. Sr. D. Vicente Santón ja. Sr. Guadalcjara. Salamanca. Almería. Sr. D. José Muñoz Maldonado. Sr. D. Joaquin de Vilches. Sr. D. Santos López Pelegrin. Sr. D. Manuel José Perez. Sr. D. José Salamanca. Sr. D. Manuel Hidalgo Calvo. Sr. duque de Gor, Vicepresidente 2.° Sr. conde de las Navas. Sr. D. Miguel Chacón y D uran. Guipúzcoa. Sr. D. José Sánchez de la Fuente. Sr. D. José Jover. Sr. D. Mi…</t>
  </si>
  <si>
    <t>Santoya, Pedro Guerra</t>
  </si>
  <si>
    <t>Pedro Guerra Santoya</t>
  </si>
  <si>
    <t>…igual ria aMuchos solo el nombre de Aquiies. Nalda con la primera columna y 54 caballos á las órdenes de clase D. Manuel Ipola ; el teniente de infantería ayudante del siglos, diversas creencias, revoluciones m uy su capitán D. Pedro Guerra Santoya. provincial de Ecija D. José M artínez, y los individuos de tro­ importantes ha experimentado la sociedad desde el siglo Que á poco rato de haberse separado las dos últimas colum­ pa que á continuación se expresan. de Homero: pero su obra ha sido constantemente la ad­ nas, se…</t>
  </si>
  <si>
    <t>Santoyo, Pedro Guerra</t>
  </si>
  <si>
    <t>Pedro Guerra Santoyo</t>
  </si>
  <si>
    <t>…ón, los italianos á su cisco Javier Naneti y D. Pedro M arin; del capitán de caba­ las nueve y media se procedió á la votación nominal acerca de Tasso. Y si los franceses no aprecian la Henriada de Vol- llería Guias de Alava D. Pedro Guerra Santoyo, y del alférez la mocion de Mr. French, relativa á presentar un mensaje á taire, no es culpa de ellos , sino de la obra m ism a, en la del uiismo cuerpo D . Ramón María Parajua, y del capitán de la corona, suplicando á S. M. se sirva Nacionales D. Pedro O rtiz, cada uno de los…</t>
  </si>
  <si>
    <t>Sanz</t>
  </si>
  <si>
    <t>…que al Senado no zález Alonso, habia nombrado por su presidente al Sr. Gimé­ S. S. hizo algunas otras observaciones, deduciendo de ellas le consta legalmente el que el Congreso h ay a variado de opi­ nez , y por secretario al Sr. Sanz. que el Congreso debia declarar nulas las elecciones de la pro­ nión , porque no tiene otros medios para ello que el resultado Se lee la lista de las peticiones presentadas al Gobierno en v in c ia de Santander , por lo que le rogaba aprobase el d ictá­ de las operaciones de dicho cuerpo que y…</t>
  </si>
  <si>
    <t>Sanz, Antonio</t>
  </si>
  <si>
    <t>Antonio Sanz</t>
  </si>
  <si>
    <t>…is. sa en proporción con las fuerzas disponibles del ejército ho­ guiente : t Alvarez A rias. Senodilia. * landés, no sucumbiríamos bajo uu peso rentístico de mucha wJuro observar la Constitución y das leyes del pueblo-belga D. Antonio Sanz. J^azárrásaL ' 1 * L V consideración. v : * mantener la independencia nacional y la integridad del ter Lavandero y su hijo. Só ^áriás/ 7 ¿ Yo soy hombre de gobierno ; creo en la necesidad de la ritorio.” " ' . •••v r“' : - %■' A guirre. . Balmaseda. J “ obediencia; respeto sinceramen…</t>
  </si>
  <si>
    <t>Sanz, Claudio</t>
  </si>
  <si>
    <t>Claudio Sanz</t>
  </si>
  <si>
    <t>…­ ante el Sr. D. Francisco Amorós y López, juez de primera Esta^ obra, de buen carácter de letra y papel, cuya impre­ ye que el general Maroto se ha pasado con solo 25 hombres de instancia, y escribanía de número que despacha D. Claudio Sanz sión esta muy adelantada, constará de dos tomos en 8.° de mtJ los suyos. y carea; apercibidos que de no hacerlo les parará perjuicio y de 500 paginas cada uno, y se hallará venal á su debido tiem­ El día 10 se hallaba en Igualada el general en gefedel ejér­ acordará lo que correspon4a…</t>
  </si>
  <si>
    <t>Sanz, Faustino</t>
  </si>
  <si>
    <t>Faustino Sanz</t>
  </si>
  <si>
    <t>…n la orquesta de ópe­ y término de nueve dias contados desde esta fecha , á los que ra en este teatro. se crean con derecho á los bienes quedados por fallecimiento D IST R IB U C IO N . del exclaustrado de carmelitas descalzos D. Faustino Sanz, acae­ cido en el hospital general de esta corte en 4 de Febrero último, para que se presenten en este juzgado á hacer las reclamaciones DOS PALABRAS Primera parte . que crean convenientes, y se les administrará justicia en lo que D IR IG ID A S A L C LE R O E S P A Ñ O L í.° Sinfonía…</t>
  </si>
  <si>
    <t>Sanz, Juan</t>
  </si>
  <si>
    <t>Juan Sanz</t>
  </si>
  <si>
    <t>…ez á los alumnos de la escuela normal están todos de acuerdo? Los hab itan tes créd u lo s y supersticiosos m ira ro n á los sol­ de instrucción p rim aria para compra de libros y de in stru ­ Véndese á 4 rs. en la librería de D. Juan Sanz, calle de dados qu e detestaban , como á los ejecutores de la có lera mentos. (Id.) Carretas, y en el atrio de la Trinidad en el segundo puesto de c e leste ; y e l v alle q u e h ab ia sido teatro d e tan trágic o libros entrando por la calle de Relatores, y en las provincial a c o n te c…</t>
  </si>
  <si>
    <t>…nte. 400. ............... de.. 20, . . . ........... 8000 to en sus respectivos dias la luz pública 14 cuadernos, for­ mando los 12 primeros el primero y seguodo tomo. 500 ~36Ó00~ Se suscribe ep esta corte en la librería de D. Juan Sanz,</t>
  </si>
  <si>
    <t>…a , arrobas. . . 15295 £ ción periódica, y con los demas publicados se hallan de venta simales ó de ios logaritmos de los senos, cosenos y tangentes Tabaco torcido, libras.......... 124,027 £ en esta corte en las librerías de D. Juan Sanz, calle de Carre­ de minuto en minuto, ó de diezmilésima en diezmilésima para y disminuido tas , y de Nuñez , calle de Atocha , en las que se admiten sus­ los 100 grados del cuadrante , según la nueva división; las de En café, arrobas.............................. 585,226| cripciones á 6 r…</t>
  </si>
  <si>
    <t>Sanz, Laureano</t>
  </si>
  <si>
    <t>Laureano Sanz</t>
  </si>
  <si>
    <t>…ESPONDENCIA DE LA GACETA. ulteriores. teniente general D. Ju an Antonio de A ld am a, en reem­ plazo de D. Pedro Viliacam pa. (1546.) L ogroñ o 25 d e F ebrero. La insurrección de estos faccio­ nombrando al mariscal de campo D. Laureano Sanz ca­ sos parece ha crecido hasta el punto de pronunciarse hostil­ El bloqueo de Buenos-Aires co n tin úa: los franceses han pitán general de G alicia por renuncia de ig u al cargo de Don mente contra las providencias de Maroto. Esta mañana ha lle­ roto las hotilidades, apoderándose de…</t>
  </si>
  <si>
    <t>…asar de Y illa lv a , se le da atendiendo al mérito, servicios y circunstancias del ma­ cha logró aprehender á cuatro y un espía , un caballo y una este aviso para que se presente en la escribanía principal del riscal de campo D. Laureano Sanz, comandante general y e g u a , tres retacos y tres escopetas, con otras a rm a s, m un icio ­ juzgado m ilitar de esta p laza, situada eu el Postigo de San de Burgos, vengo en nombrarle capitán general de Gali­ nes y efectos &gt;quedando muerto en el campo el famoso E varis­ M a rtin , n…</t>
  </si>
  <si>
    <t>…mejor que mis palabras cuán acreedores sois al reconoci­ costumbres, apoyada en la firmeza de sus principios y de sus miento de la nación y de nuestra Reina. Yo espero que bajo el sentimientos religiosos. digno capitán general D. Laureano Sanz que debe sucederme completareis la pacificación de esta interesante provincia. La M A D R ID 27 D E FEBRERO. Taima íemia que se le reconviniese, y quedó agradablemen­ te sorprendido al verse animado y protegido: «M as vale, le dijo aceleración de tan dichoso térm in o, vuestra gloria,…</t>
  </si>
  <si>
    <t>Sanz, Manuel</t>
  </si>
  <si>
    <t>Manuel Sanz</t>
  </si>
  <si>
    <t>…sidencia. tes puntos. M adrid, casa referida de la viuda de Cruz: Barce­ 2.a Informe de la Real chanciilería de Valladolid sobre las lona, D. Juan Francisco Piferrer: Coruña, D. José María Pé­ Causas de estupro. rez: Granada, D. Manuel Sanz: Sevilla, D. José Hidalgo y 3.a Recurso de fuerza-en el conocer y proceder. Reflexiones compañía: V alencia, D. Ju an Bautista Jim e n o : Zaragoza, tobre la instancia seguida por D. Juan Raroon balido Cañave­ BOLETIN DE COMERCIO. D. Joaquín Yagüe. ras ante el provisor juez eclesiástico…</t>
  </si>
  <si>
    <t>…ques r Ferrol, dieziseisavos, i y § por 100: 2 1 | á 60 d. f. ó vol. antiguos con chos serán con la mayor economía, y sus actuaciones cuyos dere­ Saenz de Tejada: F ig u eras,D . Giliberto Bastan: Granada, cupones. ° las mas D. Manuel Sanz: Guadalajara, D. Regino Ruiz: Gerona, Ba- prontas y eficaces. lau rt: G ibraltar, R. L. Ilepper : Habana , D. José Roix: Jaén, Inscripciones en el gran libro á 4 por 100, 00. 2.° Desempeñará cualquiera oegocio de bolsa o' de giro ex­ Cereceda: Jerez, D. José Bueno: León, Paramio y Miñó…</t>
  </si>
  <si>
    <t>…ón Títulos al portador del 5 por 100, 20J y 2 0 f con cupones mayor presidente, D. Ramón R odrigo, D. José Gómez, D on al contado: 20¿ , once dieziseisavos, quince treintaidosavos, Javier N olibós, presbítero, D. José M arco, D. Manuel Sanz, bastaba para form ar un drama excelen te, y no era nece­ trece dieziseisavos, nueve dieziseisavos, f- , quince dieziseisavos D . Ignacio Lobez, D . Roque Sánchez del Cacho, sorteados con­ sario añadir la novela, á la verdad muy im pertinente, de y 2 0 f á v. f. vo). y firme: 20|, 2 1…</t>
  </si>
  <si>
    <t>…dajoz.nD. Manuel García, Bilbao.ziD. Timoteo A rnaiz, B u r- desavenencias, persecuciones y arrestos, habiendo sido puestos dades de la religión ; pero su principal mérito está en la elec­ gos.=3res. Hortal y compañía, Cádiz.=D. Manuel Sanz, G ra - en libertad los titulados generales Zariátegui, Elío y Gómez: ción de asuntos, que son los mas interesantes en las circunstan­ nada.nD. Cándido Paramio, Leon.=D. Manuel Carreras, M á­ el primero se hallaba en el fuerte de A rciniega, y los otros dos cias en que se halla la reli…</t>
  </si>
  <si>
    <t>Sanz, Pedro</t>
  </si>
  <si>
    <t>Pedro Sanz</t>
  </si>
  <si>
    <t>…n Cayetano Losada, á 5 dia IB en Lerma se me asegura que á las diez y media de (a reales en pergamino y 7 en pasta. mañana del propio dia se avistó la columna de Schely con 120 mo en 8.° Se vende en Madrid en las librerías de D. Pedro Sanz, calle de Carretas, y en la de la viuda de Razóla, calle de Principios generales de aritmética por el mismo, en rústi­ caballos de Balmaseda en el monte de Retuerta, aunque no pu­ ca á real y medio. dieron ser alcanzados, porque habiendo pasado el rio se oculta­ la Concepción Gerónima,…</t>
  </si>
  <si>
    <t>Sanz, Santos</t>
  </si>
  <si>
    <t>Santos Sanz</t>
  </si>
  <si>
    <t>…Lorenzo Figueroa, su título Isabel de la Descuento de letras , á 6 por 100 al año. Paz. Regidores: primero D. Rafael Urries, segundo D. Tadeo Sentimos sobremanera que los cortos límites de nuestro pe­ López Rebolledo, tercero D. Santos Sanz, cuarto D. Manuel ! ■■«■"I.' ■. ■■■ riódico y los muchos materiales preparados para este dia, nos Ezrnir , quinto D. Custodio izquierdo, sexto D. Rudesindo Gea. PROVIDENCIAS JUDICIALES. impidan extendernos acerca de una producción que tanto hon­ Síndico: D. Andrés Casajus. ra á su autor…</t>
  </si>
  <si>
    <t>Sao, Evaristo</t>
  </si>
  <si>
    <t>Evaristo Sao</t>
  </si>
  <si>
    <t>…aper­ tunadamente se hallaba oculta en una casa de aquella villa una cibimiento que de no hacerlo les parará el perjuicio que h aya partida del regimiento de Ceuta al mando del teniente D; Fran­ lugar. Revista m ilitar , por D. Evaristo Sao M ig u e l; obra que se cisco de Paula M onasterio, se echó sobre aquellos, logró dar publica por cuadernos mensuales desde A bril de 1858. Todos muerte al cabecilla Lino Calonge, herir á otro, cogerles cinco los cuaderno* forman y a do* volúmenes en 4.°, y se va conti­ buenos caballo…</t>
  </si>
  <si>
    <t>Saochez, José</t>
  </si>
  <si>
    <t>José Saochez</t>
  </si>
  <si>
    <t>…nuel Docavo y D. Juan Pablo Lasanta. Traducción latina. D. Manuel María Simó y D. José Dios- lo fui el triste entre tantos a l e g r e s , y el cautivo entre tan­ dado. tos libres.,, (l) Propiedad latina. D. Anselmo M ateo, D. José Saochez, Uchalí se escapó con las galeras que m a n d a b a r en n u ­ Escriben de Piorna. El 6 de Junio último, octava del Corpus, un joven pintor D. Manuel Maderne y D. Valentín Galarza. mero de 30. El resultado de esta m em orable jorn ada fue francés se encontró con una de 1as numerosas…</t>
  </si>
  <si>
    <t>Saojuanena, Francisco</t>
  </si>
  <si>
    <t>Francisco Saojuanena</t>
  </si>
  <si>
    <t>…del próximo I .... nombrando capitán general de Andalucía al mariscal niciones de guerra y boca, y se ha dicho ha salido hoy con i año de I 84O con la correspondencia del Gobierno y de parti- I dirección á Segorbe. de campo D. Francisco Saojuanena. (Id.) I culares, para Canarias, Puerto-Rico é isla de Cuba. I _ nombrando capitao general del distrito de Granada al te­ El cabecilla Chambonet tiene la comisión de desterrar á to­ das las familias que hubiesen tenido la nota de liberales; asi es I Lo que se anuncia al públ…</t>
  </si>
  <si>
    <t>Saraaníego, Juan</t>
  </si>
  <si>
    <t>Juan Saraaníego</t>
  </si>
  <si>
    <t>TÍgiJos siempre por el eotendido coronel D. Juan Saraaníego, los dalos necesarios, puedan formarse, y se tne remítan, segun arm ada, y también acudió oportunamente el brigadier Azpiroz jgefc de la brigada &lt;del Norte. Al ser llamados estos cuerpos tengo prevenido. con parte de sus valientes tropas, que luego salieron para su para tomar parte…</t>
  </si>
  <si>
    <t>Sarachn, José</t>
  </si>
  <si>
    <t>José Sarachn</t>
  </si>
  <si>
    <t>…1 á las tres de la ta rd e « Siempre que lo exija la importancia de una obra d ram áti­ Otra id . , cerro del Zarzo, término de Huercal, la Goma ca que se ejecute en los teatros, se hablará de ella en un suple­ arábiga , por D. José Sarachn, en 5. mento , si la publicación del numero no debe tener lugar asi E F E C T O PÚ BLICOS. Otra id . , loma del R a y o , termino del Fondon, Sto. Cris­ que se ejecute aquella, para evitar la dilación : pues los princi­ to de Desamparados, por Miguel García , en 4* Inscripciones en el…</t>
  </si>
  <si>
    <t>Sarda</t>
  </si>
  <si>
    <t>…bre la mesa relativos á elecciones , se el dictámen de la comisión de Actas eu Las noticias de Constantinopla recibidas hoy desmienten sición con el art. 8 de la ley de 19 de Julio de 1857 y del que proponía la admisión del Sr. Sarda, Diputado por Tarra­ los rumores que habian circulado estos últimos dias. Rusia y acuerdo del Senado del año anterior sobre el mismo pu nto, y gona. Prusia no se han separado de la conferencia ; y los embajado­ fue por lo tanto de opinión que debia adoptarse la misma re­ res continúan delib…</t>
  </si>
  <si>
    <t>Sardsfield</t>
  </si>
  <si>
    <t>…e suspendió la discusión de la señalada con el número 58 la Guardia á BdrgGs. 4 0 y 58 á v. f. ó vol. á prima de 1 , f , 5 dieziseisavos, | y hasta que se halle presente el Gobierno por haber manifestado Nombramiento del general Sardsfield para el mando de las i por 100 , con cupones. el Sr. Ayllon que, pidieudo en ella el ayuntam iento constitucio­ Inscripciones en el g ran libro á 4 Por 1 0 0 , 00. tropas que deben operar sobre las p rovincias, y varias disposi­ nal de M adrid , entre otras cosas, que se exija la respons…</t>
  </si>
  <si>
    <t>Sardá</t>
  </si>
  <si>
    <t>…s en que se interesa nada menos que la humanidad y la Se suspendió esta discusión. máscaras públicas, ademas de escogidas funciones teatrales, en grandeza de esta nación, no debe entrarse en inculpaciones de Se anunció que el Sr. Sardá quedaba agregado á la 5.a sec­ las que aquel edificio ha estado colgado é ilum inado, han sido ningún género; pero S. S. cree que no pueden hacerse mejoras, ció n, el Sr. Garavantes á la 6.a y el Sr. Roy á la 7.a las demostraciones por cuyo medio se ha desahogado en parte la tnieutras no haya…</t>
  </si>
  <si>
    <t>Sarm, Pedro</t>
  </si>
  <si>
    <t>Pedro Sarm</t>
  </si>
  <si>
    <t>…os b lanquizco s: la El tam año , carácter y papel serán ig u ale s al prospecto que 4-° V ariaciones de flauta de M r. K a lt- b e k , por el joven montaña es Sion , y los edificios son la ciudad San ta. Jerusalen profesor D. Pedro Sarm iento. en medio de desiertos qu e, según expresión del cantor de los se publica , de m anera que en unas 200 colum nas estará conte­ nida ia m ateria de tres tomos ea 8 .° regu lar. 5.° A ria de bajo de I I fa n á tic o p o r la m ú sica , por el se­ M á rtire s, parecen respirar aun la…</t>
  </si>
  <si>
    <t>Sarmiento, Pedro</t>
  </si>
  <si>
    <t>Pedro Sarmiento</t>
  </si>
  <si>
    <t>…ecoración y trajes. de Doña Eusebia Alarcon, acaecido de mano airada en fines 4*° Variaciones de flauta de Mr. K a lt-b e k , por el joven de Octubre último, p&amp;ra que se presenten en su juzgado á h a ­ Folleto en 8 .° profesor D. Pedro Sarmiento. cer las reclamaciones que crean convenientes, y se les adminis­ 5.° Cavatina en la ópera Semirdmide , del maestro Rossini trará justicia eu lo que la tuvieren. Se vende á real en las librerías de Villa , plazuela de Santo por ’a Sra. Campos y coristas; con decoración y trajes. Dom…</t>
  </si>
  <si>
    <t>…orales esparci­ f. ó vol. y firme: 29 \ , 28 , 29¿ y 29 á v. f. ó vol. á prima de 4.0 Yariaciones de flauta de Mr. Kalt-bek , por el joven das en la sociedad, como ha sucedido en Francia. El delincuen­ i con cupones. profesor D. Pedro Sarmiento. te americano me parece hijo de la ignorancia, de la necesidad, Insciipciones en el £ran libro á 4 por 100 , 00. 5.° Aria de bajo de II fanático por la música , por el se­ de la ambición, si se quiere; el criminal francés me parece mas Títulos al portador del 4 P°r 100, 24 á 60 d.…</t>
  </si>
  <si>
    <t>Sarmieoto, Pedro</t>
  </si>
  <si>
    <t>Pedro Sarmieoto</t>
  </si>
  <si>
    <t>…e por medio de la Gaceta del 4.0 Variaciones de flauta de M r. K a lt-b e k , por el joven va y siguientes, excepto por la variación de sus tamaños y an­ Gobierno se llam e, cite y emplace á los herederos del nomina­ profesor D. Pedro Sarmieoto. tenas. do D. Diego R u te, á fin de que dentro del preciso y perento­ 5.° Cavatina en la ópera Semirámide , del maestro Rossini, I letero m o rp h a . Las larvas en esta división no se parecen rio término de 50 días, que por primero y último se les prefi­ por ia Sra. Campos y cori…</t>
  </si>
  <si>
    <t>Sartorio, Luis</t>
  </si>
  <si>
    <t>Luis Sartorio</t>
  </si>
  <si>
    <t>…abra , porqae tiene al espíritu de alusión to en Ceuta se notó un síntoma de insurrección : mucho elogio el Sr. Alvaro; y que este contrato se habia hecho entre el Go­ personal. merecen sus autoridades. bierno de una parte y D. Luis Sartorio, de otra. Dice asi. El Sr. Vicepresidente Z U M A L A C A R R E G U I: V. S. no ha Interceptada la comunicación de D. Cárlos se veia en ella {Leyó.) hablado. que los confidentes le decian que por desgracia esta habia abor­ El orador continuó contestando á varias observaciones he­ El…</t>
  </si>
  <si>
    <t>Sas, Francisco</t>
  </si>
  <si>
    <t>Francisco Sas</t>
  </si>
  <si>
    <t>…de lasí ar­ ya de sucumbir al esfuerzo y decisión de nuestros valientes tes en el Conservatorio de las mismas de Madrid. soldados, si en breve no abandona un pais donde, lejos de te­ Lecciones taquigrafiadas por su discípulo D. Francisco Sas­ ner simpatías, se le odia y mira como el mayor de los tiranos. tre* y Domínguez, alumno del colegio de San Carlos y ayu ­ DIORAMA. Ayer salió el convoy , y la tropa que lo acompañaba regre­ dante de química en el conservatorio de artes de esta corte. Establecimiento de un género en…</t>
  </si>
  <si>
    <t>Saturnino</t>
  </si>
  <si>
    <t>…n en algún puuto de rubricado de la Real mano.— En P alacio a 17 tle ¡Noviem­ Y . M. á los deseos del G a b in e te , ofreciendo asi términos a P e n ín su la , las cruentas represalias, en fin , que d ifun ­ bre de 1839 .r=A D. Saturnino C alderón Collantes. hábiles para nuevas combinaciones si fuesen posibles. dían el luto y el te ;ro r por todas partes, no eran la e x ­ Mas cuando aquella resolución c o n c ilia d o r a , hija del presión de la índole y sentimientos de los españoles, sino mejor deseo, estaba lomada a…</t>
  </si>
  <si>
    <t>Sau</t>
  </si>
  <si>
    <t>…N o , señores , lo que se ha querido decir en la seguridad de los ciudadanos , dijo que habia sabido d e ­ las del Sr. San ch o , y á las que se han hecho por los (Lunas .se-* en el -artículo lo explicó ayer perfectamente el Sr. Sau cho , y yo cir el tribunal de Casación al mismo Rey de los franceses que ñores que han combatido el artículo, el cual sostiene , porqué fceogo que recordarlo. aquello era contrario á la C a r t a , y que el estado de sitio era con el estado de prevención que en él se consigna , dice que la La C…</t>
  </si>
  <si>
    <t>Sau, Buenaventura</t>
  </si>
  <si>
    <t>Buenaventura Sau</t>
  </si>
  <si>
    <t>…ficados. don, Fortuna , por D. Andrés Cecilio de M oya , en i.° Otra de id ., eu el término de O gassa, del nombrado p a rti­ (Z&gt;. M. d e V.) Otra id ., i d . , collado del A gua , término de Berja , Cruz do y proviocia , por D. Buenaventura Sau van y, en 5. de P rieg o , por José Linares C ojayar , en 5. Otra de id ., en la inmediación del P uig del T rull , térm i­ Otra i d ., i d . , i d . , id ., id ., S. A ntonio, por Antonio M u ­ no de Surro ca, del mismo p artid o , por D. Joaquín de Rom á, ñoz R odríguez, en 5.…</t>
  </si>
  <si>
    <t>Saudoval</t>
  </si>
  <si>
    <t>…icaron miles de víctimas; in­ do por su Presidente de sueldos de viudas y retirados, había nom bra­ proporcionara. ¡Loor eterno a Y. M.I ¡Loor eterno á los dig­ cendiaron los pueblos; talaron los campos, y cubrieron el rio al Sr. Saudoval. al Sr. López Pedrajas , y por su Secreta­ nos consejeros de la corona! jLoor y corona inmarcesible de suelo español de destrucción y m uerte, ¿que' mayor bien que El Congreso quedó enterado de una comunicación del señor laurel y olivo al ilustre guerrero y al leal y valiente ejer­ la paz p…</t>
  </si>
  <si>
    <t>Sauri, Manuel</t>
  </si>
  <si>
    <t>Manuel Sauri</t>
  </si>
  <si>
    <t>…icio de la Amistad y del reconocimiento, me­ CAMBIOS. zóla ; en Barcelona en la portería del colegio de medicina y lodrama en seis actos, á 6 rs. en rústica. Londres, á 90 dias, 58§ Coruña, 1 d. cirugía, y en la librería de D. Manuel Sauri, y en las prin­ Revista de Cádiz, cuadro de costumbres, leyendas y tra­ papel. G ranada, 1-1 id. cipales librerías del reino. El precio de la suscripción en Ma­ diciones populares: está de venta el cuaderno 1.°, que contiene P a ris,l6 -5 id. M álaga, par. drid y en las provincias es…</t>
  </si>
  <si>
    <t>Sauz, Juan</t>
  </si>
  <si>
    <t>Juan Sauz</t>
  </si>
  <si>
    <t>…de ellas por el cono­ lles, presbítero. Un tomito en 8.°, se veude en esta corte en la allí convenir efen sus criados y oficiales en reservar mensual- cido y a preciable profesor D. Ramón Carnicer. En la versión de librería de D. Juan Sauz, calle de Carretas, á 5 rs. en rústica. mente una corta suma de sus salarios o jornales para aumentar estas odas se ha procurado que los acentos castellanos coincidan progresivamente su fondo en la caja. Hubo directores de esta­ con los del original griego, y este se ha escrito con caract…</t>
  </si>
  <si>
    <t>SC, PA</t>
  </si>
  <si>
    <t>PA SC</t>
  </si>
  <si>
    <t>…be hacer la pregunta de si se toma ó no en con­ la entrada á individuos que no tengan el derecho electoral. entender en los actos de la elección , y nada rnas. si deraci ón ; y corno para toda resolución es preciso, si hay El Sr. PA SC U A L : S eñores , aqui se han presentado dos ob­ El otro punto que se ha tocado es acerca de los 52 electores quien pida la palabra, que recaiga la discusión, me parece que servaciones. La primera es acerca de una protesta hecha por un que el comisionado de Caravaca dijo que estaban procesado…</t>
  </si>
  <si>
    <t>SCG</t>
  </si>
  <si>
    <t>…mento. Con es­ para ocuparse de su instrucción. (G. N.) Lo que se inserta en dicho Boletín con el objeto que se me tos datos se podrá valuar ese poderoso elemento de prosperidad encarga. Pontevedra 11 de A bril de 1859.=P. I. D. S. C. G., á que tanta importancia dan las naciones modernas, y cada es­ El coronel, M ugartegui. ( B . O.) pañol se hallará en el caso de apreciar los recursos con que Idem 9. cuenta para instruirse en los diversos ramos del saber humano. Sin clamar ahora por lo mucho que nos falta acerca de este…</t>
  </si>
  <si>
    <t>Schely</t>
  </si>
  <si>
    <t>…rámarchó en la mañana del y repasando la Brújula existencia del co n tra b an d o q u e 5se án p o ftéy cáúsás 'q tié én i '" % * &gt; ' A visal ál ’gefe po lítico j ó M ondé éste n ó re sid a ál se dirigió á Peña Orada. El coronel Schely con los dos escua­ él in flu y a n , y m edios d é ^ t i r p a r f ó ^ s t i r p é rfú ic m déU p^ álcáidei; c u á n d ó ^ se 'é é le b ré ñ ju n tas’ g éo eraléá , ex p resan d o ' drones de Borbon se dirigía en e! mismo dia sobre Santa Cruz, in tereses de aqu ellas islas, p ara lo cual es…</t>
  </si>
  <si>
    <t>…23 caballos. H an quedado en nuestro poder 10 , m ontura i , sa­ á continuación se expresan, se anuncia por el presente el re­ remate se ha señalado el dia 10 de A bril próximo y hora de bles, lanzas y otros efectos; y el coronel Schely seguía la pista mate para el dia 50 de Abril próximo dé doce á dos de la tarde las once de la mañana, en la casa posada de su señoría , que la del, cabecilla por si podía darle alcance* en la sala de juntas de la misma dirección. tiene calle de Bordadores, núm. 1 2 , cuarto segundo. Pliego d…</t>
  </si>
  <si>
    <t>…ban del Valle, provincia de A v ila , su vecindario de mas sido completamente balido en Espinosa de Cérvera|, de esta pro­ de 500 vecinos, su dotación 6d rs. y casa de balde, y otras vincia, por la columna al mando del coronel Schely ; habiéndose i^ U R S O de química aplicada á las artes, á la medicina y á adealas de que se enterará al escriturar, teniendo por la presen­ tomado al enemigo 10 caballos con sus monturas, armas y lan­ ^ la farmacia, explicado en el Conservatorio de Artes por te que visitar solo á una part…</t>
  </si>
  <si>
    <t>…que tenia sobre todo el Sud­ D. Cárlos es su prisionero. sido completamente batido en Espinosa de Cervera de esta: pro­ oeste de la Alemania , que ha beneficiado por casi el trascurso de vincia por la columna al mando del coronel Schely,habiéndose 200 años* excluyendo todo aquel pais del comercio m arítim o, y Lugo 17 de Marzo. A pesar de que son varias la columnas tomado al enemigo 10 caballos con sus m onturas, armas y obligando á sus habitantes á venderle los productos de su suelo que persiguen la facción de los 150 cabal…</t>
  </si>
  <si>
    <t>…ras colum­ lle dedeCarretas, rera San G erónim o, núm. 48, y en la librería de Rios, ca­ frente á la Imprenta Nacional: en las provin­ sión supone una autoridad que envia , y que encarga la eje­ nas , que creo sea la del coronel Schely, la que sin detenerse cias , en las principales librerías. cución de una cosa. ¿Cuál es esta autoridad? ¿La naturaleza? marchó en persecución del enemigo, haciendo que le acompaña­ Pero la naturaleza movió igualmente á hacer versos á Hornero sen algunos prácticos del país. y á Querilo, á Vi…</t>
  </si>
  <si>
    <t>Schely, Ricardo</t>
  </si>
  <si>
    <t>Ricardo Schely</t>
  </si>
  <si>
    <t>…ación ante dicho parte á este ministerio que noticioso el coronel del regimiento Sr. juez, y por la escribanía de Juzgado al cargo de D. José J p N virtu d de providencia del Sr. D. M anuel L uceño, juez caballería de Borbon, D. Ricardo Schely, de que el cabecilla González, por el térm ino de 50 dias improrogables, contados de primera instancia de esta II. villa , refrendada del Balmaseda se hallaba en O ntoria de V alde-arados, con inten­ desde esta fech a, pues pasado sin efecto, se procederá á lo que escribano del núme…</t>
  </si>
  <si>
    <t>Scheneider</t>
  </si>
  <si>
    <t>…g ra n ­ Comercio; D u f a u r e , de Trabajos públicos, llevan también un en 8 5 0 ,0 0 0 habitantes, siendo de ocho á nueve la relación de de potencia m arítim a, encontrarán en ellas apoyo sus a r m a ­ frac negro: el general Scheneider, ministro de la Guerra; el al­ los blancos á los de color. Los esclavos son 300,000. mentos, y mientras que llega ese caso le está asegurada y g a ­ m irante D up erré, de M a r i n a , llevan sus respectivos unifor­ El azúcar exportado en 1817 solamente por los dos puertos rantida su con…</t>
  </si>
  <si>
    <t>Scheüy, Ricardo</t>
  </si>
  <si>
    <t>Ricardo Scheüy</t>
  </si>
  <si>
    <t>…. M. la R e i n a , su augusta Madre la R e i n a G oberna­ gan a este pais con el mencionado renglón , me apresuro j doro de lh&gt;yos, que lo era de la provisional, y ai d e igual cla- ; se comandante general de la caballería D. Ricardo Scheüy , les a participar esta circunstancia á V. E . , a fio que se sirva j manifesté mis intenciones , el orden que debían seguir con las dora y la Serma* Sra. Infam a Doña María Luisa F e rn a n ­ mandar se publique para noticia del com ercio.” i respectivas fuerzas de su mando, y los…</t>
  </si>
  <si>
    <t>Schneider</t>
  </si>
  <si>
    <t>…r noche y hoy se ha hablado mucho en los salones po­ pósito cu y a importancia conozco, y c u y a extrema responsabi­ ras. Los caballos muestran también mucho mayor fuerza ac ar­ líticos de la dimisión de M r. Teste y del general Schneider. lidad acepto. reando que tirando, y con todo, uu hombre buen andador y (Id.) A l recomendaros una y mil veces estos renglones, encami­ activo gana al caballo en una jornada larga. Su poder de trac­ nados á haceros apreciar ese derecho inestimable, hasta ahora ción rara vez excede 180 li…</t>
  </si>
  <si>
    <t>…cadas acerca de los tra­ noticia ; pero si no estamos mal informados, no hay motivo a l­ buen conducto nos hacen presumir que las intenciones de M e* bajos de esta clase de un prelado español. guno para presumir que el general Schneider no quiera , asi h e m et-A íí ea nada han variado de las que tenia al tiempo de D. Félix Torres A m a t , actual obispo de Astorga , se dedicó como sus colegas, presentarse ante las Cámaras para sostener ea su partida. desde su infaocia al estudio de las lenguas g r i e g a , hebrea , c…</t>
  </si>
  <si>
    <t>Schoeil, Federico</t>
  </si>
  <si>
    <t>Federico Schoeil</t>
  </si>
  <si>
    <t>…ibutioos de *ía Policie lar Ínteres la España, sacados de la colección publicada en Pa­ pour les boures moeurs, nueva é interesante pub licació n ; 2 to­ Nuestro corresponsal de M urcia nos remite las dos alocu­ rís por el Sr. Federico Schoeil, y traducidos al castellano por un mos, á 15 rs. cada uno. español. Un cuaderno en 4*°&gt; edición de l 8 l 6 , á 9 rs. en rús­ Geographie ancienne et rooderne, compendio de B a lb i , con ciones sigu ie n te s: tica. un atlas de 8 6 mapas sobre acero, 2 tomos, á 10 rs. Contiene est…</t>
  </si>
  <si>
    <t>Schoneider</t>
  </si>
  <si>
    <t>…po­ Estado por lo respectivo á los asuntos contenciosos. rías sublimes y de principios inmejorables. De aqui proviene líticos, que á la sombra segura del misterioso asilo doméstico, Para M inistro de la Guerra al teniente general Schoneider, esa resistencia á toda opinión m oderna; esa vulgar y bárbara afilaron los puñales para clavarlos cobardemente en el seno de la por cuyo nombramiento el teniente general Despans Cubieres, preocupación contra los extrangeros; esa fria indiferencia por patria. Empero pronto se convenció de…</t>
  </si>
  <si>
    <t>Schram</t>
  </si>
  <si>
    <t>…del rein o , que solo pertenece á los gada , M a u g in , idem. su plaza, como si la Reina hubiese mandado ó pudiera m inistros, según la ordenanza de 14 de Noviembre de 1857. Segunda división en M aub erge: el teniente general Schram m ; Tampoco puede tomar la in iciativ a en n in g u n a deliberación. gefe de estado m ayor , el coronel de Lostende. Prim era b riga­ mandar por sí lo contrario de lo que se digna resolver Siguen después los nombramientos de los presidentes y de los da , Fabrier , mariscal de campo: segund…</t>
  </si>
  <si>
    <t>Schramtn</t>
  </si>
  <si>
    <t>…imiento. De resultas de la negativa del mariscal Yalé para el M i ­ Las cartas de S. Petersburgo anuncian que el embajador in ­ El H andelsblad contiene las mismas noticias. Añade que nisterio de la G uerra, se habla del general Schramtn. gles en Rusia ha tomado medidas para mantener á la Ingla­ esos movimientos de tropas serán seguidos de medidas mas (Constitutionnel.) terra en buena inteligencia con el Emperador. Se asegura po­ enérgicas si las circunstancias lo exigen, porque, dice dicho sitivamente que lord Clarincarde…</t>
  </si>
  <si>
    <t>Schéle</t>
  </si>
  <si>
    <t>…bre el cual iban i hacerle numerosas'jregla,maeipnes. - La G aceta de hoy contiene una declaración oficial, fírma­ Bonos de las In dias, 6 5 , 65. L ord C o ích ester: 'La explicación gs satisfactoria en ai mj*- la por el barón Schéle, de la que resulta que no han concur­ Acciones del banco, 206. ma ; pero el púbUco debe conocer toda L extensión de la rep a­ rido á la asamblea de los Estados 23 D iputados, no obstante Los fondos extrangeros han sufrido muy poca alteración en ración ofrecida por el alm irante francés. Si lo…</t>
  </si>
  <si>
    <t>Scolto, José</t>
  </si>
  <si>
    <t>José Scolto</t>
  </si>
  <si>
    <t>…neral de las provincias de Ciudad-Real y M ina plomiza en sierra de L u ja r , barranco del Almes , tér­ Francisco da Sales García, Toledo en 31 de Eoero desde el primer punto dice que habien­ mino de V elez, la C ulebra, por D. José Scolto, en 7. do batido, según tenia ofrecido, los escabrosos é inaccesibles Otra id. en el cerro de San A lejo, término de Torbiscon, montes del Emperador, logró sorprender un campamento de los la Fortuna , por D. Antonio L lo rca, en 15. enemigos en on alto pico, donde parecía imposible se p…</t>
  </si>
  <si>
    <t>Scott</t>
  </si>
  <si>
    <t>…n i d a - ción del territorio disputado. Las correspondencias de Sir John volverá á encargarse, aunque muy á disgusto de la Rusia, del 3 des que la Sublime Puerta conceda h o y , ó pudiera co nceder er Harvey dirigidas al general Scott hacen parte de la disposición ministerio de relaciones exteriores. adelante á los uíbditos y á los buques de otra cualquiera P o ­ en que se halla el teniente gobernador dél Nuevo Brunswick de Sabido es que Reschid-bajá erv el pasado año el alma del tencia extra njera , serán igualm ente co nc…</t>
  </si>
  <si>
    <t>Scotto, Eduardo</t>
  </si>
  <si>
    <t>Eduardo Scotto</t>
  </si>
  <si>
    <t>…s , y otro sobre recompen­ Otra id ,, ramblílla de las Cabañillas, término de Purchena las secciones 1 .a, 5 .a, 4 *a y 5.a, y de oportuna la 2 .a sas á militares ; anunciando que en seguida se pasaría á la de Jú p ite r, por D. Eduardo Scotto,en 16. * A las mismas paso una proposición para que se erija un las actas que han quadado sobre la mesa; y levantó la sesión á 0 [ra ¡U , loma de Roda, término de B erja, S. Agustín monumento en el mismo sitio donde se dio el abrazo de recon­ las dos. por Juan Vázquez, en 20. 9 cilia…</t>
  </si>
  <si>
    <t>Scotto, José</t>
  </si>
  <si>
    <t>José Scotto</t>
  </si>
  <si>
    <t>…h am bre, es agarrar un corde­ Otra de carbón de piedra, barranco de Z u jar, término de ras boyando entre las nubes, particularmente en las An­ ro; pero temeroso aun del temblor de la víctima, lo deja Zujar , Carbonera , por D. José Scotto , en 27. dalucías, como si no tuvieran objeto ni comunicación con caer de lo alto para que muera del gofpe contra las pie­ Otra plomiza, sierra Alham illa, cuesta de las Tejas, tér­ la tierra. dra?, y saciar luego su apetito. Si la extrema necesidad le mino de V iato r, la Fortuna , po…</t>
  </si>
  <si>
    <t>Scrzy-</t>
  </si>
  <si>
    <t>…iben de H ay a con fecha 51 de Enero: bien patente , y aqui debo rectificar lo que os dije a y e r acerca debia dar lugar á ciertos arreglos que dos notarios de Paris es­ del estado de disponible en que se ha colocado al general Scrzy- taban encargados de disponer. El Rey ha expedido hoy pliegos á M r. Dedel , embajador oecki. Los ministros de A ustria , Prusia y F rancia han hecho Este proyecto iba á realizarse, y quizá se hubiese restable-</t>
  </si>
  <si>
    <t>Scrzynecki</t>
  </si>
  <si>
    <t>…s. No es difícil comprender el sentido de esta últim a cláusula meza. Según toda apariencia á esta hora están extendidos los formalmente estipulada por el Rey Guillerm o: la Bélgica po­ pasaportes de los Ministros , y el general Scrzynecki tomará el F R A N C IA . dría rehusar; el Gobierno no puede aceptar sin la concurrencia mando que se le ha conferido en tiempo oportuno. de las C ám aras, y estas no se muestran dispuestas á dar su con­ P. D. Se confirma la noticia de la próxima salida de los P arís 7 d e F eb rero . s…</t>
  </si>
  <si>
    <t>Scrzynecky</t>
  </si>
  <si>
    <t>…scriben de Bruselas con fecha 12 de Febrero: N ad a se sabe de positivo sobre los términos en que estará Extracto de partes recibidos en la capitanía general. de A u stria , han llegado allí procedentes de Bruselas. E l general Scrzynecky ha salido esta m añana para inspec­ concebida la proposición que ha de someterse á las Cám aras. Se El comandante militar de Chiva en oficio de ayer dice qué cionar algunas posiciones m ilitares en las fronteras de H olanda. asegura que estas se reunirán el 18 de este mes. E n tretan to l…</t>
  </si>
  <si>
    <t>SCU, PA</t>
  </si>
  <si>
    <t>PA SCU</t>
  </si>
  <si>
    <t>…el acta de elecciones de Murcia. la ley: yo pido que se lea la parte que comprende la protesta. para ello encuentra razones poderosas aun en la misma im pug­ Él Sr. C A L D E R O N C O L L A N T E S : Dos son las objecio­ El Sr. PA SCU A L: ¿ Y por qué ha de darse crédito á lo nación del Sr. Calderón Collantes, puesto que habiéndola fun­ nes que se pueden poner á la aprobación del acta de Murcia. que dice un individuo si eso no está justificado cumplidamente? dado principalmente en la eliminación de los 500 y pico de Call…</t>
  </si>
  <si>
    <t>SCUAL, PA</t>
  </si>
  <si>
    <t>PA SCUAL</t>
  </si>
  <si>
    <t>…a diciales con que se haya seguido la causa al Sr. Alvarez, que petentes son los tribunales ordinarios. por aquel público entusiasmado, y que ha mereeido el honor no se haya escogido un medio por el decoro mismo del tribu­ El Sr. PA SCUAL manifestó que estando rebatidos ya por de ver solicitada su precitada ópera por los italianos para eje­ nal para tranquilizar al público español, y convencerle de que cutarla en sus teatros. el Sr. Cortina todos los argumentos que se habían presentado estos 10 ú 11 meses se han invertido…</t>
  </si>
  <si>
    <t>Scult</t>
  </si>
  <si>
    <t>…o , en . laprenderse viéndolo ; ni nos empeñaremos nosotros en describir de la provincia de Almería, y oida la comunicación de que se fiesta continua de cada calle de Toda'la. ciudad, no sabiendo .enérgica sensatez del mariscal Scult, se ha debido el renunch qué comparación darle adecuadas y si se quitare el T e Deum y acaba de hacer lectura , parece que se presentan dos cuestiones. á este proyecto. Mr. Thiers ha felicitado á S. M. por esta r&lt; las marciales marchas de lafc tripas y M. N. ea loa actos sérios Primera, la qu…</t>
  </si>
  <si>
    <t>Sdjas</t>
  </si>
  <si>
    <t>…encuentra Para probar la im portancia de un plano subterráneo to de 1839.z=José María Püig. mu* pocas con la perfección que se requiere, hemos pensado dar la presente traducción , y creemos hacer un servicio, no tan citó el Sr. Sdjas algunos ejem plares que habla exam ina­ solo á los encuadernadores , sino al público , que es él que cora- do en las Alpujarras, punto en el cual al lado de las m i­ CAJA DJE AHORROS DE M ADRID. pra las obras. T llas productivas se encuentran otras que no dan un gra­ Domingo í.° de Setiembre…</t>
  </si>
  <si>
    <t>Se, Alvaro Florez Estrada.</t>
  </si>
  <si>
    <t>Alvaro Florez Estrada. Se</t>
  </si>
  <si>
    <t>…zmo, primicia y de­ T A cuestión social, ó sea origen , latitud y efectos del orden no del número de su juzgado, se ha mandado sacar á pública mas prestaciones que de él emanan en este obispado por frutos ^ de propiedad , por D. Alvaro Florez Estrada. Se vende en subasta por término de 10 dias una casa sita en la calle de la del presente año , á saber: en los dias 29 y 50 los correspon­ Madrid en la imprenta de D. Miguel de Burgos, calle de To­ Justa , señalada con el número 2 nuevo, con vuelta á las calles dientes á las…</t>
  </si>
  <si>
    <t>Se, Aotonio Alvares. Nota.</t>
  </si>
  <si>
    <t>Aotonio Alvares. Nota. Se</t>
  </si>
  <si>
    <t>…e las representan; y por ú ltim o , que la celebri­ D. Antonio Bergay : en Sevilla , imprenta frente á Sta. M aría dad de su a u t o r , los elogios que en varias partes de Europa se de Gracia y calle de Génova, librería de D. Aotonio Alvares. Nota. Se advierte al público que el autor cede de su pro­ piedad para el fondo de las escavacione* 16 mrs. por cada ejem­ hicieron y hacen de e ll a , y la feliz acogida que ha tenido de todos los inteligentes extrangeros, la recomiendan m u y p arti­ TEATROS. cularmente. PRIN…</t>
  </si>
  <si>
    <t>Se, Arteta.</t>
  </si>
  <si>
    <t>Arteta. Se</t>
  </si>
  <si>
    <t>…iones ? N o nos expongamos, seño­ dictámen quedó aprobado, siendo en seguida admitido como Se puso á votación el dictámen , y quedó aprobado. res, á aprobar una cosa que no debemos; este argumento es de Úputado por Ñavarra el Sr. Arteta. Se puso á discusión el dictámen de la misma comisión re­ mucha fuerza , y el Congreso debe tomarlo en consideración. Se dio cuenta del dictátnen de la comisión de actas sobre la lativo al acta de elecciones de Albacete 9 proponiendo se aprue­ Tengo que hablar de otro asunto relativo á la ad…</t>
  </si>
  <si>
    <t>Se, Ayerve.</t>
  </si>
  <si>
    <t>Ayerve. Se</t>
  </si>
  <si>
    <t>…­ Entrega de ENERO de 1839. expresiones est Deus in nobis invita Minerva aspírate ca - vimientos, que según manifiesta son para auxiliar las opera­ nenti, musarum sacerdos , y otras semejantes que se hallan á ciones del general Ayerve. Se halla á 3 rs. tanto en rama como en rústica en el cada paso en los peetas latinos. O vidio, Virgilio y Horacio Se han presentado en Torrehermosa 15 caballos facciosos; los despacho de dicha imprenta. podian creerse enviados de A p olo, sacerdotes de las musas que después de descansar br…</t>
  </si>
  <si>
    <t>Se, Baeza</t>
  </si>
  <si>
    <t>Baeza Se</t>
  </si>
  <si>
    <t>…ue habia dejado de existir, para hacer ver que lo que Catalu­ en reemplazo del Sr. D. Simón Fernandez Gallardo. torios del Gobierno para variar estos mismos aranceles, de ios ña pedia y deseaba estaba en armonía con lo que el Sr. Baeza Se leyeron varias enmiendas al proyecto sobre atribuciones ue se había valido el Gobierno para sustituir ,.y no por. medio deseaba para su provincia , concluyendo después de otras ob­ de ayuntamientos que pasaron i la comisión. e una ley, una, parte á los aranceles vigentes, y ruego al se­ se…</t>
  </si>
  <si>
    <t>Se, Caminos.</t>
  </si>
  <si>
    <t>Caminos. Se</t>
  </si>
  <si>
    <t>…tencia. Nadie desea la verdad ea los hom­ muchos años. M adrid 26 de A bril de 1839.=Hom- Alcantarilla de Regajo grande y badén frente al Chorrillo. bres y en las cosas tanto como nosotros. panera de Cos.ziSr. director general de Caminos. Se lee en el JSouvelliste: Por 4 canteros, 27 peones, 2 carros y 21 caballerías se han Las nuevas negociaciones que, según todos esperaban, de­ En vista de una consulta elevada á este ministerio por hecho los , trabajos siguientes: conducir desde la carretera de bían otra poner término…</t>
  </si>
  <si>
    <t>Se, Clonard.rzExcmo. Sr.</t>
  </si>
  <si>
    <t>Clonard.rzExcmo. Sr. Se</t>
  </si>
  <si>
    <t>…u a rd e á V. E. muchos años. Sevilla 2 9 de D iciem ­ piran contra mi ex isten c ia , los acechos que me preparan dia y h a observado d u r a n te su permanencia aq u i , en donde ha sido bre de l858.= E x cm o. Sr.zzEl conde de Clonard.rzExcmo. Sr. Se­ n o c h e , todo me an un cia un (iu funesto, que no s i e n d o eo be­ tra ta d o coti todo el decoro y consideración que Y . E. me tiene c t a r i o de Estado y del Despacho de la G uerra. neficio de mi patria el sacrificio de mi v i d a , debo economizar- p r e v e n id o…</t>
  </si>
  <si>
    <t>Se, CORTES.</t>
  </si>
  <si>
    <t>CORTES. Se</t>
  </si>
  <si>
    <t>…ctámen , añadiéndose en él la cláu­ sula indicada por el Sr. Sancho, y adoptada por la comisión, Señora: A L. R. P. de V. M. El presidente del ayunta­ fue aprobado. miento constitucional, comandante del batallón de M. N. y cura CORTES. Se leyó la 25 relativa á una exposición que hace al Congre­ párroco de la villa de Yillahermosa, provincia de Ciudad-Real, so el ayuntamiento de Tudela , cabeza de merindad de N a v a r­ en el partido de Infantes, por sí y á nombre de las respectivas ra , en que hace presente que en 25 de Ag…</t>
  </si>
  <si>
    <t>Se, Cárlos.</t>
  </si>
  <si>
    <t>Cárlos. Se</t>
  </si>
  <si>
    <t>…der á los cargos que en el curso de la discusión se le h i - de la facción en las provincias y Rioja. Vales Reales no consolidados, 00. cie^n. Deuda negociable de 5 por 100 á p a p e l, 00. Pronunciamiento de Eraso á favor de D. Cárlos. Se leyó el dictámen sobre la petición número 59 de Don Idem sin in terés, 64 nuevas al contado: 1 0 J , 4 , 5 diezi- Situación de) infante D. Cárlos en P o r tu g a l, y copia de Francisco Perez de Mesa , teniente coronel de artillería , en que varios partes que se le rffier^n. eisavos y 1…</t>
  </si>
  <si>
    <t>Se, Despacho.</t>
  </si>
  <si>
    <t>Despacho. Se</t>
  </si>
  <si>
    <t>…e abstengo de hablar mas. m a parte del G obierno; y a s i , á q u ie n corresponde hacerlo es m an dar leer el objeto de mi interpelación. El Sr. M E N D I Z A B A L : El Congreso notará lo sobrio y al actu al Sr. Secretario del Despacho. Se l e y ó , siendo su contenido el s ig u ie n t e : Que habiéndose circunspecto que he s id o , porque conocía que no era tiempo de El Sr. Baeza hace a lg u n a s a c laracio nes, como igu a lm en te el tomado por la a u to rid ad de C a ta lu ñ a disposiciones contra la ley en tra r en…</t>
  </si>
  <si>
    <t>Se, Excmo.</t>
  </si>
  <si>
    <t>Excmo. Se</t>
  </si>
  <si>
    <t>…pecies vertidas en la exposi­ ria cordialidad. pre de caballos enteros ; y esta precisa circunstancia, unida al in^. ción de la sociedad matritense, ó á lo tnenos las que me han pa­ No teogo noticia de que el cuartel general del Excmo. Se­ flujo del clima es la q u e , contribuyendo á conservarles aquella recido de u u s funesta trascendencia, réstame exponer cuatro pa­ ñor duque de la V ictoria se h a y a movido de Y ergara. * i e t g ú f aquella prontitud, aquella decisión que les sori propias, labras acerca del artícul…</t>
  </si>
  <si>
    <t>Se, Federico</t>
  </si>
  <si>
    <t>Federico Se</t>
  </si>
  <si>
    <t>…nte grosero que apagase su cigarro y se quitase el tínez. prisioneros; y lo que fue mas g r a t o , 15# cristianos cauti­ so m b re ro . No habiéndolo hecho inmediatamente el joven, le Geografía. D. Francisco de Mier y Teran, D. Federico Se­ vos que rem aban en ios barcos en em igo s obtuvieron su descargó el granadero un puñetazo en el pecho y al que se le g u í, D Fernando Gtrgollo, D. Angel Retortillo, D. Leopol­ libertad. La pérdida de los cristianos fue estimada en 10$ contestó con otro bastante violento en la cara.…</t>
  </si>
  <si>
    <t>Se, Felipe Moldes y Bermu-</t>
  </si>
  <si>
    <t>Felipe Moldes y Bermu- Se</t>
  </si>
  <si>
    <t>…para los consejos de provincia; pero que en esta parte del respectivas audiencias, para la prornotoría fiscal del juzgado de territorio no se reconocería otra cucarda y los colores de la Con­ Nogales, vacante por renuncia de D. Felipe Moldes y Bermu- Se lee en el Amigo de la Religión : federación, quien debería presentar un contingente de la m i­ " E 11 este momento se están dando disposiciones para la dis­ licia. d ez, á D. Luis Almoina y Pardo; y para la de Calamocha, tribución de una rogativa de 40 dias, aprobada por…</t>
  </si>
  <si>
    <t>Se, Francisco</t>
  </si>
  <si>
    <t>Francisco Se</t>
  </si>
  <si>
    <t>…...... 4I4 No habiendo tenido á bien S. M. aprobar el contrato cele­ El Camello perdido, anécdota, y una crónica. De lana..................................................... 8 brado por la intendencia militar de Mallorca con D. Francisco Se suscribe en Madrid en la librería de Cuesta, en la estam­ -------------------22,915 Murlanch para suministrar la ración de pan y pienso desde 1.° pería de Valle, y en la redacción, calle del Príncipe. En las Derbyshíre. de Octubre próximo hasta fin de Setiembre del año siguiente provin…</t>
  </si>
  <si>
    <t>Se, IC IA LE S.</t>
  </si>
  <si>
    <t>IC IA LE S. Se</t>
  </si>
  <si>
    <t>…T iem p o , se publicaron en el ñoles, reconciliándonos con nuestros enemigos, y olvidando folletín de este periódico el 16 de Abril de 1839. nuestros resentimientos, para solo formar una masa compacta de PRO VID E N CIAS JU D IC IA LE S. Se lee en la B io gra fia u n iv ersa l d e co n tem p o rá n eo s que españoles unidos sumisos á la ley , á la Reina , á su augusta cuando el coode Rostoptchine vino á Paris, sorprendió gene­ Madre y á las autoridades en sus nombres constituidas. Dicho E n virtud de providencia del tri…</t>
  </si>
  <si>
    <t>Se, José</t>
  </si>
  <si>
    <t>José Se</t>
  </si>
  <si>
    <t>…o se sirva disponer se le oiga en el juzgado de blicado en el Ferrol con el título de ^manifiesto que en defen­ primera instancia del partido d otro tribunal que estime con­ sa de su leal y justo proceder en la causa formada á D. José Se veoden varios barcos movidos por vapor de las mejores ven iente. del Castillo , su señora é hijos, han dispuesto los doctores Don circunstancias, de porte de 80 hasta 1200 toneladas, y de fuer­ La comisión opina que no há lugar á deliberar sobre esta Juan Ramón de Barcia y D. Angel Hidalgo…</t>
  </si>
  <si>
    <t>Se, José de Vázquez.</t>
  </si>
  <si>
    <t>José de Vázquez. Se</t>
  </si>
  <si>
    <t>…ndres, á 90 dias, 38§ papel. Coruña, I f á 2 d. co del arte de tocar el piano forte, adoptado bajo breves algunos sea San Gregorio M agno, es original de José Ribe­ París, 16-6 id. Granada, 1 | id. y sencillos principios , por D. José de Vázquez. Se hallará en ra, natural de San Felipe, en el reino de Valencia, conocido M álaga, 4 id. los almacenes de música de Mintegui y Lodre, carrera de San y celebrado en todo el mundo con el nombre del Españoleto. Santander, par á i id. . Gerónimo, yen el de Hermoso, frente á las Covac…</t>
  </si>
  <si>
    <t>Se, José María Piedon-</t>
  </si>
  <si>
    <t>José María Piedon- Se</t>
  </si>
  <si>
    <t>…en que decía reglo provisional, y que habiendo promovido el expediente el aviso á dicho señor para que asista á la discusión. que estando concluida la sumaria podia vóiver i mi casa, lo administrador de la aduana de Alicante D. José María Piedon- Se leyó el dictámen. (Idéase en la Gaceta de 25 del cor­ que en afecto cumplí. Nada se me dijo , pasé un. segundo oficio, do en beneficio de la agricultura extremeña, se acudió entre riente , núm . 1552 en el extracto de ¿a sesión.) hice algunas instancias, fui á Sevilla, roe pre…</t>
  </si>
  <si>
    <t>Se, Juan Bautista Cozzer.</t>
  </si>
  <si>
    <t>Juan Bautista Cozzer. Se</t>
  </si>
  <si>
    <t>…a aplicado j Seguirá el baile mitológico, titulado la H IJA DEL BOS- Títulos al portador del 5 por 100, 2 0 J y 20§ con cupones aquellos conocimientos que á él mismo le han permitido adqui­ ¡ Q U E , compuesto y dirigido por D. Juan Bautista Cozzer. Se al contado : 2 l , 20|, nueve diezisei.savos y 20| á v. f. rir cuatro años consecutivos de campaña en las provincias V as­ vo!. y firme: 2 í § , ¿ , y 2 l J á v. f. ó vol. á prima de f , dará íin con el divertido sainete, titulado congadas y Navarra. nueve diezi seisavos…</t>
  </si>
  <si>
    <t>Se, Juan Donoso Cortés.</t>
  </si>
  <si>
    <t>Juan Donoso Cortés. Se</t>
  </si>
  <si>
    <t>…osé Ferraz, Diputado á Cortes por la provincia España 9 explicado por el carácter de tas alianzas euro- la causa de que hoy no lo verifiquemos. de Valencia. Con motivo de la festividad del primero de año estuvo di­ peas. Por D. Juan Donoso Cortés. Se accedió por el Congreso á una comunicación del Sr. M i­ suscribeú esté periódico en Madrid en la librería de cho dia cerrada ia bolsa, y no se publicaron varios periódicas, n i s t r o de Gracia y Justicia, reclamando copia del testimonio entre ellos el Diario do ios Debate…</t>
  </si>
  <si>
    <t>Se, Juan Echavarría.</t>
  </si>
  <si>
    <t>Juan Echavarría. Se</t>
  </si>
  <si>
    <t>…este punto me reservo todos mis derechos. El obispo de León. ^ . ,r, Fr. Ignapio Lárraga. y que llevando hasta muy lejos la¿ pretensiones de resistencia, Hé a q u i, señores, de donde nacen mis dudas. Por un de­ Lamas Pardo. D. Juan Echavarría. Se agravarían los males interiores y se destruirian los recursos creto del poder constituyente, y este decreto puede considerar­ Velasco. , . Silos. precisos para las necesidades de las poblaciones, asi como la po­ se quizás como parte integrante de la Constitución m ism a, est¿ A…</t>
  </si>
  <si>
    <t>Se, Juan Eugenio Hartzembusch.</t>
  </si>
  <si>
    <t>Juan Eugenio Hartzembusch. Se</t>
  </si>
  <si>
    <t>…DA. fugio, la de! pecado mortal, la asociación del Buen Pas­ que Ycomprende el 3.6 la ideología del algebra dividida en dos secciones, tor, el monte de piedad , el asilo de mendicidad de San su gramática y retórica. Su autor D. Juan Eugenio Hartzembusch. Se halla venal en esta corte en casa de la viuda de Razóla, Bernardino, la administración de correos de esta corte, y en la Concepción Geróuiuia. la junta de beneficencia: y se invita á los señores curas párrocos de esta corte, para que se sirvan suministrar y CRUZ. Ho…</t>
  </si>
  <si>
    <t>Se, Luchana.</t>
  </si>
  <si>
    <t>Luchana. Se</t>
  </si>
  <si>
    <t>…arcto, y exhortando á sus gor inaudito, como lo prueban no tanto los documentos del las circunstancias son las mismas. fieles súbditos, á sus valientes soldados á defender á Dios y al general León, como los del invicto conde de Luchana. Se ve La diputación de Navarra, á la cual se presentaron , no las pues que habían empeorado las circunstancias, y este es un actas, sino los apoderados, los delegados con las actas, solici­ ReyElcontra 5.° y todos. 12.° batallones navarros ocupan desde Vera al va­ adminículo de la parci…</t>
  </si>
  <si>
    <t>Se, Luvini.</t>
  </si>
  <si>
    <t>Luvini. Se</t>
  </si>
  <si>
    <t>…nombre de la junta provisional di­ biéndose publicado los nombramientos en la plaza de Locarno Baausceil, de Allioodes y de la Jeyne, y se reúnen á medida rectiva, que se sirva, si no hay reparo en ello , dirigir á por el coronel Luvini. Se ha dado una proclama el 9 , en la que los trasportes pueden recibirlos para trasladarlos á Africa. las audiencias y juzgados del reino la oportuna circular, que se prometía la libertad , el mantenimiento de ia religión y la paz. La asamblea cantonal ha establecido el 8 un Gobierno prev…</t>
  </si>
  <si>
    <t>Se, Manuel Benito Carrera.</t>
  </si>
  <si>
    <t>Manuel Benito Carrera. Se</t>
  </si>
  <si>
    <t>…de G uardam ioo, calle de Postas. que por ella se preparen los niños á saber leer en tres meses, la dél dom ingo, se entregerá con el billete dé cada localidad de En Sev illa, á D. Pedro Nautet. por el autor del misino método D. Manuel Benito Carrera. Se una sola persona otro que contendrá un número de opcion al vende en esta corte en la librería de la Sra. viuda de Razóla; sorteo, el cual conservarán los concurrentes al entregar el bille­ te de entrada. en V alladolid en la de Pastor á nueve cuarto s, y por docenas Reg…</t>
  </si>
  <si>
    <t>Se, Manuel Casas.</t>
  </si>
  <si>
    <t>Manuel Casas. Se</t>
  </si>
  <si>
    <t>…a que usaron para baile, siendo aquellos de maestros ventajosamente conocidos , y pitán general de aquella Isla la cantidad de 500 pesos fuertes manejar los negocios públicos, los tratados de paz, las negó-' ?ste dirigido por D. Manuel Casas. Se presentarán reformadas • destino al hospital de Caridad de la villa y apostadero det ciaciones y embajadas que antes ó después intervinieron. En y restauradas todas las decoraciones de los cuatro primeros ac­ Fer ol. tos y nueva la del últim o, pintada por el acreditado profesor…</t>
  </si>
  <si>
    <t>…r la firma de un sócio. baile, siendo aquellos de maestros ventajosamente conocidos , y ción en venir de la otra parte del Pirineo, tuvo sinceros Las cátedras del Instituto son elementales.=El secretario ge­ este dirigido por D. Manuel Casas. Se presentarán reformadas imitadores entre nosotros; tristes y desafortunados los mas; neral, A. M. Terradillos. y restauradas todas las decoraciones de los cuatro primeros ac— léliz alguno; todos falsos en la doctrina y exagerados en tos, y nueva la del ultimo, pintada por el acredi…</t>
  </si>
  <si>
    <t>…se darán en el cuerpo de la obra. M uerte de Comafa —Veitsch. baile, siendo aquellos de maestros ventajosamente couocidos , y L a extensión de esta , la variedad de los objetos que la El diluvio.= P oussin. este dirigido por D. Manuel Casas. Se presentarán reformadas componen , y la publicación por series y por entregas, no han U na danza.—Haudecour. y restauradas todas las decoraciones de los cuatro primeros ac­ permitido un método de clasificación ; y por el c o ntrarió se M arte y Venus.=zEst. A nt. tos, y nueva la de…</t>
  </si>
  <si>
    <t>…s tonos de la músi­ baile, siendo aquellos de maestros ventajosamente conocidos, y piso segundo, dicha iámina , con calidad de devolución , á fin ca, ó bien para preludiar de capricho en el período de acordes este dirigido por D. Manuel Casas. Se presentarán reformadas de practicar cierta diligencia en causa criminal que se sigue que admite cada tono, con sus respectivas salidas y posiciones y restauradas todas las decoraciones de los cuatro primeros ac- sobre falsificación de varios créditos contra el Estado; apercibi­ de l…</t>
  </si>
  <si>
    <t>…la en escena el dia de Natividad. Será exornada con coros y laver comme le linge. baile, siendo aquellos de maestros ventajosamente conocidos , y Les p r ix , suivam la finesse et le choix des c rin s , sont este dirigido por D. Manuel Casas. Se presentarán reformadas de 3 0 , 40, 50 et 75 fr.; le* noires coütent 5 fr. de plus. y restauradas todas las decoraciones de los cuatro primeros ac— O n insércra dans la leitre de de m an d e u n fil pour Obras que se hallan de venta en el despacho y almacén tos, y nueva la del últi…</t>
  </si>
  <si>
    <t>Se, Manuel Gasas.</t>
  </si>
  <si>
    <t>Manuel Gasas. Se</t>
  </si>
  <si>
    <t>…erá exornada con coros y es el cuadro de la existencia penitenciaria á que se some­ baile, siendo aquellos de maestros ventajosamente conocidos , y te al criminal en Filadelíia. Pero este círculo, por árido y este dirigido por D. Manuel Gasas. Se presentarán reformadas severo que parezca , dista menos del sistema ordinario de la La dirección general de Córreos, en cumplimiento de lo y restauradas todas las decoraciones de los cuatro primeros ac­ vida de muchas clases de aquella población original de lo que mandado por S. M…</t>
  </si>
  <si>
    <t>Se, Martin.</t>
  </si>
  <si>
    <t>Martin. Se</t>
  </si>
  <si>
    <t>…ó en un papel N avas, Feliu , y Caballero, se resolvió por el Congreso que se supletorio creado al efecto y aplicable á la compra de bienes mandaria por escrito al Gobierno la interpelación. nación a les. Prestó juramento el Sr. Martin. Se resolvió pasara á la comisión de Actas El Sr. SU RR A dijo que se estaba votando una ley que te­ nia reLcion con los efectos que produjo la política de Carlos v BOLETIN DE COMERCIO. 1.° Un oficio de D. Gabriel Valbuena, Diputado electo y de Felipe it , en cuyos reinados fuimos á busc…</t>
  </si>
  <si>
    <t>Se, N. O.</t>
  </si>
  <si>
    <t>N. O. Se</t>
  </si>
  <si>
    <t>…Metz. en el extraogero, donde si fuéramos á dar cuenta de todo lo Retratos de contemporáneos: lord B ro ugh am , M r. Thiers, notable acaecido , prolongáramos esta reseña hasta lo infinito. T o r e n o , Metternich &amp;c. , por D. N. O. Se lee en el T iem po de P a r i s : Empecemos por Paris , donde tan en moda están los argnmen - De la literatura francesa desde Chateaubriand , y de la in ­ Una carta de Santo Domingo revela un hecho digno de po­ tos españoles para comedias, dramas y óperas: donde la P a u li­ glesa desde W…</t>
  </si>
  <si>
    <t>Se, Osuna.</t>
  </si>
  <si>
    <t>Osuna. Se</t>
  </si>
  <si>
    <t>…5 por 100, 2 0 f con cupones al con­ verificaba en el local que actualmente ocupa, contribuyendo á tado: 2 l± á 57 d. f. ó vol. á prima de | por 100 con cupones. CRUZ. H oy no hay función. ello, entre otras personas, el duque de Osuna. Se trató lo pri­ Inscripciones en el gran libro á 4 por 1 0 0 , 00. mero de dar entrada á las señoras, cuyos desvelos podían ser Títulos al portador del 4 P °r 1 0 0 , ÜQ. tan útiles á los proyectos de la corporación, y desde entonces Vales Reales no consolidados, 00. asisteo á sus sesiones,…</t>
  </si>
  <si>
    <t>Se, Pedro Ortiz de Pinedo.</t>
  </si>
  <si>
    <t>Pedro Ortiz de Pinedo. Se</t>
  </si>
  <si>
    <t>…timientos haciendo en beneficio de los pobres cha y Toledo por el comandante del cuerpo nacional de Industria popular.—Sobre premios al ganado de tiro. presos y de las familias mas indigentes de esta capital todo el ingenieros D. Pedro Ortiz de Pinedo. Se vende en esta corte en Costumbres provincia les zrEI Novenario : conclusión. bien que le permitieran sus limitadas facultades. la librería de la viuda de R azóla, y en Toledo en la de H er- Peligros de M adridmPárese usted á oir noticias. naudez , á 5 rs. Se suscribe al Se…</t>
  </si>
  <si>
    <t>Se, Pió Pila Pizarro.</t>
  </si>
  <si>
    <t>Pió Pila Pizarro. Se</t>
  </si>
  <si>
    <t>…tienen que temer las graúdes derramas que sufren las otras p rovincias, derram as bricado de la Real mano— En Palacio ¿a 11 de Enero del trib u n a l, parándole entero perjuicio. que se hacen sin equidad alguna. de 183 9— A D. Pió Pila Pizarro. Se dijo en esta contribución que se adm itirían en pago los suministros y lo qué se hubiese satisfecho respecto al diezmo; REDACCION DE LA GACETA. COn esto, señores, se dio un rayo de esperanza á los pueblos, pues vieron que podrían cum plir con esta exacción mediante á PARTES.…</t>
  </si>
  <si>
    <t>Se, Presidente.</t>
  </si>
  <si>
    <t>Presidente. Se</t>
  </si>
  <si>
    <t>…, optaba por la segunda. tuirse el Congreso; sin embargo, no puedo menos de convenir diputación. Yéase pues, señores, con cuán poco fundamento se Asimismo dio cuenta el Sr. Secretario de otras comunica­ con la indicación del Sr. Presidente. Se pueden discutir hoy trata de argüir á esta corporación respetable, que procedió con ciones de Sr es. D iputados, que la cortedad de su voz y el ru i­ los dictámenes de Albacete, de Navarra y de la Coruña y mas, la mayor imparcialidad , pues con la misma procedieron los do del salón…</t>
  </si>
  <si>
    <t>Se, Rolan.</t>
  </si>
  <si>
    <t>Rolan. Se</t>
  </si>
  <si>
    <t>…dor y que se habían tomado medidas para destituirle cuando él zsiszrso precipitó sv cavdg df;odo una batalla al enemigo. En­ tre los oficíalos muertos se cuentan muchos que habian entrado en el compM:, en particular el coronel Rolan. Se anuncia que m i n i s t e r i o d e H a c ie n d a . trada en las brigada*, de caballería hayan de presentarse el gobierno de Corrientes se conferirá al coronel Romero, y que Reales ordenes . con caballo y el demas eq u ip o , debiendo ser aqr.el de Ganna será su ministro. Esta elección…</t>
  </si>
  <si>
    <t>Se, Salvato</t>
  </si>
  <si>
    <t>Salvato Se</t>
  </si>
  <si>
    <t>…ya tratado de remediar se dudará que ejemplar del acta de laí quema solemne de documentos de la limitarnos precisamente á lo que prescribe el reglamento. ha existido? deuda publica. Me he admirado mucho de oir pronunciar al Sr. Salvato Se ha dicho que los estados de sitio son precisos en alguna* Se dió cuenta de varios nombramientos hechos por las sec­ como lo ha hecho, lo relativo á los acontecimientos de Barcelo­ circunstancias. Solo pueden ser permitidos cuando las Cortes ciones , para componer diferentes comisiones.…</t>
  </si>
  <si>
    <t>Se, Schramra.</t>
  </si>
  <si>
    <t>Schramra. Se</t>
  </si>
  <si>
    <t>…á nerales designados para los mandos del ejército deA frica eran N oticias de la m añ an a . M r. Dupio en concurrencia con M r. de Semzet para la presi­ dencia de la Cámara de Diputados. (Id.) el duque de Orleans y el general Schramra. Se anadia que de­ ben p artir hacia mediados de Enero próximo. (T em p s.) Sábado 21 de Diciembre —S. E. Moharamed N ourri-E fíen- di ha entregado al R ey en audiencia pública las cartas del Gran Señor, por las que se le acredita en calidad de embajador La G aceta de Augsburgo dice hoy q…</t>
  </si>
  <si>
    <t>Se, Stosch.</t>
  </si>
  <si>
    <t>Stosch. Se</t>
  </si>
  <si>
    <t>…Estado de los Negocios extrangeros una pregunta que h a desaparecido y que es de esperar que la enfermedad no ten­ á pesar de su ausencia voy á comunicar á la Cámara. Quisiera d r á serias consecuencias.=Firmado.=:Rust, doctor de Stosch. Se lee en el C o u r r ie r : saber si la noticia de haber comenzado las hostilidades entre la {Gazette d E ta t d e Prusse.) Anoche el marques y la marquesa de Landsdowne obsequia­ Puerta y M ehem et-A lí es exacta, y en este caso de qué manera ron á S. M. la Reioa con una fiesta magnífic…</t>
  </si>
  <si>
    <t>Se, Strauss.</t>
  </si>
  <si>
    <t>Strauss. Se</t>
  </si>
  <si>
    <t>…cuanto á M uñagorri cantón peticiones dirigidas á hacer que se revoque el nombra­ obraría según io exigiesen las circunstancias; El M inistro se, ha Por el correo de ayer hemos recibido noticias de los depar­ miento del doctor Strauss. Se cree que le será imposible hacer conformado con la presentación de los documentos reclamados tamentos de M éjico , Puebla y Querétaro. Después de alguna frente á la tempestad por mas tiempo. El nuevo profesor sé ha por el marques de Londonderry. agitación con los últimos sucesos de M éji…</t>
  </si>
  <si>
    <t>Se, Van-dea-Bosch.</t>
  </si>
  <si>
    <t>Van-dea-Bosch. Se</t>
  </si>
  <si>
    <t>…| din. C o ru ñ a , l f á 2 d. cisión el origen de estos establecimientos y sus progresos bajo libres señaladas con los números 1 , 2 y 3; en el segundo una Paris, 16-6. Granada , I f á 2 id. las luces y la dirección del general Van-dea-Bosch. Se sabe que colonia de represión para los mendigos y otra de corrección; Málaga , | á 1 id. estas colonias tuvieron su origen en 1818 bajo los auspicios de en el tercero dos de huérfanos, con los números i y 5 ; una Santander, par din. una sociedad que tomó el nombre de sociedad de be…</t>
  </si>
  <si>
    <t>Se, Vicente</t>
  </si>
  <si>
    <t>Vicente Se</t>
  </si>
  <si>
    <t>…ción sin que las cinco villas reclama­ tes: D. Juan Jiménez y González, D. Andrés M olinillo, Don qué no asiste. sen según consta del expediente, con lo cual se probaba que - M anuel M olinuevo, D. Dom ingo Diez del V alle, D. Vicente Se concedió licencia por cuatro meses para restablecer sn sa­ no habia la arbitrariedad que habia querido suponerse. Yo aplaudo el celo de los Sres. D iputados que en esta ma­ r Pereda , D. Juan Ranero , D. Francisco López , D . José D íaz lud , solicitada por el Sr. D . M anuel M artínez…</t>
  </si>
  <si>
    <t>Se, Zea Bermudez. Ruego</t>
  </si>
  <si>
    <t>Zea Bermudez. Ruego Se</t>
  </si>
  <si>
    <t>…nada su causa am igas cuando alguna de ellas reimprimió su m em o ria, elo­ propongo deshacer una equivocación que padeció antes de ayer verdadera y positivamente. giándola hasta lo sumo. al tratar del asunto de la misión del Sr. Zea Bermudez. Ruego Se ha dicho que esa predicación no tuvo otro objeto que El Sr. C A B A L L E R O : Me parece que el Sr. M inistro se ha al Congreso que me permita extenderme algún tanto en esta el de desacreditar nuestras instituciones; yo no he leido ese equivocado: yo dije que no era solo la c…</t>
  </si>
  <si>
    <t>Sea, D. Pablo María</t>
  </si>
  <si>
    <t>D. Pablo María Sea</t>
  </si>
  <si>
    <t>…odo en el que del Valle, ministro honorario del tribunal de guerra y m ari­ bandera, y cuya personalidad es su símbolo? indicaba Barbés en su billete. Al principio son pocos: después na y decano de la de Puerto-Príncipe, y el Sr. D. Pablo María Sea como quiera , y prescindiendo de la parte de responsa­ crece el número con la venida de otros: establécense relaciones Paz y Membiela, ministro cesante de la de Albacete: el Señor, bilidad que debe adjudicarse á cada firma, la orden del dia es con otros grupos: pásase revista, há…</t>
  </si>
  <si>
    <t>Seamos</t>
  </si>
  <si>
    <t>…m iHa, calle de C a rre ta s , y de C u e sta , frente á las C o­ sucesos del dia h a n despertado en los españoles. Carlos sujeta nuestros nobles Cuellos. vachuelas. Después del primer servicio, el P residente, el 9r. conde de Seamos lib res, pues.” Sueltan la espada; Está en prensa y se publicará en esta semana la comedia en Ezpeleta, propuso el siguiente brindis: Y enlazan todos los amigos brazos, dos actos t i tu l a d a : el Médico y la H u é r f a n a , representada con A la Reina nuestra Señora, á la R.eina G o b…</t>
  </si>
  <si>
    <t>Sebast.iani</t>
  </si>
  <si>
    <t>…aminos de h ierro , que interesan á toda la c o n d e . ____________ d dencialmente: por lo tanto hace mucho honor al Gobierno fran ­ población. Lord Listowell ha exhortado á todas las clases de re­ cés. c (Atención.) El conde Sebast.iani manifiesta que tiene orden formistas á combinar sus esfuerzos y á no solicitar del m in is­ El caballero Nothomb, uno de los individuos del Gabinete ¿del Rey de los franceses de expresar al Gobierno ingles el pro­ terio sino medidas que no pueden ocasionarle embarazos. En de B é lg ic a…</t>
  </si>
  <si>
    <t>Sebasti</t>
  </si>
  <si>
    <t>…icle de 2 5 de A b r i l se lee lo que no concurriesen al cange mas que 46 i nf antes y i 0 caballos, sigue: te ios eventos y el genio da Pialon. pasaron sus batallones en el mismo acto y presentarse L a b r e r a , Eí general Sebasti ani h a salido a y e r para Pari s. El barón Los mismos editores M M . Re y y Gr a v i e r h a n puesto t a m ­ para lo que pidieron no se les hostilizase, nuestro gobernador con de Bo ur que n ey ha sido presentado como e nc a r g a do de negocios bién en venta ia excelente obra de Mr . V…</t>
  </si>
  <si>
    <t>Sebastian</t>
  </si>
  <si>
    <t>…Fiancia. Han adoptado por divisa: V encer ó m orir. Ha­ Lastells, ó al infrascrito, que lo es de correspondencias exlran- derse aun las Potencias sobre la proposición que tiene por obje­ biendo sabido lo &lt;;ue pasaba el Infante D Sebastian ha venido geras. to el designar á Vienac«&gt;mo punto céntrico, para las delibe­ para tratar de calmar esta eferves&lt;encia; pero no se le ha ad­ Se previene á los profesores, cuya letra pueda ser conocida raciones sobte la cuestión de Oriente, no han dejado de verifi­ mitido en las líneas: lo…</t>
  </si>
  <si>
    <t>…-&lt; Concluye recomendando á los individuos de su columna, y es­ Ilantés , Isturiz , Cañabate, Á rin en d ariz, Q uiroga y F r í a s , S a l- *po; y asi que tendié que molestar por algunos momentos la pecialmente á los oficiales D. Sebastian P a stor, D . José C ay e­ vato , Moret. atención de IpsSresí D ipu tado s. r ' ; í ‘ tano Souza y sargento M. Jerez. Séptima sección: Romero y D o m in g o ? M a y a n s , P a s a d a Ve™ y m ores , que primeramente era necesario ai?Je to d a^ A rguelles, A-rrazóla , López (D. B.) j Zurn…</t>
  </si>
  <si>
    <t>…USTICIA. jeros. (Id.) Escriben de Alemania que se han entablado en Berlín ne­ Circular . gociaciones para la accesión del gran ducado de Luxembtirgo, nuevameute constituido , á la grande unión de las aduanas ale­ El infante D. Sebastian ha llegado á Génova el 17, y el 18 Para que tenga efecto lo resuelto en 27 de Agosto úl­ manas. MM. de ScheríF y W ahlen han sido nombrados comi­ áa vuelto á ponerse en marcha para Nápoles por tierra. El mis­ tim o por el m inisterio de H acienda, en conform idad á lo sarios. Se cree que…</t>
  </si>
  <si>
    <t>…Berry y la infanta Doña M a ría A m a lia de los gloriosos -acontecimientos del N o r te , debidos á las virtudes lib ertad, fundándose en la futilidad de los motivos alegados Borbon , princesa de Nápoles y esposa del infante D. Sebastian, y valor del invicto duque de la Victoria y su valiente ejército, para su arresto , en la incompetencia de los jueces, en la mala continúan habitando en Florencia el palacio Pitri , residencia á la maternal solicitud de V . M. por el bien de los españoles, fe de sus verdaderos acusadores,…</t>
  </si>
  <si>
    <t>…iguientes : 107,6 52 libras esterlinas para atender á los gastos del Real cuerpo de in genie­ La comisión nombrada en v irtu d de la mocion Je M r. S t e - ros, zapadores y minadores (comprendiéndose en ella 256 0 li­ El conde Sebastian!, embajador de F r a n c i a , ha dado una w ard ha presentado su in fo rm e , habiéndose acordado lo si­ bras esterlinas para una compañía adicional en el C an adá); gran función en la noche del viernes últim o en Manchester- guien te: 552 ,7 2 6 libras esterlinas para los gastos de la ar…</t>
  </si>
  <si>
    <t>El conde Sebastian! * embajador extraordinario de S. M. el C ám aras b elg a s . Acaba de hacerse saber á los Ministros la Rusia apoya con sos consejos la empresa del Shah contra R ey de los franceses, ha sido recibido hoy en audiencia p arti­ el Real decreto por el cual se convoca á las Cámaras legislati­…</t>
  </si>
  <si>
    <t>…ulo puesto á con­ tración , perspicacia y práctica que deben tener los Sres. D ip u ­ tinuación del que declara la inviolabilidad de los Diputados no tados que componen la comisión, se les h ay a podido ocultar La ruptura de D. Sebastian con D. Carlos ha producido tiene mas objeto que asegurar esa misma inviolabilidad y po­ que el decreto de 22 de Marzo de 1822 , cu y a aplicación recla­ « n a viva sensación. Se asegura que aquel Principe ha escrito al nerla á cubierto con la égida constitucional de los ataques que m a n ,…</t>
  </si>
  <si>
    <t>…e poner en la actualidad mayores obstáculos á los deseos del pre­ Real orden . aguardaba un coche, que via recta marchó á Cniberg , en don­ tendiente de se le alojó en la casa de un particular alquilada al efecto, El infante D. Sebastian , que se dirige á Nápoles, ha reci­ Conviniendo al mejor servicio que las autoridades Todas las puertas están guardadas por centinelas y no se deja bido en Italia muchas muestras de afección y de benevo­ y funcionarios públicos se encuentren en sus respec­ entrar á na,die á verle. Su cap…</t>
  </si>
  <si>
    <t>…sea su m agnitud, cuando se anuncia cilitar los consumos de toda especie, trayéndonos lo necesario por premio la paz de su patria y la salvación de sus lib e r ­ de los mas remotos países. Y a ve en íin renacer las ciencias, D. Sebastian, procedente de Bourges y con dirección á Ñ a­ tades. atender con esmero á la educación de la j u v e n t u d , y crear póles, ha llegado el 8 del corriente á Port-de-Beauvoisin. La Reciba pues V . M. la mas cordial felicitación por la s e ­ establecimientos en que aprendan los hombres…</t>
  </si>
  <si>
    <t>…su causa y vuestro pais. Un instante nero de sus súbditos rebeldes , y se nombraría Regente al In­ basta: corred pues seguros de que en esta empresa no os aban­ L a convención nacional acaba de adoptar la siguiente re­ fante D. Sebastian durante la cautividad de D. C árlos: cual­ donará vuestro geuerai en gefe. solución : quiera otro acto contrario á las miras del partido de Maroto, La convención se reunirá en Londres el 26 de Agosto: cada debe producir las mismas consecuencias para D. Cárlos. delegado traerá las exposici…</t>
  </si>
  <si>
    <t>…onsqmby podría ser en Constantino- asuntos de Orieote, mas bien se ha tratado de la embajada del nerse opuestas a su existencia. M uchos ejem plos de esta $ la el mayor opositor á las concesiones que se le hacen al baiá; general Sebastian! en Constantinopla que de la del almirante especie se hallan en Islandia y otros paise-. A un las e x h a ­ y si es verdad, como aqui se afirma, que la Francia obra perfec­ Roussin. Lo que sobremanera Mama la atención de Mr. Thiers laciones sulfúreas no son fatales á la vegetación, pues s…</t>
  </si>
  <si>
    <t>…cesa de B eira, el pretendido Prín­ explicar. Las penalidades anteriores, la pérdida de sus intere­ por que tanto suspiraban, y todos en adelante llegado y miserables. Y a , Señora, han los dias cipe de Asturias y el Infante D. Sebastian. ses y otra infinidad de desgracias experimentadas en la larga peridad para los españoles. Ya no mas guerra, serán de pros­ Señora; y los Mr. D otineau, gefe de esenadron de estado m ayor, y ay u ­ lucha que con gloria y tesón han sostenido los hijos predilectos dante decam po del marisca…</t>
  </si>
  <si>
    <t>…pañ &gt;1 de S. F ern an d o ,00. provincias Vascongadas; pero que debió de haber hecho ya an­ el Rey sigue demasiado irritado contra é l, y particularmente teriormente la guerra en España, pues habla de cruces ganadas el infante D. Sebastian, con quien imprudentemente se puso CAMBIOS. por él delante de Bilbao y en la acción de Huesca. Tanto por en competencia el Príncipe. Los que mas perdemos en ello somos Londres, á 90 d ias, 58£ pape!. C o ruñ a, 1 f á 2 d. Cl tratamiento de Alteza , que en medio de un estilo semi-joeeso nos…</t>
  </si>
  <si>
    <t>…vos &amp;c., exhortaba á sus ovejas á depo­ blos del Rhin mejor voluntad con respecto al Gobierno de La Princesa Doña María Amalia de Borbon, esposa del ner todo afecto de odio y de rencor: á que se tratasen como B, rlia. Infante D. Sebastian, llegó el 11 á Vicencia , de donde salió el hermanos que eran: en una palabra, á que repitiesen entre sí Desde que en Inglaterra se piensa seriamente en no extraer dia siguiente para Florencia , y marchará en seguida con su el célebre abrazo de Vergara. ¡Ojalá que sus palabras elocuen­ ma…</t>
  </si>
  <si>
    <t>Sebastian, Basilio</t>
  </si>
  <si>
    <t>Basilio Sebastian</t>
  </si>
  <si>
    <t>…uella robus* memoriales no comprendan todos los extremos que se han in­ te z , aquélla tuerza que basta para triunlár de todos los dicado, sentirán los perjuicios consiguientes á su falta. La cátedra de Arqueología á cargo de D. Basilio Sebastian obstáculos en los tiem pos com unes? ¿Hay en España aho­ Castellanos, anticuario de la biblioteca nacional, empezará el Zaragoza 21 de Enero de 1859.-EI general segundo cabo ra aquel los hábitos de respeto y de obediencia hacia las p r e s i d e n t e , Santos San Miguel.=Pedro…</t>
  </si>
  <si>
    <t>Sebastian, Carlos y D.</t>
  </si>
  <si>
    <t>Carlos y D. Sebastian</t>
  </si>
  <si>
    <t>…imitar en la composición, como Me aseguran en este momento que los navarros continuat Guszot, traducida del francés por D. F. Bitancourt y Sánchez. es fácil de ver en todos nuestros buenos poetas. Valbuena sublevados, y que D. Carlos y D. Sebastian , á la cabeza de Los señores suscriptores pasarán cuando ‘quieran á recoger el expresa el peso que gravita sobre Encelado en este verso quinto y segundo de Vizcaya, vienen á apaciguarlos. cuaderno 2.° de esta obra á la expresada librería , en la que pesadísimo: continúa abier…</t>
  </si>
  <si>
    <t>Sebastian, Francisco</t>
  </si>
  <si>
    <t>Francisco Sebastian</t>
  </si>
  <si>
    <t>…res hombres que se titulaban sus criados. nisterio. revela , no dejarán de interesar al público. Al principio opuso alguna resistencia el recomendado so­ Por último, quisiera ine fuese lícito hablar , pues asi lo exi­ Señora: D. Francisco Sebastian N av arro , cirujano titular bre permanecer en la dicha casa ; mas cedió al fin á los re­ ge el Ínteres de mi situación, no para justificarme, porque ten­ de la villa de Sanii-Spiritus, provincia de Badajoz, á V. E. petidos ruegos de su dueño. Este, siguiendo la costumbre de go e…</t>
  </si>
  <si>
    <t>Sebastian, Infante D.</t>
  </si>
  <si>
    <t>Infante D. Sebastian</t>
  </si>
  <si>
    <t>…mo degeneróles que presidió S. M . , y á que asistieron S. A. R. el trono; y como estas ideas están tan en armonía con J a s mias, Inscripciones en el g r a n libro á 5 por 1 0 0 , 00. Sr. Príncipe de A stu rias, el Serino. Sr. Infante D. Sebastian, trataré de hacérselo saber á Balmaseda cuanto antes me sea posi­ Títulos al portador del 5 por 1 0 0 , 20 once dieciseisavos y los Ministros de Guerra y H acienda, el ge fe del estado mayor ble; pero me temo no tener conducto por no saber dónde se 20£ con cupones al contado: 2…</t>
  </si>
  <si>
    <t>Sebastian, Juan Patricio</t>
  </si>
  <si>
    <t>Juan Patricio Sebastian</t>
  </si>
  <si>
    <t>…ia ha sido ua joven y bellc toriales á las once de la m añana, donde ha de celebrarse la se­ Alcaldes: D. José Varela , abogado: D. Manuel Peña, id. lazarooi de 19 años. {Id.) sión de la instalación de la sociedad. Regidores: D. Juan Patricio Sebastian, comerciaste: Don Juan de Mata Escolar, hacendado: D» Casimiro Calle: D. So- BASES DE ORGANIZACION DE LA SOCIEDAD. tero Sabaaz», comerciante: D. Francisco Gómez, carpintero, capitalista: D. Simo» R u iz , comerciante. NOTICIAS n a c i o n a l e s . 1.a Se establece una so…</t>
  </si>
  <si>
    <t>Sebastian, Manuel</t>
  </si>
  <si>
    <t>Manuel Sebastian</t>
  </si>
  <si>
    <t>…ice con fecha de ayer lo que sigue: Estado mayor.- Gapitanía general de Aragón.—Sección cen­ des y demas individuos de los cuerpos municipales, que vigilen Al encargarme del mando de esta columna, según Y. S. tral,nEl coronel D. Manuel Sebastian, gefe de la segunda bri­ muy eficazmente en sus respectivos distritos la conducta de sus ha dispuesto, quedándose de gefe del cantón el que antes la gada de la tercera división del ejército de operaciones de Cata­ administrados, poniendo un pronto y eficaz remedio en los pri­ mandab…</t>
  </si>
  <si>
    <t>Sebastiani</t>
  </si>
  <si>
    <t>…ibuciones; y de aqui se Sabemos por conducto fidedigno que nuestro embajador en Siento ta m b ié n , y muy viv am en te, la necesidad de expre­ sig^e que muchos individuos que pueden ser útiles para el bien Londres, el general Sebastiani, ha sido autorizado para poner saros cuánto aprecio las seguridades que me renováis. N unca la del Estado , formando parte en los ayu nta m iento s, eviten el su firma en el último protocolo relativo á la ejecuciou del tra ­ pertenecer á ellos por esa responsabilidad. tado de los 24 a…</t>
  </si>
  <si>
    <t>…os dias. Se del mariscal Soult, será nombrado embajador francés en Lon­ Reunida en la plaza de la Constitución á las once de la ma­ habian propuesto al jurado 125 cuestiones; 52 con respecto á dres en reemplazo del general conde Sebastiani. (P ost .) ñana de este dia la jun ta nombrada por S. M. para presidir la Bartels y 71 respecto á Kats. Muchas de estas cuestiones en­ quema de documentos de la deuda publica con arreglo al Real volvían la pena capital. Después de dos horas de deliberación decreto de 13 de Marzo de 1837 é…</t>
  </si>
  <si>
    <t>…o de ella al He tenido á bien encargar interinamente el despacho de los Goheruo. Negocios extrangeros al brigadier graduado barón de Ribera F R A N C IA . de Sabrosa.=El consejero Julio Gómez de Silva Sec. N úm . 5.° E l conde Sebastiani al vizconde Palmerston . Paris 17 de Abril . He tenido á bien encargar interinamente el despacho de la Londres 3 de Abril de 1859.—M ilo rd : estoy expresamente secretaría de M arina y de Ultram ar al brigadier graduado ba­ Escriben de Leipúck (Sajonia ) el 10 de Agosto: encargado por…</t>
  </si>
  <si>
    <t>…regimientos Se hacen preparativos en Manchester-IIouse para el reci­ nombrado interinamente presidente de la República mejicana, que se habían hecho venir aqui volverán á sus guarniciones. bimiento del embajador de Francia, conde Sebastiani, que dtbe y que Santana habia intrigado para suplantarlo. llegar el 29 con MM. Labriffe y de Vaudreuil. Bustamante, que es el presidente propietario, se hallaba en El bilí de la supresión del comercio de esclavos bajo pabe­ Tampico á la fecha de esta noticia. GRAN BRETAÑA. llón portugués…</t>
  </si>
  <si>
    <t>Sebastiani, Horacio</t>
  </si>
  <si>
    <t>Horacio Sebastiani</t>
  </si>
  <si>
    <t>…le de baja con rara obstinación para formar un Gabinete doctrinario. Mr. D upin comió ayer en las Tullerías. Se asegura que se la de los cuartos inmediatos. En lo alto del gabinete, com­ le catequizó El teniente general conde Horacio Sebastiani, embajador uniese á M r Guizot de cien maneras diferentes para conseguir que se binado de esta manera para la acústica, ha hecho cons­ del Rey de los franceses en Inglaterra , ha llegado á Paris. y formase en unión de este un Gabinete. truir una pequeña galería donde coloca á sus…</t>
  </si>
  <si>
    <t>Sec, Julio Gómez de Silva</t>
  </si>
  <si>
    <t>Julio Gómez de Silva Sec</t>
  </si>
  <si>
    <t>…villc, y el contra-almiraute Baudin ha informado de ella al He tenido á bien encargar interinamente el despacho de los Goheruo. Negocios extrangeros al brigadier graduado barón de Ribera F R A N C IA . de Sabrosa.=El consejero Julio Gómez de Silva Sec. N úm . 5.° E l conde Sebastiani al vizconde Palmerston . Paris 17 de Abril . He tenido á bien encargar interinamente el despacho de la Londres 3 de Abril de 1859.—M ilo rd : estoy expresamente secretaría de M arina y de Ultram ar al brigadier graduado ba­ Escriben de Le…</t>
  </si>
  <si>
    <t>Secades, José María</t>
  </si>
  <si>
    <t>José María Secades</t>
  </si>
  <si>
    <t>…ramo en el provincias del Norte son tales y de tanta im p ortan cia , que h an la fabrica de cigarros de Valencia D. Manuel Aivarez, excedido las esperanzas de todos los españoles amantes de la fe­ ministerio de vuestro cargo D. José María Secades, con vengó en concederle , á nombre de mi augusta Hija la licidad n a c i o n a l , y producido las emociones mas vivas de reco­ retención de esta plaza, a que deberá volver terminada Reina Doña Isabel n , honores de intendente en provin­ nocimiento y de g r a t it u d en favor de…</t>
  </si>
  <si>
    <t>Seckendorf</t>
  </si>
  <si>
    <t>…e bir á un nuevo tratado, atendido á que si ha sido autorizado servicio de la Bélgica, porque los enviados de Austria y de Í)or ellas para suscribir en los primeros tiempos al tratado de Prusia, el conde de Rechberg y el barón de Seckendorf, des­ aun no se le ha dicho cuál es, no se le defrauda , en par­ os 24 artículos, en vista de su inmediata ejecución anunciada pués de haber reclamado inútilmente contra esta medida, han te alguna, del derecho que tiene por la ley del Estado de en los adjuntos documentos B y C del protoc…</t>
  </si>
  <si>
    <t>…racias Mr. el conde de Rechberg , encargado de negocios de S. M. Marché pues á la cabeza de las divisiones vanguardia, 2.a, que con tal motivo he concedido sobre el campo de batalla, en el Emperador de Austria, y Mr. el conde de Seckendorf, en­ 5.a y una pequeña brigada de la 4 .a, cooperando también, uso de las facultades que S. M. me tiene conferidas, y la pro­ cargado de negocios de S. M. el Rey de Prusia , han salido de aunque con fuerza sumamente reducida, la columna del alto puesta de las que considero puede S. M. s…</t>
  </si>
  <si>
    <t>Seckendorff</t>
  </si>
  <si>
    <t>…les de lle v a r, componen el ba­ El conde1de R echberg, encargado de negocios de Austria, va á examinarla cuidadosamente , y que es de esperar que esta gaje con que cada correo se pone en caminó. Cuando la corres­ y él conde de Seckendorff, de los de Prusia, cerca del Gobierno memoria sirva de base al arregto definitivo y permanente de las pondencia es muy pesada para un mensajero solo, se emplean belga , acaban de llegar á Bruselas. dificultades de la cuestión canadense. Después de la aprobación dos, tres ó cu atro , y es…</t>
  </si>
  <si>
    <t>Seco, Agustín</t>
  </si>
  <si>
    <t>Agustín Seco</t>
  </si>
  <si>
    <t>…ar. La empresa al presentarlo no ha omitido nin­ Sección de agricultura . rial de Albacete, y juez de primera instancia de esta ca p ital, y guna de las circunstancias que pueden contribuir á su mejor escribanía de número de D. Agustín Seco, acudirán con los éxito. Sr. D. José Joaquín del Alamo, presidente. documentos que legitimen sus reclamaciones á D. Cirilo Bahía, Sera exornado con todo el aparato que su argumento re­ Sr. D. Rafael Joaquín de L a r a , secretario. apoderado del Sr. D. Cárlos Villam il, síndico nombra…</t>
  </si>
  <si>
    <t>…Albacete, y que pueda estar herido el mismo cabecilla Fernando Gómez, juez de primera instancia de esta capital y escribanía del n ú ­ r&lt;nas el Ebanista, debiendo su fuga á la velocidad ds su caba­ BOLETIN DE COMERCIO. mero de D. Agustín Seco, en el preciso término de 20 dias llo, quedando en mi poder los cinco que montaban con sus ar­ que se les señala; en la inteligeocia que de no verificarlo dentro reas y monturas: recomiendo á V. S. el mérito cootraido por de él sin mas citación ni emplazamiento, les parará el perjui­ B…</t>
  </si>
  <si>
    <t>Seco, Matias</t>
  </si>
  <si>
    <t>Matias Seco</t>
  </si>
  <si>
    <t>…á un despacho librado por el señor cente Gómez en 26 del expresado mes de Junio, la ley absuel­ juez de primera instancia de la ciudad de Logroño y su parti­ np ABO A D A , última eJicion de París de 1858: los dos tomos ve á D. Matias Seco , responsable de dicho artículo, y en su do , é ignorándose ea esta corte las habitaciones del Sr. conde A 90 rs. va. Se vende en el gabioete librería de M onier, consecuencia mando que inmediatamente se le alce la fianza de Castilnovo y su apoderado D. José Vinuesa López de Alfa­ Puert…</t>
  </si>
  <si>
    <t>Seco, Matías</t>
  </si>
  <si>
    <t>Matías Seco</t>
  </si>
  <si>
    <t>…able obje­ lustre del cuerpo á que perteuecen en los puntos que fueron 181 idem heridos, 51 idem contusos: nueve caballos muertos, to de la pronta conclusión del camino: por mi parte seré ince­ destinados. Mi ayudante de campo D. Matías Seco, D. Fran­ 25 idem heridos, uno idem contuso. sante en emplear mi crédito y cuantos esfuerzos esten á mi al­ cisco G u allar, teniente del regimiento de Castilla, que ha­ cance para secundar como corresponde el importante objeto que biendo sido destinado con su compañía á permanecer en Co…</t>
  </si>
  <si>
    <t>…olu­ Id. del célebre general de marina D. Alvaro de Bazan, ción del escrito denunciado por D. Jaime Vicente Gómez y bel laCaballero comendador de la Real orden americana de Isa­ primer marques de Santa-Cruz, 2 rs. suscrito por D. Matías Seco , y tres por la condenación; y en goza yCatólica, magistrado honorario de la audiencia de Zara­ Id. del general D. Blas de Lezo, un real. su vista el jurado lo declara absuelio. Rafael Urries, Manuel escribanojuezdeldenúmero primera instancia en esta corte, refrendada del D. Garlos Ro…</t>
  </si>
  <si>
    <t>Seco, Pascual</t>
  </si>
  <si>
    <t>Pascual Seco</t>
  </si>
  <si>
    <t>…illa de Madrid, por su providencia de 26 del Baltasar S aldoni, titulada 2,644* • 400 .............. * Madrid. mes último , refrendada del escribano de S. M del número de 1 6 .2 4 5 .... 4 OO. Soria. la misma y de su juzgado D. Pascual Seco, ha mandado sacar 1 1 ,2 19 ____ 4 OO................ Cádiz. á pública subasta por término de 30 dias la casa calle de L ega- IPE R M E ST R A . 5 .454 . . . . 4 OO................ Requena. nitos, núm. 45 de la manzana 552 , que tiene de sitio 1,2861 pies superficiales, tasada por el…</t>
  </si>
  <si>
    <t>Secre</t>
  </si>
  <si>
    <t>…id. aunque yo también me he visto en puesto en que pude corre­ llaba en la necesidad de valerse de personas no cesautes de H a­ Descuento de letras, á 6 por 100 al año. gir el vicio , no tenia quizá la energía que el actual Sr. Secre­ cienda, hubiese de pedir una autorización á las Cortes. t a r i o ^ sí solo una pequeña parte. Señores, hay en Madrid Añade S. S. que tiene pensado hacer una proposición para mas de 200 asistentes de mugeres de militares que todos toman que el señor Ministro de Hacienda remita una lista de…</t>
  </si>
  <si>
    <t>…la extracción del corcho á Portugal por la la detención en beneficio de la mayor concurrencia de votos, Deuda activa española, siempre en favor, 214. Pasiva id. 4 f. 9 * provincia de Extrem adura, cuyo o riginal rem itia el Sr. Secre­ opinaba la comisión que debia aprobarse, Tres por 100 portugueses 1 9 j. tario del Despacho de Gracia y Justicia. 5.° Relativo al acta de la provincia de A v ila , en la cu al El Congreso quedó enterado de varios decretos remitidos observaba la comisión que se decía vaga é indeterminadament…</t>
  </si>
  <si>
    <t>…D. Marcial A ntonio L ó p ez , se ha verificado se aprende á leer, escribir y cootir (no en todas) con alguna pe­ comenzar su profesión, se ha visto precisado á inventar, diga­ la solemne instalación de la escuela Normal. El Sr. Secre­ queña parte de la doctrina cristiana contenida en las pregun­ mos asi, el arte, y someter de nuevo á la experiencia los prin­ tario de la dirección D. Jav ier Q u into hizo una ligera re­ tas y respuestas del catecismo ordiuario ; y hallaremos que el cipios que se habÍ3 propuesto, por carecer…</t>
  </si>
  <si>
    <t>…destacado alguna fuerza de infantería y caballería hácia Dado en el Palacio de las Tullerías á 5 de Noviembre de En la misma tarde solo tres facciosos robaron en las inme­ 1859.=dLuis Felipe.—Por mandato del R e y , el Ministro Secre­ el Toro, ge consiguió la captura de siete facciosos, entre los diaciones de esta ciudad otras 500 reses también lanares, de cuales se cuentan los cabecillas Zorrondongo y Estiquin, tan tario de Estado de lo Interior.==:T. Duchatel. uno de los abastecedores de la misma , y las han conducido á…</t>
  </si>
  <si>
    <t>…ienda, autor de la ley , y por lo mismo yo timo. rogaría al Congreso se suspendiese la discusión de este artículo Estado de las provincias en que se han celebrado repartimien­ Igualmente se leyó otra comunicación del mismo Sr. Secre­ hasta que se presentase el Sr. Ministro de Hacienda. to s de la contribución extraordinaria de guerra, y fechas en tario del Despacho , acompañando oficio del gefe político de Pa­ El Sr. P R E S ID E N T E : Si la comisión cree que la presen­ que se publicaron , según las noticias recibida…</t>
  </si>
  <si>
    <t>…ir entre los Sres. D iputados 250 ejemplares que pedían la empresa ni las cinco villas , sino tomando un tér­ D. Patricio Joaquín ele Avila en concepto de subversivo elde la ley sobre requisición de caballos, que rem itía el Sr. Secre­ mino m edio, y fue que habiendo en el medio de los terrenos párrafo Mosáico del Nosotros, publicado el miércoles 9 del tario del Despacho de la Guerra. de la L aguna unas horruras llamadas el Pico de Villaumbrales, corriente en la parte que principia: "u n a de las palabrillas , El Congreso…</t>
  </si>
  <si>
    <t>…E. muchos años. Cuartel general de Ager 15 de Febre­ cuales, como es de pensar, se trata de medios de resistencia. A constancia y habilidad por los gefes y cuerpos á quienes cor­ ro de 1859.=Excmo. Sr.=Ramon de Meer.=Excmo. Sr. Secre­ pesar de los términos en que está concebido el decreto de pro- respondían: el 11, venciendo obstáculos todavía mas fuertes, tario de Estado y del Despacho de U Guerra. rogacion que señala la continuación de los trabajos legislativos me dirigí á Ager, y las fuerzas enemigas quecubrian exteri…</t>
  </si>
  <si>
    <t>Secre-</t>
  </si>
  <si>
    <t>…pedir la palabra en con tra, que estas diferencias co n sb tiao e a los detalles; y o salvo la u n i­ form al , ¿ fa lta rá q u ién se aproveche de la ocasioa para prom o­ acaso ao la hubiera usado; pues las explicaciones del Sr. Secre-</t>
  </si>
  <si>
    <t>Secreta</t>
  </si>
  <si>
    <t>…ios guarde á Y . E. muchos años. Granada 2,7 de M arzo La reunión de que se trata era , no de los 221 , sino de la Cordobés.— Juan de Arredondo y G arcía.^M iguel de Y . M a­ de l859.= E xcrn o. Sr.mAlfonso Escalante.=:Excmo. Sr. Secreta­ comisión que estos nombraron antes de trasladarse á los depar­ chuca. {Diario de la Habana.) rio de Estado y del Despacho de la Gobernación de la Penín­ tamentos donde han sido llamados por las elecciones. Esta co­ sula. m isión , compuesta de 15 in d iv id u os, se reunió efectivamen­ te…</t>
  </si>
  <si>
    <t>q u e fuernn so rp re n d id o s, com etiendo a lg ú n asesinato en R e d decreto concediendo el uso de media firma al Sr. Secreta­ Si cada cual corteja d su tnodo, y estamos en !a época de los soldados de la r e p ú b li c a , el e a r b o n e io y su m u ge r se­ rio del Despacho de la Gobernación de la Península. ( N u ­ las teorías, justo parece que la numerosísima clase de cortejan­ rian (asilados in m e d ia ta m…</t>
  </si>
  <si>
    <t>…S. Gor aumenta tanto las raciones. He creído que era llegado el Puesto á votación el dictámen quedó aprobado. E l P A N O R A M A , periódico de m oral, literatura, artes, caso de hacer estas observaciones y advertencias al Sr. Secreta­ Lo fueron igualmente siu discusión otros tres que se inser­ teatros y modas. El número primero de la segunda época rio del Despacho , no por vía de interpelación, sino para que tarán otro dia. corresponde al 5 de Enero de 1859 , y contiene los artículos si­ vea el medio de destruir estos…</t>
  </si>
  <si>
    <t>…* Dios guarde á V. E. muchos años. Granada 10 de Abril conform ándose con su d ictam en , se ha servido S. M. de­ esta ciudad , y eu aclarar ametas , quitar bordazos y otras fae­ de 1859.=Excmo. Sr.rrAlfonso Escalante.^Excmo. Sr. Secreta­ nas necesarias en diferentes sitios de la carretera para su mejor rio de Estado y del Despacho de la Gobernación de 1* Penín­ clarar que por lista especial de hom bres de m ar se en­ conservación. Jaén 9 de Abril da i839.^Francisco Muño*. sula. tiende la que contiene los m atriculados con…</t>
  </si>
  <si>
    <t>…Dios guarde á Y. E. muchos años. Granada 15 de Marzo entrado en ella para que no pesase sobre ellos esta carga; pero bre del Gran Ducado de Luxem burgo, que la revolución bel­ de l859.=Exc:no. Sr.=rAlfonso Escalante.-Excmo. Sr. Secreta­ siendo ministros, y convencidos, como lo están, de que no se ga habia invadido para apoderarse de él. rio de Estado y del Despacho de la Gobernación de la Penín­ pueden adoptar otras medidas para la Bélgica, hau creido que La revolución belga no habia reunido el Luxemburgo á la i sula. no d…</t>
  </si>
  <si>
    <t>…á V. E. muchos años. V itoria 24 de Agosto de 1859.:= Nuestra entrada triunfante en D u ra n g o , sin que los rebel­ guieron la acción, y los enemigos fueron arrollados en todas Excmo. Sr.—Gregorio Piquero Arguelles.—Excmo. Sr. Secreta­ des se atreviesen á oponer la menor resistencia , nos hace dueños sus posiciones, perseguidos en todas direcciones, y batidos has­ rio de Estado y del Despacho de la G uerra. de casi toda Vizcaya después de dominar la mayor parte de la ta el monte J u r r a , mas allá de Arellano. Este pu…</t>
  </si>
  <si>
    <t>Secreta-</t>
  </si>
  <si>
    <t>…defensa contra los facciosos que intentaron atacarles, Dios guarde á Y. E. muchos años. Granada 5 de A b ril á los cuales persiguieron con a r m a s , hoces y picas hasta a h u ­ 3e 1859.—Excmo. Sr.mAlfonso Escalante.—Exemo. Sr. Secreta- B ELG ICA . yen tarles, causándoles un muerto y algunos heridos. ño de Estarlo y del Despacho de la Gobernación de la P e ­ Que el comandante del cantón de V illa lv a aprehendió la nínsula. B ruselas 25 d e M arzo . noche de! 2 al 5 á los ladrones M anuel Ribera , titulado cabo de la facc…</t>
  </si>
  <si>
    <t>Secretario</t>
  </si>
  <si>
    <t>…Sr. Cezar, cortapisa que podría ser perjudicial. En estos términos fue aprobado por el Congreso. proponiendo que se intercalase entre los artículos 9.° y 10 uno, El Sr. A R M E N D A RIZ: Antes de contestar á las razones El Sr. Secretario M U R O : Señores, admitida ayer la en­ reducido á que en caso de que los ayuntamientos hayan de se­ que en apoyo de su opinión ha emitido el Sr. Valdes, y por­ mienda ó voto particular de los Sres. Camaleño y Polo y Mon- guir ó sostener un litigio á que fuesen provocados por otras que e…</t>
  </si>
  <si>
    <t>…e mucho para duce ningún cargo contra mí ni contra ningún ministro. Esto mitad mas uno. hallar razones en que ap o yar su ju stic ia , y en nuestra s itu a ­ no es dar barreno á la justicia : ha sido solamente generalizar El Sr. Secretario C A B A L L E R O contestó al Sr. conde, d i ­ ción por desgracia ¡ la h um anidad tiene tantos derechos que un poco mas el sistema de m u lt a s , reiterar lo que estaba man­ ciendo que en el momento no se le podia dar rozon , mediante v in d icar! dado : pues q u é , ¿ no debían m ira…</t>
  </si>
  <si>
    <t>…sa, propuesto en la Un individuo de estas sectas llamado Kiubb comenzó un movi­ junta de gobierno en Febrero últim o, y aprobado después por miento sedicioso, recorrió varias haciendas y convocó los ne­ Memoria leida por el Sr. Secretario . el Ateneo, reducido á que por cuenta de este se imprimiesen y gros, logrando burlarse del tribunal que debia juzgarle con el publicasen á coste y coitas manuales de ciencias y artes indus­ apoyo de unos 4® que consiguió reunir. Atribuyese al capitán Señores: Es un fenómeno verdaderame…</t>
  </si>
  <si>
    <t>…en las reglas siguientes: :• í Real orden* dentes del mismo asunto que obren en esta secretaría del 1.a Luego que se reciban los expresados billetes en Despacho. las provincias se procederá á darles entrada en las cajas Al Sr. Secretario dfel Despacho de la Gobernación de 7.a Las presemes reglas no alteran las establecidas y de líquidos, y formará cargo al tesorero como remesa he­ la Pemrísüla? digo con esta fecha lo siguiente: no derogadas del decreto de 14 de Julio de 1837 , relati­ « Deseosa S. M. la Reina'Gobernadora…</t>
  </si>
  <si>
    <t>…ro de este negocio, y e n efecto, señores, importancia la tiene. Sin l859.=rPedro Chacón. (A dición a l D iario M e r c a n til.) Se abrió á la una y cuarto. entrar yo en un discurso extensivo para demostrar las virtudes El Sr. Secretario M A Y A N S leyó el acta de la sesión ante­ cívicas del ciudadano que aqúi representa, porque efectiva­ rior sin verificar la lectura de las listas de las votaciones nomi­ mente son grandes y grandes sus servicios á la causa de la l i ­ nales; y al preguntar si se aprobaba, dijo bertad,…</t>
  </si>
  <si>
    <t>…ectorales, y otro para la de gobierno interior razones que ha tenido para la adopción de varias medidas ex­ del Senado. cepcionales duran te las elecciones. Retiradas las secciones, y y a de vuelta la mayor p a r t e , el El Sr. Secretario G uillen y Roda leyó la lista de los seño­ Sr. Presidente observó que entre tanto concluían los restantes, res Diputados electos que hasta el dia se han presentado. Los cuales se sustituirán en caso de enfermedad ó im p edi­ se iba á dar cuenta de algunas comunicaciones que acababan de me…</t>
  </si>
  <si>
    <t>…n al Sr. Baeza, hoy le esto no se ha mirado como gracia en ningún país del mundo, creía se hubiese pasado al Congreso. sujeta: ¿es suya la culpa? De ninguna manera. ni en España tampoco. ¿ Y cómo ha cambiado el Sr. Baeza? El Sr. Secretario M A Y A N S dijo que en la secretaría no ss El Congreso recordará que cuando se presentaron los dictá­ Descendiendo: luego no está sujeto á reelección, porque la Cons­ habia recibido oficio alguno relativo á este asunto. menes anteriores acerca de los Sres. Seijas y H enry, y cuando titu…</t>
  </si>
  <si>
    <t>…as la-s uso de la p alabra, y pidieron que la votación fuese nomina!. no soy hombre parlamentario ni metódico, sino práctico: se ha medidas que considere necesarias para la ejecución de! convenio El Sr. M AD O Z: Pido que el Sr. Secretario diga si está de­ leido aqui el otro d ia , digo , una exposición de varios ciuda­ celebrado eo Vergara en 51 de Agosto del presente año entre el finitivamente votado el asunto. danos de la invicta B ilbao, cuyo número llega á 9 0 0 , de ese ilustre capitán general duque de la Victoria y e…</t>
  </si>
  <si>
    <t>…ses adoptadas en la contribución yendo con dar las gracias á la comisian por lo que decia en su la de Valencia que haya dado mayor número de caballos, ten­ extraordinaria de guerra.” dictamen. ga esto presente, y suplico al Sr. Secretario que lea Ja enmien­ De este modo la contribución podrá ser efectiva, y no será El Sr. M A D O Z indicó que la comisión estaba m uy recono­ da para que vean los Sres. .Diputados que no se pide sino una una mentira. cida á las últimas palabras del discurso del Sr. Iñigo ; que lejos cosa de…</t>
  </si>
  <si>
    <t>…o al considerar el apresuramiento con que se presentaron tantas En la de Ch arriben, cava inauguración se hizo el 22 de personas benéficas á inscrib rse en la sociedad cuando apenas era de Arias que se diesen las gracias al Sr. Secretario general por Julio con una solemnidad particular, en atención á las cir­ conocido su objeto , cuando la experiencia no habia demostrado su redacción, manifestando cuán sensible le era que el estado de c u n s t a n c i a s t a m b i é n particulares de aquel paraje', habia y a ins­ aun lo…</t>
  </si>
  <si>
    <t>…n no solamente esos electores, sino aun mas. Por to­ esperando á que resuelva el Congreso. repito, ha visto una ley escrita , explícita, terminante, y se ha das estas razones, yo creo que respecto al primer punto , la re­ Un Sr. Secretario: ¿Volverá el dictamen á la comisión? tenido que atener á ella. No ha visto en las actas de esos par­ clamación no fue hecha en tiempo oportuno ; y en cuanto al (Varias voces : no , no.) tidos que se haya protestado contra esa inclusión. La ley dice segundo, nunca pueden dejar de ser Diput…</t>
  </si>
  <si>
    <t>…stas anteriores , ha re­ sión de 12 de Ju n io sobre ei particular por el Sr. Cosío. puedo remediar que el reglamento esté terminante; esta es la suelto un caso del mayor in terés, cual es que los propietarios Se leyó por el Sr. Secretario. cuestión que se reproduce todos los dias; V . S. puede presentar que tengan dadas sus tierras en arrendamiento , y a en especie, El Sr. Ministro de H A C IE N D A : Señores, el Sr. Puche al un proyecto de ley que enmiende el reglamento en esta parte; y a en dinero, no tienen derecho niu…</t>
  </si>
  <si>
    <t>…na especie de desnaturalización, y se harían cargos de E n cuanto á lo demas, mucho pudiera h a blar de fueros, otros géneros; y por último, el otro cuerpo coleg islador lia tar­ de l839.r=ExctDO. Sr.—Juan Gutierres —Excmo. Sr. Secretario pues no me es desconocida la legislación f o r a l ; he tenido el dado bastante en constituirse, que no sé si en este momento lo de Estado y del Despacho de la Gobernación de la Península. aprendiz aje de mi proíesion en un tribunal superior donde está todavía. Sea dicho esto de paso a…</t>
  </si>
  <si>
    <t>…concebida en estos térm i­ crita en el artículo anterior. pleado antes de eutrar en ella , no lo es después, y el que es ce­ n os: "P a ra el pago de las con tribu ciones posteriores al año de Se dió cuenta de un oficio del Sr. Secretario interino del sante no reporta n in gu n a v e n ta ja , á no ser la del sueldo por 5 4 no se adm itirá otro papel que el que se abona en las co r­ Despacho de M a r i n e e n que manifiesta que habiendo llegado á e n te ro , porque la patria no puede ser mas ingrata de lo que es riente…</t>
  </si>
  <si>
    <t>…al razón consiste en otra cosa; El Sr. A RM EN D A RIZ: Que se lea. titucional de esta muy heroica villa; D. Joaquín de Fagóaga yo la lamento tanto como el Sr. Madoz , y ya he dicho por es­ El Sr. CABALLERO: Ahora la leerá el Sr. Secretario, y nando, con el doble carácter de director del Banco español de San Fer­ crito , que es dolorosísimo que personas que han perdido sus se verá bienes por efecto de la guerra, se vean privadas de votar, y pido quesi semerece mas fe una carta que el dicho de la comisión: cionales é5 D. indi…</t>
  </si>
  <si>
    <t>…riente mes en los ­ Villbvieja, obispo electo de Yich. oberna dora y la Serma. Sra. Infanta Doña María Luisa Fernan­ estrados de esta intendencia militar desde las doce de su ma­ Asimismo lo quedó de otra comunicación ’del Sr. Secretario da, continúan en esta corte sin novedad en s u importante ñana en adelante, bajo las condiciones que se manifestarán en del Despacho de Hacienda, manifestando los individuos que salud. el acto del remate, y antes de él eu la secretaría de esta referi­ S. M. ha tenido á bien nombrar para c…</t>
  </si>
  <si>
    <t>…se han discutido los dictámenes amplió el número de electores hasta de m odo, señores, que no solo se puede decir que se atuvo á la ley, sino que la amplió aprobación del acta de la anterior. que habia. Pregunté después al Sr. Secretario si habia mas, me en favor del voto particular; y siendo su conducta esta, ¿se Se leyó una comunicación del Gobierno de S. M. en que dijo que no. No me tocaba otra cosa. puede decir que ha infringido la ley porque la elección puede manifestaba que estando resuelto que uno de los primeros…</t>
  </si>
  <si>
    <t>…a comi­ lo que se quejaban de un pueblo de la provincia de Cádiz en 9 y concluye diciendo que no puede m enos, en vista de to­ sión tocaba el uso de la palabra, la cedieron al Sr. Alonso. una exposición que S. S. entregó al Sr. Secretario, y leída que das las observaciones expuestas, de considerarla im practicable El Sr. A LON SO (D. Juan Bautista): lie pedido la palabra, fue, pidió el orador que pasase á la comisión para que en su vis­ y perjudicial, y de rogar por lo tanto al Congreso que no la pero creo que estoy en el…</t>
  </si>
  <si>
    <t>…f ‘Petado 016 ban va,ido vuestros sufragios. Escritor, exactamente con el acuerdo del Congreso. sión juzga que también e* conveniente el pedirle de otros dos » u°a polítiIniSY° ’ s*e ajPre he deseado una libertad modera- El Sr. Secretario C A B A L L E R O leyó en seguida el acta de mas. ra ®i pais* es^ e evada* es 1° q ue siempre he querido p a - es o que trataré de hacer prevalecer siempre. la sesión de ayer y fue aprobada. No habiendo n ingún Sr. Diputado que tuviese pedida la</t>
  </si>
  <si>
    <t>…ecir dos cuestión, y por la parte que en ella ha debido ton ar vuestro pues no habiendo oído leer íntegras las proposiciones, suplico palabras sobre este asunto. Gobierno, no puede dejar, á nombre de los pueblos que lepre- al Sr. Secretario que las i aserte, si no tiene ea ello inconveniente. Se ha estado hablando malamente sobre proposiciones he­ seata , de oftecer el homenaje de su lealtad y gratitud d que El Sr. C A B A L L E R O : Por mi parte, salva la opinioa de chas al Gobierno para proporcionar una suma de dinero. Yo…</t>
  </si>
  <si>
    <t>…toca, señores, poner fin á nuestros temores, to­ basé esencial de una ley, no de un reglamento. La primera par­ te del artículo me parece que no debe estar sujeta á discusión; de 1^59ii=Excmo. Si.zrJuan Gutiérrez rrExcaio. Sr. Secretario mando la iniciativa de las medidas de política y de economía que tan imperiosa mente recia man los intereses de ouestro pais. y si asi se considerase volveré á reproducir mis argumentos; y Síe’Estado y. del Despachó de la Gobernación de la Península. Sustraed á la España de su espantos…</t>
  </si>
  <si>
    <t>…lidad. Se Ies llamaba jansenistas d muchos eclesiás­ sitio, tasada por Í5. Ramón S ierra, arquitecto de aquella ciu ­ ticos ilustrados, es verdad ; péró sabido es que los mismos jan ­ Con Real orden comunicada* por el Excmo. Sr. Secretario dad , en 500,015 rs. senistas franceses no pecaban por cierto de inmorales; de Estado y del Despacho de M a rin a ; Comercio y G oberna­ El cosco del tinte de la propia casa fáb rica, con 2124 pies, Finalm ente, y como tercera explicación, pudiérátaos decir ción dé Ü ltram ar se ha re…</t>
  </si>
  <si>
    <t>…14 d e S etiem b re . te i n t e r i n o , G o rz a lo de la Torre. —J u a n M a r tin e z .= A n to n io Se abrió á la u n a menos c u a rto . A lc ázar.zzF ran cisco de P a u la Tornero. n V i c e n t e F ernandez.— El Sr. Secretario C aballero leyó el acta de la sesión de a y e r . Pedro Pican.zzPedro Encina.=:Por la c iu d a d de C h i n c h i l l a , J o ­ En todos l o í paseos que SS. M M . h an dado en las cercanías El Sr. P A S C U A L m anifestó que en el a c ta , al hacer mención sé R a m ó n C a w b r o n e…</t>
  </si>
  <si>
    <t>…guarde á Y . E. muchos años. Sevilla 6 de Marzo de mado que representa una cabeza de una afligida m atrona; buen doles tres caballos regulares, dos y e g u a s, dos ínulas, cinco 1859.—Excmo Sr.zzJoaquin M. de A lba.—Excmo. Sr. Secretario d ib u jo , expresión excelente, ejecución suave y acabada. m onturas, rescatando ademas cinco bueyes que habían robado del Despacho de la Gobernación de la Península. | Un relieve de bronce que representa una matrona con una de la ganadería de D. Gil Flores, veciuo de A lcaráz, CSta- t…</t>
  </si>
  <si>
    <t>…res que han de impedir que se verifique la paci­ gel Polo y Mooje.=Pascuai Madoz , secretario. lugar de dar , y las monjas daban en lugar de recibir; los frai­ ficación completa del pais ta,n pronto como seria de esperar? El Sr. Secretario C A B A L L E R O : El dictamen que acaba les recibían una educación brillante, porque tal podia decirse Arréglese y póngase en orden nuestra administración , haya de leerse tiene adiciones que están en poder del Secretario de la el saber leer, escribir; pero las monjas no , que daban sus…</t>
  </si>
  <si>
    <t>…la m a ré la atención del Senado so­ sin despachar en la a n terio r leg islatu ra. liberantes: de otra m anera es necesario que el Gobierno a b a n ­ bre otro punto relativo al m in isterio de la G obernación. El a n ­ El Sr. Secretario O n d o viila leyó la lista de los expedientes, done el c a m i n o , y siga uu rumbo d ife re n te , porque es im p o s i­ tecesor del Sr. M in is tr o actual*-de este ram o h a b ia establecido y en se g u id a las cuatro proposiciones s i g u i e n t e s : ble la existencia de uu m in…</t>
  </si>
  <si>
    <t>…oso como una co­ habia nombrado por su Presidente al Sr. conde de Pinofiel, y ciones después de cerrarse la sesión. queta; alegre como un niño; perezoso como una marmo­ por Secretario al Sr. Onís. Hecha esta pregunta por un Sr. Secretario, se resolvió por ta; El Sr. PRESIDENTE anunció que mañana se reuniría el la afirmativa, y el Sr. Presidente levantó la sesión. activo como Bonaparte, según me ha acomodado. Senado á las doce para continuar la discusión pendiente, y le­ Era la una y diez minutos. CAPITULO VII. vantó la…</t>
  </si>
  <si>
    <t>…a interpela­ M ála g a, | id. id. Oreo pues señores que sin desconocer la gravedad del mal, ción y contestará cuando tenga por conveniente. Santander, 1£ id. y sin dar importancia política, se debe acudir al remedio n a- El Sr. Secretario M A Y A N S leyó un expediente, cuyo con­ A lican te, i d . S an tiago , l£ id. fur&amp;l; ¿ y cuál es este? Severidad y disciplina en la gu arn í-' tenido no pudo percibirse por el ruido que habia en el salón. Barcelona, á ps. fs., y b. S e v illa , par din. cion ; renovación periódica , n…</t>
  </si>
  <si>
    <t>…de 403 hombres, é igual número de la correspon­ disposiciones contenidas en los artículos 29 y 50 de la instruc­ bre de 1858, como se previene en el art. 9.° de esta instruc­ diente á la requisición de caballos que remitía el Sr. Secretario ción aprobada por S. M. en 21 de Julio de 1857, no pueda ción: 3.° los billetes del tesoro, según queda expresado en la del Despacho de la Guerra. acreditarse el valor del diezmo de que hoy deba ser indemni­ misma , y las cartas de pago con que en su caso se acredite la Igualmente se acor…</t>
  </si>
  <si>
    <t>…uerrero que manda nacer, y sin la que son enteramente nulos todos los Gobiernos las tropas del N orte, muchos españoles extraviados acaban de é instituciones; de la paz que debe ser considerada como el pri­ Diego Medrano, Senador Secretario.=José de Isla F e r ­ reunirse al trono constitucional de vuestra excelsa Ilija , y es mer elemento de la vida social, y de la paz en fin, sin la que nandez, Senador Secretario.—Gaspar de O ndovilla, Se de esperar que los demas, obedeciendo á las inspiraciones de su la libertad, el trono…</t>
  </si>
  <si>
    <t>…Faj ardo. a ur or a de paz á que todos tan just amente anhel an. . .. Ella nos ve r si estaba conforme J u r a r o n y tomaron asiento estos Señores. c on d u c i r á á gozar de la prosperidad que prometen nuestra a d o ­ El Sr. Secretario M E D R A N O ocupó la t r i b u n a , y l eyó la L e í do el di ct amen de la comisión de Actas, relativo á las se­ r a d a Re i na Doña Isabel ir , que sábi ament e regent a su a u g u s t a m i n u t a de me n s a j e, que se halió c on f or me , y estaba concebida g u n d a s eleccion…</t>
  </si>
  <si>
    <t>…rva que se hace en el 2.°, por­ tanto en una ocasión semejante en que lo solicite el Gobierno. S. S. tiene razó n ; pero añadió que es porque creia que era lo que equivaldría á d ec ir: os confirmamos los fueros, pero nos El Sr. Secretario R O D A manifestó que 00 habia necesidad mismo régimen constitucional que unidad constitucional. (El reservamos el quitároslos mañana. ¿ H a b r ía buena fe a q u i? de poner esa cláusula: en primer lugar porque no lo habia re­ Sr, c o n d e d e E zpeleta p i d e la palabra.) ¿ Debería…</t>
  </si>
  <si>
    <t>…que fue generosidad con que supone la comisión? aprobada. puesto en la dura obligación de apelar á estos medios extremos, Pregúntese á esas desgraciadas provincias ensangrentadas El Congreso quedó enterado de un oficio del Sr. Secretario terribles, puesto que no h ay otro de contenerlos en su crueldad por el feroz Cabrera , pregúntese á los que están sufriendo las interino del Despacho de Estado manifestando que con motivo y de atajarlos en la carrera de sangre que han emprendido. crueldades de las hordas aragonesas y c…</t>
  </si>
  <si>
    <t>…do para poner término á Consultado el Congreso sobre este punto resolvió afirmati­ lencia.—El Presidente déla Cámara de Representantes, Joaquín las desgracias y desastres que producían la guerra civil. vamente. Acosta.^El Senador Secretario, J. M. Goroez.^El Diputado Se­ El dia 5 se preparó la celebridad con la convocatoria del El Sr. P R E S ID E N T E : Mañana se discutirán los expedien­ cretario de la Cámara de Representantes, Francisco de P. Tor­ Sr. gobernador militar interino y comandante del batallón de tes relativos…</t>
  </si>
  <si>
    <t>…uchos años. Patencia 19 de Mar­ entregas con referencia á los recibos que debe dar el contratista ' PARTES RECIBIDOS EN LA SECRETARIA DE ESTADO zo de 1859.=Excmo. Sr.=Miguel Antonio Camacho.=Excelen- ó sus apoderados. tísimo Sr. Secretario dél Despacho de la Gobernación de la 4-a Quedará obligado el contratista á sacar los tabacos que Y DEL DESPACHO DE GUERRA. Península. existan en la actualidad en el término de tres meses á contar Por la comunicación del capitán general de Extremadura desde el dia en que se consume el p…</t>
  </si>
  <si>
    <t>…com ún, y negociando de acuerdo solución. Igualmente se aprobó el dictámen de la misma comisión con el d i v a n y Mehemet Alí. ’ún embargo, nada se adelanta, acerca de las primeras elecciones de Logroño , en que opinaba El Sr. Secretario O N D O V IL L A contestó que la observa­ y los detalles que nos suministra el correo de Marsella no nos ción de S. S. se dirigia á la cuarta cuestión, y no á la que en se admitiese al Sr. Adana. dan motivo para esperar que se resolverá pronto una cuestión aquel momento se discutía, pue…</t>
  </si>
  <si>
    <t>SECRETARIO</t>
  </si>
  <si>
    <t>…desgraciados para que puedan siquiera tener la Congreso si está el punto suficientemente discutido. dictámen, por ser una de las tres maneras precisas con que esperanza de volver á lo menos al seno de sus familias, pues si El Sr. S E C R E T A R I O : ¿E stá este asunto suficientemente puede dar su dictámen la comisión á todas las exposiciones que esto es siempre justo, creo que en una época en que alargamos discutido? se presentan á su deliberación. la mano á los que sostenían un partido enteramente contrario, N o levantá…</t>
  </si>
  <si>
    <t>…y elevado concepto que les merece, al confiarle la superior ejecutar Del cumplimiento de esta circular, y de quedar en goza 25 de Marzo de l859.r:Excmo. Señor.—El brigadier se­ gundo cabo accidental, Luis del Corral.z^Excmo. Sr. Secretario administración de la Hacienda pública en esa provincia, se servirácuanto V. S. en ella se previene, espera esta dirección de Estado y del Despacho de la Guerra. darla aviso. no necesita de mis excitaciones para cooperar con asiduo Dios guarde á V. S. muchos años. Madrid 20 de Mar­ empeñ…</t>
  </si>
  <si>
    <t>…ocabaa personas, y ahora principios mal en­ solución de S. M. Dios guarde á V. E. muchos años. Ma­ te ventajoso encuentro. tendidos y siniestramente aplicados. Los que ayer capitaneaban drid 25 de Junio de 1839.=Isidro Alaix.=Sr. Secretario un desórden para destruir un sistema de gobierno, hoy condu­ del Despacho de la Gobernación de la Península. " cen otro para restablecerlo. Ya no hay aspiraciones equívocas; El gobernador capitán general de la isla de Cuba participa ninguno con fecha de 20 de Mayo próximo pasado al mini…</t>
  </si>
  <si>
    <t>…V. E. muchos años. V itoria 2 6 de Agosto de 18 5 9 .= normal y examinador del método aualítico de D . José M a r ia ­ S. M. la R e i n a , s u augusta Madre la R eina Gobeuna- Excmo. Sr.zrGregnrio Piquero Argúelles.=Excmo, Sr. Secretario no V allejo , los Sres. D. Pedro E y t i e r , alcalde primero consti­ dora y la Serma. Sra. Infanta Doña María Luisa Fer­ de Estado y del Despacho de la G ue rra . tucional y presidente de dicho ilustre a y u n ta m ie n t o ; D. M a r ­ tin José de Ríaya , D. Jacinto Belda , D. A n to…</t>
  </si>
  <si>
    <t>…sentarnos ante sus aras con el D irecció n g e n e r a l d e Correos. debido acatamiento f dándole gracias y entonando himnos á su al levantarse la sesión. # g lo r ia : adorémosle, postrémonos derramando lágrimas en su El Sr. Secretario F E L IU : ¿ S e reunirán las secciones . L a correspondencia que salió de esta corte , en el parte dia­ Verificada la votación, y teniendo duda algunos señores, y presencia, porque nos ha prodigado dones tan grandiosos. Pero rio para Zaragoza el 22 del actual á las cuatro de su tarde,…</t>
  </si>
  <si>
    <t>…del su premo Gobierno.zrGoateuiala Ju n io 21 de I859.r= á toda la provincia por un triunfo que S. E. y mis compatrio­ Gobierno general. Ministerio de Guerra y M arina.z=Co- Por tanto: ejecúlese.= M ariano Rivero P az.= :A l Sr. Secretario tas podrán valorar , y cuyos felices resultados no pueden ocul­ de Gobernación, Lic. Pedro N. Arri&amp;ga. tarse , porque purgado el Norte de nuestra campaña de e»ta mandancia general de Oajaea. Nurn. 354 =Excmo. Sr.: Con fe­ Y por disposición del gefe interino del Estado , se imprime, hor…</t>
  </si>
  <si>
    <t>…nta. sito para desempeñar dignamente el trabajo importante y 29 de Setiembre, para el segundo el 51 de Octubre , para el tercero y último de adjudicación el 50 de Noviembre del cor­ El Seoado quedó enterado de un oficio del Sr. Secretario difícil de que se hizo cargo. del Despacho de Estado, al que acompañaba el Real decreto de El Sr. González Alonso, dedicado constantemente á esta riente año, de diez á doce de sus mañanas en los estrados de 26 del corriente por el cual S. M. la Reina Gobernadora , en trabajos intendenci…</t>
  </si>
  <si>
    <t>Secretario, Gil Zarate.</t>
  </si>
  <si>
    <t>Gil Zarate. Secretario</t>
  </si>
  <si>
    <t>…conformarse con la rata Cuarta sección.—Presidente , Sr. M artines de la Rosa. V i­ Ademas de estos trabajos parciales de las secciones se han ó fijación de los salarios, lo cual sostiene y alienta el exaltado cepresidente, Sr. Gil Zarate. Secretario, Sr. Revilla. Vicese­ ocupado todas ellas de un pensamiento de nuestro digno presi­ celo ó fanatismo de los predicadores metodistas y anabatistas cretario, Sr. Bretón de los Herreros. dente el Sr. D. Francisco Martines de la Rosa, propuesto en la Un individuo de estas sectas l…</t>
  </si>
  <si>
    <t>Secretario, Santaella.</t>
  </si>
  <si>
    <t>Santaella. Secretario</t>
  </si>
  <si>
    <t>…sentándose desde entonces síntomas de des­ Tercera sección. —Presidente, Sr. Vallejo. Vicepresidente, en los siglos xtii, xiv y x v; y cuál de los siglos xvi ó xvri contento y del peligro que amenaza este pais. En muchas ha­ Sr. Santaella. Secretario, Sr. Barinaga. Vicesecretario Sr. C on- debe ser reputado por verdadero siglo de oro de nuestra lite­ ciendas 00 solo han rehusado los uegros volver á los trabajos, treras. ratura. sino que se manifiestan obstinados á no conformarse con la rata Cuarta sección.—Presidente , Sr.…</t>
  </si>
  <si>
    <t>Secretario, Valle.</t>
  </si>
  <si>
    <t>Valle. Secretario</t>
  </si>
  <si>
    <t>…onales CORRESPONDENCIA DE LA GACETA. cuando invadieron la Europa en el siglo r ; del influjo de la li­ Primera sección.—Presidente, Sr. Olózaga. Vicepresidente, teratura árabe en la española, y de la época ea que los judíos Sr. Valle. Secretario, Sr. Quinto. Vicesecretario, Sr. Yila- vinieron á España. Kingston (Jamaica) 30 de Agosto de 1858. El 1.° del cor­ Cedron. A propuesta del Sr. Mesonero se trató en una de las sesio­ riente , con arreglo á lo dispuesto por el Gobierno ingles, tuvo Segunda sección.—Presidente, Sr. c…</t>
  </si>
  <si>
    <t>Secretarlo</t>
  </si>
  <si>
    <t>…reación de un Consejo de Estado Art. 7.° Las atribuciones del Consejo de Estado son las si­ EFECTOS PÚBLICOS. leído en la sesión del Senado del día o de Enero por el guientes: Inscripciones en el gran libro á 5 por 100, 00. Sr. Secretarlo interino del Despacho de Estado . Redactar los proyectos de le y , de decretos* reglamentos y Títulos al portador del 5 por 100, 16 siete dieziseisavos A LAS CORTES. ordenanzas que le encomiende el Gobierno. con cupones al contado: 1 6 £ , f , t y 16 siete dieziseisavos á ~~Dar su dicta…</t>
  </si>
  <si>
    <t>Sedaño</t>
  </si>
  <si>
    <t>…Congreso un parte de Espartero ma­ Se suspendió esta discusión. Sigue después el discurso de la corona (Leyó.) Según ha d i­ nifestando que 00 podia moverse de Bilbao porque no tenia Pasó á la comisión de Actas un oficio del Sr. Sedaño , D i ­ cho muy bien el Sr. Arguelles, el Diputado que habla aqui lo pan para el soldado. Ademas, el acontecí mié uto de Vergara no putado por Ciudad Real, solicitando se le admita en el Con­ hace sin otra restricción que su prudencia. Bajo este supuesto es una batalla , no es la toma de una…</t>
  </si>
  <si>
    <t>Sedre, Ramón</t>
  </si>
  <si>
    <t>Ramón Sedre</t>
  </si>
  <si>
    <t>…la im prenta Nacional, donde d e b erán bailarse precisa­ por el que lo es del Puerto de Sta. María , en la segunda sec­ sainete, titulado m ente para el 1.° de D iciem bre p ró x im o , pues al paso que ción de la quiebra de D. Ramón Sedre, radicada en su juzga­ E L ROBO D E L A B URRA . por este medio se espera conseguir m ayor ex actitu d , no do , se cita y emplaza a D. Esteban Fernandez, residente que se dice en esta corte , para que en el término perm ite tampoco io adelantado del tiem po que se e x tien ­ contado…</t>
  </si>
  <si>
    <t>Seeland</t>
  </si>
  <si>
    <t>…s. general de Jutland y de F io n ie, y S. A. R. el príncipe Federi­ que han perme&amp;ecido en estado de detención, y 8 de ellos h t a Los restos del ejército turco, cerca de IOS) hombres, se h a ­ co Fernando comandante general de Seeland, Laiiand y Fahier, sido absuvítos también. E» cuanto ¿ los otros *e ignora si que­ llan en Charpat bajo las órdenes de Mustafá-bajá. darán todos comprendidos ea el acta de acusación. (Temps) (&lt;ConstitutionneL) Los estudiantes han tenido uca reunión, en la cual se ha acordado dirigir al R…</t>
  </si>
  <si>
    <t>Seeura</t>
  </si>
  <si>
    <t>…or fam ilias de las expulsadas en los pueblos por la facción: vienen te, fue preso de orden del Emperador Napoleón, que le el desempeño de este destino, que las circunstancias de la con su correspondiente pase del gobernador de Seeura oara habia condenado poco antes á la pena capital y a la con­ época hicieron cada dia mas delicado: sin duda fue d iri­ M a d r id . 5 F fiscación de todos los bienes. gido en aquella ocasión por una fuerza sobrehumana pa­ L a tercera división del ejército expedicionario que se halla Far…</t>
  </si>
  <si>
    <t>Segorbe</t>
  </si>
  <si>
    <t>…ue adopten el que esta exposición se quede en C O N G R E SO DE D I P U T A D O S . el Congreso para tiempo oportuno, para que si algún Dip utado nadie pueda alegar ignorancia en su contravención. Dado en el cuartel general de Segorbe á 1 8 de Enero de quiere hacer algun a acusación, pueda h acerla, y se le remita PRESIDENCIA DEL SEÑOR IST U R IZ . al Gobierno una copia certificada. l8 59 .~ A n to n io V an -H alen . Lo que de orden de dicho Exctno. Sr. general en gefe y ca­ El Sr. conde de las N A V A S (desde la tri…</t>
  </si>
  <si>
    <t>…- d a , de esa paz que tantas lágrimas nos cuesta, esa aurora tan Ejército del Centro.—Primera división: Orden general de hermosa como encantadora, que invocada por el Cid de nues­ 25 de Octubre de 1859 en el cuartel general de Segorbe. tros dias, por el valeroso duque de la Victoria , asoma por ei Art. l.° Las reclamaciones que con frecuencia hacen lo horizonte español derramando gozo y alegría ; y anunciando (1) Caballería facciosa vestida de paño pardo con gorró pa­ individuos del batallón de cansados para volver á su…</t>
  </si>
  <si>
    <t>…que no saben preve- j táis juntos bajo el imperio de una misma idea , de un mismo ni ríos ni detenerlos. Esto «o es para nosotros una idea general j sentimiento; la adhesión al Gobierno representativo , á su dig­ El gobernador de Segorbe participa en escrito de anteayer ni un recuerdo vago. Nosotros lo hornos visto, pero no lo vol­ nidad , á su vigor; el deseo de verla verdadero y efica*. que en Álgimia hay un batallón de Forcadell y Viscarro con veremos á v e r, porque tenemos una doble garantía ; la pru­ Esta es la coali…</t>
  </si>
  <si>
    <t>…que á Chelva. 122. D. Antonio A m ar, por sí y á nombre de los empre­ la aprehensión de los 7900 fusiles equivale á una victoria se­ ñalada. (Id.) sarios de las artes de pesca llamado el Buche, que se calaban El gobernador de Segorbe manifiesta con igual fecha que eu las ensenadas de Coriil y Z ah ara, acude al Congreso m a n i ­ Viscarro se halla en la Y all de Alvnonacid , y Alberto, G ara- festando los graves perjuicios que por efecto de la prohibición fulla y Carmelo por la parte de Begis con 150 infantes y 30 de dic…</t>
  </si>
  <si>
    <t>Segovia</t>
  </si>
  <si>
    <t>…todo en sutna nuevo , debía Guada le t e , y de las autoridades que al efecto habían convida­ ser igualmente el drama. do, E n el Puerto de Santa M aría se trasbordaron al yapor el A T E N E O D E M A D R ID . Contestaudo el Sr. Segovia a-todo lo dicho, volvió á in­ Sol , que se hallaba deí otro lado del puente de barcas, agre­ sistir en que no fue su ánimo tomar parte en la discusión; y gándose alli los individuos;tJ el acuitam iento y otras autorida­ SECCION DE LITERATURA. por lo tanto se habia abstenido de emitir opinió…</t>
  </si>
  <si>
    <t>…ncia, y que se expidan edictos llaman­ noche de antes de ayer en presencia de SS. MM. en la acade­ a Pr,®a 1, 14. y 1 por dollenadoras, a quienes en la escribanía del infrascrito se ma­ mia Filarmónica matritense. Poesía del Sr. Segovia; música del 100 Inscripciones en el gran libro á 4 por 100, 00. nifestara el presupuesto y pliego de condiciones. Dado en Ba- maestro Iradier. Títulos aJ portador del 4 por 100, 00. 5 Por°ma A A de 4 8. S., b lorencio l839~ Sánchez El mar‘lues * Almenara. = Por mandado Rastrollo.</t>
  </si>
  <si>
    <t>…Despees de hecha esta recapitulación, continuó diciendo lo fueron nuestros antiguos dramáticos. ra consentir en el tratado. Y o , stñores, que pertenezco á la que convenia con el Sr. Corradi en no reconocer clásicos ni ro­ El Sr. Segovia reiteró su protesta de no tener ortodoxia parte no cedida del territorio, declaro á la faz del m undo, que mánticos en cuestiones literarias; porque esa división im por­ literaria com o habia dich o én la anterior conferencia; y co n ­ antes pereceré que firmar la separación. tada de Alemani…</t>
  </si>
  <si>
    <t>Segovia, Aotonio María</t>
  </si>
  <si>
    <t>Aotonio María Segovia</t>
  </si>
  <si>
    <t>…ario ±:Sr. D. Pablo Cabrero. ba, advirtiéndose que es el primer edicto al efecto de su presen­ Confador.—Sr. D. Manuel Gatalá de Vaferíola. tación, señalándole para ella la casa palacio habitación del Ex­ Bibliotecario ízSr. D. Aotonio María Segovia. celentísimo Sr. capitán general de este distrito, donde deberá Suplentes.srSr. D. Antonio Gil y Zarate, para consiliario. Sr. D. Francisco de Paula Mellado, para secretario. Sr. Don Juan Batefc, para depositario. Sr. D. Rafael Bertodauo^ para IMPRENTANACIONAL. presentarse pe…</t>
  </si>
  <si>
    <t>Segovia, D. Antonia</t>
  </si>
  <si>
    <t>D. Antonia Segovia</t>
  </si>
  <si>
    <t>…ivo del aniversario de la jura y este* é igualmente da de billetes y al Sr. D. Fernando González Vera y Araujo. ;prótftulgaerón de la Constitución, ha habido iluminación papel ......... . • 510 59. Unas babuchas bordadas, al Sr. D. Antonia Segovia. 185. Uu cogin bordado de estambre y sedas, áí Sr. Don general, estándolo interior y exterior mente el tpatro del Por la numeración de los billetes ^ se-» liarlos y batirlos 56 Manuel Somera. Príncipe. - - , _______ _ Por la impresión y papel del cartel 213. Un cogín bordado…</t>
  </si>
  <si>
    <t>Segunda, Espartero</t>
  </si>
  <si>
    <t>Espartero Segunda</t>
  </si>
  <si>
    <t>…c o n sus fuerzas por A z p e itia á T o - esto en el mismo instante en que él mismo estaba c o n feren cian ­ losa , qu ed an d o la facción v i 5 ^ElgQiba.r., A sim ism o do coa lord J o h n H a y . En este momento el general Espartero Segunda sección C ircular. me previene S. E. que todos los efectos que se recojan h an de e tá m an iob ran d o a c tiv a m e n te , y hace m an iob rar en N a v a r r a rem itirse á la plaza.de V i t o r ia , y á este fin me m a n d a o cu p ar á su teniente D . D iego L e ó n : de form…</t>
  </si>
  <si>
    <t>Segundo, Juan</t>
  </si>
  <si>
    <t>Juan Segundo</t>
  </si>
  <si>
    <t>…dio vencidos; y su resistencia, si la mó al Gobierno eu 29 de Febrero de 1836 , con motivo demas naciones de Europa han reconocido las inmensa, oponen, no podrá *er duradera, al ver que ni la solidez de los de la ¡Vlemoria ríe D. Juan Segundo sobre el fomento v mejora ventajas que les ha producido una medida de esta especie; muros (l), ni la decisión de lo* defensores, ni los repetidos ata­ de la cria caballar. Conformándose: entonces con el pare­ ques de la facción auxiliar mandada por Cabrera han detenido cer de la secció…</t>
  </si>
  <si>
    <t>Segó</t>
  </si>
  <si>
    <t>…tinuó, El tema señalado para la conferencia era el exámen de las fia apoyado algunos dramas porque en ellos se vea quebranta­ personas.xonvidadas, y varias mesas cubiertas de manjares que unidades dramáticas propuesto por el Sr. Segó vía , á quien das las reglas; pero no por eso ha probado qpe del quebranta-, habían sido preparadas al intento, y en las que se colocaron el Sr. presidente invitó á abrir la discusión. miento de estas resulte el mérito de aquellos. f unas 150 personas. En su consecuencia:, tomando la palabra di…</t>
  </si>
  <si>
    <t>Segórbe</t>
  </si>
  <si>
    <t>…español de S. F e r n a n d o , 0 0 . 8. Mateo. de v e n ir á la n ació n de esas cuestiones a b st ra c ta s ? ¿ q u é u tilid ad p u e d e v e n irla d e ese en c e n d im ie n to d e todas las c a m b io s . El gobernador de Segórbe dice en sos comunicaciones que p asio nes? N in g u n a en verdad . la facción de Visca rro y Forcadeil ocupa los mismos puntos. F r a n c i a m ism o, q u e , c o m o todos s a b e n , es el p ais mas Londres , a 9 0 dias , 5 8 j din. C oruña , i * papel d. Con fecha del L¿ avisa haber entr…</t>
  </si>
  <si>
    <t>Según, Eglington</t>
  </si>
  <si>
    <t>Eglington Según</t>
  </si>
  <si>
    <t>…do anterior el vizconde Gage ha dado un gran ban­ quete á los caballeros del torneo de Eglington en su palacio di Ejército del Centro .^Secretaría de campaña.=Excmo. Sr.ir W h ite h a l. El príncipe L u is Napoleón, el conde de Eglington Según anuncié á V. E. desde M u rv ie d ro , me d ir ig í a Onda Hoy con motivo del aniversario de S. M. I. y Sra. duqn*«a el vizconde Maidoton y el marques de W a t e r f o r t asistían a el 3 t , donde pernoctaron las divisiones de infantería del maris­ de Braganza , cuyas altas virtud…</t>
  </si>
  <si>
    <t>Seijas</t>
  </si>
  <si>
    <t>…o ya habían escrito so­ co § r B a, d u cir por este m edio el contrabando en nuestras posesio­ bre mineralogía B ech er, B rom e!, Cronstedt y otros, y du­ g - w* en h- « ? S gg s. ÍT nes de América. j» üx J m 00 ? S* El Sr. Seijas d ijo que él no era un apologista de Car­ rante su reinado lo h icieron W á le r io , C harpcutier, W er- h er y algunos m ás que dieron im pulso a tau importante io* m ; pero que sin em bargo la censura hecha por el se* Gon posterioridad, es decir, en el ano dé 1776 se bajó ñ or Cabanilla…</t>
  </si>
  <si>
    <t>…as en las librerías siguientes: El Sr. Cabanillas pidió la palabra para rectificar algu­ En el despacho de la Im prenta N acional se adm ite A licante, Ibarra. A icoy, Cabrera. A ddújar, Alava. An­ nos h ec h o s, y dijo: el Sr. Seijas se ha separado de la cues­ tió n , yo no he tratado de inculpar al G obierno de Cár- suscripción al D iario de las sesiones d el Congreso á 20 tequera, Gallardo. Avila # Aguado. Araceoa , Lebrija. Barce­ reales m ensuales. lona , Sauri. Barbastro, Lafita. Badajoz, viuda de Carrillo. Bil­ l…</t>
  </si>
  <si>
    <t>…as tres de la tarde abundantes frutos, si no hubiera sido arrancada en los pos­ primir estaba sobrado coartada; y para saber que esta EFECTOS PUBLICOS. teriores. y no otra era la causa, bástanos leer los informes de los El Sr. Seijas dijo que habia obrado con mucho acierto fiscales del Consejo de Castilla, Florida Blanca, Campo- Inscripciones en el gran libro á 5 por 100 , 00. Títulos el Sr. Valle en reunir y tratar á un mismo tiempo los dos manes y Jovellanos; bástanos consultar la defensa de la ziseisavos con cupones…</t>
  </si>
  <si>
    <t>…dó de consideración ni de sueldo, no debe estar sujeto á reelec­ Se leyó y fue aprobado sin discusión el siguiente dictamen: greso, que asi lo aprobó en votación nominal sujetando á ree­ ción ; y se resolvió lo contrario. El Sr. Seijas por el art, 43 de la La comisión de Actas ha vuelto á examinar las de la pro- ¡ lección á los Sres. Seijas y Henry. {S. S. leyó sucesivamente Constitución , no le correspondía mas de escala , que ser mi­ viucia de M álaga, con motivo de la* gestión hecha por D. José un ligero extracto de lo…</t>
  </si>
  <si>
    <t>…s alta consideración.=Firmado.n utilidad é importancia de la cuestión , tal como la habia pro­ preservado, y no tendríamos que deplorar el reinado del favo­ Cárlos Baudin. puesto y considerado el Sr. Presidente, y después el Sr. Seijas, rito , ni quizá la invasión de 1808, ni ciertamente la presente y dijo: Que el examen filosófico que se habia hecho en la sección desastrosa guerra civil; pero las Cortes eran entonces un recuer­ de cuanto habia ocurrido en España desde que los Borboñes do histórico y nada mas, y eso entre…</t>
  </si>
  <si>
    <t>…ó servaciones éhteriores, he'juzgado quo podía explicarse el pro­ titud N y longitud 4 °..4&lt;V..14" E de Cádiz. á los curas párrocos, siguiendo el sistema de qüe para ilüstrái" blema prdpuesto con tanto tino y destreza por el Sr. Seijas. foco del aparato de alumbrado está 78 pies de Burgos al pueblo debia acudirse alclero y saberle interesar. Quede püés sentado que en la época de CáVíos tu se progresó sobre el nivel de las pleamares de equinoccio. O tro hecho que prueba 16 dispuesto que estaba Cárlos rii eficázmbiHe en los…</t>
  </si>
  <si>
    <t>…utamente de e lla s; y para probarlo baste su lta n , venian á adular su G obierno, y á bajar la cerviz y basta es saber el estado ea que nos hallamos después de las le­ recordar lo que el año 1857 manifestó en este sitio el Sr. Seijas, sujetarse al y u g o español. gislaturas que precedieron: ¿ c u á l es ese estado? Bien lastimoso, que entonces era Ministro. Este señor nos dijo que se habia he­ Este a c to , señores, y sus consecuencias serán im p ortan tísi- señores: aqui se han cambiado las ideas: aqui se ha usado has…</t>
  </si>
  <si>
    <t>Seijas, Manuel</t>
  </si>
  <si>
    <t>Manuel Seijas</t>
  </si>
  <si>
    <t>…ceta del 6 del corriente, en donde dice: D. Manuel Santaella , tni mayor aprecio. La gratitud me obliga á suplicar á V. ten­ mática de la academia española. Ua tomo en 8.° m ayor, 12 rs* de filosofía del derecho, debe leerse: D. Manuel Seijas.</t>
  </si>
  <si>
    <t>Seijas, Pablo</t>
  </si>
  <si>
    <t>Pablo Seijas</t>
  </si>
  <si>
    <t>…C ano ; c o n clu yendo con unas tablas ca leu la bles. D. Ni col ás J o f r e de V i l l e g a s , D. Francisco J a v i e r de Br i n g a s , estadísticas de la N u e v a E s p a ñ a , fo rm ad as en 1 8 0 9 , in é d ita s D. Pablo Seijas , D. M a r i a n o Ga r cí a S a r a b i a , D. M a n u e l A l - hasta esta edición. A s i presenta esta obra el c u a d ro completo de las g u e rra s qu e Según se nos ha asegurado parece que el dí a 11 el general varez de L i n e r a y D. Pedro G a rrid o , quienes declararon h ab…</t>
  </si>
  <si>
    <t>Seis, Francisco</t>
  </si>
  <si>
    <t>Francisco Seis</t>
  </si>
  <si>
    <t>…cos: 2 palas: l(i residentes en Bayona y S. Juan de Luz han sido internados, a acémilas necesarias para su conducción. paso que las autoridades de la provincia han tomado disposi­ Se desea saber de la existencia y paradero de D. Francisco Seis juegos de útiles para barrenos: 12 barrenos de vario? ciones enérgicas para frustrar cualquiera tentativa , y que e Pernigotti, natural de N o v i, en Italia , hijo de D. José Octa­ tamaños; 12 agujas de idem idem: 11 atacadores de idem: 6 cuerpo de celadores de protección y segurid…</t>
  </si>
  <si>
    <t>Sellaver-, Juan Bautista</t>
  </si>
  <si>
    <t>Juan Bautista Sellaver-</t>
  </si>
  <si>
    <t>…nquilidad dice que el teniente de la segunda compañía de la Milicia na­ entre Cronstadt y Orianenbaum. En las demas direcciones el p ú b lica , que ataquen la religión ú ofeudan la m oral, las cional movilizada de la provincia D. Juan Bautista Sellaver- hielo estaba todavía muy sólido. costumbres ó el pudor, usara sin pérdida de tiem po del ris, comandante del cantón de Cenicientos , sabedor de que en Esto demuestra el frió que hemos experimentado en Fraa*- d erech o que le da el artículo 14 de la ley de 17 de O ctu­ las inm…</t>
  </si>
  <si>
    <t>Selma, Fernando</t>
  </si>
  <si>
    <t>Fernando Selma</t>
  </si>
  <si>
    <t>…en l a 100 con cupones. r re por su admirable descubrimiento, no creemos faltos de Ín­ mano un pez como símbolo suyo. Grabó este hermoso cuadro teres los siguientes pormenores. Inscripciones en el gran libro á 4 por 100 00. D. Fernando Selma con exacto dibujo y con la mayor delica­ Los procedimientos de Mr. Daguerre , considerados artísti­ Títulos al portador del 4 por 1 0 0 , 18f á 40 d. f. ó yol. Vales Reales no consolidados, 00. deza de buril. Tiene 17 p. de alto y 12 p. y 2 I. de ancho. Pre­ camente, llevan tan lejo…</t>
  </si>
  <si>
    <t>…una C O R R ESPONDENC IA DE LA GACETA. se halla al lado de la V irgen, y los cuatro forman un bellísimo nació» anglo-amcrica na-española. 1'1 primer movimiento para Bilbao 14 de Julio. Maroto sigue en Orozco, permane­ grupo. D. Fernando Selma grabó este cuadro con dibujo cor­ formar en TVj*s un establecimiento formal fue hecho en 1821 ciendo sus fuerzas siempre ea las mismas posiciones. El Pre­ recto, buril sabio, jugoso , limpio y delicado. Tiene 14 p* y 5 I. por el coronel americano Au¿tin , el que obtuvo una concesión t…</t>
  </si>
  <si>
    <t>Selves</t>
  </si>
  <si>
    <t>…de algunos centenares de mal- dora y la Serma. Sra. Infanta Doña María Luisa Fernan­ Damos también el texto de la circular dirigida por Soliman- echores entregándose al asesinato y al pillaje tan solo por el ajá (antiguo coronel Selves) á los cónsules europeos, y en la que leseo de saciar deseos particulares de venganza y de codicia: to­ da, continúan en esta corte sin novedad en su importante 5 prohíben las comunicaciones con la T urquía. lo rechaza semejante explicación: los mismos acusados se d e - salud. Alepo 16 de Sef…</t>
  </si>
  <si>
    <t>Sembi</t>
  </si>
  <si>
    <t>…ntinuamente se habla de una peñó el papel de Marcela la Señorita Mónica , y la condescen­ titu d , y la mu ica empezó á tocar. expedición proyectada contra Sana ; rnas ya van pasados tres dencia laudable cou que se ofreció el Sr. Sembi á representar El mercado ofrecía en aquel instante un aspecto muy años que se está tratando de ella , sin que hasta ahora se haya dos veces al mes por tan filantrópico objeto, no pueden ocul­ animado: se hallaban reunidas en él mas de 6$ personas. E n realizado* El scheik Hasan de Hess, en ot…</t>
  </si>
  <si>
    <t>Semejantes</t>
  </si>
  <si>
    <t>…ntos por toda E R A N D U E . OR SONO TRE. Santa en Roma. la Península, y se ve eotre ellos sobresalir la química aplicada, com o gigante encina en medio de inculto bosque. Toledo 24 de Enero . En 22 del actual el comandante de Semejantes conocimientos no pueden difundirse con p rofu ­ una colum na, D . A n ton io Anieba , ha logrado dar muerte en sión y exactitud sin un tratado que sirviendo de texto á las ex­ el pueblo de Espinoso del Rey á 19 rebeldes, entre ellos un t i­ plicaciones del profesor, halle el principiante…</t>
  </si>
  <si>
    <t>Sen</t>
  </si>
  <si>
    <t>…n del número de los concurrentes. Igu al­ un modo violento in v ad ir una parte de la provincia de la N ue­ cede á votar 14 4 ,0 6 1 libras esterlinas para el alojamiento de mente asistieron el conde Pozzo di B c r g o , el conde Sen fft-P il- va B run sw ick , sujeta á la jurisdicción de la Gran Bretaña, tropas, comprendiéndose en ella las de v ig ilan cia en el Reino sach , lord y lady Stuart de R o th esay, lord y lady Poltirao- tan distinguida por el espíritu de justicia que la caracteriza Unido. r e , la condesa de S a…</t>
  </si>
  <si>
    <t>Sena</t>
  </si>
  <si>
    <t>…s. Chinchón 30 de Octu­ para dar mayor fuerza á su demanda. El Capitole dice también ella la compete ó al poder judicial la aplicación de la pena bre de 1859. = Señora. =: A L. R. P. de V. M. = Eulogio de las que un Diputado del Sena inferior ha presentado una instancia que en el art. G7 de la ley de reemplazos de 2 de Noviem­ Olivas.=Sebastian Moreno.—Francisco Ortis de Zárate.=CárIos al Ministro con igual objeto. (.Temps.) bre de 1837 se señala á los que voluntariamente se muti­ Vicente Camacho.= Eusebio Montero. = Pedr…</t>
  </si>
  <si>
    <t>Senado</t>
  </si>
  <si>
    <t>…he. Se volverá á po* ■— nombrando Senadores por varias provincias. (Id.) medad de que trata; dolencia terrible y pérfida que aniqui­ ner en escena la grande opera en cinco actos del maestro D o — .------ nombrando Presidente del Senado á D. José María Mos- lando el cuerpo humano causa los mayores trastornos, reduce n iz etti, titulada : coso de A lta m ir a , y para Vicepresidentes á D. Manuel .Joa­ á los adultos al estado de la vejez; emponzoña su existencia; produce otras dolencias que los remedios mas preconizados y L…</t>
  </si>
  <si>
    <t>…votación, al príncipe Napoleón Luis Bonaparte presidente de su socie­ blicas.) y resultó absuelto por nueve votos contra tres. = Manuel O r- dad. Esta bravata, que en cualquier tiempo se hubiera conside­ Mr. King, presidente del Senado, observó que haría despejar tiz.nJosé Lázaro.rrJosé Yilar. =: Antonio Sánchez de Ocaña.n: rado como una broma, es algo significante en las circunstan­ las tribunas si continuaban los aplausos. Miguel de Chaves. =r Juan Francisco Laguna, == Manuel de las La discusión en el Seoado concluyó ac…</t>
  </si>
  <si>
    <t>…os los ha recibido S. M. con su natural agrado y extraordi­ de lo que pueden esperar los pueblos que dirigidos por gefes ción de sus sesiones, se apie ura á felicitar á V. M. por lo m u­ naria complacencia. El Sr. Presidente del Senado antes de leer decididos se atrevan á presentarse ante las hordas carlistas, cho que deben contribuir los tan faustos cotno felices y extra­ á S. M. el mensaje le dirigió la breve alocución siguiente: cuya impotencia solo triunfa cuando encuentra pusilanimidad, ordinarios acontecimientos de…</t>
  </si>
  <si>
    <t>…omisiones, y despachar otros negocios, si el Congreso el dia 1.° de Julio del presente año. Dado en Bogotá á 25 de que con su decisión , lealtad y política habia proporcionado el lo resuelve asi. Abril de 1 85 9—El Presidente del Senado, José CorneÜo V a­ momento feliz , tan deseado y suspirado para poner término á Consultado el Congreso sobre este punto resolvió afirmati­ lencia.—El Presidente déla Cámara de Representantes, Joaquín las desgracias y desastres que producían la guerra civil. vamente. Acosta.^El Senador Secreta…</t>
  </si>
  <si>
    <t>Senado, Pvafael Maroto. El</t>
  </si>
  <si>
    <t>Pvafael Maroto. El Senado</t>
  </si>
  <si>
    <t>…sitio donde se dio el abrazo de recon­ las dos. por Juan Vázquez, en 20. 9 ciliación entre las tropas que mandaban el ilustre duque de la Otra id., sierra Almagrera , barranco Pinalbo, término de Victoria y el teniente general D. Pvafael Maroto. El Senado se enteró de una comunicación del Sr. Senador D . Marcelino O ráa, en que participa que por hallarse postra­ M A D R ID 9 DE OCTUBRE. Cuevas, Ntra. Sra. del Remedio, por Sebastian Rodríguez en 20. Otra id., id ., Ntra. Sra. de las A ngustias, por Ju an M a­ 9 do en cam…</t>
  </si>
  <si>
    <t>Senador</t>
  </si>
  <si>
    <t>…vangelio abierto-, y quedará© los secret.axi.os colocados en­ Leída el acta de la anterior, quedó aprobada. R ey, le eofregará el diacarso-correspondiente para que se -dig­ frente" del trono» Entró á jurar y tomó asiento un Sr. Senador, y quedó agre- ne leerle,. A rt. 52» "El -Rey puesto en pie, la cabeza descubierta y con g » d .á la segunda sección. Asimismo lo fueron d 1.1, 12* 15 y Í 4 . la m a do denech a sobre los E r a o ge Iios , pro ou orí a rá e n .a l i:a-:voz E l Sr» M inistro de la Gobernación remite al Senad…</t>
  </si>
  <si>
    <t>…de los caballos que de otra manera pasan á los fac­ adición. dan y deban cobrarse, adm itiendo avenencias y transacciones ciosos , pues todos sabeo que los portugueses y valencianos con­ El Sr. PR E SID E N T E ad virtió al Sr. Senador que el a r t í­ justas entre las p a rte s, objeto im portante y fundam ento p rin ­ curren al mercado de A n dalucía para llevarlos á V a le n cia, don­ culo i que podia hacer la adición estaba y a votado. c ip al de este proyecto. de después vienen á ser presa de las incursiones de Cabrera…</t>
  </si>
  <si>
    <t>…M. para la S. M. la R e i n a , s u augusta Madre la R e i n a G o b e r n a ­ El Senado quedó enterado de una comunicación del Sr. de resolución que fuere de su Real agrado. Rubianes , en que como albacea testamentario del Sr. Senador d o r a y la Serma. Sra. Infanta Doña María Luisa Fernan­ Dios guarde á Y. E. muchos años. Yapor Isabel 11 en San- D. Pedro Allende Salazar, participaba el fallecimiento del ex­ da , continúan en esta corte sin novedad en su importante toña 30 de Enero de l839.r:Excmo. Sr.ziJosé Morales de…</t>
  </si>
  <si>
    <t>…en 20. 9 ciliación entre las tropas que mandaban el ilustre duque de la Otra id., sierra Almagrera , barranco Pinalbo, término de Victoria y el teniente general D. Pvafael Maroto. El Senado se enteró de una comunicación del Sr. Senador D . Marcelino O ráa, en que participa que por hallarse postra­ M A D R ID 9 DE OCTUBRE. Cuevas, Ntra. Sra. del Remedio, por Sebastian Rodríguez en 20. Otra id., id ., Ntra. Sra. de las A ngustias, por Ju an M a­ 9 do en cama no le es posible asistir á las sesiones. nuel Sim ón, en 20. S…</t>
  </si>
  <si>
    <t>…dic­ caso hasta que se sepa la admisión ó no admisión por este señor ocasionarse. támen fiscal, fue de opinión que S. M. p o día, con arreglo á Diputado. Palacio del Congreso 7 de Enero de i859.= P idal.= No habiendo ningún Sr. Senador que tuviese pedida la pa­ las flejes de Castilla , declarar la grandeza de España en el Ju an M artin Carramolino.^rÁntonio Ros de O ía n o s Ay ala y labra en contra, se declaró haber lugar á deliberar por artículos. conde de Toreno y su fam ilia ; y en vista de esta determ ina­ M oría. Fu…</t>
  </si>
  <si>
    <t>…ablár de él algunos periódicos y buena voluntad de varios portugueses ilustrados , que se dolfao esta patria tan trabajada como magnánim a. otras noticias. del mal trato que recibía E spañ a, me sugirieron la idea de pe­ El Sr. Senador por Badajoz con la cordura y nobles moda­ Conozco perfectamente el negocio, puesto que desde que d ir un permiso especia!, mientras se arreglaba el punto del re­ les que acostumbra se hizo cargo de todos los actos de la a d m i­ nació , hace cuatro añ o s, ha pasado y pasa por mi mano. Pro­…</t>
  </si>
  <si>
    <t>…necesarios para bierno , que si o hacer caso de recomendaciones , tenia en des­ un proyecto de ley electoral en vista de los abusos que se han cubierto tan sagrada obligación. notado en la actual; pero tuvo presente que un Sr. Senador ha­ Después de indicar los pocos beneficios que producía á la bia tomado la iniciativa en la legislatura anterior, y al efecto N O T IC IA S N A C IO N A L E S . nación el ministerio de la Gobernación, pasó á manifestar el buscó la Ocasión de preguntarle si pensaba renovar el proyec­ cont…</t>
  </si>
  <si>
    <t>…e consignan las relaciones de los gobernantes con los económica y municipal de las provincias. cer en lo sucesivo, pues los Diputados en el Congreso, y los gobernados , la forma de los Gobiernos y la división de los po­ Otro Sr. Senador que usó ay er de la palabra, aprobando la Senadores en este cuerpo harán presentes las observaciones que deres, claro es que estando consignada en nuestra Constitución ley, con la que está enteramente de acuerdo , im pugnó el proe- sean necesarias. la u*. idad de U m o n arq uía, porque uo…</t>
  </si>
  <si>
    <t>…innecesario é intempestivo; y que no El Sr. González rectifica un hecho. ciado que quedaba sobre la mesa para su disc u sió n , el Sr. San ­ contestaba á las demas observaciones del Sr. Perez de R iv as por A petición de un Sr. Senador se pregunta si el punto está cho manifestó que no creia conveniente se diese curso á esas parecerle que ya se habia hecho cuando rebatió los argum en ­ suficientemente discutido-, y contestado que s í , se aprueba el peticiones, porque en su concepto debía considerarse que h a ­ tos del Sr.…</t>
  </si>
  <si>
    <t>…por aor ninguno, y que podrán acaso remover las dudas y dificul- se manifestado el clamor público en los papeles de aquellas pro­ el tribunal supremo de justicia eo su obedecimiento; y 3.° vá­ ;ades que aun puede tener algún Sr. Senador para aprobar el vincias; cuaodo el Gobierno sostiene la cláusula, cuando el lido, firme y subsistente la ejecutoria de la audiencia territo­ oroyecto. Pero antes de entrar en esta cuestión, antes de entrar Gobierno cer las ha dado explicaciones tales, que han debido desvane­ dudas que pudi…</t>
  </si>
  <si>
    <t>…nstitución; no me he referido á las personas que merecen mayoría de la comisión. La comisión desde el principio en general no vió tantas d i­ mucho respeto para m í , no digo hallándose en aquella catego­ No habiendo ningún Sr. Senador que tenga pedida la pa­ ficultades en la primera parte del art. i.° ; pero como estas de­ ría ; hallándose ea otra cualquiera , hubiera hecho lo mismo, labra en contra , le corresponde á la comisión, y de consiguien­ bían ceder al voto de las personas de cierta clase y teorías, si Por consi…</t>
  </si>
  <si>
    <t>…gitimo tos de la deuda del Estado que han sido entregados al fuego. minar la proposición presentada por el Sr. Ramonet. de vuestra excelsa Hija, nuestra Reina y Señora, de la Consti­ El Sr. P R E S ID E N T E : Va á jurar el Sr. Senador por la Añadió que hallándose aun pendiente la sesión secreta dei tución del Estado, y de la independencia y gloria de la nación. provincia de Huesca D . Valentín Ferraz. sabado para tratar de asuntos de gobierno ioterior, se reuniría Es indudable que el magnánimo corazón-de V. M. se recrea…</t>
  </si>
  <si>
    <t>Sendra</t>
  </si>
  <si>
    <t>…eder, á propuesta del expresado segundo cabo, la De todos estos datos resulta que la considerable expor­ aprisa en tiempos de turbulencias; es decir que cuando le era cruz de la orden de Isabel la Católica a f e ita d o capitán Sendra, tación, que dealguno9 años á esta parte se está haciendo posible meditar en calma acerca del plan mas conveniente par$ de la compañía franca de A lican te, y cuatro de M aría Isabel de dicho artículo medicinal, lo ha disminuido en gran crear un ejército, se entregaba al sueño y al o lvido,…</t>
  </si>
  <si>
    <t>Senez</t>
  </si>
  <si>
    <t>…de­ C E R M O N E S morales, panegíricos y oraciones fúnebres del jarán una papeleta con sus nombres , el número de ejemplares Zaragoza 18 de Marzo. La brigada Parra no se ha mo­ ^ limo. Sr. D. Juan Bautista Beauvais, obispo de Senez, por que se suscriben y las señas de sus habitaciones 6 parages vido por hallarse dos batallones enemigos en las inmediacio­ predicador del Rey Luis xv. Es muy recomendable el mérito adonde se les hayan de remitir á su tiem po; y en las provincias nes de Buquena. de estos sermones por la purez…</t>
  </si>
  <si>
    <t>Senillosa, Felipe</t>
  </si>
  <si>
    <t>Felipe Senillosa</t>
  </si>
  <si>
    <t>…en­ Tesorería general de la Gaceta mercantil de Buenos-Aires de 2 de Marzo del año tos ni viciosos para producir bellezas de un género supe­ ejército de laHabaoa. .. 980035-4' 98005.5-4} próximo pasado, núm. 4416, en la cual D. Felipe Senillosa, rior. Todas sus admirables composiciones resaltan , no por Administración general natural de esta ciudad , contesta á un artículo del Tiempo de pinturas, si se quiere exactas, de la humana depravación, de rentas marítimas 1 Cádiz sobre las dos memorias que ha publicado acerca los…</t>
  </si>
  <si>
    <t>Sentimos, Tadeo</t>
  </si>
  <si>
    <t>Tadeo Sentimos</t>
  </si>
  <si>
    <t>…o D. Juan Romero y Tello, segundo D. Lu­ Piñeiro, tercero D. Manuel Teruel. ginal de D. Josc Lorenzo Figueroa, su título Isabel de la Descuento de letras , á 6 por 100 al año. Paz. Regidores: primero D. Rafael Urries, segundo D. Tadeo Sentimos sobremanera que los cortos límites de nuestro pe­ López Rebolledo, tercero D. Santos Sanz, cuarto D. Manuel ! ■■«■"I.' ■. ■■■ riódico y los muchos materiales preparados para este dia, nos Ezrnir , quinto D. Custodio izquierdo, sexto D. Rudesindo Gea. PROVIDENCIAS JUDICIALES. impidan…</t>
  </si>
  <si>
    <t>Sentiste, Doña Josefa</t>
  </si>
  <si>
    <t>Doña Josefa Sentiste</t>
  </si>
  <si>
    <t>…dores al concurso formado poi corona de España de U Infanta primogénita Doña María Isa­ r Iti. Un tirador de 'Campanilla bordado sobre cañamazo, a el Sr. D. Joaquín López Perella, intendente honorario y comi­ bel Luisa. la Sra. Doña Josefa Sentiste bao. sario de guerra, ya difunto, el dia 25 del corriente á las oncí 644* U 11 gran cogio de casimir blanco bordado de lanas, a de su mañana en la posada del Sr. auditor de guerra del mis­ la Exorna. Sra. marquesa de Belmonte. mo ejército y provincia, calle de Relatores, oiiou…</t>
  </si>
  <si>
    <t>Sentí, FERNANDEZ BAEZAs</t>
  </si>
  <si>
    <t>FERNANDEZ BAEZAs Sentí</t>
  </si>
  <si>
    <t>…l Sr. Ministro de Hacienda t y acto con ti ano se procedió cabio paira que Cataluña floreciese, también Cataluña debia i. continuar la interpelación anunciada. contribuirá que prosperara la industria de las demas provin­ El Sr. FERNANDEZ BAEZAs Sentí ayer, señores, que cias que se dedican á esto. Asi bien podia conocer que ningu­ s® hubiera empezado" la inte pelad oa. á ultima hora# porque no de los Diputados catalanes podia dejar de tomar la palabra CONGRESO DE DIPUTADOS. creí que probablemente seria necesario reproduci…</t>
  </si>
  <si>
    <t>Seo</t>
  </si>
  <si>
    <t>…Monarcas ejer** clamarlos hoy mi sino del Gobierno, poniendo en su conocí- los que se habían notadlo hasta aquí; por lo que la comisión cían el poder absoluto, imponiendo silencio á los dem ás; y en miento U reclamación del Sr. Seo a rae. había preferido su propuesta., cuanto á la cita hecha por S. S. de que cuando ocurrió el mo-í El Congreso quedó enterado de dos comunicaciones de los Sin mas discusión fue aprobado el dictamen de la comisión. tin en esta corte se sujetó á los militares á los tribu na tes ordi­ señores M…</t>
  </si>
  <si>
    <t>Seoa-, Antonio</t>
  </si>
  <si>
    <t>Antonio Seoa-</t>
  </si>
  <si>
    <t>…s y efectos &gt;quedando muerto en el campo el famoso E varis­ M a rtin , núm . 7 , piso bajo, con el fia de hacerle saber cierta to , a lias el mudo de G ran átula. providencia jud icial. cia, en reemplazo del de la misma clase D. Antonio Seoa-, Que en M anzanares efectuaron otra salida los N acionales ne&gt; á quien he tenido á bien admitir la dimisión, con­ para perseguir otra g a v illa que había hecho un robo de consi­ vencida de la imposibilidad en que se encuentra de des­ deració n , y hubieran cogido á muchos de sus indi…</t>
  </si>
  <si>
    <t>Seoanc</t>
  </si>
  <si>
    <t>…queda manifes­ cuartel general salió ayer de esta capital con dirección á Haro Ministros irán para la prim avera próxim a mas alia de sus tado. y se dice que va á proteger á Castañeda en su Operación de* deseos. El Sr. general Seoanc pide para la prim avera pío- S. M. la Reina Gobernadora, convencida por las razones limpiar de facciosos la parte oriental de la provincia de San­ s im a tj^ caballos; sus esperanzas no serán delraudadas, expresadas, que tuvo la honra de exponerle su Consejo de M i­ tander. p orque los Mini…</t>
  </si>
  <si>
    <t>Seoane</t>
  </si>
  <si>
    <t>…dispuesto por el Gobierno ingles, tuvo Segunda sección.—Presidente, Sr. conde de Vigo. Vicepresi­ nes de la formación de un Manual bibliográfico español. efecto en esta Isla la emancipación de los negros esclavos, y dente , Sr. Seoane (O. Mateo). Secretario, Sr. Collado. Vice­ Por último, ha discutido ea varias ocasiones el estado de la tanto en aquel dia como en el siguiente, reinó en ella el ma­ secretario, Sr. Castellanos. cultura española eri el siglo x n r ; el de la literatura española yor desorden , presentándose de…</t>
  </si>
  <si>
    <t>SEOANE</t>
  </si>
  <si>
    <t>…servaciones concluyó clase. Baste solo decir que en la aritmética han ejecutado en el la guardia. diciendo que la minoría de la comisión no se oponía en ningún encerado las operaciones mas complicadas de los números com­ El Sr. S E O A N E : Si acaso la galería no guardase orden, modo al proceso del Sr. A lva re z , y menos en las presentes cir­ plexos y decimales. E11 la geografía han trazado el mapa de Es­ renuncio desde ahora la palabra. cunstancias, asi como lo haría en tiempos de tranquilidad ; pero paña, delineándom…</t>
  </si>
  <si>
    <t>…Quintana se le debe de dar y de la po­ tado vSeoane tiene la palabra en contra de este dictamen. Sr. Presidente del Consejo de Ministros, por el cual S. M. se sesión interina del vinculo reclamado con los frutos y rentas El Sr. S E O A N E : Habia pedido 1a palabra , no para opo­ ha servido señalar la hora de las tres de la tarde del dia 6 del producidas ó que debió producir de:de el fallecimiento del ul­ nerme al dictamen, sino únicamente para responder á varias corriente para recibir ta diputación que ha de cumpliment…</t>
  </si>
  <si>
    <t>…uentra 60 que por raciones diarias que se sacan. preciso ponerlos en una especie de estado de sitio. el método que señala la comisión, se haga efectivo et cupo de Con respecto al número que contaba la fuerza de esa divi­ El Sr. S E O A N E : La diputación provincial de Madrid tu­ muías para la época precisa que las operaciones militares necé«&lt; sión, S. S. podrá verlo cuando guste en este estado. En cuanto vo quejas de los pueblos, relativas al abuso que se hacia en las sitan. . á las raciones que sacaba , S. S. sabe muy…</t>
  </si>
  <si>
    <t>…pro v in ­ terpretar los tratados según le acom oda, ya sacrificando la le­ Asi se acordó. cia , se cita y emplaza por el térm ino de tres dias á D. A n to ­ tra para atenerse al espíritu, ya desentendiéndose de esta para El Sr. S E O A N E : En 15 de Noviembre aprobaron las Cor­ nio R eina, para que se presente en la escribanía principal de observar judáicamente la letra. Ocupándose después de la Espa­ tes una proposición que tuve á bien presentar para .que se re­ Amortización ácargo de D. José Balduque, calle del Lobo, n…</t>
  </si>
  <si>
    <t>…oncluirá .} de la sociedad , sintiendo que la escasez del espacio nos o b li­ Noticias de Oriente— Nuevos detalles de la batalla de gue á presentarlas desn udas, y sin el Ínteres que las presta la N ezib. elegante pluma del Sr. Seoane. L a sociedad cueota en el dia con cuatro escuelas de p á r v u ­ G RA N BRETAÑA. lo s , abierta la primera el 10 de O ctub re últim o en la calle de H é aq u í el resumen de los partes oficiales que h a n llegado A t o c h a , casa que fue del beaterío de S. Jo sé: segunda en la al Gobi…</t>
  </si>
  <si>
    <t>…80: de modo que fin ; no cabiendo en el dia la menor duda de cuán fácil será la sociedad tiene ya medio de recoger, al concluir el primer año hacer echar con m uy pequeños sacrificios individuales hondas diesen las gracias al Sr. Seoane, y que se abriese la suscripción de su existencia , de /¡.00 á 48O niños; resultado superior á las raíces en nuestra patria á este método tan dignamente celebra­ paraElimprimir la memoria. Sr. Presidente leyó un discurso sobre el objeto de esta esperanzas que habian concebido al establecerla…</t>
  </si>
  <si>
    <t>…remitan por el ministerio de Hacienda los documentos al contado: 18-|, | f 18 , f , y l 8 .| i » , f., ó vobs .lü|-, 19, f &gt; J, ra bs aba ndkaaron el ctmoci miento que tenían de estos ¡«icios,, pedidos fio la proposición del Sr. Seoane „ J otro acerca de la | y 19'! i'd* i prima de !„ f y | por lili) con cap o ao . y k»$ «béspos j aroobispos ejercieron esa jurisdicción i b ves dfet Sr., Caballero,, par» que se publiquen ea la Gacela los em­ Inscripciones cm el grao libro á 4 Por LOO, CIO. q » e la inquisteten; j aunque este…</t>
  </si>
  <si>
    <t>…ocumentos que rem itia el Sr, Secretario del Despacho de H a­ ran de ig u a l beneficio los débitos desde dicha época en adelante. hecho que no puede d u d arse; mas es de ad v ertir tam bién que c ie n d a, y pedidos por el Sr. Seoane, relativos á las contratas El Sr. Secretario del Despacho de H A C IE N D A dice que el no habiendo esos medios y necesitándose mas de los que se creen, de las casas de G av iria y Rostchild. p rin cip al argum ento del Sr. B urriel consiste en que en el esta­ la comisión tuvo el disgusto d…</t>
  </si>
  <si>
    <t>…xtraordinarias de crédito, y que lejos de producir te para la prisión y embargo de bienes de un Sr. Diputado. mo en el inio, que lejos de disminuirse crecen con el tiempo; esta facultad ventajas , produce inconvenientes. El Sr. SEOANE pidió se leyera dicho testimonio. pero nada tienen que ver estos con el compromiso en que se Que el crédito de las naciones, como todo el mundo sabe, El Sr. PRESIDENTE dijo que no podía concedérsela por puede poner un Diputado cuando media contra la gratitud lo consiste en la seguridad del p…</t>
  </si>
  <si>
    <t>…al contado, 11 i fr. 9 60 c. franqueza militar que distingue á un general de los honrosos id. tires por i 00 , 79 fr. 45 c. Carta deí general Santacruz al general Mores. Fondos belgas, 5 por 100, 7 2 , 10. antecedentes del Sr. Seoane. [Guardia Nacional.) Deuda activa española , 1 9 | A bordo de la fragata Samará® á la entrada en el golfo de Guayaquil , Marzo 9 de 1859. Segorbe 11 de Julio . Excmo. Sr. general D. Juan José Flórez:: M i amado amí- gn: El desenlace que han tenido maestros negocios era Boli via y Correspon…</t>
  </si>
  <si>
    <t>E l Sr. S E O A N E manifestó que la comisión nombraba en cluyó diciendo que si á p e ^ r de todos estos inconvenientes no mente observa que esta ley de nada servirá porque b o p i ^ . 2 4 de Noviembre para examinar su proposición, y de la que costase el Diario nada , no se opondría á que siguiese; pero qu…</t>
  </si>
  <si>
    <t>…do los fundadores de esta institución M M . W .- H . Suriogar deL eeuw arde, W .-H . W arnsinck, B r., de A m ster- Barcelona 17 de Julio . d a m , y J.-L . Nierstrasz de Rotterdam concibieron el proyecto El Excmo. Sr. general Seoane con una fuerte partida de acordaron someter su plan á la aprobación de S. M, el Rey de mozos de escuadra salió anteayer noche con la fragata de Esta tarde ha revistado el Excmo. Sr. general en gefe á los los Paises-Bajosy solicitando autorización para ejecutarle, la guerra surta en este pu er…</t>
  </si>
  <si>
    <t>…s. Recuerdo el dicho del mismo Sr. Diputado á qu»eo me bilidad á salvar la patria , ha acreditado su lealtad, y que sus El Sr. O LOZAG A: Señores, el Sr. M inistro de Gracia y referí antes, y que manifestaré quién es, el general Seoane, de esfuerzos eran dirigidos á adelantar la guerra ; el resultado es Justicia en esta discusión solemue ha dicho que iba á ser fran ­ que la causa de Isabel t i no tenia costillas para sufrir otra que la adelantó: "os hemos cobrado las contribuciones, les dire­ co , quizás demasiado franco:…</t>
  </si>
  <si>
    <t>Seoane, D. Juan Antonio</t>
  </si>
  <si>
    <t>D. Juan Antonio Seoane</t>
  </si>
  <si>
    <t>…escena la ópera nueva, dividida en tres partes, titulada Sr. marques del Socorro , subdirector. Sr. D. Francisco Hilarión Bravo , censor. I B R IG A N T I, Sr. D. Basilio Castellanos, vice-censor. PROVIDENCIAS JUDICIALES. Sr. D. Juan Antonio Seoane, secretario. poema de Crescini, cuyo asunto está tomado de la famosa tra­ Sr. D. Francisco Bertrand de N a rd , vice-secretario. T O D A S las personas que se crean con derecho á la dimisión gedia de Schiller, que tiene el mismo título, música del maes­ Sr. D. Joaquín Tempra…</t>
  </si>
  <si>
    <t>Seoane, Juan Antonio</t>
  </si>
  <si>
    <t>Juan Antonio Seoane</t>
  </si>
  <si>
    <t>…o general nio Perez González, cura párroco de S. Ginés (reelegidos), Don existentes asciende á '18,946 rs. Por arrendamiento hasta fin del D. Mateo Seoane leyó el acta de la primera junta general de la Diego Fernando Montañés, D. Juan Antonio Seoane, Don año de la calle del Espino se han pagado 700 rs. , y 870 y 10 sociedad celebrada en 15 de Julio del año anterior, la cual fue Onofre Mozo Nevares, cura párroco de S. Ildefonso, marque* maravedís por los gastos precisos para amueblar las escuelas. aprobada. de Falces y D. B…</t>
  </si>
  <si>
    <t>Seoane, Mateo</t>
  </si>
  <si>
    <t>Mateo Seoane</t>
  </si>
  <si>
    <t>…bras hechas para preparar las cuatro Cruz y D. Manuel José Quintana , y el Sr. secretario general nio Perez González, cura párroco de S. Ginés (reelegidos), Don existentes asciende á '18,946 rs. Por arrendamiento hasta fin del D. Mateo Seoane leyó el acta de la primera junta general de la Diego Fernando Montañés, D. Juan Antonio Seoane, Don año de la calle del Espino se han pagado 700 rs. , y 870 y 10 sociedad celebrada en 15 de Julio del año anterior, la cual fue Onofre Mozo Nevares, cura párroco de S. Ildefonso, marque*…</t>
  </si>
  <si>
    <t>Seoanev, Antonio</t>
  </si>
  <si>
    <t>Antonio Seoanev</t>
  </si>
  <si>
    <t>…Juan Bautista Cozzer. mover la mas pronta administraciqn.^éúu^^ (ídO , ; E n t r e g á * d e l fneS d e N O V IE M B R E á á te r io t. / Real decreto nombrándd capitán general de Galicia al maris-j "44.,1, - cal de campo, D. Antonio Seoanev(Núm. 14 *9 9.) . , E n el despachoJd« dicha lm p ren ta se halla d e vem a W Real orden relativa al sistema administrativo de todos los pre­ citada entrega á 3 rs. ^ tanto en 'ram a; eofao e n rástica; C R ÍI? . Á las Séte, ¿fe la nóché. Segunda representacióa sidios del reino. (Id…</t>
  </si>
  <si>
    <t>Sepamos</t>
  </si>
  <si>
    <t>…pectador ; pero la catarata en Ja villa Joñas. EL secretario lee la lista de ios testigos de cargo en núm e­ sación. de LaufFen, como una legua distante de Schaffhau- ro de 155: añádense otros á instancia del procurador general Sepamos lo que esta palabra significa , y si una acusación sen, es muy singular no tanto por su elevación, como por solicitud de varios acusados. de complot no es esencialmente indivisible. El complot es un por la cantidad de agua. El rio tiene en aquel para­ E l Sr. A rago: En nombre de los acusad…</t>
  </si>
  <si>
    <t>Sequeira, Fernando</t>
  </si>
  <si>
    <t>Fernando Sequeira</t>
  </si>
  <si>
    <t>…rto, tres el Ínteres con que miro esta empresa, debo indicar á V. E. que quierdo. Los de esta misma clase D. José María D usm et, Don idem heridos. la autorización dada á las diputaciones de Santander y Palen­ Eusebio Calonge, D. Fernando Sequeira (que se halla reunido León, 2.° ligero , escuadrón de campaña.—Un oficial con­ cia ha sido recibida con aplauso por estos habitantes, que se á esta división hasta incorporarse al cuartel general), asi como tuso. prometen opimos frutos del desprendimiento del Gobierno de los auxilia…</t>
  </si>
  <si>
    <t>Sequera, Antonio</t>
  </si>
  <si>
    <t>Antonio Sequera</t>
  </si>
  <si>
    <t>…ntamiento una , y la otra del ilustrísimo cabildo catedral, secución de las facciones en esta provincia, los que se van pre­ precio al pie de fabrica ó á la cosecha ; y los que juzgue dig­ las que dirigiéndose al Sr. brigadier D. Antonio Sequera le fe­ sentando , y la esperanza que tenemos de que en breve se resta­ nos de exponerse al público lo estarán los ocho dias de 9 á 16 licitaron en términos lacónicos, pero expresivos y afectuosos, blecerá una completa tranquilidad en este pais. e“ bre’ devolviéndose después á sus du…</t>
  </si>
  <si>
    <t>Ser</t>
  </si>
  <si>
    <t>…,3 4 5 Por un escuadrón del 6.° ligero, mandado por su acreditado g a r , con sujeción al art. 9.° de dicha instrucción, excitó el se­ En efectos de la deuda con &gt; Igual. comandante D. León Palacios; en este intermedió el coronel Ser­ ñor vicepresidente a los espectadores á que tomasen ejemplares ínteres............................. 5 . 5 1 6 , 7 4 9 ..1 6 J rano con su pequeña escolta lo hacia por la izquierda con et del suplemento á la Gaceta de 27 de Febrero último que esta­ arrojo qué siempre se ha presentado y dirigido…</t>
  </si>
  <si>
    <t>Ser-, N.</t>
  </si>
  <si>
    <t>N. Ser-</t>
  </si>
  <si>
    <t>…A. R. Senado el cargo de Senador para que ha sido nombrado. uno m ortal mea te, sin pérdida alguna por nuestra parte. 1 10 ha experimentado ningún accidente. Por un feliz acaso no Se acordó pasase al Gobierno una exposición de D. N. Ser-</t>
  </si>
  <si>
    <t>Sera</t>
  </si>
  <si>
    <t>…manifiesta que á pesar de hallarse ocupado en una reparación qtie podrán destinarse para alojamientos, y los sitios en q u e, diencia de Madrid, para una reiatoría vacante en la misma urgente del camino de Málaga el ingeniero D. Sera lia Der- á falta de ellos, se habrán de construir casernas ó barracones por muerte de D. Juan Asensio , á D. Francisco Pellico Pa- gui , que el director general ha puesto á sus órdenes, marchó y que verificado esto y evacuada la conferencia cou la dipi?Li­ ^«igua. con el aparejador D. Ildefon…</t>
  </si>
  <si>
    <t>…mas en la mano , habien­ manifiesto en la presente, y el autor ha tenido bastante en otro caso le parará el perjuicio que haya lugar. do rehusado aprovecharse de la clemencia que hasta este momen­ destreza en dejar al bueno de D. Sera pió en excelente pa­ to les ha ofrecido el perdón. raje para volver á anudar el hilo cuando le parezca. No es posible que dure por mucho tiempo el poder del en­ El mucho espacio que llevamos ya ocupado, y el justo gaño , ni que un corto número de perversos cobardes que hu­ temor de cansar a lo…</t>
  </si>
  <si>
    <t>Seraskier</t>
  </si>
  <si>
    <t>…arzo para disidencia , que podrá serlo, según se ha estip ulad o , S. M . el da por decirlo esi. Llegan correos sin intermisión del cuartel elegir un diputado. El comisario de la hacienda Lueden, arren­ Rey de Prusia. general del Seraskier, y vuelven allá. El ejército del Tauro ha dador de ios dominios de Bellinhausen, ha sido elegido. Los elec­ Nuestras relaciones con Inglaterra co ntinúan, como siempre, hecho y a un movimiento hacia adelante. Todo depende ahera tores del principado de Grabenhsgen se han negado á proceder…</t>
  </si>
  <si>
    <t>Sercey</t>
  </si>
  <si>
    <t>…s m inistros á sala distin­ Un periódico de nuestra ciudad se ha equivocado ai anun­ caballos en Beceite, Valderrobles y otros pueblos de la falda de ta de la de su asignación, el regente deberá m anifestarlo ciar que el conde de Sercey ,nuestro embajador en Persia, se ha los puertos. asi al G o b iern o para que S. M. con conocim iento de causa embarcado el jueves último en nuestro puerto. Mr. de Sercey Los puntos que la facción ocupa, Ginebrosa y la Iglesuela acuerde la traslación. ha marchado hoy á Tolon con toda su famil…</t>
  </si>
  <si>
    <t>…pleados. La junta oyó con la roca de Vento, Mr. Avery , murió pleiteando con la comi­ las mayores muestras de satisfacción el sucinto relato de las ta­ sión porque no se consideraba satisfecho de sus cuentas. Los de El conde de Sercey, primer secretario de la embajada de reas honrosas de los señores informantes, de las que los voca­ víveres no quisieron continuar en sus contratas, y buscaron quien Francia en S. Petersburgo, acaba de llegar á Paris. (id.) les, como el público todo, habían sido testigos fieles; y pene­ los r…</t>
  </si>
  <si>
    <t>…orios Si 110 nos han eugañado , la elección para llenar tan im por­ ha causado poca sorpresa ver que el Gobierno toma medidas de los individuos presos en las asonadas. La ciudad está ahora tante encargo debe recaer en el conde de Sercey, primer sec» e- para que este artículo pague los derechos que realmente debe tranquila. tario de la embajada de Francia en R usia, y que ha desempe-</t>
  </si>
  <si>
    <t>Serecy</t>
  </si>
  <si>
    <t>…cante la pérdida biese roto, loque im pidió que los caballos continuasen su fo­ de nuestras tropas. gosa carrera , todos ios que iban en el carruaje hubieran estado Escriben de Marsella el 24 de O ctubre: expuestos. El conde de Serecy, nombrado embajador del R ey de los Lord Brougham , temeroso de que rumores falsos pudieran franceses en P ersia, ha llegado ayer á nuestra ciudad , y se ha inquietar á su fam ilia y á sus am igos, se apresuró á escribir alojado en la fonda de los Príncipes. Y a hemos anunciado la lle­ par…</t>
  </si>
  <si>
    <t>Sereix, D. Domingo Fontan. Sr. D. Antonio</t>
  </si>
  <si>
    <t>D. Domingo Fontan. Sr. D. Antonio Sereix</t>
  </si>
  <si>
    <t>…lecto. Sr. D. Francisco Javier Rodríguez de Vera* Granada. Pontevedra. Alicante • Sr. D. Miguel de Roda. Sr. D. José Guillen. Sr. D. Diego López Ballesteros. Sr. D. Ignacio Puigmoltó. Sr. D. Francisco Martinez de la Rosa* Sr. D. Domingo Fontan. Sr. D. Antonio Sereix. Sr. D. Francisco Egaña, electo. Sr. D. Juan José Cadaval. Sr. D. Jorge Gisbert. Sr. D. Francisco de Paula Castro. Sr. marques de Villagarcía. Sr. D . Manuel Franco, electo. Sr. D. Manuel de Seijas Lozano. Sr. D. Pedro María Fernandez Villaverde. Sr. D. J…</t>
  </si>
  <si>
    <t>Sergio</t>
  </si>
  <si>
    <t>…a comunicación de Y. S. de 8 del corriente mes, que se hallaban en el partido de Almazara dispuso que saliese en la que con referencia al intendente m ilitar de Aragón m a­ en su persecución el alférez de este escuadrón franco D. Sergio nifiesta los esfuerzos hechos por el de la provincia de Huesca Jiménez con 10 caballos, ei que estaba esta mañana en M uriel Hoy sábado 2 á las once de la noche se verificará el octavo para socorrer al ejército, ha tenido á bien mandar que se re­ de la Fuente. baile en el magnífico y suntuoso…</t>
  </si>
  <si>
    <t>Serralde, Miguel</t>
  </si>
  <si>
    <t>Miguel Serralde</t>
  </si>
  <si>
    <t>…tración de fuerzas, de que parece se ocupan actualmente los Aroste^ui , D. Alfonso R u iz, D. Tomas María Z anon , Don BIB LIO G R A FIA . enemigos hacia el extremo izquierdo de la línea de nuestro ejér­ Luis Martínez Leganés, D. Miguel Serralde, D. Lorenzo Me­ cito del N orte, alguna gente castellana en fuerza de dos ó tres lero, D. Lorenzo Sancho y D. José Golovardas, quienes decla­ E L ca B UEN T O N O . Periódico de artes y oficios que se publi­ batallones, incluyéndose en ellos cerca de unos 60Ó hombres raron por unanim…</t>
  </si>
  <si>
    <t>SERRANO</t>
  </si>
  <si>
    <t>…pequeños rales, D. Vicente Llopis, canónigo de e¿ta metropolitana , con­ dos de su ramo. r territorios en que los dos tercios de nuestros soldados se halla­ des de Parcent, de Casal y de Castellá, Isidro Comes , barón dt El Sr. S E R R A N O anuncia otra al Sr. Ministro de la G uer­ ban enfermos, y donde carecían las tropas de los objetos de Andilla, y D. Viceute Ferrer, por diferentes artículos ó varie­ ra para que manifieste las medidas que ha tomado para refor­ primera necesidad y de las medicinas necesarias. Ha llama…</t>
  </si>
  <si>
    <t>Serrano</t>
  </si>
  <si>
    <t>…general segundo cabo de Cataluña á los dignos milita­ Corral, y coger un desertor de la quinta de Fontanosas. ed ad, debe ser como ella grandiosa y atrevida, filosófica res inutilizados en campana. La séptima columna (comandante Serrano) ha dado muerte y moral. Nosotros no queremos el dr a m a de Alejandro Du- á cuatro facciosos, cogiendo sus armas y un caballo. ¡Soldados de la patria y de S. M. ! Cumpliendo con las be­ La partida volante de Almodovar del C a m p o, su coman­ mas lleno de m áxim as desconsoladoras y de id…</t>
  </si>
  <si>
    <t>…ares , del Rey Artur de In gla­ réis como soldados y como buenos españoles; merecereis bien Se han cogido los desertores siguientes: Por la 7.a columna de la p a tr ia , y las bendiciones de esta dócil provincia, cuya (comandante Serrano) Domingo Perez, natural de Huelva; por te r r a , de Bernardo del Carpió y del Cid Campeador; total pacificación os queda encomendada bajo la inmediata d i ­ los movilizados de M o ra, Valentín Macho, de V illafria, pro­ A unque los hechos y las aventuras sean por la m ayor par­ rección del…</t>
  </si>
  <si>
    <t>…es al corona por su órgano compuesto de personas que debieron aban­ ñores Caneja , conde de Ezpeleta y marques de Falces,fue apro­ Gobierno. donar sus destinos desde el momento en que vieron el resulta­ bado el dictámen. El Sr. S E R R A N O : Ya sabia yo, señores, que las precau­ do de las elecciones. Esto es lo que debieron h a cer, y en no Entró á jurar el Sr. A rteta, Senador por Albacete, y fue ciones tomadas ayer 110 \enian del Ministro de la G u erra, me hacerlo parece que no quieren que rija este sistema. agregad…</t>
  </si>
  <si>
    <t>Serrano, Doña Rosario</t>
  </si>
  <si>
    <t>Doña Rosario Serrano</t>
  </si>
  <si>
    <t>…ia de la fuerza de 2500 plazas. ra el sorteo y asistencia de cuatro 67. Un pañuelo bordado en una bandeja de cristal, á la S. M., que se presentó en carretela, se dignó recor­individuos de loterías.. . . . . . . . . . . 178 Sra. Doña Rosario Serrano. rerla por dos veces, examinándola muy detenidamente. El Por el refresco para los señores que 1 1 0 . Una banqueta de terciopelo bordado, al Excmo. señor cantaron en el concierto. .......... 586 D. José de Isla, Senador por la provincia de Santander. Sr. Ministro de la Guerra…</t>
  </si>
  <si>
    <t>Serrano, Luis</t>
  </si>
  <si>
    <t>Luis Serrano</t>
  </si>
  <si>
    <t>…s que mientra* vemos otro* establecimientos De ingles el Sr. Olivan. lumna que opera en ei valle del Tietar á las órdenes del coman­ nacer y morir casi en un punto, y algunos vivir pero cou una De geografía el Sr. Fabre. dante D. Luis Serrano , tuvo noticia como eu el pueblo de Fres- vida valetudinaria y achacosa , el nuestro se alimenta , pros­ De árabe el Sr. Berinudez. nadilla se hallaba el cabecilla Navarro el dia 27 con 4 O hom­ pera y promete una larga y robusta virilidad. De economía política el Sr. Valle. bres monta…</t>
  </si>
  <si>
    <t>…ra de gadas y escasos medios, con el objeto de animar el espíritu Que en otro choque que tuvo el comandante de la séptima C o s.= S r. gefe político de...... público á hacer mayores esfuerzos para un objeto tan im por­ columna D. Luis Serrano dió muerte á tres facciosos. Y últimamente, que en dos entradas en la sierra verificadas tante para aquella provincia. recientemente por la tercera columna al mando de D. José P á ­ Fuente de Almaraz. ramo se han quemado al enemigo dos campamentos, salvando PARTE RECIBIDO EN LA SECR…</t>
  </si>
  <si>
    <t>Seuador</t>
  </si>
  <si>
    <t>…ón, ha de establecer sus facultades, ficacion de las dignidades, colegiatas y párrocos de la diócesis de y ha de fijar también el modo de ejercerlas, y las cualidades Sesión del dia 25 de Octubre. Jaén; y no habiendo ningún Sr. Seuador que pidiese la pala­ que deben tener los individuos que compongan ese mismo tribu­ bra en contra , fueron aprobados sin discusión los tres artículos nal. ¿Y este requisito esencial, este requisito constitucional, se Se abrió á la una y cuarto, y leida el acta de la anterior que contiene di…</t>
  </si>
  <si>
    <t>Seutiel</t>
  </si>
  <si>
    <t>…paz de sus mismas fam ilias, condenó la el dúo del Es sale di Roma con el placer que le causa siempre Sargento segundo Dámaso G arcía, cabo primero Pablo B i- inocencia , alabó el crimen , profanó la reügioa santa de nues­ el Sr. Seutiel, y el cariñoso entusiasmo con que halaga y pre­ gio, y soldados Francisco Baena y Manuel P ay , cruz de Isa­ tros padres, vendió su patria por el oro , y que por fin ha mia la aplicación y el mérito de su compatriota la Sra. M ar­ bel rr. sido el ludibrio y escarnio de los mismos que le adul…</t>
  </si>
  <si>
    <t>Seutiel, Carlos</t>
  </si>
  <si>
    <t>Carlos Seutiel</t>
  </si>
  <si>
    <t>…o esto una Doña Manuela Garcés y Doña Antonia Berneau de Montene­ mismo, D. Manfredo Lauti, empleo de teniente de infantería. farsa ridicula, pues por la relación que acabo de hacer es con­ gro , con los socios D. Jaime Sales, D. Carlos Seutiel, y resto Comandante graduado, capitán de infantería agregado al es­ siguiente que este ahogamiento, pena merecida pero inusitada, de la sección de música. Con tino y acierto fue cantado tam ­ tado m ayor, D. Eusebio Calonge , empleo de mayor de ba­ ha sido inventado y dispuesto por la…</t>
  </si>
  <si>
    <t>Severiano, Agustín</t>
  </si>
  <si>
    <t>Agustín Severiano</t>
  </si>
  <si>
    <t>…el Co­ yo que no habria estado de mas , que en vez de decir que “ para Cádiz. llado ofrecerán quizás alguna resistencia con el ánimo de sa­ alentar y fomentar el entusiasmo &amp;c.” , hubiera dicho:que pa­ El Sr. FE R N A N D E Z (D. Agustín Severiano): Señores: car alguna ventaja por medio de una capitulación ,que en nues­ ra hacer justicia á los hombres que tan bien merecieron de la siendo los Milicianos nacionales de Madrid compañeros en las tra opiuion debe ser desoída ; pero serán nuestros en breve. patria en aquella época…</t>
  </si>
  <si>
    <t>Sevilla</t>
  </si>
  <si>
    <t>…que yo les he señalado, y El Sr. B R A V O M U R IL L O continuando. Y o me concre­ que no podia menos de pedir se hiciera una declaración del voto del mismo modo me han dejado sumamente complacido en to­ tare corno Diputado de Sevilla á manifestar á la nación ente­ de censura contra el acto del arresto del Sr. Diputado Alvarez das las demas clases. ra , que todo cuanto se ha dicho contra el conde de Cleonard en por no estar el hecho justificado como debiera. 4 a Prevenido yo por otros exámenes de que los maestros desemp…</t>
  </si>
  <si>
    <t>Sevilla, España.</t>
  </si>
  <si>
    <t>España. Sevilla</t>
  </si>
  <si>
    <t>…e en el Consiitniiontiellz NOTICIAS NACIONALES. tinado á ponerlo en un medallón que S. M . llevará al pecho. Las cartas de la frontera, publicadas por el Moniteur, c o n ­ (fiera id .) firman la noticia de la muerte del conde de España. Sevilla 10 de Noviembre, M E JO R AS P U B LIC A S EN E L G U A D A L Q U I V I R . . An tea yer han recorrido algunos barrios de Lóndres d iv e r ­ Escriben de S. Petersburgo co n fecha 2 de N o v ie m b r e que sos grupos de ca rlis tas, dis trib uyendo con p r ofu sión unas cir ­ el nav…</t>
  </si>
  <si>
    <t>Sevillano, Miguel Soriano</t>
  </si>
  <si>
    <t>Miguel Soriano Sevillano</t>
  </si>
  <si>
    <t>…o - viembre de 1839.=E1 Subsecretario, Ju an Felipe Marti- pectivas audiencias , para la proraotoría fiscal del juzgado de vestins, que ejercía el mismo cargo en el año de 1833, y nez.=3r. gefe político de Guadalajara. Yecla á D. Miguel Soriano Sevillano , y para la de Villalou á permaneció en Madrid hasta el de 1836. D. José Redondo. Del mismo modo la augusta Reina Gobernadora ha dispuesto acreditar también como encargado de Negocios EXPOSICION A S. M. LA REINA GOBERNADORA. de su excelsa Hija la Reina Doña Isabel n en la…</t>
  </si>
  <si>
    <t>Seward</t>
  </si>
  <si>
    <t>…s pagos, entre ellos el banco bre las diferentes tierras de aquellos parajes, y se ha reconoci­ moso cielo para formarse una idea de él. Las inmediaciones de de Georgia. do que las referidas capas eran las mas ricas. El general Seward , gobernador de N ueva-Y ork , habia d i­ Argel tan pintorescas, tan ricas en sitios deliciosos, están to­ Como en estos sitios se carece de a g u a , no es posible traba­ das verdes; los árboles se hallan cubiertos de hojas y la tierra rigido al cuerpo legislativo de aquel Estado un mensaj…</t>
  </si>
  <si>
    <t>Señeriz</t>
  </si>
  <si>
    <t>…s d a to s , no vemos dificultad eri é ^ u e ^ á l 'Y é p r é s é ñ ta r la mirada del santo dirigida al cielo, su ­ para ser clasificados, si lo desean, o en caso contrario pasar al que la pequeña obra , én su volúrnen, del Sr. Señeriz llegue p o él ’piiitor' nó abandonar la expresión vigorosa y valiente dé pu n to que jes convenga de los ocupados por nuestras tropas. traducida en los idiomas europeos á todos los gabinetes, éxcité u n ^ u e rr é ró y dé úh príncipe' g o d o : un boceto de la muerte Los sargentos, cabos,…</t>
  </si>
  <si>
    <t>SEÑOR, EL</t>
  </si>
  <si>
    <t>EL SEÑOR</t>
  </si>
  <si>
    <t>…amente la identidad de moria del Sr. Meudizabal , al llegar al punto de contribuciones principios y de intereses. L a Cám ara espera con confianza el tuvo que mirarlo con detención. Por todas estas consideraciones PRESIDENCIA D EL SEÑOR I STURIZ. éxito de las negociaciones. la comisión no cree que está en el caso de derribar la base de la Nos anunciáis, Señor, que las tropas austríacas han salido recaudación. Sesión del dia 3 1 de Enero de 1 8 5 9 . «le la R om anía, y que las nuestras han evacuado á Ancona. La El Sr.…</t>
  </si>
  <si>
    <t>…adrid 5 de Enero de 1839. SENADO. pero que no dice que la renta sea de bienes propios, y en otra parte de la misma ley se expresa que los bienes de la muger Intendencia militar del distrito de Castilla la Nueva . PRESIDEN CIA D EL SEÑOR M O S C O S O D E A L T A M IR A aprovechen al marido y los de los hijos al padre, por cuya ra­ zón teniendo el Sr. Laborda, ademas de la cantidad que se ex­ Por Real orden de 29 de Diciembre último se ha servi­ Sesión del dia 9 de Enero . presa en la escritura, una pensión de 409 rs. que…</t>
  </si>
  <si>
    <t>Señora, José de San Millan.</t>
  </si>
  <si>
    <t>José de San Millan. Señora</t>
  </si>
  <si>
    <t>…réis lo necesario El. Quevedo,=Blas Mora.=Agapito Pallaré* y López, secretario. guel haya regresado á la Servia. (Observador Austríaco.) para su cumplimiento.=Rubricado de la Real m ano.=En Palacio á 15 de Noviembre de 1839.=A D. José de San Millan. Señora : El ayuntamiento constitucional del Iofie&amp;to en As­ AUSTRIA. turias faltaria á sus patrióticos sentimientos si no se acercase al EXPOSICIONES A S. M. LA REINA GOBERNADORA. ¡olio de V. M. á darla el parabién por los felices sucesos de nues- Viena 29 de Octubre. ;ras ar…</t>
  </si>
  <si>
    <t>Señora, León</t>
  </si>
  <si>
    <t>León Señora</t>
  </si>
  <si>
    <t>…o de mi mando, ó buscaria asilo en el vecino reino de nio casi unánime de cuantos inteligentes la reconocieron, Francia. y recibidos también los cigarros que con ella se elabora­ Desde Oscoz participé á V. E. que unido al general León Señora: El director general de artillería por sí y á nombre ron con bastante aceptación pública; si se obtiene que penetraría en tres columaas por el valle de Ulzama para seguir de los generales, gefes, oficiales é individuos del ministerio de aquella sea esmerada y hermosa, no parece dudoso qu…</t>
  </si>
  <si>
    <t>Señora, Olózaga.</t>
  </si>
  <si>
    <t>Olózaga. Señora</t>
  </si>
  <si>
    <t>…aprendiz aje de mi proíesion en un tribunal superior donde está todavía. Sea dicho esto de paso al cargo que env olv ían las terminaban los pleitos de los vizcaínos, y he tenido precisión expresiones, suaves al parecer, del Sr. Olózaga. Señora: La diputación provincial de Lérida ofrece á los de enterarme de ellos; ¿ p e r o es tiempo de entrar ahora en R. P. de V . M. el testimonio de su acendrada lealtad, con mo­ detalles? N o ; mas por lo dicho hasta ahora queda comple­ Ha manifestado S. S. que el proyecto que se di…</t>
  </si>
  <si>
    <t>Señores</t>
  </si>
  <si>
    <t>…que por cuenta de este se imprimiesen y gros, logrando burlarse del tribunal que debia juzgarle con el publicasen á coste y coitas manuales de ciencias y artes indus­ apoyo de unos 4® que consiguió reunir. Atribuyese al capitán Señores: Es un fenómeno verdaderamente digno de aten­ tríale*, escritos ó traducidos por «óeio* del Ateneo, sin perjui­ general de esta Isla sir Lionel Smith mucha indiferencia y aun ción, que en tiempos de agitaciones y de guerras civilei como cio de reimprimir los que haya en nuestro idioma , con…</t>
  </si>
  <si>
    <t>…onvenio celebrado en V erg ara en 51 de Cerbelló , L il lo , V erd ug o , Sr. Presidente. mente en el art. 1.° dé la enmienda. El general E s p a r t e r o , se­ Agosto del presente a n o , entre el ilustre cap itan general duque Señores que dijeron sí: R uiz del Arbol , M a d o z , R odríguez ño res, publicó pocos dias antes de los sucesos de V erg ara una la Victoria y el teniente general D. Rafael M a r o t o , respetan­ L e a l , C a m p u z a n o , A yllon , Fernandez , M e n d iz a b a l, S u rrá y proclama m u y notab…</t>
  </si>
  <si>
    <t>…comisión, y á quien le basta solo el convenci­ miento m oral, se adhiera al dictámen que la comisión presenta. Señora: Los que suscribimos, intendente y gefes de rentas El teniente general sir Ricardo Dowenes-Jackson , coronel Señores, no es posible que haya solo por parte de la comisión nacionales de vuestra provincia de Jaén , dirigimos nuestra voz del 8i.° de infantería , ha sido nombrado comandante general convencimiento; hay hechos y pruebas legales y materiales que á la augusta persona de V. M . , llenos del entus…</t>
  </si>
  <si>
    <t>Señores, Alvarez.</t>
  </si>
  <si>
    <t>Alvarez. Señores</t>
  </si>
  <si>
    <t>…procede á la dis­ J u a n Quintana es el único interesado que se apersono y probo cusión del dictamen de la mayoría de la comisión sobre la pri­ « i bastante forma su libación y entronque con el ultimo po­ sión del Sr. Diputado Alvarez. Señores, este es el tercer dia seedor y fundadora in sinuada, hallándose con aquel en sépti­ CONGRESO DE DIPUTAD O S. que se ocupa ei Congreso de este negocio. En los dos anterio­ mo grado civil de parentesco: 2 ° Que en la adjudicación p eri­ res el Congreso es buen testigo de cómo se ha…</t>
  </si>
  <si>
    <t>Señores, Diputado Alvarez.</t>
  </si>
  <si>
    <t>Diputado Alvarez. Señores</t>
  </si>
  <si>
    <t>…i a : se procede á la dis­ J u a n Quintana es el único interesado que se apersono y probo cusión del dictamen de la mayoría de la comisión sobre la pri­ « i bastante forma su libación y entronque con el ultimo po­ sión del Sr. Diputado Alvarez. Señores, este es el tercer dia seedor y fundadora in sinuada, hallándose con aquel en sépti­ CONGRESO DE DIPUTAD O S. que se ocupa ei Congreso de este negocio. En los dos anterio­ mo grado civil de parentesco: 2 ° Que en la adjudicación p eri­ res el Congreso es buen testigo de c…</t>
  </si>
  <si>
    <t>Señores, Francisco López de Olavarrieta.zrMuy</t>
  </si>
  <si>
    <t>Francisco López de Olavarrieta.zrMuy Señores</t>
  </si>
  <si>
    <t>…definir. mediante haber sido aprobada por el Congreso el acta de segun­ das elecciones. Señores de la comisión del Ateneo de Madrid D. José Es­ CAPITULO XI. Otro de la misma comisión , en que es de parecer se admi­ cario y D. Francisco López de Olavarrieta.zrMuy Señores míos: M is aversiones. ta en el Congreso á D. Joaquín Francisco Campuzano , electo He recibido con distinguido aprecio la comunicación que Diputado por la provincia de Sevilla. V. SS. han tenido la bondad de dirigirme , agradeciendo como Huia de los ton…</t>
  </si>
  <si>
    <t>Señores, Mendizabal.</t>
  </si>
  <si>
    <t>Mendizabal. Señores</t>
  </si>
  <si>
    <t>…epar al Gobierno porque ahora los enlaza con ella ? Pues diendo evitar ese cargo ha tratado de hacerle recaer sobre n;í. so á la au gusta Reina Gobernadora. Después de las felicitacio­ este es un cargo que yo vuelvo sobre el Sr. Mendizabal. Señores, Y o no me propongo retirar mi enmienda ; quiero que siga nes á S. M ,, después de los elogios debidos al ilustre general en las crisis de las naciones son como las enfermedades del cuerpo su suerte , y desde ahora pido que la votación sea nominal. ge fe que tanta parte ha tenid…</t>
  </si>
  <si>
    <t>SGPEl</t>
  </si>
  <si>
    <t>…e de 1859.:=: Diferida antigua 6 para coj&gt;, cimiento y satisfacción de los habitantes de la misma. Antonio Barata.—Félix D ’Olhaberriague y Blanco.—Pedro Sainz Tres por 100 portugués , 22^» Lugo 2 de Diciembre de 1859.—P. A. D. S. G. P. El intenden­ de Baranda.—Alejandro López =:Luis Sorela,—Aarnon Soriano y te José Valladares.—For acuerdo de S. S. Nicolás de Castro, se­ Pelayo. — Dámaso Aparicio. = Joaquin de Fagoaga.—José Cano cretario. Sainz.zrJosé II. Arche. Se lee esta tarde en el M onitor parisiense : Acaba de es…</t>
  </si>
  <si>
    <t>Sha</t>
  </si>
  <si>
    <t>…relativo á la residencia de los obispos y arzobispos. de S. M. á sir Roberto Peel. En su consecuencia se envi ó á l l a ­ por medio de despachos tel egráfi cos, deben verificarse var i as Ant es de íeer e el i nf orme el conde Sha f t es bu r d i r i gi ó m a r á este, y en la entrevi sta que t uvo con la R e i n a , S. M. prisiones mas ó menos i mpor tant es en el momento en qu e es­ en voz baja a l gu na s palabras á Lord M e l b o u r n e , qui e n después le mani festó sin reserva su senti mi ento por la m u d a n z…</t>
  </si>
  <si>
    <t>Sheily</t>
  </si>
  <si>
    <t>…ige á Figueroles, por donde ha de ve­ mente se desordenaron abandonando el resto de las posiciones y rificarse el paso, es demasiado á propósito al intento, nó lo rea­ el bloqueo. Mientras este ataque tenia lugar , el brigadier Sheily lizaron , con admiración de los que conocen su modo dé hacer con el grueso de la caballería, que desgraciadamente me era la guerra ; circunstancia que prueba lo bien escarmentados que inútil en aquel áspero y difícil terreno, maniobraba sobre el habían quedado el dia antes. flanco izquierd…</t>
  </si>
  <si>
    <t>Shelly, Ricardo</t>
  </si>
  <si>
    <t>Ricardo Shelly</t>
  </si>
  <si>
    <t>…v ie r A zp iro z, la provisional del ldé su nombre para todos los portugueses, ha sido día ú e torneo. brigadier D. Isidoro H o y o s, y la de caballería con su coman­ gala. (D iario do Governo.) dante general el brigadier D. Ricardo Shelly, El Couríer desmiente formalmente la noticia que ha circ u ­ Con estas fuerzas he emprendido la toma de los fuertes de lado estos dias de que el navio de línea el V a n g u a rd ha side T a les, que consisten en un castillo y dos torreones antiguos, echado á pique por la escuadra ot…</t>
  </si>
  <si>
    <t>Shrew</t>
  </si>
  <si>
    <t>…o con un puñado de va­ Escriben de Roma el 9 de A bril: po en árabe y en inglés. Según las últimas cartas de M. N i­ lientes atravesando toda la provincia, pasando el Ebro por M e- Lady M ary-A lathea-1 albot, hija del conde de Shrew a- colayson , este celoso misionero habia ya predicado durante quinenza y tocando casi la línea del Aragón para lanzarse en Lury, acaba de casarse en esta ciudad con el Príncipe Cárlos mas de cuatro meses, en estas tres lenguas todos los domingos, un pais todo enemigo, rechazando á este que l…</t>
  </si>
  <si>
    <t>Si, Bachiller.</t>
  </si>
  <si>
    <t>Bachiller. Si</t>
  </si>
  <si>
    <t>…r. Iradier. de los varios afectos, dando reglas particulares para el acierto Acompaña á la canción una preciosa estampa alusiva, in­ ventada y litografiada por el joven artista D. Juan Perez Y i- lltacnil, y estampada por el Sr. Bachiller. Si continúa como ha LA ESPERANZA, en ella ; y en el tercero , después de probarse las excelencias de la música con argumentos fundados eu razón y en autoridad se reducen sus principales usos á cuatro, considerándola d - d ¿ empezado el Album filarmónico , no dudamos en prometerle P E R…</t>
  </si>
  <si>
    <t>Si, Francisco de Leou.</t>
  </si>
  <si>
    <t>Francisco de Leou. Si</t>
  </si>
  <si>
    <t>…conforme á las sanas doc­ , al acto de los exámenes. También preguntó á la clase el profe­ laliciaparnacional, institución protectora de los fueros populares á trinas del cristianismo.” Nosotros afirmamos que no podia ca­ sor D. Francisco de Leou. Si tas niñas dieron pruebas de inge­ por las que del orden público, masque otra alg una, lastimada lificarse corno contraria á las máximas del Evangelio una guer^ vicisitudes de estos últimos tiempos, y por tantas cir­ ra en que los cristianos defendían su independencia . sus bie…</t>
  </si>
  <si>
    <t>Si, Juana.</t>
  </si>
  <si>
    <t>Juana. Si</t>
  </si>
  <si>
    <t>…e d ro ... que le ofrece su esposo para conservarle , y la precipitación Que no esperaba consejos D. Pedro . . . . ¿Que no me acerque? ' con que le arranca de sus manos Doña Ju an a , resolviéndose á Del labio de un militar. Doña Juana. Si uuoveis la p lanta, beber el veneno antes que consentir manche D . Pedro su pure­ D . G utierre.. P erd ón , señor; que yo solo Primero que caer en vuestras m anos, za , ofrecen situaciones grandiosas, y una nobleza y elevación A fuer de noble y leal, En pos de Enriqué saltaré á la plaza.…</t>
  </si>
  <si>
    <t>Si, Mon.</t>
  </si>
  <si>
    <t>Mon. Si</t>
  </si>
  <si>
    <t>…ue ahora se proponia mejoraba en mi opinión la actual tro , porque al fin hombre e r a , y podia tenerlos, pasó á de­ sólidas, defender á mi nación de esta inculpación tan in justa, que tenemos y la anterior que ha citado el Sr. Mon. Si por­ mostrar el objeto del establecimiento de la c a ja , diciendo al fin y hacer ver á los individuos de la comisión y á todos los de­ que una cosa no es nueva no pudiésemos perfeccionarla, excu­ que aunque no fuese para restablecer el crédito de una vez, mas Sres. D iputados que nada se…</t>
  </si>
  <si>
    <t>Si, Pedro.</t>
  </si>
  <si>
    <t>Pedro. Si</t>
  </si>
  <si>
    <t>…do L&gt;, Antonio, la incomparable Doña Agustina , y que establece de continuo, ó refutar las falsas doctrinas que sien­ que al espirar el siglo pasado y comenzar el actual tenian el hombre de bien y se v e r o , el grave y rudo D. Pedro. Si ta en varios puntos de su obra. Los hombres de todos los par­ infestada nuestra escena de comedias pésimas y de peor á esto se agrega aquel dialogo tan fácil, aquella prosa que tidos no tendrán segur?.meóte tnas que una sola voz para repe­ moralidad, para valuar dignamente el importante…</t>
  </si>
  <si>
    <t>Sibiy</t>
  </si>
  <si>
    <t>…alle constantemente precavido del peligroso contacto talivet, y que antes habia sido presentado en la Cámara de los Subdelegacion de Rentas. c el o tro , y jamas pueda ni siquiera verle por temor de recono­ Lores por el teniente Sibiy. M r Guillot da también la descrip­ ce! le ó de ser de él reconocido, después de salir de la cárcel, ni ción de una cárcel con paseos en galerías, probando con su Por providencia del Sr. intendente subdelegado de Rentas hablarle , siquiera por señas, no sea que se establezcan entre larga exper…</t>
  </si>
  <si>
    <t>Sicilia, José</t>
  </si>
  <si>
    <t>José Sicilia</t>
  </si>
  <si>
    <t>…prósperos cuanto inesperados sucesos Cruz de Tenerife que deja. m ayor'enem iga, presentaron la escena mas gloriosa, procla­ que han tenido lugar en las provincias del Norte de esta Pe­ También se ha servido S. M. mandar que D. José Sicilia mando á una sola voz todos la excelsa Isabel 11, Constitu­ nínsula. Meca, que desempeña el juzgado de Tarragona, de término, y ción de 1837, y regencia de V . M .; á vista de lo cual que Esta corporación faltaría á uno de sus mas sagrados de­ tiene solicitada su traslación á otro juzg…</t>
  </si>
  <si>
    <t>…ento de destruir definitivamente los entorpecimientos Accediendo S. M. la Reina Gobernadora á una instancia Art. 4.° El presidente de la dirección general de E s­ y dificultades que se opongan á la pronta conclusión de las de D. José Sicilia, que desempeña el juzgado de término de L é­ tudios lo será tam bién de esta sección para los negocios de obras de su cargo. Es cuanto hasta hoy puedo decir á Y. E. rida, se ha dignado nombrarle para el de primera instancia de q u e habla el artículo an te rio r, y por su conducto s e l…</t>
  </si>
  <si>
    <t>SID, PRE</t>
  </si>
  <si>
    <t>PRE SID</t>
  </si>
  <si>
    <t>…e , y 1 cada uno de ios Sres. T em ­ deja de ser necesaria en circunsta ncias tan críticas y compro­ p rado, V iad e ra, Carabantes, y Royo. metidas como las presentes, y mucho mas cuando queda des­ MADRID 3 DE OCTUBRE. El Sr. PRE SID E N TE ; Abrese la discusión del asunto de pués el Gobierno con la obligación de presentar á las Cortes lo fueros de las provincias Vascongadas y de N av arra. que haya resuelto, obligación que le hará proceder, aunque P etic io n e s q u e q u e d a r o n p e n d ie n te s e n la an te rio…</t>
  </si>
  <si>
    <t>…lla está ausente de aquella s illa , por causas que no son del r i a , y resolvió negativam ente. C a rre ta s, frente á C orreos, tieuda del tasador Gaseo* momento, interinam ente correspondía la facultad de nombrar go ­ El Sr. PRE SID E N TE suspendió esta d iscu sió n , quedando bernador á su obispo, recayendo la elección en un sugeto d ig ­ en el uso de la palabra el Sr. A rg u e lle s , y levantó la sesión á no. Esta persona resistió la denuncia del cabildo de ia iglesia las seis menos cu arto . s u fra g á n e a , y…</t>
  </si>
  <si>
    <t>…puede haber entre el arren­ datario , el colono y el propietario; y el mismo Sr. Puche ha g u e r r a , ú 8 0 , ó los que fuesen: 147 millones fue la cantidad conocido'la razón que ha tenido para ello, porque ha dicho: El Sr. PRE SID E N TE observó que el Congreso no podía que se presupuso por la anticipación y por el abono del diezmo, no ha tocado esto porque era imposible , y ha dejado la cues­ deliberar nada mientras que el Sr. Diputado no lo hiciese ofi­ y esto último entró á compouer parte de los 605 millones que ti…</t>
  </si>
  <si>
    <t>…utia que ITévarla á otro mas elevado. El Sr. M inistro de la Gobernación usó en esto de su dere­ luego declaró ser D. Diego M artínez de la R osa, con quien cho, y al usar de él hizo m uy justamente una especie de in ­ El Sr. PRE SID E N TE (con viveza y e n e r g ía ): Perdone espuesde varias conferencias con la dirección se hizo una con­ culpación á la mesa porque no habia contenido al Sr. interpe­ Y . S ., que no la sacará de ese terreno , no la sacará. trata m uy razonable. En este estado de cosas, se presentó C a­…</t>
  </si>
  <si>
    <t>…dente, que con tanto tino ha sabido manejar El Sr. conde de Ezpeleta hizo varias aclaraciones. incomodará de n ingún modo á los habitantes de aquellos paí­ este negocio. Es menester hacerle justicia ; este tiene mas títu ­ El Sr. PRE SID E N TE anunció q u e , atendiendo á que no ses. Tampoco creo que pudiera ser ocasión de disgusto el que los que n ad ie , y él es el solo juez competente de e^ta materia. podía terminarse la sesioo en este dia , y mediante á no estable­ hubierau de nombrarse las diputaciones en Ja manera qu…</t>
  </si>
  <si>
    <t>…able con respecto á los pe­ la provincia de su mando. La comisión era de dictamen que se relativos á las elecciones de Albacete y Huesca. riódicos se requiere: tuviese presente para cuando se hiciese reforma en el regla­ El Sr. PRE SID E N TE anunció que mañana después del des­ 1.° Estar en ei ejercicio de los derechos c iv ile s, con casa mento. pacho ordinario se procedería á la discusión de los asuntos que abierta en el pueblo en que se publique el periódico. j En seguida se procedió á la discusión de los dictámenes d…</t>
  </si>
  <si>
    <t>Sierra, D. José María</t>
  </si>
  <si>
    <t>D. José María Sierra</t>
  </si>
  <si>
    <t>…entes. rario del tribunal supremo de Justicia, decano que ha sido de á la vez. ¿N os admiraremos después de esto de que para dar á Numerosos jóvenes, diferentes en sus trajes, maneras y condi­ la Real audiencia de Madrid : el Sr. D. José María Sierra , que su obra de destrucción una significación completa haya tenido ciones, se encuentran, se hablan, y parecen unirse los unos á lo ha sido de la Coruña: el Sr. D. Jaime María de Salas, deca­ el pensamiento de adjudicarse por medio de la mentira la in­ los otros por la intimida…</t>
  </si>
  <si>
    <t>Sierra, José María</t>
  </si>
  <si>
    <t>José María Sierra</t>
  </si>
  <si>
    <t>…jantes y Preparativos de la lucha. raand Barbú, entraremos en el detalle de estos hechos. Por aho­ concretos á su clase. En seguida se leyó el Real título del señor ra basta enunciarlos corno una nueva prueba de la conspira­ D. José María Sierra, quien poniéndose de pie delante de la Pero mientras que estas diversas pruebas cansaban á la p o ­ ción , y de la terrible previsión de todos sus cálculos. mesa prestó juramento en los mismos términos que el Sr. re­ blación y la inquietaban, ya estaba deliberado y escogido el dia…</t>
  </si>
  <si>
    <t>Sierra, Manuel Antonio Rodríguez</t>
  </si>
  <si>
    <t>Manuel Antonio Rodríguez Sierra</t>
  </si>
  <si>
    <t>…a de G a d o r, loma de M arto s, término de quier persona que se consideren con derecho á la herencia de la dominación de los romanos , y sus guerras con los cartagi­ L aujar, Santa Teresa de Jesús, por Mariano Lozano, en 15. D. Manuel Antonio Rodríguez Sierra , difunto abad de San neses, hechos inmortales de Sagunto y de Numancia , y su ca­ Otra id. en dicho sitio, La Concepción , por Miguel Pere­ Miguel de Monteferrado en este partido, y natural del pue­ tástrofe, nacimiento de Jesucristo , origen y progresos del cris­ g…</t>
  </si>
  <si>
    <t>Sierra, Miguel María</t>
  </si>
  <si>
    <t>Miguel María Sierra</t>
  </si>
  <si>
    <t>…, y de 30 los ausentes, nidero. do por cada provincia en que haya fábrica de naipes que in­ comparezcan en el referido juzgado, y por la escribanía de nú­ tervenga la recaudación de los derechos arrendados , á cuyo em­ mero de D. Miguel María Sierra, donde radica la testamenta­ pleado se señalará un sueldo que no baje de 4® rs. anuales, ni ría , a deducir las acciones de que se crean asistidos; con aper­ Ayuntamiento constitucional de Avila. exceda de 6$ rs., según la mayor ó menor fabricación en las cibimiento de que pasado…</t>
  </si>
  <si>
    <t>Sierra, Rosalía</t>
  </si>
  <si>
    <t>Rosalía Sierra</t>
  </si>
  <si>
    <t>…rá recaído en en el abandono en que se encuentra, veremos el Alcá;2ar redu­ Doña Gertrudis Fontanellas. ede impo tante negocio; eu el cual vernos fija la atención de cido á un moaton de escombros. Después serán los lamentos. Doña Rosalía Sierra. partido* encontrados, que la esperan, para calcular los efectos (Idem.) que ni ccsíi i. mente ha de producir uno de los casos mas gra­ N ota. H ay otros actores y bailarines ajustados, aun cuan­ ves y traste dentales que pueden presentarse en las actuales cir- do no hacen parte de la…</t>
  </si>
  <si>
    <t>Sig</t>
  </si>
  <si>
    <t>…se ha recibido en el café de disposición no será cosa de cuidado. Sin embargo , esta mañana lla fecha á lá actualidad. ' U América del N orte y del S u d , se hace mención de un in ­ cendio que fue percibido por el capitán del Sig ila n te , que á las diez y media no habían sido adm itidos todavía por S. M. Días. Quintos. acababa de llegar hacia el Cabo de I n fa n ta , el 15 de Diciem­ los generales de servicio. (Corresp. de Hamb.) b r e , entre ocho y nueve de la noche, hallándose de 90 á 100 Febrero. 15...............…</t>
  </si>
  <si>
    <t>Sigiienza</t>
  </si>
  <si>
    <t>…e de » n ojo puesto sobré el Tajó , que en 1826 reedifi­ solo por obviar á mayores inconvenientes la justicia de su tu dé orden y subordinación , asi como vuestro valor y denue­ co el Excmo. 8r. D. M anuel F r a i l e , obispo de Sigiienza , y ter­ aplicación. do , mostrado todo en el espacio de esta expedicion.—Firmado.zz minaba entonces á las 2 4 5 9 varas castellanas en el edificio de El Gobierno sin embargo, y para que no quede el menor Carlos Baudin.—Es copia conforme, el cóusul de F ran cia C. E. la P rin c e sa, que…</t>
  </si>
  <si>
    <t>Sigúenza, Valentín</t>
  </si>
  <si>
    <t>Valentín Sigúenza</t>
  </si>
  <si>
    <t>…s D. Nicasio González Cabellos, D. Francisco Iñigo, D. José oro, al Sud de Staten Island, pero no tuvo avería en el cargamento: Es­ otro bergantin-goleta, grande, está varado en Great Kiln : el habían sido batidos. cribano y D. Valentín Sigúenza, quienes declararon no.haber bergantín Laurel , viniendo de Lanzarrette en 40 dias con lugar á la formación de causa por cinco votos contra cuatro, barrilla &amp;c., arrastraba las dos auclas, y tuvo que echar abajo cuya yotacion publicó el Sr. presidente. el trinquete para enderezar…</t>
  </si>
  <si>
    <t>Sil</t>
  </si>
  <si>
    <t>…galeras y ocho carros cargados de ^vestuarios y otros efectos para el ejército. ó menos la duración de nuestra existencia. «La pena, sea que conducía el capitel mas que la mitad del camino. Al llegar la que quiera (dice el Sr. Sil vela), es la privación de un al baluarte Bone Nóuvelle, se rompió el eje delantero, lo que Segovia 17 dé Marzo. Balmaseda con 150 caballos y al­ derecho: todo derecho es un medio de conservación; lue­ produjo un retardo de dos horas. Al llegar á la altura de la gunos infantes se hallaba el 16 á…</t>
  </si>
  <si>
    <t>SILVA</t>
  </si>
  <si>
    <t>…un m ila g r o , y no estoy por é l , por­ un hecho con la conciencia de que exista esa verdad , tenien­ ciones. que no me es posible votar mentiras. He dicho. do presente esta doctrina, ¿cómo no he de hallarme embarazadí­ El Sr. S I L V A expone que pues el Sr. Arguelles habia ma­ El Sr. B A L L E S T E R O S : El Congreso ha oido las reclama­ simo al ver el dictámen ce la comisión en sus dos partes expo­ nifestado que moralmente no podia votar con la comisión, creia ciones que se han hecho; también ha oido el dictamen de…</t>
  </si>
  <si>
    <t>Silva</t>
  </si>
  <si>
    <t>…sidad , y la cual existe en todos los quedó aprobada. jante? Y o , señores , y llamo aqui la atención del Congreso , co­ países, y aun en los Estados-Unidos se deporta también. A ñ a ­ Se c oncedió licencia por tres meses al Sr. Silva para que mo Diputado que era , tuve parte en la ley de Junio del año dió que cuando el Presidente Jackson salió en una expedición pasase á Plasencia según solicitaba. de 2 5 , lo tuve en el decreto expedido por el Sr. conde de A l- contra los indios llevaba una corte marcial, y á fe que el tra…</t>
  </si>
  <si>
    <t>Silva, Antonio</t>
  </si>
  <si>
    <t>Antonio Silva</t>
  </si>
  <si>
    <t>…á su ejecución , he dores Juan Marques Coello, comandante del destacamento que planetas, cometas &amp;e. dispuesto por ahora y con el carácter de provisional que los que dio muerte a! bárbaro guerrillero Manuel Francisco Rachado, D. Antonio Silva, que enseña la teneduría de libros, pre­ tengan correspondencia con la Península y quieran aprovechar ha tenido á bien agraciarle con el hábito de la muy antigua y sentó sus 12 alumnos que respondieron á la porción de pre­ el mismo medio de comunicaciones por el itsmo de Suez, pre­ nob…</t>
  </si>
  <si>
    <t>Silvela</t>
  </si>
  <si>
    <t>…discurso. claró el Coogreso en la legislatura anterior, cuando queriéndose de Paula Alvarez estaba arrestado entonces, arrestado se encuen­ En la cuestión electoral no tengo que recordar al Sr. Cor­ tratar de la admisión del Sr. Silvela, que estaba de gefe político tra hoy , no ha recaído pues auto de prisión; porque entonces tina si ha habido ó no contrariedades é ilegalidades, solo sí decía el capitán general que estaba preso, no arrestado, pala­ que el Gobierno no ha hecho ínas que cumplir estrictamente en laQueda Coruñ…</t>
  </si>
  <si>
    <t>Silvela, Francisco Agustin</t>
  </si>
  <si>
    <t>Francisco Agustin Silvela</t>
  </si>
  <si>
    <t>…dam as unida á esta, colegio de s o r d o m u d o s , ateneo científico y litera C O M P E N D IO de la historia de la medicina, por los profe­ sores médico-cirujanos D. Antonio Codorniu y D . José M aría de la Rubia. Por D. Francisco Agustin Silvela • rio , colecturía general del fondo pió beneficial, junta de D I V I D E S E LA OBRA EN C U A T R O P A R T E S ! beneficencia, hospitales generales, asociación de caridad Prospecto. = La inteligencia, ese destello de la D ivinidad, y casa de beneficencia, la inclusa, la…</t>
  </si>
  <si>
    <t>Silvela, Francisco Agustín</t>
  </si>
  <si>
    <t>Francisco Agustín Silvela</t>
  </si>
  <si>
    <t>…re b a jar cargas. u n o , ó sean 8 0 p á g i )s en 4*°? y cada mes sald rán dos á lo Guien quisiere hacer postura acud a al ju zg a d o de S. 8. por la menos. L a p rim e ra estará corriente á p rincipios de D iciem b re Por D. Francisco Agustín Silvela • escribanía num eraría de D. J u a n G arcía de L a - M a d r i d , que se próximo. DIVIDESE LAOBRA ENCUATRO P A R T K S í le a d m it ir á siendo a rr e g la d a . El precio de suscripción será en M a d r id á 6 rs. cada e n tre­ g a , y 8 en las p ro vin cias franco d…</t>
  </si>
  <si>
    <t>Silvestre</t>
  </si>
  <si>
    <t>…con la sublevación de T alaye ra , Bilbao y otros siendo análogos ambos casos, pues eo el primero se pedia la des­ cula ó registro de doctores, y á justificar que tienen 25 años puntos. titución de un empleado; y en el segundo D. Silvestre Y alen - cum plidos, con veciodad ó residencia fija en esta corte, en el F uga del mariscal de campo D. Santos Ladrón de V a l l a - zuela solicitaba un empleo, todo lo cual era de cargo del Go­ término que señale la dirección general de Estudios. dolid. bierno, extrañaba que la comisión f…</t>
  </si>
  <si>
    <t>Silvostri, Ignacio</t>
  </si>
  <si>
    <t>Ignacio Silvostri</t>
  </si>
  <si>
    <t>…s facultades con el cazar sobre los baños, que llaman, de Doña María Padilla: di D. José Guzman. estudio, y desterrar ciertos resabios de provincia que á las ve­ cha obra se hizo i causa de las ruinas que sufrió la fábrica e D. Ignacio Silvostri. ces les perjudican gravemente. Es digna de todo elogio su el terremoto de 1755. D. Angel López. aplicación, asi como lo son los esfuerzos del director, quien se Sobre los referidos baños no sabemos qué juzgar cuando ai D. José Ramírez. afana por dar a su teatro toda la variedad…</t>
  </si>
  <si>
    <t>Sim</t>
  </si>
  <si>
    <t>…una. Antes de que este artículo vea la luz p ú ­ venir el fallo de aquél , parécenos que en ella ha de conseguir mos al género é índole de la arquitectura del palacio en k blico ya se habrá presentado de nuevo con el papel de D. Sim­ la Sra. Villó un triunfo aun mayor que los anteriores. El pa­ parte que renovó. El gran patio se atribuye á J a lu b í , el to­ plicio en la famosa Pata de Cabra , el celoso é inteligente ac­ pel de Elvira es muy á propósito para desplegar sus eminentes ledano, seguu una inscripción que se ha…</t>
  </si>
  <si>
    <t>…San Juan la nueva, señalada por la prim era con lo: tubre próximo, bajo el pliego de condiciones formado por el Sr. interventor m ilitar del m ism o, que con arreglo al general, en el que el Sr. Lombía desempeñará el papel de D. Sim plicio. números 28 moderno y 1 an tigu o , y por la segunda con el 5C nuevo de la manzaua 521, que tiene de sitio 4774 pies cuadrado: aprobado por S. M ., y órdeues posteriores, como asimismo á superficiales, incluso el que ocupa dicha tahona; todo lo cual las circunstancias de estas islas, esta…</t>
  </si>
  <si>
    <t>Simeón</t>
  </si>
  <si>
    <t>…co rato de No basta que Mehemet-Alí sea independiente de hecho, y año. Al entregarle á invitación del Sr. rector el premio que que el Di van se halle dispuesto á satisfacer los deseos del bajá; le estaba destinado , el Sr. conde Simeón ha dirigido á los aium su navegación vieron que se leí acercaba uua lancha de Ber- es preciso que la Puerta no conserve el mas ligero vestigio de nos una corta alocucioo que ha conmovido profundamente á meo, y llevados de la curiosidad, interrogaron á dónde s e d iri- superioridad; d&lt;be verif…</t>
  </si>
  <si>
    <t>…SOCIEDAD. tero Sabaaz», comerciante: D. Francisco Gómez, carpintero, capitalista: D. Simo» R u iz , comerciante. NOTICIAS n a c i o n a l e s . 1.a Se establece una sociedad filantrópica con el objeto ex­ Procurador síndico: D. Simeón A guirre, hacendado y co­ clusivo de mejorar el sistema carcelario, correccional y penal merciante. Mas de las Matas 2 3 de Diciembre. de España. Ayer nos vinieron dos desertores, el uno de Morella y el 2.a La sociedad procurará por todos los medios que le su­ Calatayud 25 de Diciembre. In…</t>
  </si>
  <si>
    <t>Simo</t>
  </si>
  <si>
    <t>…egidores: D. Juan Patricio Sebastian, comerciaste: Don Juan de Mata Escolar, hacendado: D» Casimiro Calle: D. So- BASES DE ORGANIZACION DE LA SOCIEDAD. tero Sabaaz», comerciante: D. Francisco Gómez, carpintero, capitalista: D. Simo» R u iz , comerciante. NOTICIAS n a c i o n a l e s . 1.a Se establece una sociedad filantrópica con el objeto ex­ Procurador síndico: D. Simeón A guirre, hacendado y co­ clusivo de mejorar el sistema carcelario, correccional y penal merciante. Mas de las Matas 2 3 de Diciembre. de España.…</t>
  </si>
  <si>
    <t>SIMON</t>
  </si>
  <si>
    <t>…nemigo la m ay or parte de sus fuerzas , teniendo a d e - la igualdad del cauto a que esta sometido, prueba sufi­ uias desde Salinas de Leniz á este últim o cinco batallones de A C TA DE LOS EXAMEMES DADOS P ü R D. T R IN ID A D SIMON. corta fuerza con dos escuadrones y unos 5&amp; paisanos armados. cientemente que su carácter esencial es la facilidad de ser E stando en la iglesia parroquial de Santiago de esta M. N. medido. E n las inmediaciones del castillo de G u e v a ra han dejado i g u a l ­ mente c uatro compañías del…</t>
  </si>
  <si>
    <t>Simpli</t>
  </si>
  <si>
    <t>…escena sión, y po- desgracia muchas son las veces que al tratar de a principios de la semana última para la salida del señor traducciones tiene que emplearlo con sobrado fundam en­ L &gt;mbia, el cual gustó mucho en el papel de D. Simpli to. Y si t»o, ¿presentará entre nosotros Ínteres ni atención ció, se ha vuelto a ejecutar el sabado 27 E l arte de cons-1 una comedia imaginada y desenvuelta con el solo objeto p ir a r y que ha sido recibido con igual aceptación que TEATROS. de manifestar los inconvenientes del divorcio?…</t>
  </si>
  <si>
    <t>Simplicio</t>
  </si>
  <si>
    <t>…ción. ciuco gremios mayores de esta corte, señalada con el número Una vez establecido que la imaginación no es un gra­ 14,194; parte de otra de 55,500 que perteneció á D. Audres en el que el Sr. Lombía desempeñará el papel de D. Simplicio. do de la percepción ni de la memoria, no resta mas que Sánchez , difunto, señalada esta con el número 13,940, firma­ da en 2 de Marzo de 18i6 por los Sres. directores de dichos (i) Anat., t. l.°p . 25. cinco gremios, para que dentro de Í5 dias comparezca en el</t>
  </si>
  <si>
    <t>Simón</t>
  </si>
  <si>
    <t>…que se lo hubiera pueblos. Dios guarde á V. E. Cuartel de Loulé í.° de Julio de Santalla de Pena ; Manuel Fernandez , desertor de voluntarios im pedido, y hoy continúa allí después de 17 días de la acción. l859.=Umo. y Excmo. Sr. Simón da Costa Pesoa. z= Joaquín de G alicia, y Benito Varelá, los dos últimos pertenecientes á Sieoto no poder mandar á V . algún periódico; temo que Fontoura, comandante de la fuerza armada y de la columna la gavilla del rebelde Villanueva. Dice igualmente que se ha la guerra á consecuencia se pro…</t>
  </si>
  <si>
    <t>Simón, Fr.</t>
  </si>
  <si>
    <t>Fr. Simón</t>
  </si>
  <si>
    <t>…isponer. Alli los recibió el Sr. D. Agustín Vidal, canónigo de Urgel, Mañana atacaré decididamente el fuerte de Guardamino, La marcha impávida de mis columnas y el ardor de los ti­ antiguo vicario general del obispo extrañado D. Fr. Simón construido con todas las reglas del arte en una elevada posición, radores que las cubrían, han contribuido á que fuese menor Guardiola, y alli los está repartiendo con una profusión sin mas no dudo sucumbirá igualmente al denuedo y bizarría de la pérdida que debían sufrir por el horroroso…</t>
  </si>
  <si>
    <t>Simón, León</t>
  </si>
  <si>
    <t>León Simón</t>
  </si>
  <si>
    <t>…argo del Sr. D. Francisco Amorós y López. Empieza este juzgado en la puerta de Alcalá, y sube por Inscripciones en el gran libro á 5 por 100, 09. L°ipática, subscriptores “ las Lecciones orales de medicina homeo­ por ei doctor León Simón, y traducidas por el lp misma calle siempre por la acera de la derecha, calle ancha y 2 0Títulos | á v. al portador al 5 por 100, 20 once dieziseisavos , y f. ó vol. y firme con cupones. doctor Juan Lorenzo Yelez, pasarán á la librería de la viuda de Peligros, carrera de S. Gerónimo á…</t>
  </si>
  <si>
    <t>…dicina homeopática pronunciadas ante mas de 500 peritos de todos los sistemas médicos por sus relaciones sin valerse del sistema de los casos; y ademas del ber concurrido les suficientes, se designa nuevameote para su el doctor León Simón , catedrático de dicha ciencia en Paris, régimen y de la corcordancia , se añade un tratado entero d é l a celebración el domingo próximo 50 del actual á las once de su colocación de las palabras. mañana en la posada de S. S. , calle de Relatores, mira. 7 , cuar­ traducidos por el doctor…</t>
  </si>
  <si>
    <t>Sin, Ortigosa.</t>
  </si>
  <si>
    <t>Ortigosa. Sin</t>
  </si>
  <si>
    <t>…presentar; hubiera únicamente tratado de si el Gobierno ha­ Cortes, que tenemos Constitución, y si nos trasladamos á la se despachasen preces de ninguna especie, ni aun A viñou. bía obrado con justicia acerca del asunto del Sr. Ortigosa. Sin época en que un ejercito numeroso vino á influir en nuestra Pero yo preguularé al Sr. Peña A g u a y o , ¿cree S. S. que si en em bargo, no puedo menos de hacerme cargo de algunas refle­ política# entonces todo es posible; y en ese supuesto no trate­ el año de 1715 cuando Felipe es…</t>
  </si>
  <si>
    <t>Sir</t>
  </si>
  <si>
    <t>…de un escuadrón, y que la Puebla de división principal del ejército m ano, fue imitada en él reinado de María Teresa, en Milán, D onFadrique ha entregado también voluntariamente 1200 rs. del Indas , bajo las órdenes del general Sir W . Cotton , llegó én Villeborde y en G ante, lo que demuestra que la adminis­ sin novedad el 18 de Marzo á una jórnada de marcha mas tración austríaca concibió á mediados del siglo pasado el pro­ para construcción dé pantalones de lienzo i la tropa. allá del paso de Bolán, después d e haber e…</t>
  </si>
  <si>
    <t>Situé, Tomas</t>
  </si>
  <si>
    <t>Tomas Situé</t>
  </si>
  <si>
    <t>…a que se ignora, para de comparezca en la audiencia de dicho Señor, la Constitución, repeso que fue de villa , en der y agradar. Villanueva. el término de quince dias contados desde el en que se inserte Regidores: primero D. Tomas Situé , segundo • D. Luis este anuncio en la Gaceta Puede que otros, mas rígidos censores, se atrevan á señalar S. Juan algunas faltas; no negaremos nosotros el que el drama las tenga, Yotn, tercero D. Pedro Lasala, c u a r t o D Rafael ciéndolo por sí ó por medioy Diario de avisos de esta ca…</t>
  </si>
  <si>
    <t>Sjtrzy-</t>
  </si>
  <si>
    <t>…encia. gica quedarán en breve terminadas. Ya no se mira como condi-; votos de los electores para el Parlamento. ¡Pueblos de Venezuela: El Gobierno seguirá constantemente cian sine qua non el hacer, salir de.la Bélgjca-aJ general Sjtrzy- M r, Spring-R ice, canciller del Echiquier, contestando 4 los preceptos de la justicia , y la imperiosa -voz de la razón ¿ necky, y el Austria y la Prusi? declararán estar satisfechas con una interpelación de sir E. Sugden, manifiesta que el Gobier­ consignados en la voluntad dé la mayor/a…</t>
  </si>
  <si>
    <t>Skrinecky</t>
  </si>
  <si>
    <t>…genera!; nión. Cuando se v ió ,d ic e, que el Gobierno rehusaba hacer sa­ A yer salieron de esta para Onda , á trabajar en aquella for­ pero si quiere la paz, puede consolidar la tranquilidad gene­ bierno pais lir del al general Skrinecky, se creyó en el deseo del G o­ de adoptar los medios &gt;ie resistencia ; pero la dimisión de tificación, 45 bomberos de la Milicia nacional de Yaleucia que ral y concurrir al desarrollo de la prosperidad y de las ideas dos Ministros les acompañaron la compañía de cazadores de la Princesa y…</t>
  </si>
  <si>
    <t>Skrzy</t>
  </si>
  <si>
    <t>…en cuanto nada es tos sacrificios, empezará por tratar sucintamente la cuestión de según se asegura la división de la deuda, partiendo de los últimos pasos dados nezki el título de, general que el Gobierno le quitase al general Skrzy­ mas justo que el que los delegados del pueblo y los re­ belga que acababa de conferírsele; y presentantes legales de sus intereses señalen el punto has­ en las negociaciones habidas acerca de estos artículos, y que no habiendo podido obtener tienen por objeto la discusión de unas cantidade…</t>
  </si>
  <si>
    <t>Skrzy-</t>
  </si>
  <si>
    <t>…os dado cuenta de los ejercicios que deben hacerse. A pesar de este proyecto de conciliación , las medidas mili­ El señor arzobispo ha añadido á las saltos que deben invocarse tares no se han amortiguado: la admisión del general Skrzy- T A dirección general de Caminos ha acordado sacar á pii- á San Dionisio, San Vicente de Paul y Sauta Genoveva/1 nezki está decidida: se le ha nombrado general de división, é blica subastador tiempo de 25 años el arrendamiento de - indudablemente en breve se sabrá que se le ha~&lt;&amp;uferido el…</t>
  </si>
  <si>
    <t>Skrzynecki</t>
  </si>
  <si>
    <t>…ada de D . Cárlos La Gaceta universal de Leipsick , después dé haber ánúrt- va á las órdenes de su teniente D . Manuel de ípola , continuan­ Rodríguez de M o y a , escribano de este número, se cita , llama y ciado que el general Skrzynecki ha marchado de Praga, añatta do dicho movim iento con la demas fuerza del tercer batallón emplaza por término de 50 dias, contados desde la publicación que algún tiempo antes de su partida la policía de Viena ha­ del Rey y tres compañías de Ecija al mando del coronel coman­ del presente…</t>
  </si>
  <si>
    <t>…que el director de las principales disposiciones de dicha ordenanza: Correos, en lugar de obligar al separado á que dejase la El Rey se reserva presidir cuando lo juzgue conveniente el Se lee en el M on itor b elga : El general Skrzynecki, c u y a admisión en el ejército como silla, y de colocar en ella ai que debia reemplazarle, Consejo de Estado, cuyas funciones son examinar los proyec­ tos de ley y las ordenanzas, y dar su dictámen acerca de los general de división por acuerdo de 1 .° de este mes, según an u n ­ dejó la…</t>
  </si>
  <si>
    <t>…epresentantes que están todavía aquí comentan un gran­ dados. Y aqui no podemos dejar de notar la perseverancia y crecidas sum as; logrando fugarse únicamente el digno y valien­ de hecho difícil de ex p licar, y es que el general Skrzynecki obstinación con que los absolutistas caminan siempre derechos te comandante general de esta provincia; y ahora los caribes que se halla en Bruselas hace nueve d ias, no ha sido aun re­ á su objeto, sean cuales fueren los obstáculos que se levanten acaban de fusilar á un indefenso vecino d…</t>
  </si>
  <si>
    <t>…ba­ neral, asi como un tribunal supremo de apelación para todas rón O S ullivan de G rass, una nota m uy enérgica con motivo las colonias de la América del N o rte : se haría una revisión del de la evasión de Praga del general Skrzynecki , cuya extradi­ M adrid 5 de Febrero de 1859. Manuel González Brabo. consejo legislativo; los jueces estarían bajo el mismo pie de ción solicita. Que Mr. O ’Sullivan habia respondido que lo haría independencia que en Inglaterra; ningún voto de subsidios presente a su Gobierno, pero que…</t>
  </si>
  <si>
    <t>Skrzynetki</t>
  </si>
  <si>
    <t>…mo rs. vn do á hablar de este modo por las estipulaciones de los tratados resistir. En seguida explicó los motivos por que habia hecho ve­ de los 18 artículos. Este tratado nos daba todo esto: asi lo han nir á Bélgica al general Skrzynetki. (La Cámara presta m uy Junio de 1858......... 722 con............. 104670 recouocido los Sr es. Dechamps, Duinortter y D ubus: los acon­ poca atención á estas palabras.) Julio de ídem.......... 855 id e m ......... ÍO84OO tecimientos de 1851 fueron los que hicieron variar los 18 artí­ Mr…</t>
  </si>
  <si>
    <t>SL, S.</t>
  </si>
  <si>
    <t>S. SL</t>
  </si>
  <si>
    <t>…:s„, Yo »o eotíendo cuáles pueden ser t e fu adamen tos de esta laSa snficienteenejite d is c u t id o y se decidió per la afirmativa y ecte -fiie presenta la a a m ism n , liaste que era© depresivas de observación tan general de S. SL, puesto que no los ha dessa- acordándose proceder £ la d iscu ten par articules* amias cnvporariomes que ha», sil©,* so» y no paséen dejar As ser vudlo. La comisión , al discutir este proyecté , ha tenido £ ^la Se ley i el arL L°, ¡qoc dice i. fas autoridades broéiiees y to ld a re s de t e…</t>
  </si>
  <si>
    <t>Slade</t>
  </si>
  <si>
    <t>…estos bancos, espero que no llería d eS k in n ery otras tropas , habiéndola obligado á replegarse tin u ó , que el ministerio público habia renunciado á sostener olvidareis mis palabras. y reunirse con la división del general Slade, qué ha sido atacado la acusación de asesinato dirigida contra Barbés ; pero respon­ demos que nuestra convicción acerca de este punto es inaltera­ Por lo que respecta á m í, solo tengo que protestar de nue­ á su vez. Este esforzado general no solo ha rechazado vigoro­ ble ; que hoy , como…</t>
  </si>
  <si>
    <t>Slopford</t>
  </si>
  <si>
    <t>…alm irante austríaco en el A rchipiélago ha recibido la riente, manifestó en contestación dicho Sr. general Urrea su otros debe! dec id irse ; estando nosotros m u y lejos de querernos orden de su Gobierno de unirse al almirante Slopford , en el disposición á adoptar por su parte todos los medios de hacer mezclar en sus querellas interiores, rnucho roas cuando vemos caso de que pudiese ponerse de acuerdo con el almirante francés cesar la gu erra civil. que ni unos ni otros h&lt;?n sido capaces de hacer la felicidad de sobre la…</t>
  </si>
  <si>
    <t>SMBTomas</t>
  </si>
  <si>
    <t>…ha existido entre la G ra n Br e t a ña y la República. tra opinión n&lt;: que seria de desear que la Inglaterra tuviese que cuando se presenta en la escena el terrible é interesante perso­ E n sn consecuencia e! cónsul general de S. M. B. Tomas naje de un esposo agraviado en su h o n r a ? Ante él desaparece quejarse ma* á menudo de la Francia. Esto probaría que nues­ Samuel W o o d ha exhortado á los súbditos ingleses á que per­ tros intereses son mejor comprendidos y mas enérgicamente de­ todo lo dem ás; y esto es tas* e v…</t>
  </si>
  <si>
    <t>SMe</t>
  </si>
  <si>
    <t>…bourne ha vuel­ cuanto los reciba. En el Asia y en la Roraelia se están hacien­ gado á preguntar al vizconde Melbourne si Mr. John Neil, to á constituirse. El primer acto que lo demuestra es el nom­ do levas forzadas. ministro de S. M. en Persia, no en actividad , cobra sueldo. bramiento del nuevo Speaker de la Cámara de los Comunes por Van á adoptarse medidas para cubrir la capital de un gol­ Lord Melbourne : No puedo dar una respuesta categóri­ dimisión de Mr. Abercromby , que ha tenido 18 votos mas que pe de mano: van á…</t>
  </si>
  <si>
    <t>…CONSEJO. orden !) 29 de Diciembre de 1838 z=Muy señor mío: os ruego que ten­ lie tenido á bien adm itir al consejero Antonio Fernandez El honorable individuo presenta en seguida un gran n ú ­ gáis á bien informar al Ministro de S. M. en Mé ico, de que Coello la dimisión que me ha presentado del cargo de Ministro mero de peticiones, y declara reservar un gran número de ellas el 21 del corriente, cerca de media hora después de haber deja­ y Secretario de Estado de los negocios del reino, que me ha para el otro dia. do el pue…</t>
  </si>
  <si>
    <t>SMOSe</t>
  </si>
  <si>
    <t>…nación. liente ejército constitucional en ta presente lucha , por el capi­ que aun cuando ha habido desmanes, aun en sus esos se han Esas naciones que tan frecuentemente se citan han tenido tán teniente de la G, R. provincial D. S. M. O. Se vende en U librería d i la viuda de R azóla, á 2 rs. — -— acogido los ciudadanos á los tribunales o rdinarios, no á los buen cuidado para venir á parar al estado en que se h allan , de echar mano de los ejemplos suyo s, indígenas, nacionales y Canto lúgubre ó declamación patriótica so…</t>
  </si>
  <si>
    <t>SMyde</t>
  </si>
  <si>
    <t>…a«¿ ga , magistrado honorario , juez de primera instancia en por toda la Turquía y residido 28 años en Constantinopla , de&gt;- d r id , y para las provincias 8 por un mes y 22 por trimestre, esta corte, refrendada del escribano de S. M. y del número Don tierra muchas preocupaciones en que vivimos empapados los José María González de Castro, se sacan á pública subasta 11 europeos. Abunda de curiosidades y noticias verdaderas, mas pedazos de tierra de pan llevar , sitas en término de la villa de útiles y entretenidas que la mej…</t>
  </si>
  <si>
    <t>…l Sr. D, Benito Serrano y Aliaga , juez 12. Un ejemplar del espíritu del siglo y otras obras, al se­ * de primera instancia de esta villa, refrendada de D. Ja­ ñor D. Pedro Alcántara de Arce. cinto Gaona y Loeches, escribano de S. M. y del número de DEL TEATRO 56. Un tirador de cata panilla pintado al oriental,, a la Ex­ la misma, se ha mandado sacar á pública subasta una casa sita celentísima Sra. marquesa de Casteldurrius. en ia calle del Gártoen, esquina á la del C andil, núm. 1.® vie­ MODERNO EXTRANGEUO. 52. Una sil…</t>
  </si>
  <si>
    <t>…us resolu­ nifestando ser las ocho de la mañana, y que en aquel momen­ c i o n e s q u e l a devolveroqs á colocar bajo el yugo del tratado to emprendía la marchamen dirección del Quintauar. para no el infrascrito escribano de S. M. y del numero del cri­ dar lugar á que el enemigo se repusiese; y que el coronel del d ¿ 1845 , que. uosptrós hémos despedazado. • men &amp;c. Doy fe que en el juzgado de primera instancia provincial de L a re d o se dirigiría por Huerta del Rey á Salas. | El árbol de nuestra independencia plantad…</t>
  </si>
  <si>
    <t>…la deudc Rodríguez Yaldeosera , juez togado de primera instancia dora y la Serm a. Sra. Infanta Doña María Luisa F ern an ­ aublica no endosable contenidos en el suplemento á la Gacetí de esta corte, refrendada del escribano de S. M. y de su juz­ da, continúan en esta corte sin novedad en su im portante le 28 de Enero próximo pasado. Lo que se hace saber al públi gado D. Manuel bernandez de Pazos, se hace saber á todas las :o para su gobierno. personas que liaban empeñado desde J u lio de 1857 , hasta salud. Abril de 1…</t>
  </si>
  <si>
    <t>…s obispos, clero y pueblo de R usia, que hasta alíi unidos á la iglesia rom ana, á la griega-rusa. secreto de 22 de Noviembre de 1859. Penosísimo nos seria referir aqui lo que hacia prever tiempo Yo el infrascripto escribano de S. M. y del crimen de esta Desde el principio de nuestro pontificado nos hemos visto toreshá esta triste terminación , y por qué sugestiones aquellos pas­ villa, doy fe: Que ante el Sr. D. Miguel María de D uran, precisados por las prolongadas calamidades de la época á par­ perdición. degenerados…</t>
  </si>
  <si>
    <t>So, Bonifacio</t>
  </si>
  <si>
    <t>Bonifacio So</t>
  </si>
  <si>
    <t>…22 y 1825. de causa. Y lo firman los Sres. jueces: Dionisio Saenz Rome- Según noticias oficiales recibidas en este m inisterio ro.z=Diego Florindo.—Isidoro Marquez.=Juan Aldana.idPedro Nota de las obras publicadas por el Dr. D. Bonifacio So­ ha sido apresado últim am ente y conducido al puerto de Perez de Velasco.zrRamon Vidal.^Luis Orduña.=Pedro M ar­ tos para facilitar el conocimiento del francés y del cas­ Cartagena por el falucho A ttnibal, uno de los buques tínez Crespo.r:Luis Mendez, tellano , destinadas especialme…</t>
  </si>
  <si>
    <t>So, José</t>
  </si>
  <si>
    <t>José So</t>
  </si>
  <si>
    <t>…e el Sr. alcalde consti tuci onal Don el alm a su blim e de C o r t é s , mas g ra n d e q u e todas las d i f i c u l t a ­ ta del de San Mateo seis leguas y medi a, no podemos menos de Carlos M a r t i n ' d e l Romeral por D. José So ti 1lo en concepto de des y rie sg o s: en la del Perú , menos g lo rio sa , a u n q u e no menos Go g L r tales combinaciones e s t r a t ég i ca s , ma y o r me n t e cuando apoderado de la Exorna, d i pu t a c i ón provi nc i a l de Va l la dol i d ú t i l , se puede e stu d ia r el peli…</t>
  </si>
  <si>
    <t>So-, Luis</t>
  </si>
  <si>
    <t>Luis So-</t>
  </si>
  <si>
    <t>…ales D. Pedro Sainz de Baranda y D. Alejandro, sidérablés para atraer á los capitalistas» Toda la cuestión se re-, ;Dimos noticia' á núést^ós 'lectores' ;d ¿ “ íós tééminós eii López, individuos de la diputación provincial, y D. Luis So- duce desde luego a esto: ¿Se quiere ó no que haya caminos de que concluía el informe-leído pór Mr. Dolez en nóúibré de la rela, presidente de la junta de liquidación de la deuda del Es­ hierro en Irlanda ? tado; D. Juan Gumucio, que desempeña la dirección de la caja Muchos oradores; y pri…</t>
  </si>
  <si>
    <t>Sobejano</t>
  </si>
  <si>
    <t>…d i G r a o a ta , por la S eñ o rita Ocon. demasiado a l t o : c o rrija este últim o defecto aq u ella apreciabli sus p a rte s , mas ta m b ié n la arm azón que las soporta. Esto sí | 5.° F a n tasía al p ia n o , por el Sr. Sobejano ( h i j o ) . a c t r i z , que m ucho p erju dica á sus a v e n ta ja d a s c u a lid a d e s ; pue 5 puede co n se g uir por los contrapesos. Se llam a co n tra p eso \¿ 6.° D úo de la Geinroa , por la señorita Ibarrondo y señor el arte de m o d u la r la v o z , e s , como ha d ich o…</t>
  </si>
  <si>
    <t>Soberano</t>
  </si>
  <si>
    <t>…e para que se sirva hacerlo á S. M. dase particularmente al teniente de navio D. Calixto Paredes, pago de sus contribuciones ordinarias el importe de los al capitán de fragata D. Santiago de Soroa , comandante del comandante del Soberano, y toda la tripulación; al primero recibos liquidados de suministros hechos á las tropas, que referido bloqueo , al secretario de esta capitanía general el coro- porque con sus consejos y actividad me ha sido muy útil para le hayan sobrado ó vaya liquidando sucesivamente, desde nel D. Fra…</t>
  </si>
  <si>
    <t>Sobre, Leoncr de Guzroao.</t>
  </si>
  <si>
    <t>Leoncr de Guzroao. Sobre</t>
  </si>
  <si>
    <t>…d . ro) no ofrece una situación tan fuerte y tan dramática como el Alicante, 1 á f d. Santiago, á 2 id. juramento pronunciado por la nobleza de Castilla sobre la tum­ Barcelona, á ps. f s . , par papel. S evilla, par. ba de Doña Leoncr de Guzroao. Sobre todo el fuego y el calor B ilbao, \ á f d. V alencia, \ d. EL CORRESPONSAL, que respira la segunda parte del a cto, nos parece imposible des­ C ádiz, ¿ id. Z a ra g oza , par. cribirlos , ni nos es fácil dar la mas débil idea hasta dónde afec­ P E R IO D IC O M E R C A N T I…</t>
  </si>
  <si>
    <t>Socies, Juan</t>
  </si>
  <si>
    <t>Juan Socies</t>
  </si>
  <si>
    <t>…; el del Dux se llamaba Pablo el Veronés: tamiento se dedicó con el activo y patriota Sr. teniente de Rey ejerce la virtud mas fácil y la mas insignificante de todas, Mignard estaba haciendo el retrato del R ey, y Van-D ick D. Juan Socies, á asegurar la plaza del golpe de mano que pa­ cual e&lt; la caridad mal entendida: siembra su limosna al retrataba a su esposa, al hijo y al perro del Dux. ¿Qué pues recía intentaban los enemigos. acaso para recolectar mendicantes; priva á la vida hum a­ podia causar asombro de este aso…</t>
  </si>
  <si>
    <t>Soja, Antonia</t>
  </si>
  <si>
    <t>Antonia Soja</t>
  </si>
  <si>
    <t>…tableciere que en escribanos del crim en , con lo que cada uno de dichos jueces el ínterin previniese e| juez del distrito, habría siempre que tendría cuatro para el pronto despacho de los negocios y tener En la librería de Doña Antonia Soja , calle de las Carretas, inüdar de mano en las primeras diligen cias, lo cual es suma­ roas expedita la administración de ju sticia, en c u y o caso co n ­ se hallan de venta los siguientes opúsculos, impresos años mente perjudicial á la administración de justicia. El método de vendría…</t>
  </si>
  <si>
    <t>Sojo, Antonia</t>
  </si>
  <si>
    <t>Antonia Sojo</t>
  </si>
  <si>
    <t>…---- 569 actual al Sr. intendente general m ilitar, ha dispuesto este su­ Staffordshire. De algodón..........................*.................. perior gefe convocar á otro nuevo remate en esta corte, que En la librería de Doña Antonia Sojo calle de las Carretas, 346 deberá verificarse el dia 4 de Setiembre venidero en los es­ , ,, se hallan de venta los siguientes opúsculos impresos años TVestmoreland. trados de la intendencia general bajo el nes aprobado para este servicio. Lo que se anuncia al público pliego de , .…</t>
  </si>
  <si>
    <t>…célebre Boileau Despreáux , cuya coexistencia con t0ni° Francisco Solís, Antonio Gó­ Racine , Moliére, Fenelou y demás célebres escritores del siglo mez, Matías González , Juan Santana , Pedro Diaz', José En la librería de Doña Antonia Sojo , calle de las Carretas que pudo llamar de oro la Francia , parecía como indispensa­ M oreno, Tomás Palacios, Baltasar Gómez, Simón de Dios, se hallan de venta los siguientes opúsculos, impresos años ble para que con mas rapidez y exactitud se fijase la Opinión Isidro Sanz, Teodoro M…</t>
  </si>
  <si>
    <t>…y se consideren con derecho á dichos bienes con los documentos moderno 6. justificativos de su respectivo cré d ito , y de lo contrario les pa­ Treinta y nueve estampas de distintas clases de peces de la E n la librería de Doña Antonia Sojo , calle de las Carretas, rará el perjuicio que haya lugar. costa de C antabria, ilum inadas al natural. Precio an tig u o de se hallan de venta los siguientes opúsculos , impresos años cada una 8 rs., y moderno 6 . h á , de D . M artin Fernandez de N a varrete , director del depósit…</t>
  </si>
  <si>
    <t>Sol, Francisco</t>
  </si>
  <si>
    <t>Francisco Sol</t>
  </si>
  <si>
    <t>…re a l i- j d e nunc i a por siete votos contra dos que di si nt i er on ; á saber: por el Sr. Gasas zará con menos di li cul tades, y esta admi rabl e concepción de un j Por la af i r mat i va D. Ma r i a n o Be l mo n t e, D. Francisco Sol ano •patriotismo poderoso, se sacarán con el tiempo mar avi l l os as \ de la T o r r e , D. José de la Roca , D. José Severo Gar cí a , Don En cel ebridad del d i a estará el teatro i l u m i n a d o . ! ventaj as de esas ciases tan mi serabl es, tan g r a v o s a s, doble pl a­ Mar…</t>
  </si>
  <si>
    <t>Solana, Leopoldo</t>
  </si>
  <si>
    <t>Leopoldo Solana</t>
  </si>
  <si>
    <t>…tre jes estaban horriblem ente desfigurados. La moda era to­ ellos dos de la Fuente del Fresno y el facineroso Olivares de m ar los héroes de los nombres mas célebres de la historia El general en gefe del ejército del Centro D. Leopoldo Solana. g riega y romana; pero ni Giro, ni A lejandro, ni G leba, ni O-Doneli ha llegado hoy á Murviedro. (L/.) La de la derecha del Tajo , de 69 á 70 caballos al mando Horacio eran otra cosa mas que caballeros de la corte de de Rito.Flores, perseguida y sin entrar en pueblo alguno , ha L…</t>
  </si>
  <si>
    <t>Solana, Manuel</t>
  </si>
  <si>
    <t>Manuel Solana</t>
  </si>
  <si>
    <t>…recibo de intereses de vales, re­ Habiendo fallecido en esta corte Doña Francisca Huertas* carrera, sin pérjuicio dé lo que sobre el particular se determi­ gistro 185, núm. 17, de 11,371 rs. 17 m rs., bien entendido viuda de D. Manuel Solana , vecino que fue y dél comercio de ne en la ley cuyo proyecto presentará el Gobierno á las Cor­ jue de no comparecer le parará el perjuicio que baya lugar. la ciudad de Toledo , bajo testamento , en que dejó por herede­ tes ; pero es la voluntad de S. M. que en lo sucesivo sé observe r…</t>
  </si>
  <si>
    <t>Solano, José Rodríguez</t>
  </si>
  <si>
    <t>José Rodríguez Solano</t>
  </si>
  <si>
    <t>…- haya de salir la primera en la segunda elección general. El secretario general. A mera instancia de esta muy herórica v illa , refrendada del Art. 70. Los gefes políticos deberán oir á las diputaciones escribano del número D. José Rodríguez Solano, en los autos provinciales antes de tomar resolución alguna en los negocios de testamentaría de D. Mariano Muriel y Doña María Santos de que hablan los artículos 28 , 47 y 65 de la presente ley. A yuntam iento con stitu cion a l d e M a d rid . Barragan, ya difuntos, vecinos qu…</t>
  </si>
  <si>
    <t>…u r á n , juez de p r i— inera instancia de esta c a p i t a l, refrendada del escribano pues, de la necesidad de corregir estos defectos en lo que M a d r id 51 de Eoero de 1859. = M a n u e l G o n zález Brabo. del número D. José Rodríguez Solano , se ha señalado para la concierne al monte pió del ministerio, tengo la honra de ju n ta general de acreedores de D. A n tonio Piuíino Cogolludo presentar á la aprobación de Y. M., previo acuerdo del el dia 24 del c o rrien te, á las diez de su m a ñ a n a , en la a u ­ co…</t>
  </si>
  <si>
    <t>…sultará de dio si embarazar la. dLeu- 1111 Gobierno constitucional? ¿era ora Gobierno que debe primera instancia de esta corte, y escriba oía «3e:l numero 00 seguí ir La marcha del siglo* k marcha de las circunstancias* y de D. José Rodríguez Solano , se vende á voluntad de sos; due­ si ora? Porqae la cuestión * concretada á si ha de haber o do ños y para pago de acreedores urna casa era esta población , ca­ Consejo de Estado para que auxilie al Gobierno con sos luces, sobretodo* los cuerpos La marcha de Da opinión nacion…</t>
  </si>
  <si>
    <t>…dor del 5 por 100, 2(H con cupones al *- primera instancia de esta villa, y escribanía de número de Dos tomos en 8.° Precios: en r a m a , á 20 rs. vn. el ejem­ contado: 21, 2 0 | , % y 21 á v. f. vol. y firme: 2lg&gt; á 55 d. f. D. José Rodríguez Solano se subasta una casa en esta población, plar : en rústica, á 2 2 : en pasta , ó á la holandesa , á 26. Al ó vo!. á prima de § por 100 coa cupones. y su calle de Embajadores , número 7 antiguo, 55 moderno, que tome doce ejemplares en rama se aumentará uno gratis. inscripciones e…</t>
  </si>
  <si>
    <t>SOLANOT, Secretario TORRES</t>
  </si>
  <si>
    <t>Secretario TORRES SOLANOT</t>
  </si>
  <si>
    <t>…nicaciones recibidas del Gobierno correspondientes á la mecánicas y las liberales, desenvolviendo con muy buenas junta preparatoria. ideas las razones en que se funda la superioridad que sue­ Ó EL ENAMORADO DE UNA REINA : El Sr. Secretario TORRES SOLANOT leyó un oficio del le darse á las segundas respecto de las primeras. Pero nues­ comedia nueva , en dos actos, original de Mr. Scribe. Sr. Secretario del Despacho de la Gobernación de la Península, tro autor, con muy buena filosofía, reconoce «que la socie­ manifestando que…</t>
  </si>
  <si>
    <t>Solanot, Tmres</t>
  </si>
  <si>
    <t>Tmres Solanot</t>
  </si>
  <si>
    <t>…acia y Justicia en cumplimiento del art. 11 ñor Ruiz dé la Vega 1 6 , el Sr. Ondovilla 1 2 , el Sr. C h a - D. Pió Pita P iz arro , en que manifiesta que habiendo sido re­ del ceremonial dispuesto para la misma. coa 1 1, el Sr. Tmres Solanot 1 9 , el Sr. Salas Omaña 2 , el se­ elegido por la provincia de Pootevedra, y elegido al propio El Sr. Presidente anunció que mañana á las doce se reuni­ ñor marques de V ilu m a 1 2 , el Sr. González 1 , el Sr. Ileros 1 tiempo Diputado por dicha provincia , d ir ig ía copia del acta…</t>
  </si>
  <si>
    <t>Solanot, Torres</t>
  </si>
  <si>
    <t>Torres Solanot</t>
  </si>
  <si>
    <t>…te la intervención de la tos, el Sr. Medrano 31 , el Sr. marques de Vilum a 2 1 , y el ( a g r e e d ) en general sobre los negocios pendientes entre la T u r ­ E u ro p a, y en consecuencia se ha suspendido la salida de los Sr. Torres Solanot 14 ; y habiendo reunido mayor número de quía y el E gipto : y que también tenían encargo de pedir á la comisionados. votos los dos primeros, quedaron elegidos Secretarios. Puerta que suspendiese toda negociación con M ehem et-A lí y que El 30 de J u lio se verificó en casa de Nouri-…</t>
  </si>
  <si>
    <t>…Es un ex­ de secretarios. Ocupados por dichos señores sus respectivos asientos, el se­ celente ces bosquejo de la ciencia según el estado que enton­ tenia, trazado con suma inteligencia, con muy buen SUBASTA. ñor secretario Torres Solanot leyó un oficio del Sr. secretario del Despacho de la Gobernación , remitido con fecha 29 del juicio y con imparcialidad, y en que se aprecian en su r v O N Juan Pablo Martínez de Hervás, marques de Almenara, corriente, trasladando el del Sr. Presidente del Consejo de M i­ justo valor…</t>
  </si>
  <si>
    <t>Soldado, Simón Esteras.</t>
  </si>
  <si>
    <t>Simón Esteras. Soldado</t>
  </si>
  <si>
    <t>…romete en fin que se llenen audiencia de Cáceres, juez de primera instancia de esta tura Mateu , Esteban Pey. los objetos que se propusierou los hombres eminentes del reina­ ciudad y su partido &amp;c. Segunda compañía.=:Capitan: D. Simón Esteras. Soldado: do de Cárlos m al crear estas reuniones de amigos del pais. Por segunda vez cito, llamo y emplazo á los que se crean José Garriga Mientras esto suceda espera de vosotros, jóvenes toledanos, con derecho á los bienes que quedaron por la defunción de Tercera compañía.=:Soldados…</t>
  </si>
  <si>
    <t>Soldevilla, D. José</t>
  </si>
  <si>
    <t>D. José Soldevilla</t>
  </si>
  <si>
    <t>…. D. Juan Gerónimo Cebados. Sr. D. Manuel Martinez Ayala. Zaragoza. »Duque de Zaragoza. Córdoba. Navarrai »j D. Juan Antonio Castejon. Sr. D. Diego Alvear. Sr. D. Fermin Arteta. »D . Miguel Laburda y G alindo, obispo electo Sr. D. José Soldevilla , electo. Sr. D. Agustín Arrnendariz, Vicepresidente 4»° de Puerto-Rico. Sr. D. Francisco Gamero Cívico y Benjumea. Sr. D. Gaspar Elordi. »D . Juan Romeo y Tello. Sr. D. Antonio Valera. Sr. I). Luis Fernandez de Córdoba. Sr. D. Antonio Ramírez y Arellauo, electo. Sr. D. Miguel…</t>
  </si>
  <si>
    <t>Soler, Miguel</t>
  </si>
  <si>
    <t>Miguel Soler</t>
  </si>
  <si>
    <t>…que nuestros suscriptores tienen gratis, Otra i d . , sierra Almagrera, barranco Jaroso, término de zar , D . Basilio Ramos, D . Antonio Prieto; quienes declararon cuesta 20 rs. al menos mensualmente. Cuevas, las Animas, por D. Miguel Soler, en 8. no haber lugar á la formación de causa por ciuco votos contia Otra id., id., id., S. Cayetano, por D . Francisco Lledo Puntos de suscripción. Madrid , en el despacho del p e r ió ­ cuatro. Valdibia , en 8. d ic o , calle de la M ontera , núm. 1 4 ; y en la librería de Rios Otr…</t>
  </si>
  <si>
    <t>Solimán</t>
  </si>
  <si>
    <t>…estamos prontos á í turco tenia mas artillería que la que he mencionado, y creo que ya pena solo se librarán descubriendo los agentes principales acordarle desde hoy. {EL Liberal.) no ha podido clavar ningún*.—Firmado el general Solimán - siempre que se logre su captura. bajá. Estas prevenciones se considerarán como parte del mencio­ nado bando de 1.° del actual , avisándome el recibo los coman­ GRAN BRETAÑA. Mr. Gan de Geutilly ha legado al morir una cantidad de dantes generales de provincia encargados de su publicación…</t>
  </si>
  <si>
    <t>Solteras</t>
  </si>
  <si>
    <t>…spitan general de Castilla la N u ev a , con fecha 8 del Solteros..................................... 599 50 años de edad. No tuvo otro ejercicio que el cuidado do ­ actual, dice que el día 5 se presentaron á indulto al sargento Solteras.. . . . . . . . . . . . . . . 585 méstico , pues ambos maridos la sostuvieron con comodidad. comandante del cantoo de Cenicientos 10 facciosos con su ca- Casados........................ 245 Fue de bella índole, y muy parca en el comer ; no gustaba sino IttciSEa, el Barberp, todos ellos con…</t>
  </si>
  <si>
    <t>Solís, Antonio</t>
  </si>
  <si>
    <t>Antonio Solís</t>
  </si>
  <si>
    <t>…me­ Juan José Bonel y Orbe* obispo de Cór­ Bernardo Mallo, publicándose en seguida por el Sr. presidente doba........................................................... nester criterio harto fino y ejercitado para deducir de D. Antonio Solís................ ............. .. ................... Avila. Almería. la votación. ellos la verdad de la historia en su exactitud y pureza. D. Alvaro Gómez Becerra......................................Badajoz. Juzgamos por lo mismo que las obras de esta clase acome­ D. José Camps y So…</t>
  </si>
  <si>
    <t>Solís.rdPor, Dionisio</t>
  </si>
  <si>
    <t>Dionisio Solís.rdPor</t>
  </si>
  <si>
    <t>…ografía contera poránea.mCár los x (conclusión.) Por D. G. G. situaciones de indigencia, sentimientos vulgares y falta abso­ de nueve dias que por tercero y último se les señala , comparez­ Noticias sobre la vida y escritos de D. Dionisio Solís.rdPor luta de invención. can en la escribanía principal de amortización calle del Lobo, D. Ju an Eugenio Hartzembusch. Al menos el buen lenguaje ó los buenos versos pudieran di­ número 8 , piso segundo, á prestar sus respectivas declaracio­ Frenologia.mPor D. Juan Drument. simular t…</t>
  </si>
  <si>
    <t>Sommerset</t>
  </si>
  <si>
    <t>…contado con tantinopla. uoa cotilla azul celeste, sobre la que están bordadas las armas su conocimiento y aprobación. Se dice que un cuerpo de tropas turcas de poca considera­ de la fam ilia de dicha señora (es h ija del duque de Sommerset) . 2.° Se intim ará á M e h e m et-A lí la restitución de la escua­ ción ha continuado las hostilidades contra los egipcios, quie­ adornadas con otros bordados de plata. Sobre la .cabeza llevará dra turca , y qué se contente con la herencia de Egipto hasta nes han pasado el E ufrates; mas…</t>
  </si>
  <si>
    <t>Son, José García de Yillalta.</t>
  </si>
  <si>
    <t>José García de Yillalta. Son</t>
  </si>
  <si>
    <t>…ador del 4 por 100, 19 antiguos coa ea« U lS T O R IA de la vida y viajes de Cristóbal Colón, escrita en pones. ó EFEM ERIDES * V ingles por W ashington Irving, y traducida al castellano Vales Reales no consolidados, 00. por D. José García de Yillalta. Son cuatro; tomos gruesos en Deuda negociable de 5 por 100 á papel, 00. Idem sin interés, 00. DE LA GUERRA CIVIL 8.° á 100 rs. en rústica y 120 en pasta. Se hallará en Badajoz, Carrillo: Barcelona, Gaspar: Barbastro, Lafita: Bilbao, Del— Acciones del banco español de S.…</t>
  </si>
  <si>
    <t>SonkofL</t>
  </si>
  <si>
    <t>…as, un mensaje de esta Los príncipes Dolgoruky y B a ria tim k y , el barón de Lieven, naturaleza ha de poner necesariamente trabas á las negociacio­ nes y retardar la conclusión de ellas. Que si se quiere de ello el consejero SonkofL ky, el general K av elin e , el conde Tolstoy, GRAN BRETAÑA. una prueba, no hay mas que examinar el origen de la proposi­ Mr. de Aldesberg, el coronel Jou rgew itch y M r. de Patkul ción , y se verá que lejos de mudar la situado?', por el adveui - formaban parte del acompañamiento del Gr…</t>
  </si>
  <si>
    <t>Soreh, D. Luis</t>
  </si>
  <si>
    <t>D. Luis Soreh</t>
  </si>
  <si>
    <t>…s y mis­ Braulio Rodrigo de la Dehesa, indivÁduo de la diputación pro­ entes de considerar las obligaciones que se contrae» por este vín­ teriosas que experimenta eí a iroa del joven al contemplar ei es­ vincial ; el Excrao. Sr. D. Luis Soreh , presidente de la junta culo sagrado. Todo esto se aprende después ea virtud de análi­ pectáculo variado del campo en una hermosa mañana de pri­ de liquidación de la deuda del Estado; D. Féfix D ’Olh^berria- sis, raciocinio* y experiencias. mavera , ó en una tarde apacible del otoño?…</t>
  </si>
  <si>
    <t>Sorela, D. Luis</t>
  </si>
  <si>
    <t>D. Luis Sorela</t>
  </si>
  <si>
    <t>…con arreglo al Real decreto de 15 de Marzo de 1857, é instrucciones poste­ al cuidado de las cuatro compañías restantes del regimiento de Por satisfecho en pago de sueldos de todas Castilla. , riores, compuesta del Extmo. Sr. D. Luis Sorela, presidente de clases........................................ . la junta de liquidación , y haciendo veces de vicepresidente 3 - 8 2 9 ,9 5 7 .- 1 6 Marchó la columna del coronel Velarde con el objeto de Id. gastos ordinarios y extraordinarios de to­ envolver al enemigo , á cuyo efe…</t>
  </si>
  <si>
    <t>…s se ocuparán de tan importante ma­ jandro López, individuos de la diputación provincial; el propiedades públicas ó particulares. La ley de 5 l de Agosto teria con toda preferencia. El Gobierno la recomendará en los Excinó. Sr. D. Luis Sorela , presidente de la junta de li­ de 830 previno quidación de la deuda del Estado; D. F élix D’Olhaber- cuenta del tesorotambién la indemnización correspondiente por términos que ha indicado el infrascrito á S. E. el Sr. barón público á los habitantes de Paris cuyos esta­ Deffaudis, y…</t>
  </si>
  <si>
    <t>…estaba el acta de Viana. Rodríguez de la Dehesa, individuo de la diputación provin­ sos. La comisión ha visto estas reclamaciones, y conoce que no El Sr. A RM EN D A R IZ: He dicho que no la he visto, (/''a- cial ; el Excmo. Sr. D. Luis Sorela, presidente de la junta de hubo toda la imparcialidad necesaria; pero no ve pruebas cla­ rias voces : N o , no.) liquidación de la deuda del Estado; D. Félix D ’OIhaberriágue ras de parcialidad. Señores, que no admitió emigrados. ¿Por El Sr. CA BA LLERO : El acta está con los demás do…</t>
  </si>
  <si>
    <t>…1 que ras de solaz y lícito recreo; y en fin, porque algunos escritores creen su deber es respetar todo lo que emana de persona tan acre­ na y Gallegos; esto prueba que el Sr. Fernandez rinde con su I provincial; el Excuso. Sr. D. Luis Sorela, presidente de la jun- ¡ memoria justo tributo á estos maestros de tan opuestas épocas. j ta de liquidación de la deuda del Estado ; D. Félix D ’Qihaber- ditada el autor come el Sr. Bretón, y que la censura solo debe usarse coa novel, con el que da sus pr;meros pasos por esa larga…</t>
  </si>
  <si>
    <t>…que no se puede pronunciar decreto de 15 de Marzo de 1857 é instrucciones posteriores, de 2 rs. al mes, y 10 por un trimestre, franco de porte en las sin ruborizarse: nuestra lengua ha inspirado mas de un compuesta del Excmo. Sr. D. Luis Sorela , presidente de la jun­ provincias. libro malo escrito en muy buen estilo; no es ella tan hi­ ta de liquidación, y haciendo veces de vicepresidente de la La entrega 6.a, correspondiente al domingo 12 de M ayo, pócrita como la llamáis. Si es un mérito el atreverse á to­ quema por indis…</t>
  </si>
  <si>
    <t>Soria</t>
  </si>
  <si>
    <t>…e se han distinguido y se hallen en el del general Mendez V igo, habia nombrado por su presidente El comandante general de Ceuta en comunicación de 1.° del caso de serlo» al Sr. marques de Castelldosrius, y por secretario al Sr. Soria. actu al, recibida por extraordinario, da parte de haber descu­ El Sr. PRESIDENTE observó que no habiéndose presen­ bierto una conspiración , en la que sé trataba de poner aquella tado el dictámen acerca de las enmiendas del proyecto acerca plaza á disposición del Pretendiente, y que esta circ…</t>
  </si>
  <si>
    <t>…com ­ para llamarle á mejor terreno; y conseguido le ata có, siendo salud. pañías en sus tapias y edificios. Desde las mismas posiciones co­ el resultado , después de perseguir al enemigo por espacio de m uniqué al comandante de Soria por un ordenanza , que de­ cinco horas y media, y desalojarle de cuantas posiciones iba R E A L DECRETO. jando dos compañías en el vado de Avehusco subiera con las tomando en su retirada, dispersarle completamente sobre las restantes al inmediato á las casas de Gamarra para su defensa y altu…</t>
  </si>
  <si>
    <t>Soria, Rafael Caamaño Pardo.</t>
  </si>
  <si>
    <t>Rafael Caamaño Pardo. Soria</t>
  </si>
  <si>
    <t>…aparecido. {Debnts.) «D . Sebastian Fernandez Bailesa. «D . José Ozores, señor de Rubíanes. «D . Domingo M aría R uiz de la Vega. « D. Antonio Quiroga. El D iario deA os D ebates del 2/f dice, qué los Ministros «Comendador D. Rafael Caamaño Pardo. Soria. aguardarán para retirarse la discusión de la respuesta al dis­ D. Juan del Gayo. « D . M anuel Joaquín T arancon, obispo electo de Zamora. curso del trono, en la cual expondrán su sistema de gobierno, «M arques viudo de Póntejos. y darán las explicaciones que se les exij…</t>
  </si>
  <si>
    <t>Soria, Real</t>
  </si>
  <si>
    <t>Real Soria</t>
  </si>
  <si>
    <t>…Y ald e n a rro s, M onasterio’ de de V illa n u ev a, instruida la corporación, con a grado, de las berlanga, A lm en ar, M onteagudo y otros, son los mejor habidos. útiles ideas que la proponen los Sres. magistrado fiscal de Real Soria 20 de N oviem bre . W lo mismo es indispensable que los ay u n ta m ie n to s, Sres. c u - Hacienda D . Vicente Vázquez Queipo y el Sr. D . José de la as y personas acomodadas e instruidas inculquen sin cesar la L u z, director de la Real sociedad patriótica, en el informe que Gobierno s…</t>
  </si>
  <si>
    <t>Soriano, Pedro</t>
  </si>
  <si>
    <t>Pedro Soriano</t>
  </si>
  <si>
    <t>…D. Manuel Habiéndose denunciado ante el Sr. alcalde constitucional Al dia siguiente de realizarse el sorteo se darán al público batallones mas numerosos, disciplinados y valientes conque apoderado del Maestre y San Román por D. Pedro Soriano como las listas impresas de los números que hayan conseguido pre- Sr. D. Manuel López C epero, canónigo de la _ cuenta su facción ; y vea por úUimo que coo una insignificante santa iglesia patriarcal aunque sensible pérdida de nuestros valientes , y en cuatro d cuaderno 2 0 , tomo 4…</t>
  </si>
  <si>
    <t>Soriano, Salvador Carreres y D. Luis</t>
  </si>
  <si>
    <t>Salvador Carreres y D. Luis Soriano</t>
  </si>
  <si>
    <t>…a española , 29¿. ción , ha acordado verificarlo, y conceder las distinciones si­ después acudieron á firmarla varios Sres. Diputados. Id. pasiva, 7 |. guientes: El Sr. R O D A : Para apoyar esta proposición me refiero ab­ A D. Salvador Carreres y D. Luis Soriano, de Carcagente solutamente al discurso que tuve el honor de pronunciar en títulos de socios corresponsales por las variedades nuevas d&lt; este sitio antes de ayer. He dicho. manzanas, peras, granadas dulces de extraordinario tam año, j Preguntado si sé tomaba en c…</t>
  </si>
  <si>
    <t>Soroa, Santiago</t>
  </si>
  <si>
    <t>Santiago Soroa</t>
  </si>
  <si>
    <t>…estro tes­ nales; y que los que quisieran quedarse, estaban indultados por timonio de gratitud al comandante del referido bloqueo el ca­ Idem 19. su sublevación si en ella hubiesen tomado parte: que la plaza pitán de fragata D. Santiago Soroa , y al coronel de infantería Parte telegráfico. El de M urviedro dice á las nueve de seria entregada en el mismo estado ó con las existencias en que secretario de esta capitanía general D. Francisco Feliu de la esta mañana. se encontraba eu el acto de su pronunciamiento: que estaban…</t>
  </si>
  <si>
    <t>Soss-a, Francisco Gutiérrez</t>
  </si>
  <si>
    <t>Francisco Gutiérrez Soss-a</t>
  </si>
  <si>
    <t>…pasado primer tomo por el mismo precio de suscripción al tiempo de D, Ramón G¡raido, D. Lorenzo Villanueva, D. José Alonso, de 1837 de la ciudad de Murcia , para solo el efecto, por aho­ hacerla por el tomo ó tomos siguientes. D. Francisco Gutiérrez Soss-a, D. Francisco !&gt;ala, D. Juan A n­ ra , de que inmediatamente le dé el correspondiente aviso por Continúa aquella abierta en los términos y por el precio drés de Segó vía , D. Antonio Saenz de Vizrnanos (fiscal), y medio de su escribano de Cámara D. Manuel de Carranza del q…</t>
  </si>
  <si>
    <t>Sostres, Joaquín</t>
  </si>
  <si>
    <t>Joaquín Sostres</t>
  </si>
  <si>
    <t>…os jactamos; es el juzgado de primera instancia de Solsona , de entrada , en la versidad y Obstinación; porqué previniendo el reglamento de obrar contra nuestros propios intereses que claman por el au —v provincia de Lérida, á D. Joaquín Sostres; y para la proinoto- aranceles que se tasen en 2 rs. los escritos que no llevan firma mentó de brazos ú tiles, y ciertamente no conseguiremos tan im ­ ría fiscal del juzgado de S a ld a ñ a , en la provincia de Palencia, de ab o gad o, sólo en esta pequeña é insignificante suma sale…</t>
  </si>
  <si>
    <t>Sosvilla, Pedro</t>
  </si>
  <si>
    <t>Pedro Sosvilla</t>
  </si>
  <si>
    <t>…S. F e r n a n d o , al m ando de su c a p itá n el d r é s , aun qu e no sea mejor que el del claustro de S. J u a n de merecen sin embargo que se les d istinga de lo densas en que teniente de navio grad u a d o de la arm ada D. Pedro Sosvilla , d e­ los Reyes de Toledo, ni que el de la capilla de! cardenal Cisneros ab unda el patio y sala baja de la a ca d e m ia ; asi como también morará su salida del puerto de C ádiz para M an ila hasta 51 de bu Alcalá de H en ares, es al menos de mas á rd u o desempeño dos copias en m i…</t>
  </si>
  <si>
    <t>Soto, Francisco</t>
  </si>
  <si>
    <t>Francisco Soto</t>
  </si>
  <si>
    <t>…, £ á 1 id. bado por Esquivel ( M . ) , con pastosidad y acorde. Tiene 20 p. Otra id., sierra Almagrera, término Cuevas, Virgen del So­ Santander, par din. y 8 I. de alto, y 10 p. y 3 1. de ancho: Precio antiguo 24 corro, por D. Francisco Soto, en 14» Alicante, \ á £ d. Santiago, 1 £ á 2 d. reales, y moderno 16 . Otra id ., sierra Almagrera, barranco Jaroso, término Cue­ Barcelona á ps. f s ., par din. Sev illa, f á ¿ id. vas , S. Julián , por D. Julián López, en 14 . Bilbao, 1 papel, d. V alen cia, par. id. Otra id., i d…</t>
  </si>
  <si>
    <t>Sotoma-, Francisco Bermudez</t>
  </si>
  <si>
    <t>Francisco Bermudez Sotoma-</t>
  </si>
  <si>
    <t>…..................................................................................... 20 nos', numismática , aplicada á la legislación española. D . B. A rce. ........................................... Idem —De ocho á nueve , D. Francisco Bermudez Sotoma- D . José Guerrero de Torres................................................... 19 160 y o r, árabe. Jueves.—De ocho á nueve, D. Francisco José Fabre , geo­ TEATROS. Sres. condes de Cories y Santa Eufem ia.........................., 500 D . Pedro Yagiie.................…</t>
  </si>
  <si>
    <t>Sotomayor</t>
  </si>
  <si>
    <t>…, por todo el mes de Octubre próximo venidero. Conde de Art. 64 . El R e y , prévio el oportuno expediente, que for­ salió de la corte en 24 del mes últim o, el cual fue intercepta­ la G ran ja, marques de Monte R ea l, duque de Sotomayor, mará el gefe político oyendo en un breve término á los intere- do y quemado: en su virtud se anuncia al público que en el grande de España, marques de los Arcos, y de Tenorio, y conde dos, podrá disolver al ayuntamiento, destituir al alcalde ó te­ caso de que se hubiere salvado a lg u n…</t>
  </si>
  <si>
    <t>…dencia de la provincia de Madrid. p O R el presente se citan , llaman y emplazan á todos los que El Excmo. Sr. D. Ignacio de Sotomayor, Nin , Masones de se crean con derecho á participar de los bienes del patro­ Limia, duque de Sotomayor , grande de España , marques de los nato fundado en esta ciudad por D. Francisco Camacho de v</t>
  </si>
  <si>
    <t>Sotomayor, Francisco Bermudet</t>
  </si>
  <si>
    <t>Francisco Bermudet Sotomayor</t>
  </si>
  <si>
    <t>…yo título es rioso es examinar asi á la luz de la filosofía las causas que Taquigrafía. MEDIDAS EXTRAORDINARIAS, han producido entre nosotros la escuela dramática que se llamó romántica (y decimos llamó, porque hoy solo exis­ D. Francisco Bermudet Sotomayor, id. id. de ocho ¿ nueve. Ó LOS PARIENTES DE MI MUGER. te de nombre ): Victor Hugo y Dumas, conocidos general­ Literatura, mente como creadores de ella, nacieron en la época en que con mas fuerza retumbaban losacentos de esas bellas teorías D. Luis Mata y Araujo, miérc…</t>
  </si>
  <si>
    <t>Sotos, Bonifacio</t>
  </si>
  <si>
    <t>Bonifacio Sotos</t>
  </si>
  <si>
    <t>…FR A N C E S, que se obró lo hizo olvidar pronta y completamente. el epígrafe de “ Refutación del manifiesto publicado por el ve­ (Constitutionnel.) nerable cabildo de esta santa iglesia catedral al público ” , im­ por el Dr. D. Bonifacio Sotos, maestro de lengua castellana de preso en la del Boletín con fecha 24 del referido mes de Marzo SS. A A. RR. los Sermos. Sres. duques de Orleans, príncipe de leídas las leyes y órdenes que hablan de esta materia, después d&lt; Joinville y princesa Doña María Cristina; rector que fue d…</t>
  </si>
  <si>
    <t>…a s e , BIBLIOGRAFIA. TEATROS CASTELLANO Y FRANCES. PRINCIPE. Hoy martes no hay función. Los que aspiren á ser cirujanos de tercera clase acompaña- « « a la solicitud los siguientes documentos Legalizados compe­ por el Dr. D. Bonifacio Sotos, maestro de lengua castellana de tentemente a 1.° la fe de bautismo por la que se acredite haber Ss. A A . RR. los Serraos. Sres. duques de Orleaos, príncipe de</t>
  </si>
  <si>
    <t>Souit</t>
  </si>
  <si>
    <t>…o que siempre los romanos formaron su de­ Mr. Folz, capitán de estado m a y o r, enviado aquí por el Después de esta ceremonia un gran número de dichos ofi­ fensa partiendo del radio al centro ; y aunque M atute y demás mariscal Souit al propio tiempo que Mr. Caillé en Egipto, ciales se despojaron de su traje semi-ruso y adoptaron el turco. anticuarios no hayan hecho mención de este sitio notable , creo vuelve á marchar hoy en el paquebote el Leónidas, Al mismo tiempo anclaban frente del palacio la mayor parte de no es fuer…</t>
  </si>
  <si>
    <t>…soltar á los cuatro desgra­ revestido de un carácter público, tiene obligación de responder? ciados que tiene en su poder. (Id.) Muchas voces : N o , no. Esta tarde ha vuelto á haber reuniones entre los puentes de EL mariscal Souit: Admitamos sin embargo, dice, que S. Dionisio y de S. Martin: numerosas y fuertes patrullas de la esta cuestión previa se resuelva de un modo afirmativo por la Guardia nacional, de la municipal y de tropas de línea se han Cámara , y que el Par interpelado esté dispuesto á responder, dirigido…</t>
  </si>
  <si>
    <t>Soul</t>
  </si>
  <si>
    <t>…ad f ut ur a y su tiempo. Y digo-esto, señores, porque el patriotismo recla­ la crisis mi ni steri al . ma de j usti ci a el reconocimiento p úbl i c o: esta es la úni ca re­ de nuestra c i u d a d m a r í t i ma . El mariscal Soul t no deja la obra de la m a n o , y tra ba j a L a natural eza del terreno y de aquel l a bahí a tienen un e n ­ compensa á que debe aspirar un p a t r i o t a , y qüe puede recl a­ con un a perseverancia que no c onse gui rá n e x t i n g u i r ni los lace estrechísimo con el depósito , por…</t>
  </si>
  <si>
    <t>Soult</t>
  </si>
  <si>
    <t>…istido en su opinión. d a d : ¿pero cuán deslumbrante no seria esta para que Rafael la Su resolución parece que ha obtenido la aprobación de Mr. elevase hasta sí?... ¿Con qué ardor no debia amarla?... En D u p i n y del mariscal Soult. Y viendo entonces que no era po­ »Tum Jesús sociis Bacchum Cereremque ministrat.” cuanto á ella, amó al joven artista con ese sentimiento exclusivo sible entenderse, se ha disuelto el Gabinete antes de estar for­ y sin límites que caracteriza el amor de las rnugeres de Roma; mado. Esas dos me…</t>
  </si>
  <si>
    <t>preopinantes* y señaladamente el honorable M r. T h i e r s , h an Me d irig í en casa del mariscal Soult, alentado con el honor que titu ir /a nuestra. Esto no seria digno de mí ni de! mariscal. dado ejemplo. (M u y hicn \ m uy bienl) la benevolencia de la C ám ara me habia h e c h o , á fin de renovar (Sensación. Señales de aprobación. Al descender de la tr i­ Corno él , jamas he tenido el hono…</t>
  </si>
  <si>
    <t>…um stturn prorogado benignamente el in - lista del nuevo ministerio como muy posible y hacedera. principio de mes, el Congreso d irá si ha de continuar la hora movenlhtm , induitum , de dulto de que se trata por otro E l mariscal Soult , M inistro de la G uerra y Presidente del de las doce para abrirse la sesión; á fin de que pueda la mesa &lt;]uo a g ita r , a d alium tan - año solam ente, observándose en Consejo. to m a r á esa hora su s itio ; el Congreso determ inará. -r ¡A tmnmodo anmnn benigno todo la form a de las precéd…</t>
  </si>
  <si>
    <t>…ad de un Gobierno débil todavía, confiadas á la protección coja las circulares doctrinales que y o he repartido, á causa de de toda la Europa. Con respecto al Rey O th o n , cartas de fecha Se aseguraba esta noche que el mariscal Soult no habia re­ ser perjudiciales mis doctrin as, lo cual nadie podrá decir ni reciente aseguran que toma con celo en todas las deliberaciones nunciado á la esperanza de formar un Gabinete con M r. H u - con sabiduría p rofu n d a , ni con fundamentos sólidos. del Consejo de Estado y en todos los…</t>
  </si>
  <si>
    <t>…matrícula de Mataró, con carga de tabaco y ción de sus placeres. géneros de ilícito comercio, después de un combate de Algunos escritores, principalmente mugeres, em pren­ cinco En efecto, todos los pasos dados por el mariscal Soult han dos ambos horas hasta resistir el abordaje, quedando destrui­ dieron resucitar el sentimentalismo de Rousseau; pero ya sido vanos. Ayer trató de reformar el Gabinete con MM. D u- buques de palos, entenas, velamen y aparejos, no se creia en é l, porque nadie sentia. A fuerza de haber pin ,…</t>
  </si>
  <si>
    <t>…zará la glo­ El Sr. Colomer: " A l Presidente del Consejo de Ministros de de ley electoral acerca de lo prevenido en el art. 4»° y 56 de la riosa memoria de la regencia de V. M. La paz brota como es­ Francia, al ilustre mariscal Soult.” misma. pontáneamente del seno mismo de la g u erra; el capitán inven­ Otros brindis se pronunciaron par los Sres. Burgos (D . J a - Los señores de la com isión, habiendo examinado el artícu­ cible que vinculó la victoria en su nombre y en su espada, es ú e r), L lan o s, V alle, San J u a n…</t>
  </si>
  <si>
    <t>…diando entre nuestro Gobierno y de Méjico. Se lee esta noche en el M e n s a je r o : de Francia contestaciones sobre este asunto, no nos corres­ En conclusión diré, que las famosas palabras de M r. Canning, Habiendo el mariscal Soult renunciado á formar u n Gabi­ ponde mezclarnos indiscretamente en las negociaciones. Pero de ,wque habia dado ja existencia á un nuevo mundo para res­ n ete, fue llamado ayer . por el R ey el duque de Broglie. Nada « a em bargo, es de desear que la Francia se penetre bien de tablecer la bala…</t>
  </si>
  <si>
    <t>…biendo querido re­ podrá conducirse mucho mas peso que hasta ahora, lo que con­ del d ia : portar ninguna ganancia el traductor, sucede que el mó­ siderado comercialmente, produce á la larga ventajas mayores Guerra. El mariscal Soult, presidente del Consejo, Ministro de la dico precio á que se vendió la primera ha podido re­ de lo que á primera vista aparece. bajarse casi en una mitad. Pero se observa con dolor El mismo ingeniero me dice que continúa con la mayor ac­ Mr. Sebastiani, Ministro de Negocios extrangeros. tiv…</t>
  </si>
  <si>
    <t>…dole fuertemente á que accediese á formar parte del Gabinete con Mr. Guizot, bajo la presidencia S. M. la Reina Gobernadora ha sabido con m ucho sen­ Por el presente anuncio se cita, llama y emplaza por tercera del Mr. mariscal Soult. T hiers, siempre dispuesto d ceder con respecto d tim iento y disgusto, que en las provincias del antiguo vez al licenciado D. Juan Vicente Bazago, subdelegado de Ren­ principado de Cataluña se procura con el m ayor esfuerzo tas nacionales que ha sido de la villa de Talavera de la Reina, l…</t>
  </si>
  <si>
    <t>…a , se prestaban á ella , excepto Mr. Humann , a quien no legislatura. seria dificil reemplazar, y que solo faltaba por consecuencia ob­ Un gran número de D iputados estaban reunidos hoy en la tener el asentimiento del mariscal Soult. sala de conferencias. La composición del ministerio proyectado El Rey ha oido con agrado lo proposición de Mr. Thiers, ha excitado, debernos decirlo, mucha sorpresa y encontrado y al efecto ha enviado á llamar inmediatamente al mariscal mucha incredulidad. Sevilla 27 de M arzo . Soult á pa…</t>
  </si>
  <si>
    <t>…cuyo talento, y cuya per­ Se lee en el M ensajero: presidencia sin apariencias de dejarla en mucho tiempo. El jue­ sona son tan extraños como singular y extraordinario su Se decia hoy en la sala de conferencias que el mariscal Soult ves próximo dará este su primera comida. Sin embargo, no se talento, siempre se vale de cuatro pianos á la vez cuando habia declarado estar ya concluida su misión; mas no se decia debe atribuir á ella mas importancia de la que tiene. trabaja, compone ó estudia en su casa. Va de uno en otro q…</t>
  </si>
  <si>
    <t>…tinopla, y estando seguros de vencer se mira al virey como re­ te en intervenir en cuestión tan importante. ducido á las últimas extremidades. Hé aqui en efecto en qué NOTICIAS EXTRANJERAS. Dos ayudantes de campo del mariscal Soult venían á bordo términos se expresa acerca de esto el Diario de Smirna , eco del Mentor , y han partido el 8 en el paquebote I Eurotas, fiel de las pasiones turcas. uno para Constantinopla y otro para Alejandría. (Id.) GRA N BRETAÑA. Alejandría 27 de Mayo.=:Los envíos de tropas y de m uni­…</t>
  </si>
  <si>
    <t>…istración ú ltim a combinación m in is te r i a l, se han reunido hoy á medio adonde pasó al medio dia á ponerse á las órdenes de S. M. le lord N o rm a n b y . E n semejantes circunsta ncias no ha d e ­ dia en casa del mariscal Soult , y después de haber conferencia­ El Rey le ha propuesto que interesando á su servicio , y para jado de asombrarnos el que la mayoría contra el ministerio 110 do se ha reconocido la im posibilidad de form ar un G abinete con ue pueda efectuarse la composición del Gabinete , desearía quí las…</t>
  </si>
  <si>
    <t>…do en la a d mi ni s t r a ci ón de los negoci os; pero la i n ­ l ogrado real izar todo c ua nt o {Jeteaba , al menos puede conso­ Todo c on t ri bu y e á al entar el espíritu de nuestra gloriosa flexible negat i va dei mariscal Soult paraliza la formación de un larse con que h&gt; he c h o, por poco que s e a . forma como una empresa. El Gobierno por su parte la estima en t a n t o , que no Gabi nete en este sentido. base sólida sobre la cual puede ma r cha r sin tropiezo y con toda cesa de dispensarnos c uan t a protección e…</t>
  </si>
  <si>
    <t>…obra constará de dos tomos en 4 *°j prolongado, de es­ crisis ministerial se hallaba en el mismo estado de resultas de A N U N C IO S. merada impresión y papel; las entregas que faltan para el com­ una indisposición del mariscal Soult, considerado generalmente pleto de la obra se darán á la mayor brevedad , quedando cer­ como el fa c iotwn del futuro miuisterio. rada la suscripción á la publicación de la eotrega 9 .a E L CONGRESO DE V E R O N A , guerra de E spaña, ne- Quéjense los periódicos de la coalición de esta pérdi…</t>
  </si>
  <si>
    <t>…V I G ESIM A P R IM E R A QUEMA. Bruselas, falló ayer 28 la causa política contra Bartels y Kats, H ay razón para creer que el marques de Dalmacia , hijo de que se ha estado ocupando por espacio de muchos dias. Se del mariscal Soult, será nombrado embajador francés en Lon­ Reunida en la plaza de la Constitución á las once de la ma­ habian propuesto al jurado 125 cuestiones; 52 con respecto á dres en reemplazo del general conde Sebastiani. (P ost .) ñana de este dia la jun ta nombrada por S. M. para presidir la Bartels y…</t>
  </si>
  <si>
    <t>…ca­ entre un ministerio Molé y un ministerio Thiers. Esta tenta­ Títulos al portador del 5 por 1 0 0 , l8 |co n cupones al con­ lle de Carretas, y en la botillería de la Red de San Luis , nu­ tiva no ha tenido efecto. El mariscal Soult se niega á formar dado: 1 8£ , | , 1 9 , un dieziseisavo, 1 8 | , f y 181 á v . f. vol. mero 5 2 , hasta las diez de la noche , y en el mismo local. un Gabinete. Restan pues solo dos ministerios posibles : el m i­ y firrne: 2 0 , l 9 | y 19| á v. f. vol. á prima de \ y ~ por nisterio Molé y el…</t>
  </si>
  <si>
    <t>…Pasiva , 6 §. como una declaración de guerra todo apoyo directo ó indirec­ rante dominación. Tres por 100 portugués, 22^. to prestado por el Emperador de Marruecos á Abd-el-Kader. Un periódico de la mañana dice que el mariscal Soult, luego que tuvo noticia de los sucesos de Africa , ofreció al Rey La Gaceta de los Tribunales anuncia esta mañana que el dejar su puesto de ministro de Negocios extrangeros y marchar Por la anterior correspondencia de Alcañiz verán nuestros lunes por la noche ha sido preso un individuo llam…</t>
  </si>
  <si>
    <t>…ieron á la nifiesto sus planas de letra española por el carácter de Iturzae- una menos cuarto para dirigirse á las Cámaras. ta , las cuales en sus respectivas muestras en nada desmerecen á Por la tarde recibió S. M. al mariscal Soult, al canciller Pas­ Jas prim eras; y de todas acompañamos á V. S. los ejemplares F R A N C IA . qu ier, al duque Decases, al conde Flahaut y el general Pajol. que tuvimos á la vista para el mas acertado juicio que desde Por la noche recibieron SS. M M . ú los embajadores de A us­ luego pueda…</t>
  </si>
  <si>
    <t>…a de recibir de Mr. Passy la noticia de haberse roto la combi­ efecto produ ce la herm osa com paración de Rioja. nación centro izquierdo, hizo llamar S. M. al duque de Bro- glie y le invitó á ponerse de acuerdo con el mariscal Soult ¡Qué callada que pasa las m on tañas para la formación de un Gabinete. El aura respirando m ansam ente! E! duque de Broglie respondió que estaba á las órdenes de i g á rru la y sonante por las canas! En la sesión de 50 de Abril Mr. D u pin pidió la palabra S. M. , y que aunque persistiese e…</t>
  </si>
  <si>
    <t>…n, rante Roussin en Constantinopla , ha llegado en el último va­ ley que le habia sido impuesta, y que debió establecerse una El almirante Lalandecon dos navios se hallaba ayer tam ­ mo por francés; viene enviado por el mariscal Soult; es el mis­ lucha continua Cutre él y los graneles propietario1», que irritó bién bajo el cabo Baba, adonde habia llegado el navio ingles que en 1852 fue á Kutahieh á fin de detener la marcha dé aun mas con la emancipación de los siervos, la fijación de un Vanguard de Palermo con pliegos del…</t>
  </si>
  <si>
    <t>…titución. pañía dejó de existir, y su número ha quedado vacante des­ á caballo su coronel (tschorbadgi), acompañado de de que un soldado que pertenecía á ella tuvo la osadía de po­ bote de vapor un ayudante dé campo del mariscal Soult que pa­ un oficial subalterno , el gefe de los aguadores (saka), cuyo uni­ ner su mano en la persona del Sultán Ostnan 11 en el motín sa al ejército de Ibrahim -bajá, y otro ha ido ha ido á Cons- forme de cuero adornado de cabezas de clavos de plata suenan acaecido en 1625. Está mandado expres…</t>
  </si>
  <si>
    <t>…y á la verdad no era de esperarse otra cosa del patriotismo Las mismas cartas dicen que el capitán Callier , ayudante Barcelona 4 de Agosto. é. ilustración del plenipotenciario venezolano, porque no es po­ de campo del mariscal Soult, habia llegado á Alepo con un ofi­ sible ceder á la Francia en materia tan importante , y que ma­ cial de Mehemet-Alí con órdenes expresas á Ibrahim -bajá pa­ Capitanía general del ejército y principado de Gata?uña.= ñana puede tal vez acarrear graves males al pais. ra que cesasen las hostil…</t>
  </si>
  <si>
    <t>…IALES. presentación, porahora , de Hasta ahora nadie está encargado definitivamente de for­ D O N Ramón C ailá, notario público y escribano de los juz- N O G A N A M O S P A R A SUSTOS. mar un ministerio. Ayer y hoy el mariscal Soult ha asegura­ gados de primera instancia de la presente ciudad, con ejer­ cicio en el cuarto de ellos, infrascrito. Certifico: Que en la Seguirá un P as-de-deux, nuevo, bailado por la Sra. Diez do á muchos diputados que no tenia poderes algunos, y que no estando encargado de ninguna misión , no…</t>
  </si>
  <si>
    <t>…estó á la Cárua- tiones que suscitan los asuntos de Oriente. La mayoría , en la Pero llegó el dia en que todo este prestigio sostenido á fuer­ r , que hallándose próximo á componer parte del ministerio, cual no estaba el mariscal Soult, ha pronunciado altamente las za de dispendios desapareció repentinamente. Los bienes de La­ l@ ocuparía de la formación del Gabinete. palabras de resistencia y de dimisión. La crisis se prolongaba , la Cámara había suspendido sus dy Esther empezaron á decaer por efecto de su ausencia: ca­ L…</t>
  </si>
  <si>
    <t>…capaz de hacer renazcan pron­ en el barrio de Hop H ané, el cual ha devorado varias tiendas. ta y vigorosamente las fuentes de riqueza pública, y asegurar El viento era muy fuerte, y el barrio todo entero peligraba, El mariscal Soult t nia intención de enviar su ayudante d&lt; sólidamente el trono constitucional de la excelsa Hija de Y. M., empezando ya á extenderse las llamas hácia el de Gálata. Los ma­ campo á Argel para establecer alli comunicaciones directas coa por cuyos preciosos objetos, que absorven toda la atención…</t>
  </si>
  <si>
    <t>…son románticas. Bajo ellas ha escrito Kot- puesto hoy su dimisión en manos de 8. M. píritu ni á los sentimientos comunes de la época. Mas román— Misantropía y el Arrepentimiento , y Schiller El Rey ha enviado á llamar ai mariscal Soult, que mañana Los Ladrones ; el primero no puede ser llamado un drama i las doce se presentará á S. M. tico es, en este sentido , el teatro de CorneilVe y de R acine, que inm oral, aunque sea contrario á nuestras ideas sobre el honor. el de Humas y de Víctor Hugo. Lo demostraremos. Ya hemos vi…</t>
  </si>
  <si>
    <t>…umerosas cues­ Ju n to al Cairo el Viejo hay u n a m ezq u ita, en la que buir grados militares a los mas distinguidos soldados, á su tiones que producen los asuntos de Oriente. La mayoría del lado en que no estaba el mariscal Soult pronunció altamente se halla un pozo grande y cuadrado con un p d a r octágo­ predilección por los oficiales extrangeros em pleados en or­ palabras de resistencia y de retirada. no de granito dividido en dígitos, ó líneas distantes como ganizar su ejército á la europea , ha venido a ser uno d…</t>
  </si>
  <si>
    <t>…de una destreza extraordinaria en los varios ejercicios que la libertad nacional, oponiéndose al pago de las contribuciones RUSIA. hicieron. ' 1 que nunca con mayores y mas bien fundadas esperanzas de re­ Se dice que el mariscal Soult habia aconsejado al Rey que coger el fruto de estos sacrificios necesita hacer efectivas al Go­ A consecuencia de informe del Ministro de los Dom inios, se organizasen 24 batallones de tiradores; pero parece que las bierno de Y. M. el Emperador ha concedido tierras en la Siberia á peticionario…</t>
  </si>
  <si>
    <t>tomado el puesto de la plaza , trataba de defender los alrededo­ El mariscal Soult no ha salido de palacio desde las cuatro bus de la E scifia, é incapaces de ningún esfuerzo en co^ res , sobre todo los del muelle Pelletier, coa el auxilio de dos de la tarde. (Id.) m u n , los rusos saben muy bien que ninguna rep resen ta­ ómnibus que habian volcado y atravesado en la emboca…</t>
  </si>
  <si>
    <t>…ado, los insurgentes que se habian fugado y ocultado á su aproximación, La noche al parecer debe ser tran q u ila: todas las posiciones comenzaron de nuevo sus trabajos para volver á dejarlos inme­ A l atravesar hoy el mariscal Soult por la plaza del C arrou- están ocupadas por destacamentos |de la tropa de línea y de la diatamente después. Asi ha trascurrido el dia. sel, ha sido reconocido por la G uardia nacional y la tropa de G uardia nacional: la barricada de la calle Neuve Saint-M ery Cada columna de tropas iba preced…</t>
  </si>
  <si>
    <t>…to de 1837, cuando el Rey, honrándome de nuevo con sü confian­ Desde que se ha negado á España hasta los auxilios indirec- servicios útiles y leales , haciéndole hoy la misma resistencia za me llamaba á su Consejo con el mariscal Soult, por qué no tos, ¿ pesa esta mas sobre nuestros negocios? ¿causa un peligro que hacia en otro tiempo á los violentos ataques de sus enemi­ me apresuré á responderá aquella? menor en nuestra política presente y futura 7 Ancona ha sido gos. Voy á daros las razones de mis ideas y de la conducta…</t>
  </si>
  <si>
    <t>…con M r. y M m a. Y a n de Veyer en su n mejicano á bordo del paquebote i’ E xpress. Cuando el a lm i­ decir todavía los torys que la administración de lord E b r in g - casa de P ortland-p lace, donde estuvo alojado el mariscal Soult rante r B audin dió orden de apoderarse del p ilo t o , ignoraba que ton no tiene mas apoyo que el populacho papista y los pobres durante su residencia en Londres. M r. Nothoinb permanecerá eel buque pertenecía á la m arina inglesa. Su extracción ha sido de I r la n d a , y que todas las pers…</t>
  </si>
  <si>
    <t>…peridad para los españoles. Ya no mas guerra, serán de pros­ Señora; y los Mr. D otineau, gefe de esenadron de estado m ayor, y ay u ­ lucha que con gloria y tesón han sostenido los hijos predilectos dante decam po del mariscal Soult, salió hasta Bouscaut al en­ de la p atria, todo, Señora, todo lo ha olvidado la corporación Cabreras y sus secuaces no tardarán en acogerse bajo el mater­ nal manto de V . M ., porque depondrán sus errores y los ab­ cuentro del Príncipe con un teniente de gendarmería. que representa en momen…</t>
  </si>
  <si>
    <t>…se nombraron muchos de los persona­ D urante el dia S. M. ha recibido en audiencia particular hierro y algunos Crucifijos de mucho gusto que respiran ternu­ jes que ambicionan hoy el poder y que probablemente no tar­ al mariscal Soult. ra y sencillez. Al ver aquel cementerio se diria que la estancia darían en variar de conducta , como el héroe de la pieza nue­ de la muerte es un jardín todo sembrado de pensamientos pia­ va , si se pusiese en sus inanos el gobierno del Estado. dosos que los vivos cultivan con esmero para imp…</t>
  </si>
  <si>
    <t>…obligados á explicarse. debia ser conducida al ejército egipcio por Mr. Caillé , ayudau- por los graves perjuicios que se les irrogan, y que ya se Mr. Gunin Gridaine ha declarado que el Gabinete creía te­ te de campo del mariscal Soult. tuvieron en consideración al dispensarles esta gracia por ner derecho para descargarse de este gravámen en el intervalo Mr. Caillé no ha partido de Alejandría hasta el 2(1 de Ju­ Real orden de 9 de Marzo de 1827. ¿le la legislatura. Celebramos que esta declaración se haya repe­ nio por la mañ…</t>
  </si>
  <si>
    <t>…la línea que nuestras leyes me han trazado. him á su p adre: 5.° una nota del capitau C ú l l e r , fecha eu el Tal será siempre el fin único de todos oii$ esfuerzos y de todos campo de Marasch á 5 de J u lio últim o al mariscal Soult acer­ PARTE NO OFICIAL. mis deseos. Convencido que para el cumplimiento de este gran deber ca de la batalla de Nezib. En la carta que M e h e m e t-A h dirige al g r a n v is ir , después tengo necesidad del concurso de un Ministro en quien se halle de hacer uso de las mas humildes íórm u…</t>
  </si>
  <si>
    <t>…Thiers y al ve , si el Gabinete de Londres no se esfuerza por restablecer la internuncio del Papa. buena inteligencia. Por la noche recibió el Rey á M r. Hum ann. ANUNCIOS OFICIALES. SS. MM . recibieron en seguida al mariscal Soult, al m ar­ ques de Dalmacia, al general Lavoestine, á Mr. Fulchiron, El capitán bajá ha vuelto á salir de los Dardauelos : des­ individuo pués de haber desempeñado su encargo ha pasado á Gemlik Montmorency. de la Cámara de D iputados, y á la duquesa de Dirección general de Rentas estancadas…</t>
  </si>
  <si>
    <t>…liberaciones de anuncio oficial de la composición de un ministerio definitivo, El referido ingeniero con ig u al fecha me dice que inm e­ la comisión. N in g ú n consejero de la Corona tomará parte en y se ¿ce que si el mariscal Soult fuese excluido de la nueva diatamente iba á reconocer y dar disposiciones para que ea el ellas. combinación , seria devuelta al mariscal Maison la presidencia del consejo. dia de h o y , según se le tiene prevenido por Real orden , prin­ cipiasen los trabajos de dicha carretera en las inmedia…</t>
  </si>
  <si>
    <t>…tancias necesarias para ser sor- gado expontáneamente de esta misión y goza de la confianza de teabies se hallen sirviendo en los cuerpos de Ultramar en sus conciudadanos, ha dado el primer paso para organizar de El Sr. mariscal Soult ha dado antes de ayer una comida que hubiesen sentado plaza; oido el tribunal supremo de nuevo el antiguo orden espiritual en las diócesis de Posen y de en honor del Príncipe EsterhaZy. Todos los embajadores extran­ Guerra y Marina, y conformándose con su dictámen en Guesen. En una exposició…</t>
  </si>
  <si>
    <t>…nuevas dificultades, porque á las seis y media estaban Se suscitó un ligero debate, en el que usaron de la palabra be cubrir de vergüenza á todo ingles que se precia de tal. Creo m a reunidos los M inistros en casa del mariscal Soult. varios oradores en pro y en contra. que debemos poner nuestra marina bajo un pie de guerra im ­ Mr. Lebeau fue de dictámen y propuso que se procediese ponente, pues seria el colm o de la insensatez permanecer apá­ á la discusión principal. ticos á vista de los considerables armamentos que…</t>
  </si>
  <si>
    <t>Spalding</t>
  </si>
  <si>
    <t>…rios forma que se presente, sea jamas ventajoso al pueblo. Por el en el Badenoch. Entre tres y cuatro de la mañana la familia para firmar el tratado. priucipio del monopolio los intereses del pueblo son sacrificados del capitán Spalding , comandante del fuerte Augusto , se des­ El Gobierno, y eito se creerá sin dificultad, no ha aconse­ á los de algunos individuos, y estoy convencido , como de mi pertó con un ruido inusitado, semejante al de un carruageque jado á Ja* Cámaras que se adhieran á las proposiciones de 25 exis…</t>
  </si>
  <si>
    <t>Spencer</t>
  </si>
  <si>
    <t>…rda del noble marques. Los dos nobles lores dan peligros verdaderos, y que esparcen el terror en los ánimos , y entre ellos por medio de caminos rectos y practicables para la alternativamente la mano con el mayor afecto al conde Spencer contra las reuniones de personas armadas con. palos ó picas: los colonos enno términos artillería, que si la guerra volviera; á- encenderse, sentado detrás del banco de la tesorería. El conde Grey , el d u ­ pues bien, en ambas ocasiones la publicación de aquel Real de- j hadjoutas que ten…</t>
  </si>
  <si>
    <t>Spi-</t>
  </si>
  <si>
    <t>…arpe sé halla en la séceioú ^décima. IJua carta dirigida á uno de los acusados en este asunto, fue habiadepasado La cuarta nota, es como una indicaciou de las personas que aprehendida en Santa Pelagia en el momento en que el Sr. Spi- caba sirve para muchas calidades ; habia una que se asemejaba á la que cazar, y las demas se asemejaban á la de munición: deben ser recibidas en la sociedad. Llama m uy particularmen­ rat, portero de estrados del tribunal que habia ido á visitar al 50 libras de esta última clase estaban empaq…</t>
  </si>
  <si>
    <t>Sr, Ayamans. Sr. D. Antonio Benavides.</t>
  </si>
  <si>
    <t>Ayamans. Sr. D. Antonio Benavides. Sr</t>
  </si>
  <si>
    <t>…dez. Sr. D. Alejandro Olivan. Sr. D. Francisco Olavarrieta. Sr. Jaén. Sr. D. Rarnon María Narvaez. Baleares {islas). Sr. D. Joaquin Francisco Pacheco. Sr. D. Bartolomé Marin y Tauste. Sr. D. Juan Morales Cortina. Sr. conde de Ayamans. Sr. D. Antonio Benavides. Sr. marques de la Motilla. Sr. D. Pedro Juan Morell. Sr. D. Francisco Curado y Fajardo. Sr. D. Juan Bravo Murillo. Sr. D. Miguel Salvá y Cardell. Sr. D. Pablo Ayala y Moría. Sr. D, Francisco Armero y Peñaranda. Sr. D. Juan Burguez Zaforteza. Sr. Sr. D. Nicolás…</t>
  </si>
  <si>
    <t>Sr, Balazote. Sr. D. Juan Antonio Hidalgo.</t>
  </si>
  <si>
    <t>Balazote. Sr. D. Juan Antonio Hidalgo. Sr</t>
  </si>
  <si>
    <t>…ey , electo. D. Evaristo Perez de Castro. Sr. D. Joaquin de Pedro, marques de Albaida , electo. Sr. D. Antonio Ros y Olano. V izcaya, Ciudad-Real. Murcia. »D . Pedro Allende Salazar. Sr. D. José María Cambrottei o. Sr. conde de Balazote. Sr. D. Juan Antonio Hidalgo. Sr. D. Manuel Marin Blazquez. Zamora. Sr. D. Manuel Moi.edero. Sr. D. José Antonio Ponzoa. wDuque de Castroterreño. Sr. D. Santiago Moreno M uñoz, electo. Sr. D. Miguel Puche y Bautista. »D . Ezequiel Diez de Tejeda. Sr. D. Audres Carabantes. Sr. D. Diego Mar…</t>
  </si>
  <si>
    <t>Sr, Barinaga. Vicesecretario</t>
  </si>
  <si>
    <t>Barinaga. Vicesecretario Sr</t>
  </si>
  <si>
    <t>…íntomas de des­ Tercera sección. —Presidente, Sr. Vallejo. Vicepresidente, en los siglos xtii, xiv y x v; y cuál de los siglos xvi ó xvri contento y del peligro que amenaza este pais. En muchas ha­ Sr. Santaella. Secretario, Sr. Barinaga. Vicesecretario Sr. C on- debe ser reputado por verdadero siglo de oro de nuestra lite­ ciendas 00 solo han rehusado los uegros volver á los trabajos, treras. ratura. sino que se manifiestan obstinados á no conformarse con la rata Cuarta sección.—Presidente , Sr. M artines de la Rosa. V i­…</t>
  </si>
  <si>
    <t>Sr, Caballero. El</t>
  </si>
  <si>
    <t>Caballero. El Sr</t>
  </si>
  <si>
    <t>…n duda por ninguno de los chez de la Fuente i , Roda i , Coruña i , Benavides 1. T o ­ lo mas mínimo al Sr. Arteta. lectores del distrito? Cierto que la resolución de esta pregun- tal 71. Mayoría absoluta 56. Quedó electo el Sr. Caballero. El Sr. A R T E T A : Siento mucho el tener que insistir sobre a es sumamente sencilla. Vale mas que se presenten las listas P a r a segundo Secretario el Sr. Roda obtuvo 56 v oto s, el un asunto del que con razón veo ya fatigado al Congreso; pe­ unque carezcan de este requisito, que no q…</t>
  </si>
  <si>
    <t>Sr, Calderón de la Barca. El</t>
  </si>
  <si>
    <t>Calderón de la Barca. El Sr</t>
  </si>
  <si>
    <t>…espués de nombrar las secciones lá B arc a, la cha! fue desechada , y después se precipitaron otras. sus Presidentes y Secretarios. El Sr. O S C A : No se presentó mas que una que fue la dél PRESIDENCIA DEL SEÑOR CALATRAVA. Sr. Calderón de la Barca. El Sr. conde de las N A V A S pidió la palabra para una cuestión de reglamento , y no concediéndosela el Sr. Presidente El Sr. S A N C H O : A lgu n as mas se presentaron, pido que Sesión d e l día 11 d e S etiem b re . con este objeto, presentó una proposición, c uya lectur…</t>
  </si>
  <si>
    <t>Sr, Calderón El</t>
  </si>
  <si>
    <t>Calderón El Sr</t>
  </si>
  <si>
    <t>…sisto de todas mis pretensiones. Verificada la pregunta, estuvo el Congreso por la negativa. de las Navas sobre pago de lanzas. El Sr. PR ESID EN TE; Debo decir antes de pasar á otra El Sr. PR ESID EN TE: Tiene la palabra el Sr. Calderón El Sr. conde de las NAVAS (desde la tribuna) después de cosa, respecto á las expresiones que hayan podido usarse en la Hollantes. empezar diciendo que hacia tiempo que habia pensado ea esta comunicación hecha al Gobierno, lo siguiente; El Sr. Puche, con El Sr. CALDERON COLLANTES : La cedo…</t>
  </si>
  <si>
    <t>Sr, Castro- El</t>
  </si>
  <si>
    <t>Castro- El Sr</t>
  </si>
  <si>
    <t>…Navarrete, duque de Bailen, arzobispo electo de Toledo, Don no constitucional de nuestra Reina. (B ien, bien,) tículo 75 de la Constitución, las cuentas, y á que las oficinas Francisco Varea Cornejo , conde de Pinofiel, duque de Castro- El Sr. P R E SID E N T E : Propongo a! Senado que se pregun­ activen los trabajos necesarios para la formación de ellas. terreño, duque de Zaragoza, marques viudo de Pontejos y los te si se aprueba la proposición del Sr. duque de Frias. Puesto á votación el párrafo 1 0 , fue aprobado. Sres…</t>
  </si>
  <si>
    <t>Sr, Clonard.ziExcmo.</t>
  </si>
  <si>
    <t>Clonard.ziExcmo. Sr</t>
  </si>
  <si>
    <t>…o de elevada clase. Aguilar. seis dias a D. José y D oña María Josefa Menendez, hijos y * Dios guarde á Y. E. muchos años. Sevilla 8 de Diciembre herederos de D. Salvador Menendez , se presenten en.la escri­ de 1858 =EI conde de Clonard.ziExcmo. Sr. general D. Ramón El mariscal de campo D. Narciso L ópez, en 29 del mes banía principal de rentas de Amortización á cargo de D. José María Narvaez. último desde Valencia , participa que, habiéndose presentado Balduque, sita en la calle del Lobo, núm. 8 , pisó segundó , á Eota co…</t>
  </si>
  <si>
    <t>Sr, D. Alvaro Florez Estrada. Secretarios. Cuenca.</t>
  </si>
  <si>
    <t>D. Alvaro Florez Estrada. Secretarios. Cuenca. Sr</t>
  </si>
  <si>
    <t>…ra. Sr. D. José Fermin Muro , Secretario 4»° Oviedo. Sr. duque de Gor. Sr. D. Ramón de la Sagra.¡ Sr. D. Joaquin Rey. Sr. D. Antonio Loriga. Sr. D. Pablo Mata Vigil. Sr. D. Agustín Armendariz. Sr. D. Jacobo Florez, electo. Sr. D. Alvaro Florez Estrada. Secretarios. Cuenca. Sr. conde de Toreno. Sr. D. J osé María Navia Osorio. Sr. D. Mariano Miguel de Reinoso. Sr. D. Andrés Martinez del Peral. Sr. D. Juan de Posada Arguelles. Sr. D. Luis Mayans y Enriquez. Sr. D. Fermin Caballero. Sr. D. Wenceslao Toral» Sr. D. José G…</t>
  </si>
  <si>
    <t>Sr, D. Angel Fernandez de los Rios.</t>
  </si>
  <si>
    <t>D. Angel Fernandez de los Rios. Sr</t>
  </si>
  <si>
    <t>…de la Fuente. Sr. D. José Jover. Sr. D. Miguel Antonio de Zumalacarregui. Sr. D. José Agustín Cañavate. Sr. D. Agustín de Larramendi. Santander. Avila. Huelva. Sr. D. Felipe Gómez Acebo. Sr. D. Francisco Agustín Sil vela. Sr. D. Angel Fernandez de los Rios. Sr. D. Juan Martin Carramolino. Sr. D. Francisco de Paula Alvarez. Sr. D. Vicente Trueba Cosío. Sr. D. Agustín Mela. Sr. D. Angel Iznardi., Segovia. Badajoz• Sr. D. Joaquin Garrido. Huesca. Sr. D. José Balsera. Sr. D. Marcos Marin. Sr. D. Miguel Cosío. Sr. D. Fr…</t>
  </si>
  <si>
    <t>Sr, D. Antonio Benavides.</t>
  </si>
  <si>
    <t>D. Antonio Benavides. Sr</t>
  </si>
  <si>
    <t>…lejandro Olivan. Sr. D. Francisco Olavarrieta. Sr. Jaén. Sr. D. Rarnon María Narvaez. Baleares {islas). Sr. D. Joaquin Francisco Pacheco. Sr. D. Bartolomé Marin y Tauste. Sr. D. Juan Morales Cortina. Sr. conde de Ayamans. Sr. D. Antonio Benavides. Sr. marques de la Motilla. Sr. D. Pedro Juan Morell. Sr. D. Francisco Curado y Fajardo. Sr. D. Juan Bravo Murillo. Sr. D. Miguel Salvá y Cardell. Sr. D. Pablo Ayala y Moría. Sr. D, Francisco Armero y Peñaranda. Sr. D. Juan Burguez Zaforteza. Sr. Sr. D. Nicolás Rípoli. León.…</t>
  </si>
  <si>
    <t>Sr, D. Antonio Valera.</t>
  </si>
  <si>
    <t>D. Antonio Valera. Sr</t>
  </si>
  <si>
    <t>…guel Laburda y G alindo, obispo electo Sr. D. José Soldevilla , electo. Sr. D. Agustín Arrnendariz, Vicepresidente 4»° de Puerto-Rico. Sr. D. Francisco Gamero Cívico y Benjumea. Sr. D. Gaspar Elordi. »D . Juan Romeo y Tello. Sr. D. Antonio Valera. Sr. I). Luis Fernandez de Córdoba. Sr. D. Antonio Ramírez y Arellauo, electo. Sr. D. Miguel de Fuentes. Orense. CONGRESO DE DIPUTADOS. Coruña. Sr. D. Saturnino Calderón Collantes. Sr. D. Luis Pose. Sr. D. Josc Moure. Presidente. Sr. D. Francisco Javier Ferro Montaos. Sr. D. J…</t>
  </si>
  <si>
    <t>Sr, D. Francisco de Paula Castro.</t>
  </si>
  <si>
    <t>D. Francisco de Paula Castro. Sr</t>
  </si>
  <si>
    <t>…Sr. D. Diego López Ballesteros. Sr. D. Ignacio Puigmoltó. Sr. D. Francisco Martinez de la Rosa* Sr. D. Domingo Fontan. Sr. D. Antonio Sereix. Sr. D. Francisco Egaña, electo. Sr. D. Juan José Cadaval. Sr. D. Jorge Gisbert. Sr. D. Francisco de Paula Castro. Sr. marques de Villagarcía. Sr. D . Manuel Franco, electo. Sr. D. Manuel de Seijas Lozano. Sr. D. Pedro María Fernandez Villaverde. Sr. D. José Guillen y Gras. Sr. D. Juan José Fonseca. Sr. D. Ramón López Vázquez. Sr. D. Vicente Santón ja. Sr. Guadalcjara. Salamanca…</t>
  </si>
  <si>
    <t>Sr, D. Francisco Gamero Cívico y Benjumea.</t>
  </si>
  <si>
    <t>D. Francisco Gamero Cívico y Benjumea. Sr</t>
  </si>
  <si>
    <t>…. Navarrai »j D. Juan Antonio Castejon. Sr. D. Diego Alvear. Sr. D. Fermin Arteta. »D . Miguel Laburda y G alindo, obispo electo Sr. D. José Soldevilla , electo. Sr. D. Agustín Arrnendariz, Vicepresidente 4»° de Puerto-Rico. Sr. D. Francisco Gamero Cívico y Benjumea. Sr. D. Gaspar Elordi. »D . Juan Romeo y Tello. Sr. D. Antonio Valera. Sr. I). Luis Fernandez de Córdoba. Sr. D. Antonio Ramírez y Arellauo, electo. Sr. D. Miguel de Fuentes. Orense. CONGRESO DE DIPUTADOS. Coruña. Sr. D. Saturnino Calderón Collantes. Sr. D.…</t>
  </si>
  <si>
    <t>Sr, D. Francisco Posada Fernandez de Córdoba.</t>
  </si>
  <si>
    <t>D. Francisco Posada Fernandez de Córdoba. Sr</t>
  </si>
  <si>
    <t>…Mariano Miguel de Reinoso. Sr. D. Andrés Martinez del Peral. Sr. D. Juan de Posada Arguelles. Sr. D. Luis Mayans y Enriquez. Sr. D. Fermin Caballero. Sr. D. Wenceslao Toral» Sr. D. José Gispert. Sr. D. Juan López Pelegrin. Sr. D. Francisco Posada Fernandez de Córdoba. Sr. D. José Fermín Muro. Sr. D. Juaa Alfonso Montoya. Sr. D. Alejandro Mon. Alava . Sr. D. Pedro José Pidal. Sr. D. Blas López. Gerona. Valencia. Albacete • Sr. D. José Antonio Pastell, electo. Sr. D. Juan Cano Manuel. Sr. D. Juan Pou. Sr. D. Antonio Il…</t>
  </si>
  <si>
    <t>Sr, D. José Perez de Rivas. Sevilla.</t>
  </si>
  <si>
    <t>D. José Perez de Rivas. Sevilla. Sr</t>
  </si>
  <si>
    <t>…alsera. Sr. D. Marcos Marin. Sr. D. Miguel Cosío. Sr. D. Francisco de Lujan. Sr. D. José Queraltó. Sr. D. Francisco Bartolomé y Colorao. Sr. D. Juan José García Carrasco. Sr. D. Antonio Puicerciís. Sr. D. Facundo Infante. Sr. D. José Perez de Rivas. Sevilla. Sr. D. Manuel Perez Hernández. Sr. D. Alejandro Olivan. Sr. D. Francisco Olavarrieta. Sr. Jaén. Sr. D. Rarnon María Narvaez. Baleares {islas). Sr. D. Joaquin Francisco Pacheco. Sr. D. Bartolomé Marin y Tauste. Sr. D. Juan Morales Cortina. Sr. conde de Ayamans. S…</t>
  </si>
  <si>
    <t>Sr, D. José Sánchez de la Fuente.</t>
  </si>
  <si>
    <t>D. José Sánchez de la Fuente. Sr</t>
  </si>
  <si>
    <t>…de Vilches. Sr. D. Santos López Pelegrin. Sr. D. Manuel José Perez. Sr. D. José Salamanca. Sr. D. Manuel Hidalgo Calvo. Sr. duque de Gor, Vicepresidente 2.° Sr. conde de las Navas. Sr. D. Miguel Chacón y D uran. Guipúzcoa. Sr. D. José Sánchez de la Fuente. Sr. D. José Jover. Sr. D. Miguel Antonio de Zumalacarregui. Sr. D. José Agustín Cañavate. Sr. D. Agustín de Larramendi. Santander. Avila. Huelva. Sr. D. Felipe Gómez Acebo. Sr. D. Francisco Agustín Sil vela. Sr. D. Angel Fernandez de los Rios. Sr. D. Juan Martin Ca…</t>
  </si>
  <si>
    <t>Sr, D. Juan Morales Cortina.</t>
  </si>
  <si>
    <t>D. Juan Morales Cortina. Sr</t>
  </si>
  <si>
    <t>…s. Sevilla. Sr. D. Manuel Perez Hernández. Sr. D. Alejandro Olivan. Sr. D. Francisco Olavarrieta. Sr. Jaén. Sr. D. Rarnon María Narvaez. Baleares {islas). Sr. D. Joaquin Francisco Pacheco. Sr. D. Bartolomé Marin y Tauste. Sr. D. Juan Morales Cortina. Sr. conde de Ayamans. Sr. D. Antonio Benavides. Sr. marques de la Motilla. Sr. D. Pedro Juan Morell. Sr. D. Francisco Curado y Fajardo. Sr. D. Juan Bravo Murillo. Sr. D. Miguel Salvá y Cardell. Sr. D. Pablo Ayala y Moría. Sr. D, Francisco Armero y Peñaranda. Sr. D. Juan…</t>
  </si>
  <si>
    <t>Sr, D. Manuel Hidalgo Calvo.</t>
  </si>
  <si>
    <t>D. Manuel Hidalgo Calvo. Sr</t>
  </si>
  <si>
    <t>…. Ramón López Vázquez. Sr. D. Vicente Santón ja. Sr. Guadalcjara. Salamanca. Almería. Sr. D. José Muñoz Maldonado. Sr. D. Joaquin de Vilches. Sr. D. Santos López Pelegrin. Sr. D. Manuel José Perez. Sr. D. José Salamanca. Sr. D. Manuel Hidalgo Calvo. Sr. duque de Gor, Vicepresidente 2.° Sr. conde de las Navas. Sr. D. Miguel Chacón y D uran. Guipúzcoa. Sr. D. José Sánchez de la Fuente. Sr. D. José Jover. Sr. D. Miguel Antonio de Zumalacarregui. Sr. D. José Agustín Cañavate. Sr. D. Agustín de Larramendi. Santander. Av…</t>
  </si>
  <si>
    <t>Sr, D. Pablo Ayala y Moría.</t>
  </si>
  <si>
    <t>D. Pablo Ayala y Moría. Sr</t>
  </si>
  <si>
    <t>…Sr. D. Juan Morales Cortina. Sr. conde de Ayamans. Sr. D. Antonio Benavides. Sr. marques de la Motilla. Sr. D. Pedro Juan Morell. Sr. D. Francisco Curado y Fajardo. Sr. D. Juan Bravo Murillo. Sr. D. Miguel Salvá y Cardell. Sr. D. Pablo Ayala y Moría. Sr. D, Francisco Armero y Peñaranda. Sr. D. Juan Burguez Zaforteza. Sr. Sr. D. Nicolás Rípoli. León. Soria. . Barcelona. Sr. D. And rés Leal. Sr. D. Segundo Sierra y Pambley. Sr. D Manuel Barrio-Ay uso. Sr. D. Joaquin Rey, Vicepresidente 5.° Sr. D. Pascual Fernandez Baez…</t>
  </si>
  <si>
    <t>Sr, D. Ramón de Santillan. Lugo. Toledo.</t>
  </si>
  <si>
    <t>D. Ramón de Santillan. Lugo. Toledo. Sr</t>
  </si>
  <si>
    <t>…tes Sr. D. Andrés Almarza. Sr. D. Ramón. María Tempradc. Sr. D. Manuel de la Rivaherrera, Vicepresidente 1.° Sr. D. Salustiano de Olózaga. Sr. D. Joaquin Romero y Domingo. Sr. D. Santiago Azuela. Sr. marques de Someruelos. Sr. D. Ramón de Santillan. Lugo. Toledo. Sr. D. Félix M artin. Cáceres. Sr. D. Antonio María M iranda, electo. Sr. D. Julián Iluelves. Sr. D. Antonio Perez Aloe. Sr. D , Manuel Vázquez Queipo; &gt; Sr. D. Mariano Jaén. Sr. D. Gonzalo Carvajal y IIIloa. Sr. D. Gregorio Quiroga y Frias. Sr. D. Juan José…</t>
  </si>
  <si>
    <t>Sr, D. Santiago Azuela.</t>
  </si>
  <si>
    <t>D. Santiago Azuela. Sr</t>
  </si>
  <si>
    <t>…s. Sr. D. Miguel Alejos Burrie!. Sr. D. Pablo Govantes Sr. D. Andrés Almarza. Sr. D. Ramón. María Tempradc. Sr. D. Manuel de la Rivaherrera, Vicepresidente 1.° Sr. D. Salustiano de Olózaga. Sr. D. Joaquin Romero y Domingo. Sr. D. Santiago Azuela. Sr. marques de Someruelos. Sr. D. Ramón de Santillan. Lugo. Toledo. Sr. D. Félix M artin. Cáceres. Sr. D. Antonio María M iranda, electo. Sr. D. Julián Iluelves. Sr. D. Antonio Perez Aloe. Sr. D , Manuel Vázquez Queipo; &gt; Sr. D. Mariano Jaén. Sr. D. Gonzalo Carvajal y IIIloa…</t>
  </si>
  <si>
    <t>Sr, D. Segundo Sierra y Pambley.</t>
  </si>
  <si>
    <t>D. Segundo Sierra y Pambley. Sr</t>
  </si>
  <si>
    <t>…Juan Bravo Murillo. Sr. D. Miguel Salvá y Cardell. Sr. D. Pablo Ayala y Moría. Sr. D, Francisco Armero y Peñaranda. Sr. D. Juan Burguez Zaforteza. Sr. Sr. D. Nicolás Rípoli. León. Soria. . Barcelona. Sr. D. And rés Leal. Sr. D. Segundo Sierra y Pambley. Sr. D Manuel Barrio-Ay uso. Sr. D. Joaquin Rey, Vicepresidente 5.° Sr. D. Pascual Fernandez Baeza. Sr. D. José Antonio Flaquer. Sr. D. León Ilerques. 7 1arragona. Sr. D. Carlos de Martí. Sr. D. Santiago Alonso Cordero. Sr. D. Baltasar de Toda. Sr. D. José Almirall. S…</t>
  </si>
  <si>
    <t>Sr, Domingo María Ruiz de la Vega.</t>
  </si>
  <si>
    <t>Domingo María Ruiz de la Vega. Sr</t>
  </si>
  <si>
    <t>…es de casa y corte al te del alcalde constitucional de Salineron, expresivo de que en consejo de Castilla sobre indultos generales, extendido por el ia noche anterior habían pasado por Valdeolivas 150 facciosos poema épico por D. Domingo María Ruiz de la Vega. Sr. D. Melchor Gaspar de Jovellanos, individuo de aquel tri- de ambas armas con dirección á la Isabela. Inmediatamente se buoal. reunió la columna y emprendió la marcha en busca del enemi­ Hácese la publicación del primer tomo, que se ira* repartien­ 13. Muerte violen…</t>
  </si>
  <si>
    <t>Sr, El</t>
  </si>
  <si>
    <t>El Sr</t>
  </si>
  <si>
    <t>…re el duque de la Victoria y el general de las fuer­ Restituida al Senado la d ip u ta c ió n , dijo bailase en igual caso, y entonces ¿ q u é haremos con las elec- zas enemigas ; y el Sr. Moscoso de A ltam ira , Presidente del El Sr. P P i E S I D E N T E : La comisión encargada de c u m p li­ :iones y a aprobadas? He dicho que nada encuentro que opo­ Senado, que lo era también de la d ip u ta ció n , tuvo el honor mentar á S. M. por tan fausto motivo como el de que ha dado ner á la.s elecciones de M ad rid ; pero quisie…</t>
  </si>
  <si>
    <t>…el Consejo de Ministros acompañando el convenio celebrado la comisión que esta retiraba el dictamen presentado. cargo por una provincia podrían ser nombrados Diputados entre el capitán general D. Baldomero Espartero y el teniente El Sr. P R E S ID E N T E : Se va á leer el art. 17 del regla­ por e lla ; estas fueron las p a la b ra s del Sr. Sancho. general D. Rafael Maroto. mento. (Se leyó.) Se procede al sorteo de las elecciones. Me p a ­ Los señores de las Cortes constituyentes atacaron á la comi­ A petición del Sr. ller…</t>
  </si>
  <si>
    <t>…y paz, diri­ vincias Vascongadas y N a v arra, los correspondientes á la cues­ ministerio de la Guerra. giéndose al templo de Dios á rogar al Todopoderoso por las vi­ tión muñagorriaoa , y la correspondencia del ilustre duque de El Sr. A R T E T A : Yo he pedido la palabra , no porque pre­ das de vuestras Magestades y de nuestro paisano el ilustre ge­ la Victoria sobre el tratado de Vergara. tenda combatir el dictámen, pues sé muy bien que el regla­ neral manchego, para que lleven al último término tan árdua El Sr. M E N D…</t>
  </si>
  <si>
    <t>…dia 28 d e O ctubre . Se leyó el relativo al art. 14 , que igualmente habia sido re­ Roma 3 de O ctubre . tirado. Se abrió á la u n a , y se leyó el acta de la de ayer. Después de una ligera discusión entre los Sres. duque de El Sr. conde de las N A Y A S : Pido que se vote nominal­ Acabamos de saber ciertos detalles concernientes á las ne­ Frías, Ondovilla, Falces y San Miguel , hizo presente el mis­ gociaciones entabladas entre el Gobierno portugués y la Santa mo Sr. Ondovilla que las observaciones hechas por el últim…</t>
  </si>
  <si>
    <t>Sr, Excmo.</t>
  </si>
  <si>
    <t>Excmo. Sr</t>
  </si>
  <si>
    <t>…es de S. M. en el extrangero la Real orden si­ De orden de S. M., comunicada por el Sr. Ministro de guiente: la Gobernación de la Península, lo traslado á V. S. para Ramón S. M. la Reina Gobernadora se ha dignado conceder á Don Excmo. Sr. : Tengo la satisfacción de poner en noticia su inteligencia, la de evsa diputación provincial y efectos D. Francisco Pardo, juez de primera instancia de Guadalajara, y á de Y. E. que S. M. el Rey de le s Paises-Bajos ha renova­ consiguientes, de cuyo cumplimiento deberá V. S. dar que han…</t>
  </si>
  <si>
    <t>Sr, Extremadiira.zzExcmo.</t>
  </si>
  <si>
    <t>Extremadiira.zzExcmo. Sr</t>
  </si>
  <si>
    <t>…de madera , ya de fábrica. dose á acreditar su llegada, descarga é introducción con certifi­ cación del cónsul español del puerto en que se verifique : la cual Camino de Valencia á Santander. ; Nú.ro. 2.° Capitanía general de Extremadiira.zzExcmo. Sr.: deberán presentar eu el término de cuatro meses al director ge­ En ésta.; hora, que son las doce y media de la noche, sé me há Gon fecha 20 del corriente se han repetido órdenes para neral de estancadas. presentado el teniente rey de la plaza D. Juan Donoso Cortés, activ…</t>
  </si>
  <si>
    <t>Sr, Fa- El</t>
  </si>
  <si>
    <t>Fa- El Sr</t>
  </si>
  <si>
    <t>…so­ También han merecido mención honorífica D. Luis Bor- aquellas provincias de tanta riqueza y población. portaban su miseria. Añaden que es preciso haber visto esto de deore, D. Rafael M artínez; Sres. vicario del hospital, D. Fa- El Sr. M A D O Z se adhiere á esta interpelación. cerca para formarse una idea de la energía y constancia que bio Bucelli, D . Joaquin Cabrera , Félix M onge, Bautista Gi- Se procede á la~órden del dia , y leído un dictámen de la tienen en Africa los soldados franceses. jon, D. Vicente Sancho, y…</t>
  </si>
  <si>
    <t>Sr, IA</t>
  </si>
  <si>
    <t>IA Sr</t>
  </si>
  <si>
    <t>…ar tnas la atención. guntado, ¿dónde estaba la ley? y siempre se ha contestado con El Sr. C A M B R O N E R O : El Con greso habrá notado que el el silencio ó con salus populi suprem a le v e sto ; si esa con­ O R D E N D E L D IA Sr. preopinante en realidad no ha impugnado el dictamen, le testación á veces ha salvado la patria , tambiea otras ha acar­ ha aprobado y apoyado. La comisión , á la que tengo el honor reado la tiranía. PARA LA SESION DEL LUNES 21 DE ENERO DE 1839. de pertenecer, no ha sido mezquina en este as…</t>
  </si>
  <si>
    <t>Sr, IA El</t>
  </si>
  <si>
    <t>IA El Sr</t>
  </si>
  <si>
    <t>…s cinco menos cuarto. pelación á la coinision? m ente, y sin hacer injusticia á nuestros ejércitos y á todos los El Sr. B EN A V ID ES : N o señor. defensores de la Reina que en esta lucha han dado á la E uro­ O R D E N D E L D IA El Sr. P R E S ID E N T E : Pues entonces V. S. puede hablar. pa una lección haciendo ver la hum anidad de España ; por En el momento entraron en el salón los Sres. Fuentes y tanto concluyo rogando al Senado que medite las consecuencias, PARA LA SESION DEL MIERCOLES 9 DE ENERO DE 1839. M outoya…</t>
  </si>
  <si>
    <t>Sr, Ministro de la Gobernación. El</t>
  </si>
  <si>
    <t>Ministro de la Gobernación. El Sr</t>
  </si>
  <si>
    <t>…sentimientos del Senado y que deseaba tener ocasio­ para la elección del Sr. marques de Y a lg o r n e r a , que remi­ nes de mostrarle siempre su benevolencia. El capitán general de Castilla la Nueva en 5 del propio tía el Sr. Ministro de la Gobernación. El Sr. P R E S I D E N T E : El Senado queda enterado. participa que el comandante que manda la columna de opera­ Se acordó que quedaria sobre la mesa y se imprimiría un Se dió cuenta de haber sido nombrados por las secciónese ciones en la provincia de T o le d o , cap…</t>
  </si>
  <si>
    <t>Sr, Ministro de la Guerra El</t>
  </si>
  <si>
    <t>Ministro de la Guerra El Sr</t>
  </si>
  <si>
    <t>…stro de la G U E R R A : Señores , de una cues­ para nada los necesito, porque ha sido superior en mí el deseo dos , s i , si.) tión de paz se ha pasado á la cuestión de guerra; pero n o , no de cumplir con mi obligación. El Sr. Ministro de la Guerra El Sr. A R G U E L L E S : Por si acaso se fcreyese que los tema la nación que la haya. El Sr. Olózaga ha principiado sabe, y siento tener que recordarle este suceso, que le merecí individuos que componen la comisión encargada de dar su haciendo cargos al G obierno recorriend…</t>
  </si>
  <si>
    <t>Sr, Málaga. Valladolid.</t>
  </si>
  <si>
    <t>Málaga. Valladolid. Sr</t>
  </si>
  <si>
    <t>…electo. Sr. D. José Landero. Sr. D. Paulino Jiménez. Canarias {islas). Sr. D. Dionisio Valdés. Sr. D. Pedro Calzada. Sr. D. Juan Alvarez y Mendizabal. Sr. D. Andrés Alcon. Sr.) gr’&gt;C No está aprobada el acta de elección. Sr Málaga. Valladolid. Sr.) Sr. D. Antonio de los Rios y Rosas , electo. Sr. D. Mariano Miguel de Reinoso , Secretario 1.° Castellón de la Plana. Sr. marques de Casa-Iru jo. Sr. D. Luis Rodríguez Camaleño. Sr. D. Diego María López, electo. Sr. D. Lorenzo Arrazola. Sr. D. José María Valterra. Sr. D.…</t>
  </si>
  <si>
    <t>Sr, Nuevo Leon.rzExcnro.</t>
  </si>
  <si>
    <t>Nuevo Leon.rzExcnro. Sr</t>
  </si>
  <si>
    <t>…ACHO DE L A G U E R R A . Idem 5. las m anos, de manera que si hubiera habido a r m a s , hubiera también metido á mis filas mas de 1(3 hombres. El capitán general de Castilla la N u eva en comunicación Comandancia general de Nuevo Leon.rzExcnro. Sr. : P r o - Los señores gefes y «Ticiales ya mencionados, mis a y u d a n ­ de 18 del actual desde M oya da parte de su entrada en aquel mneiada la ciudad de Monclova y algunos otros pueblos del tes, teniente coronel D. José María de A g u irre , comandante punto con el c o n…</t>
  </si>
  <si>
    <t>Sr, Olozaga. El</t>
  </si>
  <si>
    <t>Olozaga. El Sr</t>
  </si>
  <si>
    <t>…ñas centrales V iva Label n. (Repetidos vivas en el salón y tribunas.) mos: prefiera las obras originales cuando tengan algún de Europa. La otra especie, que es muy común en Espa­ Se pregunta si se aprueba la ¡odicacion del Sr. Olozaga. El Sr. B E N A V ID E S pidió que la votación fuese nominal. mérito, sm reparar en nombres: cou esto producirá bie­ ña, es el buitre egipciaco, llamado neophron ptrnoplerus. El Sr. conde de las N A V A S contestó que bastaba que fuese nes incalculables, y liara que las traducciones escase…</t>
  </si>
  <si>
    <t>Sr, Oñate. El</t>
  </si>
  <si>
    <t>Oñate. El Sr</t>
  </si>
  <si>
    <t>…es viudo de Pontejos , marques de Campo de A l a n g e , con­ giera el celo de sus in d ivid uo s, llevar la reforma y perfeccio­ los señores que existen e7i la c a p ita l, aunque no asistieron á la de de Puñonrostro y conde de Oñate. El Sr. P RESID E N TE encargó á los Sres. nombrados para namiento de la parte material y moral de las cárceles, casas de ju n ta preparatoria , si bien por el artículo del reglamento corrección y presidios al mayor grado posible; sin que deje de el sorteo solo debia comprender á los present…</t>
  </si>
  <si>
    <t>Sr, Pió Pila Pizarro. El</t>
  </si>
  <si>
    <t>Pió Pila Pizarro. El Sr</t>
  </si>
  <si>
    <t>…imprima, publique y dicado testamento, el de tra tar de a v e r ig u a r la inversión de un gravam en que pe­ circule. = Y O LA REINA GOBERNADORA. En Palacio sa sobre la provincia que representa. á 16 de Enero de 18 3 9 .= A D. Pió Pila Pizarro. El Sr, L a rram en d i en su largo discurso hizo la historia del REDACCION DE LA GACETA. contrato de la casa de R e m i s a , y aunque estuvo exacto en los hechos que re firió , sentó como ‘cierto que la casa de Casals estaba en descubierto para con el Gobierno. Yo puedo decir á…</t>
  </si>
  <si>
    <t>Sr, Pontevedra.nEl Excmo.</t>
  </si>
  <si>
    <t>Pontevedra.nEl Excmo. Sr</t>
  </si>
  <si>
    <t>…sus hijos ea la religión católica. á los memnonitas. (Temps.) Esto sabemos relativam ente á la versión del Sr. Amat; Pontevedra 18 de Diciembre, de lo cual resulta claram ente que en la edición de la Bi­ Comandancia general de Pontevedra.nEl Excmo. Sr. capi- blia ilustrada con notas no tiene la m enor parte sociedad MM. Rothschiíd y Jaudon, ea representación del banco de ;an general de este ejército y reino con fecha 10 y 15 del ac- bíblica ninguna; que los Sres. protestantes del condado los Estados-Unidos, han coocluido…</t>
  </si>
  <si>
    <t>Sr, Pontevedra.zzEI Exemo.</t>
  </si>
  <si>
    <t>Pontevedra.zzEI Exemo. Sr</t>
  </si>
  <si>
    <t>…de sus instituciones ingratos á la Pro­ Pontevedra 11 de Diciembre. videncia, á los desvelos de Y. M. y á los esfuerzos de esos guer­ reros ilustres, abandonándolos en los momentos en que todos de ITA LIA. Comandancia general de Pontevedra.zzEI Exemo. Sr. capi­ consuno desean y trabajan para dar á esta trabajada nación la tán general de [este ejército y reino con fecha 1.° del actual paz que tanto necesita. Se asegura que en el próximo consistorio se hará mención me dice lo que copio : Dígnese admitir V. M. la expresión si…</t>
  </si>
  <si>
    <t>Sr, Pontevedra.zzEI Exorno.</t>
  </si>
  <si>
    <t>Pontevedra.zzEI Exorno. Sr</t>
  </si>
  <si>
    <t>…ron el número de sus P on teved ra 27 d e N oviem bre. partidarios, y con ellos escogió para sus excursiones el momento en que los generales rusos estaban ocupados en C ir c a s ia , y fin­ F R A N C IA . Comandancia general de Pontevedra.zzEI Exorno. Sr. c ap i­ giendo una retirada engañó a) general Grabbe,y cuando este se tán general de este ejército y reino con fecha 17 y 22 del ac­ P aris 24 d e N oviem bre. tual me dice lo que copio. hubo internado en los montes en su persecución, atravesó los desfiladeros por medi…</t>
  </si>
  <si>
    <t>Sr, Presidente El</t>
  </si>
  <si>
    <t>Presidente El Sr</t>
  </si>
  <si>
    <t>…El Sr. O S C A : No se presentó mas que una que fue la dél PRESIDENCIA DEL SEÑOR CALATRAVA. Sr. Calderón de la Barca. El Sr. conde de las N A V A S pidió la palabra para una cuestión de reglamento , y no concediéndosela el Sr. Presidente El Sr. S A N C H O : A lgu n as mas se presentaron, pido que Sesión d e l día 11 d e S etiem b re . con este objeto, presentó una proposición, c uya lectura se ve­ se lean. rificó á petición s u y a , pidiendo que la cuestión de fueros se El Sr. Secretario Feliú leyó las siguientes adic…</t>
  </si>
  <si>
    <t>Sr, Presidente. El</t>
  </si>
  <si>
    <t>Presidente. El Sr</t>
  </si>
  <si>
    <t>…a comisión de Fueros la y Gras , Montesino , Sánchez del Pozo, CLca, Cerbelió , Jaén, Prosiguiendo la discusión pendiente, dijo ventaja que concede el reglamento de usar de la palabra cuan­ Lillo 9 Verdugo , Cevallos , Rico , Sr. Presidente. El Sr. A L O N S O (D. Juan B autista): El Sr. Arteta ha di­ tas veces la pida , ningún Sr. Diputado ha de poder hablar co n­ Señores que dijeron no: Arrazola , Madoz, Arguelles, C u ­ cho que el mal cansa pronto, y el bien , aunque roas tarde, tra ella: hablando otros en contra de la en…</t>
  </si>
  <si>
    <t>Sr, Zaragoza. El</t>
  </si>
  <si>
    <t>Zaragoza. El Sr</t>
  </si>
  <si>
    <t>…ía , sino m u y Por M a d rid : Sres. M u g u iro y Ladrón de Guevara. al contrario , que se restringiese: la mente del Coagreso fue esa: Gracia y Ju stic ia para hacer una comunicación al Congreso. Por Zaragoza : Sr. duque de Zaragoza. El Sr. M inistro de Gracia y Justicia ocupó la t r ib u n a , y por tanto pido que se desapruebe el dictámen de la comisión. Por C á d iz : Sr. Capaz. leyó un proyecto de ley que S. M. la R.eina Gobernadora , con­ El Sr. S A N C H O : Señores, yo creia que se debia im p u gn ar Por V a l…</t>
  </si>
  <si>
    <t>Sr, Zea El</t>
  </si>
  <si>
    <t>Zea El Sr</t>
  </si>
  <si>
    <t>…o ha leido en los periódicos extrangeros que en los ban­ el Congreso determinará lo que crea mas conveniente. S. S. que se limitaba á dos grandes cargos, han venido des­ quetes dados en celebridad del convenio de Vergara , el Sr. Zea El Sr. M inistro de G R A C IA Y JU ST IC IA : Señores: in­ pués tantos, que yo no sé cuál es ya lo principal. ha sido uno de los principales personajes ,y ha sido uno de los finitos han sido los cargos que se han hech o, á los cuales no El Sr. Caballero fijó dos: primero diciendo que el m inist…</t>
  </si>
  <si>
    <t>Srrauss</t>
  </si>
  <si>
    <t>…n Gerónimo, núm. 2 6 (antes 1 5 ;, nicación que sigu e : K El consejo de Estado y el de Instrucción P a ris , 1 6 - 5 . G ran ada, i * id. donde se ha recibido una colección de óperas del extrangero pública han depuesto al doctor Srrauss con arreglo al párrafo M á l a g a , par. para canto y piano, como igualmente de la ópera acreditada del 185 de la ley sobre enseñanza, señalándole una pensión de id Santander , § á f d. maestro Saldoni la Ipermestra, impresa en el establecimiento francos anuales.” .(&lt;Gazette d e Zurich,) A…</t>
  </si>
  <si>
    <t>SS, Juan Carramotino.</t>
  </si>
  <si>
    <t>Juan Carramotino. SS</t>
  </si>
  <si>
    <t>…acostumbrada maestría cé­ Discurso histórico-filosófíco-legal, retos, treguas, lides y rr R A T A D O definitivo de paz y amistad concluido entre lebre Mengs (A. R .), rio desmereciendo de tan alta idea el gra­ desafíos , por D. Juan Carramotino. SS. M M . C. y Cristianísima, firmado en‘ Paris á 20 de bado de la estámpa , que es del acreditado Volpató ^Jüari). En Crónica oficial.=Co!eccion de leyes y Reales decretos , ór­ Julio de 1814» Un cuaderno en 4»° marquilla , edición del mis­ primer término está tendido el cadáver…</t>
  </si>
  <si>
    <t>SS, Orloff.</t>
  </si>
  <si>
    <t>Orloff. SS</t>
  </si>
  <si>
    <t>…on el Principe Enrique de los P a ise s-B íjo s, acompañados de 1003 francos. {Id.) ticia de la próxima venida del v ire y , con lo cual el conde M e ­ dem se decidió á a gu a rd ar el correo. del vizconde Torrington y del conde Orloff. SS. A A . Imperial y Real fueron recibidos en el salón de mármol por las señori­ tas Sp rio g-R ice y George C am p b ell, el coronel Cavendish y El Príncipe Pablo E ste rh az y , embajador de Austria en In­ lord Alfredo P a g e t, quienes los introdujeron en el salón del gla ter r a , sali…</t>
  </si>
  <si>
    <t>Stassart</t>
  </si>
  <si>
    <t>…oluntad de las Potencias extran geras. ballos, dio alcance y muerte hácia el pueblo de Mourelos á los miento. M r. C assiers habla en contra del proyecto. Que allí mismo hizo las prevenciones correspondientes a los El barón de Stassart manifiesta el deseo de que se dé un a facciosos Pedro S a a v e d r a , n atural de aquel, y M anuel F ernan­ jncargados de la empresa para que no se volviese á dar alm o r- pronta solución. Se expresa a s i : No gusto de apelar á las m a­ d e z, de S. M a rtin de T rib a s , pertenecien…</t>
  </si>
  <si>
    <t>Stjemeld</t>
  </si>
  <si>
    <t>…. Pedro González V allejo, arzobispo electo de Toledo. no, que se compone de cuatro consejeros de Estado, á saber: el D. Angel Ramírez. «D . M artin Fernandez N avarrete. ronde - floseubland , M inistro de Ju stic ia ; el conde Stjemeld, A licante. M inistro de Negocios éxtrangeros; el conde Lovenhieim y el Lugo. «D . Melchor Astiz. conde Adelsward. El Rey va acompañado en su viaje por el D. José Ferriol. « D . José M aría Moscoso de A ltam ira. maris- al del reino conde Brake y los condés Loevenhaujot y D. Antonio M ir…</t>
  </si>
  <si>
    <t>Stnirua</t>
  </si>
  <si>
    <t>…n , y hasta la mañana siguiente no se supo de una manera El p r e s i d e n t e : Esta declaración no puede dispensaros de positiva que ninguna tentativa á mano armada se habia hecho, contestar á mis preguntas. cónsul general de Stnirua , que creyó deber ordenar al coman­ dante de la escuadra francesa que se trasportase á Scio. Hé aqui para apoderarse de Martelaage. M r. M unchen se presentó solo B arbes: No contestaré á n ing un a pregunta. Os he dicho en este punto para probar por segunda vez de las autoridades todo cua…</t>
  </si>
  <si>
    <t>Stokes</t>
  </si>
  <si>
    <t>…v. L at 86°...33'...48" N. . DATO UNDECIMO. Títulos al portador del 4 pór 1 0 0 , Í9 j á 60 d. f. /ó Vol. L ojng ............. 3°...03/...45// O . antiguos y modernos con cupones. Prosigue Purdy. «El Bergantín Bretón, capitán Stokes, Vales Reales no consolidados, 00. ' ? Aunque son varios los fundamentos racionales por los se fue á pique por resultas de haber tocado en el mismo Bajo por Diciembre de 1821. Tocó y salió, sondaron abor­ Deuda negociable de 5 por 100 á papel , 00ñ ’ ‘ - ’ Idem sin interés, 4 a 60 d. f .…</t>
  </si>
  <si>
    <t>Stop-</t>
  </si>
  <si>
    <t>…do el comercio. El buque de vapor ingles Confianza ha neral de Galicia del capitán de movilizados D. Roberto Robles actuales no han sido provocados por Mehemet, porque no ha partido inmediatamente con despachos para el almirante Stop- por el suceso de que ya hecho m érito , ha resuelto le proponga sido él quien ha hecho circunvalar las fronteras contrarias por fo rd , que está con su escuadra en las aguas de la Sicilia. Se para la recompensa á que se haya hecho acreedor. su ejército, ni quien ha hecho las primeras demostr…</t>
  </si>
  <si>
    <t>Stopford</t>
  </si>
  <si>
    <t>…ia originar su mejante estado de cosas; sin embargo, no os costará trabajo proposición, la habia retirado en el mismo dia que la hizo. comprender toda la extensión de nuestro pesar, por el pesar Malta 8 ‘de Julio.rzEl almirante Stopford salid el 2 para Es ciertamente sensible que Mr. M auguin, individuo y pre­ que vosotros mismos experimentáis, pues no se trata úoicamen- Levante con la escuadra compuesta délos navios PrincesaCar - sidente del proyecto de ley relativo á M éjico, haya aparecido -te de la sagrada persona del…</t>
  </si>
  <si>
    <t>…sotros (1), ha escrito á S. A. el generalísimo mandándole que no L ondres 24 d e M ayo. emprenda ningún movimiento antes de estar bien seguro de A poco de la llegada de Marsella del bergantín francés e S tip s , el almirante Stopford hizo señal al bergantín inglés da- que en efecto han avanzado las tropas del S u ltá n , aconsejándo­ Los consolidados están á 9 5 - ofrecidos al contado, y ¿ c u e n ­ f e u r para que se preparase á partir, el que se hizo á la vela al le se confie en Dios y obre en su consecuencia, si…</t>
  </si>
  <si>
    <t>induce á creer que no tardara en llegar el almirante Stopford. pío del sabio ilustre que viene á alentaros con tanta bondad. Valencia 28 de Mayo. Los turcos consideran la venida del almirante como una mues­ Vosotros, sobre tpdo, imitareis su noble vida, á la que dan ma­ tra de la buena inteligencia que continua reinando entre los yor realce una verd…</t>
  </si>
  <si>
    <t>…es de la quinta Por otra parte, la Gaceta piamontesa anuncia, según car­ lumniados, tienen acción explícita para acudir al Goliurno ó del présente año , y entregados én casi su totalidad ios tas de Malta del 11, que el almirante Stopford habia recibido al tribunal de justicia, donde teudráu la reparación de u contingentes de la mayor parte de las provincias por los por el paquebote ingles Blazar la orden de obligar al virey á ofensa. esfuerzos del celo y actividad dp las autoridades á quienes que devuelva la escuadra turc…</t>
  </si>
  <si>
    <t>…licando formalmente la hiin-bajá, cuya posición precisa se ignora, pero que según se promesa de reconocer el Gobierno dei Egipto hereditario de IT A L IC A . presume está en marcha para el Asia menor. Mehemet-Alí. El almirante Stopford , después de haber dejado pasar la Inmediatamente se observó que la defección del capitan- N ada hemos dicho de la continuación de los trabajos en la escuadra turca, á imitación del almirante Lalande, se dirigid bajá y la derrota del ejército de Hafiiz-bajá debian haberse ciudad romana des…</t>
  </si>
  <si>
    <t>…ntaron á caballo ace­ cluya esta operación se harán á la vela para ir á reunirse con Ju lia . Los habitantes, sin em bargo, continuaron llam án­ leradamente para impedir la confusión que cada vez iba ha­ la escuadra del almirante Stopford. dola E b u ra , nom bre que con una leve alteración ha m an­ ciéndose mayor. Dos buques americanos el Oliio y el Nortk-Carolina con tenido hasta el tiem po presente. Los moros la conquista­ En esta ocasión desertaron mas de 100 egipcios pasándose una corbeta de la misma nación han pasado…</t>
  </si>
  <si>
    <t>…tó bién bajo el cabo Baba, adonde habia llegado el navio ingles que en 1852 fue á Kutahieh á fin de detener la marcha dé aun mas con la emancipación de los siervos, la fijación de un Vanguard de Palermo con pliegos del almirante Stopford para Ibraílim-bajá. La llegada de este oficial ha producido la mas impuesto uniforme, y otras medidas que les atacaban directa­ lord Ponsomby. El Vanguard debia esperar en aquellas aguas viva sensación; creemos no obstante qúé en el dia han llegado mente. la respuesta del embajador ingles…</t>
  </si>
  <si>
    <t>…maron en Cor.e la vez ea C onstaatioopla, y entre los oficiales de las P R E S I D E N C I A DEL SEÑOR CALATRAVA. gran parada , y puesto á su frente este Sr, comandante general escuadras inglesa y francesa , de que el almirante Stopford ha les arengó en términos análogos á la festividad del dia, Por la pedido al Gobierno turco autorización para que las escuadras Sesión del dia 22 de Setiembre. tarde hubo novillada y otros recreos propios de un pueblo marí­ corn ina as pasen el invierno en el mar de Marmara. Se asegu­ Abi…</t>
  </si>
  <si>
    <t>…Ciudad Real y Toledo dice con fecha del 2 0 , que en un encuentro que tuvo M r. Pontois ha sido perfectamente recibido por el alm iraute ei dia 15 en las inmediaciones de Piedrebuena el sargento Isidro L a la sd e y el almirante Stopford, los dos verdaderos d ip lo m áti­ Rcdriguez , comandante de la partida de los Chornos, resultó El lord N ormanby acaba de d ir ig ir la carta siguiente al cos que h»n sabido representar los intereses de su pais en la cues­ muerto en el campo un faccioso y herido o tro , habiendo ap re­ mai…</t>
  </si>
  <si>
    <t>…ón Je Oriente. Como que este acto , Excmo. S r . , ha de fijar eu la historia N in gun a noticia digna de atención hay de la Siria. i V a - un hecho de que tanta utilidad reportará el p ais, convidé p ré - ha dejado al almirante Stopford con su encuadra en Paros h a ­ h im -b ajá está en Marasch. Hafiz-bajá se ha refugiado en K o - viamente á la d ip u ta c ió n , a y u n ta m ie n to , autoridades y otras ciendo agua y disponiéndose á salir para Ténedos. El H ércu les niah con un cuerpo de caballería. Cesaréa uo quiso adm…</t>
  </si>
  <si>
    <t>Stopfort</t>
  </si>
  <si>
    <t>….................................. 55 2.° Que el almirante inglés ha debido intimar al almirante Idem 14» turco que se vuelva á los Dardanelos. Yarones de c o lo r................................... 6 Dudamos que el almirante Stopfort haya podido hacer lo Hembras de i d .................................. 1 En lo que llevamos pasado de este año, se ha notado m u­ Total de niños...................................... 4,407 que no habría conseguido el almirante Lalande. En cuanto al cha variedad en la temperatura con resp…</t>
  </si>
  <si>
    <t>Straliheim</t>
  </si>
  <si>
    <t>…0© en nistro de Conferencias y consejero privado barón de MemteüfTel; cabecilla Fantaúa, y dos desertores quintos que se habian refu­ el ramo de contribución de indígenas , y 20© pesos coa la su- por la de Hannover , el barón de Straliheim , consejero privado giado á Portugal. presiou de las contadurías mayores, cortes de distrito y adm i­ del Gabinete; por W urtem berg, el consejero de Estado barón Que asimismo ha sido aprehendido por el patriota Domin­ nistración de rentas internas. de T ro tt; por la de Badén , el cons…</t>
  </si>
  <si>
    <t>Strasbur</t>
  </si>
  <si>
    <t>…n habia Nadie ignora que Talleirand era burlón, y aun algunas.veces otra extremidad la tiene el Emperador en el Austria: dea- vuelto á tomar una'ferma algo regular en Francia. Tallei­ en demasía: «Estoy seguro (Cuartel general de Strasbur­ de el centro de la Europa asi como desde el de la Francia rand volvió á embarcarse para volver á ella con la espe­ go 5 de Octubre) que ninguna idea teneis de lo que se lla­ dirige todos los movimientos del imperio, y atrae á sí to­ ranza de ocupar un puesto importante: Hauterive creyó ma…</t>
  </si>
  <si>
    <t>Strauss</t>
  </si>
  <si>
    <t>…o de Marina,; dé cincó ó seis báilías sobre la disposición de los ánimos relati— rarse á sus tierras situadas en la frontera de H ungría. Comercio y CÍtramar que la tranquilidad públipa coqtinúa vamente él hombrámiénto del doctor Strauss para una eátedra ?;•-.1 {Debuts. ) . inalterable ¿en aquella isba I* disfrutando sqs shabitantes de en nuestra universidad. , la mayor seguridad en sus personas y fortunas, sin poder : Séguri éStosiofórméslaefervescencia esg ra n d e , pero no ha contarse mas que dos asesinatos entre gente…</t>
  </si>
  <si>
    <t>…g y 6 un dieziseisavo á v. f. ó vol. tado concerniente á la situación interior del cantón desde que ducción á los de C ram er, compuestos por M r. Bestini el joven, Acciones del banco español de S. F er n a n d o , 00. el doctor Strauss fue nombrado profesor de teología eú la u n i­ nueva y últim a edició n , perfectamente impresa, y revisada la versidad , y haber deliberado , adopta las conclusiones de dicho CAMBIOS. numeración de los dedos. Se Liallará dividido en dos cuadernos informe, segjun las cuales deberá ser depues…</t>
  </si>
  <si>
    <t>…iese la menor parte el Con motivo de las escenas representadas en Zurich se ha B élg ica. Se anuncia en Bruselas una modificación al G a­ alto Valés. Hubo pues excisión de hecho: las dos partes del can vuelto á hablar del doctor Strauss; y según se han expresado binete. Parece que M r. de Theux dejará uno de los dos minis­ too continuaron manteniendo m u y pocas relaciones entre s í , y los periódicos, podria creerse que este célebre profesor trata de terios que s ir v e , y se dice que Mr. de W ilt n a r será nombrado ad…</t>
  </si>
  <si>
    <t>Strogonoff</t>
  </si>
  <si>
    <t>…Palhen , embajador en P a r is , en el conde M a tu z e - lia d iv id ir á la nación de su Gobierno., sino que se inspiraban que después de publicados los documentos de las conferencias w ich , ministro en Estokolmo, y del conde Strogonoff, á q u ie­ desconfianzas respecto de la buena fe J e este, y se hacían ío o i- de Jalap a , h a y a podido escribir una nota que m uy lejos de jus­ nes se designa como sucesores del conde Pozzo di Borgo , que paraciones entre las diferentes épocas políticas de U República, tificarle, va…</t>
  </si>
  <si>
    <t>Sturner</t>
  </si>
  <si>
    <t>…hasta el dia 20 del de Estado ha vuelto á recobrar su actividad. La noche última le que la pérdida del enemigo ha sido de muchos heridos, cu a- próximo venidero mes de Diciembre; y se advierte que en el se han recibido del barón Sturner, nuestro ínter-nuncio en ro m uertos, dos prisioneros , lanzas, clarines, sillas , víveres pueblo hay médico titular. C mstantinopla, despachos de la mas alta importancia. El inter­ y otros efectos; habiendo tenido por nuestra parte solo cinco he- Y para que conste, de mandato de dicho ayunt…</t>
  </si>
  <si>
    <t>Su, Carlos</t>
  </si>
  <si>
    <t>Carlos Su</t>
  </si>
  <si>
    <t>…n dos cuadernos por mes, formando un volumen de 250. pez P elegriu, Diputado á Cortes , D. José B a rd a jí, juez de pri­ Londres, d 9 0 d ia s, 5 3 § papel. C o ru ñ a , á 2 d. páginas Jo meaos. mera instancia de V ie lla , y D. Carlos Su ñez, todos han sido P aris, 16 -6 id. G ranada, 1 J id. trasladados al Horcajo , donde se ha establecido el depósito ge­ M á l a g a , £ id. Precio de suscripción d esta colección. neral, y donde reciben ración completa, y se les permite salir S a n ta n d e r , par á ^ id. í pasear cada d…</t>
  </si>
  <si>
    <t>Su, Duníu.</t>
  </si>
  <si>
    <t>Duníu. Su</t>
  </si>
  <si>
    <t>…s ha solicitado masque un privile­ Ha sido condenado á 20 años de prisión en una fortaleza el corado con la cruz de la Legión de honor en presencia de toda gio: el de estar en primera fila ante el fuego del enemigo! arzobispo de Duníu. Su conducta en estos últimos tiempos ha la tripulación formada en la cubierta de la corbeta. (Debats.) servido mas bien para comprometerle que para mejorar su posi- En seguida, y habiendo entregado S. A. R. el mando de la ció&gt;r, no siendo probable que apele de la sentencia por las vias Crioll…</t>
  </si>
  <si>
    <t>Su, Fañosa.</t>
  </si>
  <si>
    <t>Fañosa. Su</t>
  </si>
  <si>
    <t>…l punto, y hacer qüe ,se mé -unieséd las tropas que „«vas á las órdenes del brigadier Hoy os * coro nel, D^ Cácaos, (^xolin et* cbnoéimiéñró de Y . Evv que ha hiendo traído 125 i gdli sé encerraban. \ '. , t " y teniente coronel Fañosa. Su marcha constan te mente vicfñrj(j&gt;a há¥rilé§ de a^Ü árdíeuté, rnb lé fué perm itido déséiiibarcár^ /G efecto él 15 me d jrig í hacía Y ih afa m é s J en cu ya ihmey no dió lugar á los enemigos á rehacerse^ar re jados de la primera los en éónsééuehciá de una acta ¿fiel Congreso feehif'27…</t>
  </si>
  <si>
    <t>Su, Fernel.</t>
  </si>
  <si>
    <t>Fernel. Su</t>
  </si>
  <si>
    <t>…Ju an y del indiferentismo que esta nación parece inspirar á sus ha­ no conocemos personas que pudieran llevar á cabo esta obra con M iralies Soler, en la causa que está sustanciando sobre robo en bitadores. la constancia del Sr. Fernel. Su observación exacta de iguales la casa masía de Cristóbal M iró , se ha mandado citar y em­ Este cuaderno se dará suelto solamente á los suscriptores: establecimientos españoles y extrangeros le da considerables ven­ plazar á T rinitario Cañizares, natural de N ovelda, en la pro­ los que n…</t>
  </si>
  <si>
    <t>Suarez, Cándido</t>
  </si>
  <si>
    <t>Cándido Suarez</t>
  </si>
  <si>
    <t>…enten sin causa pendiente acogiéndose á esta gracia, á vincia para la de Valencia de D. Juan, que es de entrada en la pro­ expresan á continuación. sus propios cuerpos, y cuando estos no estuviesen en la Puebla d© de León, á D. Cándido Suarez, promotor fiscal de la Sanabria. Art. 2.° Se exceptúan de este indulto los reos de sa­ demarcación de su respectivo marido, lo verificarán al que crilegio, de atentado contra la Real Persona, los de trai­ tuvieren por conveniente, siendo en la misma arma, en el ción, rebelión y co…</t>
  </si>
  <si>
    <t>Suarez, Ildefonso</t>
  </si>
  <si>
    <t>Ildefonso Suarez</t>
  </si>
  <si>
    <t>…rcer el cargo de asesor por dos gnn los casos. A esta autoridad podrán también acudir los salud. años, á no ser que lo redima con 13 dures. particulares que se creyeren agraviados por la cantidad de Al teniente asesor general D. Ildefonso Suarez 1$ duros la multa, ó por el comportamiento de los alcaldes y de multa , y suspensión por seis años de su asesoría , que guardas. m in is t e r io d e l a g u e r r a . podrá redimir con 1500 duros; entendiéndose todas las 4.a Los gefes políticos remitirán á todos los alcaldes, mu…</t>
  </si>
  <si>
    <t>Suarez, José Ildefonso</t>
  </si>
  <si>
    <t>José Ildefonso Suarez</t>
  </si>
  <si>
    <t>…riotism o de los em pleados del G obierno m ayores resul­ cia y Justicia , dos folletos ó memorias escritas por el oidor ho­ de G ra­ tados y mas claras dem ostraciones sobre lo que queda enun­ norario de la audiencia de Cuba D. José Ildefonso Suarez , que ciado, y al efecto ha tenido á bien m andar: Diputación provincial de M adrid . principia el primero: "Escribir para el público ;” y concluye: 1.° Q ue las contadurías generales adopten las dispo­ "Semejantes perturbadores ;” y el segundo: " Y tú también, siciones mas e…</t>
  </si>
  <si>
    <t>Suarez, José Rui</t>
  </si>
  <si>
    <t>José Rui Suarez</t>
  </si>
  <si>
    <t>…ú o de tiples en la ópera I Capuleti ed i Monteccki , D , Andrés Torres Moreno, Sr. conde de P rie g n e , D. Mateo temente , á las diez de la mañana; apercibido que de no hacerlo se por las Sras. Feijas y Antúoez. Hernández, D. José Rui Suarez , D. Antonio García , D. A n ­ dará el juicio por intentado é incurrirá en la multa de cuatro 5.° Cavatina bufa en la ópera Coradino , del maestro Ros- tonio Deus, D. José María Y ile la ,D . Gerónimo V idal, Don ducados, parándole ademas el perjuicio que haya lugar. s i n i , por el…</t>
  </si>
  <si>
    <t>Subditos</t>
  </si>
  <si>
    <t>…Aires, se han empleado en Inglaterra field. Debe desear cordialuiente la solución de la cuestión de las -capitales que ascienden á muchos millones; que infinidad de fronteras que, en manos de botafuegos tales como el gobernador Subditos británicos .ganan su subsistencia en estos estableci­ Taisfield , podría ocasionar una conflagración general. m ientos; que el oro en barras y en monedas que se importa de Los gobernantes en América saben mejor que nadie que la NOTICIAS NACIONALES. M éjico á la Gran-Bretaña y á las coloni…</t>
  </si>
  <si>
    <t>Subiraoa, Miguel</t>
  </si>
  <si>
    <t>Miguel Subiraoa</t>
  </si>
  <si>
    <t>…se sirva ma­ del corriente. adjudicación del arriendo en participación de los derechos de nifestarme si se ha presentado en esa plaza, ó si tiene conoci­ Camino de Córdoba d Antequera. puertas de Barcelona hecha en favor de D. Miguel Subiraoa miento oficial de que lo haya hecho en otro punto, teniendo por la cantidad anual de 12.198,647 rs. 13 mrs. vn ., se hace la bondad de noticiarme su paradero ó las noticias que haya Todavía no se ha recibido contestacioo alguna á las órde­ saber al público por medio de este anuncio…</t>
  </si>
  <si>
    <t>SUiollz, Emilio</t>
  </si>
  <si>
    <t>Emilio SUiollz</t>
  </si>
  <si>
    <t>…nciadas en di­ do que sea dicho término , sin roas citarles y emplazarles , les cho mes. parará el perjuicio que haya lugar. D. Cayetano Lengo, vecino de la ciudad de Málaga , como XAURENTÍNO TRIUNFANTE EN ROMA. apoderado de D Emilio SUiollz, hermanos, de la misma y Su comercio, er» el dia 6 de Junio denunció la mioa de plomo nombrada Nuestra Señora de los Dolores, sita en Sierrablanca, Juzgado de Amortización . término de esta ciudad , que perteneció á D. Juan Alonso y CRUZ. Hoy no hay función. Mañana viernes se pondr…</t>
  </si>
  <si>
    <t>SUPERIORE, ES</t>
  </si>
  <si>
    <t>ES SUPERIORE</t>
  </si>
  <si>
    <t>…de Fueoteguilleu, en í.° d e Abril del año de 1679, m ay o r d e 644 p á g in a s, con el re tra to d e C erv an tes S aave­ apercibidos de que en otro caso les parará el perjuicio que haya T D E LAS DIRECCIONES Y A UTO R ID A D ES SUPERIORE8. d r a , el fac-sim ile de u n a ca rta su y a , y los á rb o le s g en ea­ lugar. Dado en C iudad-Real á 25 de Julio de 1859.r=Licen- lógicos de su fam ilia, 16 rs. ciado Isidoro de Jusue y Barreda=Por m andado de S. S ., Pe­ N oticia biográfica d el m a rq u e s d e la E n sen ad a…</t>
  </si>
  <si>
    <t>SUPERIORES, ES</t>
  </si>
  <si>
    <t>ES SUPERIORES</t>
  </si>
  <si>
    <t>…e decretos, individuo de varias sociedades eco­ nómicas lización, desaparecían d é la superficie de la tierra con el en esta provincia, , intendente subdelegado de rentas, correos y loterías Y DE LAS DIRECCIONES Y A U TO RID A D ES SUPERIORES* pueblo que las levantó.^M . P. que de ser asi el escribano de S. M. mayor de intendencia da fé. E ntrega de SETIEMBRE de 1839. Por el presente se cita, llama y emplaza por primer edicto y término de nueve dias á D. Valentín O tad a, oficial quinto Se halla á 3 rs. tanto en rama com…</t>
  </si>
  <si>
    <t>…una jeto de hacerle saber cierta providencia dictada en expediente sola voluntad y familia, y de olvidar para conseguirlo los dis­ que se sigue contra el mismo sobre pago de 11,600 rs. en pa­ Y DE LAS DIRECCIONES Y A U TO RID A D ES SUPERIORES# gustos y agravios pasados, ¿ y podré prometerme que la cum­ pel , procedente de la segunda octava parte del precio en que pliréis? No quiero dudarlo un momento: conozco vuestras vir­ compró varias tierras pertenecientes al Estado en término de E ntrega de O C T U B R E de 1839. tudes…</t>
  </si>
  <si>
    <t>SUR, EL</t>
  </si>
  <si>
    <t>EL SUR</t>
  </si>
  <si>
    <t>…que se halla en PARTE NO OFICIAL. esta forma: _______ En poder de los administradores de NOTICIAS EXTRANGERAS. Suma anterior. 798550..24' Núm. 1 . . . . . . . . . . . . . 694-15 Corella...................... 245..27 AMERICA D EL SUR. / O ________ 152..52 Coruña.............. .. 36706..27 / 3 ................. 595..2 i Cuenca..................... 14657. .27 Tres de las seis provincias de la América central han pro­ Elche........................ 8270..51 clamado su'índependencia; y son Costarrica , Nicaragua y Hon­ 1 5…</t>
  </si>
  <si>
    <t>Sura, Francisco</t>
  </si>
  <si>
    <t>Francisco Sura</t>
  </si>
  <si>
    <t>…e á caballo: el ginete está m ontado con Clase de latinidad =R uditueQ tos.z:D . Pedro de la E nc in a, EL D EL A TO R , n a t u r a l i d a d , y el dibujo es correcto. Su U e o p a tr a tiene ex­ D . J u a n José M edrano y D. Francisco Sura. celentes dotes: m orb id ez, frescura en las carnes; expresión en Ó LA BER L IN A D E L EMIGRADO. Clase superior de i d . ^ D . Isidoro Benitez , D . José Paredes y la fisonomía, gracia en los detalles, buen partido de pliegues y D . J o a q u ín P etit. arm o nía en el todo. r o…</t>
  </si>
  <si>
    <t>SURRA</t>
  </si>
  <si>
    <t>…ig irm e en su oficio resta o ferta; y ha llevado tan lejos sus argumentos , que hasta lidad. de 18 del co rriente, demostrando en ella su satisfacción y con­ ha querido manifestar que se falsea la promesa porque se a m - El Sr. S U R R A expuso que la España no se hallaba en ig u a l tento por el plausible cuaoto extraordinario suceso de la paz p ’ia la cantidad de 14 *0 rs. Si no estuviera convencido de que situación que Inglaterra respecto al reparto del terreno; que si que he tenido la dicha de proporcionar á las provi…</t>
  </si>
  <si>
    <t>Surrá</t>
  </si>
  <si>
    <t>…e utilidad; y partiendo de este principio que abunda y que niente usar de esa arma fuerte y poderosa que puede hasta coar­ tión del momento es muy distinta de la de organización de sobresale, hé ahí por qué con razón dijo el Sr. Surrá que el tar la libertad en la misma discusión. Milicia nacional; pero que cuando llegue e*ta, manifestará su Gobierno se habia adherido al proyecto de la comisión. Asi pues, señores, traída á su verdadero terreno no veo opinión con la energía y el valor que acostumbra , y con toda Hechas esta…</t>
  </si>
  <si>
    <t>Sussex</t>
  </si>
  <si>
    <t>…conde Grey , el d u ­ pues bien, en ambas ocasiones la publicación de aquel Real de- j hadjoutas que tendrían con que temer las osadas incursiones de los frecuencia avanzaban hasta las puertas de que de Cambridge y el duque de Sussex se hallaban presentes. creto ha producido el. mejor efecto. Convengo en que el arres- | Argel. En otro tiempo esta ciudad era la base de nuestras ope­ El Gran Duque heredero de Rusia asistía á la sesión. to preventivo de los ciudadanos, por mas síntomas que presen- J raciones; ahora , bien s…</t>
  </si>
  <si>
    <t>…iduos de tropa heridos. el duque y la duquesa de C am bridge, la Princesa A u g u sta , la sio ; pero habiendo dado el general la orden de m archar, guar­ Tres caballos muertos y seis heridos. duquesa de G locester, el duque de Sussex, el Gran D uque he­ dias y Nacionales y soldados se precipitaron al paso de carga* Coraceros de id.—Seis individuos de tropa heridos. redero de R u sia, el Príncipe Guillerm o Enrique de los Paises-, hácia las tres barricadas, que fueron tomadas al grito de \Viva Cuatro caballos muertos y…</t>
  </si>
  <si>
    <t>Sussex, Sheele.</t>
  </si>
  <si>
    <t>Sheele. Sussex</t>
  </si>
  <si>
    <t>…e , que asistió también á la fies­ de M ayo de 1859.==Ernesto Augusto.= Por mandado de S. M ., t a , se retiró antes de la media noche. S. A. R. el duque de M r. B échard, quien reconociendo el derecho constitucional G, barón de Sheele. Sussex , que tenia igualmente intención de asistir á ella , envió de la Cámara de dirigirse por sí á la corona, sostiene sin em­ un av iso , excusándose á causa de una ligera indisposición. bargo que en las actuales circun stan cias, un mensaje de esta Los príncipes Dolgoruky y B a ria tim…</t>
  </si>
  <si>
    <t>Sustacha</t>
  </si>
  <si>
    <t>…iese concurrir al ataque geoeral la división go la seguridad en que el berganiin español Ib eria , su su consecuencia concurriendo en ellos los requisitos exi­ del brigadier Hoyos. Este gefe marchaba con ía fuerza de su capitán Sustacha, despachado últimamente en lastre de gidos por el mismo. mando sobre la derecha del camino que seguía el convoy que L o n d re s, y se halla actualm ente en este puerto á la carga iba á introducirse en Lucena , cuidando asi de su seguridad , y 2 .° Que á los que ya eran fiscales en 29 de…</t>
  </si>
  <si>
    <t>Szcryuecky</t>
  </si>
  <si>
    <t>…está decidido á adoptar al­ menores siguientes que le han comunicado de P raga: consejo de pronunciarse sobre esta cuestión , que debe dejarse gunas medidas enérgicas y decisivas para hacer que en aquel Sabido es que el general Szcryuecky habia fijado su residen­ que madure el tiempo. El bilí de la ley de los pobres, mejorando pais se guarde el respeto debido á S. M ., que se obedezcan las cia en esta ciudad , donde era objeto de la vigilancia mas acti­ la condición de las clases indigentes, ha probado á las masas po­ leye…</t>
  </si>
  <si>
    <t>Sábese, Francisco de Hojas.</t>
  </si>
  <si>
    <t>Francisco de Hojas. Sábese</t>
  </si>
  <si>
    <t>…rgo otros dram as trágicos de D. F ra n c is Muy pocas noticias tenemos acerca de la vida y escri­ Para su venganza les diremos que el autor también alcanza su co de Hojas, que m erecen ser conocidos y estudiados: ta­ tos de D. Francisco de Hojas. Sábese que era de M adrid, censura, puesto que hay coqueterías de diferentes géneros, y él ha sabido usarla con los que tiene por sus mejores amigos; les son el Caín de C a ta lu ñ a , P rogn e y F ilo m e n a , y sobre por hallarse incluido en el Indice de los h o m b r e s il…</t>
  </si>
  <si>
    <t>Sán</t>
  </si>
  <si>
    <t>…uropa entera , cuaudo hay tacta ; y y o pregunto á la comisión, ¿cómo sabe sise debe con­ greso los errores en que incurra. suficiente capacidad para usar de todos sus medios. El Sr. Armendariz ha contestado perfectamente al Sr. Sán­ Y o 110 digo que haya influido nadie en el ánimo del G o ­ ceder al Gobierno la autorización, si tía dejado intacta la cues­ chez de la Fuente. Cuando dijo este Sr. D ip utado que 110 creía bierno; pero este no llevará á mal que le diga que se haga con t ió n ? ¿ p o r dónde saben SS. SS. que…</t>
  </si>
  <si>
    <t>…cuenta y acordó constase en el acta que la comisión dores á ellos como sobre los que no lo son, y por otra en que Dijo el Sr. González Alonso (leyendo ) wque no podia menos nombrada para informar acerca de la proposición del Sr. Sán­ no se comprende á los mutilados, cuerpos francos y Milicia de extrañar que el Ministro de la Gobernación 110 haya puesto chez de la Fuente y otros Diputados para que no se abone suel­ nacional que tantos servicios han prestado, recordando con este de su parte io que correspondía en una materia…</t>
  </si>
  <si>
    <t>Sán, José Garlos Borreguero y D. Blas</t>
  </si>
  <si>
    <t>José Garlos Borreguero y D. Blas Sán</t>
  </si>
  <si>
    <t>…ya principio circulan sobre los diversos despachos que se han recibido en el bajo la dirección del célebre D. Francisco Olivares, y á cargo ministerio de Negocios extrangeros, parecen, dice el Tiempo , de los dignos maestros D. José Garlos Borreguero y D. Blas Sán­ sumergir en la indecisión, ó dilatar al menos hoy, la cuestión chez E gido, auxiliados de pasantes de mérito conocido. Las aca­ que ayer parecía terminada. Zaragoza 24 de Noviembre . demias de música que se celebrarán do minical m ente, y que tan Ahora es el…</t>
  </si>
  <si>
    <t>Sán, Vicente</t>
  </si>
  <si>
    <t>Vicente Sán</t>
  </si>
  <si>
    <t>…del Rio debe habilitarse con preferencia ai persecución por el citado Quevedo las compañías de cazadores trazado por su compañero D. Elias A quino, y á nuestro juicio GRAN BRETAÑA. de Saboya y Santiago, la franca al mando de D. Vicente Sán­ se ha hecho una elección muy acertada, y en su dia debe apo­ Lóndres 4 de Junio. chez y 40 caballos del 4»° ligero, todos á las órdenes del capi­ yarla V. E. Al mismo tiempo que nosotros, emprendieron su tán de Santiago D. José Navarrete, tuvieron estas tropas la marcha las dos brigad…</t>
  </si>
  <si>
    <t>Sánchez</t>
  </si>
  <si>
    <t>…atuialeza, __ _ culo de la reforma del reglamento. dido la palabra en contra, por el órden que yo lo he oido, com­ El Sr. E S T R A D A insiste en la utilidad y conveniencia de El Sr. O L O Z A G A (continúa): Tiene razón el Sr. Sánchez prende á los Sres. conde de las N avas, Madoz, Iñ ig o , Corta- la proposición que, ha tenido el honor de presentar al Congreso, de la Fuente; hasta en la reforma se hace mención de esta cues­ zar , Q uinto, Calderón Collantes , Ayala , Esteban , Egaña , y porque siendo el asunto que va á tr…</t>
  </si>
  <si>
    <t>…ifestar que nimo la totalidad ; una es al art. 1.° presentada por el Sr. San­ de su existencia, y se las diga (tao hay recurso, no hay medio, los deseos de los peticionarios no eran los que se suponían, pues cho, y otra del Sr. Sánchez: no afectan, repito, la totalidad, todo lo consume la guerra?” N o sé yo , ahora que la guerra se no querían que se las devolviesen sus bienes, porque bien co­ y la comisión, aunque no veo por aqui á mis comp&lt;*ñeros , no acaba , cuál será el baluarte donde se encerrarán los Sres. M i­ nocía…</t>
  </si>
  <si>
    <t>…j : amenazas de muerte á que les entregasen las que no habian po~ un muerto y varios heridos, habiéndolos alcanzado en la aldea Hoy se han dado las órdenes por nuestro Gobierno á las ! dido ser halladas. de Ortezuela el coronel Sánchez , de las tropas de la marcha, á autoridades respectivas, para abolir las medidas extraordinarias * En la instrucción del proceso se encuentran á cada paso quien destacó en su persecución, el cual logró aprehenderles va­ en lo tocante al paso de las fronteras de la Bélgica. Asi es que ¿ hech…</t>
  </si>
  <si>
    <t>…ó que quedase sobre la mesa el dictámen de la co­ nas absolutistas? S, S. lo creerá de buena fe, yo reconozco que humanidad y de la ilustrada razón: la gratitud universal jamas misión encargada de examinar la proposición del Sr. Sánchez son sanas sus intenciones y sus opiniones públicas, me honro podrá borrar de su memoria el tierno abrazo de dos ge n era ­ de Lafueute y otros sobre que los Senadores y Diputados no con su am istad, pero S. S. ha vertido ayer doctrinas que no les enemigos cuyas espadas vinieron á unirse af…</t>
  </si>
  <si>
    <t>Sánchez, Andrés</t>
  </si>
  <si>
    <t>Andrés Sánchez</t>
  </si>
  <si>
    <t>…Y DEL TEATRO EXTRANGERO. escritura de capital de 15© rs. vn. de los cinco gremios mayo- CRUZ. Hoy no hay función. ir C°rte’ señalada ^ n el núm. 14,194; parte de otra LOS CORTESANOS DE D. JU A N II, * ?500 que perteneció á D. Andrés Sánchez, difunto, seña­ lada esta c o n el núm. 15,940 , firmada en 2 de Marzo de 1816 drama histórico , original, en cuatro actos y en variedad de por los ores, directores de dichos cinco gremios mayores, para metros, por D. Gerónimo Moran.</t>
  </si>
  <si>
    <t>Sánchez, Francisco Javier</t>
  </si>
  <si>
    <t>Francisco Javier Sánchez</t>
  </si>
  <si>
    <t>…ofo Mr. Bouvier, de cuyas obras raci, D. Andrés M a rti, D. Ju a n Garay y Casal, D. Rafael Instrucción sobre el método de curar á los asfíticos por el hemos traducido y tomado una gran parte de la que tratamos de Cañaveral , D. Francisco Javier Sánchez, y D. Ju a n José Gil, mefitismo, los ahogados &amp;c. con observaciones sobre las causas publicar para dar una idea favorable de ella. que aparecen endosantes en varios créditos de deuda sin Ínteres de estos accidentes, y sobre las señales de muerte verdadera pa­ Esta obra con…</t>
  </si>
  <si>
    <t>Sánchez, Félix</t>
  </si>
  <si>
    <t>Félix Sánchez</t>
  </si>
  <si>
    <t>…s a F e r do al primer preludio dulce de paz ha sabido significarse con parte periódico de novedades fecha 15 del actual dice: tanto entusiasmo. Verdad es que no tiene precio el don que Que el gefe de la columna de la Alcudia D. Félix Sánchez n a n d a , c o n t in ú a n e n esta co rte s in n o v e d a d e n su im de M o lin a , capitán de una de las compañías de escopeteros de Y. M. nos prepara; pero también es cierto que el honor n a ­ p o r t a n te s a lu d . dicha p ro v in cia, batió el 6 á los rebeldes, los cuales…</t>
  </si>
  <si>
    <t>…habiéndose realizado con las formalidades que la misma previe­ sn dimisión de representante. Esta resolución , anunciada anti­ to s, algunos heridos, cogerles nueve caballos, i 2 monturas y ne, tocó á los sugetos siguientes : D. Félix Sánchez M a rin , Don cipadamente por el Diputado de M ons, no ha producido nin­ otros efectos , sin que por ini parte h aya habido mas novedad José M en cia, D. Ju an José Enrique , D. Ambrosio Laviano, gún efecto en la asamblea. que la de dos tiradores heridos de. sable, un caballo herido y…</t>
  </si>
  <si>
    <t>Sánchez, Joaquín</t>
  </si>
  <si>
    <t>Joaquín Sánchez</t>
  </si>
  <si>
    <t>…r término de tercero dia á M inas nacionales de Riotinto 50 de Noviembre de 1858.=: D. Joaquín María Mendez y Suarez, D. Manuel M iranda , Don En Palacio á 30 de Diciembre de 1838.=A1 Presidente Ignacio Goyanes. José Viton y D. Joaquín Sánchez, á fin de que se presenten á interino del Consejo de Ministros. prestar declaración en la escribanía mayor de Amortizicion i cargo de D. José Balduque, sita en la calle del Lobo, niím. 8 , ACTAS DEL GOBIERNO. Inspección de minas de las provincias de Granada y A l­ piso segundo; ap…</t>
  </si>
  <si>
    <t>…la promotoría fiscal del juzgado de Sos á publicista de crédito los ha reconocido tales cuales sé han pre­ quezabarón Deífaudis, después de haber manifestado con fran­ que no estaba conforme el Gobierno con las doctrinas que D. Joaquín Sánchez A i neto, que interinamente la desempeña. sentado por la legación; y puedo asegurar que en las largas habia emitido la legación sobre el punto de indemnizaciones. contestaciones que han mediado eotre esta y el ministerio de "Sin embargo de lo expuesto, dije, como el Gobierno supremo…</t>
  </si>
  <si>
    <t>Sánchez, Josc</t>
  </si>
  <si>
    <t>Josc Sánchez</t>
  </si>
  <si>
    <t>…ro al mando del teniente coronel D. José Rafael Basave, dio muer­ Señora.= A L. R. P. de Y. M .=l -.os alcaldes constitucionales pueblo de la monarquía en adhesión á laGonsfitucion de 1857, te sobre el campo á los cabecillas D. Josc Sánchez, titulado co­ Francisco Campo y Roger.zzRamon Mi ralles.—Los regidore* y en amor y respeto á la augusta persona de Y. M. y de vues­ mandante del partido de Mera , y á Isidoro Ponton. Y que el José Custi y Llobera.=J uan Pou.—Lorenzo Ortiz.=:José Bergé tra excelsa Hija la Reina Doña Isa…</t>
  </si>
  <si>
    <t>Sánchez, José</t>
  </si>
  <si>
    <t>José Sánchez</t>
  </si>
  <si>
    <t>…o­ ber entretenido al espectador sin una voz que le dañe ni ai al­ ner en escena la aplaudida ópera en dos actos, del maestro D on ma ni al cuerpo, que en acciones de esta clase se encuentran po­ Asimismo se cita y emplaza á D. José Sánchez, D. A nto­ Baltasar Saldoni, titulada cos ; y la segunda un desengaño para que reconozca todo inge­ nio D uran y Doña M argarita M o r ti, para que en el término nio que el que escribe hace lo menos y el actor hace lo mas.” de nueve dias, que por segundo se les señala , comparezcan en…</t>
  </si>
  <si>
    <t>…a'ba í9 libras— ¿Veis? exclamó, nos habíamos equi­ de D. J osé DiOídado, J tropa, saltó en el barco enem igo, y no pudiénd ole segu ir vocado. N u e s t r o hombre no te atrevió á hacer ninguna obser­ Rudimentos de latinidad. D. José Sánchez, D. Angel Re- sus soldados por haberse separado los dos b u q u es, q u ed o vación, y pagó el jamón al mismo precio que el algodón, es de­ tortillo , D. Leopoldo Brockmann , D. Fernando Reyes, Don solo, prisionero y lleno de heridas; por esto d ijo: «Yo so­ c i r , á 4 pesetas la lib…</t>
  </si>
  <si>
    <t>…el principio del tomo 2.° se satisfagan los cua­ teriores representaciones , titulado por primer edicto y término de nueve dias, contados desde su dernos de cuatro en cuatro, al tiempo de recibir uno de ellos, publicación , a D. José Sánchez, D. Antonio D uran y Doña siendo por consiguiente el adelanto de solos tres, cuya recau­ Margarita Mostí, para que comparezcan en la escribanía prin­ dación se hará exclusivamente cuando se distribuyan las entre­ E L CA S T IL L O D E S A N A L B E R T O . cipal de rentas y arbitrios de…</t>
  </si>
  <si>
    <t>…g a r , y conviene repetir a q u i , que entre sustantivo y adjetivo tín Jim énez, y regresará al mismo punto á los pocos dias de su estando juntos y siendo único e ste , es violenta la cesura; y Asimismo se cita y emplaza á D. José Sánchez, D. Anto­ arribo ; y pudiendo llevar algunos pasageros de cám ara, se d ir i­ mucho toasen los artículos, preposiciones , conjunciones y pa­ nio D u rán y Doña M arg a rita M o s t i , para que en el término g irá el que quiera aprovechar esta ocasión á D. Félix de A g u ir - labras…</t>
  </si>
  <si>
    <t>…........................ 2,000 del 4 por 100 , núm. 12,514 » endosa­ miento de que de uo hacerlo, les parará el perjuicio que haya lugar. tificación, podrán dirigirse á dicha im prenta Nacional do por D . Santiago Escalar á D. José Sánchez hasta el 10 de Diciembre. Ladrón de Guevara.......................................... .. • 752..S2 'C'N virtud de providencia dictada en autos ejecutivos que se Suma.................................. 8,752..52 ^ siguen en el juzgado de primera instancia de esta capital, al cargo del…</t>
  </si>
  <si>
    <t>Sánchez, Juan de la Cruz</t>
  </si>
  <si>
    <t>Juan de la Cruz Sánchez</t>
  </si>
  <si>
    <t>…icar segunda edición bajo el cui­ Gobierno político de la provincia de Cuenca. término de la ciudad de G u a d a ñ a r a , y pago titubdo del G ar­ dado y censura del cardenal arzobispo de Toledo. El Sr. Torres rote, propia de D. Juan de la Cruz Sánchez , hijo y heredero Am at habia tomado ya sus disposiciones para su segunda edi­ Cumpliendo en fin de Diciembre de este año la contrata ce­ de Antonia Polo, vecina que fue de Guadalajara , de cabida ción en Barcelona , y habia obtenido también las licencias ne­ lebrada coa los…</t>
  </si>
  <si>
    <t>Sánchez, Julio Gómez de Silva</t>
  </si>
  <si>
    <t>Julio Gómez de Silva Sánchez</t>
  </si>
  <si>
    <t>…eniente com. mitirle la dimisión de dichos dos encargas que ha desempeñado' zar victoriosamente esta recoavencion. Si se quiere acriminar la P. D. Se me olvidaba deciros que habiendo encontrado á á satisfacción mia. El consejero Julio Gómez de Silva Sánchez, conducta de mi muy honorable amigo el presidente de la d i­ S. A. R. el Príncipe de Joinviile en el castillo de San Juan de Ministro y Secretario de Estado de los negocios del R eino, lo rección del registro, le será igualmente fácil probar que no he­ Ulúa el siguiente…</t>
  </si>
  <si>
    <t>Sánchez, Manuel</t>
  </si>
  <si>
    <t>Manuel Sánchez</t>
  </si>
  <si>
    <t>…en tiempo oportu­ ella llama su sustituto, la diputación provincial ingresó en Otra id. en M onterilla, término de Benadux , Candelaria n o , y que se pase una copia al Gobierno por conducto del se­ caja á dicho su hijo. por D. Manuel Sánchez , en 21. * ñor Ministro de la Gobernación, Palacio del Congreso 20 de La comisión opina no há lu gar á deliberar. Otra id. en id ., Desierto, por el mismo , en 21. Setiembre de l859.=:Perez de Rivas.=:Alcon —Gutiérrez de Ce- Otra id. en loma de la Fuente , término H u ércal, la Gu…</t>
  </si>
  <si>
    <t>…Otra id., sierra i d . , cerro de la Monterilla , término de reales; y ambas pertenecen á la testamentaría de D . Salustiano L e ó n , M iñ ó n : M álaga, Carreras: O v ie d o , Longoria : Orense, Beuadux, la Candelaiia, por D. Manuel Sánchez, en 16. Manuel Gouzaléz, vecino que fue de la expresada v illa , y se N o v o a : Palma (Mallorca), Guasp: Pamplona , Erasun : Ronda, Otra id., id., id., el Desierto, por id., en id. anuncia al público á los efectos consiguientes. Fernandez: Salamanca, Blanco: Segovia , Alejandro: Se…</t>
  </si>
  <si>
    <t>Sánchez, María Luisa</t>
  </si>
  <si>
    <t>María Luisa Sánchez</t>
  </si>
  <si>
    <t>…o mayor del ca­ no y |arijdiiccio-ii de la villa de Y a [demoro, pertenecientes i siitio de Val déla,estrella . en 5 5 0 rs. bed lia del mismo nombre , ge fe de lías facciones de la Man­ D-, Igmii'cio Echavarna y sa esposa Doña María Luisa Sánchez,, Otra de una fanega y tres cuar ti lias al cárnico de Tor Tejón, cha. Después de o,na larga y constante periecudon log ró daFe y son las siguientes: de Velasco , en 2 6 2 rs. alcance con 3 2 caballos en el pueblo de Almoaadd de Zorita, sien d o el resultado: quedar moer los eu…</t>
  </si>
  <si>
    <t>Sánchez, Pedro</t>
  </si>
  <si>
    <t>Pedro Sánchez</t>
  </si>
  <si>
    <t>…y contrariando violentamente Otra id. en Cabezo Pinalbo, término de Cuevas , Aparición C ongreso d e Diputados en d iferen tes sesion es . lo dispuesto sobre esta materia. Que en dicho reparto se le de­ de S. M ig u e l, por D. Pedro Sánchez, en 25. tallo la cantidad de 600 r s . , cuando los individuos que com­ Otra id. en cuesta de las Tejas , término de V ia to r, Ve­ N úm . 54* L a diputación provincial de Cuenca expone al ponen aquella corporación nada se habían señalado, á pesar de n us, por Domingo Felices, en 25.…</t>
  </si>
  <si>
    <t>Sánchez, Saturnino</t>
  </si>
  <si>
    <t>Saturnino Sánchez</t>
  </si>
  <si>
    <t>…se extenderían hasta los límites del E ufrates, lo cual añadiría cana. Toledo con fecha 22 del actual manifiesta que la partida de aun un poco mas de terreno al que y a posee en Siria el virey. seguridad publica , al mando de D. Saturnino Sánchez, en una Hé aqui lo que se dice ser el ultimátum del b a j á : M ehemet- L a Gaceta d e l P iam onte anuncia en su parte oficial que batida que hizo el dia 18 en la sierra de Bullaque , dio muerte A lí renunciaría por sí y los suyos al gobierno hereditario de las relaciones comercia…</t>
  </si>
  <si>
    <t>Sánchez, Senen</t>
  </si>
  <si>
    <t>Senen Sánchez</t>
  </si>
  <si>
    <t>…se c it a , llama y emplaza á todas las personas que C A T A L A N -C A S T E L L A N O -L A T I N O - F R A N C E S - I T AL IA N O COLECCION DE L A S M E JO R E S O B R A S tengan derecho á los bienes quedados por muerte de D. Senen Sánchez, vecino que fue de la misma , para que dentro de 50 Y V1CE VERS A, di as que se señalan por primero , segundo y tercer término y DEL TEATRO p o r una sociedad de catalanes colaboradoresw ANTIGUO Y MODERNO ESPAÑOL, perentorio comparezcan en él por sí ó por procurador con poder bastant…</t>
  </si>
  <si>
    <t>Sánchez, Vicente</t>
  </si>
  <si>
    <t>Vicente Sánchez</t>
  </si>
  <si>
    <t>…. cerlo presente para que se remedie tanto m a l, y suplica al Con­ sirva declarar que al clasificarlos se tenga como parte de suelch&gt; q 1 e' ! bar.ranco de Fernandez, término de C uevas, la greso haga observar la ley. por D. Vicente Sánchez R ub io , en 14 . de sus destinos la cantidad que se haya graduado ó gradúe de L a comisión es de dictámen que esta exposición se remita ben producir los derechos de a r a n c e l, ó cuando menos la seña­ Otra id. en loma de la Fuente, término de A lm ería, San­ al S»r. Secretario…</t>
  </si>
  <si>
    <t>…tarán de manifiesto el arancel y plie­ r A yer regreso de su expedición al pueblo de Almatred la Otra id ., id ., i d . , id ., Nuestra Señora de la Soledad, por go de condiciones bajo las que se ha de celebrar la subasta; en D. Vicente Sánchez R ub io , en 4» el supuesto de que para su primer remate se ha señalado el compañía de Nacionales movilizados de esta v illa , adonde h a ­ bían pasado la noche anterior con objeto de hacerse con el diez­ Otra id ., id ., id ., id ., Santa Irene, por D. T rinidad S i­ dia 25 del corr…</t>
  </si>
  <si>
    <t>Sástago</t>
  </si>
  <si>
    <t>…os ben observarse para la distribución de los premios milita­ siguientes: D . Cosme de Mora, D. Francisco de Paula García, res, todos los documentos que para la calificación de los D. Ignacio Perez de Soto, Exctno. Sr. conde de Sástago, Don méritos sé juzgue conveniente que se tengan presentes, Mariano A stiz, D. Angel Polo, D. Juan Escorial y G il, Don RUSIA E ING LATERRA . obrarán en las capitanías generales de las provincias en José López y D . Andrés Fernandez, quienes por unanimidad tiempo oportuno para que no se r…</t>
  </si>
  <si>
    <t>Séptima, M. Jerez.</t>
  </si>
  <si>
    <t>M. Jerez. Séptima</t>
  </si>
  <si>
    <t>…y F r í a s , S a l- *po; y asi que tendié que molestar por algunos momentos la pecialmente á los oficiales D. Sebastian P a stor, D . José C ay e­ vato , Moret. atención de IpsSresí D ipu tado s. r ' ; í ‘ tano Souza y sargento M. Jerez. Séptima sección: Romero y D o m in g o ? M a y a n s , P a s a d a Ve™ y m ores , que primeramente era necesario ai?Je to d a^ A rguelles, A-rrazóla , López (D. B.) j ZurnálacarreguiV A yala :cosas determ inar si se habia observado en la prisión del D ip u-j S. M. se ha servido resolver…</t>
  </si>
  <si>
    <t>TA, CA YE</t>
  </si>
  <si>
    <t>CA YE TA</t>
  </si>
  <si>
    <t>…un a como tal, es fal­ que encontrásemos. Será torpeza nuestra , pero no pudimos com* comisión. so lo que se supone en e lla ; y que cuando se trata de inter­ prender el orden y método que se proponía seguir el compila­ El Sr. CA YE TA N O MELENDEZ fue agregado á la p ri- pretar intenciones, es necesario ver si los hechos corresponden á d o r , ni menos que el resultado correspondiese á tan exageradas mera sección. * estas intenciones que se han supuesto : leyó una circular del ofertas. Teniendo y a á la mano la primera…</t>
  </si>
  <si>
    <t>TA, DE REN</t>
  </si>
  <si>
    <t>DE REN TA</t>
  </si>
  <si>
    <t>…el art. 4.° del de 23 de Abril de 1837; y tado que deben recibirse en pago, si las oficinas no cui­ cuando se encargue a las citadas corporaciones que infor­ dan con una esmerada exactitud de recaudar el impor­ DIRECCION GENERAL DE REN TA S Y ARBITRIOS DE AMORTIZACION. men acerca de la conveniencia de dividir los predios de te de los remates al vencimiento de las obligaciones , de Venta de bienes nacionales.—Circular. regular extensión sin menoscabo de su valor ni graves di­ la manera prevenida en la circular de 2 de Agost…</t>
  </si>
  <si>
    <t>TA, IPU</t>
  </si>
  <si>
    <t>IPU TA</t>
  </si>
  <si>
    <t>…. dad que en breve va á disfrutar la magnánima nación á que nos gloriamos pertenecer. Todos deseábamos la paz, porque eramos españoles todos, y CORTES. veíamos con ardor profundo correr á torrentes la sangre de CONGRESO D E D IPU TA D O S. tantos valientes, de nuestros hermanos. S. M. la R e i n a , s u augusta Madre la R e in a G o b e r n a ­ Llegó por fin el venturoso dia en que un caudillo ilustre, PRESIDENCIA DEL S E Ñ O R C A L A T R A V AS. d o r a y la Serma. Sra. Infanta Doña María Luisa Fer­ exento de extran…</t>
  </si>
  <si>
    <t>…ra á D. Jo aq u ín Bayona, nuestra Reina Doña Isabel i e , á vuestra augusta persona y á la e n reem plazo de D. José Perez de Necochea, obispo elec­ libertad de la nación. Jaén 7 de Setiembre í859.=Señora,— C O N G R E SO D E D IPU TA D O S. to de Oviedo. T endréislo en ten d id o , y lo com unicareis á Vuestros mas fieles empleados.=:P. A L. R. P. D. V. M.zzEl P R E S I D E N C I A DEL SEÑOR CALATRAVA. qu ie n corresponda para los efectos convenientes á su cu m ­ intendente interino, Alejandro Aniceto M adrid.—El contad…</t>
  </si>
  <si>
    <t>…iamente satisfechos, ¿ y gravedad. Esos ciudadanos después de haber cumplido el año por qué? Porque en este asunto jamás puede temerse la discu­ de su condena, se presentaron al gefe militar para que les diera C O NG RESO D E D IPU TA D O S. sión y publicidad, pues cuanto mas se trate de este negocio, sus pasaportes, y dijo la autoridad que 110 podia cumplirlo, mas se convencerá el ánimo del Congreso de la rectitud de las porque habia orden del Gobierno para que continuara. Y yo PRESIDENCIA DEL SEÑOR ISTU RIZ. personasqu…</t>
  </si>
  <si>
    <t>…ue la Rusia v la Prusia se CORTES. autoridades y corporaciones reunidas con un inmenso concurso han separado de la Couferencia. (Comnierce.) de gentes acudieron á la iglesia catedral á tributar al Señor con C O N G R E SO D E D IPU TA D O S. uu solemne Te Deum acción de gracias por tan singular be­ El Courrier Anglais dice: neficio. Después la Milicia nacional y guarnición formaron en Cor.e la vez ea C onstaatioopla, y entre los oficiales de las P R E S I D E N C I A DEL SEÑOR CALATRAVA. gran parada , y puesto á su frent…</t>
  </si>
  <si>
    <t>…de mas que la ban­ Se procedió al orden del d ia , poniéndose á discusión el d ic ­ dera del absolutism o es la ra p iñ a y el deseo de enriquecerse lo tamen de la coraision sobre que se declare fiesta nacional el CONGRESO DE D IPU TA D O S. que ha puesto las a rm as en los que se lla m an facciosos, vemos' d ia 18 de J u n i o , an iversario de la ju r a d é l a Constitución. que y a h an desaparecido en lo p r i n c i p a l , y hasta el mismo P a ­ Se le)’ó el dirfnm en. ! P R E SID E N C IA D E L SEÑOR V IC E P R E SI…</t>
  </si>
  <si>
    <t>Tacón</t>
  </si>
  <si>
    <t>…un Congreso tan respetable se h aya dicho que esta manera. El general Lorenzo perseguido, procesado, como tienen este Gobierno, contestar á lo que la corona tiene por con­ quiera que sea, fue sustituido por un amigo del general Tacón, veniente manifestar á la nación , y contestar bajo el mismo sis­ y después por un tal M iraso l, y ahora últimamente parece que tema , orden y m a n e ra ; pero esto se hace en circunstancias co­ jos D iputados debían el estar sentados aqui á que no se san - está allí el príocipe de Aoglona…</t>
  </si>
  <si>
    <t>TAD, IPU</t>
  </si>
  <si>
    <t>IPU TAD</t>
  </si>
  <si>
    <t>…los soldados solo una paga en cuatro meses. Cuna, pariente de la actual esposa del príncipe Metherroieg, Fortuna que los cristiños tampoco tienen dinero; si no, experi­ D E L D IA R IO DE L A S SESIONES DEL CONGRESO DE SR E S. D IPU TAD O S quien abandonado de su fam ilia por su mala conducta, fue á mentaríamos considerables bajas, y no estamos para sufrirlas; EN L A LE G ISL A T U R A DE 1838. probar fortuna con D. C árlos, y figuró bastante tiempo en el pues el enemigo tiene y a el doble de fuerza que nosotros, obli- cuar…</t>
  </si>
  <si>
    <t>Tal</t>
  </si>
  <si>
    <t>…rla enteramente, y arreglar el estableci­ la antorcha luminosa de la suspirada paz; si el convenio celebrado miento provisional de las aduanas en dichas fronteras. en Vergara por el glorioso caudillo de vuestros ejércitos conde Tal os, Exctno. S r., el lisonjero aspecto que presenta el pais duque de la Victoria con el general en gefe de las fuerzas an­ que hasta aqui ha sido el foco y teatro principal de la guerra. tes enemigas, ha producido tan beoéficos resultados, que de­ L&lt;»s pueblos disfrutan ya de los beneficios de…</t>
  </si>
  <si>
    <t>Talaban</t>
  </si>
  <si>
    <t>…illa del .Quintanar de. la O rden, pueblo sobre la carrete­ lonia los materiales necesarios para ello, como también los ape­ ra de M adrid á Valencia , y cuya dotación consiste en 500 ros de la labor. mediatamente el alcalde de Talaban dispuso poner sobre las armas la M ilicia nacional y escopeteros de aquella villa para ducados anuales pagados del fondo de Propios por trimestres, El primer añ o , asi ellos como sus fam ilia s, son mantenidos en ia cual están inclusos los 800 rs. designados para pago del gratuitamente p…</t>
  </si>
  <si>
    <t>Tales</t>
  </si>
  <si>
    <t>…sido completamente repartidos, mas inmediato socorra con las trompetas de á 16 y 24 al señor Empleará para el objeto un poderoso mecanismo de sobres­ ha sido porque aquella indicación no se ha verificado. faccioso gobernador de Tales dicha necesidad. tantes, cuerdas y poleas con un gran contrapeso. En derecho dijo Mr. M archand, el tratado de 181 4 ha h e­ Después que está fortificado este interesante punto no se cho pasar al Real patrimonio la renta de que se trata. Los suce­ ha atrevido ningún rebelde cabecilla á ejecut…</t>
  </si>
  <si>
    <t>También</t>
  </si>
  <si>
    <t>…del Sr. Virio por la cantidad de 103 en tantos otros países , y á que perfeccionada hasta el punto reales, es pues el mismo que ha ingresado en la tesorería de la que permita nuestra situación, sirvan los ensayos hechos en la Sr. También aprobó la junta por unanimidad , á propuesta de! sociedad, y es el que representa la cantidad ya dicha de 183 rs. capital de ejemplo á los demas puntos del reino; y excitado de mas D.extensas Benito del Collado y Ardanui ,que se diesen las gracias á la junta gubernativa , y á propuesta del…</t>
  </si>
  <si>
    <t>…esen su au to rid a d : de modo qué brar Senadores por las provincias de L eó n , Badajoz y Lugo. Q uinta seccion.r:Sres. Ramírez de A r e lla n o , E g a ñ a , Leal, (añadió) el capitán general de Valencia no puede ser Diputado También lo quedó de un oficio de los Sres. Secretarios del Chacón, Q u in t o , L ab o r d a , F ernandez, Gutiérrez de Ceballos, por las provincias de Albacete , Castellón de la P lana ni A lican ­ Congreso fecha de a y e r , en que manifiestan hallarse constitui­ Benavides, Ferraz (D. José), U b a…</t>
  </si>
  <si>
    <t>También, Claudio Sanz y Barca.</t>
  </si>
  <si>
    <t>Claudio Sanz y Barca. También</t>
  </si>
  <si>
    <t>…&amp; cuyo efecto se ha movilizado una compañía de 150 hombres asistidos en su juzgado por la escribanía del numero del doctor jos relieves; en los ángulos se veian trozos de estátuas; encima sacada de los solteros del batallón. D. Claudio Sanz y Barca. También se convoca á los misinos de Ls mesas medallas, armas enmohecidas, una Hecha de los El 7 á medio dia ancló en el Grao de esta ciudad el'ber­ y á los acreedores que ya tienen reconocidos sus créditos en el persas muertos en la batalla de Maroton ; en fin , todo estaba gan…</t>
  </si>
  <si>
    <t>También, Fierran.</t>
  </si>
  <si>
    <t>Fierran. También</t>
  </si>
  <si>
    <t>…es que el Gobierno le comunique, porque su conciencia les varon de pronto la ventaja ; pero después fueron batidos por se trata de enviar á Argel 1,500 muías. dice que no de otro modo pueden obrar los buenos ciudadanos el general Fierran. También se habían presentado algunas par­ Hemos visto una carta que dice que si nuestras pérdidas en que aman la felicidad de su patria, en cuyo obsequio haráo, tidas de insurgentes en la montaña de Popayan. hombres no han sido de mucha consideración , son lamentables como han hecho hasta e…</t>
  </si>
  <si>
    <t>También, Secretario.</t>
  </si>
  <si>
    <t>Secretario. También</t>
  </si>
  <si>
    <t>…en que debe ce­ cia del Gobierno es necesaria , se suspenderá esta discusión. ción con posterioridad al 10 de Diciembre último. El Sr. GOMEZ ACEBO : La comisión la cree conveniente]; lebrarse la reelección del mismo Excino. Sr. Secretario. También se leyó otra comunicación del expresado Sr. Secre­ no la considera indispensable. R E P A R T IM IE N T O S PO R D e s p u é s de hacer a l g u n a s aclaraciones el Sr. Arguelles, á las tario del Despacho, remitiendo un oficio del gefe político de la PROVINCIAS. : ' Coruña,…</t>
  </si>
  <si>
    <t>Tampoco, Carlos.</t>
  </si>
  <si>
    <t>Carlos. Tampoco</t>
  </si>
  <si>
    <t>…en las diputaciones forales, ros entre el duque de la Victoria y los generales que componían bondad de retirar el proemio de su dictámen , y proponer la no creo yo , señores, que por eso se comprometiera ni la paz, el bando de D. Carlos. Tampoco convengo en que la cláusula la aprobación del proyecto tal cual ha pasado del Congreso ni la tra n q u ilid a d , ni el sosiego de aquellas provincias, y m u­ sin p e rju icio d e la tmi lad constitucional h aya sido puesta de D ip u ta d o s, yo con muchísimo gusto le votaría ; en o…</t>
  </si>
  <si>
    <t>Tapia</t>
  </si>
  <si>
    <t>…e los perseguían. ternos que componen su trama y desenlace, sirven harte 50 dias se presente á dar noticias de ellas al juzgado ; en la in­ El cura Hierro ha quedado con solo 14 caballos. Rey fue heri­ mejor al propósito del Sr. Tapia, que no ei arrebato de teligencia de que están dadas las órdenes oportunas á la caja de do en el ultimo encuentro, y las facciones de aquella provincia las pasiones y la vehemencia de los sentimientos, que en amortización á fin de que sean retenidas. puede decirse que han desaparecido. (Eco…</t>
  </si>
  <si>
    <t>…entífico de M adrid. solo puede hacer victimas; pero también es evidente que ‘os he­ ternos que componen su trama y desenlace, sirven harto chos acreditan la impotencia de sus medios y la ilusión de sus mejor al proposito del Sr. Tapia, que no el arrebato de Esta corporación celebra su junta genera! el sábado 22 del promesas y esperanzas. las pasiones y la vehemencia de los sentimientos, que en corriente á las ocho y media de la noche ; lo que se pone en Ha conseguido en una ú otra parte lanzar un grito de re­ último result…</t>
  </si>
  <si>
    <t>…ces accidentes de ahogados, hubiese una pronceda y otros, han dado á luz afortunados ensayos; el mos, y traídas por el otro en contacto con el nervio y músculo, casa preparada para procurar restablecerlos á la vida: en esta Sr. Tapia, en la obra que ya hemos citado, ha indicado ó el espinazo y patas de una raua muerta, podían excitar con­ casa deberia haber una persona instruida para hacer las prime­ otra senda que no creemos falte quien siga con propia glo­ vulsione^ poderosas, le ocurrió que una repetición de aquella…</t>
  </si>
  <si>
    <t>TARANCON</t>
  </si>
  <si>
    <t>…quez. = Francisco Verdejo. = Feliciano Zamora ~ Ju an Antonio del Senado al discurso del trono. 1857 que trata de la venta de la sexta parte de los bienes del León San z .z zJu an Manuel Sánchez. =Tomas Pato, n i 1rañcisco El Sr. T A R A N C O N : La diputación nombrada para poner clero é iglesias, y en el tercero que recaiga la misma resolución Cecilio Prados.=Jo é Telesforo Barea.=Cirilo N avarro.= N a t a ­ en marras de la augusta Reina Gobernadora la contestación del sobre otra exposición de D. Bernardo Medrano y D. Tomá…</t>
  </si>
  <si>
    <t>Tarancon</t>
  </si>
  <si>
    <t>tildón; siendo tal el regocijo que reinó en el saleo por espacio 5 maria habia nombrado por su Presidente al Sr. Tarancon, y solo haré una pequeña observación sobre uns cláusula de este de a’gun tiempo, que no se dej iba entender lo que decia el se­ por Secretario al Sr. Diez de Tejeda. mismo párrafo, sometiéndola enteramente á la superior ilustra­ ñor Presidente, el cual en un momento de calma dijo: Procedi…</t>
  </si>
  <si>
    <t>…aciones? ¿P erderá por un dignísimo eclesiástico que acába de ocupar la silla de la el mismo párrafo se dice: "que solo de este modo (reanimando m uch o ? Y mas bien ¿ n o gaoará infinito la nación en tener presidencia. (El Sr. Tarancon.) Si no hubiera contribución para el crédito) podrian evitarse también los subsidios extraordinarios, mas bien amigos que enemigos? Sin descender á otros porme­ el c u lto , seJIenaria teniendo que desmembrar de las demas con­ que en otro caso hacen casi indispensables las atenciones inmen­…</t>
  </si>
  <si>
    <t>…la adición del Sr, Taraucon, go la retiraba, y con tanta mayor razón, cuanto que habien­ Ei Sr. DIEZ DE TEJEDA dijo que solo se oponía á la do oído que el Gobierno se ocupaba de un punto tan impor­ adición filantrópica del Sr. Tarancon , porque no quería que ei tante , desde luego la creía inútil. Senado recibiese un nuevo desaire sobre los que ya otras veces El Sr. Ministro de la GOBERNACION: El Gobierno, con había recibido, recomendando este asunto con ínteres al Go­ efecto, habia pensado en preparar los materiales ne…</t>
  </si>
  <si>
    <t>Tarragona</t>
  </si>
  <si>
    <t>…s de entonces servirán de Otra id ., sierra A lm agrera, barranco P in alb o, término de compañía , en 5. lecciones para el presente. Los pueblos rebosan de aleg ría, y Cuevas, San G abriel, por Antonio V id alte, á nombre de Don Tarragona 30 de Ju n io de 1 8 5 9 .—Casiano de Prado. = Es aguardan la venida del redentor con mucha confianza , pues Gabriel Cano Flores, en 21. copia. desde mucho tiempo acá no habían visto actividad y sigilo igual Otra id ., sierra de G ador, pecho de las L astras, término a l de ahora. Por Luce…</t>
  </si>
  <si>
    <t>…eal mo persona capaz de llev**- á cabo aquella ernpie&gt;;a,el cual por cordar á todos: que la Iglesia prohíbe con justicia la lectura de n om bram ien to se incluyen en la G uia de Forasteros, que insinuación deí M. R. arzobispo de Tarragona, el piadoso é tales Biblias.” Reclama eu seguida contra el sisteoi3 de algunos para la del ano de 1810 se sirvan pasar notas certificadas ilustrado Armañach , había traducido ya parte dejos Profetas, sabios, pero impíos en el fondo, que pretenden formar una en la form a que se h a n extend…</t>
  </si>
  <si>
    <t>Tarragual</t>
  </si>
  <si>
    <t>…egando á Balmaseda, Sodupe, Gordejuela , Llodio y otros mento, si la publicación del número no debe tener lugar asi O viedo.. . ........... ........................ Longoria. puntos, contándose entre ellos el titulado brigadier Tarragual jue se ejecute aquella para evitar la dilación; pues los princi­ Orense............................................. Novoa. y el comandante del renombrado quinto batallón de Guipúzcoa pales objetos del E n trea cto son tener á los suscriptores al cor­ Palma (Mallorca) ... Guasp. Ibero.…</t>
  </si>
  <si>
    <t>Tassara</t>
  </si>
  <si>
    <t>…l, con justo motivo, la atención de la parte entendida é ilustra­ jas del alm a, no pertenecen á este ni aquel pais; son de todo el y solo se hallan en uso el encierro á pan. y agua y la priva­ da del público. Sabemos que el Sr. Tassara piensa publicar en mundo. ción de luz. Eo la penitenciaría de Wethersfield, para aplicar, breve, y reunidas en tomos, sus mejores composiciones; mucho Eotre las oaciones es una virtud la emulación , y aun mas lo que rara vez acontece, algún castigo , se hace salir al reo lo deseamos para t…</t>
  </si>
  <si>
    <t>Taylor</t>
  </si>
  <si>
    <t>…que han mediado en aquellos últimos dias, el capitán de la ciudad. parte su cólera. gavilla D. Domingo Antonio Alvarez, vecino de la Carrera A las nueve y media llegó S. A. R. á la sala del baile. Er A la una y cuarto el doctor Taylor con algunos amigos su­ de Lam a, Gregorio Salvador, natural de la Sabuqueira y de­ el momento de aparecerse el Príncipe se comunicó á la concur­ yos se retiraron de Holloway-IIead a la fonda del JLeon flojo , sertor del depóúto de quintos de la Coruña y Manuel Cao de rencia un movimiento el…</t>
  </si>
  <si>
    <t>…ido un informe sobre el curso de los debates que se han verificado este no encontraría ninguna dificultad por parte de su ejército quebrantados, la Grao Bretaña no podia sin una usurpación en Las 'Ancoras de IVarwick. El doctor Taylor ha decla­ y de los habitantes del pais en concluir un armisticio con Es­ manifiesta proveer por si sola á un objeto que debia ser regu­ rado que consagraría todos los instantes de su vida á de­ partero , aun cuando fuese evidente que su resultado había de lado por convenciones recíprocas é i…</t>
  </si>
  <si>
    <t>…portador del 5 por 100, 20*, § y 20 , once díé- BAJO ABRE-OJO Ó DÉDALO. y recibió tal avería que |e fue necesario arribar á Lisboa y 20£ á y.conf. cupones al contado : 2 0 |, }, f, once dieziseísavós para remediarla. El Capitán Taylor se hallaba eñ la escua­ Je i i f J i por 100 1con o yol.: 2 * , 2 1 , 20*, 2 l f y 2 0 |,;id ., a prima cupones.r Trece leguas al S 28° O del Cabo San Vícenle. dra cuando tocó en dicho Bajo el Dédalo.” Inscripciones en el gran libro á 4 por 100, 22§ á 60 d. F. 6 yol. antiguos. . i ; : v.…</t>
  </si>
  <si>
    <t>TE, FU EN</t>
  </si>
  <si>
    <t>FU EN TE</t>
  </si>
  <si>
    <t>…dejase expedita la acción del pab bra el Sr. Isla Fernandez, pues que lo que únicamente de- CO N G RESO D E D IPU T A D O S . G obierno, porque lo necesitaba. IL haber ocupado al Senado era la idea del m ensaje, mas 110 El Sr. FU EN TE S expuso que el artículo estaba en su lugar, hah rse e trometido en otros objetos que no son de la cuestión. PRESIDENCIA DEL SEÑOR ISTU R IZ. porque era preciso que se consignase en él un térm ino para h a­ Que todos están conformes en las represalias, y que solo la d i­ cer esas liquidacio…</t>
  </si>
  <si>
    <t>TE, IN FAN</t>
  </si>
  <si>
    <t>IN FAN TE</t>
  </si>
  <si>
    <t>…r el cré­ que el Sr. Laborda en su concepto propone y subroga á los modo alguno acudir á las Cortes. dito es el asegurar los capitales y pagar los intereses. fondos que tiene depositados en el banco una renta que en rea­ El Sr. IN FAN TE: No sé si la comisión ha tenido presente El Sr. Ministro de la GOBERNACION contesta que no lidad es propia , porque le pertenece en virtud de un contrato, una circunstancia que voy á manifestar, para que puedan vo­ formará empeño en hacer gran defensa de este proyecto, por­ y que aunque…</t>
  </si>
  <si>
    <t>TE, PR ESID EN</t>
  </si>
  <si>
    <t>PR ESID EN TE</t>
  </si>
  <si>
    <t>…e mano. vuelta hasta fines de este año. (Id.) man á todos los individuos del Senado espero, que la proposi­ M etralla . ción tendrá un voto universal. El Sr. duque de FRIAS: Pido la palabra. 4 botes del calibre de á ¿\. El Sr. PR ESID EN TE: Sin que pase adelante la discusión Armas de fuego y blancas* NOTICIAS NACIONALES. va á leerse una proposición presentada por el Sr. González, y advertiré que el Senado no puede deliberar en proposiciones 57 fusiles españoles c ingleses coo sus bayonetas. Logroño 3 1 de Agosto. que…</t>
  </si>
  <si>
    <t>…tar á sus amigos, y aun consortes , otro tanto os con­ contra las elecciones de Santander. bar la existencia de este Evangelio antes del tercer siglo, acre­ cedió él, tierras, leyes, honores, señorío del rio y del mar, de El Sr. PR ESID EN TE: Mañana á las doce se discutirán los dita también que existia tal como le tenemos hoy. El célebre suerte que por momentos se engrandeció la ciudad á poco de ha­ dictámenes que quedan sobre la mesa. Se levanta la sesión. S. Ireneo, autor no rehusabie, sino de muy gloriosa memoria ber su…</t>
  </si>
  <si>
    <t>…ar periódicos , sino porque en­ verdad en esta carta {leyó un trozo de dicha carta): palabra. tras de desaprobación , porque la misma fuerza tiene el regente cuidado que comprometidos, y mucho, son los electores de Val­ El Sr. PR ESID EN TE: El Sr. Fuente Herrero está en la cuestión; se trata de las cualidades personales de un individuo de blo Valladolid en la esfera de Valladolid , que en el último pue­ carlos. de la provincia ; porque su fuerza es sobre todos los depen­ Se me preguntará si era mejor el estado de la gu…</t>
  </si>
  <si>
    <t>…ndicó que siendo un hecho tan escandaloso puedan ofrecerse, dando de ello cuenta á las Cortes. otra , debe aplazarse esta cuestión para otro d ia, avisándose an­ íl de que se quejaba el ay untamiento de Alicante, no podia en­ Sr. PR ESID EN TE: Se imprimirán inmediatamente estos tes al Gobierno para que se halle presente. trarse en esta discusión sin que estuviera presente el Ministro dictámenes, y oportunamente se señalará dia para su discusión. El Sr. conde de las N A Y A S: Aqui hay dos cuestiones; una le Hacienda, para…</t>
  </si>
  <si>
    <t>TE, PRESID EN</t>
  </si>
  <si>
    <t>PRESID EN TE</t>
  </si>
  <si>
    <t>…ral D. Rafael M afoto, respetando la Constitución política en sentido de que no se lea la enmienda. ción de la nación entera , que ha contribuido con su resistencia de la Monarquía de 1857, qué todos hemos jurado observar El Sr. PRESID EN TE: Sírvanse Y . SS. tomar la posición y sacrificios á consolidar en parte esta misma libertad ; ese pue­ fielmente, en el mensaje se decia: ^Otofgar á las provincias que tenían antes de la votación para que se puedan contar los blo , en cuyo fav o r, el dia que haya un ministerio que cono…</t>
  </si>
  <si>
    <t>…justa causa constitucional, ha resuelto celebrar tan fausto acon­ la lis t a , pueda la comisión darle sobre todos. se hallaba la señorita S.... junto al pretil en el momento en que tecimiento con las funciones siguientes: El Sr. PRESID EN TE: En este momento se presenta la lis­ un niño presentaba á la Duquesa un ramillete compuesto de una siem pre-viva, un pensamiento y una rosa, acompañando esta ofrenda con votos por el conde de París, ün sol ardiente todo el esmero digno de los zaragozanos. , 1.° En esta noche y las dos…</t>
  </si>
  <si>
    <t>…da*! ©r, se formará n na c o -1 Art. 9 i Si despu.es de haber trascurrid© 50 dias contados mente. misión comporta de igual numero de Senadores y Diputados , desde ta apertura de las Cortes , no se hallaren reunidos ta mi­ El Sr. PRESID EN TE: 'Orden fiel d ía : continúa la discu­ para que conferencien sobre el modo de conciliar Jas ©pifiones. , tad mas un© de Senadores y Diputados, podrá no obstante sión pendiente sobre la interpelación : el Sr, Arguelles quedó ea E'l dicta me* de esta, comisión se diisco;t Irá si a alter…</t>
  </si>
  <si>
    <t>…lara, hace un ac­ dando este tas mayores luces, acordó se pidiesen unos docu-* T o ta l, 75. to de justicia ó de gracia. Esta es la dificultad que yo no supe mentos á la audiencia de S ev ilta, y que habiendo cuatro dias El Sr. PRESID EN TE: El Senado aprueba. resolver. Si alguno de los señores presentes me convence de que que estos han llegado, la comisión se volverá á reunir y lo des­ Se dio cuenta de que la comisión encargada de examinar el al hacer S. M. esta declaración hace un acto de justicia , en­ pachará en breve…</t>
  </si>
  <si>
    <t>…uales-hxrbo combinaciones Londres, á 90 d ia s , 58y. Coruña , d. ro da soldados que por causas extraordinarias no han podido contra la libertad. P arís, I 6-4 &amp; 5. G ranada, din. id . srr aelevados de sus guarniciones ? El Sr. PRESID EN TE: El Gobierno ha oido la interpela­ M ála g a, | id. id. Oreo pues señores que sin desconocer la gravedad del mal, ción y contestará cuando tenga por conveniente. Santander, 1£ id. y sin dar importancia política, se debe acudir al remedio n a- El Sr. Secretario M A Y A N S leyó un expe…</t>
  </si>
  <si>
    <t>…ro únicamente por esto rae opongo á toda ley arbitraria donde votación el dictámen, es aprobado. Pujadas, fabricante de sombreros; D. Ramón M illa, maestro los actos no se califiquen por un tribunal expreso. Pero se dice, El Sr. PRESID EN TE: Se suspende esta discusión: conti­ sastre; D. José Vila , herbolario, y D. Jaime Menta , maestro y en esto, señores, es menester hablar con franqueza , que estos núa la que quedó ayer pendiente sobre el canal de Castilla. tornero , vecinos de Barcelona , acuden al Congreso con fecha…</t>
  </si>
  <si>
    <t>…s juntas no pudieran avocar las cau­ lo que mejor estime. Palacio del misino 14 de Euero de 1859. sivamente por algunos años, rigiendo varias leyes políticas, sas pendientes en los tribunales, dice que la comisión no lo ha El Sr. PRESID EN TE: Continúa la discusión pendiente habiéndose sucedido diferentes m inisterios, y renovados los hecho porque está persuadida deque aunque no conste en la ley, sobre estados excepcionales; el Sr. Pidal quedó con la palabra cuerpos colegisladores según el método de elección que ha sido no t…</t>
  </si>
  <si>
    <t>…n el caso que nosotros hemos reconocido como necesario? Pero los Sres. M ata V ig il y Olózaga. y de suma im portancia. Prim ero, la circunspección y deteni­ hay m as: qué , esas personas llamadas a! poder en las diferen­ El Sr. PRESID EN TE: Se sjuspende esta discusión para con­ miento al imponer las medidas excepcionales. Segun do ,e! anhe­ tes épocas, ¿p o r ventura eran personas que ignoraban la na­ tinuarla mañana con la de los demas-asuntos pendientes. Se le-! lo de que cesen cuánto antes sea posible , porque efecti…</t>
  </si>
  <si>
    <t>…,se '"la cm nisioo, porque leyéndose h o y , no se puede discutir hasta el otro día, qu'C no encoco ira em estas; coioiisiiiojaes el carácter que las demás. debatió en las Cortes constituyentes-con macha extensio® y con Et Sr. PRESID EN TE ; Según el art. 10 1 del reglamento, Pci-r últim o , que sobie la necesidad de declarar el. .principio mucho patriotism o, el caso posible- ¿e que era ciertas circuí lis­ sí un artículo de uu proyecto de ley Fuere descebado, votará acerca del cual ha de fallar la com isión, sí fuera tr…</t>
  </si>
  <si>
    <t>Te-, Pedro Alcántara</t>
  </si>
  <si>
    <t>Pedro Alcántara Te-</t>
  </si>
  <si>
    <t>…temente autorizada, apercibidos los que se siguen por los síndicos de la quiebra y testamentaría del no lo verifiquen á estar y pasar por la resolución de los con­ E ntrega de AGOSTO de 1839. Excmo. Sr. duque que fue de Osuna, D. Pedro Alcántara Te- currentes. llez Girón, con el citado D. Francisco y los síndicos del con­ Se halla á 3 rs. tanto en rama como en rústica en el curso de D. Manuel de Moreda, sobre pago de réditos de un despacho de dicha Imprenta. censo que se dice impuesto sobre una casa en esta corte y su T&gt;OR p…</t>
  </si>
  <si>
    <t>TEATRO, EL</t>
  </si>
  <si>
    <t>EL TEATRO</t>
  </si>
  <si>
    <t>…­ COLECCION DE L A S M E J O R E S C O M E D I A S tado: 20§ , | y 2 0 once dieziseisa vos á v. f. ó vol. y fir­ m e : 2 0 $ , | y 2 0 f i d . á p r i ma de f , ¿ | y | por 100 con c u ­ La f r a g u a d e Vule ano . pones. D EL TEATRO I ns cripciones en el g r a n l i bro á L por 1 0 0 , 0 0 . T a mb i én pinto. D. . Di ego VeJazquez este, excelente cuadro, T í t u l os al portador del 5 por 1 0 0 , 00. c u y a composición representa lo si gui ent e. El dios del f uego se queda i nmóv i l al oír las i n j u r i a s q…</t>
  </si>
  <si>
    <t>Techell</t>
  </si>
  <si>
    <t>…piniones representadas en esta Cámara. ( Aten­ aconsejaros la resolución que debeis tomar en el asunto qué os éramos eu su sentir unos conquistadores. ción !) Y sin em bargo, si el ministerio de M r. Laffítte hubiera E l capitán Techell: Deseo dirigir al noble lord secreta­ está sometido, y que debe constituirse sin guerra la indepen­ dencia belga ; es una resolución qué podréis altamente declarar querido averiguar los hechos, habría podido sacar de ellos un rio de Estado ministro de lo Interior una pregunta que la Cá­ que…</t>
  </si>
  <si>
    <t>Tegeda, Bartolo</t>
  </si>
  <si>
    <t>Bartolo Tegeda</t>
  </si>
  <si>
    <t>…n­ cuadrados superficiales de sitio, y se halla retasada en 43,644 iio, A i iza y Estepa, que loes de la villa y corte de Madrid, ha timientos h a n sido generales en todos los habitantes de la capi­ reales por los arquitectos D. Bartolo Tegeda D ie z , D. Pedro registrado una mina de hierro en término de Valdecabras, y tal que se daban con abrazos tan fausta nueva. Blas de Uranga y D. José María G u a lla rt, lo que se anuncia sitio denominado dehesa Cotillas, al saliente de esta, en el pa­ Hasta la una de la noche ha estad…</t>
  </si>
  <si>
    <t>Teijeiro, Tomas</t>
  </si>
  <si>
    <t>Tomas Teijeiro</t>
  </si>
  <si>
    <t>…icaciones que se Bande, vacante por traslación de D. Bernardo Placer Feijóo territorial de Zaragoza , y juez de primera instancia de esta cor­ consideren indispensables. Sin embargo no se persuada el Con­ que la desempeñaba, á D. Tomas Teijeiro. te, refrendada de D. Manuel Fernandez de Pazos, escribano de greso, ni crean los Sres. D iputados, que deje de tener la comi­ S. M. y del número del crimen, se cita , llama y emplaza por sión razones , asi corno las ha tenido el Gobierno para proponer término de tercero dia á D. An…</t>
  </si>
  <si>
    <t>Tejada, Bartolomé</t>
  </si>
  <si>
    <t>Bartolomé Tejada</t>
  </si>
  <si>
    <t>…al de esta prb- menoscabo en su bueú nombré y reputación; y que se pase el * vincia se saca á pública subásta una parte de cafSa segre­ correspondiente oficio al Excrno. Sr. gefe político superior de gada por los arquitectos D. Bartolomé Tejada D iez y D . F ran­ esta provincia pará'qué se sirva disponer se alce la retención ip O R providencia del Sr. D. Juan José Rodríguez Valdeose- cisco García Martínez de la de la caite de la Luna cou vuelta acordada de las cantidades del depósito que existe en el Banco á la de Panade…</t>
  </si>
  <si>
    <t>Tejada, Tomas</t>
  </si>
  <si>
    <t>Tomas Tejada</t>
  </si>
  <si>
    <t>…o á la escue­ ramos que comprende su instrucción, se ha hecho acreedor á la de primera educación á cargo del profesor D. Agustín N a­ igual pretnio que el anterior. vidad, quien había reclamado de la misma el auxilio posible D. Tomas Tejada , de siete años de edad , número cuatro Cartas de Argel anuncian que á principios de Octubre pró­ para plantear el método de enseñanza mútua inventado por de la quinta clase, por su aplicación y mérito que ha manifes­ ximo va á verificarse una expedición, á la cual asistirá el Prin­ D.…</t>
  </si>
  <si>
    <t>TEJAS</t>
  </si>
  <si>
    <t>…n con los generales , consti­ A l efecto han n om brado para sus plení p o t e n c í a n o s : tuyan crímenes ó delitos especiales contra los acusados, los cua­ S. M . el Rey de los franceses á Mr. A l b i n - R e i n e , barón TEJAS. les , visto el estado del proceso, se considerarán desde ahora Rnussiu, vicealmirante, Par de F r a n c ia , i n d i v i d u o de la aca de­ propios del conocimiento del tribunal. mia de ciencia s, gran cruz de la orden de la legión de H o n o r , Hemos recibido nuestros periódicos de Galve…</t>
  </si>
  <si>
    <t>Tejeda</t>
  </si>
  <si>
    <t>…su augu sta H ija : asi pues que era inoportuno en­ que no las creia necesarias por las mismas razones ya expuestas, gor contra los deudores. ^ r r,~ trar en esta cuestión. En cuanto a la palabra ''bienes propios” cuando el Sr. Tejeda hizo estas observaciones, y que constaba A rt. 8 .° De todo débito de los antes designados q ue est' d ijo que se había puesto para excluir los bienes que correspon­ á los Sres. Senadores; y respectó á que los alcaldes hiciesen sa­ pendiente pasado un año desde la publicación de esta ley de…</t>
  </si>
  <si>
    <t>Tejeiro, Abarca y Arias</t>
  </si>
  <si>
    <t>Abarca y Arias Tejeiro</t>
  </si>
  <si>
    <t>…. historia de sus adelantos progresivos, de lo firme de su crédito tinados al castillo de Guevara. Por noticias que se han recibido y de la gran confianza que goza* Por ella aparece que en todo de Francia se asegura que el obispo Abarca y Arias Tejeiro han H A B IE N D O SE quedado muchas personas sin poder concur^ el año de 1858 no ha ocurrido fuego alguno en las casas de las llegado a Bayona y varios otros de los desterrados á Sara. El rir la semana pasada á yer Ja exposición de labores y ob­ afueras: que siendo á ^princ…</t>
  </si>
  <si>
    <t>Tejeo</t>
  </si>
  <si>
    <t>…rofesores de sus respectivas clases, m ere­ G a c e ta , y se a d m i ti r á n conforme á derecho. dos aspectos. I cieron certificación de premiados corno rúas sobresalientes en De los tres preciosos cu adritosde género del Sr. Tejeo, cree- I ellas, y entrado en sjierte para obtener medalla de plata, en los mos el mejor el del b an d id o , que con el sombrero en mano y el ! exámenes públicos celebrados desde el 20 hasta el 2 9 de Setiem­ j C N v ir tu d de providencia del Sr. D. M a n u el L uceño , r a a - trabuco al b…</t>
  </si>
  <si>
    <t>Tejero, Nicolás</t>
  </si>
  <si>
    <t>Nicolás Tejero</t>
  </si>
  <si>
    <t>…José M aría M a r tín e z , D . V icente M o r e n o , D. E ugenio leen pera mentos, bien sea el in d iv id u o blanco ó ru b ic u n d o , tos­ la delicadeza de la ejecución riqueza de tonos, verdad y n a t u ­ A z p iro z , D. Nicolás Tejero , D . Felipe Mediaaldea, D . D im as tado ó moreno : y de esta fiel observación de la naturaleza que ralidad de colorido. El álamo de la izquierda del que m ira está R am os, D . Francisco A lvarez y D . A níbal M orillo. h a n saludo expresar los grandes pintores coloristas , corno…</t>
  </si>
  <si>
    <t>Teles, Antonio</t>
  </si>
  <si>
    <t>Antonio Teles</t>
  </si>
  <si>
    <t>…sición mas avanzada de lo que yo deseaba. Asi Tales. clase D. Isidoro de Hoyos, y de 800 caballos. Ademas me se­ quedó cumplida con rapidez y feliz éxito la parte esencial que Quinto batallón de V ale n c ia .^ C a p ita n , D. Antonio Teles g u ía una batería r o d a d a , otra de á lomo y una compañía y había confiado al general Azpiroz. Es verdad que este gefe y Jordán. una sección de otra del regimiento de ingenieros. nunca me deja que desear: no ve obstáculos, ó halla en sí los Subtenientes, D. M axim ino A r n a u…</t>
  </si>
  <si>
    <t>Tem</t>
  </si>
  <si>
    <t>…n cuanto á la legalidad de las la misma provincia. llevando consigo á su h i jo , al Infante D. Sebastian y su o rd i­ elecciones de M a d r id , y a había manifestado que nada tenia Ocupó en seguida la tribuna el Sr. Secretario Tem prado, y naria escolta de caballería. Llegado á Elorrio encontró los ba­ que hablar contra ellas. leyó los dictámenes de la comisión de A ctas, en que se propo­ tallones formados en b atalla, y les pasó revista juntamente coa El Sr. B A R R IO A Y U S O : Resuelto á aprobar las eleccio­ nía la…</t>
  </si>
  <si>
    <t>…lo sabido este señor, no ha podido renunciar. Después de opinión á ser resolución. no habia tratado de iojuriar á nadie; pero que era una cosa sa­ dejar en el lugar que le corresponde la reputación de este se­ A petición del Sr. Tem prado, se leyó un trozo del tratado bida de todos que habia esa testamentificacion y lo habían pu­ ñor D ipu tad o, que preferirá sin duda este cargo á todas cuan­ 8.° , libro 8.° de las ordenanzas m ilitares; y á petieion del señor blicado los periódicos. tas gracias puedan concedérsele, voy á…</t>
  </si>
  <si>
    <t>Tem, Secretario</t>
  </si>
  <si>
    <t>Secretario Tem</t>
  </si>
  <si>
    <t>…ivo, pues en cuanto á la legalidad de las la misma provincia. llevando consigo á su h i jo , al Infante D. Sebastian y su o rd i­ elecciones de M a d r id , y a había manifestado que nada tenia Ocupó en seguida la tribuna el Sr. Secretario Tem prado, y naria escolta de caballería. Llegado á Elorrio encontró los ba­ que hablar contra ellas. leyó los dictámenes de la comisión de A ctas, en que se propo­ tallones formados en b atalla, y les pasó revista juntamente coa El Sr. B A R R IO A Y U S O : Resuelto á aprobar las elec…</t>
  </si>
  <si>
    <t>TEMP</t>
  </si>
  <si>
    <t>…e la noche, saludando al ge­ Excmo. ayuntamiento se entere de la hora y formas en que to por suficientemente discutido* neral Bertrand con vivas aclamaciones. deba hacerse ia distribución de los artículos que se mencionan. El Sr. T E M PR A D O : Sañores, la mesa cree que si no hu­ Parece que este homenaje ha sido tributado al ilustre vete­ De orden de S. S ., el comandante gefe de E. M.=:Francisco biera habido el antecedente de que se han anticipado varios se­ rano por los antiguos oficiales del imperio que habitan nuestra…</t>
  </si>
  <si>
    <t>TEMPR</t>
  </si>
  <si>
    <t>…sta carga. culos de la ley fu n d a m e n ta l, habiendo suspendido un p eriódi­ L a comisión opina que no ha lu gar á deliberar. co , y dice á las Cortes que ha tenido razones poderosas para Córdoba 19 d e S etiem bre . El Sr. T E M P R a D O dijo que no creia que este asunto era hacerlo. tan despreciable para que la comisión hubiese dado el d ic ta ­ A pesar de lo dicho por él Sr. Sánchez de la F u e n t e , todos El colegio nacional de humanidades de Nuestra Señora de men que presenta , pues sabido es el grave perjuic…</t>
  </si>
  <si>
    <t>Temprado</t>
  </si>
  <si>
    <t>…, Pvamirez de A r e lla n o , Elipe y T e m - 2 Vicepresidentes. p lir con lo prevenido eu el art. 8 o que iba á leerse. prado. 2 Secretarios. Se leyó dicho a r tíc u lo , en el cual se previene que retiradas El Sr. Secretario Temprado leyó el acta de la sesión ré gia, 2 Vicesecretarios. las secciones á invitación del Presidente, elegirán cada una el que fue aprobada. s ü y o , un Vicepresidente, un Secretario y un Vicesecretario, y 6 Vocales por órden sucesivo de 1.a á 6.a Se acordó que se tuviese presente sobre la mes…</t>
  </si>
  <si>
    <t>…este no podria hacer mas que conce­ Se suspendió esta discusión. Para tercer Secretario obtuvieron el Sr. M o y a 4 I votos ; el derlos porque estaría en su derecho. Quedó sobre la mesa un dictamen de la comisión de Actas | Sr. Temprado 1 5 ; el Sr. L u ja n 15 ; el Sr. Leal 9 ; el Sr. F e- En la enmienda que propongo d ig o : " Se conceden los fue­ acerca de la admisión del Sr. H u elves, Diputado electo por U Jiu 7, y 1 cada uno de los Sres. Sánchez de la F u e n te , M a e s ­ ros á las provincias Vascongadas y N a v a…</t>
  </si>
  <si>
    <t>…forine con lo re¿uelto por el Congreso en ia sesión de an­ esta inspección por abandonado, mediante no haber pretendido teayer sobre el proyecto de fueros. d interesado la práctica deúas diligencias respectivas, ni la po­ El Sr. Temprado pidió se insertase en el Diario de este dia sesión de ella aunque ha trascurrido el término legal. la lista de los que en la sesión última tenían pedida la palabra. Se dió cuenta , y el Congreso quedó enterado, de una co­ Salvador Ramos, Mateo de Mesa y Pedro A lm agro, ná­ frales y veci…</t>
  </si>
  <si>
    <t>TEMPRADO</t>
  </si>
  <si>
    <t>…icos deshacer una tados. equivocación en que incurrió ayer el Sr. Elipe, equivocación hizo? N o pudiendo admitir los apoderados, no se pudieron ad ­ que pudiera interpretarse en desdoro de los sentimientos del individuos El Sr. T E M P R A D O : El Sr. Sancho, el Sr. Caballero , los mitir las actas. Yéase pues, señores, como tampoco los otros pais que rae ha honrado con su confianza. que componen la mesa , y generalmente todos, es­ individuos que componían la junta electoral no faltaron á su El Sr. Elipe dijo ayer que es…</t>
  </si>
  <si>
    <t>…rri; y con el fin de que estas tido vivamente la determinación de las Potencias. dente el Sr. Fuente Herrero: Secretario el Sr. Estrada : V ic e ­ o peraciones y las sucesivas produzcan todo el efecto que se de­ secretario el Sr. Temprado. sea, ha determinado que el general D. Ramón Castañeda ven­ 7.a sección. Presidente el Sr. Sancho: Vicesecretario el se­ ga á Vitoria , á cuya plaza ha llegado esta tarde ; y que reunien­ Un incendio terrible ha estallado en Constantiñopla: I 4OO ñor Alcalá Z amora: Secretario el Sr. Ferro…</t>
  </si>
  <si>
    <t>…habia referido el mas en la mano el trono de Isatbel 11 y las libertades del pais. lián Yagüe. Sr. Benavides no podia menos de considerarse como una ley, y Habia indicado también que el patriótico y laudable celo de va­ El Sr. T E M P R A D O manifestó que no tenia el honor de de indicar ligeramente los resultados que de otro modo pudie­ rios Diputados habia prevenido esta obligación del Gobierno,, conocer ni aun de vista al Sr. Diputado de cuya admisión se ra tener,dijo: y qne habia presentado el proyecto de ley. trata…</t>
  </si>
  <si>
    <t>…rque t u r a , sobre lo c u a l el Congreso resolvería lo conveniente. El Sr. B E N A V I D E S : Como la cuestión p rin c ip a l la creó s e ia lie r e .d e u n modo claro. P o r e j e m p l o , ¿ n o e xige la le y qu e El Sr. T E M P R A D O m anifestó que de procederse á la d is ­ te r m in a d a por lo que ha dich o el Sr. P a sc ua l , y vista la bien ■Us papeletas h a y a n de escribirse por el mism o e le c to r? Sí. ¿N o cusión de las peticiones q u e 'q u e d a r o n pendientes en la leg isla­ sentada teoría del S…</t>
  </si>
  <si>
    <t>…medio de conciliación. Podría haber convocado las C á m a r a s , ha­ gefe político, mediante una orden reservada; y o , señores, creo ciendo como estas abstracción de la cuestión fun dam en tal, y Se leyó una proposición del Sr. Temprado concebida en es­ tos térm in o s: "P id o al Congreso se sirva acordar que se dé á que las dos cuestiones son enteramente diferentes. sin necesidad de especificar bajo qué Constitución se reunían, Convencidos como lo estarán los Sres. Diputados de que las procediendo después á la discusión…</t>
  </si>
  <si>
    <t>…conforme con la co­ juicio, como ellas mismas piden. Por de pronto me consta su de la Gobernación. en que la petición debia tenerse presente en tiempo opor­ inocencia, pues su único delito fue intervenir en las elecciones El Sr. T E M P R A D O im pugnó el dictámen haciendo pre­ que por lo que tun o; pero creia que esa oportunidad habia llegado ya , y por medio de las cuales vinieron aqui , no los representantes de sente que este interesado acudía por tercera vez al Congreso ccn mismo debia pasarse á la comisión que entend…</t>
  </si>
  <si>
    <t>…esultase de dar su dictámeu la c o m i­ tante, para desvanecer toda du da, admitía tla enmienda del balm ente es lo que determ inan por pu nto genera) cu a n d o sió n , después de haber renunciado el cargo el D iputado á los Sr. Temprado. se com eten delitos pú blicos y privados. A estose respon de 20 dias podrá calcularse que se perdería bastante tiempo. El Sr. P ID A L se opuso á lo dicho por el Sr. Madoz sobre que la autoridad militar sirve para destruir á los facciosos que los que recibían destinos lo solicitaban, mani…</t>
  </si>
  <si>
    <t>…es. El Sr. M U R O dijo que no podia conformarse con el voto de Córdoba de un Representante. particular del Sr. Perez de R iv as, puesto que sus sentimientos El Sr. P R E S ID E N T E : Yo recordaré los antecedentes por­ El Sr. T E M P R A D O : El Sr. Guillen y Gras al usar de la nacían de los mismos acuerdos del Congreso , tomados con todo palabra en la discusión del voto, ha dicho el embarazo en que que to son sabidosde todos; haré una manifestación de este asun­ tal cual lo entiendo. conocimiento de causa. Que al efe…</t>
  </si>
  <si>
    <t>Temprado, D. Joaquín</t>
  </si>
  <si>
    <t>D. Joaquín Temprado</t>
  </si>
  <si>
    <t>…, cuyo asunto está tomado de la famosa tra­ Sr. D. Francisco Bertrand de N a rd , vice-secretario. T O D A S las personas que se crean con derecho á la dimisión gedia de Schiller, que tiene el mismo título, música del maes­ Sr. D. Joaquín Temprado , contador. A de bienes hecha en 4 de Abril último por Ramón Riesgo, tro M ercadante, ya ventajosamente conocido y justamente apre­ Sr. D. José Perez Morales, vice-contador. natural de Castro, parroquia de Bodenaya, concejo de Salas, en ciado del público de Madrid. Este spartito…</t>
  </si>
  <si>
    <t>Temprado, Secretario</t>
  </si>
  <si>
    <t>Secretario Temprado</t>
  </si>
  <si>
    <t>…y R o d a , Pvamirez de A r e lla n o , Elipe y T e m - 2 Vicepresidentes. p lir con lo prevenido eu el art. 8 o que iba á leerse. prado. 2 Secretarios. Se leyó dicho a r tíc u lo , en el cual se previene que retiradas El Sr. Secretario Temprado leyó el acta de la sesión ré gia, 2 Vicesecretarios. las secciones á invitación del Presidente, elegirán cada una el que fue aprobada. s ü y o , un Vicepresidente, un Secretario y un Vicesecretario, y 6 Vocales por órden sucesivo de 1.a á 6.a Se acordó que se tuviese presente s…</t>
  </si>
  <si>
    <t>Ten, Manuel Fernandez Florez.</t>
  </si>
  <si>
    <t>Manuel Fernandez Florez. Ten</t>
  </si>
  <si>
    <t>…o com po rtam iento! Y o j a l á , Señ o ra , que este triu n fo de la causa tro cargo, en atención a hallarse vacante aquel destino de la h u m a n id a d sea en breve coronado con la paz sólida y g e ­ por fallecimiento de D. Manuel Fernandez Florez. Ten­ El com andante general de B u rg o s en su p a rte periódico de neral que an helan los pueblos : ojalá que derrocado el genio de dréislo entendido, y dispondréis lo necesario para su cum­ n ovedades, fecha 10 del a c t u a l , dice que D. M i g u e l V ito n , la d is…</t>
  </si>
  <si>
    <t>Tena, Juan</t>
  </si>
  <si>
    <t>Juan Tena</t>
  </si>
  <si>
    <t>…olo hemos tenido 20 muertos, de Arlaban, emprendí ayer el movimiento; y después de salvar 66 heridos, 11 contusos, entre ellos el general gefe de estado una cortadura Lecha en el puente de este pueblo , llegué al fren­ mayor D. Juan Tena , y 10 caballos heridos. te de Villareal, donde los rebeldes ocupaban ya las líneas de pa­ De resultas de la acción se tne han presentado 14 facciosos rapetos con cinco batallones, manteniendo sus columnas en los con sus armas , quienes confirman el desaliento del euemigo. puntos de la…</t>
  </si>
  <si>
    <t>Tendréislo, Ignacio de la Pezuela.</t>
  </si>
  <si>
    <t>Ignacio de la Pezuela. Tendréislo</t>
  </si>
  <si>
    <t>…u ñ a ; y por la de Segovia á D. Francisco J a v ie r Az- C o m an d a n c ia general de la p ro v in c ia de A l a v a .—Excelen­ por los c a r lis ta s , que en las personas menos interesadas ó menos piroz, en reemplazo de D. Ignacio de la Pezuela. Tendréislo tísim o S r . : Acabo de recibir com unicació n del Excrno. Sr. d u ­ favorecidas por los sucesos locales, es d e c i r , por las desgracias entendido , y lo comunicareis á quien corresponda para que de la V ic to r ia , en que me d i c e , con encargo de que lo p…</t>
  </si>
  <si>
    <t>Tengan, Lucas</t>
  </si>
  <si>
    <t>Lucas Tengan</t>
  </si>
  <si>
    <t>…............................... i 570/f /). Enrique. ¿Desde que os muráis? pues m uerto Presidente. D. José García de Villalta. Galletas............................................................ 15/)02 6 55 de que os sirve? D. Lucas Tengan cuenta: Vicepresidente. D. Eugenio Moreno. Papas 11,857 7 17 pues ¿cómo queréis que mande Consiliario. D. José de Espronceda. Pastas harina.................................................. 15,018 5 17 que viva un hom bre con ella, Secretarios. D. Salvador Bermudez de Castro y D. Migu…</t>
  </si>
  <si>
    <t>Tengámoslos, Francisca</t>
  </si>
  <si>
    <t>Francisca Tengámoslos</t>
  </si>
  <si>
    <t>…la, cuando menos,corno una historia del fanatismo, de earia agravios, que han producido ya males irreparables quizá. que el articulista tuviese la bondad de aclarar los puntos si­ Instituto de educación primaria que dirige Doña Francisca Tengámoslos sin embargo muy presentes para hacer cuanto guientes: L azo, con la advocación de Nuestra Señora del Rosario , este' á nuestro alcance á fin de que no puedan repetirse: para 1.° Que en el año de 1095 cuando se celebró el concilio dé en el barrio de Guadalupe. huir del terreno…</t>
  </si>
  <si>
    <t>Tenorio</t>
  </si>
  <si>
    <t>…go: si resu­ Sajonia conservase únicamente una parte de su reino ( son citara un hom bre , no podrá recobrar su mismo puesto. Es­ palabras del Príncipe Hardenberg), dirigió el 10 de Diciembre tamos en el caso de suplicar al Sr. Tenorio cjue no e n v i­ F R A N C IA . proposiciones acerca de esto á la Prusia. lece á Elisa, asi com o toda Europa suplicaba á Uichard- Esta se apresuró á desecharlas como enteramente opuestas,, son que no asesinase a Clara Harlowe. París 25 de Junto . decia ella, con promesas anteriores, y ta…</t>
  </si>
  <si>
    <t>…u ñ ez A re n a s , que asi an un cia ban al poeta, de u n tr iu n fo que nunca m ira como suyo á la parte mas esco­ concesión acarrearía al mundo entero? Ella sota fomentaría las como acreditaban al "hombre de talen to: el Sr. Tenorio presen­ gid a y conocedora de la población. (Id.) ciencias, alentaría á las artes, engrandecería la a g ric u ltu ra , tó un soneto compuesto á la señorita D oña A n a Muss , que d ilataría sin término la esfera de los conocimientos humanos; debia escribirse en el álbum que fue su y o ;…</t>
  </si>
  <si>
    <t>…o. de su^ prometida esposa la señorita de Musso ; de este D. Narciso Barrio y D . Felipe Climente, se quejan de una in­ ella en sus puestos, pero con tranquilidad y confianza como á una canción a la perdida de su_amad_a_: del Sr. Tenorio una fracción de ley que suponen se verificó por la ejecución en que todos sucede; y Y . debe también tenerla porque para ello le he linda composición á una rosa: otra del Sr. Valdeloraar de asun­ se ha puesto la Real orden de 2 de Octubre por la cual se de­ enterado de cuanto ha sabido y se…</t>
  </si>
  <si>
    <t>Tenorio, Miguel</t>
  </si>
  <si>
    <t>Miguel Tenorio</t>
  </si>
  <si>
    <t>…s relativos á las enseñanzas y sus de­ Cáceres, vacante por traslación de D. Antonio Benavides y N a- da, continúan en esta corte sin novedad en su importante pendencias, y el decano y junta de profesores en los que varrete, á D. Miguel Tenorio, que sirve otra de la misma cla­ salud. pertenecen á los privilegios de invención é introducción. se en Burgos: para esta plaza vacante, á D. Juan Arias Mi­ Tendréislo entendido, y dispondréis lo conveniente randa , fiscal de la misma audiencia ; y para esta fiscalía á Don para su…</t>
  </si>
  <si>
    <t>Teo</t>
  </si>
  <si>
    <t>…desempeñado con grande inteligencia dor dice no lo dehará El castillo Guevara aua no se ha entregado: su goberna­ que hava luear. hasta tanto que se le comunique la orden y superioridad el difícil carácter del médico. La Sra. Teo­ por la junta ó sucumba á la fueizj, con cuyo motivo han sa­ dora Lamadrid, linda como siempre, como siempre gra­ lido ya de Vitoria tropas'y artillería , y se espera no sea nece­ TEATROS. ciosa, ha estado llena de ternura y expresiou en alguuas sario hacer uso de ellas, pues parece probable q…</t>
  </si>
  <si>
    <t>Teodora</t>
  </si>
  <si>
    <t>…564,622 1 8 habia que vencer la dificultad que ofrecía el desempeño del pa­ Plata acuñada 15,800 .. pel de la protagonista, que es una muda. La Sra. Lamadrid U N profesor de francés, natural de P a rís, enseña á leer, es- (Doña Teodora) se ha encargado de él, coofiando, mas que en EFECTOS Y PRODUCCIONES U L T R A M A R IN A S . ^ cribir y hablar con pureza dicho idioma por un método teórico-práctico que facilita el estudio y la adquisición de una sus propias fuerzas, en la indulgencia de los espectadores. ‘ • ^ ,9 9 8 l…</t>
  </si>
  <si>
    <t>…Para la ejecución Vlentos . había que vencer la dificultad que ofrecía el desempeño del pa­ CAMBIOS. pel de la protagonista, que es una muda. La Sra. Lam adrid H a reinado el vieoto del norte los tres primeros dias de la (Doña Teodora) se ha encargado de é l, coofiando, mas que en sem ana, y nordeste y sudeste los dos siguientes, volviendo en Lóndres, á 90 d ias, 38. C o ruñ a, 1* á * d. sus propias fuerzas, en la indulgencia de los espectadores. tas restantes á soplar continuamente del norte. París, 16-5. G ran ada, 2 á…</t>
  </si>
  <si>
    <t>…erez ha estado en ella llena de sentimiento á ve­ algunas caballerías sueltas y nueve soldados nuestros que co­ m inículos, con el amante que se encaja en el coche en el sitio ces, otra donosa, y siempre feliz y acertada. La Sra. Teodora gieron en la carretera de Valladolid. A las once de la noche del del m arido, con el enojo y desesperación de este, con el perrito Lawadrid ha sido un modelo de gracia, de elegancia y de co- mismo dia salió del referido pueblo , sacando paisanos con teas de la vieja y la tempestad, y las di…</t>
  </si>
  <si>
    <t>Tercer, Victoria Be-</t>
  </si>
  <si>
    <t>Victoria Be- Tercer</t>
  </si>
  <si>
    <t>…ntado y dispuesto por la junta rebelde de Berga, bién el dúo del Tasso , no obstante la timidez que revelaron tallón. Á cuyo efecto fue enviado su vocal Ferrer. Iléaq ui pues demos­ los primeros acentos de la socia honoraria Doña Victoria Be- Tercer batallón de San Fernando 1L de línea. Capitán de trado que el crimen nunca prescribe, y que tal es la muerte nedito, bien natural por cierto en quien se presenta por pri­ cazadores D. Manuel Joaquín La llora , propuesto para la cruz cual fue la vida. Oid , pueblos; escuchad, tir…</t>
  </si>
  <si>
    <t>Tercera</t>
  </si>
  <si>
    <t>…incia los que tuviesen jurisdicción en ellas. Pasó la que acreditan su aptitud legal. (D. Pedro), y A y a la . adición á la comisión, y después se pusieron algunas palabras Asimismo lo quedó de otro oficio del Sr. Secretario del Tercera sección.—Sres. L u j a n , M ontesino, López, Sánchez que pueden indicar que pueden ser adm itidos; lo cierto es que Despacho de la Gobernación manifestando que S. M . se ha de la Fuente , M ad o z, Arrazola , V il l a l o n , J o v e r , Calero de las Cortes aprobaron lo q u e tengo manifes…</t>
  </si>
  <si>
    <t>Tercero, Juan</t>
  </si>
  <si>
    <t>Juan Tercero</t>
  </si>
  <si>
    <t>…osiciones durante las mismas. cha , y ya mencionado coronel Vasallo, y los escuadrones por dríguez Castro, idem. A rt. 5.° Unr« comisión militar ejecutiva procederá á juz­ sus respectivos comandantes D, Sebastian Capdevila y D. Juan Tercero idem. = El capitán teniente D. Salvador Artacho, gar á los delincuentes. Antonio del Palacio, protegieron constantemente la infantería, herido. Las vidas y fortunas de los ciudadanos pacíficos, pero hon¿ y asistieron á la toma de los parapetos, sin servirles de obstácu­ El subteniente…</t>
  </si>
  <si>
    <t>Teresa</t>
  </si>
  <si>
    <t>…to sea posible y convenieute im ita r á los cé­ PRIN CIPE. A las siete de la noche. Función extraordi­ lebres escritores del siglo d e o ro de nuestra le n g u a, conserván­ naria dispuesta á beneficio de la prim era actriz Doña Teresa dole su pureza y demas dotes peculiares que la d is tin g u e n , y A ten eo d e M a drid . Baus. acomodándola á lo que exige la mudanza de los tiempos y al 1 .° Una escogida sinfonía. estado actual de los conocimientos humanos. Esta corporación celebra su junta general ordinaria el sába­…</t>
  </si>
  <si>
    <t>…2 8 eran vecinos de la m is m a , y aparece fueron tes­ presente á S. S. para su t r a n q u i l id a d , y para destruir de una distraerse á otro objeto ni la menor cantidad. tigos del otorgamiento del testamento cerrado de Doña Teresa vez esa o p in ió n , que yo n in g u n a parte teugo en esa empresa Por tanto mandamos á todos los tribunales, justicias, Z a n c a j o , que en la misma fecha pasó ante el escribano de S. M . con la casa de Casals , y que debe saber S. S . , y también el Con­ gefes, gobernadores y demas au…</t>
  </si>
  <si>
    <t>…o por la Inglaterra, que solo ambiciona la caida de M ehe- G óm ez, Doña Do ¡ores bernanJtz, Doña Dolores G »na , D iña que dirige las obras. met-Allí. llevada mas bien de su propio Ínteres que del de la T ur­ Lugarda Gea y Doña Teresa, Doña Francisca y Doña M in u c ­ Es cuanto tengo que poner en conocimiento de Y. E. res­ quía , resultará de esta doble acción que pone en movimiento ia Pino , agraciando alternativamente á 16 niñas mas con igual pecto á lo ocurrido con motivo de la construcción de las carre­ la política ot…</t>
  </si>
  <si>
    <t>…ndo ardientemente que nunca llegue el D. José R e x ac h , por idem. caso de que nos veamos en la precisión, cumpliendo con nues­ D. Rafael C om as, por idem. tro deber de escritores públicos, de negarle nuestro apoyo con­ Doña Teresa M o y , por idem. Y a están confiados á nuevas manos los asuntos gub ernati­ virtiéndose en censores suyos. (O D i r e c to r .) D. Tomas G enover, por idem. vos de la nación portuguesa. Ceso por fin ese estado indefinible, en el cual el conflicto de exigencias y preceptos desproporcio­ D.…</t>
  </si>
  <si>
    <t>Terminada, Diputado.</t>
  </si>
  <si>
    <t>Diputado. Terminada</t>
  </si>
  <si>
    <t>…ninguna junta de na que debe ser admitido á jurar y tomar asiento. sentar á las Cortes sobre organización de la segunda enseñanza. represalias se habia formado tumultuariamente sino por dis­ Entró á jurar y tomar asiento un Sr. Diputado. Terminada su le c tu ra , se anunció que se im prim iría en el posición de las respectivas autoridades militares, y en demos­ Habiendo obtenido la palabra , dijo d ia r io , y pasaría á las secciones para el nombramiento de la trar detenidamente no ser cierto lo dicho por el Sr. Alcántar…</t>
  </si>
  <si>
    <t>Ternprado</t>
  </si>
  <si>
    <t>…n las atribuciones de otro poder del Esta­ que creer que ei poder judicial se traspase por la facultad om­ Congreso. do , ruega á la comisión tenga á bien retirar su dictamen. nímoda que reside en el Congreso. A petición del Sr. Ternprado se leyó nuevamente el a rtíc u ­ A petición del Sr. Ayllon se leyeron los artículos2 92 y 287 u n D ip u tad o , sea que cometa un delito i n J ' r a g a r t t i , ó sea lo 29 de la Constitución. de la Constitución de I 8 i 2 , y el 5.° y 4-° d e la de que se halle procesado, el Congreso…</t>
  </si>
  <si>
    <t>Terradillos, Angel María</t>
  </si>
  <si>
    <t>Angel María Terradillos</t>
  </si>
  <si>
    <t>…io de baile; terminando la función con la diverti- se hollaron también los literarios. Restaurada la monar­ tida comedia en un acto, original de D. Manuel Bretón de los quía, recobró la regularidad de sus formas la poesía. Cu­ D. Angel María Terradillos, id. id. de siete á ocho. Herreros, cuyo título es rioso es examinar asi á la luz de la filosofía las causas que Taquigrafía. MEDIDAS EXTRAORDINARIAS, han producido entre nosotros la escuela dramática que se llamó romántica (y decimos llamó, porque hoy solo exis­ D. Francisc…</t>
  </si>
  <si>
    <t>Terrero, Ildefonso</t>
  </si>
  <si>
    <t>Ildefonso Terrero</t>
  </si>
  <si>
    <t>…ujo. S r., la satisfacción de ver competir todos los tal D. Francisco Pineda , herido. que defenderá hasta este extremo la decidida Milicia nacional cuerpos en hechos de valor, animados de un entusiasmo indeci­ El subteniente D. Ildefonso Terrero, idem. con que cuento para ^fianzar entre vosotros la paz y la liber4* ble y pensando solo en ocupar los puestos desde donde el enemi­ Tercer escuadrón de campaña de G. R.=El coronel capitán tad. Valeucia 51 de Marzo de i859.=Pedro Chacón, go los insultaba, siendo digna igualment…</t>
  </si>
  <si>
    <t>Teruel, Manuel</t>
  </si>
  <si>
    <t>Manuel Teruel</t>
  </si>
  <si>
    <t>…amor al orden, por sus conocimientos y afición al trabajo. Cádiz, 1 | d. Zaragoza , id. En la noche del 9 se ejecutó el drama en cinco actos, ori­ cas Alcaldes: primero D. Juan Romero y Tello, segundo D. Lu­ Piñeiro, tercero D. Manuel Teruel. ginal de D. Josc Lorenzo Figueroa, su título Isabel de la Descuento de letras , á 6 por 100 al año. Paz. Regidores: primero D. Rafael Urries, segundo D. Tadeo Sentimos sobremanera que los cortos límites de nuestro pe­ López Rebolledo, tercero D. Santos Sanz, cuarto D. Manuel ! ■■«■"I…</t>
  </si>
  <si>
    <t>Tesoro</t>
  </si>
  <si>
    <t>…................................................................... 2 5 6 8 .. 5J Total ingresado.. . . . . . . . . . . 5091163.. 5 Varios pagos. SALIDA GENERAL. Por comisiones . Por entregas hechas á la dirección general del Tesoro p ú blico.. . Por premios á patriotas y doncellas Por reintegro de las cantidades recibidas de orden de la dirección 475009 5500 \ \ I en diferentes administraciones de la renta................................... ^537.. 20 I Por abono hecho á los administradores de Jaén y Sevilla por…</t>
  </si>
  <si>
    <t>…ngresado en esta tesorería y mes que se expresa, y de la distribución que de ellos se ha hecho Por id. al banco español de San Fernando en garantía de lo que según cuen­ coa arreglo á las disposiciones de la dirección general del Tesoro público. tas pendientes pueda adeudar el tesoro..................................................................... 2.912,000 CARGO. Total.................................... 52 .7 42,698 .. 24 R ea les vellón . RESUMEN. Por la existencia que resultó en fin de Diciembre anterior..........…</t>
  </si>
  <si>
    <t>…administrador mi mero 10 de esta corte en tas ganan— I V arios pagos. cias de la extracción de 16 de Ju lio o I Por importe de 115 letras expedidas por la dirección á cargo de ^ I Por entregas hechas á la dirección general del Tesoro publico. 351534 \ los administradores de la renta. . . . * . * ............................................... 727740 j Por anticipaciones por su cuenta......................................................... 19*76 1 Total ingresado 4 5 7 9 0 3 1 .. 4 Por premios á patriotas y doncellas..…</t>
  </si>
  <si>
    <t>…ión de 50 de Junio 3 .. 19. Varios pagos. Por id. al de Sevilla en la suya del sorteo de 26 delm ism o.. . . 1 4 .. 1 3 \ Por abono hecho á los de provincia sobre 264,651 rs. y * 0 Por entregas hechas á la dirección general del Tesoro público.., 501116. . 22 v maravedís que importan las jugadas hechas para la extracción j Por premios á patriotas y doncellas...................................................... 7500 1 d el.* de J u lio ............................................................................ 2 7 3 5 0…</t>
  </si>
  <si>
    <t>…..........* 5 8 5 1 ..1 8 1 Ceuta............ .... ♦ * . . . . * 5497.. 15 V ito r ia .. . 11696 22 V a rio s pagos. \ Ciudad Real.................... 50J5..1G ¡Zamora. . 7801..11 Por entregas hechas á la dirección general del Tesoro público. . • 670968 \ Colmenar Viejo. «. * . , 650..50 Zaragoza * * *. . . . . 58254.. 13. Por premios á patriotas y doncellas ........................ ................. 7500 Por portes de cartas, pagarés, biBetes y cuentas correspondien­ 754408..52 tes al mes de M ayo ......................…</t>
  </si>
  <si>
    <t>…rido N oviem bre.......................... .................................................. 7 0.. 26 Varios pagos. Por abono hecho á los administradores de provincia sobre 240,887 Por entregas hechas á la dirección general del Tesoro público.. • 676518 reales y 6 mrs. que impertan las jugadas hechas para la ex­ 14500 tracción de 3 de D iciem bre................................................................ 19659.. 2 Por portes de cartas, pagarés, billetes y cuentas correspondien- Por id. á los de esta corte sobre 158…</t>
  </si>
  <si>
    <t>…ias.. * . , - 11699.5 I ^Colmenar V iejo. . . . . . 1 .» 5 !Z a r a g o z a .. 4 7 8 1 4 -2 ÍJ ■ ____ V arios pagos. 664669-28| 1585006.. 1 Rezitesas en c am in o .. . ..» • 9500' Par entregas hechas á la dirección general del Tesoro p u b l i c o , . ■ 36153-4 Por anticipaciones por ser cnenta. -8 4 8 7 . .,25 I . T otal..............- ............ . 1592508**7 ‘Por premias i ‘patriotas j doncellas* ........... 7 500 Por -reintegro de las cantidades recibidas de orden de la dinecctoa en d iferen tes adm 10 isi racione…</t>
  </si>
  <si>
    <t>…un gran número de el desempeño de mis deberes ; mas necesito para ello que todos sabios franceses y extrangeros que rae distinguieron y obsequia­ los Srs. Diputados, como se lo Suplico, me auxilien con su Dirección general del Tesoro publico . ron de mil modos, y que deseando conocer el resultado de mis prudencia: yo confio en este auxilio , sin el cual dé poco ó na­ La comisión de víveres para el ejército hizo una remesa de investigaciones, esperaban que las publicase en la lengua mas da servirán mis buenos deseos. Ten…</t>
  </si>
  <si>
    <t>…os. de 3 de Junio .......... ................................. .......................... .. 3 0 6 1 3 .. 25 Por id. á los de esta corte sobre 180,922 rs. y 2 4 mrs. i d 9422. .2 0 Por entregas hechas á la dirección general del Tesoro publico.. . 501116. . 22 \ Por id. á los de provincia sobre 6 1 0 ,5 8 0 rs. que importan las Por premios á patriotas y doncellas.. . . ............................ . . . . . . . . 5000 J ventas hechas para el sorteo de 10 del mismo .......... .... 18511.. 3 Por portes de cartas, pagarés, b…</t>
  </si>
  <si>
    <t>…de provincia sóbralos f Varios pagos. ‘ 265,420-vs. y 10 mrs. que importan las jugadas hechas para I , laextraccion de 8 de Qttubrp,. . . . . . ; . . ................. . 27987 . 6 Poréntrégas hechas at la dirección general del Tesoro p ú b lico .,. 502200 ¡ V . ' ' , Por anticipaciones por sú cuenta ............................................................................................. ..... 4065.. 28 ? e s t a corte sobre los 192,027 rs. id. id............. 9566. . 7-1 Por id. á los de provincia sobre los 905,12…</t>
  </si>
  <si>
    <t>…las negocia­ ciones hechas en esta corte y en las provincias................... • • • • 21555 Total ingresado 7506242.. 22 s a lid a g e n e r a l . Varios pagos. Por comisiones. Por entregas hechas á la dirección general del Tesoro público. •• 960200 fe Por premios á patriotas y doncellas. ........................................ ... 2500 Por roas abono hecho á diferentes administradores de la renta Por portes de cartas, pagarés, billetes y cuentas correspondientes al mes de Junio de 1839................... ... .....…</t>
  </si>
  <si>
    <t>…ue iban á verse satisfechos de algunos créditos que eran le­ últim a vez á D. Pedro Ghaiguiaud^ de nación francés, residen­ gítimos. No descenderé á hablar de otros pormenores: única­ Bailándose vacante la dirección general del Tesoro pú­ te en pais extrangero , pará que en el término preciso de dos mente me lim itaré á manifestar que no se puede desconocer, blico, vengo en conferirla, á nombre de mi augusta Hija ineses contados desde esta publicación parezca personalmente en que está d iv id id a España en dos grandes fra…</t>
  </si>
  <si>
    <t>….............. 72 Por id. á los de Castellón, Cuenca y Salamanca en la de la ex— 1 tracción de 11 de F eb re ro ................................ ............................. 11.. 8 Por entregas hechas d la dirección general del Tesoro p u b lico .. . 5 7 7 7 0 2 Por id. a los de Palma de Mallorca y Pontevedra por la suya en I Por premios á patriotas y doncellas........................................................ 10 0 0 0 el sorteo de 14 del m ism o.................................... ..................................…</t>
  </si>
  <si>
    <t>…....... 7 0 .. 2 7 1 Por id. id. en la de la extracción de 5 de Diciembre.......... .. 2 6 9 .. 63 Por id. id. en la del sorteo de 15 del mismo...................................... Por entregas hechas á la dirección general del Tesoro p u b lico .. . 500650 1 84 i Por premios á patriotas y doncellas.............................. Por id. id. eu la de la extracción de 24 de i d .. . . * ...................... 5 4 6 . . 12| 5000 I Por portes de cartas, pagarés, billetes y cuentas correspondientes Por id. id. en la del sort…</t>
  </si>
  <si>
    <t>…................ 17 8 0 6 .. 15 P or comisiones. Varios pagos. Por mas abono hecho al administrador de Sevilla en su co­ misión de la extracción de 3 de Junio de 1839. 4 l # #H 1 Por entregas hechas á la dirección general del Tesoro p u b lico.. • 66 O84 L . 22 Por id. á diferentes administradores en la suya de la extracción de \ Por premios á patriotas y doncellas................... 5000 \ 2 9 de J u lio................................ . ............................................................ 5 7 .. 2 0 l Por po…</t>
  </si>
  <si>
    <t>…de ^ por 100 coa cupones. asunto. (Id.) El panteón de los Reyes Católicos ilum inado. Inscripciones en el gran libro á 4 Por * 9 9 , 90. La iglesia de Atocha con su imágen y banderas. Real decreto nombrando director general del Tesoro público á Títulos al portador del 4 por 1 0 0 , 18 á 60 d. f. ó vol. D. José Ferraz. (Núm. 1520.) El coro de capuchinos de Roma con toda su comunidad. antiguos y modernos con cupones. Está abierto todos los dias desde las diez de la m añana has­ Circular del ministerio de la Gobernación de…</t>
  </si>
  <si>
    <t>…2 5 ;. 14 fearios pagos. Por id. al del número 2 de esta corte por la suya en el sorteo I dé 5 i del mismo .72 1 Por id. á los de provincia Sobre 5 il¿ 5 9 6 rs. 4 rars* que im - I Por entregas hechas á lá dirección general del Tesoro p ú b lico.. . 540270. ♦17 \ portan las jugadas hechas para la extracción de 11 de F e - , .s I Por premios á patriotas y doncellas................................. ................. 5000 1 brero. ................. . ........................................ * 52659. • í-9f Por reintegro de…</t>
  </si>
  <si>
    <t>…an los inismosrcancares, pero con voz por esto á los profesores del gabinete, puesto que fueron mas apagada , desde el locador de las damas que se ha­ malamente conducidos á Francia en la guerra de la inde­ Dirección general del Tesoro público. llaba junto á los baños, de alli a corta distancia.” pendencia, y devueltos del mismo modo. «Agotados parecían todos los tesoros del ingenio y del Por lo demas, es en verdad muy chocante que la be­ Por el correo que salió de esta corte para la Coruña en 4 arte, cuando rogaron á*A!…</t>
  </si>
  <si>
    <t>….... 2524..11 6..................................... » » Gerona........................... 15200.. 4 7............................... 464 .. 1 G ranada.................... 8052..25 Por entregas hechas á la dirección general del Tesoro pub lico.. . 618328. . 20i g ................................ 5316.. 5 Guadalajara 11787..28 Por premios á patriotas y doncellas.......................................................... 5000 9 ............................ # 346.. 5 H uelva........................ 7654-.51 Por portes de carta…</t>
  </si>
  <si>
    <t>…900 ) 2 6 8 0 2 5 4 .. 4 Varios pagos. Por la extracción de 16 de id. id. id ............................................... 456721. . 22( Por el sorteo de 24 de id. id. id 1287640 l Por entregas hechas á la dirección general del Tesoro publico... 4*0449 \ Por id. del de 9 de A gosto id. en elde varios adm inistradores.. 52770 1 Por anticipaciones por su cuenta................. 13400 \ Por la extracción de 15 de id. id .......................................................... 15159.. 14 1 Por premios á patriotas y doncellas…</t>
  </si>
  <si>
    <t>…ue alzaba to El gran objeto de mis cuidados es que cese cuanto mas pron­ el estandarte de la rebelión para obtener el mando por la fuer­ ciónseaque posible. Que la facción desorganizadora aproveche la lec­ Dirección general del Tesoro público» za , al paso que el magistrado que le ocupaba se despreudia de su fallo; ha recibido. La nación la ha condenado ; sométase á ocupe el lugar que le corresponde, y esa conducta él sin resistencia y con sincera satisfacción. Por el correo que salió de esta corte en 22 del mes último,…</t>
  </si>
  <si>
    <t>…nochecer principiaron los enemigos á pose­ las generales del Estado, serán expedidas por la dirección te número; pero con la condición de que los que la ob sionarse de las alturas, empleando la noche en cortar leña y general del Tesoro público con intervención de la conta­ tuviesen sean considerados como supernumerarios haslí construir las baterías, que quedaron corrientes 'y artilladas al duría general de Distribución, precediendo para cada gi­ que ocupen las vacantes que ocurran y les corresponda amanecer del 16’: en est…</t>
  </si>
  <si>
    <t>…................... 514700 4 0 5..1 7 515105..17 Por préstamos..................... . •. ... .. 99016. .51 i r 1 C Baleares................. 54527..50 566408..26 620756..22 Por libranzas expedidas por la dirección general del Tesoro.. 14560826.. 14 j 0 islas. \(Canarias..................... . . . . . . 105420.. 5 305068.. 26 4 O6488 . . 25 Por id. devueltas por falta de pago............................................... 50000 Por certificaciones expedidas por fracciones de pagarés y cu­ &gt; 14921671..26 4259244..25 1…</t>
  </si>
  <si>
    <t>Teste</t>
  </si>
  <si>
    <t>…a ha implorado El conde de S a in te-H e rm in e , antiguo Diputado y antiguo la intervención del Gobierno ingles contra las arbitrariedades prefecto. J b de las tres Potenaas protectoras. Esta noticia no es nueva. Hace El barón Teste, teniente general. j a mas de un ano que se d ij o , y como hoy, se pretendía saber En el In depend ien te d e Bruselas de 5 de Noviembre se lee lo que sig u e : M r. de Y a n d e u l , D ip utad o, antiguo ministro plenipo­ que algunas notabilidades de C racovia, que han padecido en tenciari…</t>
  </si>
  <si>
    <t>Teste, Bugeaud y Mr.</t>
  </si>
  <si>
    <t>Bugeaud y Mr. Teste</t>
  </si>
  <si>
    <t>…ción de las secciones. Adjuntos: Mr. Calmont y Mr. Dufaure. FRANCIA. Este incidente suscitó un ligero debate, en el que tomaron 5.a MM. Jacques Lefebvre , Presidente ; Albert , Secretario» parte MM. Laborde, Vivien , el general Bugeaud y Mr. Teste, Adj untos: Mr. de Sade y Mr. Galoz. París 4 de Abril. y habiéndose procedido á la votación quedó desaprobada la 6.a MM. el mariscal Clauzel, Presidente; V ivien, secre­ proposición por una inmensa mayoría. tario. Fondos 'públicos. Cinco por 100, 109 fr. 4O c. Retirada la Cáma…</t>
  </si>
  <si>
    <t>Tey, Cristóbal</t>
  </si>
  <si>
    <t>Cristóbal Tey</t>
  </si>
  <si>
    <t>…á papel, 00. Será éxornada con todo el aparato que su argumento re-1 U. Juan Mesia. ° Idem sin interés, 6* y 6£ nuevas al contado: 6± y 6 | á v. quiere. Regidores: primero D. Vicente Borja , segundo D Pedro Guerrero, tercero D. Cristóbal Tey, cuarto D. Juan Antonio f. ó Accionesvol.: 7 á 60 d. f. ó vol. á prima de | por i 00 nuevas. ¿el banco español de S.aa Fernando, 00.</t>
  </si>
  <si>
    <t>TFellington</t>
  </si>
  <si>
    <t>…para pagar sus contribuciones; si no quisiese que los abusos sulas que desaprueba S. S. del radicalismo. Hé aqui algunos extractos que ha dado el pe­ y las faltas del sistema de registro de los electores se corrigie­ EL duque de TFellington : Me parece que habiendo an un­ riódico Sun , quien halla que los principios de lord Jhon Rus­ sen; en fin , si niega á la Irlanda los privilegios municipales de ciado el Gobierno su intención de modificar el decreto, la mo­ sell no distan mucho de los toristas. que goza la Inglaterra ,…</t>
  </si>
  <si>
    <t>Thenard</t>
  </si>
  <si>
    <t>…actureros. de cam paña.r: Excmo. Sr. = El Excaio. Sr. conde de Belascoain, El ministro de Comercio, el intendente general de la lista virey en cargos de N avarra , con fecha 15 del actual desde Los iv il, Mr. Rambuteau , el barón Thenard, presidente del júra­ Arcos me dice lo que sigue: Cartas de Atenas de 29 del mes último , dirigidas al Timesb lo central de admisión, han honrado con su presencia el ban- Habiéndome dado parte el gobernador de Lerin que los ene­ inun dan que la expedición preparada por la Rusia es demasia-…</t>
  </si>
  <si>
    <t>Thenard, L.</t>
  </si>
  <si>
    <t>L. Thenard</t>
  </si>
  <si>
    <t>…o­ 100 id., 2.a id., núras. 65,801 á 65,900. un ensayo sobre la filosofía química, y de un resúmen sobre la bre los pueblos que se hallan en la infancia, rodeaban á 60 ¿d., 3.a id., niíuis. 32,569 á 52,428. análisis por el barón L. Thenard: van publicados seis cuader­ Ja divinidad de sombras misteriosas , en las cuales solo nos á 9 rs. cada uno. ellos se hallaban iniciados. No se conocian sino ídolos Tratado completo de anatomía ó descripción de todas las monstruosos que diariamente exigían víctimas, y estas víc­ partes Se…</t>
  </si>
  <si>
    <t>Thierry</t>
  </si>
  <si>
    <t>…de la Nueva Zelanda* miento provincial de Monterrey P. A L. R. P. de V. M. tie­ afirma, según la narración de un viajero, que nuestro compa-! nen el honor de felicitarla por el feliz resultado del convenio de triota el barón de Thierry ha sido investido ya alli por la Vergara de 51 de Agosto último que ha de contribuir tan efi­ cazmente á la reconciliación general de todos los españoles. El Corresponsal de Flamburgo asegura que el Gran D u ­ vai-Pouoamon de confederación , los gefes de las dos islas, Ikanamawi y Ta-…</t>
  </si>
  <si>
    <t>Tholer</t>
  </si>
  <si>
    <t>…compañeros, estarían agradecimiento al Sr. conde de G ourdou, al capitán Chan- recompensas al mérito, he dado las gracias a nombré, de la na­ persuadidos que solo teniendo de su parte él tro n o , la nobleza chard , al teniente Tholer , d Jos Sres. Mallet, Cabaret y Guil- ción y del Excmo. Sr. Presideute al general en gefe, á los ge­ y el clero, podían apoyar sobre duraderós cimientos las refor­ hermy , y en general á los demas Sres. oficiales, tropa y m a­ nerales de las brigadas , á Jos gefes, oficiales y tropa que con­…</t>
  </si>
  <si>
    <t>Thompsom, M. P.</t>
  </si>
  <si>
    <t>M. P. Thompsom</t>
  </si>
  <si>
    <t>…ión los hombres bate en que tomaron parte el duque de B uckingham , el conde que desean una modificación en las leyes de cereales. M INISTERIO DE GRACIA Y JU STIC IA . Stanhope, el duque de Richmond , lord Melbourne y el duque M. P. Thompsom : Me parece que la mocion debe tomarse de W eilin g to » , lord Brougham ha rehusado someter su mo­ en consideración: es natural en efecto que los amigos de la re­ ción sobre las leyes de cereales á una d iv isió n , y de este modo vocación de las leyes de cereales fijen la cuestión…</t>
  </si>
  <si>
    <t>Tiene, Blas Ametller.</t>
  </si>
  <si>
    <t>Blas Ametller. Tiene</t>
  </si>
  <si>
    <t>…en el de Hermoso, frente á las Covachuelas, á 66 Lo dibujó con notable exactitud José Camarón , y lo grabó Alicante, 1 á f d. Santiago, 1 ¿ á 2 id. reales en rústica y 78 encuadernado á la holandesa. con su particular maestría D. Blas Ametller. Tiene 19 p. 4 1. Barcelona ¿ ps. fs., 4 papel id. Sevilla , par á 4 d. Esta obra, de la que ya han hecho lan buenos elogios va­ de alto, y 15 p. 7 1. de aucho: precio antiguo 36 rs., y mo­ Bilbao, | ¿ J id. V alencia, ¿ d. rios periódicos de esta corte, y que se han visto los felices…</t>
  </si>
  <si>
    <t>Tiller, José</t>
  </si>
  <si>
    <t>José Tiller</t>
  </si>
  <si>
    <t>…obstáculos, ó halla en sí los Subtenientes, D. M axim ino A r n a u , D. Esteban José Ló ­ El 51 de J u lio las tropas pernoctaron en Onda. El sigu ie n ­ medios de vencerlos. D urante este ataque las fuerzas del gene­ pez y D. José Tiller. te día al amanecer formaron á la salida de aquel pueblo, y ral Hoyos habian avanzado al fre n te , y notando que sus com­ C ir u ja n o , D. León Cuesta. me d ir ig í á hacer un reconocimiento sobre Tales. Cuatro bata­ pañeros ganaban mucho terreno por la izquierda enemiga , cor­ Sa…</t>
  </si>
  <si>
    <t>Timoteo</t>
  </si>
  <si>
    <t>…invertebrados. Todo ejecutado con el mayor ría Asensio, como apoderado de los Sres. D. Francisco Nuñez, acerca dedelalacual A rabia, no asegura la exactitud de esta noticia^ esmero. no ha recibido mas pormenores. intendente; D. Timoteo G alan, contador; y D. Manuel Sanz El 7 se negociaron en Londres los consolidados á 92¿: la se practica En este compendio se ha procurado, á imitación de lo que Ferrer, el artículo inserto en el periódico titulado el Castella­ deuda activa española á 24| ; y los portugueses á 36g. en otras n…</t>
  </si>
  <si>
    <t>Tirado, José y Doña Sinforosa</t>
  </si>
  <si>
    <t>José y Doña Sinforosa Tirado</t>
  </si>
  <si>
    <t>…sona de agua y de leña , y dicha villa, de estado soltera, natural de Alora en Andalucía tantes 57.009,200 pesos fuertes; los cuales van representa­ ayer tarde regresó con ellas á Biosca donde el cuartel general baja, hija de D. José y Doña Sinforosa Tirado, difuntos; dos por 66 bolas, á saber: los números 1 , 2 , 4 al 12 inclusive, quedaba para que en el término de 60 dias contados desde 15 del cor­ corresponden á la serie A : desde el 15 al 23 á la B : desde el al mandoesta mañana, y en Cervera pernoctó ayer la división r…</t>
  </si>
  <si>
    <t>Tj, Juan Bautista</t>
  </si>
  <si>
    <t>Juan Bautista Tj</t>
  </si>
  <si>
    <t>…das en la forma que se han extendido en ios años anteriores D. José Asimismo se cita, llama y emplaza á D. Antonio Leizaval, á la im prenta Nacional, donde deberán hallarse precisa­ Gorocochea Fernandez Acuña, D. Manuel Muñoz, D. Juan Bautista Tj^N virtud de providencia del Sr. juez de primera instancia D. Benito Serrauo y Aliaga , se saca nuevamente á p ú ­ mente para el l.° de Diciembre próxim o, pues ai paso que D. Antonio , del D. Juan Laraña, D. Andrés Mendez y Pareja, R io, D. Ignacio de la Riva, D. Blas Mena y blic…</t>
  </si>
  <si>
    <t>Tllcscas, Jo.c</t>
  </si>
  <si>
    <t>Jo.c Tllcscas</t>
  </si>
  <si>
    <t>En 25 el capitán de los francos de caballería de esta capital ción d e R ea les c é d u l a s , in stru ccion es , ó r d en e s y disp- s i c i j n a ; D. Jo.c Tllcscas, alcalde constitucional y *«agi &gt;tr.sd'&gt; hono­ n es d e l ra m o d e Pósitos ex p ed id a s hasta J in d e l año d e 1826. rario de lá audiencia de .Qraoada ; O. José Garrido y Portilla, D. Gerónimo V illarrubia batió cerca de Oastrejon á la facción Véndese á 8 rs. en papel y 9 en rú…</t>
  </si>
  <si>
    <t>Tnfaute</t>
  </si>
  <si>
    <t>…e forman el to­ tanto citamos con el elogio merecido este rasgo de la generosa gunos años de paz y seguridad para atraer capitales, tanto na­ tal de 8 l 2 proyectiles; asi q u e, causa horror ver las casas con ­ compasión del Sr. Tnfaute, en el cual le deseamos mas im itado­ cionales como extrangeros, y dar á su riqueza un incremento tiguas á las brechas, pues no se ven mas que escom bros, sin res de los que por desgracia existen. que corresponda á las necesidades de su deuda. perjuicio de que no hay casa en el pueblo que no…</t>
  </si>
  <si>
    <t>TO, ELA</t>
  </si>
  <si>
    <t>ELA TO</t>
  </si>
  <si>
    <t>…aplausos ha obtenido en sus anteriores re­ cuelas médicas. Creo que quedará V. satisfecho de mi explicación, y espero IMPRENTA NACIONAL. presentaciones, titulado le dispensará de emplear contra mí el ardor caballeresco de E L D ELA TO R ó LA BERLINA D E L EM IGRADO. mi célebre compatriota manchego con que amaga á ciertas doc­ trinas falsamente llamadas penitenciarias. N o , amigo mío, COLECCION DE LEYES, Terminará la función con baile nacional. tío? yo busco la verdad y apruebo lo bueno donde quiera que lo hallo. Antes d…</t>
  </si>
  <si>
    <t>Tobaso, Gerónimo</t>
  </si>
  <si>
    <t>Gerónimo Tobaso</t>
  </si>
  <si>
    <t>…a guerra, no ha resultado del A fueron de esta extinguida chancillería de Valladolid Don no mejicano lo tiene aislado en cierta manera del litoral, choque violento de los dos principios que representan otra José de Cregenzan, D. Gerónimo Tobaso, D. Pedro Sánchez y los profundos valles del Perú y de Colombia no permi­ cosa que un incendio devorador que no ha podido extin­ de Yebra, D. Bernardo Riega, D. José Antonio Lafarga, Don ten viajar en carruajes. guir ninguna potencia humana. Alonso de Queso y Valdivia y D. Fernando…</t>
  </si>
  <si>
    <t>Tod, Ayllon.</t>
  </si>
  <si>
    <t>Ayllon. Tod</t>
  </si>
  <si>
    <t>…entonces de H ac ie n d a , que nor de decir pocas palabras, y creo que bastarán para tr a n q u i - Caravariíes , D ia z G i l , López de Pedrajas. era iujposible el abono , ó sobremanera difí cil, faltando ese re­ hzar a! Sr. Ayllon. Tod o lo que debía hacer el Gobie rno para .C u ar ta.—Sres. Gómez P a r d o , L e a l , C a n t e r o , Rodríguez quisito. Esa dificultad se an u nc ió ent onces, y se anunc ió pa­ que los pueblos no s ufr an ese perjuicio de que se queja S. S., Leal, Mendez Vig o , V ia di ra , Ferro M o…</t>
  </si>
  <si>
    <t>Toledo</t>
  </si>
  <si>
    <t>…s de la corona ó derecho, no se casó después que revistió al respetabilísimo y dignísimo La América está unida porque nosotros la hemos unido, de patronato? ¿Contrasta las disposiciones canónicas en este ú cardenal arzobispo de Toledo , bien conocido por sus ideas li­ porque no habiendo terminado la lucha, y 110 queriendo reco­ otro hecho? Ya lo ha dicho S. S., ¿pero de qué,m odo? Hacieiv- berales? asi pues, es preciso tener presentes estos hechos. nocer la metrópoli la desmembración de sus antiguas colonias, do una aseve…</t>
  </si>
  <si>
    <t>…s de la monarquía, fue indudablemente la expedi­ da su casa.— A. L. (E l Tiempo.) do bastante. be teme que haya habido desgracias en el mar. almohades á principios del siglo xm. El céle­ bre historiador D. Rodrigo, arzobispo de Toledo, pasó en­ tonces á Roma como embajador de Alonso v m , y consiguió Escriben de Oran con fecha del 17: no solo indulgencia, sino también cruzada para aquella ESTUDIOS HISTORICOS Y CRITICOS El general Guehesuc, comandante de la división, acompa­ guerra: lo que reforzó con gente muy escogida…</t>
  </si>
  <si>
    <t>…istratura estaba representada en el presidente del comisionado de distrito, en que se queja de que las actas de los nión del ayuntamiento de Almadén, celebrada la víspera de la tribunal supremo; el clero eu el M. R. arzobispo de Toledo; los distritos de Boltaña han sido falsificadas, y que la junta no se e eccion f en la cual se ocupaban del sitio en que debia de cele­ ayuntamientos y diputaciones eu el gefe político; la Milicia, concluyó por los comisionados, quienes tuvieron que retirarse brarse , de lo cual se infiere…</t>
  </si>
  <si>
    <t>…esente, y ahora m ism o, en PARTE NO OFICIAL. 50 facciosos procedentes de las hordas que lo infestan. El mis­ todos sus ángulos y en todos sus pueblos no k^n cesado los sa­ mo , refiriéndose á un parte del comandante general de Toledo, queos, los incendios, el aniquilam iento de toda su riqueza, la dice con la propia fecha que se habian acogido á indulto 11 inhum ana matanza y todos los horrorosos efectos de la mas bár­ rebeldes, entre los cuales se cuenta el titulado capitán de U bara dom inación, de la cual apenas dos…</t>
  </si>
  <si>
    <t>…­ V einte y nueve muertos, entre los que resulta el hijo de una observación constante de sí m ism a, ocultar á sus amigos el llón han acompañado á su gefe una hora de aq u i; y al despe­ Palillos, titulado couiandanie general de Toledo, y 12 prisio­ cuadro exacto de sus disgustos domésticos, recelaba que d pesar dirse se vió en los pechos de aquellos guerreros, que mas de neros , heridos la mayor parte, siendo uno el feroz cura de M a- de su edad é irreprensible conducta, se atribuyese a esta sepa­ una vez fueron muralla…</t>
  </si>
  <si>
    <t>…itán general de Castilla la Nueva con fecha de hoy, cualquiera resolución formal haga su presencia ú til, y se cree lado y la plaza embestida inmediatamente , colocándose desde trasladando lo que le dice el comandante general de Toledo, que la convocación se verificará del 20 al 25 lo mas tarde. luego los tiradores á tiro de pistola por el frente que debia ser manifiesta que el comandante de la 6 .a columna de operaciones La viva oposición provocada por la disposición del tratado atacado. del distrito de la Jara D . Ferna…</t>
  </si>
  <si>
    <t>…El gefe de estado mayor interino , Pedro Ortiz M a rco s d e O b r e g o n , el D iablo c o j a c l o , la P íca ra J a s i ¿na armas, encontrareis un celoso defensor de los premios á que os de Pinedo.zzSr. comandante general de Toledo. = Es copia. == Guzman de A lfa r a c h e , y otras m uch as: mas no nos acor­ hayais hecho acreedores en vuestro general, Francisco Narvaez. El C. C. G ., Orive. damos de ninguna novela histórica, escrita en español erv (S. a l B. O.) los siglos xvi y x v i i . Si hubo a l g u n a , debió d…</t>
  </si>
  <si>
    <t>Tolosa</t>
  </si>
  <si>
    <t>…la provincia de Alava.zzExcelentí- ñor L ab o rd a: Secretario el Sr. Fernandez: Vicesecretario el sirno Sr.: Según rae avisa el Excmo. Sr. general en gefe con fe­ Sr. Ramírez de AreMano. c h a de ayer desde su cuartel general de Tolosa, debe haberse Una carta de Alejandría asegura que M ehem et-A lí ha sen­ 6.a sección. Presidente el Sr. Z u m a la c a rre g u i: V icepresi­ d irig id o hoy S. E. sobre L ecum berri; y con el fin de que estas tido vivamente la determinación de las Potencias. dente el Sr. Fuente Herrero: Secr…</t>
  </si>
  <si>
    <t>…á n g eo eral d u q u e de la V i c t o r i a desde su de r e u n ir á la g r a n f a m i li a nacional para t r a b a ja r de com ún Se a n u n c ia que las secciones del m in isterio de la J u s t i c i a , c u artel general de Tolosa con fecha 8 del ac tu a l dice qu e al acuerdo en hacer la gran deza y prosp eridad de su p a tria ? en las cuales no se puede desconocer de algu no s meses á esta d ia s ig u ie n te co n tin u a b a sus operaciones sobre el B a s t a n , ad o n ­ E ra y a tiem po de que se a p a g a r a el…</t>
  </si>
  <si>
    <t>Tolosa, Alberto</t>
  </si>
  <si>
    <t>Alberto Tolosa</t>
  </si>
  <si>
    <t>…respectivo á cada m es en los veinte prim eros lizado con las formalidades que la misma previene , tocó á los nes del norte rae hace presente la suma escasez de trapos é hilas dias del inm ediato siguiente. sugetos siguientes: D. Alberto Tolosa , D. Pedro V illar, Don que hay en aquellos hospitales para atender á la curación de Q ue en el estado de valores se com prendan con José García M artínez, D. Julián Alonso, D. José Quintana, fin los muchos heridos que en ellos se hallan. Con este m otivo, y á la distinción debida l…</t>
  </si>
  <si>
    <t>…pelen; yapar*- zaro, D. José Pombo, D. José Laplana, D. Francisco Esquer­ do calle del T urco, y continuarán hasta concluir el curso los ra evitar ó corregir contratiempos y dirigir la cria de lofe aut¿- ra , D. Manuel Viejo, D. Alberto Tolosa, D. Joaquin Alcal­ martes , viernes y sábados dé cada semana de doce á dos. males que necesitan; ya en fio , para conocer los terrenos y de, D. Rafael Jiménez y D. Manuel Fernandez Cadiñanos: La matrícula estará abierta hasta el dia 20 de dicho mes en minerales. Lo mismo sucederá á lo…</t>
  </si>
  <si>
    <t>Tolosa, José</t>
  </si>
  <si>
    <t>José Tolosa</t>
  </si>
  <si>
    <t>…o; el b r ig a ­ M is ayudantes de campo los coroneles D. José M . Paz y de la situación de N av arra. dier Ortigosa , segundo comandante del ejército de N av arra : el D. M iguel M. P a n iag u a , el teniente coronel mayor D. José Tolosa 22 de Ju!io .?rL as cartas hoy recibidas del cuartel brigadier R i p a l d a , comandante de la líaea de B urgnete: el g e ­ M » g e n i s , e l capitán de la Guardia D. J u a n U rb in a, y el de Real confirman las noticias que y a se tenían de la agitación neral G o ñ i, q u e manda u…</t>
  </si>
  <si>
    <t>Tolstoy</t>
  </si>
  <si>
    <t>…nisterio de Mr. C u n in -G rid a in e, y que al sa­ Escriben de Amsterdam el 28 de A b r il: p o rtan te: p o rq u e la antítesis es por sí misma una form a ber la negativa del honorable dipu tado, que había creído de­ El conde Tolstoy ha partido ayer para Londres á fin de excesivam ente brillante, y las mas veces afectada, del dis­ ber obedecer á avisos que provenían de cierta reunión ( Agita­ anunciar oficialmente la visita deí gran duque heredero de cu rso, y p o r tanto incom patible con la pasión; cu an d o dorz. Af…</t>
  </si>
  <si>
    <t>…se term i­ cipe Guillermo Enrique délos Países Bajos, y seguido del Prín­ nó la sesión para coutinuarla el sábado próximo 10 del cor­ mas útiles á su estado, p ro d u cen los g ran d es ho m b res en cipe de Dolgorouki, del conde Tolstoy , y del vizconde de T or- riente. la gloriosa ca rrera de las arm as, y en fin, generalizadas en rington , chambelán de la R eina, se paseó á caballo por el par­ la sociedad, vienen á constituir esa co m ún ilu stració n , q u e que. El mismo dia comió S. A. I. con la Reina Victoria. Ayer no…</t>
  </si>
  <si>
    <t>…y y B a ria tim k y , el barón de Lieven, naturaleza ha de poner necesariamente trabas á las negociacio­ nes y retardar la conclusión de ellas. Que si se quiere de ello el consejero SonkofL ky, el general K av elin e , el conde Tolstoy, GRAN BRETAÑA. una prueba, no hay mas que examinar el origen de la proposi­ Mr. de Aldesberg, el coronel Jou rgew itch y M r. de Patkul ción , y se verá que lejos de mudar la situado?', por el adveui - formaban parte del acompañamiento del Gran Duque. S. A. I. L ón d res 8 d e M ayo. mi…</t>
  </si>
  <si>
    <t>Toma</t>
  </si>
  <si>
    <t>…rcha­ quierda y pila también inmediata. la misma D. Manuel Hermida y Cambironero; y para esta va­ do el enemigo; pero corno las señales del camino no confirma­ Se abren los cimientos y se allegan los materiales para la cante á D. Toma A Huet y A ller; juez de primera instancia del sen su idea, ofició-al coronel Gheli para que dejando/su 4 nía n - construcción de una alcantarilla en el sitió del Regajo grande, partido de Sigüeoza. teiria en Santa Cruz de Juarros, pasase con solo la caballería éntre el rio Guadiel y Bailen.…</t>
  </si>
  <si>
    <t>…a reclamado el a ux i l i o posible para plantear el premio que el anteri or. si r hace 4 0 a ñ o s ; S. E. A h m e t - F e t h i - b a j á , e mba j a dor de la método de enseñanza mu t u a i nventado por D. José Lancast er. D. Toma s Tej ada , de siete años de e da d, núme r o cuat ro de Pu e r t a otomana cerca de la corte de F r a n c i a ; Ií ussei n baj á, L a s esperanzas que entonces concibiera esta asociación úo la q u i nt a c l a s e, por su apli caci ón y mérito que ha mani fest ado que ha sido g r a n d e a l…</t>
  </si>
  <si>
    <t>Tomaron, Ramón Iriarte.</t>
  </si>
  <si>
    <t>Ramón Iriarte. Tomaron</t>
  </si>
  <si>
    <t>…ambién hechiceramente repetían sus amorosos labios. Felicidad compa­ mercial, después de la relación hecha á la, manufacturera La academia de la industria agrícola y co­ misma en sesión de el gefe del regimiento de Santiago D. Ramón Iriarte. Tomaron rable solo con la embriaguez y el delirio que causó el dúo del 29 de Abril de 1854 Por Antomarchi , médico del Em ­ igualmente parte en la operación 50 cazadores del expresado re­ Assedio di Calais9q ue de intento hemos reservado para este perador Napoleón en Santa Elena , sob…</t>
  </si>
  <si>
    <t>Tomas</t>
  </si>
  <si>
    <t>…ontiene: primeros levantamientos en las 165751 id. id. provincias.^Gefes y motores de la insurrección.—D. Santos L a ­ 175509 id. id . drón.—Primera acción de los Arcos y su muerte.—Presentación REM ATES. 181242 id. id. de D. Tomas Z um alacarregui á los carlistas.—Retrato de Z u - F ) A R A el remate del parador situado en el lu g a r de Fuencar- 185555 id. id. m alacarregui.—Primeras disposiciones suyas.—Graves obstáculos ra', á la salida de !a calle íleól y camino de V al verde, c u ­ 186 6 79 id. id. con que tuvo qu…</t>
  </si>
  <si>
    <t>…­ Sago 1 45 primera instancia de esta corte , refrendada del escribano sistir la tendencia de cada sustancia á su peculiar descomposi­ T ap io c a, h arina de la raiz de Y u c a ................................ 2 0 de o limero D. Tomas M aría M a n r iq u e , se cita y empiaza á ción química, Pan fresco 3 0 los q u e , en coacepto de acreedores, se consideren con derecho á El carácter de sano ó mal sano de un alimento depende , en ídem duro.....................................................................................…</t>
  </si>
  <si>
    <t>…gimen gubernativo distinto se piamente amigos del pais. h ay a considerado el cultivo de la seda del mismo mod®, y saca­ Seguidamente se llamaron las clases, resultando presentes do poco mas ó menos las mismas consecuencias. D. Tomas M igu el de A lj o v i n , D. Bernardo A n g u lo , D. Jo¿é Este artículo contiene ademas un aviso que no deben des­ Rico y E spada, D. L u is Sáez de R iv an cierre, D. Jo a q u ín I d em 2 1. preciar nuestros agricultores ni tampoco el Gobierno, cu y a G utié rre z, D. Nicolás R u iz y G a…</t>
  </si>
  <si>
    <t>…no de Almería, DERECHOS DE TONELADAS Y ANCORAJES. S. A ntón, por Francisco Galvez, en id. Otra cobriza, Solanilla de Prado largo, término de Huetor Toneladas. Ancoraje. Total. Santillana, mina N egra d e S. C ristóbal , por D. Tomas j ¿ - menez, en 12 . Otra de carbón de piedra, Panderones, término de Valon, S. José , por Francisco Alonso , en i 4. Otra de fierro , prado de Herrerías, término de H uejar, el Puerto-R ico.. . . . . . . . . r . . . . .................................... 15.557.. 3 .. 4 618 16,155. . 3 .…</t>
  </si>
  <si>
    <t>…espreciaba y le miraba como m uy inferior á el conde y la condesa de T a n c arv ille , lord Ossulton , la con­ la n te , la guerra con todas las calamidades que le son anejas él. El Presidente creyó de su deber llamar al coronel Tomas al desa viuda de Clare, lord Beresford , lord y lady B ro u g- será inevitable entre dos naciones, que teniendo un mismo o ri­ orden, sin que este incidente tuviese otras consecuencias. ham &amp;c. Scc. ; por último , el mariscal Clausel y el general es­ gen , igual idioma y unos mismos intereses,…</t>
  </si>
  <si>
    <t>…cobriza, sierra Almijara , barranco del Tío Fernando, No es tampoco este genero, aunque cultivado por desgra­ algunos señores que se insertasen sus nombres en ella , la recti­ término d e O tib a r , Purísima Concepción, por D. Tomas J i ­ cia en nuestra patiia, producto peéulia'r de ella. Cornelia al ficó y volvió á leer, resultando que teniau pedida la palabra ménez , en 19. escribir en el sus comedias, no hizo mas que aclimatarlo entre en pro del proyecto los Sres. Surrá y R ail, Perez de Rivas, Otra plomiza, sierra d…</t>
  </si>
  <si>
    <t>…s de g a ll o , a pliego de condiciones bajo las cuales se ha de celebrar la su­ Se suscribe á este periódico éñ M adrid-, e n , la librería de 2 rs. • - ■' ’ . f basta ; en el' supuesto dé que para su segundo y últiuio rema­ D. Tomas J o r d á n , calle de C arretas, frente á la im p ren ta n a ­ Barritas para componer toda clase de c r i s t a l , loza y china1, te está señalado e! dia 27 del corriente á las doce de la m añ a­ cional ; y en la de la viuda de P a z , calle M a y o r , frente á las á 2 rs. na en dicha direc…</t>
  </si>
  <si>
    <t>…primeros números tienen varios de ellos preparados. olo una veintena no han podido resistir á la crisis que por es- Je otro templo consagrado á ¡as musas que h ay en retirado Reforma que necesita el código de comercio , por D. Tomas jacio de algunos años se está experimentando , y que aun en barrio, no queremos por su biea acordarnos. Convendría por Retortillo. nedio de esta p e n u ria , la ruina de la mayor parte de ellas hay »anto que se suspendiesen , salvo el derecho de continuarlas des­ Propios y pastos comunes: s…</t>
  </si>
  <si>
    <t>…ue desempeñarán la parte de protagonistas la Sra. C ar­ instaucia de esta corte, que lo es de la testamentaría del se­ primera instancia de este paitido con auto de 28 de Enero lota S p u n t o n i, de edad de 10 años , y el Sr. Tomas P i ó , de 1 L ñor D. Francisco d e C a b a rr ú s, conde del mismo título, se con­ último dado en el expediente de su referencia, que firmo de mi voca á junta general de acreedores á ella para el dia 9 de J u ­ mano en Palma de Mallorca á 5 de Febrero de 1859. = José N O T A . Se está e n say…</t>
  </si>
  <si>
    <t>…es y el estado de la na­ digno.” Se suscribe á este periódico en M a d r i d , en la librería de c ió n , cercana y a por fortuna á la pacificación apetecida, re­ Las obras deberán estar en la secretaría de la academia el 15 D. Tomas J o r d á n , calle de C arretas, frente á la imprenta na­ novar la loable costumbre de proponer algunos premios que sir­ c i o n a l; y en la de la viuda de P a z , calle M a y o r , frente á las de Setiembre de I84O. van á un tiempo para dilucidar puntos literarios y para esti­ 4.a Luego…</t>
  </si>
  <si>
    <t>…ue lle­ ricio.=Fernando Corradi.=José Gano Sainz.=José H. Arche. en el que desempeñarán la parte de protagonistas la Sra. Car­ nan hoy el teatro francés; es todo el mundo. ¿Y por qué? lota Spuntoni, de edad de 10 años, y el Sr. Tomas P ió ,d e 11. ¿Se acude allí á buscar emociones dramáticas? ¿Se va á saber de la manera que Augusto perdona; cómo Mitrída- CORRESPONDENCIA DE LA GACETA. NOTA. Se está ensayando ¿ para ejecutarse á la mayor tes hace una declaración; cómo el viejo Horacio ajusta pa­ brevedad , el drama nuevo ,…</t>
  </si>
  <si>
    <t>…eldes , y pre­ Nos escriben de Roma el 25 de Noviembre lo que sigue: sentados á iodulto 19 con cinco caballos.y 15 armas : entre los La alocución que el Papa acaba de pronunciar en el con­ primeros se halla el titulado teniente Tomas R io , y en los se­ sistorio secreto de 22 de Noviembre acerca de la fusión obrada gundos Esteban Rodríguez, apellidado comandante de la infan­ TURQ UIA. últimamente entre las dos iglesias griegas en R usia, es notable tería del partido del Sabiñao. por su lenguaje moderado respecto del Emp…</t>
  </si>
  <si>
    <t>…rado y sentencia, que una y otra son del te­ en el que desempeñarán la parte de protagonistas la Sra. Car­ nor siguiente: brado un ministerio formal cuando nadie se ocupaba de su d i­ lota Spuntoni, de edad de 10 años , y el Sr. Tomas P ió ,d e 11* Calificación del jurado.nReunidos los jueces de hecho que solución. abajo suscriben para conferenciar entre sí con arreglo al art. 61 N O T A . Se está ensayando, para ejecutarse á la mayor Mañana se leerá en la Cámara el ioforme de Mr. Allard so­ bre el suplemento del crédito…</t>
  </si>
  <si>
    <t>…avales. El número de artífices va­ Dia 1.° Retrocedió la división á Chelva. debidas al celo y coostancia del comandante D. M anuel M o n ­ ría según requiere el estado de la m arina , y regularmente p ue­ tesinos y del mayor D. Tomas M a r t in , á quienes seríamos in ­ de computarse en 5$. Dia 2. El general Azpiroz dió sus disposiciones, y salió justos si no tributásemos el elogio merecido, esperando que A ía extremidad de estos d iq u e s , pero se p ara d a, está la a r ­ la partida franca al mando de su comandante Mel…</t>
  </si>
  <si>
    <t>…n u e l U IÍbarri,D . J u l i á n J a v i e r , Don do ra y la Serma. Sra. Infanta Doña María Luisa Fernan­ cesar de hacer f u e g o , tanteando la parte de m u ralla mas débil Cristóbal A lg a b a , D. V en tu ra L lo re n s, D. Tomas M a r ía V i z - ’ paéa asaltarla con escalas; mas el acertado fuego y serenidad manos y D. francisco López O lavarrieta , los cuates declararon da, continúan en esta corte sin novedad en su importante de los defensores frustraron este proyecto. haber lug ar a la formación de causa por ocho v…</t>
  </si>
  <si>
    <t>…¿pr^ebp que Ips citcasianos fconocen un solamen- 9 segtin creo, el de u n irla s dos pro- Ademas ha sido preso un tal Ju an de G ra cia, colaborador ja depiié&amp;lros, .puestos de caballería,! • aprobación á las proposiciones óe D. Tomas O rte g a : se hallan también detenidas en las casas 4jpe báp sido a tapador tj#do$ á laimsma hor-a^ y *en. número &gt;su-f del goberuador generajl, 5e: cree que este apelará entonces á ia donde estaba la fábrica la muger del segundo y la dueña de la ^erix^^l^a expedición e^ft¿pandada*;porel gef…</t>
  </si>
  <si>
    <t>D irección general d el tesoro público. tancia de Navalcarnero , refrendada por el escribano D. Tomas \ 7I D A de los capitanes griegos mas famosos, con las de Amil- Gutiérrez de Páramo, se saca á la venta en pública subasta una car y su hijo A níbal, cartagineses; y las de M. Porcio La libranza de esta dirección núm. 4677, expedida en i i casa sita en aquella villa, que da á las calles de S…</t>
  </si>
  <si>
    <t>…contados de primera instancia de esta II. villa , refrendada del Balmaseda se hallaba en O ntoria de V alde-arados, con inten­ desde esta fech a, pues pasado sin efecto, se procederá á lo que escribano del número en la misma D. Tomas M aría M anrique, ción sin duda de dirigirse á Espinosa de C ervera, emprendió haya lugar , dando el competente en el asunto al que se ha mos­ se saca á publica subasta una casa sita en la villa de H um era, su marcha en aquella dirección con el primero y segundo es­ trado ya parte en él. cua…</t>
  </si>
  <si>
    <t>…, d en tro , llamados Pablo U rgeil y José Ni. de Sau. Dado parte queña , rodeada con una márgen callosa. la civilizació n , si el partido conservador por su política á la de la ocurrencia acudid el Sr. alcalde constitucional D. Tomas H ay algun as variaciones ea este respecto, y la mas curiosa par firme y moderadora no hubiera logrado prevenir la des­ M aría de Q uintana con el escribano M ad rigu era y el f a c u lta ­ ocurre eo las larvas m uy comunes del H elophicus p en d u lu s , gracia de una guerra u n iv e rsa l, e…</t>
  </si>
  <si>
    <t>…diz, £ á * id. Z arag o z a, par. A l a n g e ~ D . J u liá n Villaescusa y G a l a , en aquella villa: P ro vin cia d e Z a ra go z a . Jesde 1.° de J u lio á 31 de Agosto. Descuento de letras , á 6 por 100 al año. A lama.= D. Tomas P arrav erde, in terino : desde 15 de J u ­ P r o v in cia d e C d ceres, nio á 15 de Setiembre. o Quinto. z:D. Cirilo de Castro y La p lana, interino por Real Ju n ta d e quem a d e d o cu m en to s d e la d eu d a p ú b lica . Baños de M ontemayor.= D. Francisco M artínez, en M ad rid :…</t>
  </si>
  <si>
    <t>…C om as, por idem. tro deber de escritores públicos, de negarle nuestro apoyo con­ Doña Teresa M o y , por idem. Y a están confiados á nuevas manos los asuntos gub ernati­ virtiéndose en censores suyos. (O D i r e c to r .) D. Tomas G enover, por idem. vos de la nación portuguesa. Ceso por fin ese estado indefinible, en el cual el conflicto de exigencias y preceptos desproporcio­ D. José M a s o t , por idem. nados ó inasequibles y orgullosos alejaba cada dia mas el su s­ D . Autonio M a sfe r r e r , por idem. (G. xV.) p…</t>
  </si>
  <si>
    <t>…urgos, fiscal de Olmedo; y para el de hayan considerado admisibles en cuenta de ella, debe Sigüenza , de ascenso, en la provincia REAL DECRETO. principiar á verse el resultado de los ingresos que en me­ te por proraocion de D. Tomas H uet, deá Guadalajara , vacan­ D. Francisco M artí­ tálico se han de realizar. Cualquiera omisión, el menor nez Pelayo, juez que ha sido de Medina del Campo. Hallándose vacante la subsecretaría del ministerio de descuido va consigo ó negligencia en negocio de tal importancia lle­ una ter…</t>
  </si>
  <si>
    <t>…ia de ciencias t r ia ; pero este a su n to , de suyo d ifícil y escabroso como todo naturales y artes de esta ciudad en el d ia 2 4 de A bril último aquel que sea á la par popular y sub lim e, necesitaba para ser «el .socio D. Tomas M er leyó una memoria acerca las r e la cio - bien tratado largo tiempo de asiduo tra b a jo , y que fuese un a L a sociedad económica de A m igos del pais de esta cap ital á musa p riv ilegiad a la qué tomase á su cargo el referirlo á las ge­ 1tes que hay en tr e e l ca ló rico y e l flu id…</t>
  </si>
  <si>
    <t>Tomas, D.</t>
  </si>
  <si>
    <t>D. Tomas</t>
  </si>
  <si>
    <t>…omingo D iaz volvia una cuestión de surua gravedad , á saber, si la Reina dei V alle.“ Cárlos G utiérrez de la Torre.=:José de Mena. R egente, irresponsable por la C onstitución, seria responsable A uto.^Inm edlatam ente el Sr. D. Tomas P acheco, juez de por la tutela que ejercía respecto de su augusta H ija , como Excmo. Sr.: Enterado el Rey nuestro Señor del expe­ parecía expresarlo el artículo en la fórmula del juram en to ; so­ diente promovido en virtud de la exposición del conta­ prim era iustaocia de esta c a p it…</t>
  </si>
  <si>
    <t>Tomas, José Moreno y D. José D.</t>
  </si>
  <si>
    <t>José Moreno y D. José D. Tomas</t>
  </si>
  <si>
    <t>…a no pudo Se suscribe á este periódico en M adrid , en la librería de im ita r, por mas que lo solicitó, la frase llena de ripio, de ba­ jeza , de impropiedad y de cacofonía de los dramaturgos que Asimismo se cita y emplaza i D. José Moreno y D. José D. Tomas Jo rd án , calle de Carretas, frente á la imprenta na­ condenaba á la risa pública. Perciva , para que en término de nueve dias que por segundo cional ; y en la de la viuda de P a z , calle M ayor , frente á las Y en cuanto á la versificación, es siempre prima herman…</t>
  </si>
  <si>
    <t>Tomas.Pió</t>
  </si>
  <si>
    <t>…sobre los primeros elementos de la pro­ Varis 6 de Mayo • en el que desempeñarán la parte de protagonistas la Sra. Car­ nunciación francesa. Estas ligeras muestras que se presentaron lota Spuntoni, de edad de ¿0 años , y el Sr. Tomas.Pió,de 11# no tuvieron mas objeto que hacer ver y conocer las ventajas del Bolsa de hoy. Cinco por 100, 111 fr. 50 c. método de enseñanza que seguirá el instituto. Tres id ., 81 fr. 80 c. NOTA. Se está ensayando, para ejecutarse á la mayor* Recitáronse también por algunos niños diversas com…</t>
  </si>
  <si>
    <t>Tomasa</t>
  </si>
  <si>
    <t>…o r p re ­ ción de Doña Tomasa Olive con su hija menor de la casa de d o si los cuerpos de la Milicia nacional tienen alg u­ su esposo D. Pedro María Delgado, habiendo resultado en las del actual lo siguiente: mismas que la Doña Tomasa, si bien se ausentó de casa de su «Deseosa S. M. la Reina Gobernadora de que se obser­ nos fondos destinados á la com posición de su arm am ento. esposo, .no hizo otra cosa que trasladarse á la de su padre Don ve una completa uniformidad en la instrucción de los ex­ E nterada S. M. y ten ie…</t>
  </si>
  <si>
    <t>…A N D O S E la habitación en esta plaza de Doña M e l- Isla Fernandez, sobre nombramiento de una comisión que pre­ proponiendo la aprobación del proyecto, según ha sido presen­ chora y D . Antonio B a y l e n , herederos de Doña Tomasa sentase un proyecto de ley penal y preventiva acerca de frau­ ta d o , dijo U jara iz, y teniéndoles que hacer saber el contenido de un des­ des contra la Hacienda pública. Las secciones tercera y cuarta El Sr. Z A R C O D E L V A L L E : Señores, ocioso parecerá pacho librado por el Excmo.…</t>
  </si>
  <si>
    <t>…5 de Diciembre, se confirman m o n io , se instruyen diligencias en averiguación de la existeucia Otra en Castejon , de 7/fi cepas vivas y 50 mar­ las noticias que publicamos en nuestro número anterior, y añ a­ y paradero de Doña Tomasa O liv a , esposa de D. Pedro María ras , en ............................ 1085 de que no solo evacuaron los franceses la ciudad de Yeracruz, D e lg ad o , director interino del observatorio astronómico, en Un olivar en la Carraliza, de 57 olivas y 55 pier­ sino también el castillo, y que han v…</t>
  </si>
  <si>
    <t>TomasCasel</t>
  </si>
  <si>
    <t>…timo el punto inter­ dio de procurador de este juzgado con poder bastante, y ante el una corte muelle y corrompida, la relajación de las costum­ medio entre la escuela de Corneille y la de Alejandro escribano del mismo juzgado D. TomasCasel, con los documen­ bres, se hicieron sentir hasta en el teatro. Por eso las obras Dumas. tos justificativos de sus créditos, pues pasado dicho término, sin del gran poeta ingles están llenas de rasgos groseros é R. DE NAVARRETE. mas citarles ni emplazarles, se sustanciará dicho concurso po…</t>
  </si>
  <si>
    <t>Tominaya, José</t>
  </si>
  <si>
    <t>José Tominaya</t>
  </si>
  <si>
    <t>…p e rm i­ sin embargo dispensarse de recomendar particularmente al ex­ adentro* se sábria probablemente que se han controvertido to ­ ta el estado de existencias en almacenes* y eri inteligénciá presado toroandante de francos D. José Tominaya , que ha so­ das nido las opiniones; que ía indulgencia como la severidad han te­ sus defensores; qué lá sentencia * aunque firmada por to­ tam bién de q u é , cómo las dos de etapa que éstan en pose­ brepujado á sus esperanzas, y á los comándatites de las fuer­ dos los individuos…</t>
  </si>
  <si>
    <t>Tomo, Cayetano Cortes.</t>
  </si>
  <si>
    <t>Cayetano Cortes. Tomo</t>
  </si>
  <si>
    <t>Medicina , leyes. autorizados para «1 quebrantamiento de todas ellas ; si libres de 7 teaubriand, y traducida al castellano con varias notas y obser­ ese yugo consiguen producir grandes obras. vaciones por D. Cayetano Cortes. Tomo 2.° Cuaderno 7.° Con Por ultimo concluyó diciendo que examinada la cuestión esta entrega concluye la correspondencia diplomática de los dos L a experien cia del prim er mes en la academia' anunciada acerca de la observancia de las unidades dramáticas, y sin ad­ cuadernos anter…</t>
  </si>
  <si>
    <t>Tomo, Cayetano Cortés.</t>
  </si>
  <si>
    <t>Cayetano Cortés. Tomo</t>
  </si>
  <si>
    <t>…ta por el viz­ tiem po, al paso que los que son devotos de Mr. Mole se es­ conde de Chateaubriand, y traducida al castellano con varias fuerzan en ponderar las dificultades que el ministerio encuen­ notas y observaciones por D. Cayetano Cortés. Tomo 1 .°, cua­ (i) Un cuaderno en 8.°á cuatro reales. Se hallará en las li­ tra para formarse, y aun algunos se atreven á indicar una derno 4.0 Este cuaderno es el último del tomo 1.* Contiene la brerías de Cuesta , Rodríguez, Razóla y N uñez, de esta corte. modificación en el dif…</t>
  </si>
  <si>
    <t>…zconde de C ha­ las vendidas últimamente, y otra de las que permanecían en EFECTOS PÚBLICOS. teaubriand. Tradúcela al castellano cou varias notas y obser­ dominio de la nación. Las que se hallaban en el primer caso se vaciones D. Cayetano Cortés. Tomo 1 , cuaderno 2.° Este cua­ han vuelto á incorporar en la sociedad por sus actuales dueños, Inscripciones en el gran libro á 5 por 100, 00. derno ofrece todavía mayor Ínteres que el i.°, y es uno de los que contestaron afirmativamente á los oficios que de conformi­ Títulos al po…</t>
  </si>
  <si>
    <t>…luencia conde de C hateaubriand, y traducida al castellano con varias el océano de la eternidad. La violeta puao ser para Virgilio necesaria en el estudio de la filosofía y de la o rato ria, á la cual notas y observaciones por D. Cayetano Cortés. Tomo 2.°, cua­ adorno de un canastillo de llores: para nosotros es mucho mas presentó una nueva y extendida escena en la elocu en cia sa ­ derno 8 .° y último. es el símbolo de la hum ildad cristiana. Los gentiles animaron g r a d a , hija primogénita del E vangelio, como la llama e…</t>
  </si>
  <si>
    <t>…mestibles. Irrita Sin embargo, el Congreso resolverá lo mas justo. Palacio saber que hubo concejal que se acercó á pedir dinero á un pa­ condenotas de Chateaubriand , y traducida al castellano con varias y observaciones por D. Cayetano Cortés. Tomo 1.°, cua­ del mismo 29 de Panero de 1859 —Sancho.rrOlózaga.izMuro.iz nadero por el derecho que tenia de multarle. El castigo mayor I&gt;enavides.=Luis Rodríguez Camaleño.—Lujan , secretario. que pueda yo imponer y la disfamacion pública prometo al que dernoLa 5.° El Sr. P R E S I…</t>
  </si>
  <si>
    <t>Tomo, Luis de Góngora y Argote.</t>
  </si>
  <si>
    <t>Luis de Góngora y Argote. Tomo</t>
  </si>
  <si>
    <t>…adres viudas que tengan hermano ó hermanos sir­ antiguos con cupones. ción de 1789, á 19 rs. en rústica. viendo en el ejército en clase de oficiales, cadetes ó cual­ Vales Reales no consolidados, 12± á id. id. 6 .° Poesías de D. Luis de Góngora y Argote. Tomo 9.°, quiera otra de las que se reconocen en las diferentes armas D euda negociable de 5 por 100 á papel, 00. edición de 1820 , á 6 rs. en rústica. del m ism o, con tal que dicho servicio sea en la profesión ex­ Idem sin interés, 6 , 5 J , f , y 5 f á v. f. ó vol. á p…</t>
  </si>
  <si>
    <t>Tomo, Pedro Sánchez</t>
  </si>
  <si>
    <t>Pedro Sánchez Tomo</t>
  </si>
  <si>
    <t>…ida­ m onjas,” denunciado en 25 de Enero próximo pasado por el se haya comprendido á esta , sin prevenirla de ello en un tra­ des, que el tiempo presente no prevé, y nos dedicaremos en prom otor fiscal de) juzgado, licenciado D. Pedro Sánchez Tomo, tado concluido entre Inglaterra y A ustria. consecuencia á utilizar la prosperidad de la época , empleando la ley absuelve á D. Antonio Luis Boan , responsable de dicho Es menester convenir en que esta es una diplomacia de un im preso; y en su consecuencia mandó sea puesto inm e…</t>
  </si>
  <si>
    <t>Tomos, Fernando.</t>
  </si>
  <si>
    <t>Fernando. Tomos</t>
  </si>
  <si>
    <t>…erio para que los electos Diputados y Se­ 9.° Obras de Cristóbal de Castillejo, secretario del Empe­ nadores se apresuren á trasladarse á la corte, para lo cual se Londres, á 90 dias, 3 8 f din. C o ru ñ a, 1 | á 2 &lt;J. rador D. Fernando. Tomos 1 2 / 1 3 , edición de 1 7 9 2 , á 19 les faciliten por las autoridades militares los auxilios que re- P a ris, Í 6 -5 á 4* G ra n a d a , 1$ id. reales en rústica. c ’amen para mayor seguridad en su traslación á esta corte. M álaga, par i ¿ b. 10. Conquista de la Bética, poema her…</t>
  </si>
  <si>
    <t>Tomás, Bernardo Medrano y D.</t>
  </si>
  <si>
    <t>Bernardo Medrano y D. Tomás</t>
  </si>
  <si>
    <t>…a poner clero é iglesias, y en el tercero que recaiga la misma resolución Cecilio Prados.=Jo é Telesforo Barea.=Cirilo N avarro.= N a t a ­ en marras de la augusta Reina Gobernadora la contestación del sobre otra exposición de D. Bernardo Medrano y D. Tomás lio Serrano.—Pedro Nieto Muñoz , secretario. Senado al discurso del tro n o , ha tenido el honor de desempe­ González, relatores jubilados de la audiencia de Cáceres, en que ñar su encargo. S. M . la recibió con la bondad que la caracte­ piden se hagan aclaraciones sobre…</t>
  </si>
  <si>
    <t>Tomás, D.</t>
  </si>
  <si>
    <t>D. Tomás</t>
  </si>
  <si>
    <t>…de! ejército, salió el P or meses.*. . . . . 30 20 30 36 de 1839.— El presidente, I. López Pinto.= P or acuerdo de dia 25 de Abril último á perseguirá una cuad¡ illa de foragidos la diputación, Honorato P ie ra , secretario.=Sr. D. Tomás compuesta de unos 20 montados que habían robado algunas El pago de matrícula se verificará la mitad al inscri­ Ballester. fanegas de trigo y varias caballerías en el molino de Peña-Ta­ birse, y la otra mitad en el acto de recibir la certificación jada, siendo el resultado de esta operación…</t>
  </si>
  <si>
    <t>Tor</t>
  </si>
  <si>
    <t>…, en que participa al mismo para los efec­ Hecho el escrutinio, obtuvo el Sr. Ida Fernandez 32 votos; tos conducentes que en últimos de J u n io S. M . se sirvió nom­ el Sr. Ondovilla 2 9 , el Sr. Iluiz de la V ega 23 y el Sr. Tor­ brarle caballerizo mayor de su Real Casa. MADRID 2 DE SETIEMBRE. res Solanot 1 6; quedando por consiguiente electos Secretarios Se maudó pasar á la comisión de Actas dos exposiciones do­ los Sres. Isla Fernandez y Ondovilla. cumentadas de D. Ramón Perez y D. Pedro Jaén , reclamando Se leyó e…</t>
  </si>
  <si>
    <t>Toral, D. Fermin Caballero. Sr. D. Wenceslao</t>
  </si>
  <si>
    <t>D. Fermin Caballero. Sr. D. Wenceslao Toral</t>
  </si>
  <si>
    <t>…lorez Estrada. Secretarios. Cuenca. Sr. conde de Toreno. Sr. D. J osé María Navia Osorio. Sr. D. Mariano Miguel de Reinoso. Sr. D. Andrés Martinez del Peral. Sr. D. Juan de Posada Arguelles. Sr. D. Luis Mayans y Enriquez. Sr. D. Fermin Caballero. Sr. D. Wenceslao Toral» Sr. D. José Gispert. Sr. D. Juan López Pelegrin. Sr. D. Francisco Posada Fernandez de Córdoba. Sr. D. José Fermín Muro. Sr. D. Juaa Alfonso Montoya. Sr. D. Alejandro Mon. Alava . Sr. D. Pedro José Pidal. Sr. D. Blas López. Gerona. Valencia. Albacete…</t>
  </si>
  <si>
    <t>Tore</t>
  </si>
  <si>
    <t>…P ID A L , como de la comisión: No me parece que de Octubre último la cruz de caballero de Isabel la Católica, á Ja cual se la recarga siempre en todas las contribuciones; y tampoco puedo yo pasar por sospechoso al Sr. conde de Tore­ al mismo tiempo que esta condecoración se les dio á varios ofi­ que cuando esto expuso, el Ministro de Hacienda que era en­ no de que no sea yo su am ig o , pues me hallo dispuesto á sos­ ciales de la división del general R ivero, por el mérito que con­ tonces, contestó que á su tiempo se hari…</t>
  </si>
  <si>
    <t>Torelíó, José</t>
  </si>
  <si>
    <t>José Torelíó</t>
  </si>
  <si>
    <t>…y er de las pro­ to D. José M a r i a n o M a g d a l e n a , á D. Francisco Losada que la vi nci as son de la mas al ta i mp or t a n c i a , y vienen en a poyo de si rve i nt e r i na me n t e : para la de I g u a l a d a á D. José Torelíó ; y M IN ISTERIO DÉ G U E R R A Y M ARIN A. lo que di j e en una de mis cartas precedentes. Pieina la ma y o r p ar a la de O r g a z , vacant e por ascenso del electo D. J u a n G a r ­ confusión en el cuartel c a r l i s t a , y antes de mucho estallará en cía Mor e no , á D. Ni col…</t>
  </si>
  <si>
    <t>Toreno</t>
  </si>
  <si>
    <t>…Congreso la h isto ria sucin ta del propósito que po que se prevenía an tes, sino aun en los tres meses que ahora go y por todo su v a lo r, á saber : á los segundos co ntrib uyen ­ tengo hace dos años de acusar al Sr. conde de Toreno por loi se señala. A ú pues, entiende que las liquidaciones de que se h a­ tes los billetes del tesoro y los documentos legítim os de créd i­ actos que resultan de la proposición que acaba d e leerse. bla en el artículo sean respecto de aquellos documentos que tu­ to que o rigin ariam en te…</t>
  </si>
  <si>
    <t>…nes sesión del 1 5 , en el que manifestó se preparaba á formular una asu n to , antecedentes que me veo en la precisión de recordar al de la interpelación son una verdadera acusación, en ese caso acusación contra el Sr. conde de Toreno sobre malversación Congreso. el Gobierno puede creerse excusado de contestar á la interpela­ en los actos de su adm inistración, y especialmente en la con­ ción, y aguardar á que el Sr. Diputado la formule. He hecho Cuando se discutía la ley de 50 de Jun io de 1858 sobre la esta explicación…</t>
  </si>
  <si>
    <t>…ques Asi pues yo protesto ante las Cortes que cuando pronuncié tenderse á otros pormenores relativos á la recaudación, con­ del S a la r, de G ranada, que siendo de*familia antiquísim a, y mi breve discurso en favor del conde de Toreno, en nada alu ­ cluye rogando al Sr. M inistro de Hacienda , tenga a b ien , ya no habiendo querido pretender nunca la grandeza, cuando vió. dí al Sr. preopinante ; mas puesto que S. S. estudia mi fisono­ que ha presentado los presupuestos, presente las cuentas para establecer el Estamento d…</t>
  </si>
  <si>
    <t>…tusiasmo exagerador se de o t de J u lio de 1857, prueba que la jun ta lo consiguió mas piedra dura que encerraba el terreno, y levantando terraplenes considera dispensado de la crítica; pero nada mas fatal barato que el conde de Toreno, empeñando íntegro el crédito de 50 á 50 pies, entre los cuales h ay uno que se compone de para ei adelantam iento del genio que las recoge. de la nación, y del que hubiera podido negociar en la Habana 5 00 y ardas cúbicas de material. El tonel perforado en roca viva Mas fundadas por cierto v…</t>
  </si>
  <si>
    <t>Toreoo</t>
  </si>
  <si>
    <t>…que para mí es evidente. No hablo, señores, de esa pa­ tual Gabinete. Voy á hablar de loque ea el discurso de S. M. tres tribunales superiores : la H ab an a, Puerto-Rico y Puerto labra que yo disculpo, y que usó el Sr. conde de Toreoo, d e se dice acerca de las provincias de U ltram ar, y á lo cual nada Príncipe. Este si que es progreso; pero con la diferencia de que tr a n s a cc ió n ; y o la hubiera usado tam bién , porque el Sr. con­ contesta la comisión; y aqui quiero también invocar el auxilio asi como ha habido celo…</t>
  </si>
  <si>
    <t>Toreuo</t>
  </si>
  <si>
    <t>…y ¿ por 100 con cu p ón » berse tenido cuando se verificó el empréstito de los 4 OO millo­ ventaja es inmensa, y bastaría por sí sola para rocom en- Inscripciones en el gran libro á 4 por 100, 00. nes en la época del Sr. conde de Toreuo , se ocasionaron á la dar esta institución y la necesidad de plantearla desde lue­ Títulos al portador del 4 por 1 0 0 , 17 i 58 d. f. ó vol. nación males reales y efectivos. g o, si 110 estuviese ya recomendada por otras n o menos Vales Reales no consolidados, 00. Pasó con este motivo á man…</t>
  </si>
  <si>
    <t>Tori</t>
  </si>
  <si>
    <t>…es i n d i vi du o s D. Féli x Gar cí a c lase, se ha hecho acreedor al pri mer premio de la tercera y ú l ­ cada y débil que le i m p i d a e m p u ñ a r las riendas del imperio. C u e r v a , D. Br a ul io G u i j a r r o , D. Tori bi o Gu i l l e r mo M o n - t i ma clase , que consiste en u a lazo de los colores de la bandera A b d u l - M e d j i d es m u y j o v e n , p a r t ic u l ar i da d que no d e j i de re a l , D. J u a n M a n u e l de L i na r e s y D. Francisco Gal vez, naci onal . c ausar i n q u i e t u…</t>
  </si>
  <si>
    <t>Toribio</t>
  </si>
  <si>
    <t>…los Co­ lar la serenidad del comandante graduado D Marcos de Aras Granada que el dia 2 del presente mes marcharán las brigadas munes (&lt;aplausos ), creo de mi deber, sin dejar este encargo á y el atrevido arrojo de su ayudante D. Toribio A nistegui. organizadas de aquel presidio peninsular á principiar los tra­ cualquiera honorable individuo que no pertenezca á la adm i­ bajos de esta carretera provistas de las herramientas necesarias nistración, el solicitar que se decida (al llegar aqui los repeti­ que ha proporcionado a…</t>
  </si>
  <si>
    <t>…rranco de la Cala del cristal, término Cuevas, do que se les tiene dado á percibir sus respectivas cuotas de Sta. Casilda, por D. Vicente Jiménez , en 27. Su interesante argumento es ya bien conocido;.^! publico, los síndicos D. Toribio M edrano,que vive calle del Duque de Otra id ., sierra Almagrera , barranco Jaroso , término Cue­ Alba , número 1, cuarto segundo, ó á D. Martin A tienza, calle y :la empresa no ha perdonado gasto para .presentarla; coa ; el vas, la Diosa, por D. Antonio M arques, en 27. de Preciados , núm…</t>
  </si>
  <si>
    <t>Torma, Jaime</t>
  </si>
  <si>
    <t>Jaime Torma</t>
  </si>
  <si>
    <t>…a. (Id ) Sabemos de buena tinta se ha presentado en J á tiv a , aco­ Circular del ministerio de Gracia y Justicia para que cuando Circular del ministrerio de Hacienda acompañando ejemplares giéndose al indulto, el presbítero D. Jaime Torma , natural de los individuos de las diputaciones provinciales asistan á la del nuevo reglamento de cuarentena que ha empezado ya á Montaverner, y beneficiado de Jijona , procedente de las hordas visita general de cárceles, se sienten alternativamente con los regir en los dominios de la s…</t>
  </si>
  <si>
    <t>Tormos, Francisco</t>
  </si>
  <si>
    <t>Francisco Tormos</t>
  </si>
  <si>
    <t>…legitim idad y pa­ con las ilusiones de aquella isla encantadora en que según rela­ rentesco á deducir las acciones que les asistan sobre la solicitud ción de Martnontel hallaron los españoles una comunidad de instaurada por D. Francisco Tormos, de este dom icilio, sobre bienes, y una ilim itada libertad de elecciones. Desde esta inde­ L OS Sres. suscriptores al Museo de fam ilias, pasarán á la li— que se le declare por heredero de aq u ella, prevenidos que pasa­ pendencia á la posible en las relaciones sociales, la dista…</t>
  </si>
  <si>
    <t>Torner, José</t>
  </si>
  <si>
    <t>José Torner</t>
  </si>
  <si>
    <t>…la viuda de Ra_ Doy fe: qne en el juicio de denuncia hecha por el promo­ zola, calle de la Concepción Gerónima; en Barcelona en la de Y DE A P L IC A R EN SU CASO tor fiscal , licenciado D. Ramón Alonso de las Heras, ante el D. José Torner, calle del R eg o w ir, y en k de la viuda de Sr. alcaide constitucional D. Luis Oseñalde, de la cencerrada del núm. 101 del periódico titulado El G irigay , correspondien­ LA PENA CAPITAL, D. Antonio B ru si, calle de la Libretería. te al sábado 27 de Abril últim o, que existe en tni es…</t>
  </si>
  <si>
    <t>Torno, Cayetano Cortés.</t>
  </si>
  <si>
    <t>Cayetano Cortés. Torno</t>
  </si>
  <si>
    <t>…escrita por el vizconde de Cha­ Logroño 26 de Febrero. Después de haberse hecho creer teaubriand, y traducida al castellano con varias notas y obser­ ayer que Maroto habia sido cogido por el Pretendiente , sabe­ vaciones por D. Cayetano Cortés. Torno 2.° Cuaderno 2.° Con mos hoy que aquel general con todo su estado mayor se ha este cuaderno termina casi toda la correspondencia diplomática DIORAMA. presentado en Pamplona, y que un esGuadron se ha presentado relativa á la guerra de España en 1823, que da principio en en nues…</t>
  </si>
  <si>
    <t>Tornos, Je</t>
  </si>
  <si>
    <t>Je Tornos</t>
  </si>
  <si>
    <t>…que la sección á que habiéndose presentado el faccioso Matías Sánchez la noche del El Sr. C A N E JA contestó á S. S. que la presentación de esos pertenezco me señaló nombrándome individuo de la comisioo. 20 en casa del alcalde Je Tornos , amenazándole con que iba á documentos incumbía í los señores que impugnaban el dictá- La altura en que se encuentra esta misma discusión me po­ matarlo, se decidió á prenderlo, y ayudado de los vecinos lo nien, á fin de apoyar con ellos sus objeciones, y probar que ne en el caso de cont…</t>
  </si>
  <si>
    <t>Tornos, Lucas</t>
  </si>
  <si>
    <t>Lucas Tornos</t>
  </si>
  <si>
    <t>…e se funda cada una de las operaciones aritméticas, para D. Vicente Masarnau , elementos de física. aquí mención mas que de las de Francia, donde se han organi­ que puedan explicarlas otro dia á sus discípulos con precisión y D. Lucas Tornos , elementos de historia natural. zado y provisto 60 ó mas en el espacio de ocho años. claridad ; procediendo á su aplicación frecuente y repetida, D. Mariano Rementería , lengua castellana. También España , en medio de tantos y tan grandes obstá­ mensualmente y por escrito. Se dará un…</t>
  </si>
  <si>
    <t>Toro, José</t>
  </si>
  <si>
    <t>José Toro</t>
  </si>
  <si>
    <t>…dos Potencias, y ambas intervendrán con los tualidad? mismos títulos que la Rusia. D ia 14 llegó á Constantinopla el paquete francés Papin elseñalado; párroco y de acuerdo el director D. Ivo de la Cortina con de Santiponce D. José Toro P alm a, ioterventor de Parece que Mehemet-Alí ha remitido su ultimátum al D i- conduciendo despachos para M r. Cochelet y algunos pliegos la escavaciones, se han dirigido estas hácia otros parajes, ha­ van por medio de un enviado que se embarco en el Papin: para los cónsules de Austria…</t>
  </si>
  <si>
    <t>Torre, Félix</t>
  </si>
  <si>
    <t>Félix Torre</t>
  </si>
  <si>
    <t>…..................................Baleares (Islas/ tidas y llevadas a cupnplido término con la conciencia y Marques de Castelldosrius. ............* Barcelona. SUBASTAS. buena íé que desde la primera pagina se echan de ver en D. Félix Torre* A m at, obispo de Astorga. . . . Idem. los Cortesanos y la Revolución, se hacen indudablemente Marques de Falces. ..............................................Burgos. C E subasta el arrendamiento de los pastos de rastrojera é ití- merecedores del aprecio común, y honran en alto grado…</t>
  </si>
  <si>
    <t>Torre, Simón</t>
  </si>
  <si>
    <t>Simón Torre</t>
  </si>
  <si>
    <t>…R E S P O N D E N C IA DE L A G A C E T A . las doce horas de su mañana. Habiéndole denunciado ante el Sr. alcalde constitucional Se advierte que el compromiso será por tiempo de do* años Bilbao 9 de Abril. El titulado general Simón Torre per­ D. Luis (Leñalde por el promotor ÍLcal D. Ramón Alonso de ó el de tres cuando mas; pero con sujeción á lo que S. M . ten­ n o tó ei V) en Arrigorriaga con los batallones, 5 o de Vizcaya, las lleras, como incitador á la desobediencia en segundo grado, ga á bien determ inar, y que des…</t>
  </si>
  <si>
    <t>Torrecilla, Francisco</t>
  </si>
  <si>
    <t>Francisco Torrecilla</t>
  </si>
  <si>
    <t>…o de Momblanch , de entrada , en la contribución extraordinaria de guerra llama con espe­ la provincia de Tarragona , vacante por no haberse presentado cialidad su atención preferente y sus particulares desvelos. áá servirlo D. Francisco Torrecilla, ha venido S. M. en nombrar ACTAS DEL GOBIERNO. Espirado el primer plazo de 30 dias para la admisión de para el de Villadiego,D . Vicente los créditos que han debido presentarse liquidados, y se á D . Bonifacio Sauz, promotor Agramunt y Agram unt, juez electo de Solsona: de…</t>
  </si>
  <si>
    <t>Torrejon, Anastasio</t>
  </si>
  <si>
    <t>Anastasio Torrejon</t>
  </si>
  <si>
    <t>…ntísimo Sr.r Tengo el honor de acompañar á Y. E. origina! tos medios les sugiera el exacto cumplimiento de sus de­ res fue demasiado el entusiasmo de las tropas y vecinos , reci­ del oficio que acabo de recibir del Sr. coronel D. Anastasio Torrejon, en que manifiesta quedar reducidos á completa n u ­ biéndome en todas partes con aclamaciones y vivas al supreme beres y su amor por la prosperidad del pais. Persuadida G obierno, y en reconocimiento al carácter de los puestos que lidad los pronunciados eo Tepeji, y los cabecil…</t>
  </si>
  <si>
    <t>Torremuzquiz</t>
  </si>
  <si>
    <t>…nsejos En la calle del Desengaño, núm. 26, cuarto principal, da­ Santa, animada con el movimiento de la luna y nubes que se de los escritores públicos nos tenderemos la m ano; pe­ rán razón: en la Cor uña , casa del Sr. conde de Torremuzquiz: elevan sobre el horizonte á la salida del sol, y por la afluencia ro ¿quién nos asegura que ese entonces y ese mañana no en Orense, en casa del Sr. de Rezo: en Lugo, casa de la Se­ de gentes y ganados que se ven andar por los caminos hacia el portal de Belen, se ha dispuesto enriquec…</t>
  </si>
  <si>
    <t>Torrens, Antonio</t>
  </si>
  <si>
    <t>Antonio Torrens</t>
  </si>
  <si>
    <t>…o de T ric a , ciudad de T esalia, es la ma» infantes y 15 caballos al mando del subteniente de América an tigua de las novelas heroicas, todo al!i es fingido. Se Orden general del ejército de operaciones de Castilla la Nue­ D. Antonio Torrens, que protege las cercanías de Toledo, alcan­ h a b l a , es v erd ad, en ella de una Reina de Egipto y otra va del 15 de Julio de 1839 en el cuartel general de la Cañada zó á 17 enemigos montados, dejando muertos cuatro, y entre de Eliopta; pero n in gun a de las dos existió en la hi…</t>
  </si>
  <si>
    <t>Torrero, Muñoz</t>
  </si>
  <si>
    <t>Muñoz Torrero</t>
  </si>
  <si>
    <t>…á pesar de estar reconocido el Sr. D . Fernando v i i , que dijese: "ios dos secretarios mas jóvenes de dicho cuerpo.” conveniencia de aprobarse ei artículo, mediante á que la 'c o m í-&lt;] entonces rein ab a, no confirmando al Sr. Muñoz Torrero que se El Sr. G O M E Z B E C E R R A contesta que ya expresa el a r - j siou no ha hecho mas que arreglarse á lo acordado por el Senado presentó jsixx&gt; que antes hiciera abjuración de ciertos principios, Lículo lo mismo que dice el Sr. Melgarejo , pues previene que en esta misma legi…</t>
  </si>
  <si>
    <t>Torres</t>
  </si>
  <si>
    <t>…emente del benemérito Ilustrísimo P. Scio, sino también de la la longitud del camino. Estas reformas van á ser para aquella Algunos periódicos , la Europa Monárquica entre otros, nueva y ya acreditada versión del ilustrísimo Sr. Torres carretera de suma importancia, porque con el mismo agente insertan la siguiente lista diciendo que es la combinación Amat, en cuya segunda edición no habiendo querido re­ podrá conducirse mucho mas peso que hasta ahora, lo que con­ del d ia : portar ninguna ganancia el traductor, sucede que…</t>
  </si>
  <si>
    <t>…e ordenó procediese á publicar segunda edición bajo el cui­ Gobierno político de la provincia de Cuenca. término de la ciudad de G u a d a ñ a r a , y pago titubdo del G ar­ dado y censura del cardenal arzobispo de Toledo. El Sr. Torres rote, propia de D. Juan de la Cruz Sánchez , hijo y heredero Am at habia tomado ya sus disposiciones para su segunda edi­ Cumpliendo en fin de Diciembre de este año la contrata ce­ de Antonia Polo, vecina que fue de Guadalajara , de cabida ción en Barcelona , y habia obtenido también las lice…</t>
  </si>
  <si>
    <t>…de arbitrios de La Santa Biblia en latin y castellano , traducida por el Ex­ 24 por una partida del regimiento de caballería del Piey, man­ A m ortización, calle del Lobo , núm. 8 , piso segundo, á pres­ celentísimo é limo. Sr. Torres A m a t: seis tomos en 4 .° dada por el capitán D. Manuel V ivero: esta fuerza consiguió tar sus declaraciones en la causa que se sigue sobre falsificación La moral de Jesucristo y de los apóstoles, que comprende capturar también al comandante de armas que los facciosos te­ del expresado cr…</t>
  </si>
  <si>
    <t>Torres, Antonio</t>
  </si>
  <si>
    <t>Antonio Torres</t>
  </si>
  <si>
    <t>…l lugar de Liaño, , Otra id., sierra Alm agrera, término de P u lp iS a n tís im a lindante por el Sur con monte de los pueblos de Pám anes, P e- dolo con aquel feroz y bestial viviente de las aguas ? Cuan­ T rin id ad , por D. Antonio Torres, en 1.° nagos y Cabárceno, y por Norte con terreno del monte de di­ do se alaba la nobleza del león no se ofendería á este rey Otra id. , Monterilla , término de Benadux, Virgen de las cho pueblo, á la cual ha puesto el nombre de Esperanza. de los cuadrúpedos si le asociáramos al lo…</t>
  </si>
  <si>
    <t>Torres, Félix</t>
  </si>
  <si>
    <t>Félix Torres</t>
  </si>
  <si>
    <t>…n conducto nos hacen presumir que las intenciones de M e* bajos de esta clase de un prelado español. guno para presumir que el general Schneider no quiera , asi h e m et-A íí ea nada han variado de las que tenia al tiempo de D. Félix Torres A m a t , actual obispo de Astorga , se dedicó como sus colegas, presentarse ante las Cámaras para sostener ea su partida. desde su infaocia al estudio de las lenguas g r i e g a , hebrea , c a l­ ellas su presupuesto al lado dei duque de Dalmacia. dea y s i r ia c a , asi como al d…</t>
  </si>
  <si>
    <t>Torres, José</t>
  </si>
  <si>
    <t>José Torres</t>
  </si>
  <si>
    <t>…su pecho. P ro vin cia d e C iudad R eal, mi causa ha derramado ni una l á g r i m a , y á todos he ofrecido Tres veces sobre el codo se levanta, justicia. Pero una puerta de la plaza fue v io le n tad a ; por la Hervideros.=D. José Torres, en el Tomellóso : desde 15 de tres al lecho cayó: con vagos ojos que , sin mi orden, entro gente arm ada : se construyó un pa­ Ju n io á 15 de Setiembre. buscó la luz en el. tendido cielo, rapeto cerca de la misma p uerta; se bajó un cañón de la m u­ Puertoilano.ziD. Carlos Mestre,…</t>
  </si>
  <si>
    <t>Torres, Toledo. El Sr.</t>
  </si>
  <si>
    <t>Toledo. El Sr. Torres</t>
  </si>
  <si>
    <t>…n olivos en y le ordenó procediese á publicar segunda edición bajo el cui­ Gobierno político de la provincia de Cuenca. término de la ciudad de G u a d a ñ a r a , y pago titubdo del G ar­ dado y censura del cardenal arzobispo de Toledo. El Sr. Torres rote, propia de D. Juan de la Cruz Sánchez , hijo y heredero Am at habia tomado ya sus disposiciones para su segunda edi­ Cumpliendo en fin de Diciembre de este año la contrata ce­ de Antonia Polo, vecina que fue de Guadalajara , de cabida ción en Barcelona , y habia obtenido t…</t>
  </si>
  <si>
    <t>Tosti</t>
  </si>
  <si>
    <t>…iños que se pre­ El consistorio secreto, anunciado hace mucho tiem po, debí ción. Y aunque se ha visto continuamente expuesta á los vien­ sentaron en, ella leyeron con la mayor propiedad en diversos tenerse pasado mañana. El Sr. Tosti, tesorero general, y séñoi tos del Norte que reinan en el golfo Mejicano, lo mismo qu&lt; libros que se les abrieron en prosa y en verso. ^ (V?ha., patriarca de Constantinopla, serán promovidos al car­ á las vicisitudes peligrosas de una navegación de invierno , U Las dé aritm ética, que instruye…</t>
  </si>
  <si>
    <t>Total, Azua.</t>
  </si>
  <si>
    <t>Azua. Total</t>
  </si>
  <si>
    <t>…Coro de mugeres y cavatina del Giuramento; por la Velas de sebo......................................38'594 4 2b 2,718 4 18 señora de Colomer y todas las Sras. facultativas de la sección, con acompañamiento de ílauta por el Sr. Azua. Total 150,639 7 11 Total 74.097 1 25 En todas estas piezas arrancaron estrepitosos aplausos los Sedería. que las ejecutaron; especialmente el gran dúo compuesto por el Pesca. Sr. M artin, esposo de la Sra. Campos, prima donna del teatro Cintas..................................................…</t>
  </si>
  <si>
    <t>Totni-, José</t>
  </si>
  <si>
    <t>José Totni-</t>
  </si>
  <si>
    <t>…u conocim iento y el dé la diputación provincial , en car­ cede, se ha servido mandar se den las gracias en su Real nom­ gándole disponga su inserción en el Boletín oficial p a ra bre al teniente coronel comandante de francos D. José Totni- que llegue á noticia de las justicias y ayuntam ientos de naya y a los oficiales y tropa que á sus órdenes tuvieron parté - S. M. la R e i n a , su augusta M&amp;clre la R e in a G g b e r n a - ios pueblos de esa provincia. Dios g u ard e á Y. S. m uchos en éste ventajoso encuentro, y ha…</t>
  </si>
  <si>
    <t>Tournai</t>
  </si>
  <si>
    <t>…que le corresponda por cla­ deber del soldado es la obediencia y la disciplina. rancias ideas revolucionarias , le llamáis hoy del progreso y de sificación á D. Manuel González B rabo, director general Mr. Doignon , Diputado de Tournai, reemplaza en la tri­ las Feformas. ¡A h , repetimos una y mil veces, cuánto mal ha­ de rentas provinciales, nom brando para que desempeñe buna al general W illm a r, y en su discurso, que duró mas de béis-causado en poco tiempo al pais y á vosotros mismos! el propio destino interinam ente…</t>
  </si>
  <si>
    <t>Tournay</t>
  </si>
  <si>
    <t>…ente en au­ cosa: el argumento vistos los prin­ mi parte anterior y la cuerda que salió de esta corte el mento, y esto sin utilidad del monte, puesto que éste por dis­ rige á probar que losdelluxemburgueses honorable Diputado de Tournay se d i­ dia Í9 del que rige, compuesta de unos 500 hombres, posición de S. M. tiene que devolver á la caja el 5 por 100, me á las determinaciones del Congreso,y limburgueses, confor­ eran belgas como no­ que con la de unos 250 de Zamora, y otra de Toledo, es, todo el producto que actualme…</t>
  </si>
  <si>
    <t>Towsend</t>
  </si>
  <si>
    <t>…una verdadera modestia y sencillez; esta vida, age- (Extracto de partes recibidos en la capitanía general.) marinos de ambas naciones. na de toda ambición, de todo deseo, y de una inteligencia tan lid viernes último el capitán Towsend dio una magnífica elevada , que mas bien pertenece á esas celestes esferas con las El comandante militar dé Lucena da parte en 22 del ac­ comida al capitán bajá á bordo del navio de guerra el T yn e . cuales se halla en relaciones tan íntim as, que á nuestra tierra. tual de un nuevo ataque…</t>
  </si>
  <si>
    <t>Traba</t>
  </si>
  <si>
    <t>…xhaus ha pro­ rables. Y D E L DESPACHO DE L A G U E R R A . puesto una adición que disminuye el presupuesto de la suma No admite duda que la violación por medio de la fuerza y exigida , y que ha sido aceptada por el Ministro de Traba­ por las armas del domicilio y de la propiedad, es uno de los crí­ El comandante general de las provincias de Ciudad-Real y jos públicos. Asi modificada ha sido adoptada por la Cámara menes mas graves; y sin embargo , los insurgentes no se para­ Toledo en el parte de 24 del actual que periód…</t>
  </si>
  <si>
    <t>Trabajo</t>
  </si>
  <si>
    <t>…ios extrangeros y de lo Interior, De Theux.iz luego haria necesaria la disolución de las Cámaras y convoca­ que han hecho de sus respectivas secretarías. Tendréislo enten­ El m inistro de la G u e rra , W ilm ar.= E l ministro de Trabajo» ción de Cámaras nuevas. dido &amp; c.=A l duque de G ranada de Éga. p ú b licos, Nothomb. Se pone á votación si pasará á las secciones, y queda apro­ 2.° Para que no sufran el menor retraso los asuntos de la bado. Se avisará el dia de la primera reunión. L a Cám ara se secretaría de Estado y d…</t>
  </si>
  <si>
    <t>Trabajos</t>
  </si>
  <si>
    <t>…ci­ za ; y si se quiere recurrir á uu discurso pronunciado en el dir el triunfo del Pretendiente contra el Gobierno constitucio­ m iento, y no asistiría en calidad de m inistro al doloroso es­ año de 1857 por el Sr. ministro de Trabajos públicos , se verá nal de la Reina. {Viva y p ro lo n gad a sensación .) pectáculo de la caida del trono de la Reina de España. {Muy que este discurso responde perfectamente á las objeciones que Señores, asi me expresaba yo en otra época: puede recor­ bien.) acaban de manifestarse por alg…</t>
  </si>
  <si>
    <t>…persecución de los re­ de estos establecimientos en Francia en 1857, redactada por M r. su Real nombre la dimisión que D. Antonio Ilo m - beldes que, como queda expuesto, habian logrado reunirse, ios M artin du Nord , Ministro de Trabajos públicos , A gricultu­ panera de Cos ha hecho del cargo de Secretario de encoutró y atacó en el sitio llamado de la Umbría , y después ra y Comercio, prueba evidentemente los grandes adelantos Estado y del Despacho de la Gobernación de la P e ­ de una persecución y fuego continuado de cuatr…</t>
  </si>
  <si>
    <t>….000,000; y si se compara el balance Soy con el mas profundo respeto &amp;c. general de los dos años sin hacer mérito de las fracciones de Jo rn alero s................ ........................ 2879 1490569..97 517..73 El ministro de Trabajos públicos, de A g ricultura y de Co- m illones, se vera que en 1856, sobre mas de 16.000,000 de can­ Sirvientes ........................................... 1549 867 097.. 69 559..77 mercio.zzN. M artin (du Nord.) tidades ingresadas por cuenta de los depositarios, se reembol­ Em pleados......…</t>
  </si>
  <si>
    <t>…de ven­ tiv a iban el almirante D uperró, Ministro de M a r in a ; M r. y el de Espartero, las casas m u y bien ado rn ad as, y sobre to­ ganza de insignificantes a gravios, de miserables rencillas. D u f ñ u r e , Ministro de Trabajos públicos ; el conde de S a in t - do mucha alegría en todas las gentes. También en el Mercado P orq ue entre nosotros se concede que haya una críti­ Priest; M r. ILiU he, primer presidente del tribunal de C uen ­ se ven ¡os mismos tres retratos. Se han visto varias fronteras de estableci…</t>
  </si>
  <si>
    <t>…ta dirección gene- discusión acerca del proyecto de cesión del Limburgo y del r¿d para que proponga los arbitrios mas adecuados, á fin Nota.=En este estado no figura la recaudación é inversión Luxemburgo. Mr. Nothomb, Ministro de Trabajos públicos,</t>
  </si>
  <si>
    <t>…d actual no tiene ni las neral Bernard, Ministro de G uerra; Mr. Manein (del N orte), trados por la lu2 del cristianismo , inteligentes , civilizados, y creencias ni los sentimientos que ellos aspiran á inculcarle en Ministro de Trabajos públicos; Mr, Lacabe-Laplagne, Minis— :ro de Hacienda ; el almirante Rosamel, Ministro de M arina, que están acostumbrados á colocar sus intereses y sus libertades sus dramas. ' !*ajo la salvaguardia de los tronos. El romanticismo del dia, aleman, Podríamos añadir á los ejemplos ya citados…</t>
  </si>
  <si>
    <t>…tán confiadas la seguridad y honores del Real sello; ción señalada para el dia 9. El que suscribe cree de posible pero en cuanto á lo segundo, que es el asistir en cuerpo á la nes en que se ha apoyado fuertemente el Ministro de Trabajos apoyo en Y. E. I. la pretensión, que á lo meuos parece digna públicos. L a Cámara paso en seguida á la orden del dia. función del recibimiento del Real sello, nó tengo por conve­ de los que tan inmediatamente reconocen la autoridad del tri­ niente acceder á ello por las fundadas razones q…</t>
  </si>
  <si>
    <t>…obtener, Sesión del dia 4 ¿e Marzo • no tan solo lo que se nos ofrecía en 1851, sino todavía mas da lo que se trataba en 1855. p OR el presénte se cita , llama y emplaza á £). Manuel D a- (Concluye el discurso del Ministro de Trabajos públicos Mr. La marcha seguida por el Gobierno era necesaria, y como A mian y M adrid, pagador que fue de Caminos, para que Nothomb , y con él la sesioñ de aquel^ dia.) tal los mas absolutos partidario^ del sistema pacífico deben apro­ dentro de 50 dias siguientes al de la publicación de…</t>
  </si>
  <si>
    <t>…camino de Thionville á Sierck al de Roule, cuyo nombre aparecía en la lista de Blanqui después rango de camino Real. La comisión desechaba esta idea. El del de Lepage, fue víctima de igual violencia. Lo propio suce­ Ministro de Trabajos públicos , Mr. Legrand y Mr. Allard han dió con otros puntos y en proporciones mas ó meaos conside­ PARTE RECIBIDO EN LA SECRETARIA DE ESTADO combatido el dictámen de la comisión. Mr. Paixhaus ha pro­ rables. Y D E L DESPACHO DE L A G U E R R A . puesto una adición que disminuye el presup…</t>
  </si>
  <si>
    <t>…ero el hecho es que los periódicos de la izquierda , antes tan Moor-Street y de H igh -S tre et. No pudiendo la autoridad ci - obra1*, ha sido autorizada por los magistrados superiores de acres con respecto al nuevo ministro de Trabajos públicos, de vil reprim ir el desorden , recurrió á las nueve al auxilio de las Londres en la prisión de Newgate. Hoy el patrono extiende sus repente han dulcificado su tono de una manera bastante extra­ tro p as, las cuales hasta la media noche no han conseguido d i s ­ beneficio* en e…</t>
  </si>
  <si>
    <t>…la santa primada iglesia de esta ciudad, para que en provecto de conversión. la de seis en seis minutos un cañonazo, que será la señal mas el término de lO dias acudan á deducirle, apercibidos que pasa* Mr. Dufauie, ministro de Trabajos públicos, ha declarado cierta é inequivocable de la legalidad ó ilegalidad del toque. do, les parará entero perjuicio. Y á íin de que llegue á su noticia, en nombre del Gabinete que este no quería ceder la iniciativa Valencia 22 de Mayo de l859.:=Iufaute. (Id.) por auto de este dia entre ot…</t>
  </si>
  <si>
    <t>Trasierra, Francisco</t>
  </si>
  <si>
    <t>Francisco Trasierra</t>
  </si>
  <si>
    <t>…ch. Las siones clasico-románticas, como verá el curioso lector en este obras del moderno que se publiquen en adelante, serán de los distinguidos autores mencionados, y las del extrangero están y Asimismo se cita y emplaza á D. Francisco Trasierra, que primer cuaderno. Véndese á 2 rs. en la librería de Perez , calle estarán traducidas con grande esmero y pureza de lenguaje. vivió en la plazuela de las Descalzas , números 5 y 8 , cuarto ie Carretas, frente al agujero del correo. El editor puede vanagloriarse de haber dado u…</t>
  </si>
  <si>
    <t>Trasserra, Francisco</t>
  </si>
  <si>
    <t>Francisco Trasserra</t>
  </si>
  <si>
    <t>…do prevenir la des­ M aría de Q uintana con el escribano M ad rigu era y el f a c u lta ­ ocurre eo las larvas m uy comunes del H elophicus p en d u lu s , gracia de una guerra u n iv e rsa l, en la que hubiéram os consu­ tivo D. Francisco Trasserra para practicar las correspondien­ llam ada oruga cola de rata , por la formación peculiar de la ex­ mido hasta nuestro últim o hombre y nuestro últim o escudo. tes d ilig e n c ia s; y como en ellas relacionan en el acto el fa c u l­ trem idad de su cuerpo que es delgada y la r g…</t>
  </si>
  <si>
    <t>Trastamara</t>
  </si>
  <si>
    <t>…del siglo xiv , y es honrar á la vez la patria y la moral. mar una nueva asociación. Se añadía que Rosas se preparaba á tantmopla no habia cosa que anunciase la colisión de que hoy La exaltación al trono de Castilla del conde de Trastamara, abandonar el pais, y que iba á embarcarse sin demora en un se habla; pero tal vez esto será una afectación diplomática exckado por el deseo de veigar la muerte injusta de su madre buque ingles. (Id.) que no debe entenderse como uua expresión absolutamente Dona Leonor sincera. de Guzman…</t>
  </si>
  <si>
    <t>…Vos, señora, sabéis que soy el dueño que esta sangre es noble, es Real. La sospecha mas cruel viene pués observamos en D. Pedro hacia Doña Juana de Manuel. Y solo Rey del pueblo castellano. a despedazar el corazón del conde de Trastamara : él pide á Car­ Samuel le anuncia entonces que Castilla tiene mugeres de mas Y que debo oponer forzuda mano ranza con vehemencia descubra el nombre de la víctima: C ar­ valía, y le nombra esta; y el poeta, que ha sabido ya despertar De la hidalguía al iracundo ceño. ranza resiste: D. E…</t>
  </si>
  <si>
    <t>…s débil idea hasta dónde afec­ P E R IO D IC O M E R C A N T I L , IN D U S T R IA L Y P O L IT IC O . tan al espectador la apasionada elocuencia de la nobleza caste­ Descuento de letras , á 6 por 100 al año. llana v del conde de Trastamara hasta donde hemos sido n o - Se publica en M adrid á las cinco de la tarde desde 1.° de «otros afectados. Junio de 1859. Volvemos á tener el placer de ver reunidos en el tercer acto á A teneo de M adrid . Se suscribe en la calle del P ra d o, núm. 1 0 , cuarto b a jo ; en Doña Juana y á…</t>
  </si>
  <si>
    <t>Travao</t>
  </si>
  <si>
    <t>…, remitiéndose testimonio Ciudad-Real 14 de Junio. La cuarta columna de opera­ de la calificación y de esta sentencia á la redacción de la G a­ PRINCIPE. A las ocho y media de la noche. En vista de ciones al mando del comandante Travao se encontró en la ma­ ceta del Gobierno para su publicación, conforme á lo prevenido la gran aceptación que ha merecido del público ¿ y para solem­ drugada del 5 del actual con la facción de esta provincia , la en la ley, llevándose todo á debido efecto: Y por esta su sen­ nizar la jura y pro…</t>
  </si>
  <si>
    <t>Tres, Ambrosio Rui-Bamba.</t>
  </si>
  <si>
    <t>Ambrosio Rui-Bamba. Tres</t>
  </si>
  <si>
    <t>…n argumento rico en novedad, en si­ tuaciones complicadísimas y en un extraordinario ínteres. Estas Historia de Polibio Megalopolitano , traducida del griego cualidades son bastantes por sí para recomendar una obra dra­ por D. Ambrosio Rui-Bamba. Tres tomos en 4*V edición mática; pero la presente reúne ademas á estas dotes la magni­ D. Nicolás López de la Torre , vecino y del comercio de la de 1788, á 40 rs* en rústica, y 57 en pasta común. Habana, poseído del mas puro amor á su‘patria y de adhesión ficencia del aparato,…</t>
  </si>
  <si>
    <t>Tres, Antonio Ranz Romanillos.</t>
  </si>
  <si>
    <t>Antonio Ranz Romanillos. Tres</t>
  </si>
  <si>
    <t>…les 5 j o u r s : en Las oraciones y cartas del padre de la elocuencia Isócrates, France contre r e m b o u rse m e n t, et a T étranger contre traducidas de su original griego é ilustradas con notas por paiem ent dans Paris. D. Antonio Ranz Romanillos. Tres tomos en 8 .° impresos en 1 7 8 9 , á 57 rs. en pasta común. CRUZ. A las cuatro de la tarde. Función extraordinaria Esta obra , llena de las mas saludables y preciosas máximas, dispuesta para hoy. contiene un copiosísimo fondo de la mas sabia doctrina. Está 1.° Sinfo…</t>
  </si>
  <si>
    <t>Tres, Juan Loperraez Corbalan.</t>
  </si>
  <si>
    <t>Juan Loperraez Corbalan. Tres</t>
  </si>
  <si>
    <t>…IO . sueltas ; cada una á 80 rs. en rústica y 114 en pasta común. de que renueven si gustan sus abonos para el siguiente. BOLSA DE M A D RID . Descripción histórica del obispado de Osma con el catálogo de sus prelados, por D. Juan Loperraez Corbalan. Tres tomos Cotización d e l dia 16 d las tres d e la ta rd e en 4 ° m arquilla, adornados con los retratos de los limos, seño­ jp N S A YO general de educación física, moral é intelectual, con un plan de educación-práctica para la in fan cia, la EFECTOS PÚBLICOS. res ob…</t>
  </si>
  <si>
    <t>Tres, Nicasio Alvares Cienfuegos.</t>
  </si>
  <si>
    <t>Nicasio Alvares Cienfuegos. Tres</t>
  </si>
  <si>
    <t>…mas ameno de A ndalu­ Londres, i 90 dias, 58. C oruña, 2 á 2 i d. cía. La traducción está escrita con pureza y elegancia, y los París, 16-5. G ranada, 2£ á £ id. M álaga, 1J id. versos .esparcidos en la obra son del célebre D. Nicasio Alvares Cienfuegos. Tres tomos en 8.°, á 54 rs. en pasta. TEATROS Preparación de la misa y acción de gracias según el misal PR IN C IPE . A las siete de la noche. Se volverá á poner Santander, par. romano, momentos y otras oraciones muy devotas para antes en escena el acreditado melodrama…</t>
  </si>
  <si>
    <t>Tres, Ramón Salas.</t>
  </si>
  <si>
    <t>Ramón Salas. Tres</t>
  </si>
  <si>
    <t>…que ha sido preciso ilustrar al­ digna de estaren mauos de todos los hombres, de los ricos por gunos pasages se han tenido presentes los comentarios del doc­ su mérito, y de los pobres por su mérito y por su poco coste. tor D. Ramón Salas. Tres tomos en 8.° mayor encuadernados llas, en la gravedad Nadie le excede á Hugo en el fuego con que pinta las bata­ DIORAMA. en uno , á 22 rs. en rústica y á 25 en pasta. con que traza los cuadros políticos y rna- Se hallará en Madrid en la librería de Ja viuda de Calleja gestuosos;…</t>
  </si>
  <si>
    <t>Tres-Puentes, José</t>
  </si>
  <si>
    <t>José Tres-Puentes</t>
  </si>
  <si>
    <t>…. Mr. Gerlache, En el piano mostraron sus habilidades varias señoritas, que sobrevengan, con una línea erizada de fortalezas, teniendo con­ antiguo miembro de los Estados generales , antiguo Presidente acompañadas del director D. José Tres-Puentes, cantaron tam­ tra sí la opinión del pais, y aun la de los su yos, cansados de del Congreso y de la Cámara de los Representantes, hoy dia bién dos coros, que dejaron complacidos y satisfechos á los úna guerra cruel y bárbara, y auhelando un término á tantas primer presidente del tr…</t>
  </si>
  <si>
    <t>Tresabier, María</t>
  </si>
  <si>
    <t>María Tresabier</t>
  </si>
  <si>
    <t>…rancisco Soto ,,en 22. beres; y auuque lo verificaron algunos, todavía faltan Francis­ p a , la señora Diez y el señor Casas; terminando la Junción con Otra id. , hoya-de) Ciervo , término de Dalias, Santa Ro­ co Zaragoza , Doña María Tresabier, Pedro Sauget, y Angela un divertido sainete. s a , por Fraucisco Fernandez, en 23. * I Lavandero; y habiendo dado cuenta los síndicos de este parti­ Otra id., loma de la Fuente, término de Huercal, Santa cular en la junta general celebrada á la presencia judicial en 16 Rita de Casi…</t>
  </si>
  <si>
    <t>Trezel</t>
  </si>
  <si>
    <t>…ían la comitiva ñoso móvil en los juicios del hom bre; la mal entendida del Rey el mariscal S o u lt , el M inistro de la Guerra, e! maris­ gratitud , la injusta deferencia suele serlo igualmente. cal Gerard , el teniente general Trezel, el conde de Parcent, Cuando a cualquiera de estos sentimientos escucha, enton­ secretario de! Infante, los ministros de S u ec ia, de W u r t e m - NOTICIAS NACIONALES. ces es bastarda ; entonces es ilegitima entonces el agra­ berg , de Ilaunóvcr , de Dinamarca , todos a caballo 5 muchos of…</t>
  </si>
  <si>
    <t>TRI</t>
  </si>
  <si>
    <t>…, y unido el enemigo la m ay or parte de sus fuerzas , teniendo a d e - la igualdad del cauto a que esta sometido, prueba sufi­ uias desde Salinas de Leniz á este últim o cinco batallones de A C TA DE LOS EXAMEMES DADOS P ü R D. T R IN ID A D SIMON. corta fuerza con dos escuadrones y unos 5&amp; paisanos armados. cientemente que su carácter esencial es la facilidad de ser E stando en la iglesia parroquial de Santiago de esta M. N. medido. E n las inmediaciones del castillo de G u e v a ra han dejado i g u a l ­ mente c uatro…</t>
  </si>
  <si>
    <t>Trica</t>
  </si>
  <si>
    <t>…e! ilustre ayuntamiento constitucional de sucesos ya sobrenaturales, ya inesperados. Dígalo si no de la indicada ciudad, dentro del termino de un mes. El abono Segorbe 28 de Marzo. el Teagenes y Cariclea de Ileliodoro, obispo de Trica, de dicho sueldo se hace por la corporación municipal de los ciudad de Tesalia, que tenemos muy bien traducido en fondos del caudal de propios, y el agraciado ademas quedará Por un confidente de Cedrillas, sugeto que merece buena fe, nuestro idioma por Castillejo. en libertad de percibir su…</t>
  </si>
  <si>
    <t>Trigueros, Juan Pablo</t>
  </si>
  <si>
    <t>Juan Pablo Trigueros</t>
  </si>
  <si>
    <t>…lmacenados, con el doble objeto de la ma­ vacante por traslación de D. José G enaro Gutiérrez al de Lo ja, tado de la comisión conferida al ingeniero D. Antonio Ar­ yor economía y de no demorar el principio de los referidos á D. Juan Pablo Trigueros que desempeña el de Baltanas. ríete para el reconocim iento de los deterioros del puerto trabajos con toda la extensión posible. de Luarca. De Real orden lo com unico á V. S. para su inteligencia y efectos consiguientes. Dios ¿fe.» En consecuencia la d irección ha dado en 16…</t>
  </si>
  <si>
    <t>Trillo</t>
  </si>
  <si>
    <t>…ajas mercantiles por medio de la navega­ Ha llegado á esta de comandante general el Sr. general Bue- habían ofrecido las cinco Potencias representadas por la Confe­ ción en las aguas interiores de la Holanda, que se rens: el Sr. Trillo parece vuelve á Tortosa de gobernador. rencia, reposaba en el armisticio que creia no poder romperse sino valuaron en 1851 en 6000 florines anuales, for­ (Eco de Aragón.) por su consentimiento; si la Bélgica ha sufrido la suerte de las marían un tributo perpetuo de..........................…</t>
  </si>
  <si>
    <t>…M r. Bechameil y que de ningún modo accede, si no se le entregan dichos encau­ ro último. El sorprendente y feliz resultado que esta ha sus oficiales durante la permanencia del V elo z en Baltimore. A sados. En este caso el Sr. Trillo consulta al Excmo. Sr. capitán ofrecido desde el prim er dia de su apertura, y las venta­ su salida se expidió delante un barco de vapor cargado de gen­ gen eral, y se aguarda la contestación de S. E . , sabiéndose que jas que ha producido ademas á otro establecimiento no te para romper el…</t>
  </si>
  <si>
    <t>Trillo, José María</t>
  </si>
  <si>
    <t>José María Trillo</t>
  </si>
  <si>
    <t>…a audiencia de Sevilla , vacante por ha­ 10. Entretanto deberán observarse exactamente los re­ber sido nombrado ministro de la de Oviedo D. Perfecto Can­ glamentos vigentes con las variaciones que exige en, el cur­ darías, á D. José María Trillo, que obtiene la fiscalía de V a- S. M. la R ein a ., su augusta Madre la R ein a G obern a­ so de los negocios la circunstancia de haberse subrogado lladolid: para esta resulta á D. Mariano Rodríguez Elgucra, la dirección general de Estudios al director del conserva­ que reúne lo…</t>
  </si>
  <si>
    <t>Trinidad</t>
  </si>
  <si>
    <t>…udad de Se v illa, Una mina plomiza en Poyos del M adroñico, término de tir su dictámen en la exposición de la diputación provincial de pide á las Cortes eximan á su hijo Vicente Humanes de la suer­ «2í»msé&lt;tf'S.'-Judas, por D. Trinidad A m a t, 23. Cuenca, conforme á los sentimientos del Congreso ; pero halla te d eso ld ado, y alega que habiendo cambiado de número con O n id. en barranco Jaro so , término de C uevas, S. Ca­ una ley que le traza la regla que debe se gu ir, y conforme á elia Miguel Ibarra, quedó libre; pe…</t>
  </si>
  <si>
    <t>…ita, por Francisco Benitez, en 21. Otra id. en poyos del M adroñico, término de C u i s , San O tra id. en sitio de la C hanata, término de Bentarique, O tra id. en loma de la Fuente, término de Almería, Des­ J u d a s , por D. Trinidad A m at Tortosa , en 9. Fábrica , por D. José R o s , en 8. confianza, por D. Sebastian Perez Villar Vidaurreta, en 25. Otra id. en el cerro de la Cuchara , frente de la cuesta del O tra id. en sierra de G ado r, hoya de Capaliran , término O tra id. en sierra de G ador, cerro de Zarzo, tér…</t>
  </si>
  <si>
    <t>…la aplicación.” Lo cual mandaron dichos señores se acreditase Príncipe Real su esposo. asi en este ac ta , y que eti ella se hiciese mención honorífica del S. A. R. salió unos cortos instantes por la m añana acompa­ referido D. Trinidad S im ó n , tributándole al propio tiempo las S. M . la R eina G obernadora ha tenido á bien acceder á la ñada iJet corregidor de Burdeos , de Mr. M athieu , primer a d ­ p erm u ta solicitada de sus respectivas plazas por D. Jorge G is - mas expresivas gracias por su particular esmero en…</t>
  </si>
  <si>
    <t>Truquet</t>
  </si>
  <si>
    <t>…contra él se resigna­ baron el estanco y dos caballos, á enya noticia montó á caba­ hau. Esta solicitud ha sido entregada á S. M. por M r. C hevan- ban , aunque apurados ellos mism os, á no perseguirlo para evi­ llo el Comandante Truquet con la mitad de su escuadrón con dier par de F rancia. tar una catástrofe. Desgraciadamente todos los miramientos han objeto de perseguirlos, pero inútilm ente, habiendo regresado á sido in ú tiles, porque los periódicos de Lieja anuncian hoy que L iria después de practicado un escrupuloso…</t>
  </si>
  <si>
    <t>Truyols, Ignacio</t>
  </si>
  <si>
    <t>Ignacio Truyols</t>
  </si>
  <si>
    <t>…ción de E. S. Se igno­ forma siguiente: Baleares (islas). = D. Joaquín del Rey, nombrado por renun­ ran las circunstancias de este parapeto; pero se cree se haya Para cubrir las provincias de Lérida, Tarragona, 2,500. cia de D. Ignacio Truyols. construido únicamente con el objeto de ocupar esta coliua y Para cubrir á G erona, Vich y demas pais de la derecha, 20. Barcelona. = El reemplazo del Sr. conde de Santa Colotpa. formar á su abrigo un campo atrincherado. Fortificación de Caserras, 500. Fortificación de la derecha de…</t>
  </si>
  <si>
    <t>TSTURIZ, José María González PRESIDENCIA DEL SEÑOR</t>
  </si>
  <si>
    <t>José María González PRESIDENCIA DEL SEÑOR TSTURIZ</t>
  </si>
  <si>
    <t>…istrado honorario, de primera instancia en esta corte, por providencia re­ bel ii, la gracia y facultad de usar de la media firma Chacón en todos los oficios, órdenes , cédulas, pasaportes frendada por el escribano del número D. José María González PRESIDENCIA DEL SEÑOR TSTURIZ. de Castro, se ha servido señalar el domingo 13 del y demas documentos que expidáis para España y para Ul­ de Enero ¿ las diez de su mañana en su casa morada, calle delpresente mes Sesión del dia 10 de Enero de 1859. tramar , exceptuando aquellos en…</t>
  </si>
  <si>
    <t>Tu, D. Carlos</t>
  </si>
  <si>
    <t>D. Carlos Tu</t>
  </si>
  <si>
    <t>…imera vista objetos despreciables. - O* -1 Pero aun con vin ien do en que durante el reinado del 2. : : : 2. ? g* Es indudable, continuó el Sr. Escario, que hacia el tiem­ n —— - — ---------------------- ■■■— - ........ 1- Sr. D. Carlos Tu se enseñasen las antedichas ciencias de po de que nosocupam os progresó el com ercio, si bien sedes- -5 o 2 11 ti m odo mas ó menos útil y p rovech oso, d ijo que esto E. I JX Of *45 cuidaron artículos preciosos, tales com o el azúcar y el ca­ 0 Ci I o m 2’ ca h 110 era h a ber progr…</t>
  </si>
  <si>
    <t>Tudela</t>
  </si>
  <si>
    <t>…torizar la voluntad del M onarca. Las Cortes de N av arra se celebrado de una manera solemne y pública , ¿todavía h ay quien Que afortunadamente el convenio de Vergara no es obstá­ componían del obispo de Pamplona , el obispo de Tudela , el se opone á que se apruebe el proyecto tal como lo presenta el culo en esta cuestió n , pues que el duque de la V icto ria coa prior de R o ncesvalles, el vicario general de P a m p lo n a , siete Gobierno de S. M .? Cuando aquellos individuos conocen mejor todo el tino y circunspección…</t>
  </si>
  <si>
    <t>Tuileda, José</t>
  </si>
  <si>
    <t>José Tuileda</t>
  </si>
  <si>
    <t>…15 años. ci ; por la Sra. Villó y coristas, con decoración y trajes. Doña A. de P .............................................................................. 100 La entrada para todas las cátedras será por la calle de la D. José Tuileda.......................................................................... 8 Cruz. D . M . M ............................................................................ 40 Espera el ateneo que pronto podrá anunciar, ademas de es­</t>
  </si>
  <si>
    <t>TUjIZ</t>
  </si>
  <si>
    <t>…s funciones de alegría que no se pue­ ría algún tiempo para dar lugar á que asistiera el miembro del den fijar. Gabioete que tuviera por conveniente hacerlo. roquial de San Sebastian de esta corte el 6 deí corriente O c­ El Sr. TUjIZ D E LA. Y E G A confiesa que ninguna cues- El Sr. B E N A V ID E 3 sostuvo que se debia esperar á que tubre en acción de gracias al T od op od eroso p or los felices sucesos ocurridos en las provincias del N orte. lien fe ha hecho pensar rnas que esta , al mismo tiempo que le asistiera el Go…</t>
  </si>
  <si>
    <t>Turgon</t>
  </si>
  <si>
    <t>…erecido para ello la confian­ da importancia á los votos de las Cámaras en la formación de el marques de Louvois 128, el vicealmirante Ilalgan 127, y 124 con sus secciones. Sin embargo, es tanta la impaciencia que hoy el conde de Turgon, del número de I 4 O votantes, cuya ma­ za del La Rey. Cámara de los Pares ha acordado que pasado mañana tienen todos por ver un desenlace, sea el que quiera, que no yoría absoluta es 71. sábado se procedería á las interpelaciones propuestas por Mr. hay una persona que no haya dado una sign…</t>
  </si>
  <si>
    <t>Turpinier</t>
  </si>
  <si>
    <t>…Se­ Es preciso añadir que en el estado de descomposición en saber: MM. Gasparin , Ministro de lo Interior; Mr. Cubieres, cretario. que se encuentran los partidos hace algunos dias es difícil cla­ de la Guerra, y Mr. el barón de Turpinier, él Presidente con­ Adjuntos: el general Bugeaud y el marques de Malleville. sificar rigorosamente todos los nombramientos; tal es el de Mr.</t>
  </si>
  <si>
    <t>TURQUIA, Lyon.</t>
  </si>
  <si>
    <t>Lyon. TURQUIA</t>
  </si>
  <si>
    <t>…NOTICIAS EXTRANGERAS. Se ha despachado toda la primera tirada de la exposición de El Courier de Lyon dice que Mr. de Bonald debe ser nom­ la comisión central de la Dieta germánica sobre las sociedades brado en breve arzobispo de Lyon. TURQUIA. secretas: va á hacerse una reimpresión. Tambieu va á publi­ Creemos á este periódico muy mal informado. Se ha ofreci­ carse el informe fiscal de la comisión central, quien todavía no do en efecto el arzobispado de Lyon á Mr. de Bonald ; pero tan­ Constantinopla 7 de Octubre, ha con…</t>
  </si>
  <si>
    <t>TVellington</t>
  </si>
  <si>
    <t>…d a, y pondrá testación. de evoluciones m ilitares. á este reino bajo el mismo pie que la Inglaterra. L o rd Brougham sostiene la conducta leal del Gobiérno En Prusia continúan ocupándose en la cuestión religiosa, E l duque de TVellington: No intento provocar debates so­ am ericano, que ha hecho cuanto ha estado de su parte para- pero hasta ahora nada se ha determinado. Sin embargo todo bre cuestiones que sin duda darán lugar mas adelante á discu­ impedir todo acto de agresión en el Canadá. Mucho sentiría, parece que anu…</t>
  </si>
  <si>
    <t>TVilmar</t>
  </si>
  <si>
    <t>…alabra al banco de los ministros): ¡hombres cuales se cuenta un m ilita r, un general...... das han votado su respuesta al R e y : el Parlamento inglés ha de Estado, miserables! ¿ N o conocéis que con vuestros errores E l general TVilmar se levanta y dirige en medio del tu ­ votado la suya , después de haber oido de boca de la Reina el lleváis al pais á su ruina ? ¿ N o conocéis que vuestra falta pre­ multo algunas palabras al Presidente. cipita a la Bélgica en el oprobio y en la desgracia? anuncio de que el Rey Guillermo co…</t>
  </si>
  <si>
    <t>Títulos</t>
  </si>
  <si>
    <t>…r. Juez y es­ expresamente prevenido en la ley. {Debáis.) EFECTOS PÚBLICOS. cribano, que se le admitirá siendo arreglada. Inscripciones en el gran libro á 5 por 100, 00. Hé aqui la lista de las órdenes extrangeras del duque de Títulos al portador del 5 por 100, 50^ y 50 con cupones W e llingíoa: S. G. es gran cruz de la orden de María Teresa B IB L IO G R A F IA . |1 contado: 51 nueve dieziseisavos, \ , £, 50 trece dieziseis- de Au tria, caballero de la orden del Elefante, de la de Sancti- ívos, £ , 5 í £ , f , 5 0 | , 5…</t>
  </si>
  <si>
    <t>…e me remitió su prim era, fecha en Caudiell en 3 de N o­ Inscripciones en el gran libro á 4 Por 1 0 0 , 00. nes, penetrado deque con tal medida se asegurará el triunfo viem bre, le he ¡manifestado éstar pronto á un cange general Títulos al portador del 4 Por 1 0 0 , 00. de la causa que rne comprometí á defender, no siendo solo de de prisioneros , siempre que cesase de m atar á los que caian en Vales Reales no consolidados, 00. V. M. cuando se interesan millares de vivientes que serian víc­ su poder, como lo habia hecho de…</t>
  </si>
  <si>
    <t>Títulos, Despacho de la Guerra</t>
  </si>
  <si>
    <t>Despacho de la Guerra Títulos</t>
  </si>
  <si>
    <t>…tampado D. Doroteo en gefe de las provincias de Ciudad-Real y Toledo dice con Inscripciones en el gran libro á 4 por 1 00 , 00. Bachiller. El Sr.^ de Gómez ha desempeñado el del expresado esta fecha al Excmo. Sr. Secretario del Despacho de la Guerra Títulos al portador del 4 P ° r 1 0 0 , 00. autor. lo siguiente: Excrao. S r.: En las últimas operaciones ejecuta­ Vales Reales no consolidados, 00. das contra los facciosos de estas provincias desde mi parte an­ Deuda negociable de 5 por 100 á p ap el, 00. terior se han con…</t>
  </si>
  <si>
    <t>Títulos, ICIALE S.</t>
  </si>
  <si>
    <t>ICIALE S. Títulos</t>
  </si>
  <si>
    <t>…, 55^ y 5 2 ^ , á v. f. ó vol. con cupones: 5 6 , 5 5 ¿ , 54 » 55 y 5 5$ á v. f. ó vol. á prima de 1 , 2 , 1| jí i por 100 con cupones. BIB LIO G R AFIA. Inscripciones en el g ran libro á 4 por 1 0 0 , 0 0 . PROVIDENCIAS JU D ICIALE S. Títulos al portador del 4 Por 1 0 0 , 00. \ 7 l D A y hechos de Ramón Cabrera , con una reseña de sus Vales Reales no consolidados , l 4 y al contado. principales campañas. Por un emigrado del Maestrazgo. D euda negociable de 5 por 100 á p ap el, 0 0. P N virtud de providencia del Sr. D.…</t>
  </si>
  <si>
    <t>Títulos, Juan</t>
  </si>
  <si>
    <t>Juan Títulos</t>
  </si>
  <si>
    <t>…. Puntos de suscripción en las provincias.=Avila , D. Fausto Inscripciones en el gran libro á 4 por 1 0 0 , 00. IV'UEVOS elementos de botánica y de fisiología vegetal, por A guado: Badajoz, Sra. viuda de Carrillo: Barcelona, D. Juan Títulos al portador del 4 P°r 1 0 0 , 00. A . Richard, adornados de I 64 figuras intercaladas en el Francisco Piferrer: Búrgos, D. Ramón de Villanueva: Cádiz, Vales Reales no consolidados, 00. texto. Traducidos de la quinta edición francesa, por D. Fran­ Sres. Hortal y compañía: Cartagena, D…</t>
  </si>
  <si>
    <t>Tómas</t>
  </si>
  <si>
    <t>…to la pre­ archiyps de Simancas , c u y a autenticidad, qa^ie ha, puestp en sión de la atmósfera sobre la parte superior del émbolo. T r a - duda. ’ ; rf ‘ ' : _ duuxomos-ppo^ser-breve-r^ p á-r^fo -de J a obra de Papin ^ im ­ D. Tómas éortzaléz^ director dé'fés' R eáíeí de^Si^ presa en Cassel, 169 5 : P r e c io s co r r ie n te s en la Habana e l 50 d e S etiem b re d e 1859. m an cas, con fecha 27 de Agosto de 1 8 2 5 , escribió al dfoctó X el’ ¿ á b a lá , 'Óuihdo sé convierie en D. M artin Navarretéf 1óv'áigu ie iile ':…</t>
  </si>
  <si>
    <t>U-si, García</t>
  </si>
  <si>
    <t>García U-si</t>
  </si>
  <si>
    <t>…epciones. Tam ­ tada esta expresión. Ki pobre Gaspar ha conocido que aun­ bién y con el nú mero 9.° se ha publicado la e^am&amp;pa per­ que siente en sí un noble entusiasmo hacia su art no ha tenecióme a Abril que representa al Sr. García U-si» en CRONICA DE MADRID. de colocar este su nombre en ^‘ws fastos al lado d*i los de el drama E l arte de conspirar. Essa delicada lámina* eje­ Kean, Eekain y Maiquez; pero dedica sus esfuerzas a e n ­ cutada por el Sr. Gómez, acreditado pintor, y te&gt;grafia&gt;dk REPERTORIO DRAMATICO. PRIM…</t>
  </si>
  <si>
    <t>UANAS</t>
  </si>
  <si>
    <t>…xp resion de lai 3 b a n d e ra s en &lt;jue se ha v e r ilS c a d o . OT\DEtf Española del comercio Depósito. Española del Comercio Am ericana. Brasileña. Bremesa. Danesa. Francesa. Hamburguesa. Holandesa. Inglesa. T otales. A D U A N A S. con los puertos nacio­ con las. colonias con­ &gt; nales. tiguas. DE PU E R T O - R I C O . . Puerto- Rico. .. 328,126. . 6 . . 2? 996,989.. . . 35 *310,295. .7 .. 7 -351.54-2. .6 .28 "360 67.246. .7.. 32 4 1,986. .5.. 1 22,058..1.. 4 16 2.098,606. .3.. 50 FORMADA BALAN ZA M E R CA N T…</t>
  </si>
  <si>
    <t>Ubago</t>
  </si>
  <si>
    <t>…rencia de poner al brigadier Liza en lugar de Carmona, original , según pueden verlo en él los que lo entiendan , y los narse á bordo de un buque, habiendo también servicio da y añadir que habia sido preso el intendente general Ubago, que no en la traducción en prosa puesta al p ie, y hecha pala­ camas. Uriz , O jer, el vicario de A yegui y el de S. Pedro de Estella. bra por palabra con el objeto de justificar la traducción en verso. Para tratar de ajuste se acudirá en Cádiz á su dueño Don Desde Carear con fecha 18 se…</t>
  </si>
  <si>
    <t>UCACI</t>
  </si>
  <si>
    <t>…oficiales de sastre, precedidos de u n a b a n d e ra , desfilaron C u a n d o el fun d ad o r de la independencia la proclamó en delante de la tu m b a del mercado de los Inocentes. Después se PARA PROPAGAR Y M EJ ORA R LA E D U C A C IO N D E L PU EB LO . I g u a l a , se vió obligado á dar nueva f o r m a , según las circuns­ dirigieron hacia las tu m b as del L o u v re , ante las cuales desfila­ t a n c i a s , a los cuerpos que abandonaban la bandera española ron ig u a lm e n te , quitánd o se sus sombreros sin dete…</t>
  </si>
  <si>
    <t>UCADODEBRUNS</t>
  </si>
  <si>
    <t>…derecho del pueblo era incontestable ; ha pro­ El almirante Roussin, embajador francés, ha cangeado puesto á título deenmienda á la mocion de Mr. Richardson, que hoy 1*s ratificaciones del tratado de comercio entre Francia y j D U C A D O D E B R U N SW IC K . se declare que el pueblo tiene derecho de armarse segu a todas las la Puerta. El estado sanitario de la capital y sus inmediacio­ opiniones de las autoridades legales. nes es satisfactorio. {Gazette dtAugsbourg.) 1 Brunsvick 4 de Abril. Han hablado muchos oradores. Re…</t>
  </si>
  <si>
    <t>UHA</t>
  </si>
  <si>
    <t>…vando el prestigio de los Él Sr. CO RTINA manifestó que en el dictámen se hacia exposición. Cuerpos colegisladores. Esto es lo que se hace en todos los p aí­ una reseña de todo cuanto acababa de decir el Sr. conde de las El Sr. U H AG O N , interrum piéndole: También lo ha he­ ses por los hombres públicos, porque al paso que están eleva­ N avas, y que le parecía que con esto debían quedar satisfe­ cho la diputación provincial. dos y tienen en sus manos el dar recompensas y premios á ex­ chos los deseos de S. S. El Sr. M…</t>
  </si>
  <si>
    <t>Un, A. M. de Novoa.</t>
  </si>
  <si>
    <t>A. M. de Novoa. Un</t>
  </si>
  <si>
    <t>…sta intendencia por si ó por medio de apoderados competente­ cipios de la filosofía g r a m a t ic a l, con un apéndice sobre el mente autorizados, ó las d irija n por conducto de los respecti­ arreglo de la ortografía : por D. A. M. de Novoa. Un tomo en 8.° vos comisarios de guerra con la debida anticipación. Y para prolongado de buena impresión. Se hallará en M adrid librería que llegue a noticia de todos, he acordado que al presente edicto CRU Z. H oy no h a y función. de N úñ ez, calle de A t o c h a , frente á la…</t>
  </si>
  <si>
    <t>Un, D. José de Anduaga y Garimberti.</t>
  </si>
  <si>
    <t>D. José de Anduaga y Garimberti. Un</t>
  </si>
  <si>
    <t>…sco A gustín S ilvela. BIBLIOGRAFIA. Discurso sobre la necesidad de la buena educación, y me­ DI V I DE S E LA OBRA EN C U A T R O P A R T E S : dios de mejorar la enseñanza en las escuelas de primeras letras, por el Excmo. Sr. D. José de Anduaga y Garimberti. Un cua­ H ISTORIA general de España, compuesta, enmendada y añ a- dida por el P. Ju an de M arina , últim a edición, con lá­ La primera comprende la adm inistración m unicipal. derno en 8 .° m arquilia, edición de 1800, ¿ 1 real en rústica. La segunda las diputacion…</t>
  </si>
  <si>
    <t>Un, Fleuri.</t>
  </si>
  <si>
    <t>Fleuri. Un</t>
  </si>
  <si>
    <t>…la san­ c a m b io s . m u n d o, los hechos de los apóstoles, y el sumario de la doctri­ gre del poeta: él la ha sacado de sus entrañas, y su voz d o lo - Londres, á 9 0 dias, 38£. C oru ñ a , l f á | d. na cristiana del abad Fleuri. Un tom ito en 8.° regular: su pre­ rosa ha llegado hasta el fondo de los corazones. Después ha sido Paris, 16-4* G ranada, 1§ id. cio 4 rs« e ° pergamino y 6 en pasta. Jorge Sand un poeta ordin ario, reflexionando los sufrimientos M á la g a , par. de los dem as; su gemido interno habia c…</t>
  </si>
  <si>
    <t>Un, Félix Janer.</t>
  </si>
  <si>
    <t>Félix Janer. Un</t>
  </si>
  <si>
    <t>…de pasaje con Tri­ y que habiéndoseles propuesto por disposición del Pretendiente T¿*atado del tifo, por el doctor Hildeobrand, traducido y pulación. el que se trasladasen al pueblo de Alsasua para tratar del ar­ anotado por D. Félix Janer. Un tomito en 8.° Se vende en la 1 Arroyo de juncos con i Garza. reglo de sus diferencias, no se han avenido á realizar esta mar­ misma librería á 5 rs. rústica. 2 Perros sabuesos , 2 Osos, 1 Corzo, i Puerco y i Zorra. cha , habiendo contestado que bajarian solamente hasta el valle 1…</t>
  </si>
  <si>
    <t>Un, Ignacio Antonio de Soto y Araujo.</t>
  </si>
  <si>
    <t>Ignacio Antonio de Soto y Araujo. Un</t>
  </si>
  <si>
    <t>…domingos por la mañana des­ rias adiciones, y por un orden mas conforme á este tratado, acreditadas; por la Sra. A ndujar y los. Sres. A guirre y Galan. de las doce en adelante las sesiones artísticas y literarias, en que por D. Ignacio Antonio de Soto y Araujo. Un tomo en 4*°&gt; 8.° Sinfonía patriótica , del maestro D. Ramón Carnicer. por acuerdo de la junta delegada de 28 de Agosto último de­ edición de 1794, á 21 rs. en pasta común. 9.° La Jota aragonesa , baile nacional ejecutado por las se­ ben tomar parte las cuatro p…</t>
  </si>
  <si>
    <t>Un, José</t>
  </si>
  <si>
    <t>José Un</t>
  </si>
  <si>
    <t>…i por circunstancias independientes de la voluntad dei M a n t é : C a r t a g e n a , Benedicto: C a r a c a s , lib rería de Cabré»izo: autor. F e r r o l , C a x o n e ra : G r a n a d a , R ad a y S a n z : H a b a n a , D. José Un tomo en 4-° fie mas de 4 5 9 páginas.=Se vende en el pon el p resente, y en v ir t u d de provid encia del Sr. juez de B o ix : L u g o , P ujo l y M a c ía : M á l a g a , C arre ras y R am ó n : despacho de la Im prenta Nacional á 2 4 rs. en rustica» p rim era instancia D. Benito Serrano…</t>
  </si>
  <si>
    <t>Un, José Rigu-al.</t>
  </si>
  <si>
    <t>José Rigu-al. Un</t>
  </si>
  <si>
    <t>…BOLSA D E M A D R ID . de los manuscritos que .este le dejara. dro, íü&gt;. Juan y S. Judas Tadeo ; traducidas al castellano, é ilus­ Escrita para todas las sociedades y para todos los tiempos, tradas con varias notas por el Dr. D. José Rigu-al. Un tomo Cotización del dia 10 á las tres de la tarde• me ha parecido conveniente traducirla , porque anhelo ver ge­ en 8.°, edición de 1 7 8 /, a ó rs. en rústica y 6 etl pasta común. neralizadas en mi patria las ideas que en ella brillan ; y lo serán Si cabe mayor recomendación de e…</t>
  </si>
  <si>
    <t>Un, Juan Bautista de Arriaza.</t>
  </si>
  <si>
    <t>Juan Bautista de Arriaza. Un</t>
  </si>
  <si>
    <t>…ica. según la exigencia de la ocasión. También han sido empleados para la guerra tanto en Asia como en A frica, haciendo á sus Epístola á Fanni sobre el asedio de la isla Gaditana en amos un servicio incalculable. 1823, por D. Juan Bautista de Arriaza. Un cuaderno en 8.° La fuerza de la cabra ésta aplicada á trabajo útil en varias marquilla , que puede ir en c a rta , á 2 rs. en rústica. partes de Europa. Se les hace andar en una ruedai, con la que BOLETIN DE COMERCIO. saca agua de una noria ó mineral de las tuinas. Au…</t>
  </si>
  <si>
    <t>…eaux, traducida en ver­ so suelto castellano, y dedicada á la ciase de poética del Real Antonio Bermudez, Esteban G uijarro, Sebastian La presa, Ma­ Se halla de venta en el despacho de la Imprenta Na­ seminario de Nobles por D. Juan Bautista de Arriaza. Un to-v nuel del Pozo, Sebastian Hermosa, Salustiano Rodríguez cional á 16 rs. pasta y 13 en rama. too en 8 o, á 6 rs. rústica, y 10 pasta fina. Santos Cerca , José Jiménez, Domingo Lam bau, Juan Diaz, Esta obra, considerada por algunos como el código de la li­ Dionisio…</t>
  </si>
  <si>
    <t>Un, Luis Miguel Badin.</t>
  </si>
  <si>
    <t>Luis Miguel Badin. Un</t>
  </si>
  <si>
    <t>…A T A D O de Derecho penal, escrito en francés por Mr. P. CAMBIOS. so del Suud, escrito en francés por D. Tomas Antonio de M a- Rossi, profesor de derecho político y constitucional en la rie n , y traducido al castellano por D. Luis Miguel Badin. Un universidad de Paris , y de economía política en el colegio de Londres, á 90 dias, 5 8 |. C oruña, l f d. cuaderno en 4 o? á 4 rs. en rústica. Francia : traducido al idioma español por D. Cayetano Cortés. Paris, 16-6. Granada, id. id. Explica esta obra el origen y fundamento de…</t>
  </si>
  <si>
    <t>Un, Maleo Seoaue.</t>
  </si>
  <si>
    <t>Maleo Seoaue. Un</t>
  </si>
  <si>
    <t>…y aumentados con notas y ur 1 Véndese en el despacho de la Imprenta Nacional. eha$. Desde ese carro lúgubre do son conducidos sus restos mor­ tales, desde la mansión eterna do sus almas reposan, no im - apéndice por el Dr. D. Maleo Seoaue. Un cuaderno en 4 0 im­ r&gt; ■ ■ ■ ■ ■ m iw — I.n n m u i II a m i i iiiim iim i i ]etrdu venganza , no, mas con lenguaje mudo , expresivo cual preso y publicado de orden superior en 1831 , á 2 í rs. ei otro, se dirigen á vosotros diciendo: ''compañeros de armas, rústica. ciudadanos…</t>
  </si>
  <si>
    <t>Un, Manuel Hijosa.</t>
  </si>
  <si>
    <t>Manuel Hijosa. Un</t>
  </si>
  <si>
    <t>…de 1837 , ha TYíO habiendo ningún motivo que pueda entorpecer el arren- para medir terrenos, dividirlos y levantar planos arreglados á •aumentado ~ damieoto de la Barca y vados de Oreja, que en el rio ellos, por el presbítero D. Manuel Hijosa. Un tomoen 8 ° m ar- Tajo corresponden á la encomienda mayor de Castilla agregada quilla con láminas, cuarta edición de 1 8 2 9 , á 7 rs. y 11 en pas­ En carne de puerco, barriles.. . 505 á la nación, se subasta dicho arriendo. ta común. Queso, arrobas............... 12,852 Quien…</t>
  </si>
  <si>
    <t>Un, Mariano Remenlería.</t>
  </si>
  <si>
    <t>Mariano Remenlería. Un</t>
  </si>
  <si>
    <t>…celona, á ps. f s ., § b. Sevilla , \ b. dores. Bilbao, d. V alencia, par. Cádiz, par. Zaragoza, l£ á f d. E L V E T E R A N O , anécdota suiza, traducida al español por P orque no hay que engañarnos con funestas ilusiones. D. Mariano Remenlería. Un cuaderno en 8 .° Se hallará El estado de la prensa periódica es grav e, muy grave. El á 2 rs. en la librería de Cuesta , frente á S. Felipe el Real. carlismo podrá en trar p o r la brecha que algunos perió­ Descuento de letras, á 6 por 100 al año. dicos abren en las institucio…</t>
  </si>
  <si>
    <t>Un, Miguel de Maurueza Barreda y Mendez.</t>
  </si>
  <si>
    <t>Miguel de Maurueza Barreda y Mendez. Un</t>
  </si>
  <si>
    <t>…n la escribanía de mi cargo, á que me refiero. Y para que conste, en cumplimiento de lo mandado en la pre­ inserta sentencia, doy el presente que signo y firmo en Zara­ COLECCION DE LEYES, branza y conducción de frutos: por D. Miguel de Maurueza Barreda y Mendez. Un cuaderno en 8.° marquilla, edición de goza á 17 de Agosto de 1839«=sEn testimonio de verdad, José 1 790,á 4 fs. eu rústica. García. Trata el autor de esta obra de probar la ventaja del ganado boyal y caballar sobre el mular para la agricultura y para REAL…</t>
  </si>
  <si>
    <t>Un, Miguel Serralde.</t>
  </si>
  <si>
    <t>Miguel Serralde. Un</t>
  </si>
  <si>
    <t>…ncia, y en la gloriosa Fr. Lipo Braudolinc en Roma á presencia del Sumo Pontífice, ve ejemplares, se les hará la rebaja de 2 0 por 100. lucha que sostenemos por los legítimos derechos de Doña Isa­ y traducida al castellano por D. Miguel Serralde. Un cuader­ bel II y las libertades de la nación, ha cabido en suerte con el no en 8.° marquilla. Se hallará á 4 rSa en Ia librería de Cues­ ta , frente á S. Felipe el Real. primer extracto de la de este dia á Doña Carmen de Les, D IO R A M A . hija de D. Salvador, teniente coronel…</t>
  </si>
  <si>
    <t>Un, Pedro de Ziriza.</t>
  </si>
  <si>
    <t>Pedro de Ziriza. Un</t>
  </si>
  <si>
    <t>…s p&amp;rtes'que ios solo con la intención de extraer la tierra de aquel sitio para presentar e&amp; el causeo los objetos preciosos que encerrase, ni tan solo dejar expuestos al aire los edificios que están debajo del p i­ , bítero D. Pedro de Ziriza. Un tomo en 4*° b a r q u i l l a , edición constituyen ea particular. de 1796 á 26 rs. en pasta común. Los que saben cuanto se ha adelantado en esta materia en so; sino facilitar con todo el lujo y economía posible, noticias los últimos tiempos, y cuán célebres se han hecho en el…</t>
  </si>
  <si>
    <t>Un, Saturnino Calderón Collantes. Escoiquiz.</t>
  </si>
  <si>
    <t>Saturnino Calderón Collantes. Escoiquiz. Un</t>
  </si>
  <si>
    <t>…calá Galiano. a ñ o, á 5 rs. rústica. Del consejo de Estado. Por el marques de Valgornera. Reseña histórica de las leyes de sucesión á la corona de Es­ 'T ’R A T A D O de las obligaciones del hombre por D . Juan de paña. Por D. Saturnino Calderón Collantes. Escoiquiz. Un tomito en 8.°, impresión de 1828, á 3 reales De los graves daños que causan las sociedades secretas, asi rústica. Este libro está escrito para los niños que concurren á</t>
  </si>
  <si>
    <t>Un, Vicente Alcalá Galiauo.</t>
  </si>
  <si>
    <t>Vicente Alcalá Galiauo. Un</t>
  </si>
  <si>
    <t>…n en el mismo coliseo , y á nistraciones de correos y principales librerías. crita por el abate D. José T oaldo, traducida é ilustrada con beneficio del Sr. Garci* Luna , D. Alvaro de Luna , drama en vanas notas por el capitán D. Vicente Alcalá Galiauo. Un to­ cinco actos y ea verso ; tenemos muy buenas noticias de esta mo en 4 .0, edición de 1 7 8 6 , á 15 rs. ea pasta común. obra, que se atribuye al autor de Carlos u y de Rosmunda, SEMANARIO Los diez libros de arquitectura de M. V itruvio Polion , tra­ ducidos del latín…</t>
  </si>
  <si>
    <t>Un, Vicente Sánchez Boado.</t>
  </si>
  <si>
    <t>Vicente Sánchez Boado. Un</t>
  </si>
  <si>
    <t>…, y á los oficiales que sirven en los puestos avanzados, recopilada de la que Federico 11 dió á sus oficiales de caballería melodrama eu cinco acto s, de grande espectáculo. PROVIDENCIAS JUDICIALES. traducida del francés por D. Vicente Sánchez Boado. Un tomo ! en 8 .°, impreso de orden superior en el año de I 8O4 , á 8 rs. en pasta común. A las siete y media de la noche. Se pondrá en escena el L ICENCIADO D. Rafael de Sierra y Cárdenas, abogado de drama nuevo bíblico, en cinco actos, titulado los tribunales de la N aci…</t>
  </si>
  <si>
    <t>Una</t>
  </si>
  <si>
    <t>…a Montoro.=Por acuerdo de la diputación provin­ los grandiosos acontecimientos de Y ergara y Urdax. nistrador de decimales , Manuel de Palra.=El de loterías , Juan c ia l, Mateo C ao dalija, secretario.zsExcmo. Sr. Secretario de Una guerra devastadora y fratricida asolaba de seis años á Manuel Perez.zrEI comandante de carabineros, José Serrano.= Estado y del Despacho de la Gobernación de la Península. esta parte las provincias mas industriosas de España. Un Prín­ El secretario de la intendencia, José M aría de Asprér.=El of…</t>
  </si>
  <si>
    <t>…ene 20 p. de alto, y 14 p. y 6 1. antiguo 60 rs., y moderno 50. Cotización del dia 8 d las tres de la tarde• Joaquín de Yárgas, canónigo de esta santa iglesia catedral, hijo legítimo de D. Manuel José, natural de Cádiz, y Doña Una fábrica de tapices ó las Hilanderas . Bárbara Ramírez, que lo fue de Cañete la Real, como vacan­ EFECTOS PÚBLICOS. tes y pertenecientes al Estado; y á virtud de providencia dic­ tada en los autos formados sobre dicha denuncia, por el pre­ cualEste habla es uno de los mejores cuadros de Vela…</t>
  </si>
  <si>
    <t>Una, Estudios.</t>
  </si>
  <si>
    <t>Estudios. Una</t>
  </si>
  <si>
    <t>…ción. — Circular. correspondientes. Dios guarde á V. E. muchos años. Ma­ Mosaico. drid 20 de Junio de 1839.=Juan Martin Garra molino,= Excmo. Sr.: He dado cuenta á S. M. la Reina Gober­ Sr. presidente de la dirección general de Estudios. Una habitación de 16 pies de longitud de N. á S., y 15 de nadora del expediente instruido en este ministerio de mi latitud de E. á O . , cuyas paredes, abatidas en toda su exten­ cargo sobre la creación de un Instituto de segunda ense- sión, solo se elevaban en algunos puntos u« pie ó do…</t>
  </si>
  <si>
    <t>Unanue</t>
  </si>
  <si>
    <t>…tiene nues­ d a leer las nobles páginas en que M ariana describe el le­ acto. tra literatura española, debiendo darse á luz en breve una nue­ vantam iento de P ela y o , la conquista de T oledo , la batalla Quisiéramos que el Sr. Unanue moderase un tanto su voz, va série de comedias que comprenda todas ó las mas selectas de d e las N avas, en q ue se jugó á un trance la suerte de la que á las veces parece excesiva, y que cuidase algo mas de la nuestros autores antiguos, que de tanta estima son para noso­ cristiandad de E sp…</t>
  </si>
  <si>
    <t>…dad la principal parte de En el gabinete de lectura de M r. M onier, Puerta del Sol. que se anunció para el 5 , y no pudo ejecutarse por indisposi­ sus columnas a ese móvil de toda civilización posible , á ese agen- ción del Sr. Unanue. P r o v in cia s. L lr o F ? * 1,usti;acion de los hombres y de los siglos, al Alicante.......................................... Carratalá. teatro. Este vacio es el que pretendemos llenar. Arévalo.......................................... Bazan,</t>
  </si>
  <si>
    <t>Unaoue</t>
  </si>
  <si>
    <t>…on sus medios; y la buen éxito de aquella , dándonos nuevas pruebas de sus talen­ lo mas magnífico con pinturas al fresco por Cornelio y al­ salud, la prolongación de la vida, la mejora de la especie h u ­ tos artísticos. El Sr. Unaoue no estuvo tan acertado como otras gunos de sus discípu los, representando varios asuntos de mana , el aumento de la fuerza y de la riqueza pública son sus veces, sin duda porque el papel de Liodoro no está en armo­ mitología é historia g rie g a , desde la sala Niobidia hasta resultados posi…</t>
  </si>
  <si>
    <t>UNTANTE</t>
  </si>
  <si>
    <t>…ilitar del ejército de reserva ha sido, de que se reúna la cantidad necesaria y se compren las molas. dar algunos dias mediante á que dichas tropas han tenido sus un exceso el número de raciones que se han sacado. Por to­ El Sr. UNTANTE apoya el dictám en, manifestando lo ira- 1 acantonamientos aqui y en Ciudad-Real. do lo cual resulta hasta ahora: i.° exceso de raciones: 2 .° que portante que es el conceder este auxilio al Gobierno en las fcir«*M Con respecto á la provincia de Madrid S. S. debe saber que se daban en dine…</t>
  </si>
  <si>
    <t>Uontoya, Antonio</t>
  </si>
  <si>
    <t>Antonio Uontoya</t>
  </si>
  <si>
    <t>…O DE L A G U E R R A . tados del valor y patriotismo del ejército con su ilustre c a u d i ­ del Ministerio de vuestro cargo al intendente honorario llo , del incansable afan con que S. M . quiere sellar todos los de provincia D. Antonio Uontoya , Director de la fabrica S e ñ o r a : E l inspector general in te rin o de los regim ien to s actos de su regencia , y del m aternal desvelo que le a n im a p a­ de cigarros de Cádiz: segundo oficial de los dotados con provinciales por sí y á nombre de los gefes y oficiales em p lea…</t>
  </si>
  <si>
    <t>UQUEDEA</t>
  </si>
  <si>
    <t>…ir contra una parte rebe­ ducido nunca mas de un solo millón , la mitad del cual se va lada es un problema político todavía irresoluble. Varcere dísco­ en empleados y guardas , cuyos talentos ó brazos podrían ocu­ E L G R A N D U Q U E D E ALBA. los es darles mas ánimo porque se sienten con mas poder , y de - parse con mas beneficio á ellos y á la patria. Los otros ramos de bellare siiperbos es exasperarlos porque se creen tiranizados. rentas son los usuales de papel sellado , casa de m oned a, cor­ D. Fernando Alvarez d…</t>
  </si>
  <si>
    <t>URA, DE LAS FIG</t>
  </si>
  <si>
    <t>DE LAS FIG URA</t>
  </si>
  <si>
    <t>…do lejano, ni indigno del principal, ni que inaropa que leatravesó el pecho , y le dejó muerto en el acto. recuerde ideas asociadas impertinentes al asunto. Llamar a El asesino no pudo ser habido, pues echó á huir, y el general DE LAS FIG URA S DE EXPRESION. una flor hija de la tierra es muy trivial, asi como seria se encaminó hacia la Glorieta. Sacóse de la ciudadela un canon muy complicado decirla, perla del cam po. ¿Q u ién se de pequeño calibre y una caja de municiones, y fue colocado A R T IC U LO SE G U N D O . , a…</t>
  </si>
  <si>
    <t>Urbina</t>
  </si>
  <si>
    <t>…Los cazadores siguieron el alcance protegi­ contusos. Total 97. dos por la columna al mando del coronel Echaluce ; pero fue­ Caballos, 10 heridos. ron contenidos en la falda por la gran superioridad de los re­ Cuartel general de Urbina I 4 de Agosto de 1859.-E1 ge­ beldes en fuerza y posición. . neral gefe del E. M. G. , J u a n Tena. Los tres batallones de la brigada de la 3.a división y el es­ cuadrón de húsares continuaron su movimiento , venciendo todas estas tropas con admirable serenidad y entusiasmo las terribles Ej…</t>
  </si>
  <si>
    <t>Urbislondo, Antonio</t>
  </si>
  <si>
    <t>Antonio Urbislondo</t>
  </si>
  <si>
    <t>…de todos los habitantes de esta ciudad el acon­ en su mayor parte la división castellana que mandaba el ma­ L ib ros , p e r ió d ico s y m o d a s . tecimiento tan inesperado á que se contrae la Gaceta extra­ riscal de campo D. Antonio Urbislondo, es continuo el trán­ ordinaria del 3 del actual , que no hallo expresiones con que sito por esta capital de los individuos que la formaban, que En el nuevo gabinete de lectura de Monier, Puerta del Sol* hacer uua pintura exacta de ello. A la pública demostración pasan con licenci…</t>
  </si>
  <si>
    <t>Urbistondo, Antonio</t>
  </si>
  <si>
    <t>Antonio Urbistondo</t>
  </si>
  <si>
    <t>…a rre n d ad a; en adelante cori'erá celentísimo S r . : A y e r entró en esta plaza la división castellana secuencia en adelante tendréis la bondad de entenderos con los por cuenta del Gobierno. al mando de! mariscal de campo D. Antonio Urbistondo, com ­ Sres. cónsules de las grandes Potencias en lo concerniente á EL mismo ha hecho saber al comercio que en vista del de­ puesta de cinco batallones y dos escuadrones con cuatro piezas vuestros derechos sobre los gobiernos que el Sultán os ha con­ terioro de los cairies de 9 p.…</t>
  </si>
  <si>
    <t>…del tribunal superior de minas. puntos. También lo verificó el comandante general de la d iv i ­ otros m uy poco, pues conozco hombre que cuando llega el Puesto en seguida á votación el dictámen de la comisión sión castellana D. Antonio Urbistondo con dos oficiales de su momento de tratar de este negocio se echa sobre el bastón y se quedó aprobado. plana mayor. d uerm e: no le importará mucho; pero en f in , supongamos que Igualmente lo fue el en que la comisión de Actas opinaba Todos estos dias continúan acogiéndose al con…</t>
  </si>
  <si>
    <t>…obre la proposición elprovincia los licenciados dé la división castellana que mandaba presos, y se conseguía que en vez de mirarlos como personas relativa á la formación de un cuerpo de sanidad militar. Pre­ mariscal de campo D. Antonio Urbistondo , y otros vienen á tenidas en seguridad , se les miraba como personas que debian sidente el Sr. Mendez Vigo, secretario el Sr. Alcon. fijar en ella su residencia como lo verificaron á principios de dar de sí lo necesario para sostenerse los alcaides con un lujo y El Sr. ^PR ESID…</t>
  </si>
  <si>
    <t>Urbistoudo, Antonio</t>
  </si>
  <si>
    <t>Antonio Urbistoudo</t>
  </si>
  <si>
    <t>…de apenas escapó uno. Los ingleses hicieron como Despacho universal de Gracia y J u sticia. del regimiento infantería Voluntarios de N avarra , 6.° de lige­ 150 prisioneros que iban á ser juzgados por un consejo de guer^ ros, D. Antonio Urbistoudo; á D. Gregorio Gómez Bonilla, ca­ r a , y se cree que serán ahorcados. (Ar. d e A . Af.) pitán de la G uardia Real de infantería , ilimitado eu Castilla la V i e j a , y comandante que fue del depósito de quintos de Juzgado de primera instancia de la ciudad de Vigo. ^ E x ­ C u…</t>
  </si>
  <si>
    <t>Urcullu, Joié Moage y D. Ignacio</t>
  </si>
  <si>
    <t>Joié Moage y D. Ignacio Urcullu</t>
  </si>
  <si>
    <t>…á dar sus des­ la compañía de Opera. cargos en la causa criminal que se le sigue de oficio, y á queja Los Comentarios de Cayo Julio Cesar, traducidos por el Nota . Los Sres. abonados tendrán reservados los b i ll e t e s de de D. Joié Moage y D. Ignacio Urcullu , por haber expendi­ presbítero D. José Goya y M uniain, edición con el texto lati­ sus respectivas localidades eo los despachos hasta jas duce de la do tres certificaciones de deuda sin Ínteres á los mismos con un no. Dos tomos en 4 ® mayor adornados de estampas y ma…</t>
  </si>
  <si>
    <t>Urdan, DE LUCHANA. Guerra</t>
  </si>
  <si>
    <t>DE LUCHANA. Guerra Urdan</t>
  </si>
  <si>
    <t>…ción: Nicolás Mélida. —M artin López Sala­ sociedades de agrónomos y naturalistas ó de Lineo, y filomáti- zar.^: Eduardo Arenas.—Cayetano de Diliz y R ubio.—Ramón ca de la misma ciudad, ex-director presidente de la Real so­ CONDE DE LUCHANA. Guerra Urdan.—Román M atute.—Bernardino Eraña. —Tadeo ciedad económica de amigos del pais de Avi l a , individuo de Sánchez Escando».—José Eugenio de Eguizabal. la de Madrid y del ateneo científico y literario, catedrático que fue de historia antigua y moderna de varios estableci­ Se ve…</t>
  </si>
  <si>
    <t>Urdax</t>
  </si>
  <si>
    <t>…a opinión de los consumidores en te cuanto virtuoso ejército. Dios guarde á V. E. muchos años. ros de provincia, y de los empleados que pertenezcan á perjuicio de los intereses públicos; á este efecto la direc­ Cuartel general de Urdax 14 de Setiembre de 1859. Excmo. la clase de gefes de administración: la de no hacer ningu­ ción recomienda á V. S. la frecuencia de las visitas de los Sr.=El duque de la Victoria.rzExcmo. Sr. Secretario del Despa­ na con motivo de resultar vacante cualquier destino; y la estancos y aun de las…</t>
  </si>
  <si>
    <t>Urgel</t>
  </si>
  <si>
    <t>…iata á la que ocupaba su amo , con el objelo carácter guerrero de este pueblo. (Eco de Aragón .) . 1.° La existencia, ignorada hasta ahora , de Suniefre- de poderse informar con mas prontitud de los progresos de 1* d o, conde de Urgel, hijo de Wifredo i el Velloso, y de­ enfermedad. D e todos los hombres, ninguno como el príncipe ducida por el Sr. Bofarull del cotejo de signos , firmas y de Talleirand ha sabido quizás concillarse tanto, sin el menor M A D R ID 5 DE JU N IO . rúbricas. esfuerzo en la apariencia , el afecto…</t>
  </si>
  <si>
    <t>…mil obstáculos y las fuerzas de que los rebel­ ha usado siempre la iglesia de U rgel, al lugar de Castellebre. incremento por los repuestos de municiones. des podían disponer. Alli los recibió el Sr. D. Agustín Vidal, canónigo de Urgel, Mañana atacaré decididamente el fuerte de Guardamino, La marcha impávida de mis columnas y el ardor de los ti­ antiguo vicario general del obispo extrañado D. Fr. Simón construido con todas las reglas del arte en una elevada posición, radores que las cubrían, han contribuido á que fuese meno…</t>
  </si>
  <si>
    <t>URI</t>
  </si>
  <si>
    <t>…_ _ Por § billete del sorteo de 12 de Julio se les han satisfecho por id. de 402,750 rs. id. id....................................................... 500 Por f billete del sorteo de 5 deSetiembre se leshan satisfecho T E N E D U R IA D E LIBROS d e lo t e r ía s n a c io n a le s . M es de Enero de 1859. por id. de 591,860 rs. id. id ....................................... Por 2| billetes del sorteo de 27 de Octubre se Ies han satisfecho por id. de 650,960 rs. id. id ...................................................…</t>
  </si>
  <si>
    <t>…id. de 123,928 rs. id. id....................................... 84 Por i billete del sorteo de 29 de Diciembre se les han satis­ fecho por id. de 653,240 rs. id. id................................................. 80 T E N E D U R IA D E LIBROS Por 1 pagaré de la extracción de I 4 de Enero de 1839 se les de lo ter ía s nacionales. Mes de Julio de 1859. han satisfecho por id. de 566,936 rs. id....................................... 28 Por | billete del sorteo de I 4 de Febrero se les han satisfecho por id. de 633,000 rs…</t>
  </si>
  <si>
    <t>…tuviesen estos en su viaje para precaver un riesgo inm i­ DIRECCION GEN ERAL DE RENTAS ESTANCADAS tintas subastas, para las conducciones marítimas una, y la nente, deberán librarse por la Hacienda las estadías que Y C O N T A D U R IA G E N E R A L DE V A L O L E S. otra para las terrestres; en cuyas conducciones se han de se fijen á cada carro ó caballería por cada dia de deten­ comprender los efectos estancados que cada provincia ha­ ció n , precediendo al abono la justificación de los hechos En 5 de Febrero último se…</t>
  </si>
  <si>
    <t>…otales; y que por lo mismo Mauresa , autorizadas para recibir las parciales, y en cuyas ofi­ es indispensable vuelvan á estas los docum entos de esta cinas se hallará de manifiesto el pliego general de condiciones á C O N T A D U R IA G E N E R A L MES D E F EB R E R O clase, indebidam ente pasados á aquellas, subsanándose asi que el contrato ha de sujetarse. Y para que llegue á noticia de y por m edio de los cargos y abonos que esta operación DE VALORES, d e 1839. todos he dispuesto que este edicto tenga la circulación…</t>
  </si>
  <si>
    <t>…P U B L IC O Id. á los asentistas del suministro de las tropas de Vizcaya y G uip úzcoa, en i d . . 2 .0 0 0 ,0 0 0 Y En igual clase de efectos para diferentes obligaciones, y entre ellas la de víveres. 1.85f,5/|/&gt; C O N T A D U R IA G E N E R A L DE DISTRIBUCION. En libranzas sobre Amortización ...................................................................... 2 6 00 ,0 0 0 En una libranza sobre la Habana de ps. fs. 2 4 5 9 , y su liquido................................ 4 ^ ,000 Importe de vestuarios entregados por…</t>
  </si>
  <si>
    <t>…Esteban M a r t i n , en 8. Huercal, San Victoriano, por Gabriel Martínez, en 25. Remedios, por D. José A rnés, en 9. O tra id. en sierra A lham illa, cuesta de las Tejas, término Berja 2 de Abril de 1859.—Sánchez Dalp. T E N E D U R IA D E LIBROS SALIDA GENERAL. d e l o t e r í a s n a c io n a le s . M es de Noviembre de 1858. Por comisiones. Por abono hecho al administrador de Palma de Mallorca por su comisión en el sorteo de 12 de Julio ...................... ............. 64.. 2 7 . Extracto general de las cuentas de…</t>
  </si>
  <si>
    <t>…TE OFICIAL. Su Magestad la R e i n a . , s u augusta Madre la R e i n a G obern adora y la Serenísima Señora Infanta Doña María Luisa Fernanda, continúan e n e s t a c o r t e sin n o v e d a d e n su importante salud. T E N E D U R IA D E L IB R O S Ganancias d los jugadores. d e lo t e r ía s n acionales. M es de Diciembre de 1838. Por i billete del sorteo de 8 de Enero de 1858 se han satisfe­ cho á los jugadores á cuenta de los 274,580 rs. que les cor­ Extracto general de las cuentas del tesorero y$Je los adm inistrado…</t>
  </si>
  <si>
    <t>…lete del sorteo de 13 de Noviembre.se les han satisfe­ salud. _ cho por id. de 687,840 rs. id..................... ................................., 20 Por £ billete del sorteo de 26 del mismo se les han satisfecho T E N E D U R IA D E LIBRO S por id. de 635,520 rs. id............................................... 100 d e l o t e r í a s n a c io n a l e s . M es de Junio de 1839. Por £ billete del sorteo de 13 de Diciembre se les han satisfecho por id. de 447,100 rs. id............................. 499 Por 1 bille…</t>
  </si>
  <si>
    <t>…ovedad en su importante Por 1 pagaré de la extracción de 5 de Noviembre id de 125,928 salud. id. i d . . . . ..................................... 28 Por i billete del sorteo de 15 del mismo seles han satisfecho por T E N E D U R IA D E L IB R O S id. de 6 8 7 ,8 4 0 rs. id. id .................... 80 00 : K*' DE LOTERÍAS NACIONALES. M es d e M ar P ** 1 Por £ billete del sorteo de 2 6 de id. se Ies han satisfecho por id. Extracto general de las cuentas del tesorero y de los administrado res, por las cantidades iner…</t>
  </si>
  <si>
    <t>…sin novedad en su importante 12 0 \ Por i billete del sorteo de 15 de Noviembre id. de 6 8 7 .8 4 0 rs. salud. id. id ........................ 100 Por X billete del sorteo de 15 de Diciembre id. de 4 4 7 ,1 0 0 rs. T E N E D U R IA . D E L IB R O S id. id.................... DE LOTERÍAS NACIONALES. M es de A bril de 1859. 100 Por 1 pagaré de la extracción de 2 4 *deí mismo id. de 165,556 reales id. i d . . . . 42 Extracto general de las cuentas del tesorero y de los administradores, por las cantidades ingre­ Por i…</t>
  </si>
  <si>
    <t>…................ 80 salud. Por 2 pagarés de la extracción de 6 de Mayo se les han satis­ fecho por id. de 250,594 rs. id. id ......................... 78 Por i billete del sorteo de 11 del mismo se les han satisfecho T E N E D U R IA D E L IB R O S por id. de 655,640 rs. id..... id ....................................................... gO de lo t e r ía s nacionales. M es de Agosto de 1839. Por 2| billetes del sorteo de 27 de id. se les han satisfecho por id. de 709,200 rs. id. id.......................................…</t>
  </si>
  <si>
    <t>…o .. . 11541818 52156/,4.. 3 14 5 57462.. Doña María Luisa F e rn a n d a , continúan en esta co rte sin novedad en su im portante salud. R ecau d ación . Por aguardiente y licores (atrasos)................. ¿ 3^ C O N T A D U R IA G E N E R A L M ES D E MARZO . Anualidades y vacantes 39057 12 59057 1 DE VALORES. _______ d e 1 8 3 9 _______ Ai bitrios municipales y particulares ......... .......... 17065"* 2 4 17065* 2 Atrasos de contribución hasta fin de I 8 J 4 . . .......... 12921, 6 1292L Bienes secularizados y…</t>
  </si>
  <si>
    <t>URIA</t>
  </si>
  <si>
    <t>t T E N E D U R I A . D E L IB R O S Gastos de extracciones y sorteos. r»E l o t e r ía s nacionales. M es de Julio de 1838. Por cuenta de los ocasionados en la extracción de 2 de Julio de 1838....................................... . . . ............................................. 4705..26* Extracto gene…</t>
  </si>
  <si>
    <t>URIAGENERALDE</t>
  </si>
  <si>
    <t>…a­ tanar de la Orden y Marzo 15 de 1859.—El presidente del lá secretaría de la misma dirección general , en la cual y en la da del escribano de número D . Santiago de la Granja , se cita, ayuntam iento, Felipe Moreno. C O N T A D U R I A G E N E R A L D E D IS T R IB U C IO N . Mes de Enero de 1859. R E SU M EN . Importa el cargo..................................... 2 7 9 0 7 8 7 1 5 .. 5 S itado general de las cantidades que existían en fin de D iciem bre de 1858. en la tesorería de Idem la data .............. .. 1 0 4 7 3…</t>
  </si>
  <si>
    <t>Urraca</t>
  </si>
  <si>
    <t>…o que se le otorga para dar suelta a su imaginación y á con el.Sr. Bretón, nos hubiera excusado el tener ahora que D espués de la te rce ra ................. .. ♦. , ............................ . 4ÓO su inspirada fantasía. Doña Urraca no es seguramente la serlo nosotros con entrambos. D espués de la c u a r t a . . . . . . . .............. Í6 2 8 débil niña que nos cuentan los coronistas; aqui es una ¡ E l artícu lo 9 UO es una de esas comedíelas que no atre­ E a su m a y o r t a m a ñ o . . . . . . . . . . . . . . . . *…</t>
  </si>
  <si>
    <t>Urrea</t>
  </si>
  <si>
    <t>…eblo contra, uo in­ una obligación pasiva, la de obediencia; y que cuantos alteran líticos. vasor extrangero; endulzar las pasiones políticas, é imprimirles la paz, traicionan á la República y se hacen merecedores de El general Urrea no'se hallaba en la plaza, y hasta á él la dirección conveniente para que no causen la ruina de la na­ corrección y castigo. le alcanzan los^beneficios de la capitulación, si quiere acoger­ ció n , atormentada y debilitada ya por innumerables extravíos; M uy sensible es al ejército y al Gobier…</t>
  </si>
  <si>
    <t>…Rey José de 2003 francos pa­ derados con los socorros necesarios para retirarse á sus casas* en las orillas del muelle d ’O rsay , eo el terraplén de las T ulle- ra los usos que le indica en una carta cerrada. 8 .° Si el general Urrea se acogiere á esta capitulación 1c rías , han asistido á estas regalías &gt;en las cuales han brillado Deja igualm ente 1503 francos á sus albaceas testamentarios será extensible con tal que no permanezca en ningún punto de el talento y la agilidad de los contendientes. Concluidos los jue­ para d…</t>
  </si>
  <si>
    <t>…as por los generales Cos, Canalizo y Piedras, y las fuerzas para fundar nada , se uniesen únicamente para destruir, y que venidero la requisición de caballos. Y observando S. M. sublevadas del partido federal al mando del general Urrea, en la en lugar de marchar á la conquista del Gobierno haciendo que que hasta el dia va requisado en todo el reino un número que fueron las primeras derrotadas con pérdida de 500 hombres participen de sus convicciones los poderes públicos, pusiesen muy limitado comparado con el de 65 decretado…</t>
  </si>
  <si>
    <t>…angre que se ha ver­ y de Veracruzá elNueva llegad? Orleqns, y que salió de Tampico el 18 tido. El ha pagado ya tantos crímenes espirando en .el patíbulo hecho prisiónero 11 de M ayo, la noticia de que en efecto fue el general Urrea, y llevado á la capital de El capitán general de Galicia dice desde Santiago el 15 de que habia merecido. Méjico herido. Igualmente se asegura por muy cierto que las este mes, que el 9 fue atacada por el destacamento de Cástrelo S. E. el Presidente regresará mañana para Puebla; y estan­ trop…</t>
  </si>
  <si>
    <t>…n la calle de S. M artin. De Tampico se sabe que los federalistas habían sido derro­ nel Pelion , ayudante de campo del Ministro de la Guerra. E 11 El segundo despacho que ha llegado á las siete de la tarde tados; que el general Urrea había vuelto á aquella ciu d ad , h u ­ otros muchos puntos los grupos aislados detenían á los tran ­ dice lo que s ig u e : yendo de la quema , y que Mejía se hallaba estrechamente blo­ seúntes, disparando contra los soldados, y huyendo á todo cor­ "1 4 de M ayo á las cinco y m edia.rrE l M i…</t>
  </si>
  <si>
    <t>…e caballería, 11a- de un choque que amenaza de cerca entre las tropas del gene­ dora y la Serma. Sra. Infanta Doña María Luisa Fernan­ l mado Narciso de Liras, pertenecientes ambos á la gavilla de ral Bustamante y las del general Urrea que parece han salido á Saturnino. Que la columna de Orense dió muerte al faccioso encontrarse, y deberá decidir de la suerte política de la Repú­ da, continúan en esta corte sin novedad en su importante J Eustaquio Fernandez, de la parroquia de M acendo; y por lil- blica , es decir, del triu…</t>
  </si>
  <si>
    <t>…ficial del Sr. general D. M ariano P aredes, fecha 9 del cor­ Esa es puramente materia de opinión, y que entre unos y El alm irante austríaco en el A rchipiélago ha recibido la riente, manifestó en contestación dicho Sr. general Urrea su otros debe! dec id irse ; estando nosotros m u y lejos de querernos orden de su Gobierno de unirse al almirante Slopford , en el disposición á adoptar por su parte todos los medios de hacer mezclar en sus querellas interiores, rnucho roas cuando vemos caso de que pudiese ponerse de acuerdo…</t>
  </si>
  <si>
    <t>…n entusiasmo y/salvas triples de está reducida á L menor expresión y precisado á reudirse. demostrado del modo mas satisfactorio el placer que le» causa f u sile ría, y re&amp;úevan los concurrentes y confinados, y hace re­ r El Sr. Urrea ha entrado en Taro pico con unos m uy mise­ v er los progresos de esta empresa , prestándose, asi como todas sonar la música con tocatas patrióticas que arrebataron otros rables restos que ha reclutado por violencia en algunos pueblos, las autoridades, á cuanto pueda contribuir á que se realic…</t>
  </si>
  <si>
    <t>Urries, Rafael</t>
  </si>
  <si>
    <t>Rafael Urries</t>
  </si>
  <si>
    <t>…ori­ cas Alcaldes: primero D. Juan Romero y Tello, segundo D. Lu­ Piñeiro, tercero D. Manuel Teruel. ginal de D. Josc Lorenzo Figueroa, su título Isabel de la Descuento de letras , á 6 por 100 al año. Paz. Regidores: primero D. Rafael Urries, segundo D. Tadeo Sentimos sobremanera que los cortos límites de nuestro pe­ López Rebolledo, tercero D. Santos Sanz, cuarto D. Manuel ! ■■«■"I.' ■. ■■■ riódico y los muchos materiales preparados para este dia, nos Ezrnir , quinto D. Custodio izquierdo, sexto D. Rudesindo Gea. PROVIDE…</t>
  </si>
  <si>
    <t>Urriola</t>
  </si>
  <si>
    <t>…biernos afianza y asegura la paz todo su parque que era respetable: que al momento de salir el hecho por el terror que habia logrado infundir dicho cabecilla exterior; y persuadido al mismo tiempo de que todas las na­ Sr. coronel Urriola, que fue una hora después de la batalla, era con sus atrocidades en los pueblos de aquella comarca , y tanto ciones son moralmente iguales, cultivaré francas y leales rela­ incalculable el número de prisioneros que estaban en nuestro po­ dicha autoridad como el expresado capitán general reco…</t>
  </si>
  <si>
    <t>Urrutia, Antonio Fernandez</t>
  </si>
  <si>
    <t>Antonio Fernandez Urrutia</t>
  </si>
  <si>
    <t>…érmino del Pre­ ce asi : los sugetos siguientes: D. Diego Perea Buendia , D. Ju an M i­ sidio , Santa E ugenia, á D. Francisco Nuñez Dorado , en id. Sentencia. En pleito que sigue en este tribunal D. Ju an guel de los fRios, D. Antonio Fernandez Urrutia , D. Carlos Otra id. en dicho sitio , la Casualidad, á D. Antonio C a­ Quintana de Triaba , su procurador J o sé T eijeiro, demandan- x Gutiérrez de la T orre, D. Manuel Abascal , D. Mariano Oso- ballero, en id. te de una parte: Andrés Diaz Pardo y mas testamentarios de r…</t>
  </si>
  <si>
    <t>Urrutia, José</t>
  </si>
  <si>
    <t>José Urrutia</t>
  </si>
  <si>
    <t>…, juez togado de pri­ este año asciende, según documentos oficiales, á las siguieotes que se vayan reuniendo, no carezcan de los auxilios pre­ mera instancia de esta capital y escribanía del número del car­ cantidades. go de D. José Urrutia , ha mandado S. S. por auto de 2 del Yinos del Cabo de Buena-Esperanza 56,500 gallones: vinos cisos, particularmente en despoblado, en que es difícil corriente á instancia de los síndicos, entre otras cosas, que para de Francia 54,286: vinos de Madera 12,855: vinos de Oporto proporcioná…</t>
  </si>
  <si>
    <t>URÍ</t>
  </si>
  <si>
    <t>…de los que remitirán copias certificadas bricas á las capitales de las provincias no son objeto de las a esa dirección y contaduría generabde Valores, asi cómo subastas que deben realizarse, porque están lo mismo que C O N T A D U R ÍA G E N E R A L D E D IS T R IB U C IO N . del pliego de condiciones, uno y otro antes del 15 de su fabricación a cargó de la empresa de Llano Chavarry, A bril, bájoé'la efectiva responsabilidad de los intendentes con quien el Gobierno las tiene contratadas. * Circulares. y contadores, para que…</t>
  </si>
  <si>
    <t>…............................... 120 Por i billete del sorteo de 25 de Agosto se les han satisfecho por id. de 588,800 rs. id........................ ' Por f billetes del sorteo de 27 de Octubre se les Han satisfecho T E N E D U R ÍA D E LIB R O S por id. de 650,960 rs. i d . .............................................................. 150 DE LOTERÍAS NACIONALES. Mes de Febrero de 1859. Por 1| billetes del sorteo de 15 de Noviembre sé les han satis­ fecho por id. de 687,840 rs. id .....................................…</t>
  </si>
  <si>
    <t>USO, BARRIO AY</t>
  </si>
  <si>
    <t>BARRIO AY USO</t>
  </si>
  <si>
    <t>…rnilla, D. Antonino postura en 1200 rs.), y para su remate se ha señalado el dia ú otro sentido. de U riarte, D. Adriano de las Bárcenas, D . Valentín Sigüen- 13 del corriente y hora de once á doce de la mañana en la casa El Sr. BARRIO AY USO : N o es justo que á unos se les za y D . Luis B ion, quienes declararon por unanimidad no ha­ posada de dicho señor que la tiene calle de Bordadores, núme­ deje hablar todo...... ber lugar á la formación de causa. Madrid 9 de Setiembre ro 1 2 , cuarto segundo. El Sr. PRESIDENTE (con…</t>
  </si>
  <si>
    <t>USTRI</t>
  </si>
  <si>
    <t>…d. EL CORRESPONSAL, que respira la segunda parte del a cto, nos parece imposible des­ C ádiz, ¿ id. Z a ra g oza , par. cribirlos , ni nos es fácil dar la mas débil idea hasta dónde afec­ P E R IO D IC O M E R C A N T I L , IN D U S T R IA L Y P O L IT IC O . tan al espectador la apasionada elocuencia de la nobleza caste­ Descuento de letras , á 6 por 100 al año. llana v del conde de Trastamara hasta donde hemos sido n o - Se publica en M adrid á las cinco de la tarde desde 1.° de «otros afectados. Junio de 1859. Volvemos…</t>
  </si>
  <si>
    <t>…or comisarios federales de­ ducido, y al mismo tiempo peligroso. Berlin es en toda la A lem a­ legados de la Dieta con el título de Representantes de la Con­ nia la capital donde Strauss se hallaba en su l u g a r ; pero de IN D U S T R IA E X T R A N G E R A . federación. Aprobado por la asamblea el proyecto de Constitu- ninguna manera convenia llamarlo á otra c iu d a d , en la que &lt;i o n , debia someterse á la aprobación del pueblo; y desde que los que producen una sublevaciou la hacen bajo un pretexto re­ El voto sobr…</t>
  </si>
  <si>
    <t>USTRIAL</t>
  </si>
  <si>
    <t>…Abril . las sociedades secretas en las varias revoluciones que han con­ un asiento en su hogar doméstico, y hasta la palabra en las movido á la Europa por espacio de medio sig lo : causa pertur­ calles. SUCESO L A T R O - I N D U S T R I A L . badora, tanto mas poderosa cuanto mas o c u lta , y que ha pro­ Como si no bastase ocasionar este trastorno en el orden y ducido muchos y notables efectos, que han solido atribuirse concierto del E stado, las asociaciones secretas llevan también la Entre los robos que se repiten ta…</t>
  </si>
  <si>
    <t>Uzelay, Lorenzo</t>
  </si>
  <si>
    <t>Lorenzo Uzelay</t>
  </si>
  <si>
    <t>…director, quien se Sobre los referidos baños no sabemos qué juzgar cuando ai D. José Ramírez. afana por dar a su teatro toda la variedad posible. Como p rin ­ tores antiguos en las relaciones del Alcázar nada dicen de tal \ D. Lorenzo Uzelay. cipal elemento de esta , piensa aquel poner en escena gran nú­ baños que no debían pasar eo silencio, si no por el mérito ( i D. Joaquín Liedó. mero de novedades,y ajustar otra primera dama ademas de la ellos, que es n u lo , al menos por la persona de quien toman I D. Antonio Coba…</t>
  </si>
  <si>
    <t>VA, DE AD</t>
  </si>
  <si>
    <t>DE AD VA</t>
  </si>
  <si>
    <t>…reunidos—Secretaría el 2 7 , después de varias explicaciones que mediaron entre lord de campaña— Excmo. S r . : Terminada felizmente las operaciones John Russell y muchos individuos acerca de las jmedidas pre­ DIRECCION GENERAL DE AD VA N A S Y RESGUARDOS. ventivas ú otras que pudieran ser necesarias para calmar la a g i­ sobre Ramales ,m e decidí á emprenderlas nuevamente sobre O r - tación popular que se manifiesta en ciertas ciudades. (.Debats .) Segunda sección. duña , c u y a ocupación es de suma importancia , por…</t>
  </si>
  <si>
    <t>VACANTE</t>
  </si>
  <si>
    <t>…poniéndose al fin del segundo tomo uno las salas consistoriales los jueces de hecho D. Manuel Sacz , Don de todas las doctrinas contenidas en la obra , el cual tiene el Cristóbal Veces, D. Juau Santandreu , D. José Lacosta , Don VACANTE. doble objeto de que se encuentren roas fácilmente las materias José Pascual , D, Bernardo D olé, D. José Preyo y Cacho, Don que se busquen, y de presentar en compendio cuanto de ellas Joaquín M Aral y D. Manuel Pardillos, sorteados conforme á S E halla vacante el partido de médico de Z orno…</t>
  </si>
  <si>
    <t>VACANTES, Don</t>
  </si>
  <si>
    <t>Don VACANTES</t>
  </si>
  <si>
    <t>modo tenga lugar la acción protectora de nuestros apostaderos t-o distinguido y benemérito capitán general el Excmo, Sr. Don VACANTES. n ava le s,.sin perjudicar los derechos neutros. Joaquín de Ezpeleta , la ilustrada y diligente consulta del se­ En casos urgentes, y cuando el Gobierno de la Reina m a­ ñor D. Ignacio Crespo y Pones de León , asesor general primero S E halla vaneante el partido de médico de la v illa…</t>
  </si>
  <si>
    <t>Vadillo, José Manuel</t>
  </si>
  <si>
    <t>José Manuel Vadillo</t>
  </si>
  <si>
    <t>…t, que fa­ Los 17,500 hombres necesitan en los 50 dias 8750 racioues; Huesca. — D. M ariano Torres y Solánot. cilitaría al enemigo una tenaz resistencia. y presupuestando 1250 para las eventualidades, será el núm e­ Jaén. := D. José Manuel Vadillo., El de Vich participa de los mismos inconvenientes de mal ro total de pan y etapa un millón. * w- ’ León. — D. Francisco Verea Cornejo. piso, de su longitud, que es el de 12 horas, y de tener que Suponiendo como queda dicho el número de caballos de ba­ Lérida.z=D. Ramón Sisear…</t>
  </si>
  <si>
    <t>Vaiée</t>
  </si>
  <si>
    <t>…icos franceses.) llegado á ser proverbiales entre nosotros , no menos que su ad­ con instancia la autorización para tomar parte en las operacio­ mirable facilidad para versificar. ¿Pero basta esto en nuestros nes que el mariscal Vaiée juzgue conveniente dirigir contra Con fecha del i.° del corriente escriben de la Cerdaña fran­ tiempos, en que todos los objetos se han engrandecido , en que Abd-el-Kader. El Gobierno ha dado carta blanca al mariscal, cesa á un periódico de la frontera. los deberes de cada profesión se han he…</t>
  </si>
  <si>
    <t>Valbuena, Gabriel</t>
  </si>
  <si>
    <t>Gabriel Valbuena</t>
  </si>
  <si>
    <t>…ento el Sr. Martin. Se resolvió pasara á la comisión de Actas El Sr. SU RR A dijo que se estaba votando una ley que te­ nia reLcion con los efectos que produjo la política de Carlos v BOLETIN DE COMERCIO. 1.° Un oficio de D. Gabriel Valbuena, Diputado electo y de Felipe it , en cuyos reinados fuimos á buscar á tierras ex­ BOLSA D E M A D R ID . por la provincia de León , en que manifiesta que estando en trañas uu metal precioso, dejando abandonada nuestra agricul­ esta corte para presentarse á desempeñar e te cargo, se…</t>
  </si>
  <si>
    <t>Valdeo, Ory. Ptodriguez</t>
  </si>
  <si>
    <t>Ory. Ptodriguez Valdeo</t>
  </si>
  <si>
    <t>…elocuencia popular que dio á ó*° E L P R E S ID IA R IO , tonadilla antigua , á dúo. E N virtud de providencia dictada por el Sr. D. Juan José este la primacía entre los oradores de todas las edades - sin 4 ° Manchegas del conde Ory. Ptodriguez Valdeo&amp;era, juez togado de primera instancia embargo, las oraciones y cartas de Isócrates son útiles sobre­ 5.° Dúo de la opera I Capuleti ed i M ontcchi, del raaei- de esta corte, refrendada del escribano de S. M., del número del manera, ya por la alta dignidad de sus asuntos, ya t…</t>
  </si>
  <si>
    <t>Valdeoca</t>
  </si>
  <si>
    <t>…ministros turcos no pueden emprender nada sin hallarse rodeados de lazos tendidos por I03 agentes rusos á quienes cono­ d o r a y l a Serma. Sra. Infanta Doña María Luisa Fer­ Saso , J u a n M anuel de los Rics.r:E l alcalde de Valdeoca, Pedro cen , pero no se atreven á deshacerse de ellos, porque temen á su nanda, continúan en esta corte sin novedad en s u i m - García Corral Mayo.zrEI alcalde presidente de Y uso , Francisco poderosa vecirra, y no tiene bastante confianza en el apoyo de la Gutiérrez Sigler. El alcalde pr…</t>
  </si>
  <si>
    <t>Valdeose-, D. Juan José Rodríguez</t>
  </si>
  <si>
    <t>D. Juan José Rodríguez Valdeose-</t>
  </si>
  <si>
    <t>…á la con­ 331 y 52 cinco dieziseisavos á v. f. vol. y iirme: ^ 4 , 3 &gt;¥9 taduría de la Excma. Sra. condesa del M ontijo, sita en la pla­ 1 ; y 34 á v. f. ó vol. á prima de 1 , f y 1 por 100 con copones. J3 0 R providencia del Sr. D. Juan José Rodríguez Valdeose- zuela á las y casas del conde de M iranda, el lunes 21 del corriente once de la mañana, en que se verificará el remate en el Inscripciones en él gran libro á 4 Por. *00, 00, ra* caballero comendador de ia cruz americana de Isabel mejor postor. Títulos al portador…</t>
  </si>
  <si>
    <t>…fSa segre­ correspondiente oficio al Excrno. Sr. gefe político superior de gada por los arquitectos D. Bartolomé Tejada D iez y D . F ran­ esta provincia pará'qué se sirva disponer se alce la retención ip O R providencia del Sr. D. Juan José Rodríguez Valdeose- cisco García Martínez de la de la caite de la Luna cou vuelta acordada de las cantidades del depósito que existe en el Banco á la de Panaderos y Cruz V erde, lYúms. 1 5 , 1 6 , 17 y 18 de la ra , juez togado, de primera instancia-de esta capital , re­ español de 8…</t>
  </si>
  <si>
    <t>Valdeosera, D. Juan José Rodriguez</t>
  </si>
  <si>
    <t>D. Juan José Rodriguez Valdeosera</t>
  </si>
  <si>
    <t>…821. Idem de un sugeto desconocido, sentado y registrando un P an publicado en 4 de Agosto de Í856. libro , pintado por dicho Yelazquez y grabado por Muntaner Plan de Calomarde en 14 de Octubre de 1824* T)OR providencia del Sr. D. Juan José Rodriguez Valdeosera, (F.) con inteligencia y buen color. Tiene 12 p. y 6. 1. de alto, caballero comendador de la Real orden americana de Isa­ y 9 p. y 8 1. de ancho: precio antiguo 16 rs., y moderno 10. bel la Católica , juez togado de primera instancia de Madrid, refrendada de D. Man…</t>
  </si>
  <si>
    <t>Valdeosera, D. Juan José Rodríguez</t>
  </si>
  <si>
    <t>D. Juan José Rodríguez Valdeosera</t>
  </si>
  <si>
    <t>…. . 52000 ps. f s . . . . 52000 Sr. D. Manuel Francisco de Sampelayo, y en virtud de Los Perales, en Riscallena, cuatro pertenencias ; la Presa, 1................... d e ......15000..................... 15000 providencia del Sr. D. Juan José Rodríguez Valdeosera , caba­ en Riscallena, cuatro pertenencias, ambas en términos de T u - 1 .................. d e .........6000..................... 6000 llero comendador de la Real orden Americana de Isabel la Ca­ riellos, del concejo de Langreo. 5 . ................ d e ........ 2…</t>
  </si>
  <si>
    <t>…ectivos de los que se acudieron al juzgado de primera instancia de esta corte que es­ á poner en escena la aplaudida ópera en dos actos, del maestro encuentran en uuo y otro caso, y cómo se concillarían ambos tá al cargo del Sr. D. Juan José Rodríguez Valdeosera, por la Bellini, titulada por medio de uoa ley cuyo proyecto ha de acompañar á la escribanía del número de D. Francisco Autero Casado, hoy memoria. vacante, soiieitaudo que con su autoridad é intervención se NORM A, 3.° Igual premio al autor del mejor ensayo que…</t>
  </si>
  <si>
    <t>…una larga discusión en que se han teoido presentes cuantas razones y reflexiones han parecido oportunas, habien­ lógicos de su familia, 16 rs. do procedido á la votación en la forma que prescribe la ley, TJOR providencia del Sr. D. Juan José Rodríguez Valdeosera, Noticia biográfica del marques de la Ensenada, 2 rs. ha resultado del escrutinio nueve votos en favor de la absolu­ Id. del célebre general de marina D. Alvaro de Bazan, ción del escrito denunciado por D. Jaime Vicente Gómez y bel laCaballero comendador de la Real…</t>
  </si>
  <si>
    <t>…obras, puedan estar zanjadas estas dudas, no haya en­ marques de Campo Real, que penden por el juzgado del pirituosas que el consumo de Londres desde 1.° de Enero de torpecimiento en su ejecución, y estos penados, y los demas Sr. D. Juan José Rodríguez Valdeosera , juez togado de pri­ este año asciende, según documentos oficiales, á las siguieotes que se vayan reuniendo, no carezcan de los auxilios pre­ mera instancia de esta capital y escribanía del número del car­ cantidades. go de D. José Urrutia , ha mandado S. S. por a…</t>
  </si>
  <si>
    <t>Valdeosera, Juan José Rodríguez</t>
  </si>
  <si>
    <t>Juan José Rodríguez Valdeosera</t>
  </si>
  <si>
    <t>…n auto de 2 de mo autor. espinos se lanzan repentinamente á los aires millares de cente­ Marzo último por el Sr. juez togado de primera instancia de llas volantes, ligeros fósforos, que sin duda son las almas de esta capital D. Juan José Rodríguez Valdeosera , y anunció en los muertos. Al mismo tiempo la luna , desde lo alto de la tor­ la Gaceta y Diario de avisos de 25 del propio raes; ha resuel­ Catálogo de las mejores estampas que se hallan de venta en re inclinada, lanza sus rayos vacilantes sobre las paredes, po­ to…</t>
  </si>
  <si>
    <t>Valdepeñas</t>
  </si>
  <si>
    <t>…que esta ocurrencia produzca algún desafio. Se M anzanares..................................... Oscuro. las reglas no pueden servir para crear los pensamientos de una recuerda que durante la guerra de la independencia el general Valdepeñas...................................... Blanco. composición, ayudan infinito á expresarlos debidamente mos­ C h lapo w A i pasó por el territorio prusiano coa el cuerpo del S ign ifica ción . trando los escollos que deben evitarse, y la segunda porque no general Glelgud. h a y sentimiento a…</t>
  </si>
  <si>
    <t>Valdes</t>
  </si>
  <si>
    <t>…uno, El Sr. A R M E N D A RIZ: Antes de contestar á las razones El Sr. Secretario M U R O : Señores, admitida ayer la en­ reducido á que en caso de que los ayuntamientos hayan de se­ que en apoyo de su opinión ha emitido el Sr. Valdes, y por­ mienda ó voto particular de los Sres. Camaleño y Polo y Mon- guir ó sostener un litigio á que fuesen provocados por otras que el asunto lo requiere, ruego al Sr. Presidente se sirva m an­ ge, se acordó trasponer los párrafos 9.°, 10 y 11 del art. 4 .0 al corporaciones ó personas, pu…</t>
  </si>
  <si>
    <t>VALDES</t>
  </si>
  <si>
    <t>…e artículo, el rarno de los teatros en M adrid párrafo 1.° desde donde de cía, " p a r a que el gefe político d e ” rios de oficinas y haberes de empleados ac­ estará a cargo exclusivamente del alcalde, de modo que se van El Sr. V A L D E S , indicando que pendían dos clases de a c u e r­ tivos y pasivos de todos los ministerios i n ­ escatimando y se va estrechando tanto el círculo de las atribu­ dos de los ay u n ta m ie n to s, pidió que se hiciese una excepción clusos los regulares de ambos sexos................ 1 .6 6…</t>
  </si>
  <si>
    <t>…u n t o ? S i no es este el en t ie m p o o p o rtu n o . m en te se h a b ía propuesto co n te sta r á u n a o bserv a ció n del señor m o m e n t o , creo q u e sea lo q u e q u i e r a no p u e d e h acerse m a s q u e El Sr. V A L D E S d ijo qu e m ed ia n te á ser la h o r a b as ta n te co n de , d ic ie n d o q u e en as u n to s corno este , y no o tro s , corres­ a ten ern os á lo q u e es re alizab le . a v a n z a d a , y la r e fer id a petición de a lg ú n ín t e r e s , ro g a b a ó la p o n d ía q u e se t…</t>
  </si>
  <si>
    <t>…LENA Y SOLEMNEMENTE a u t o r i z a d o s , q u e cia nuestra esto era tanto como trasladar el poder municipal al voto particular , es f a l s o , i n v e n t a d o y c a l u m n i o s o cuanto Contiene d ic h a Gobierno. El. Sr. V A L D E S hizo ver que las disposiciones de esta ley c a r t a : f a l s a y c a l u m n i o s a la perniciosa in flu e n cia q u e se Segunda: Si todos los pueblos de cada provincia han de podian estar en oposición con lo determinado en la de dip uta­ supone al ilustre gen eral á q u ie n se in…</t>
  </si>
  <si>
    <t>Valdés</t>
  </si>
  <si>
    <t>…r, y herido ©l tigre ex-conde Legación del Perú en el Ecuador.^Quito á 22 de Marzo de un balazo que le atravesó el hombro izquierdo. Mucho de­ de I8ñ9.z=9.° (Por extraordinario.) seamos se confirme tan buena nueva ,&gt;y que el Sr. Valdés haya Señor: La confederación Perú-Boliviana esconcluida.rrEl 15 tan felizmente empezado su campaña en Cataluña. del corriente arribo á la Puná la corbeta de S. M. B. Samarán Parte telegráfico,=Paris 13 de Julio á las cinco de la tar- conduciendo á su bordo al general Santacruz , á los genera…</t>
  </si>
  <si>
    <t>…hemos venido á tocar una cues­ del 45 de infantería de línea. {Standard.) dedor cubiertos de masas en bastante orden dé un modo im po­ tión muy vital en el ramo de la instrucción , á saber: cuál es­ nente; roas el digao general Valdés mandó á nuestro valiente tudio es el mas conveniente: el de memoria ó el de reflexión. Hubo Aspiroz atacar con su división en columnas paralelas de frente un tiempo en que el estudio de memoria era exclusivo , y como y al paso de ataque aquel formidable anfiteatro ; y como para un escolar r…</t>
  </si>
  <si>
    <t>…aré con gloria, y que dulcifi­ gio , se llamaba Turlin. Se conserva de él un discurso impreso ca las tareas de mi destino , siéndome tan grato por vuestro acerca de la utilidad de los viajes , premiado en 1788 por la El general Valdés á los habitantes de Galicia.- S. M. la au­ porte y temple de alma particular que os distingue, que lo academia de Dijon. gusta Reina Gobernadora se ha dignado conferirme el mando contaré en las páginas de mi vida como uno de los mas hono­ Mr. Billecocq, literato conocido, especialmente por su…</t>
  </si>
  <si>
    <t>…a de H u ete, con réditos anuales de 13,666 m a - Gobierno y de las direcciones generales. vicios de los que se podían esperar. ravedí$*: .i.*:-; í l ‘ ' .■ Y otro, situ^do en el puerto de V illa rta en el servicio y El general Valdés ha logrado , á fuerza de movimientos es­ M ontazgo, que reditúa al año 2 23 m rs.’ tratégicos y con fuerzas inferiores á las enemigas , in tro d u c ir Catálogo de lasi mejores estampas que se hallan, de venta en Dichos juros están en cabeza de D . J u a n del Pozo, canóni­ el convoy eu S…</t>
  </si>
  <si>
    <t>Valdés, Antonio María Paco</t>
  </si>
  <si>
    <t>Antonio María Paco Valdés</t>
  </si>
  <si>
    <t>…1859.=Relacion de los registros y renuncias rando á lo alto descubrí varios buitres de un grandor ex-, cesívo, que descendían como si en aquel momento hubie­ ? , Denuncias . de minas ocurridos en dicho enes. En 22 de Julio D. Antonio María Paco Valdés , propie­ Una mina plomiza, sita en sierra de G ador, barranquillo de O viedo,tario de Cobiella , en el concejo de Cangas de Onís , provincia sen sido abortados por alguna nube invisible, y caye­ pidió el registro de una perteuencia sobre el cria­ del Infierno, término…</t>
  </si>
  <si>
    <t>Valdés, Gerónimo</t>
  </si>
  <si>
    <t>Gerónimo Valdés</t>
  </si>
  <si>
    <t>…s pueblos de la provincia de Bada* tiandad á que se unan en una liga general para la completa joz reclamando contra las elecciones de dicha provincia. extinción del tráfico de esclavos, y confio que con la ayuda de citosBando.=D. Gerónimo Valdés, teniente general de los ejér­ Se di ó cuenta y quedó aprobado , después de una ligera dis­ la Providencia mis esfuerzos en tan justa causa se verán coro­ ! rior, nacionales, capitán comandante general de la Guardia Real exte- general de este principado, y en gefe de su ejér- cus…</t>
  </si>
  <si>
    <t>…esés antes del 12 de.Mayo viví» en Idem 5. Marbelia 1.° de Junio de 1839.=Francisco de Sales García. la calle Bourg-l'Abbé en compañía de Doy y d* Meillard , y le eran desconocidas las opiniones republicanas.de este, con las D. Gerónimo Valdés, teniente general de los ejércitos na - cuales no Acá podía estar conforme. Invitado a que manifestase la circunstancia do haber reci-&gt; Clónales, com andante general de la Guardia Real e x te rio r, ca­ CORRESPONDENCIA DE LA GACETA. p itán general de éste principado, y en gefe de…</t>
  </si>
  <si>
    <t>…porque quiero que conste. El capitán general de Cataluña y en gefe de su ejército de mente en las provincias del N o rte, fruto de la sangre vertida El Sr. C A B A LLER O : No consta en el acta la lectura de los operaciones, D. Gerónimo Valdés, da parte al Gobierno en por los valientes soldados de la patria , de la pericia del ilustre artículos del reglamento que pidió el Sr. conde de las Navas ea comunicación de 5 del actual desde Maoresa del reconocimien­ general que los acaudilla y del tiúc del Gobierno de V. M. la ses…</t>
  </si>
  <si>
    <t>…y confuso ruido de las armas sucederá el uniforme A yer mañana volvió d salir el Excmo. Sr. capitán general quedarán consignados en la historia, formando en ella la épo­ movimiento de la mecánica, la mesurada y noble ocupación D. Gerónimo Valdés. (Id . ) ca mas memorable de nuestro siglo. Por esto, aunque los em­ del labrador y artesano, y la prodigiosa marcha de los nego­ pleados del Gobierno de V . M. ofrezcan sus homenajes de cios que animan la existencia del comercio: nuestros hijos lee­ congratulación al tro n o , no po…</t>
  </si>
  <si>
    <t>…extensión , dependen esencial­ puerto la fragata Isabel //, trayendo á su bordo al Excmo, se­ nes , teniéndolo acreditado en tres exámenes que ha tenido la mente de esta institución protectora y represiva á la vez, que la ñor D. Gerónimo Valdés, nombrado por S. M. capitau gene­ satisfacción de dar á sus alumnas. (Diario de Sevilla.) Carta constitucional ha confiado á uno de los grandes poderes ral de este ejército y principada. políticos del Estado. Parece que S. E. manifestó que no deseaba desembarcar has­ Los hechos de…</t>
  </si>
  <si>
    <t>Valdés, Juan Argiielles</t>
  </si>
  <si>
    <t>Juan Argiielles Valdés</t>
  </si>
  <si>
    <t>…mientos de sus conciuda­ Ordenes, por renuncia de D. Antonio García Veas, del hábito Nuestra desgraciada patria ha dado al mundo entero en la hor­ danos , faltaría á su deber si no expusiese á los pies del tro­ de Montesa, á D. Juan Argiielles Valdés, regente de la audien­ rible lu c h a , cuyo término está próximo, ejemplos admirables no los de gratitud y entusiasmo de que se hallan poseidos por cia de Oviedo, que la ha solicitado, cruzándose en la expresa­ de valor y constancia , de amor á su Soberana y á las institu­ l…</t>
  </si>
  <si>
    <t>Valdés, Mariano</t>
  </si>
  <si>
    <t>Mariano Valdés</t>
  </si>
  <si>
    <t>…Segura. francés como se estaba. zas, por s í, y lo contribuido por los eclesiásticos No nos acordamos si es en Bocacio ó en M il y una no­ de la jurisdicción 9 í., 6 che donde hemos leido el cuento de un príncipe que por Id. D. Mariano Valdés, cura párroco del Cano, por sí y lo colectado en el partido..................... .. 24.. 1 Desde Muniesa con fecha del 24 nos comunican los siguien­ entretenim iento hizo que embriagasen á un m endigo, que La R. madre priora de Ursulinas y su comunidad. 17 tes pormenores sobre la ac…</t>
  </si>
  <si>
    <t>VALEE</t>
  </si>
  <si>
    <t>…Noviembre, ro de retirada de los habitantes que se refugiaron en los cam­ 1 neral la autorización de formar una compañía franca : otras pamentos y en las casas aspilleradas. E a aquel dia fueron muer­ PARTE OFICIAL DEL MARISCAL VALEE. tos un colono y un granadero. U n poco mas al Este fueron ar­ |I compañías han salido ya para engrosar o neutras fuerzas. Se asegura que los 5 ó 69 A o ab re j que recorren la llanura rebatados algunos ganados, y tres colonos que intentaron hacer | no so a mas que los aludos ttai E m i r ,…</t>
  </si>
  <si>
    <t>Valen</t>
  </si>
  <si>
    <t>…roso al tráfico interior, y dando con el mas profundo y amargo sentimiento por haber de consiguiente al comercio. A l Excmo. Sr. general D. Guadalupe Victoria &amp;c. é'c. frc. oido de boca de los ayudantes de campo del Sr. general Valen­ Para formarse uua idea de cuál seria el que habia con nues­ en Veracruz. cia , que acaban de presentárseme, que hay regados en el cam­ tros dominios de U ltram ar, basta reflexionar que era no solo po de batalla como 600 cadáveres, porque fue obstinada la tardía, sino muy incierta la comuni…</t>
  </si>
  <si>
    <t>Valencia</t>
  </si>
  <si>
    <t>…l a r , el vallé dé este ñores Lam as P a r d o , Oréllana , Basilio'«García nombre y la Berrueza,,, dejando á merced dé los cristinos los desterrados % consecuencia de la 're yo lú c io á de EstéHaéili G árf Cuartel general de Valencia 20 de Julio de 1839.=Juan de de Á rro q iz , Villa,mgyor , L a g u in , Barbavin , Urbiola y O tei- los paira ocultar m e jo r él p ían q u e trataba de poaler; o e jé c u r Reeear. zá. Por la ocupación de Bélascoain han perdido los territorios ^ciou, h a firmiado l a dicha; orden , c p y…</t>
  </si>
  <si>
    <t>…a­ Conciudadanos: Y iva la R ein a, viva la C onstitución, viva En los pueblos de Turraiel, Barbaul y A n ch u elíd el Campo cia tiempo en M orella, llego el dia antes á Alcora ai mando de la Reina Gobernadora. Cuartel general de Valencia 25 de Fe­ se han dejado ver siete facciosos y un oficial, que se han diri­ C ham bonet, saliendo á las tres de la tarde en dirección de Fan- brero de 1859.=A ntonio V an-H alen. * gido al parecer hácia la sierra de Albárracin. El refuerzo dé sara, donde debia pernoctar. {Id,) {Diario mercan…</t>
  </si>
  <si>
    <t>…escritura y aritmética como cristino. gorio Sanz de Villavieja, Vocal de la misma dirección, debe conocerlas un mediano maestro de primeras letras, 8.a Que del sobrante de la misma Jetra se entreguen obispo electo y canónigo de Valencia. con algunos rudimentos de gramática castellana. Sin em­ para los gastos de la escuela Normal, desde el dia de su A propuesta de 4a misma dirección y con la propia fe­ bargo , con el objeto de conseguir pronto maestros que apertura, 3$ rs. mensuales; pero en la inteligencia de cha de 22 d…</t>
  </si>
  <si>
    <t>…. por el territorio donde ejerciesen su au to rid a d : de modo qué brar Senadores por las provincias de L eó n , Badajoz y Lugo. Q uinta seccion.r:Sres. Ramírez de A r e lla n o , E g a ñ a , Leal, (añadió) el capitán general de Valencia no puede ser Diputado También lo quedó de un oficio de los Sres. Secretarios del Chacón, Q u in t o , L ab o r d a , F ernandez, Gutiérrez de Ceballos, por las provincias de Albacete , Castellón de la P lana ni A lican ­ Congreso fecha de a y e r , en que manifiestan hallarse constitui­ Be…</t>
  </si>
  <si>
    <t>…los edificios contiguos, y qué Jas pérdidas se La primera y segunda brigada que forman la división del que aunque Campomanes, tan versado en nuestra historia ci­ minorasen en los que invadieron las llamas. mando del Sr. general Valencia , han merecido bien de la pa­ vil, habia quizá deseado mas dé lo que se hizo en ciertas mate­ Por un servicio tan importante y ejecutado con el celo mas tria en este dia, por uno de los triunfos mas señalados en nues­ rias, le contenían el temor de chocar con los hábitos y creen­ eficaz ,…</t>
  </si>
  <si>
    <t>…lina, por consulta que én 7 de julio del año último elevó á este mi* no dé M éjico un hábil negociador, quien celebró con tanta des­ su v alor, y por U moral que observan en las ciudades que guar­ nisterio el capitán general de Valencia, relativa á si se han treza como actividad un tratado de am istad, comercio y na ve­ necen. En este período constitucional han estado bien raciona­ de considerar exceptuados del servicio de la Milicia nació-, nción, que es recíprocamente ventajoso á los intereses mercanti­ dos, vestidos y…</t>
  </si>
  <si>
    <t>…da el Gobierno? Y o , simple por buques mercantes? ¿N o se podían haber pedido al capitán do que podrá rectificar cualquiera equivocación en que pueda D ip utado, sin saber lo que pasa en las secretarías, que’ no ten­ general de Valencia ? Debo decir que no estoy muy alarmado in cu rrir. go relaciones oficiales de estas comunicaciones, ui de la manera con que se haya perdido esa plaza , porque como están los su­ Tomando el orador la historia de esta cuestión desde que en cantidad ni extensión; y o , que veo reproducirse e…</t>
  </si>
  <si>
    <t>N.º 1707. VIERNES 19 DE JULIO DE 1839. d ie z c u a r t o s . PARTE OFICIAL. La primera y segunda brigada que forman la divisiop al :erro. Loque participo á V. E. para que se sirva ponerlo en mando del Sr. general Valencia, han merecido bien de la patria :onocimiento del Excmo. Sr. Presidente/ofreciéndole mi mas en este dia por uno de los triunfos ma$ señalados en nuestros listinguido aprecio. Dios y libertad. Campo de batalla en S*n fastos militares; y mientras que se conceden las debidas recom­ Miguel May…</t>
  </si>
  <si>
    <t>…la presidencia al palco grande del centro , sin perjuicio de que putacion encargada de recibir á S. M. , y son los siguientes: quede á disposición de S. M. siempre que guste honrar el tea­ .'tenores duque de Frias, arzobispo de Valencia, marques sobremanera que deslustren y afeen tan apreciable obri- tro con su presencia , á fin de que haya mas localidades para de Viluma Salas Omaña , conde de Pinofiel, Torres Solanot, ta las erratas tipográficas en que abunda. el público, y que los establecimientos de beneficencia que ti…</t>
  </si>
  <si>
    <t>Valenciano, Ricardo Marin</t>
  </si>
  <si>
    <t>Ricardo Marin Valenciano</t>
  </si>
  <si>
    <t>N.° 1664. JUEVES 6 DE JUNIO DE 1839. d ie z cu a rto s . i y tom ando las medidas mas eficaces para que no corran i muerte de D. Ricardo Marin Valenciano, titulado sargento 1.° PARTE OFICIAL hasta ser calificados por el jurado. graduado de alférez de las hordas de Palillos, que quedó en el 4.a Se procederá inm ediatam ente, y sin levantar ma­ cam po, y la de otro que después de herido se despeñó por no n o , á rectificar l…</t>
  </si>
  <si>
    <t>Valentín</t>
  </si>
  <si>
    <t>…ta extraordinaria.) bernadora habia tenido á bien oouobbar Senadores por la provin­ c&lt;familias” las siguientes: ^interesadas en los bienes desmem­ El Sr. P R E S ID E N T E manifestó que el Congreso habia oi­ cia de Huesca á D. Valentín ferra z, y por la de Navarra á brados de los mismos en la época constitucional de 1820 á 1825 do con la mayor satisfacción la comunicación anterior. D . Joaquín Bayona. por sucesión, por testamento, por donación graciosa ó remu­ A continuación se leyó una proposición del Sr. Lujan para Se…</t>
  </si>
  <si>
    <t>…SUPERIORES* pueblo que las levantó.^M . P. que de ser asi el escribano de S. M. mayor de intendencia da fé. E ntrega de SETIEMBRE de 1839. Por el presente se cita, llama y emplaza por primer edicto y término de nueve dias á D. Valentín O tad a, oficial quinto Se halla á 3 rs. tanto en rama como en rústica en el que fue de la contaduría de Rentas de esta provincia, y caso de BOLETIN DE COMERCIO. ser difunto a sus herederos, para que dentro del plazo señala­ despacho de dicha Imprenta. do se presente en este tribunal de…</t>
  </si>
  <si>
    <t>…a cuarta correspondiente al domi ogo 2 8 de A b ril de caballería organizada recientemente en las inmediaciones de B O L S A DE M A D R I D . contiene los artículos siguientes: esta corte por el inspector general de dicha arma D. Valentín L a torre de porcelana de N anking. =: Las dos rivales, c o n - Cotización d e l dia 26 á las tres d e la ta rd e . clusion.= Uti amigo ladrón, cuento.—Astucia de un abogado F erraz, tendrá lugar mañana á las cinco de su tarde en el pa­ seo del P rad o , formando en el orden sig u ie n te…</t>
  </si>
  <si>
    <t>Valentín, D.</t>
  </si>
  <si>
    <t>D. Valentín</t>
  </si>
  <si>
    <t>…lta al Congreso la perar del Gobierno que me proteja si reclamo como ha re cla­ sostengan discusiones determ in adas. Estos comisarios serán nom­ d u d a de si se le sometería ó no á reelección en el caso de a c ep ­ mado el Sr. D. Valentín O rtig o sa , obispo de M á la g a , contra brados por decreto esp ec ia l, que se c o m u n ic a rá al cuerpo donde ta r aquel encargo. lo que se iba á hacer y se habrá hecho y a que tiene el carácter hub ieren de desempeñar su encargo. En vista de to d o , la comisión entiende que se…</t>
  </si>
  <si>
    <t>Valenzuela</t>
  </si>
  <si>
    <t>…es mencionados para las gracias á que se hayan dos de aquellos grandes hechos que nos fueron comunes, y que dantes Jel benemérito Sr. general D. Manuel Bulnes, teniente hecho acreedores. son ya del dominio de la historia. coronel Valenzuela, y sargento mayor Olivares, algunos ofi­ Contando, como debo, con el apoyo del Congreso, propen­ ciales heridos, y el Sr. general Elespura , aunque levemente:' El brigadier segundo cabo de Valencia en comunicación deré á cimentar la paz y el orden interior, á consolidar mas y que los ba…</t>
  </si>
  <si>
    <t>Valera, Ildefonso</t>
  </si>
  <si>
    <t>Ildefonso Valera</t>
  </si>
  <si>
    <t>…ó barracones por muerte de D. Juan Asensio , á D. Francisco Pellico Pa- gui , que el director general ha puesto á sus órdenes, marchó y que verificado esto y evacuada la conferencia cou la dipi?Li­ ^«igua. con el aparejador D. Ildefonso Valera para que se fuese ha- ción proviucial , para que fue citado, solo aguarda que cejeu ,/</t>
  </si>
  <si>
    <t>Valladares</t>
  </si>
  <si>
    <t>…ar : sé que tiene frecuentes conferencias con el intendente ge­ Se leyó el siguiente dictámen. na sábado se discutirán los dictámenes de la comisión de Peti­ neral del ejército, con el interventor de la hacienda militar y Al Sr. Valladares proponía la comisión en su primer dic- ciones; en seguida los demás asuntos señalados. el oficial de la secretaría á quien corresponde este ram o, para támen que por haber pasado de intendente en comisión de la Se levanta la sesión. ver el modo de corregir estos abusos; pero ni S. S. ni…</t>
  </si>
  <si>
    <t>Valle</t>
  </si>
  <si>
    <t>…- vida valetudinaria y achacosa , el nuestro se alimenta , pros­ De árabe el Sr. Berinudez. nadilla se hallaba el cabecilla Navarro el dia 27 con 4 O hom­ pera y promete una larga y robusta virilidad. De economía política el Sr. Valle. bres montados, el que inmediatamente dió sus disposiciones Haremos una breve reseña de los trabajos del Ateneo en el D e derecho político el Sr. Galiano. para cercar dicho pueblo ; pero habiendo visto los facciosos á presente año, y del estado en que la junta actual de Gobierno De geología…</t>
  </si>
  <si>
    <t>…rio.... En la prim era de las conferencias que corresponden M r. D n fau re: Pues bien, digo que la objeción de M r. de E l m inistro d e H a c ie n d a : Pido la palabra. al exam en de este r e in a d o , tomó la palabra el Sr. Valle, la Redonte era extraña después de la declaración personal que M r . M athieu de la Redonte: Con arreglo á este comenta­ vice-presidente, y recordó qu e cuando en el año anterior hacia Mr. Chasse-loup-Laubat, deque nuestra política era en­ rio habia una diferencia esencial entre la posición…</t>
  </si>
  <si>
    <t>…ra que la de que el apa­ Londres, á 90 dias, 38f á f. Coruña, l f i 2 d. janos viendo el giro q u e toma la nueva filosofía, confiesa rato ó armazón de la veleta se halle en alguü modo en París, 16-7 á 6. Granada, á * id. el Sr. Valle que se ha ocupado mas tiempo de su exámen, comunicación con el depósito común ó la tie rra , cuando Málaga, £ á 1 id. ;y ási nó sé detiene tanto éñ el del escepticismo y del mis- ordinariam ente está como aislado sobre la arm adura de la Santander, par. JicismÓ, cuya formación analiza tam bién…</t>
  </si>
  <si>
    <t>…co en d o s . no desmerece sin duda comparada coa las leyes que hoy mismo BOLSA D E M A D R ID . setos, y dividido en cuatro cuadros, compuesto y dirigido por se redactan. En una de las conferencias anteriores, continuó el Sr. Valle, Cotización del dia 10 á las tres de la tarde. D. Manuel Casas, cuyo titulo es ofrecí hacer una reseña del modo con que se instituyó y ha EFECTOS PÚBLICOS. L A U R E N T IN O T R IU N F A N T E EN RO M A. progresado la sociedad económica de Madrid, si no la primera, la roas importante de to…</t>
  </si>
  <si>
    <t>…se han ofrecido 4*964,058 rs. en los siguientes crédito* güeño de paz y de riqueza. sos; pero las guerras que sostuvo Cárlos n r le obligaron á va­ ■contra la compañía: en escrituras á yales 2 .á4 1 ,7 /|í rs.,y 5 cnr&gt; s El Sr. Valle d ijo : En la sesión anterior manifestó deteni­ lerse de este recurso; y si el tiempo no fue el mas op o rtu n o , á ídem á metálico 298,559 rs. con 4 maravedís, y en libram ien­ damente el Sr. Seijas como el Gobierno de Cárlos n r obró de lo menos facilitó el pago de algunas obligaciones sin…</t>
  </si>
  <si>
    <t>…Y iena, de Berlio y de San La perseverancia en los experimentos, el talento y la ap li­ na parte se habla de otra cosa que de lo que está pasaudo en la Petersburgo pactos secretos, cuyo objeto es anular completa­ cación del Sr. Valle han coronado sus esfuerzos, concediéndole llanura. mente la ya tan oprimida y débil nacionalidad de Cracovia. el resultado que imaginaba , y que ciertamente merece. Los in ­ Parece q u e , á excepción de los campamentos fortificados, Estos pactos, cuyo origen puede sin duda atribuirse á las…</t>
  </si>
  <si>
    <t>…sucesos políticos variaron por aquel tiempo; consoli­ bajo sus aspectos político y económico. Felipe v fue llamado al trono. Pocos elogios merecía en su con­ dóse su trono; la paz de Utrech le desembarazaba de todos sus El Sr. Valle, que abrió la discusión, sintió la necesidad de cepto la administración de este Monarca : las dos Reinas con enemigos, y entonces precisamente fue cuando Felipe v comen­ asentar algunos preliminares. Con este motivo recorrió suma­ quien estuvo casado influyeron demasiado sobre un carácter ar­…</t>
  </si>
  <si>
    <t>Valle-, D. Diego</t>
  </si>
  <si>
    <t>D. Diego Valle-</t>
  </si>
  <si>
    <t>…ron, 2158 al Sr. Arteta ; 1592 al Sr. Perez Pastor; 785 todo trance, como lo manifiesta esa proclama que ha publicado escritos, se veiar» las juntas, que no solo se ocupaban de nego­ a otro señor; 575 al Sr. Gallego, y 22 ai Sr. D. Diego Valle- m Bilbao, al convenio que se le proponía. Veamos ah o ra, seño­ cios pequeños , sino de asuntos criminales. - g etc&gt;, 4 ue se dice que no sirve. Que estos votos suman Después se ha variado la legislación; y aun cuando antes 4^12: en las segundas elecciones resultaron 2405 votos, de…</t>
  </si>
  <si>
    <t>Vallejo</t>
  </si>
  <si>
    <t>…se de primeras letras presentó niños de cinco años y m a l, que es inmenso el perjuicio que por él sufren los labra­ Y no una paz precedida de sangrientas v icto rias, sino la medio perfectamente instruidos en el sistema del Sr. Vallejo, dores. A pocas leguas de la corte se \% ese servicio de la mane­ paz de la reconciliación que nos estrecha con lazos fraternales llamando la atención del público, no solo la precisión con que ra mas a r b itraria y perjudicial que puede creerse. al tiempo mismo que nos arranca las armas de…</t>
  </si>
  <si>
    <t>Vallejo, Antonio</t>
  </si>
  <si>
    <t>Antonio Vallejo</t>
  </si>
  <si>
    <t>…00 á papel, 00. cisco Oliveres y M orera, profesor de medicina y cirugía. Córdoba , D. Antonio Berard : Coruña , D . José María Perez: Idem sin interés, 00. Cuando el ilustre nombre del sabio que va al frente de esta Granada, D. Antonio Vallejo: M álaga, D . Luis Carreras y Acciones del banco español de S. Fernando, 00. obra ha merecido ser escrito como los de C uvier, Lesson , V i- Ramón: Murcia, D. José Benedicto: O vied o, D. Gabriel Lon- rey y otros muchos, entre los de los médicos y naturalistas mas goria: Salamanca,…</t>
  </si>
  <si>
    <t>Vallejo, D. José Mariano</t>
  </si>
  <si>
    <t>D. José Mariano Vallejo</t>
  </si>
  <si>
    <t>…de la Puebla del cuerpo modo de coristas de la compañía de ópera. Se distribuirá del siguiente: Maestre con la Excrna. Sra. condesa actual del M ontijo y J.° Sinfonía característica española del maestro Mercadante. limo. Sr. D. José Mariano Vallejo, presidente. Mora sobre división de censos que gravitan sobre los mayo­ Sr. D. Basilio Castellanos, secretario. razgos de Bustos, Cepeda y Alderete, que hoy posee el refe­ 2.° E L E N G A Ñ A D O R E N G A Ñ A D O ; ópera en un acto, rido Sr. conde de la Puebla, y el mayora…</t>
  </si>
  <si>
    <t>Vallejo, Francisco Luis</t>
  </si>
  <si>
    <t>Francisco Luis Vallejo</t>
  </si>
  <si>
    <t>…oficios de nombramientos de los que llevaban algunos, y que habian sido robados al mismo tiem­ subalternos del tribunal, á saber: Real despacho de relator de po que las armas: todas estas distribuciones se verificaban en el D. Francisco Luis Vallejo, y el de igual cíase de D. Francisco (t) La entrega se verifico en el acto de prestar su declara- seno mismo de la revuelta, detrás de las barricadas, y en el acto Caballero Iufaute, y nombramiento de relator del Real Acuer­ ion los hermanos Lepage ante el comisario de polic…</t>
  </si>
  <si>
    <t>Vallejo, Pedro González</t>
  </si>
  <si>
    <t>Pedro González Vallejo</t>
  </si>
  <si>
    <t>…todos su9 accidentes, debe ser en D. Epifa«io Fortun................................................. Lérida. r \ E L Rey abajo ninguno, y labrador más honrado, García extremo bruñido, terso é inmóvil; y la literatura, expre­ D. Pedro González Vallejo, arzobispo electo de del Castañar. Comedia en tres actos según la escribió su sión de una sociedad removida y oscilante , mal puede Toledo....................... . . . . . . . . . Logroño. autor D. Fraocisco de Rojas. ofrecer en general el lustre y la fijeza que se requieren…</t>
  </si>
  <si>
    <t>Vallejo, Tomas Fernandez</t>
  </si>
  <si>
    <t>Tomas Fernandez Vallejo</t>
  </si>
  <si>
    <t>…n á su disposi­ H A B I E N D O S E denunciado ante el Sr. alcalde primero cons- Gira i d . , id. id. t S. Pedro en Gracia , por D . José Prats ción á todas las horas del dia 40 periódicos, de M a d r id , de las titucionai D. Tomas Fernandez Vallejo por el promotor B asco , en 5. provincias y del extrangero. fiscal D. Regino Proales en concepto de sediciosos los párrafos Otra i d . , cuesta Colorada , por bajo de la liaza de D. Fran­ contenidos en el artículo de fo n d o , y en el comprendido bajo el cisco , termino de…</t>
  </si>
  <si>
    <t>Valládares</t>
  </si>
  <si>
    <t>…tres de la tarde. ministración m ilitar, no, porque yo siempre sostendré que ha­ distinto á los demás que se han presentado. ya administración m ilitar, pues me parece que si esta pasase á El orador pasa á manifestar que el Sr. Valládares fue nom­ EFECTOS PUBLICOS. la civil todo quedaría dislocado. N o , señores, 110 es esta la ma­ brado intendente en comisión mediante al decreto de 26 de Se­ Inscripciones en el gran libro á 5 por 100, 00. nera de corregir los abusos, sino ver cómo puede cogerse á un * tiembre de 1856, c…</t>
  </si>
  <si>
    <t>Valores</t>
  </si>
  <si>
    <t>…la reforma de esta disposición á S. M. la augusta Reina Gobernadora , que con la m ayor sa­ n a d o r a y la Serma. Sra. Infama Doña María Luisa Fer­ beneficio del Estado y de los particulares. Art* 10. La contaduría general de Valores acti­ tisfacción se ha enterado del triunfo que las valientes tropas nanda , continúan en esta corte sin novedad en su impor­ vará por cuantos medios eslen á su alcance, la ave­ del ejército del Norte han conseguido a juel dia á las órdenes tante salud. riguación de los poseedores de cualqui…</t>
  </si>
  <si>
    <t>…to que finado dicho térm ico sin lia bos conceptos hasta la fecha del presente decreto. (N u m e ­ ro 1628.) c e r lo , les parará el perjuicio que h a y a lu gar. ANTIGUO Y MODERNO ESPAÑOL, para que la contaduría general de Valores proceda inme­ diatamente á liquidar lo que se adeude por extrangeros que Y DEL TSATRO EXTRANGERO. disfruten grandezas de España ó títulos de C astilla, y 00 VACANTE. esten relevados del pago de lanzas y medias anatas. ( N ú - ^ Los su ser i ptores a este ultimo pasaran á recoger á las lib…</t>
  </si>
  <si>
    <t>N.º 1510. JUEVES 3 DE ENERO DE 1839. DIEZ CUARTOS. que se cobró en el del estado respectivo, y lo que resulta Art. 18. La contaduría general de Valores, la de Dis­ S . M . la R e in a , s u augusta Madre la R e in a G o b e r n a ­ d o r a y la Serma. Sra. Infanta Doña María Luisa Fernan­ por cobrar para el siguiente. tribución y las de ramos especiales remitirán a este Minis­ 2.° En cuanto ávrentas y ramos de producto eventual, da , cont…</t>
  </si>
  <si>
    <t>…la dirección general de R entas, á cuyo fin las respec­ ron haber lugar á la formación de causa , y el Sr. presidente tos que animan á los individuos que componen esa ilustre cor­ tivas oficinas pasarán á la contaduría general de Valores publicó la votación. M adrid 51 de Marzo de 1859. poración, me dirijo á V. E. para que por los medios que le su­ con oportunidad y sujeción á sus pedidos las noticias con­ giera su acreditado celo, excite el patriotismo de los ayunta~ venientes; de manera que solo queden fuera d e te sta d…</t>
  </si>
  <si>
    <t>…conducciones con las precau­ tro, lo traslado á Y. S. para su conocimiento y efectos quinquenio, que asimismo se deben remitir á la contadu­ ciones prudentes, y necesarias que la situación de varias consiguientes.” ría general de Valores , se advierte también que estarán en provincias exige, sino que cuando los riesgos fuesen tales Y la trascribe á V. S. para los propios fines. el caso de volverlas á extender y remitir de nuevo aque­ que á juicio de los empleados de Hacienda sea indispensa­ Dios guarde á Y. S. muchos años.…</t>
  </si>
  <si>
    <t>…ta de gobierno del establecimiento pasará a la se enterasen de la legalidad de la o peraciqn , abriendo por sí ó t sente que signo y firmo en Salatn,&amp;nca á 2 5 de Enero de 1 8 5 9 .— propia dirección y a la contaduría general de Valores to­ señalando para que sé abriese eF paqaete ó paquetes que d e s i g - : J u a a de M ata M uñoz. u i*</t>
  </si>
  <si>
    <t>…de 18 de dicho mes de Marzo que acabao de comunicar la dirección y r i n a , en que el editor piensa valerse de sus cortos prácticos conocimientos y de útiles mamotretos acumulados con grande AÑO DE 1510. contaduría general de Valores, se lim ita la expresada contrata afan en 30 años de tafeas forenses y carrera de m agistratura, a un ano, y el remate ha de verificarse el dia 1.° de M ayo in ­ para ordenar sus trabajos con aquel objeto, y que puedan ha­ mediato de diez á doce de su mañana en los estrados de esta cerse di…</t>
  </si>
  <si>
    <t>…Vallejo por el promotor fiscal D. Re- gino Rosales el párrafo tercero del artículo que con el epígrafe de Cencerrada contiene el Guirigay del dia 7 del corriente, DIRECCION GENERAL DE RENTAS PROVINCIALES. Contaduría general de Valores.—Mes de Enero de 1839. núm. 57, en concepto de sedicioso en primer grado, el cual em­ Tercera sección.— Circular. Estado demostrativo de los caudales que han ingresado en las pieza: "á"Las Cortes no representan la opinión pública” , y con­ cajas de totales en las tesorerías y depositarías…</t>
  </si>
  <si>
    <t>…que sobre el particular ha informado la contadu­ fundan en ellas, para que se instruya y surta de ellos sin e) Gobierno chino coná motivo las contestaciones habidas entre ellos y del opio , piden se les indemnice ría general de Valores, se ha servido resolver; necesidad de ocurrir al extrangero. De Real orden lo de las pérdidas que han sufrido. l.° Que los individuos que en lo sucesivo tengan en­ digo á V* S» para ios efectos convenientes a su cumpli­ En el caso en que el Gobierno no teoga por conveniente</t>
  </si>
  <si>
    <t>…bandonar sus guaridas, y dirigirse Tercera sección.— - Circular. menor omisión en este punto, los Sres. intendentes darán hacia el Burgo de Osma por Vadillo, contiuuando nuestias aviso circunstanciado á ia contaduría general de Valores columnas en su persecución. El Excmo. Sr. Ministro de Hacienda con fecha 9 del de haber quedado cumplimentada esta orden en el prefi­ actual ha comunicado á esta dirección general la Real or­ jado término de los 15 dias, acusando desde luego su re­ den siguiente: cibo, y comunicándola sin d…</t>
  </si>
  <si>
    <t>…las mayores pacho de los negocios peculiares de las direcciones gene­ bradiza, no solo es de mas difícil elaboración, sino que los muestras de fina atención y deferencia con la seguridad de rales de Rentas y contaduría general de Valores se proce­ cigarros que con ella se elaboran están mas expuestos á haber penetrado en su territorio el Pretendiente, su familia, da con cuanta brevedad exige el mejor servicio, evitando quebrarse y deshacerse, si no se conducen, manejan y comitiva y sobre 5500 hombres, cuyas armas pusieron de…</t>
  </si>
  <si>
    <t>…ero, D, Ro­ dos igualmente; y con presencia de lo que acerca del par­ 10. Los jubilados á quienes se forme causa continua­ mán López y D. Mariano de la Paz García , quienes por una­ ticular han expuesto la contaduría general de Valores, la rán percibiendo íntegramente el haber que disfrutaren elnimidad declararon no haber lugar á la formación de causa, y referida de Distribución y la comisión auxiliar consultiva por su jubilación conforme á la ley. Sr, Presidente publicó la votación. ;de este Ministerio, se ha dignado S,…</t>
  </si>
  <si>
    <t>…por su gefe , salieron á su frente á las voces cunstancias de cada giro ó remesa. Todo el que solicite esta gracia, deberá acompañar h de wviva el Rey” los que mas entusiasmados y valientes se i Art. 6.° La contaduría general de Valores reclamará fe de bautismo legalizada para acreditar que al tiempo d&lt; decidían á dar el asalto: puestos en movimiento sus batallo­ nes escogidos, los cuales traían porción de escalas para ten­ de las oficinas de las provincias de Ultramar los extractos ocupar vacante se halla comprendido en l…</t>
  </si>
  <si>
    <t>Valverde, Félix Herrero</t>
  </si>
  <si>
    <t>Félix Herrero Valverde</t>
  </si>
  <si>
    <t>…encia del tribunal diatamente en la librería de Sánchez, calle de la Concepción; SUBASTAS. supremo de Justicia , se cita , llama y emplaza al R. obispo de en Cádiz en la de Feros; en Sevilla en la de Hidalgo; en Va­ Orihuela D. Félix Herrero Valverde, cuyo paradero se ignora, lencia en la de Jiroeno, y en Barcelona en la de Oliva. En cumplimiento de lo resuelto por S. M. en Reales órde­ para que en el término de nueve dias que por este primer En las mismas librerías se venden los Nuevos elementos de nes de 28 de Enero y 1…</t>
  </si>
  <si>
    <t>Valée</t>
  </si>
  <si>
    <t>…ados por colonos y I Recibid &amp; c . , &amp; c . , &amp;c. venos á vuestro país; preparaos para 1a guerra santa. Dios no por árabes, y tuve que prescribir á todos los habitantes que se I El mariscal gobernador general de A rg el, el conde Valée. | nos ha criado sino para hacer triunfar su religión, y combatir á</t>
  </si>
  <si>
    <t>…remonia trataron en V ien a , 2 4 d e N o viem b re Al visitar el duque de Orleans el sitio donde fue muerto el vano de calmar la agitación, sus amonestaciones fueron desoí­ general Daureinaiít en Consta atina pidió al mariscal Valée que das y sus vocés sofocadas por el tumulto. v Trescientas éinciientá personas al menos figuraban en los sa elevase un monumento en aquel lugar, y otro en el que cayó En este intervalo fue llamado el comisario de policía del Iones de Mr, de Metiera ich la \í! ti ora noché que recibid.. el p…</t>
  </si>
  <si>
    <t>…bre, les suministre hasta 100 piastras si fuese necesario. Los v iaje ­ A r g e l, no podrá menos de ser interesante la orden general que ros h an dado orden de comprar aqui diversos fusiles de percusión, ha dirigido el mariscal Valée al ejército. El telégrafo acaba de explicarse. Se ha recibido la orden de tabaco, navajas de a fe ita r , agujas y otros artículos que quieren L a carta del Rey al mariscal gobernador ha sido acogida hacer salir inmediatamente los dos navios de línea N eptune y regalar al Rey de Abisinia , y…</t>
  </si>
  <si>
    <t>…se presentaron El vapor ingles se ha detenido en esta algunos días espe­ verificará hasta fines de Febrero ó principios de Marzo. á indulto tres facciosos. rando la correspondencia de la India que se ha retrasado. El El mariscal Valée no piensa comenzar la campaña antes de Las columnas de Arzua, Area y M ellid, maniobrando en telégrafo anunció anteayer la llegada de aquella á Suez. que haya pasado la estación de las lluvias, y se toman todas las combinación, dieron muerte al cabecilla Manuel Seoane, titu­ Hoy por la mañana…</t>
  </si>
  <si>
    <t>…cometamos segunda vez la misma que piden al cielo conserve la importante vida de V. M. y su % falta. excelsa Hija los años que ha menester esta nación para su feli­ NOTICIAS EXTRANGERAS. Se espera aqui de dia en dia al mariscal Valée que debe ve­ cidad. Puebla de Tribes Diciembre 11 de 1859. = Señora. = A nir á instalar nuestros sistemas de ataque y de defensa, y se L. R. P. de V. M .=3antiago Arias Losada , presidente.z=José T U R Q U IA . cree que no se intentará nada serio antes de la llegada de todas González, regidor.…</t>
  </si>
  <si>
    <t>…bierno de nombrar quien sucediese al mariscal Yalée. Esta no­ pudieran adelantar mucho, en razón á los diferentes ramos á que de la mano hasta que la seguridad y la legalidad queden res­ ticia es absolutamente falsa. El mariscal Valée, á quien reco­ se extendía la enseñanza y á la falta de profesores. Tocamos el tablecida?. Nos apresuramos á participar á nuestros conciuda­ miendan tantos y tan ilustres servicios, no ha perdido ni un erro r, y con gusto lo confesamos. danos que varias compañías de ciudadanos armados se han d…</t>
  </si>
  <si>
    <t>…e las medidas adoptadas por año y en el de 1824 la fama de dicha obra entre los pro­ los pone, sentimientos de la conciencia. En los Estados-Unidos se su­ y se supone con verdad, que esta conciencia existe; y dese­ el mariscal Valée para frustrar las tentativas de los indígenas, testantes ingleses, por medio del anuncio que de ella se citaremos la orden general siguiente en francés y en árabe, dio en la G aceta, y los elogios de algunos emigrados espa­ mejante para principio ó condición parte el legislador de Pensilvani…</t>
  </si>
  <si>
    <t>…s imposible puedan excitar en su Con fecha de 4 de M ayo nos escriben de Argel lo que sigue: tante con m ovid o, después de lo cual los magistrados han de­ favor L simpatía general. Siempre he observado que cuando el El mariscal Valée hq.dado orden al 65 regimiento de línea clarado que los presos fuesen conducidos á la cárcel de M on- Parlamento adopta , en casos análogos, medidas extraordinarias, para que se establezca err BouiFarick en el sitio donde estuvo el raouth para ser juzgados en los Assisses inmediatos. lo que…</t>
  </si>
  <si>
    <t>N.º 1720. MIERCOLES 31 DE JULIO DE 1839. d ie z c u a r t o s . PARTE OFICIAL. El mariscal Valée, gobernador general de las posesiones años de deportación han dado de puñaladas á los agentes de francesas en el norte de Africa, ha decidido con fecha 8 de Ju­ policía. ______________ lio, que en consideración á la abundaucia y á la próxima con­ clusión de la cosecha, se levanta la suspens…</t>
  </si>
  <si>
    <t>Van</t>
  </si>
  <si>
    <t>…ronuncia un discurso en favor del tratado. En efecto la guerra , es que este acontecimiento favorecería las m i­ Z aragoza 22 d e M arzo . él momento le dio un ataque de apoplegía fulm inante. Se lo ras ambiciosas del presidente Van B urén, y quizá aun su ree­ llevan; y á pesar de los mas prontos aux ilio s, muere sin haber recobrado el conocimiento. lección para la presidencia. Sin embargo se piensa que se hará Sabemos de positivo que el general en gefe del ejército del Se levanta la sesión. (Debáis.) un arreglo amistoso.…</t>
  </si>
  <si>
    <t>Van-</t>
  </si>
  <si>
    <t>Ja rifa de un cuadro, que le estaba concedida en el referido Li­ ceo, á favor de su infeliz compañero. Felicitamos al Sr. Van- , abanderizarse pudo liaber traído su origen de los guelfos tran anomalías mas raras aun que la duplicidad del acu­ , y gibelinos que de Alemania pasaron a Italia: bien que sativo le lo , y la del dativo femenino l a y le la s les: en las ciudades de Castilla pueden mas naturalmente atri­ p…</t>
  </si>
  <si>
    <t>Van-Baurobergben, Francisco</t>
  </si>
  <si>
    <t>Francisco Van-Baurobergben</t>
  </si>
  <si>
    <t>…a casa sita en ños hechos, y evitar los que aun puedan causarse en los teja­ esta corte calle de Amaniel, señalada con el núm. 13 de la dos del convento é iglesia de San Francisco de esta corte, ha­ manzana 5 3 1, tasada por D. Francisco Van-Baurobergben, ar­ TEATR O S ciendo para la conservación de edificios, que tanto honran las quitecto de la academia nacional de S. Fernando nombrado de PRINCIPE. Hoy no hay función. nobles artes, las obras de recomposición que exige su estado. conformidad de las partes, en la cantidad…</t>
  </si>
  <si>
    <t>Van-Buren</t>
  </si>
  <si>
    <t>…Paris hasta que A rle q u ín , porsonaje preciso en el teatro italiano donde se de 1 .° de Marzo. en Í732 la presentó Boissy con grande aplauso del p u ­ representó, porque el de la comedia fraiTcesa, esclavo en ­ El Presidente Van-Buren ha dirigido al Congreso un men­ blico. tonces de las formas de Boileau, no lo hubiera adm itido. saje especial relativo al conflicto ocurrido en el Estado del M ai- Boissy habia comenzado su carrera escribiendo versos Tam bién en la comedia de C alderón hay un gracioso, á ne. En este docum…</t>
  </si>
  <si>
    <t>Van-den-Bo</t>
  </si>
  <si>
    <t>…ensa llanura se distinguían en des diarias. que ahora se cubren por medio del subsidio, y que en breve el el horizonte las numerosas columnas formadas por la concur­ ^2 se establecieron en las colonias ordinarias telares general Van-den-Bo&gt;ch espera cubrir con el producto de los rencia de colonos libres, de mendigos de ambos sexos, de huér­ para fabricar telas, percales é indianas: en Veen-huizen acaba t dieres que acaba de establecer, con los nuevos cultivos y con fanos y huérfanas que con pasos apresurados se encaminaban…</t>
  </si>
  <si>
    <t>Van-den-Bosch</t>
  </si>
  <si>
    <t>…ión la nota de Í856, Inútil es decir que apenas entré en el Haya procuré intro­ que contiene las proporciones de la mortalidad entre los men­ precio en rústica 8 rs. vn. Se halla de venta en la librería de ducirme con el general Van-den-Bosch , Ministro de las colo­ digos y los huérfanos para los años siguientes: Perez, calle de Carretas. nias de U ltram ar, que tan luego como regresó de Java en 1834 habia vuelto á encargarse de la dirección de las colonias de la Mendigos. Huérfanos. metrópoli; entonces conocí el carácte…</t>
  </si>
  <si>
    <t>…sición de ni presentado de una manera conveniente. Convencido que en retama un ano mas antes de enterrarla, da á la tierra una fer­ dar la cuarta cosecha, y después de la segunda rotación á pro­ la base adoptada por el general Van-den-Bosch se encuentra la tilidad suficiente para producir sin abooo tres cosechas sucesi­ ducir forrages. solución del difícil problema de las colonias de beneficencia en vas de p a ta t a s , lino y centeno. Holanda , me he dedicado á explicar claramente su método y los El trébol, asi como…</t>
  </si>
  <si>
    <t>…rodu­ ca , y aunhonrosamente loquees mas, su vida sin alterar su constitución fíú — fortaleciéudo¡a cou el útil ejercicio de quilados en el primer establecimiento de Veen-huizen, han pro­ cen una parte de su vestido. El general Van-den-Bosch roe ha la agricultura. ducido 1944 hbras de lana excelente. dicho que el precio á que asciendo el gasto de una persona en Los establecimientos de beneficencia y las sociedades partí-, Novecientos cincuenta y tres carneros, esquilados en el las colonias no pasa de 52 íiorines al año. A…</t>
  </si>
  <si>
    <t>Van-halen</t>
  </si>
  <si>
    <t>…l sitio de Villafamés, y se ha habia en Oran enviados en el propio convenio los individuos carlistas que nuestro capitán general.” dirigido hácia Alcora. de Melilla; y por último, se estipuló que los acontecimientos El general Van-halen salió ayer á medio dia de Segorbe dentales á las familias, parientes de dicha plaza no podían ser trascen­ con dirección á Onda. (Id.) ni á los bienes de las personas que habían tenido parte en ellos: y hé aqui todo el convenio VARIEDADES. denigrativo y humillante para entregar la plaza…</t>
  </si>
  <si>
    <t>Var</t>
  </si>
  <si>
    <t>…n Millan. (Le Constitutionnel.) noche como de ordinario* El Presidente del Consejo y después todos los Ministros han ido sucesivamente á Saint-Cloud. MINISTERIO DE HACIENDA El Centinela de los Pirineos asegura que el brigadier Var­ el ministro El conde de Montalivet, el encargado de negocios de Rusia, eas, que habia seguido á Bourges á D. Cárlos, ha prestado de Dinamarca, la condesa Duchatel y un gran nú­ Real orden. juramento á la Constitución. (Id.) mero de personas se han sucedido durante la noche en los sa­ lones d…</t>
  </si>
  <si>
    <t>Varela, D.</t>
  </si>
  <si>
    <t>D. Varela</t>
  </si>
  <si>
    <t>…a actividad “L A ñol Solterona, comedia en un acto arreglada al teatro espa- ascensos en su carrera lo hagan separarse de esta provincia, ira, admirable en la recomposición de arm as, y en la construcción con generalporaplauso D. D. Varela, y representada por primera vez en el teatro del Príncipe en 31 de Eneró 110 lo dudamos, cotí la satisfacción de dejar en la memoria de de cureñas para las baterías de lomo. del presente año. Véndese á cuatro reales en las librerías de Es- los buenos, gratos recuerdos. ( B . O.) Vallad…</t>
  </si>
  <si>
    <t>Varela, José</t>
  </si>
  <si>
    <t>José Varela</t>
  </si>
  <si>
    <t>…llos las escuelas de que he ha­ formalidades que la misma previene, tocó á los sugetos siguiera- Sí, dijo riéndose: la memoria de ios jóvenes dura tanto como blado , fueron de 5® florines: en 1850 se elevaron estos gastos tes: D. José Varela; D . Joaquín Mendizabal; D . Juan Murcia; las nieve1 de Saraos, nle llamo Seba.stitza. Y yo Phroso. Y á 4 1 ^6 : los salarios dados á los pobres subieron hasta la suma f?. Valentín Pascual; D. Mariano V ilaro; D . Tomas María yo Su‘aragdi.___Y yo liíeuco ( i ) , dijeron una después de ot…</t>
  </si>
  <si>
    <t>…Enero próximo en las casas consis­ sentan garantías, como verá V. por la lista siguiente: amorosa. La causa de esta desgracia ha sido ua joven y bellc toriales á las once de la m añana, donde ha de celebrarse la se­ Alcaldes: D. José Varela , abogado: D. Manuel Peña, id. lazarooi de 19 años. {Id.) sión de la instalación de la sociedad. Regidores: D. Juan Patricio Sebastian, comerciaste: Don Juan de Mata Escolar, hacendado: D» Casimiro Calle: D. So- BASES DE ORGANIZACION DE LA SOCIEDAD. tero Sabaaz», comerciante: D. Franc…</t>
  </si>
  <si>
    <t>Varela, José García</t>
  </si>
  <si>
    <t>José García Varela</t>
  </si>
  <si>
    <t>…os, traducido del francés nios; pero los que crearon ios idiomas ¿ h a b ía n hecho esta ^ pez , juez de primera instancia en esta capital, refrendada •abia y profunda analisis?=: A. L.=(/¿7 Tiempo,) del escribano del número D. José García Varela, se cita, llama titulado y emplaza á los parientes y demas personas que se crean con ÉL ABUELO. derecho á los bienes quedados por la muerte intestada de Doña Manuela Sierra de A r ia s , vecina que fue de esta corte , para ^Terminará tá función con el baile pantomímico en dos a…</t>
  </si>
  <si>
    <t>Varela, Manuel Vázquez</t>
  </si>
  <si>
    <t>Manuel Vázquez Varela</t>
  </si>
  <si>
    <t>…egislación, con notas de los auto­ Hoy se presentaron eo esta plaza con sus armas y caballos, villa de Galvez, á fin de que en el término de nueve dias si­ res mas clásicos, redactado en el año 1854 por D. Bernardo el oficial D. Manuel Vázquez Varela, D. Pelayo López R ao- guientes al de la fijación comparezcan en este juzgado por sí ó Latorre, magistrado honorario y juez de primera instancia de caño, D, José Teijeiro y dos individuos de tropa, uno coa ca­ por medio de procurador con poder bastante á justificar sus Toledo.…</t>
  </si>
  <si>
    <t>Vargas</t>
  </si>
  <si>
    <t>…en Constantiñopla: I 4OO ñor Alcalá Z amora: Secretario el Sr. Ferro M ontaos: V icese­ do á los cinco batallones que trae consigo otros dos que deben casas que corresponden la mayor parte á habitantes cristiano', cretario el Sr. Vargas. venir de la izquierda, opere en combinación con las fuerzas de han quedado reducidas á escombros. El Príncipe de J o in v ille , ai Comisión d e c o n te sta ció n al d isc u r s o d e l t r o n o : Sres. C a ­ mimando sobre la Borunda ó las Am ezcuas, según lo pidan frente de la tripulación…</t>
  </si>
  <si>
    <t>Vargas, José María</t>
  </si>
  <si>
    <t>José María Vargas</t>
  </si>
  <si>
    <t>…j^\N virtud de providencia del Sr. juez de primera instancia de esta capital, D. Benito Serrano y Aliaga , se cita , llama y Ensayo sobre la mejora de nuestro teatro: un cuaderno en 8 .° rústica , á 2 rs. ERRATA. emplaza á D. José María Vargas, administrador de Rentas que tue de la ciudad de Jerez de los Caballeros, cuyo paradero se ig ­ En la Gaceta del miércoles 1 6 , página 1.a, columna 1.*, nora, para que dentro del término preciso é improrogable de 20 Retrato del hombre de honor: un tomo en 8.° rústica, á alocució…</t>
  </si>
  <si>
    <t>Varéla, José García</t>
  </si>
  <si>
    <t>José García Varéla</t>
  </si>
  <si>
    <t>…s cuáles con arreglo á lo prevenido en mera instancia de esta cap ital, y por la escribanía del numero paz, por la cual con ellos y como ellos mismos suspira. auto de 8 del corriente, he formado y firmado el edicto del te­ de D. José García Varéla , á usar dél derecho que les asista; Para conseguir este objeto capital de sus deseos y los nor sigu ien te: apercibidos que de no hacerlo, sin mas citarles ni emplazarles, de la nación, sin agravar demasiado los males que esta En virtud de providencia dictada ante mí por el tri…</t>
  </si>
  <si>
    <t>Vasallo</t>
  </si>
  <si>
    <t>…a que tenga resto de la caballería dirigida por el bien conocido en esta lu­ Los capitanes tenientes D . Marcelino Líos y D. José R o­ por solo objeto auxiliar mis disposiciones durante las mismas. cha , y ya mencionado coronel Vasallo, y los escuadrones por dríguez Castro, idem. A rt. 5.° Unr« comisión militar ejecutiva procederá á juz­ sus respectivos comandantes D, Sebastian Capdevila y D. Juan Tercero idem. = El capitán teniente D. Salvador Artacho, gar á los delincuentes. Antonio del Palacio, protegieron constanteme…</t>
  </si>
  <si>
    <t>Vasallo, Sebastian</t>
  </si>
  <si>
    <t>Sebastian Vasallo</t>
  </si>
  <si>
    <t>…las disensiones intestinas habian desmo­ Bolaños , y Cayetano de Ballesteros. Los turbadores de lá paz que hán sucumbido én San M i­ ralizado nuestro carácter, y dispuéstonos á sufrir pacientemen­ Que el comandante graduado D. Sebastian Vasallo, tenien­ guel de Acajete y en Tampico no podían ignorar que no ha­ te el yugo. La fortaleza de Ütúa ha cedido á la superioridad te de cazadores de la G uardia, desempeñó con el mayor acierto cían mas que desgarrar el seno de la patria; algunos de sus de la artillería enemiga y des…</t>
  </si>
  <si>
    <t>Vasquier</t>
  </si>
  <si>
    <t>…ejo de Estado se considera feliz en no quería convertirse en ujier del nuevo Gabinete. ofreceros la expresión de sus sentimientos y el homenaje de su Después de contestar á las observaciones de sus futuros co­ Discurso del barón Vasquier, canciller de Francia y P re­ respeto. Esperamos que Y . M. se dignará admitirlos con la be­ legas con nuevas objeciones de mayor ó menor peso, M r. D u ­ sidente de la Cámara de los Pares. nevolencia que siempre nos ha manifestado. El Rey sabe que pin abandonó la reunión. puede contar con…</t>
  </si>
  <si>
    <t>Vauguyon</t>
  </si>
  <si>
    <t>…angera. Aun m a s; á causa de la guer­ do la deliberación de las Cortes de 1789 , envió orden al intención j de expiar su culpa ayudando al duque á restablecer ra civil producida por las mas ciegas parcialidades sobre la duque de Vauguyon, su embajador en Madrid, para que |la tranquilidad; pero este los prendió y mandó degollar , pri­ presidencia, rivalidad de caudillos y otras disputas antipatrió­ protestase contra la abolición de la ley salica. El Rey de ,mer acto de la severidad del duque, y presagio del derrama­ ticas, e…</t>
  </si>
  <si>
    <t>Vazquea, López</t>
  </si>
  <si>
    <t>López Vazquea</t>
  </si>
  <si>
    <t>…almente uno d o s sobre la palabra infragartti , única que ha y que! explícarü de ellos fue el mió. Es sensible, señores, que tenga que recaer esta expresión ? Dirección general de correos . La comisión decid entonces: w El Sr. López Vazquea fue ■sobre una expresión semibárbara. N a d a tiene de extraño q u e n o m br a d o irt a gi st r a do do la áudienciá de Cáceres eó 50 de Se­ Tratándose de adoptar algunas palabras que son indispeusablesx&gt; El correo que conducía la correspondencia de Barcelona tiembre de 1 85 2, de…</t>
  </si>
  <si>
    <t>VAZQUEZPARDO</t>
  </si>
  <si>
    <t>…o del cír­ cumpla este unánime voto nacional lloverán por do quiera so­ de G racia y Justicia. culo de sus facultades constitucionales, á que conserve aquel la bre V. M. las bendiciones mas sinceras. El Senado por su par­ El Sr. V A Z Q U E Z P A R D O , después de hacer una breve dignidad, la solidez y la elevación de que necesita para afian­ te rescindirá efectivainente los religiosos sentimientos que ani­ defensa de la legalidad de las elecciones de Pontevedra, anadio: zar la felicidad general según la letra y espíritu d…</t>
  </si>
  <si>
    <t>VCí, Ej</t>
  </si>
  <si>
    <t>Ej VCí</t>
  </si>
  <si>
    <t>…r entendido la junta gubernativa que personas extrañasen perjuicio de nuestros i o tereses. N o habiendo quien tuviese pedida L palabra se hizo la pre­ aquella estará empleada en funciones del servicio en la mañana P K E S í D Ej VCí A D E L SEÑOR C A L A T R A V JU gunta de si se accedería á los deseos del Gobierno , y asi se del mismo dia 2 0 , se traslada al dom ingo 27 la sesión artística Sesión del día i 8 de Octubre. acordó. para que se citaron fecha 16 del corriente. Quedaron sobre la mesa varios dictámenes de l…</t>
  </si>
  <si>
    <t>Ve, Zorrilla.</t>
  </si>
  <si>
    <t>Zorrilla. Ve</t>
  </si>
  <si>
    <t>…su paradero ta mencionada solo ha procedido justamente cuando ha guerra de los comuneros; por la muerte de P adilla, Bravo y para un asunto que la interesa, puede acudir la interesada , ó aprobado una comedia que no es la del Sr. Zorrilla. Ve­ otros patriotas; por las hazañas de la viuda de Padilla; por quien tenga noticia su ya, á la calle de Fueocarral, fábrica de remos, cuando esta última ocupe la escena, á qué dicta­ la prisión del Papa y de Francisco i ; por tas derrotas de los fideos , esquina á la calle de Sao Mateo.…</t>
  </si>
  <si>
    <t>Veas, Antonio García</t>
  </si>
  <si>
    <t>Antonio García Veas</t>
  </si>
  <si>
    <t>…a ciudad de za de ministro que resulta vacante en el tribunal especial de baluarte de su regeneración política, la égida de sus derechos. Segorbe, fiel intérprete de los sentimientos de sus conciuda­ Ordenes, por renuncia de D. Antonio García Veas, del hábito Nuestra desgraciada patria ha dado al mundo entero en la hor­ danos , faltaría á su deber si no expusiese á los pies del tro­ de Montesa, á D. Juan Argiielles Valdés, regente de la audien­ rible lu c h a , cuyo término está próximo, ejemplos admirables no los de grat…</t>
  </si>
  <si>
    <t>Vega</t>
  </si>
  <si>
    <t>…ro. am igablem ente las manos para com batir junto s al enem igo Le domino noir9 despojado de la música , y traducido li­ c o m ú n , que es el único que ni olvida ni p erd o n a, ni dis­ teralmente, no podia agradar; pero el Sr. Vega no se ha ceñi­ TEATROS. tinguiría jamas en tre los liberales de diversos matices y do á hacer una buena traducción; ha sacado, puede decirse, CRUZ. A las cuatro de la tarde. colores. Por esta razón se ha proclam ado de alg ún tiem po una buena comedia española, de una regular opereta francesa.…</t>
  </si>
  <si>
    <t>…o ni figuran ensayar. Pero en cambio ha ganado en chistes que la fácil á la mejor pluma el describirlas; saludándose con la ma­ exclusivo del Sr. Bretón. No hay escritor de costumbres bueno ha añadido de su propia cosecha e! Sr. Vega, y todos de tan yor urbanidad los.de uno y otro bando , bebiendo juntos y di­ ó rnalo que no haya dibujado con mas órnenos acierto las con­ buen tono como de él eran de esperar. virtiéndose en los juegos propios del pais, como pudieran ha­ tingencias de aquellas diversiones; y aunque amenizad…</t>
  </si>
  <si>
    <t>…la lucha que sostenemos, de esa lucha verdadero anacronismo difícil arte, tanto mas d ifícil, cuauto es mayor la escasez de li­ de la época, en que la libertad y la cultura disputan palmo á bros que de él tratan. Cuando el Sr. Vega adquiera mayor cos­ palmo el terreno á la ignorancia y á la barbarie, se ha debido tumbre de hablar en público, y se fam iliarice con las dificulta­ á los esfuerzos y ai entusiasmo de los artistas y literatos una des que esto ofrece, no dudamos que nada dejara que desear en CORRESPONDENCIA…</t>
  </si>
  <si>
    <t>Vega, Vicente</t>
  </si>
  <si>
    <t>Vicente Vega</t>
  </si>
  <si>
    <t>…forzaría si hubiera cuarteles, continúan sin Continúan las obras siempre con i g u a l.a c t i v id a d , de cu y o novedad en los mismos puntos que tengo á V. S. manifestado. pormenor da parte el gefe político de Jaén. Llegó D. Vicente Vega con oportunidad de Jaé n condu­ M ad rid 25 de M a y o de l8 59 .= Jo sé A g u stín L arram en d i. P R U S IA . ciendo las ollas y demas efectos que se le encargaron y de que d i á V . S. aviso: de ellos se h an provisto estas brigadas de Berlín 6 d e M ayo, modo que nada les falta po…</t>
  </si>
  <si>
    <t>Vela, Juana</t>
  </si>
  <si>
    <t>Juana Vela</t>
  </si>
  <si>
    <t>…. D..M ariano Fernandez de Bovadilla, sobre redención ,; Eusebio Espoz, ea solicitud de pensión. Acta de la junta general de la sociedad para propagar y de los capitales de los censos que hoy se pagan á las parroquias, 251. Doña Juana Vela, viuda del promotor fiscal que fue hermaudadés y capellanías provistas y vacantes. dé'Cüeíláf D. Juan Manuel Perez, en igual pretensión. mejorar la educación del pueblo , celebrada el dia 4 de 191. Los profesores de farmacia de Cádiz , pidiendo la abo­ 252* El ayuntam iento de M u rc ia…</t>
  </si>
  <si>
    <t>Vela, Pedro Pascual</t>
  </si>
  <si>
    <t>Pedro Pascual Vela</t>
  </si>
  <si>
    <t>…20 2 l- |, 2 0 í , 2 i ¿ y certificado desde la ciudad de Cádiz á esta corte el 5 de Abril objeto solo puede ser establecer una concurrencia ruinosa , que 21 á v. f. ó vol. á prima de ir, ¿ y i por 100 con cupones. último por D. Pedro Pascual Vela al Sr. presidente y vocales en resolución redundara en descrédito de las especulaciones de Inscripciones en el gran libro á 4 Por 1 0 0 , 00. de la junta de liquidación de la deuda del Estado, mediante á este género, en descaecimiento de la literatura dramática y en Títulos al p…</t>
  </si>
  <si>
    <t>…. expulsión hasta el 21 , no pudieron hacer valer su derecho ha­ d ar*A?: ^08&lt;l u*0 U rtetegui: D. José de la Viésca: D. A n- . Aprobado sin discusión. llándose disuelta la diputaciou provincial. es varez: D . Manuel Leiras: D. Pedro Pascual Vela: Don Igualmente lo fue el siguiente respectivo á la cuarta, que Que en cuanto á coacción, estaba probada con eí hecho que uan Escribano: D . Joaquín Rubio: D. José María Ruiz de dice asi confesó el Sr. Benavides en el dia eo que se trató de e^e nego­ *U á L rcz: D. Agustín de la…</t>
  </si>
  <si>
    <t>Velamezan</t>
  </si>
  <si>
    <t>…es á los del Mas de las Matas, La Ginebrosa , Aguaviva , C alanda, A l- gunos han dado en este uva cogida en el mes anterior. El se­ ganaderos está apoyada en la experiencia. Entera la teneis á la corisa y Camarillas. ñor cura de Velamezan tiene junto al pueblo unas pocas vides vista , sin que obste, como dicen varios, que los ganados de este Se van á fabricar hornos, para cuyas obras deben salir de cargadas de fruto visto por mí al tercer año, y á su inmedia­ pueblo tienen pastos abundantes de que otras carecen , porque aqu…</t>
  </si>
  <si>
    <t>Velarde</t>
  </si>
  <si>
    <t>…riores, compuesta del Extmo. Sr. D. Luis Sorela, presidente de clases........................................ . la junta de liquidación , y haciendo veces de vicepresidente 3 - 8 2 9 ,9 5 7 .- 1 6 Marchó la columna del coronel Velarde con el objeto de Id. gastos ordinarios y extraordinarios de to­ envolver al enemigo , á cuyo efecto dispuso que las compañías de la quema por indisposición del que lo es en propiedad , y dos ramos............................ .................. # 2 - 3 1 2 ,5 5 6 -2 5 de los señores vocale…</t>
  </si>
  <si>
    <t>armados y equipados. La escuadra del mar Negro ha sido re­ felicitarle, y en seguida se acercaron al anim a! moribundo, cu­ nana. El bizarro brigadier Velarde ordenó la defensa cubriendo partida en tres divisiones: la primera y la mitad de la terce­ yo cuello estaba rodeado con una hermosa cinta azul. Era el todos los puntos y avenidas del pueblo con el segundo regimien­ ra estare en la rada de Odessa, la segunda en Sebastopool, y la ganxo favorit…</t>
  </si>
  <si>
    <t>Velasco</t>
  </si>
  <si>
    <t>…esidente el general Rosas; en Montevideo el general Riveraj; la orden de marchar al A lfica , formando cuatro compañías de mayores contribuyentes, han llegado á saber que la dipu­ en Chile el general Prieto; en Bolivia el general Velasco; en el con la fuerza de 150 hombres cada una. Todavía quedarán en tación provincial elevó á Y . M. una reverente manifestación Perú el general Gamarra. Yincennes dos compañías que servirán de modelo para organi­ de los sentimientos de lealtad y respeto que animan á los ha­ zar dos batallones…</t>
  </si>
  <si>
    <t>Velasco, Andrés</t>
  </si>
  <si>
    <t>Andrés Velasco</t>
  </si>
  <si>
    <t>…lá inst.ru .don y general de P alencia, manifiesta con igual fecha que el subte­ glo con el que existe en los coros de Cuenca y de G u a y a q u il, y progresos morales del pueblo cristiano. Si la autoridad eclesiás­ niente D. Andrés Velasco, comandante del destacamento d&lt; que están establecidos por la ley de 17 de Abril de 1857. tica se ve en la necesidad de buscar en las reformas un remedio á Cervera del R io -P isu erg a, salió en persecución de una gavilh Por el art. 4*° Ia precitada ley, las rentas del ob^pado de l…</t>
  </si>
  <si>
    <t>…ejército unido el comandante de armas de aquel punto D. Magin Pulina, corresponder con uoa conducta digna de la magestad de la R e­ restaurador á las cuatro de la tarde: que nuestros bravos bus­ y subteniente del destacamento D. Andrés Velasco, en la cap­ pública y digna de mi reputación. Serviré con patriotismo, ce­ caron al enemigo en sus inexpugnables posiciones, de donde des­ tu ra del cabecilla M argina , ex fraile , que ha sido por tanto lo y fortaleza, haré cumplir las leyes que emanen del Congre­ alojaban á cada pas…</t>
  </si>
  <si>
    <t>Velasco, José Mariaoo</t>
  </si>
  <si>
    <t>José Mariaoo Velasco</t>
  </si>
  <si>
    <t>…0 . .2 . . 6 4 ,0 3 1 .. 6 . . 3 1 Otra id ., Bilsa nueva, término de Berja, S. Gabriel 9 por Naguabo.................................................... 15,590.. 5. .2 8 .... 4O4. . 6 . . 9 I 45. . 6 .. 4 1 4 ,1 5 9 ..0 .. 7 D. José Mariaoo Velasco, en 25. Arecibo .................................................. 10,461.. 2 .. 14 .... .... IO4 . . 4. .1 0 10.565.. 6 . . 24 Otra i d . , sierra Almagrera, barranco J a r o s o , término de Humacao................................................... 5 ,2 5 4 ..0 ..5 1 ___ 6…</t>
  </si>
  <si>
    <t>Velasco, Víctor</t>
  </si>
  <si>
    <t>Víctor Velasco</t>
  </si>
  <si>
    <t>…ue habían sido cazo que le tiraron á quemaropa: que en otro encuentro que guientes: Construir 6 00 pies cúbicos de mam postería, terra­ teatro de los desórdenes, deteniéndose con particularidad en tuvo el dia i L el capitán D. Víctor Velasco, comandante de la plenar 60 varas cúbicas entre los muros de sostenimiento, sen­ las calles de S. Dionisio, S. M a r t in , G reuetat, T rainée, en la columna de C a r re s, quedaron muertos en el campo dos faccio­ tar 200 pies cúbicos de cantería en el machón de la derecha y plaza…</t>
  </si>
  <si>
    <t>…e Mesía y Ma­ x* = 16777216 — 8 es el numero que se pide. á la letra el parte qué le ha dado el comandante militar de C h i­ rinas D. Genaro Fernandez Cid ejecutó un movimiento en la noche del 16 en combinación con elqapitan D. Víctor Velasco; 4-a_______ 55x3 x 9x4 15 lx2 x 4 l 4 rI9. Sducion x~3. va , relativo á ¡a defensa de Cheste, ejecutada en la mañana 5.a 120 trabajadores, trabajando siete horas al dia ron úna del expresado dia 21. comandante dé la Columna de C arres, pará sorprender á, un fuerza representada por…</t>
  </si>
  <si>
    <t>Velazquez, Diego</t>
  </si>
  <si>
    <t>Diego Velazquez</t>
  </si>
  <si>
    <t>…a. grabado fue ejecutado en Paris por Hcnriquez (B. L.) con em­ paste y brio de buril. Tiene 15 p. y 5 l. de alto, y 16 p. y 4 paradero &gt;e ignora , para que dentro de 10 dias primeros si­ Obra del pincel franco y valiente de D. Diego Velazquez, líneas de ancho: precio antiguo 28 rs., y moderno 20 . guientes al de la inserción del presente en este periódico, com­ la cual representa á la Virgen coronada por el Padre Eterno y parezca por sí en el juzgado del Sr. D. Manuel L u ceñ o , y es­ Santa M aría egipciaca. cribanía qu…</t>
  </si>
  <si>
    <t>Velez, Eloy</t>
  </si>
  <si>
    <t>Eloy Velez</t>
  </si>
  <si>
    <t>…necesidad de reducir el número de empleados públicos. ?ago de la contribución extraordinaria de guerra. 175. D. Eusebio Ruiz de la Escalera, pidiendo se declare 217. Varias viudas pensionistas de guerra, vecinas de la 255. , D. Eloy Velez, solicitando que el Congreso resuelva si está comprendido en el decreto de las Cortes de 23 de Julio ciudad de Salamanca , sobre el atraso que sufren ea el pago de ]ue los encausados puedan solamente elegir defensores entre los de 1857. sus haberes. iesignados para defender por turno á…</t>
  </si>
  <si>
    <t>Velez, Francisco</t>
  </si>
  <si>
    <t>Francisco Velez</t>
  </si>
  <si>
    <t>…i ­ emplaza á D. Manuel Antonio Velez Cachupín y D . José de E n esta colección , continuación de la de Abreu , están c o n ­ ma m en tó de la ¿íeonraiia física del re i n o vegeta L V itoria y Le zaina , hijos y herederos de D. Francisco Velez C a ­ tenidos todos los tratados, convenios y d em as, ajustados desde c h u p í n , tesorero que fue de rentas provinciales de G r a n a d a , y el año de 17 0 1 hasta el de 1 8 0 1 . E n ella se halla también el en su defecto á los hijos y herederos ó representantes de estos, con…</t>
  </si>
  <si>
    <t>Velliogton</t>
  </si>
  <si>
    <t>…verno.) El barco de vapor Chimére , que acaba de fondear en esta empeño todos los principales hombres de ambos partidos el no rada , ha traido noticias que hau causado en esta ciudad la mas faltar á aquella reuoion. El duque de Velliogton fue uno de dolorosa impresión. los que concurrieron á ella, y parecía hallarse sumamente dé­ Los árabes han vuelto á empezar la guerra santa en Argel. bil y achacoso: también se hallaba presente lord Brougham y M ientras esperamos la distribución d é las cartas, hé aqui los todos los m…</t>
  </si>
  <si>
    <t>Ven</t>
  </si>
  <si>
    <t>…el momento en que cada uno se viar otros dos. tida contra todas las vejaciones que las tendencias fiscales de la disponía para el trabajo, fuimos detenidos de repente por un R u njeet : ¿ Ha mucho que no teneis nuevas del general Ven­ Holanda y su posición comercial, con respecto á nosotros, ha­ violento temblor de tierra que ha durado dos m in u to s, y fue tu ra ? cían temer mucho. Eo resumen parece incontestable á Mr. Ver- terrible para todos y funesto para algunos; pero contamos ya L o rd A u c k la n d : Ultimamente el…</t>
  </si>
  <si>
    <t>Vendóme</t>
  </si>
  <si>
    <t>…ibirán gustosos y reconocidos. de Eorique iv y de Gabriela de Estrées, contra César M on- de la guerra con la República francesa tuvo el mando del A g a - La parte española ofrecía mas dificultades; ningún trabajo sieur, duque de Vendóme, de Beaufort y de Estampes, igual­ menon , navio de 64 cañones, y asistió en la toma de Tolon, habia preparado , y no era posible que con datos debidos á la mente hijo legitimado de Enrique iv y de Gabriela de Estrées. en el sitio de Bastía y después en el ataque de Galvi, donde amistad se v…</t>
  </si>
  <si>
    <t>Vento</t>
  </si>
  <si>
    <t>…tan atrasado , que bien puede decirse que es tán en adelante las producciones de los Sres. Bretón, G il, H art- necesario renovarla en todas sus partes rompiendo abiertamente ienbusch , Gutiérrez, Escorara (D. Patricio), Vega (D. Vento­ con lo pasado. Su estudio, por otra parte, es de la mas alta la) y Príncipe, y aquellas que el público reciba con extraordi­ importancia para el jurisconsulto, que, sin conocer sus teorías nario favor. POESIAS y los hechos y principios que la sirven de base , jamas llegará Por lo que hace…</t>
  </si>
  <si>
    <t>Ver-</t>
  </si>
  <si>
    <t>…a del rio Pisuer- n a n d a , co n tin ú an en esta corte sin novedad en su im ­ darlo á S. M . ga á esperar órdenes sobre su ulterior destino. El expresada p o rtan te salud . Dios guarde á Y. E. muchos años. Cuartel general de Ver- comandante general añade que lo esperaba en Burgos del 6 al 7 gara 4 de Setiembre de 1859 =:Exc rao. Sr.—El duque de la Vic- en conformidad de lo que le habia prevenido. toria.zzExcmo. Sr. Secretario de Estado y del Despacho de ia A yer á las seis y media de la tarde se dignó la augusta Guer…</t>
  </si>
  <si>
    <t>Veraguas</t>
  </si>
  <si>
    <t>…ncias en que los quer, M oret, Bacardi, Satorras, R ey , barón de Casablanca, pensar en otra cosa, ¿se aum entará ia prosperidad y la crea necesarios: cuando estas cesen cesarán también esos estados. Y alterra, Cornejo, duque de Veraguas, Rivaherrera, A buar- riqueza porque en todas las provincias tenga el G obierno Ha dicho el Sr. Arguelles que le citara la ley en virtud de z a , Govantes, Santilian, Morell, Azuela, Olózaga , Carrarno- agentes especiales para aum entarla? Esta es la cuestión. la cual esos sugetos de Sevi…</t>
  </si>
  <si>
    <t>…sino avíos de montar los que se trata­ Benavides, A y a la , A lm irall, B acardi, Flaqtier , Satorras, A n - desde Galdácano en refuerzo de Castor cuatro compañías enemi­ ban de enagenar. guera, R e y , Rivaherrera , duque de Veraguas, G a li, M oret, gas al mando del rebelde cura Ibarzabal, con m otivo de haber­ El Sr. E L O ED I manifestó que adhiriéndose en un todo á H id a lg o, Córdoba, Martínez Ayaía , Saraaniego, J a é n , Q uin­ se aproxim ado , se gú n p a r e ce , algunas fuerzas de nuestro ejér­ lo propuest…</t>
  </si>
  <si>
    <t>…cuenta, y sin discusión fue aprobado el que la mis­ cen mas que los ejércitos en campaña; por ejemplo, la guarni­ nuestros dias habían ocurrido tales vicisitudes y trastornos, que ma comisión presentaba respecto al Sr. duque de Veraguas, re­ ción de Bilbao, ¿cómo se hubiera obtenido la victoria de L u - habían desaparecido los datos que con la mayor laboriosidad ducido á manifestar que no resultando reclamación contra su chana si no hubiera sido por la brillante defensa que hizo la habia reunido el consejo de Castilla. Po…</t>
  </si>
  <si>
    <t>Verdegal, Juan Bautista</t>
  </si>
  <si>
    <t>Juan Bautista Verdegal</t>
  </si>
  <si>
    <t>…. Francisco tener á las hordas facciosas en los límites de sus guaridas , y López, D. Juan Tejada y Lozano, D. José María M altrana, uuuca osaron pisar esta fértil vega, ni fhvadir los ricos pue­ D. Eugenio Hernández Borbon, D. Juan Bautista Verdegal, blos de 1a Ribera. Es el mismo que al frente de algunas com­ pañías de los batallones y escuadrones de esta capital y sus CORRESPONDENCIA DE LA GACETA. y D. Rafael Jiménez , quienes declararon haber lugar á la for­ mación de causa, por seis votos contra tres. afueras, corri…</t>
  </si>
  <si>
    <t>Verdugo, Joaquín</t>
  </si>
  <si>
    <t>Joaquín Verdugo</t>
  </si>
  <si>
    <t>…ie de poder tribunicio, y putados por la misma los Sre's. D. Ambrosio Tomas Lillo , Don Las producciones del entendimiento no caen bajo la jurisdic­ son el arsenal donde los partidos van á buscar las armas con Lucas García y D. Joaquín Verdugo. ción de la ley sino desde el instante en que se imprimen y pu­ que se combaten eotre sí ó atacan al Gobierno. Estos son los 3.° Otro de la misma en que opinaba la aprobación de las blican; luego lo primero á que se debe atender es á los medios impresos en que se cometen mas numeros…</t>
  </si>
  <si>
    <t>Verdugón, Zoilo</t>
  </si>
  <si>
    <t>Zoilo Verdugón</t>
  </si>
  <si>
    <t>…ellas son producciones de los autores contemporáneos de de pre*o en cualquiera de las cárceles de esta capital, á propo­ \7* lS IO N E S de un patriota somnámbulo. Publícalas para h on - ra y gloria del siglo en que vivimos D. Zoilo Verdugón. mas celebridad, los Sres. Bretón, G il, Martínez de la Rosa, ner su defensa en la causa criminal que se sigue sobre falsifi­ Cuaderno primero en 8 .° que contiene las visiones siguientes: duque de Rivas, V ega, Gorostiza, Roca de Togores, Escosu- cación de una lámina de la deuda si…</t>
  </si>
  <si>
    <t>Veremos, Pitarche.</t>
  </si>
  <si>
    <t>Pitarche. Veremos</t>
  </si>
  <si>
    <t>…do dos barrancos que habían hecho uno de 47 varas de largo, 6 pies de ancho y 5 ocupaba dicho punto, en cuya sorpresa, añaden, ha muerto llerías robadas. de profundidad, y el otro de 55 varas de longitud , 5 pies de el teniente Pitarche. Veremos si mañana se confirma dicha des­ Que la 4*a columna dió muerte á dos rebeldes que se resis­ latitud y 4a profundidad. graciada noticia. (.D. M, de Valenda.) tieron en el Castañar; y que los Nacionales movilizados d e N a - valucillos cogieron el caballo, armas , dinero y otros e…</t>
  </si>
  <si>
    <t>Vergara</t>
  </si>
  <si>
    <t>…acompañada de uua de sus hijas, que intervenciones para el arreglo de sus diferencias. Dios guarde Se ha verificado una mejoría notable en la salud del P rín ­ deseaba vivamente ver Paris. á Y. E. muchos años. Cuartel general de Vergara 51 de Agos­ cipe de Metternicb , que ha entrado felizmente en la convale­ to de 1859.—Excroo. Sr.^rEl duque de la Yictoria.zrExcmo. Se­ cencia. ñor Secretario de Estado y del Despacho de la Guerra, GRA N BRETAÑA. CORTES. El comandante general de las provincias de Ciudad R.eal y Toledo en s…</t>
  </si>
  <si>
    <t>…e de la Vic­ pontáneamente á esta villa á fin de ser comprendidos en el con­ toria. des Potencias instan á Mehemet para que renuncie á una po­ venio celebrad o con el general M aroto, y ségu ir la suerte de los Cuartel general de Vergara sesión que podría serle inoportuna ; su consentimiento se hace de Setiembre de 1859. [Id.) demas batallones de la misma provincia que ya se habían u n í- esperar dem asiado, pues según se asegura ha pedido cuatro días Aquellos entraron hoy en este pun to , y para que fuese roas para reflex…</t>
  </si>
  <si>
    <t>…ardos de la adolescen­ Rafael M aroto, con la comunicación que el primero dirige des­ Suscripción p ara socorro de las monjas de M adrid • cia. L o a sola palabra diremos para terminar estas reflexiones; de su cuartel general de Vergara con fecha 51 de Agosto ú l t i ­ «otes se presentaban en el teatro virtudes y pasiones caballeres­ mo al Excmo. Sr. Secretario de Estado y del Despacho de la Debiendo hacerse el repartimiento á las religiosas existente c a s ; hoy ponemos de manifiesto vicios y errores sociales.... No Guerra…</t>
  </si>
  <si>
    <t>Vergara, Alfonso García</t>
  </si>
  <si>
    <t>Alfonso García Vergara</t>
  </si>
  <si>
    <t>…a ñ o , á cargo de los 519892. .1 7 N ota, N o se han comprendido en este extrae:to los ingresos y pagos de la administración de 2802444* • 50 Palma de Mallorca por no haberse recibido auci s us cuentas. Habiendo fallecido D. Alfonso García Vergara , regente de Málaga y de Zam ora, después de organizadas estas últimas, metido el minado un pie y medio lineal en la parte del N orte, de la audiencia de Albacete, ha venido S. M. en nombrar para quedarán mañana situedas en la venta de Elizaide á las inme­ sa han desmontado e…</t>
  </si>
  <si>
    <t>VEROS, ONTÍ</t>
  </si>
  <si>
    <t>ONTÍ VEROS</t>
  </si>
  <si>
    <t>…ran, porque lo qne una vez era defectuoso se pusieron en píe , acordándose que volviera i 1a comisión» «o serian cobrables nunca, como por encontrar que cumpreo- podía ser después mas perfecto , mucho mas cuando no ¡había El Sr. ONTÍ VEROS ocupó to tribuna y leyó ¡el dicta roen, diéedose en la junLa a uo individuo de la dipatacion piravio - comparación entre el sistema de Gobierna de entonces; y el de de la comisión encargada de informar sobre el; proyecto para c to l, se complicaba á estas corporaciones populares en la H…</t>
  </si>
  <si>
    <t>Verstolk</t>
  </si>
  <si>
    <t>…l milagroso desenlace de un drama que á Corre m uy válid a la voz en Bruselas de que M r. Lebeau todos los adictos á la justa causa nos tenia en la mayor cons­ será nombrado M inistro de Negocios extrangeros. Por parte del barón Verstolk van-Zoelen se ha hecho ana co­ ternación ; y por o tra, por el afianzamiento de los legítimos de­ municación importante á los Estados generales acerca de la rechos de vuestra excelsa H ija al solio y trono español que sus parte del Limburgo abandonada á la Holanda. Esta fracción de augus…</t>
  </si>
  <si>
    <t>Vfclée</t>
  </si>
  <si>
    <t>…im­ tando si han de libertarse o no del servicio Fernando Hur­ portante salud. tado , sustituto por cambio de número con D. Juan Lo- renzana en la última quinta, y los demas que siéndolo del U n periódico anuncia que el mariscal Vfclée ha sido exo­ mismo modo hayan como él aprehendido prófugos cuya ce). nerado de sus funciones, y reemplazado por el general T r e ­ admisión soliciten para que sirvan las plazas que ellos es­ El mismo periódico añade que ayer se firmó el decreto. (Id.) M in is t e r io d e g r a c ia y j u…</t>
  </si>
  <si>
    <t>Viadera</t>
  </si>
  <si>
    <t>…n su aptitud legal. 2 , el Sr. Roldan 7 , el Sr. Alcon 1 , el Sr. Mascaró 1 , el se­ que al efecto llevará uno de los secretarios, resolverá cuanto Otra comunicación del Sr. duque de Castroterreño, Sena­ ñor Olózaga 1 , y el Sr. Viadera 1. Número total de votantes convenga al logro de los fines que se propone la sociedad. dor por la provincia de Z u n o r a , acompañando certificación del 1 0 0 : mayoría absoluta 51. 9 .a La junta general se reunirá el 1.° de Setiembre de cada acta de elecciooes de dicha provincia. a ñ o ,…</t>
  </si>
  <si>
    <t>VIADERA</t>
  </si>
  <si>
    <t>bres, y creadas con el objeto de Rastrar al Gobierno en las El Sr. VIADERA, que la provincia de Lérida es el teatro hecho en esta ocasión , sino en otras muchas, y general tu, consultas que le hiciese. de la guerra, y ha hecho sacrificios inmensos, la continuación disminuyendo, porque esta es la tendencia del nuevo arancel^ Pasa á contestar á lo expuesto por el S…</t>
  </si>
  <si>
    <t>…era veni­ Gobierno si hubieren incurrid o en la responsabilidad de no h a ­ Lo repetimos; jamas en España se habian escrito has­ d o , como lo hizo eu cierta o casió n , pidiendo una autorización cer respetar las leyes. El Sr. V I A D E R A llamó la atención del Gobierno sobre la ta ahora tales blasfemias, jamas se habian cometido hasta para alterar los derechos de introducción de h arin a s y otras es­ pecies para el ejército del Norte. enu n c iativa que hace la auto ridad de C a t a l u ñ a , y p re g u n ta si ahora…</t>
  </si>
  <si>
    <t>…Fuente, Sautonja , Gutiérrez de Cevallos, Perez cesarios para la fabricación y colocación de un queso tan e x ­ de Privas y Sancho. traordinario, cuestan 150 libras esterlinas (2750 francos). En Se leyó una comunicación del Sr. Viadera participando, NOTICIAS EXTRANGERAS. su parte superior están grabadas las armas Reales, las cuales han que habiendo sido elegido Diputado por Lérida y Barcelona, costada 10 libras esterlinas. optaba por la primera de dichas provincias. Se acordó llamar GRAN BRETAÑA. al suplente por la segu…</t>
  </si>
  <si>
    <t>Vice, Collado.</t>
  </si>
  <si>
    <t>Collado. Vice</t>
  </si>
  <si>
    <t>…tuvo Segunda sección.—Presidente, Sr. conde de Vigo. Vicepresi­ nes de la formación de un Manual bibliográfico español. efecto en esta Isla la emancipación de los negros esclavos, y dente , Sr. Seoane (O. Mateo). Secretario, Sr. Collado. Vice­ Por último, ha discutido ea varias ocasiones el estado de la tanto en aquel dia como en el siguiente, reinó en ella el ma­ secretario, Sr. Castellanos. cultura española eri el siglo x n r ; el de la literatura española yor desorden , presentándose desde entonces síntomas de des­ Terc…</t>
  </si>
  <si>
    <t>Vice-Presiden</t>
  </si>
  <si>
    <t>…rresponden á d o r , ni menos que el resultado correspondiese á tan exageradas mera sección. * estas intenciones que se han supuesto : leyó una circular del ofertas. Teniendo y a á la mano la primera entrega del D iceio~ El Sr. Vice-Presiden te levantó la sesión pública á las tres y gefe político de S a n t a n d e r , manifestando que ea su concepto ñ a f i o , la recorrimos rápidamente ; y aunque nos ha dado ino*</t>
  </si>
  <si>
    <t>VICENS</t>
  </si>
  <si>
    <t>…si y comprensiva de algu nas disposiciones relativas á p ro hi bi r la atendidas sus razones. tal vez am p li a , ó gravosa para el E tadn , la restringirán. conmutación de penas corporales en pecuniarias. Sus autores se El Sr. V I C E N S manifestó que habia pensado hacer a l g u ­ El Sr. A 1 L L O N empezó manifestando que esta exposición reservaron apoyarla en otro dia. nas observaciones sobre el asunto que daba origen á la petición; debia pasar á la comisión que entendía en este negocio , pues 2.a De los Sres. Mendez…</t>
  </si>
  <si>
    <t>Vicenta</t>
  </si>
  <si>
    <t>…de su salida , conminando IM PR EN TAN AC IO NA L. T O D A S las personas que se crean con derecho á los bienes al que faltare al pago de 10 ducados de multa , y si por ser quedados por fallecimiento abintestato de Doña Vicenta pobre no pudiese, á un mes de p risió n , y ademas á ser casti­ Novales, que estuvo casada con D. Alfonso G ran ados, guarda gado según la parte de culpa que le resultare. Igualmente pro­ menor del canal de M anzanares, ocurrido en 6 de J u n io del híbo que cualquier forastero pernocte en…</t>
  </si>
  <si>
    <t>…ecimiento, un con­ terística del círculo de sus obligaciones. Allí parecíame ver no tíos ; pero no sucederá asi con el producto de la seda , que tinuo celo en la asistencia de los alum nos, orden y decoro en á la señorita Doña Vicenta A r r e g u i, sino á la ilustre Doña producirá al cultivador de oQO á 5 00 pesos por acre de tierra sus lecciones, justicia é imparcialidad en la admisión de pre­ Matea : de tal manera se habia poseído de su papel. Todos tra- plantada en moreras (10,200 á 17© pesos por caballería.) El tra…</t>
  </si>
  <si>
    <t>Vicenta, Sebastian y Doña</t>
  </si>
  <si>
    <t>Sebastian y Doña Vicenta</t>
  </si>
  <si>
    <t>…l término preciso de tercero dia se presente en la escribanía ^ to que reclamar sobre los bienes pertenecientes á los d i f u n ­ principal de Amortización, sita en la calle del Lobo, núme­ tos Sres. Doña Aotooia G a rc in i, D. Sebastian y Doña Vicenta ro 8 , piso segundo , á ratificarse en una declaración que tiene Pujol y Garcini , hijos, y á D. Francisco de E autregard, maris­ Los 2 2 $ billetes estarán subdivididos en la clase de cuartos, prestada en cierta causa crim inal qae se sigue sobre falsificación cal de camp…</t>
  </si>
  <si>
    <t>Vicente</t>
  </si>
  <si>
    <t>…r se ha expresado eu los términos siguientes: de Cumbres A l t a s ; al comandante graduado y capitán de t i r a ­ linealmente en él D. Pedro Alcántara López. ccYo no aconsejo á mis am igos, como el doctor Mac-Dovvell, dores D. Vicente L a g u n e r o ; al teniente graduado alférez Don que se sirvan de sus armas contra la policía; pero sí les reco­ Marques de Castropinos: por fallecimiento en el año de 1744 Joaquín M iralle s, y al alférez D. J u a n V a lt e r r a , ambos de la de D. José Bertnudez de Castro , sucedió t…</t>
  </si>
  <si>
    <t>…0 0 tas de pago por razón de suministros hechos á las tropas, Deuda activa española, 2 0 j . En libranzas con destino á la (Idem.) contrata de vestuario hecha . para que la excepción que se establece en la regla prim e­ con D. Vicente J u a n Perez en ra de la circular de 27 de Enero último acerca de las aten­ 1 8 5 8 ................. ................................. 2 .5 62 ,392..7 ciones presidia les, se entienda solo hasta que se publique la ANUNCIOS. En í i b i a nzas con destino á la con­ nueva instrucción general…</t>
  </si>
  <si>
    <t>…m irables las calum nias d e sú s desde la publicación de este anuncio en la Gaceta de esta corte, detractores, y patentizando tam bién que la riqueza pública ANUNCIOS OFICIALES. se presenten en aquel juzgado y escribanía de D. Vicente A n­ y las rentas ordinarias dei G obierno se sostienen y aun tonio Barrachina, por sí ó por medio de persona legítimamen ­ prosperan, á pesar de los inm ensos sacrificios y daños pro­ te autorizada á deducir sus acciones; en la inteligencia que pa ­ pios de la calam idad general que nos…</t>
  </si>
  <si>
    <t>…e Igue- con varios nacionales, y entre ellos el promotor fiscal de aquel ruela , en la provincia de Albacete, se apresura á hacer mani­ B U E N O S -A IR E S Y M O N T E V ID E O . jozg do, D. Juan de la Calle, y el procurador D. Vicente A p a ­ fiesta su gratitud á V. M. por el decreto de 18 de los corrien­ ricio, practicó el 23 de Noviembre ultimo, habiendo consegui­ tes, cuya disposición en la crisis en que se hallaba la nación Todas las noticias recibidas de Montevideo con fecha del do dar muerte á los bandidos titulados…</t>
  </si>
  <si>
    <t>…dono (El Sr. M endizabal pidió la p a la bra en c o n ­ to á hacerlo, pero no por eso dejo de considerar que habia otros tra) ; pero una vez que existen, que no son p erjudiciales, en el bieoes con que reintegrarlas. Núm. 2.° D. Vicente B o n et, impresor en las islas Canarias mero hecho de conservarse, porque si fueran perjudiciales se Se ha dicho que los frailes tenían el mismo derecho; yo en Santa Cruz de T enerife, pide una ampliación de la ley de hubieran e x tin g u id o ; atiéndase á su subsistencia ó extínganse; c…</t>
  </si>
  <si>
    <t>…nte de h ú ­ n utos, y fue al cuarto de su marido para desnudarse en él, pense la pérdida de Esteban, {id.) sares de la Princesa ; D. Sixto Berri , de igual graduación en como lo tenia de costumbre. el regimiento 2 ° ligeros; D. Vicente M en d ig u tia, del 6 ° de ¿Qué es lo que pasó de las nueve á las once? A quí hay un ligeros, que supo Banquear al enemigo y entretenerle estraté­ misterio que parece difícil de penetrar. A las once, según d i­ Valencia 9 de Febrero, gicamente hasta el caso de preparar la acción %n los tér…</t>
  </si>
  <si>
    <t>…vincia se cita, llama y emplaza á D. Pablo Torrens y Miralda, á luz en nuestro idioma una obra de esta clase , tan instructi­ D. José de Acevo, D. Clemente Bernaldez, D. Joaquín de Tratado histórico práctico de la vacuna, por D. Vicente va como agradable para todas las de la sociedad , nos decidie­ Echavarría, D. Ricardo López, D. Antonio González, D. J o ­ Martínez: un tomo en 8 .° rústica , á 2 rs. ron á ocuparnos de este trabajo que no nos toca calificar. Bas­ sé Casfejon, D. Miguel Márquez y Villegas, D. Lorenzo M a-…</t>
  </si>
  <si>
    <t>…a, y consecuencias que h a » tenido: un tomito en 8.° de nueve dias á D. Felipe O ehayta y com pañía, D. José R i­ H istoria del rebelde Gome* al interior de E spaña, escrita Z a r a go z a 25 d e J u n io . vera y A ndrade, D. Vicente M artel, D. Lorenzo Garrigós y por su gefe de Estado m ayor para presentarla al Pretendiente Suarez y D. Manuel M aría de la O rden, endosantes que apare­ á su regreso. A yer entraron en esta capital 10 faccioso? prisioneros: todos cen ser de un crédito de deuda sin ínteres, núm. 28,785 ,…</t>
  </si>
  <si>
    <t>Vicente, D. Joaquin María López. Sr. D.</t>
  </si>
  <si>
    <t>D. Joaquin María López. Sr. D. Vicente</t>
  </si>
  <si>
    <t>…Agustín Arguelles. Sr. D. Félix Aliaga. Sr. D. Antonio Alcalá Galiano. Sr. D. Antonio Seoane. Sr. D. Francisco Carbonell. Sr. D. Juan Donoso Cortés. Sr. D. Manuel Cantero. &gt; Sr. D. Nicolás Esteban. Sr. D. Julián Villalva. Sr. D. Joaquin María López. Sr. D. Vicente Sancho. Sr. D. José María H uet, electo. Sr. D. José Landero. Sr. D. Paulino Jiménez. Canarias {islas). Sr. D. Dionisio Valdés. Sr. D. Pedro Calzada. Sr. D. Juan Alvarez y Mendizabal. Sr. D. Andrés Alcon. Sr.) gr’&gt;C No está aprobada el acta de elección. S…</t>
  </si>
  <si>
    <t>Vicente, D. Ramón López Vázquez. Sr. D.</t>
  </si>
  <si>
    <t>D. Ramón López Vázquez. Sr. D. Vicente</t>
  </si>
  <si>
    <t>…rt. Sr. D. Francisco de Paula Castro. Sr. marques de Villagarcía. Sr. D . Manuel Franco, electo. Sr. D. Manuel de Seijas Lozano. Sr. D. Pedro María Fernandez Villaverde. Sr. D. José Guillen y Gras. Sr. D. Juan José Fonseca. Sr. D. Ramón López Vázquez. Sr. D. Vicente Santón ja. Sr. Guadalcjara. Salamanca. Almería. Sr. D. José Muñoz Maldonado. Sr. D. Joaquin de Vilches. Sr. D. Santos López Pelegrin. Sr. D. Manuel José Perez. Sr. D. José Salamanca. Sr. D. Manuel Hidalgo Calvo. Sr. duque de Gor, Vicepresidente 2.° Sr. co…</t>
  </si>
  <si>
    <t>Vicente, D. Rufino García Carrasco. Sr. D.</t>
  </si>
  <si>
    <t>D. Rufino García Carrasco. Sr. D. Vicente</t>
  </si>
  <si>
    <t>…María M iranda, electo. Sr. D. Julián Iluelves. Sr. D. Antonio Perez Aloe. Sr. D , Manuel Vázquez Queipo; &gt; Sr. D. Mariano Jaén. Sr. D. Gonzalo Carvajal y IIIloa. Sr. D. Gregorio Quiroga y Frias. Sr. D. Juan José ligarte. Sr. D. Rufino García Carrasco. Sr. D. Vicente Vázquez Móscoso. Sr. I). Juan Pedro Quijana. Sr. D. Vicente Silva. Sr. D. José María Pardo Montenegro. Sr. D. Víctor Fernandez Alejo. Sr. D. Miguel García Cornejo. Sr. marques viudo de Valladares j electo. Sr. D. Julián Rodríguez del Valle. Valencia. Cád…</t>
  </si>
  <si>
    <t>Vicente, ON</t>
  </si>
  <si>
    <t>ON Vicente</t>
  </si>
  <si>
    <t>…oración ; y en los verbos, princi­ en la de Cuesta, frente á las Covachuelas;en la de Míy&amp;r, calle palmente á los pronominales , se forman clases que no se d is- del Príncipe; en la de Nuñez, calle de Atocha; en la dé Pereda, D ON Vicente R ubio, comendador de la orden americana de tinguian hasta ah o ra, y se ponen todos los irregulares. En la calle del Salvado r; en la de Tieso y estampería de V alle %calle Isabel la Católica , é intendente m ilitar del distrito de sintaxis se analiza la formación de la oración y los of…</t>
  </si>
  <si>
    <t>Vicepresi</t>
  </si>
  <si>
    <t>…ncia, Salas Omaña , Ruiz de la V ega, O ndovilh é Lia á Italia, pasando antes por el mediodía de la Fraucia. Desd augusto y el gobierno Constitucional de Isabel 11. De este mo­ Fernandez; suspendiendo en seguida la sesión el Sr. Vicepresi—</t>
  </si>
  <si>
    <t>Vicepresi, Vigo.</t>
  </si>
  <si>
    <t>Vigo. Vicepresi</t>
  </si>
  <si>
    <t>…ngston (Jamaica) 30 de Agosto de 1858. El 1.° del cor­ Cedron. A propuesta del Sr. Mesonero se trató en una de las sesio­ riente , con arreglo á lo dispuesto por el Gobierno ingles, tuvo Segunda sección.—Presidente, Sr. conde de Vigo. Vicepresi­ nes de la formación de un Manual bibliográfico español. efecto en esta Isla la emancipación de los negros esclavos, y dente , Sr. Seoane (O. Mateo). Secretario, Sr. Collado. Vice­ Por último, ha discutido ea varias ocasiones el estado de la tanto en aquel dia como en el siguiente, r…</t>
  </si>
  <si>
    <t>Vicepresidente</t>
  </si>
  <si>
    <t>…e pedir á la comisionados. votos los dos primeros, quedaron elegidos Secretarios. Puerta que suspendiese toda negociación con M ehem et-A lí y que El 30 de J u lio se verificó en casa de Nouri-Effendi , con­ A invitación del Sr. Vicepresidente ocuparon dichos seño- ■o diese paso ninguno sin el conocimiento y la concurrencia de sejero de negocios extrangeros, una larga conferencia á la que * res sus respectivos asientos. las mismas Potencias: que el Gobierno turco habia recibido este • asistían los embajadores de F ra n c…</t>
  </si>
  <si>
    <t>…pito fastuoso de los ban­ El Fxcmo. Sr. capitán general de este ejército y distrito con Agosto. quetes: el au tor, no oyendo mas que muestras de aprobación, fecha 26 del corriente me dice lo que sigue: En seguida el Excuso. Sr. Vicepresidente ordenó que el se­ ha persistido en su errada creencia, porque ha juagado m ascó - Desde el parte de operaciones qQf¿tremesé á V. S. con fe­ cretario leyese, como se verificó, el expresado Real decreto de modo no buscar un vicio social grave y profundo que atacar cha 22 del actual, h…</t>
  </si>
  <si>
    <t>VICEPRESIDENTE</t>
  </si>
  <si>
    <t>…destructor el Sr. Ministro la copia de mi dictámen. cosa, por eso hasta mis reclamaciones han sido inútiles. de la libertad. Si el Gobierno no tuvo facultad para restablecer El Sr. Ministro de GRACIA Y JUSTICIA: Con mucho El Sr. VICEPRESIDENTE: Tiene la palabra el Sr. López; una ley , sea esta la que se quiera , es claro que uo tuvo facul­ gusto. pero antes debo advertir al Congreso que, habiendo trascurrido tad para restablecer ninguna otra. El Sr. CALATRAVA (D. J.): El Sr. Ministro no ha te­ ya las horas de reglamento, s…</t>
  </si>
  <si>
    <t>…n to en Ceuta se notó un síntoma de insurrección : mucho elogio el Sr. Alvaro; y que este contrato se habia hecho entre el Go­ personal. merecen sus autoridades. bierno de una parte y D. Luis Sartorio, de otra. Dice asi. El Sr. Vicepresidente Z U M A L A C A R R E G U I: V. S. no ha Interceptada la comunicación de D. Cárlos se veia en ella {Leyó.) hablado. que los confidentes le decian que por desgracia esta habia abor­ El orador continuó contestando á varias observaciones he­ El Sr. B A A R IO A Y U S O : Tengo la desgr…</t>
  </si>
  <si>
    <t>…citando su admisión en el y el lauro de victoria no, aunque nos falta el apoyo político, nos llevamos el asen­ Congreso. enjuga el llanto acerbo que la baña. timiento de los representantes del pais. Esta posición es buena, El Sr. Vicepresidente Z U M A L A C A R R EG U I señala para Almas valientes que en la lid sañuda es envidiable, vale mas que todos los triunfos parlamentarios. mañana la discusión de los asuntos pendieutes, y levanta la se­ muerte arrostraron firmes, muerte dieron, Pero si confundiendo, señores, los tiem…</t>
  </si>
  <si>
    <t>Vicepresidente, Olózaga.</t>
  </si>
  <si>
    <t>Olózaga. Vicepresidente</t>
  </si>
  <si>
    <t>…gusto. Nombramiento cle las secciones. También se ha ocupado de la cultura de los septentrionales CORRESPONDENCIA DE LA GACETA. cuando invadieron la Europa en el siglo r ; del influjo de la li­ Primera sección.—Presidente, Sr. Olózaga. Vicepresidente, teratura árabe en la española, y de la época ea que los judíos Sr. Valle. Secretario, Sr. Quinto. Vicesecretario, Sr. Yila- vinieron á España. Kingston (Jamaica) 30 de Agosto de 1858. El 1.° del cor­ Cedron. A propuesta del Sr. Mesonero se trató en una de las sesio­ riente ,…</t>
  </si>
  <si>
    <t>Vicepresidente, Vallejo.</t>
  </si>
  <si>
    <t>Vallejo. Vicepresidente</t>
  </si>
  <si>
    <t>…en el siguiente, reinó en ella el ma­ secretario, Sr. Castellanos. cultura española eri el siglo x n r ; el de la literatura española yor desorden , presentándose desde entonces síntomas de des­ Tercera sección. —Presidente, Sr. Vallejo. Vicepresidente, en los siglos xtii, xiv y x v; y cuál de los siglos xvi ó xvri contento y del peligro que amenaza este pais. En muchas ha­ Sr. Santaella. Secretario, Sr. Barinaga. Vicesecretario Sr. C on- debe ser reputado por verdadero siglo de oro de nuestra lite­ ciendas 00 solo han rehu…</t>
  </si>
  <si>
    <t>Vicese, Revilla.</t>
  </si>
  <si>
    <t>Revilla. Vicese</t>
  </si>
  <si>
    <t>…arta sección.—Presidente , Sr. M artines de la Rosa. V i­ Ademas de estos trabajos parciales de las secciones se han ó fijación de los salarios, lo cual sostiene y alienta el exaltado cepresidente, Sr. Gil Zarate. Secretario, Sr. Revilla. Vicese­ ocupado todas ellas de un pensamiento de nuestro digno presi­ celo ó fanatismo de los predicadores metodistas y anabatistas cretario, Sr. Bretón de los Herreros. dente el Sr. D. Francisco Martines de la Rosa, propuesto en la Un individuo de estas sectas llamado Kiubb comenzó un movi…</t>
  </si>
  <si>
    <t>Vicesecretario, Quinto.</t>
  </si>
  <si>
    <t>Quinto. Vicesecretario</t>
  </si>
  <si>
    <t>…DE LA GACETA. cuando invadieron la Europa en el siglo r ; del influjo de la li­ Primera sección.—Presidente, Sr. Olózaga. Vicepresidente, teratura árabe en la española, y de la época ea que los judíos Sr. Valle. Secretario, Sr. Quinto. Vicesecretario, Sr. Yila- vinieron á España. Kingston (Jamaica) 30 de Agosto de 1858. El 1.° del cor­ Cedron. A propuesta del Sr. Mesonero se trató en una de las sesio­ riente , con arreglo á lo dispuesto por el Gobierno ingles, tuvo Segunda sección.—Presidente, Sr. conde de Vigo. Vicepresi…</t>
  </si>
  <si>
    <t>Vich</t>
  </si>
  <si>
    <t>…a puntual remi­ El segundo cabo de Cataluña dice con fecha 5 del actual, De Real orden lo comunico á V. SS. para su inteligencia sión de los partes mensuales que están prevenidos, respec­ refiriéndose á un parte del gobernador de Vich , que señorea­ y cumplimiento. to al recibimiento que tienen en el público los cigarros fili­ do el enemigo del pueblo de Villadrau hace mas de tres años, La dirección, en unión con la contaduría general de pinos. Y se cuidara de expresar en estosr partes si se obser­ ylonia prevalido asi de l…</t>
  </si>
  <si>
    <t>VICIO</t>
  </si>
  <si>
    <t>…YECTO DE LEY PARA LA ORGANIZACION, SER­ &gt;ó provincia en el caso de estar amenazados, ó turbarse la tran­ Art. 189. La organización de los cuerpos movilizados de la Milicia nacional se hará por conducto de la inspección general VICIO Y DISCIPLINA DE LA MILICIA NACIONAL DEL REINO. quilidad pública por asonadas , sublevación, sedición , invasión en los términos expresados anteriormente: pero en caso urgente de ladrones y malhechores , ú otras causas semejantes. lo verificará el capitán general del distrito , oyendo á los su…</t>
  </si>
  <si>
    <t>Victo, José</t>
  </si>
  <si>
    <t>José Victo</t>
  </si>
  <si>
    <t>…mbre de mi augusta Hija la Reina Doña Isa­ por que tanto su sp ira , ve am an ecer la aurora de la paz y de ven­ se acerca in u n d a d o de gozo al excelso trono de V. M . para f e l i ­ bel n he tenido á bien mandar que cese D. José Victo­ t u r a de que es precursora la reconciliación de u n a porción de citar su Real Persona por el feliz cuan to inesperado de¿eniace riano Labadía en el desempeño de la dirección general seres a r m a d o s , que h á poco d e fe n d ían con decisión u n a causa que h a tenido la g u e rra…</t>
  </si>
  <si>
    <t>Victoria, Guadalupe</t>
  </si>
  <si>
    <t>Guadalupe Victoria</t>
  </si>
  <si>
    <t>…lemente será el orden y la paz de la república, que­ nos canales, dieron un impulso vigoroso al tráfico interior, y dando con el mas profundo y amargo sentimiento por haber de consiguiente al comercio. A l Excmo. Sr. general D. Guadalupe Victoria &amp;c. é'c. frc. oido de boca de los ayudantes de campo del Sr. general Valen­ Para formarse uua idea de cuál seria el que habia con nues­ en Veracruz. cia , que acaban de presentárseme, que hay regados en el cam­ tros dominios de U ltram ar, basta reflexionar que era no solo po de…</t>
  </si>
  <si>
    <t>Victoria, María</t>
  </si>
  <si>
    <t>María Victoria</t>
  </si>
  <si>
    <t>…­ de Constantina examen público de las alumnas de primera edu­ sevillano se ha tenido presente que en él deben ingresar un bunal dé los Pares, son hechos calificados de atentados por Ja cación que dirige la maestra examinada Doña María Victoria crecido número de niños, y era preciso buscar la salubridad, l^y, hechos cuya conspiración no es úna condición constituir-! M árquez, y presidido por su junta inspectora , en la iglesia del separando las causas que producen enfermedades en los climas v* * y que traen su criminalidad d…</t>
  </si>
  <si>
    <t>Victoriano</t>
  </si>
  <si>
    <t>…jerciendo las funciones da comer y crecer. En N U E V O tratado de fisiología-patológica de J . L . Begin, tr a - este estado se le dan los nombres de oruga , cresa y otros varios, ^ * ducido al castellano con notas por el Dr. D. Victoriano aplicados tan indiscrim inadam ente, que es casi imposible de- I de Torrecilla. La junta escolástica del colegio de S. Cárlos de fi ni ríos exactamente de modo que indiquen una precisa división PROVIDENCIAS JUDICIALES* M adrid informará á la superior de medicina y cirugía , m ani­ de la e…</t>
  </si>
  <si>
    <t>Victorin</t>
  </si>
  <si>
    <t>…una de hoy miércoles por si gastan asistir J u z g a d o d e la intendencia m u ltar d e Castilla la N ueva. á la función. U ¿ ; Costumbres provinciales = L a s bodas de Villena. Por el presente se cita , llama y emplaza á D. Victorin o po rte *1'8™5 d6 ^ adrici-=::De la calesa * la galera.=Fraucas de M o r u l l a , comisario de gu e rra , y como apoderado de D . J u a n Sant J u s t a D Casto E s p i n a r , coronel mayor de infantería- Se suscribe al Semanario en las librerías de Jo rd án , calle de CRU Z. Hoy rio hay…</t>
  </si>
  <si>
    <t>Vidal, Benigno Martínez</t>
  </si>
  <si>
    <t>Benigno Martínez Vidal</t>
  </si>
  <si>
    <t>…cira: para este, de'ascenso en la de Santa María. Dios guarde á Y. E. muchos años. asuntos de la misma sección ejercerá las facultades que el Cádiz í9 de Abril de 1859.=:Excmo. Sr.—Jacinto Manrique. = provincia de Valencia, á D. Benigno Martínez Vidal , juez de art. G.° del citado reglam ento le concede respecto de las Excrno. Sr. Secretario de Estado y del Despacho de la Gober­ Alba de Tormes: para este partido, de entrada en la provincia d em as secciones. nación de la Península. de Salamanca, al juez electo de Medinaceli…</t>
  </si>
  <si>
    <t>Vidal, D. Agustín</t>
  </si>
  <si>
    <t>D. Agustín Vidal</t>
  </si>
  <si>
    <t>…ó un rápido plina , venciendo mil obstáculos y las fuerzas de que los rebel­ ha usado siempre la iglesia de U rgel, al lugar de Castellebre. incremento por los repuestos de municiones. des podían disponer. Alli los recibió el Sr. D. Agustín Vidal, canónigo de Urgel, Mañana atacaré decididamente el fuerte de Guardamino, La marcha impávida de mis columnas y el ardor de los ti­ antiguo vicario general del obispo extrañado D. Fr. Simón construido con todas las reglas del arte en una elevada posición, radores que las cubrían, ha…</t>
  </si>
  <si>
    <t>Vidal, D. Luis</t>
  </si>
  <si>
    <t>D. Luis Vidal</t>
  </si>
  <si>
    <t>…las cuotas respectivas y extensión de los recibos Tesorero.=Sr. D. Eusebio Morenas de Tejada. Ilumina todo género de estampas , á la española y france­ ó cartas de pago; y habiéndose procedido á la cobranza, tiene Secretario.=Sr. D. Luis Vidal. sa; copia y adorna eseudos de armas y árboles genealógicos que el gusto la dirección de manifestar que se verificó completa­ Archivero.=Sr. D. Manuel Gil de Santibañez. se le confien, seguros de hallar en su trabajo la mayor per­ mente sin necesidad de valerse de las medidas que expre…</t>
  </si>
  <si>
    <t>Vidaurreta, Sebastian Perez Villar</t>
  </si>
  <si>
    <t>Sebastian Perez Villar Vidaurreta</t>
  </si>
  <si>
    <t>…i s , San O tra id. en sitio de la C hanata, término de Bentarique, O tra id. en loma de la Fuente, término de Almería, Des­ J u d a s , por D. Trinidad A m at Tortosa , en 9. Fábrica , por D. José R o s , en 8. confianza, por D. Sebastian Perez Villar Vidaurreta, en 25. Otra id. en el cerro de la Cuchara , frente de la cuesta del O tra id. en sierra de G ado r, hoya de Capaliran , término O tra id. en sierra de G ador, cerro de Zarzo, término de F raile, término de H uercal, Jamón (a) Nuestra señora de los del Presidio, Sa…</t>
  </si>
  <si>
    <t>Viejo, Manuel</t>
  </si>
  <si>
    <t>Manuel Viejo</t>
  </si>
  <si>
    <t>…t ha mésela de su pelen; yapar*- zaro, D. José Pombo, D. José Laplana, D. Francisco Esquer­ do calle del T urco, y continuarán hasta concluir el curso los ra evitar ó corregir contratiempos y dirigir la cria de lofe aut¿- ra , D. Manuel Viejo, D. Alberto Tolosa, D. Joaquin Alcal­ martes , viernes y sábados dé cada semana de doce á dos. males que necesitan; ya en fio , para conocer los terrenos y de, D. Rafael Jiménez y D. Manuel Fernandez Cadiñanos: La matrícula estará abierta hasta el dia 20 de dicho mes en minerales. Lo mi…</t>
  </si>
  <si>
    <t>Viennc, Francisco</t>
  </si>
  <si>
    <t>Francisco Viennc</t>
  </si>
  <si>
    <t>…tes de provincia á este graciado encuentro que el alférez dede logranaderos ocurrido en el des­ Art. 5.° Para proponer la pena de separación forma­ Ministerio una relación de todos ios pagos hechos por las de la Guardia Real D. Francisco Viennc tuvo coná30caballo hom­ rán los intendentes, cada uno en su provincia, y las di­ respectivas tesorerías á individuos y clases militares, y en bres de su cuerpo con la facción capitaneada por el rebel­ recciones harán formar en todas las del reino expedientes equivalencia de cuyo i…</t>
  </si>
  <si>
    <t>Vienne, Francisco</t>
  </si>
  <si>
    <t>Francisco Vienne</t>
  </si>
  <si>
    <t>…ecompensas á que juzguen acreedores á se indicarán ademas las razones por que no se haya veri­ por la que se absuelve de todo cargo al expresadr alférez los empleados que sobresalgan en su conducta por los au­ ficado el pase, D. Francisco Vienne, mandando que se haga pública su mentos de la recaudación, y parte que hayan tenido en Art. 16. Los intendentes, gefes y empleados de la ad inocencia en los términos prevenidos en la ordenanza. De el logro de ellos, y se publicarán en la Gaceta sus nom­ ministracion de la Hacienda…</t>
  </si>
  <si>
    <t>Vierge, María</t>
  </si>
  <si>
    <t>María Vierge</t>
  </si>
  <si>
    <t>…en la que no ha ron renovados del todo: el patio de las Muñecas quedó con­ Doña Concepción Lapuerta. dejado de desplegar vastos conocimientos en legislación y su cluido, cuya operación está ejecutada con inteligencia y gus­ Doña María Vierge. * gran práctica en los debates judiciales. to. Los andaraios para renovar los artesonados d.sl patio gran­ Doña Francisca Casanova. A ver por un olvido involuntario no hicimos mención del de estaban ya colocados, pero desgraciadamente hace años que Sr. (i&gt;c.d de S. M. , que en un cort…</t>
  </si>
  <si>
    <t>Vigo</t>
  </si>
  <si>
    <t>…ques de V ilu m a que habian obtenido mayor número de tes habían recibido instrucciones de sus Gobiernos para infor­ tera , mediante un tributo anual de 50 millones de piastras. votos; y verificada esta, tuvieron el Sr. conde de Vigo 54 vo - m ar á la Puerta de que las cinco Potencias estaban conformes La Puerta ha aceptado inmediatamente la intervención de la tos, el Sr. Medrano 31 , el Sr. marques de Vilum a 2 1 , y el ( a g r e e d ) en general sobre los negocios pendientes entre la T u r ­ E u ro p a, y en consecuenci…</t>
  </si>
  <si>
    <t>…arques de V alg o rn era , D. Jo a q u in Ma­ la guerra civil y la anarquía cesen de paralizar los esfuerzos Concluido este discurso se levantó la sesión , debiendo con­ ría T e rro r, D. Ju a n M uguiro I rib a rre n y conde de Vigo; de la nación española para obtener los beneficios de una Cons­ tinuar el mismo asunto en la del dia siguiente. (Debats.) a los D iputados d u q u e de G o r, D. A ntonio Alcalá G alia titución libre y monárquica. C o n tin u an d o , Señor, en conceder n o , D. A m onio S a to rra s , D. José…</t>
  </si>
  <si>
    <t>…ndo desaparecer los hor­ ha hecho verter, y tantos desastres nos ha causado. ra.= A L. R. P. de V. M .=José María Moscoso de Altami­ rores y estragos de la guerra á influjo de la paz que se veia re­ ra , Presidente.= El conde de Vigo, Senador Secretario.r- Con la asombrosa política del ilustre guerrero que manda nacer, y sin la que son enteramente nulos todos los Gobiernos las tropas del N orte, muchos españoles extraviados acaban de é instituciones; de la paz que debe ser considerada como el pri­ Diego Medrano, Senador Se…</t>
  </si>
  <si>
    <t>…a contenida en la adición del Sr. González al siguiente párrafo 10. Rectificaron varios hechos los Sres. Ileros y Ministro de la A las once sé reunirán las secciones para calificar la pro­ Gobernación. posición del Sr. conde de Vigo sobre señalamiento de término En cuanto á la adición á dicho párrafo 10, propuesta por el Sr. Tarancon , que dice: "y que se asegure la subsistencia por El Sr. OJERO impugnó el dictamen por creer que en la á los Senadores para presentarse en el Senado. tantos títulos debida á las religiosas…</t>
  </si>
  <si>
    <t>…las operaciones del sitio de Berga. Orense. = Conde de Puñonrostro, y marques de Leis» muy distante del pais de recursos, teniendo ademas que atra­ Setenta y cinco mil sacos á tierra: 126 acémilas necesarias Oviedo. = Conde de Vigo. vesar la línea de operaciones por un terreno en parte cubierto para su conducción: 500 zapapicos: 15 idem: 250 picos de uha Palencia. r D. José Ojero. de bosque y. bastante escabroso, en donde el euemigo domina, y dos puntas: 13 idem: 500 palas: 13 idem: 500 azadas: 16 Pontevedra. = D* Pió P…</t>
  </si>
  <si>
    <t>…el corriente para la comisión encargada de dar su dictamen acerca de la propo­ ta na , provincia de Ciudad - Real , desoiría los impuUos de su recibir á la diputación que ha de poner en sus Reales manos el sición del Sr. conde de Vigo, á los Sres. Isla Fernandez, conde c o r a z ó n , desentendiéndose de los sentimientos que le «niman por discurso de contentación. de V ig o , Melgarejo, Ramonet y marques de Guadalcazar. la felicidad de su patria , si en el momento i«o elevase á sus El Senado quedó enterado. Y para la que ha…</t>
  </si>
  <si>
    <t>Vigo, Froilan Mendez</t>
  </si>
  <si>
    <t>Froilan Mendez Vigo</t>
  </si>
  <si>
    <t>…xiste por tanto una infracción abierta contra Ja 2 .a Concediendo una pensión á la viuda é hijos del te­ rientes, con arreglo á las leyes de sucesión. Constitución; contra esta ley no puede haber razón ninguo® niente general D. Froilan Mendez Vigo, muerto en defensa del Art. 5.° Cesarán en el derecho los diocesanos de percibir de de conveniencia. Todas las otras consideraciones podrán produ­ orden público. las testamentarías de dichos eclesiásticos las halajas ó luctuosas cir efectos diversos, pero ninguna autoriza á infr…</t>
  </si>
  <si>
    <t>Vigo, Froilan Mepdez</t>
  </si>
  <si>
    <t>Froilan Mepdez Vigo</t>
  </si>
  <si>
    <t>…: deuda activa, 3 íf. cubría con su cuerpo la portezuela del coche. Era redonda y Artículo único. Atendiendo á los distinguidos \ servi­ habia sido lanzada con gran fuerza para romper á tal distan­ cios del mariscal de campo D. Froilan Mepdez Vigo, Pasiva , 8¿. cia un cristal tan grueso. muerto en defensa del orden público, se señala á su viu­ D if e r id a 14* La muger presa se llama Estefanía Girondella, criada des­ da Doña Luisa Oráa y Erice, y á su hijo ó hijos postu­ Tres por 100 portugués, 25|. acomodada; tenia la ca…</t>
  </si>
  <si>
    <t>Vigo, Mendez</t>
  </si>
  <si>
    <t>Mendez Vigo</t>
  </si>
  <si>
    <t>…7.° del mismo dictárnen del Sr. conde de las Navas. acordó constase en el acta que la comisión encargada de ción, actual con la que antes de aquel venturoso dia ocupába­ de todos los males. informar sobre la proposición del Sr. Mendez Vigo acerca de la mos , se llena nuestro corazón de nuevo e inefable gozo, y S eñora, después de seis años de una guerra encarnizada capitalización Bendice sin cesar la mauo del bienhechor que tanta dicha nos en que el rencor y el odio sacrificaron miles de víctimas; in­ do por su Presidente…</t>
  </si>
  <si>
    <t>VIGO, MENDEZ</t>
  </si>
  <si>
    <t>MENDEZ VIGO</t>
  </si>
  <si>
    <t>…e u n id a d , equivaldría tanto como poner después la primera zones, sino con pasión. anterior. cosa que existe en el pais que se ha regido constitucionalmente. No solo habría este inconveniente, sino otro que la delica­ El Sr. MENDEZ VIGO dijo que debia expresarse en el S. S. se ha pronunciado contra semejante p alab ra; y si no me deza del Senado no permite ; porque esa contrariedad que ven acta que se difirió ayer la discusión del proyecto de contesta­ engaño, dijo que cómo habían de abandonar una adm inistra­ algunos…</t>
  </si>
  <si>
    <t>…vez de mirarlos como personas relativa á la formación de un cuerpo de sanidad militar. Pre­ mariscal de campo D. Antonio Urbistondo , y otros vienen á tenidas en seguridad , se les miraba como personas que debian sidente el Sr. Mendez Vigo, secretario el Sr. Alcon. fijar en ella su residencia como lo verificaron á principios de dar de sí lo necesario para sostenerse los alcaides con un lujo y El Sr. ^PR ESID EN TE: Para mañana después del despa­ esta semana en M aham ud siete individuos á la vez. opulencia escandalosa ;…</t>
  </si>
  <si>
    <t>Viilaiba, Ramón</t>
  </si>
  <si>
    <t>Ramón Viilaiba</t>
  </si>
  <si>
    <t>…mó en un religioso éx tasis: F u it hamo missws á D so gracia plena y entera , despucs de una detención preventiva de Dibujo. D. Guillermo Macpherson , D. Víctor García Ga.v- cajas nomen erat Jo a n m s . mas de un mes. ton, D. Ramón Viilaiba, D. José Gómez y D. José Garrido. E l uso de galeras para batallas navales parece que cesó Música. D. Jaime Santacaua , D. Fernando Gargollo, Eion después de la acción de L ep anto: pues vemos que el fa­ Salvador Viniegra y D. Ignacio Fernandez de la Somera. Clot bey, médico del vi…</t>
  </si>
  <si>
    <t>Vila</t>
  </si>
  <si>
    <t>…s­ Nada mas tengo que añadir á lo expuesto que dos razones: m ayor franqueza y sinceridad, y que no he hecho mas que re* pués de ser apoyadas brevemente por sus autores, dos proposi­ 1.a Que considerando lo propuesto por el Sr. Vila como un petir lo que ei Congreso dijo á S. M . ciones de ley de que se dió cuenta en la sesión de antes de V o y á llamar la atención de los señores Diputados con el nuevo proyecto, nunca podrá este adoptarse, porque para eso a y e r , la una sobre retirados , y la otra acerca de recaudación…</t>
  </si>
  <si>
    <t>…e contestaré que no, que es sobre la discusión general de fue­ man el carácter nacional, sino por efecto de autorizaciones su nuevo plan de operaciones se habían acogido á indulto 33 ros, la cual se empezó por la enmienda del Sr. Vila ; ¿princi­ concedidas al invicto caudillo el duque de la V ic to ria , que facciosos, y que esperaba lo verificasen otros muchos. pió la cuestión de fueros por ningún proyecto? no. Digo mas* supo con su valiente ejército llevarlas á cabo , abrazándose Dice igualmente que aquellos á quienés no p…</t>
  </si>
  <si>
    <t>…ianzarlo con mas fuerza. Todos desean, to­ mente sus votos nacidos del mas sincero reconocimiento. dos claman por la paz, aunque sea á costa de algunos sacrifi­ Dios guarde la importante vida de Y. M. muchos años zo elDespués Sr. Vila, de unas ligeras observaciones en su apoyo que h i­ como uno de sus autores, fue tomada en consi­ cios, que no son nada en comparación de los bieues que aque­ para felicidad de la monarquía. Oviedo 9 de O ctubre de lla nos prepara. ¡La paz, que empieza ya á asomar su divi­ i8 3 9 .= S e ñ o r…</t>
  </si>
  <si>
    <t>Vila, Francisco Luciano</t>
  </si>
  <si>
    <t>Francisco Luciano Vila</t>
  </si>
  <si>
    <t>…dillo que dirige nues­ mera instancia de A lpuente, que es de entrada en la provincia acoger placentera los sinceros votos que forman los empleados tro ejército , y al expreso convencimiento de aquellos que sin de Valencia , á D. Francisco Luciano Vila , que ha desempeña­ de Hacienda pública de esta provincia por la gloria del reina­ embargo de pertenecer á una f a m ilia , han estado por tanto do en comisión la judicatura de Chiva. tiempo obcecados. do de nuestra excelsa Reina Doña Isabel ii , cuya vida Dios El mágico acen…</t>
  </si>
  <si>
    <t>Vila, José</t>
  </si>
  <si>
    <t>José Vila</t>
  </si>
  <si>
    <t>…votación el dictámen, es aprobado. Pujadas, fabricante de sombreros; D. Ramón M illa, maestro los actos no se califiquen por un tribunal expreso. Pero se dice, El Sr. PRESID EN TE: Se suspende esta discusión: conti­ sastre; D. José Vila , herbolario, y D. Jaime Menta , maestro y en esto, señores, es menester hablar con franqueza , que estos núa la que quedó ayer pendiente sobre el canal de Castilla. tornero , vecinos de Barcelona , acuden al Congreso con fecha ciudadanos han sido deportados fuera de la Península sin oír­…</t>
  </si>
  <si>
    <t>Vildosola, José María</t>
  </si>
  <si>
    <t>José María Vildosola</t>
  </si>
  <si>
    <t>…S. Antonio María Corbalan , D. Aotonio Redondo, D. Gabriel U rdax; y para solemnizarla de un modo conforme á su alta importancia, el ayuntamiento de esta capital acordó se cele­ de la Calle M a c ía , D. Ju lián Ja v ie r , D. José María Vildosola, PRINCIPE. A las siete y media de la noche. Después de brasen los regocijos y festejos públicos que constan del progra­ D. Rafael Misfavila , D. Juan de Cengotita Bengoa , Sr. conde una brillante sinfonía , se pondrá en escena el melodrama nue­ m a, pudiendo asegurar á Y. que…</t>
  </si>
  <si>
    <t>Viliacam, Pedro</t>
  </si>
  <si>
    <t>Pedro Viliacam</t>
  </si>
  <si>
    <t>…a m uy pronto , y se esperan coa impaciencia noticias Real decreto nombrando capitán general de las islas Baleares al CORRESPONDENCIA DE LA GACETA. ulteriores. teniente general D. Ju an Antonio de A ld am a, en reem­ plazo de D. Pedro Viliacam pa. (1546.) L ogroñ o 25 d e F ebrero. La insurrección de estos faccio­ nombrando al mariscal de campo D. Laureano Sanz ca­ sos parece ha crecido hasta el punto de pronunciarse hostil­ El bloqueo de Buenos-Aires co n tin úa: los franceses han pitán general de G alicia por renuncia d…</t>
  </si>
  <si>
    <t>Vilió</t>
  </si>
  <si>
    <t>…ndrá en escena el drama marcha de los acontecimientos, pero rectificándolas en to método y maestría, sosteniendo bien su papel en el res­ histórico en tres jornadas del célebre Victor Hugo , titulado to de la partición. La Sra. Vilió no podia agradar como otras veces en una ópera poco a propósito para sus facul­ ANGELO, TIRANO DE PADUA. tades: ademas creimos notarla algo indispuesta; pero sin (0 Se vende á 4 rs en la librería de D. Ignacio Boix, calle embargo fue aplaudida en todas las piezas que ejecutó. El de Cañetas…</t>
  </si>
  <si>
    <t>Villa</t>
  </si>
  <si>
    <t>…los productos de las rentas de la isla de Cuba en el ana berg y otros naturalistas en los animales infusorios, con las que una tregua en medio de lo encarnizado del combate; h u ­ de 1858 formado de órdeu del Excmo. Sr. conde de Villa­ se han ampliado considerablemente los conocimientos acerca la nueva , del Consejo de Estado, intendente de ejército, su­ estructura, movimientos, reproducción y demas funciones de di­ bo un momento de consuelo y de descanso; y los mismos perintendente general delegado de Hacienda de la mism…</t>
  </si>
  <si>
    <t>Villa-, Alejandro Peña</t>
  </si>
  <si>
    <t>Alejandro Peña Villa-</t>
  </si>
  <si>
    <t>…ctor general de la misma , debo recordar que este get'-e valiente y benemérito es el mismo que durante su MADRID 1 4 DE JUNIO. habiéndose realizado con las formalidades que la misma pre­ viene, tocó á los sugetos siguientes: D. Alejandro Peña Villa- toando en esta provincia pudo con un puñado de soldados con­ rejo, D. José María Alvarez, D. Benito Ochoa, D. Francisco tener á las hordas facciosas en los límites de sus guaridas , y López, D. Juan Tejada y Lozano, D. José María M altrana, uuuca osaron pisar esta fértil veg…</t>
  </si>
  <si>
    <t>Villaamil, Genaro</t>
  </si>
  <si>
    <t>Genaro Villaamil</t>
  </si>
  <si>
    <t>…e en nimiento. f i i n n i iw i i imhw im i Varios escultores y pintores, entre estos D. José Madrazo rm i m el P endón, no tenia las pésimas costumbres ni la abyec­ ción que se le atribuye. Este abatimiento é inmoralidad, y D. Genaro Villaamil, trabajaron en sus artes respectivas, P R O V ID E N C IA S JU D IC IA L E S . esta p ille ría , que nos parece la voz propia, no es de aquel mientras que ocupando la tribuna el Sr. Campo-amor , leyó siglo: pertenece á épocas posteriores; y correspondería una linda composición poéti…</t>
  </si>
  <si>
    <t>Villacampa, Pedro</t>
  </si>
  <si>
    <t>Pedro Villacampa</t>
  </si>
  <si>
    <t>…go en Varque d e artillería . Dioi guarde á V. S. muchos años. Madrid 28 de Ene­ nombrarle capitán general de las islas Baleares, en reem­ ro de l839.=Manuel González Brabo.«=-Sr. intendente de.... plazo del de la misma clase D. Pedro Villacampa, á quien En el dia 11 del actual de doce á una debe tener efecto la subasta de 2 43 vaioas para bayonetas: los licitadores que qu ie­ he tenido ¿ bien declarar su cuartel para el distrito de ran co n cu rrir, podrán verificarlo enterándose antes del pliego dichas islas. Tendréislo…</t>
  </si>
  <si>
    <t>Villalada, Juan Nepomuceno</t>
  </si>
  <si>
    <t>Juan Nepomuceno Villalada</t>
  </si>
  <si>
    <t>…22. tonio Marte! y Nuñez, D. Francisco Gómez Acebo, D. Pedro Otra i d . , calar de Guejar Sierra , término de i d . , S. T r i- Ibañez, D. Ventura Martínez Remoa y D. Francisco Astiz, IM P R E N T A N A C IO N A L baldo, por D. Juan Nepomuceno Villalada, en 22. quienes por unanimidad declararon 110 haber lugar á la for­ Otra id ., cuesta de las Tejas, cerro de la Fuente del Lo­ mación de causa. bo, término de V ia to r , El Sauri, por D. Ju an Maebean, COLECCION DE LEYES, en 25. Otra id., hoya del Ciervo , término de D…</t>
  </si>
  <si>
    <t>Villalo, Alejandro Gouzalez</t>
  </si>
  <si>
    <t>Alejandro Gouzalez Villalo</t>
  </si>
  <si>
    <t>…ncia al públieo para su conocimiento. niente geoeral D. Manuel Llauder. (Id.) _ nombrando capitán general del distrito de Castilla la que han entrado en Castellón mas de 5 0 , procedentes de Alco- Nueva al mariscal de campo D. Alejandro Gouzalez Villalo­ ra y otros puotos, á quienes intimada la orden, solo se les ha dado lugar de una hora para tomar el cam ino, apoderándose I bos. (Id.) La dirección general de Correos, en cumplimiento de lo concediendo el uso de media firma al Sr. Ministro de Ma­ los facciosos de las…</t>
  </si>
  <si>
    <t>Villalobos, Francisco de Paula</t>
  </si>
  <si>
    <t>Francisco de Paula Villalobos</t>
  </si>
  <si>
    <t>…os, Sostenes y Escévo- nueve Nacionales de Ocaña yóNobíejas con el digno juez de pri­ las. Y aun esto no era original. Ya Calderón en sus come­ El general en gefe después de algunas horas de descanso, mera instancia de Ocaña D. Francisco de Paula Villalobos dias habia couvertido toda la antigüedad griega y rom ana, ha salido á las dos de esta madrugada de Murviedro para Cas­ y 40 Nacionales de infantería con el alcalde primero de V illa- y aun los mismos dioses del Olimpo, en damas y galanes tellón. rubia de Santiago, los…</t>
  </si>
  <si>
    <t>Villalon</t>
  </si>
  <si>
    <t>…dicina y c iru g ía , y un fa r­ Y DEL DESPACHO DE LA GUERRA. partido, de igual clase en !a provincia de Va 11odo 1id, á D. V i­ m acéutico, nom brados por Mí. Para reem plazar á este ú l­ cente Manuel Alvarez, promotor fiscal de Villalon. tim o en caso de ausencia ó e n fe rm e d a d , n o m b ra rá la d i ­ El general en gefe del ejercito del Centro trascribe un p a r­ rección u n su p len te: pero asi este como aquellos h a n de te que le dirige con fecha 16 del actual el general Aspiroz , en S. M. la Reina Gobernadora ,…</t>
  </si>
  <si>
    <t>Villalonga</t>
  </si>
  <si>
    <t>…señores suscriptores; y 6 rs. para las provincias franco La presente semana ha sido solemnizada con dos funciones vación acantonada en Agramunt. de porte. que han contribuido á la pompa y grandiosidad de la época: la El coronel Villalonga condujo ayer á esta capital la mayor Se suscribe en la librería extrangera, calle de la Montera* primera ha sido el célebre Miserere de Pons, cantado en la tarde parte de los soldados de la división de su mando, que fueron y en las provincias en las comisiones de la agencia literaria. d…</t>
  </si>
  <si>
    <t>…s casas, su llegada á Losa y que se dirígia á Liria por víveres , habien­ y promete otros mas felices, atendida la inteligencia del posee­ trabaron un combate reñido que duró cinco horas, logrando do dejado en Chelva al coronel Villalonga con cuatro batallo­ dor del aparato, el doctor Pou. Cuantas personas han visto la lanzarles del pueblo á la bayoneta matándoles mucho número nes , dos escuadrones y una sección de obuses , y dispuesto que lámina han reconocido la exactitud del traslado y se han asombra­ y quedando en nue…</t>
  </si>
  <si>
    <t>Villalta</t>
  </si>
  <si>
    <t>…osas del Oriente con los sentimien­ Isabel hizo tan glorioso y esclarecido el reinado de esta. dujo que han ejercido los unos sobre los otros; distinguir ai tos de religión y galantería de Occidente, amalgama muy hace­ Si el Sr. Villalta hubiera reducido su drama á tres actos, través de tantos siglos y en medio de las mas profundas y asom­ dera en siglos de tanta ignorancia, y acrecentadas esas ideas en mucho hubiera ganado ciertamente en ello; pues de la falta de brosas revoluciones la marcha oculta, tortuosa, incierta y…</t>
  </si>
  <si>
    <t>Villalt’a, Gonzalo</t>
  </si>
  <si>
    <t>Gonzalo Villalt’a</t>
  </si>
  <si>
    <t>…nda pública en cuerpo de ingenieros , Carlos M ontenegro.nPor el regimiento dor cu arto , José Muñoz.—El síndico, Simón Naranjo.—Matías la provincia «de Santander por sí y á nombre de los empleados provincial de Jerez, el coronel Gonzalo Villalt’a .=Por la com­ Eluiz de Yargas , comandante de arm as.— El párroco Alberto de aquellas oficinas. pañía de caballería , el capitán comandante accidental Luis González Calvo.—El comandante de la Milicia nacional, Manuel le Páramo. % ^ | i mi Calderoo.:rAdministrador de correos Franc…</t>
  </si>
  <si>
    <t>Villalva, D. Nicolás Esteban. Sr. D. Julián</t>
  </si>
  <si>
    <t>D. Nicolás Esteban. Sr. D. Julián Villalva</t>
  </si>
  <si>
    <t>…. D. Francisco Javier Istdriz, Presidente. Sr. D. Agustín Arguelles. Sr. D. Félix Aliaga. Sr. D. Antonio Alcalá Galiano. Sr. D. Antonio Seoane. Sr. D. Francisco Carbonell. Sr. D. Juan Donoso Cortés. Sr. D. Manuel Cantero. &gt; Sr. D. Nicolás Esteban. Sr. D. Julián Villalva. Sr. D. Joaquin María López. Sr. D. Vicente Sancho. Sr. D. José María H uet, electo. Sr. D. José Landero. Sr. D. Paulino Jiménez. Canarias {islas). Sr. D. Dionisio Valdés. Sr. D. Pedro Calzada. Sr. D. Juan Alvarez y Mendizabal. Sr. D. Andrés Alcon. Sr.…</t>
  </si>
  <si>
    <t>Villam, D. Cárlos</t>
  </si>
  <si>
    <t>D. Cárlos Villam</t>
  </si>
  <si>
    <t>…o. Sr. D. José Joaquín del Alamo, presidente. documentos que legitimen sus reclamaciones á D. Cirilo Bahía, Sera exornado con todo el aparato que su argumento re­ Sr. D. Rafael Joaquín de L a r a , secretario. apoderado del Sr. D. Cárlos Villam il, síndico nombrado en quiere; y la señora V i lió se ha encargado, por pura complacen­ dicho concurso, que vive calle de Hita á la de Tudescos, n ú ­ cia, de la parte destinada por el maestro al tenor, cuya altísima Sección de artes . mero 4 , cuarto segundo; en la inteligencia…</t>
  </si>
  <si>
    <t>Villanueva</t>
  </si>
  <si>
    <t>…sia sobre la suer­ como digno de eterna memoria el celo y dedicación de su ilus­ estas minas han producido tanto en un solo año. te funesta que habia sufrido la tripulación del ballenero; él tre emprendedor el Excmo. Sr. conde de Villanueva , lo«rseñores\ Jean-Bart en tas aguas de la N ueva-Z elanda, parece hoy de la cornision y demás colaboradores. desgraciadamente que toman consistencia. Muchas noticias que Del mismo modo señalamos á la gratitud general la ilustra­ La Abeja del Norte publica la estadística presentada po…</t>
  </si>
  <si>
    <t>Villanueva, Lorenzo</t>
  </si>
  <si>
    <t>Lorenzo Villanueva</t>
  </si>
  <si>
    <t>…sivo, podrán haber el II. SS. ministros del tribuna) de Valencia D. Manuel ViUafañe, Félix G alilea, gefe político interino que fue en el año pasado primer tomo por el mismo precio de suscripción al tiempo de D, Ramón G¡raido, D. Lorenzo Villanueva, D. José Alonso, de 1837 de la ciudad de Murcia , para solo el efecto, por aho­ hacerla por el tomo ó tomos siguientes. D. Francisco Gutiérrez Soss-a, D. Francisco !&gt;ala, D. Juan A n­ ra , de que inmediatamente le dé el correspondiente aviso por Continúa aquella abierta en los tér…</t>
  </si>
  <si>
    <t>Villareal, León García</t>
  </si>
  <si>
    <t>León García Villareal</t>
  </si>
  <si>
    <t>…dades de la ciudad. Entramos podrá hacerlo en la misma en el término de 50 dias, d irig ién ­ historia por su valor ó virtudes cívicas, exponiendo asi á la en la catedral, y mientras oue mi amigo Festus se deleitaba en dose á D. León García Villareal, portales de Santa C ru z, uno consideración pública, por una ligera reseña, dos ejemplos que examinar las esculturas góticas que adornan la entrada y las de sus testamentarios. reúnen todo lo que mas respeta la sociedad. paredes del edificio, yo por mi parte no podia desecha…</t>
  </si>
  <si>
    <t>Villaroel, Diego de Torres</t>
  </si>
  <si>
    <t>Diego de Torres Villaroel</t>
  </si>
  <si>
    <t>…sean festivos; y la de delineacion todos los dias que reales pasta. no sean festivos, después de oscurecer. Lo que se avisa de nue­ vo para inteligencia del público. VACANTES. V id a, ascendencia , crianza y aventuras del Dr. D. Diego de Torres Villaroel, escrita por él mismo. U n tomo en 8 .°, á C E halla vacante la plaza de médico-cirujano latino, que ob- 6 rs. rústica y 8 en pasta. ^ tenga los dos títulos, en la ciudad de O rduña con la do­ A ten eo de M a d r id . tación de 7,200 rs. pagados de los fondos de propio…</t>
  </si>
  <si>
    <t>Villarroel, José</t>
  </si>
  <si>
    <t>José Villarroel</t>
  </si>
  <si>
    <t>…id. del pasado, y refiriéndose al de Santander, que el brigadier Otra id ., Loma del Poyo, término de Huercal, antes A u­ D enuncios, gefe de la 2 .a brigada de la división de la izquierda marchó el rora , ahora Forzosa, á D. José Villarroel , en id. dia 23 hácia Arredondo, cuyo movimiento frustró el proyecto Otra id ., cerro del M uerto, término de Benadux, Desco­ Una mina plomiza en sierra de Gador, cerro de las Cucha­ que el enemigo habia concebido de invadir la provincia por nocido ó Encarnación , por D. Manuel P…</t>
  </si>
  <si>
    <t>Villarrubia</t>
  </si>
  <si>
    <t>…idario ardiente de la reforma. [Aplausos.) rias lanzas , carabinas, trabucos y otros efectos. Elogia la con­ H o la n d e s e s 102 id. 2 | por 100 , 56£* M r * TVinne se levanta y dice: Me apresuro á señalar lo ducta del capitán Villarrubia por su actividad y bizarría, pues contradictorias que son las observaciones presentadas por los dos que, dice, ha perseguido con tal ahinco á dicha facción , que la honorables individuos que acaban de hablar. El primero sostie­ ha alcanzada y batida dos veces en tres dias. La Gaceta de L…</t>
  </si>
  <si>
    <t>Villarrubia, Gerónimo</t>
  </si>
  <si>
    <t>Gerónimo Villarrubia</t>
  </si>
  <si>
    <t>…r el éxito de esta candidatura, porque espe­ fecha 2 9 del mismo, en que manifiesta que el capitán de la Bonos del ecbiquier, de baja, 24&gt; 27, 28. ra encontrar en el voto de la mayoría la indicación y el símbo­ compañía franca D. Gerónimo Villarrubia , comandante de la Bonos de las Indias, 50. lo de la opinión general de la Cámara. Desea saber si esta quie­ columna en persecución de las facciones de Bravo y comparsa, Fondo indiano , 255 J. re progresar ó permanecer estacionaria ; en cuanto á m í , añ a­ alcanzó y batid el 27…</t>
  </si>
  <si>
    <t>Villate, Pedro Bajado</t>
  </si>
  <si>
    <t>Pedro Bajado Villate</t>
  </si>
  <si>
    <t>…onso de Armas, tenien­ 3 ,5 8 1 .... 500.............. Madrid. te de cura de la Puerta del Golpe.......................... 8 Sr. regente D. Juan Ramón Oses.. . . . . . . . . . . ; . . 20 5 ,414 * • • • 5 0 0 /...... Idem. Id. D. Pedro Bajado Villate. ................. 4 Sr. ministro D. Juan Duro Espinosa.. . . . . . . ,/V 10 6 ,2 9 6 .... 500............ Algeciras. La R. madre priora y comunidad de Sta. Catalina. 4** ^ Sr. ministro D. José Serapio Mojairieta. * . . . . . i 10 El presbítero D. Rafael Al varado 4** 2 Sr. fisc…</t>
  </si>
  <si>
    <t>VILLAVERDE</t>
  </si>
  <si>
    <t>…a de ningu na especie. ñas o corporaciones res to.csable&gt; ron arreglo á las leyes y en los a ellos, .si &gt;e preguntaría se prorogaba la sesión por una hora términos que en las nú toas se señalan.” mas , y asi se acordó. El Sr. V I L L A V E R D E , después de dem ostrar que esa junta Se leyó el art. 4 ° «uevamente redactado en estos términos: no era cu erpo deliberan te, preguntó á los señores de la c o m i­ En su consecuencia se leyeron y aprobaron sin discusión los La cornision (be,.-5 a las insolvencias y las partid…</t>
  </si>
  <si>
    <t>Villaverde, Francisco</t>
  </si>
  <si>
    <t>Francisco Villaverde</t>
  </si>
  <si>
    <t>…an­ do al propio tiempo hacer en él todas las economías com­ Estado demostrativo de las fincas que la junta ha adjudicado de la mismaAlberto joz, á D. clase, Santias, juez de Berja ; y para esta resulta, en la de Almería, á D. Francisco Villaverde patibles con los fines de su instituto; oido el parecer de en dicho mes á los mejores postores, según los resultados de y Rey, juez de primera instancia de Guadix. la expresada dirección general, he venido en decretar á los remates, comprendiéndose también el total de los mese…</t>
  </si>
  <si>
    <t>Villegas, Juan José</t>
  </si>
  <si>
    <t>Juan José Villegas</t>
  </si>
  <si>
    <t>…tos expongan á S. M. con po nacional de artillería D. Manuel Maldonado , y del tenien­ presentación, y admitidos en la contribución extraordina­ toda brevedad por con ducto de este ministerio lo que te de caballería de francos D. Juan José Villegas con algunos ria de g u erra , ó pagado* con sus primeros ingresos. Tam­ crean conveniente acerca de los caballos de los Milicianos tiradores del 1.° de ligeros, cargase á un grupo de rebeldes que bién serán admitidos en pago de las contribuciones atrasa­ nacionales de caballería d…</t>
  </si>
  <si>
    <t>…cuidaran de que se remi­ manifiesta que el téqierite comandante de la partida de salva­ riendo de aguardiente y licores; y en el cual se consulta tan en dicho término las que puedan venir por el cor­ guardias de las Merindades D. Juan José Villegas, sorprendió la inteligencia que debe darse al art. 5.° de la instrucción reo, y por medio de los ordinarios las que en atención á la madrugada del dia 9 en el pueblo de Ruifas á 49 infantes y de 13 de Junio de 1824, dictada para llevar á efecto la su 20 caballos, capitaneados por…</t>
  </si>
  <si>
    <t>Villó</t>
  </si>
  <si>
    <t>…aises, mino de P u lp í, San Antonio, por Francisco Morales Ponce, en ción de la cantante. Concluida la ópera exigió el publico que dando un lugar especial y de preferencia á las que al Ínteres y idem. volviese á aparecer la Sra. Villó , como se verificó, siendo reci­ bellezas del escrito, reúnan la novedad y el efecto que para ser Registros . bida con estrepitosos aplausos. representadas se exige como indispensable. Nosotros nos felicitamos y felicitamos Á U dirección del tea­ «fíl teatro, considerado según la opinión de m…</t>
  </si>
  <si>
    <t>…que este artículo vea la luz p ú ­ venir el fallo de aquél , parécenos que en ella ha de conseguir mos al género é índole de la arquitectura del palacio en k blico ya se habrá presentado de nuevo con el papel de D. Sim­ la Sra. Villó un triunfo aun mayor que los anteriores. El pa­ parte que renovó. El gran patio se atribuye á J a lu b í , el to­ plicio en la famosa Pata de Cabra , el celoso é inteligente ac­ pel de Elvira es muy á propósito para desplegar sus eminentes ledano, seguu una inscripción que se halla en el Alc…</t>
  </si>
  <si>
    <t>Villó, Carlota</t>
  </si>
  <si>
    <t>Carlota Villó</t>
  </si>
  <si>
    <t>…gnas del público de to la hicieron captarse desde luego la pública benevolencia. tria progresa , y según vemos, parece que se han propuesto la capital. El sistema de abonos que han establecido es igual al de Crecimos que la Sra. Carlota Villó será muy útil á la sociedad ejercitarla con preferencia en las platerías. la C r u z , donde tan buenos resultados ha producido, y creemos lírica:; pero la aconsejamos que estudie mas los movimientos, que no serán tnenos recompensados los laudables esfuerzos de y q u e modere un tant…</t>
  </si>
  <si>
    <t>Villó, Cristina</t>
  </si>
  <si>
    <t>Cristina Villó</t>
  </si>
  <si>
    <t>…tanto la acción, algo impropia y exagerada. los artistas del teatro del Príncipe. Los demas actores han ejecutado muy bien sus respectivos pa­ EL ALCAZAR. La función con que dieron principio á la temporada en la peles: la Sra. Cristina Villó ha estado admirable en el de N o r ­ referida noche del 2 0 , se compuso de Un agente de policía , ma. Eix seguida de esta se ha ejecutado también II Nuovo F í­ ARTICULO 2 . ° graciosa é interesante comedia, pero ya harto conocida del p ú ­ garo , con la que han hecho su primera sa…</t>
  </si>
  <si>
    <t>Vincens</t>
  </si>
  <si>
    <t>…t a ­ cubrir por falta de caballos padres el escandaloso número y Mendez Vigo. rea de trasladar aqui los artículos enteros de aquella exposición, de 18,521 yeguas. ¿ D ón de está pues esa superabundancia de Por Tar ragona : Sr. Vincens. ni de analizar todos los párrafos; porque para ello necesitaría caballos destinados a padres, que se supone en el referido es­ Por Valencia: Sres. Sancho , Aillon , Ferxaz , Mascaros Os­ de mas campo que el que prescribe un periódico ; me fijaré en crito ? ea , Romeu y López (D. Joaquin.)…</t>
  </si>
  <si>
    <t>Vioiegra, José María</t>
  </si>
  <si>
    <t>José María Vioiegra</t>
  </si>
  <si>
    <t>…satisfechas Para tratar Je ajuste acudiráü en esta corte á D. Juan de por el difunto Tejada en pago de otras que le hubiesen adelan­ La entrega primera y la segunda te entregará á los sus­ Guardamino f y en Cádiz á su dueño D. José María Vioiegra. criptores. tado los sugetos mencionados, 6 acaso estos le estuviesen adeu­ Cerrada la suscripción se aumentará el precio de la obra. dando parte de ellas, ha acordado dicho Sr. asesor general , de 4 i r i r ir r i y i i ii~ r r m i ‘ i ■ r n r i m m ii Tni m ■ m u i » ■ — — —…</t>
  </si>
  <si>
    <t>Virio</t>
  </si>
  <si>
    <t>…ntesino habia hecho, y la junta apro­ reclamaciones pendientes á nombre de la sociedad. duzca en nuestro suelo los inmensos beneficios experimentados bó por unanimidad la propuesta del Sr. Presidente. El segundo donativo del Sr. Virio por la cantidad de 103 en tantos otros países , y á que perfeccionada hasta el punto reales, es pues el mismo que ha ingresado en la tesorería de la que permita nuestra situación, sirvan los ensayos hechos en la Sr. También aprobó la junta por unanimidad , á propuesta de! sociedad, y es el que…</t>
  </si>
  <si>
    <t>Viseo</t>
  </si>
  <si>
    <t>…dada para la M ancha , robando cuanto encuentran. de los nobles turbulentos, fue ju z g a d o , sentenciado y degolla* Y liberal prodiga Se nos ha asegurado que el nuevo comandante general qu d o ; y el atrevido rebelde duque de Viseo fue vencido y muer* Coronas de laurel inmarcesible viene á esta provincia trae un batallón y 2 0 0 caballos. Desea- to por el R ey mismo en 1485. Libre de tan peligrosos enemigo mos que asi s e a , pues de io contrario estamos mal. Llévame domésticos, dió nuevo impulso á ios descubrimientos,…</t>
  </si>
  <si>
    <t>Viso, José</t>
  </si>
  <si>
    <t>José Viso</t>
  </si>
  <si>
    <t>…uiente: Taldo de Filgueira , y que se habian presentado á indulto con protocolos, consiga evitarlos, visto el carácter inconstante de los Es evidente, según el tenor de la mocion de lord John armas y municiones los facciosos D. José Viso, de Filgueira; gabinetes del Oriente. (Gazette d’Augsbourg.) Russell y las explicaciones presentadas en su apoyo, que el Cándido P u g a , del Freijo; y Francisco González, de San Gre­ úc ico objeto de los ministros es conservar la dirección de los gorio. negocios sin tomar ninguna dispo…</t>
  </si>
  <si>
    <t>Vitoria</t>
  </si>
  <si>
    <t>…s, quedando en dar oportuno conocimiento á V. E. de sus tisfacción que experimentaba al verse rodeado por los represen- progresivos resultados. Dios guarde á Y. E. muchos años. C uar­ antes de las Potencias amigas. tel general de Vitoria 9 de Agosto de 1859.—Excmo. Sr.=EI S. E. el barón Rousein , embajador de Francia , contestó en duque de la Victoria.^:Excmo. Sr. Secretario de Estado y del nombre de sus colegas en los términos siguientes: U n hombre con un gran talego de lienzo en la mano entró Despacho de la G uerra. "Los…</t>
  </si>
  <si>
    <t>ViUafañe, Manuel</t>
  </si>
  <si>
    <t>Manuel ViUafañe</t>
  </si>
  <si>
    <t>…a i.* Procesa llamado del se lio seguido contra los M M . por la Gaceta y Diario de esta capital se cite á D. Pantaleon ta de presente gusten hacerlo para lo sucesivo, podrán haber el II. SS. ministros del tribuna) de Valencia D. Manuel ViUafañe, Félix G alilea, gefe político interino que fue en el año pasado primer tomo por el mismo precio de suscripción al tiempo de D, Ramón G¡raido, D. Lorenzo Villanueva, D. José Alonso, de 1837 de la ciudad de Murcia , para solo el efecto, por aho­ hacerla por el tomo ó tomos siguientes.…</t>
  </si>
  <si>
    <t>Viz, Manuel Leonardo</t>
  </si>
  <si>
    <t>Manuel Leonardo Viz</t>
  </si>
  <si>
    <t>…Esta aser­ término de 10 dias que se le señalan comparezca ante el señor Broglie, Guizot, Duchatel, Passy, Dufaure y Sauzet, habien­ ción, absolutam ente falsa, debe ser suposición inventada ministro mas antiguo de dicha sala D. Manuel Leonardo Viz— do convenido mutuamente que no habia medio alguno de en­ por los enemigos de la libertad y del trono legítim o, con manos, y se le oirá y administrará justicia, parándole el per­ tenderse, y que por consiguiente era preciso renunciar á la ol^jéto quizás de prom over disturbios q…</t>
  </si>
  <si>
    <t>Vizcaya</t>
  </si>
  <si>
    <t>…a por el Ínteres individual bien eutendido , reclama­ la misma ciudad ; un tal V alero, ayudante de la P. M. del ti­ EFECTOS PUBLICOS. da por el de la p atria, y á la cual ppdrian solo oponerse obs­ tulado comandante general de Vizcaya , que parece fue igual táculos tal vez exagerados por la im aginación, ó por las su­ ayudante de G uergué, y un capitán y un teniente del sexto Inscripciones en el gran libro á 5 por i 0 0 , 00. gestiones de nuestros enemigos. Y o creo que estas causas de batallón de esta provincia ; y se…</t>
  </si>
  <si>
    <t>…que Escriben de Nimes con fecha 51 de M ayo: halla en una situación muy desventajosa: su »*etirada sobre la, . ha sido construida expresamente para él, y partirá para hacer Ayer á las doce en punto llegaron á esta ciudad el duque Vizcaya, y la evacuación del Noroeste de Castilla, son venta­ un viaje «I jededor del Mediterráneo: después visitará los prin­ de Nemours y el príncipe de Joinvílle, quienes fueron recibi­ jas indisputables que han obtenido las tropas de la Reina: eu cipales puertos, llevando consigo á Mr. Iloussart…</t>
  </si>
  <si>
    <t>Viíain</t>
  </si>
  <si>
    <t>…r la admisión del general Shrzynecki en el ejército belga , están allanadas. Mr. O ’Sullivan de Grasse, ministro de Bélgica en Viena, Se lee en el Couricr: E l jardin de plantas acaba de enriquecerse con una tortuga y el conde Viíain xiv, agregado á la legación, han vuelto ya E! supremo tribunal de justicia de Edimburgo está enten­ monstruosa que le ha regalado M r. G anger, armador de Havre. á Viena, y es indudable que los Ministros de Prusia y de A u s­ diendo en un negocio muy curioso, cuyo héroe es un tal Mr. Este ce…</t>
  </si>
  <si>
    <t>Viñals, José</t>
  </si>
  <si>
    <t>José Viñals</t>
  </si>
  <si>
    <t>…nosotros no du d am o s, y basta nos alegraremos, aprenderlas. por objeto enseñar co m p leta m en te ia ciencia de los astros, sino&gt; que la nueva administración podrá conseguir la aprobación de (2) Reciben firmas en G erona, D. José Viñals* aficionar á su estudio las personas que componen la sociedad la mayoría nacional dentro y fuera de la Cámara , y deseamos, En O lo t, D. José Rexach. culta, haciéndoles ver su alcance y dom inio, y el estado de decirnos, que asi suced a, porque esa será un a muestra irrefra­ En Torroell…</t>
  </si>
  <si>
    <t>Voto</t>
  </si>
  <si>
    <t>…cero D. Pedro Lasala, c u a r t o D Rafael ciéndolo por sí ó por medioy Diario de avisos de esta capital, ha­ de apoderado autorizado competen* pero no por eso dejaremos de felicitar al Sr. de Figueroa por su Tolosana, quinto D. Voto N azarre, sexto D. Geróuiuio La- temente,a las diez de la mañana; apercibido que de no hacerlo se primera producción, sin duda la mas aplaudida de cuantas se coctena. dará el juicio por intentado, é incurrirá en la multa de cuatro han representado, pues en el tercer acto cada escena lo era con…</t>
  </si>
  <si>
    <t>Voy, Gracia</t>
  </si>
  <si>
    <t>Gracia Voy</t>
  </si>
  <si>
    <t>…he he creído de mi deber subir á esta tribuna, no solo con objeto llegado el caso de que nos juzgue la nación. referido, dijeran si son ciertos ó no estos heehos, deseo que lo de explicar mi conducta respecto al Sr. Ministro de Gracia Voy á explicar ante todo un incidente á que se han re­ diga también el Sr. conde de las Navas que no lia desconoci­ y Justicia en esta cuestión, que desgraciadamente parece que ferido los cargos contra el ministro de Gracia y Justicia, y do las intenciones del Gobierno. conduce á un término…</t>
  </si>
  <si>
    <t>Voy, Ministro de Gracia</t>
  </si>
  <si>
    <t>Ministro de Gracia Voy</t>
  </si>
  <si>
    <t>…quienes me he he creído de mi deber subir á esta tribuna, no solo con objeto llegado el caso de que nos juzgue la nación. referido, dijeran si son ciertos ó no estos heehos, deseo que lo de explicar mi conducta respecto al Sr. Ministro de Gracia Voy á explicar ante todo un incidente á que se han re­ diga también el Sr. conde de las Navas que no lia desconoci­ y Justicia en esta cuestión, que desgraciadamente parece que ferido los cargos contra el ministro de Gracia y Justicia, y do las intenciones del Gobierno. conduce…</t>
  </si>
  <si>
    <t>Vuel, Diaz.</t>
  </si>
  <si>
    <t>Diaz. Vuel</t>
  </si>
  <si>
    <t>…, siendo la consecuencia el descubrimiento del terrible za, y de un clero todavía mas ignorante. Esta Reina padeció fueron reconocidas por Inglaterra y Francia, y contra el dere­ cabo de las Tormeotas, como le llamó el almirante Diaz. Vuel­ una grave enfermedad en 1792 , durante la cual el Príncipe cho de ambas han protestado los Gobiernos absolutos de E u ro ­ to este navegador á Lisboa , é informado el Rey del término de del Brasil Juan vi fue nombrado Director del gobierno; y la pa. Fernando dejó un hermano que se habia…</t>
  </si>
  <si>
    <t>VUzque, López</t>
  </si>
  <si>
    <t>López VUzque</t>
  </si>
  <si>
    <t>…H al­ decreto fue repuesto el Sr. Baeza en su plaza de Valladolid an­ de la izquierda , quien participa desde V illarc ayo , que .habien­ cón Caballero , Lujan ,C e z a r , Cornejo, Vi adera, Ola v arríela, tes que fuera el. Sr. López VUzque?; Este señor dijo que deseaba do salido de Soncillo la noche del 9 una partida del provincial Cosío , Silva , Alcalá G a lia n o , Satori as P i d a l , Fernandez Bo- prórogar el té r m i n o , y el décreto que recayó f u e : "estese á lo de Betanzos al mando del sargento del mismo cuer…</t>
  </si>
  <si>
    <t>Vázquez, Antonio Marta</t>
  </si>
  <si>
    <t>Antonio Marta Vázquez</t>
  </si>
  <si>
    <t>…, f y 20 § á Otra i d . , poso de Ramos, término id . , el Pollo paliasla cos , á veces á las pocas horas de haberse presentado aquellas; v. f. ó v o l.: 2 0 1- , | , 21 y 204 id. á prima de | , ¿ , % y*£ por Caporaía ), por D. Antonio Marta Vázquez, en 5. pues cuando se estren e una función en m iércoles ó sábado , 100 con cupones. Otra i d . , Ce* t i l l o Redondo, término del Lau ja r, S.José, podrán leer los suscriptores el juicio crítico de ella á las Inscripciones en el gran libro á 4 por 1 0 0 , 00. por í_). Jua…</t>
  </si>
  <si>
    <t>Vázquez, López</t>
  </si>
  <si>
    <t>López Vázquez</t>
  </si>
  <si>
    <t>…é Ma • Ia-ños, G a r c u :r Gara ero , Q u in to , Donoso Cortés , Seoaue, C a­ proveído en 15 de Agosto sobre la reposición del Sr. B.»eza.” ria Veiga , en persecución de seis facciosos que se hallaban h a ­ ra van tes. i El Sr. López Vázquez ni era togado de V allad olid, ni su cia dicho punto , fue el resultado cap tu rar cuatro de los refe­ Tercera sección: Sres. M a d o z , P ó u , A rgu elles, M ó nto yá carrera sufría a ltern ativ as: por eso el Gobierno ha d ic h o : " q u e ­ rido s, pertenecientes al primer titulad…</t>
  </si>
  <si>
    <t>…darle esa colocación en el Consejo que el Sr. Martin retiró el voto. des son esas simpatías? ¿Por qué se mira con tanta indiferencia de Ordenes; y la dió en el mismo decreto de renuncia. El Pre­ El Sr. PELEGRIN expuso que el Sr. López Vázquez, de la suerte de esta desgraciada nación ? ¿ Por qué po. influyen píor sidente del Consejo de Ministros le comunicó al de Gracia y magistrado que éra de Gáceres fue á serlo de V alladolid, y es­ su parte en hacer cesar estos horrores? Porque los intereses Justicia, que era quien debí…</t>
  </si>
  <si>
    <t>Vázquez, Martin</t>
  </si>
  <si>
    <t>Martin Vázquez</t>
  </si>
  <si>
    <t>…os humanos obran ORIGINALES ESPAÑOLES, O TRADUCIDOS DEL FRANCES. en nosotros por simpatía: y esta, por decirlo de paso, es PROVIDENCIAS JUDICIALES. la única ilusión que hay en el teatro. Sentimos lo que ve­ DARA hacer saber á D. Martin Vázquez ó sus herederos lo Con este título se publicarán en esta corte desde mediados mos sentir á otros. Pues bien; ¿qué simpatía podemos te­ acordado por el Sr. juez de primera instancia D. Manuel del presente mes diferentes piezas escogidas de acreditados ner con el malvado, si no nos ha…</t>
  </si>
  <si>
    <t>Vénde, Antonio Guztnan.</t>
  </si>
  <si>
    <t>Antonio Guztnan. Vénde</t>
  </si>
  <si>
    <t>las muestras de afecto y sincera amistad que le han sido prodi- 1 El día o entraron 2oij tusiles procedentes de falencia; y en teatro del Príncipe á beneficio de D. Antonio Guztnan. Vénde­ gadas ; y si como es de esperar el Sr. García Hidalgo sigue en el mismo dia salieron para Logroño 160 quintos; esperándose se á 8 rs. en las librerías de Escamilla, calle de Carretas, y de su administración la marcha que él mismo se trazó anterior­ también de hoy á mañana un…</t>
  </si>
  <si>
    <t>Véndele, Bautista Calleja.</t>
  </si>
  <si>
    <t>Bautista Calleja. Véndele</t>
  </si>
  <si>
    <t>…rbara Gó­ dadaComedia en tres actos en verso , del célebre Picard , acomo­ giau perjuicio de sus labores , y siempre con mucho cui­ mez Talayera, viuda de D. Antonio Espinóla: D. Dimaso de en lasal librerías teatro español por D. Bautista Calleja. Véndele á 6 rs. de Escamilla, calle de Carretas, y de Cuesta dado por no tener te tigos que probaran su declaración. Rueda y Tejada , apoderado de D. Manuel Ventura Irure: frente á Ls Covachuelas. Que entia cada día mas que aquel hombre inocente estu­ Doña María Josefa Arias y Pra…</t>
  </si>
  <si>
    <t>Véndese, Francisco Lucini.</t>
  </si>
  <si>
    <t>Francisco Lucini. Véndese</t>
  </si>
  <si>
    <t>…la mano; pudiendo considerarse por tanto este estudio como tos, y nueva la del últim o, pintada por el acreditado profesor do que de no hacerlo le parará el perjuicio que haya lugar. una parte ó continuación del citado método. D. Francisco Lucini. Véndese á 4 rs. en el almacén de múúca de Carrafa, calle del Terminará la función con baile nacional. Príncipe , número 15, y eo la librería de la viuda de Paz,frente á las Covachuelas , en cuyos puntos hallarán los aficionados un Asimismo se cita, llama y emplaza á D. Antonio…</t>
  </si>
  <si>
    <t>Webre, Mauuel</t>
  </si>
  <si>
    <t>Mauuel Webre</t>
  </si>
  <si>
    <t>…ad , y no pueden depender del mismo órgano: la or- esta capital, refrendada del escribauo del número del crimen primera instancia de co-burlesco, en tres actos , titulado ganologia deberá investigar qué parle del órgano de los D. Mauuel Webre, se vuelve á hacer saber á la persona en cuyo TODO LO VENCE AMOR 6 LA PA TA DE CABRA, tonos, por ejem plo, esta encargada cíe la percepción, y poder se encuentre una escritura de capital de 15$ rs. vu. de los cuál de la imaginación. ciuco gremios mayores de esta corte, señalada con el n…</t>
  </si>
  <si>
    <t>Wellesley</t>
  </si>
  <si>
    <t>…parecia tener diez años menos. La ceremonia reli­ ción en su testamento del billete legado á su perro, designan­ este ejército. Lo dicen centenares de patriotas que como Y. E. giosa se celebró por el honorable y reverendo doctor Wellesley, do su núm ero, y á este fue precisamente al que tocó el pre­ no pertenecen á ninguna pandilla, sino al partido grand e, á deán de D u rh a m , tio del marques de Douro. A la vuelta de la mio: hé aqui pues un animalito propietario de una señoría la nación y al trono constitucional, patrio…</t>
  </si>
  <si>
    <t>Wellington</t>
  </si>
  <si>
    <t>…ito de Lodeve: sentar un bilí dirigido á modificar las leyes que han designado anatema contra este sistema de abandono tan perjudicial á los todo el partido de Paulhan podrá responder á esto. Niega asi­ ciertas rentas al duque de Wellington : se trata de trasmitir á mas preciosos intereses del Gobierno de Inglaterra. El Ministe­ mismo los grupos que se reunieron en diversos puntos de la po­ la esposa del marques de Douro , hijo mayor del duque de rio y la Inglaterra se han adormecido cou la idea de que la blación y los temor…</t>
  </si>
  <si>
    <t>…ciosos , 6 de ellos armados. habrán producido su separación. Cuando el ministerio separar á la Reina de sus amigas de infancia!... Sir Roberto vuelve á hacerse cargo de la dirección de los negocios, tiene to­ Peel y el duque de Wellington no han exigido que se alejasen davía el pueblo el derecho de saber bajo qué principios de go­ de S. M. sino las personas que la rodean dos años há. Jamas se bierno trata de dirigirse esta administración: no existia ya Go­ habia dado tanta importancia á una cuestión puramente de cor­ En…</t>
  </si>
  <si>
    <t>…eina. nombres á S. M. la Reina para formar un Gabinete. combinación que Y . M&gt; adopte contribuya á la satisfacción per­ Y o conocía la imposibilidad de gobernar sin estar investido Estas personas eran ocho , á saber: el duque de Wellington, sonal y á la dicha de V. M ., asi como al ínteres general de la con la entera confianza de S. M .: sabia que la mayoría de la lord Lyndhurst , el conde de Aberdeen , lord Ellenborouh, lord nadon.” (Aplausos.) Cámara de los Comunes estaba contra raí; y no ignoraba que Stanley , Sir Santia…</t>
  </si>
  <si>
    <t>Wifredo</t>
  </si>
  <si>
    <t>…rticulares, y aun no ha renunciado todavía á su anti­ para determinar la cronología. emprender un viaje tan largo y peligroso, querréis sin duda guo carácter y fisonomía especial. Pero con la nación ca­ 9.° La sepultura del conde Wifredo n , hijo y sucesor despediros de vuestra múger y de vuestra familia. Dejadme' talana ha sucedido lo mismo que con la navarra, asturia­ del Velloso, en el monasterio de San Pablo de Barcelona. partir solo, y luego iréis á reuniros conmigo en el primer pa­ na y aragonesa: son poco conocidas la…</t>
  </si>
  <si>
    <t>Winchelsea</t>
  </si>
  <si>
    <t>…Se habla de una modificación en el G abinete, la cual se actuales circunstancias ningún incidente podría justificar las demostraciones que excediesen de aquella parte de acción que un miembro de la asamblea propuso al conde de Winchelsea acredita con el nombramiento dé H alil-b ajá para desempeñar el cada una de las partes se ha atribuido de comuu consentimien­ para ocupar la silla de la presidencia. El conde fue inmediata­ ministerio de Comercio. Se dice también que A kiff-bajá desem­ to con las demas. mente á tomar p…</t>
  </si>
  <si>
    <t>…o r e s .— del dia 5 de Mayo. esto no puedo hacer sino adivinar, que el Gabinete habrá re­ nunciado á la doctrina emitida por lord John Rusell acerca del S. M ., que ha oído con satisfacción este hecho de armas, se E l conde de Winchelsea se levanta y dice: Pediré per-, carácter definitivo del bilí. Los reformistas en este caso simpa­ ha servido mandar que se den las gracias en su Real nombre á miso á la Cámara para presentarle alguoas observaciones con tizarán con el ministerio, y le prestarán su apoyo. Sin embar­ los que…</t>
  </si>
  <si>
    <t>…uy mala n o ta , naturales de aquel punto. Señores: Las observaciones que acaban de hacerse por el ten ningún apuro; pero si á la guerra se reuniese una crisis en El mismo comandante general elogia la conducta del co­ conde de Winchelsea no me permiten guardar silencio. Ruego las rentas, entonces vosotros y vuestra nueva Constitución to­ mandante D. Rafael T rabado, oficiales é individuos de tropa á la Cámara me oiga con atención por algunos instantes. Re­ dos estaréis en movimiento. {Aplausos en los bancos de la que co…</t>
  </si>
  <si>
    <t>WoronzoíF</t>
  </si>
  <si>
    <t>…o. Acto continuo entró la academia en una p ro - actividad. El verdadero obstáculo para el arreglo de este asunto pro­ lija y detenida discusión , y fue votado no se premiase n in g u ­ Estamos esperando la llegada del conde de WoronzoíF que viene del apoyo^ que los electores del Bajo Yalais encuentran en na por no llenar el objeto del programa. Seguidamente se que- viene a tomar otra vez sus funciones de gobernador general de los habitantes dél Cantón de Y aud. L a Harpe y otros mantie­ marou los pliegos que contenían lo…</t>
  </si>
  <si>
    <t>Wurtetnberg</t>
  </si>
  <si>
    <t>…y , la Reina , madama Adelaida , la princesa Clemen- consideración las observaciones que esta diputación provincial noble amigo lord Aberdeen se explicao tanto m ejo r, cuanto que t i n a , e l príncipe de Joinville y el duque de Wurtetnberg han le expuso en 2 i de Marzo último sobre el cumplimiento de la habiéndose hecho comentarios erróneos sobre el negocio de que llegado hoy á las siete de la mañana al pabellón levautado cer­ Real resolución de 8 del rnismo mes se ha servido modificar se t r a t a , las explicaciones no h…</t>
  </si>
  <si>
    <t>WV.ker</t>
  </si>
  <si>
    <t>…n ta pública dimisión. " Los autores de las obras mencionad as e*&gt; el artículo pre­ cedente ó sus representantes podrán solos, sea antes ó d e sp u és para la adjudicación de premios, los encargados en la califica-? Ei capitán WV.ker ha vuelto á Constantinopla en el pa­ quebote austríaco: antes de marcharse ha hecho una visita al d e la ven ta d e l o r i g i n a l , aun en el ca so d e que hubiera sido cioa del mérito de los alumnos hicieron presente que se estaba ex- alm irante turco , en la cual le ha declarado que, si…</t>
  </si>
  <si>
    <t>Xarrie</t>
  </si>
  <si>
    <t>…s: en que dispersó á varios grupos, causándoles algunos heridos. nocer el carácter de estas novelas históricas,, pueden m i w Las columnas y escoltas de S. E. se dedican incensantemen- El comandante de arenas de Malagoo (capitán Xarrie) a r ­ sultar ¿a C a sa n d ra , la única de ellas que en nuestro e n ­ te a la protección de las cosechas, y su actividad en ambas rojó á los enemigos de una alameda contigua , causándoles dos tender se ha traducido al castellano. provincias ha evitado multitud de granos y rescatado muchos…</t>
  </si>
  <si>
    <t>Ximenez, Domingo</t>
  </si>
  <si>
    <t>Domingo Ximenez</t>
  </si>
  <si>
    <t>…Las materias de que tratan son: Los suscriptores tienen entrada gratis en un gabinete de Sobre los frailes, y detenidamente los jesuítas. lectura, donde se hallan todos los periódicos de. Madrid , d e las ñe interinamente á D. Domingo Ximenez. (Núm. I64O.) Bienes y rentas del clero. provincias y del extrangero. Circular expedida por el ministerio de Hacienda para que las libranzas que con arreglo al art. 5.° del Real decreto de 26 Autoridad espiritual del Papa y los obispos , y temporal de Se suscribe en Madrid por 8 rs…</t>
  </si>
  <si>
    <t>…de tivo que al traductor Madrideño indujo á emplear este trabajo de Estado y del Despacho de Hacienda que desempeñaba in­ ^ Boix , calle de Carretas , ndm. 8. en la prensa de la traducción que ofrece al público. terinamente D. Domingo Ximenez. (Ndm. 1685.) Los Borbones de España y los de Goritz. Publicado en La edición está en dos tomos en 8.° regular. Hallándose la - nombrando general en gefe del ejército del centro y ca­ francés en el presente año. Un tomo en 4.0 traducido al espa- impresión del primero m uy adelantada…</t>
  </si>
  <si>
    <t>…ispensables para la buena conservación del número suficiente , habiendo declarado ademas que no ejercerían ponda.=Rubricado de la Real mano.=En Palacio á 14 de camino. Jaén 8 de M ayo de 1859.=Francisco Muñoz. Mayo de 1839.= A D. Domingo Ximenez. su derecho sino conforme á lo prescrito en la Constitución de 1855 , en cuyo favor han protestado. En tal estado de cosas, r.o es posible que se verifique la elección de un Diputado. El Go­ bierno ha obrado de una manera poco conforme en fijaren 55 el PARTE RECIBIDO EN LA SECRET…</t>
  </si>
  <si>
    <t>y Agramunt, Ramón Sisear</t>
  </si>
  <si>
    <t>Ramón Sisear y Agramunt</t>
  </si>
  <si>
    <t>…nconvenientes de mal ro total de pan y etapa un millón. * w- ’ León. — D. Francisco Verea Cornejo. piso, de su longitud, que es el de 12 horas, y de tener que Suponiendo como queda dicho el número de caballos de ba­ Lérida.z=D. Ramón Sisear y Agramunt. atravesar algunos desfiladeros y barrancos, teoiendo ademas el talla 500: el de acémilas para las baterías de obuses I 4 O: el de Logroño, r: D. M artin Fernandez de Navarréte. paso del puente del O rnin sobre el Llobregat á una hora de la batería rodada 70: el de muías de…</t>
  </si>
  <si>
    <t>y Aguilar, Ramón de Castro</t>
  </si>
  <si>
    <t>Ramón de Castro y Aguilar</t>
  </si>
  <si>
    <t>…tamientos y autoridades encargadas de vigilar en de primera instancia en ésta corte del escribano del número del eAe importante objeto del bien general. Trátase también de Ls Vea sepultarse al sol en el ocaso. crimen de ella D. Ramón de Castro y Aguilar, se cita, llama y partes que constituyen la buena calidad de los demas alimen­ La contracción necesaria en la prim er palabr a para reci­ emplaza por cuarto y último término de nueve dias, contados tos y bebidas: un torno en cuarto. ' tar este verso, es muy desagradable á l…</t>
  </si>
  <si>
    <t>y AILga, Benito Serrano</t>
  </si>
  <si>
    <t>Benito Serrano y AILga</t>
  </si>
  <si>
    <t>…fós.ziJuan Montoya , secretario. si no se le coarta el vuelo , si se le concede una ilustrada pro­ por 100 de hipotecas y gastos judiciales, ha señalado el señor tección. Aun el bello sexo debe interesarse eu el brillo y es­ D. Benito Serrano y AILga , juez de primera instancia de esta plendor de la industria española; que se vean lucir en la ex­ posición las blondas y encajes, los bordados primorosos, las capital, el nmtes 50 del corriente mes y hora de las doce en su audiencia sita eu el piso bajo de la territorial que…</t>
  </si>
  <si>
    <t>y Alia-, D. Benito Serrano</t>
  </si>
  <si>
    <t>D. Benito Serrano y Alia-</t>
  </si>
  <si>
    <t>…ciones de correos á 5 rs. franco PROVIDENCIAS JUDICIALES. de porte. En los dias 29, 50 y 31 de Julio y 1.° de Agosto próximos en el colegio que fue de jesuítas, y hoy palacio episcopal, y ho­ E N virtud de providencia del Sr. D. Benito Serrano y Alia- ras de tas diez á las dos de la tarde, se celebrarán los arrenda­ g a, refrendada de D. Jacinto Gaona y Loeches , escriba­ mientos en remate público del medio diezmo, primicia y de­ T A cuestión social, ó sea origen , latitud y efectos del orden no del número de su juzgad…</t>
  </si>
  <si>
    <t>y Aliaga, Benito Serrano</t>
  </si>
  <si>
    <t>Benito Serrano y Aliaga</t>
  </si>
  <si>
    <t>…rtud de providencia del Sr. juez de primera instancia guientes: Inscripciones en el gran libro á 4 por 1 0 0 , 00. Las Llamargas, el Raposo, Bautista y Burro, Florin y Pa­ Títulos al portador del 4 P°r 100 00. de esta capital D. Benito Serrano y Aliaga , refrendada y e n , el P eñón, la Fuente y Cabaña de la Comba, el Esllaba­ Vales Reales no consolidados, 00. del escribano del número D. Juan García de L a-M ad rid , se ha yo y los Cerezales Camporros; los primeros cuatro en el valle Deuda negociable de 5 por 100 á papel, 0…</t>
  </si>
  <si>
    <t>…coya cantidad se han de rebajar las cargas que contra sí Sesión del día 9 de Febrero. pauta? ¿Debe la ley señalarla? Pues qué* el poder ejecutivo en tenga; ha vuelto á señalar el Sr. juez de primera instancia de esta capital D. Benito Serrano y Aliaga para, dicho remate el Se abrió á la ana y cu arto , y s;e ley© y aprobó el acta de ell círculo de sus facultades constitucionales , ¿ no es y debe ser jueves 1 4 del corriente tnes y hora de las doce de su mañana la anterior» tan libre como el, poder Legislativo en el circo…</t>
  </si>
  <si>
    <t>…y profesión : un cuaderno en 8.° rústica, viuda de R.azola ; en Cádiz, en la de Moraleda ; y en las prin­ á real. cipales librerías del reino. j^\N virtud de providencia del Sr. juez de primera instancia de esta capital, D. Benito Serrano y Aliaga , se cita , llama y Ensayo sobre la mejora de nuestro teatro: un cuaderno en 8 .° rústica , á 2 rs. ERRATA. emplaza á D. José María Vargas, administrador de Rentas que tue de la ciudad de Jerez de los Caballeros, cuyo paradero se ig ­ En la Gaceta del miércoles 1 6 , págin…</t>
  </si>
  <si>
    <t>y Aliaga, Benito Serrauo</t>
  </si>
  <si>
    <t>Benito Serrauo y Aliaga</t>
  </si>
  <si>
    <t>…cita, llama y emplaza á D. Antonio Leizaval, á la im prenta Nacional, donde deberán hallarse precisa­ Gorocochea Fernandez Acuña, D. Manuel Muñoz, D. Juan Bautista Tj^N virtud de providencia del Sr. juez de primera instancia D. Benito Serrauo y Aliaga , se saca nuevamente á p ú ­ mente para el l.° de Diciembre próxim o, pues ai paso que D. Antonio , del D. Juan Laraña, D. Andrés Mendez y Pareja, R io, D. Ignacio de la Riva, D. Blas Mena y blica subasta la mitad de una casa situada en esta corte y su por este medio se esp…</t>
  </si>
  <si>
    <t>y Aliaga, D. Benito Serrano</t>
  </si>
  <si>
    <t>D. Benito Serrano y Aliaga</t>
  </si>
  <si>
    <t>…de ella. ... , r... } ; .. ? , Iqlid por el &gt;Srj. 8 « « cho é y después someteré al juicio^del C^ir-x El Sr. L O P E Z V A Z Q C E Z : Xengo la satisfacción de lla­ Igreso-algunas consideraciones políticas que creo d é C L Sr. D. Benito Serrano y Aliaga , magistrado honorario y m ar la atención dél C ongreso, y creo que debo, hacerlo asi,; ¡ p u e d a n co n trib u ir al fallo d e o u e s t i Q B í quo» juez de primera instancia en esta c a p ita l, accediendo á para poner á salvo el decoro de úna comisión Óel C o n g…</t>
  </si>
  <si>
    <t>…ha señalado el lunes 10 solo volumen. grientos que hacen padecer al espectador, que ó no le mue­ del corriente J u n io i las doce de su mañana en la audiencia ven , ó le despedazan, ninguno de esos recursos que nos han del Sr D. Benito Serrano y Aliaga , magistrado honorario de parecido siempre esterilidad de im agin ación , falta de verdadero la audiencia de Cáceres, juez de primera instancia en esta cor­ genio; y sin embargo nuestro corazón ha sentido; ha sido afec­ t e , que la tiene en el piso bajo de la territorial,…</t>
  </si>
  <si>
    <t>…embre, El 2 llegaron á Azpeitia y Az- O A BIEN DOS E rematado por el juzgado de primera instancia to prefieren la teoría, y desdeñan y proscriben ia prac­ coitia las fuerzas de 1a división guipuzcoana que cubrían la lí­ A del Sr. D. Benito Serrano y Aliaga , y escribanía del nú­ tica. nea de 8. Sebastian en número de cuatro batallones y medio mero de D. Jacinto Gaona y Loeches, una casa sita en la calle No nos pesa de haber promovido esta cuestión, p o r­ para verificar su incorporación á nuestro ejército en los misinos qu…</t>
  </si>
  <si>
    <t>…D E N C IA S JU D IC IA L E S . hay en el mundo gente mas tranquila que los vascongados. No se couoce que acaba de concluirse la guerra civil. Todos se de­ dican á sus tareas como en tiempos anteriores. OOR providencia del Sr. D. Benito Serrano y Aliaga, juez * de primera instancia de e&gt;ta capital, se ha declarado sin ífecto el remate celebrado en 51 de Octubre último de la mitad TEA TRO S. le una casa situada en esta corte y su calle ancha de S. Ber­ Dirección general de Estudios. nardo, señalada con el núm. 5 antigu…</t>
  </si>
  <si>
    <t>…, y calificado los la edición estereotipada de Didot. jueces de hecho con la nota de injurioso en tercer grado el im ­ preso contenido en el Diario constitucional del dia 17 de Oc­ TE ATEOS, JjVN virtud de providencia del Sr. D. Benito Serrano y Aliaga tubre ultimo; que empieza: " S r. gobernador m i l i t a r , ” y con­ magistrado honorario de la audiencia de Cáceres y juez de c lu y e : "el mas leve rumor. B. L. M. de V ., Sr. editor.—N. N .,” primera instancia de esta H. villa , refrendada del escribano de denunciado…</t>
  </si>
  <si>
    <t>…á uno gratis. te, ó al citado juzgado y escribanía, en el término referido, que Vendese en el despacho de la Imprenta Nacional. se admitirán las posturas que se hicieren siendo arregladas. BIBLIOGRAFIA. jpO R providencia del Sr. D. Benito Serrano y Aliaga , juez en primera instancia de esta villa , refrendada del escri­ bano de S. M. y del número de la misma D. Jacinto Gaona y Loeches se ha vuelto á señalar el dia 30 de Julio á las doce de LA ESPERANZA, su mañana para el remate de la casa sita en la calle del Carmen, esqu…</t>
  </si>
  <si>
    <t>…orma legal por el dicho juzgado y de ancho. Precio antiguo 46 rs., y moderno 30. escribanía , parándoles eo otro caso el perjuicio que haya lugar. T DE LAS DIRECCIONES Y A U T O R ID A D E S SUPERIORES. p O R providencia del Sr. D. Benito Serrano y Aliaga iuez * de primera instancia de esta villa . refrendada de D J a ­ Entrega de MAYO de 1839. TEATROS. cinto Gaon- y Loeches escribano del número de la misma , se Se halla á 3 rs. tanto en rama como en rústica en el PR IN C IPE . Hoy no hay función. ha señalado el día 6 del…</t>
  </si>
  <si>
    <t>…a F &gt; A N O R A M A de la corte de D. Car lo s, ó un viaje de u n aug ust a Persona ha debido y debe la agradecida E p e ñ . ) . Y co rt e, que estaba señalada para el dom in go 21 del corriente, en virtud de providencia del Sr. D. Benito Serrano y Aliaga, faccioso á las provincias. Se describe con exactitud el esta­ ya en esta época nótaose los primeros síntomas de la sa cr ile ­ do de penuria de los h ab ita nt es, y el enojo y falta de a r m o n í a ga rebelión, que solo aguardó á que espirase el M o n a rc a para juez d…</t>
  </si>
  <si>
    <t>y Allave-, Luis Guarnerio</t>
  </si>
  <si>
    <t>Luis Guarnerio y Allave-</t>
  </si>
  <si>
    <t>…crito en francés por Felipe P io e l, miembro del instituto principales librerías. nacional de Francia, y catedrático de medicina en P aris, tra­ D e lu jo.............................. 240 ducido al castellano por el doctor D. Luis Guarnerio y Allave- D e medio lujo á .................................................. 120 n a , médico que fue en el Real sitio de S. Ildefonso: un tomo A P U N T E S para la historia de ciencias m édicas, por D . José D e tafilete ó plancha á....................................... 46 en 8…</t>
  </si>
  <si>
    <t>y Alonso, Segundo Boada</t>
  </si>
  <si>
    <t>Segundo Boada y Alonso</t>
  </si>
  <si>
    <t>…o de la tarde, juzgados de esta corte, vacante por renuncia de D. Manuel nuestros ejércitos marítimos en América, y á la vigilaucia que se ejecutó la misma operación en el muelle de Gévres en casa Robleda de la H u e rta , á D. Segundo Boada y Alonso, agente se debe ejercer sobre las costas de España. de Mr. Leybe» Igualmente se rompieron las puertas de la casa fiscal cesante del extinguido consejo de Hacienda; y para la de Se ha votado sin discusión la íey sobre los refugiados. para introducirse en la tienda. Garrion de…</t>
  </si>
  <si>
    <t>y Andrade, José Rivera</t>
  </si>
  <si>
    <t>José Rivera y Andrade</t>
  </si>
  <si>
    <t>…el despacho, declarándole que no se Villayicencio , D. José Cortes y Sánchez, D. Felipe Ochaita y vor de su hijo mayor. Hauterive fue enviado á aquel pais dro? ¿Seendejara ninguna hostilidad. ¿Qué responderá Alejan­ compañía, D. José Rivera y Andrade, D. Vicente Martel, arrastrar por un movimiento de cólera? D. Lorenzo Garrigos y Suárez y D. Manuel María de la Orden, para recoger los arenivos políticos y hacerlos trasportar á ¿Pronunciara él también alguna alocución? No : responde endosantes de la lámina de deuda sin Ínter…</t>
  </si>
  <si>
    <t>y Aogeler, Moya</t>
  </si>
  <si>
    <t>Moya y Aogeler</t>
  </si>
  <si>
    <t>…En con­ justicia y equidad, no pudiendo dudarse que lo esté, como muy de ia corona , que creo ha de ser bien importante esta vez, nos cepto de la comisión, mientras no esté justificada la protesta, bien lo ha manifestado el Sr. Moya y Aogeler acerca de que quedaremos sin discutirle la mitad. la razón está de parte de quien ha votado ; y no se crea, seño­ las juntas de escrutinio no son tribunales de alzada. El Sr. P R E S ID E N T E : La mesa preguntó desde luego si res, que podrán influir en la fisonomía de las eleccion…</t>
  </si>
  <si>
    <t>y Apezeehea, Puente</t>
  </si>
  <si>
    <t>Puente y Apezeehea</t>
  </si>
  <si>
    <t>…os. Los Sres Barroso y Herrero presentaron asiínistóo mas difícil que puede presentarse en la tr a g e d ia : tal es el y qu e floreció por los tiempos de este a u t o r , es d e c ir , e n , dos lindas composiciones, y del Sr. Puente y Apezeehea leyó el espectáculo de un padre que con sus propias m anos da la el p r im e r tercio del siglo xvu. P u d ie r a fijarse m e jo r su Sr. de Montalvo un soneto á E spañ a , que en honor á la ver­ m u e rte a su hijo. ép o c a , si fuese suya la com edia , poco co n o c id a , cuy…</t>
  </si>
  <si>
    <t>y Araujo, D. Fernando González Vera</t>
  </si>
  <si>
    <t>D. Fernando González Vera y Araujo</t>
  </si>
  <si>
    <t>…. . . . . 500 cupo de esta provincia. Composición de la caja é impresión de 866. Un tiesto de china con claveles dentro de un fanal, Esta noche, con motivo del aniversario de la jura y este* é igualmente da de billetes y al Sr. D. Fernando González Vera y Araujo. ;prótftulgaerón de la Constitución, ha habido iluminación papel ......... . • 510 59. Unas babuchas bordadas, al Sr. D. Antonia Segovia. 185. Uu cogin bordado de estambre y sedas, áí Sr. Don general, estándolo interior y exterior mente el tpatro del Por la nume…</t>
  </si>
  <si>
    <t>y Araujo, Luis de Mata</t>
  </si>
  <si>
    <t>Luis de Mata y Araujo</t>
  </si>
  <si>
    <t>…cuyo efecto tiene almacenes á pro­ 1855 1854 L ECCIONES elementales de literatura , aplicadas especial­ pósito, asi como desempeñará también la compra de otros á uso 15.506,600 15.925,600 ps. fs. mente á la castellana , por D. Luis de Mata y Araujo, mercantil. catedrático de esta asignatura en los estudios de S. Isidro, y 9.° También tomará á su cargo la administración de fincas, Producto de la renta áe tabacos en España en 1855* aotes de retórica y poética de la extinguida Real casa de pages derechos de alcabalas y die…</t>
  </si>
  <si>
    <t>y Araujo, Luis Mata</t>
  </si>
  <si>
    <t>Luis Mata y Araujo</t>
  </si>
  <si>
    <t>…¿ nueve. Ó LOS PARIENTES DE MI MUGER. te de nombre ): Victor Hugo y Dumas, conocidos general­ Literatura, mente como creadores de ella, nacieron en la época en que con mas fuerza retumbaban losacentos de esas bellas teorías D. Luis Mata y Araujo, miércoles de seis á siete. A las siete y media de la noche. Se pondrá en escena el que tanta sangre costaron á la Francia: asi coino el árbol drama nuevo bíblico, en cinco actos, titulado joven y endeble absorbe las sustancias del suelo en que se Teneduría de libros, planta, as…</t>
  </si>
  <si>
    <t>y Arcos, Osuna</t>
  </si>
  <si>
    <t>Osuna y Arcos</t>
  </si>
  <si>
    <t>…dentro de breve tiempo núm. 1 85.512, de rs. vn. 10,043, para que en el término de 50 este partido con radicación á la escribanía de mi c.argo, á a ^na nueva obra de un antiguo amigo y colabo­ instancia del Excmo. Sr. duque de Osuna y Arcos, para que se dias se presente en el juzgado á dar razón de ellas; cuyas lá­ rador nuestro, y que goza de justa y b rilla n te reputación en el mundo literario. minas fueron extraviadas en el correo que salió de esta corte pa­ declare consolidado al dominio directo que le Corresponde…</t>
  </si>
  <si>
    <t>y Arellauo, D. Antonio Ramírez</t>
  </si>
  <si>
    <t>D. Antonio Ramírez y Arellauo</t>
  </si>
  <si>
    <t>…la , electo. Sr. D. Agustín Arrnendariz, Vicepresidente 4»° de Puerto-Rico. Sr. D. Francisco Gamero Cívico y Benjumea. Sr. D. Gaspar Elordi. »D . Juan Romeo y Tello. Sr. D. Antonio Valera. Sr. I). Luis Fernandez de Córdoba. Sr. D. Antonio Ramírez y Arellauo, electo. Sr. D. Miguel de Fuentes. Orense. CONGRESO DE DIPUTADOS. Coruña. Sr. D. Saturnino Calderón Collantes. Sr. D. Luis Pose. Sr. D. Josc Moure. Presidente. Sr. D. Francisco Javier Ferro Montaos. Sr. D. José Valladares. Sr. D. Nicolás Fernandez Bolado. Sr. D. Ma…</t>
  </si>
  <si>
    <t>y Arratia, Francisco de Acebal</t>
  </si>
  <si>
    <t>Francisco de Acebal y Arratia</t>
  </si>
  <si>
    <t>…principio desconocido en la actual, que Vicepresidente.mExcmo. Sr. marques viudo de Pontejos. aumentado de un sinnúmero de descubrimientos desconocidos bajo todos aspectos es absurda. Este principio daba por Directores.^Srés. D. Francisco de Acebal y Arratia. hasta el presente en el modo de dar los jaspes, hacer mármo resultado la m oralidad de los m ineros, perm itiendo conti­ D . Manuel María Goiri. les y la preparación de los colores. Obra indispensable á lol nuar un filón en posesión agena hasta encontrarse con los Cont…</t>
  </si>
  <si>
    <t>y Arteta, D. Mariano Valero</t>
  </si>
  <si>
    <t>D. Mariano Valero y Arteta</t>
  </si>
  <si>
    <t>…e­ lutismo, y tendríamos que establecer un poder que no daría La comisión opiua que se aprueben las actas, y sea adm iti­ cedido á ese tratado ha sufrido privaciones y fatigas, y ha garantía alguna á los de aquel pais. do el Sr. D. Mariano Valero y Arteta como Senador. El voto derramado generosamente su sangre. Veamos para decidir esta cuestión nuestros principios de del Sr. Lleopart se reduce á que antes de decidir sobre la vali­ Es preciso también reconocer esto, y aun cuando se quiera dez ó nulidad, se pidan originales…</t>
  </si>
  <si>
    <t>y Asensio, Ambrosio Yañiz</t>
  </si>
  <si>
    <t>Ambrosio Yañiz y Asensio</t>
  </si>
  <si>
    <t>…inserción del reglamentó vigente de |a misma, D. Cárlos Martin del Romeral per D. Antonio Alarcon como advirtiendo por medio de notas circunstanciadas las variacio­ si a quien de este agravio cu lp o apoderado del licenciado D. Ambrosio Yañiz y Asensio, abo­ le señalara á tus ojos nes ó modificaciones que cada uno de sus artículos ha sufrido gado de los tribunales nacionales y fiscal de Rentas en la ciu­ hasta el dia por los decretos de las Cortes y Reales órdenes m en os, señ or, que difunto.'* dad de Cuenca, el artícu…</t>
  </si>
  <si>
    <t>y Ba-, Claudio Sanz</t>
  </si>
  <si>
    <t>Claudio Sanz y Ba-</t>
  </si>
  <si>
    <t>…ndo. Tie­ tenga. Quien quisiere hacer postura acuda á dicho juzgado ne 20 p. y o 1. de alto , y 29 p. y 6 1. de ancho: precio anti­ Nota. Mañana lunes se ejecutará el gracioso y acreditado por la escribanía de número del Dr. D. Claudio Sanz y Ba- guo 160 rs.,y moderno 120. melo-mimo-drama-pantomímico-burlesco, en tres actos, titu ­ 7* *nt®li§encia de que para el remate está señalado el lado TODO LO VENCE A M O R , ó LA PATA DE C A ­ día 22 del próximo Mayo á las doce en punto de la mañana, San Ildefonso. B R A , en el qu…</t>
  </si>
  <si>
    <t>y Barba, José Arran</t>
  </si>
  <si>
    <t>José Arran y Barba</t>
  </si>
  <si>
    <t>…e las piezas de montaña enemigas, con­ naturales y artes de esta ciudad en el dia 12 de Junio último D. Mariano Grr&gt;el!s, catedrático del museo de M a­ testados por nuestras baterías sin efecto notable. Nuestros va­ el socio D. José Arran y Barba , profesor de pintura é indivi­ drid , en la que dice haber concluido su curso con una lección lientes se hallan entusiasmados, y con deseos de escarmentar á duo de la sección de ciencias íisico-qui-nicas t leyó una memo­ de tres horas en que verificó los experimentos que tenia a…</t>
  </si>
  <si>
    <t>y Barbei-, Benito Francisco de Castro</t>
  </si>
  <si>
    <t>Benito Francisco de Castro y Barbei-</t>
  </si>
  <si>
    <t>…bidos que de no comparecer les parará La corte «anta del Padre Nicolás C ansino, traducida del el perjuicio que haya lugar. francés al castellano por D. Francisco Cruzado, nuevamente BOLETIN DE COMERCIO. corregida por el Dr. D. Benito Francisco de Castro y Barbei- to. Son cuatro tomos en 4 o &gt; edición de 1795 y 96 á 75 rs. en Asimismo se c ita , llama y emplaza á D. Angel Morales y pergamino y 85 en pasta común. BOLSA D E M A D R ID . Esta o b ra, que puede llamarse única en su clase, es según D. Jorge Mancebo y Navia,…</t>
  </si>
  <si>
    <t>y Barea, Claudio Sainz</t>
  </si>
  <si>
    <t>Claudio Sainz y Barea</t>
  </si>
  <si>
    <t>…..... 6000 tólica, magistrado honorario y juez de primera instancia de En 25 de Octubre el mismo Sr. N a g e l, como apoderado de 4 .................. d e .. 1000..................... 4000 esta capital , refrendada del doctor D. Claudio Sainz y Barea, dichos Sres. Raveneau y compañía, tomó posesión de la mina 10.................. d e ............500.................... 5000 escribano del número de la misma que despacha la vacante por de carbón de Otero de Roiles , tres pertenencias en términos de 10.................. d e .…</t>
  </si>
  <si>
    <t>y Barea, Claudio Sanz</t>
  </si>
  <si>
    <t>Claudio Sanz y Barea</t>
  </si>
  <si>
    <t>…inos siguientes: pez, juez de primera instancia en esta villa, por la escribanía unido al deseo de nivelar nuestros conocimientos científicos con Se publicarán los dramas mas escogidos del teatro extran­ de número que despacha D. Claudio Sanz y Barea , apercibidas los de las naciones vecinas, nos han determinado á ofrecer á la gero , cuyo mayor número serán los que se representen y aplau- , que pasado dicho término sin haberlo realizado, las parará el juventud médica esta traducción de las E nferm edades de la dan en los tea…</t>
  </si>
  <si>
    <t>…bra estará dividida en tres secciones, cada una de las de primera instancia D . Tomas Pacheco, y escribano de número mos una idea ligera de é l ; pero concluido ya enteramente, de­ cuales contendrá las materias siguientes: Dr. D. Claudio Sanz y Barea; lo que se hace notorio al públi­ bemos al público una noticia mas completa que ceda en prove­ co para su inteligencia. cho general, y que no era posible comunicarla sin conocer el SECCION I. conjunto de la obra. Pioponiéndose el autor formar un texto sencillo de nociooes 1.° E…</t>
  </si>
  <si>
    <t>…orario y juez togado de primera instancia er» esta ca­ que presente Ínteres lo que de ello se añada. Que las r e v o lu ­ t o , que es la T o q u igra fía de M a r t í , á 50 rs. vn» en rústica, p i t a l , refrendada de! Dr. D. Claudio Sanz y Barea , escribano y 54 en pasta. ciones inmolan m illa r e s de víctimas inocentes, y a lo sa b ía ­ del número de la misma, que despacha la vacante por falleci­ mos; que el ju e go es la senda del c rim en , tampoco es nuevo. miento de su compañero D. Francisco Antero Casado, se s…</t>
  </si>
  <si>
    <t>…­ cia de esta cap ital del Sr. D. Francisco Amorós y L ópez, y es­ mis palabras que con ellas pueda in d ucir al Senado á que lo tonces se hubiera entrado en discusión , se hubiera esta co n tri­ crib an ía de número del Dr. D. Claudio Sanz y Barea , en e deseche, ni tampoco este cuerpo tiene dadas pruebas de opo­ bución podido am inorar en su cantidad , y aun eu el modo de térm ino im prorogable de diez d ia s , pasado el cual sin hacerlo nerse á lo que el Gobierno considera urgente. Creo oportuno ax igirla. Ies parará…</t>
  </si>
  <si>
    <t>…de primera instaucia de esta c a p it a l, refrendada del escri­ sitos y circunstancias necesarias, dirigirán sus solicitudes al pliego que está de manifiesto en la escribanía principal del ramo bano de número de la misma Dr. D. Claudio Sanz y Barea. presidente del ilustre ayuntamiento constitucional de la in d i­ de amortización, á cargo de D. José Balduque, calle del Lobo, se cita , llama y emplaza á todas las personas que por cualquier cada ciu d ad , dentro del término de un mes. El abono de di­ núm. 8 , piso segundo.…</t>
  </si>
  <si>
    <t>y Barreda, Isidoro Jusue</t>
  </si>
  <si>
    <t>Isidoro Jusue y Barreda</t>
  </si>
  <si>
    <t>…los que no lo hicieren. antiguo 28 r s ., y moderno 16. vos , con u n ex ám en d e los q u e se h a n escrito d e M ari­ na , Sfc., 4 rs. D isertación sobre la p a rte q u e los esp añ o les tu v ie ro n jT IC E N C IA D O D. Isidoro Jusue y Barreda , juez de primera en las g u erras d e U ltram ar ó de las C ruzadas, y cóm o in ­ instancia de esta ciudad de Ciudad-Real y su partido, que fluyeron estas ex pediciones desde el siglo xi hasta el xv e n de ser asi y estar en actual ejercicio el escribano refrendario la ex t…</t>
  </si>
  <si>
    <t>y Baréa, Claudio Sanz</t>
  </si>
  <si>
    <t>Claudio Sanz y Baréa</t>
  </si>
  <si>
    <t>…171 libres y veteranos. co, condesa viuda que fue de Maulé , pe* la escribanía de n ú ­ último, oí hablar con mucha variedad sobre la importancia de Colonias de Veen-huizen: Primer establecimiento; 12 46 huér- mero del doctor D. Claudio Sanz y Baréa , se cita, llama y estas colonias, y colegí sin mucha ckhcultad que la mayor faaos y niños abandonados, 52 mendigos y 244 colonos libres emplaza á todas las personas que se crean con derecho á los bie­ parte de las personas á quienes consulté sobre el asunto, mas y veteranos Se…</t>
  </si>
  <si>
    <t>y Bautista, D. Miguel Puche</t>
  </si>
  <si>
    <t>D. Miguel Puche y Bautista</t>
  </si>
  <si>
    <t>…ía Cambrottei o. Sr. conde de Balazote. Sr. D. Juan Antonio Hidalgo. Sr. D. Manuel Marin Blazquez. Zamora. Sr. D. Manuel Moi.edero. Sr. D. José Antonio Ponzoa. wDuque de Castroterreño. Sr. D. Santiago Moreno M uñoz, electo. Sr. D. Miguel Puche y Bautista. »D . Ezequiel Diez de Tejeda. Sr. D. Audres Carabantes. Sr. D. Diego María Chico, electo* Sr. D. Juan Gerónimo Cebados. Sr. D. Manuel Martinez Ayala. Zaragoza. »Duque de Zaragoza. Córdoba. Navarrai »j D. Juan Antonio Castejon. Sr. D. Diego Alvear. Sr. D. Fermin Arteta.…</t>
  </si>
  <si>
    <t>y Bautista, Francisco Puche</t>
  </si>
  <si>
    <t>Francisco Puche y Bautista</t>
  </si>
  <si>
    <t>…uerto en el ano pickímo pasado de 1858 con Te Dewn y oración análoga al objeto que pronunciará tiembre últim o, que todos los acreedores á los bieaes de la men­ ó»; resultas de heiidas recibidas en los "Cu nipos de Gueri y Pa- D. Francisco Puche y Bautista. cionada testamentaría y quiebra del D. Fabian , presenten en r* ’^ea hallándose mandando la tercera división del ejército de 4.0 Desde las nueve de la noche hasta las dos de la m adru­ el término de 4^ dias ante los síndicos nombrados D. José Ig­ Catahiña, ?u plica al Con…</t>
  </si>
  <si>
    <t>y Belmonte, Ramona de Rubio</t>
  </si>
  <si>
    <t>Ramona de Rubio y Belmonte</t>
  </si>
  <si>
    <t>…la inspección de milicias, y de colonia azut á 3 f para el vestido de la colegiala de la Paz, que ex­ 789. Unos tirantes bordados sobre cañamazo de plata, á desfilaron por delante las tropas, formadas en columna de la Srá. Doña Ramona de Rubio y Belmonte. trajo las bolas del globo para la rifa fio n or, y dando al pasar cerca de S. M. los vivas de orde­ 327. Un banquillo bordado de oro y felpillas, i la señora de los objetos que se verificó en el nanza. La numerosa concurrencia del leal vecindario de concierto. . . . .…</t>
  </si>
  <si>
    <t>y Bermudez, Cristóbal Treviño</t>
  </si>
  <si>
    <t>Cristóbal Treviño y Bermudez</t>
  </si>
  <si>
    <t>…ión d el com ercio m a rítim o , y e n los pro g reso s da fe: del a rte de n av eg ar. S eg u n d a e d ic ió n : u n tom o en 4.° pas­ Por el presente cito, llamo y emplazo á los descendientes por ta , 16 rs. linea recta de D. Cristóbal Treviño y Bermudez, vecino que COLECCION IC T M O R A N P E LDE LEYES, EN OC TA VO MAYOR. fue de esta ciudad , para que dentro de 15 d ia s, contados des­ de que se publique en la Gaceta del Gobierno este anuncio, que por perentorio término se Ies señala, comparezcan en este juz­…</t>
  </si>
  <si>
    <t>y Bou, María de los Dolores Jicait</t>
  </si>
  <si>
    <t>María de los Dolores Jicait y Bou</t>
  </si>
  <si>
    <t>…los profesores. Si nu se ha dicho qne ha de regir en Galicia , Castilla Scc. ¿por Doña J. I. de R ...................... 40 Madrid 2 de Octubre de 1859.~José María M onreal, secre­ qué se ha de decir que ha de regir allí? Doña María de los Dolores Jicait y Bou...................... 20 tario primero. Una vez que esta discusión es sobre la totalidad del proyec­ S................................. 10 to, no quiero molestar mas al Congreso , y me reservo el uso de El Excmo. Sr. arzobispo electo de Toledo.....................…</t>
  </si>
  <si>
    <t>y Bustillo, José de Bustamante</t>
  </si>
  <si>
    <t>José de Bustamante y Bustillo</t>
  </si>
  <si>
    <t>…livas y un injertal de flor, que radican en la ciudad de Toledo las primeras, y las segundas en las villas inmediatas B IB L IO G R A FIA . Gobierno político de la provincia de Murcia. de Olias y Vargas, acudirá á tratar con D. José de Bustamante y Bustillo ó con su apoderado D. Vicente Bueno, que vive en E L Alcalde Juan Z u rró n , juguete gracioso de representado Registros, la calle del Desengaño, núm. 12 , cuarto 3 .°, casa grande para celebrar las Pascuas de Navidad, con cuatro letras de que fue de padres basiiios.…</t>
  </si>
  <si>
    <t>y Ca, Atmeller</t>
  </si>
  <si>
    <t>Atmeller y Ca</t>
  </si>
  <si>
    <t>…nte general de la Guardia Real exte- general de este principado, y en gefe de su ejér- cusión , un dictamen de la comisión de Actas relativo á la re" nados por el éxito mas completo. nuncia que del cargo de D iputado hace el Sr. Atmeller y Ca" Siento que las desavenencias que motivaron la retirada de cito Cerciorado , &amp;c. Scc. brera, electo por la provincia de Gerona, siendo de dictámeñ mi ministro de la corte de Teherán , no hayan sido todavía sa­ do pertenecientesporá varibs las filas individuos que se me han presenta…</t>
  </si>
  <si>
    <t>y Cabiedes, José Genaro Gutiérrez</t>
  </si>
  <si>
    <t>José Genaro Gutiérrez y Cabiedes</t>
  </si>
  <si>
    <t>…en la ley de 16 del actual. Y queriendo de G ranada, vacante por fallecimiento de D. Antonio Ramón le estén prevenidos, de manera que transcrito dicho parte S. M. la Reina Gobernadora que la imposibilidad material Careaga , á D. José Genaro Gutiérrez y Cabiedes, juez de Me- de autoridad en autoridad militar, llegue al capitán ge­ indicada no dificulte ni dilate el justo reintegro de los due­ dinaceli , accediendo á los deseos que había manifestado de ser neral de la provincia, quien al trasladarlo al Gobierno, ños de los ca…</t>
  </si>
  <si>
    <t>y Cabrera, Carlos</t>
  </si>
  <si>
    <t>Carlos y Cabrera</t>
  </si>
  <si>
    <t>…u e - blico; porque de este modo no solo tienen ocupación mas de que' son dirigidos : S°5 y rogamos todos á Dios conserve la interesante vida dé 30^ habitantes de e.ta c iu d a d , sino que la han encontrado las 1.°: Que entre D. Carlos y Cabrera h ay correspondencia se­ Y* M* muchos años, y llene de prosperidades á su Real f a m i­ muchísimas familias que han retirado de las poblaciones indus­ creta. lia. Canta vieja 20 de Ju n io de 1859.:—Señor: A L. R. P. de Y. M* triosas de lo restante de estas cuatro pro v in cias, á q…</t>
  </si>
  <si>
    <t>y Cacho, José Preyo</t>
  </si>
  <si>
    <t>José Preyo y Cacho</t>
  </si>
  <si>
    <t>…todas las doctrinas contenidas en la obra , el cual tiene el Cristóbal Veces, D. Juau Santandreu , D. José Lacosta , Don VACANTE. doble objeto de que se encuentren roas fácilmente las materias José Pascual , D, Bernardo D olé, D. José Preyo y Cacho, Don que se busquen, y de presentar en compendio cuanto de ellas Joaquín M Aral y D. Manuel Pardillos, sorteados conforme á S E halla vacante el partido de médico de Z ornoza, señorío de mas esencial se contie?ie en la obra. En cuanto al aumento que las leyes vigentes sobre libert…</t>
  </si>
  <si>
    <t>y Calvet, Manuel Fernandez de Sres. Unanue</t>
  </si>
  <si>
    <t>Manuel Fernandez de Sres. Unanue y Calvet</t>
  </si>
  <si>
    <t>…joven profesor D. Casimiro Mellier. Habiéndose denunciado ante el Sr. alcalde constitucional de Cádiz, i £ á * d. Zaragoza, id. 5.° Dúo en la ópera Ottelo , del maestro Rossini , por los esta heroica villa D. Angel Mazon por D. Manuel Fernandez de Sres. Unanue y Calvet; con decoración y trajes. Descuento de letras, á 6 por 100 al año. 6.° Cavatina en la ópera Roberto el Diablo , del maestro Meyerbeer , por la Sra. Villó y coristas ; con decoración y (1) Esta opinión ha sido destruida completamente por re­ trajes. sulta…</t>
  </si>
  <si>
    <t>y Cambironero, Manuel Hermida</t>
  </si>
  <si>
    <t>Manuel Hermida y Cambironero</t>
  </si>
  <si>
    <t>…a hasta/ enrasar con lá séptima ya sentada en el de la iz­ fallecimiento de D. Toribio Gutiérrez de Gabiedes, a! fiscal de Pineda de la Sierra, en cuya dirección suponía haber marcha­ quierda y pila también inmediata. la misma D. Manuel Hermida y Cambironero; y para esta va­ do el enemigo; pero corno las señales del camino no confirma­ Se abren los cimientos y se allegan los materiales para la cante á D. Toma A Huet y A ller; juez de primera instancia del sen su idea, ofició-al coronel Gheli para que dejando/su 4 nía n - con…</t>
  </si>
  <si>
    <t>y Camoño, José Aldao</t>
  </si>
  <si>
    <t>José Aldao y Camoño</t>
  </si>
  <si>
    <t>…ma, ni por bienhe­ primera instancia de esta corte D. Juan José Rodríguez Bal- en i rancia el luego de la liebre revolucionaria se lia di­ chora, ya que no por su alta é inviolable dignidad, po­ deosera , se cita y emplaza á D. José Aldao y Camoño , tenien­ cho mas que en el que rebatimos. Por dicha los abusos 110 drá l¡beriar&gt;e de que se la tome en boca ni mas ni me­ te que ha sido del regimiento infantería, 6.° lijeros , para que en pueden perjudicar en nuestro sentir á la esencia de las nos que se pudiera hacer con el…</t>
  </si>
  <si>
    <t>y Campillo, Francisco Salvá</t>
  </si>
  <si>
    <t>Francisco Salvá y Campillo</t>
  </si>
  <si>
    <t>…spa­ les asisten como merecen. na para agramar cáñamos y linos, inventada por los docto­ cio de cuatro años, impele á reiterar su aouncio, mayormente Después de las referidas acciones salió de Cervera el señor res en medicina D. Francisco Salvá y Campillo, y D. Fran­ efectuándose 1a cura pronta y radical de esta afección morbosa, general en gefe con las Tuerzas de Clemente hacia Igualada, el cisco Sarnpons y Roca. Un cuaderno en 4.0 impreso en 1784, y general Borso para el campo de Tarragoua, y la división As- adornado co…</t>
  </si>
  <si>
    <t>y Camporoayor, Yelves</t>
  </si>
  <si>
    <t>Yelves y Camporoayor</t>
  </si>
  <si>
    <t>…s, á los de la contrata, de los cuales se reintegrará con el valor del úl­ cuales marcharán muy pronto cuatro brigadas mas de presidia­ timo tabaco que reciba al concluir los dos años de su duración; * Núm. 3.° Al gobernador de Yelves y Camporoayor.=Ilus- rios de la caja de Málaga. siendo preferido en este remate aquel postor que en igualdad trisimo Sr,: El Excmo. Sr. teniente general D. Luis Fernandez de circunstancias anticipe tnayor suma. de Córdoba, que por disposición del Gobierno de S. M. se ha­ Camino de Granada d…</t>
  </si>
  <si>
    <t>y Carbajal, D. Pedro Nicolás de Quijana</t>
  </si>
  <si>
    <t>D. Pedro Nicolás de Quijana y Carbajal</t>
  </si>
  <si>
    <t>…e si aléanos perficie, de donde nacen el espionaje entre unos y otros Excrno. Sr. marques de Vailgornera. han sobresalido en su arte lo deben solo á su continua aplica- y la desconfianza y el fraude. Pero hay mas , ¿quién 110 Sr. D. Pedro Nicolás de Quijana y Carbajal, cura párroco cioo y laboriosidad: Asi en Barcelona "y Madrid admiramos á de 8. Sebastian. varios encuadernadores de quienes hemos leído elogios en los esperaria en el estado de progreso á que ha llegado el papeles públicos, que cuanto saben lo deben solamente…</t>
  </si>
  <si>
    <t>y Carincero, María Josefa Cid</t>
  </si>
  <si>
    <t>María Josefa Cid y Carincero</t>
  </si>
  <si>
    <t>…pertenecientes al sos de la sociedad durante el primer año de su estable­ 192. Doña Andrea Solas de Coya , viuda del brigadier Dor ¡ establecimiento titulado de la Convalecencia. José de Cora, en solicitud de pensión. 255. Doña María Josefa Cid y Carincero, viuda de Doncimiento. 195. D. Manuel Rodríguez, familiar jubilado en el colegiey] Luis Correa; de Silva , en solicitud á pensión. Esta acta, que se ha impreso por suscripción, consta de un militar de Alcántara, sobre,pago de una pensión que disfruta J i 254.. El barón…</t>
  </si>
  <si>
    <t>y Castaños, Luis Carondelet</t>
  </si>
  <si>
    <t>Luis Carondelet y Castaños</t>
  </si>
  <si>
    <t>…5 del anterior pasó al mismo el minis­ de Butrón. (Núm. 1845.) MADRID 18 DE D ICIEM BRE. I terio de la G uerra, acerca de los que se mutilen voluntaria­ nombrando comandante general del Campo de Gibraltar al teniente general D. Luis Carondelet y Castaños. (Id.) mente para sustraerse al servicio de las armas. (Id.) ■ del ministerio de Gracia y Justicia, determinando que Circular del ministerio de la Gobernación de la Península in ­ sertando una Real orden del de la G uerra, en que declara Estado que manifiesta el que ha…</t>
  </si>
  <si>
    <t>y Castillo, Mariano Alonso</t>
  </si>
  <si>
    <t>Mariano Alonso y Castillo</t>
  </si>
  <si>
    <t>Una voz á los electores para las próximas Cortes , que aca- Boston ; supo también con un vivo placer la noticia que yo le pesado mil veces en la lengua francesa que en la caste- , a de publicar ea esta corte D. Mariano Alonso y Castillo, b di de que se habia encontrado en la biblioteca de uno de los llana, como porque existen entre nosotros muchos poetas 1 gefe de administración. Sin detenernos á dar razón de las prin­ conventos suprimidos en España el manuscrito de tan preciosa pertenecientes á la misma…</t>
  </si>
  <si>
    <t>y Cenon, D. José Rojas</t>
  </si>
  <si>
    <t>D. José Rojas y Cenon</t>
  </si>
  <si>
    <t>…iopelo bordado, al Sr. D. Miguel tendrán por objeto impedir en nuestras costas desembar­ González del Valle. cos hostiles y contrarios á los intereses de nuestra legíti­ : : 9 m , 28 9998.. 20 257, Ung raesita de laca , al Sr. D. José Rojas y Cenon. ma Reina, y cooperar con los cruceros españoles al mismo 844 * Üú acerico con un pájaro, al Sr. D. Fernando N ico- Liquidó prod ucto del ¿óttéiéitó, . ‘r. . .. 42921., 1 4 fin , y al de vigilar la navegación extrangera: se extende- lant. . rán también a mandar que las fuerz…</t>
  </si>
  <si>
    <t>y Chacón, Antonio de Torres</t>
  </si>
  <si>
    <t>Antonio de Torres y Chacón</t>
  </si>
  <si>
    <t>…la manera fusión,” firmado por el secretario D. Manuel del Pozo, y de- sente en este pliego del sello cuarto en Salamanca á 5 de Febre- que lo hacen los jueces de. prim era instancia en los expe­ uunciado por los licenciados D. Antonio de Torres y Chacón to de 1859.z=José Fuentes. TENEDURIA DE LIBROS y en poder de los administradores del Reino................................ 2587.. 6 DE LOTERÍAS NACIONALES. Por ganancia en la negociación de efectos.......................... ......... 1290.. 20 Mes de Setiembre de 1838.…</t>
  </si>
  <si>
    <t>y Cisneros, José Jiménez</t>
  </si>
  <si>
    <t>José Jiménez y Cisneros</t>
  </si>
  <si>
    <t>…de Burgos. P o r el rninisterio: de la G uerra en 7 de este mes se ha Para el juzgado de Líllo , en la proviocía Je Toledo, v a­ FR A N C IA . co m unicado al de la G o bernación dé la P en ínsula la Real cante por ascenso de D. José Jiménez y Cisneros, á D. D ám a­ o rd e n q ue sigue: so Gómez R ubio, que desempeña el dél Barco de Avila ; pára París 14 de Julio . El Sr. Secretario del D espacho de la G u e r ra dice cóii éste partido á D. M agín Fernandez y Villegas, electo de M e- esta lecha al in té n d én té general…</t>
  </si>
  <si>
    <t>y Colomer, Bresca</t>
  </si>
  <si>
    <t>Bresca y Colomer</t>
  </si>
  <si>
    <t>…ron los d ictám enes de la comisión en qué pro po ­ de la silla en que estaba sentado los alcaldes de barrio de la biendo la secretaría recibido el citado oficio a las dos de la t a r ­ n ía la a d m isió n en el Gongreso del Sr. Bresca y Colomer, D i ­ c iu d a d con el encargo de que me avisasen si se acercaba á v o ta r de de a y e r , hora en que y a se h a b ia levantado la sesión, se con­ p utad o por M á l a g a , y la del Sr. L a Hera por Toledo» alg u n o que no era elector , y sucedió que efectivam ente se p r e ­…</t>
  </si>
  <si>
    <t>y Comer, Aduanas</t>
  </si>
  <si>
    <t>Aduanas y Comer</t>
  </si>
  <si>
    <t>…0, 00. d e nuevo en p rim av era luego que lo perm itan los hielos, Vales Reales no consolidados, 14 á 60 d. f. yol. y firme mo literarias, que debían asistir á la función. Gran número de C o p en h ag u e, dirección general de Aduanas y Comer­ socios, con un lazo am arillo y encarnado de insignia, recibían á prim a de 1 por 100. cio 30 de Mayo 183') . ^ F ir m a d o ; Lowzaw, L eh m an , S h a- y acompañaban á las señoras hasta colocarlas en donde mejor Deuda negociable de 5 por 100 á p a p e l, 00. n in g , M ailin g W…</t>
  </si>
  <si>
    <t>y Contreras, Matías Bonilla</t>
  </si>
  <si>
    <t>Matías Bonilla y Contreras</t>
  </si>
  <si>
    <t>…ro tuno. Otra id. en sierra G ador, loma del A g u a , término Berja, López Oliveros, vecino de esta c iu d ad , en el barrio de P ro n i- Yegüeros ó Lealtad , por Joáquin H errera, en 2Q, 11o, término de la misma. Núrn. 40. D. Matías Bonilla y Contreras, vecino de Alcau- Otra id. en sierra L ujar , perro Víboras, término de Vélez, Santander 7 de Octubre de 1839.=:El marques de Y a l d e - dete, y emigrado de algún tiempo á esta parte en la villa de V irgen del Carmen , por D. José B urgos, en 20. * gema. l a l a v c r a…</t>
  </si>
  <si>
    <t>y Cordon, Angel de Llano</t>
  </si>
  <si>
    <t>Angel de Llano y Cordon</t>
  </si>
  <si>
    <t>j D. Angel de Llano y Cordon , D. Francisco B u s t ú n a n t e , Don de aquellos ricos y opulentos p a í s e s , los inas im p o r ta n te s del á S ¡i M ateo , c i r o u v j d ó d Qst a úl ti ma v;i!a nuestra caballería, al amanecer del día 9 del acta; . ! , y l l e g a d a míe fue la^ i n f a n t e…</t>
  </si>
  <si>
    <t>y Cortés, Pedro Cano</t>
  </si>
  <si>
    <t>Pedro Cano y Cortés</t>
  </si>
  <si>
    <t>…ETIN D E COMERCIO, existe en esta subdelegacion. Los que quisieren interesarse en Riego y 30 hombres del provincial de Plasencia á las Órdenes este arriendo lo podrán realizar en la misma, advirtiendo está del bizarro teniente D. Pedro Cano y Cortés, que dejando ase­ BOLSA t&gt;E M A DRID . señalado para el primer remate el día 8 de Noviembre pró­ gurado el fuerte de Cifuéntes quiso contribuir á este hecho de ximo y hora de las diez de su mañana, en la sala principal de armas, los atacaron en Valdeolivas después de una marcha r…</t>
  </si>
  <si>
    <t>y Corugos, Ana Vallecillot</t>
  </si>
  <si>
    <t>Ana Vallecillot y Corugos</t>
  </si>
  <si>
    <t>….................................................. 380 20 CORRESPONDENCIA DE LA GACETA. cinco. La Sra. marquesa viuda de San M artin.......................... 80 Valencia 1.° de Octubre, Las fiestas siguen en las calles Doña Ana Vallecillot y Corugos........................................ 40 y barrios de la ciudad sin ningún incidente desagradable, y Una caridad....................................................... ........................ durarán toda esta semana y tal vez parte de la otra. El pueblo M A D R ID 5 D…</t>
  </si>
  <si>
    <t>y Cres-, José Coll</t>
  </si>
  <si>
    <t>José Coll y Cres-</t>
  </si>
  <si>
    <t>…Gloria á Chile y su Gobierno , cuya energía y firmeza les xnunia. y al Presidente Florez, no solo por la confianza que ha depo­ dan tantos títulos á la consideración y aprecio de los amantes Asimismo se ha dignado mandar que D. José Coll y Cres- sitado aquella República en sus talentos, patriotismo y expe­ de la libertad! Gratitud ilimitada al ejército vencedor, que tan p i , que desempeña el juzgado de Sorbas, de entrada en la pro­ riencia , sino, lo que es mejor y mas glorioso , por la sinceri­ gloriosamente ha correspon…</t>
  </si>
  <si>
    <t>y CRUZ, D. Francisco Amorós</t>
  </si>
  <si>
    <t>D. Francisco Amorós y CRUZ</t>
  </si>
  <si>
    <t>…o Mateos, se suspende hasta nuevo anuncio. LOS GUANTES AM ARILLOS. valor. r Lugo 25 de Noviembre. Estos pueblos se reaniman diaria­ mente y va desapareciendo el terror que les infundían las ga­ g N virtud de providencia del Sr. D. Francisco Amorós y CRUZ. A las siete de la noche. Se volverá á poner en villas de facinerosos que gravitaban sobre los mismos. Los res­ López, magistrado honorario de la audiencia territorial escena la muy acreditada opera en dos actos del maestro Be— tos de las indicadas gavillas continúan prese…</t>
  </si>
  <si>
    <t>y Crónica, Juan Bautista Armesto</t>
  </si>
  <si>
    <t>Juan Bautista Armesto y Crónica</t>
  </si>
  <si>
    <t>…onsultiva , sita en Reunidos en la sala de conferencias los jurados que han enten­ Policía urbana, por el marques viudo de Pontejos. el mismo edificio en que se halla la escuela. En la misma ofi­ dido en la causa del libelo de D. Juan Bautista Armesto y Crónica literaria. cina se dará razón de las circunstancias y documentos que de­ D. Francisco Custodio, fue decidido ab'.uelto el D. Juan Bau­ Estado demostrativo de las operaciones de la Caja de ahor­ ben reunir los interesados, y para la mayor comodidad de es­ tista Armesto…</t>
  </si>
  <si>
    <t>y Cubero, José Figuer</t>
  </si>
  <si>
    <t>José Figuer y Cubero</t>
  </si>
  <si>
    <t>…n. (G. de Leipsick.) mente con el Sr. ingeniero encargado D. Elias Aquino, á las formalidades que la misma previene, tocó á los sugetos si­ fin de recoger ó tener prontas las ollas y demas útiles que guientes: D. Juan R u iz , D. José Figuer y Cubero, D. Fran­ los penados pueden y deben llevar consigo, economizan­ cisco Antonio de P a n d o , D. Felipe López Yaldemoro, Don Se sabe que Mr. Detmod y el doctor Cristiaoi fueron inti­ do asi á la dirección general de Caminos los gastos de Manuel Labraña , D. Francisco de las Casa…</t>
  </si>
  <si>
    <t>y Cárdenas, Rafael de Sierra</t>
  </si>
  <si>
    <t>Rafael de Sierra y Cárdenas</t>
  </si>
  <si>
    <t>…S JUDICIALES. traducida del francés por D. Vicente Sánchez Boado. Un tomo ! en 8 .°, impreso de orden superior en el año de I 8O4 , á 8 rs. en pasta común. A las siete y media de la noche. Se pondrá en escena el L ICENCIADO D. Rafael de Sierra y Cárdenas, abogado de drama nuevo bíblico, en cinco actos, titulado los tribunales de la N ación, juez de primera instancia de esta villa de Moron de la Frontera y su partido &amp;c. Instrucción que debe observarse con motivo de la extinción de la junta del monte pió de Reales ofici…</t>
  </si>
  <si>
    <t>y D, Antonio Casasola</t>
  </si>
  <si>
    <t>Antonio Casasola y D</t>
  </si>
  <si>
    <t>…uen éxito ejércitos en activid ad , sin que por ningún título pueda R eina Gobernadora. de la causa constitucional al fin del párrafo relativo á España. distraerse á otro objeto ni la menor cantidad. D. Hermenegildo Q uintana, D. Antonio Casasola y D. V i­ (V oces: ¡ Es in ú til , es in ú til !..) cente P ro vinciales, subtenientes que y a se hallaban en este de­ Los dos párrafos acerca de España se ponen a votaciou , y P or tanto mandamos á todos los tribunales, justicias, son adoptados por una inmensa m ayoría. [D ebáis…</t>
  </si>
  <si>
    <t>y D, Antonio Cánovas</t>
  </si>
  <si>
    <t>Antonio Cánovas y D</t>
  </si>
  <si>
    <t>…llas, cuyo co­ Eduardo R u iz , D. Emilio D ía z , D. Permití Alarcou , D. José trónomo para su residencia; y e n 8 de Agosto de l5 7 6 s e puso la nocimiento es indispensable para d ir ig ir la derrota con acierto, de Torres, D. Antonio Cánovas y D. J u a n del Castillo , y el piedra fundamental del edificio. Este observatorio tiene 22 va­ y resolvió con mucha firmeza los varios problemas que le fu e ­ Sr. vicepresidente en nombre de la junta les anunció que esta ras en c u ad ro , y de una altura correspondiente á su basa.…</t>
  </si>
  <si>
    <t>y D, AntonioCCairon</t>
  </si>
  <si>
    <t>AntonioCCairon y D</t>
  </si>
  <si>
    <t>…ro D.La Ramón música ha sido expresamente com­ arnicer; y \os bailes inven­ fincas (que puede graduar el dueño con acuerdo de la dirección 50 y 55 . Ademas á los Sres. suscriptores á la obra Historia de tados y dirigidos por D. AntonioCCairon y D. J u a n Bautista ó por tasa del arquitecto); ademas un cuartillo por ciento, diez la revolución de b rancia , por Mr. M ignet, que lo sean de esta, reales para la lápida que se pone en la finca, y cuatao reales se les dará gratis la primera entrega. Cozzer. ____________________…</t>
  </si>
  <si>
    <t>y D, Bernardo Medrano</t>
  </si>
  <si>
    <t>Bernardo Medrano y D</t>
  </si>
  <si>
    <t>…Otra id. en cerro M inicas, término H uércal, Constancia, conforme al plan provisional de instrucción primaria , m anda­ por D. Antonio Perez , en 20. do observar en 21 de Ju lio de! año inmediato pasado, no se ar­ Núm. 43. D. Bernardo Medrano y D. T^más González, Otra id. en barranco Jaro so , término de Cuevas Espe­ reglaba a los artículos 20 y 21 del plan eu los exímenos para relatores jubilados de la audiencia de Cáceres , exponen: que ran z a, por D. Anastasio M árquez, en 14 . * maestros de primera educación, lo…</t>
  </si>
  <si>
    <t>y D, Cañongo</t>
  </si>
  <si>
    <t>Cañongo y D</t>
  </si>
  <si>
    <t>…fianza y confirió poder bastante al Excmo, señor f al t a por cobrar una mí ni m a parte. L a j u n t a ha creído que rxjire.sado en térmi nos bien explícitos acerca de la buena a c o ­ D. J o a q u í n Gómez y los Síes, conde de Cañongo y D. F r a n ­ debía tener toda clase de condescendencia en c uant o á espera* gí J a que e ¡ ! a elección tendrí a en la C á ma r a . cisco do Ar mas. La junta ha encontrado la correspondencia mas con los accionistas, porque solo se t rat a de hacer el cami no, La buena vol unt ad con que…</t>
  </si>
  <si>
    <t>y D, Fernando Salas</t>
  </si>
  <si>
    <t>Fernando Salas y D</t>
  </si>
  <si>
    <t>…y pronto las unia el vinculo común del cristianismo, que era el Por- providencia del Sr. intendente de rentas de esta provin­ armados con algunos infantes; mas el vecindario, que se h a ­ c i a , se c ita , llama y emplaza á D. Fernando Salas y D. M a­ «spíritu general de todas ellas. llaba preparado con hoces, horquillas de hierro, visarmas, pa­ nuel T o r r e n t, para que en el único y perentorio término de Nosotros comparamos la confederación cristiana de la edad los y algunas carabinas, se lanzó sobre ellos, 'matánd…</t>
  </si>
  <si>
    <t>y D, Ignacio García Cabrero</t>
  </si>
  <si>
    <t>Ignacio García Cabrero y D</t>
  </si>
  <si>
    <t>…entresuelo. y término preciso de nueve dias á D. .Angel M orales, D. J o a ­ ministración del correo general á las doce de la noche de los , Prov*ncí as en las administraciones de correos y princi­ quín M aría S an gu in o , D. Ignacio García Cabrero y D. F ran ­ pales librerías. lunes , jueves y sábados. cisco La Serna, para que se presenten en el juzgado á dar sus Lo que se anuncia al público para su debido conocimiento. descargos y proponer sus defensas en causa crim inal que se si­ gue en averiguación de los autore…</t>
  </si>
  <si>
    <t>…laza por primer edicto y Compendio de la obra inglesa in titulada Riqueza de las término preciso de nueve dias a D. Angel M orales, D. J o a ­ naciones, hecho por el marques de Condorcet, y traducido al quín María Sanguino , D. Ignacio García Cabrero y D. F ran­ castellano con varias adiciones del original por D. C irio s M a r ­ cisco Laserna , para que se presenten en el juzgado á dar sus tínez de Irujo. Uu tomo en 8.° uaarquilla, impreso en 180 5 , á C O R R E S P O N D E N C IA DE LA GACETA. descargos, y proponer sus…</t>
  </si>
  <si>
    <t>y D, José de Eaderica</t>
  </si>
  <si>
    <t>José de Eaderica y D</t>
  </si>
  <si>
    <t>D . Ju a n B autista Escudero, D. José de Eaderica y D. D a s ú a - niebla la I L n u r a , se parece la ciudad de D avid á un esqueleto rco en 4-° Se veade en la lib rería de la v iu d a de R az ó la, á 4 go Moreno, para que en el término de nueve días se presenten insepulto cubierto cea un a mortaja. i reales. en la escribanía pri…</t>
  </si>
  <si>
    <t>y D, José María Gómez</t>
  </si>
  <si>
    <t>José María Gómez y D</t>
  </si>
  <si>
    <t>…de 1795 y 96 á 75 rs. en Asimismo se c ita , llama y emplaza á D. Angel Morales y pergamino y 85 en pasta común. BOLSA D E M A D R ID . Esta o b ra, que puede llamarse única en su clase, es según D. Jorge Mancebo y Navia, y D. José María Gómez y D. t e - su corrector útil y aun necesaria para todos los sugetos que Cotización del dia 28 d las tres de la tardo* lix G arcía, para que en el término de nueve dias, que por ter­ componen las gerarquías de la tierra; pero sobre todo para los cero y último se les señala, se pres…</t>
  </si>
  <si>
    <t>y D, José Tosar</t>
  </si>
  <si>
    <t>José Tosar y D</t>
  </si>
  <si>
    <t>…íc. &amp;c. Año 1 85 5 , importe de las sederías 2 5.035,200 p s., y del no podrán luchar con ellos. En lugar de ir progresando nues­ azúcar 1„.514,551 ps. Estos números demuestran la inmensa su­ Los Sres. D. Jo^é del C astillo, D. José Tosar y D. J u a n tra a g r ic u ltu r a , quedará estacionaria, y se lim itará á pasar de N e n n in g e r , por D. Pedro A. G a r c ía , invitados expresamente ma que anualmente paga el pueblo de este pais al extranjero un sitio á otro y á convertir montes en ingenios y estos en como inte…</t>
  </si>
  <si>
    <t>y D, Juan de la Cruz Tirado</t>
  </si>
  <si>
    <t>Juan de la Cruz Tirado y D</t>
  </si>
  <si>
    <t>…tallon.zzCon grado de tenien­ ción necesaria para ser sus dignos colaboradores. Pues tenemos, siliarios. te coronel mayor de batallón D . Francisco Peruréna , cruz de entendido que varios de estos señores vienen de Inglaterra, D. Juan de la Cruz Tirado y D. Narciso Colomer, secre­ San Fernando de primera clase. Francia , Madrid y otros puntos de España, y que también se tarios. Capitanes D. Manuel Cidron y D . Mateo M o ra n , grado encuentran entre ellos algunos de nuestros mas ilustrados con­ D . Pablo Cabrero , depositar…</t>
  </si>
  <si>
    <t>y D, Manuel de Gaviria</t>
  </si>
  <si>
    <t>Manuel de Gaviria y D</t>
  </si>
  <si>
    <t>…r Don de: Lo que hace un manto en M a d r id , de Calderón. El Bustamante, D. Santiago Alonso Cordero, D. Alfonso Peralta, Antonio Gil y Zarate. anotado»* continúa: yo creo que es de R ojas. A mí no me D. Hermenegildo Mezquia, D. Manuel de Gaviria y D. M a­ La historia considerada como ciencia de los hechos.^:(Con­ lo parece: porque Hojas no podia escribir dos páginas nuel M altrana, quienes declararon no haber lugar á la forma­ clusión. Véase el núm. 1 .° de la segunda série.) Ch. D u R o- sin algunos rasgos gongorinos; y e…</t>
  </si>
  <si>
    <t>y D, Saturnino Calderón Goilaoles</t>
  </si>
  <si>
    <t>Saturnino Calderón Goilaoles y D</t>
  </si>
  <si>
    <t>…s por dicha provincia , de lo^ seno os dirigimos voces de jd b iio ” , entonamos salmos á vuestro el mismo orden, y método que ea los anteriores. M adrid 27 de nombre, tributándoos rendidos homenajes.” Setiembre de 1859. res D. Saturnino Calderón Goilaoles y D. M auricio García. El Sr. P R E S ID E N T E : Las secciones tienen algunos asun ­ Regocijémonos pues en el Señor, cantemos con placer sus tos que discutir; si al Congreso le parece podrán reunirse ahora alabanzas , aprasurémonos á presentarnos ante sus aras con el…</t>
  </si>
  <si>
    <t>y D, Sebastian de Souto</t>
  </si>
  <si>
    <t>Sebastian de Souto y D</t>
  </si>
  <si>
    <t>…na razón de política. Asi cho con que el Sr. Ministro de Hacienda , en vista de esta dis­ que ,m e parece que estamos en el caso ó de devolverlas desde cusión , emplease todos los medios que estuviesen á su alcance N úm . 5.° D. Sebastian de Souto y D. A gu stín de L ag o , luego las fincas, o acudir á un sistema seguro que pueda sub­ para satisfacerlas sus pensiones. presbíteros, se quejan de la persecución que sufren por su dio­ venir al pago de sus pensiones. Este ha sido mi objeto al tomar El Sr. M ENDEZ VIGO : Yo he…</t>
  </si>
  <si>
    <t>y de, Alaix</t>
  </si>
  <si>
    <t>Alaix y de</t>
  </si>
  <si>
    <t>…en medio dél salón , se ve al Sr. Alonso (D. Juan Bau­ Yo me felicito cou S. S. Ojalá pudiera decir otro tanto de tiene que deshacer un cargo q'.ne le ha dirigido el Sr. Olozaga. tista) estrechando afectuosamente primero al Sr. Alaix y des­ otros discursos de que no podré menos de hacerme cargo. S. S. no me gana ni puede aventajarme en patriotism o; si, pués á los Sres. Arrazola y Carramolino. Otro grupo , en el No es la guerra la que desea el Gobierno, es la paz, la Sr. O ló zag a, estoes imposible; y los cargos de V .…</t>
  </si>
  <si>
    <t>y de, Benavides</t>
  </si>
  <si>
    <t>Benavides y de</t>
  </si>
  <si>
    <t>…diferencia está en que algunos señores La comisión nombrada para examinar el proyecto de ley rectos, nombrados por el intendente, y uu letrado &amp;c. que han im pugnado el proyecto, y el G obierno, creen que no presentado por el Sr. Benavides y demas D iputados de la pro­ Apoyada brevemente por el Sr. Q uijana , contestó el señor es necesario, porque están persuadidos que el ñu que se proponen vincia de Jaén en la legislatura an terior, y reproducida en esta, marques de Someruelos en nombre de la comisión que esta sen­ los firm…</t>
  </si>
  <si>
    <t>y de, Borrell</t>
  </si>
  <si>
    <t>Borrell y de</t>
  </si>
  <si>
    <t>…y para ellos infructífera ma de aquella capital por los moros en 993, como tam­ mesa que le servia á la vez para escribir sus notas y para po­ carrera, individuo de la Real academia de la Historia, de bién de la muerte del conde Borrell y de otros 500 ca­ ner sus perfumes. Aquel mismo dia debia despedirse de Lu s la de Buenas letras de Barcelona y de otras corporaciones balleros. Dicho conde falleció en 992. Felipe antes de partir para su embajada de Londres, y presen­ sáhias, y archivero mayor en el Real y general de la…</t>
  </si>
  <si>
    <t>y de, Buenos-Aires</t>
  </si>
  <si>
    <t>Buenos-Aires y de</t>
  </si>
  <si>
    <t>…una ciudad im portan­ caciones acerca de su conducta, y cuando se enteró de que su t e , la Concepción. Se miraba como próxima la caida afirm ati­ queja rsub* fundada en la bagatela de dos cañonazos, aseguró va del gobernador de Buenos-Aires y de su régim en de tira ­ á Mr. Zogrsphos que esto habia consistido en una equivocación nía. (Temps.) de lo* srtiUeros, y que en prueba de ello iba á disponer que se Se han recibido en Paria noticias de Montevideo de fecha luciese de nuevo uaa salva completa de 21 cañonazos. Todos los…</t>
  </si>
  <si>
    <t>y de, Clarendon</t>
  </si>
  <si>
    <t>Clarendon y de</t>
  </si>
  <si>
    <t>…dp ( i) En nuestro número próximo daremos esta sesión , y so­ orden de hacer volver á A ch m et-b ajá, orden que este creo pro­ para estas leyes no se necesita mas que un voto de fórm ula» nos bre todo los discursos del duque de Clarendon y de! mioistro curará no se lleve a efecto, pues sus consecuencias podrían ser­ parece una cósa m uy natural y conveniente, y lejos de acu­ Melboume con toda la extensión con que se insertan en ihe Sun. le fatales. El almirante L alan d e, conforme á sus instrucciones, sarla de precipitada…</t>
  </si>
  <si>
    <t>y de, Elordi</t>
  </si>
  <si>
    <t>Elordi y de</t>
  </si>
  <si>
    <t>…onde al al­ n u e v a re f u t a c ió n d e se m e ja n te c e n s u r a , c o n c e b id a c u e s ­ para adoptar, la enmienda. cald e, bajo la vigilancia de la administración superior, tos t é r m i n o s : A petición del Sr. Elordi y de otros varios Sres¡i D iputados 1.° E jecutar y hacer ejecutar los acuerdos y deliberaciones se votó la adición nom inalm ente, resultando desechada por 6 6 del a y u n ta m ie n to cuando ten g a n legalmente el carácter de eje­ H abíam e propuesto no dar rnas contestaciones al autor d…</t>
  </si>
  <si>
    <t>y de, Francisco Muñoz</t>
  </si>
  <si>
    <t>Francisco Muñoz y de</t>
  </si>
  <si>
    <t>…manada del ministerio mandante D. Eduardo Posse, el de la Luchana D. Pedro del cia ó pueblos donde hayan de ejercer sus fuucioues dichos de la Gobernación, é inserta en la Gaceta del dia 8 , donde di­ Castillo, tercer piloto D. Francisco Muñoz y demas individuos ce “cuando se celebren juntas generales” , debe decir “cuando comisionados. de dicho apostadero, á fin de que recaiga la resolución que fue­ se celebren juntas generales ó particulares.” 3.a Las dotaciones asi determinadas y los demas gastos re de su Real agrad…</t>
  </si>
  <si>
    <t>y de, Francisco Rodríguez Castro</t>
  </si>
  <si>
    <t>Francisco Rodríguez Castro y de</t>
  </si>
  <si>
    <t>…sino para conducir la artillería de batir al punto designa­ del regimiento de infantería de la Reina D. Pedro Lamas , del C u reñ a je . do. El ascenso á una montaña de rápido declive , el terreno en teniente del mismo cuerpo D. Francisco Rodríguez Castro y del 1 cureña de á 4* su mayor parte de roca , y el fuego enemigo que molestaba á capitán del 6.° ligero D. J u a n M ontestruc, muertos durante el 1 ajuste de madera con gualderas de bronce para el mor­ nuestros trabajadores que en varias partes estaban al descubierto,…</t>
  </si>
  <si>
    <t>y de, Guilleminot</t>
  </si>
  <si>
    <t>Guilleminot y de</t>
  </si>
  <si>
    <t>…bajá se hallaba ayer en Niagara, y la otra estaba anclada en los gislatura solo se componía de notables. Fácil es también de pen­ Dardanelos. Toda la escuadra iba á darse á la vela el domingo sido ayudante de carnpo del general Guilleminot y del alm i­ sar que el principe Milosch debió siempre mirar con despecho la ó lunes para dirigirse, según s§ cree, á Metelin, rante Roussin en Constantinopla , ha llegado en el último va­ ley que le habia sido impuesta, y que debió establecerse una El almirante Lalandecon dos navios s…</t>
  </si>
  <si>
    <t>y de, Instado</t>
  </si>
  <si>
    <t>Instado y de</t>
  </si>
  <si>
    <t>…itiendo las renuncias que hicieron de sus res­ segura : el modo de estimular es abrir una puerta al trabaje varias felicitaciones por el feliz desenlace de la sesión del 7 de pectivos cargos los Sres. Carramoiino , Secretario de Instado y dei para que se calcule esa ganancia. Octubre. D e sp a c h o de la Gobernación de la Península , y Primo de R i ­ El Sr. Estéban nos ha presentado la idea de un cúralo todo, El Sr. P R E SID E N T E anunció que mañana después del vera, de M a r i n a , Comercio y Gobernación de Ultramar…</t>
  </si>
  <si>
    <t>y de, José Verea</t>
  </si>
  <si>
    <t>José Verea y de</t>
  </si>
  <si>
    <t>…su conquista por los romanos, aprobada por la acade­ imponible asomarse á las almenas y transitar por las cades que T orre, Zariátegui y Urbistondo , fuerte cada una de tres ba­ mia de la historia en el año de 4 8 5 2 , por D. José Verea y desde alli dominaban. Este unido al estampido del cañón que tallones , los dos batallones citados de A lav a , el batallón de A g u ia r. Esta obra, de la que en otro número hablaremos con mas no paraba un solo instante, y al de las muchísimas granadas y guias de N a v a r ra , la co…</t>
  </si>
  <si>
    <t>y de, Jutland</t>
  </si>
  <si>
    <t>Jutland y de</t>
  </si>
  <si>
    <t>…Juan de Acre. Ismael-bey está en el Haouran ocu­ Se dice que el Príacipe Real ha sido nombrado comandante El tribunal se ha ocupado en seguida dé los 39 individuos pado en tener á raya á los alborotadores y revoltosos. general de Jutland y de F io n ie, y S. A. R. el príncipe Federi­ que han perme&amp;ecido en estado de detención, y 8 de ellos h t a Los restos del ejército turco, cerca de IOS) hombres, se h a ­ co Fernando comandante general de Seeland, Laiiand y Fahier, sido absuvítos también. E» cuanto ¿ los otros *e ignora s…</t>
  </si>
  <si>
    <t>y de, Knesbeck</t>
  </si>
  <si>
    <t>Knesbeck y de</t>
  </si>
  <si>
    <t>…Real House. El festín ha sido brillante y concurrido. S. A. R. el 1 .° La Cámara ha sabido con la mayor indignación que el (comprendiéndose en ella un aumento de 655 0 libras esterlinas duque de C am b ridge, acompañado del barón Knesbeck y del Estado de M aine había intentado sin n inguna provocación y de para 2 1 6 hombres de esta arma en el Canadá). La Cámara p r o ­ mayor Stephens, fueron del número de los concurrentes. Igu al­ un modo violento in v ad ir una parte de la provincia de la N ue­ cede á votar 14 4 ,0 6 1 lib…</t>
  </si>
  <si>
    <t>y de, Luis González</t>
  </si>
  <si>
    <t>Luis González y de</t>
  </si>
  <si>
    <t>…uy liberales, porque de otro modo ni podrían servir la causa C or d o n , acompañado de 20 caballos á las órdenes del teniente este castillo. de D . Carlos entre vosotros, ni lograr sus fines. oe infantería del i.° de Castilla D. Luis González y del alfé- En las inmediaciones de Cuarte en las Valles de Sagunto U n id os, defendiendo lo que habéis jurado, y haciendo sa­ 1 ez del segundo escuadrón franco D. Pedro Palanca salieron han robado esta mañana tres hombres con cachuchas y sus cor­ crificios de todas especies para ter…</t>
  </si>
  <si>
    <t>y de, Miguel</t>
  </si>
  <si>
    <t>Miguel y de</t>
  </si>
  <si>
    <t>…ron el Brasil á sus descu­ Otra expedición mandada á los Algarves se apoderó de toda villa , Valencia y otras ciudades grandes de la Península, era bridores. El fatal gobierno d$ Portugal por casi un siglo dejó la escuadra de D. Miguel y de todos los fuertes de aquella cos­ muy grande. Ademas de la antigua iglesia patriarcal y la nue­ tan exhausto el pais de recursos y de hombres, que apenas po­ ta , y avanzando rápidamente al T ajo, logró tomar posesión de va catedral, habia 4 O parroquias, 75 conventos y 100 capillas ja…</t>
  </si>
  <si>
    <t>y de, OrloíF</t>
  </si>
  <si>
    <t>OrloíF y de</t>
  </si>
  <si>
    <t>…ación tranquila y r e g u la r , concertar de de S. A. R. el Principe Guillermo Enrique , de los Países- anticiparse á esta manifestación. (Id.) conformidad lo ú til y beneficioso al p ais, tomaríamos con m u­ Bajos, del conde de OrloíF y de lord Torrington , ch am ­ cho gusto en consideración la declaración que sobre este p arti­ belán de S. M . , llegó á las once, y ^ u e recibido por M M . de cular nos fuese presentada. Kisselef, el conde Alexis de StrogonoíF, el conde Carlos Pozzo V ista la importancia de este asu n to…</t>
  </si>
  <si>
    <t>y de, Perez de Rivas</t>
  </si>
  <si>
    <t>Perez de Rivas y de</t>
  </si>
  <si>
    <t>…, donde quiera que se encuentren; cuando corno candidato en varias provincias y tenga resultado. Pero vengo aqui vengo revestido de valor cívico. en las actas que obran en poder de la comisión: ¿ hay. alguna ia admisión del Sr. Perez de Rivas y demas señores. Hay dife­ Sr. Iñigo ha dicho que se han dado por la intendencia reclamación por la que se pueda creer que se ha viciado la elec­ rencia entre ser yo amigo de ellos á que como Diputado pida 200 Elduros, Perez de Rivas ha contestado que es una ción ? Si el ministro ha…</t>
  </si>
  <si>
    <t>y de, Secretario de Estado</t>
  </si>
  <si>
    <t>Secretario de Estado y de</t>
  </si>
  <si>
    <t>…rde á ¡V. E. muchos años. Cu u el *-eneral de la donde tengan sus bienes; y poseyéndolos en dos ó Nestosa 27 de Abril de i859.:r:Excmo. S r.~ E c nde de Lucb mas de ellas, eil las que mas disfruten, sin perjui­ na. — Excmo. Sr. Secretario de Estado y del Despacho de la cio de poder verificarlos en esta corte, si causas pro­ Guerra. SVM. la R e i n a , su augusta Madre la R e i n a G o b e r ­ badas aconsejaren la reforma de esta disposición á S. M. la augusta Reina Gobernadora , que con la m ayor sa­ n a d o r a y la Ser…</t>
  </si>
  <si>
    <t>…an­ sionrro en Oñíite. A le ncian o de J u lio de 1 8 5 9 —Excrno Sr.::: Leopoldo 0-D o«»ne)l.= tes sobre la comisión del coronel Madrazo que ha venido poto Oñate 24 de Julio.rrLos partidarios de Maroto, asi como él, Excmo. Sr. Secretario de Estado y del Despacho de la Guerra. h á de París á las provincias. Inmediatamente pasó al cuartel ge­ se han q u iu d o la. tná: cara decidiéndose á conseguir su o h_jet o neral de M aro to ; pero hasta hoy no se ha presentado á* Don por todo* los medios buenos ó malos"; r^o $$ créa q…</t>
  </si>
  <si>
    <t>…referirse á documentos y á los registros p a r ti­ M a ría Alvarez. Peticiones , y son aprobados sin ella los ndms. 56 y 57; en el culares que tenga , y aqui no es posible que un M inistro sea primero propone que se pase al Sr. Secretario de Estado y del un ar c h iv o , ni el mismo Secretario del Despacho de la Guer­ Despacho de la Gobernación una exposición de D. Manuel José ra sabría si h a y verdad en ese relato, ó n o , aunque yo la su­ de la P i l a , maestro de primeras letras en la ciudad de Sevilla, pongo. PART…</t>
  </si>
  <si>
    <t>…ilitar neerlandesa ha cumplido se, toca á las autoridades rectificar y afirm ar la opinión tubre de 1 8 5 9 —^xemo. Sr.zzJosé María R u is Perez.zrExcelen- con sus deberes durante los años trascurridos, dando con su tísimo Sr. Secretario de Estado y dei Despacho de la Goberna­ comportamiento un ejemplo tan excelente como saludable de fi­ en este particular, persuadiendo á los españoles amantes ción de la Pecínsula. delidad y de amor á su patria. de sil pátriá y de su Reina que la Constitución de 1837, Continúa la admi…</t>
  </si>
  <si>
    <t>…obernador de esta p la z a ; y marchando con la couveniente reserva hasta la una ,c a í de primera in stan cia, Fernando Calderón y Collantes.zs Exce­ á esta hora sobre el punto couvenido con el alcalde constitucio­ lentísimo Sr. Secretario de Estado y del Despacho universal TAON Manuel O rtia de T aran co , caballero de la Real y dis­ nal del Porrino , con el cual y con el juez de primera instan­ de Gracia y Justicia. tinguida orden española de Carlos i r i , intendente de ren­ cia de T u y estaba de acuerdo. Cercamos los…</t>
  </si>
  <si>
    <t>…as de Meli­ D. Blas Requería por su activi­ lla á 25 de Marzo de í859.=rExcrao. Sr.nSantiago de Soroa.r: á fin de que tome las disposiciones convenientes á su dad y decisión. A mi ayudante de campo D. Constantino Al­ Excmo. Sr. Secretario de Estado y del Despacho de Marina. cumplimiento. Dios guarde á V. S. muchos años. Madrid varez, embarcado de ayudante de la expedición, lo recomienda 18 de Marzo de 1839.= Pita.= Sr. director general de Ren­ singularmente el referido comandante del bloqueo, y por el S. M. ha oido con s…</t>
  </si>
  <si>
    <t>…s un suceso de esta importancia 24 de Octubre de 1859.=Excmo. Sr.=Francisco de Laya.izEx- no debia estar aislado. Era preciso que el heroismo de los espa­ Señora: Las faustas noticias de los memorables aconteci­ celentísimo Sr. Secretario de Estado y del Despaho de la G o­ ñoles se dejase ver en todas latitudes: que la obra comenzada en mientos del N orte, llevan á su término la guerra civil que de­ bernación de la Península. Yergara terminase cerca de V. M. Asi ha sucedido y el Con­ solaba á esta heroica naciod , afianzan…</t>
  </si>
  <si>
    <t>…todos sus pueblos, sin agenas intervenciones para el arreglo de sus diferencias. D ios guarde á V. E. muchos años. Cuartel general de Y ergara 51 de Agosto de 1 8 5 9 . = Excmo. S r.= E I d u ­ que de la Victoria. = Excmo. Sr. Secretario de Estado y del Despacho de la Guerra.</t>
  </si>
  <si>
    <t>…para que libre y acuerdo del ayu nta m iento , Manuel M orcillo, se c re ta rio .= E x - desembarazada S. M . con la dulce eterna cuanto encantadora españoles, y d ir ig ir al mismo tiempo la importante educación celentísimo Sr. Secretario de Estado y del Despacho de la G o ­ paz, podrá sin estorbo dedicarse á poner en acción los recursos de la Reina nuestra Señora , á fin de que en su tiempo el ejem­ bernación de la Peuíusula. plo y las virtudes que caracterizan á V. M. , impresas en el co­ de su sublime ilu stra ció n, h…</t>
  </si>
  <si>
    <t>…almen­ •Salamanca pidió la gracia de que se le permitiese armar la ba­ riñena 50 de Marzo de 1859. = Excnao* Sr. = Antonio V a n - te en Valencia. yoneta ,1a qoe fue otorgada por su gefe. Con arma al brazo, lía lea.z^Exemo. Sr. Secretario de Estado y del Despacho de la A la salida del coi reo se habían ya verificado algQnas pri*3* •sufriendo un horroroso fuego, que solo fue contestado por las Guerra. siones de los que se creían principales agentes y perturbadores: guerrillas y batería rodada , mandada por su capitán D. F…</t>
  </si>
  <si>
    <t>…­ m icas que en otros puntos h a n dado sus a u to re s, sin que p re ­ En v i r t u d de R e a l orden fecha 2 del c o r r ie n t e , c o m u n ic a ­ ceda el consentimiento de estos. ( N ú m . I 6 í 5 . ) da por el Excmo. Sr. Secretario de Estado y del Despacho de Quedaron existentes en 51 de D ic ie m b re 7009 R.eal orden declarando que por lista especial de hombres de m a r la G u erra , m an d a S. M . que conforme á lo prevenido en la se entiende la que contiene los m a tric u la d o s *con las c a li d a ­ de 2…</t>
  </si>
  <si>
    <t>…es y a respetables por la naturale­ 16 de Agosto de 1859.—Excmo. Sr.zzLeopoldo O-Donnell,^: últimos dias de J u lio en M urvied ro un pequeño parque de z a , la desconcertó de tal modo que marcó extremada indecisión Excmo. Sr. Secretario de Estado y del Despacho de la G uerra. ingenieros, dos piezas de á 16 y una de á 12 larga, se puso en en el partido que debia to m ar, resolviéndose al fin á abando­ movimiento el cuerpo de operaciones de mi iumediato mando. narlas sin gran resistencia. Las tropas se habian conducido c…</t>
  </si>
  <si>
    <t>…2 de Setiembre El 5 t de Ju lio ha llegado de M alta el paquebote inglés ; el A U S T R IA . de 1839 zrExcmo. Sr.mGregorio Piquero Argiielles Excelen­ 5 de Agosto ha vuelto á salir para B e i r o u t h ,y le esperamos tísimo Sr. Secretario de Estado y del Despacho de la Guerra. otra vez el 9. Hasta entonces no tendremos noticias positivas de Viena 18 d e A gosto . la S ir ia . A q u i se cree que Ib rah im -b ajá está en M arach y que H a­ Se asegura que se háú manifestado ay e r síntomas in quie­ fiz-bajá ocupa á M alat…</t>
  </si>
  <si>
    <t>…e desean saber si la escuela normal de años. Madrid 4 de Abril de 1839. = Excmo. Sr.=Pablo compuesta de 20 hombres, de modo que obligando al com an­ instrucción primaria corresponderá á las esperanzas que M ontesiuos.= Excmo. Sr. Secretario de Estado y del Des­ dante de ella á dar el santo y seña , pudiera el expresado Z ur­ se han formado de ella, S. M. la Reina Gobernadora se pacho de la Gobernación de la Península. bano conseguir sus intenciones ulteriores de sorprender en el ha servido mandar que en vista de las observac…</t>
  </si>
  <si>
    <t>…SECRETARIA DE ESTADO A p e rtu ra d e cam ino en tre G uadiel y B ailen• V. E. muchos años. Granada 1 .° de Mayo de l859.^:Exceien- Y D EL DESPACHO DE LA GOBERNACION DE LA PEN ÍNSU LA. tíúmo Sr.—Alfonso Escalante.rrExcioo. Sr. Secretario de Estado y del Despacho de la Gobernación de la Península. Se han invertido en esta obra 75 trabajadores, y e x p la n a d o 158 varas lineales en relleno de 4O pies de ancho y cuatro, pies Gobierno político de la provincia de Granada.- Excmo. se­ de altura media. ñor: El ingeniero…</t>
  </si>
  <si>
    <t>…de Z a­ ragoza ^ de Junio de 1839.—Excmo. Sr.—Agustín Nogueras.rs estaban en la primera galería agitando sus pañuelos blancos. El MADRID 6 DE J U NI O . golpe de vista que presentaba el anfiteatro por la afluencia de Excmo. Sr. Secretario de Estado y del Despacho de la Guerra, los concurrentes , recordaba la ceremonia que en 1814 se veri­ S. M ., satisfecha del bizarro comportamiento del general ficó para el recibimiento del Emperador de Rusia y del Rey DIRECCION G E N E R A L DE CORREOS. de Prusia. D . Joaquín Ayerve y…</t>
  </si>
  <si>
    <t>N.º 1760. SABADO 7 DE SETIEMBRE DE 1839. DIEZ CUARTOS. Seoane.—Excmo. Sr. Secretario de Estado y del Despacho de la Que el alférez del 5.° ligero de caballería D. Francisco N e ­ Guerra. g r o , habiendo perseguido y cargado á otro grupo de rebeldes, consiguió dispersarlo, abandonando en su fuga 55 personas, cinco carros, siete acémilas y un rebaño de ganado que llevab…</t>
  </si>
  <si>
    <t>…. muchos años. Cuartel general de Ver- comandante general añade que lo esperaba en Burgos del 6 al 7 gara 4 de Setiembre de 1859 =:Exc rao. Sr.—El duque de la Vic- en conformidad de lo que le habia prevenido. toria.zzExcmo. Sr. Secretario de Estado y del Despacho de ia A yer á las seis y media de la tarde se dignó la augusta Guerra. Reina Gobernadora, acompañada de su servidum bre, adm itir P ro cla m a que s e c h a en e l p a r te a n terio r. al Cuerpo diplomático extrangero; el cual , presidido por su PARTE NO OFICIAL…</t>
  </si>
  <si>
    <t>….zrBartolorné de Bolívar.—José de trono constitucional de vuestra excelsa hija la Reina nuestra las Peñas.—Gerónimo Morales.—Francisco Vigil , secretario.— Señora Doña Isabel t i restituirán á España á aquel grado de Excmo. Sr. Secretario de Estado y del Despacho de la Gober* esplendor y de grandeza á que está llamada entre los pueblos de siderar los obstáculos que oponían las circunstancias, y les hizo nación de la Península. Europa. La Divina Providencia oiga estos votos , y se digne llorar en silencio un descrédito nu…</t>
  </si>
  <si>
    <t>…11 en San- D. Pedro Allende Salazar, participaba el fallecimiento del ex­ da , continúan en esta corte sin novedad en su importante toña 30 de Enero de l839.r:Excmo. Sr.ziJosé Morales de los presado Sr. Salazar. Rios.=Excmo. Sr. Secretario de Estado y del Despacho de salud. Igualmente lo quedó de otra comunicación del Sr. D. M ar­ M arina. tin Fernandez Navarrete, exponiendo qne el estado de su salud no le permitía concurrir á las sesiones. S. M ., satisfecha del buen desempeño de estos individuos, Se dio cuenta de que…</t>
  </si>
  <si>
    <t>…or conocimiento de S. M. Dios guarde á V. E- muchos años. Campamento al frente de Tdles 4 de Agosto de 1859.i=Excmo. Sr.=Leopoldo O - D o - PORTUGAL. A las diez de la mañana de los dias 16 y 17 del co rrieol», nell.r=Excino. Sr. Secretario de Estado y del Despacho de la conforme á lo anunciado en los periódicos de esta ciudad del 14 Guerra. Lisboa 51 de Ju lio . y 15 , se verificaron exámenes públicos de matemáticas puras, que fueron desempeñados por cinco de los alumnos de la es­ Es sin la menor duda tan singular como im…</t>
  </si>
  <si>
    <t>…V. E. para los fines que estime convenientes. Dios guarde El Sr. P R E S ID E N T E : Orden del dia. Dictamen de la co­ Real orden . á V. E. muchos años. Burgos 7 de Setiembre de i859.=:José de misión de Actas. O/d&gt;.—Excmo. Sr. Secretario de Estado y del Despacho de la Se leyó e! relativo al acta de primera elección de Hues­ Deseando S. M. la Reina Gobernadora que á la cele­ Guerra. ca. La comisión opinaba por su aprobación en cuar to á la bración de contratos para proporcionar fondos al tesoro admisión de los Sres. Ferra…</t>
  </si>
  <si>
    <t>…—Excmo. Sr.—El presidente, p o r t a n te s a lu d . ...................... muchos años. Badajoz 7 de Setiembre de 1859.:=: Excmo. Sr.— Gregorio B ayon.—Pmmualdo Becernl , secretario.r=Excmo. se­ Santiago Mendez Vigo.=Excmo. Sr. Secretario de Estado y del ñor Secretario de Estado y del Despacho de la Gobernación de R E A L DECRETO* Despacho de la Guerra. lá Península. Como R e i n a G o b e r n a d o ra á n o m b r e d e m i a u g u sta Señora: Recibido anoche el correo de esa corte, sin aguardar El capitán general de Ex…</t>
  </si>
  <si>
    <t>…saran a las secciones para los efectos correspondientes. bución. C uartel general de Haro 4 de Enero de 1 8 3 9 . - Excmo. Sr. = P erm itién d olo todavía la hora , in v ito á los Sres. presiden­ El conde de Luchana. — Excmo. Sr. Secretario de Estado y del Estos dos brazos 00 son verdaderamente suficientes para a l­ tes de las secciones para que las reúnan y exam inen estos p ro­ canzar á todas las extremidades de la P enínsula, y por consi­ Despacho de la G uerra. yectos para el nom bram iento de las comisiones que han de…</t>
  </si>
  <si>
    <t>…está sufriendo este obispa­ neral de Ramales 8 de Mayo de 1859.=Excmo. Sr.nCoude de deración, habiendo dejado en sus parapetos multitud de cadá­ do de parte de aquel usurpador sacrilego y cismático sacerdote. Luchana.:=Excmo. Sr. Secretario de Estado y del Despacho de veres y otros muchos en el campo , pasando de 500 heridos los Hace cosa de dos años que regresó de Francia , y desde entonces la Guerra. que se me noticia en este momento han sido retirados, pues su ha ejercido la omnímoda jurisdicción en nombre de su obispo g…</t>
  </si>
  <si>
    <t>…nte al valor y subordi­ Ciudad-Real y Toledo D. Do mingo de Aristizabal con esta miento, de la an im ación, del Ínteres que en la escena nación , acreditados frente los enemigos de las libertades patrias. fecha dice al Excmo. Sr. Secretario de Estado y del Despacho moderna se ha introdu cido con las obras de la llam ada Con tan patriótico y memorable motivo S. E. el general de la Guerra lo que copio: nueva escuela, como de la regularidad y entonación de segundo cabo ha dirigido á los agraciados la alocución siguien­ Excmo.…</t>
  </si>
  <si>
    <t>…sa de la regene­ acuerdo de S. E ., Francisco Jav ier A n drés, secretario.—Exce­ ración política, el puro patriotismo y el honor, exentos de in ­ S. M. la R e i n a , su augusta Madre la R e i n a G o b e r n a ­ lentísimo Sr. Secretario de Estado y del Despacho de la Gober­ fluencias extrangera*, guiaro n , como por un encanto que ad­ dora y la Serma. Sra. Infanta Doña María Luisa Fer­ nación de la Península. m irará el mundo, al ilustre guerrero, feliz en 100 batallas, á nanda, continúan en esta corte sin novedad en su…</t>
  </si>
  <si>
    <t>…tados. Dios guarde á Y. E. muchos años. C uar­ antes de las Potencias amigas. tel general de Vitoria 9 de Agosto de 1859.—Excmo. Sr.=EI S. E. el barón Rousein , embajador de Francia , contestó en duque de la Victoria.^:Excmo. Sr. Secretario de Estado y del nombre de sus colegas en los términos siguientes: U n hombre con un gran talego de lienzo en la mano entró Despacho de la G uerra. "Los miembros del cuerpo diplomático se congratulan de esta mañana en una tienda de un mercader de algodonen ra­ Tallarse en presencia de S.…</t>
  </si>
  <si>
    <t>…s , Díaz G il, M u r g a , Arteta , G u ­ de 1859.=Excmo. Sr.=:Gregorio Piquero Argüelles.^Excelentí- En un periódico inglés se lee el hecho siguiente con el título tiérrez de Cevallos, Zurnalacarregui y Ferro Montaos. simo Sr. Secretario de Estado y del Despacho de la Guerra. de Q ueso R e a l : Comisión d e G obierno i n t e r i o r : Sres. Polo y Mooge , Diaz El queso de W e t t- P e n a rd , condado de Dorset, destinado G i l , Jo v e r, C an tero , Benavides, Alcoa y ferro Montaos. á S. M. la Reina , se sacó de la e…</t>
  </si>
  <si>
    <t>…miento 2.° de Cataluña, del que era de l859.=:Excrao. Sr.zsJosé Agustín de Larramendi.=Excelen- el viento, vino á quedar el mar á las cinco y media mas bajo soldado, y cuya cantidad reclamo desde el presidio de Bonan­ tísimo Sr. Secretario de Estado y del Despacho de la Goberna­ que la marea común de marea alta. za, donde se hallaba destinado. Consiguiente á esto se trato ción de la Península. Muchas casas han sufrido averías, siendo destechadas va­ con el Sr. gefe político de Granada acerca de la existencia de P. D. Acab…</t>
  </si>
  <si>
    <t>…an ser excusadas, ni aun por la violencia de un lenguaje ap a­ d a 8 de M ayo de 1859.=;Excmo. Sr.zrAlfonso E scalante.—Exce­ P arís 50 d e M ayo . sionado, porque es imposible fu n d ar un sistema semejante en lentísim o Sr. Secretario de Estado y del Despacho de la Gober­ L a G aceta d e A ugsburgo publica en su núm ero de 2 5 de m áxim as y principios de este género sin una tendencia direc­ nación de la P enínsula. A b ril un extracto de la declaración de la Santa Sede contra el ta y evidente á formar del Gobierno R…</t>
  </si>
  <si>
    <t>…l to , procedentes de las cuerdas que van á salir desde Z am ora, chos años. M ad rid 19 de M arzo de l859.r=Excm o. Sr.nZ enou * Sr. juez de prim era instancia D . Francisco Amorós y L ó ­ Toledo y M ad rid . Asuero.=Excmo. Sr. Secretario de Estado y del Despacho de la p e z , se venden las fincas sig u ien te s: L a reunión en Córdoba de otros 1500 confinados , m anda­ Gobernación de la Península. Un lagar nombrado de L in ar fes al partido de C am p an illas, da verificar por Real orden de 5 de este mes para la carrete…</t>
  </si>
  <si>
    <t>…do su discusión para la primera sesión. de í859.~£xcmo. S r.: E. Y. G. P. Y.rrManuel Nuñez.—Exce- nuestra Señora y á los españoles todos, de quienes es Madre La comisión de Actas dió cuenta de las de Alava , opinan­ jentísimo Sr. Secretario de Estado y del Despacho de la Gober­ tierna y Regente esclarecida. do su aprobación , y que se admitiese al Sr. marques de Ala­ nación de la Península. ¡Qué diferencia tan m arcada, Señora, entre el uso del meda, Senador electo por dicha provincia. Fue aprobado el dic- completo triunfo…</t>
  </si>
  <si>
    <t>…a en la moralidad de nuestras instituciones: habéis jugado indig- no batirse. Este seria el verdadero deshonor. Un ejército que se aamente con ellas. El parlamento, la tribuna , la prensa , las ideas mismas á las El Excmo. Sr. Secretario de Estado y del Despacho de rarse, sinoendespués encuentra presencia del enemigo no puede ceder sin deshon­ de haber combatido y sido destrozado; asi cuales estaban ligados los partidos, han sido en vuestras manos Hacienda con fecha i 1 del actual nos com unica la Real or­ es como se de…</t>
  </si>
  <si>
    <t>…^ en M onedas. dad. las presentes circunstancias. Dios guarde á Y . E. muchos anos. Sevilla y Febrero 2 de l859.~Excmo. Sr.=M aunei Alvarez Cuarenta y u n a , todas del bajo imperio. Vs. Ps. Vs. Ps. Vs.Ps. Guerra.—Excmo. Sr. Secretario de Estado y del Despacho de la Gobernación de la Península. SITIO. M osaico. La estancia grande excavada del segundo pla­ Se ha descubierto el dia 28 uno cayo mérito sobrepuja á Estado mensual de los efectos hallados en las excavaciones no del Templo tiene tas dimensiones d e .. . L 5…</t>
  </si>
  <si>
    <t>…destacamento de 15 Febrero de 1859. zz Excmo. Sr.zzAntonio Y an-H alen.zzE x- «M ilo res y Señores; Grande es mi satisfacción al an u n cia­ g u a rd ia s , con grande uniform e. S. M, parecía d isfru tar de bue­ celentísimo Sr. Secretario de Estado y del D espacho de la ros que en todas mis posesiones de las Indias occidentales, la épo­ G uerra. na salud , y respondía con frecuencia á los aplausos y saludos que la acogían á su paso. L a llegada de la R eina a la entrada ca fijada por la ley para la final y completa em anc…</t>
  </si>
  <si>
    <t>…os. Cuartel general de U r - lomo, protegidas por seis compañías de cazadores y la columna bina 15 de Agosto de í859.=Excmo. Sr.—El duque de la V ic­ del coronel D. M artin Zurbano á las órdenes del gobernador toria.—Excmo, Sr. Secretario de Estado y del Despacho de la de Vitoria D. Bernardo Echaluce, se colocasen en el primer Guerra. estribo de la cordillera, enfilando el parapeto principal que abraza la eminencia sobre Villareal, ligándose con su gran cor­ Estado de la pérdida que ha tenido el cuerpo de ejército que…</t>
  </si>
  <si>
    <t>…la Princesa de W u r - Pasando á examinar la segunda idea del Sr. O vejero, á sa­ Santander 15 de Enero de 1859.=Excmo. _Sr. J o s é Morales de 1 ber , que el Gobierno habia concedido una cosa sobre la cual ios Rios.rzExcmo. Sr. Secretario de Estado y del Despacho de S. M. llevará luto por dos meses á contar desde el 9 de E ne­ no tenia derecho, dice que la empresa, temerosa de que pudie. M arina. ro hasta el 8 de Marzo. (Id.) sen suscitarse algunas dificultades que embarazasen el pensa­ miento , tuvo buen cuidado de acud…</t>
  </si>
  <si>
    <t>…designadas para e^ta escuela. muchos años. Madrid 17 de Abril de l839.=:Exctno. Sr.—Zenon teras meridionales del im perio, la Rusia hará marchar hácia La preceptora nos hizo luego el presente para la diputación Asuero=Excmo. Sr. Secretario de Estado y del Despacho de la el Tauro en socorro del Sultán, y afirmar de este modo su in­ de un cuadro con una maseta bordada de seda de colotes en Gobernación de la Peníusula. fluencia un poco decaída hoy , al paso que la Inglaterra, que raso blanco, figurando una jarra con flores ta…</t>
  </si>
  <si>
    <t>…u y o punto no se encuen­ tosa 14 de M ayo de i 839.:= Excmo. Sr.zzEl conde de L u ch a- A l recomendar á V . E. este hecho de arm as, no puedo ha­ tra en ella disposición expresa ; y la otra acerca del pase que na.—Excuso. Sr. Secretario de Estado y del Despacho de la cer mención de ninguno eu particular sin que redunde en ofen­ deba concederse á las bulas ó breves en que se confieren facul­ Guerra. sa de los demás. T od os, todos impulsados de una noble emu­ tades al internuncio apostólico ; y que no habiendo sido obten…</t>
  </si>
  <si>
    <t>…ha usado el lenguaje de la in­ mañana de ayer salió de aquella plaza recorriendo los puntos d9 de 1859.L=Excmo. Sr.-G regorio de Lezama Leguizam on.-E x- Santa Bárbara , Galera y Ulldecona en fuerza de 55 caballos celentísimo Sr. Secretario de Estado y del Despacho de la G o­ gratitud. mandados por su capitau D. Joaquín R evertér: en el primer bernación de la Península. Muchas voces: O h! O h! (Violentos murmullos.) punto dieron muerte á un capitán rebelde; en el segundo ca­ M r. Desmidt: Ya se contestará. yeron cuatro facc…</t>
  </si>
  <si>
    <t>…combatiendo y desvanecien­ con algunos heridos que no pudieron retirar, faltándoles tam­ do las falsas suposiciones inventadas por la ignorancia, la bién tiempo para salvar dos piezas de montaña , obuses de á 12, El Excmo. Sr. Secretario de Estado y del Despacho preocupación, y quiza la malicia, para desacreditar , ó al que quedaron en este pueblo. Por nuestra parte hemos tenido de Hacienda con fecha 5 del actual comunica á esta di­ menos negar al tabaco filipino las cualidades superiores algunos heridos, entre ellos leve…</t>
  </si>
  <si>
    <t>…n que todos los lo Interior. cele* tihimo Sr.rz P. O D. E. S. G. P., Javier Gavestany , secreta­ españoles miran á Y. M. como el ídolo de su veueracion, el Una nueva comunicación de Basilea del 7 da los pormeno­ rio.=Ex&lt; rao. Sr. Secretario de Estado y del Despacho de la G o­ áncora de sus esperanzas. res siguientes: bernación de la Península. El ayuntamiento constitucional, pues, para dar una prueba ctEn la insurrección de ayer el pueblo tomó por asalto él inequívoca del placer que experimenta esta capital por tan arsenal…</t>
  </si>
  <si>
    <t>…uiendo el espíritu de la au ­ bre de 1839 —Excmo. Sr z=José Agustín de Larramendi.—E x- que hara la ventura de la nación, por tantos años empeñada torización , dijo que le haria presente su compromiso , cual era celentísimo Sr. Secretario de Estado y del Despacho de la en una lucha sangrienta que hubiera llenado de luto su her­ la concesión ó modificación de los fueros. Halló el Gobierno Gobernación de la Península. moso suelo. consignado en estos términos el art. i.° del convenio de V er- La paz, Señora, hará renacer la…</t>
  </si>
  <si>
    <t>…o de aquellas fuerzas rebeldes, para marchar en seguida á Cataluña si fuese necesario. D ios guarde á V . E. muchos años. Cuartel general de Eiizondo 18 de Setiembre de 1839 .= Excmo. Sr. = El duque de la V íctorÍa.= Excm o. Sr. Secretario de Estado y del Despacho de la Guerra.</t>
  </si>
  <si>
    <t>…s cuartos.) GACETA EXTRAORDINARIA DE MADRID DEL MARTES 23 DE JULIO DE 1839. ARTICULO DE OFICIO. El general en gefe del ejército del Centro tía dirigido al celo y valor que han desplegado los Sres. generales, gefes y ofi­ Sr. Secretario de Estado y del Despacho de la Guerra la comu­ ciales; varios han acreditado estas cualidades derramando su nicación siguiente: sangre, y calculo que en la totalidad mi pérdida será de unos 200 hombres fuera de combate. Los hechos mas distinguidos Ejército del Centro.=Secretaría de camp…</t>
  </si>
  <si>
    <t>…dades han obtenido por fin el feliz desenlace de ver unidas i M éjico 16 de M ayo. ssortdo 18 de S.tiemJbre de l859.=:Excmo. Sr.=EI duque de la vuestras armas las del foco de la insurrección, no duda la d i­ V iúona^iExciuo. Sr. Secretario de Estado y del Despacho de putación de Soria que la Providencia tenia reservada esta gran­ H oy tres meses há que el Excmo. Sr. presidente interino to­ la Guerra. diosa recompensa á las heroicas virtudes de V. M ., á la ino­ mó las riendas del gobierno con mano firme y enérgica , y el</t>
  </si>
  <si>
    <t>…Vitoria cernientes á los violentos excesos del Gobierno chino con los París 14deAgosto. 20 de Agosto de i839.=Excrao. Sr.^Gregorio Piquero Argüe- súbditos ingleses residentes en Cantón, relativamente al asunto lles.z= Excmo. Sr. Secretario de Estado y del Despacho de la del opio. El general Harispe ha partido el 11 para los Pirineos» Guerra. El 23 de Marzo Sir Carlos E lliot, superintendente en gefe del comercio británico en la India, ha dirigido á Macao él si­ guiente aviso á los súbditos británicos residentes en Cantón.…</t>
  </si>
  <si>
    <t>…es mas fácil y D. J u a n Pal area , gran cruz de las órdenes de S. Fernando menos costoso trasladarse adonde residiesen e s t a s , y asi no se é Isabel la Católica , mariscal de campo de los ejércitos n acio ­ El Exorno. Sr. Secretario de Estado y del Despacho nales , declarado benemérito de la p a t r ia , cap itá n general de exponían á que pasado el término no se les reconociesen sus c ré ­ de la Guerra se ha servido comunicarme en 13 del ac­ los Reinos de Ja é n , G ranada y su costa con los tres presidios d ito s;…</t>
  </si>
  <si>
    <t>…e bra la mas consoladora al cabo de seis años de encarnizada de 1 8 3 9 — Excmo. S r .— Antonio Fernandez L opez.^iExcelentí- D if e r i d a a n t i g u a , 9 . guerra , que tanta sangre de patricios ha manchado el suelo simo Sr. Secretario de Estado y del Despacho del ministerio T r e * por 1 0 0 p o r t u g u é s , 2 5 § . nacional envolviendo á sus hijos en triste luto y lágrimas. de la Gobernación de la Península. E l iris consolador después de tanto infortunio espera ya sus rayos benéficos sobre i3 millones de habitant…</t>
  </si>
  <si>
    <t>…ios guarde á S. M. la R e i n a , su augusta Madre la R e in a G o b e r n a - V. E. muchos años. Soria 20 de Abril de I839.=:Excmo. Sr.iz d o r a y la Serma. Sra. Infanta Doña María Luisa Fernan­ Juan de la Tejera.zzExcmo. Sr. Secretario de Estado y del Des­ Fondos públicos. Cinco por 100, 109 fr. 10 c. pacho de la Gobernación de la Península. Cuatro id., 10í , 50. da , continúan en esta corte sin novedad en su importante Tres id ., 8 í , 15. salud. Copia del oficio que se cita en la comunicación anterior. Acciones del b…</t>
  </si>
  <si>
    <t>…n á todas sus exigencias; y rango 22 de Agosto de l859.= Excmo. Sr.= El duque de la V ic ­ El último correo de A lejan dría no ha traído ninguna no­ como tiene otros proyectos que no puede hacer salir bien por toria. = Excmo. Sr. Secretario de Estado y del Despacho de la ticia interesante. Esperamos aqui al contraalmirante Lassu&lt;e li fuerza , porque hallaría en contra la R.usia ó la Inglaterra, que debe reunim os con el M on tebello y el S an cti-P etri. Se se coloca de modo que pueda hacer nacer y provocar una revo­ Guerra…</t>
  </si>
  <si>
    <t>…as de M adrid • cia. L o a sola palabra diremos para terminar estas reflexiones; de su cuartel general de Vergara con fecha 51 de Agosto ú l t i ­ «otes se presentaban en el teatro virtudes y pasiones caballeres­ mo al Excmo. Sr. Secretario de Estado y del Despacho de la Debiendo hacerse el repartimiento á las religiosas existente c a s ; hoy ponemos de manifiesto vicios y errores sociales.... No Guerra. El repique general de campanas y una salva de artille­ en los monasterios y conventos de esta corte en el dia 1.° de Oc­ q…</t>
  </si>
  <si>
    <t>…y desgraciada España. En los m o­ Gobierno político de esta p ro vin cia: En Real orden de 15 tejed , ó v a te s, en la selva hojosa. mentos en que toca a su término la espantosa guerra civil de del actual me dice el Excmo. Sr. Secretario de Estado y del El genio de la noche vaporosa que fue teatro durante cinco años, las disensiones interiores h a ­ Despacho de la Gobernación de la Península lo siguiente: vendó al artista con su opaco m a n to , ciendo temer nuevas calamidades, es del deber de los hombres El señor minis…</t>
  </si>
  <si>
    <t>…acaba de hacer donación á S. A. I. e! Valim iento . — Circular . gran duque heredero presuntivo de la corona de R uúa , del re­ NOTICIAS EXTRANGERAS. gimiento de húsares que hasta ahora habia llevado el título de El Excmo. Sr. Secretario de Estado y del Despacho Geramb. EGIPTO. de Hacienda con fecha 13 del corriente ha comunicado á esta dirección general la Real orden que sigue: A lejan dría 26 d e F eb r ero . El gran duque continua visitando las curiosidades de la Enterada S. M. la Reina Gobernadora de la comuni­ ciud…</t>
  </si>
  <si>
    <t>…so á los carruajes. Dios guarde á Y. E. muchos Que la columna de Silleda aprehendió el mismo dia 16 al 20 de Abril de l859,=:Excmo. Sr.=Alfónso Es- p a rta n de un m ism o ce n tro , á fin de que haya en ellas calante—Excmo. Sr. Secretario de Estado y del Despacho de la faccioso trito. Santos , desertor del segundo Voluntarios de aquel dis­ u n ifo rm id ad y concierto; debiend o cesar la ex tra ñ a ano Gobernación de la Península. nía lía de que la enseñanza de algunas de las ciencias de Que el subteniente D. Antonio G a…</t>
  </si>
  <si>
    <t>…ral de Andalucía con esta fecha digo conduzca po al al mejor éxito de este asunto, previne con tiem­ groño 25 de Febrero de 1839.=:Excmo. Sr.—El conde de L u­ comisionado y visitador D. Manuel Montesinos, se cha na.=Excmo. Sr. Secretario de Estado y del Despacho de la lo siguiente : He dado cuenta á la Reina Gobernadora de ocupase de la organización la exposición de Y. E. de 5 del actual, en la que después emplearse en los caminos dedeAndalucía; las brigadas que han de Guerra. y á los gefes po­ de manifestar las contesta…</t>
  </si>
  <si>
    <t>…muchos años. M a ­ {He raid.) ción á sus amigos y partidarios, mas bien que á sus adversa­ drid 25 de Abril de l8 5 9.= E x cm o . Sr.rrZenon Asuero.rzExce- rios políticos. Pero desde 1855 ha apoyado al Gobierno una lenh'simo Sr. Secretario de Estado y del Despacho de la Gober­ gran mayoría del pueblo irlandés. Tengo una satisfacción en nación de la Península. El embajador de Francia ha dado ayer una gran comida á proclamarlo, y las numerosas peticiones depositadas sobre la lord Palmerston : Mr. y Mine. Yan de W e y e r , M…</t>
  </si>
  <si>
    <t>…S. muchos años. Madrid 23 duña 25 de M ay o de 1859. =1Excmo, S r — El conde de L u c h a - atención en aquellas magníficas ru in as, anhelan el instante e a de Mayo de 1839. = Jiménez. = Sr. director general de na. ~ Excmo. Sr. Secretario de Estado y del Despacho de la que acaso un golpe de azada descubra un tesoro artístico. aduanas y resguardos.” Guerra. El primer descubrimiento hecho á principios de A b r i l , fue un genio alado, que asimila á una C a riá tid e , pero el dibujo A l enterarse S. M . con particular sa…</t>
  </si>
  <si>
    <t>…muchos años. C uartel EXPOSICIONES A S. M. LA REINA GOBERNADORA.’ general de Estella 22 de Setiembre de 1839.=:Excmo. Sr.rrE l Excmo. S r .: L as faustas noticias de los memorables aconte­ duque de la V icto ria. = Excmo. Sr. Secretario de Estado y del cim ientos del N orte han llenado de jú b ilo á los empleados de Despacho de la G uerra. S eñ o ra: L a consoladora voz de paz sin intervención e x tran ­ j e r a y sin m engua ni menoscabo de nuestras in stituciones po­ esta p ro vin cia. U nánim es me encargan eleve á…</t>
  </si>
  <si>
    <t>…lguna reparación ó m ejora, aunque siempre po­ Circulares. niéndose de antemano de acuerdo con las legaciones ex- PARTE RECIBIDO EN LA SECRETARIA DE ESTADO trangeras; y en cuanto al cobro de la suma fijada por el El Excmo. Sr. Secretario de Estado y del Despacho de presente, previene sea satisfecha cuando los buques que Y DEL DESPACHO DE LA GUERRA. Hacienda ha comunicado á esta dirección con fecha 9 del pasen al mar Negro reciban su firman ó permiso de tran­ El brigadier D Joaquín Quiñones, comandante general dé actual la…</t>
  </si>
  <si>
    <t>…&gt;e sus­ general de Berberana 24 de M ayo de 1859.—Excmo. Sr.z^El go s, se construyeron avanzadas otras dos baterías. A las seis de pendan las hostilidades contra el fuerte de R am ales, y deja sa­ conde de L u ch an a.—Excmo. Sr. Secretario de Estado y del Des* la mañana se rompió el fuego contra las casas fuertes de R a­ lir en clase de prisioneros á sus defensores, m andaré su evacu a­ pacho de la G uerra. inales. Los enemigos lo contestaron desde ellos y G uardam ino. ción y rem itiré al punto que V . señale un número ig…</t>
  </si>
  <si>
    <t>…nte, ellos se . A m urrio 19 de Julio de 1859. Excmo. Sr. z=El d uque de la y saltimbanquis ocuparán las calles de la izquieida. El A vista de tales disposiciones la comisión de instrucción se n e la s Victoria. — Excmo. Sr. Secretario de Estado y del Despacho d&lt; gran teatro de evoluciones militares se está construyendo en el I encuentra en el m ayor embarazo: ha activado sus trabajos; el la Guerra. cuadro Marigny.</t>
  </si>
  <si>
    <t>y de, Sirvioa Carnpanes</t>
  </si>
  <si>
    <t>Sirvioa Carnpanes y de</t>
  </si>
  <si>
    <t>…Je 1 , i , 4 y l por 100 con cupones. dido b r illa r en género mas elevado , se resignan al modesto me­ en que se publique en la Gaceta del Gobierno, á Doña Inscripciones en el gran libro á 4 por 1 0 0 , 00. Concepción y Doña Sirvioa Carnpanes y demas personas que lodram a ; de ios que hallando demasiado alto el Capitolio de Títulos al portador de! 4 por 1 0 0 , 00. l ite r a t u r a francesa, el tea tro f r a n c é s ¡ han creído menos e x ­ se crean con derecho á los bienes quedados por fallecimiento Vales Reales no…</t>
  </si>
  <si>
    <t>y de, Tolstoy</t>
  </si>
  <si>
    <t>Tolstoy y de</t>
  </si>
  <si>
    <t>…el to antes les sea posible. Al medio dia S. A. I. y el Príncipe de ha hecho un movimiento simultánoo sobre Bagdad : si este mo­ ejército del Sultán ha pasado las montañas y se ha acampado los Países Bajos^om panados del conde Tolstoy y de lord T o r- vimiento tiene buen resultado, una fuerza considerable egipcia en el territorio de la Siria. A pesar de este principio de g u e r ­ rington estuvieron paseándose á caballo en el parque por espa­ va á encontrarse cerca del punto de nuestras operaciones en la r a , Ib r a h ir…</t>
  </si>
  <si>
    <t>y de, Zea</t>
  </si>
  <si>
    <t>Zea y de</t>
  </si>
  <si>
    <t>…de una plaza , es un suceso que greso. voy á decir ahora aqui lo que me parece acerca de la misión no ha podido bajar del cielo de repente, es necesario que haya Ei Sr. P R E SID E N T E señaló para mañana la continuación del Sr. Zea y de su manifiesto, que según se ha dicho, no sido preparado, que se hayan dado instrucciones, y es claro de la discusión pendiente, y levantó la sesión. acata los principios constitucionales. Supongo yo que ha sido que en esto no habrán podido menos de tener parte todos los Eran las cinco menos…</t>
  </si>
  <si>
    <t>y Delicado, José Francisco Barreda</t>
  </si>
  <si>
    <t>José Francisco Barreda y Delicado</t>
  </si>
  <si>
    <t>…sino para todo este pais. Los y emplaza á todos los que sean acreedores á los bienes del fina­ con muy poc&lt;»s caballos. Al ponerse el sol principiaron á desfi­ enemigos quisieron á su gusto apoderarse de él fiados en la pe­ do D. José Francisco Barreda y Delicado , abogado que fue en lar compañías para tomar las alturas de la cordillera que corre queña guarnición de la C ab ad a; pero un puñado de hombres á esta corte, para que en el término de 50 di as comparezcan ai del E. al S . , cuyos últimos estribos dom inan este pueb…</t>
  </si>
  <si>
    <t>y Desanda, Domingo de Gazaigorta</t>
  </si>
  <si>
    <t>Domingo de Gazaigorta y Desanda</t>
  </si>
  <si>
    <t>…s de nacionales del papel de capitalización de su sueldo. pios qu&amp; ingresan en las gefaturas políticas. pueblo de Candelario, solicitaodo se promueva un expedienf 187. El ayunta miento de Lugo, pidiendo toda la posiblei 227. D. Domingo de Gazaigorta y Desanda, suplicando se instruido á instancias de los mismos, sobre rebaja de los dere reforma en el número y sueldos de los empleados públicos. le declare exento del pago de la contribución de paja y utensilios. chos que pagan los mencionados artículos á su introducción e 1…</t>
  </si>
  <si>
    <t>y Diaz, D. Juan José Delicado</t>
  </si>
  <si>
    <t>D. Juan José Delicado y Diaz</t>
  </si>
  <si>
    <t>…dió estos exámenes el pri­ venza la razón , gane los afectos. mer dia el Sr. doctoral y gobernador del obispado, y el Historia antigua y de España . ¿Es lícito emplear en la oratoria sagrada los conoci­ segundo y tercero el Sr. D. Juan José Delicado y Diaz, mientos filosóficos? Sí: porque hay almas sobre las cuales ministro cesante del tribunal supremo de Guerra v Ma­ Dos grandes ventajas resultan del estudio de la historia: produce mucho efecto el uso de la razón natural. Pero los rina. conocer las vicisitudes y grandes…</t>
  </si>
  <si>
    <t>y Dichos, León</t>
  </si>
  <si>
    <t>León y Dichos</t>
  </si>
  <si>
    <t>…mados ojalateros, Court-journal. Satirist. que tiene algún lugar en mi memoria. sino también de personas y familias enteras, nativas. A Bayo­ Cuando del claro cielo se desvia na llegan en gran número, y entre ellos el obispo de León y Dichos periódicos se llevan también diariamente por abono del sol ardiente el alto carro apena otros personajes. A estos últimos les han enviado al interior con mensual á las perdonas en Madrid que gusten leer en sus casas* . y se venden los figurines de modas sueltos desde i á&gt; 4 yn. , D…</t>
  </si>
  <si>
    <t>y Dod, Eduardo Sahop</t>
  </si>
  <si>
    <t>Eduardo Sahop y Dod</t>
  </si>
  <si>
    <t>…o denes que tiene dadas á este cuerpo. Recomienda al Capitán Dod prisioneros. Lá nuestra consistió en cinco heridos y dos contu­ Mángiaméle da la solución; el profesor niega su exactitud : in­ Melchor Clemente* á los tenientes D. Eduardo Sahop y Dod sos, y dos caballos heridos. siste Vito* y desafia formalmente al profesor : este se resigo*, Francisco M artínez, y ál subteniente D. Joaquín Calabuig , y Expone el expresado segundo cabo la importancia de este á súplicas de algunas damas, á volver á empezar su cálculo, hace esp…</t>
  </si>
  <si>
    <t>y Don, Bartolomé Tejada Diez</t>
  </si>
  <si>
    <t>Bartolomé Tejada Diez y Don</t>
  </si>
  <si>
    <t>…ps. fs., J b. Sevilla , £ á par b. No habiendo tenido efecto la subasta de una parte de casa, rónim o, num. 4 8 ? y en la librería de Rios, calle do Carretas, Bilbao , 1} d. Valencia , \ papel d. segregada por los arquitectos D. Bartolomé Tejada Diez y Don frente á la Imprenta Nacional; y de Hermoso, calle M ayor, Cádiz, i á par b. Z aragoza, par. Francisco García M artínez, de la de la calle de la Luna con frente á las Covachuelas. vuelta á la de Panaderos y Cruz Verde, números 15 , 16 , 17 E n las provincias , en las adm…</t>
  </si>
  <si>
    <t>y Don, Bonifacio Taracena</t>
  </si>
  <si>
    <t>Bonifacio Taracena y Don</t>
  </si>
  <si>
    <t>…la muestren parte y evacúen la comunicación que se les ha confe­ fundados en la antigüedad en los sitios mas pintorescos por na­ reciente creación de audiencia de término que va á instalarse ri do de la solicitud deducida por D. Bonifacio Taracena y Don turaleza y arte, un profesor de cirugía ha elegido uno en las in ­ en la mas rica capital de las A ntillas españolas eon las misma* Félix Andrés Cuadrado, como marido de M aría Prisca T a ra - mediaciones de esta corte para que cualesquiera persona que sal­ facultades y cate…</t>
  </si>
  <si>
    <t>y Don, Froilan García Sánchez</t>
  </si>
  <si>
    <t>Froilan García Sánchez y Don</t>
  </si>
  <si>
    <t>…gar á la formación de causa , habiendo dicho que sí lo$ tres tal modo y las opiniones sufren diariamente tales modifi­ D. D. José María R eig........................ ........ ............. Alicante. restantes D. Manuel Ramos, D. Froilan García Sánchez y Don caciones, que la huella que dejan es transitoria, y es me­ Juan José Bonel y Orbe* obispo de Cór­ Bernardo Mallo, publicándose en seguida por el Sr. presidente doba........................................................... nester criterio harto fino y ejercitado para d…</t>
  </si>
  <si>
    <t>y Don, Gervasio Gironella</t>
  </si>
  <si>
    <t>Gervasio Gironella y Don</t>
  </si>
  <si>
    <t>…ción y semejanza notadas entre el Evangelio, ’ de Junio de 1859. Contiene los artículos siguientes: según San Lucas, y las Actas de los Apóstoles, han dado DIRECCION GENERAL DE LOTERÍAS NACIONALES. A nuestros suscriptores.=Por D. Gervasio Gironella y Don origen á creer unánimemente que estas dos obras están es­ P. J. Pida). J critas por una misma mano; á lo menos asi lo piensa la Noticia de los pueblos y administraciones donde han cabido Biografía contemporánea.=Laífite (Santiago.) Traducción.^: Iglesia. los 15 premios mayor…</t>
  </si>
  <si>
    <t>y Don, José Alvarez Crespo</t>
  </si>
  <si>
    <t>José Alvarez Crespo y Don</t>
  </si>
  <si>
    <t>…r la tormenta del sábado: poco sin embar­ pues excitado aquel ayuntamiento y junta de comercio inspiran D. Antonio Castro, D. Diego del Rio, D. Francisco Antero go podríamos añadir á lo publicado Casado , D. Custodio Moreno, D. José Alvarez Crespo y Don ayer sin contraernos á confianza, y la tienen también, como deben, en la de Reinosa Pantaleon Muntion y Alonso, quienes por unanimidad decla­ derribo de chimeneas, destecho de casas &amp;c. En Brooklin (el y esta ciudad. no haber lugar á la formación de causa, y el Sr. presi­…</t>
  </si>
  <si>
    <t>y Don, Juan Diaz Carreja</t>
  </si>
  <si>
    <t>Juan Diaz Carreja y Don</t>
  </si>
  <si>
    <t>…ando y Badajoz , quedando por consiguiente admitidos como Sena­ tando que la idea de la comisión había sido abrazar los dos ex­ que se apresuraría el Gobierno á presentar al Congreso el con­ dores los Síes. D. Narciso Loptz, D. Juan Diaz Carreja y Don tremos; pero que sin embargo no tenia inconveniente en que venio celebrado con una casa de comercié tan luego como su Alvaro Gómez Becerra. en lugar de las palabras decrepitud senil se sustituyesen las de presentación dejase de parar perjuicio al Estado. El Congreso Se dió…</t>
  </si>
  <si>
    <t>y Don, Manuel de Urmeneta y Parra</t>
  </si>
  <si>
    <t>Manuel de Urmeneta y Parra y Don</t>
  </si>
  <si>
    <t>…iem po como en la G aceta imperdonable en los empleados de la Hacienda pública la del rein o , se presenten en esta ciudad por sí ó por legítimas de aquellas precisas calidades que deben distinguirlos, en representaciones á D. Manuel de Urmeneta y Parra y Don NOTICIAS EXTRANGERAS. las circunstancias presentes rio puede menos de ser delito Manuel Io d a rt, síndicos de dicho concurso, para liquidar de­ aborrecible y vergonzoso, como fecundo manaiuial de in ­ finitivamente sus respectivos créditos, y percibir la cantidad R…</t>
  </si>
  <si>
    <t>…habitantes de Gontil-lNoirmout, del reino, se;presenten en esta ciudad por si ó por legítimas Mucha ha sido la decisión de la tropa de mi mando* pues ha­ solicitando qu^ U Gámara adopte el trabado de paz. representaciones á D. Manuel de Urmeneta y Parra y Don biéndose alojado en Barbadillo de Herrero para dar pienso y 2.° De los habitantes de la parte cedida del Lugemburgo, . Manuel In d a rt, síndicos de dicho concurso , para liquidar de­ tornar alimento, se vieron, antes do que/pudiesen verificarlo, protestaudocontrá l…</t>
  </si>
  <si>
    <t>y Don, Rafael de Aragón</t>
  </si>
  <si>
    <t>Rafael de Aragón y Don</t>
  </si>
  <si>
    <t>…Garcilaso, á Lope y á C alderón, é hicieron cio que haya lugar. hablar á sus persocages el idioma de la conversación mas fa­ miliar. A la verdad no fueron cultos como G ó n g o ra,n i equivoquis- Asimismo se cita y emplaza á D. Rafael de Aragón y Don tas como Quevedo, i-i disparatadamente hiperbólicos como Miguel López, para que en ei térmioo de nueve dias, que por TEATROS. Montalvan y Monroy. Fueron cosa mucho peor, porque re­ segundo se les señala, se presenten en la escribanía principal de nunciaron, no solo al ingen…</t>
  </si>
  <si>
    <t>y Don, Tadeo Sánchez Escandon</t>
  </si>
  <si>
    <t>Tadeo Sánchez Escandon y Don</t>
  </si>
  <si>
    <t>…l hubiese sido Juan Geriseis, D. Antonio A ngulo, D. Francisco Garrido, p N Castilla virtud de providencia del Excrao. Sr. capitán general de la Nueva se cita y convoca á todos los acreedo­ ueie.jrio. D. Manuel T one y C ano, D. Tadeo Sánchez Escandon y Don res del difunto D. Manuel M oreda, del comercio de esta corte,</t>
  </si>
  <si>
    <t>y Doña, Enrique</t>
  </si>
  <si>
    <t>Enrique y Doña</t>
  </si>
  <si>
    <t>…caballero.... pada del conde de Trastamara. Es verdad, son desleales; i ¿ N o se acuerda vuestra Alteza Excitado vivamente el interés del espectador en el primer Pero D. Ñ uño de Lara , De la edad de tierno niño? acto hácia D. Enrique y Doña J u a n a , siente satisfecho dulce­ Que era su gefe, no existe ; ¡Os hice tanto cariño! mente su deseo en el segundo, cuando sabe su m atrim onio, oye El festín de Calatrava ¡Os mostré tanta terneza! la ternura de sus palabras y admira la grandeza y elevación Vió perecer ai de Oso…</t>
  </si>
  <si>
    <t>…a novísimas que andan dispersas en diferentes libros c u y a a d q u i­ venido á animar la musa del poeta en la p in tura de los carac­ sición no es.dada á toda clase de fortunas. Esta empresa ha in­ teres de los dos esposos D. Enrique y Doña J u a n a ; y es forzo­ S ec reta ría d e l su prem o tribunal d e J u sticia . tentado el editor de la obra que se a n u n c ia , c u y a utilidad es so reconocer que no son exactamente ni los personajes de Pedro tan evidente como módico el precio fijado. Cierto es qué en p ar­ Co…</t>
  </si>
  <si>
    <t>y Doña, Francisca</t>
  </si>
  <si>
    <t>Francisca y Doña</t>
  </si>
  <si>
    <t>…aterra, que solo ambiciona la caida de M ehe- G óm ez, Doña Do ¡ores bernanJtz, Doña Dolores G »na , D iña que dirige las obras. met-Allí. llevada mas bien de su propio Ínteres que del de la T ur­ Lugarda Gea y Doña Teresa, Doña Francisca y Doña M in u c ­ Es cuanto tengo que poner en conocimiento de Y. E. res­ quía , resultará de esta doble acción que pone en movimiento ia Pino , agraciando alternativamente á 16 niñas mas con igual pecto á lo ocurrido con motivo de la construcción de las carre­ la política otom ana, que e…</t>
  </si>
  <si>
    <t>y e, Acebo</t>
  </si>
  <si>
    <t>Acebo y e</t>
  </si>
  <si>
    <t>…tores'intervienen en un negocio en que Corona y unos Diputados tan entendidos en la m ateria como que habia presentado ese proyecto. Yo estaba muy distante de no pueden menos de in terven ir, si ha de haber buen gobierno. el Sr. Acebo y el Sr. C an tero , me han obligado á pedir la pa­ querer privarle de ese honor, y tampoco dije que era este un Después de in dicar el Sr. Acebo que si se llevaba adelante labra por la sin gu lar posición de haber sido M inistro y encar­ pensamiento nuevo; por consiguiente ni aun de esa mane…</t>
  </si>
  <si>
    <t>y e, Alvarez</t>
  </si>
  <si>
    <t>Alvarez y e</t>
  </si>
  <si>
    <t>…S E X T R A N G E R A S. el pensamiento del ministerio. Mi espíritu no concibe cómo lord das las facciones de Sonto de Remesar , Saturnino , Carii con Melbourne, después de haber declarado el 7 de Mayo que le el Ebanista, cura de Alvarez y el de Freijoque las mandaba G R A N B R E T A Ñ A . era imposible dirigir los negocios, se hallaba el 13 en posición todas, han sido batidas entre la parroquia de Aspai y el puente de poder volver á encargarse de ellos con la esperaoza de soste­ de Lugo por la columna de Sobrado, compuesta…</t>
  </si>
  <si>
    <t>y e, Arguelles</t>
  </si>
  <si>
    <t>Arguelles y e</t>
  </si>
  <si>
    <t>…sujeto á reelección. no habia llegado la guerra al estado terrible que llegó después, Igual resolución recayó sobre las actas de elecciones presen­ Que en igual caso se encontraba el general Oráa, que siendo ca­ tadas por el Sr. Arguelles y el Sr. Lasaña, Diputados electos, pitán general de Aragón, habia sido propuesto y nombrado pues por en 1854 se hicieron ya las elecciones excepcionalmente; y no poder ir los comisionados ¿qué se hizo? Se procedió al el primero por la provincia de Barcelona, y el segundo por la Senador…</t>
  </si>
  <si>
    <t>y e, Atenas</t>
  </si>
  <si>
    <t>Atenas y e</t>
  </si>
  <si>
    <t>…eza ,el A r n o tan alti­ Cristo también participa del honor de tener un escudo llamó Florencia, la condesa Matilde la entregó al P ap a , y v o , ' y no menos caudaloso que el Sena parisiense. A l ver Real entre el del duque de Atenas y el de los cardadores. cayó en las crueles manos de los gibelinos y los gü rííos desde lejos sus torres, sus campanarios, sus agujas, sus De esle modo á un golpe de vista puede abrazarse toda su que nos han enviado la Saint-Barthelemy y la Reina C a ­ cúpulas resplandecientes, las colinas…</t>
  </si>
  <si>
    <t>y e, Badajoz</t>
  </si>
  <si>
    <t>Badajoz y e</t>
  </si>
  <si>
    <t>…siona á la adininis- eticion núm. 148 . partido de Almendralejo, quejándose de los abusos y excesos II tracion de justicia. 247. D. Francisco Perez de Mesa , comandante de artillería que dice cometidos por el capitán general de Badajoz y el co­ 208. Doña Felipa Finestra , viuda del teniente graduado n la plaza de Alicante , somete á la calificación del Congreso mandante de aquel cantón , marques de Monsalud. D. Juan Flores M urillo, en solicitud á pensión. 1 conducta que observó en la misma en los últimos aconteci- 165.…</t>
  </si>
  <si>
    <t>y e, Baillet</t>
  </si>
  <si>
    <t>Baillet y e</t>
  </si>
  <si>
    <t>…N i debe tampoco dejarse de refutar el empeño de los qu© Senado á entrar inmediatamente en su discusión , habiéndola tratan de oponerse a esta abreviación de tiem po, calificando á apoyado vivamente el marques de R odes, el conde Baillet y el Alcañiz 1 8 de Noviembre . los modernos de eruditos á la violeta ; pues en todos tiempos conde Yilain. Según el discurso pronunciado por el ministro de Hacien­ Hoy salen de aqui expulsadas las familias de los que se ha­ han sido muy pocos los que han profesado los ramos de instruc­ da…</t>
  </si>
  <si>
    <t>y e, Baldomero Espartero</t>
  </si>
  <si>
    <t>Baldomero Espartero y e</t>
  </si>
  <si>
    <t>…ue ninguno de los que ejerciese^ del Consejo de Ministros acompañando el convenio celebrado la comisión que esta retiraba el dictamen presentado. cargo por una provincia podrían ser nombrados Diputados entre el capitán general D. Baldomero Espartero y el teniente El Sr. P R E S ID E N T E : Se va á leer el art. 17 del regla­ por e lla ; estas fueron las p a la b ra s del Sr. Sancho. general D. Rafael Maroto. mento. (Se leyó.) Se procede al sorteo de las elecciones. Me p a ­ Los señores de las Cortes constituyentes atacaron á…</t>
  </si>
  <si>
    <t>y e, Baltasar</t>
  </si>
  <si>
    <t>Baltasar y e</t>
  </si>
  <si>
    <t>…un en el clau stro de Pazos Figu eroa , escribano ; D . M ig u e l S a lg a d o , c u ra de austero y piadoso , ideas de anarquía , de sedición y de san gre; E n t r e - c r u c e s ; D. Jo sé O se n d e, cu ra de T r a b a ; D. Baltasar y ellos en fin han ambicionado con crim in a l y ostensible e m ­ S a l g a d o , secretario d e l.a y u n t a m ie n to de A r o y com andante de peño envolveros en nuevas desgracias y a m a r g u ra s en cambio N acionales de la B a ñ a ; D. Jacobo b eñorans, cura de Oca ; Don de vuestros…</t>
  </si>
  <si>
    <t>y e, Baudin</t>
  </si>
  <si>
    <t>Baudin y e</t>
  </si>
  <si>
    <t>…por Venezuela en 1850: Ahora le incluyo copia del armisticio celebrado el dia de conocidos y aceptados los principios en que está fundado, y El Excmo. Sr. M inistro de Relaciones exteriores se ha pre­ ayer eutre el expresado Sr. Baudin y el Sr. comandante general consolidadas sus consecuencias, nada debe reprim ir y a los no­ sentado hoy á las Cámaras , y en ambas ha pronunciado el dis­ de este departamento D. Guadalupe V ic t o r ia ; y si V . E. lo bles sentimientos de gratitud y de orgullo nacional que nos re­ curso qu…</t>
  </si>
  <si>
    <t>…de esta línea , en términos que se hace sen­ rado á consecuencia de las relaciones poco amistosas que exis­ tir la necesidad de que salga un segundo ba rc o ; y los elemen­ política del Gobierno francés. ten entre el almirante Baudin y el comandante de la escuadra tos que la sociedad posee de poderlo llevar á cabo y la espe- Sabido es que tan luego como llegó á Lóndres la noticia de de los Estados Unidos, con motivo de una pretendida falta de la defección del capitán b a j á , el Gabinete ingles se manifestó | ranza de…</t>
  </si>
  <si>
    <t>y e, Bdldomero Espartero</t>
  </si>
  <si>
    <t>Bdldomero Espartero y e</t>
  </si>
  <si>
    <t>…e recibió se prefiere el manso arroyuelo al caudaloso r i o ; por eso la ílor ay e r por el correo la noticia del convenio celebrado entre el c a­ tierna y delicada al árbol corpulento y elevado • por eso la ino­ pitán general D. Bdldomero Espartero y el teniente general Don cencia de la primera edad á los goces bastardos de la adolescen­ Rafael M aroto, con la comunicación que el primero dirige des­ Suscripción p ara socorro de las monjas de M adrid • cia. L o a sola palabra diremos para terminar estas reflexiones; de su c…</t>
  </si>
  <si>
    <t>y e, Benavides</t>
  </si>
  <si>
    <t>Benavides y e</t>
  </si>
  <si>
    <t>…de o tro Diputado. He leido con caucho cuidado y con entusias­ pudieran haberse acordado de que Puerto-Rico no la ha nece­ en aquella época (el Sr. F u en te H e r r e r o p id ió l e p a la b r a en mo como se condujeron el Sr. Benavides y el Sr. O livan en la sitado , porque el año que mas tiene 500 negocios; sin embargo, co n tr a ) que no sé como no causaron roas alarma en los D ip u ­ discusión que hubo sobre este negocio. Yo no podré alabar bas­ h ay a empleados que el Rey p a g a , como se suele decir comun­ tados q…</t>
  </si>
  <si>
    <t>y e, Bourgueney</t>
  </si>
  <si>
    <t>Bourgueney y e</t>
  </si>
  <si>
    <t>…e r , Mr. N oth om b mesa por M. O ’Connell prueban de una manera irrefragable el conde S e n ftt, Mr. D e d e l, el barón YYerther, Mr. H u m e - que la Irlanda tiene confianza en el ministerio actual. Lord lauer, el barón de Bourgueney y el conde de Cabotasisth asis* Norm anby debia pues conceder su patronazgo á los amigos del PARTE NO OFICIAL. tian á aquel banquete. ( M orning-Fust •) Gobierno. En Inglaterra se conforma con los votos del pueblo ingles; ¿por qué pues en Irlanda se habia de conformar con los deseos de…</t>
  </si>
  <si>
    <t>y e, Bugeaud</t>
  </si>
  <si>
    <t>Bugeaud y e</t>
  </si>
  <si>
    <t>…ición en saber: MM. Gasparin , Ministro de lo Interior; Mr. Cubieres, cretario. que se encuentran los partidos hace algunos dias es difícil cla­ de la Guerra, y Mr. el barón de Turpinier, él Presidente con­ Adjuntos: el general Bugeaud y el marques de Malleville. sificar rigorosamente todos los nombramientos; tal es el de Mr.</t>
  </si>
  <si>
    <t>y e, Bustamante</t>
  </si>
  <si>
    <t>Bustamante y e</t>
  </si>
  <si>
    <t>triunfado en esta difícil prueba. Puede decirse que ha conquis­ federalista , animado de mejores disposiciones hacia los fra n ­ Idem 21 . tado á su auditorio, conquista dichosa porque aprovecha al ceses que el presidente Bustamante y el partido ari tocrático. {J. de s Debats.) M i corazón rebosa de júbilo y placer al haber visto la alo­ que enseña y á los discípulos. El crédito de Mr. M arm ier no cución que ha dirigido el ayuntam iento constitucional de V a­ puede dejar de aumentarse cada vez m as, porque es del…</t>
  </si>
  <si>
    <t>y e, Carlos</t>
  </si>
  <si>
    <t>Carlos y e</t>
  </si>
  <si>
    <t>…rtid o carlis ta que ha habido y que h a y ? t a d , de la previsió n ; h ija del r a c i o c i n i o , del se n tim ie n t o ; h ijo declare si tiene por o po rtun a la p re g u n ta de si el Congreso sus­ L a cuestión entre D. Carlos y el trono de Isabel ii están del p u n d o n o r , de la d i g n id a d y de la h o n r a d e z , para que no penderá esta discusión h a sta que el Gobierno se p o n g a de t a n e n k -z a d a s, que no puede ser mas. D. Carlos tiene muchos m arch a ra la discusión á ciegas. S i no se h u…</t>
  </si>
  <si>
    <t>…tervalo de las sesiones do que iba á celebrarse un gran m e e tin g á la hora de medio­ Tal es h» situación de los hombre* y de las cosas en la corte día en Ilo llo w ay-IIe ad . Concluido el m e e t i n g , en el que se de D. Carlos y en su campamento. Vé*se ahora si les debemos el Ministro de lo Interior examinase para preparar su ejecución el p e n sa m ie n to que una profunda convicción me ha obligado á pronunciaron algunos discursos, la numerosa concurrencia se esperar grandes acontecimientos. [M em orial d e s P…</t>
  </si>
  <si>
    <t>y e, Carlos Gil</t>
  </si>
  <si>
    <t>Carlos Gil y e</t>
  </si>
  <si>
    <t>…ional de marina y otro de la columna móvil de la provin­ prendió y lo envió aqui con buena escolta. lia declarado que tración de Irlanda por haber carecido de vigor en la aplicación cia , 9 h eridos, entre ellos el subteniente D. Carlos Gil y el queria asesinar al R ey, no por fanatismo político, sino porque de las leyes, y abusado de la prerogativa Real, de la clemen­ bravo sargento 2 o de caballería D . Francisco Abella , ambos S. M. concedia una protección m uy grande á los israelitas. En cia; en fin , de haberse hecho cu…</t>
  </si>
  <si>
    <t>y e, Carruana</t>
  </si>
  <si>
    <t>Carruana y e</t>
  </si>
  <si>
    <t>…hermosísimos cactos; ei Sr. Moroder , el han socorrido...................................................................... 145 #7 Sigue asegurándose la muerte de A rriam banda; pero como Sr. Santa María , el Sr. Comes, el Sr. Carruana y el Sr. Ferrer, los montañeses evitan darnos las noticias que nos son favora­ ambos del comercio, y el Sr. D u p u y , que ha presentado capu­ Total data 101904.. 7 bles, nunca puede decirse como cosa positiva. Sin embargo, llos blancos de semilla de la China que le proporcionó el señor pa…</t>
  </si>
  <si>
    <t>y e, Cataluña</t>
  </si>
  <si>
    <t>Cataluña y e</t>
  </si>
  <si>
    <t>…e apresura á de los artículos 58 y 59 del reglamento, lo que suplicaría á la felicitar á V. M. por las ventajas decisivas obtenidas última­ mesa tuviese á bien insertar en el acta porque quiero que conste. El capitán general de Cataluña y en gefe de su ejército de mente en las provincias del N o rte, fruto de la sangre vertida El Sr. C A B A LLER O : No consta en el acta la lectura de los operaciones, D. Gerónimo Valdés, da parte al Gobierno en por los valientes soldados de la patria , de la pericia del ilustre artículos…</t>
  </si>
  <si>
    <t>y e, Cipriano Ramos</t>
  </si>
  <si>
    <t>Cipriano Ramos y e</t>
  </si>
  <si>
    <t>…previenen los artí­ celos 4.0 y 6.° de la instrucción de 12 de Agosto, después de Alberto Robatti, y heridos gravemente el teniente de tiradores ^ffr^g^do el señalado con el ndm. 78,929 por haberse equivoca­ RESUMEN. del 6.° D. Cipriano Ramos y el de la misma clase de Búrgos do su numeración, según se ha anunciado al público en la G a ­ D . Andrés Martinez. En el segundo parapeto se resistía el ene­ ceta y Diario de avisos del jueves 28 del actual. Importa el cargo............. migo animado con la presencia de C abrera,…</t>
  </si>
  <si>
    <t>y e, Clausel</t>
  </si>
  <si>
    <t>Clausel y e</t>
  </si>
  <si>
    <t>…mas al desa viuda de Clare, lord Beresford , lord y lady B ro u g- será inevitable entre dos naciones, que teniendo un mismo o ri­ orden, sin que este incidente tuviese otras consecuencias. ham &amp;c. Scc. ; por último , el mariscal Clausel y el general es­ gen , igual idioma y unos mismos intereses, deben desear con Habiéndose formado la Cámara en comisión para propor­ pañol A lav a. (M ornin g-H erald.) ardor el mantenimiento de la paz y de las relaciones amistosas cionar medios y recursos, el canciller del echiquier pide un…</t>
  </si>
  <si>
    <t>y e, Cog Saint-Honore</t>
  </si>
  <si>
    <t>Cog Saint-Honore y e</t>
  </si>
  <si>
    <t>…eza­ tá dispuesta á apoyar medidas coercitivas. Por la noche se dirigieron otros grupos hacia la calle del ron á dar el servicio. Se ha establecido la gran guardia en la mu­ El cónsul ingles ha intimado á Boghos-bey, ministro de Cog Saint-Honore y el muelle de la Ferradle, donde trataron nicipalidad , y hasta el amanecer estuvieron recorriendo las ca­ Comercio, que haga ejecutar las disposiciones del tratado; mas igualmente de robar otras dos tiendas de armeros, gritando: lles las patrullas. el Ministro ha contestado que…</t>
  </si>
  <si>
    <t>y e, D. Juan Vela. Cordial</t>
  </si>
  <si>
    <t>D. Juan Vela. Cordial y e</t>
  </si>
  <si>
    <t>…dadas, al Excmo. Sr. D* José narca que tan gloriosa y dignamente rige hoy los desti­ cibió loa billetes.. .......... I 4O Arana. nos de la Francia. A varios mozos por viajes y manda­ 664. Un velo de tul de hilo bordado, al Sr. D. Juan Vela. Cordial y espontáneamente se han felicitado ya los dos que hicieron.» . . . . . . . . . . . . . . &gt; 27 6 6 1 . Un ridículo de terciopelo bordado de oro y sedas, á “------ 1273 la Sra. Doña Soledad Samaniego, hija de los Excmos. Sres. mar­ pueblos españoles, donde por su proximidad a…</t>
  </si>
  <si>
    <t>y e, D. Tomas Pacheco</t>
  </si>
  <si>
    <t>D. Tomas Pacheco y e</t>
  </si>
  <si>
    <t>…(alias Troca­ ría Isabelnúm.Grande, en virtud de providencia del dia 27 del cor­ Terminando la función con la graciosa comedia en un acto, dor), acogídose á indulto dos, y otros tres muertos por la colum­ riente, dada por el Sr. D. Tomas Pacheco y el Sr. D. Miguel que tanta aceptación mereció, y que hace tiempo no se ejecuta, na de cazadores del provincial de Mooterey en el partido de María D uran, jueces que entienden en ella, y escribanía de nominada Cela no va, quedando en poder de estos algunos efectos de poco Mateos,…</t>
  </si>
  <si>
    <t>y e, Diez</t>
  </si>
  <si>
    <t>Diez y e</t>
  </si>
  <si>
    <t>…l primero al segundo acto se bailarán catalan-castellano-latino, aumentado el primero de estos dos boleras á seis; y concluida la comedia un Pas-de-deux por la con todas las voces del de la academia española , y el segundo Sra. Diez y el Sr. Casas. COLECCION DE LEYES, con todas las de los mejores diccionarios publicados en Fran­ cia ; los señores que se suscriban á esta colección tendrán á la Terminando ¡a función con el sainete titulado REALES DECRETOS, vez, no solo el diccionario de Belvitges notablemente aumen­ tad…</t>
  </si>
  <si>
    <t>…OS PA ­ £ L licenciado D. Rafael de Vargas y Uciés, abogado de los • j ír nacionales, juez de primera instancia de esta FASTOS ESPAÑOLES, DRES PARA UN A H IJA . Seguirá el pas-de-deux, obligado de harpa , y bailado por la Sra. Diez y el Sr. Casas. A conti­ nuación se volverá a poner en escena la graciosa comedia en un ciudad y su partido &amp;c. Hago saber como en mi juzgado y por ó EFEM ERIDES acto, titulada LA ESCALERA DE M A N O ; y termiuará la presencia del infrascrito están pendientes autos de testamentaría función con…</t>
  </si>
  <si>
    <t>y e, Durham</t>
  </si>
  <si>
    <t>Durham y e</t>
  </si>
  <si>
    <t>…r^l A las cinco se abrió la sesión. M ucho tiempO antes de la deber de S. M. protegerlos, y es un deber sobre todo el de no medidas rigorosas en esté caso, ha ofrecido ál Vehemente apertura se hallaban en sus puestos el conde de Durham y el protestar directamente contra las agresiones crim inales de que orador una plaza eii la m agistratura. Pues ahora b ién , ¿corno ’ duque de W ellington. El duque de Cambridge entró tempra­ los canadienses, sus leales súbditos, son víctimas de los ciuda­ puede concillarse este favor con ú…</t>
  </si>
  <si>
    <t>y e, Echevarría</t>
  </si>
  <si>
    <t>Echevarría y e</t>
  </si>
  <si>
    <t>…de Castro, Presidente del consejo de roto se aprovechase de las pretensiones de este Príncipe en su Vera, cuyo gobernador se habia fugado. Ministros. arreglo general, han querido apresurar la explosión del levan­ listas, El cura Echevarría y el coronel Aguirre , desterrados car­ tamiento que meditan há mucho tiempo. se han unido á los revoltosos. En la Real orden expedida en 15 del corriente por el Después de varias conferencias presididas por el obispo de Elío marcha de Tolosa contra ellos con tres batallones: el 12 Mini…</t>
  </si>
  <si>
    <t>y e, Eduardo de Gorostiza</t>
  </si>
  <si>
    <t>Eduardo de Gorostiza y e</t>
  </si>
  <si>
    <t>…án ni remotamente temer que se se­ Por cartas de Veracruz del 10 de Marzo se sabe que se h a ­ dos siempre por las rentas municipales. pare del derecho de gentes y de las prácticas generalmente re­ bía firmado un tratado entre D. Eduardo de Gorostiza y el ge­ Ha cultivado con esmero el poder ejecutivo la amistad de cibidas; y también que si V. E. se apartare de estos principios, neral Victoria por parte de M é jic o , y el almirante B audin por todas las naciones , y especialmente de aquellas con quienes es­ suya será la re…</t>
  </si>
  <si>
    <t>y e, Elias Aquino</t>
  </si>
  <si>
    <t>Elias Aquino y e</t>
  </si>
  <si>
    <t>…anizado con la fuerza del hecho, y que habían ya desechado espontáneamente. gefe político de.... presidio destinado á la carretera de Córdoba á Antequera. El ¿Se creerá? El mariscal Soult encargó á estos señores que ingeniero D. Elias Aquino y el visitador de presidios D. Ma­ propusiesen á Mr. Thiers entrar en un Gabinete de que forma­ nuel Montesinos me acompañaron á dicho pueblo, contribu­ rían parte MM. Duchatel y Guizot, y en el cual Mr. Thiers yendo Por el estado que V. S, acompaña á su oficio de 26 de seaba. De amb…</t>
  </si>
  <si>
    <t>y e, Flahaut</t>
  </si>
  <si>
    <t>Flahaut y e</t>
  </si>
  <si>
    <t>…les en sus respectivas muestras en nada desmerecen á Por la tarde recibió S. M. al mariscal Soult, al canciller Pas­ Jas prim eras; y de todas acompañamos á V. S. los ejemplares F R A N C IA . qu ier, al duque Decases, al conde Flahaut y el general Pajol. que tuvimos á la vista para el mas acertado juicio que desde Por la noche recibieron SS. M M . ú los embajadores de A us­ luego pueda formar la ilustre sección á quien damos cuenta. P aris 5 de Abril. tria y de Españ a, al Ministro de los Estados U nidos, á lord Conclui…</t>
  </si>
  <si>
    <t>y e, Francisco Ponce de León</t>
  </si>
  <si>
    <t>Francisco Ponce de León y e</t>
  </si>
  <si>
    <t>…y del Go­ americana y tan justificada. (Él Liberal.) bierno. (N. d e A . M.) Capitulación d e Tuspan . En el rancho de S. Francisco á los 11 dias del mes de J u ­ T U R Q U IA . nio de 1 8 5 9 , reunidos los Sres. coronel D. Francisco Ponce de León y el prefecto del distrito de Tuspan D. Anastasio M aría BUENOS A IR E S . Constantinopla 2 4 d e Julio, Llórente por parte del Sf. general D. M ariano Paredes y A r ­ rilla ga , y los tenientes coroneles D. Francisco de P aula Lince y Por la v ía de Boston se ha recibido…</t>
  </si>
  <si>
    <t>y e, Francisco Salvá</t>
  </si>
  <si>
    <t>Francisco Salvá y e</t>
  </si>
  <si>
    <t>…eroico Para dar cumplimiento á la disposición testamentaria y fi­ y g en e ro so ; y feliz Yo, y felices vosotros, si por nuestros Nos escriben de la frontera española el 24 de Agosto: lantrópicas miras de su respetable decano D. Francisco Salvá y esfuerzos unirlos viésemos tan en b re v e , como lo ansia mi Desde mi úíiitna son muy interesantes las noticias. El 19 Campillo, ha acordado la academia anunciar nuevo programa corazón, term inada la g u e r r a , consolidada la Constitución llegó D. Carlos á Villareal de Zumarrag…</t>
  </si>
  <si>
    <t>y e, Gracia</t>
  </si>
  <si>
    <t>Gracia y e</t>
  </si>
  <si>
    <t>…oscribiese aqui el nombre de Isabel 11: esa es un arma chas veces, por estar encargado por mis dignos compañeros de asi, y ruego no se traiga el D iario, porque lo que yo dije vedada; bien sabe el Sr. Caballero que el Ministro de Gracia y extender la minuta de contestación, la cláusula relativa á la ley acerca de la oportunidad de la cuestión fue, en el sentido de no Justicia no puede quererlo. ¿Cómo había ele querer eso? ¿N o de mayorazgos, me persuadí de que no podía tener ninguna re­ tener resultado alguno, que seria culp…</t>
  </si>
  <si>
    <t>y e, Gracia y Justicia</t>
  </si>
  <si>
    <t>Gracia y Justicia y e</t>
  </si>
  <si>
    <t>…Monarca e» aquellos prin­ íntimamente persuadido que después de lo que había dicho el festó opiniones muy distintas de las que emitió ay er, y cuan­ cipios y deberes que creían no debia traspasar. En primer lu­ Sr. Ministro de Gracia y Justicia y el mismo Sr. Ferrer , a u n ­ do estábamos tratando del asunto llegó á mis manos un pro­ gar diré á S. S. que un hecho particular no destruye el hecho que d o estamos enteramente acordes; pero en las interpretacio­ yecto de una comisión que hubo en el año de 1 8 1 5 sobre los se…</t>
  </si>
  <si>
    <t>y e, Granada</t>
  </si>
  <si>
    <t>Granada y e</t>
  </si>
  <si>
    <t>…6 -4 á 5. G ranad a, 1 * id. pusieron en movimiento para Segura en número de 50 de los M álaga, * b. MADRID 1 1 DE MARZO. mas principales, entre los que cuentan al obispo Abarca , Arias Santander, 1| din. d. T ejeiro, duque de Granada y el marques de Valdespina , á con­ A lic a n te ,* d. Santiago, 2 d. secuencia , según dicen , de un aviso que recibió el Pretendien­ Barcelona, á ps. f s ., par. Sevilla , ¿ á * b. Sociedad d e seguros mutuos contra incendios extramuros te de Maroto para que se deshiciese de aquella gente…</t>
  </si>
  <si>
    <t>y e, Iradier</t>
  </si>
  <si>
    <t>Iradier y e</t>
  </si>
  <si>
    <t>…el mismo que se anunció en la Gaceta de 5 de A bril los que mayor aceptación lograron, sin em bargo, fueron el del adornada con todo el aparato que exige su asunto. ultim o según traducción hecha por persona no inteligente en Sr. Iradier y el del Sr. Ducassi, las estrofas del último las can­ m aterias de navegación, y cual la remitió al Ministerio de Ha­ taron con notable valentía y gusto las Sras. Lema de Vega y cienda el cónsul do S, M, en Elseneur, - Campuzano. Intermediadas con las piezas de música leyeron be*</t>
  </si>
  <si>
    <t>y e, Ivo de la Cortina</t>
  </si>
  <si>
    <t>Ivo de la Cortina y e</t>
  </si>
  <si>
    <t>…remitido al G obierno, y cuya descripción está he­ nes y tres escuadrones con dirección á C am arillas, y el 29 lo Piezas de marfil. verificó otro batallón en la misma dirección , y apenas l l e g a r a n cha por el director D. Ivo de la Cortina y el interventor D on Jo sé de Toro Palma. á dicho punto debían salir lás divisiones 4 ,a del N orte y 2.a Todas las de esta especie se encontraron en el sitio ó recin­ L a s excavaciones se han sostenido en casi todo el tiempo que del centro para Mosqueruela. to del mosaico que…</t>
  </si>
  <si>
    <t>y e, Juan de Aústiia</t>
  </si>
  <si>
    <t>Juan de Aústiia y e</t>
  </si>
  <si>
    <t>…entre los primeros, y las de Hernán Cortés, Gus* Inscripciones en el gran libro á 5 por 100, 00. Títulos al portador del 5 por 100, 19$ con cupones al con­ Se publica cuatro veces al mes, constando cada número de avo Adolfo, D. Juan de Aústiia y el Gran Cbpitatv éntre los tado: 19$, 19, $ , nueve dieziseisavos y 19$ á v. f. ó vol. y un pliego de impresión y una bonita estampa; litografiada por i It irnos. Figurarán enlassucesívasnom bres igualmente tíé— firme: 19$, $ , $ y 19$ ó v. f. ó vo1. á prima de $ , $ y $ uno dé los…</t>
  </si>
  <si>
    <t>y e, Juez</t>
  </si>
  <si>
    <t>Juez y e</t>
  </si>
  <si>
    <t>…r­ Cotización del dia 12 d las tres de la ta rd e. tio 1656 pies, y está tasada en 145,575 rs., á rebajar cargas. ciantes ingleses, cuya ictroduccion habían permitido contra lo Quien quisiere hacer postura^acuda ante dichos Sr. Juez y es­ expresamente prevenido en la ley. {Debáis.) EFECTOS PÚBLICOS. cribano, que se le admitirá siendo arreglada. Inscripciones en el gran libro á 5 por 100, 00. Hé aqui la lista de las órdenes extrangeras del duque de Títulos al portador del 5 por 100, 50^ y 50 con cupones W e llingíoa: S.…</t>
  </si>
  <si>
    <t>y e, Kollowrath</t>
  </si>
  <si>
    <t>Kollowrath y e</t>
  </si>
  <si>
    <t>N.° 1825. VIERNES 8 DE NOVIEMBRE DE 1839. DIEZCUARTOS El conde de Kollowrath y el conde Clam han llegado á FRAN CIA. PARTE OFICIAL. Viena , en donde se aguardaba el 28 ai Príncipe de M etter­ nich. La corte saldrá de Schoenbrun el 29. P a ris 30 de Octubre. La señorita D unin ha llegado á Berlin para solicitar U au ­ torización de trasladarse á Cobery al lado…</t>
  </si>
  <si>
    <t>y e, Lambía</t>
  </si>
  <si>
    <t>Lambía y e</t>
  </si>
  <si>
    <t>…oración y trajes. edicto y término de nueve dias contados de esta fecha, á los 5.° D úo en la ópera Anua Bolena, del maestro Donizettí, que se crean con derecho á los bienes quedados por fallecimiento P O R ABEN AMAR. por la Sra. Lambía y el Sr. R eguer; con decoración y trajes. de Doña Eusebia Alarcon, acaecido de mano airada en fines 4*° Variaciones de flauta de Mr. K a lt-b e k , por el joven de Octubre último, p&amp;ra que se presenten en su juzgado á h a ­ Folleto en 8 .° profesor D. Pedro Sarmiento. cer las reclamaciones q…</t>
  </si>
  <si>
    <t>y e, Linois</t>
  </si>
  <si>
    <t>Linois y e</t>
  </si>
  <si>
    <t>…..................... secreto que se le habia confiado fuera de confesión , pero corno Causa 1.a Causa política del siglo xix. Proceso seguido con­ Guadalupe..................... consecuencia de la confesión. tra el Sr. conde de Linois y el coronel barón Boyer de Pei- Borbon................................... 8.a Seductor sorprendido en el aposento de una joven sol­ Gu yana............................ tera, y muerto por mano del padre de esta. releau. 9.a Crimen de alta traición, ó proceso de Miguel Miguel. 2.a Causa pol…</t>
  </si>
  <si>
    <t>y e, Llórente</t>
  </si>
  <si>
    <t>Llórente y e</t>
  </si>
  <si>
    <t>…de insubordinación é sejamos trate de adquirir mayor flexibilidad y soltura en indisciplina, que forzosamente han de conducirlos á su entrega CRUZ. A las ocho de la noche. Restablecida ya de su in­ los modales. Decir queia Sra. Llórente y el Sr. Fabiani han ó presentación ; y aun cuando asi no fuese, poco podrían resis­ disposición la Sra. Campos, se volverá á poner en escena la estado admirables nos parece excusado. La Sra. Bravo ha tir al numeroso, valiente y aguerrido ejército que está pronto aplaudida ópera bufa en do…</t>
  </si>
  <si>
    <t>y e, Lombía</t>
  </si>
  <si>
    <t>Lombía y e</t>
  </si>
  <si>
    <t>…e M álaga, sobre cumplimiento de una 5.° Dúo en la ópera Anna Bolena9 del maestro D onizetti, H om optera y algunas porciones del órdeu N europtera. A lgu­ escritura de obligación otorgada en 50 de Setiembre de 1807; por la Sra. Lombía y el Sr. R eg u er; con decoración y trajes. nos de estos insectos son notables por estar destituidos de alas en los cuales por providencia de 25 de Noviembre último he en su estado perfecto; y asi es difícil distinguir su estado de lar­ acordado, entre otras cosas, que por medio de la Gace…</t>
  </si>
  <si>
    <t>…e ha visto el mundo y que mas han honrado 5.° Dúo en la ópera Anua Bolena, del maestro Donizettí, toda a obra, recebendo já os 2 da primeira parte por 1600 la especie hum ana; de uno que por la importancia de sus ac­ por la Sra. Lombía y el Sr. Reguer; con decoración y trajes. réis. Prego avulso 48O réis. Acha-se ñas lojas da rúa Augusta ciones y por la excelencia de sus escritos, servirá siempre de 4.0 Yariaciones de flauta de Mr. K alt-bek, por el joven fiúm. 1 e 157 , rúa do Ouro ntim. 4 &gt; © do Chiado. Em modelo á los e…</t>
  </si>
  <si>
    <t>…° D úo en la ópera A nna B o len a , del maestro D o n izetti, zas, se divisa tana línea de m urallas flanqueadas de torres cu a­ T ierra Santa y plano de Je ru s a le n , prim orosam ente grabados por T a rd ie u . por la Sra. Lombía y el Sr. R e g u e r; con decoración y trajes. d ra d a s, y tras de las cuales asoman edificios b lanquizco s: la El tam año , carácter y papel serán ig u ale s al prospecto que 4-° V ariaciones de flauta de M r. K a lt- b e k , por el joven montaña es Sion , y los edificios son la ciudad…</t>
  </si>
  <si>
    <t>y e, Lovenhieim</t>
  </si>
  <si>
    <t>Lovenhieim y e</t>
  </si>
  <si>
    <t>…e compone de cuatro consejeros de Estado, á saber: el D. Angel Ramírez. «D . M artin Fernandez N avarrete. ronde - floseubland , M inistro de Ju stic ia ; el conde Stjemeld, A licante. M inistro de Negocios éxtrangeros; el conde Lovenhieim y el Lugo. «D . Melchor Astiz. conde Adelsward. El Rey va acompañado en su viaje por el D. José Ferriol. « D . José M aría Moscoso de A ltam ira. maris- al del reino conde Brake y los condés Loevenhaujot y D. Antonio M ira Perceval. D. Jav ier M artín ez, marques viudo de V alladares.…</t>
  </si>
  <si>
    <t>y e, Manuel de Montesinos</t>
  </si>
  <si>
    <t>Manuel de Montesinos y e</t>
  </si>
  <si>
    <t>…es ocurridasen el distrito de su man­ Debo recomendar á V. E. la eficacia ,celo é Ínteres con que satisfacer por el permiso un derecho en beneficio del Gobierno, do desde el parte cuyo extracto antecede. proceden el visitador D. Manuel de Montesinos y el ingeniero cuyo máximum será el de 25 rublos para los hombres, jy 15 Dice que el subteniente del provincial de L u go D. F ra n ­ D. Elias A q u in o , asi como la conducta d ig u a de los mayores para las mugeres. Los israelitas rusos ó extrangeros no podrán cisco V ila n…</t>
  </si>
  <si>
    <t>y e, Mariano Colon</t>
  </si>
  <si>
    <t>Mariano Colon y e</t>
  </si>
  <si>
    <t>…ulta del consejo de Castilla sobre la expulsión de Gobierno y de las direcciones generales. los jesuítas. CORRESPONDENCIA DE LA GACETA. 9 .a Introducción á un escrito presentado al tribunal en un pleito que se litigaba entre D. Mariano Colon y el duque de 'Trillo 6 de Agosto. A las seis de la mañana entró en esta Veraguas. v illa, procedente de Cifueates, la columna encargada de su se­ BIBLIOGRAFIA. 10. Proceso del general D. Rafael del Riego. guridad. El objeto del comandante era permanecer aqui todo l í . Proceso de D…</t>
  </si>
  <si>
    <t>y e, Mauuel Neochaca</t>
  </si>
  <si>
    <t>Mauuel Neochaca y e</t>
  </si>
  <si>
    <t>…a cara para batirlos. G obierno, á pesar de la falta absoluta de recursos en que se ha El teniente de la segunda compañía permanente de T am au - encontrado, comienza á tener bastante crédito en el comercio A F R IC A . Jipas D. Mauuel Neochaca y el paisano D. Jos£ M aría Salinas para proporcionarse sin préstamos ruinosos las cantidades nece­ de aquellos, y que por mi orden han reunido alguna gente sarias para sus mas graves urgencias. {D. de Méjico.) A rgel 30 de Noviembre . para el fin indicado desde el paso del A lam ito…</t>
  </si>
  <si>
    <t>y e, Ministro</t>
  </si>
  <si>
    <t>Ministro y e</t>
  </si>
  <si>
    <t>…tar en estas materias, que yo Minis­ de verificar el empréstito. Supongamos que se presentara una tro, aun con todos esos artículos , si la conveniencia pública de laEl Gobernación, Sr. PR E SID EN T E: Hallándose presente el Sr. Ministro y estando dispuesto á contestar á la inter­ proposición á nombre de Rotschild, y al mismo tiempo otra á lo exigía , y viese un medio de hacer una operación ventajosa pelación anunciada por el Sr. marques de Casa-Irujo, va á te­ nombre de un español. No es necesario, señores, ser individuo…</t>
  </si>
  <si>
    <t>y e, Ministro de Gracia y Justicia</t>
  </si>
  <si>
    <t>Ministro de Gracia y Justicia y e</t>
  </si>
  <si>
    <t>…er entrar al Monarca e» aquellos prin­ íntimamente persuadido que después de lo que había dicho el festó opiniones muy distintas de las que emitió ay er, y cuan­ cipios y deberes que creían no debia traspasar. En primer lu­ Sr. Ministro de Gracia y Justicia y el mismo Sr. Ferrer , a u n ­ do estábamos tratando del asunto llegó á mis manos un pro­ gar diré á S. S. que un hecho particular no destruye el hecho que d o estamos enteramente acordes; pero en las interpretacio­ yecto de una comisión que hubo en el año de 1 8 1 5…</t>
  </si>
  <si>
    <t>y e, Nemours</t>
  </si>
  <si>
    <t>Nemours y e</t>
  </si>
  <si>
    <t>…el pais y por el terror que habia llegado á infundir con sus no regresará á Paris hasta últimos de Octubre. $u delito. De Real o rd e n lo com unico á V. E. para su co­ Atrocidades tenia consternados á sus habitantes. El duque de Nemours y el duque de Aumale saldrán á fines n o c im ien to y efectos consiguientes. Dios g u a rd e á V. Tb de Agosto para el campo de Fontainebleau. (Debuts .) m u c h o s años. M adrid de Agosto de 1839. = A la ix .= S e ñ o r ..... PARTE NO OFICIAL. El Rey ha dado la cantidad de id francos para…</t>
  </si>
  <si>
    <t>y e, Orleans</t>
  </si>
  <si>
    <t>Orleans y e</t>
  </si>
  <si>
    <t>…glas de interés purameute local.) hubiese pensado que este piloto estaba bajo la protección del 9 .° Una memoria del G obierno de dicha fecha en que se pabellón in gles, hubiera ciertamente intervenido.,, El R e y , el duque de Orleans y el de Nemours se han sus­ m enciooan las mudaozas que ha habido en la com posición de La admiracion^de mi noble am igo era tan natural, com o crito á la gran partitura de Réquiem , compuesto por M r. B er- las Cámaras desde su prorogacion. claramente expresada, en presencia de esta nueva d…</t>
  </si>
  <si>
    <t>…para que den su voto á nerales designados para los mandos del ejército deA frica eran N oticias de la m añ an a . M r. Dupio en concurrencia con M r. de Semzet para la presi­ dencia de la Cámara de Diputados. (Id.) el duque de Orleans y el general Schramra. Se anadia que de­ ben p artir hacia mediados de Enero próximo. (T em p s.) Sábado 21 de Diciembre —S. E. Moharamed N ourri-E fíen- di ha entregado al R ey en audiencia pública las cartas del Gran Señor, por las que se le acredita en calidad de embajador La G aceta de…</t>
  </si>
  <si>
    <t>y e, Orleans Egipto</t>
  </si>
  <si>
    <t>Orleans Egipto y e</t>
  </si>
  <si>
    <t>los españoles 25}9 de Lo pase. Desde esta iglesia se reunió con sus carruajes que lo La dirección general de Correos, en cumplimiento de lo mañana habia salido de aquella ciudad el duque de Orleans Egipto y el Sultán , de acuerdo con las cinco Potencias. Esta cen^, con referencia á los de León , que el 22 á las diez de la Los periódicos ingleses anuncian que la Reina ha declarado ha señalado los dias 1.° y 20 de Enero próximo, á las doce de Los periódicos de Paria del 25 que acabamo…</t>
  </si>
  <si>
    <t>y e, Orloff</t>
  </si>
  <si>
    <t>Orloff y e</t>
  </si>
  <si>
    <t>…ra la parte importante y principal firmado el dia 8 sin conocimiento de las otras Potencias entre cho de aduana de 5 por 100 fijado por las capitulaciones. de la misión que le estaba confiada, y cree haber cumplido fiel­ el conde Orloff y el Sultán. En presencia de esta negociación y del tratado de 16 de mente con ella. Como este tratado y el arreglo de K u tah iah han constitui­ Agosto, que es su resultad o , no creyó deber permanecer inac­ Importa con efecto que el pais se ocupe mas de lo que lo ha do después de seis años…</t>
  </si>
  <si>
    <t>y e, Pedro</t>
  </si>
  <si>
    <t>Pedro y e</t>
  </si>
  <si>
    <t>…allesteros de Maza. Y amores mil os decia; solo aspira á que sea su caballero y á proclamarle monarca de Yo enjugaba vuestro llanto; las montañas de su castillo y de su corazón. Están pintados en breves rasgos el carácter de D. Pedro y el Vos riendo me mirábais, Todas las virtudes, toda la nobleza de sentimientos de las de Samuel L ev í, y el espectador sabe las ejecuciones sangrien­ Madre vuestra me llamabais, antiguas damas castellanas han concurrido á animar la musa tas ordenadas por el Rey. Samuel dice á D. Pedro que p…</t>
  </si>
  <si>
    <t>y e, Perez</t>
  </si>
  <si>
    <t>Perez y e</t>
  </si>
  <si>
    <t>…or al poeta latino en todo &amp;c. Lia ejecución fue buena en lo general; distinguiéndose espe­ gran desembarazo. Los demas actores contribuyeron eficazmen­ En la misma columna , último párrafo, línea 2.a, donde se cialmente la Sra. Perez y el Sr. Guzman. te al buen éxito de la comedia. Creemos que iá representación dice que es falso que la poesía castellana del siglo xvi sea un ¿Y qué diremos de ese infortunado Plan-plan que apenas de esta ha sido un feliz ensayo para resucitar, ó por mejor de­ reflejo de la latina, debe leer…</t>
  </si>
  <si>
    <t>y e, Quinto</t>
  </si>
  <si>
    <t>Quinto y e</t>
  </si>
  <si>
    <t>…que sí creia que debia observarse explicación de ella. -f Pido que se lea e! art. 105 (Se leyó.) el reglamento, que previene que los Sres. Diputados pidan la El Sr. A L O N S O (D. Juan Bautista) contestó que esa pa­ Vea el Sr. Quinto y el Congreso cómo el reglamento preve palabra desde su asiento; que la habia pedido al mismo tiempo labra en el sentido literal no era en ningún modo aplicable al el caso de hacer las enmiendas, no á los artículos, sino á los que el Sr. Madoz; pero que le bastaba que se supiese que habia que…</t>
  </si>
  <si>
    <t>y e, Rayneval</t>
  </si>
  <si>
    <t>Rayneval y e</t>
  </si>
  <si>
    <t>…e tiempo toca­ Lord Broughara , lord y ladi W illiam Bentick , el conde funciones., si bien daríamos á los actores un mas completo y ban las cam panas; los cartistas huyeron en todas direcciones; de Mole y su esposa , el conde de Rayneval y el conde de Cham- cordial parabién si escogiesen piezas eminentemente mócales y los principales promovedores se refugiaron en una fábrica de piatreux han tenido la honra de comer hoy con el Rey. (id.) de buena versificación é Ínteres, puesto que tenemos tantas, con cerveza, que infaliblem…</t>
  </si>
  <si>
    <t>y e, Rechberg</t>
  </si>
  <si>
    <t>Rechberg y e</t>
  </si>
  <si>
    <t>…e dirima un litigio, que bir á un nuevo tratado, atendido á que si ha sido autorizado servicio de la Bélgica, porque los enviados de Austria y de Í)or ellas para suscribir en los primeros tiempos al tratado de Prusia, el conde de Rechberg y el barón de Seckendorf, des­ aun no se le ha dicho cuál es, no se le defrauda , en par­ os 24 artículos, en vista de su inmediata ejecución anunciada pués de haber reclamado inútilmente contra esta medida, han te alguna, del derecho que tiene por la ley del Estado de en los adjuntos docu…</t>
  </si>
  <si>
    <t>y e, Rieux</t>
  </si>
  <si>
    <t>Rieux y e</t>
  </si>
  <si>
    <t>…iores en número; y sus comandantes el condestable de R i- dos los generales y partidarios ingleses concurrieron unánime­ para librar á Orleans del sitio que la aflige y á la Francia del chemont, el duque de Alenzon , el mariscal Rieux y el general mente en la cobardía é inhumanidad d^sacrificar á la doncella; yugo con que la afrenta un eoemigo. Déseme un ejército por D unois, no querían dar batalla en campo abierto á un ejército y aunque la duquesa de Luxemburg , que la habia a istido en pequeño que sea, y entonces daré á…</t>
  </si>
  <si>
    <t>y e, Sebastian</t>
  </si>
  <si>
    <t>Sebastian y e</t>
  </si>
  <si>
    <t>…edía al Gobierno que se permitiese ta extracción de la cor­ grande expedición al in terior y las A n d alu c ías, m andada por tenderá mas de lo que ahora ofrecemos. teza de alcornoque, elevaron en 23 de M ayo de 1847 una re­ D. Sebastian y el titulad o Príncipe de A sturias. El precio de cada entrega con su cubierta será de 3 rs. en presentación al Gobierno probando lo dañoso de semejante me­ En Estella a g u a rd a » á los dos comisionados ingleses que se M ad rid para los suscriptores, y sueltas se venderán á 4 cada di…</t>
  </si>
  <si>
    <t>y e, Soult</t>
  </si>
  <si>
    <t>Soult y e</t>
  </si>
  <si>
    <t>…Nada se dice aun dé la naturaleza de los impedimentos que marítimos. • • á los m ilitares , á los G uardias nacionales y á los m unicipales trata el bajá dé suscitarnos, y se debe esperar que á la llegada Se sabe que el mariscal Soult y el alm irante Duperré esta­ heridos eñ las jornadas de los dias 12 y 15 de M ayo , y á las á Egipto de M r. W aghorn ,.que tiene personalmente algún inw ban presentes en la conferencia. fam ilias de los que han sucumbido; ' flujo sobre aque), conocerá que no son tan grandes las dificul­ U…</t>
  </si>
  <si>
    <t>y e, Sudermania</t>
  </si>
  <si>
    <t>Sudermania y e</t>
  </si>
  <si>
    <t>…ientos. me pegaron de nuevo: dos dias después fue capturado nuestro Stockolmo una sociedad de iluminados, á la que pertenecieron Todo el mundo con venia en estos hechos. Padecíase viendo navio por un buque de guerra. el duque de Sudermania y el príncipe Carlos |de Hesse, socie­ á la humanidad tan insultada y degradada; pero la voz de Decimoquinto testigo. Tomas: Yo estaba en el puente con dad que trató de unir el magnetismo al Swendenborgismo con­ algunos filántropos se perdía, porque la especulación era mas mi hermano: est…</t>
  </si>
  <si>
    <t>y e, Vicente CAMBIOS.</t>
  </si>
  <si>
    <t>Vicente CAMBIOS. y e</t>
  </si>
  <si>
    <t>de Flores, término de Alm ería, Esperanza , por D. Vicente CAMBIOS. y en la exactitud y finura de grabado en los retratos, con lo Caballero, en 4* que creemos será preferida la presente edición. Otra id. en sierra de G ador, loma y término dicho, Virgen Londres, á 90 días, 5 8 |. C oruña, 1 d. La obra constará de 10 tomos 8.° mayor de unas 500 pá-…</t>
  </si>
  <si>
    <t>y e, Victoria</t>
  </si>
  <si>
    <t>Victoria y e</t>
  </si>
  <si>
    <t>…n león bor­ había impedido basta ahora que se filmase el tratado. El señor el Gobierno desea continuar sin Cortes; el Gobierno ase­ dado. El de calle consta de levita y pantalón de lo mismo y Goro»tiza , Mr. Pakenhatn, el general Victoria y el almirante gura asi bien que la cuestión de Cortes, de que se ocupa una cachucha. Baudiu han tenido muchas entrevistas de algunos días á esta hace ya algunos dias, va á ser muy en breve resuelta. La hermosa huerta de Atocha ha sido agregada al cuartel, parte, y de ellas ha resultado un…</t>
  </si>
  <si>
    <t>y e, Winchelsea</t>
  </si>
  <si>
    <t>Winchelsea y e</t>
  </si>
  <si>
    <t>…ado: veia al duque de W e llin g t o n , al conde de Aberdeen, lord W a r n - S. Francisco, donde permaneció toda la noche, sin que ocur­ Sección 1.a Que el presidente de los Estados Unidos sea au ­ cliffe, lord Rodeo , el conde Winchelsea y el conde de A d d i g - riese novedad, hasta que sabedor á cosa de las cuatro de la ma­ torizado, como lo es por la presente , para resistir cualquiera tón. Los Pares ministeriales no se apresuraban para e n trar: los ñana que un tambor tocaba generala , salió á la plazuela acom­ tentat…</t>
  </si>
  <si>
    <t>y Enriquez, D. Luis Mayans</t>
  </si>
  <si>
    <t>D. Luis Mayans y Enriquez</t>
  </si>
  <si>
    <t>…ntenegro. Sr. D. Víctor Fernandez Alejo. Sr. D. Miguel García Cornejo. Sr. marques viudo de Valladares j electo. Sr. D. Julián Rodríguez del Valle. Valencia. Cádiz. Sr. D. José Ferraz. Sr. D. Manuel Montes de Oca. Madrid. Sr. D. Luis Mayans y Enriquez, Secretario 2.° Sr. D. Francisco Javier Istdriz, Presidente. Sr. D. Agustín Arguelles. Sr. D. Félix Aliaga. Sr. D. Antonio Alcalá Galiano. Sr. D. Antonio Seoane. Sr. D. Francisco Carbonell. Sr. D. Juan Donoso Cortés. Sr. D. Manuel Cantero. &gt; Sr. D. Nicolás Esteban. Sr.…</t>
  </si>
  <si>
    <t>y Entrega, Pedro María Tremens</t>
  </si>
  <si>
    <t>Pedro María Tremens y Entrega</t>
  </si>
  <si>
    <t>…D E M EDICINA Y CIRUGIA PRACTICAS. Sra. Doña Josefa Fernandez de Córdoba. miento á un despacho del Sr. intendente de la provincia de Sevi­ 594. Un cuadro con ao dechado, á la Sra. Doña Beatriz lla, se cita, llama y emplaza á D. Pedro María Tremens y Entrega 17 del tomo 2.* Dele de Cabañil las. D. Antonio María Bonomo , cuyas habitaciones se ignoran ; pa­ ra que tan luego como llegue á su noticia este anuncio, se cons­ Nota ¿fe los números premiadas cuyos dueños no se han pre­ tituyan en la escribanía principal de amorti…</t>
  </si>
  <si>
    <t>y Erice, Doña Luisa Oráa</t>
  </si>
  <si>
    <t>Doña Luisa Oráa y Erice</t>
  </si>
  <si>
    <t>…le ha admitido eo 21 de dicho mes. ’ informar sobre el proyecto retativo á la concesión de uua pen­ por D. Rafael X aubet y compañía, en el dia 17. Tarragona El mismo ha denunciado una oficina de beneficio abando­ sión á la Sra. Doña Luisa Oráa y Erice, viuda del general Don 51 de Agosto de l859.=:Casiano de Prado. nada en término de la expresada villa, en el sitio llamado el Froilan Mendez Vigo, leyó el dictámen de la misma, que se Escorial, en terreno baldío, cuyo último poseédor se igriora, mandó imprimir. cuyo denuncio…</t>
  </si>
  <si>
    <t>y Erice, Luisa Oraa</t>
  </si>
  <si>
    <t>Luisa Oraa y Erice</t>
  </si>
  <si>
    <t>…nes, con aun nías n o t , de un oficial de estado mayor y de cuatro tenientes, en torpes insultos. calidad de representantes de la F ran c ia; de M r. SheíFeld y de Ideto del proyecto de ley sobre concesión de una pensión á Doña Luisa Oraa y Erice, viuda del general D. Froilan M é n ­ Y entonces dígasenos ¿si la crítica no ha de ser v e r ­ un representante del gran ducado. Los trabajos de la comisión dez Vigo. d a dera , para qué sirve? ¿ Si no ha de ser i m p a rc ia l, para están para terminarse , y prometen un feliz re…</t>
  </si>
  <si>
    <t>y Erice, Luisa Oráa</t>
  </si>
  <si>
    <t>Luisa Oráa y Erice</t>
  </si>
  <si>
    <t>…os del mariscal de campo D. Froilan Mepdez Vigo, Pasiva , 8¿. cia un cristal tan grueso. muerto en defensa del orden público, se señala á su viu­ D if e r id a 14* La muger presa se llama Estefanía Girondella, criada des­ da Doña Luisa Oráa y Erice, y á su hijo ó hijos postu­ Tres por 100 portugués, 25|. acomodada; tenia la cabeza cubierta con un pañuelo encarna­ mos, ademas de lo que por viudedad les corresponda, la do y se hallaba cubierta de andrajos. Sus primeras contestacio­ pensión de 200 rs. de vn. anuales, los cuale…</t>
  </si>
  <si>
    <t>y Escudero, Pedro José Abad</t>
  </si>
  <si>
    <t>Pedro José Abad y Escudero</t>
  </si>
  <si>
    <t>…presencia de Don D. Benigno M artínez V id a l, juez electo de A lc ira ; para el juz­ D uchatel y Cunin-G ridaine. Está visto que el Consejo se ha­ Cárlos ea Lesaca, y las órdenes de Elío d*das á nombre de gado de A lcira á D. Pedro José Abad y Escudero, electo de lla dividido según los matices que le componen, esto es, centro D. Cárlos, el 12.° batallón se presentó cerca de Lesaca camino C alahorra, y para esta judicatura á D. Antonio A rteaga, tam­ izquierdo y centro derecho. Los cinco individuos que forman de Vera gri…</t>
  </si>
  <si>
    <t>y Espada, José Rico</t>
  </si>
  <si>
    <t>José Rico y Espada</t>
  </si>
  <si>
    <t>…y a existen , proporcionaría ocupación á las familias y aumentaría e! placer y la prosperidad de la vida doméstica.” de c u lt iv a r , mas partido sacaríamos de nuestros terrenos, y á D. Bernardo A n g u lo , y en tercero á D. José Rico y Espada, Cou este motivo vuestra comisión no puede menos de tributar nunca llegaría el caso de tener que abandonarlos corno sucede dándoles en clase de premios, á nombre de la corporación, la á menudo: uno y otro resultado nos permitirían bajar los pre­ obra de Vallejo y el Tratado de c…</t>
  </si>
  <si>
    <t>y España, Campos</t>
  </si>
  <si>
    <t>Campos y España</t>
  </si>
  <si>
    <t>…u inteligencia y satisfacción. movimientos sediciosos en la provincia de T oledo, y prisión tantes de esta capital sus bienhechores por los beneficios que las Dios guarde á V. S. muchos años. Cervera de Riopisuerga 8 del coronel Campos y España, con noticias biográficas de este dispensan , mediante á que muchas de ellas aunque imposibili­ de Abril de 1859.=:Francisco Moute' rde.r=3r. gefe político de cabecilla. tadas de las extremidades inferiores pueden no obstante apli­ la provincia de Palencia. Conatos subversivos en Ma…</t>
  </si>
  <si>
    <t>y Estrada, Antonio Resino</t>
  </si>
  <si>
    <t>Antonio Resino y Estrada</t>
  </si>
  <si>
    <t>…os deseos que presente esta indicación á fin de remediar los males que de esas se me querían suponer de atacar á esos mismos ami gos, vícti­ Se leyó el dictamen de la comisión sobre la petición núme­ determinaciones ro 24 de D. Antonio Resino y Estrada manifestando que sien­ se originaban. mas de la parcialidad , de la injusticia y de la tiranía de esas do gefe político de Badajoz D. Ramón Ceruti fue expulsado por fuerza á que se referia habia pasado á dicho pueblo á auxiliar labras P a z, sostenidas El Sr. Ministro de la…</t>
  </si>
  <si>
    <t>y Estrada, Antonio Yesino</t>
  </si>
  <si>
    <t>Antonio Yesino y Estrada</t>
  </si>
  <si>
    <t>…de ley de la mayoría de la comisión . que es español” Sabido es que nosotros hemos clamado siem­ Se leyó el dictámen de la misma sobre la exposición núme­ pre por la originalidad en nuestras obras, porque uo mendi­ ro 19 de D. Antonio Yesino y Estrada, pidiendo se exija la res­ Art. í.° Se aprueba el convenio celebrado eo Vergara á 51 guemos nada del extrangero; pero somos francos, sentimos oir ponsabilidad á la diputación de Toledo. Opinaba la comisión de Agosto último entre el duque de la Victoria y el teniente las pal…</t>
  </si>
  <si>
    <t>y Fernandez, Ildefonso Zafra.</t>
  </si>
  <si>
    <t>Ildefonso Zafra. y Fernandez</t>
  </si>
  <si>
    <t>…, dama joven; los que llaman apeadero , con columnas pareadas, y encima un salo D. José Casta ñon. Sres. Olaso, primer g»lan, Robello, b arb a , S ierra, gracioso, destinado para armería. Fernando vr mandó construir las grar D. Ildefonso Zafra. y Fernandez, galan joven , son dignos de especial mención. A des oficinas que se levantan al costado izquierdo del antigno Al D. Antonio Alverá. / todos aconsejamos que procuren madurar sus facultades con el cazar sobre los baños, que llaman, de Doña María Padilla: di D. José Guzm…</t>
  </si>
  <si>
    <t>y Ferraz, Joaquiu Azcon</t>
  </si>
  <si>
    <t>Joaquiu Azcon y Ferraz</t>
  </si>
  <si>
    <t>…tocado ia suerte diencia de Sevilla, también vacante por muerte de D. Eugenio noticias de Trípoli son del 9 : ha habido varios encuentros en­ para la actual renovación de los de esa provincia á............. Rufino Hernández, á D. Joaquiu Azcon y Ferraz , que lo es tre las tropas turcas y los revoltosos de la Mechie (campiña); en el sorteo celebrado en el Senado con arreglo al artícu­ de la de Pamplona , y ha solicitado esta traslación , y para es­ pero habiendo salido con ventaja los primeros, los paisanos pa­ lo 3.° de la m…</t>
  </si>
  <si>
    <t>y Figueras, Ramón Vila</t>
  </si>
  <si>
    <t>Ramón Vila y Figueras</t>
  </si>
  <si>
    <t>…s ; pero quiero que las garantías en que estriba la critor público bien conocido por sus ideas liberales, fue tam ­ Se leyó la que sigue: libertad y demas derechos sean una verdad para todos igual­ bién desterrado. Niím. 69. D. Ramón Vila y Figueras, profesor de prime­ mente; quiero que nadie mas que la ley califique los delitos, y Se declara el punto suficientemente discutido, y puesto á ra educación; D. Ignacio Murgadas, negociante; D. Pedro únicamente por esto rae opongo á toda ley arbitraria donde votación el dictámen…</t>
  </si>
  <si>
    <t>y Florinda, Rodrigo</t>
  </si>
  <si>
    <t>Rodrigo y Florinda</t>
  </si>
  <si>
    <t>…o término se procederá á lo que haya lugar entre Julián; y si algunos han creído inverosímil la existencia de los los presentes, y parará á los morosos el perjuicio consiguiente Entrega de MARZO de 1839. célebres amores entre D. Rodrigo y Florinda, no por eso han á su apatía. Y para que llegue á noticia de todos y nadie ale­ sabido vindicar el nombre español de la mancha que se le atri­ gue ignorancia , ae publica por este medio. Minaya 9 de Abril Se halla á 3 rs. tanto en rama como en rústica en el buía, puesto que al ex…</t>
  </si>
  <si>
    <t>y Fra, Arias Gonzalo de Mendoza</t>
  </si>
  <si>
    <t>Arias Gonzalo de Mendoza y Fra</t>
  </si>
  <si>
    <t>…C O N F E R E N C I A S eclesiásticas de A n g e r s , tr aducidas al cas- juicio de la sociedad no es equivocado acerca de lo que cree q u e P o r el tr ibuna l de la Rota de la n u n ci at u ra apostólica en ^ tellaoo por D. Arias Gonzalo de Mendoza y Fra ncia. constituye el mérito de este d r a m a , se atreve á esperar q ue la estos reinos se cita á D. Angel Cerezo, presbítero celador de Esta o b r a, que con justicia ha merecido siempre el aprecio aprobación del público il us tr a d o, á c u y o fallo le somete , no…</t>
  </si>
  <si>
    <t>y Freijo, José Gandoy</t>
  </si>
  <si>
    <t>José Gandoy y Freijo</t>
  </si>
  <si>
    <t>…ayer me dice lo siguiente.^EI comandante acci­ instrucción prim aria ó combinadas con ellas. dental de la columna de cazadores del regim iento provincial de A rt. 15. Los institutos que formen parte de las universi­ Monterrey D. José Gandoy y Freijo con fecha de hoy rae dice dades no serán regidos sin embargo por estas comisiones, sino lo que copio. r \ E .Regula Fidei C atholícae, séü de Fide Cathóliéa. O bra es- por el rector y claudro de aquellas. A las seis de la mañana del dia de hoy determiné salir con crita en latin…</t>
  </si>
  <si>
    <t>y Galabert, Francisco Rodríguez</t>
  </si>
  <si>
    <t>Francisco Rodríguez y Galabert</t>
  </si>
  <si>
    <t>…Versalles. ¿Teníais estatuas hechas por C oy- dado al distinguido celo del Sr. comandante militar de marina rera ele la ambición eslá llena de escolios (pie deben e v i­ sevoix? Las suyas lo habían sido por Pujet. Lebrun era D. Francisco Rodríguez y Galabert con sus oficiales y emplea­ tarse, v de peligros que deben preveerse. El ambicioso es dos del mismo cuerpo nacional, y en unión con el ilustre ayun­ Rey del porvenir: por el contrario el hom bre bienhechor; pintor del R ey; el del Dux se llamaba Pablo el Veronés: t…</t>
  </si>
  <si>
    <t>y Galvez, Antonio Chacón</t>
  </si>
  <si>
    <t>Antonio Chacón y Galvez</t>
  </si>
  <si>
    <t>…este peso. Es verdad que son poco nu­ Abril de lB59.=Nota de las minas registradas, denunciadas y que las relaciones de familia y amistad, asi como las correspon­ merosos en comparación de los otros. abandonadas en dicho mes. D. Antonio Chacón y Galvez, natural y vecino de Este- dencias literarias y científicas, sean menos frecuentes, porque bre ,Todas se las cartas que en su cubierta lleven el sello del tim­ considerarán en las oficinas del correo como si estuvie­ solo se escribe en casos de absoluta necesidad, y se pro…</t>
  </si>
  <si>
    <t>y Garelly, Pinofiel</t>
  </si>
  <si>
    <t>Pinofiel y Garelly</t>
  </si>
  <si>
    <t>…ue si consigue ver d o , los Sres. duque de Bailen, conde de O f a l i a , marques de E n virtud de providencia del Excmo. Sr. capitán general de realizados sus buenos deseos, mereciendo su aprobación, habrá V ilu m a , conde de Pinofiel y Garelly. ^ esta p ro v in cia, se ha señalado para junta general de acree­ obtenido su objeto. Se leyó y anunció que se imprimiría y quedaria sobre la dores á los bienes quedados por fallecimiento del mariscal de Cualquiera que sea la utilidad de adoptar los pensamientos mesa un dictáme…</t>
  </si>
  <si>
    <t>y Garim, D. José de Anduaga</t>
  </si>
  <si>
    <t>D. José de Anduaga y Garim</t>
  </si>
  <si>
    <t>…da en el ¡ esta corte. Un cuaderuito en 8 . ° , á 16 rnrs. en rústica. SALVOI3Y, mismo. Por manos á 5 rs. en rústica. Ó EL ENAMORADO DE UN A R E IN A : Compendio del arte de escribir por reglas y sin muestras, , del Excmo. Sr. D. José de Anduaga y Garim berti, para uso de comedia nueva , en dos actos, origin al de M r. Scribe. las escuelas del sitio de S. Ildefonso, de la de comitiva de S. M ., B O L E T IN DE C O M E R C IO . y de S. isidro de esta corte. Un cuaderno en 8.°, edición de 182 2 , 3.° á 5 rs. eo rústica.…</t>
  </si>
  <si>
    <t>y Gonzalo, Celestino Alonso</t>
  </si>
  <si>
    <t>Celestino Alonso y Gonzalo</t>
  </si>
  <si>
    <t>…p a­ les en pasta co m ú n , 2q en pasta fina y en tafilete. ministerio de la Gobernación. go del cuarto trimestre de contribución , en atención á sus m u ­ chos y buenos servicios por la justa causa. El simple relato de 82. D. Celestino Alonso y Gonzalo , catedrático de filoso­ esta petición demuestra que la resolución de este asunto perte­ T IB R O S , periódicos y modas. En el nuevo gabinete de lectu- fía en el seminario conciliar de San Bartolomé de Sigiienza , ex­ nece al ministerio de Hacienda; por consiguiente opin…</t>
  </si>
  <si>
    <t>y González, Ezpeieta</t>
  </si>
  <si>
    <t>Ezpeieta y González</t>
  </si>
  <si>
    <t>…ió se leyera la pe­ b e n ^ .ra^ec^®8 varios vecinos de esta ciudad á los inmensos bia presentado en el Senado. núltima hoja vuelta del distrito de aquel pueblo. Vi C*°S ^UC nac*°° invicto general duque de la Los Sres. conde de Ezpeieta y González hacen algunas acla­ Verificada esta lectura , pasó el orador á hacerse cargo de la sio'| °.n a ’ y deseosos de darle uo testimonio público de adhe- raciones. coacción física y moral que la comisión en su dictámen supoi.i t retratoSUf^€r*0na» han concebido el pensamiento de rega…</t>
  </si>
  <si>
    <t>y González, Juan Jiménez</t>
  </si>
  <si>
    <t>Juan Jiménez y González</t>
  </si>
  <si>
    <t>…, el cual fue confirma­ formalidades que la misma previene, tocó á los sugetos siguien­ pide a! Congreso se sirva acordar conste en el acta la causa por d o , se procedió á la operación sin que las cinco villas reclama­ tes: D. Juan Jiménez y González, D. Andrés M olinillo, Don qué no asiste. sen según consta del expediente, con lo cual se probaba que - M anuel M olinuevo, D. Dom ingo Diez del V alle, D. Vicente Se concedió licencia por cuatro meses para restablecer sn sa­ no habia la arbitrariedad que habia querido supo…</t>
  </si>
  <si>
    <t>y Gras, Guillen</t>
  </si>
  <si>
    <t>Guillen y Gras</t>
  </si>
  <si>
    <t>…el Gobierno, m an i­ llantes y conde de las N a v a s , es aprobado el dictámen. v iv a la religión católica , y vivan todos los españoles amantes festando que el Gobierno adoptaba los 95 artículos discutidos A petición del Sr. Guillen y Gras se suspende hasta que de la p a z , unión y obediectes al sabio Gobierno que los rige y y aprobados en la legislatura anterior. esté presente el Sr. M inistro de ¡a Gobernaciou la discusión del el duque de la Victoria , á quien se le deben tantos benefi- El Sr. PRESIDENTE dijo que s…</t>
  </si>
  <si>
    <t>…respoosabi- y demas fondos del común. tir en ju uso los derechos abolidos en cuestión. lidid al Ministro , en ese caso será cuando deba juzgar el Con­ 2.° El disfrute de los pastos, aguas y demas usos y apro­ A petición del Sr. Guillen y Gras se volvió á leer el a r­ greso. vechamientos comunes. tículo 7 o de la ley de 19 de Julio de 1B13. A petición del Sr. Aillon se lee el decreto de 20 de Agosto 5.° El plantío , cuidado y aprovechamiento de los montes El Sr. A Y L L O N , después de manifestar que no era su ob­ de 185…</t>
  </si>
  <si>
    <t>…on quienes habia contratado. sío.=Quiroga y Frias.—Gispert.—Henry.-^Pidal. de 1.526,095 rs., y la junta de liquidación í.084,000 rs. Que sin entrar á impugnar la validez o no validez de la es­ Concluida su lectura , pidió el Sr. Guillen y Gras que se Que nuestro crédito se funda en la seguridad de los capí* critura , ni menos entrar á examinar si el Sr. Laborda tenia la leyese el dictamen de la comisión de 7 de Enero de 1858. tales y en el exacto y puntual pago de los intereses. pensión de 4^3 rs. sobre las cajas de Puert…</t>
  </si>
  <si>
    <t>…que no podia conformarse con el voto de Córdoba de un Representante. particular del Sr. Perez de R iv as, puesto que sus sentimientos El Sr. P R E S ID E N T E : Yo recordaré los antecedentes por­ El Sr. T E M P R A D O : El Sr. Guillen y Gras al usar de la nacían de los mismos acuerdos del Congreso , tomados con todo palabra en la discusión del voto, ha dicho el embarazo en que que to son sabidosde todos; haré una manifestación de este asun­ tal cual lo entiendo. conocimiento de causa. Que al efecto creía oportuno explic…</t>
  </si>
  <si>
    <t>y Heros, Rivas</t>
  </si>
  <si>
    <t>Rivas y Heros</t>
  </si>
  <si>
    <t>…rden levantaba, y v iv ia con el negocio del Duero. terior. y la tranquilidad. Quedo enterado el Senado de una comunicación del Sr. M i ­ Esfuerzos perseverantes lograron que al fin se decidiese el Los Sres. González, duque de Rivas y Heros hacen algunas ministerio portugués en un intervalo de sosiego algo mas largo nistro de la Gobernación , acompañando una manifestación del aclaraciones. á tratar del reglamento, y comenzaron las conferencias, que con Sr. D. Alvaro Gómez Becerra, pidiendo ser admitido ea el Se­ El Sr.…</t>
  </si>
  <si>
    <t>y Jaeb, Granada</t>
  </si>
  <si>
    <t>Granada y Jaeb</t>
  </si>
  <si>
    <t>…ientes, se avisará á su esposo , que murió como Nacional voluntario en persecución los Sres. Senadores á sus domicilios. Ciérrase la sesión. de la facción de Palillos , se la conceda una pensión para a li ­ Capitanía general de Granada y Jaeb. = S eñ ó ra: Cuando Eran las dos y cuarto. mentar á un hijo de tierna edad que le ha q u ed ado ; y es apro­ tuve el honor de felicitar á V. M. por los faustos acontecimien­ bado con uua enmienda del Sr. L u j a n , en que pide quede en el tos eo los campos de Vergara , oai corazón…</t>
  </si>
  <si>
    <t>y Jaruco, Mopox</t>
  </si>
  <si>
    <t>Mopox y Jaruco</t>
  </si>
  <si>
    <t>…nales, y El cultivo del algarrobo , seratonia silicua , ocupaba la aten­ del que habla. Bajo este punto de vista es im posible dar piensan haber ya cumplido con la mitad de su compromiso te­ ción de nuestro amigo el Sr. conde de Mopox y Jaruco , que un elem ento com ún á todos los verbos, com o quiera que niendo entre ellos al ya mencionado D. Juan Muñoz. Habana allá á mas de 25 leguas de esta capital, y en el cuidado y ade­ cada uno ha procedido de la diversidad de las acciones, y Abril 29 de 1 8 5 9 .= Felipe Poey.—Ramó…</t>
  </si>
  <si>
    <t>y Jaén, Granada</t>
  </si>
  <si>
    <t>Granada y Jaén</t>
  </si>
  <si>
    <t>…veerse de él. (Id.) Real decreto concediendo el uso de media firma al Ministro i n ­ _ admitiendo á D. Manuel Llauder la dimisión que ha he­ terino de la Guerra D. Francisco Narvaez. (Núm. 18 19.) cho de la capitanía general de Granada y Jaén, y nombran­ _ concediendo el uso de media firma al Ministro interino do en su lugar á D. Juan Aldama. (Núm. I 842.) Valencia 10 de Diciembre. de M arina, Comercio y Gobernación de Ultramar. (Núme­ nombrando capitán general de las islas Baleares al tenien­ ro 1820.) te general D. Sa…</t>
  </si>
  <si>
    <t>…fijóse en unos 60 yacentes los buques mercantes de Chile en los mismos té r- Sanz. reales d iario s, y como 12 para un escribiente. ( A thenaeum .) mios que los de paises neutrales. (Núm. 1550.) nombrando para capitán general de Granada y Jaén al mariscal de campo D. Antonio M an a Alvarez , en reem­ T ECCIONES elementales de astronom ía, explicadas en el plazo de D. Ju an Palarea. (Núm. 1551.) ^ Real observatorio de Paris , y consagradas á poner esta In d ice d e tos d ecr eto s y R eales órd en es publicados en este C i…</t>
  </si>
  <si>
    <t>…. la Francia persistiese en seguir un sistema perjudicial á nuestro D . Antonio María Alvarez, mariscal de campo de los ejér­ come: ció, é incompatible con los principios de derecho interna­ citos nacionales, capitán general de Granada y Jaén &amp; c., &amp;c. cional y nuestra dignidad. París 18 de Marzo. La deserción de muchos quintos del último sorteo, con es­ Será pues preciso conceder algo al orgullo nacional luego que cándalo del buen espíritu público que reina en todas las pro­ se entablen las negociaciones para que tenga…</t>
  </si>
  <si>
    <t>y Jmstécb, Girada</t>
  </si>
  <si>
    <t>Girada y Jmstécb</t>
  </si>
  <si>
    <t>…entre ks 10 indiridaos íñena píndwjolí ayer soíbw la saAerpelacMa del Sr. Argwelita. El cias o condeoorsciones del Gobierno, mns no oon ks que sol© [ de d h , lo partid,pará i ks -dnsi cuerpos cokgidadom cnu las Sir. Ministro de Girada y Jmstécb puede proseguir em m dis- fuere* agraciadas, y no admítaos que mmconstundo que el se- ' actas de sos juntas, y tanto el uno como el otro cuerpo proce­ ñor Mosoeno de Altomiira hubiese admitido, no ®e ustabu cu e l ' derán á nombrar ©tras cinco iodiiidnos para que formen k 00- . CW…</t>
  </si>
  <si>
    <t>y Jomare, Degerando</t>
  </si>
  <si>
    <t>Degerando y Jomare</t>
  </si>
  <si>
    <t>…la segunda L a primera comisioa de sabios (se componía de los señores diferente époea? Unos salen vestidos á la usanza del siglo xvnr, rotunda, destinada para las esculturas de bronce y varie­ G sutier, conde Labcrde, el barón Degerando y Jomare], miem­ sntre el¡03 L). Bartolo y la vieja; otros, como el conde de Alma- dad de m ármoles de color. De esta rotunda se pasa al ú l­ bros del instituto, y de Jullien, L eroy, Bailli, y el médico viva , de elegante de nuestros d ias; y por último, los coristas Montegre) que observ…</t>
  </si>
  <si>
    <t>y José, Ramón Carnicer. Idem Antonio Sánchez</t>
  </si>
  <si>
    <t>Ramón Carnicer. Idem Antonio Sánchez y José</t>
  </si>
  <si>
    <t>…Cabo segundo Mariano López, cruz pensionada de M aría yores ventajas que las que hasta aqui íbamos á buscar á allende la Escosura. Isabel Luisa. del mar ó de los Piriueos? Por otra parte, ¿cómo no ofrecer un De armonía, por D. Ramón Carnicer. Idem Antonio Sánchez y José González, cruz sencilla de tributo de respeto y alta consideración al ciudadano virtuoso y De canto , por D. Basilio Basili. María Isabel Luisa. patriota, que después de haber servido con honor y lucimiento De solfeo, por D. Manuel Ducassi. Soldados Pe…</t>
  </si>
  <si>
    <t>y Ju, Gracia</t>
  </si>
  <si>
    <t>Gracia y Ju</t>
  </si>
  <si>
    <t>…secretario Medrano si se diria que el Senado disfruta. 8 0 millones , ¿e s extraño que falte para algunos? No es pues quedaba enterado, dijo La comisión, en vista de los servicios de este interesado, y cargo para el Ministro de Gracia y Ju stic ia que las clases que El Sr. G O N Z A L E Z , que le parecía que debía pasar á la de las Reales órdenes á su f a v o r , es de dictámen que por con­ de él dependen se encuentren en ese atraso. El M inistro que comisión de actas , á fin de que esta diese un dictámen que con ducto…</t>
  </si>
  <si>
    <t>…celo. Hé a q u i , señores * eri una misma discusión dos Diputados El Sr. C O R Í I Ñ A observó que el Sr. M inistro dé Gracia y Si se quisiese que cada delito tuviese la pena señalada , por que el uno hace cargo al Ministro de Gracia y Ju stic ia de la Justicia habia dicho que se habían centralizado en el ministe­ masque la ilustración del Sr. Cortina quisiese formar un c ó lt - miseria en que se liallan las dependencias de su ram ó , y otro rio de Hacienda los fondos de penas de Cámara , y qué después g o ^ o s e r i a…</t>
  </si>
  <si>
    <t>…Asimismo lo fueron d 1.1, 12* 15 y Í 4 . la m a do denech a sobre los E r a o ge Iios , pro ou orí a rá e n .a l i:a-:voz E l Sr» M inistro de la Gobernación remite al Senado el Real' A rt. 11. Concluida b lectora el Ministro de Gracia y Ju s ­ es;tas palabras: tejura guardar y hacer guardar la Constitucioa decreto de 24 de Enero , relativo al modo de llevarse i yfeeto ticia ¡recibirá1,el 'discurso de mano de 3. M . para sacar y remi­ de la monarquía española y las leyes del reino, Asi Dios me el proyecto de 'ley sobre él p…</t>
  </si>
  <si>
    <t>…mesa para que los Sres. Diputados se enteren El Sr. ARGUELLES : Yo desearía que usase primero de chos , entre ellos algunos Sres. Ministros, que la pacificación de en los dias que debe durar la discusión. ella el Sr. Ministro de Gracia y Ju s tic ia , puesto que creo que la nación dependía de la concesión de los fueros. Yo, como M i­ Leídos dichos documentos * continuó el reglamento no se oponga á esto. nistro que he sido de la Corona , me veo precisado á entrar en El Sr. M E N D IZ A B A L: He creido que no seria necesar…</t>
  </si>
  <si>
    <t>…nstitución que establece estas nuar y a por perjudiciales, inútiles &amp;c. del voto particular del Sr. marques de Vilum a ; pero voy á con­ mismas diputaciones , ya sea con el nombre de forales ó pro­ Conforme con el Sr. Ministro de Gracia y Ju stic ia en las cluir diciendo que pues que el Sr conde de Ezpeleta , como in ­ vinciales , porque r»i los intendentes ni los gefes políticos son explicaciones, yo no puedo estarlo de modo alguno en la opor­ dividuo de la comisión, ha manifestado que estaba conforme con reconocidos por la…</t>
  </si>
  <si>
    <t>…n expediente en Gracia y pero á eso que sucedía el 8 de Ju n io , se siguió haber pasado el Por ú lt im o , sus individuos vienen á ser Senadores y D ip u ­ Justicia á consecuencia de reclamación de parte sobre que se Ministro de Gracia y Ju stic ia la Real orden sig u ie n te , fecha tados: cargo honrosísimo ; pero que al cabo no es juzgar ni h a­ declare que no se necesita la sanción. El Gobierno, viendo que del 12 ( le y ó ). cer se ejecute lo juzgado. H ay m a s: todas las administraciones se trataba de una cuestión legi…</t>
  </si>
  <si>
    <t>y Ju, Ministro de Gracia</t>
  </si>
  <si>
    <t>Ministro de Gracia y Ju</t>
  </si>
  <si>
    <t>…ar sobre la mesa para que los Sres. Diputados se enteren El Sr. ARGUELLES : Yo desearía que usase primero de chos , entre ellos algunos Sres. Ministros, que la pacificación de en los dias que debe durar la discusión. ella el Sr. Ministro de Gracia y Ju s tic ia , puesto que creo que la nación dependía de la concesión de los fueros. Yo, como M i­ Leídos dichos documentos * continuó el reglamento no se oponga á esto. nistro que he sido de la Corona , me veo precisado á entrar en El Sr. M E N D IZ A B A L: He creido que no s…</t>
  </si>
  <si>
    <t>…no asi la Constitución que establece estas nuar y a por perjudiciales, inútiles &amp;c. del voto particular del Sr. marques de Vilum a ; pero voy á con­ mismas diputaciones , ya sea con el nombre de forales ó pro­ Conforme con el Sr. Ministro de Gracia y Ju stic ia en las cluir diciendo que pues que el Sr conde de Ezpeleta , como in ­ vinciales , porque r»i los intendentes ni los gefes políticos son explicaciones, yo no puedo estarlo de modo alguno en la opor­ dividuo de la comisión, ha manifestado que estaba conforme con recono…</t>
  </si>
  <si>
    <t>y Jus, Gracia</t>
  </si>
  <si>
    <t>Gracia y Jus</t>
  </si>
  <si>
    <t>…n de zaga y Ministro de la Guerra , y saliéndose al encuentro , se é ! , y no de encontrar amigos donde todos debían serlo abrazan estrechamente y con la mayor efusión. Este acto tier­ Discurso pronunciado por el Sr. Ministro de Gracia y Jus­ sufros? jjQué. se sospecha de él después de haber presentado no y generoso es recibido por las tribunas con el mayor ticia en la sesión de 6 del actual . tantos datos y dado tantas pruebas de su patriotism o? aplauso. Los Sres. Diputados, llenos del mayor entusiasmo, Pero señoras, e…</t>
  </si>
  <si>
    <t>…danos de que se les administrará justicia? ¿Cómo tendrán Habiéndose denunciado ante el Sr. alcalde primero consti­ rebeldía, notificándose en estrados las provideucias que en ella imparcialidad al aplicar la ley ? El Ministro de Gracia y Jus­ tucional los Rios , D . Tomas Fernandez de Yallejo por D . Antonio de se dieren incluso la definitiva, parándoles el mismo perjuicio en concepto de apoderado del Exctno. ayuntamiento que si se hiciera en persona. Dado en Chinchón á 3 de Se­ ticia no podia ni debia autorizar la inte…</t>
  </si>
  <si>
    <t>…negamos que el Ínteres del papel en que escribimos conviniera ei darla. requisitos. ¿D ónde está, repetim os, la viciación de la de nuestros ejércitos y ei de nuestros acreedores puedan Según el citado artículo, el Ministro de Gracia y Jus­ Constitución, la usurpación del poder de las Cortes, ni el ser diferentes. El Ínteres de nuestros ejércitos consiste en ticia por el decreto de 29 de Diciem bre ha infringido la pretendido escándalo que estas no deban tolerar? ¿Y á que el Ínteres de la deuda pública se pague: porque s…</t>
  </si>
  <si>
    <t>…es.—José' María tro de la Gobernación, nombrando interinamente para el des- le recaudación importaban un 50 por 100 , yo he teoido oca- Cabesa.zrJuan Mañcz.—José M oh ier, secretario. ímpeño de dicho ministerio al Sr. Ministro de Gracia y Jus­ ion de examinar este con un distinguido rentista que me está ticia. ¡scuchando, y he visto que no llegaba á 16 por 100. Este pri- El Senado quedó enterado. Lo quedó igualmente de otro del mismo Sr. Presidente del rílegio, señores, es de tal naturaleza que pone á aquellas pro­ Señor…</t>
  </si>
  <si>
    <t>…gue la brevedad en los expedientes. La comisión opina dad * y én que puedan ios hombres que mas han padecido ha­ dos los votos de todos los españoles para que cesase la efusión de que esta solicitud debe pasar al Sr. Ministro de Gracia y Jus­ cer ver á los mas preocupados los beneficios que han de repor­ sangre, y se conservasen ilesos el trono de Isabel y la Consti­ ticia. tar de las ideas filantrópicas, hermanas de todos los Gobiernos tución del Estado. El Sr. L U J A N manifestó que no era su intención oponer­ libres,…</t>
  </si>
  <si>
    <t>…l Sr. CABALLERO: Me limitaré á deshacer cuatro equi­ yo procuraré examinar brevemente todos los principios bajo los rís en francés en 19 de Febrero de este año, la cual había con­ vocaciones en que ha incurido el Sr. Ministro de Gracia y Jus­ cuales importa que sea examinada. frontado el Sr. Secretario Caballero con la traducción castella­ ticia. Antes diré dos palabras para manifestar al Congreso porqué na, la cual quedaba en la mesa á disposición de todos los se­ S. S. ha dicho, como interpelándome, que citase las peti­…</t>
  </si>
  <si>
    <t>y Jus, Ministro de Gracia</t>
  </si>
  <si>
    <t>Ministro de Gracia y Jus</t>
  </si>
  <si>
    <t>…ue desconfian de zaga y Ministro de la Guerra , y saliéndose al encuentro , se é ! , y no de encontrar amigos donde todos debían serlo abrazan estrechamente y con la mayor efusión. Este acto tier­ Discurso pronunciado por el Sr. Ministro de Gracia y Jus­ sufros? jjQué. se sospecha de él después de haber presentado no y generoso es recibido por las tribunas con el mayor ticia en la sesión de 6 del actual . tantos datos y dado tantas pruebas de su patriotism o? aplauso. Los Sres. Diputados, llenos del mayor entusiasmo, Per…</t>
  </si>
  <si>
    <t>…aime Da Imases.—José' María tro de la Gobernación, nombrando interinamente para el des- le recaudación importaban un 50 por 100 , yo he teoido oca- Cabesa.zrJuan Mañcz.—José M oh ier, secretario. ímpeño de dicho ministerio al Sr. Ministro de Gracia y Jus­ ion de examinar este con un distinguido rentista que me está ticia. ¡scuchando, y he visto que no llegaba á 16 por 100. Este pri- El Senado quedó enterado. Lo quedó igualmente de otro del mismo Sr. Presidente del rílegio, señores, es de tal naturaleza que pone á aquellas…</t>
  </si>
  <si>
    <t>…liza­ encargue la brevedad en los expedientes. La comisión opina dad * y én que puedan ios hombres que mas han padecido ha­ dos los votos de todos los españoles para que cesase la efusión de que esta solicitud debe pasar al Sr. Ministro de Gracia y Jus­ cer ver á los mas preocupados los beneficios que han de repor­ sangre, y se conservasen ilesos el trono de Isabel y la Consti­ ticia. tar de las ideas filantrópicas, hermanas de todos los Gobiernos tución del Estado. El Sr. L U J A N manifestó que no era su intención opon…</t>
  </si>
  <si>
    <t>…esa en Pa­ El Sr. CABALLERO: Me limitaré á deshacer cuatro equi­ yo procuraré examinar brevemente todos los principios bajo los rís en francés en 19 de Febrero de este año, la cual había con­ vocaciones en que ha incurido el Sr. Ministro de Gracia y Jus­ cuales importa que sea examinada. frontado el Sr. Secretario Caballero con la traducción castella­ ticia. Antes diré dos palabras para manifestar al Congreso porqué na, la cual quedaba en la mesa á disposición de todos los se­ S. S. ha dicho, como interpelándome, que cita…</t>
  </si>
  <si>
    <t>y Jus-, Gracia</t>
  </si>
  <si>
    <t>Gracia y Jus-</t>
  </si>
  <si>
    <t>…las Cortes sentados. constituyentes; por último , dice que e tenga presente en tiem­ Salas consistoriales 13 de Setiembre de 1839. —Señora.r: C O N G R E SO D E D IP U T A D O S . po oportuno, y se pase copia ai Sr. Ministro de Gracia y Jus- A L. R. P. de Y. M. = Agustín García de Atocha. — Antonio PRESIDENCIA DEL SR. LABORDA , PRIM ER VICEPRESIDENTE» j ticia, con el fin de que bien el Gobierno, ó cualquier Sr. D i­ Spina. —Vicente Hernández. = Pedro Corrales.— Juan Manuel putado presente su provecto de ley. Fernandez —Vic…</t>
  </si>
  <si>
    <t>y Jus-, Ministro de Gracia</t>
  </si>
  <si>
    <t>Ministro de Gracia y Jus-</t>
  </si>
  <si>
    <t>…á la ley de las Cortes sentados. constituyentes; por último , dice que e tenga presente en tiem­ Salas consistoriales 13 de Setiembre de 1839. —Señora.r: C O N G R E SO D E D IP U T A D O S . po oportuno, y se pase copia ai Sr. Ministro de Gracia y Jus- A L. R. P. de Y. M. = Agustín García de Atocha. — Antonio PRESIDENCIA DEL SR. LABORDA , PRIM ER VICEPRESIDENTE» j ticia, con el fin de que bien el Gobierno, ó cualquier Sr. D i­ Spina. —Vicente Hernández. = Pedro Corrales.— Juan Manuel putado presente su provecto de ley. Fe…</t>
  </si>
  <si>
    <t>y Justi, Gracia</t>
  </si>
  <si>
    <t>Gracia y Justi</t>
  </si>
  <si>
    <t>…ranceses. posiciou , no menos que el aumento de las personas que remi­ El Sr. P R E S ID E N T E : El Senado aprueba. tieron frutos y producciones de horticultura, que hace esperar, El Sr. P R E S ID E N T E : El Sr. Ministro de Gracia y Justi­ :ontinuando esta progresión anual ascendente , que se llenarán cia tiene que leer una comunicación del Gobierno, L'Observer ha publicado que habiendo sido interrogado ?n breve completamente los deseos de la sociedad, y la agra­ Ocupó la tribuna el Sr. M inistro,y leyó el siguiente…</t>
  </si>
  <si>
    <t>…to. Nc/ podia gobernar con la mayoría de ningu­ gunos meses se hubieran propuesto los fueros, es bien seguro no de los dos cuerpos legislativos, ni con la de la nación espa­ cia que podia manifestado Habiendo el Sr. ministro de Gracia y Justi­ que no los hubieran admitido, y esto es una prueba de que ha ñola, porque no se habia sacado de los hombres influyentes en se le proponía, que era un rasgotiempo necesitarse algún para conciliar lo que patriótico , yo me apresuré sido espontáneo aquel hecho. ella. No podía tampoc…</t>
  </si>
  <si>
    <t>…prematuro, porque es imposible formar un juicio el poder Real 00 necesita asesores* y mucho meaos asesores natos. Puerta. acertado acerca de si conviene ó no que el! Consejo de Estado Una de las razo raes que el Sr. Ministro de Gracia y Justi­ conozca de estas atribuciones, mientras no esteu deslindadas; Sí cia alegó era defensa del Conseja de Estado fue la de que este o O' tenemos todavía una ¿dea exacta de cómo ha de ejercer es­ cuerpo eo las diversas mudanzas de Ministerio permanecería tas atribuciones* si no la tene…</t>
  </si>
  <si>
    <t>y Justi, Ministro de Gracia</t>
  </si>
  <si>
    <t>Ministro de Gracia y Justi</t>
  </si>
  <si>
    <t>…ina de los franceses. posiciou , no menos que el aumento de las personas que remi­ El Sr. P R E S ID E N T E : El Senado aprueba. tieron frutos y producciones de horticultura, que hace esperar, El Sr. P R E S ID E N T E : El Sr. Ministro de Gracia y Justi­ :ontinuando esta progresión anual ascendente , que se llenarán cia tiene que leer una comunicación del Gobierno, L'Observer ha publicado que habiendo sido interrogado ?n breve completamente los deseos de la sociedad, y la agra­ Ocupó la tribuna el Sr. M inistro,y leyó e…</t>
  </si>
  <si>
    <t>….— me parece prematuro, porque es imposible formar un juicio el poder Real 00 necesita asesores* y mucho meaos asesores natos. Puerta. acertado acerca de si conviene ó no que el! Consejo de Estado Una de las razo raes que el Sr. Ministro de Gracia y Justi­ conozca de estas atribuciones, mientras no esteu deslindadas; Sí cia alegó era defensa del Conseja de Estado fue la de que este o O' tenemos todavía una ¿dea exacta de cómo ha de ejercer es­ cuerpo eo las diversas mudanzas de Ministerio permanecería tas atribuciones* s…</t>
  </si>
  <si>
    <t>y Justi, Mioistro de Gracia</t>
  </si>
  <si>
    <t>Mioistro de Gracia y Justi</t>
  </si>
  <si>
    <t>…circunstancias no son desemejantes, sino hasta idénticas en este esta parte el Sr. Ministro de Gracia y Justicia. El Gobierno me criba aqui el nombre de Isabel ir, S. S. mismo lo ha infringi­ caso. Pero estas expresiones del Sr. Mioistro de Gracia y Justi­ hizo el honor de nombrarme para esa comisión; no sabiendo do cuantas veces nos ha leido esas circulares. No parece sino que yo lo que pasó en la comisión, lo que resulta de los documen­ yo he traído aqui esos nombres para alguna cosa que no sea óciaquemenoshandiese alarm…</t>
  </si>
  <si>
    <t>y Justicia, Despacho de Gracia</t>
  </si>
  <si>
    <t>Despacho de Gracia y Justicia</t>
  </si>
  <si>
    <t>…su agilidad en los movimientos y la fácil naturalidad de sus Concluida la lectura, S. M. se dignó entregar dicho discur­ Agencia literaria. aptitudes sorprenden y deleitan con la extrañeza de ver reuni­ so al Sr. Secretario del Despacho de Gracia y Justicia; y habién­ das en su asombrosa persona unas cualidades al parecer iucom- dose acercado el Sr. Presidente del Consejo de Ministros, y reci­ J 7 L ingenioso hidalgo D. Quijote de la M ancha, compuesto patibles. bido la orden de S. M. la Reina Gobernadora, dijo en alta voz…</t>
  </si>
  <si>
    <t>…que se hallan en un estado normal; A petición del Sr. A yala y M oría, se leyó un oficio del se­ El Sr. MONTOYA (D. Juan) dice que ademas de ese dic­ pero nosotros que estamos en medio de una guerra civil ¿np ñor Secretario del Despacho de Gracia y Justicia , en que acom­ tamen hay un voto particular del Sr. M artin. tenemos bastante experiencia con lo que ha sucedido después paña copia del que con fecha 10 de Noviembre paso al señor El Sr. PELEGRIN contesta diciendo q ue no consta que del 17 de A b ril, en que se sancion…</t>
  </si>
  <si>
    <t>y Justicia, Gracia</t>
  </si>
  <si>
    <t>Gracia y Justicia</t>
  </si>
  <si>
    <t>…ombrado Presidente de la primer Se abrió á la una y media. Cámara de los Estados generales para la próxima sesión Mr. de D unin está bajo la vigilancia de la policía ; pero S. E. el Ministro Entró en el salón el Sr. Ministro de Gracia y Justicia. sin embargo se le permite pasear por la ciudad con tal que vaya de Estado A. Van-Gernep. (Id.) Leida el acta de la anterior, quedó aprobada. acompañado de un agente vestido de paisano. Quedó enterado él Senado de los dos Reales decretÓs que inserta en su artículo de oficio la Gac…</t>
  </si>
  <si>
    <t>…morir con los buenos, envueltos en la gratitud y de que son deudores á V. M. El cielo, Señora, quiera i S, M, la augusta Reina Gobernadora; conceder á Y. M . , á la excelsa Reina Doña Isabel ir y á la a u ­ El Sr. Ministro de Gracia y Justicia me ha comunica­ Señora; Cuando Y. M . con adm irable sabiduría y aciert&lt; gusta Infanta su Hermana, la vida y felicidad qu^ á Y. M , de­ do en 25 del actual la Real orden siguiente: Jaba la paz tan suspirada al N orte de la Península y la prepa- sean los buenos españoles, los pueblo…</t>
  </si>
  <si>
    <t>…­ Siento que después de una discusión que se ha prolongado dos y viudas la porción de bienes nacionales que fuese suficien­ ción de ganaderos ha acudido al señor ministro de Hacienda, no bastante, y en la cual el Sr. Ministro de Gracia y Justicia h a te , procurando que esten situados en la provincia en que resi­ se les habia hecho justicia , mediante á que la orden dad a so­ hablado dos ó tres veces, no h ay a dado una palabra de c o n s u e ­ dan los interesados en el pueblo de su oriundez. Sus autores se bre el part ic…</t>
  </si>
  <si>
    <t>…....... ............ 1 1 1 1 guna que estemos en el caso de poder dar este voto? El señor Se lee, pasa á la comisión de Fueros, y se acuerda im pri­ En los de 100 á 2 0 0 ...................................... 1 1 4 1 Ministro de Gracia y Justicia tendrá presente que el dia que mir por apéndice en el Diario de las sesiones, una exposición, de En los de200 á 500 ................................... 1 1 6 i se trató esta cuestión anteriormente, me aboqué á S. S ., y ie cinco varas de larg a, de un número considerable de vecinos…</t>
  </si>
  <si>
    <t>…cia para su conocimiento. 'porque he tenido el gusto de oir que ha pedido la palabra el se­ constituyentes, asistieron dos enviados de la mayordomía ma­ A rt. 4.0 Es cargo de los ayuntamientos deliberar conforme ñor Ministro de Gracia y Justicia, y no quiero privar al Con- yor ; y era tal la razón que me asistía para pedir esta determi­ á las leyes y reglamentos: y gre^o de oírle nación , que ellos mismos la confesaron , y determinaron enviar 1 .° Sobre la formación de las ordenanzas municipales, en lia repetido el Sr. Ai…</t>
  </si>
  <si>
    <t>…os- al Presidente de la Regencia el discurso qae este leerá , entre­ E l duque de D a linéela ha tenido el honor de ser recibido dos que en cada -uno leo gao memos adadL Ene estas reuniones; gándole acto continuo al Ministro de Gracia y Justicia para por S, M . hoy á mediodía. los ■Senadores y D i potado* toma rio asiento indis ti uta raen te sin, los efectos prevenidos en el art* Í L Después de tuna ent revivía bastante larga, se separó el ma­ ninguua preferencia, salvo lo dispuesto en los artirulos 18 y Desde el 26 a…</t>
  </si>
  <si>
    <t>…undo aprueba bra al Congreso en una cuestión de tanta gravedad, y sobre la considerar que á nosotros solo el convencimiento íntimo de y forma un voto general. Para mí es evidente que nuestro artí­ cual ha dicho el Sr. Ministro de Gracia y Justicia, contestan­ que deseamos hacer bien á nuestra patria nos ha obligado á culo i.° está conforme con todos los actos del Gobierno que han do á un Sr. D iputado, que por la disidencia de opiniones es ello. Hemos creído que era útil y conveniente esta ley que se antecedido y subseguido…</t>
  </si>
  <si>
    <t>…ente en com­ alusión como algunos han querido hacer creer. Nuestro pensamiento ha paración de lo que tengo que decir: pues qué ¿ se ha de tole­ ción. El unaJusticia tregua , han manifestado un deseo de concilia­ Sr. ministro de Gracia y Justicia ha dicho aqui de­ sido salvar la Constitución del Estado, y no hemos querido ni rar que se menosprecien las leyes, que sor» la garantía de la lante de varios que hubiese la duda de que podía ^ufrir algún menoscabo. nación, y que se la venga después á iusultar? Súfralo el señor pr…</t>
  </si>
  <si>
    <t>…o de Gracia Voy á explicar ante todo un incidente á que se han re­ diga también el Sr. conde de las Navas que no lia desconoci­ y Justicia en esta cuestión, que desgraciadamente parece que ferido los cargos contra el ministro de Gracia y Justicia, y do las intenciones del Gobierno. conduce á un término malo; sino que debiéndome á mí mis­ al que son relativas también las alusiones de los Sres. Madoz Continuaría, señores, pero tiene pedida la palabra el se­ mo y á esas provincias, sobre las cuales necesario es que se y cond…</t>
  </si>
  <si>
    <t>…enido el apoyo de todos mis digaos compa­ no debe te roer ni ngu na dificultad en aproba r!o. acordando que pasase a las secciones. ñeros los Diputados;, de. lias cuatro provincias de Cataluña, si Los Sres. Heros y Secretario de Gracia y Justicia hacen al­ El Sr. Victoria de Lecea fu* agregado i la, cuarta sección, se redujese á que jamas se haga, ni aun"por via de .ensayo, la­ gunas aclaraciones. y el Sr. llompanera de Cas ¡i la quinta.. mas pequeña reforma de aranceles sin venir á las Cortes, pues Después de unas ligeras…</t>
  </si>
  <si>
    <t>…de las N A V A S: En uso de mi derecho pido Zaragoza. 5 de Setiembre Yo creo que S. S. ha confundido dos cosas que deben dis­ que se discuta esa palabra preferente . La persona interesada tinguirse: ha confundido el Ministro de Gracia y Justicia con en defender su elección tiene el derecho de hablar cuando pide Ayer tarde á primera noche fuimos agradablemente sor­ D. Lorenzo Arrazola. Aquí se trata de si se ha cometido defec­ la palabra, pero no con preferencia á otro D iputado, siuo en prendidos con un espectáculo que si…</t>
  </si>
  <si>
    <t>…ular, señores, no contiene ninguna disposición con­ Descuento de letras , á 6 por 100 al año. tra la ley , pues previene una cosa que si se quiere es insustan­ de Carretas, á 8 cuartos. cial , que á nada conduce, y yo Ministro de Gracia y Justicia no la hubiera expedido. N o molestaré mas al Congreso , admí­ taseme ó no; respetaré su decisioo, aunque no podré menos de PR O V ID EN C IA S JU D IC IA L ES. sentir no sentarme en estos bancos por mí y por la provincia de Zamora; pero el Congreso á mi parecer puede resolver qu…</t>
  </si>
  <si>
    <t>…alabra el Sr. presidente M arti­ tanto podia ennoblecer la contienda establecida en tan Por lo dem as, el decreto mismo proclama la necesi­ nez de la Rosa y pronunció un elegante discurso, erudito y buen terreno. El Ministro de Gracia y Justicia, sin em­ dad de la ley: su calidad de medida provisional; el res­ valiente, como todos los de tan esclarecido literato. bargo, no podia esperar verse mejor tratado que lo son peto del Ministro á la Constitución y a las C ortes, y la Comenzó dando las gracias al Ateneo por la honra…</t>
  </si>
  <si>
    <t>…mase mas conveniente; pero esta en sí misma es una de nombró decano del tribunal especial délas Ordenes. Consta por los fondos públicos. aquellas cosas mejores que tiene el decreto, porque en sustancia oficio del Sr. Ministro de Gracia y Justicia que la cruz de Los consolidados se hallan á 64* está reducida á que cuando el Gobierno de § .,Al. sea autorizado Carlos 111, con que fue agraciado este Sr. Diputado, la tiene re­ Consolidados reducidos 95£. para contratar un empréstito en el interior ó en él extrangero, nunciada…</t>
  </si>
  <si>
    <t>…pos colegisladores y formación de un ba al frente de un tribunal, y puedo asegurar que ni por el dre común , conforme al modelo de la consumada ya con la re­ consejo de Estado, cuyo exámen quedó incoado en la anterior Ministro de Gracia y Justicia , ni por ningún otro miembro pública de Méjico , se ve aproximar el momento , según Y. M. legislatura; las de responsabilidad é inamobilidad de los jueces, del Gobierno, ni por nadie se ha hecho jamás la menor indica­ nos indica, en que se reanuden los antiguos lazos que nos que pi…</t>
  </si>
  <si>
    <t>…, " n o hay recur­ res Ministros de la Gobernación y Hacienda. Poco después en­ del dia , desvaneció mi duda completamente el Sr. Roda; pero sos, la guerra ” ; si pide la viu da, "no hay recursos, la guer­ tró el Sr. Ministro de Gracia y Justicia. no asi con respecto a\ proyecto que ahora se trata de discutir. r a ” ; si pide la monja, "ao hay recursos, la guerra.” Señores, El Sr. Ministro de H A C I E N D A : Señores, ya el otro dia Asi que siendo de tanta importancia, y debiendo asistir á esta ¿qué es esto? Los pueblos…</t>
  </si>
  <si>
    <t>…me ha sido rouy al Gobierno lo que pedia ; pero siempre con esta limitación; y el comisión no se dice que el Congreso dé orden al Gobierno; por­ sensible, ofició al espitan general, juez que conocía en esta cau - Sr. Ministro de Gracia y Justicia que está presente contestó que ¿corno á la ilustración y sabiduría de los señores de la co­ sa, para que le dijera qué habia sobre el particular; y este le con nobleza y honradez que estaba vigente la ley de 1821, que misión habrá de ocurrirse tal error? Se dice que el Congreso c…</t>
  </si>
  <si>
    <t>…o de la causa seguida en Sevilla con­ Las Constituciones es verdad que se hacen según ha dicho tra el Sr. D iputado Alvarez no puede venir al Congreso mas Inmediatamente bajaron el te ló n , y algunos momentos el Sr, Ministro de Gracia y Justicia; pero también se forman después salió á anunciar el director del teatro que V an-A m - que para admitirle ó desecharle; y yo estoy persuadido de que con la experiencia en los paises en que han ocurrido escenas lo que se hace aqui hoy es admitir como Diputado al señor burg recibía…</t>
  </si>
  <si>
    <t>…expositiva Je su voto particular. Yo creo, señores, q u e , co­ Gobierno el conocerlas ó no, como ya ha dicho el Sr. Ministro. adm ite, ó no? Varios Sres. Senadores tienen pedida la palabra, mo ha dicho antes el Sr. Ministro de Gracia y Justicia , con Allí no tenemos derecho de la convocación, alli no hay mas explanarán sus razones en esta cuestión grave que se debate, y grande satisfacción m ia , y como también lo han dicho a l g u - que representar; aqui la diputación ha tenido que representar en la cual no hay dos hom…</t>
  </si>
  <si>
    <t>…cubren, nacidos de la diferencia de las dado por nuestra parte; estoy por último conforme con que, neral para que les satisfaciera. circunstancias, del cambio de los intereses y de la inteligencia como ha dicho el Sr. Ministro de Gracia y Justicia, esta es El orador leyó un trozo de la contestación por el duque de de las personas. cuestión de paz, de gobierno, de buena fe, de honor: ninguno la Victoria á la diputación de Alava, y después continúa : Es menester pues que quede perfectamente explicada la con­ puede dudar de est…</t>
  </si>
  <si>
    <t>…po la cláusula unidad constitucional P a r ís , 1 6-6. G r a n a d a , id. id. dos h ay hombres de bien? cuando se trató de la ley de fueros, y á S. S. no le satisface la M á la g a , ¿ á | id. El Sr. LO PEZ : El Sr. Ministro de Gracia y Justicia supo­ explicación que alli di en nombre del Gobierno: este dijo que Santander, $ b. ne una -cosa que yo no he dicho : el argumento que he hecho creía salvarse la unidad de una cosa salvando los principios que A lic a n te , \ b. S a n tia g o , 1£ á 2 d. ha siáo haber el Gobierno p…</t>
  </si>
  <si>
    <t>…sideraciones debidas al Congreso, ruego á id o S. S., se suspendió esta discusión. título: á D . José Motezuma y Rojas, vecino de la ciudad de Y. S. y á los Sres. Diputados rne perdonen. Se leyeron dos oficios del Sr. Ministro de Gracia y Justicia, Ronda , ó á las personas que representen el derecho de esto9, El Sr. Ministro de la G U E R R A : Ha dicho el Sr. conde 1 los que acompañaba dos leyes sancionadas por S. M . : una como á cualquiera que lo tenga en el pleito que quedó pendien­ de las Navas que no estaban pagados l…</t>
  </si>
  <si>
    <t>…ro cierto lo que acababa de manifestar el Sr. Cortina, la comisión capitán no podia extenderse á mas en su dictámen porque no aparecía comandante de su única compañía de la Milicia nacio­ que debe pasar también ¿T Sr. Ministro de Gracia y Justicia. nal , dirigía justificado con documentos; que no está en las atribuciones del gastos de exacción, al Congreso, pidiendo se le levantase la multa y El Sr^ P E R E Z D E R I V A S insiste en la defensa del dict a­ asi como también la restricción de no Congreso el aplicar las leyes…</t>
  </si>
  <si>
    <t>…an hecho pe­ cerse asegurar á esta nación tas reformas que ha hecho , y en las A hora, ya que estoy aqui, continuó, voy á deshacer una ticiones en este Congreso y fuera de él ; y ahora que reúne equivocación del Sr. Ministro de Gracia y Justicia , á la cual S. S. al cargo de Ministro de Gracia y Justicia el de Ministro cuales encuentra una débil y tardía recompensa de sus sacrificios no pude contestar por hallarme entonces en la silla de la pre­ de la Gobernación, puede mejor que nunca decir si los depen­ pueblo libertadp…</t>
  </si>
  <si>
    <t>…ora los rumores sa­ Llegam o s, señores, á la cuestión de libertad de imprenta: y ei valiente no podría continuar con su c a rg o , y la patria lían de la tribuna p úb lica, y podriau influ ir en el crédito de el Sr. Ministro de Gracia y Justicia al contestar en la últim a qutdaria inal servida. la nación; pero que mas influencia podrían tener los que en la sesión al cargo que se le hizo , raciocinó de una manera suma­ Entro y a a tratar de los cargos de pasado. El Gobierno de legislatura pasada salían en sentido contrari…</t>
  </si>
  <si>
    <t>…una y media, y leida el acta de la anterior, con un principio de buena legislación, y aun podia decirse que con un principio constitucional, pues S. S. no podia admitir, fue aprobada. . . Se hallaba presente el Sr. Ministro de Gracia y Justicia. ni admitía la Constitución, ni la razón misma que se nombrase REDACCION DE LA GACETA. El Sr. Presidente concedió la palabra á la comisión de Ac­ á una persona determinada para ser juez de un negocio deter­ t a s , y su Secretario el Sr. Caneja ocupó la tribuna y leyó los minado t…</t>
  </si>
  <si>
    <t>…D E Z BA EZA rogó al Congreso que pues­ to que se esperaba otra discusión mas interesante, se sirviese suspender esta. S. M. la R e i n a , s u augusta Madre la R e i n a G o b e r n a ­ NOTICIAS NACIONALES. El Sr. Ministro de Gracia y Justicia se hallaba presente. d o r a y la Serma. Sra. Infanta D o ñ a María Luisa Fer­ Continúa la discusión del párrafo primero del proyecto de nanda, c o n t i n ú a n en esta corte sin novedad en su im­ Zaragoza 27 de Octubre. contestación al discurso del trono. El Sr. conde de las N…</t>
  </si>
  <si>
    <t>…momento quiere ampararse de ella. he equivocado ó no, el Congreso lo juzgará. "que cuando quiera que el Gobierno se retirase al hogar do­ Se hace también cargo por el restablecimiento del diezmo. El Sr. LOPEZ: El Sr. Ministro de Gracia y Justicia me méstico, llevaría al menos el consttelo de haber hecho por el Yo no creo que se haya restablecido una contribución extin­ ha hecho el honor de citar un discurso de los diversos que pro­ pais el bien posible.” guida , porque se ha llamado anticipo en cualidad de abonarse nuncié…</t>
  </si>
  <si>
    <t>y Justicia, Ministro de Gracia</t>
  </si>
  <si>
    <t>Ministro de Gracia y Justicia</t>
  </si>
  <si>
    <t>…Holanda ha nombrado Presidente de la primer Se abrió á la una y media. Cámara de los Estados generales para la próxima sesión Mr. de D unin está bajo la vigilancia de la policía ; pero S. E. el Ministro Entró en el salón el Sr. Ministro de Gracia y Justicia. sin embargo se le permite pasear por la ciudad con tal que vaya de Estado A. Van-Gernep. (Id.) Leida el acta de la anterior, quedó aprobada. acompañado de un agente vestido de paisano. Quedó enterado él Senado de los dos Reales decretÓs que inserta en su artículo de o…</t>
  </si>
  <si>
    <t>…ecto sabrán morir con los buenos, envueltos en la gratitud y de que son deudores á V. M. El cielo, Señora, quiera i S, M, la augusta Reina Gobernadora; conceder á Y. M . , á la excelsa Reina Doña Isabel ir y á la a u ­ El Sr. Ministro de Gracia y Justicia me ha comunica­ Señora; Cuando Y. M . con adm irable sabiduría y aciert&lt; gusta Infanta su Hermana, la vida y felicidad qu^ á Y. M , de­ do en 25 del actual la Real orden siguiente: Jaba la paz tan suspirada al N orte de la Península y la prepa- sean los buenos españoles…</t>
  </si>
  <si>
    <t>…e la asocia­ Siento que después de una discusión que se ha prolongado dos y viudas la porción de bienes nacionales que fuese suficien­ ción de ganaderos ha acudido al señor ministro de Hacienda, no bastante, y en la cual el Sr. Ministro de Gracia y Justicia h a te , procurando que esten situados en la provincia en que resi­ se les habia hecho justicia , mediante á que la orden dad a so­ hablado dos ó tres veces, no h ay a dado una palabra de c o n s u e ­ dan los interesados en el pueblo de su oriundez. Sus autores se br…</t>
  </si>
  <si>
    <t>…do todo el mundo aprueba bra al Congreso en una cuestión de tanta gravedad, y sobre la considerar que á nosotros solo el convencimiento íntimo de y forma un voto general. Para mí es evidente que nuestro artí­ cual ha dicho el Sr. Ministro de Gracia y Justicia, contestan­ que deseamos hacer bien á nuestra patria nos ha obligado á culo i.° está conforme con todos los actos del Gobierno que han do á un Sr. D iputado, que por la disidencia de opiniones es ello. Hemos creído que era útil y conveniente esta ley que se antecedido y…</t>
  </si>
  <si>
    <t>…se afanaban porque todos se retira­ co pues á los señores taquígrafos tomen bien mis palabras. Ha todos mis amigos ser un instrumento de la verdadera paz, ran por evitar el escándalo de la tribuna, nada se concluyó: dicho el Sr. Ministro de Gracia y Justicia que nó ha tomado un agente incansable para unir los diferentes ánimos por doc­ esto es la verdad. Esta mañana al entrar en el salón de co­ ninguna especie de compromiso: puedo decir sobre mi honor trinas y palabras. Apelo al testimonio de mis dignos com­ lumnas también…</t>
  </si>
  <si>
    <t>…r de se estimase mas conveniente; pero esta en sí misma es una de nombró decano del tribunal especial délas Ordenes. Consta por los fondos públicos. aquellas cosas mejores que tiene el decreto, porque en sustancia oficio del Sr. Ministro de Gracia y Justicia que la cruz de Los consolidados se hallan á 64* está reducida á que cuando el Gobierno de § .,Al. sea autorizado Carlos 111, con que fue agraciado este Sr. Diputado, la tiene re­ Consolidados reducidos 95£. para contratar un empréstito en el interior ó en él extranger…</t>
  </si>
  <si>
    <t>…el retirado, " n o hay recur­ res Ministros de la Gobernación y Hacienda. Poco después en­ del dia , desvaneció mi duda completamente el Sr. Roda; pero sos, la guerra ” ; si pide la viu da, "no hay recursos, la guer­ tró el Sr. Ministro de Gracia y Justicia. no asi con respecto a\ proyecto que ahora se trata de discutir. r a ” ; si pide la monja, "ao hay recursos, la guerra.” Señores, El Sr. Ministro de H A C I E N D A : Señores, ya el otro dia Asi que siendo de tanta importancia, y debiendo asistir á esta ¿qué es esto?…</t>
  </si>
  <si>
    <t>…ada ahora , me ha sido rouy al Gobierno lo que pedia ; pero siempre con esta limitación; y el comisión no se dice que el Congreso dé orden al Gobierno; por­ sensible, ofició al espitan general, juez que conocía en esta cau - Sr. Ministro de Gracia y Justicia que está presente contestó que ¿corno á la ilustración y sabiduría de los señores de la co­ sa, para que le dijera qué habia sobre el particular; y este le con nobleza y honradez que estaba vigente la ley de 1821, que misión habrá de ocurrirse tal error? Se dice que el…</t>
  </si>
  <si>
    <t>…cute, ¿la te expositiva Je su voto particular. Yo creo, señores, q u e , co­ Gobierno el conocerlas ó no, como ya ha dicho el Sr. Ministro. adm ite, ó no? Varios Sres. Senadores tienen pedida la palabra, mo ha dicho antes el Sr. Ministro de Gracia y Justicia , con Allí no tenemos derecho de la convocación, alli no hay mas explanarán sus razones en esta cuestión grave que se debate, y grande satisfacción m ia , y como también lo han dicho a l g u - que representar; aqui la diputación ha tenido que representar en la cual no…</t>
  </si>
  <si>
    <t>…ue no se descubren, nacidos de la diferencia de las dado por nuestra parte; estoy por último conforme con que, neral para que les satisfaciera. circunstancias, del cambio de los intereses y de la inteligencia como ha dicho el Sr. Ministro de Gracia y Justicia, esta es El orador leyó un trozo de la contestación por el duque de de las personas. cuestión de paz, de gobierno, de buena fe, de honor: ninguno la Victoria á la diputación de Alava, y después continúa : Es menester pues que quede perfectamente explicada la con­ puede…</t>
  </si>
  <si>
    <t>…el otro cuerpo la cláusula unidad constitucional P a r ís , 1 6-6. G r a n a d a , id. id. dos h ay hombres de bien? cuando se trató de la ley de fueros, y á S. S. no le satisface la M á la g a , ¿ á | id. El Sr. LO PEZ : El Sr. Ministro de Gracia y Justicia supo­ explicación que alli di en nombre del Gobierno: este dijo que Santander, $ b. ne una -cosa que yo no he dicho : el argumento que he hecho creía salvarse la unidad de una cosa salvando los principios que A lic a n te , \ b. S a n tia g o , 1£ á 2 d. ha siáo haber e…</t>
  </si>
  <si>
    <t>…to á las consideraciones debidas al Congreso, ruego á id o S. S., se suspendió esta discusión. título: á D . José Motezuma y Rojas, vecino de la ciudad de Y. S. y á los Sres. Diputados rne perdonen. Se leyeron dos oficios del Sr. Ministro de Gracia y Justicia, Ronda , ó á las personas que representen el derecho de esto9, El Sr. Ministro de la G U E R R A : Ha dicho el Sr. conde 1 los que acompañaba dos leyes sancionadas por S. M . : una como á cualquiera que lo tenga en el pleito que quedó pendien­ de las Navas que no estab…</t>
  </si>
  <si>
    <t>…ernación; pero cierto lo que acababa de manifestar el Sr. Cortina, la comisión capitán no podia extenderse á mas en su dictámen porque no aparecía comandante de su única compañía de la Milicia nacio­ que debe pasar también ¿T Sr. Ministro de Gracia y Justicia. nal , dirigía justificado con documentos; que no está en las atribuciones del gastos de exacción, al Congreso, pidiendo se le levantase la multa y El Sr^ P E R E Z D E R I V A S insiste en la defensa del dict a­ asi como también la restricción de no Congreso el aplic…</t>
  </si>
  <si>
    <t>…lo cual se han hecho pe­ cerse asegurar á esta nación tas reformas que ha hecho , y en las A hora, ya que estoy aqui, continuó, voy á deshacer una ticiones en este Congreso y fuera de él ; y ahora que reúne equivocación del Sr. Ministro de Gracia y Justicia , á la cual S. S. al cargo de Ministro de Gracia y Justicia el de Ministro cuales encuentra una débil y tardía recompensa de sus sacrificios no pude contestar por hallarme entonces en la silla de la pre­ de la Gobernación, puede mejor que nunca decir si los depen­ pueb…</t>
  </si>
  <si>
    <t>…dijo que ahora los rumores sa­ Llegam o s, señores, á la cuestión de libertad de imprenta: y ei valiente no podría continuar con su c a rg o , y la patria lían de la tribuna p úb lica, y podriau influ ir en el crédito de el Sr. Ministro de Gracia y Justicia al contestar en la últim a qutdaria inal servida. la nación; pero que mas influencia podrían tener los que en la sesión al cargo que se le hizo , raciocinó de una manera suma­ Entro y a a tratar de los cargos de pasado. El Gobierno de legislatura pasada salían en sent…</t>
  </si>
  <si>
    <t>…abrió á la una y media, y leida el acta de la anterior, con un principio de buena legislación, y aun podia decirse que con un principio constitucional, pues S. S. no podia admitir, fue aprobada. . . Se hallaba presente el Sr. Ministro de Gracia y Justicia. ni admitía la Constitución, ni la razón misma que se nombrase REDACCION DE LA GACETA. El Sr. Presidente concedió la palabra á la comisión de Ac­ á una persona determinada para ser juez de un negocio deter­ t a s , y su Secretario el Sr. Caneja ocupó la tribuna y leyó…</t>
  </si>
  <si>
    <t>…F E R N A N D E Z BA EZA rogó al Congreso que pues­ to que se esperaba otra discusión mas interesante, se sirviese suspender esta. S. M. la R e i n a , s u augusta Madre la R e i n a G o b e r n a ­ NOTICIAS NACIONALES. El Sr. Ministro de Gracia y Justicia se hallaba presente. d o r a y la Serma. Sra. Infanta D o ñ a María Luisa Fer­ Continúa la discusión del párrafo primero del proyecto de nanda, c o n t i n ú a n en esta corte sin novedad en su im­ Zaragoza 27 de Octubre. contestación al discurso del trono. El Sr. co…</t>
  </si>
  <si>
    <t>…se:” d ije momento quiere ampararse de ella. he equivocado ó no, el Congreso lo juzgará. "que cuando quiera que el Gobierno se retirase al hogar do­ Se hace también cargo por el restablecimiento del diezmo. El Sr. LOPEZ: El Sr. Ministro de Gracia y Justicia me méstico, llevaría al menos el consttelo de haber hecho por el Yo no creo que se haya restablecido una contribución extin­ ha hecho el honor de citar un discurso de los diversos que pro­ pais el bien posible.” guida , porque se ha llamado anticipo en cualidad de abo…</t>
  </si>
  <si>
    <t>y Justicia, Mioistro de Gracia</t>
  </si>
  <si>
    <t>Mioistro de Gracia y Justicia</t>
  </si>
  <si>
    <t>…nes, y probar que ne en el caso de contestar, puesto que asi lo exige el mismo verificó asi , poniéndolo á disposición del gobernador de Daro- dichas elecciones adolecían de los vicios que se le achacaban, orden, a lo que el Sr. Mioistro de Gracia y Justicia dijo ayer, ca. Y añade que se habían presentado á indulto en esta plaza puesto que la comisión no encontraba en el acta cosa alguoa respondiendo al Sr. López. Procuraré hacerlo con 1» tempW** el secretario Manuel Velazquez y 16 individuos mas de la par­ que pudiese de…</t>
  </si>
  <si>
    <t>y Justicia, Mímislro de Gracia</t>
  </si>
  <si>
    <t>Mímislro de Gracia y Justicia</t>
  </si>
  <si>
    <t>…rs. va. Estado eraEsto la, actualidad,, á nada expresa, ó expresa una idea tad© se queda atrás* la nación avanza y el Gobierno tiene que que en vales Reales y en efectivo metálico se impusieren era el seguir- á la nación. (El Sr. Mímislro de Gracia y Justicia pi­ año pasado de 1806 por Pedro López, vecino que fue de esta falsa,.Concibo un Consejo de Estado bajo.' el Gobierno absoluto, cu­ dió la palabra.) Yo creo que si el Sr» Ministro de Gracia y corte, era la casa compañía de comercio de los cinco G reto ios yas atribucion…</t>
  </si>
  <si>
    <t>y la, Algarra</t>
  </si>
  <si>
    <t>Algarra y la</t>
  </si>
  <si>
    <t>…ece­ Las últimas noticias recibidas que se tienen de K urschid- saria su tolerancia para que la función fuese del todo lucida Asilo de mendicidad de Toledo. baja son de £I-K.ardsch , situado en la parte oriental de Medsch El Sr. Algarra y la señorita Cañizal, hija del administrado! en donde impone crecidas contribuciones, y estrecha á sus ha­ de rentas de esta provincia, arrancaron con justicia repetido La junta directiva y administrativa se complace en mani­ bitantes para que se sometan. Espera órdenes ulteriores para apla…</t>
  </si>
  <si>
    <t>y la, Ayerve</t>
  </si>
  <si>
    <t>Ayerve y la</t>
  </si>
  <si>
    <t>…. El ministro ha tratado de justificar su marcha durante el A consecuencia de la acción que según noticias contestes ha curso de las negociaciones; siente el no haber obtenido mejores tenido lugar entre la división del general Ayerve y las fuerzas M adrid 15 de Marzo de 1859. ^ D o m in g o Jiménez. condiciones ; pero ha defendido con calor y persecución la cau­ sa del Limburgo y del Luxemburgo; de consiguiente aqui no rebeldes del cabecilla Cabrera, en la que este ha sido completa­ ha habido falta de vigilancia, de si…</t>
  </si>
  <si>
    <t>y la, Borso</t>
  </si>
  <si>
    <t>Borso y la</t>
  </si>
  <si>
    <t>…osto 19 de gativacobstitucidnal. Igualada, habiendo salido el 25 para Manresa en combinación 1939.=Valentin Canalizo. = Excmo. Sr. Ministro de Guerra y - w El ayuntamiento constitucional y cura ecónomo de la villa con el general Borso y la división expedicionaria, donde per­ Marina. níe R dcovos sé creen es llegada la hora de apresurarse á dirigir maneció hasta el 27 que emprendió su marcha en persecución ah débil voz á Y. M. y felicitarla por tan faustos sucesos y del enemigo que trataba de invadir el fértil territorio d…</t>
  </si>
  <si>
    <t>y la, CANEJA</t>
  </si>
  <si>
    <t>CANEJA y la</t>
  </si>
  <si>
    <t>…presupuesto aprobado por la ley de S. Fernando, y acompañó para acreditar tenia la renta que de 27 de Julio del año pasado. Tendréislo entendido, y Habiéndose dignado S. M. aprobar al nombramiento de pro­ la Constitución El Sr. CANEJA y la ley electoral exigen para ser Senador. como de la comisión, dijo que esta no dispondréis lo necesario á su cumplimiento.=Está rubri­ curador general y comisario colectador para la provincia cado de la Real mano. En Palacio á 8 de Enero de 1839.= de San Gregorio de franciscos descalzo…</t>
  </si>
  <si>
    <t>y La, Cirilo de Castro</t>
  </si>
  <si>
    <t>Cirilo de Castro y La</t>
  </si>
  <si>
    <t>…Z a ra go z a . Jesde 1.° de J u lio á 31 de Agosto. Descuento de letras , á 6 por 100 al año. A lama.= D. Tomas P arrav erde, in terino : desde 15 de J u ­ P r o v in cia d e C d ceres, nio á 15 de Setiembre. o Quinto. z:D. Cirilo de Castro y La p lana, interino por Real Ju n ta d e quem a d e d o cu m en to s d e la d eu d a p ú b lica . Baños de M ontemayor.= D. Francisco M artínez, en M ad rid : orden de 5 de Noviembre de 1 8 5 6 , en Barbastro: desde 1.° Con arreglo á lo dispuesto en el Real decreto de 15 de M a…</t>
  </si>
  <si>
    <t>y la, Cuesta de Urria</t>
  </si>
  <si>
    <t>Cuesta de Urria y la</t>
  </si>
  <si>
    <t>…ducción: Monu­ N im ega y el 50 á Haya. [Journal allemand de Francfort.) marquesa de Arcos y su preciosa niña D oña M a tild e, la Seño­ mento consagrado d Libero Padre (esto es, Baco.) Lucio Ce* ra Calvo de Armenteros, la Sra. Cuesta de Urria y las señori­ lio Saturnino por el honor del Sevirato de Lucio Cecilio tas de Ferrer, adornadas con tanto lujo como magnificencia, y Parthenopeo , liberto , y en los edictos para los juegos escé­ Idem 28. otras muchas que ofrecieron á un numeroso concurso nacional nicos. Es sumame…</t>
  </si>
  <si>
    <t>y la, D. Francisco</t>
  </si>
  <si>
    <t>D. Francisco y la</t>
  </si>
  <si>
    <t>…r, frente á las si por el tribunal correspondiente. Sfradas de San Felipe; en las provincias, C anarias, Puerto-R ico G el hecho, señores , no es cierto , y estaba mal informado parezcan á deducirle en debida forma ante el Sr. D. Francisco y la H ab an a, en las administraciones de correos; en Paris en S. S., ó el Sr. Ministro se ha hecho un cargo gravísimo, del cual Amorós y L ópez, juez de primera instancia en la m ism a, y ?scribanía de número que despacha el D r. D . Claudio Sauz y :asa de Messieurs G irard Freres,…</t>
  </si>
  <si>
    <t>y la, Gracia</t>
  </si>
  <si>
    <t>Gracia y la</t>
  </si>
  <si>
    <t>…aber una advertencia suya particular á la circu­ señores, importa mucho á las Cortes, no se crea que van contra concluir solamente una observación , que la suerte de los jueces lar de convocatoria remitida por el Sr. Ministro de Gracia y la ley ; y lo que ha manifestado el Sr. Osea no es para inter­ de primera instancia depende de los regentes de las audiencias, Ju s tic ia . * pretarla sino para argüir contra ella. y que es sabida la influencia que tienen en las elecciones estos El Sr. O L O Z A G A , refiriéndose al Dia…</t>
  </si>
  <si>
    <t>y la, Justo</t>
  </si>
  <si>
    <t>Justo y la</t>
  </si>
  <si>
    <t>…título en concepto de madre, su pueblo, por cuya razón se puso desde luego esta nota al efecto dramático en el tomo segundo que en el primero. tutora y curadora de la Excma. Sra. condesa de Montijo, de margen de su entrada. D. Justo y la V iuda andaluza, especiales adornos de esta Miranda y de Mora. Enterado el Sr. semanero del establecimiento de esta nove­ segunda parte, son creaciones bastante afortunadas y ver­ dad , dLpuso fuese trasladada inmediatamente.á la sala de dis­ daderas á todas luces; la última sobre todo.…</t>
  </si>
  <si>
    <t>…ncipales caudillos, y hallándose errantes y divi­ efecto dramático en el tomo segundo que en el primero. mera instancia de esta corte , refrendada del escribano de S. M. didos los pocos bandidos que todavía no han depuesto las D. Justo y la V iuda andaluza, especiales adornos de esta del número del crimen D. Manuel Fernandez de Pazos, se cita, armas. llama y emplaza á Francisco Mas y Guerrero, conocido vul­ Por la comunicación del coronel Fontoura, inserta en este segunda parte, son creaciones bastante afortunadas y ver­ g…</t>
  </si>
  <si>
    <t>y la, Leandro Fernandez</t>
  </si>
  <si>
    <t>Leandro Fernandez y la</t>
  </si>
  <si>
    <t>…idas, diantes no quisieron abandonar el anfiteatro sin dar una triple ha sido analizar el verdadero m érito y valor de las co ­ salva de aplausos, una en honor de la Reina, otra por las damas medias de nuestro célebre poeta D. Leandro Fernandez y la tercara por W ellington y sir Roberto Peel, acompañada PARTE NO OFICIAL. de silbidos por el ministerio Melbourne. Al salir del anfiteatro de Moratin. Dificultad, y no poca, había en este trabajo; ya por ser empresa punto menos que im posible ejercer la el vicecanciller co…</t>
  </si>
  <si>
    <t>y la, Manuel Sierra</t>
  </si>
  <si>
    <t>Manuel Sierra y la</t>
  </si>
  <si>
    <t>…s á dar crédito á los rumores p ú ­ D. M anuel N ieto, D. Andrés A qu il y O’Conell, D. José M a ­ M aría de Gispert. blicos que corrían sobre este acontecimiento: reflexionábamos en ría Secades , D. Felipe Canga A rguelles, D. Manuel Sierra y la gran distancia de los lugares y en la dificultad suma que D. R a m e a González, responsables de dicho im p reso : y á su experimentan nuestras comunicaciones con los católicos de aquel Escriben de la Coruña el 7 de Diciembre : consecuencia debia de m an d ar, y mandó se alce y c…</t>
  </si>
  <si>
    <t>y la, Ministro</t>
  </si>
  <si>
    <t>Ministro y la</t>
  </si>
  <si>
    <t>…y otras atenciones; pero que hay que tener presente acabo de manifestar por defender el honor de la magistratura que el presupuesto de lo recaudado hasta el dia en e^te año es El Sr. conde de las N A V A S expresó que si el Sr. Ministro y la moralidad de los ministros , no la m i a , que yo no he s i­ de millones, debiendo ser de 650. de Gracia y Justicia lamentaba los abusos, unía sus lamenta­ El Sr. conde de las N A V A S manifiesta que no ha hecho do el autor de esa disposición, si ella fuere vituperable, lo que cio…</t>
  </si>
  <si>
    <t>y la, Ministro de Gracia</t>
  </si>
  <si>
    <t>Ministro de Gracia y la</t>
  </si>
  <si>
    <t>…l hecho de haber una advertencia suya particular á la circu­ señores, importa mucho á las Cortes, no se crea que van contra concluir solamente una observación , que la suerte de los jueces lar de convocatoria remitida por el Sr. Ministro de Gracia y la ley ; y lo que ha manifestado el Sr. Osea no es para inter­ de primera instancia depende de los regentes de las audiencias, Ju s tic ia . * pretarla sino para argüir contra ella. y que es sabida la influencia que tienen en las elecciones estos El Sr. O L O Z A G A , refirié…</t>
  </si>
  <si>
    <t>y la, Orleans</t>
  </si>
  <si>
    <t>Orleans y la</t>
  </si>
  <si>
    <t>N.° 1744. VIERNES 23 DE AGOSTO DE 1839. d ie z cuarto s. O JEA D A SOBRE E L O R IE N T E . E l duque de Orleans y la duquesa su esposa han entrado PARTE OFICIAL. hoy en Tours á las once de la mañana : un inmenso concurso E l próximo desenlace de losasuntosde O rie nte , mirado ba­ de la ciudad y de las cercanías estaba aguardando á SS. A A . . ___ jo el punto de vista diplomático , no puede ser otr…</t>
  </si>
  <si>
    <t>y la, Rafael Maroto</t>
  </si>
  <si>
    <t>Rafael Maroto y la</t>
  </si>
  <si>
    <t>…ercarse el tér­ y Guipúzcoa , y esta palabra dulce y encantadora ha sido aco-r mino de una guerra que tanto ha afligido el corazón de una gida con entusiasmo, y victoreada con enardecimiento. El ge­ Reina y de una Madre. neral D. Rafael Maroto y las divisiones vizcaína , guipuzcoa- El carácter de clemencia y de reconciliación que la Real na y castellana, que solo han recibido desaires y tristes desen­ El T im es publica documentos m uy curiosos sobre la lucha gaños dél pretendido rey , han escuchado ya la voz de paz , y de…</t>
  </si>
  <si>
    <t>y la, Rafel Maroto</t>
  </si>
  <si>
    <t>Rafel Maroto y la</t>
  </si>
  <si>
    <t>…provincias, un mes 7 rs., un trimestre 18, id. haberse sometido al legítimo Gobierno de S. M. el general 91................... 16 de Marzo de 1824 ............. 540 Si la suscripción se hace en M adrid, un mes 6 rs., un tri­ D. Rafel Maroto y las tropas de su mando. Hubo un repi­ 40 9 de Agosto de id.................... 54O mestre 15, id. que general de campanas para celebrar tan satisfactorio suceso; 158................... 24 de Marzo de 1825............... 540 Se suscribe á esta colección y at periódico de literatura y…</t>
  </si>
  <si>
    <t>y la, Sancho</t>
  </si>
  <si>
    <t>Sancho y la</t>
  </si>
  <si>
    <t>…u n d a n e a que quede á p u e sto , ni lo creo y o h oy después de haber oído los recelos del naciones de E uro p a , y no he visto nun ca que al tercero 6 salvo la C onstitución ; y aun qu e el Gobierno esté conforme, es Sr. Sancho y las declamaciones de alg u n o s o tr o s , h ij a s de su c u arto discurso h a y a dejado de decir el Gobierno wmi pensa­ menester que ese compromiso esté e sc rito , porque los ministros sen tim iento..N o lo ha c re id o , no lo cree; lo que h a g a h o y , m a ­ miento es ese.” ¿ Q u…</t>
  </si>
  <si>
    <t>y la, Valencia</t>
  </si>
  <si>
    <t>Valencia y la</t>
  </si>
  <si>
    <t>…encia á latrabas, pero mantener en los y la mordacidad.” Tal vez, observó con este motivo el señor Es­ autoridad; á esto puede re­ vivo cañoneo que anunciaba haberse comprometido la acción entre la división del bizarro general Valencia y las fuerzas re­ ducirse toda la política y planes de los Ministros Floridablan- cario, nos convendría tener hoy una libertad de imprenta se­ gún dice Floridablanca que la deseaba. unidas de los facciosos; y S. E. que prevenia todos los casos ca, Aran dahoy, Roda, y Campomanes, Ministros…</t>
  </si>
  <si>
    <t>…o , cuando se oyó un las cinco de la mañana tuvo la audacia de atacarme. Ahora cañonazo que anunciaba haberse comprometido la acción entre I que son las diez y media queda cumplidamente derrotado la división del bizarro general Valencia y las fuerzas reunidas después de una sangrienta y reñidísima refriega , quedando El ofició fúnebre decretado por el consejo municipal de de los facciosos; y S. E ., que prevenía todos los casos posibles prisioneros el eje principal de la revolución el ex-general Me­ Ajaccio en honor de» c…</t>
  </si>
  <si>
    <t>y la, Y. de la Vega. Ministerio</t>
  </si>
  <si>
    <t>Y. de la Vega. Ministerio y la</t>
  </si>
  <si>
    <t>…separarse de la opi­ La segunda dama duende , comedia en tres actos, arre­ meros en Mr. C ahnon, candidato propuesto de consuno por el nión de sus dignos compañeros ; y siendo ya pasadas las cuatro glada á nuestra escena , por D. Y. de la Vega. Ministerio y la oposición, y en MM. Hipólito Passy y D u - horas de sesión , el Sr. Presidente anuació al Sr. Olózaga que El chistoso F ígaro, en un artículo que publicó con el títu­ chatel, conocidos individuos de esta última. M r. Odilon Bar- creyendo que aun continuaría 8 . S. en e…</t>
  </si>
  <si>
    <t>y Lar-, Gregorio Romero</t>
  </si>
  <si>
    <t>Gregorio Romero y Lar-</t>
  </si>
  <si>
    <t>…10 rines que da, manifiestan el fino gusto y delicado tacto blecimiento de Amsterdam, y noté en él numerosos vicios con puedan recibir las visitas de dos individuos. La primera reu­ los cuales se de su director, nuestro amigo D. Gregorio Romero y Lar- pliega en lo exterior.debe ser rigoroso en presencia del lujo que se des­ nión compuesta de 80 señoras se celebró en Groninga en 26 de Enero de este año; en ella se firmó el reglamento, y se contra­ rañaga. Ademas su módico precio la ponen al alcance de jeron las obligaciones…</t>
  </si>
  <si>
    <t>y Larrañaga, Gregorio Romero</t>
  </si>
  <si>
    <t>Gregorio Romero y Larrañaga</t>
  </si>
  <si>
    <t>…á , qae es sin librerías de EscamilL y de Cuesta la comedia en dos actos, tra­ cribano del número del crimen D. Blas Moreno, se cita, llama disputa el mejor de cuantos han salido á luz hasta el dia , ha­ ducida del francés por D. Gregorio Romero y Larrañaga, ti­ y emplaza por primer edicto á Faustino izquierdo, alias Cha­ ce años que está agotada enteramente , sobre que su simple re­ tulada parro, pnra que dentro del término de nueye dias, siguientes impresión no seria suficiente para llenar el inmenso vacío que se­ L A CUÑ…</t>
  </si>
  <si>
    <t>y Las, Secretario de Estado</t>
  </si>
  <si>
    <t>Secretario de Estado y Las</t>
  </si>
  <si>
    <t>…D ios guarde á Y . E. muchos años. Madrid 2 6 de Abril de 1 8 5 9 .= sitivo es que por el momento no hay que temer una colisión. nión.de los Lores. El poder ejecutivo no puede ser dirigido á la Excmo. 8r.=Zenon Asuero.=Excmo. Sr. Secretario de Estado y Las partes que se disputaban el territorio, aguardarán á que un par conforme á la voluntad de los C om unes, y conforme á la del Despacho de la Gobernariou de la Península. tribunal supremo decida el negocio. de los Lores: cuando las dos Cámaras no se hallen de acuerdo, es me…</t>
  </si>
  <si>
    <t>y Lastra, Manuel Pasaron</t>
  </si>
  <si>
    <t>Manuel Pasaron y Lastra</t>
  </si>
  <si>
    <t>…o en estos leales habitan­ D. Juan Francisco Carballo Otero , juez de primera instan­ guarde muchos años asi como la de V. M. para la prosperidad tes el júbilo que era de esperar, sin que la coincidencia de cia de Luarca , y D. Manuel Pasaron y Lastra, que lo es del de la monarquía. hallarse algunas hordas enemigas á la vista de esta plaza sir­ Padrón , han solicitado la permuta de sus respectivos destinos, Badajoz X. ° de Octubre de 1859.=Señora.=:A L. R. P. de viese de embarazo para que espontáneamente y por diversos y…</t>
  </si>
  <si>
    <t>y Lceches, Jacinto Gaoaa</t>
  </si>
  <si>
    <t>Jacinto Gaoaa y Lceches</t>
  </si>
  <si>
    <t>…o encubriendo la verdad; y solo se ve claramente que Ju n ta d e quema d e docu m entos d e la d eu da pública. los franceses no tienen dé que jactarse. Si nosotros fuéramos acudirá al cilado juzgado y escribanía á cargo de D. Jacinto Gaoaa y Lceches , dentro del indicado término. M adrid y F e­ como esos miserables periodistas que adoptan sin escrúpulo y Con arreglo á lo disouesto en el R.eal decreto de 13 de M a r ­ brero 21 de 1859. sin la menor delicadezá los rumores mas absurdos cuandó sor zo de 1857 se ha servido…</t>
  </si>
  <si>
    <t>y Lo-, D. Francisco Amorós</t>
  </si>
  <si>
    <t>D. Francisco Amorós y Lo-</t>
  </si>
  <si>
    <t>…9 CRUZ. A las siete de la noche. Se volverá á poner en es­ PROVIDENCIAS JUDICIALES. cena la ópera en dos actos poema de Romani, música de Belli- Total exportación.... 5.254,945 5 17 n i, titulada virtud de providencia del Sr. D. Francisco Amorós y Lo- ^ pez, magistrado honorario de la audiencia territorial de L A STRANIERA. Albacete, juez de primera instancia de esta cap ital, refrendada CORRESPONDENCIA DE LA GACETA. del escribano del colegio y oúmero de ella D. A gustín Seco, se vuelve á c ita r, llamar y emplazar á…</t>
  </si>
  <si>
    <t>…s en las diferentes nació* nes. El .filósofo puede y debe analizar las operaciones de PRÍNCIPE. A las ófchó y inedia de la noche. Se pondrá la mente en la formación de las ideas, juicios y racioci­ virtud de providencia del Sr. D. Francisco Amorós y Lo- én escena el drama nUéVo én dos actos, traducido del francés nios; pero los que crearon ios idiomas ¿ h a b ía n hecho esta ^ pez , juez de primera instancia en esta capital, refrendada •abia y profunda analisis?=: A. L.=(/¿7 Tiempo,) del escribano del número D. José Garc…</t>
  </si>
  <si>
    <t>y Loeches, Jacinto Gaona</t>
  </si>
  <si>
    <t>Jacinto Gaona y Loeches</t>
  </si>
  <si>
    <t>…deñan y proscriben ia prac­ coitia las fuerzas de 1a división guipuzcoana que cubrían la lí­ A del Sr. D. Benito Serrano y Aliaga , y escribanía del nú­ tica. nea de 8. Sebastian en número de cuatro batallones y medio mero de D. Jacinto Gaona y Loeches, una casa sita en la calle No nos pesa de haber promovido esta cuestión, p o r­ para verificar su incorporación á nuestro ejército en los misinos que la juzgamos de trascendencia, como que va nada términos que lo hicieron las divisiones vizcaína, castellana y la de la Estrel…</t>
  </si>
  <si>
    <t>…sto próximos en el colegio que fue de jesuítas, y hoy palacio episcopal, y ho­ E N virtud de providencia del Sr. D. Benito Serrano y Alia- ras de tas diez á las dos de la tarde, se celebrarán los arrenda­ g a, refrendada de D. Jacinto Gaona y Loeches , escriba­ mientos en remate público del medio diezmo, primicia y de­ T A cuestión social, ó sea origen , latitud y efectos del orden no del número de su juzgado, se ha mandado sacar á pública mas prestaciones que de él emanan en este obispado por frutos ^ de propiedad , por…</t>
  </si>
  <si>
    <t>…impugnación tan séria el artículo que está Por providencia de dicho juzgado, refrendada del escriba­ pronunció su discurso el Sr. Meudizabal, no estaba yo presen­ sometido á la discusión del Congreso. El 8r. Mendizabal ha no D. Jacinto Gaona y Loeches, se cita, llama y emplaza á te, y sin duda se me informó equivocadamente sobre el modo tratado de esforzarse en manifestar que este artículo es perju­ los prófugos Fernando Ruiz; Lorenzo, conocido por el Valen­ con que S. S. habia impugnado el artículo, porque yo creí que di…</t>
  </si>
  <si>
    <t>…de las cuales se ción de la sociedad depeodia enteramente de las estipulaciones han hallado aquellos. Las ideas de igualdad y de líbeitad que E N v irtu d de providencia del Sr. D . Benito Serrano y A lia­ ga , refrendada de D. Jacinto Gaona y Loeches, escribano los socios ; y si su previsión 110 habia conocido ta necesidad hau dominado hace un siglo, las costum bres, las a rte s , las Je- leí número de su juzgado, se ha mandado saejr á púb'ica su— de nombrar un encargado y de fijar las facultades de este, era tras, las c…</t>
  </si>
  <si>
    <t>y los, Baus</t>
  </si>
  <si>
    <t>Baus y los</t>
  </si>
  <si>
    <t>…mamos la pluma no Acabamos de recibir periódicos de Paris del 9. En el Con?- pensábamos hablar de la ejecución; mas hemos reflexionado que merce se lee lo siguiente: BIBLIOGRAFÍA. de esta suerte faltaríamos á la justicia. La Sra. Baus y los se­ "Hoy por la via de Marsella se nos anuncia un empréstito ñores Tamayo, Arjona mayor y menor , Lugar y demas indi­ para Turquía: se trata de 20 millones de piastras, es decir, viduos de la compañía merecen por sus felices esfuerzos los ma­ cuatro millones de libras esterlinas, es decir…</t>
  </si>
  <si>
    <t>y los, Brake</t>
  </si>
  <si>
    <t>Brake y los</t>
  </si>
  <si>
    <t>…M inistro de Negocios éxtrangeros; el conde Lovenhieim y el Lugo. «D . Melchor Astiz. conde Adelsward. El Rey va acompañado en su viaje por el D. José Ferriol. « D . José M aría Moscoso de A ltam ira. maris- al del reino conde Brake y los condés Loevenhaujot y D. Antonio M ira Perceval. D. Jav ier M artín ez, marques viudo de V alladares. YVeidemann. «D . José M aría Reig. «Conde de O falia. Durante la ausencia del Rey mandará las fuerzas de tierra el Príncipe Real. ( Boersen IfalL) A lmería. D. «D . Diego Entrena. M…</t>
  </si>
  <si>
    <t>y los, Calderón Collantes</t>
  </si>
  <si>
    <t>Calderón Collantes y los</t>
  </si>
  <si>
    <t>…o. Pe­ es esta cuestión de principios como se ha d ic h o , es de práctica El Sr. í5ANCHO: l íe tomado la p&amp;Lbra , poique uo he po­ ro no puedo convenir en que se diga que el poder judicial no por desgracia nuestra ; y si el Sr. Calderón Collantes y los se­ dido menos de hacerlo al ver que se ha complicado la cues­ es independiente; ¿u independencia está en el tít. 10 de la ñores Ministros no han querido ver en esta cuestión lo que yo tió n ; y la he tomado en contra, porque he visto que el dicta­ Constitución. Tampoco pu…</t>
  </si>
  <si>
    <t>y los, Ferrer.</t>
  </si>
  <si>
    <t>Ferrer. y los</t>
  </si>
  <si>
    <t>…ue todos estemos regidos por que parece presenta alguno oposición entre estfi parte de la ley una misma ley? r hombres que les pueden suceder , y se puso la Navarra en una posición peor que la de los agotes que ha citado el Sr. Ferrer. y los fueros; á saber, el artículo 69. Esto, señores, era mas franco , tendría resultados mas gran­ ¿ Qué dice pues el artículo? Que habrá en cada provincia des , y arreglaría sin duda el bienestar. Respecto á las aclaraciones que ha dado el Sr. Secretario de Gracia y Justicia yo estoy mu…</t>
  </si>
  <si>
    <t>y los, Francisco</t>
  </si>
  <si>
    <t>Francisco y los</t>
  </si>
  <si>
    <t>…Excmo. Sr. duque que fin no es mas que un convento en un d e sie rto , ó los 2 4 fue de O íu aa , D. Pedro A lcán tara Tellez G irón, con el citado EFECTOS PÚBLICOS. m illon es, según B ourgoing, empleados en los jardines San D. Francisco y los síndicos del concurso de D. M anuel M ore­ Ildefonso ó la G ra n ja , para c o n ve rtir montes áridos en da sobre pago de réditos de un censo que se dice impuesto so­ Inscripciones en ¿1 gran lib ro á 5 por 100, 00. ja rd in e s , hubiesen sido aplicados en obras públicas de uti- b…</t>
  </si>
  <si>
    <t>…ndicos de la quiebra y testamentaría del no lo verifiquen á estar y pasar por la resolución de los con­ E ntrega de AGOSTO de 1839. Excmo. Sr. duque que fue de Osuna, D. Pedro Alcántara Te- currentes. llez Girón, con el citado D. Francisco y los síndicos del con­ Se halla á 3 rs. tanto en rama como en rústica en el curso de D. Manuel de Moreda, sobre pago de réditos de un despacho de dicha Imprenta. censo que se dice impuesto sobre una casa en esta corte y su T&gt;OR providencia del Sr. D. Tomas Pacheco, juez de prim e- calle d…</t>
  </si>
  <si>
    <t>…alto de Madrid , que Otra en el camino de San Sebastian, de una fanega, valua­ duque que fue de Osuna; D. Pedro Alcántara Tellez Girón, con tiene dicha casa palacio 21,804 pies superficiales, y la indi­ da en 250 rs. el citado D. Francisco y los síndicos del concurso de D. Ma­ cada huerta jardín 16 fanegas de tierra dividida por unos Otra en dicho camino, de 4 fanegas , tasada en 880 rs. nuel de Moreda , sobre pago de réditos de un censo que se dice caminos, y en sus encrucijadas se hallan 250 olivos, 57 par­ Otra , su cabid…</t>
  </si>
  <si>
    <t>y los, Montes</t>
  </si>
  <si>
    <t>Montes y los</t>
  </si>
  <si>
    <t>…ayor rapidez, atendiendo á que en el presupuesto últimamente aproba­ ocurran. se presentáronlos Facciosos sobre Garasa^ y Pinares 'Contiguo*;, do por las Cortes no se incluyo cantidad alguna para los 8.a La dirección general de Montes y los gefes políti­ rompiendo el fuego de fusilería á quemá ropa sobre las lanchas, gastos que esta operación debe causar; ni aun parados in­ cos, en la parte que respectivamente les corresponda, cui­ en posición tan que como Y. E. conoce parecía seguró su triun­ dispensables de guarda y co…</t>
  </si>
  <si>
    <t>y los, Paredes</t>
  </si>
  <si>
    <t>Paredes y los</t>
  </si>
  <si>
    <t>…vieron precisa­ sigue: dos á hacer armas muchas veces contra el pueblo. Por fin se ha El dia 4 en las inmediaciones de Zapotiltic tuvieron un en­ conseguido restablecer el orden, aunque hay que llorar la pér­ cuentro el general Paredes y los federalistas al mando de los se­ PR U SIA . dida de muchas personas. La tranquilidad está casi restablecida. ñores Guzmán , Palafox &amp;c. En los antecedentes y detalles de El origen de las turbulencias fue el siguiente: la acción están en contradicción el parte de Paredes y los infor­ Al…</t>
  </si>
  <si>
    <t>y los, Pedro Sánchez</t>
  </si>
  <si>
    <t>Pedro Sánchez y los</t>
  </si>
  <si>
    <t>…ltado del A fueron de esta extinguida chancillería de Valladolid Don no mejicano lo tiene aislado en cierta manera del litoral, choque violento de los dos principios que representan otra José de Cregenzan, D. Gerónimo Tobaso, D. Pedro Sánchez y los profundos valles del Perú y de Colombia no permi­ cosa que un incendio devorador que no ha podido extin­ de Yebra, D. Bernardo Riega, D. José Antonio Lafarga, Don ten viajar en carruajes. guir ninguna potencia humana. Alonso de Queso y Valdivia y D. Fernando Muñoz de Guz- Adem…</t>
  </si>
  <si>
    <t>y los, Quiñones</t>
  </si>
  <si>
    <t>Quiñones y los</t>
  </si>
  <si>
    <t>…citado dia de Ganado caballar 425 .. .. ayer. Parece que dicha autoridad m ilitar, de acuerdo con la de En virtud de providencia del Sr. D. Pedro Ju lián A u p e- Ganado lan ar 475 .. .. igual clase de G uadalajara, el brigadier Quiñones y los coro­ t i t , auditor de marina y asesor general del ramo en la corte, Jabón 51,156 5 7 neles Rodríguez y Zurbano, se proponen á todo trance arrojar se señala para junta de acreedores á los bienes de D. Alvaro Jarcia y cordaje 5,988 4 16 al enemigo de este p ais, y en seguida operar c…</t>
  </si>
  <si>
    <t>y Lozano, Juan Tejada</t>
  </si>
  <si>
    <t>Juan Tejada y Lozano</t>
  </si>
  <si>
    <t>…uientes: D. Alejandro Peña Villa- toando en esta provincia pudo con un puñado de soldados con­ rejo, D. José María Alvarez, D. Benito Ochoa, D. Francisco tener á las hordas facciosas en los límites de sus guaridas , y López, D. Juan Tejada y Lozano, D. José María M altrana, uuuca osaron pisar esta fértil vega, ni fhvadir los ricos pue­ D. Eugenio Hernández Borbon, D. Juan Bautista Verdegal, blos de 1a Ribera. Es el mismo que al frente de algunas com­ pañías de los batallones y escuadrones de esta capital y sus CORRESPOND…</t>
  </si>
  <si>
    <t>y Ló, D. Francisco Amorós</t>
  </si>
  <si>
    <t>D. Francisco Amorós y Ló</t>
  </si>
  <si>
    <t>…ersos por Diario y Mercado en el citado año pasado que constan del suma­ teresante ramo de ia salubridad pública: obra útil para los par­ hallarse en medio de ellos voces en que concurren una rio, en virtud de providencia del Sr. D. Francisco Amorós y Ló­ ticulares, y muy necesaria para los profesores de medicina, y vocal larga con otra breve, como en rocío y vea, veria. pez, magistrado honorario de la audiencia de Albacete, y juez para los ayuntamientos y autoridades encargadas de vigilar en de primera instancia en ésta co…</t>
  </si>
  <si>
    <t>y Ló, Francisco Amorós</t>
  </si>
  <si>
    <t>Francisco Amorós y Ló</t>
  </si>
  <si>
    <t>…ia á que no se enagenen Polo. 9 los b?enes nacionales; yo nada advierto, pero ea este punto el ■pARA pago de acreedores, y en virtud de providencia del Sr. Arguelles ir.e tendrá siempre á su lado. Sr. juez de primera instancia D. Francisco Amorós y Ló­ Se suspende esta discusión. pez, se venden las fincas siguieutes: Un lagar nombrado de L i­ Se leen varios documentos sobre las elecciones de Avila que nares, al partido de Campanillas, término de la villa de A l­ remite el Sr. Ministro de la Gobernación, y que pidió el Con­…</t>
  </si>
  <si>
    <t>y López, D. Francisco Amoiós</t>
  </si>
  <si>
    <t>D. Francisco Amoiós y López</t>
  </si>
  <si>
    <t>…s del siglo xix. acreedores que resultan de la relación jurada que presentó en el lla ó no inscrita, com o d ije , en el libro de la vida. Por Asi es com o han com pren dido la misión del artista los juzgado que desempeña el Sr. D. Francisco Amoiós y López, dos jóvenes brillantes Madrazo y R ibera, quienes en la juez de primera instancia en esta capital , y admitídose aquella la calidad de la obra conocerem os su destino: descubri­ en junta que celebraron en 2 l de Mayo próxim o, se ha man­ remos si en el taller de la i…</t>
  </si>
  <si>
    <t>y López, D. Francisco Amoros</t>
  </si>
  <si>
    <t>D. Francisco Amoros y López</t>
  </si>
  <si>
    <t>…sos 5 como igualmente lo fueron D. Joaquín Mos­ hasta el 10 de D iciem bre. guet, ocurrido en 51 de Octubre del año último, acudirán á quera deFunsio , sobrino del cura de Carballedo, y D, Fernan­ deducirle por el juzgado del Sr. D. Francisco Amoros y López, do Medela de Baldom ar, teniendo fundados motivos para creer magistrado honorario de la audiencia territorial de Albacete, y que pueda estar herido el mismo cabecilla Fernando Gómez, juez de primera instancia de esta capital y escribanía del n ú ­ r&lt;nas el Ebanista, debi…</t>
  </si>
  <si>
    <t>y López, D. Francisco Amorós</t>
  </si>
  <si>
    <t>D. Francisco Amorós y López</t>
  </si>
  <si>
    <t>…San Luis, señalada en el registro, los cuales serán firmados por los individuos Circular. con el núra. 58 nuevo, 15 antiguo de la manzana 545, se ha de la comisión y los dos empleados de Hacienda. El oficial mandado por el Sr. D. Francisco Amorós y López, juez de de caballería y el empleado de la Hacienda militar lleva­ Exémo. S r.: Con Real orden de esta fecha* com unico á primera instancia por ante el escribano del número D. Euge­ ran por separado otro registro para dar las noticias que los capitanes generales de las…</t>
  </si>
  <si>
    <t>…correo á las provincias. Un retrato de una señora ricamente vestida , y sentada en un sillón con una rosa en la mano derecha: pintado pór Anto­ nio M oro, y grabado con inteligencia por Vázquez (José). Tie- r \ E orden del Sr. D. Francisco Amorós y López, magistrado ne 14 p. y 6 I. de alto, y 11 p, y 2 1. de ancho: precio anti­ honorario de la audiencia territorial de Albacete, y juez de primera instancia de esta M. H. villa de M adrid, se presen­ tará dentro del preciso término de ocho dias en la escribanía SEMANARIO g…</t>
  </si>
  <si>
    <t>…medi­ corporación se escaparon temiendo el mismo castigo. A todas las los que se crean con el indicado derecho, á deducirle en forma cina y cirugía. hordas rebeldes se les ha prohibido hablar de paz, y se les imbu­ ante el Sr. D. Francisco Amorós y López, juez de primera Esta^ obra, de buen carácter de letra y papel, cuya impre­ ye que el general Maroto se ha pasado con solo 25 hombres de instancia, y escribanía de número que despacha D. Claudio Sanz sión esta muy adelantada, constará de dos tomos en 8.° de mtJ los suyo…</t>
  </si>
  <si>
    <t>…diferencias en las opiniones, tan­ 84 O4 individuos repartidos en esta form a: to acerca del estado actual de las colonias de la Holanda , co­ Colonias ordinarias números 1 , 2 y 5 ; 2555 colonos libres P o r providencia del Sr. D. Francisco Amorós y López, juez mo de los trabajos emprendidos por la sociedad de beneficen­ y huérfanos adictos á Jos mismos. de primera instancia de esta capital, que conoce de la tes­ cia, c igualmente sobre los resultados que haya obtenido, y el Colonia forzada de Omoierskans ; 848 mendigos…</t>
  </si>
  <si>
    <t>…umplan los 40 halla aprobada la dotación anual de /y00 ducados por la plaza de un cirujano latino en la ciudad de Loja. Los que quisieren desde dicha publicación en la Gaceta oficial, de doce á una de P o r providencia del Sr. D. Francisco Amorós y López, juez aspirar á obtenerla, y para hacerlo se encuentren con los requi­ su tarde, en la intendencia , bajo las condiciones que expresa el A de primera instaucia de esta c a p it a l, refrendada del escri­ sitos y circunstancias necesarias, dirigirán sus solicitudes al pl…</t>
  </si>
  <si>
    <t>y López, D. Fraucisco Amorós</t>
  </si>
  <si>
    <t>D. Fraucisco Amorós y López</t>
  </si>
  <si>
    <t>…5 DE MARZO DE 1839. DIEZCUARTOS. S. M. la R e i n a , s u augusta Madre la R e i n a G o b e r n a ­ ó cada una de dichas fin cas, acud irán al juzgado del referido Después de firmado este p arte, que me tomo la libertad de Sr. D. Fraucisco Amorós y López, y escribanía de D. Santiago no rehacer por mis muchas ocupaciones , recibo una com unica­ dora y la Ser nía. Sra. Infanta Doña María Luisa Fernan­ M anuel de A lb ó m ga, ó bien al deí Sr. D. M iguei M aría de ción de Montesinos fechada en G ranada el 9 de este mes á las…</t>
  </si>
  <si>
    <t>y López, Francisco Amofós</t>
  </si>
  <si>
    <t>Francisco Amofós y López</t>
  </si>
  <si>
    <t>…arle que aun hay moraL El poeta religioso. almas sensibles,y de reanimar la suya con los testimonios de En la Gaceta de ayer domingo 14 , providencia del señor una pura y profunda amistad?....” — Eh !.... Sr. lector!..G uar­ D. Francisco Amofós y López, línea 4 a de dicha providencia Este no será un artículo de literatura, sino un artículo de de V. su ternura para mejor ocasión. Ese poeta tan melancó­ diceá D. Masseto Masseti, debe decir á D. Maneto M a- costumbres. Si es útil señalar á veces lo que choca coa las re­ lico…</t>
  </si>
  <si>
    <t>y López, Francisco Amorós</t>
  </si>
  <si>
    <t>Francisco Amorós y López</t>
  </si>
  <si>
    <t>…rla recorrido.= A » L. manifiestos publicados por Jos G o biern os para consolar ó [E l Tiempo.) p N virtud de providencia del Sr. juez de primera instancia tíontentar d ios pueblos, e n c u b rie n d o las desgracias que ^ D. Francisco Amorós y López se cita y emplaza á los que p a d e c e n , ú ocultándoles ios desaciertos de ios que ios r i­ tengan derecho en clase de acreedores á los bienes de D. M a­ gen. E n la instrucción no hay ni puede h a b e r sino ver­ nuel Castelar , que falleció en esta corte habitando en…</t>
  </si>
  <si>
    <t>…en de esta M. H. villa y corte. ó rd e n , al inspector general de la Milicia nacional lo si­ Doy fé: Que en providencia del Sr. juez de primera ins­ MINISTERIO DE LA GOBERNACION DE LA PENINSULA. guiente: tancia de la misma D. Francisco Amorós y López, dada en el «He dado cuenta á S. M. la R eina G o b ern ad o ra de lo dia de ayer, se halla prevenido el anuncio, cuyo tenor es el Prim era sección.—Circular. ¡ manifestado por V. E. en 17 de Mayo últim o al i n f irm ar siguiente: sobre una com unicación que por el m ini…</t>
  </si>
  <si>
    <t>…Tiene 21 y grabados originales. pulgadas de alto, y 12 p. y 6 1. de ancho: precio antiguo 24 jpO R providencia del Sr. juez de primera instancia de esta España pintoresca.=El alcázar de Sevilla. reales, y moderno 16. capital D. Francisco Amorós y López, que conoce del Biografía española.=Manuel García. Santiago el M enor: pintado con valentía por Ribera (J.), abintestato del presbítero D. Narciso Alvarez, se cita á una pri- Costumbres aacionalés.=La novillada. y grabado por Vázquez (José). Tiene 9 p. de alto , y 12 p. de f…</t>
  </si>
  <si>
    <t>…íamos tenido en el sitio de T a­ p O R providencia del Sr. juez de primera instancia de esta ca- grafía universal , infiriendo de su lectura que es lastimoso en les, excepto algunos de mucha gravedad que quedaron en On­ pital D. Francisco Amorós y López, que conoce de la tes­ demasía el cuadro de abyección y abatimiento á que se halla da por ser peligroso su trasporte. tamentaría del difunto D. Juan Francisco Muñoz L u ja n , ofi­ reducida en este imperio la hermosa mitad del genero humano, Los enemigos se han dividido y…</t>
  </si>
  <si>
    <t>….................... .. • 752..S2 'C'N virtud de providencia dictada en autos ejecutivos que se Suma.................................. 8,752..52 ^ siguen en el juzgado de primera instancia de esta capital, al cargo del señor D. Francisco Amorós y López, por la BOLETIN DE COMERCIO. escribanía del número del doctor D. Claudio San* y Barea, se 'Tribunal de comercio. saca á pública subasta por término de 20 dias la sexta parte de BOLSA D E M A D RID . la casa sita en la calle M ayor, donde estuvieron los postales de Por pr…</t>
  </si>
  <si>
    <t>y López, Joaquín Fernandez</t>
  </si>
  <si>
    <t>Joaquín Fernandez y López</t>
  </si>
  <si>
    <t>…n d e l dia 23 á la s tr e s d e la ta r d e . llente: desde 15 de J u n io á 30 de Setiembre. EFECTOS PUBLICOS. P ro v in cia d e A licante, P ro vin cia d e O rense. Inscripciones en el gran libro á 5 por 100, 00. Busot.=D. Joaquín Fernandez y López: primera tempora­ Títulos al portador del 5 por 1 0 0 , 20£ con cupones al con­ da desde i.° de M ay o á 30 de J u n i o : segunda temporada des­ Carballino y Partovia.zrD. Benito Sanjurjo y M osq uera, en tado : 2 i , 20 trece dieziseisavos, j once dieziseisavos, £ y 20|-…</t>
  </si>
  <si>
    <t>y Marina, Ministro de la Guerra</t>
  </si>
  <si>
    <t>Ministro de la Guerra y Marina</t>
  </si>
  <si>
    <t>…e riente traducimos lo que sigue: deración. Dios &amp;c. Saltillo Mayo 6 de 1859. —Francisco García que fueren de la misma clase.. Es al propio tiempo la vo­ Por la barca E xpress procedente de Montevideo y llegada Conde.^zExcmo. Sr. Ministro de la Guerra y Marina. luntad de S. .\1., que para que cese de todo punto el moti­ á Bo&gt;ton , tenemos fechas de Buenos Aires hasta el 6 de Abril, vo en que hasta ahora se han apoyado semejantes trasla­ y de Montevideo hasta el 15. Fortaleza de Perote.=Número 56.rzExcmo. Sr.: El bines 6 cion…</t>
  </si>
  <si>
    <t>y Mateos, José de Santos</t>
  </si>
  <si>
    <t>José de Santos y Mateos</t>
  </si>
  <si>
    <t>…n Inglaterra no cree­ por primera vez en España bajo la protección de esta sociedad. sustanciaímente casi todo lo que yo me proponía decir en esta que haya ninguna ley escrita sobre el particular, y Leerá la oración inaugural D. José de Santos y Mateos, cuestión. Cree el Sr. conde de las Navas que la distribución de en Francia no se encuentran tampoco sino decretos de académico profesor de número de la greco-latina, secretario de los caudales correspondientes á la marina, en el tiempo que yo circunstancias, que pueden pas…</t>
  </si>
  <si>
    <t>y Mira'tda, Pablo Torrens</t>
  </si>
  <si>
    <t>Pablo Torrens y Mira'tda</t>
  </si>
  <si>
    <t>…l trono constitucio­ misión de A cta s, en que proponía la admisión como Diputado D ip utado, sino que es necesario, corno he dicho antes, que ven­ nal de vuestra augusta H ija á todos los españoles, que a r ­ por Barcelona de D. Pablo Torrens y Mira'tda. ga ese testimonio. La comisión tendrá noticias p articu lare s: y 0 rojando sus armas y siguiendo los impulsos nobles y genero­ Se leyó igualmente el relativo á la respuesta á la com uni­ las respeto: sabrá positivamente que 110 h ay auto de prisión* sos de su lealtad y pat…</t>
  </si>
  <si>
    <t>y Miralda, Pablo Torrens</t>
  </si>
  <si>
    <t>Pablo Torrens y Miralda</t>
  </si>
  <si>
    <t>…Por providencia del Sr. intendente de rentas de esta pro­ liz Perez A rro yo: un tomo en 8 .° con láminas, r ú stic a , á 6 rs. chos siglos desolaron los pueblos , y el de dar a) mismo tiempo vincia se cita, llama y emplaza á D. Pablo Torrens y Miralda, á luz en nuestro idioma una obra de esta clase , tan instructi­ D. José de Acevo, D. Clemente Bernaldez, D. Joaquín de Tratado histórico práctico de la vacuna, por D. Vicente va como agradable para todas las de la sociedad , nos decidie­ Echavarría, D. Ricardo López, D. Ant…</t>
  </si>
  <si>
    <t>y MM, Bussche</t>
  </si>
  <si>
    <t>Bussche y MM</t>
  </si>
  <si>
    <t>…a elecciónhanmuchos presentado su dimisión. Antes de dar principio individuos declararon que no exceptua­ minos, y señaladamente el de Málaga ¿ Granada; como llegando los confinados. rían mandato alguno electoral. El general de Bussche y MM. támbien de lo informado sobre el asunto por esa direc-, S. M. espera del celo de esa diputación por el bien dede Hammerstein y de Baer han sido electos. En lo que concierne cion general en 1 i de Noviembre último. Enterada S. M- los pueblos, cuyos intereses le están confiados, y de la…</t>
  </si>
  <si>
    <t>y Monge, D. Angel Polo</t>
  </si>
  <si>
    <t>D. Angel Polo y Monge</t>
  </si>
  <si>
    <t>…e la posibilidad de alimentar á los ran en algunas materias una instrucción elemental, las diserta­ gusanos de seda con la harina de las cereales, cuestión pro­ ciones oratorias que aqui se pronuncian familiarizan á los en­ Sr. D. Angel Polo y Monge. puesta por el Sr. Orense: de las minas de azogue del Almadén, tendidos con la parte sublime de las ciencias, y acostumbra á Sr. I). Pió La borda. sobre las cuales dieron oportunísimas noticias los Sres. Cabani- los ignorantes á escuchar el lenguaje técnico, y les inspiran Sr…</t>
  </si>
  <si>
    <t>y Monge, Polo</t>
  </si>
  <si>
    <t>Polo y Monge</t>
  </si>
  <si>
    <t>…que he no tenian toda la seguridad de ser religiosamente invertidos; y embargo no por eso se les privará de tomar asiento en el Sena­ sido de opinión que no se debe dar una cantidad que suba nun­ que respecto á economías el Sr. Polo y Monge sabe que la me­ do: que por consiguiente habiendo presentado el Sr. Laborda ca de 503 rs. Asi pues, resultará que si se aprueba el dictámen jor oportunidad para manifestarlas es cuando se discuta la ley una renta propia que llena perfectamente ei objeto de la ley, en los términos que…</t>
  </si>
  <si>
    <t>…p erjuicio; por lo tanto cree qute no h ay inconveniente los asuntos para mañana, levantó la sesión á las seis meaos DE LA GACETA. en que de estos acuerdos tenga ncticia el gefe político. cuarto. El Sr. C A M A L E Ñ O : El Sr. Polo y Monge ha manifesta­ M oka 10 d e Agost o d e 1858. Supongo qué y a sabrahi W . do las consideraciones que han movido á los individuos de la ERRATA. la victoria ganada por Ahmet bajá sobre los beduinos del ile g - minoría á presentar esta enmienda al artículo. Yo creo, señores, gas ó Arabia…</t>
  </si>
  <si>
    <t>y Montes, José Joaquín San Clemente</t>
  </si>
  <si>
    <t>José Joaquín San Clemente y Montes</t>
  </si>
  <si>
    <t>…primero M anuel M elendez, trompeta V a ­ este con un solo golpe darles una lección que no aguarden á la Marques de S e lv a-R e al: en el año de 1747 lo poseía Don lentín L ópez; soldados Placido N ie t o , Pablo T o rre s, D. José Joaquín San Clemente y Montes. segunda. ( A ten ción , atención. Ruidosos aplausos). En una Cabellos, M atías L ó pez, estos dos últimos heridos, y todos de palab ra, si es precisa la resistencia contra el bilí relativo á la Conde de R u iz de C astilla: en 1790 se le concedió á Don la compa…</t>
  </si>
  <si>
    <t>y Moría, Ayala</t>
  </si>
  <si>
    <t>Ayala y Moría</t>
  </si>
  <si>
    <t>…bienes hecha por D. Juan M iguel, dueño del estable­ aprobada. vuestros antecesores, pondréis la vuestra por entero. Ten- cimiento de coches de alquiler, situado en la calle del Infante, Se dio cuenta de una comunicación del Sr. Ayala y Moría, dréislo entendido, y lo comunicareis á quien correspon- casa núm. 5, lo que se hace notorio por medio de este anuncio, en que manifiesta que por hallarse indispuesto no puede asistir da.=Está rubricado de la Real mano.=En Palacio á 9 de con citación y emplazamiento ¿ los que se crean…</t>
  </si>
  <si>
    <t>y Mr, Soult</t>
  </si>
  <si>
    <t>Soult y Mr</t>
  </si>
  <si>
    <t>…Berenger es aficionado á trabajar en toda clase de obras la equitación, con el freno y con la gamarra, ó martin­ Esta tarde se ha dicho como cosa cierta que se habia veri­ de carpintería ficado una entrevista entre el mariscal Soult y Mr. T hiers, y ciaba de ser carpintero de taller, asi como Pedro el Grande se pre­ gala. Su satisfacción llegaría al colmo si descubriese algu­ que al fin se constituirá el ministerio dentro de pocos dias. de obras de afuera. El ilustre can­ na brida ó acicate bastante fuerte para impedir q…</t>
  </si>
  <si>
    <t>y Mr, Tornas</t>
  </si>
  <si>
    <t>Tornas y Mr</t>
  </si>
  <si>
    <t>…río, y la Cámara declara lo f r í­ Con este motivo se suscita una discusión personal entre el co urt, lady F itz -R o y Somerset, el marques y la marquesa volo de las razones en que se funda el Estado del M aine, tratan ­ coronel Tornas y Mr. H u m e; y habiendo este dado un mentís d ’AUesbury, Mr. Temple, el ministro de los Estados-U nidos, do de justificar unos actos tan contrarios al derecho de gentes. al coronel, el dicho declaró que no respondía al mentís de M r. Mraa. Stewenson, el conde Pollon , el ministro de Hannóve…</t>
  </si>
  <si>
    <t>y Murcia, Valencia</t>
  </si>
  <si>
    <t>Valencia y Murcia</t>
  </si>
  <si>
    <t>…ías en Chelva. Por esta y sus inmediaciones no ocurre en casa de Mr. Odilon Barrot. novedad. Don Facundo Infante, brigadier de infantería, 2.° cabo Los del centro izquierdo celebrarán su reunión mañana de la capitanía general de Valencia y Murcia &amp;c. por la noche en casa de Mr. Ganneron. {Id.) Considerando que han cesado las poderosas razones que Idem 5. obligaron á mi antecesor á declarar esta ciudad en estado de sitio, ordeno y mando: Son las dos de la tarde, y llegan á esta villa 17 facciosos 1.° Queda levantado el es…</t>
  </si>
  <si>
    <t>y Muñoz, D. Angel Robles</t>
  </si>
  <si>
    <t>D. Angel Robles y Muñoz</t>
  </si>
  <si>
    <t>…acen parte en ellos. y en su iumenso se'pulcro sepultado. Las palabras subrayadas indican una leve incorrección Sepultado en el sepulcro es r e d u n d a n t e , y el éter no e: BOLETIN D E COMERCIO. I p O R providencia del Sr. D. Angel Robles y Muñoz , juez a zul , sino ne gro cu an do brillan en él las estrellas. de primera instancia de la villa de Orgaz y su partido, BOLSA D E M A D R I D . d e 2 8 de Junio actual, se cita á todos aquellos que se crean acree­ No es menos bella la comparación de la n u b e , forma­ Cot…</t>
  </si>
  <si>
    <t>y Navarrete, Antonio Benavides</t>
  </si>
  <si>
    <t>Antonio Benavides y Navarrete</t>
  </si>
  <si>
    <t>…ballerías y seis carros , y á D. Vicente Pereda , que lo es de la de Valladolid : para esta las demas brigadas que han salido para lo$ trabajos , los v í­ han hecho lo siguiente: sentar en el machón de la izquierda resulta á D. Antonio Benavides y Navarrete , ministro de la veres suficientes para 15 dias. Como se carecía de bombos y 520 pies cúbicos de cantería y 1005 pies idem de manipostería audiencia de Cáceres, y para la plaza de ministro de la de lebrillos de hierro, carrillos y otros utensilios indispensables en el…</t>
  </si>
  <si>
    <t>y Navia, Jorge Mancebo</t>
  </si>
  <si>
    <t>Jorge Mancebo y Navia</t>
  </si>
  <si>
    <t>…atro tomos en 4 o &gt; edición de 1795 y 96 á 75 rs. en Asimismo se c ita , llama y emplaza á D. Angel Morales y pergamino y 85 en pasta común. BOLSA D E M A D R ID . Esta o b ra, que puede llamarse única en su clase, es según D. Jorge Mancebo y Navia, y D. José María Gómez y D. t e - su corrector útil y aun necesaria para todos los sugetos que Cotización del dia 28 d las tres de la tardo* lix G arcía, para que en el término de nueve dias, que por ter­ componen las gerarquías de la tierra; pero sobre todo para los cero y ú…</t>
  </si>
  <si>
    <t>y Nicasio, José López de la Huerta</t>
  </si>
  <si>
    <t>José López de la Huerta y Nicasio</t>
  </si>
  <si>
    <t>…scogida tino es el común de todos los sabios del m undo, se propuso fa­ colección que da al público el editor del teatro antiguo y mo­ derno español los dos dramas titulados Pablo el marino y Don SIND. ONIM OS castellanos de D. José López de la Huerta y Nicasio Alvarez de Cienfuegos, edición microscópica, cilitar las comunicaciones botánicas españolas y extrangeras, enseñando latinidad al mismo tiempo que botánica* Juan de Maraña ó la caída de un ángel. hecha de orden superior el año de 1830. Un tomo en 16.° á 12 rs.…</t>
  </si>
  <si>
    <t>y Notario, José Mariano Ramírez</t>
  </si>
  <si>
    <t>José Mariano Ramírez y Notario</t>
  </si>
  <si>
    <t>…o José M ontilla.. . . . . . . 5 15................. d e......... 500.................... 6500 Id. D. Valeriano Ayala 2.. 1 Licenciado D. Antonio G alv ez.................. 5 66 . . . . . . . . d e.. 50................... 5500 D. José Mariano Ramírez y Notario , eclesiástico Licenciado D. José de Jesús Fernandez. ........... 5 114 d e.. 24................... 2756 de la vicaria de Piñal del Rio 4 .. 2 Licenciado D. José de la Rocha................................ 5 40 x ............ d e .. 16. . . . • • • . • 6448 Presbítero…</t>
  </si>
  <si>
    <t>y Noviembre, Psylusky Bonillo</t>
  </si>
  <si>
    <t>Psylusky Bonillo y Noviembre</t>
  </si>
  <si>
    <t>…justo nos , y el dia 4 del corriente al amanecer llegamos á la vista homenaje de amor y gratitud, respeto y obediencia. de Alejandría en medio de esa escuadra que tantos sinsabores El canónigo metropolitano de Gnesen , el doctor Psylusky Bonillo y Noviembre 28 de 1839.—Señora.z= A. L. R. P. de causa á la diplomacia, y cuyo aspecto encanta á los curiosos ha salido para Colberg para hacer al arzobispo Mr. D unin, que Y. M.—Diego Tomas González. —Inocencio Martinez.=Pedro Or- qne como nosotros no van á Oriente con otro objeto…</t>
  </si>
  <si>
    <t>y Odriola, Ciscar</t>
  </si>
  <si>
    <t>Ciscar y Odriola</t>
  </si>
  <si>
    <t>…ido que se desapruebe el dictámen de la comisión. Por C á d iz : Sr. Capaz. leyó un proyecto de ley que S. M. la R.eina Gobernadora , con­ El Sr. S A N C H O : Señores, yo creia que se debia im p u gn ar Por V a le n c ia : Sr. Ciscar y Odriola. forme con el parecer del Consejo de M in istro s, le habia auto­ el d ictám en, diciendo: aqui está la ley. El Sr. Osea ha hecho Por Orense: Sr. Alvarez Pestaña. rizado para presentar á las Cortes, el c u a l , después de un breve la im pugnación diciendo que la ley no dice lo que…</t>
  </si>
  <si>
    <t>y Olano, D. Antonio Ros</t>
  </si>
  <si>
    <t>D. Antonio Ros y Olano</t>
  </si>
  <si>
    <t>…de Casa-blanca. Sr. D. Serafín Estevanez CalderOil * electo* wD. Francisco Ramonet. Sr. D. Joié Miquel Polo. Sr. D. Eduardo Gahvey , electo. D. Evaristo Perez de Castro. Sr. D. Joaquin de Pedro, marques de Albaida , electo. Sr. D. Antonio Ros y Olano. V izcaya, Ciudad-Real. Murcia. »D . Pedro Allende Salazar. Sr. D. José María Cambrottei o. Sr. conde de Balazote. Sr. D. Juan Antonio Hidalgo. Sr. D. Manuel Marin Blazquez. Zamora. Sr. D. Manuel Moi.edero. Sr. D. José Antonio Ponzoa. wDuque de Castroterreño. Sr. D. Santiag…</t>
  </si>
  <si>
    <t>y Oliva, José María Baiges</t>
  </si>
  <si>
    <t>José María Baiges y Oliva</t>
  </si>
  <si>
    <t>…del terreno y de los puntos prin­ uno de los juzgados de término de Barcelona, vacante por fa­ Y DEL DESPACHO DE LA GOBERNACION DE LA PENÍN SULA. cipales entre los que se ha de desarrollar el trazado, ínterin llecimiento de D. José María Baiges y Oliva, á D. Domingo se construyen las estacas, miras, ni veletes , cuerdas y derna-i de Azcona y Calvo, que desempeña el de Santa Cruz de Tene­ Gobierno político de la provincia de Granada.- Excmo. Sr.: utensilios necesarios para su demarcación, examinando al m i s ­ rife, de l…</t>
  </si>
  <si>
    <t>y Ondarreta, José Tomé</t>
  </si>
  <si>
    <t>José Tomé y Ondarreta</t>
  </si>
  <si>
    <t>…eten que habrá capitales para comenzar misma previeoe, tocó á los sugetos siguientes: D. Manuel de E l huracán. Cada hora nos llegan averías de algún nuévo la obra en el plazo que la Real orden de 14 de Marzo señala: Galarza, D. José Tomé y Ondarreta, D. Feliciano Sancha, destrozo causado por la tormenta del sábado: poco sin embar­ pues excitado aquel ayuntamiento y junta de comercio inspiran D. Antonio Castro, D. Diego del Rio, D. Francisco Antero go podríamos añadir á lo publicado Casado , D. Custodio Moreno, D. José Al…</t>
  </si>
  <si>
    <t>y Orbe, José Bonel</t>
  </si>
  <si>
    <t>José Bonel y Orbe</t>
  </si>
  <si>
    <t>…consideración á las eminentes virtudes, distingui­ ses convenidas con el comodoro. dos méritos y relevantes circunstancias que reúne mi NOTICIAS EXTRANGERAS. pro-capellan, limosnero mayor y patriarca de las Indias FRANCIA. D. José Bonel y Orbe, obispo de Córdoba y arzobispo Se dice que el Sr. almirante Duperré, ministro de la Mari­ electo de G ranada; como Reina Regente y Gobernadora, París 20 de Julio. na, debe ir á Tolon á fines del raes , sin duda para activar lo» a nombre y durante la menor edad de mi excelsa Hija…</t>
  </si>
  <si>
    <t>y Orbe, Juan José Bonel</t>
  </si>
  <si>
    <t>Juan José Bonel y Orbe</t>
  </si>
  <si>
    <t>…por cartas de Santiago de Cubá de 27 de Octubre D. José M aría Moscoso de A ltam ira. Ja én . que habían llegado allí dos bombardas de Vapor francesas de paso para Veracruz. {(ti.) V icepresidente. « D . José M anuel Vadillo. D. Juan José Bonel y Orbe , obispo de Córdoba. « D . Pedro Antonio A cuña. D. José M aría de Ezpeleta , conde de Ezpeleta. « D . Luis Balanzat. SUECÍA. León. S ecreta rios. « D . Francisco Verea Cornejo. Stokolmo 1 d e D iciem bre. «M arques de Falces. «D . Joaquín D íaz Caneja. «D . José de Isla…</t>
  </si>
  <si>
    <t>y Oriola, José Ciscar</t>
  </si>
  <si>
    <t>José Ciscar y Oriola</t>
  </si>
  <si>
    <t>…............... .. Toledo. (1) Por un olvido involuntario se dejó de insertar una D. Juan PaLrea. ................................................. Valencia. cuartilla de este artículo; corno de aqui resultase la consiguien­ D. José Ciscar y Oriola........................................Idem. Será exornada con todo el aparato que exige su asunto. te falta de sectido y de exactitud en las ideas, asi como omi­ Duque de Castroterreño.........................................Zamora. siones de bastante consecuencia , lo reprod…</t>
  </si>
  <si>
    <t>y Pacheco, Venceslao de Linares</t>
  </si>
  <si>
    <t>Venceslao de Linares y Pacheco</t>
  </si>
  <si>
    <t>…H e ter o m o r - un considerable caudal de escritos del au to r, impresos ahora pka y Homomorpha . por primera vez con la vida de Jovellanos, retratos y viñetas, Con todo, en toda esta diversidad prevalece una uniform i­ por D. Venceslao de Linares y Pacheco. dad general de estructura , la que bajo varias modificaciones Los Sres suscriptores á esta obra acudirán á recoger el to­ N virtud de providencia del Sr. D. Ju an José'Rodríguez mo 2.° en M adrid á la librería de Cuesta; en Barcelona á la de forma preserva una tend…</t>
  </si>
  <si>
    <t>y Pardo, Luis Almoina</t>
  </si>
  <si>
    <t>Luis Almoina y Pardo</t>
  </si>
  <si>
    <t>…vacante por renuncia de D. Felipe Moldes y Bermu- Se lee en el Amigo de la Religión : federación, quien debería presentar un contingente de la m i­ " E 11 este momento se están dando disposiciones para la dis­ licia. d ez, á D. Luis Almoina y Pardo; y para la de Calamocha, tribución de una rogativa de 40 dias, aprobada por el arzobis­ Estas proposiciones concebidas con la mira de conciliar las vacante también por renuncia de D. Carlos R ivera, á D. Félix po, la cual tiene por objeto rogar á Dios* por medio de la in­ opini…</t>
  </si>
  <si>
    <t>y Pareja, Andrés Mendez</t>
  </si>
  <si>
    <t>Andrés Mendez y Pareja</t>
  </si>
  <si>
    <t>…D. Juan Bautista Tj^N virtud de providencia del Sr. juez de primera instancia D. Benito Serrauo y Aliaga , se saca nuevamente á p ú ­ mente para el l.° de Diciembre próxim o, pues ai paso que D. Antonio , del D. Juan Laraña, D. Andrés Mendez y Pareja, R io, D. Ignacio de la Riva, D. Blas Mena y blica subasta la mitad de una casa situada en esta corte y su por este medio se espera conseguir mayor ex actitu d , no O liver, D. Gerónimo Diaguez, D. Isidoro Fernandez de A n­ calle ancha de S. Bernardo, señalada con el núm. 3 a…</t>
  </si>
  <si>
    <t>y Pedro, Bernarda Fuente</t>
  </si>
  <si>
    <t>Bernarda Fuente y Pedro</t>
  </si>
  <si>
    <t>…el ndm. 4 4 ? en q ue propone la comisión pase al se­ tos de la Calzada de C ala tra v a , M e s t a n Z a , Villanueva de la El Sr. P R E S ID E N T E : El Senado queda enterado. ñor M inistro de la Guerra una exposición de Doña Bernarda Fuente y Pedro M u ñ o z , y el gefe político, secretario y oficia­ Recomiendo á los presidentes de las secciones que se sirvan Segura y A lb a, viuda de D. Pió Gómez G u tié rre z , teniente re­ les del gobierno de Sevilla. reunirías para examinar el primer proyecto de ley leido en la tira…</t>
  </si>
  <si>
    <t>y Peiayo, Ramón Soriano</t>
  </si>
  <si>
    <t>Ramón Soriano y Peiayo</t>
  </si>
  <si>
    <t>…ro- Ú. Dámaso Aparicio, procurador síndico del ayuntamiento cual están unidos lo* de a m o r , gratitud y veneración á las per­ yue!o«? ¿Loa matices de las flores que entapizan el prado? ¿O constitucional de esta M. H. villa ; D. Ramón Soriano y Peiayo, sonas de quienes depende y que fe hacea biea. Este es el gérenen bien los corpulentos árboles que descuellan cargadas sus ramas individuo de la junta de bienes nacionales; D. Maauel ViHota. del sentimiento religioso, que solo empieza á desenvolverse cuan­ del sabroso fruto ?…</t>
  </si>
  <si>
    <t>y Perez, José de Acebo</t>
  </si>
  <si>
    <t>José de Acebo y Perez</t>
  </si>
  <si>
    <t>…ifiestan algunos trozos, cias de aquella población, se ha servido disponer lo si­ pediente instruido por la diputación provincial de Ma­ elaborar en el mueble mas delicado. Pedazos de un palmo de guiente: drid á solicitud de D. José de Acebo y Perez, arquitecto longitud que se encontraron en la ruina y se conservan, pre- , l.° Se establece en Santander un Instituto elemental de la academia de S. Fernando, para que se le expida el seotan el color general de un bermellón hermoso con una fran­ de segunda enseñanza con la de…</t>
  </si>
  <si>
    <t>y Perochena, Angela Pia Rubí</t>
  </si>
  <si>
    <t>Angela Pia Rubí y Perochena</t>
  </si>
  <si>
    <t>…cción general de Estudios hasta q ue el n ú ­ ocupaba dicho fuerte rompió el fuego de cañón, el cual fue m e ro de vocales que com ponga el total de las secciones contestado por el nuestro vivo y sostenido, arrojándole algu­ Doña Angela Pia Rubí y Perochena , hija dei capitán D. José, q u e d e reducido al de 12 señalado por mi R eal decreto de nas granadas que causaron un destrozo considerable en el e d i­ Portillo, muerto por las facciones de Tena y Cabañero; á Doña Isabel 1.° de S etiem bre de 183 8; en tendiéndose esto s…</t>
  </si>
  <si>
    <t>y Pinto, Domingo Sardio</t>
  </si>
  <si>
    <t>Domingo Sardio y Pinto</t>
  </si>
  <si>
    <t>…isco Sastre, D . Nicolás F a u re , D. Fernando de Mora portante salud. y González, regidores; y D. J o í q u in Román M ercader, procu­ PARTE NO OFICIAL. rador síndico prim ero; y los censores nombrados al efecto los Sres. D. Domingo Sardio y Pinto, abad de ta insigne igle-ia co ­ legial de S. Patricio de esta dicha ciudad ; D. D o m ing o M a r­ R E A L E S DECRETOS. tínez Carcelero, canónigo de la m is m a ; D. J u a n González B a r - celó, cura párroco de esta de S a ntiago; y D. Luis R odríguez, NOTICIAS EXTRANG…</t>
  </si>
  <si>
    <t>y Posen, Gnesen</t>
  </si>
  <si>
    <t>Gnesen y Posen</t>
  </si>
  <si>
    <t>…unto habia sido votado por la Cámara antes de la llegada, permitiría al arzobispo de Colonia regresar á su iglesia, y que NOTICIAS EXTRANGERAS. astante tardía, de Mr. M auguin, ha pasado por medio de lo mismo que el arzobispo de Gnesen y Posen, y los demas ina transición muy mal manejada, de los fondos de suscrip- obispos católicos de aquel reino, podría ejercer libremente bajo EGIPTO. ion al tratado concluido con la República mejicana. El ora- la dirección de la Santa Sede sus funciones pastorales. Pero he-* lor no ha t…</t>
  </si>
  <si>
    <t>…gravemente herido. Pa­ yas que han recibido con aprecio. El asunto de este drama está siguientes: rece que los insurgentes han tenido una gran pérdida. tomado de nuestra historia del descubrimiento de A m érica, "El arzobispo de Gnesen y Posen , M r. D u n in , queda ab - No es fácil saberse la verdad eu vista de los confusos ru ­ historia fecunda en acontecimientos grandes de todas clases , de suelto de la acusación del crimen de alta traición y de exci­ mores que circulan en el momento que escribimos estas líneas. donde n…</t>
  </si>
  <si>
    <t>y Posen, Goesen</t>
  </si>
  <si>
    <t>Goesen y Posen</t>
  </si>
  <si>
    <t>…venerable hermano M a r t i n es todavía el verdadero que cese c uan to antes esté conflicto d e p lo ra b le , y qué por m e­ p a n a rio se d i s t in g u í a á 2 5 leguas de d ista n c ia en el m ar. En y ún ico arzobispo de Goesen y Posen , y que esta sentencia, dio de m ú tu a s concesiones se acelere la conclusión de un a r ­ esta c atedral fue do nde Felipe el Bueno hizo la in s titu c ió n en n u la en derecho c an ó n ic o , lo mismo que eu el d i v i n o , no le m isticio religioso entre el R e y de P r u s ia…</t>
  </si>
  <si>
    <t>y Prada, María Josefa Arias</t>
  </si>
  <si>
    <t>María Josefa Arias y Prada</t>
  </si>
  <si>
    <t>…a, calle de Carretas, y de Cuesta dado por no tener te tigos que probaran su declaración. Rueda y Tejada , apoderado de D. Manuel Ventura Irure: frente á Ls Covachuelas. Que entia cada día mas que aquel hombre inocente estu­ Doña María Josefa Arias y Prada , viuda de D. Juan Rosen­ viese en prisión; mas pareciéndole que la prisión seria do González: D &gt;ña Teresa y Doña Josefa Camacho, hijas de para este, que era un jornalero, de menos importancia que D. Bonifacio: Doña Petronila Luisa Galan , viuda de D. Jo ­ para el como ha…</t>
  </si>
  <si>
    <t>y Puesto, Gracia</t>
  </si>
  <si>
    <t>Gracia y Puesto</t>
  </si>
  <si>
    <t>…ni­ ba á cualquiera de las partes el recurso de fuerza ó el de pro­ hizo cuanto se pudo por conciliar al clero? festado el Sr. Arguelles, suplico al Gobierno de S. M . que vea tección , y ese recurso no se da ante el Ministro de Gracia y Puesto que el clero no se satisfizo con estas concesiones, y de cortar de raiz estos males, que agravándose pueden ocasio­ Justicia, se da ante los tribunales, cuyo fallo causa ejecutaría. . que tomó parte en el trastorno del año 14, manifestando que nar funestos resultados. Por consecuen…</t>
  </si>
  <si>
    <t>y Pé, José Acevo</t>
  </si>
  <si>
    <t>José Acevo y Pé</t>
  </si>
  <si>
    <t>…uéda&gt;e ó no hacer esta descomposición en los idiomas. pies cuadrados * y está tasada en 2 6 ,9 l2 rs. por et arquitecto fcXPfefclDOá Mas no por evo se crea que adoptam os la idea de Des* de la academia nacional de S. Fernando D. José Acevo y Pé­ rez. La persona que guste hacer postura, acudirá dentro de 30 tuti-T racy, de que seria muy conveniente la creación de dias la escribanía del número qué despacha D. Manuel M a ­ óesde í.° de Enero de 1827 hasta 31 de Diciembre de 1838. un idioma filosófico', esto es, arreglado a la…</t>
  </si>
  <si>
    <t>y Raen, Juan Antonio Alvarez de Quiudos</t>
  </si>
  <si>
    <t>Juan Antonio Alvarez de Quiudos y Raen</t>
  </si>
  <si>
    <t>…iseisavos, £, 34§, tres dieziseisavos, Descripcioti histórica del Real bosque y casa de Ariwíjuoz, 4, Í, i , 3 t , 32, 3 0 |, 30, f, 4, cinco dieziseisavos y 51 á p O R providencia dictada por el Sr. D. Juan José Rodríguez por D. Juan Antonio Alvarez de Quiudos y Raen*. Un tomo v. f. ó rol. y firme con cupones: 3 2 , 5 l £ , 35 , 51^, 551» 31 en 4.0 con el retrato del Sr. D. Carlos iv, edición de 1804, * ^4 y 52¿ á v. f. ó vol. á prima de 1, i , f y \ por lüO con cu­ te, ante Valdeosera , juez togado de primera instancia de…</t>
  </si>
  <si>
    <t>y Rail, Surrá</t>
  </si>
  <si>
    <t>Surrá y Rail</t>
  </si>
  <si>
    <t>…nte, cuando vemos que se cercenan aun hast3 lo? fueros conveniente en poner la expresión " u n id a d política de la M o ­ ¿ E s el pensamiento de los señores de la enmienda como el mió económicos? {Pide la palabra en pro el Sr. Surrá y Rail.) n a r q u í a ? ” ¿ S e destruye la Constitución porque se espere c i n ­ que se modifiquen los fueros, y se ponga al Gobierno eu la obli­ Y o en mi j u i c i o , señores, creo que es el menos geueroso co , seis ú ocho meses 7 Y o celebraré que rne diga u«o de los s e ­ gación mas se…</t>
  </si>
  <si>
    <t>y Resguardos, Aduanas</t>
  </si>
  <si>
    <t>Aduanas y Resguardos</t>
  </si>
  <si>
    <t>…......... 3905..22 Escorial.. . . . 2165.. 14 V. S. muchos años. M adrid 15 de Agosto de 1839.=X im e- i ................... 6 ........................ 425..18 Gerona..................... 6265..26 nez.= Sr. D irector general de Aduanas y Resguardos. i 7 1085.. 8 Granada.............. 12100..26 1 8 ............... 998,. 16 G uadalajara... j . . . ., . . 15508..52 I 9 ................. 5568.25 Huelva...................... 6095.31 PARTE RECIBIDO EN LA SECRETARIA DE ESTADO í io .......................... 2555..17 .......…</t>
  </si>
  <si>
    <t>y Rey, Juan Perez</t>
  </si>
  <si>
    <t>Juan Perez y Rey</t>
  </si>
  <si>
    <t>…azas de director y secre­ Número do de Melgar de Fernamental, de la propia clase, en la pro­ tario del conservatorio de Artes, el cual se compondrá de fincas ¡Valor en tasación. Id. el de la venta. vincia de Burgos, que sirve D. Juan Perez y Rey , el cual de­ por ahora de las siguientes: Un catedrático de geometría Provincias* rústicas y Reales vellón. Reales vellón. berá trasladarse al del valle de Cabuérniga, que deja vacante y mecánica, otro de física, otro de química y otro de de­ urbanas. Villalaz. lincación , que e…</t>
  </si>
  <si>
    <t>y Reyes, Juan Gómez</t>
  </si>
  <si>
    <t>Juan Gómez y Reyes</t>
  </si>
  <si>
    <t>…números; uno ó mas suplementos; una magnífica lámina , y un En conformidad al Real decreto de 27 de Marzo de 1826 Idem sin interés, 00. drama nuevo al raes, por 8 rs.: 20 por trimestre y 28 para se ha dignado S. M. conceder á D. Juan Gómez y Reyes, ve­ Acciones del banco español de S. Fernando, 00. las provincias, franco de porte. Van publicados cinco números cino de la ciudad de Málaga, en 9 de Febrero de este año Real y fun suplemento con artículos y poesías de los Sres. H artzea- cédula de privilegio de invención por 15…</t>
  </si>
  <si>
    <t>y Rezano, José Abades</t>
  </si>
  <si>
    <t>José Abades y Rezano</t>
  </si>
  <si>
    <t>…1 2¿ quinta). P ro v in cia d e M adrid. Id. de seguuda id ., 9 á 10 id. todo, sin sacrificar al sonido la propiedad de la sentencia Id. t ria c h e , 5 á 7 id. ni la exactitud de las ideas.==A. L. ( E l Tiempo.) El Molar. = D. José Abades y Rezano, en M a d r i d : des­ Tabaco labrado según su calidad , 6 á 25 millar. de 15 de J u n io á 15 de Setiembre. • Cambios. P ro vin cia d e M u rcia . D irecció n g e n e r a l d e E studios. Sobre Londres, de 9 á 10 por 100 premio. Archéna. —D. Nicolás Sánchez de las M a ta…</t>
  </si>
  <si>
    <t>y Roca, Juan Castelló</t>
  </si>
  <si>
    <t>Juan Castelló y Roca</t>
  </si>
  <si>
    <t>…componer el jurado; y habiéndose rea­ Otra id., rambla del Perionciilo , término de Dalias, V ir­ lizado con las formalidades que la misma previene , tocó á los gen del Carmen, por José Fernandez, en 18. sugetos siguientes: D. Juan Castelló y Roca , D Antonio Gó­ Otra id . , sierra de L u ja r, loma del Cordero, término de mez y Paran, D. Manuel Guinea , D. José de Mesa, D. A n­ Velez , S. Antonio , por Nicolás Cabrera , en 22. tonio Marte! y Nuñez, D. Francisco Gómez Acebo, D. Pedro Otra i d . , calar de Guejar Sierra…</t>
  </si>
  <si>
    <t>y Roda, Guillen</t>
  </si>
  <si>
    <t>Guillen y Roda</t>
  </si>
  <si>
    <t>…ice la ley, la suma Ei Sr. I Ñ I G O dijo que no habiendo i m p u g n a d o el d ic t á ­ uno de los medios de hacer dinero era dejar abiertas las boh as ! eSra que ade lan tó, sino que sufre el desfalco de la notable men el Sr. Guillen y Roda , sino que al c o n tra ria , le habia de los co n tri bu y en te s, y para dejar las bolsas abiertas era n e ­ erencia que necesariamente h a de haber entre la cant id ad re- encontrado fu n da do y j u s t o , se limitaba á manifestar á S. S. cesario reconocer el capital y su utili…</t>
  </si>
  <si>
    <t>…. Infanta Doña María Luisa Fer­ sidente el Sr. Luzuriaga : Secretario el Sr. A y aía y Mi rla: nanda, continúan en esta corte sin novedad en su im­ El ministerio sé h alla distribuido del modo siguiente: con Vicesecretario el Sr. Guillen y Roda. 5 a sección. Presidente el Sr. Montesino: Vicepresidente el portante salud. el R e y , en el palacio de Eu , los Sres. D up erré, Schneidér y Sr. J o v e r: Secretario el Sr. L u ja n : Vicesecretario el Sr. f u e n ­ C u n in -G rid a in e ; en Paris , con el presidente del Conse…</t>
  </si>
  <si>
    <t>y Rodríguez, Domingo Jijón</t>
  </si>
  <si>
    <t>Domingo Jijón y Rodríguez</t>
  </si>
  <si>
    <t>…/ oio«s:.U oJ^W nle ^ l ^ t d o )Iarpa|abra para pro- Le-Clerc. tes que habia podido reunir ^ y'últimamente? se ha'rescatado á teáar con ¿odas m k m ¿ ce p ^ a q a El edicto copiado está conforme con el que original se halla D. Domingo Jijón y Rodríguez, subteniente de la compañía sería u na mengua y sunldeskoOAft para -ja Bé.lglea, El tratado •n los autos de que se ha hecho m érito, á que me remito ; y de carabineros fraucos de Ciudad-Rodrigo-, al cual llevaban es inicuo ?en»ís.U;.or^e»byí^ r . m cpiisfcuencías. Si Ja Bé…</t>
  </si>
  <si>
    <t>y Romanos, D. Ramón Mesonero</t>
  </si>
  <si>
    <t>D. Ramón Mesonero y Romanos</t>
  </si>
  <si>
    <t>…trabajos de otro. l)e este m odo se trabajaba con cierta no­ Tesorero.szSr. D. Joaquin Fagoaga. á todas las personas amantes de las bellas arles. Escrito eo bleza que hoy se ha perdido con no poca influencia en la Secretario.—Sr. D. Ramón Mesonero y Romanos. francés por L. Sebastian-le-Normand , profesor de ciencias desm oralización de los mineros. Yocales.zzExcmo, Sr. duque de Gor. físico-químicas aplicadas á las artes. Traducido al castellano La ordenanza actual quiere por el contrario que se Sr. D. Andrés Caballero. Pros…</t>
  </si>
  <si>
    <t>y Rosas, D. Antonio de los Rios</t>
  </si>
  <si>
    <t>D. Antonio de los Rios y Rosas</t>
  </si>
  <si>
    <t>…Sr. D. Paulino Jiménez. Canarias {islas). Sr. D. Dionisio Valdés. Sr. D. Pedro Calzada. Sr. D. Juan Alvarez y Mendizabal. Sr. D. Andrés Alcon. Sr.) gr’&gt;C No está aprobada el acta de elección. Sr Málaga. Valladolid. Sr.) Sr. D. Antonio de los Rios y Rosas , electo. Sr. D. Mariano Miguel de Reinoso , Secretario 1.° Castellón de la Plana. Sr. marques de Casa-Iru jo. Sr. D. Luis Rodríguez Camaleño. Sr. D. Diego María López, electo. Sr. D. Lorenzo Arrazola. Sr. D. José María Valterra. Sr. D. Andrés Borrego, electo. Sr. D…</t>
  </si>
  <si>
    <t>y Rubio, Cayetano de Dilio</t>
  </si>
  <si>
    <t>Cayetano de Dilio y Rubio</t>
  </si>
  <si>
    <t>…tocó á los Santo Domingo el cúter está anclado en la lín ea el seno de esta navegación en m in iatu ra es donde Isabey En sugetos siguientes: D. Nicolás Mélida, D. Martin López Sala- DE LOS TEATROS zar, D. Eduardo Arenas, D. Cayetano de Dilio y Rubio, Don forma esos preciosos dibu jos, esos a preciables cu ad riles con Rauion Guerra, D. Román Matute , D Bernardina Eraña , Don MODERNO ESPAÑOL Y EXTRANGERO. que se enriquecen todas las colecciones de los particulares Tadeo Sánchez Escandola y D . J osé Eugenio E guizabai…</t>
  </si>
  <si>
    <t>y Rui, Surrá</t>
  </si>
  <si>
    <t>Surrá y Rui</t>
  </si>
  <si>
    <t>…ores no he visto yo mismo Calatrava (D. R a m ó n), Sánchez Toscano y López de Pedrajas. que el precedente proyecto. Los medios que en él se consideran arrepentidos de haber puesto por obra semejante operación ! Por Ger ona: Sr. Surrá y Rui!. como conservadores de la cria caballar , y como de incremento ccNo puede dudarse, continúa la exposición, que el excesi­ Por Granada : Sres. Guillen y Roda , Gutiérrez de Ceballos, de nuestra caballería, son en mi corto entender diametralmente vo número de caballos enteros ha sido una…</t>
  </si>
  <si>
    <t>y Rull, Surrá</t>
  </si>
  <si>
    <t>Surrá y Rull</t>
  </si>
  <si>
    <t>…tampoco la creia oportuna, porque nin­ Rectifican varios hechos los Sres. López, Alvaro y Jiménez. que fingido ó retratado en panorama; bien ha hecho por ú l­ gún resultado habían producido las suspensiones que se habían El Sr. Surrá y Rull reconoció también como una disposi­ hecho de las discusiones hasta que se hallase presente el M i­ ción sábia y acertada el que se presentase el expediente que re­ timo en decirlo y en fundar en ello su vanagloria, porque )a primera condición del talento es acatar y reverenciar al tal…</t>
  </si>
  <si>
    <t>y Sairó, Gerónimo Merelo</t>
  </si>
  <si>
    <t>Gerónimo Merelo y Sairó</t>
  </si>
  <si>
    <t>…ats .) 1 1 ■ ■■ ■ . ■ ' ' n,n &gt; EFECTOS PÚBLICOS. p R O N T U A R IO dél régimen de las aduanas de España y Mañana empezará á discutirse en la Cámara de Diputados Inscripciones en el,gran libro á 5 por 100, 00. Francia, por D. Gerónimo Merelo y Sairó, vista de la la proposición de mensaje al Rey presentada por Mr. Mauguin. Títulos al portador del 5 por 1 0 0 , 2 0 f con cupones al con­ aduana dé Barcelona. Los Sres. suscriptores pueden acudir cuan­ Se espera que la discusión será animada: entre los principales tado? 2 1 ,…</t>
  </si>
  <si>
    <t>y Sanz, Pedro Sanz</t>
  </si>
  <si>
    <t>Pedro Sanz y Sanz</t>
  </si>
  <si>
    <t>…B fu n , frente á las Co­ ¿Títulos al portador del 5 por 100, 32*, 52 y 52* con cupo­ vachuelas: en la de Escobar, calle dé la Concepción géT&lt;á¿ima; nes al contado: 35 siete dieíiseisavos, tres diesLeisavos, # , 52 y en la de D. Pedro Sanz y Sanz, calle de las Carretas \ y én G R A M A T IC A FR A N C E SA savos, 55* , 52J , i, diezisiete treirJa.dosavos, 33} , 55 3 2 f , 53J, 32 cinco dieaisei- * y 5 2 f á v . f . o vo!.: 55, 3 4 , 5 3 |, * y 35 a v. f. o vol. a prima de i , * , * y | per 100 con cupones. ción. de D. L.…</t>
  </si>
  <si>
    <t>…de vuestros respectivos intereses, que era el vachuelas: en la de Escobar, calle de la Concepción gerónim a; blanco de mi deber y de mi deseo: felizmente lo he conseguido. Descuento de letras , á 6 por 100 al año. y en la de D. Pedro Sanz y Sanz, calle de las C arretas; y en Lo que os p re v e rg o , y de su cumplimiento encargo bajo su las provincias: en C á d iz , en la de H o r ta l: en Barcelona, en la responsabilidad á las autoridades civiles y m ilitares, que n in ­ de P ife rrer: en Z aragoza, en la de Y a g ü e :…</t>
  </si>
  <si>
    <t>…scobar, calle de la Concepción gerónima; Se halla a 3 rs. tanto en ram a com o en rústica en el principales librerías, adelantando el importe de un mes. El que gustase suscribirse podrá verificarlo en adelante al y en la de D. Pedro Sanz y Sanz, calle de las Carretas; y en despacho de dicha Im prenta. las provincias: en Cádiz, en la de H o rta l: en Barcelona, en la Comprende varios decretos, órdenes y circulares del corriente su de la publicación, tomando los cuadernos atrasados á comodidad. de Piferrer: en Zaragoza…</t>
  </si>
  <si>
    <t>y Sanz, Pedro Sauz</t>
  </si>
  <si>
    <t>Pedro Sauz y Sanz</t>
  </si>
  <si>
    <t>…. vachuelas: en la de Escobar, calle de la Concepción gerútiitna; cons»»utemente. La diputación provincial , excitada por el general en gefe Descripción de los ornatos públicos con que la corte de Ma­ ylasenproviocias: la de D. Pedro Sauz y Sanz, calle de las Carretas; y en en Cádiz, en la de Hortah en Barcelona, en la para proporcionar vendajes é hilas, se dedicó con todo el afan drid solemnizó la feliz exaltación al trono de los Sres. D. Cár- que exigía esta necesidad á repararla , y se nombraron comisio­ los iv y Doña…</t>
  </si>
  <si>
    <t>y Sayró, G. Merelo</t>
  </si>
  <si>
    <t>G. Merelo y Sayró</t>
  </si>
  <si>
    <t>…ión en que nos hallamos , y P R O N T U A R I O del régimen de las aduanas de España y Cuaderno 1.° Plan de un ministerio de Instrucción pública. que anuncia sin duda una situación mas feliz para nuestros des­ ■ Francia , por D. G. Merelo y Sayró : Vista de la aduana Párrafo ].° Causas que impulsan su formación. Párrafo 2.° Ra­ cendientes? Hé aqui el objeto de la presente obra que damos á de Barcelona. Los Sres. suscriptores á esta obra pueden acudár mos que debe abrazar. Párrafo 5.° Su dirección gastos y medios luz traduci…</t>
  </si>
  <si>
    <t>y Señores, Presidente</t>
  </si>
  <si>
    <t>Presidente y Señores</t>
  </si>
  <si>
    <t>…leyó la exposición Isabel á los individuos de sociedades secretas, á los que lejos de ¿co n eso venís ahora? siguiente: promover la guerra c iv i l, se esfuerzan por ex tin g u ir sus ú l t i ­ pues acaso ¿soy yo el c u r a ? Sr. Presidente y Señores: Tengo el honor dé presentar á es­ mos restos en Aragón. En manos de estos hombres se halla hoy M uger. Sois el v ir e y , y él está ta sociedad y de confiar á su cuidado y celo los modelos de m á ­ el destino de la P enínsula.” en vuestra guardia. Gonzalo . ¿Sí á fé ? quinas é…</t>
  </si>
  <si>
    <t>y Si, Patricio de la Escosura</t>
  </si>
  <si>
    <t>Patricio de la Escosura y Si</t>
  </si>
  <si>
    <t>…a R am os, cruz ayudarle en sus tareas serán tales que satisfagan al público en Excmo. Sr. D. Gaspar Remisa , presidente , ausente. sencilla de María Isabel Luisa. la parte m oral, al par que se hallen adornados de la instruc­ D. Patricio de la Escosura y Si*, conde de las N av as, con­ Reiiia Gobernadora , primer batallon.zzCon grado de tenien­ ción necesaria para ser sus dignos colaboradores. Pues tenemos, siliarios. te coronel mayor de batallón D . Francisco Peruréna , cruz de entendido que varios de estos señores vienen…</t>
  </si>
  <si>
    <t>y Sierra, Francisco Buron</t>
  </si>
  <si>
    <t>Francisco Buron y Sierra</t>
  </si>
  <si>
    <t>…ado de Riaño, de en­ Provincias. rústicas y Reales vellón. Reales vellón, Real orden. trada en la provincia de León, vacante por no haberse pre­ urbanas. Enterada S. M. la Reina Gebernadora de la instancia sentado á servirla D. Francisco Buron y Sierra, á D. Diego Alicante 8 100180 119559.. 2 promovida por varios individuos del comercio de Cádiz, Francisco Ramos^ que reúne las circunstancias requeridas para Albacete 3 75563..3® 191000 consignatarios de buques con cargamentos de bacalao, se esta clase de destiiios. Avila…</t>
  </si>
  <si>
    <t>y Solans, Joaquín Fleix</t>
  </si>
  <si>
    <t>Joaquín Fleix y Solans</t>
  </si>
  <si>
    <t>…inistradores para sobrelle­ parará entero perjuicio la sustauciacion del sumario. C E c it a , llama y emplaza á los que sean acreedores á la tes- var las enormes cargas que los agobian: todo ha llama­ ^ lam entaría del Dr. D. Joaquín Fleix y Solans, abogado do sobremanera la atención de S. M. la Reina Goberna­ que fue del ilustre colegio de esta corte , para que en el térm i­ "VO el infrascrito escribano de diligencias por S. M . del tr i- dora, que cuál Madre tierna y solícita, vela sin descanso bunal d$ comercio de…</t>
  </si>
  <si>
    <t>y Soler, José Camps</t>
  </si>
  <si>
    <t>José Camps y Soler</t>
  </si>
  <si>
    <t>…........... Avila. Almería. la votación. ellos la verdad de la historia en su exactitud y pureza. D. Alvaro Gómez Becerra......................................Badajoz. Juzgamos por lo mismo que las obras de esta clase acome­ D. José Camps y Soler.............................................Baleares (Islas/ tidas y llevadas a cupnplido término con la conciencia y Marques de Castelldosrius. ............* Barcelona. SUBASTAS. buena íé que desde la primera pagina se echan de ver en D. Félix Torre* A m at, obispo de Astorga. .…</t>
  </si>
  <si>
    <t>y Solera, José de Vulnes</t>
  </si>
  <si>
    <t>José de Vulnes y Solera</t>
  </si>
  <si>
    <t>…en la inteligencia que pa ­ pios de la calam idad general que nos aflige. T V A B IE N D O SE denunciado ante el Sr. alcalde constitucional sado dicho término sin haberlo verificado, les parará el perjui­ D . Angel Mazon por D. José de Vulnes y Solera , ofi­ cio que haya lugar. Pero con todo S. M. quiere y espera todavía del celo y cial cesante de la secretaría de Estado y del Despacho patriotism o de los em pleados del G obierno m ayores resul­ cia y Justicia , dos folletos ó memorias escritas por el oidor ho­ de G ra­…</t>
  </si>
  <si>
    <t>y Sr, Genaro Perez Yillaamil</t>
  </si>
  <si>
    <t>Genaro Perez Yillaamil y Sr</t>
  </si>
  <si>
    <t>…l Luisa. con la instrucción moral la salubridad y educación física. Sr. marques*de Pontejos, presidente. &gt; .?&gt; ♦&gt;&gt; Soldados Ju lián Perez , Nicolás Mancha , Ju an Tejado; No nos parece tan bien el que los alumnos que hayan dé D. Genaro Perez Yillaamil y Sr. duque de G o r , vicepré^ Diego González, Adrián V izcaíno, Frutos Gómez y Anastasio ingresar en el establecimiento no pasen de 12 años , porque se­ stdentes. ' " ' ■- L-r-i Góm ez, cruz pensionada de María Isabel Luisa. rá privar á muchos jóvenes, que por falta de prote…</t>
  </si>
  <si>
    <t>y Sres, Presidente</t>
  </si>
  <si>
    <t>Presidente y Sres</t>
  </si>
  <si>
    <t>…osecha, pues los que han fructificado en este A un hay mas. Los verbos que representan ideas mas clima , ni cargan tanto, ni la producen tan jugosa; expresan­ abstractas y generales han debido ser los últim os que se Excmo. Sr. Presidente y Sres. vocales de la Real sociedad: do igualmente el mayor sentimiento en no haber conseguido in ventasen , pues ios objetos sensibles é in dividuales han La sección de agricultura y estadística superior siempre en de­ uno de los varios que le remitieron de esta suerte beneficiados; sid…</t>
  </si>
  <si>
    <t>y Sta, Cores</t>
  </si>
  <si>
    <t>Cores y Sta</t>
  </si>
  <si>
    <t>…ormes, y en su vista y por encargo especial del Sr. D. Andrés Avelino de Artiaga Otra id. , sierra de G a d o r, loipa|del V icario, término del propone sea admitido el Sr. marques del Buen-suceso , Senador y C arvajal, conde de Cores y Sta. E ufem ia, que lo es de la Presidio, Ecce-homo , por Diegé Q # í a , en 26. electo por dicha provincia. villa y corte de M adrid, ha registrado una mina de hierro en deJfes M in a ^ término de G ador, el Clarín Zaragoza.—El acta de la primera elección se halla aproba- la dehesa titulad…</t>
  </si>
  <si>
    <t>y Suarez, Joaquín María Mendez</t>
  </si>
  <si>
    <t>Joaquín María Mendez y Suarez</t>
  </si>
  <si>
    <t>…R i o , provincia de rará entero perjuicio. para su cum plim iento.= Esta rubricado de la Real mano.== Sevilla. Asimismo se cita y emplaza por término de tercero dia á M inas nacionales de Riotinto 50 de Noviembre de 1858.=: D. Joaquín María Mendez y Suarez, D. Manuel M iranda , Don En Palacio á 30 de Diciembre de 1838.=A1 Presidente Ignacio Goyanes. José Viton y D. Joaquín Sánchez, á fin de que se presenten á interino del Consejo de Ministros. prestar declaración en la escribanía mayor de Amortizicion i cargo de D. Jos…</t>
  </si>
  <si>
    <t>y Suarez, José de Silva</t>
  </si>
  <si>
    <t>José de Silva y Suarez</t>
  </si>
  <si>
    <t>….......... 2756 de la vicaria de Piñal del Rio 4 .. 2 Licenciado D. José de la Rocha................................ 5 40 x ............ d e .. 16. . . . • • • . • 6448 Presbítero D. José Ramón Alfonso, teniente de Licenciado D. José de Silva y Suarez...................... 5 2 aproximaciones d e ... 8 para el an­ cura de la Salud .............................................. 2 El escribano de Cámara D. Eusebio Nuñez.............. 3 terior y posterior al premio de 8d. 16 Id. D. Rafael de H ita, capellán del regimiento de E…</t>
  </si>
  <si>
    <t>y Suarez, Licenciado D. José de Silva</t>
  </si>
  <si>
    <t>Licenciado D. José de Silva y Suarez</t>
  </si>
  <si>
    <t>….. 24................... 2756 de la vicaria de Piñal del Rio 4 .. 2 Licenciado D. José de la Rocha................................ 5 40 x ............ d e .. 16. . . . • • • . • 6448 Presbítero D. José Ramón Alfonso, teniente de Licenciado D. José de Silva y Suarez...................... 5 2 aproximaciones d e ... 8 para el an­ cura de la Salud .............................................. 2 El escribano de Cámara D. Eusebio Nuñez.............. 3 terior y posterior al premio de 8d. 16 Id. D. Rafael de H ita, capellán del r…</t>
  </si>
  <si>
    <t>y Sánchez, José Cortes</t>
  </si>
  <si>
    <t>José Cortes y Sánchez</t>
  </si>
  <si>
    <t>…ocasión por el director de los archivos. ración: De la misma manera se cita y emplaza á D. Pedro María A mediados de 1810 abdicó el Rey de Holanda en fa­ pensaba comunicóle el despacho, declarándole que no se Villayicencio , D. José Cortes y Sánchez, D. Felipe Ochaita y vor de su hijo mayor. Hauterive fue enviado á aquel pais dro? ¿Seendejara ninguna hostilidad. ¿Qué responderá Alejan­ compañía, D. José Rivera y Andrade, D. Vicente Martel, arrastrar por un movimiento de cólera? D. Lorenzo Garrigos y Suárez y D. Manuel Mar…</t>
  </si>
  <si>
    <t>y Sánchez, José Mateos</t>
  </si>
  <si>
    <t>José Mateos y Sánchez</t>
  </si>
  <si>
    <t>…ue en efecto las encontramos de una na­ Antonio Fernandez Matoso, de este domicilio, en nombre El autor valúa en mas de 18 millones de cartas y en turaleza capaz de ejercer una gran influencia en los espíritus. del presbítero D. José Mateos y Sánchez, natural y vecino de culares. cerca de 10 millones de francos lo que por este medio deja de Uná de las grandes objeciones que pueden ponerse á este la villa deGausin, en 5 de Abril hizo abandono de la mina entrar en la administración de correos. A esto se agrega el gran­ proye…</t>
  </si>
  <si>
    <t>y Tagle, Joié Manuel Cacho</t>
  </si>
  <si>
    <t>Joié Manuel Cacho y Tagle</t>
  </si>
  <si>
    <t>…omandante del cañonero Marina-'J apostadero El gremio de matrículas de Laredo y su digno gefe el ayu­ de esta osadía el citado San Román no vaciló en cargarlos, y Je Santoña me dice con fecha 8 del actual lo que sigue : dante D. Joié Manuel Cacho y Tagle hau sobresalido y sobre­ en tan larga como obstinada resistencia resultó dejar los ene­ Excmo. S r.: El 24 del pasado Diciembre , á consecuencia dé salen en servicios personales y pecuniarios. migos én el campo dos m uertos, entre ellos el famoso asesino comunicación ofic…</t>
  </si>
  <si>
    <t>y Teilo, Juan Romeo</t>
  </si>
  <si>
    <t>Juan Romeo y Teilo</t>
  </si>
  <si>
    <t>…r e s .de reemplazo de D. Juan Palarea : por la de Zaragoza á Don su autenticidad por todos nuestros inteligentes y aficionados. El quienes particularmente nuestros compatriotas tienen motivo de Joaquin Ayerve, en reemplazo de D. Juan Romeo y Teilo: cuadro, que representa un cristo atado á la columna, es de lo queja. por la de Alicante á D. Carlos Moran, en reemplazo de mejor que ha salido de la hermosa escuela de V an-D ick. La Nereida ha completado de una manera útil para el co­ I). José María Reig: por la de Cáceres á D.…</t>
  </si>
  <si>
    <t>y Tello, Juan Romeo</t>
  </si>
  <si>
    <t>Juan Romeo y Tello</t>
  </si>
  <si>
    <t>…rreño.........................................Zamora. siones de bastante consecuencia , lo reproducimos hoy íntegro Duque de Zaragoza.................................................Zaragoza. coa las necesarias correcciones. D. Juan Romeo y Tello.... ................... Idem.</t>
  </si>
  <si>
    <t>y Tello, Juan Romero</t>
  </si>
  <si>
    <t>Juan Romero y Tello</t>
  </si>
  <si>
    <t>…jor concepto público por su Bilbao, id. Valencia , par. amor al orden, por sus conocimientos y afición al trabajo. Cádiz, 1 | d. Zaragoza , id. En la noche del 9 se ejecutó el drama en cinco actos, ori­ cas Alcaldes: primero D. Juan Romero y Tello, segundo D. Lu­ Piñeiro, tercero D. Manuel Teruel. ginal de D. Josc Lorenzo Figueroa, su título Isabel de la Descuento de letras , á 6 por 100 al año. Paz. Regidores: primero D. Rafael Urries, segundo D. Tadeo Sentimos sobremanera que los cortos límites de nuestro pe­ López Reb…</t>
  </si>
  <si>
    <t>y Teno, José Saavedra</t>
  </si>
  <si>
    <t>José Saavedra y Teno</t>
  </si>
  <si>
    <t>…iíto. Cas Una carta del general Narvaez d irigid a á su amigo y se­ Yo creia que la cuestión de ayer era cuestión agena de p ar­ purtes nombren á tercero día peritos por el omiso de oficio y cretario de campaña el comandante D. José Saavedra y Teno­ tidos y de personas , y que debía hacerse abstracción de todo tercero en discordia que señalen, liquiden y adjudiquen los bie* jitM que en clase de amayorazgados lian sido objeto de este pre­ rio. (Esta ca rta se halla inserta en e l C orreo Nacional d e esto; cuando di mi voto…</t>
  </si>
  <si>
    <t>y Teran, Francisco de Mier</t>
  </si>
  <si>
    <t>Francisco de Mier y Teran</t>
  </si>
  <si>
    <t>…n , y 10# hechos «iodo bastante grosero que apagase su cigarro y se quitase el tínez. prisioneros; y lo que fue mas g r a t o , 15# cristianos cauti­ so m b re ro . No habiéndolo hecho inmediatamente el joven, le Geografía. D. Francisco de Mier y Teran, D. Federico Se­ vos que rem aban en ios barcos en em igo s obtuvieron su descargó el granadero un puñetazo en el pecho y al que se le g u í, D Fernando Gtrgollo, D. Angel Retortillo, D. Leopol­ libertad. La pérdida de los cristianos fue estimada en 10$ contestó con otro…</t>
  </si>
  <si>
    <t>y Tirado, Ana Mesia</t>
  </si>
  <si>
    <t>Ana Mesia y Tirado</t>
  </si>
  <si>
    <t>…los que se crean con derecho y la derramó en una masa de infantería y en un pelo­ demostrado, á 5.182,200 pesos fuertes, resultan existentes en tón de caballería enemiga. El dia 18 el general en gefe desti­ a los bienes de Doña Ana Mesia y Tirado , vecina que fue de circulación para el sorteo del presente año, 40, 494 , impor­ nó á sus tropas en abastecer á Solsona de agua y de leña , y dicha villa, de estado soltera, natural de Alora en Andalucía tantes 57.009,200 pesos fuertes; los cuales van representa­ ayer tarde regr…</t>
  </si>
  <si>
    <t>y Toledo, Ciudad Real</t>
  </si>
  <si>
    <t>Ciudad Real y Toledo</t>
  </si>
  <si>
    <t>…erse apoderado de una de sus islas no lejos de la einbocadur: Accediendo S. M. á la propuesta que ha hecho el citado co­ L a carta dice a s i : del Schattel-Arab. Es cierto que el cónsul ingles ha protestadi mandante general de Ciudad Real y Toledo para recompensar Alejandría 8 de M a y o .—Me apresuro á remitiros una copia contra semejante procedimiento, y ha pedido la evacuación di el mérito contraido por los escopeteros de Navalucillos y cabo 1.° del documento oficial que sig u e ; y es de tal importancia que la isla,…</t>
  </si>
  <si>
    <t>…de sus her- tiva acerca de la conveniencia de crear y organizar fuerzas máaos y pro ¡igar la suya propia, para en ultimo res u fiad 6 sa­ que atendiesen al objeto mas privilegiado de todos ; la existeu- El comandante general de Ciudad Real y Toledo én su car el triste desengaño de que soló han trabajado en su propia cia y vigorizacion de la socied »d. L°s sucesos que han pa«ado parte periódico de novedadés dé 2 del actual dice que á conse­ ruiná * y por el engrandecimiento de sus mas crueles y solapa­ después á la vista d…</t>
  </si>
  <si>
    <t>…os.=Fructuoso G u - renzo Moreoo.zsFrancisco Garbi.=Francisco López, secretario. tierrez.^Rálvino Martínez Arroyo. = Leonardo M artitíez.=Ti- burcio Diez Cabria.—Eduardo Rodríguez Cossio.=: Román de la El comandante general de Ciudad Real y Toledo dice cón Hera.= Mariano Garrido.rrJulian González. ±2 Ezequiel Gonza- fecha 7 del corriente que se han presentado á indulto en aque­ !es.=Ya!entin Sánchez Martin.=Maauel déla Aleja.=Casto Ma* 1 miento En los mismos términos ha felicitado á S. M. el ayu n ta- llas provincias 57 f…</t>
  </si>
  <si>
    <t>y Toledo, Ciudad-Real</t>
  </si>
  <si>
    <t>Ciudad-Real y Toledo</t>
  </si>
  <si>
    <t>…del empréstito tocan ya á su tér­ mas cómodo, y sobre todo menosel de diferencia una peseta, serán de uso expuesto á perderse que las mino. piezas francesas del mismo vslor. No tienen curso, es verdad, El comandante general de Ciudad-Real y Toledo con fe­ Mr. O’Connell ha dirigido últimamente una carta ¿ la en la cualidad de moneda extrangera de baja ley en Francia »i cha 2 del actual da parte de haberse presentado á indulto en Union política de los oficios nacionales , en la que declara del en Saboya, donde el sistema m…</t>
  </si>
  <si>
    <t>…do con su duración I&lt; niente de fusileros , Joaquio Ros.“ El teniente de cazadores, total destrucción de una nación digna por cierto de mejoi Diego Morell.=;EI abanderado, Vicente Lamauette.—Por ¡a cla­ El comandante general de Ciudad-Real y Toledo, con fecha suerte. se de oficiales de caballería, Francisco Villalobos.“ El subtenien­ 5 del a c tu al, dice que se ban presentado á indulto ea diferen­ Loor eterno á V. M. por haber asegurado de un modo dig­ te de granaderos , Santiago Pelayo.=El subteniente de fusile­ tes pu…</t>
  </si>
  <si>
    <t>y Uciés, Rafael de Vargas</t>
  </si>
  <si>
    <t>Rafael de Vargas y Uciés</t>
  </si>
  <si>
    <t>…el perjuicio que haya lugar. segunda serie, primer semestre, á 20 rs., y 24 francas de porte Mañana martes se ejecutará la comedia en dos actos, que tanto agradó en su primera representación, titulada DOS PA ­ £ L licenciado D. Rafael de Vargas y Uciés, abogado de los • j ír nacionales, juez de primera instancia de esta FASTOS ESPAÑOLES, DRES PARA UN A H IJA . Seguirá el pas-de-deux, obligado de harpa , y bailado por la Sra. Diez y el Sr. Casas. A conti­ nuación se volverá a poner en escena la graciosa comedia en un ci…</t>
  </si>
  <si>
    <t>y Valdivia, Pedro Lledó</t>
  </si>
  <si>
    <t>Pedro Lledó y Valdivia</t>
  </si>
  <si>
    <t>…r, titulada Salud tercera (a) San D. Salvador G arrido, en 25. O tra id. en sierra Almagrera , término de P u lp í, San José, M atías, por Roque Samper , en 1.° Registros.=:Una mina plomiza en Sierra de L u j a r , baTran­ por D. Pedro Lledó y Valdivia , en 20. O tra id. en cerro de Q u in ta n a , término de C a nja yar, Sao quillo de Antonio D iaz, término de O r j i v a , San J o s é , por O tra de hierro en sierra Nevada , umbría de Caballones, José , por D. Mariano Carvajal, en 6. Rafael P av as, en 7. término de D ila…</t>
  </si>
  <si>
    <t>y Valencia, Aragón</t>
  </si>
  <si>
    <t>Aragón y Valencia</t>
  </si>
  <si>
    <t>…en 8.° regular. Hallándose la - nombrando general en gefe del ejército del centro y ca­ francés en el presente año. Un tomo en 4.0 traducido al espa- impresión del primero m uy adelantada, se publicará en breve pitán general de Aragón y Valencia al mariscal de campo n o l, y aumentado con el folleto La V erdad, ó sea demostra­ y se avisará al público el tiempo en que haya de verificarse la D . Leopoldo Odonell en reemplazo del de igual clase Don ción de los derechos de Isabel t i al trono de España , por Don del segundo,…</t>
  </si>
  <si>
    <t>…cia nacional; y volví á mi bel i i , nombrarle general en gefe del ejército del Centro cia también á dicho brigadier, que el día antes habían quedado hogar á sentir que uoa fortuna mas propicia no hubiera fa­ y capitán general de Aragón y Valencia, cuyos mandos en poder de nuestras tropas un gefe, dos capitanes, cinco su­ vorecido á los mejicanos en la mas justa de las contiendas. desempeña interinamente el mariscal de campo D. Agus­ balternos y 138 individuos de tropa rebeldes de los que bloquea­ ¡Cuán agudo y vehemente fue…</t>
  </si>
  <si>
    <t>y Valle, José Mateos</t>
  </si>
  <si>
    <t>José Mateos y Valle</t>
  </si>
  <si>
    <t>…farmacéuticos mas, arroyo del Cañuelo , término de la villa de G ausin, que se advierte bástante deserción , asegurándose ser muchos los re­ para! estudiar la historia y propiedades de los seres que sirven, tenia en abandono D. José Mateos y Valle, vecino de la mis­ beldes que se han preseutado en Fuentes de Ebro y Belchite. ¡para la curación de las enfermedades h u m a n as; y á nadie se m a , se halla y tiene esta inspección por abandonada hoy ^me­ ocultan las ventajas que todo hombre puede sacar de nociones diante no…</t>
  </si>
  <si>
    <t>y Verdugo, Mariana Vega</t>
  </si>
  <si>
    <t>Mariana Vega y Verdugo</t>
  </si>
  <si>
    <t>…50 dias, contados desde el LA. AUREOLA, ción en todos los metros presentes, pasados y futuros. De­ en que se anuncie en la Gaceta de esta capital, á D . C ár- cimos esto porque hay muchos que creen que en am on­ dos los y Doña Mariana Vega y Verdugo , herederos nombra­ periódico semanal de literatura, ciencias y arles Cá­ tonando diversidad de versos, y en quebrantando las for­ jo, áenfiniguales partes por el Sr. conde de Albareal de T a ­ diz, 1839. mas teatrales, y sobre todo en no nombrando á Marte, á ñ o , juez de qu…</t>
  </si>
  <si>
    <t>y Villegas, Miguel Márquez</t>
  </si>
  <si>
    <t>Miguel Márquez y Villegas</t>
  </si>
  <si>
    <t>…para todas las de la sociedad , nos decidie­ Echavarría, D. Ricardo López, D. Antonio González, D. J o ­ Martínez: un tomo en 8 .° rústica , á 2 rs. ron á ocuparnos de este trabajo que no nos toca calificar. Bas­ sé Casfejon, D. Miguel Márquez y Villegas, D. Lorenzo M a- ta el nombre del célebre filósofo Mr. Bouvier, de cuyas obras raci, D. Andrés M a rti, D. Ju a n Garay y Casal, D. Rafael Instrucción sobre el método de curar á los asfíticos por el hemos traducido y tomado una gran parte de la que tratamos de Cañaveral ,…</t>
  </si>
  <si>
    <t>y Vázquez, Martin Santia</t>
  </si>
  <si>
    <t>Martin Santia y Vázquez</t>
  </si>
  <si>
    <t>…ad de los niños. U n tomo en 8 .°, á 6 rs. en rústica y 8 americana de Isabel la Católica, magistrado honorario de la a u ­ en pasta. Conservatorio de artes. diencia territorial de Zaragoza , por la escribanía del número de D. Martin Santia y Vázquez , los autos de testamentaría Nueva floresta ó colección de chistes, agudezas, pasajes gra­ ciosos , chanzas ligeras y singulares; rasgos históricos para re­ Hasta 50 del corriente Octubre inclusive se hallará abierta causada por fallecimiento de D. Francisco Antonio de Amez…</t>
  </si>
  <si>
    <t>y y, Arteta</t>
  </si>
  <si>
    <t>Arteta y y</t>
  </si>
  <si>
    <t>…instrucción de 12 dé El Sr. A RM EN D A R IZ: Han predominado en el discur­ del después de segregado el señalado con el núm. Í7 2 l9 , so del Sr. Madoz dos ideas capitales: 1.a que la diputación ha nio,año 57. Repito que el Sr. Arteta y yo hicimos el escruti­ importante é inocentemente creimos que la fecha seria la que debia se ha anunciado 4091 rs. 20 mrs. por haber sido reclamado , según sido parcial: 2.a encarecer las dificultades del tránsito de N a­ corresponder: por consiguiente la comisión no puede sostener del 28…</t>
  </si>
  <si>
    <t>y y, Mendizabal</t>
  </si>
  <si>
    <t>Mendizabal y y</t>
  </si>
  <si>
    <t>…, mero empezará la renovación por la m ayo ría, saliendo los q«® Yergara: este es solo un medio que conduce á ella. Por eso di­ he venido en autorizaros para someter de nuevo á la delibera­ la suerte designare. . go que el Sr. Mendizabal y yo miramos la cuestión bajo un ción de las Cortes los dos proyectos de ley que fueron ya pre­ N ingún individuo de ayuntamiento podrá $er reelegido slfl punto de vista muy distinto por lo visto, y de aquí la causa sentados al Congreso de Diputados en la legislatura anterior. que medie…</t>
  </si>
  <si>
    <t>y y, Sancho</t>
  </si>
  <si>
    <t>Sancho y y</t>
  </si>
  <si>
    <t>…le que este caso le dé indemnidad personal ; por consecuencia me ción ordinaria se entiende solamente la c iv il , y de ningún mo­ arrancado de este sitio que dignamente ocupaba defendiendo los parece que estamos tan cerca el Sr. Sancho y yo, que no nos d i ­ do la m ilit a r , á la que siempre se la da este segundo nombre: intereses de la nación. ferenciarnos mas que en las palabras ; esto es , para salir de la y que respecto al a r t 2.° de la ley que ha citado el Sr. M in is ­ Habiendo tenido la honra de ser individuo d…</t>
  </si>
  <si>
    <t>…dicho, refiriéndose á lo que he manifestado relativo á que fieren á hechos, rigido por un Sr. Diputado, dijo que habia pedido consejo, ó cierto embajador habia reconvenido á un cónsul porque no de­ participar en esteelpunto Sr. Sancho y yo creimos que no debíamos del dictámen de la comisión* se habia aconsejado sobre estos negocios con varias personas, jaba entrar á varios emigrados que no han jurado la Consti­ de las cuales dijo que algunas ejercían un distinguido cargo en tución, que lo habría sabido por el mismo cóns…</t>
  </si>
  <si>
    <t>y Zafra, D. José Delicado</t>
  </si>
  <si>
    <t>D. José Delicado y Zafra</t>
  </si>
  <si>
    <t>…0.............. .. Madrid. siguiendo su curso inagestuo'jo en mayor espansioo, hermosura 9 .7 2 5 .... 400................. Valencia. y riqueza en los innumerables barcos que surcan su superficie r N virtud de providencia del Sr. D. José Delicado y Zafra, 7 .9 7 7 .... 4 OO Madrid. hacia arriba y hacia abajo , contribuyendo á lf» perspectiva el “ caballero de la'Real y distinguida orden española de Car­ 8 . 9 2 3 . . . . 4 OO Barcelona. gran número de barcos de vapor que mantienen L comunica­ los i i i del Consejo de S. M .…</t>
  </si>
  <si>
    <t>y Zafra, José Delicado</t>
  </si>
  <si>
    <t>José Delicado y Zafra</t>
  </si>
  <si>
    <t>…S JUDICIALES. Mañana domingo se pondrá nuevamente en escena el acre­ mas en otra corrida de los enemigos. ditado drama en tres actos, no ejecutado hace mucho tiempo, Los decididos Nacionales del Viso , sabedores que un grupo D. José Delicado y Zafra , del Consejo de S. M . , su secre­ titulado de facciosos robaban en las inmediaciones, salieron en su per­ tario con ejercicio de decretos , auditor honorario de guerra, y QUINCE AÑOS H A , secución , logrando ahuyentarlos con pérdida de una yegua, asesor general de la G uar…</t>
  </si>
  <si>
    <t>y Zarate, Antonio Gil</t>
  </si>
  <si>
    <t>Antonio Gil y Zarate</t>
  </si>
  <si>
    <t>…Sr. D. Manuel Gatalá de Vaferíola. tación, señalándole para ella la casa palacio habitación del Ex­ Bibliotecario ízSr. D. Aotonio María Segovia. celentísimo Sr. capitán general de este distrito, donde deberá Suplentes.srSr. D. Antonio Gil y Zarate, para consiliario. Sr. D. Francisco de Paula Mellado, para secretario. Sr. Don Juan Batefc, para depositario. Sr. D. Rafael Bertodauo^ para IMPRENTANACIONAL. presentarse personalmente dentro del término de 50 dias, que se cuentan desde el dia de la fecha, á dar sus descargos y…</t>
  </si>
  <si>
    <t>y Zarate, Gil</t>
  </si>
  <si>
    <t>Gil y Zarate</t>
  </si>
  <si>
    <t>…que hubiesen rematado, formaran las de hacer un análisis delicado de los libros caballerescos. á su modo de ver, de objeto moral y político: que no tenían oficinas de la caja en el término de 15 dias, ó antés si posible El Sr. Gil y Zarate comenzó sentando por base de la discu­ otro que el de divertir, el de llenar las horas ociosas de los des­ fuere, una escala ó graduación que expresase la clase actual de sión anunciada, que para formar un paralelo exacto entre las ocupados: que el buscar en ellas esa espiritualidad y…</t>
  </si>
  <si>
    <t>y Zárate, Gil</t>
  </si>
  <si>
    <t>Gil y Zárate</t>
  </si>
  <si>
    <t>…el despotismo paterno. Por E l Parecido en la Corte de nuestro antiguo teatro, y vanidad , y en el fondo pasiones indomables, que de mie­ eso la comedia del Sr. Martinez de la Rosa, objeto de este la Rosmunáa, drama nuevo del Sr. Gil y Zárate, serán do de ser reprimidas por una autoridad demasiado gran­ artículo, no está ajustada á esto» principios, ni es su obje­ las primeras funciones que ejecutará la sección dramática de, atacan á la autoridad de la ley de Dios, la que por un to el que debe llevar todo autor dramático: co…</t>
  </si>
  <si>
    <t>…11 el hechizado; compá­ proclamarlo Era necesario un nombre ilustre; era ne­ to en la escribanía principal de este ramo, sita en el propio lo­ rese Blanca de Borbon con Rosmunda, y se reconocerá cesario un genio atrevido El Sr. Gil y Zárate poseia cal de la dirección. que no somos exagerados , viendo al poeta una veces cons- ambas cosas : el Sr. Gil y Zárate escribió la Rosmunda, y lante prosélito de Aristóteles y Boileau ; contrario suyo con ella ha alzado la nueva enseña de la literatura; con otras; feliz y acertado s…</t>
  </si>
  <si>
    <t>y, A. Poupart</t>
  </si>
  <si>
    <t>A. Poupart y</t>
  </si>
  <si>
    <t>…cogidos en las inmediaciones de la villa de Am - Lóndres, á 90 dias, 58£. Coruña, 1£ á f d. discípulos. puero dos ex-facciosos ladrones, que acostumbraban á salir de París, 16-6. G ranada, 2 id. Darán razón en la librería de Doña A. Poupart y compa­ vez en cuando al camino público á robar á los iragineros. . M álaga, 1£ á § id. ñ ía, calle del A renal, núm. 9 , frente á la plazuela de Ce*- , Santander, par. lenque. Alicante, f á £ b. Santiago, 2 d. Barcelona á ps. fs.,par. din. Sevilla, 1% á 1 id. Se ha desartillado ya e…</t>
  </si>
  <si>
    <t>…hablar con pureza dicho idioma. Darán razón EN CUARTILLA DE MARCA MAYOR. Cava de S. Miguel, calle de Cuchilleros, Puerta Cerrada, calle en de Segovia , puerta del mismo nombre y ronda hasta la puerta nal,la núm. librería de Doña A. Poupart y compañía, calle del A re­ 9 , frente á la plaza de Celenque. Veinte y cuatro estampas copiadas por las pinturas que Lu­ de Fuencarral. cas Jordán hizo al fresco en el cason del Buen-retiro; las 16 Comprende los barrios de Guardias de Corps, Monserrat, expresan las fábulas ó trabajos d…</t>
  </si>
  <si>
    <t>…a lecciones en su casa y en la de los Intermedio de baile: terminando la función con la pieza en 2 V^79jl f ^ ....... r 14*886 .. .. discípulos. *7ooeu ; ,negas- £acao............ 384,083 5 26 Darán razón en la librería de Doña A. Poupart y compa­ un acto, titulada Diy,Uoolibras Cueros.............. 28 717 7 12 ñía , calle del A ren al, núm. 9 , frente á la plazuela de Ce- 3,4464 barriles... Ilirin a de tr ig o ... 43,081 2 lenque. EL CONFIDENTE. M ad eras... 1,'570 Otros artículos--- 1 0 l’344 7 2*4 Total... 876,523…</t>
  </si>
  <si>
    <t>…empo del que se acostumbra para meses y hasta hace pocos dias recorrían á mansalva el país eje­ feer , éscribir y hablar con pureza dicho idioma. Darán rasuu» cutando toda clase de perjuicios y tropelías* en la librería de Doña A. Poupart y compañía, calle del Are­ B IB L IO G R A F ÍA . nal-, núm. 9 , frente á la plaza de Celenque. BOLETIN DE COMERCIO. BOLSA DE MADRID. LA ESPERANZA, TEATROS. PRINCIPE. Hoy no hay función. Cotización del dia 5 d las tres de la tardo. PERIODICO LITERARIO . EFECTOS PÚBLICOS. Sale tod…</t>
  </si>
  <si>
    <t>…mero y segundo remate del servicio de la conducción de la cor­ discípulos. PR IN C IPE . A las cuatro de la tarde. Se representará la respondencia desde esta corte á Búrgos por Medina del Campo D arán razón en la librería de Doña A. Poupart y compa­ y Valladolid, por el tiempo y precio que consta del pliego de ñ í a , calle del A renal, núm. 9 , frente á la plazuela de Ce- comedia del teatro antiguo español, escrita en verso por Don condiciones que se ha formado al efecto, y estará de maniñesto lenque. Juan de Alarcon, y ref…</t>
  </si>
  <si>
    <t>…nis teórico práctico que facilita el estudio y la adquisición. Darán no pone al lado deesa necesaria obligación el auxilio que aque - inconveniente en ad m itir teda adición que no alterase la esencú razón en la librería de Doña A. Poupart y c o m p añ ía, calle del Ras pueden darles? ¿Ig n o ra S. S. que esos servicios mutuos da del artíc u lo , el Congreso tomó en consideración la enmienda mí m. 9 . fren te á la nlazuela de Celenaue. Se suspendió esta discusión. ( i) E‘ tos decretos están insertos en ei artículo de ofic…</t>
  </si>
  <si>
    <t>y, Acisclo García</t>
  </si>
  <si>
    <t>Acisclo García y</t>
  </si>
  <si>
    <t>…a plaza el Sr. brigadier segundo cabo D. Facundo Infante. {Id.) al mando de los M ajarros, perseguida por 24 del escuadrón li­ p ap eles, versos, citas, disfraces, celos, desafios eran la» gero de Madrid al mando del teniente D. Acisclo García y principales ocupaciones de los B rutos, Sostenes y Escévo- nueve Nacionales de Ocaña yóNobíejas con el digno juez de pri­ las. Y aun esto no era original. Ya Calderón en sus come­ El general en gefe después de algunas horas de descanso, mera instancia de Ocaña D. Francisco de Paul…</t>
  </si>
  <si>
    <t>y, Adana</t>
  </si>
  <si>
    <t>Adana y</t>
  </si>
  <si>
    <t>El Sr. O LO ZAG A explico la diferencia que establecía la acabado de escribir, como quiere decirnos el abate Laval. D ifí­ cido con el notu&amp;re de Gri¿óitoroo* parece que el derecho de co­ ¿omisión entre el Sr. Adana y é l, y concluyo manifestando que cilmente se hallará un solo autor eclesiástico anterior á esa épo­ lonia romana era una de las muchas gracias que debían los tar- ai bien dicho señor obtuvo m ayoría, y era también Diputado ca que no le cite, y algunos con mucha frecuencia , y hasta para sens…</t>
  </si>
  <si>
    <t>y, Albacete</t>
  </si>
  <si>
    <t>Albacete y</t>
  </si>
  <si>
    <t>…ERRA. ración del supremo poder que está revestido de la alta facultad S. M. en su consecuencia ha resuelto &lt;se den las gracias al de an unciar la voluntad de la nación. Por la mayor de sus des­ Real orden. comandante general de Albacete y á la benemérita Milicia na­ gracias, una guerra intestina impedia que fuesen grandes é cional de Barrax, y ha dispuestos! propio tiempo que consulte Excmo. Sr.: He dado cuenta á la Reina Gobernadora á los individuos de ella para las recompensas i que por este he­ imponentes los esfuerzo…</t>
  </si>
  <si>
    <t>y, Alejandro</t>
  </si>
  <si>
    <t>Alejandro y</t>
  </si>
  <si>
    <t>…he el marques de Hertfort debe dar una gran co­ d e lirio , durante las cuales tuvo algunos lúcidos intervalos. Ca^ que la guerra todavía no es cierta. L a prudencia de Ib r a h im - mida , á la que seguirá un baile al gran duque Alejandro y al rolina M aría A nun ciada Bonaparte nació en Ajaccio el 2 6 de b a já , y las órdenes expedidas á tiempo de Constantinopla al Príncipe Enrique de los Países-Bajos en su B elle villa de Marzo de 1782. ejército otomano, pueden según ellas detene»'todavía un cho­ Regents-Park. Mañana es…</t>
  </si>
  <si>
    <t>y, Alicante</t>
  </si>
  <si>
    <t>Alicante y</t>
  </si>
  <si>
    <t>…quedado en poder de nues­ S. M. á la gravedad de este asunto, tuvo á bien disponer tra tropa 10 armas de fu e g o , 3 cananas &amp;c. M EJICO . que se oyese en el particular á las juntas de Farmacia , con­ El comandante general de Alicante y segundo cabo del dis­ sultiva de Gobernación, directiva de Sanidad m ilitar, de trito añaden que este suceso ha sido de la m ayor importancia C oncluye la m em o ria d e la S ecreta ría d e Estado y d e l D e s ­ Aranceles, y á la sociedad Económica m atritense, mandan­ por la mucha fue…</t>
  </si>
  <si>
    <t>y, Alio</t>
  </si>
  <si>
    <t>Alio y</t>
  </si>
  <si>
    <t>…a ­ que regresaron á esta plaza; y lo que todavía es mas impor­ constan; pero si hubiéramos de expresarlas a q u i , nos separaría­ teo Carbaíleira, aquel en un dedo, y este en la nariz. tante, este hecho pudo servir al cura de Alio y á la canalla de mos de nuestro in stituto , y escribiríamos un libro en lugar de El Sr. capitán general de este distrito llegó á esta capital á lección para conocer que no son dueños de permanecer con se­ responder a u n artículo. las once del dia de h o y , y creo subsistirá en ella por alg…</t>
  </si>
  <si>
    <t>y, Alvarez.</t>
  </si>
  <si>
    <t>Alvarez. y</t>
  </si>
  <si>
    <t>…bre lo per­ j zaga , acerca de la autorización pedida por el Gobierno para lo dem uestra la experiencia , tan necesaria , que creemos nicioso de los estados de sitio después de haber hablado sobre proceder contra el Sr. Diputado Alvarez. y nos lisonjeam os de que no sera im pugnada de nadie. esto con tanta elocuencia el Sr. Arguelles, pero que deseaba Señores que dijeron no : O tro dia sin em bargo h ablarem os m as acerca de ella. salvar su voto, reducido á que no podia aprobar la prisión M ayans, G ispert,M uro, Arrazol…</t>
  </si>
  <si>
    <t>y, Alvaro</t>
  </si>
  <si>
    <t>Alvaro y</t>
  </si>
  <si>
    <t>…el provecto que se discute; asi es que S. S. no ha hecho mano de los terrenos porque y a sus capitales no tienen en qué pañoles sin mediación de inlluencias extrañas, ni de coopera! sino reproducir los argumentos que hizo el Sr. Alvaro y otros reproducirse , y porque de otra manera se estarian encerrados ciones, las mas veces interesadas, cuando no humillantes señores, y recargar mas la mano sobre los mismos argumentos. en las arcas. Por haber olvidado esta máxima la Inglaterra en Por este medio V. E. ha dado á todas |as n…</t>
  </si>
  <si>
    <t>y, Alvaro Jarcia</t>
  </si>
  <si>
    <t>Alvaro Jarcia y</t>
  </si>
  <si>
    <t>…l brigadier Quiñones y los coro­ t i t , auditor de marina y asesor general del ramo en la corte, Jabón 51,156 5 7 neles Rodríguez y Zurbano, se proponen á todo trance arrojar se señala para junta de acreedores á los bienes de D. Alvaro Jarcia y cordaje 5,988 4 16 al enemigo de este p ais, y en seguida operar contra la fortifi­ Rodríguez de C ela, capitán de fragata retirado de la armada Letras para imprenta 5,000 .. .. cación de Beteta, á cuyo efecto se están reconcentrando las fuer­ nacional, el domingo 15 del corriente á…</t>
  </si>
  <si>
    <t>y, Andalucía</t>
  </si>
  <si>
    <t>Andalucía y</t>
  </si>
  <si>
    <t>…Sevilla , £ á f id. Valencia, £ din. id. Zaragoza, par. Descuento de letras, á 6 por 100 al año. videncias del Gobierno con relación á sus contenidos, y des­ cargos é impugnaciones á tales papeles, por él capitañ general de Andalucía y gobernador de Cádiz. Expurgo de voluntarios realistas en varios puntos, y co­ municaciones interesantes del capitán general de Galicia con el TEATROS. PRINCIPE. Hoy uo hay funcio#. % 1 ’ r . •r Gobierne sobre el particular. * Fuga deí administrador general del cabildo de Zaragoza c…</t>
  </si>
  <si>
    <t>y, Andrés IMeodez</t>
  </si>
  <si>
    <t>Andrés IMeodez y</t>
  </si>
  <si>
    <t>…M a n u e l M u ñ o z , D. J u a n B a u - | car su acepción p r i m i t i v a , y después las que les h a n dado uno la viuda de P a z , calle M a y o r, frente á las G radas de San tista Gorocochea, D. J u a n L a r a ñ a , D. Andrés IMeodez y P a re ja , ó muchos a u t o r e s ; y por consiguiente d a r á conocer el v alo r Felipe: en las p rovincias, C a n a ria s, P u erto-R ico y la Habana, I ). Antonio det R i o , D. Ignacio de la R i v a , D. R a s M e o a y a c tu al y a n t i g u o de cada expresión del v o cabula…</t>
  </si>
  <si>
    <t>y, Angel Morales</t>
  </si>
  <si>
    <t>Angel Morales y</t>
  </si>
  <si>
    <t>…o cen tígrado. cación general de algunos discípulos á fin de h^cer conocer 1^ ventajas de su método de enseñanza. Darán razón ep el ga.fiirf M ayo r elevación. 10 s. 0 en los dias 5 y 7. Asimismo se c ita , llama y emplaza á D. Angel Morales y nete de lectura de Monier , Puerta del Sol. ‘ 5, menor . . . 1$ s. 0 en el dia 6. D. Jorge Mancevo y N av ia, D. José' M aría Gómez y Don in ed ia. . . 5 s. 0 en el dia 5. Féliz G arcía, para que en el término de nueve d ias, que por segundo se le señala , se presenten en la citad…</t>
  </si>
  <si>
    <t>…ano por D. Francisco Cruzado, nuevamente BOLETIN DE COMERCIO. corregida por el Dr. D. Benito Francisco de Castro y Barbei- to. Son cuatro tomos en 4 o &gt; edición de 1795 y 96 á 75 rs. en Asimismo se c ita , llama y emplaza á D. Angel Morales y pergamino y 85 en pasta común. BOLSA D E M A D R ID . Esta o b ra, que puede llamarse única en su clase, es según D. Jorge Mancebo y Navia, y D. José María Gómez y D. t e - su corrector útil y aun necesaria para todos los sugetos que Cotización del dia 28 d las tres de la tardo* l…</t>
  </si>
  <si>
    <t>y, Anselmo Mateo</t>
  </si>
  <si>
    <t>Anselmo Mateo y</t>
  </si>
  <si>
    <t>…herson, D. Valentín Ga- j fo de Lepanto estuvo por algunos dias temido de sangre* le rodeaban. larza , D. Manuel Maderne y D. Jaime Santacana. El pintor fue preso y conducido á la cárcel de Boun Go~ Primer año de filosofía. D. Anselmo Mateo y D . José Toda la Europa resonó con gritos de victoria y alabanzas al héroe español , declarado entonces el mayor general yerno. Ea acusación que se extendió al principio basta la de Sánchez. profanación de la re igion y resistencia á la fuerza armada, Tercer año de filosofía. D. E…</t>
  </si>
  <si>
    <t>y, Antonio</t>
  </si>
  <si>
    <t>Antonio y</t>
  </si>
  <si>
    <t>…elogia la conducta de D. Dionisio M a r t í ­ núm. 101 al 22 , y se anunció que se im p rim iría por apéndice tanto en la citada provincia como en cualquiera otra en nez, c apitán g ra d u a d o de artillería de m a r in a , y D. Antonio y se discutiría en el dia señalado. que se requisen todos los caballos útiles que existan en las Reberter, de la colum na rnóvil de Castellón, ge fes de la g u a r n i ­ Se dió cuenta de una comunicación del Sr. V i l l a l b a , D i ­ mismas antes del término señalado, ño debe darse por con…</t>
  </si>
  <si>
    <t>y, Antonio Agujar</t>
  </si>
  <si>
    <t>Antonio Agujar y</t>
  </si>
  <si>
    <t>…racia Descuento de letras , á 6 por 100 al año. Se dedica á la nación , ó sea lo que antes se Uamó la plebe, de indulto el titulado espitan D. Antonio Castro de Samos, para la que exclusivamente se ha escrito. * el subteniente D. Antonio Agujar y 15 individuos de tropa. Por un ciudadano, liberal verdadero, sin color ni partido Eo Esqueiron lo efectuaron igualmente Domingo Losada, mas que la patria y la verdad. Dos tomos en 8 .°, 16 rs. rús­ apellidado comandante déla infantería del Saviñao, con cuatro PROVIDENCIAS JUDICIALE…</t>
  </si>
  <si>
    <t>y, Antonio Benavides</t>
  </si>
  <si>
    <t>Antonio Benavides y</t>
  </si>
  <si>
    <t>…r de 29 de D i­ ciembre último: para la plaza de ministro de la audiencia de dora y la Serma. Sra. Infátita Doña María Luisa Fernan­ torio en los asuntos relativos á las enseñanzas y sus de­ Cáceres, vacante por traslación de D. Antonio Benavides y N a- da, continúan en esta corte sin novedad en su importante pendencias, y el decano y junta de profesores en los que varrete, á D. Miguel Tenorio, que sirve otra de la misma cla­ salud. pertenecen á los privilegios de invención é introducción. se en Burgos: para esta plaza vac…</t>
  </si>
  <si>
    <t>y, Antonio Bresca</t>
  </si>
  <si>
    <t>Antonio Bresca y</t>
  </si>
  <si>
    <t>…é G ram as, en solicitud de que se tengan pre­ nel D. Ju an Dooiez, en solicitud á pensión. á sus sacrificios por la causa de la libertad , se recomiende a sentes á la discusión del arreglo de la deuda interior unos cré­ 224* D. Antonio Bresca y sobrinos, presos ea el castillo de Gobierno la colocación de su hijo D. J. Antonio. ditos que posee. G ibraltar, en exposición dirigida al Congreso insertan la que 262. La diputación provincial de la C oruña, exponiendo 183. D. Manuel García de La M ad rid , maestro de prime­ elev…</t>
  </si>
  <si>
    <t>y, Antonio Codorniu</t>
  </si>
  <si>
    <t>Antonio Codorniu y</t>
  </si>
  <si>
    <t>…A CIO N . j o , sociedad económica m atritense, junta de dam as unida á esta, colegio de s o r d o m u d o s , ateneo científico y litera C O M P E N D IO de la historia de la medicina, por los profe­ sores médico-cirujanos D. Antonio Codorniu y D . José M aría de la Rubia. Por D. Francisco Agustin Silvela • rio , colecturía general del fondo pió beneficial, junta de D I V I D E S E LA OBRA EN C U A T R O P A R T E S ! beneficencia, hospitales generales, asociación de caridad Prospecto. = La inteligencia, ese destello…</t>
  </si>
  <si>
    <t>y, Antonio Coll</t>
  </si>
  <si>
    <t>Antonio Coll y</t>
  </si>
  <si>
    <t>…diente de remate verificado en aquella capital en el propio dad de los ganaderos, ó en el en que tengan sus ganados ú otros libradas también por los mismos administradores de rentas de­ dia, ha sido adjudicado dicho arriendo á D. Antonio Coll y bienes, pero con la precisa circunstancia de que el abono que cimales, con referencia á las escrituras de arrendamiento , en demas socios por la cantidad anual de 1.080,020 rs. vn. se les haga en cualquiera de los pueblos indicados , no ha de que se exprese la cantidad en que estuvier…</t>
  </si>
  <si>
    <t>y, Antonio de Acevedo</t>
  </si>
  <si>
    <t>Antonio de Acevedo y</t>
  </si>
  <si>
    <t>…que supieron la comandancia de la quinta sección militar en Ourique á 30 les preguntó sobre toda ella , que fue verdaderamente sorpren­ sostener contra las argumentaciones que se les oponían ; presen­ de Junio de l859.czIlmo. Sr. Antonio de Acevedo y C uaba.n tando por conclusión de sus adelantos en el preliminar de los Gerónimo Antonio L u n a, mayor dél batallón de infantería nú ­ dente para todos la suma de conocimientos generales y particu­ estudios filológicos los progimnasmas de composición sobre te­ mero 2 5 , y coman…</t>
  </si>
  <si>
    <t>y, Antonio de la Rocha y Lugo.</t>
  </si>
  <si>
    <t>Antonio de la Rocha y Lugo. y</t>
  </si>
  <si>
    <t>…eny á Caserras, 10 . Iuem Cádiz.zzEl reemplazo del Sr. D. José Primo de Rivera. bles por el E. la de Ripoll, por el S. las de Vich y Manresa, de Caserras á Berga, 13. Para reforzar la columna de la Cerde- Canarias (islas). = D. Antonio de la Rocha y Lugo. y por O. las de Solsona y Cardona. ñ a , 1,500. Para reforzar la columna del Segre, 1,500. Total Castellón de la Plana. =: D. Diego Medrano. N inguna de estas avenidas puede decirse, sin embargo, que de fuerzis empleadas, 12,400. Quedan para el sitio 12 600* Ciudad-Real…</t>
  </si>
  <si>
    <t>y, Antonio de Larrocha</t>
  </si>
  <si>
    <t>Antonio de Larrocha y</t>
  </si>
  <si>
    <t>…a importante cues­ D. Andrés María Martínez-Unda» y por la de Canarias al las piezas, a las cuales se hace extensiva la citada Real tión. 8e trata de los atrasos de una renta inscrita en el nombre marques del Bnen Suceso y á D. Antonio de Larrocha y. orden , son aquellas que no se construyen en las fabricas de Bona parte. Una Real orden hará conocer dentro de algunos Lugo. Tendréislo entendido, y lo comunicareis á quien del rem o; rigiendo para las demas lo prevenido en los dias la opinión del consejo de Estado en esta cu…</t>
  </si>
  <si>
    <t>y, Antonio Dominé</t>
  </si>
  <si>
    <t>Antonio Dominé y</t>
  </si>
  <si>
    <t>…ón . volver ¿ aparecer de nuevo, y ocultarse otra vez sin dejar el intelectual de los niños, divide el Sr. Ballesteros su escrito en menor rastro: que el rio Masa en Francia se pierde eu B*zoi- estas tie&gt; partes. AI referido D. Antonio Dominé y compañía se le ha ad ju ­ lles; el D ome eu Normandía se same completamente en un En la primera, que trata de la educación física , pone en dicado y dado posesión de dos pertenencias de mina , que con agujero de 50 ó 3/y p*es de diámetro ; el Rifle, e» lio u , el Aure contribución…</t>
  </si>
  <si>
    <t>y, Antonio Lasaga</t>
  </si>
  <si>
    <t>Antonio Lasaga y</t>
  </si>
  <si>
    <t>…a, continúan en esta corte siii, novedad en su importante Guindulain , alférez de lanceros, y que merecen particular men­ A yer S. M. el Rey de Baviera se presentó en el Vaticano salud. ción el teniente de artillería de marina D. Antonio Lasaga y con el objeto de hacer una visita al Papa. S. M. iba acompaña­ D. Bruno Perero, subteniente del batallón de la P atria, y mas do de la legaciou bávara y de los oficiales de su comitiva. El especialmente el citado capitán de lanceros Gutiérrez. acompañamiento iba en seis coches mag…</t>
  </si>
  <si>
    <t>y, Antonio Martel</t>
  </si>
  <si>
    <t>Antonio Martel y</t>
  </si>
  <si>
    <t>…ruta para el fuerte de Alarcon, sin que tos necesarios en los dias 28 y 29 de este presente mes desde las hasta el dia se tenga noticia de su paradero. cuatro de la tarde hasta el anochecer, en la habitación del li­ cenciado D. Antonio Martel y N u ñez, que la tiene calle de la Concepción Gerónim a, núm. 27 , cuarto principal de la izquier­ d a , con apercibimiento que de no verificarlo serán excluidos de TEATROS. G U IA D E FO R A ST E R O S. la liquidación y clasificación de créditos que se practique, pa­ PR IN C IP…</t>
  </si>
  <si>
    <t>y, Antonio Prado</t>
  </si>
  <si>
    <t>Antonio Prado y</t>
  </si>
  <si>
    <t>…perdido el talento del Sr. Bretón des­ cuatro caballos: entre los muertos se cuentan á D. José Torre y plares del suplemento á la Gaceta de 29 de Julio último que de que tan felizmente se dió á conocer con Los dos sobrinos ; D. Antonio Prado y M endez, aprehendido con otros tres mas estaban sobre la mesa, invitándolos á que se enterasen de la le­ entonces menos confiado en sí m isino, estudiaba el plan de sus por ía columna de b r io l, al mando del benemérito teniente co­ galidad de la operación, abriendo por sí ó señala…</t>
  </si>
  <si>
    <t>y, Antonio Rentero</t>
  </si>
  <si>
    <t>Antonio Rentero y</t>
  </si>
  <si>
    <t>…postería audiencia de Cáceres, y para la plaza de ministro de la de lebrillos de hierro, carrillos y otros utensilios indispensables en el mismo: labrar 555 pies idem de cantería : sacar y des­ O viedo, vacante por salida de D. Antonio Rentero y V illa , á para habitar estas brigad as, sabiendo que la extinguida empre­ vastar 108 pies cúbicos de idem , idem : conducir 218 pies idem 1). Perfecto Candarías, fiscal de la audiencia de Sevilla. sa de la carretera de Jaén los tenia de venta, envié persona de de la misma desde l…</t>
  </si>
  <si>
    <t>y, Antonio Veoda</t>
  </si>
  <si>
    <t>Antonio Veoda y</t>
  </si>
  <si>
    <t>…En esta linea puede servir de modelo el cuadro que P ro vin cia d e Cádiz, Tiermas. = D. Jo,é González O liv a r e s , en S a n t ia g o : des­ forma Virgilio de Dido moribunda: de 1.° de J u lio á 30 de Setiembre. Chiclana.:=D. Antonio Veoda y P in e l, interino por Real orden de 2 t de Octubre de 1 8 5 6 , en C á d iz : desde 1.° de J u ­ I l l a g r a v e s oculos co na la a l t o l l e r e , rnrsus nio hasta fin de Octubre. El brigadier segundo eado de Valencia con motivo de D é f i c i t : infierna stridr.t sub p cc…</t>
  </si>
  <si>
    <t>y, Aotonio Fajardo</t>
  </si>
  <si>
    <t>Aotonio Fajardo y</t>
  </si>
  <si>
    <t>…Es que se dice en el p árrafo : "reuaciendo propone sean aprobadas, y admitidos D. Olegario de los Cue­ Refiriéndose el Sr. Heros al párrafo que trata de las Poten­ por lo tanto la tranquilidad de los pueblos” , y .... tos, D. Aotonio Fajardo y otro Sr. Diputado electo por la cias del N orte, nombró S. S. á una persona por nombre pro­ El Sr. P R E S ID E N T E : Sr. O choa, yo no puedo perm itir misma. p io, agravándola con una calificación acerba, que creo que que se interrumpa al que habla. El que desee rectificar hech…</t>
  </si>
  <si>
    <t>y, Appony</t>
  </si>
  <si>
    <t>Appony y</t>
  </si>
  <si>
    <t>…sonaje le habia preguntado su opinión sobre El Nilo sube m uy lentam ente; el año pasado por ahora es­ quién debería sucederle , y que el Príncipe habia designado al taba mucho mas adelantado. Príncipe Esterhazy , al conde de Appony y al barón de W e s - Comandancia-general de las Provincias Vascongadas.rzExce- semberg. (G azette U niverselle d e Leipsik.) lentísimo S r . : El Excmo. Sr. general gefe del estado mayor ge­ neral del ejército con fecha de ayer me dice desde V ergara lo I d e m 10. que sigue: 5 Las fueírz…</t>
  </si>
  <si>
    <t>y, Aragón</t>
  </si>
  <si>
    <t>Aragón y</t>
  </si>
  <si>
    <t>…alumnia ; y también el público ilustrado y sensato la comprobación de mis asertos que podran facilitar su inexorable 10 .5 9 4 .. • •:......... 40 0 ............ Figueras. ’ postura. wEjercito del Centro y capitanía general de Aragón y T a - fallo. Aconséjele por último á mi detractor que ya que se con­ lencia.—Secretaría de campaña. —La continua movilidad eu que ceptúe con suficiencia para ilu strarla opinión con sus escritos, me hallo , no me ha permitido contestar hasta el dia á la aten­ que lo haga en buen h o ra; p…</t>
  </si>
  <si>
    <t>y, Bailen</t>
  </si>
  <si>
    <t>Bailen y</t>
  </si>
  <si>
    <t>…guientes comisiones que han de informar sobre la proposición del Sr. Caamaño Pardo, acerca de que se admitan para la com­ pra de bienes nacionales los documentos de crédito con interés no negociable, y la de los Sres. duque de Bailen y otros seño­ EXPOSICION A S. 31. LA REINA GOBERNADORA. Intendencia g en era l militar . res Senadores, acerca de que se eleve un mensaje á S. M. para SEÑORA: Debiendo contratarse en la intendencia general militar 70 que se regularice la guerra. Se leyó y fue aprobado el dictámen de la co…</t>
  </si>
  <si>
    <t>y, Baldomero Esparterc Victoria</t>
  </si>
  <si>
    <t>Baldomero Esparterc Victoria y</t>
  </si>
  <si>
    <t>…s oficiales mutilados tienen entrada to y de placer tienen el alto honor de felicitar á Y. M. por e Franceses acaba de conferir al general Espartero, duque de la en dicho establecimiento. convenio celebrado entre los generales D. Baldomero Esparterc Victoria y general en gefe de los ejércitos españoles. El Gobierno podrá muy bien decir que se hallan cubiertas y D. Rafael Maroto. Este hecho, para siempre memorable, que (Le Temps.) las plazas, y que por lo tanto no hay cabida ; pero tiene dere­ confunde los cálculos de la fria…</t>
  </si>
  <si>
    <t>y, Baltasar Pallete</t>
  </si>
  <si>
    <t>Baltasar Pallete y</t>
  </si>
  <si>
    <t>…Para esta función no se expende billete alguno. para el anterior y posterior al de á D. Pedro Rafael del Bosque. (Id.) 8 3 ..................................... 40 — ■ confiriendo la intendencia de la provincia de Teruel á D. Baltasar Pallete y O ch o a; la de Lérida , á D. M iguel 602 55000 E zquiaga; y la de Burgos, á D . M anuel Nuñez. (Id.)</t>
  </si>
  <si>
    <t>…n t o n io J o r d á n , secretario. En nom bre de mi augusta Hija la Reina Doña Isa­ PARTE RECIBIDO EN LA SECRETARIA DE ESTADO bel i i vengo en conferir la intendencia de la provincia de V DEL DESPACHO DE M ARIN A. Teruel á D. Baltasar Pallete y O ehoa, electo por la de Lé­ D ip u ta c ió n p ro v in c ia l de Cuenca.z=8eñora.zrLa d ip u ta c ió n rid a : esta á D, Miguel Ezquiaga, cesante de la de Cana­ S eg ú n p a rt ic ip a el com and an te de las fuerzas navales de la provincial de C uenca , que á n a d ie cede en ad…</t>
  </si>
  <si>
    <t>y, Basilio Basili</t>
  </si>
  <si>
    <t>Basilio Basili y</t>
  </si>
  <si>
    <t>…padres hayan prestado á la patria , les haga acree­ ,P . Ramón. Carnicer t presidente, , \ , que la facción de Chelva habia; subido ‘para arriba si-n saberse dores á está d istihcion, es digna del Sr. F ern el, y le1aseguran D. Basilio Basili y p . Nemesio M artínez , vicepresidentes. su dirección fija. Añade que el día antes1entram a en Géstala la gratitud*de todos los habitantes'de esta provincia; D. Baltasar Saldoní y Ú. Manuel ^Dücassí, cousilíáfioL ; v gar 80 caballos y algunos infantes enemigos, corriéndose la ma­ ñ…</t>
  </si>
  <si>
    <t>y, Basilio Mateos</t>
  </si>
  <si>
    <t>Basilio Mateos y</t>
  </si>
  <si>
    <t>…la fuerza de mi deseo, y al que cooperaré con el parte detallado; recomendando en el ínterin al teniente de el uso que guste de tan satisfactoria noticia. todo el lleno de mi carácter. Ciudad-Real 16 de Noviembre de granaderos D. Basilio Mateos y al subteniente de la misma Lo que de orden de S. 8. se hace saber al público para su l859.^José María Ruiz Perez. ( B. O.) compañía D. Antonio Nogueiras. conocimiento y satisfacción. Zaragoza 19 de Noviembre de Lo que tengo la honra de poner en conocimiento de V. E., 1859.n:El com…</t>
  </si>
  <si>
    <t>y, Beaulieu</t>
  </si>
  <si>
    <t>Beaulieu y</t>
  </si>
  <si>
    <t>…sobre la mesa los documentos diplom áticos relati­ procedimos á ellos los dias 22 y 25 de Diciem bre ú ltim o, aun­ crituras las siguientes palabras: "Buscaré las ovejas y las re­ vos á la negociación. Fue apoyada por el conde de Beaulieu y que señalado el seguudo por la directora para el ensayo p ú bli­ buscaré, las sacaré de todos los lugares adonde se esparcieron MiVÍ. D uraon -D um ortier, Van M uyssen y Lefebvre-M euret, c o , dando principio por la doctrina cristiana , en la cual fu e­ en el dia oscuro: buscaré á la pe…</t>
  </si>
  <si>
    <t>y, Benito Serrano</t>
  </si>
  <si>
    <t>Benito Serrano y</t>
  </si>
  <si>
    <t>…rá la correspondiente cubierta y el índice de materias. emancipación y declarada independencia con el apoyo é insi­ E N virtud de providencia del Sr. juez de primera instancia dias de algunos fuertes Estados. de esta capital D. Benito Serrano y A lia g a , dictada á ins­ Estos mismos, la Europa entera empieza á probar los re­ tancia de D. Francisco Gil de Velasco, se c i ta , llama y em­ sultados, sintiendo ahora y culpando todo el peso del desacier­ CR ÓN ICA JU R Í D I C A . plaza á D. José María V argas, administrador…</t>
  </si>
  <si>
    <t>…sos h a hecho en poco tiempo , gracias á j n N v ir tu d de providencia dictada por el Sr. juez de p rim era e n te n d id o , y acordado todo el cuadro. su mucha aplicación y buenas disposiciones. P ara g rabar bien instancia D. Benito Serrano y A liag a , refrendada del es­ El que representa un rio lamiendo una m o ntaña , sobre la es preciso d ib u ja r bien , y hé aqui u n a de las razones de sobre­ cribano del número D. José M a r í i González de C astro, se saca que se ve una fortaleza , está bien entendido, y las fig…</t>
  </si>
  <si>
    <t>…barco, en el caso en que el Go­ bierno chino no se aviuiese á dar la satisfacción pedida , y en seguida subir por el rio la escuadra, operación que ninguna di­ A voluntad de sus dueños, y en virtud de providencia def se- ñor D. Benito Serrano y A liaga, juez de primera ins­ ficultad presentaría. En lo concerniente á lo venidero , si el Go­ bierno chino exige que no se haga alli el comercio del opio, BOLETIN DE COMERCIO. tancia en esta c a p ita l, refrendada del escribano de número D o a José García Varela , se saca á pú…</t>
  </si>
  <si>
    <t>…­ Londres 1.° de M arzo . J Ministerio.—D. Mi(.haU‘5Q0^ paña y compañía, por inasistencia del mayor número de aquellos, | O posición. zzOcta yo colegio, 1005 votantes, Bethmont458* ha resuelto el Sr. juez de primera instancia D. Benito Serrano y l Ministerio.ziBeudin 54O. •" V Aliaga que se verifique en su casa habitación, calle del Cármén, cám ara de los comunes. -Sesión del 1.° de M arzo. Oposicion.=Noveno colegio, 562 votantes, Galis 505. mím. 2 5 , cuarto 2.°, el domingo 17 del corriente mes de Mar­ M r. H um e : Preg…</t>
  </si>
  <si>
    <t>…cnológico que com prenda solamente la etim o logía y definició n DE PROYECTOS, DICTAMENES TpN v irtu d de providencia del S r. juez de p rim e ra in stan c ia de todos los términos de m edicina y c ir u g ía ; pero suficiente D. Benito Serrano y A l i a g a , se saca á p ú b lic a subasta para vencer las dificultad es que se p uedan presentar en la lec­ por térm ino de 50 dias contados desde la pub licación de este tu ra ó estudio de todo lo que se h a y a escrito desde H ipócrates Y L E Y E S ORGAN ICAS, an un cio en la G…</t>
  </si>
  <si>
    <t>…metálico y en papel. E N v irt u d de providencia del Sr. juez de p rim era instancia nada á M á l a g a , por algu n as cuestiones que habia este tenido Art. 9.° Todo el producto líquido en dinero electivo de esta cap ital D. Benito Serrano y A l i a g a , se llam a á sobre las cuentas, habia hecho por esta causa hostilid ad al Go­ de la contribución extraordinaria de guerra, se aplicará D. R am ó n Red on do , D. Benito de la Torre , D. M a n u e l G a r ­ bierno. inmediata y exclusivamente al pago y manutención de los…</t>
  </si>
  <si>
    <t>…mera instancia prosa por D. José M aría Diaz. Véodense á 8 rs. cada uno en y que por medio de ella , abreviando los trám ites de la justicia, las librerías de Escamilla , calle de Carretas, y de Cuesta, fren­ de esta capital D. Benito Serrano y A liag a, se vende en te á las Covachuelas. han impuesto con la profusión indispensable en tiempos de re­ pública subasta á voluntad de su dueño la mitad de una casa si­ vueltas la pena capital á tantos infelices? N o creo yo que exis­ tuada en esta corte y su calle A ncha de S. B…</t>
  </si>
  <si>
    <t>y, Beoavides</t>
  </si>
  <si>
    <t>Beoavides y</t>
  </si>
  <si>
    <t>…e la mayor trascen­ tión. No se queje el Sr. Quinto de que el Congreso le quite Muñoz Maidonado. dencia, y np estando la verdad muy clara , conviene apurarla cierta preferencia, porque el Congreso lo cree asi conveniente, El Sr. Beoavides y varios otros señores pidieron la palabra. y ponerla de manifiesto para que el Congreso vote con el debi­ supuesto que asi lo ha estimado. ¿Q uién le ha dado al señor El Sr. P R E S ID E N T E añadió á la lista los nombres de los do conocimiento. Quinto esa preferencia ? ( Los Sres. Benav…</t>
  </si>
  <si>
    <t>y, Bernarda Segura</t>
  </si>
  <si>
    <t>Bernarda Segura y</t>
  </si>
  <si>
    <t>…o en las tiempo oportuno. d e 'P g S 6’ PW. D ‘ Manuel , en 2 2 . - Adra 2 de Octubre cárc jles de Jerez de la Frontera , reproduce con fecha 13 del corriente la exposición de que se dio cuenta en la sesión de 24, Núm. 44* Doña Bernarda Segura y A lb a , vecina de la</t>
  </si>
  <si>
    <t>y, Berwik</t>
  </si>
  <si>
    <t>Berwik y</t>
  </si>
  <si>
    <t>…ica judicial. Recursos de nulidad y de injusticia no­ procurador con poder bastante á usar de su derecho en los autos llan convertidas en cuevas de Caco, como ya lo dijo nuestro toria. Pleito seguido entre el Excmo. Sr. duque de Berwik y formados á su instancia sobre enagenacion en pública subasta Cervantes. La debilidad del Imperio otomano, emanada de aque­ A lba, y los herederos y donatario de la Excma. Sra. D .a Ma» de diferentes fincas de su perteoencia , sitas en término y juris­ llos malos pasos y erradas combinacio…</t>
  </si>
  <si>
    <t>…lo , se sustanciarán y determinarán d n q\ ¡ca d r tic ángulos; el c u a l , si bien es cierto que ofrece en su ausencia y rebeldía en los estrados del propio t rib u n a l, y L a conclusión del célebre pleito entre el duque de Berwik y a gima dificultad eu su ejecución á causa de la de combinar sus les parará el perjuicio que haya lugar. Alba y los herederos de la última duquesa de A l b a ; con la «novi míenlos por falta de perfección en las artes de construc­ decisión del recurso de nulidad é inju sticia notoria que e…</t>
  </si>
  <si>
    <t>y, Beuito Serrano</t>
  </si>
  <si>
    <t>Beuito Serrano y</t>
  </si>
  <si>
    <t>…artido y por la escribanía numeraria del mismo de D. Esteban Moraleda , apercibidos que en otro caso , les parará el perjuicio que haya lugar. B IB LIO G R A FIA . A voluntad de su dueño y en virtud de providencia del se­ ñor D. Beuito Serrano y A liaga, juez de primera ins­ E L D IA B L O S U E L T O , periódico satírico y de costumbres que se publica cuatro veces al mes. ANTIGUO Y MODERNO AETOR ESPAÑOL, El número 10, ya publicado, comprende los artículos si­ tancia , refrendada del escribano del número D. José García…</t>
  </si>
  <si>
    <t>y, Blas Mena</t>
  </si>
  <si>
    <t>Blas Mena y</t>
  </si>
  <si>
    <t>…de primera instancia D. Benito Serrauo y Aliaga , se saca nuevamente á p ú ­ mente para el l.° de Diciembre próxim o, pues ai paso que D. Antonio , del D. Juan Laraña, D. Andrés Mendez y Pareja, R io, D. Ignacio de la Riva, D. Blas Mena y blica subasta la mitad de una casa situada en esta corte y su por este medio se espera conseguir mayor ex actitu d , no O liver, D. Gerónimo Diaguez, D. Isidoro Fernandez de A n­ calle ancha de S. Bernardo, señalada con el núm. 3 antiguo perm ite tampoco lo adelantado del tiempo que se e…</t>
  </si>
  <si>
    <t>y, Bruno Gómez</t>
  </si>
  <si>
    <t>Bruno Gómez y</t>
  </si>
  <si>
    <t>…uarto de ho ra, no siendo sos de esta capital á los intendentes que fuerou en dicha pro­ pletos, cesando el precio de suscripción el dia 1.° de Setiem­ posible andar de priesa sobre aquellas piedras irre­ vincia de Salamanca D. Bruno Gómez y D . Ignacio E g u í a , y bre. Esta sigue abierta en* M adrid en la librería de Rodríguez; gulares, bajo el espantoso cuerpo de agua que corre en su defecto á sus herederos , para que en el término de 20 en Valencia , en la de M a l l e n ; en Barcelona , en la de Piferrer; sobre la…</t>
  </si>
  <si>
    <t>y, Burdeos</t>
  </si>
  <si>
    <t>Burdeos y</t>
  </si>
  <si>
    <t>…en gene­ R U SIA . Viena 12 d e N oviem bre. ral las prevenciones que habia contra los portugueses, el B ra­ O desa 4 d e N oviem bre . sil comienza á mostrar las simpatías para con la nación p ortu- Se asegura que el duque de Burdeos y su madre la duquesa g u e s a ^ e quien el B rasil, según la expresión de uno de sus mas Hoy han llegado da Añapa (Circasia) y de Tiflis (Georgia) de Berri han escrito desde Roma una carta al Príncipe de distinguido* oradores, conserva las costumbres, la l e n g u a , la noticias que han…</t>
  </si>
  <si>
    <t>y, Calderón Coliaotes.</t>
  </si>
  <si>
    <t>Calderón Coliaotes. y</t>
  </si>
  <si>
    <t>…leciera el orden. Por consi­ pueda venir á desempeñar su encargo ; reflexione esto bien el h a y m as; una legislatura puede durar u n o , dos ó tres años; y guiente , según esa ley , que es la de 17 de Abrii de l 8 2 l , co­ Sr. Calderón Coliaotes. yo p regunto, la causa que se h a y a formado ¿estará vigente ese noció h gal y competentemente el tribunal militar. Se d ic e , señores, que si el Congreso se entromete en la i n ­ tiem po? Yo creo que lo estará únicamente en el nombre. No se No debe pues encontrar el Sr. Corti…</t>
  </si>
  <si>
    <t>y, Calderón de la Barca</t>
  </si>
  <si>
    <t>Calderón de la Barca y</t>
  </si>
  <si>
    <t>…l mejor método que conforme v ay an saliendo se sión porque querían que se hiciesen cuantas restricciones fueran nado se había enterado con agrado. v a y a n inscribiendo los nombres en la sección respectiva. necesarias, y el Sr. Calderón de la Barca y otros varios señores Se leyó y quedó publicada como ley en el Senado, acor­ Verificado el sorteo, publicó el Sr. Secretario Feliu su resul­ hicieron la proposición sig u ie n te: dándose que se archivaría copia de la ley sancionada por S. M. t a d o , quedando dividido el Cou…</t>
  </si>
  <si>
    <t>y, Cambridge</t>
  </si>
  <si>
    <t>Cambridge y</t>
  </si>
  <si>
    <t>…gunda enseñanza estarán bajo la una fiesta magnífica en honor del gran duque. El sábado fue­ Cámara de los Comunes en la cuestión del bilí de la Jamaica. inspección inm ediata del profesor ap ro b ad o D. L orenzo ron el duque de Cambridge y muchos caballeros á visitar al La noticia de este grande acontecimiento , que no ha sido ines­ A le m a n y , bien conocido por sus escritos elem entales. duque en el palacio Mivart. Esta noche da una brillante fiesta perado, se ha comunicado hoy al Gobierno francés por medio en Asburnha…</t>
  </si>
  <si>
    <t>y, Campos</t>
  </si>
  <si>
    <t>Campos y</t>
  </si>
  <si>
    <t>…las reclamaciones que crean convenientes, y se les adminis­ 5.° Cavatina en la ópera Semirdmide , del maestro Rossini trará justicia eu lo que la tuvieren. Se vende á real en las librerías de Villa , plazuela de Santo por ’a Sra. Campos y coristas; con decoración y trajes. Dom ingo; viuda de Paz, calle mayor frente á las Covachue­ 6 ,° Terceto en la ópera Elena é M alvina, por la señora las; Boix, calle de Carretas , y M inutria , calle de Toledo. * Vifió y los Sres. Unanue y Salas ; con decoración y trajes. Alcaldía cons…</t>
  </si>
  <si>
    <t>…dentro del preciso y perento­ 5.° Cavatina en la ópera Semirámide , del maestro Rossini, I letero m o rp h a . Las larvas en esta división no se parecen rio término de 50 días, que por primero y último se les prefi­ por ia Sra. Campos y coristas; con decoración y trajes. al insecto perfecto, teniendo mas ó menos ia forma de gusa nos ja y señala, comparezcan por s í, ó por medio de procurador 6.° Terceto en la ópera Elena é M alvina , por la señora y á excepción de la cabeza, una textura como de cuero. A esta con suficien…</t>
  </si>
  <si>
    <t>…Covas ; e na do Livreiro em de la elocuencia latina, el primer autor que nos ponen en las 5.° Cavatina en la ópera Semirdmide , del maestro Rossini, Elva* manos cuando empezamos los estudios; el que nos ha conserva­ por la Sra. Campos y coristas; con decoración y trajes. do todo lo bueno de la filosofía griega, y nos ha dado las me­ 6.° Terceto en la ópera Elena é M a lvin a , por la señora jores lecciones de moral que pueden presentarse sin las luces de Villó y los Sres. Unanue y Salas ; con decoración y trajes. BOLETI…</t>
  </si>
  <si>
    <t>y, Cantero</t>
  </si>
  <si>
    <t>Cantero y</t>
  </si>
  <si>
    <t>…esas operaciones sino para amortizar. Term i­ que son inútiles son perjudiciales. mas inocente con un individuo de la c a ja , y vaya á la bolsa, nantemente lo d ijo , ni podia decir otra cosa , porque seria m i­ Ha dicho el Sr. Cantero y han manifestado los demas se­ para engañar á cualquier infeliz, porque no basta decir ocho nar el establecimiento mismo de la caja si por un lado entrara ñores que las circunstancias de la nación son tales, que nos obli­ dias antes "com prará la c a ja ” , porque con 15 dias de antici­ e…</t>
  </si>
  <si>
    <t>y, Carabineros</t>
  </si>
  <si>
    <t>Carabineros y</t>
  </si>
  <si>
    <t>…da, c o n t in ú a n e n esta co rte sin n o v e d a d e n su im ­ Señora: El intendente de la provincia de Badajoz, gefes yción , asi como le ruega que guarde la vida de V . M. y de oficiales de Hacienda pública , comandante de Carabineros y su augusta Hija la R e ina D oña Isabel i i muchos y dilatados portante salud. oficiales del cu e rp o , con la mayor veneración alzan su voz has­ años. ta el augusto trono de V. M. para expresarla el gozo que ex­ Lugo 28 de Setiembre de 1839.=El presidente, J u a n de la perimenta…</t>
  </si>
  <si>
    <t>y, Carlos</t>
  </si>
  <si>
    <t>Carlos y</t>
  </si>
  <si>
    <t>…la m ay or confusión en las provincias y N av arra. como hermanos y españoles, cuyas bases se p u b lic a rá n ; y si ciud ad de Jijo n a en la provincia de A lic a n t e , y refrendada por El general Moreno fue de orden de D. Carlos y acompa­ el escribano J u a n Mirailes S o ler, se llama á Francisco y R a ­ ñado de cuatro ordenanzas á Elizondo el día 2 8 , y el 29 se las fuerzas de las demás provincias quieren seguir nuestro ejem­ plo evitando la ruin a de sus padres, herm anos y p arien tes, se­ món C o rté s , herm…</t>
  </si>
  <si>
    <t>…cuando exclama­ lio próximo eu uno de ellos situado en la calle del Espino bar­ sin resistencia. ba : "los ricos no son otra cosa que los administradores de los rio de las niñas de la Paz, pudiendo asegurar que 15 dias des­ ' D. Carlos y su esposa han pasado esta mañana á la vista de bienes de los pobres.” pués estará abierta la tercera en el número 10 de la calle de M i­ Bilbao con destino á A re ta , donde se halla Maroto. M ucho tiempo há que los títulos del ilustre proletario han ra el rio, uno de los puntos de la cap…</t>
  </si>
  <si>
    <t>…am ente, no habiendo podido ver cumplidos aun sus de­ 2.° Que no podia venir aquí por ocupaciones. ¿Q u ié n colegisladores: que ninguno ignore, sépalo por rni boca , yo seos los que dieron una respuesta negativa. duda esto? D. Carlos y algunos de sus secuaces están en acepto la responsabilidad , que y a no h ay ra'so'n ninguna que Concluyó S. S. diciendo que su objeto al tomar la palabra F rancia-todavía? Aun no hemos acabado, señores; todavía hay pueda autorizar al Gobierno á exigirlas sin anuencia de las no habia sido…</t>
  </si>
  <si>
    <t>y, Carlos. Zumalacarregui</t>
  </si>
  <si>
    <t>Carlos. Zumalacarregui y</t>
  </si>
  <si>
    <t>…tes de Fraucia é In ­ importancia. La Vizcaya fue la primera que en 1855 levantó te solo se ocupan en darlos á sus partidarios; y si D. Cárlos ó glaterra que la que nace de las estipulaciones del tratado de la el estandarte de D. Carlos. Zumalacarregui y otros valientes alguno dé sus ministros se negase á ello , las peticiones van al cuádruple alianza. N o me extenderé respecto á las atrocidades generales extendieron el dominio dé D. Carlos por este ladoi consejo , donde se halla públicamente la lista de las criaturas y que…</t>
  </si>
  <si>
    <t>y, Casas</t>
  </si>
  <si>
    <t>Casas y</t>
  </si>
  <si>
    <t>…, P L remate anunciado en la Gaceta del 25 del corriente de las Orense 24 de Noviembre. En estos últimos úias se ha en­ ^ casas calle M ayor, núm. 4 6 , y de la Cruz del Espíritu bailando un lindo terceto la Sra. D iez, el Sr. Casas y una niña tregado por las autoridades portuguesas á la militar de esta Santo, 51, pertenecientes á la testamentaría de Doña Ma­ de siete años, discípula de este. provincia un faccioso llamado Francisco Castillo (alias Troca­ ría Isabelnúm.Grande, en virtud de providencia del dia 27 del cor­…</t>
  </si>
  <si>
    <t>…r sus votos al frente del enemigo, y los reitera­ po aun de aquellos que se dedicaban á la carrera de las ciencia mos de nuevo sobre esa losa que cubre sus cenizas. M u rcia 2 4 bailando un lindo terceto la Sra. D i e z , el Sr. Casas y una niña de Noviembre de 1859.—El comandante del escuadrón, Rosen­ de siete añ o s, discípula de este. 1 do Clemente Zamorano. Terminando la función con la graciosa comedia en un acto, que tanta aceptación mereció, y que hace tiempo no se ejecuta, BIBLIOGRAFÍA. nominada LO S G U A N T E…</t>
  </si>
  <si>
    <t>…era de todos, ya no es mas que de los CEFIRO Y AURORA, Médicis, porque esta familia habia nacido con una cierta necesidad de dominación y de brillo que solo un trono BIBLIOGRAFÍA. bailando un lindo terceto la Sra. D iez, el Sr. Casas y una ni­ podia satisfacer; y creo se ha hecho bastante por ella co­ ña de siete años, discípula de este. locándola al írente de la civilización de Florencia, cuan­ do en realidad á Dante le es debido el primer lugar, el J A R IA S observaciones sobre la reunión de la medicina y ci­ segund…</t>
  </si>
  <si>
    <t>…z, { á | id. Zaragoza, par. duda por nuestros mismos soldados, pues hacia la noche muy CEFIRO Y AURORA, Escura. No ocurre otra novedad. {Id.) Descuento de letras, á 6 por 100 al año. bailando un Hado terceto la Sra. Dieaj, el Sr. Casas y una ni* na de siete años, discípula dé este. Terminará la función con un divertido sainete. , Daroca 10 de Junio . PROVIDENCIAS JU DICIA LES. Las facciones reunidas y mandadas por Cabrera se hallaban J UAN Navarro López, escribano público por S. M. la R ei- CRUZ. A las ocho y media de…</t>
  </si>
  <si>
    <t>…s, y alimentado esperanzas en sumo grado lison­ á los principios del jurisconsulto ingles se hau sustituido otros jera*. 0 mas verdaderos , mas en armonía con la condición humana y bailando un lindo terceto la Sra. D iez, el Sr. Casas y una ni­ Hoy ofrece el editor al público un elegante volumen que el movimiento de las ¿deas v y de consiguiente mas susceptibles ña de siete años, discípula de este. comprende no solatneute las composiciones que andau esparci­ de aplicación. Terminará la función con un divertido sainete. das…</t>
  </si>
  <si>
    <t>…y la Habana, saldrá ha de conducir la cor* pezó en Lope de Vega. ZEFIRO Y A U R O R A , de Cádiz el 9 del próximo Diciembre. Algunos quieren que se le considere como eslabón in­ bailando un lindo terceto la Sra. D iez, el Sr. Casas y una niña termedio que sirvió para unir el género de Calderón con de siete años, discípula de este. p! que después se adoptó imitado del teatro francés; y se Terminando la función con la graciosa comedia en un acto fundan en el conato que puso en describir caracteres, que GUIA DE FORASTERO…</t>
  </si>
  <si>
    <t>y, Castilla la Vieja</t>
  </si>
  <si>
    <t>Castilla la Vieja y</t>
  </si>
  <si>
    <t>…Jo^quin de Fagoaga.=José TL ' Oposicion.ziPrimer colegio, 1334 votantes, 'Odiion Bar- del resguardo , y del auxiliar de dicho gobierno político Don Arche. rot 509. Juan Cordon. Ministerio.^:Jacqueminot 817. El capitán general de Castilla la Vieja y comandante gene­ Oposicion.~3egu ndo colegio, 2314 votantes ^ Laffite 1126. ral de Falencia recomiendan de la misma manera al gefe polí­ Ministerio.:^ Lefebvre 1174» tico D. Miguel Antonio Camacho por este y otros servicios hechos á la causa de la patria. REDACCION DE LA GACETA.…</t>
  </si>
  <si>
    <t>y, Castria</t>
  </si>
  <si>
    <t>Castria y</t>
  </si>
  <si>
    <t>…on de caballería, y solo 19 de in­ El muy reverendo José María ITavard, de la diócesis de Reú­ fantería: todos maniobran á la francesa casi como nuestros re­ Idem 7 .—Nuestra situación en la llanura de Argel, desde nes, obispo de Castria y vicario apostólico del Tong-Kin , mu­ gimientos , habiendo adoptado nuestras voces de mando. Al que Abd-el-Kader ha levantado su estandarte contra nosotros, rió el 8 ae Julio último á los tres dias de enfermedad. Ya en dar una carga lo hacen con unión y con una impetuosidad que v« empeoran…</t>
  </si>
  <si>
    <t>y, Cataluña</t>
  </si>
  <si>
    <t>Cataluña y</t>
  </si>
  <si>
    <t>…n G u a d a lete, en virtud de orden nes me opongo al dictámen , pues con él se censura al capitán Añadió que el Rey de regreso á Madrid , cediendo á aque­ del capitán general de Cataluña. Que estos individuos, creyen­ general de Cataluña y al Gobierno, llas excitaciones, quiso confiar la empresa de la construcción del do llegado el término de su deportación, pidieron sus pasapor­ El Sr. M A D O Z dice que la comisión en la petición que se canal á D. Alejandro Aguado, marques de las Marismas, cuya tes para regresar al seno d…</t>
  </si>
  <si>
    <t>y, Cisne-</t>
  </si>
  <si>
    <t>Cisne- y</t>
  </si>
  <si>
    <t>…r mismo de la obra y m e ro, á su hermana Isabel de inmortal y gloriosa memoria ; y H ay nombres cuya pronunciación es su apología mas completa el renombre de su autor. . en fin, al lado del ambicioso gran maestre, al licenciado Cisne- y acabada ; tal es el de Mr. Guizot. In útil es pues exaltar el sa­ Constará de un tomo en 4 ° mayor de unas 40 0 páginas, de ros ; al lado del árbol endurecido y seco, el arbusto joven , re­ ber y conocimientos de un hombre cuya fama es verdaderamen­ edición esmerada y correcta. Su precio e…</t>
  </si>
  <si>
    <t>y, Ciudad-Real</t>
  </si>
  <si>
    <t>Ciudad-Real y</t>
  </si>
  <si>
    <t>…en algunos ios se distinguían lord M orphet, lord Gosford, el canciller del ¡ pasajes. Echiquier, lord N ugent, Mr. O ’Connell y Mr. G. Eran. Pre- I En una palabra, si no se aplauden los poemas épicos, El comandante general de Ciudad-Real y T oledo, con fe­ údia la reunión Mr. W ood. I es porque son malos los que tenemos, y porque no hay cha 4 del actual, da parte de que el comandante de la quinta Habiendo este propuesto á los postres un brindis en honor nadie que se dedique á escribir uno bueno. Esta es obra columna pe…</t>
  </si>
  <si>
    <t>y, Clara de Oca</t>
  </si>
  <si>
    <t>Clara de Oca y</t>
  </si>
  <si>
    <t>…Repito que tengo dicho por escrito lo que hay Lérida. porados, y grandeza de España de primera clase , vacantes por eo el particular. Se acordó que se imprimiría, y señalaría dia para su discu­ fallecimiento sin sucesión de Doña Clara de Oca y M endo­ El Sr. Ministro de H A C IE N D A : Tengo que deshacer una sión, otro de la comisión de Presupuestos relativo al de la Guerra. za , condesa de M otezuma, ocurrido en 11 de Febrero de di­ equivocación relativa á la inteligencia que el Sr. conde de las Se leyó una enmienda ai p…</t>
  </si>
  <si>
    <t>y, Clausel</t>
  </si>
  <si>
    <t>Clausel y</t>
  </si>
  <si>
    <t>…FeJi- ( S tandard ) hubiera podido recibir las comunicaciones necesarias. Pienso que pe.^Por mandado del R e y , el guardasellos &amp;c. Girod (de i* Aiu.) mi noble amigo conocerá perfectamente que es de absoluta im ­ El mariscal Clausel y su comitiva h an dejado ayer por la posibilidad el presentar los documentos que ha reclamado. L u is Felipe, Rey de los franceses: mañana la fonda Clarendon para trasladarse á Birmingham. El {¡Atención!) A todos &amp;c. mariscal comió el lunes en casa del general Sebastiaui en M an - Todo lo q…</t>
  </si>
  <si>
    <t>y, Clavería</t>
  </si>
  <si>
    <t>Clavería y</t>
  </si>
  <si>
    <t>…odido pasar por moderación, no merecería roas nom­ mana. bre que el de debilidad. Hasta después de haber sufrido un desaire del bajá, no se ha renunciado á los designios de la be­ Con motivo de la llegada de la división del Sr. Clavería y nignidad. La moderación hubiera consistido en no exponerse á del brigadier del arrna de caballería, Serrano, á esta capital y de El L5 de Agosto, día de la Asunción , se ha bautizado so­ semejante desengaño; pero ya que no se ha sabido teuer aque­ las favorables noticias que se han reci…</t>
  </si>
  <si>
    <t>y, Comercio</t>
  </si>
  <si>
    <t>Comercio y</t>
  </si>
  <si>
    <t>…e ­ ALEMANIA. estas negociaciones no parece que debía ofrecer la menor duda. lante deben esperarse, la determinación adoptada en Petersbur­ A liad a de F ran c ia, no tenia mas que buscar la cooperación de go por el Ministro de Comercio y M anufacturas , que es dignf El príncipe Guillermo de P r u s i a , general de caballería , ha A ustria y P rusia, y aceptar 1a de Rusia , si le convenía darla, de los mayores elogios. Hace saber este administrador que cte:i sido relevado de sus funtioues de gobernador de la fortaleza…</t>
  </si>
  <si>
    <t>y, Constanza de Mendoza</t>
  </si>
  <si>
    <t>Constanza de Mendoza y</t>
  </si>
  <si>
    <t>…ólicos en el ejército del Roselíon ; y su Señores: me he apresurado á dar conocimiento al R ey dé la carta que le habéis dirigido dando gracias por las instruc­ ción de las fuerzas, como demuestra el Sr, Odriozola en madre Doña Constanza de Mendoza y G uz m an , cuyas ilustres ciones que se han comunicado á los comandantes navales qué la nota de la pág. 6 7 . Esta disputa dio lugar á la absurda casas denotan lo esclarecido de su origen. Sin em bargo, alis­ existen en las costas dé España. nomenclatura de J a e r z a s v…</t>
  </si>
  <si>
    <t>y, Cárlos</t>
  </si>
  <si>
    <t>Cárlos y</t>
  </si>
  <si>
    <t>…s con desprecio desde la altura á que lo cual no es posible esperar : pues todos los que couocen algo á tan poco acertadamente, será interesante para el pueblo de este gloriosamente, pero no sin trabajo, hemos subido desde los D. Cárlos y al partido fanático en cuyas manos no es este prín­ pais el conocer qué es lo que pueden hacer esas instituciones tiempos de nuestras guerras civiles, debemos ver de qué modo cipe mas que un m anequí, saben que todo lo que no sea ser él en favor de los españoles, cuáles son las opiniones de…</t>
  </si>
  <si>
    <t>…ausa principal y dar sus descargos en la for­ Gobierno de la Reina comprendería sin duda que dejando á ro s satisfacen en el in te rio r por d ere ch o de consum o. mada sobre su fu g a; bien entendido que pasado dicho término D. Cárlos y á sus cabecillas todos esos horrores , atraeria hácia A rt. 7.° P o r ú ltim o , la ju n ta d eb erá ocuparse d el ex a­ sin haber com parecido, se continuará y sustanciará esta en los sí todas las simpatías de la Europa. m en de la innovación propuesta en la misma instrucción estrados del…</t>
  </si>
  <si>
    <t>…m ocupó el tro 7 Bilbao 4 de Julio . Parece que M ar oto ha trasladado en materia de economía y adm inistración lo atestiguan el a u ­ no, la nota de infam ia y degradación qué pesaba sobre los, mer­ cuartel general á Orozco. D. Cárlos y su familia se han ido de mento de las re n ta s, porque fueron de mas de 167 millones en caderes y los artistas aun existia en gran p arte; haciéndoles de D urango á Guipúzcoa. También se dice que la mayor parte 17 8 8, comparadas cou un año del quinquenio an te rio r, sin condición m uy…</t>
  </si>
  <si>
    <t>…ncarga S. M. d iga á Y . E., como reduce á manifestar Swiderski su deseo de no dejar el servicio En la G aceta del lunes 24 de J u n io , número 1 6 8 2 , pá­ de su Real orden lo ejecuto, que han merecido su soberana .apro­ de D. Cárlos y volver al de Prusia antes de haber ganado una gina 2 .* , columna 5.a , línea 1 8 , donde dice: muchos d e los : bación las gracias que concedió en su Real nombre y las fun­ cruz, y sobre todo de no pasar en su pais del arma de la caba­ léase, m uchas d e las . Línea 63 , dice: 6600 : léase…</t>
  </si>
  <si>
    <t>…ó no Se ha dicho.que se ha dadp pasaporte á D. Sebastian. Este sido tres: dos veces destruida, pero la tercera vez fue procla­ que D. Francisco de Zea Bermudez ha obtenido del Gobierno Príncipe se,ha marchado irritado contra D. Cárlos y contra su mada por la nación. constitucional español una misión cerca de las cortes que no madre, y pesaroso de haber servido cuatro años á una causa " y otras tantas destruida ¿ha dado nunca margen á una han reconocido á la Reina, con el objeto de promover su reco­ que no ha triunfado. s…</t>
  </si>
  <si>
    <t>y, Cárlos Marrón y D. Antonio Tomé</t>
  </si>
  <si>
    <t>Cárlos Marrón y D. Antonio Tomé y</t>
  </si>
  <si>
    <t>…que la de dos tiradores heridos de. sable, un caballo herido y D. Joaquín A sensio, D. Maximiano González, D. Ju an de Bruselas está tranquilo. {Debáis.) otro extraviado. Dios guarde á V. muchos años. Santibañez M ata Illaua, D. Cárlos Marrón y D. Antonio Tomé y O ndar- 27 de Marzo &lt;je í8 59.r:E l comandante general.nG aspar A n ­ r e ta , quienes por unanim idad declararon haber lugar á la for­ tonio Rodriguez.=Sr. juez de primera instancia de R iaza y su mación de causa , y el Sr. presidente publicó la votación. M a­ p…</t>
  </si>
  <si>
    <t>y, Córdoba</t>
  </si>
  <si>
    <t>Córdoba y</t>
  </si>
  <si>
    <t>…s virtudes, distingui­ ses convenidas con el comodoro. dos méritos y relevantes circunstancias que reúne mi NOTICIAS EXTRANGERAS. pro-capellan, limosnero mayor y patriarca de las Indias FRANCIA. D. José Bonel y Orbe, obispo de Córdoba y arzobispo Se dice que el Sr. almirante Duperré, ministro de la Mari­ electo de G ranada; como Reina Regente y Gobernadora, París 20 de Julio. na, debe ir á Tolon á fines del raes , sin duda para activar lo» a nombre y durante la menor edad de mi excelsa Hija la Reina Doña Isabel n , ven…</t>
  </si>
  <si>
    <t>y, D. Angel Robles</t>
  </si>
  <si>
    <t>D. Angel Robles y</t>
  </si>
  <si>
    <t>…a de Don primeros años por sus galanteos; roas adelante obispo, in fluyen ­ Baltasar Gaseo, en donde se expenden los billetes para las cor­ do en la revolución francesa en sus principales sucesos; poco p O R providencia del Sr. D. Angel Robles y M uñoz, Juez de ridas de toros. primera instancia de esta villa de Orgaz y su partido , de después apóstata, casándose, y cooperando del mismo modo á 2 del corriente , en los autos de testamentaría ó concurso á los la consolidación del imperio de Napoleón, que á su destrucción; bi…</t>
  </si>
  <si>
    <t>…de cuatro ó cinco leguas cuadradas El genio de la industria, herencia gloriosa de la raza pasa por una propiedad de las regulares. Para completar inglesa, la constituye hoy señora de todos los puntos del p O R providencia del Sr. D. Angel Robles y,Muñoz, juez de la semejanza, los indios, sobrios como los españoles, están globo a propósito para el comercio. A primera instancia del partido de Orgaz , de 6 del actual, acostumbrados á alimentarse con poco en un pais que todo La raza española, dominando solamente en las vastas de…</t>
  </si>
  <si>
    <t>y, D. Benito Serrano</t>
  </si>
  <si>
    <t>D. Benito Serrano y</t>
  </si>
  <si>
    <t>…tro actos, 4 id. p e rso n al, si en cada crimen que se comete cousideramos ame­ Los celos de una m u g e r , en tres actos , 4 id. nazada nuestra existencia ó nuestras fortunas; también cuando E N v irtu d de providencia del Sr. D. Benito Serrano y A l i a ­ se miran reprimidos esos mismos críuieaes, cuando la mano g a , magistrado honorario de la audiencia de Cáceres y Originales españolas. fuerte y activa de la autoridad no solo las descubre, sino im - juez de primera instancia de esta M . H. v i l la , refrendada del poo…</t>
  </si>
  <si>
    <t>…uministro; ea y liberal que termine las desgracias que ríligen á Lspaña, y los que gusten hacer proposiciones con anticipación al rema­ y que permitan á esta restablecer su hacienda á la sombra de N virtud de providencia del Sr. D. Benito Serrano y A l ia - t e , podrán presentarlas en esta intendencia ó en las comisarías la paz. g a , juez de primera instancia , refreudada del escribano de guerra de la plaza de Olivenza , Cáceres, T ru jillo y Puebla Guardo por la mezquina cantidad de tres ó cuatro m illo ­ del número D.…</t>
  </si>
  <si>
    <t>…de concurso de acree­ tados desde la publicación de este anuncio en la Gaceta , com­ santemente se afana por conservarles sus fueros y liberta­ dores á bienes de D. M artin de Irazoqui, señalados con el nú­ parezcan ante el Sr. D. Benito Serrano y A lia g a , juez de pri­ des, y por volverlos cuanto antes al.goce.de la venturosa mero 1 de 1820 , en los cuáles con arreglo á lo prevenido en mera instancia de esta cap ital, y por la escribanía del numero paz, por la cual con ellos y como ellos mismos suspira. auto de 8 del…</t>
  </si>
  <si>
    <t>…s de haberle vencido, al anunciar al S i- viuda de P az, calle M a y o r, frente á las gradas de S. Felipe; y nado la paz de Tilsitt. en las provincias, Canarias, Puerto-Rico y la Habana en las “r N virtud de providencia del Sr. D. Benito Serrano y A lia- Este libro en fin, redactado por persona que ha viajado administraciones de correos, á razón de 6 rs. al mes para Ma«¿ ga , magistrado honorario , juez de primera instancia en por toda la Turquía y residido 28 años en Constantinopla , de&gt;- d r id , y para las provincias 8…</t>
  </si>
  <si>
    <t>…...... 3 15 ma condición. Un alimento simple se vuelve á menudo i n d i ­ Remolacha h e rv id a 3 4^ gesto en las manos de un cocinero artificial. Nabos hervidos.......................... 3 30 I ? N virtud de providencia del Sr. D. Benito Serrano y A ü a - Los alimentos abundantes en grasa son malsanos, porque Chirivías hervidas............................................................. 2 51 g a , juez de primera instancia de esta v i lla , refrendada la grasa ¿e resiste á la operación del jugo gástrico. Si á un Manzana…</t>
  </si>
  <si>
    <t>…o de corte. Lo que se avisa á dichos CAMBIOS. acreedores para su concurrencia. Inspección de Málaga. Londres, á 90 dias, 3jB. C oruña, l f d. Registros. París, 16-5. G ran ad c, 2 ¿ á 2 | id. E N virtud de providencia del Sr. D. Benito Serrano y A lia- M álaga, 1¿ id. ^ g a , oidor honorario de la audiencia de Cáceres , y juez Una mina plomiza, sita en sierra Blanca, de este término, Santander, par. cañada de las Encinas, al Norte de la mina titulada Campana, Alicante, par papel. Santiago, 2 d. de primera instancia en…</t>
  </si>
  <si>
    <t>…que llega hasta el añ,o I6QQ, y . España pintoresca^—Sa 11 Estéban , de Salamanca. adicionada únicamente en esta edición con u.nq nafración, den .Ást^papmía.—La tierra vista desde la luna. (Conclusión.) p O R providencia del Sr. D. Benito Serrano y A liaga, juez sucesos desdé 1600 hasta 1833* ó. hasta, la pugrjte dei- 7 : É l ngjvío h o s p i^ l. ; { s- 1 i • de primera instancia de esta villa, refrendada de D. Ja­ D. Fernando v n ; un resúméq cronológico de h)s .sqcespSj mna/j Sf^u^Cri^ al Semanario eq, las librerías de…</t>
  </si>
  <si>
    <t>…precio. T o­ ha señalado el dia 16 del corriente, á las doce de su mañana sin dueño a lgu n o , ni mas barredores que tos fuertes aguaceros, do el costo de la obra , según el cómputo mas b a jo , no pudo en la audiencia del Sr. D. Benito Serrano y A liag a. pues corriendo la lluvia por declive se llevaba la inm undicia al ser menos de 5.000,000 de pesos fuertes. mar. Quien quisiere hacer postura á dichas casas acuda el citado Después de las mezquitas las fuentes ocupan el principal dia y h ora, que se ad m itirán las qu…</t>
  </si>
  <si>
    <t>…ste llamamiento en la Gaceta de esta capital, Litro. s=media azum bre, ú 80 p u l­ se presente por medio de procurador con poder bastante á usar CH IA RA DI ROSEMBERG. gadas id. medida usual. de su derecho en el juzgado del Sr. D. Benito Serrano y A lia­ Decalitro. azum bres id. 10 litros. ga y escribanía numeraria de D. Juan García de L a-M ad rid Hectolitro. = 6 arrobas y 1 azumbre, 100 litros. en los autos formados coa motivo del fallecimiento abintestato</t>
  </si>
  <si>
    <t>…los negocios del ministerio de Marina, Comercio y Gobernación de Ultramar, del que os halláis encargado, tengo á bien con­ C O N G R E S O D E D IP U T A D O S. cederos, á nombre de mi augusta Hija la Reina Doña Isa­ T?L juez Sr. D. Benito Serrano y A liaga, magistrado honorario, de primera instancia en esta corte, por providencia re­ bel ii, la gracia y facultad de usar de la media firma Chacón en todos los oficios, órdenes , cédulas, pasaportes frendada por el escribano del número D. José María González PRESIDENCIA DEL SE…</t>
  </si>
  <si>
    <t>…y que demos­ pueblo, en lo cual se comprenden la educación y la beneficen­ trare que esta lectura no es necesaria a cada cristiano en par­ cia pública, la represión y el castigo de los vicios y crímenes, P O R providencia del Sr. D. Benito Serrano y A liaga, juez ticular. Lo cual fue cumplido eu la segunda edición de 1854. y la reforma moral de los delincuentes. de primera instancia de esta villa, refrendada de D. J a ­ Fernando v n manifestó al traductor, en decreto de 28 de cinto Gaona y Loeches , escribano de! número de…</t>
  </si>
  <si>
    <t>…ado varios periódicos. tro.rrEn la villa de Madrid á 16 de Junio de 1859. Ah chi sd : cavatina de contralto. Dulce es aspirar :^can­ atina yo y otra mi esposa ción para medio tiple. EL caprichoso', vals para piano solo, El Sr. D. Benito Serrano y A lia g a , juez de primera ins­ nos com em os; que no hay cosa tancia de esta capital, d ijo : Que habiéndose observado en este tocado por la música del regimiento Reina Gobernadora en la com o á dos perdices, d o s :" juicio todos los trámites prescritos por la ley , y califi…</t>
  </si>
  <si>
    <t>…s falsas y perversas, no Sentencia. = En la villa de M adrid á 15 de Diciembre de provincia , durante la ausencia del gefe político propietario Don se desvió de la integridad de la doctrina y de la fe católica. 1 8 5 9 : el Sr. D. Benito Serrano y A l i a g a , magistrado honora­ Simón de Roda ; cuento que esta comisión sea breve ; pero en Pero jó mudanza desgraciada! jó calamidad nunca bien la­ rio y juez de primera instancia de esta capital , d ijo : Que h a ­ el tiempo que dure os ofrezco que mis principales cuidados…</t>
  </si>
  <si>
    <t>…sada de su señoría , que la del, cabecilla por si podía darle alcance* en la sala de juntas de la misma dirección. tiene calle de Bordadores, núm. 1 2 , cuarto segundo. Pliego dé condiciones. | 7 N virtud de providencia del Sr. D. Benito Serrano y A lia— ANUNCIOS OFICIALES. 1.a La contrata de los tabacos inútiles se entenderá para las JL j, ga , juez togado de primera instancia en esta corte, refren­ existencias que hay actualmente en las fábricas, y las que pro­ dada del escribano del número D. José María González de…</t>
  </si>
  <si>
    <t>…revista de a r m a s , y el servicio lo prestan con exactitud y p untualidad. C A T E C I S M O político constitucional para uso de la ju v en tu d vec^ndario en general se presta gustoso á cuanto se le O O R providencia del Sr. D. Benito Serrano y A liag a , juez ^ en las escuelas de primera educación, con arreglo á la m anda, porque conoce y ve que el primero que se presenta á de primera instancia de esta v illa , refrendada de D. J a - 5cnstitucion de 1 6 5 7 , dedicado á S. E. la diputación p r o v in -</t>
  </si>
  <si>
    <t>…ve­ apoderado. Palma 7 de Abril de 1839. ==Cayetano Bonafós.^ rificarlo , sin mas citarle ni emplazarle, se continuará la causa TEATROS. Juan Montoya , secretario. eu rebeldía, y le parará el perjuicio que h aya lugar. T^L Sr. D. Benito Serrano y A liaga , jue* de primera instan­ T^L intendente m ilitar del distrito de las islas Baleares.r=Fina- PRINCIPE. A las ocho de la noche. U ltim a representación por ahora del gracioso y acreditado m elo-m im o-dram a-m ito- cia de esta c a p ita l, ha señalado el martes 30 del co…</t>
  </si>
  <si>
    <t>…NCIAS JUDICIALES. b l e c i m i e n t o s ; y ahora concluiremos con re ferir brevemente sus utilidades. B IBLIO G RA FIA. Por medio de la lit o g r a fía pueden ah ora los p in t o r e s , es­ C N virtud de providencia del Sr. D. Benito Serrano y A lia ­ cultores y arquitectos m u lt ip lic a r sin trab ajo alg u n o sus e squ i­ g a , magistrado honorario de la audiencia de Gáceres, juez cios originales. Los retratistas pueden g ra tifica r á sus patrones de primera instancia en esta corte, refrendada por el escribano co…</t>
  </si>
  <si>
    <t>…vista P R O V ID E N C IA S J U D I C I A L E S . de este fuerte por el camino de la Barona el rebelde Cabrera: con cuatro batallones y tres escuadrones, acampando á la en­ CORRESPOND ENCIA DE LA GACETA. P O R providencia del Sr. D. Benito Serrano y A l i a g a , juez trada del olivar á la distancia de media legua , avanzando has­ de primera instancia de esta v i l l a , refrendada del escri­ ta la mitad de este una compañía de miñones, habiéndose ade­ La Cabada 21 d e A bril . Hoy ha sido un dia de gloria, bano del número D…</t>
  </si>
  <si>
    <t>y, D. Francisco Amords</t>
  </si>
  <si>
    <t>D. Francisco Amords y</t>
  </si>
  <si>
    <t>…oyectos Siente que no se consigne el principio de que el cargo de Je ley encaminados á realizar las promesas de la Carta, y á i n ­ concejal debe ser honorífico y gratuito. Que si los ayuntamien­ A virtud de providencia del Sr. D. Francisco Amords y L o -' troducir nuevas mejoras en la legislación general , asi como en tos han de percibir alguna cantidad por la cobranza, 110 vota­ ^ pez , juez de primera instancia de esta cap ital, refrendaba' los diferentes ramos de la administración pública. Nuestros d e' rá el artíc ulo…</t>
  </si>
  <si>
    <t>y, D. Francisco Amorós</t>
  </si>
  <si>
    <t>D. Francisco Amorós y</t>
  </si>
  <si>
    <t>…ecto que presen­ tan las cosas no promete sino una grande calamidad. ¡Ojalá que me equivoque! Hágame V. el favor de mandar esta carta al director del PARTES RECIBIDOS EN LA SECRETARIA D E ESTADO A virtud de providencia del Sr. D. Francisco Amorós y L ó­ Correo nacional, porque deseo que la publique y sepa todo el pez, juez de primera instancia de esta c a p ita l, refrenda­ m undo las causas que me separan de España: llevando el dolor Y D EL DESPACHO DE GUERRA. da del escribano del número de la misma D. Dom ingo Bande,…</t>
  </si>
  <si>
    <t>…u- es el valor del año común del último quinquenio. Lo que se . Po r 9 f r a parte su mérito no es tan g r a n d e , ni sus faltas hace notorio para todos los que quieran interesarse en la su­ | 7 N virtud de providencia del Sr. D. Francisco Amorós y L o - tan ele b u llo , que haggn. necesarias alabanzas*, ni detracciones: basta, quienes podrán presentar sus proposiciones en esta sub- ■*-4 pez, magistrado honorario de la audiencia territorial de algún pensamiento generoso, alguna idea feliz pudiéramos delegación; advirti…</t>
  </si>
  <si>
    <t>…esta clase con para que acudan á deducirlo en el juzgado de prim era instan­ guna oponerme al proyecto, porque ni considero tal fuerza en tanta prem ura como en el año pasado, porque tal vez si en­ cia de esta cap ital del Sr. D. Francisco Amorós y L ópez, y es­ mis palabras que con ellas pueda in d ucir al Senado á que lo tonces se hubiera entrado en discusión , se hubiera esta co n tri­ crib an ía de número del Dr. D. Claudio Sanz y Barea , en e deseche, ni tampoco este cuerpo tiene dadas pruebas de opo­ bución podido…</t>
  </si>
  <si>
    <t>…los edificios de El 5 de madrugada salieron los Sres. geaerales Am or y A s­ que debia hablarme. Figurábame que le veia sentado á la puer­ pires hacia Alcora á practicar un reconocimiento, acompa­ EN virtud de providencia del Sr. D. Francisco Amorós y ta de e&gt;le museo bajo la forma de Júpiter Custodio. ñándolos dos escuadrones del 4*ú ligero y las compañías de ca­ López, juez de primera instancia de esta capital, que ha Mr. F auvel me destinó en su casa una habitación inmediata zadores de la división: á las diez de la maña…</t>
  </si>
  <si>
    <t>…o del crimen de esta M. II. villa y corte. Doy fe que en el juzgado de primera instancia de la misma, Una viña en la cruz de la Marina , de 4 20 cepas Por la goleta española B eliza , llegada á Nueva Orleans, ha­ á cargo del Sr. D. Francisco Amorós y L ó pez, y por mi testi­ vivas , 40 marras y 110 olivones, en........................ 656 biendo salido de V eracruz el 25 de Diciembre, se confirman m o n io , se instruyen diligencias en averiguación de la existeucia Otra en Castejon , de 7/fi cepas vivas y 50 mar­ las notici…</t>
  </si>
  <si>
    <t>y, D. Francisco Atnorós</t>
  </si>
  <si>
    <t>D. Francisco Atnorós y</t>
  </si>
  <si>
    <t>…as ocho de la noche. PROVIDENCIAS JUDICIALES. armado, vestido y recostada la cabeza sobre un almohadón. En primer término se ven cuatro gladiadores desnudos combatien­ UN AGEN TE DE PO LICIA , T?N virtud de providencia del Sr. D. Francisco Atnorós y do con espadas, dos luchando y otros dos muertos en el suelo. López, juez de primera instancia de esta muy heroica Varios sacerdotes con hachas encendidas ponen fuego á la pira, comedia en dos actos, traducida por D. Manuel Bretón de los villa de M adrid, se saca á pública su…</t>
  </si>
  <si>
    <t>y, D. Joaquin Patiño.</t>
  </si>
  <si>
    <t>D. Joaquin Patiño. y</t>
  </si>
  <si>
    <t>…tas da cuenta de las de Pontevedra , y mando hay diferencias tan esenciales? Otro de los fueros que tienen esas provincias consiste en no Reta.=Pcdro §aearrera.:=Antonio Parejo.zrFrancisco Carba- fue admitido como Senador el Sr. D. Joaquin Patiño. yo.^rLorenzo Mauleon. Se procedió al orden del dia acerca del artículo del voto :oucurrir con hombres al reemplazo del ejército. Este ofende di­ particular del Sr. marques de Yiluma sobre la confirmación de a que todoslaslosdisposiciones adam ente del art. 6 .° de la Constitució…</t>
  </si>
  <si>
    <t>y, D. Joaquín de Palma</t>
  </si>
  <si>
    <t>D. Joaquín de Palma y</t>
  </si>
  <si>
    <t>…nto del contiene los artículos siguientes : ta del Sol.izMiguel Beltran de Caicedo, adm inistrador.de la U na H ech ic era, continuación. Iuclusa. público á los,efectos expresados, en virtud de providencia d ic ­ tada por el Sr. D. Joaquín de Palma y V in u esa, ministro ho­ M iguel Angelo , biografría. norario de la audiencia de Zaragoza y juez segundo de prim e­ A los españoles, poesía. :&gt; ra instancia de esta ciudad y su partido. Sevilla 29 de N o ­ U na crónica., &lt; BOLETIN DE COMERCIO viembre de 1839.—Ju an Fernande…</t>
  </si>
  <si>
    <t>y, D. José Bonel</t>
  </si>
  <si>
    <t>D. José Bonel y</t>
  </si>
  <si>
    <t>…en q ue estriba no solo Real decreto nombrando vicario general de los ejércitos y ar­ ble. El público ha de escoger; y no le viene mal el encontrar o r d e n p ú b lic o , sino hasta la paz y bienestar personal mada al Emor Sr. D. José Bonel y O rbe, arzobispo electo de quienes á porfii se esmeren en complacerle. d e cada uno de ios individuos q u e c o m p o n en la r e p ú b li­ Granada. (Núm. 17140 Para añadir á esta algún requisito aventajado, ademas del ca. No p u e d e gloriarse la generación presente de q u e esté…</t>
  </si>
  <si>
    <t>y, D. José de la Luz</t>
  </si>
  <si>
    <t>D. José de la Luz y</t>
  </si>
  <si>
    <t>…á su actual fomento en la dirección ádela lahonrosa confianza de la junta de descuentos de letras, alquileres de edificios y otros varios a rtí­ empresa difícil que nos ha enco­ culos, estado. - Las memorias se dirigirán al Sr. D. José de la Luz y C a- de m endado, le reiteramos nuestra súplica de que una comisión libros decuyo pormenor consta muy circunstanciadamente en los la contaduría, forman la data total de 125,665 ps. 5 su seno examine rigorosamente las cuentas parciales que do­ reales, y presentan un balance de 5…</t>
  </si>
  <si>
    <t>y, D. Juan José Rodríguez Taldeosera.</t>
  </si>
  <si>
    <t>D. Juan José Rodríguez Taldeosera. y</t>
  </si>
  <si>
    <t>…IDENCIAS JUDICIALES. les; y las otras dos las batallas de G ranada: todas precio an ti- guo 80 rs. , y moderno 60. JUZGADO DE SAW FRANCISCO. Vista de la isla de M alta, precio 4 rs. Juzgado de Amortización. Hoy d cargo del Sr. D. Juan José Rodríguez Taldeosera. y moderno 4 ^Uert° 3 ^ ^ alenc¡a’ Prec&gt;° antiguo 5 rs., Por providencia del Sr. intendente de Rentas Principia en la puerta de Segovia y sube por la calle del vincia se cita, llama y emplaza á cualquiera persona que sepa de esta pro­ Seis estampas del poema de la…</t>
  </si>
  <si>
    <t>y, D. Miguel Chacón</t>
  </si>
  <si>
    <t>D. Miguel Chacón y</t>
  </si>
  <si>
    <t>…D. José Muñoz Maldonado. Sr. D. Joaquin de Vilches. Sr. D. Santos López Pelegrin. Sr. D. Manuel José Perez. Sr. D. José Salamanca. Sr. D. Manuel Hidalgo Calvo. Sr. duque de Gor, Vicepresidente 2.° Sr. conde de las Navas. Sr. D. Miguel Chacón y D uran. Guipúzcoa. Sr. D. José Sánchez de la Fuente. Sr. D. José Jover. Sr. D. Miguel Antonio de Zumalacarregui. Sr. D. José Agustín Cañavate. Sr. D. Agustín de Larramendi. Santander. Avila. Huelva. Sr. D. Felipe Gómez Acebo. Sr. D. Francisco Agustín Sil vela. Sr. D. Angel Fer…</t>
  </si>
  <si>
    <t>y, D. Pablo Torrens</t>
  </si>
  <si>
    <t>D. Pablo Torrens y</t>
  </si>
  <si>
    <t>…ta sincera ex­ 4 presión de nuestros leales sentimientos, ofrecidos á V. M. con acuerdo sobre elecciones del ayuntamiento de Albacete. todo el corazón y con la energía de una gratitud particular. da 5.° Una comunicación del Sr. D. Pablo Torrens y M iral- , Diputado por Barcelona , solicitando se le dé asiento en el E l cielo guarde la importante vida H an felicitado á S. M. con motivo de los faustos sucesos años. Almería 4 de Octubre de 1839 . = Señora. =: A L. R. P. Congreso. de Y. M. muchos del dia el intendente y dem…</t>
  </si>
  <si>
    <t>y, D. Tomas Pacheco</t>
  </si>
  <si>
    <t>D. Tomas Pacheco y</t>
  </si>
  <si>
    <t>N.° 1587. JUEVES 21 DE MARZO DE 1839. DIEZ c u a r t o s . S. M. la R e i n a , su augusta Madre la R e i n a G o b e r n a - del Sr. D. Tomas Pacheco y por mi testimonio se ha formado PARTE RECIBIDO EN LA SECRETARIA DE ESTADO causa contra D. Isidro Sánchez Caro , editor responsable del Y D E L DESPACHO DE * LA GOBERNACION D E LA- P E N IN S U L A . dora y laSjerma. Sra. Infanta Doña María Luisa F ern an ­ periódico titulado E l…</t>
  </si>
  <si>
    <t>y, Demetrio Asenjo</t>
  </si>
  <si>
    <t>Demetrio Asenjo y</t>
  </si>
  <si>
    <t>…oría fiscal del juzgado de Iluercal Overa á D. Cristóbal Asi tuvo efecto en gran parte en los siguientes dias, reem­ te mes, y a principiado el sitio de T a le s, los oficiales prisioneros Ballesta Parra , y para la de Baeza á D. Demetrio Asenjo y plazándose con otra que hice venir de Onda^ una pieza de | e n M a e ila , me pidieron un fusil para unirse á las tropas: care­ Cáceres. á 12 que se inutilizó en el reducto de campaña , y por una de cían de un ifo rm es, de divisas , de sus espadas, y aun de todo á 16 de Castellón…</t>
  </si>
  <si>
    <t>y, Despacho de Gracia</t>
  </si>
  <si>
    <t>Despacho de Gracia y</t>
  </si>
  <si>
    <t>…n las formas que la C onstitución e x i g e , era una Real Pero nada de esto se ha hecho: se ha concedido la palabra jos dias de ceremonia sin una sola cinta. (A p la u s o s e n la t r i ­ orden refrendada por u n Secretario del Despacho de Gracia y al Sr. López, quien ha dividido en dos partes su discurso: en buna.) J u s tic i a , y yo no necesito sostener que mi obediencia , lejos la primera ha hablado de una circular expedida por el M i n e r o El Sr. P R E S I D E N T E : Es m u y conocida la disposición de ser pasiv…</t>
  </si>
  <si>
    <t>y, Diego María López</t>
  </si>
  <si>
    <t>Diego María López y</t>
  </si>
  <si>
    <t>…una escala para la magistratu­ como primer suplente , en virtud de la renuncia del Diputado bien, si eítas razones, estas doctrinas y estas opiniones son las ra , es seguro que se consideraría á la audiencia de Madrid electo D. Diego María López y acuerda consiguiente del Con­ del Congreso, si está establecida una jurisprudencia nueva, va­ como de escala rigorosa. Y tengo corno autoridad en mi favor greso; y no hallando reclamación alguna contra su aptitud le­ mos á hacer aplicación de ellas al caso del Sr. Baeza. un proy…</t>
  </si>
  <si>
    <t>y, Diputado Alvarez.</t>
  </si>
  <si>
    <t>Diputado Alvarez. y</t>
  </si>
  <si>
    <t>…estión sobre lo per­ j zaga , acerca de la autorización pedida por el Gobierno para lo dem uestra la experiencia , tan necesaria , que creemos nicioso de los estados de sitio después de haber hablado sobre proceder contra el Sr. Diputado Alvarez. y nos lisonjeam os de que no sera im pugnada de nadie. esto con tanta elocuencia el Sr. Arguelles, pero que deseaba Señores que dijeron no : O tro dia sin em bargo h ablarem os m as acerca de ella. salvar su voto, reducido á que no podia aprobar la prisión M ayans, G ispert,M uro…</t>
  </si>
  <si>
    <t>y, Dr. D. Lucas de Ariza</t>
  </si>
  <si>
    <t>Dr. D. Lucas de Ariza y</t>
  </si>
  <si>
    <t>…eccior ciando temores , contribuyeron gustosos y animados del maí solutam ente com o en el ejem p lo actual, que es del m odo en el cultivo del grano en la isla , por la utilidad que esto en­ vehemente celo los amigos presidente Dr. D. Lucas de Ariza y in dicativo, ó relativam ente a otras circunstancias com o en cierra y extensión que pueda darse : teniendo presente que s&lt; el secretario con sus respectivas acciones, interesando el último los dem as modos. Am bas pues son esenciales al verbo. Sin introducen al año hasta u…</t>
  </si>
  <si>
    <t>y, Duperré</t>
  </si>
  <si>
    <t>Duperré y</t>
  </si>
  <si>
    <t>…rendas, hubiera podido tal vez derribar el trono íluc- b embarcaron en Sarate. Ha hecho embarcar unos 25 hombres en el buque que manda dicho capitán, que iba á cruzar como cor­ proyecto A las tres sube á la tribuna el almirante Duperré y lee un tuante de G ranada, y consolidar el suyo sobre las ruinas de la feudalidad, si la fiera impetuosidad de su carácter, la violen­ sario aquellas costas. (Debáis,) de ley que abre un crédito de dos millones en favor del ministerio de M arina: el motivo de esta demanda se funda cia d…</t>
  </si>
  <si>
    <t>y, Dámaso Recompensas</t>
  </si>
  <si>
    <t>Dámaso Recompensas y</t>
  </si>
  <si>
    <t>…, que desempeña la dirección de la caja nacional de quinta parte de tabacos y papel sellado. . . 1 .3 7 2 ,7 1 6 - 2 5 tán el denodado joven D. Rafael Acedo Rico , cuyo caballo re­ Amortización, por ausencia del propietario; D. Dámaso Recompensas y asignaciones............................... 3 2 ,2 7 1 - 2 3 cibió después dos balazos al embestir el último parapeto, refor­ A paricio, procurador síndico del ayuntamiento constitucio­ Devoluciones de todas clases, inclusa la a n ti­ zando después esta columna con la de caza…</t>
  </si>
  <si>
    <t>y, EFECTOS PÚBLICOS. Atenas</t>
  </si>
  <si>
    <t>EFECTOS PÚBLICOS. Atenas y</t>
  </si>
  <si>
    <t>…i 3 á las tres de la tarde • cha para A tea as. guerra movido por vapor, del pabellón francés, y denominado Había repasado tantas veces los planos de las cercanías de el Cocodrilo 9conduciendo á su bordo á S. A. R. el duque de EFECTOS PÚBLICOS. Atenas y sus largas murallas, no quise absolutamente tomar Nemours. Inscripciones en el gran libro á 5 por 1 0 0 , 00. un guia: tampoco quise seguir el camino trillado, y fiado en En la tarde del mismo dia lo verificó también el vapor de Títulos al portador del 5 por 1 0 0 , 204 co…</t>
  </si>
  <si>
    <t>y, Egea</t>
  </si>
  <si>
    <t>Egea y</t>
  </si>
  <si>
    <t>…se acanto­ bre la proposición del Sr. Senador Caam año P a rd o , habia nom ­ y estoy conforme en aprobar los dem as; pero en el 5 .° tengo nasen en los pueblos de Lim pias y A m p uero , donde permanez­ brado Presidente al Sr. Egea y secretario al Sr. Diez de Teieda. que hacer algun as aclaraciones. El verdadero fundamento de co hoy, obligado por el regio temporal que con m ayor furia El Sr. P R E S ID E N T E : Y a á ju ra r el Sr. m arques de V a l - las observaciones que tengo que hacer contra este artículo le iré con…</t>
  </si>
  <si>
    <t>y, Elena San Martin</t>
  </si>
  <si>
    <t>Elena San Martin y</t>
  </si>
  <si>
    <t>…ROS. tercero y ultimo se les señala, presenten en el juzgado dichas unidas de la misma, cuando resultó el alcance, é ignorándose láminas con calidad de devolución , con objeto de practicar cier­ la residencia de dicha viuda Doña Elena San Martin y here­ De ó rden del Sr. Ministro de la Gobernación se pre­ tas diligencias en causa criminal que se sigue en el mismo so­ deros, se les cita en forma, para que en el término de 50 dias viene á las corporaciones, establecimientos dependientes dos falsificación bre de varios créd…</t>
  </si>
  <si>
    <t>y, Elias Aquino</t>
  </si>
  <si>
    <t>Elias Aquino y</t>
  </si>
  <si>
    <t>…­ político de la m ism a, y en seguida pensaba salir á reconocer la piarla de un grupo de rebeldes de caballería que la habiá in ­ cionada Real o rd en de 5 ele M a y o , ó que para eludirla, línea de la carretera trazada por D. Elias Aquino y aprobada igualm en te q ue las disposiciones contenidas en la presen­ mas por esta dirección general, y reconocer, en los trozos en que vadido, se les obligó á retirarse á sus guaridas con muerte de u n o , desempeñando cumplidamente este encargo el teniente de importa emprender los…</t>
  </si>
  <si>
    <t>y, Elordi</t>
  </si>
  <si>
    <t>Elordi y</t>
  </si>
  <si>
    <t>…, por los periódicos y noticias hay una certeza de El Sr. C A L D E R O N C O L L A N T E S : Cuando todos losSe- El Sr. A I L L O N propuso se añadiese al dictámen que se re­ que verificado el escrutinio salimos Diputados el Sr. Elordi y ares Diputados manifiestan de una manera tan clara la im p a - mitiesen copias de las sesiones del dia 15 de Jun io , en que se yo; esta es una certeza moral, pero no valedera, cuando la j u ­ encia que Ies anima por ver constituido el Congreso para ocu- disolvió la diputación provincial, y…</t>
  </si>
  <si>
    <t>y, Enrique</t>
  </si>
  <si>
    <t>Enrique y</t>
  </si>
  <si>
    <t>…posos no puede ser mas trá g ic a , y E l carácter de D. Pedro no se rinde , y manda á D . G utierre Que asaz los conozco y a ; el espectador siente su corazón apenado profundamente al ver que marche al alcazar, que asesine a D. Enrique y arroje al ¿ Mas pensarán libertarle? que tanta virtud no puede salvarse sino por una resolución pueblo su cadáver mutilado si continúa la rebelión. El especta­ ¿S erá su osadía tal ? igualm ente trágica. A l separarse D . Enrique de Doña Ju an a dor no puede ya contener su odio hácia D .…</t>
  </si>
  <si>
    <t>y, Enrique Gil</t>
  </si>
  <si>
    <t>Enrique Gil y</t>
  </si>
  <si>
    <t>…ga, llan , cruz de S. Fernando. ha parecido que la carrera literaria se halla algún tanto sobre­ consiliarios* Sargentos segundos Ju an Antonio M agariñu y Santiago cargada, si se ha de tener cuenta con la comprensión y corta D. Enrique Gil y p , Juan del Peral, secretarios. Y a lo r, grado de sargento primero. edad de sus alumnos. Cabos primeros José Conde, Vicente D iaz, Antonio More­ Solo alabanzas podemos hacer de la disciplina y régimen Sección de pintura. n o , Ju lián P arrón , Antonio Calero y Nicasio P ard o, cruz…</t>
  </si>
  <si>
    <t>y, Espartero</t>
  </si>
  <si>
    <t>Espartero y</t>
  </si>
  <si>
    <t>…p ió , y tan se r o m p i ó , señores, cuanto que el general nación de la ley definitiv a? N o , en mi concepto; porque todo combatir á los M in istros: para hacerlo es menester que h a y a M aroto dice que se separó del general Espartero y dió sus ór­ lo mas que quedaría de esta gran cuestión seria la parte disp o­ paz; esa paz que se nos presenta aceptémosla; sálvese el prin ci­ denes para empezar la lucha ; y porque se convenció de que ia sitiva. Esta adición expresará lo mismo y en lenguaje mas cor­ pio como se salva…</t>
  </si>
  <si>
    <t>…áis.) fuéramos nosotros de guerrilla ; á medio tiro de fusil de dicho tos que los de paz, vivas á la Constitución, á nuestra Reina, pu nto, yendo adelante con el Sr. brigadier, los enemigos nos á la augusta Gobernadora , general Espartero y virtuoso y su- ' han tirado una descarga: al momento al grito de arriba B ar - frido ejército que tan dignamente dirige. En la entrevista que tuvo Mr. Thiers en S. Cíoud con e celonaenemigo, , y al paso de ataque, se ha roto un vivísimo fuego: el orgulloso por el punto que ocupaba ,…</t>
  </si>
  <si>
    <t>…el perjuicio que h a y a lugar al que no lo verifique. C onstitución y á la p a z , reconciliación y fra tern id ad de todos corte y de la nación. Dios guarde á V. E. muchos años. Ma^- los partidos políticos, al invicto general Espartero y bizarro d rid 5 de Setiembre de 1859,—Excmo. Sr.—Siguen las firmas. ejército , llamando p a rticu larm en te la atención las dos im p ro ­ {,Mensajero) visaciones siguientes B IB L IO G R A FIA . Dé D. Antonio Gil de Zarate. F 0 9 negros, ó efectos de la tiran ía , d ram a trágico en t…</t>
  </si>
  <si>
    <t>…compañeros. Estos son los MADRID 2 8 DE OCTUBRE. por ia escribanía del presente desde la fecha de e^te anuncio , y para que conste, en cumplimiento de lo m an dado , pongo el prim eros en reconocer que sin la espada del general Espartero y presente que signo y firmo en esta ciudad de G ranada á 18 de sin el in flujo visible de la Providencia nada pudiera haberse Octubre de 1859 zzNicolás del Castillo. ■ h ech o ; pero eso es una cosa y otra el que se exclu ya al G obier­ J u n ta d e quem a d e d o cu m en to s d e la d eu…</t>
  </si>
  <si>
    <t>y, Eugenio Moreno</t>
  </si>
  <si>
    <t>Eugenio Moreno y</t>
  </si>
  <si>
    <t>…tablecimiento ; y si es cierto que él mismo se dedicará á las D . José García de Villalta, presidente. Subteniente D. Jo¿é Carpintero, grado de teniente de in­ clases de. lenguas y literatura extrangera , nada dejará que de** D. Eugenio Moreno y D; Antonio Gil de Z árate, vice^ fantería. sear; pues sabemos que con dificultad habrá en España perso­ presidentes* Sargento primero graduado de subteniente D . Pedro G a­ na que le iguale en estos y otros muchos conocimientos. Nos D. Ventura de la Vega y D. Gregorio Romero Larr#ñ…</t>
  </si>
  <si>
    <t>y, Eusebio Aguado</t>
  </si>
  <si>
    <t>Eusebio Aguado y</t>
  </si>
  <si>
    <t>go ah o ra, como me he opuesto siempre á las administraciones ello le parará tan entero perjuicio como si hechos y notificados Madrid imprenta de D. Eusebio Aguado y librería de Ro­ de corporacioues y del Gobierno; en fin, de todo lo que no fuesen en su misma persona. Y para que llegue á su noticia dríguez: Barcelona, Piferrer: Búrgos, Arnaíz : Cádiz, Hortal sea particular; y emplearé cuantos medios yo pueda prestar mandarnos librar la presente.…</t>
  </si>
  <si>
    <t>y, Ezequiel Martin</t>
  </si>
  <si>
    <t>Ezequiel Martin y</t>
  </si>
  <si>
    <t>…ia ; pero todos los D. Manuel Abascal, D. José Tomé y O o d arreta, D. Antonio Cotización del día 24 d las tres de la tarde • militares que haw llegado á esta ciudad después de haber teni­ Sánchez Ocaña, D. Antonio M altrana, D. Ezequiel Martin y do parte en ella , la cuentan coino un hecho glorioso de armase Alonso, D. Manuel Regidor, D. Manuel Bretón, D. Juan EFECTOS PUBLICOS. mis conocimientos de la localidad y medios con que se ha con­ Miguel Inclan y D. Juan R u iz, quienes por unanimidad de­ seguido me la hacen ver…</t>
  </si>
  <si>
    <t>y, Ezpeleta</t>
  </si>
  <si>
    <t>Ezpeleta y</t>
  </si>
  <si>
    <t>…irigen el La comisión en su mayoría , compuesta de los Sres. duque respeto. Paz desean , porque sin ella las leyes son sombras v a­ contento y la gratitud de los españoles; de los españoles, Se­ de Frías, Macía Lleopart, conde de Ezpeleta y conde de O ñ a - nas que se abisman en el piélago de las pasiones. Y desean paz ñora, que no olvidarán jamás que deben su felicidad á la au­ te , opinan por la aprobación de lo acordado en el Congreso de porque es la primera necesidad de los pueblos; la vida de las gusta Madre de la Reina…</t>
  </si>
  <si>
    <t>…ceder al voto de las personas de cierta clase y teorías, si Por consiguiente ea esta parte podrá estar satisfecho el señor te la tiene el Sr. conde de Ezpeleta. hubiera oido al Sr. D. Antonio González, tal vez me habría conde de Ezpeleta y todos los individuos que hayan tenido Se leyó ei art. í. ° puesto acorde con S. S. y otros señores; pero oimos al Sr* Lleo- parte en aquellas Cortes, que merecen toda mi consideración. E! Sr. conde de E Z P E L E T A i Guando antes de ayer se iba part que veia ese artículo de un modo di…</t>
  </si>
  <si>
    <t>…el discurso de la después de una ligera discusión , en que tomaron parte los se­ nas que no piensan medrar mas que inspirando esos temores al corona por su órgano compuesto de personas que debieron aban­ ñores Caneja , conde de Ezpeleta y marques de Falces,fue apro­ Gobierno. donar sus destinos desde el momento en que vieron el resulta­ bado el dictámen. El Sr. S E R R A N O : Ya sabia yo, señores, que las precau­ do de las elecciones. Esto es lo que debieron h a cer, y en no Entró á jurar el Sr. A rteta, Senador por Alb…</t>
  </si>
  <si>
    <t>y, Fabiani.</t>
  </si>
  <si>
    <t>Fabiani. y</t>
  </si>
  <si>
    <t>…le I s l e para el de su hermana ; y el C a m p a n e ro d e S. P a - con la fe c r istia n a , se habia desviado desgraciadamente de ella, lab ia revestido la autoridad de esta Sede apostólica. Pero t a q ­ ')lo para el del Sr. Fabiani. y seguía el lamentable cisma de los griegos, conservando su úen es grande nuestra solicitud en favor de aquellos amados Asimismo sabemos que ha recibido la sociedad enspresaria lenguage ordinario y el rito griego , habia pensado mas de una l ij o s , que en dicha nación no han podido ser…</t>
  </si>
  <si>
    <t>y, Felipe Guasp</t>
  </si>
  <si>
    <t>Felipe Guasp y</t>
  </si>
  <si>
    <t>…bri­ M ilicia nacional de esta ciudad en 18 del mismo mes de Oc­ llante sinfonía se pondrá en escena la comedia n u e v a , o rig in al, za a los que se crean con derecho á los bienes quedados por fa­ tub re, la ley condena á D. Felipe Guasp y B arb e ri, respon­ llecimiento de Rafael García Lozano, voz pública que fue d&lt; en tres actos, y en verso, titu lad a sable de dicho impreso, á la pena de dos meses de prisión y esta coi t e , para que en el término de 50 dias contados desde st 500 rs. de vn. de m u lta, expresada en…</t>
  </si>
  <si>
    <t>y, Felipe Ochaita</t>
  </si>
  <si>
    <t>Felipe Ochaita y</t>
  </si>
  <si>
    <t>…e los archivos. ración: De la misma manera se cita y emplaza á D. Pedro María A mediados de 1810 abdicó el Rey de Holanda en fa­ pensaba comunicóle el despacho, declarándole que no se Villayicencio , D. José Cortes y Sánchez, D. Felipe Ochaita y vor de su hijo mayor. Hauterive fue enviado á aquel pais dro? ¿Seendejara ninguna hostilidad. ¿Qué responderá Alejan­ compañía, D. José Rivera y Andrade, D. Vicente Martel, arrastrar por un movimiento de cólera? D. Lorenzo Garrigos y Suárez y D. Manuel María de la Orden, para recog…</t>
  </si>
  <si>
    <t>y, Fernando Macías Guerra</t>
  </si>
  <si>
    <t>Fernando Macías Guerra y</t>
  </si>
  <si>
    <t>…ecen en el seno mismo de la sociedad Diario de la capital eu justo tributo á los méritos del precep­ prudencia de algunos Gobiernos en haberles dado mas cuerpo una gerarquía distinta de la que está reconocida por las leyes tor D. Fernando Macías Guerra y aplicación de sus alumnos, y alieoto por lo acerbo de la persecución y el rigor destempla­ ó sancionada por la costumbre. El que se halla revestido de dejando asi nosotros evacuado con satisfacción nuestro encargo. do de las penas; al paso que otros Gobiernos, faltos de pre…</t>
  </si>
  <si>
    <t>y, Fernanuuñez</t>
  </si>
  <si>
    <t>Fernanuuñez y</t>
  </si>
  <si>
    <t>…riormente, tal fue el pavor con que gundo, síndico secretario, comandante de armas, administra­ El barco de vapor el Liverpool , procedente de New-York, huyeron los rebeldes, que abandonaron el convoy que lleva­ dor del duque de Fernanuuñez y un rico haceodado del pueblo llegó á nuestro puerto hoy á las diez de la mañana. Dicho bu­ ban, compuesto de mas de 100 caballerías , el cual ha quedado al sitio del Callejón hondo á distancia de tres tiros de bala de la que ha hecho la travesía de Inglaterra á América en 16 dias, y…</t>
  </si>
  <si>
    <t>y, Ferrer</t>
  </si>
  <si>
    <t>Ferrer y</t>
  </si>
  <si>
    <t>…dónde puede pedirse, y hasta qué punto votar la ley; sin embargo, no han sido tantas que me tranqui­ trar cu la cuestión haré alguna. puede concederse. licen del todo, y espero que si lo tiene por conveniente contes­ Sabe el Sr. Ferrer y muchos de mis compañeros que no soy Ayer aunque dijo el Sr. Ferrer que estaba , digámoslo asi ' te, y con nuevas explicaciones concurriré á la aprobación uná­ fuerista, y que estoy distante de serlo; y en todas las cuestiones autorizado por su provincia ó parte de ella , yo precisa menté ni…</t>
  </si>
  <si>
    <t>y, Francisco</t>
  </si>
  <si>
    <t>Francisco y</t>
  </si>
  <si>
    <t>…M o n to y a , se convoca á ju n ta general á to ­ te exacto , no cuesta mas que 12 rs. v n . , á pesar de estar bella­ m andado por S. M . la Reina Gobernadora en 26 del corriente, dos los acreedores de las testamentarías de D. Francisco y D on mente impreso en dos pliegos de m arca, susceptibles de plegar­ ha señalado los dias 1.° y 20 de Enero p róxim o, á las doce de Salvador M agro para el dia 31 del presente á las diez de su m a­ se o de ponerse ensamblados en u n cuadro. su m añana, en la sala de la misma, para la ce…</t>
  </si>
  <si>
    <t>y, Francisco Araorós</t>
  </si>
  <si>
    <t>Francisco Araorós y</t>
  </si>
  <si>
    <t>…rle por sí ó por medio de pro­ vecino que lo reciba eo su casa dé con anticipación parte de su llegada á la autoridad competente; y al que faltare se le pon­ curador con poder bastante ante el Sr. juez de primera instan­ cia D. Francisco Araorós y L ó p ez, por la escribanía del núme­ COLECCION DE LEYES, drá en prisión , quedando á las resultas del delito que aparecer ro de D. A gu stin Seco, en el preciso término de 2 0 d i a s , que pueda en el ocultado. por primero y último se Ies d e sig n a ; en la inteligencia que…</t>
  </si>
  <si>
    <t>y, Francisco Ataorós</t>
  </si>
  <si>
    <t>Francisco Ataorós y</t>
  </si>
  <si>
    <t>…PROVIDENCIAS JUDICIALES. á razón dd 8 rst por mes para M adrid , y 10 para f u e r a , franco P a r a p a g o d e a c r e e d o r e s , y e n v i r t u d d e p r o v i d e n c i a d e l el porte. Sr. juez de primera instancia D. Francisco Ataorós y L ó ­ Los números sueltos sé venden en M a d r id á 10 rs. TEATROS. pez , se venden las fincas siguientes: Un lagar nombrado de Linares al partido de Campanillas, P R I N C I P E . A las ocho y media de la noche. Se ejecuta­ término de la villa de A lm ogia, provincia de M á la…</t>
  </si>
  <si>
    <t>y, Francisco Brdogas</t>
  </si>
  <si>
    <t>Francisco Brdogas y</t>
  </si>
  <si>
    <t>…y colorid o bajo por cuenta de sus descubiertos, y lo verifiquen precisamente al criatura humana el polvo de la tumba por única esperan- la dirección del profesor D. José de Madrazo, dign o dis­ depositario nombrado que lo es D. Francisco Brdogas y T *ran- ' aa, y ¿ la historia de las naciones la ciega casualidad por cíp u lo del célebre David. La escuela de este genio francés c o , de este dom icilio, que habita calle de la Concepción G eró- único principio. La sola lógica que in vocó el ateo para la reconoce por máxima…</t>
  </si>
  <si>
    <t>y, Francisco Ramos</t>
  </si>
  <si>
    <t>Francisco Ramos y</t>
  </si>
  <si>
    <t>…El 24 y 25 del actual I tor de la facultad de medicina de P aris, y traducido al caste­ Luego la guerra de los cruzados contra los mahometanos pernoctó en M orella; y aun cuando en esta ocasión no le han I llano por el doctor D. Francisco Ramos y L uengo: dos tomos no se opone á las doctrinas del Evangelio. perm itido, como en o tras, penetrar en las prisiones, observó I en 4-° Esta obra, utilíúm a para todos los alumnos de medicina En este silogismo solo la mayor pertenece á la moral cris­ que salían á trabajar al foso co…</t>
  </si>
  <si>
    <t>y, Frias</t>
  </si>
  <si>
    <t>Frias y</t>
  </si>
  <si>
    <t>…examen tanto E l Sr. marques de V I L U M A : En vista de lo manifestado C ar rio n 18 de E n é ro de 18 59. = M ig u e l Antonio C am ach o. mas , cuanto que me seria fácil hacer ver que las objeciones y por los Sres. duque de Frias y M in istro de Gracia y J u s t i c i a , c Sr. intendente en cargado del gobierno político de Palencia.z :E s argum en tos que se han hecho no están c o n te s tad o s , están en renuncio la palabra. c opia. zzT ra banco. toda su fuerza ; muchos se han e l u d i d o , y á otros se han d a ­…</t>
  </si>
  <si>
    <t>y, Félix Amat</t>
  </si>
  <si>
    <t>Félix Amat y</t>
  </si>
  <si>
    <t>…pondremos al nivel * de Carretas, se vendían todas las obras de los limos, seño­ En la Gaceta del domingo 7 , página 1.a, columna 2.a , en el nombre de uno de aquellos hombres ó mugeres ilustres en la res arzobispo de Palmira D. Félix Amat y obispo de Astorga el estado de los alumnos nombrados y presentados en la escuela historia por su valor ó virtudes cívicas, exponiendo asi á la D. Félix Torres de A m at, se venderán estas en adelante en las normal de maestros, la provincia de L érida, en lugar de i consideración pública…</t>
  </si>
  <si>
    <t>y, Félix Gusano</t>
  </si>
  <si>
    <t>Félix Gusano y</t>
  </si>
  <si>
    <t>…del cabecilla Prie­ las reglas, bases y condiciones formadas al efecto por estas ofi­ go ya no existe: los salvaguardias de esta provincia a! mando cinas de partido en pliego que obra unido al expediente que de sus comandantes D. Félix Gusano y t&gt;. José Cándido del BOLETIN D E COMERCIO, existe en esta subdelegacion. Los que quisieren interesarse en Riego y 30 hombres del provincial de Plasencia á las Órdenes este arriendo lo podrán realizar en la misma, advirtiendo está del bizarro teniente D. Pedro Cano y Cortés, que dejand…</t>
  </si>
  <si>
    <t>y, Félix. Nuñez y Trenas</t>
  </si>
  <si>
    <t>Félix. Nuñez y Trenas y</t>
  </si>
  <si>
    <t>…rrespondencia secreta entre el Rey tasados el primero ea 29,34^ rs., y el segundo en 125,104 rs. me y emplace, como lo ejecuto, á todas las personas que por D. Fernando vn y el Infante D. Cárlos. por los agrimensores aprobados D. Félix. Nuñez y Trenas y créditos ú otras causas se crean con derecho á dichos bienes, Jura de la Serma. Infanta primogénita. D. José Martin Almagro, y la casilla, pozos y norias en para que ea el improrogable término de 80 dias, contados des­ Pasquines y proclamas subversivas en varios puntos de la…</t>
  </si>
  <si>
    <t>y, García</t>
  </si>
  <si>
    <t>García y</t>
  </si>
  <si>
    <t>…último medio, al que le inclinaba reos &amp; c., produciendo todo medio m illón de pesos poco mas ó comparable general en su siglo, nació en 1508. Fue hijo de su genio inflexible, y con su rigor mantuvo su autoridad. D u ­ menos. D. García y nieto de D. Federico, primer duque de Alba de rante el Gobierno suave de Margarita de Partna, regente por Tal es el estado ruinoso de hacienda pública á que han re­ Tormes, y primo hermano del Rey Fernando el Católico. Su Felipe en los Paises Bajos, comenzó la sublevación ; el duque de duci…</t>
  </si>
  <si>
    <t>y, Garlos</t>
  </si>
  <si>
    <t>Garlos y</t>
  </si>
  <si>
    <t>…o, que no admitía espera, faltando tres meses aun para la le la propuesta del Gobierno, relativa á declarar para siempre reunión de nuevas Cortes , no pudo menos el Gobierno de de­ excluidos del derecho á la corona de España á D. Garlos y to­ cretar el pago del medio diezmo por via de anticipación, y so­ la su línea.” (Sesión pública del dia 5 de Setiembre de Í854, A consecuencia de Real gracia, otorgada por S. M. con de­ meter esta medida á la deliberación de las Cortes, pidiendo un mpresa coa acuerdo del mismo Estamento.)…</t>
  </si>
  <si>
    <t>y, Garnier</t>
  </si>
  <si>
    <t>Garnier y</t>
  </si>
  <si>
    <t>…piedad y todas las mate­ ta haberse construido en San Malo en el año pasado , y perte­ que publica la misma empresa: dos de Federico "'oulié, Cristina ’ rias que no conciernen al negocio general de la nación. La li­ necer al Sr. Garnier y D aude q, su capitán Pedio Rosé , con pa­ de Suecia en Fontainebleau (histórica), y los Dos Rivales, y bertad y propiedad están perfectamente aseguradas por leyes ses de la adqana francesa dejCette para conducir á Mompulcis los restantes de la graciosa novela^ de castutnbres L a muger y t…</t>
  </si>
  <si>
    <t>y, Geismar</t>
  </si>
  <si>
    <t>Geismar y</t>
  </si>
  <si>
    <t>…sos de cede lo mismo: ¿quién no conoce la diferencia del movi­ litar que debia estallar en el ejército ruso, y que de sus resul­ Villegas, hemos observado que su ley constante es tener miento en estos dos versos, tas el general Geismar y algunos centenares de oficíales debían acentuadas la cuarta y la octava. El articulo de la Revista Gala del M ayo, rosa purpurina, haber sido severamente castigados. Hoy tres periódicos alema­ que exige la acentuación de la primer sílaba para que un nes están acordes en rectificar esta n…</t>
  </si>
  <si>
    <t>y, Gerard</t>
  </si>
  <si>
    <t>Gerard y</t>
  </si>
  <si>
    <t>…h iers, al que asistieron la mayor parte de los individuos las cercanías, ó algu n a novedad, se hará inmediatamente la ga la existencia de las reglas, y no reconoce mas principio de del futuro gabinete, como también el mariscal Gerard y M r . señal; y para aquellos pueblos inmediatos cuyos puntos de se­ escribir en verso, que lo que sus adeptos llaman in sp ira ció n , Odilon Barrot. ñal no se descubran desde el del pueblo, se enviarán avisos g e n i o , en tu sia sm o , y algunos m isió n , no sabemos de quién. por propi…</t>
  </si>
  <si>
    <t>y, Gfália</t>
  </si>
  <si>
    <t>Gfália y</t>
  </si>
  <si>
    <t>…me referí de Después de algunas breve? observaciones de ios 5,res. Mi­ la majoráa de tas dos terreras partes de votos presen,tes en tes manera ninguna mas qne al Gobierno, considerado como ente nistro- de la G oberaadb»conde de Gfália y conde de Espéte­ Cortes, concurriendo precisamente á la votación- k mitad! mas moral» abstrayendo tas personas que pudieran ser Ministros ea. la , se decidí© que bu» se votase por partes el ■articulo, como no» á 1© buhos fie los individuos fie cada cuerpo co legislador. aquella ú otra époc…</t>
  </si>
  <si>
    <t>y, Giacia</t>
  </si>
  <si>
    <t>Giacia y</t>
  </si>
  <si>
    <t>…or­ dividuo de la comisión, ha manifestado que estaba conforme con reconocidos por la Constitución como funcionarios establecidos tunidad de la palabra confirmar, que asi por S. S., como por la inteligencia que el Sr. Ministro de Giacia y J u stic ia ha d a­ por esa ley, como funcionarios que no pueden dejar de exis­ otros, se ha sentado para fijar esta cuestión. do á la palabra constitucional, que una vez que debemos estar tir sin que deje de existir al mismo tiempo la Constitución. Las No se me d i g a , como ha sentado el…</t>
  </si>
  <si>
    <t>y, Gil</t>
  </si>
  <si>
    <t>Gil y</t>
  </si>
  <si>
    <t>…namorado de una Reina, comedia en Se dio cuenta de que la comisión de Actas constituida en dos actos, traducida del Lances. a11i agradan, en primer lugar porque es género propio; este dia habia nombrado por su Presidente al Sr. Gil y por se­ Bien pudiéramos dispensarnos á la verdad del análisis y en segundo , porque suelen estar desempeñados por ac­ cretario al Sr. Guillen y Roda. de esta pieza, que ha pasado por entre las concurridas re­ tores de justa nombradla, para los que se escriben expre­ Se acordó quedasen sobre…</t>
  </si>
  <si>
    <t>…de 00 ve­ ejercer. rificarlo, les parará el perjuicio á que haya lugar en la supre­ Anoche se estrenó en el Liceo, conforme teníamos anuncia­ j' 1 separarme de tan leal provincia llevo conmigo los mas do, la Rosmunda , del Sr. Gil y Z árate, en presencia de un sión del mencionado título. Madrid 3 de Diciembre de 1859.=a grumos recuerdos por las distinciones que he merecido á sus h a - concurso numerosísimo, compuesto de todo lo que Madrid tie­ Manuel Ortiz de Taranco. 5: tan tes, y por las muestras de deferencia con que…</t>
  </si>
  <si>
    <t>…Christierno vui. vaciones sobre la materia; y concluiremos con dar la enhora­ hostilidades con que nuestro ejército tuvo que luchar en su Ya habia algunas semanas que el Rey padecía de una tos buena en nombre de la patria al Sr. Gil y á los demas profe­ sores que merecen su confianza. (B. O.)</t>
  </si>
  <si>
    <t>y, Gor</t>
  </si>
  <si>
    <t>Gor y</t>
  </si>
  <si>
    <t>…una instruc- Después de un brevísimo debate entre los Sres. fznardi, M i­ del medio décimo. Este caso le voy á ofrecer á la consideración ion para ta ejecución de esta ley, y en esta no habla ni podia nistro de Hacienda, duque de Gor y M on, se decidió que se del Congreso y dcj Sr. M inistro, y yo creo que esta es la ver- | tablar del abono del diezmo: ¿ por qué? porque no había lle­ pasase á otro asunto. dadera cuestión , colocada en el que yo llamo terreno práctico. gado el caso. El Sr. Mendizabal hizo lo que debia, á sabe…</t>
  </si>
  <si>
    <t>y, Gracia</t>
  </si>
  <si>
    <t>Gracia y</t>
  </si>
  <si>
    <t>…traria , de las penas corporales en pecunia­ tad de lo que se dice. Si como expresa el Sr. conde, h ay algo, ta de ello es al M inistro, porque no puede rnenos do ser asi. rias ; y llamo sobre esto la atención del Sr. Ministro de Gracia yo le aplicó mi censura y me lamento dé los abusos como S. S. Pero vamos á ver en qué está la violación del artíc u 'f» consti­ y Justicia , porque le creo bien penetrado dé la exactitud con El Sr. LO P E Z : He tomado la palabra porque veo la d i f e ­ tucional. Ya se ha repetido algunas vec…</t>
  </si>
  <si>
    <t>…como de escala rigorosa. Y tengo corno autoridad en mi favor greso; y no hallando reclamación alguna contra su aptitud le­ mos á hacer aplicación de ellas al caso del Sr. Baeza. un proyecto de ley que se formó siendo Ministro de Gracia y g a l, la comisión opina que se le debe admitir á jurar y tomar Justicia el dr. Castro, y otro que acaba de darse por el minis­ Yo deduzco que hay un sinnúmero de razones, 10 ó 12 asiento. Madrid 2 de Enero de 1839. = Fouseca. = Carrasco.= que voy á enumerar con arreglo á esos casos. La…</t>
  </si>
  <si>
    <t>…iputado falte á él. Sres. Madoz y conde de la Navas piden la palabra para una signado en su dictamen; y es un deber mió muy agradable El Sr. OLOZAGA : Muy pronto se ha alarmado el señor personal) han propuesto ai Sr. ministro de Gracia y manifestar á la nación entera que no nos hemos equivocado, Ministro: lo que he dicho no es nada absolutamente en com­ alusión como algunos han querido hacer creer. Nuestro pensamiento ha paración de lo que tengo que decir: pues qué ¿ se ha de tole­ ción. El unaJusticia tregua , han manife…</t>
  </si>
  <si>
    <t>…nación. (El Sr. Mímislro de Gracia y Justicia pi­ año pasado de 1806 por Pedro López, vecino que fue de esta falsa,.Concibo un Consejo de Estado bajo.' el Gobierno absoluto, cu­ dió la palabra.) Yo creo que si el Sr» Ministro de Gracia y corte, era la casa compañía de comercio de los cinco G reto ios yas atribuciones seau, como lo erara era el antiguo, preparar Justicia permanece uo año en el poder cora Consejo de Estado, no mayores die la misma, y de que se despacho á su favor la con­ los proyectos de Ley sobre aquellas di…</t>
  </si>
  <si>
    <t>ración al haber oído per la persona a quien estiba contestando Uceo artístico y literario . partido, de edad de 50 años, estatura muy alta , color more­ que viendo una circular firmada por el Ministro de Gracia y n o , y todos seis montados en caballos, armados de trabucos jij ticia cumplía con hacerla circular prescindiendo de si era N o habiéndose aun trasladado desde el jardín de las D eli­ sables y pistolas, contra los cuales estoy procediendo criminal- ó i o contraria á las leyes: hizo en seg…</t>
  </si>
  <si>
    <t>…fringido la pretendido escándalo que estas no deban tolerar? ¿Y á que el Ínteres de la deuda pública se pague: porque solí&gt; Constitución, ha usurpado á las Cortes el poder de hacer qué viene para ios actos del actual Ministro de Gracia y asi encontrará el Gobierno recursos para m antenerlos en la ley que arregle definitivamente esta m ateria, ha come­ Justicia los que se dicen abusos de sus antecesores? Por todas las plazas de Europa. tido un escándalo contra la esencia del Gobierno repre­ la lógica del Eco habría que abo…</t>
  </si>
  <si>
    <t>…erá el El Sr. C O R T I N A : La comisión no puede menos de estar nas para rectificar algunos hechos, sobre losxjue el Congreso re­ Congreso que sin faltar á ella puede adoptarse un m edio, que m uy reconocida al Sr. ministro de Gracia y J u stic ia por la solverá con el tino que acostumbra. Una cuestión se ha suscita­ puede ser el que la misma comisión de Actas, revestida del ca­ ocasión que le ha proporcionado de desenvolver un pensamien­ do por la comisión, y es cómo se ha hecho la lista electoral de rácter j u d i c i…</t>
  </si>
  <si>
    <t>…rovinciales y no las ques de Falces, Ruiz de la V e g a , marques de Vallgoruera y jando el Gobierno que proponga en lo sucesivo lo que le parez­ han querido a d m i t i r ? ¿Q u e en otras partes no quieren los en­ Ministro de Gracia y J u s t ic ia , fundada en q u e , extendiéndose ca mas útil y conveniente. cabezamientos, y que tienen, no sé qué nombre dár, la toleran­ los peticionarios á solicitar que se exigiese la responsabilidad á No es mi ánimo entrar en sostener aqui todos los demas cia de que se les cobre en el…</t>
  </si>
  <si>
    <t>…go que me he admirado porque cabalmente cuando acae­ den licencia para ello: de este modo los actos que se cometan Se leyó la lista de las peticiones presentadas al Congreso cieron esos sucesos se encontraba S. S. de Ministro de Gracia y serán por efecto de la ley , mas 110 de la arbitrariedad. desde el dia 12 del presente, y pasaron á la comisión. Justicia. Por consiguiente no ha podido menos de tener parte en Ha dicho el Sr. Pidal que las primeras medidas excepciona­ Fue tomada en consideración y pasó á las secciones un…</t>
  </si>
  <si>
    <t>…sobre ei proyecto de brando interinamente para sustituir al primero al Sr. Arrazo- discurso. S. S. , como si la cosa fuera un grano de auís , nos ha contestación al discurso de la corona , y levantó la sesión. la , Ministro de Gracia y J u s t ic ia , y para el segundo al señor dicho que se podría crear un papel que represente el fruto de Eran las cuatro y media. A l a i x , que lo es de la Guerra, ( i) esos I 44O rs* 5 este medio le parecerá m uy bueno á S. S. ; á mí Pasó á la comisión de Actas otro oficio del mismo se…</t>
  </si>
  <si>
    <t>…sé por qué el Sr. López rae ha de dar esta muestra de A N T E la junta del departamento del Ferrol se ha de contratar Siempre que se ha tratado de esta cuestión se ha asociado á predilección, haciendo solo cargos ai Ministro de Gracia y J u s ­ ^ en los dias 21 y 28 de Octubre actual y 4 de Noviembre ella la de la preregativ-a de la corona de suspender ó disolver ticia por leyes acordadas en consejo de M inistros, y no digo próximo en el mejor postor el suministro de utensilio á la tro­ las Cortes, cuya pr erogad va la t…</t>
  </si>
  <si>
    <t>…ez se dirá que no es e\ actual Gabinete el q u e .ha es­ ?T' PR E SID E N T E : orden del dia: discusión de las ac­ discusión de la totalidad del proyecto sobre relaciones de am­ tablecido esa audiencia ; pero el Sr. Ministro de Gracia y ú* tas de Huelya. bos cuerpos colegisladores entre sí y con el Gobierno. ticra ha dicho ayer que habia hecho nombramientos para el a;</t>
  </si>
  <si>
    <t>…o menos d e h a c s r notar la inexacti­ contra la l i b e r t a d ? ¿N o se ha d i s mi nu i do el número ¿He nues­ i contribuciones con que deben cubrirse. Giro deber, e) que no tud de semejante aserción. No es el Ministro de Gracia y J u s ­ tros enemi gos hasta el punto de ser infi ni ta mente menor al que i pueda cobrar contribuciones que no están autnrizzths y ap ro ­ ticia el que nombra los empleados conforme la Constitución, antes habí a ? P ujs si esto es a s i , ¿ n o es i nduda bl e que ha h a ­ badas por la…</t>
  </si>
  <si>
    <t>…que en su concepto eran unos desgraciados é inocentes , y que á que el negocio mas urgente, el principal á que debia atender atropellar la Constitución? Está y debe estar en esto , porque pesar de lo dicho por el Sr. Ministro de Gracia y J u stic ia , aun S. S . , era asistir á estas sesiones. el Gobierno no puede tener mas recursos que ios que procedan lloraban sus familias su ausencia. El Sr. Ministro de E ST A D O : No puede uno acabar n u n ­ de las contribuciones , y se verá m uy apurado cuando tenga un Pasó después…</t>
  </si>
  <si>
    <t>y, Gracia y Justicia</t>
  </si>
  <si>
    <t>Gracia y Justicia y</t>
  </si>
  <si>
    <t>…o 69. Esto, señores, era mas franco , tendría resultados mas gran­ ¿ Qué dice pues el artículo? Que habrá en cada provincia des , y arreglaría sin duda el bienestar. Respecto á las aclaraciones que ha dado el Sr. Secretario de Gracia y Justicia yo estoy muy acorde, como no se llegue á la una diputación; y en la segunda parte, que los Diputados que Yo espero pues que los Sres. Secretarios del Despacho darán parte municipal ni económico-administrativa, que son las que determine la ley serán nombrados por los mismos electo…</t>
  </si>
  <si>
    <t>y, Gregorio</t>
  </si>
  <si>
    <t>Gregorio y</t>
  </si>
  <si>
    <t>…fin T DE L A S DIRECCIONES Y A U T O R ID A D E S SUPERIORES. ción en la G aceta, á todos los que se conceptúen acreedores de q u e , cabiendo en menor número de pliegos, pueda expen­ á los bienes quedados por fallecimiento de D. Gregorio y E n t r e g a d e JULIO d e 1839. derse con mayor conveniencia en beneficio del público. El retra­ D. Carlos de la \ e g a , vecinos que fueron de esta co rte, para to que acompaña está hermosamente grabado, y de su semejan­ que dentro de dicho término acudan á deducir sus reclamacio­…</t>
  </si>
  <si>
    <t>y, Gregorio de Lezama Leguizamon</t>
  </si>
  <si>
    <t>Gregorio de Lezama Leguizamon y</t>
  </si>
  <si>
    <t>…as máquinas fijas y locomotivas, obligado a que se presentase en Perasense una partida de nueve pues que el conocimiento de la causa facilitará el de sus efectos. facciosos procedentes de la guarnición de Cañete , que vagabau D. Gregorio de Lezama Leguizamon y E g u í a , corregidor Cuando se pone el agua á la acción del calo r, se dilata y recogiendo mozos y raciones, los cuales lo han verificado todos del M . N. y M. L. señorío de V izcaya. coa gruías. (Mi) convierte en vapor. En este estado es sumamente ligero y es*- Ha…</t>
  </si>
  <si>
    <t>y, Guerra</t>
  </si>
  <si>
    <t>Guerra y</t>
  </si>
  <si>
    <t>…dor en decreto de este dia al Excmo. Sr. presidente de la primarias del bajo y del medio Yales en favor de la aceptación cuyo caso dirá en virtud de qué derecho ó de qué ley se ha to­ república , se ha servido nombrar ministro de Guerra y M ari­ de la Constitución no ha correspondido á la esperanza de los mado una determinación semejante , como también si dichas na al Excmo. Sr. D. José M aría T ornel, miembro del mismo constituyentes y sus parciales. Este golpe inesperado, combina­ restricciones,están arregladas á los trata…</t>
  </si>
  <si>
    <t>…do, que es navales de Francia en el golfo de Méjico , Cárlos Baudin.zrEx­ / El presidente lo espera a s i , y me manda poner todo esto en sumamente defectuosa, en parte severa con exceso, en parte in ­ celentísimo Sr. Ministro de Guerra y M arina. conocimiento del Congreso, aun cuando para ello h a y a tenido suficiente , y para una multitud de casos del todo n u la : la ley Traducido literalmente por Sebastian Blanco. Méjico 11 de que desviarme algún tanto de las costumbres y de la reserva de derechos de puertos , que aunqu…</t>
  </si>
  <si>
    <t>…buts.) ta» e» su totalidad mas de 85,862 oiños pobre* ( l),d e los cua­ Dios Campo de baulla en San M iguel, Mayo 3 Lo* periódicos de MarselU que hemos recibido hoy refie­ de l b i J —'j.briel Valencia.rzExctuo. Sr. ministro de Guerra y ren la grande inquietud eo que ha e*Udo aquella ciudad les 46,4!7 se halUn en escuelas especiales; 4 L 134 en escuelas públicas ordinarias; y 2,511 en escuelas particulares. Del to­ Marina. • J Es copia. —Cuartel general de Acajete, Mayo 3 de 1839 = co» motivo de uu* tentativa de subleva…</t>
  </si>
  <si>
    <t>…rseguir la facción de Llarch , regresó á Dios &amp;c. Cuartel general en Villa Aldaraa, Agosto 19 de gativacobstitucidnal. Igualada, habiendo salido el 25 para Manresa en combinación 1939.=Valentin Canalizo. = Excmo. Sr. Ministro de Guerra y - w El ayuntamiento constitucional y cura ecónomo de la villa con el general Borso y la división expedicionaria, donde per­ Marina. níe R dcovos sé creen es llegada la hora de apresurarse á dirigir maneció hasta el 27 que emprendió su marcha en persecución ah débil voz á Y. M. y felicitar…</t>
  </si>
  <si>
    <t>…ios &amp;c. Saltillo Febrero "25 de 1 8 5 9 .= D o m in g o de U g a r - 1 venir en su auxilio desde Monterey con lí)0 hombres de in— :antería y caballería de defensores de la patria y dos piezas li­ techea.nExcmo. Sr. Ministro de Guerra y M arina D . José M a ­ beras de artillería : esforcé extraordinariamente mis marchas, ría Tornel. PARTE NO OFICIAL. logré introducirme á las doce de la noche del dia de ayer al cen­ León. Es copia.=:Méjico Marzo 2 de i 8 5 9 . ^ J o a q u i n Yelasque de tro de esta ciudad sin ser sent…</t>
  </si>
  <si>
    <t>…El Sr. D. Basilio Guerra , que ha sido el NOTICIAS EXTRANGERAS. Dios &amp;c. Oajaea Ju lio 29 de 1859. ==J u a n Vicente de A r ­ principal agente de los s er vi ci os y auxilios que se prestaron al rióla. =Excroo. Sr . ministro de Guerra y M arina. virtuoso P. Aaron en vida y en muerte, e3 acreedor á pai t i t u ­ Es copia.—M é jic o , Agosto 2 de 1859.:=: J , L. Velazquez de lar elogio , y nosotros no podemos menos de publicarlo, a u n ­ PERU . Leou. que se Esticas u a poco su modestia. (Censor d e U eracruz.) El Callao s…</t>
  </si>
  <si>
    <t>y, Guillen</t>
  </si>
  <si>
    <t>Guillen y</t>
  </si>
  <si>
    <t>…ito. Dios guarde á V. E. muchos años. Barcelo­ lez Alonso. na 29 de Agostode 18:&gt;9-A ntonio Seoane.=Excmo. Sr. capi- Se abrió á las doce y inedia con la lectura del acta de la an­ El Sr. B E N A V ID E S : Se ha pedido por el Sr. Guillen y tan general de las Islas Baleares. ' r terior, que fue aprobada después de haber pedido el Sr. conde de las Navas se leyera la parle relativa al oficio del Sr. D , Pió ne as la lectura del artículo del reglamento , en que se previe- que las elecciones que ofrecen alguna dificultad, se de…</t>
  </si>
  <si>
    <t>y, Guillen y Gras</t>
  </si>
  <si>
    <t>Guillen y Gras y</t>
  </si>
  <si>
    <t>…nsultado el Congreso del dictamen de la comisión encargada de informar acerca de evacuaron las provincias que estaban ocupadas por los franceses sobre si se haría la pregunta indicada por el Sr. Olózaga, se la proposición del Sr. Guillen y Gras y otros Sres. Diputados, se establecieron consejos de guerra permanentes para juzgará, los acordó que la votación fuese nominal. Verificada esta , se deci­ para que se declare fiesta nacional el dia 18 de Junio. que se llamaban entonces afrancesados; hubo consejos de guer­ dió por la…</t>
  </si>
  <si>
    <t>y, Hacienda</t>
  </si>
  <si>
    <t>Hacienda y</t>
  </si>
  <si>
    <t>Madama Balbi dice que la aventura que le sucedió b\ con­ ciado con la plaza de consejero de Hacienda y superintendente Indeciso y turbado Federico Guillermo, permaneció en Verj de, la sabia por una de sus amigas, casada con el primer ayuda de policía urbana. dün hasta el 9 de Setiembre sin tomar resolución alguna , y an­ de cámara de Monsieur (1). El conde de Caylus trataba con la Lo que…</t>
  </si>
  <si>
    <t>y, IA</t>
  </si>
  <si>
    <t>IA y</t>
  </si>
  <si>
    <t>…a mo­ ción. Las resoluciones de la comisión serán e je c u tiv as, sin per­ narquía española, cuidar y d ir ig ir bien y lealmente la persona ju icio de que la parte que se crea ag rav iad a use de su derecho, ; O RD E N D E L D IA y bienes propios del R ey menor N. c u y a tutela se os ha confia­ después de ejecutadas con arreglo á la legislación v ig e n te , y en los térm in o s, por los trá m ite s, y ante las autoridades que ella PARA LA SESION DEL VIERNES 8 DE FEBRERO DE 1839. d o ?” El tutor responderá en voz alta…</t>
  </si>
  <si>
    <t>y, Ignacio Alvarez</t>
  </si>
  <si>
    <t>Ignacio Alvarez y</t>
  </si>
  <si>
    <t>…de los corporaciones tampoco le han satisfecho , y se dejarán embar­ prisioneros hechos en dicha jornada , entre los cuales se cuen­ gar los muebles como los otros habitantes, se cree que la auto­ tan dos subtenientes llamados D. Ignacio Alvarez y D . Vicente ridad no encontrará un local suficiente para depositar los efec­ GRAN BRETAÑA. V id a l; é igualmente una noticia de los efectos de guerra que tos embargados. Hace ya algunos dias que los encargados en la Lóñdres 1*° de Éebrero • se han cogido, al enemigo , y se expres…</t>
  </si>
  <si>
    <t>y, Ignacio España</t>
  </si>
  <si>
    <t>Ignacio España y</t>
  </si>
  <si>
    <t>…lar me veo eu la péecision de pedir explicaciones relativas a un do­ \ ,, pije«que se Rabja h u id q .d e d eterm inar J a calificación de para junta de acreedores á la dimisión de bienes hecha por Don Pedro Miguel G uichot , D. Ignacio España y compañía , el d o ­ cumento impreso én él D iario de las sesiones del 5 i del mes a n ­ jpalabra consignada en él art. ifl de la Constitucip¿¿ terior. ^ - : : ’ ''' v •• : .;Eú él sé reconoce é| principio de que no pueden ser presos m ingo 15 de Enero próximo y hora de las doce de…</t>
  </si>
  <si>
    <t>…u lto , este piadoso Emperador resolvió A instancia del síndico del concurso de D. Pedro M ig u e l CO LE C C IO N DE L A S M E J O R E S O B R A S reedificar una basílica que excediese en grandeza á la anterior. G u ic h o t, D. Ignacio España y compañía , se citó y em­ A ntem io, arquitecto del im p e rio , formó el p la n , y su geuio plazó nominalmente por el Diario y Gaceta de esta corte de 11 dirigió los brazos de 103 artífices, cuyos jornales eran pagados de Noviembre del año último á los acreedores legitimados de DEL…</t>
  </si>
  <si>
    <t>…ios encontraba en el presente entre las formas del templo y la del A instancia del síndico del concurso de D. Pedro Miguel á los que se hagan dignos de ellos. El alto funcionario públí — culto que en él se celebra. G uichot, D. Ignacio España y com pañía, se citó y em­ co , ó el modesto ciudadano, hallará nuestra censura ó nuestro Figúrese el lector que está en una vasta jaula formada por plazó nominalmente por el Diario y Gaceta de esta corte de 11 aplauso con la mas completa imparcialidad. Elevaremos nues­ líneas verti…</t>
  </si>
  <si>
    <t>…se suponía invencible A instancia del síndico del concurso de D . Pedro Migue! tante de u n terreno que le perte n ec e, y ad o n d e se ha re­ la facción acaudillada por el rebelde M aroto, han sido toma­ 't*- G u ic h o t, D. Ignacio España y com pañía, se citó y em­ tirado d u r a n te las negociaciones. Este te rr e n o se llama Iio- dos con la mayor intrepi‘dc¿ por nuestros bravos soldados con litsh: hay en él una casa de rem o nta y un ganado espa­ plazó nominalmente por el Diario y Gaceta de esta corte de 11 su di…</t>
  </si>
  <si>
    <t>y, II. A. Poupart</t>
  </si>
  <si>
    <t>II. A. Poupart y</t>
  </si>
  <si>
    <t>…io y la 7.° L a confesión. * La obra que se ofrece al público es el fruto de algunos años adquisición de una buena pronunciación. Darán razón en la de incesante trabajo, dé constante indagación y de sério estu­ librería de Doña II. A. Poupart y compañía , calle del Arenal, d io ; pero si los autores han emprendido su publicación, ha sido núm. 9 , frente á la plazuela de Celenque. solo llevados de un celo loable para la utilidad de los catalanes: CRUZ. A las ocho de la noche. Se pondrá en escena el uo se creen pues libr…</t>
  </si>
  <si>
    <t>…níficas del m u n ­ adquisición de una buena pronunciación. D arán razón en la de P o u p art, calle del A r e n a l, a 5 rs. en rústica , á 56 cuartos do. Luego que Constantino el Grande estableció firmemente el librería de Doña II. A. Poupart y compañía , calle del A r e n a l, en media pasta y á 6 rs. en pasta de papel mas fino. trono del imperio romano en su c i u d a d , edificó dos iglesias, núrn. 9 , frente á la plazuela de Celeuque. una llamada Irene, y la otra los Apóstoles. Pasados algunos años erigió la grande igl…</t>
  </si>
  <si>
    <t>y, Jacinto Gaona</t>
  </si>
  <si>
    <t>Jacinto Gaona y</t>
  </si>
  <si>
    <t>…e media legua , avanzando has­ de primera instancia de esta v i l l a , refrendada del escri­ ta la mitad de este una compañía de miñones, habiéndose ade­ La Cabada 21 d e A bril . Hoy ha sido un dia de gloria, bano del número D. Jacinto Gaona y L o e c h e s, se cita , llama lantado para reconocer las fortificaciones, y algunos oficiales no solo para las armas nacionales, sino para todo este pais. Los y emplaza á todos los que sean acreedores á los bienes del fina­ con muy poc&lt;»s caballos. Al ponerse el sol principiaron á d…</t>
  </si>
  <si>
    <t>y, Jaeu</t>
  </si>
  <si>
    <t>Jaeu y</t>
  </si>
  <si>
    <t>…. por los faustos acontecimien­ bado con uua enmienda del Sr. L u j a n , en que pide quede en el tos eo los campos de Vergara , oai corazón la tía , y las tropas Congreso una copia de esta exposición. de la capitanía general de Jaeu y G r a n a d a , cuyo mando debo Se aprobó sin discusión el dictámen de la comisión sobre la á la munificencia de V. M . , se entregaron al mas puro regoci­ CO NGRESO DE D IP U T A D O S. petición ndm. 46. jo por ios días de ventura que les ha preparado la sabiduría de PRESIDENCIA DEL SEÑOR C…</t>
  </si>
  <si>
    <t>y, Jaime Vicente Gómez</t>
  </si>
  <si>
    <t>Jaime Vicente Gómez y</t>
  </si>
  <si>
    <t>…sé Rodríguez Valdeosera, Noticia biográfica del marques de la Ensenada, 2 rs. ha resultado del escrutinio nueve votos en favor de la absolu­ Id. del célebre general de marina D. Alvaro de Bazan, ción del escrito denunciado por D. Jaime Vicente Gómez y bel laCaballero comendador de la Real orden americana de Isa­ primer marques de Santa-Cruz, 2 rs. suscrito por D. Matías Seco , y tres por la condenación; y en goza yCatólica, magistrado honorario de la audiencia de Zara­ Id. del general D. Blas de Lezo, un real. su vista el j…</t>
  </si>
  <si>
    <t>y, Joaquina de Bustaman-</t>
  </si>
  <si>
    <t>Joaquina de Bustaman- y</t>
  </si>
  <si>
    <t>…sualismo. El es­ por 950: D. Pedro Camacho, por 1760: los herederos de Don solarnos en nuestro abandono, hicim os á la criatura ídolo mero en el estudio de la bella naturaleza, despojado de la Vicente Bustamante y su rouger Doña Joaquina de Bustaman- y p rin cipio, y deificamos el sensualismo. ¿ A quién debía­ rutina, y unido á la contem plación de las inmortales obras t e , por 120 rs.: Manuel Martin Mócete, vecino y labrador mos el amor de nuestro pecho y las exaltaciones de nues­ de los artistas de los siglos x iv , xv…</t>
  </si>
  <si>
    <t>y, Joaquín de Fagoaga</t>
  </si>
  <si>
    <t>Joaquín de Fagoaga y</t>
  </si>
  <si>
    <t>…uptézar á 1ós doá Sres. directores mas an tig u os,con ta- úetrádo’étr GaBtillá con uiiós 2 0 0 caballos huyendo de éu ge­ dor,'tfesóréré y sécretarió, nombrándose en su consecuencia neral en gefe; ' párá directores los Sres; D. Joaquín de Fagoaga y D . P aota- SEMANARIO Varios facciosos, cu y a número no se designa , penetraron teoii Múntion y Alonso; para contador él Sr. D . Francisco Al- én el pueblo de ía Abaditla ; se han llevado consigo al alcalde PINTORESCO ESPAÑOL. lam iras; para tesorero al Sr. D. Benito Rodrígue…</t>
  </si>
  <si>
    <t>y, Joaquín de Fagóaga</t>
  </si>
  <si>
    <t>Joaquín de Fagóaga y</t>
  </si>
  <si>
    <t>…u naturaleza? No es mentos. Dámaso Aparicio, procurador síndico del departamento cons^ esa la principal razón. La priocipal razón consiste en otra cosa; El Sr. A RM EN D A RIZ: Que se lea. titucional de esta muy heroica villa; D. Joaquín de Fagóaga yo la lamento tanto como el Sr. Madoz , y ya he dicho por es­ El Sr. CABALLERO: Ahora la leerá el Sr. Secretario, y nando, con el doble carácter de director del Banco español de San Fer­ crito , que es dolorosísimo que personas que han perdido sus se verá bienes por efecto de la g…</t>
  </si>
  <si>
    <t>y, Joaquín de Romá</t>
  </si>
  <si>
    <t>Joaquín de Romá y</t>
  </si>
  <si>
    <t>…l cual es posible se tenencias en el término de Saoabastre, partido de Ri vas , pro­ Term inará la función con el baile pantomímico en dos ac­ ha le hoy expedito, y que Cabrera acuda con el grueso de sus vincia de G erona, por D. Joaquín de Romá y compañía , en el tos y dividido en cuatro cuadros, compuesto y dirigid o por batallones dando lugar á mas de un combate. ( D. M . d e V.) dia 1 .° D. M anuel C asas, cuyo titulo es Otra de id ., compuesta también de cuatro pertenencias en el término de Ogassa , del mismo p artid…</t>
  </si>
  <si>
    <t>y, Joaquín Espiii</t>
  </si>
  <si>
    <t>Joaquín Espiii y</t>
  </si>
  <si>
    <t>…í y Ú. Manuel ^Dücassí, cousilíáfioL ; v gar 80 caballos y algunos infantes enemigos, corriéndose la ma­ ñana siguiente hasta la masía del Collado ; siendo su objeto al Con sentimiento concluimos un artículo que tan ancho cam­ D. Joaquín Espiii y D! Jóié de R ojaY y Slenrá , sécrétárib*. po presenta á las especulaciones morales. En nombre de nues­ " Las sesiones dé compétén'cia cóntiiVúán celebrándose como parecer sorprender alguna de las partidas volantes de aquel tros conciudadanos tributamos al Sr. Fernel los elogios q…</t>
  </si>
  <si>
    <t>y, Joaquín Morales Reyes</t>
  </si>
  <si>
    <t>Joaquín Morales Reyes y</t>
  </si>
  <si>
    <t>…os solicitó venir á mis órdenes, el que fue mi ayudante en Catalu­ miento de las tropas de la 2.a división del ejército del Centro guarde á V. E. muchos años. Santander 5 i de Marzo de 1859.= ña y el aposentador de la división D. Joaquín Morales Reyes y brigada del del Norte que concurrieron á esta acción, y es­ Excmo. Sr.=Rafael de Hereño.=Excmo. Sr. Secretario de Esta­ ejecutaron y comunicaron mis órdenes con la actividad y celo pera las propuestas que ofrece remitir el general en gefe en fa­ do y del Despacho de la Gobern…</t>
  </si>
  <si>
    <t>y, Jorge Mancebo</t>
  </si>
  <si>
    <t>Jorge Mancebo y</t>
  </si>
  <si>
    <t>…21 Por providencia del Sr. intendente subdelegado de Rentas 556 Ausentes extraviados oque se íguora de esta provincia, se cita, llama y emplaza á D. Angel Mo­ su paradero........................................... 7 rales, D. Jorge Mancebo y N avia, D. José María Gómez y 25 228 A las ocho de la noche. Que existen aun prisioneros en dife­ D. Félix García , para que en el término de nueve dias se pre­ Se dará principio con una brillante sinfonía. rentes puntos. ................................ 1 5 senten en la escribaní…</t>
  </si>
  <si>
    <t>y, Jorge Mancevo</t>
  </si>
  <si>
    <t>Jorge Mancevo y</t>
  </si>
  <si>
    <t>…e enseñanza. Darán razón ep el ga.fiirf M ayo r elevación. 10 s. 0 en los dias 5 y 7. Asimismo se c ita , llama y emplaza á D. Angel Morales y nete de lectura de Monier , Puerta del Sol. ‘ 5, menor . . . 1$ s. 0 en el dia 6. D. Jorge Mancevo y N av ia, D. José' M aría Gómez y Don in ed ia. . . 5 s. 0 en el dia 5. Féliz G arcía, para que en el término de nueve d ias, que por segundo se le señala , se presenten en la citada escribanía prin­ V ientes . cipal de Amortización á prestar sus respectivas declaraciones en TEAT…</t>
  </si>
  <si>
    <t>y, Josefa Sanz</t>
  </si>
  <si>
    <t>Josefa Sanz y</t>
  </si>
  <si>
    <t>…de ca­ López, juez de primera instancia de esta capital, que ha Mr. F auvel me destinó en su casa una habitación inmediata zadores de la división: á las diez de la mañana regresaron sin conocido de los autos de concurso de Doña Josefa Sanz y C ue­ á la suya, que era su gabinete de antigüedades y su bibliote­ novedad. vas, y eu el dia está conociendo de su abintestato , se cita á ca ;.en ella vi, como en el Adonis del caballero M arini, "gran El 6 á las tres y media de la madrugada salieron todas las una hija de esta llamad…</t>
  </si>
  <si>
    <t>y, José</t>
  </si>
  <si>
    <t>José y</t>
  </si>
  <si>
    <t>…pro­ V. E. todas las consideraciones y respetos que se merece por su Luisa con la pensión de 10 rs. mensuales al citado soldado vincia, se cita y emplaza por término preciso y perentorio de elevada clase. Aguilar. seis dias a D. José y D oña María Josefa Menendez, hijos y * Dios guarde á Y. E. muchos años. Sevilla 8 de Diciembre herederos de D. Salvador Menendez , se presenten en.la escri­ de 1858 =EI conde de Clonard.ziExcmo. Sr. general D. Ramón El mariscal de campo D. Narciso L ópez, en 29 del mes banía principal de ren…</t>
  </si>
  <si>
    <t>y, José Alegre</t>
  </si>
  <si>
    <t>José Alegre y</t>
  </si>
  <si>
    <t>…. Olesa y Esparraguera.—D. M ariano de la Paz G raells, en P ro vin cia d e S alam anca. San tan d er, par. din. M a d r id : desde í .° de J u lio á 50 de Setiembre. A lican te, 1 á f d. S a n t ia g o , 1| á 2 d. Ledesma.—D. José Alegre y G a la n , en M a d r id ; desde 1.° Baróéloña, á ps. f s . , par. S e v i ll a , par. P r o v in cia d e Badajoz, de J u n io á fin de Setiembre. B ilbao, { á f d. V a le n c ia , * d. C ádiz, £ á * id. Z arag o z a, par. A l a n g e ~ D . J u liá n Villaescusa y G a l a , en aquel…</t>
  </si>
  <si>
    <t>y, José Antonio Marsilla de Teruel Pinilla</t>
  </si>
  <si>
    <t>José Antonio Marsilla de Teruel Pinilla y</t>
  </si>
  <si>
    <t>…stación , firmada por los Sres. ArgiieIJes, Diaz dió en 29 de Agosto siguiente, encargando esta al referido completamente puesta en práctica: yo 110 he dicho esta palabra G il, Ferro Montaos, Mendizabal y otros, que dice asi: D. José Antonio Marsilla de Teruel Pinilla y Motezuma li­ para dar á entender que no rija, ni este ha sido mi án im o, ni "E l Congreso espera que el Gobierno de esta gran nación bremente y sin fianza, recibiendo el pleito á prueba en lo he pensado remotamente eo decirlo: yo solo he citado un he­ proc…</t>
  </si>
  <si>
    <t>y, José Antonio Mejía</t>
  </si>
  <si>
    <t>José Antonio Mejía y</t>
  </si>
  <si>
    <t>…ilimitada. En fin, con solo recordar cómo defendieron las pletamente á los revolucionarios, y haciendo prisionero á su regalías de la corona contra las pretensiones de Roma y de la Méjico 24 de Abril. caudillo el ex-general D. José Antonio Mejía y á un conside­ numerosa falange que las sostenía entre nosotros, y que en su rable número de sus gefes, oficiales y tropa : todo consta de los tiempo y por sus esfuerzos se extinguieron los jesuitas, ya se A l Exorno. Sr. D. Carlos Bandin , comandante de las fu er­ partes de qu…</t>
  </si>
  <si>
    <t>y, José Aívarez</t>
  </si>
  <si>
    <t>José Aívarez y</t>
  </si>
  <si>
    <t>…e enteramente deshecha, titulado Saco y su hermano el cura de S. Salvador de las Cortes. dejando íQ5 muertos entre oficiales y soldados. A yer salió el mariscal gobernador con ':oda la artillería Que en un encuentro murieron D. José Aívarez y D o n j El campamento de Ou ad -L al le g rompió el fuego con las pie­ disponible. José G arcía , también cabecillas, y otros dos rebeldes; y que j zas que defienden eí reducto, luego que los árabes estuvieron al 62 de línea Por la noche en el momento en que el batallón. se embarcab…</t>
  </si>
  <si>
    <t>y, José Calasanz Casanovas</t>
  </si>
  <si>
    <t>José Calasanz Casanovas y</t>
  </si>
  <si>
    <t>…7 9 4 finalmente en la bolsa la bola núci. 2 ; por 10 que los alumnos los qu e, descuidando tan sagradas obligaciones, considero y de­ Ha habido 1 Í5 defunciones menos que en el trimestre a n ­ D. Francisco de Asís P resas, D. José Calasanz Casanovas y claro tra id o res á la p a tr ia . terior. D. José Roca que tenían aquellos números pasaron á ser exa­ Y en cumplimiento á lo que el expresado gefe superior hí minados respectivamente de las materias contenidas en los pun­ tenido á bien prevenirm e, lo hago á todos los a…</t>
  </si>
  <si>
    <t>y, José de Legüsa</t>
  </si>
  <si>
    <t>José de Legüsa y</t>
  </si>
  <si>
    <t>…citud se pase al Sr. M inistro de Hacienda. Q U IE R O SER COM ICO. i^\F IC IO parvo de nuestra Señora , traducido nuevamente al 88. Los empleados cesantes, jubilados y viudas de monte ^ castellano é ilustrado con notas, por D. José de Legüsa y H oy domingo 17 á las doce de la noche. Por extraordinario pió de oficinas de Badajoz , se quejan de que estándoseles de­ P inedo, presbítero, y añadido con un devocionario á la misma gran baile de máscara en el que se sortearán varios lotes consis­ biendo 18 mensualidades, y llegan…</t>
  </si>
  <si>
    <t>y, José de Mier.</t>
  </si>
  <si>
    <t>José de Mier. y</t>
  </si>
  <si>
    <t>…rrió la línea el Sr. Minis­ Por la gratificación á los expendedores ^ 6 4 1 . Un ridículo, un bolsillo y unas ligas, al Excmo. se­ tro de la Guerra acompañado del Sr. inspector del arma, de billetes, y álos demas que cus­ ñor D. José de Mier. y seguidos ambos de sus ayudantes y ordenanzas. La lí­ todiaron los objetos rifad os 558 225. Un cogiu bordado de rocortes de colores, i la señora nea se extendía desde cerca de la Cibeles hasta el jardín Por la conducción del globo, bolas pa­ Doña María Mariuela Aguilar. Botánico,…</t>
  </si>
  <si>
    <t>y, José Francisco</t>
  </si>
  <si>
    <t>José Francisco y</t>
  </si>
  <si>
    <t>…te en los a u ­ trepidez ad m irab le, y atacando á la v ez , se mezclaron con el tos del concurso de D. M artin de Ira z o q u i, se cita y emplaza á e n em igo , ahuyentándolo con pérdida de muertos y heridos, los acreedores D. José Francisco y D . J uan Francisco G arm e n - Londres 20 d e M arz o . en c u y a ocasión también lo fueron de sable dos tiradores nues­ dia y D. José M aría V e r g a r a , para que en el térmiuo de cuatro tros, y un caballo prisionero. F ondos públicos. Consolidados, 92|- á cuenta. meses cont…</t>
  </si>
  <si>
    <t>y, José Goya</t>
  </si>
  <si>
    <t>José Goya y</t>
  </si>
  <si>
    <t>…e se le sigue de oficio, y á queja Los Comentarios de Cayo Julio Cesar, traducidos por el Nota . Los Sres. abonados tendrán reservados los b i ll e t e s de de D. Joié Moage y D. Ignacio Urcullu , por haber expendi­ presbítero D. José Goya y M uniain, edición con el texto lati­ sus respectivas localidades eo los despachos hasta jas duce de la do tres certificaciones de deuda sin Ínteres á los mismos con un no. Dos tomos en 4 ® mayor adornados de estampas y mapas mañana. aumento considerable de las cantidades; bien entendido…</t>
  </si>
  <si>
    <t>y, José Hidalgo</t>
  </si>
  <si>
    <t>José Hidalgo y</t>
  </si>
  <si>
    <t>…drid, casa referida de la viuda de Cruz: Barce­ 2.a Informe de la Real chanciilería de Valladolid sobre las lona, D. Juan Francisco Piferrer: Coruña, D. José María Pé­ Causas de estupro. rez: Granada, D. Manuel Sanz: Sevilla, D. José Hidalgo y 3.a Recurso de fuerza-en el conocer y proceder. Reflexiones compañía: V alencia, D. Ju an Bautista Jim e n o : Zaragoza, tobre la instancia seguida por D. Juan Raroon balido Cañave­ BOLETIN DE COMERCIO. D. Joaquín Yagüe. ras ante el provisor juez eclesiástico de Jaén sobre que se le…</t>
  </si>
  <si>
    <t>y, José Jimeno</t>
  </si>
  <si>
    <t>José Jimeno y</t>
  </si>
  <si>
    <t>…- jue las es tan propia, y en pocas horas llevando á la cabeza do ra y la Serma. Sra. Infanta Doña María Luisa Fernán, lencia. »u digno general Castañeda, dominaron á Lim pias, Ampuero Que el ayudante del 4*° batallón franco D. José Jimeno y M arrón, y el Marina disparó un cañonazo á un grupo de da , continúan en esta corte sin novedad en su importante iprehendió con las armas en la mano al alevoso cabecilla M i­ facciosos que se dejó ver en los alturas de la orilla derecha de salud. guel Caballero, soldado desertor del re…</t>
  </si>
  <si>
    <t>y, José Leglisa</t>
  </si>
  <si>
    <t>José Leglisa y</t>
  </si>
  <si>
    <t>…n en aquel caso para redim ir su suerte no, y oraciones para antes y después de la confesión y sagra­ 81. D. Francisco Fernandez Y allejo, vecino de B riones,en por la cantidad que se tuviese á bien señalar. da com unión, por D. José Leglisa y P inedo, presbítero: un la provincia de Logroño , en una sencilla y sentida representa­ Como hay una ley vigente en la materia á la que deben ar­ tomo en 16.Q de marca m a y o r, adornado con 15 estampas de ción , con fecha 26 de N oviem bre, expone: 1.° Que el ay u n ­ reglarse tod…</t>
  </si>
  <si>
    <t>y, José María Aguirre</t>
  </si>
  <si>
    <t>José María Aguirre y</t>
  </si>
  <si>
    <t>…imien­ Guizot. La descomposición de los 221 es pues evidente, y lo ha to de las órdenes que le habia yo comunicado , salía el dia si­ sido sobre todo cuando se ha visto á Mr. Guizot después de guiente acompañado del ayudante D. José María Aguirre y cada de los celadores D. Manuel Ordozgoiti y D. Gelasio Martínez recibirunoninguna de sus discursos, volver tristemente á su asiento sin MADRID 4 DE MAYO. de Velasco, á practicar sobre el terreno las operaciones necesa­ los centros tienendecostumbre las pruebas de respetuosa…</t>
  </si>
  <si>
    <t>y, José María Gómez</t>
  </si>
  <si>
    <t>José María Gómez y</t>
  </si>
  <si>
    <t>…intendente subdelegado de Rentas 556 Ausentes extraviados oque se íguora de esta provincia, se cita, llama y emplaza á D. Angel Mo­ su paradero........................................... 7 rales, D. Jorge Mancebo y N avia, D. José María Gómez y 25 228 A las ocho de la noche. Que existen aun prisioneros en dife­ D. Félix García , para que en el término de nueve dias se pre­ Se dará principio con una brillante sinfonía. rentes puntos. ................................ 1 5 senten en la escribanía principal de Amortización…</t>
  </si>
  <si>
    <t>y, José María Yergara</t>
  </si>
  <si>
    <t>José María Yergara y</t>
  </si>
  <si>
    <t>…ntado la asientu ei Presidente: pagada lista*-resultaron 70 Diputados pre- , los acreedores D. Jo$é!Francisco y- D. Juan Francisco Garmen- oportunidad de batirse.con solo mi caballería, aunque inferior sentes. % .. . . dia y D. José María Yergara yparaque en el termino de cuatro eri: número, se contentó con que sus tiradores , aprovechándose Se abrió la ¡sesión á la uua. Up Secretario hizo el análisis meses contador desde el día en que por ultima vez se repita éste de las escabrosidades, donde los mios no podían cargarles…</t>
  </si>
  <si>
    <t>y, José Navarro</t>
  </si>
  <si>
    <t>José Navarro y</t>
  </si>
  <si>
    <t>…is Pastor , contador. Idem D. Eustaquio H errán, cruz de S. Fernando de p ri­ clemente y D . N. Becquer. mera clase. E l director parece decidido á no escasear gasto alguno pa­ Sección de literatura. Tenientes D . Luis Coll, D. José Navarro y D . Angei Bar­ ra que los profesores sean dignos en todos conceptos de sil es­ bería , grado de capitán de infantería. tablecimiento ; y si es cierto que él mismo se dedicará á las D . José García de Villalta, presidente. Subteniente D. Jo¿é Carpintero, grado de teniente de in­ clase…</t>
  </si>
  <si>
    <t>y, José Ripoll</t>
  </si>
  <si>
    <t>José Ripoll y</t>
  </si>
  <si>
    <t>…uena asistencia con mírez, promotor fiscal: para e l d e U j i j a r , de entrada en la pro­ dispensable: que los alojamientos eran suficientes: los ranchos la satisfacción completa á la vindicta pública. vincia de Granada , á D. José Ripoll y G alv ez, que sirve el que comieron á mi presencia buenos y abundantes; y que el Que el camino de Bonanza , objeto también de un escru pu­ de Colmenar de igual clase en la provincia de M á l a g a ; y para ingeniero D. Elias A q u in o , el visitador de presidios D. M a ­ loso an á lis…</t>
  </si>
  <si>
    <t>y, José Solano</t>
  </si>
  <si>
    <t>José Solano y</t>
  </si>
  <si>
    <t>…den exclusivam ente en su origen y resultados de re de la iglesia de S . Ginés de esta corle. Por el señor La dirección general ha dispuesto un sorteo de grandes pre­ nuestro arb itrio , como son las emociones de toda especie, D. José Solano y marques del Socorro. mios para el 24 de Julio próximo, con el plausible motivo de los deseos, las pasiones, los apetitos, las necesidades; fe­ los dias de S. M. la augusta Reina Gobernadora, bajo el fondo nóm enos todos que se introducen en el alma por el acto Principia el autor su mem…</t>
  </si>
  <si>
    <t>y, José Tomé</t>
  </si>
  <si>
    <t>José Tomé y</t>
  </si>
  <si>
    <t>…do , y habiéndose verificado con las for­ bre la facción misma. malidades que la misma previene, tocó á los sugetos siguientes: BOLSA DE M ADRID. N o puedo dar detalles sobre esta victoria ; pero todos los D. Manuel Abascal, D. José Tomé y O o d arreta, D. Antonio Cotización del día 24 d las tres de la tarde • militares que haw llegado á esta ciudad después de haber teni­ Sánchez Ocaña, D. Antonio M altrana, D. Ezequiel Martin y do parte en ella , la cuentan coino un hecho glorioso de armase Alonso, D. Manuel Regidor, D.…</t>
  </si>
  <si>
    <t>y, José Torre</t>
  </si>
  <si>
    <t>José Torre y</t>
  </si>
  <si>
    <t>…rebeldes, habiendo muerto seis, y capturado 15 armas y tó el Sr. vicepresidente á los expectadores á que tomasen ejem­ Nada de su vigor ha perdido el talento del Sr. Bretón des­ cuatro caballos: entre los muertos se cuentan á D. José Torre y plares del suplemento á la Gaceta de 29 de Julio último que de que tan felizmente se dió á conocer con Los dos sobrinos ; D. Antonio Prado y M endez, aprehendido con otros tres mas estaban sobre la mesa, invitándolos á que se enterasen de la le­ entonces menos confiado en sí m isino, e…</t>
  </si>
  <si>
    <t>y, José Yanguas</t>
  </si>
  <si>
    <t>José Yanguas y</t>
  </si>
  <si>
    <t>…que han DICCCIO N A R IO de los Fueros y leyes de N avarra y la h is- tenido por sí ese triste convencimiento que no puede adquirir­ Cádiz 10 de Setiembre. Por un extraordinario despachado toria compendiada de la misma , por D. José Yanguas y se jamás sin sentirle muy de cerca , y sin embargo ha sido tal de esa corté á una casa de comercio de esta plaza, se recibió el M iranda. Se hallarán de venta en la antigua librería de Brun, la desgracia que los mismos hombres que lo han sufrido , los día 7 del corriente la Gaceta d…</t>
  </si>
  <si>
    <t>y, Ju.in de Palafox</t>
  </si>
  <si>
    <t>Ju.in de Palafox y</t>
  </si>
  <si>
    <t>…de las autoridades superiores. 7.° D. Luis de Requesens, D. B ir tol orré Leonardo de A r - tes y 25 caballos délos Nacionales movilizados, los cuales avis­ Partes comunicados al Gobie rno sobre conspiraciones por el gensola , D Ju.in de Palafox y M e n J o z a , D . Francisco Valles, taron en el camino que conduce al segundo pueblo l/¡. facc io - j nsmo de policía. D . J u a n de Ribera y el maestro Fr. Luis Ponee de León. sos, que cargados con denuedo por u na guerrilla de ambas a r ­ Pretextos y dilaciones del in fa nt e…</t>
  </si>
  <si>
    <t>y, Juan Escorial</t>
  </si>
  <si>
    <t>Juan Escorial y</t>
  </si>
  <si>
    <t>…sco de Paula García, res, todos los documentos que para la calificación de los D. Ignacio Perez de Soto, Exctno. Sr. conde de Sástago, Don méritos sé juzgue conveniente que se tengan presentes, Mariano A stiz, D. Angel Polo, D. Juan Escorial y G il, Don RUSIA E ING LATERRA . obrarán en las capitanías generales de las provincias en José López y D . Andrés Fernandez, quienes por unanimidad tiempo oportuno para que no se retarde la formación de declararon haber lugar á la formación de causa, y el Sr. pre­ Bajo de este títul…</t>
  </si>
  <si>
    <t>y, Juan Lanés</t>
  </si>
  <si>
    <t>Juan Lanés y</t>
  </si>
  <si>
    <t>…le hizo la siguiente relación. vende á 20 rs. rústica y 26 pasta común. Que el difunto habia sido diezmero en su parroquia, 17 N virtud de providencia del Sr. D. Francisco Amorós y Arte de la cria del gusano de la seda , por D. Juan Lanés y que siendo él labrador habia venido á cobrar el diezmo; ^ López, juez de primera instancia de esta villa , refrenda­ y D uval, edición de 1787. Un tomo en 8.° á 8 rs. en pasta que habia tomado mas de lo que d eb ia, y que varias ve- da del escribano de número D. Cárlos Rodríguez de Moya…</t>
  </si>
  <si>
    <t>y, Juan Nepomuceno</t>
  </si>
  <si>
    <t>Juan Nepomuceno y</t>
  </si>
  <si>
    <t>…pio modo á las pregun­ neral aplicada á de la ópera del Pirata. La de gramática ge­ páginas de letra rio muy gruesa. la lengua.castellana tas que se les hicieron sobre ras posiciones de la esfera, clima de profesor bachiller D. Juan Nepomuceno y dirigida por el repetido El autor presenta con mucha razón este libro como la, un pais &amp;c. Catorce dieron á conocer también el detenido estu­ vencer Blasco,, acabó de con­ ciencia dinámica de la maquinaria. En efecto, la estática dio que habían hecho de la carta geográfica de nue…</t>
  </si>
  <si>
    <t>y, Juan Perez</t>
  </si>
  <si>
    <t>Juan Perez y</t>
  </si>
  <si>
    <t>…vimiento se percibe fácilmente Hemos tenido ocasión de ver una lámina daguerrotipada comprende todas las materias de la obra de Filangieri , y las ponierado un dedo en la nuez de la garganta. El misrno fenó­ en esta corte por D. Juan Perez y C am ps, catedrático de quí­ explica en compendio con mucha claridad. Ademas de tan apre- meno s e observa en sentido contrario cuando la voz desciende. mica y farmacia del colegio de Pam plona, auxiliado por los ciabíe ventaja se encuentra mucho mérito en las notas , porque Tales son…</t>
  </si>
  <si>
    <t>y, Juana</t>
  </si>
  <si>
    <t>Juana y</t>
  </si>
  <si>
    <t>…d á las cinco de la tarde desde 1.° de «otros afectados. Junio de 1859. Volvemos á tener el placer de ver reunidos en el tercer acto á A teneo de M adrid . Se suscribe en la calle del P ra d o, núm. 1 0 , cuarto b a jo ; en Doña Juana y á D . Enrique; pero el poeta, dueño de nuestro las provincias en todas las administraciones de Correos. Precio corazón, no quiere que sea muy duradero para hacer mas dra­ El lunes 5 del corriente dará su última lección de fisiolo­ de suscripción: en M adrid 20 rs. mensuales llevado á casa de…</t>
  </si>
  <si>
    <t>y, Justo Ibaceca y D. José Alejandro</t>
  </si>
  <si>
    <t>Justo Ibaceca y D. José Alejandro y</t>
  </si>
  <si>
    <t>…en la calle de la A margura, tiene de superficie 1,815 Pont han sido tasadas por los arquitectos de la academia na­ pies, consta de planta baja dividida en una pequeña habitación, Juzgado de Amortización, cional de S. Fernando D. Justo Ibaceca y D. José Alejandro y cuadra y pajar, con desvanes que sirven de cám ara, valuada Alvarez, eo los pueblos, sitios y cantidades que á continuación en 5,900 rs. Por providencia del Sr. intendente subdelegado de rentas de se expresarán, y cuyo remate principiará en 20 de Diciembre Tierras…</t>
  </si>
  <si>
    <t>y, Kqma</t>
  </si>
  <si>
    <t>Kqma y</t>
  </si>
  <si>
    <t>…el D. Manuel Domioguez, Doña Teresa Romeroso y María de la Orden para que comparezcan én la es­ aqui algunos fragmentos de aquellas: «El Papa permane­ enseñaba tan bien que la autoridad de un Soberano no cerá siendo obispo de Kqma y cabeza de la Iglesia.—Si en se extiende mas allá de sus fronteras, y le miró con mal cribanía principal de Amortización á prestar sus respectivas declaraciones en la causa crirniual que se sigue sobre falsifica­ tiempos de S. Pedro hubiesen estado las cosas como hoy humor. El asunto sin emb…</t>
  </si>
  <si>
    <t>y, Laborda</t>
  </si>
  <si>
    <t>Laborda y</t>
  </si>
  <si>
    <t>…ar los pensamientos mesa un dictámen de la comisión de Actas sobre una petición campo de los ejércitos nacionales D . Jorge D ’F l i n t e r , e l do­ del proponente en los diversos puntos de administración á que del Sr. Senador Laborda y G aliud o , reclamando la devolución mingo 2 0 delcorriente á las once de su mañana en la posada se refiere, la comisión de Peticiones cree que es laudable su ce­ de los créditos que habia depositado en el banco de San Fer­ deí Sr. auditor de guerra . calle de Relatores, ndm. 7 , cuarto…</t>
  </si>
  <si>
    <t>y, Lalande</t>
  </si>
  <si>
    <t>Lalande y</t>
  </si>
  <si>
    <t>…J a n e ir o , ha pasado por Strasbur- cap itan -b ajá. No ha quedado aqui mas que el tiempo necesario le ha sometido en el reemplazo actual, á pesar de tener go con dirección á Francfort. para enviar sus despachos al almirante Lalande y tomar sus ins­ otro sirviende &lt;e» el ej4rcito-,e»- e k s e é e ofie ia l procedente trucciones ; aquel se puso i n m e d i a t a m e n t e ra*maTuh* p a r a del de 1830. reunirse al capitau-bajá. Enterada S. M., y conformándose con el dictamen de Las noticias de Montevideo son las siguien…</t>
  </si>
  <si>
    <t>y, Lombía</t>
  </si>
  <si>
    <t>Lombía y</t>
  </si>
  <si>
    <t>…l propio Sainz, de 620 rs. vn. 2.° Cavatina en la ópera GLI A R A B I, del maestro P acci- de las Encartaciones, le ha reemplazado A rro yo , y parece que Un vale de 100 ps., núm. 129574, de 1.° de Enero de 1824, n i, por la Sra. Lombía y coristas; con decoración y trajes. de su orden han sido llamados á Balmaseda muchos operarios á favor de D. José M ariscal, y endosado al referido Saioz. 5.° Cavatina de la ópera L ’ESULE DI R O M A , por el se­ ñor Unanue ; con decoración y trajes. 4 de los pueblos inmediatos que se ocup…</t>
  </si>
  <si>
    <t>y, Lorenzo Garrigós</t>
  </si>
  <si>
    <t>Lorenzo Garrigós y</t>
  </si>
  <si>
    <t>…ue h a » tenido: un tomito en 8.° de nueve dias á D. Felipe O ehayta y com pañía, D. José R i­ H istoria del rebelde Gome* al interior de E spaña, escrita Z a r a go z a 25 d e J u n io . vera y A ndrade, D. Vicente M artel, D. Lorenzo Garrigós y por su gefe de Estado m ayor para presentarla al Pretendiente Suarez y D. Manuel M aría de la O rden, endosantes que apare­ á su regreso. A yer entraron en esta capital 10 faccioso? prisioneros: todos cen ser de un crédito de deuda sin ínteres, núm. 28,785 , de Panorama de la c…</t>
  </si>
  <si>
    <t>y, Lovelace</t>
  </si>
  <si>
    <t>Lovelace y</t>
  </si>
  <si>
    <t>…b ién , ¿corno ’ duque de W ellington. El duque de Cambridge entró tempra­ los canadienses, sus leales súbditos, son víctimas de los ciuda­ puede concillarse este favor con úna negativá de'confianza ? no en el salón. El conde de Lovelace y lord Vernon deben pre­ danos americanos. Con este motivo deben dirigirse reclamacio­ Lord Brougham concluye reconviniéndo ar Gobierno''por- * sentar y sostener la contestación. nes al gobierno am ericano, pues de no adoptarse una medida que no presta su apoyo a la opinión púb lica, qué r…</t>
  </si>
  <si>
    <t>y, Lucas</t>
  </si>
  <si>
    <t>Lucas y</t>
  </si>
  <si>
    <t>…de S. F e r n a n d o ,00. guientes : Y el cristal de mis ojos e m p a ñ a d o CAMBIOS. ¿ lucir tornará resplandeciente, Londres, á 90 dias, 5 8 | papel. Coruña, 1J á 2 d. C O M P E N D I O de historia natural, por el doctor D. Lucas y al astro de la luz vera asom brado París, 16-7 id. Gran ad a, I f á \ id. de Tornos , catedrático de esta asignatura en la escuela cual roca inmensa ardiendo en occidente: Málaga, f id. normal de instrucción primaria establecida en Madrid. Un tomo volverá el pensamiento anonad ado Santand…</t>
  </si>
  <si>
    <t>y, Lucas de Ariza</t>
  </si>
  <si>
    <t>Lucas de Ariza y</t>
  </si>
  <si>
    <t>…ciando temores , contribuyeron gustosos y animados del maí solutam ente com o en el ejem p lo actual, que es del m odo en el cultivo del grano en la isla , por la utilidad que esto en­ vehemente celo los amigos presidente Dr. D. Lucas de Ariza y in dicativo, ó relativam ente a otras circunstancias com o en cierra y extensión que pueda darse : teniendo presente que s&lt; el secretario con sus respectivas acciones, interesando el último los dem as modos. Am bas pues son esenciales al verbo. Sin introducen al año hasta un milló…</t>
  </si>
  <si>
    <t>y, Luchana</t>
  </si>
  <si>
    <t>Luchana y</t>
  </si>
  <si>
    <t>…idio que pagó el do S. M. mandar que se manifieste en los términos mas satis­ tajas para la causa nacional, y se ha dignado mandar se den clero español hasta el año 185 6 , y el extraordinario que le han factorios al Sr. conde de Luchana y á las beneméritas tropas las gracias al mariscal de campo D. Diego L eón, y á las va­ impuesto los apostólicos, las causas pias, las rentas de sacris­ de su mando la particular complacencia con que ha sabido es­ lientes tropas que tuvieron parte en tan brillantes sucesos, ri­ tías y las fu…</t>
  </si>
  <si>
    <t>y, Luis Alonso Floreza D. Nicolás Casas</t>
  </si>
  <si>
    <t>Luis Alonso Floreza D. Nicolás Casas y</t>
  </si>
  <si>
    <t>…explícita que hasta ahora se han des­ D. Antonio Sandalio de A ria s ; D. Ensebio María del perdían tantas al conducirlas, á pesar de ser mucho mas con ­ cubierto son escasas en num ero, y de poca entidad el valor de V a lie ; D. Luis Alonso Floreza D. Nicolás Casas y Don siderable la distancia. N o fue difícil encontrar la causa de este lás ñocas sobre que recaen , hay otra clase de reclamaciones, que M ateo Seoane , redactor de é l , sobre una representación fenómeno al examinar las clases de sanguijuelas que llegaban eb'…</t>
  </si>
  <si>
    <t>y, Luisa Oráa</t>
  </si>
  <si>
    <t>Luisa Oráa y</t>
  </si>
  <si>
    <t>…cal de campo D. Froilan Mendez Y ig o , muerto alevosamen­ El procedimiento, que yo no le llamaré causa,porque causa aquel que como el que se discutía impusiese un derecho de ex­ te estando de servicio, se señala á su viuda Doña Luisa Oráa y no puede haber cuando tío hay cuerpo de delito, se reduce á tracción cuatro veces mayor del valor del capital, pues era es­ Erice, y á su hijo ó hijos postumos , ademas de lo que por viu­ una diligencia practicada por uaí como juez de primera instan­ candaloso que se permitiese la ext…</t>
  </si>
  <si>
    <t>y, López</t>
  </si>
  <si>
    <t>López y</t>
  </si>
  <si>
    <t>…conmutables en pecuniarias. jor enterado que yo porque tuvo el honor de estar en este m i­ b ro llada, y reclamando una reforma. Voy á concluir: dijo el Sr. Cortina que no fue centraliza- nisterio. Bajó después la mano él Sr. López y se lamentó de la Cion la que se hiza en el ministerio de Hacienda de la adm inis­ La legidacion de tres y aun la de 20 siglos está sirviendo miseria de que yo también me lam en to ; pero note S. S. que tración de penas de cámara : S. S, debe tener buena m emoria, y para ahora , y como las…</t>
  </si>
  <si>
    <t>y, López Pinto</t>
  </si>
  <si>
    <t>López Pinto y</t>
  </si>
  <si>
    <t>…regu­ este p artido, en términos que no perm itían á la facción bajar; IGasañs;• afti 1leros» M anue 1 González, Sebastian .G a ti\is, F/an»- lar aunque escrita con rapidez. Las líneas están muy unidas. de la sierra. Con el Sr. López Pinto y nuestro veterano subins­ jcisco Gi pré Ge non dé la Iglesia,, c ru z.sencij |*a;de Isabel dJúisau ^ N o se ve ningún blanco en la parte superior é inferior de las pector D. Pedro Casasola creo nada quedará que desear á los Regim iento de in g en iero s^ '&amp; ^ ien té Francisco Aj$man&gt;, p…</t>
  </si>
  <si>
    <t>y, Madoz</t>
  </si>
  <si>
    <t>Madoz y</t>
  </si>
  <si>
    <t>cuestión incidental. Sabido es que me constituí en la necesidad El Sr. PRESIDENTE: Haré que se observe el reglamento El Sr. Sancho, el Sr. Madoz y otros Sresy Diputados (t.)s, de defender las ideas que la minoría de la comisión habia con­ cuando algún Sr. Diputado falte á él. Sres. Madoz y conde de la Navas piden la palabra para una signado en su dictamen; y es un deber mió muy agradable El Sr. OLOZAGA : Muy pronto se ha alarmado el…</t>
  </si>
  <si>
    <t>…cuestión de paz se han oido los clamores de g u e r ­ que dicen que están en oposición. Por eso el Gobierno huyó los acontecimientos felices de las provincias del N o rte, y que r a ; el Gobierno ha oido tocar á guerra : el Sr. Madoz y a dijo de la palabra restablecer y de la de conceder. E s ta , porque en ellos no vea ya acercarse el dia venturoso de una paz tan a y e r que habia una oposición fuerte por cosas clasificadas; otro recordaba la idea del vencimiento; la o tra , porque supone suspirada, que si bien obteuida…</t>
  </si>
  <si>
    <t>y, Manuel Antonio Velez Cachupín</t>
  </si>
  <si>
    <t>Manuel Antonio Velez Cachupín y</t>
  </si>
  <si>
    <t>…o , q u e no se halla en otra parte alguna del muii- en sala de justicia de 14 del corriente Agosto , se cita , llama y en tafilete. d o , sin e m b a r g o el g r a n d e c o n o cim ie n to (pie tenem os u l t i ­ emplaza á D. Manuel Antonio Velez Cachupín y D . José de E n esta colección , continuación de la de Abreu , están c o n ­ ma m en tó de la ¿íeonraiia física del re i n o vegeta L V itoria y Le zaina , hijos y herederos de D. Francisco Velez C a ­ tenidos todos los tratados, convenios y d em as, ajustados desde…</t>
  </si>
  <si>
    <t>y, Manuel Cidron</t>
  </si>
  <si>
    <t>Manuel Cidron y</t>
  </si>
  <si>
    <t>…e entendido que varios de estos señores vienen de Inglaterra, D. Juan de la Cruz Tirado y D. Narciso Colomer, secre­ San Fernando de primera clase. Francia , Madrid y otros puntos de España, y que también se tarios. Capitanes D. Manuel Cidron y D . Mateo M o ra n , grado encuentran entre ellos algunos de nuestros mas ilustrados con­ D . Pablo Cabrero , depositario. de comandante de infantería. ciudadanos, como son, si no estamos mal informados, los se­ D. Eugenio Hárlzembusch , bibliotecario. Idem Melchor G erona, empleo d…</t>
  </si>
  <si>
    <t>y, Manuel de Villota</t>
  </si>
  <si>
    <t>Manuel de Villota y</t>
  </si>
  <si>
    <t>…ram o, calle del Lo­ Es una bella edició n , hecha con el m ayor esmero y 400 60000 bo, número 8 , cuarto segundo, apercibidos de entero perjui­ con suma corrección, teniendo presente para esto últim o cio; pues los reclama D. Manuel de Villota y L aoin, como la edición estereotipada de Didot. Los 103 billetes estarán subdivididos en la clase de cuartos, apoderado de D. Nicolás Moreno , vecino de la ciudad de T ru- i 4O reales cada uno de ellos, los que se despacharán en las jillo , y por haber sido interceptados en la q…</t>
  </si>
  <si>
    <t>y, Manuel Iturriria</t>
  </si>
  <si>
    <t>Manuel Iturriria y</t>
  </si>
  <si>
    <t>…descubrirle , y enton­ Asimismo se cita, llama y emplaza á D. Rafael M urie!,D on Gobierno y de las direcciones generales. ces , ¡desgraciado! caerá sobre su cabeza la espada de la justicia José Maris de Zavala, D. José López, D. Manuel Iturriria y con la velocidad del rayo. No se diga de hoy en adelante en­ Doña María Algeciras, para que en término de nueve dias, que tre nosotros otras voces que: viva la Constitución : viva Isa­ por segundo se les señala, se presenten en la escribanía principal bel it : viva la paz y la uni…</t>
  </si>
  <si>
    <t>y, Manuel Jimeno</t>
  </si>
  <si>
    <t>Manuel Jimeno y</t>
  </si>
  <si>
    <t>…., en que na , reunida por el Sr. abate de Gourci, traducida al castellano, mercio marítimo, han impartido 6 098.254 ps. 5| rs. fueron rematadas en 12 de Octubre último las obras que han y dedicada al sábio clero de España por D. Manuel Jimeno y 4.0 Que en el año de 1858 han entrado nías que en el an­ de hacerse en el ex-convento é iglesia de S. Francisco el Gran­ Urrieta. Dos tomos en 4 .0, edición de 1792, á 29 rs. en pasta terior 112 buques, y 52,047 toneladas; y han salido también de de esta corte, se sacan de nuevo á…</t>
  </si>
  <si>
    <t>y, Manuel Velazquez</t>
  </si>
  <si>
    <t>Manuel Velazquez y</t>
  </si>
  <si>
    <t>…de Gracia y Justicia dijo ayer, ca. Y añade que se habían presentado á indulto en esta plaza puesto que la comisión no encontraba en el acta cosa alguoa respondiendo al Sr. López. Procuraré hacerlo con 1» tempW** el secretario Manuel Velazquez y 16 individuos mas de la par­ que pudiese decirse contraria á lo prevenido en la ley electoral. y moderación con que creo debe hablarse siempre enceste lu­ tida de Gervasio Serrano. El Sr. G O N Z A L E Z manifiesta que nunca ha querido to­ gar , hablando á la razón de los Sres. D…</t>
  </si>
  <si>
    <t>y, Mariano de la Cerda</t>
  </si>
  <si>
    <t>Mariano de la Cerda y</t>
  </si>
  <si>
    <t>…smos, morigerados, sanos é inteligentes, término de Yillaveide, provincia de Sevilla. rio Aífeo del Peloponeso , el Tigre de h MesopnUmia , el T i - bajo cuyo concepto dio á conocer uo solo la utilidad, sino M El apoderado de D. Mariano de la Cerda y compañía ha i»*vo del territorio de Aquilea y otros desaparecían de la tier­ necesidad de establecer las mencionadas escuelas de la infancia denunciado la pertenencia de mina llamada S. Bernardo, sita ra á mayor ó menor distancia de su nacimiento, recuerda que ó salas de asil…</t>
  </si>
  <si>
    <t>…cartas que circulan anualmente, en unos cumplir con los destinos señalados á las demas ciudades, bera de Huesna , término de Villanueva del Rio. 14*600,000 francos. y tanta su avidez por saciarse de una vez de libertades y A D. Mariano de la Cerda y compañía le han sido adju­ Hace subir á un 50 por 100 el aumento de las cartas hecha de esclavitud, de victorias y de derrotas, de prosperida­ dicadas en 29 del mismo mes dos pertenencias de mina en la la reducción de la tarifa , y saca por resultado una suma supe­ de cobre a…</t>
  </si>
  <si>
    <t>y, Mariano de la Paz</t>
  </si>
  <si>
    <t>Mariano de la Paz y</t>
  </si>
  <si>
    <t>…rería d¡e ejército de El socio Yañez dió noticia á la academia de las viviseccio­ en que se erigió. Y esa grande obra todas las naciones Puerto-Príncipe 15555. ,7-¿- 172970..7 186504-6} nes practicadas en Madrid por el socio D. Mariano de la Paz y todos los hombres la han aprendido, y á nadie le ha Administración de ren­ Gralls en su cátedra de zoología con singular aplauso, relati­ ocurrido preguntar cual era la escuela, ni indagar si á al­ tas de Nuevitas. ... 7/,rV&gt;0..6 J 425..0 76 I 64..4 vas á demostrar la insensibi…</t>
  </si>
  <si>
    <t>y, Mariano Fout</t>
  </si>
  <si>
    <t>Mariano Fout y</t>
  </si>
  <si>
    <t>…TE OFICIAL. de su presidio, lo que considero oportuno para que de este mo­ zuela, terreno realengo, término de Hueima , por el misino se­ do aumentando un segundo ayudante basta para cubrir el ser­ ñor Canlonga , encargado de D. Mariano Fout y compañía , de vicio. Lo que pongo en el superior conocimiento de V. S. para Granada , en 25 de Marzo. S. M. la R e in a , su augusta Madre la R e in a G o ber na ­ su aprobación ó determinación que estime. Demarcaciones.zzÜna mina plomiza y cobriza en el cerró Con la misma fecha me…</t>
  </si>
  <si>
    <t>y, Mariano Manresa</t>
  </si>
  <si>
    <t>Mariano Manresa y</t>
  </si>
  <si>
    <t>…, la Rusia y la Prusia. Be-trata de materias d é l a m ayor en­ mos á nuestra vista , está consagrado á la memoria de los fee- tidad para todos los españoles , quienes verán coa gusto que nrme-itos patriotas D. Blas Caries, D. Mariano Manresa y don los derechos de la corona y de la nación han sido defendidos J se Campillo, individuos que fueron del escuadrón ligero de con el tesón y coa la dign id ad inseparables del verdadero c a ­ POESIAS M ih fia nacional , y de los carabineros de Hacienda D. José rácter español. Iz…</t>
  </si>
  <si>
    <t>y, Martínez</t>
  </si>
  <si>
    <t>Martínez y</t>
  </si>
  <si>
    <t>…l Sr. MENDTZABAL: Pido que se lea el decreto de 6 propios del pais en que se han hecho. Pero al oir este proyecto, guerra civ il de España, exhortando á los buenos á la unión y de Agosto y el de 15 del mismo que ha citado el Sr. Martínez y al acordarme de que por una desventura nacional, no hay al horror contra los facciosos. Ensayo poético en octavas pot de la Rosa. pais en Europa mas fecundo én escenas lam entables, y en dis­ un oficial del ejército del Norte. Se vende en la librería de la Se leyeron dichos decretos por…</t>
  </si>
  <si>
    <t>y, María Antonia Armero</t>
  </si>
  <si>
    <t>María Antonia Armero y</t>
  </si>
  <si>
    <t>…smos, sobre rebaja de los dere reforma en el número y sueldos de los empleados públicos. le declare exento del pago de la contribución de paja y utensilios. chos que pagan los mencionados artículos á su introducción e 188. Doña María Antonia Armero y su hijo D. Joaquin, 228. D. Antonio Biberud , pidiendo su reposición en el em­ esta corte. pidiendo se les alce el destierro que sufren , exigiendo la res­ pleo de teniente de Rey de la plaza de Gerona. 266. El ayuntamiento de Barcelona, exponiendo la necesida ponsabilidad a…</t>
  </si>
  <si>
    <t>y, María Cristina</t>
  </si>
  <si>
    <t>María Cristina y</t>
  </si>
  <si>
    <t>…a de la ciudad á poca so. En los estandartes se leían los siguientes lemas: paz y unión, Junta de quema de documentos de la deuda pública. altura un cuerpo lum inoso, su grandor corno el de un platillo viva Isabel i i , viva Doña María Cristina y viva la Constitu­ y con una especie de cola ; parecía que por todos sus extremós ción: traspasando el dintel de la puerta, tuvimos lugar de ad­ En el anuncio inserto en la Gaceta de hoy se ha padecido iba arrojando chispas. Era demasiado el resplandor que despe­ mirar el esmero con…</t>
  </si>
  <si>
    <t>y, María Manuela Tarmona</t>
  </si>
  <si>
    <t>María Manuela Tarmona y</t>
  </si>
  <si>
    <t>…. Por el presente y en su virtud se c i t a , llama referirse en la quinta actual á los que lo estuviesen en 1.° lemín......................................................................................... 4^5 y emplaza á Doña María Manuela Tarmona y sus herederos, de Enero de aquel añ o , ó á los que lo fuesen en igual Otra en Cabeza de un Polvo, de una fanega , tres muger que fue del corregidor de Alcalá la Real D. J u a n M o­ fecha del presente. celemines y un c u a r t illo .. ......................................…</t>
  </si>
  <si>
    <t>y, María Teresa Gauche</t>
  </si>
  <si>
    <t>María Teresa Gauche y</t>
  </si>
  <si>
    <t>…unal y oficio del TIPuSO D E M OLINA. que no esperaba ver premiados; en fin, que es el bello infrascrito penden autos pertenecientes á la testamentaría de la ideal de la ternura mugeril. Pero aun en esta comedia se difunta Doña María Teresa Gauche y M onroy, viuda que fue ARTICULO PRIMERO. conoce el genio maligno del autor. Por una muger que nos de D. José de Leyba, que tuvieron principio en el año 1810; pinta excelente, amable y heroica, nos regala dos necias, ymásestando que pendiente la distribución de la cuarta part…</t>
  </si>
  <si>
    <t>y, Mata Vigii.</t>
  </si>
  <si>
    <t>Mata Vigii. y</t>
  </si>
  <si>
    <t>…n crédito. el proyecto de ley sobre matrículas, habia elegido presidente al la consideración del Gobierno, el Gobierno obrará en justicia, Causa espanto que los fondos de Ñapóles esten á íOÍ^pór Sr. Olózaga, y secretario al Sr. Mata Vigii. y no podrá menos de premiarlo. Por lo tápto cree que debe 100, y el 5 por 100 de Portugal esté á 20 por 100, y á mas El Sr. PRESIDENTE: No hallándose presente el Gobier­ omitirse este artículo, porque las consideraciones de las leyes de 50 el 5 por 100; y en la nación española, rica, po…</t>
  </si>
  <si>
    <t>y, Matías Bonilla y Contreras</t>
  </si>
  <si>
    <t>Matías Bonilla y Contreras y</t>
  </si>
  <si>
    <t>…P. I ., Jose M aría de S. M illan.ziSerafin del sesión El mismo oyó con agrado la felicitación por la memorable vincia de Granada. R io, secretario interino. =: Mariano Guervos, oficial segundo D. Antonio de 7 del corriente de D. Matías Bonilla y Contreras y primero. = Mariano Ignacio de V e rg ara, oficial segundo se­ dirigen la diputación Resino y Estrada ; y la que con igual motivo le gundo.—Gefe de contabilidad, Marcos Escario.=Bernabe M or­ el ayuntamiento de Bilbao. provincial y ayuntamiento de Murcia y Señora: El a…</t>
  </si>
  <si>
    <t>y, Mdñes</t>
  </si>
  <si>
    <t>Mdñes y</t>
  </si>
  <si>
    <t>…el batallón de Cova, trató de sorprenderlo , y al efecto com uni­ los trabajos es su alcalde y comandante m ilit a r , y que aquellos únto Gaona y Locchés , escribano del número de la mistoa, se có sus instrucciones al comandante Mdñes y al teniente Sabio, se dirigen á su bienestar. (Id.) 1a señalado el dia 2 del mes de J u n io pióximo en la h a b it a - los cuales emprendiendo su marcha la noche anterior llegaron don de S. S . , y hora de Ls diez de su m a ñ an a, para una g e ­ ayer por la mañana al pueblo, y pusieron en…</t>
  </si>
  <si>
    <t>y, Meden</t>
  </si>
  <si>
    <t>Meden y</t>
  </si>
  <si>
    <t>…representante de la Rusia en la nueva política que cutiendo acerca de sus principios y su composición , y siempre r io r, me limitaré á citar tres hechos judiciales, cuyo íntim o esta últim a potencia ha adoptado aqui. El conde Meden y agitados por los ambiciosos que querian erigirse en directores enlace con el proceso actual debe sorprenderos ta n to , cuanto que M r. L auvin han tenido una entrevista con el V irey , en la suyos, preludiando la anarquía general con sus disensiones in ­ dos de estos hechos, los procesos d…</t>
  </si>
  <si>
    <t>y, Mencía</t>
  </si>
  <si>
    <t>Mencía y</t>
  </si>
  <si>
    <t>…oy obra un grande progreso Sra. Lam adrid. Esta, á quien tanto hemos aplaudido y elo­ en francés por Casim ir Delavigne , y traducida al caste­ literario, y que ahora recoge aquel pais el fruto de sus es­ giado en obras como Doña Mencía y M argarita de B or- llano por D. J. G. de V. fuerzos y de sus errores dram áticos, apartándose de las g o ñ a , en las que es actriz consum ada, no podia brillar de doctrinas de Victor Hugo y de Alejandro D am as, y adm i­ ningún modo en papeles como el de N ealia, sin que q u e­ Nuestro…</t>
  </si>
  <si>
    <t>y, Miguel Carbajo</t>
  </si>
  <si>
    <t>Miguel Carbajo y</t>
  </si>
  <si>
    <t>…ON GENERAL DE PRESIDIOS DEL REINO. Otra en sierra de Gador, Balsanueva, término de Berja, Juan María Barte, D. Alejo Carro y D. Juan Bustamante; y El Boliche, por D, Francisco Sánchez, en 8. hallándose enfermo hace tiempo el D. Miguel Carbajo y ausen­ Excmo. Sr.: En Real orden de 21 de Febrero próxi­ Otra id. en dicha sierra, Barjalé, término de Padiíles, mo pasado se me provino que cada ocho dias dé parte de Puntalillo, por Juan Delgado, en 10. te con anterioridad el D. Juan Bustamante, por los siete restan­ lo que se…</t>
  </si>
  <si>
    <t>y, Miguel Navarro</t>
  </si>
  <si>
    <t>Miguel Navarro y</t>
  </si>
  <si>
    <t>…que no hay tal cosa. Arévalo les decia para este juzgado, de la misma clase, en la propia provincia, y fecunda ? ¿ Y qué mucho si confiando eo la divina Providen­ ayer que aunque fuera verdad no habia que temer, pues solo á D. Miguel Navarro y N ieva, que desempeña el de Zafra, cia , que ha presidido tan faustos acontecimientos, convirtien­ con que viva Cabrera y esté fiel á su Rey , él solo es bastante también de ascenso, en la provincia de Badajoz; y para el de do en amigos á los que durante sangrienta lucha fueran ene…</t>
  </si>
  <si>
    <t>y, Millan Alonso</t>
  </si>
  <si>
    <t>Millan Alonso y</t>
  </si>
  <si>
    <t>…contra sus tante objeto de extender generalmente y de robustecer ti poder cionarle trabajo, si es que no le áconviene recomendación las autoridades para propor­ servir en los cuerpos dignos Diputados electos: soy amigo del Sr. Millan Alonso y civil en todo el pais. aprecio como debo sus virtudes: también lo soy del Sr. A rra­ Señores de la Cámara de los Comunes: Os doy gracias por francos de este principado que defienden la justa causa. zola, ahora digno M inistro de Gracia y Justicia, y creo que el celo y prontitud con…</t>
  </si>
  <si>
    <t>y, Ministro</t>
  </si>
  <si>
    <t>Ministro y</t>
  </si>
  <si>
    <t>…se hallen disfrutando licencia se presenten sin dilación en tantes del pais, pues en el Boletín faccioso hay una orden su­ sus respectivos distritos. (Id.) Primera serie. I Real decreto concediendo el uso de media firma al Sr. Ministro ya para fusilar desde luego á todos los que no le sean afectos: I Números 515,701 á 515,900 I de la Gobernación de la Península. (Núm. 1857.) en cuyo cumplimiento, si se realiza, no dudamos entrarán mul­ 516,101 á 516,500 I Circular del ministerio de la Gobernación de la Península, dis­…</t>
  </si>
  <si>
    <t>y, Ministro de Giacia</t>
  </si>
  <si>
    <t>Ministro de Giacia y</t>
  </si>
  <si>
    <t>…uno en la opor­ dividuo de la comisión, ha manifestado que estaba conforme con reconocidos por la Constitución como funcionarios establecidos tunidad de la palabra confirmar, que asi por S. S., como por la inteligencia que el Sr. Ministro de Giacia y J u stic ia ha d a­ por esa ley, como funcionarios que no pueden dejar de exis­ otros, se ha sentado para fijar esta cuestión. do á la palabra constitucional, que una vez que debemos estar tir sin que deje de existir al mismo tiempo la Constitución. Las No se me d i g a , como h…</t>
  </si>
  <si>
    <t>y, Ministro de Gracia</t>
  </si>
  <si>
    <t>Ministro de Gracia y</t>
  </si>
  <si>
    <t>…so será arbitraria , de las penas corporales en pecunia­ tad de lo que se dice. Si como expresa el Sr. conde, h ay algo, ta de ello es al M inistro, porque no puede rnenos do ser asi. rias ; y llamo sobre esto la atención del Sr. Ministro de Gracia yo le aplicó mi censura y me lamento dé los abusos como S. S. Pero vamos á ver en qué está la violación del artíc u 'f» consti­ y Justicia , porque le creo bien penetrado dé la exactitud con El Sr. LO P E Z : He tomado la palabra porque veo la d i f e ­ tucional. Ya se ha repetido…</t>
  </si>
  <si>
    <t>…ó á la Tal vez se dirá que no es e\ actual Gabinete el q u e .ha es­ ?T' PR E SID E N T E : orden del dia: discusión de las ac­ discusión de la totalidad del proyecto sobre relaciones de am­ tablecido esa audiencia ; pero el Sr. Ministro de Gracia y ú* tas de Huelya. bos cuerpos colegisladores entre sí y con el Gobierno. ticra ha dicho ayer que habia hecho nombramientos para el a;</t>
  </si>
  <si>
    <t>…no quisiera que en su concepto eran unos desgraciados é inocentes , y que á que el negocio mas urgente, el principal á que debia atender atropellar la Constitución? Está y debe estar en esto , porque pesar de lo dicho por el Sr. Ministro de Gracia y J u stic ia , aun S. S . , era asistir á estas sesiones. el Gobierno no puede tener mas recursos que ios que procedan lloraban sus familias su ausencia. El Sr. Ministro de E ST A D O : No puede uno acabar n u n ­ de las contribuciones , y se verá m uy apurado cuando tenga un P…</t>
  </si>
  <si>
    <t>y, Ministro de Guerra</t>
  </si>
  <si>
    <t>Ministro de Guerra y</t>
  </si>
  <si>
    <t>…l co ntrabando, que es navales de Francia en el golfo de Méjico , Cárlos Baudin.zrEx­ / El presidente lo espera a s i , y me manda poner todo esto en sumamente defectuosa, en parte severa con exceso, en parte in ­ celentísimo Sr. Ministro de Guerra y M arina. conocimiento del Congreso, aun cuando para ello h a y a tenido suficiente , y para una multitud de casos del todo n u la : la ley Traducido literalmente por Sebastian Blanco. Méjico 11 de que desviarme algún tanto de las costumbres y de la reserva de derechos de puertos…</t>
  </si>
  <si>
    <t>…pasado en perseguir la facción de Llarch , regresó á Dios &amp;c. Cuartel general en Villa Aldaraa, Agosto 19 de gativacobstitucidnal. Igualada, habiendo salido el 25 para Manresa en combinación 1939.=Valentin Canalizo. = Excmo. Sr. Ministro de Guerra y - w El ayuntamiento constitucional y cura ecónomo de la villa con el general Borso y la división expedicionaria, donde per­ Marina. níe R dcovos sé creen es llegada la hora de apresurarse á dirigir maneció hasta el 27 que emprendió su marcha en persecución ah débil voz á Y. M.…</t>
  </si>
  <si>
    <t>…Gobierno. D ios &amp;c. Saltillo Febrero "25 de 1 8 5 9 .= D o m in g o de U g a r - 1 venir en su auxilio desde Monterey con lí)0 hombres de in— :antería y caballería de defensores de la patria y dos piezas li­ techea.nExcmo. Sr. Ministro de Guerra y M arina D . José M a ­ beras de artillería : esforcé extraordinariamente mis marchas, ría Tornel. PARTE NO OFICIAL. logré introducirme á las doce de la noche del dia de ayer al cen­ León. Es copia.=:Méjico Marzo 2 de i 8 5 9 . ^ J o a q u i n Yelasque de tro de esta ciudad…</t>
  </si>
  <si>
    <t>y, Ministro de la Guerra</t>
  </si>
  <si>
    <t>Ministro de la Guerra y</t>
  </si>
  <si>
    <t>…ia Y. E. ejemplares, y en él consta la contestación que le di. Dios &amp;c. Ferote Mayo 8 de 1859.—Diego María de Alca!-* hasta el grado de que es susceptible. A la una de ese mismo dia campó en el rancho de los G on­ de.=:Excmo. Sr. Ministro de la Guerra y M arina. Bien conoce Y. E. que las benéficas miras de S. M. no zález, dos leguas distante de esta ciudad, mandando sus avanza­ es fácil lleguen á realizarse sin la activa y eficaz coopera­ das á los suburbios de ella , que se avistaban en las llanuras. Comandancia general de…</t>
  </si>
  <si>
    <t>y, Mioistro de Gracia</t>
  </si>
  <si>
    <t>Mioistro de Gracia y</t>
  </si>
  <si>
    <t>…, tocán­ mos el honor de aprobar por unanimidad los Sres. Diputados, Gobierno dijo el dia anterior cuál era para él el punto de vis­ dome la palabra pudiera consignar mi opinión, aunque con en cuyo número también se cuenta el Sr. Mioistro de Gracia y ta de esta cuestión , y que estaba dispuesto á repeler todo lo que ninguna esperanza de que se tome en consideración mi enmien­ Ju s tic ia , como Diputado que e s ; comparando, d ig o , el pen­ creyese que podia em barazarla, y no lo harían poco largos dis­ da , sin que por est…</t>
  </si>
  <si>
    <t>y, Mondoñedo</t>
  </si>
  <si>
    <t>Mondoñedo y</t>
  </si>
  <si>
    <t>…5 de Ju lio . En este pueblo no ha ocurrido novedad ln poco que pueda al bien de la causa de Y. M. El obispo de de fundamento á los deberes del hombre y del ciudadano? alguna , y se disfruta de tranquilidad. El comandante general Mondoñedo y torios ¿os buenos han visto con placer mi venida: No creemos que su excepticismo llegue á tanto. El espíritu de la provincia estuvo el dia l .° en Gualda , á una legua de 110 es ^xh año que en tiempos de debilidad y corrupción alien­ distancia de T rillo : hoy se halla en B u d ia , á d…</t>
  </si>
  <si>
    <t>y, Mr. Poulett Thomson</t>
  </si>
  <si>
    <t>Mr. Poulett Thomson y</t>
  </si>
  <si>
    <t>…úblicos, que recobrarán de este muy apreciado en la colonia. modo las su roas que se les deben. Creemos poder también ase­ S. M . la R e i n a , s u augusta Madre la R e i n a G o b e r n a - j petos al nuevo gobernador general Mr. Poulett Thomson y ha­ gurar Sir Jorge Arthur había ido á Montreal para ofrecer sus res­ que el Rey Guillermo debe á la sociedad general uoa su­ ma que por sentencia del tribunal de Bruselas se ha fijado en d o r a y la Serma. Sra. Infanta Doña María Luisa Fer­ bía regresado en seguida á Toront…</t>
  </si>
  <si>
    <t>y, Narciso Barrio</t>
  </si>
  <si>
    <t>Narciso Barrio y</t>
  </si>
  <si>
    <t>…la Puente y Apezechea, con ccasion del falleci­ 102. Los párrocos de Hecho y A ngúes, diócesis de Jaca, los gefes, aun ha continuado esta noche, permaneciendo toda miento. de su^ prometida esposa la señorita de Musso ; de este D. Narciso Barrio y D . Felipe Climente, se quejan de una in­ ella en sus puestos, pero con tranquilidad y confianza como á una canción a la perdida de su_amad_a_: del Sr. Tenorio una fracción de ley que suponen se verificó por la ejecución en que todos sucede; y Y . debe también tenerla porque para el…</t>
  </si>
  <si>
    <t>y, Narciso Claudio de Arias</t>
  </si>
  <si>
    <t>Narciso Claudio de Arias y</t>
  </si>
  <si>
    <t>…itando las .cir­ nés de C a ta lu ñ a , Logroño y V i t o r ia : manejos verificados en dictamen de la comisión por algunas razooes en que esta se cunstancias que se refieren en la disposición 7.a la Rioja con igual objeto por D. Narciso Claudio de Arias y ap o yab a; que no se debia fundar en que la petición era nego­ D. M igu e l Marrón. cio de la exclusiva pertenencia del Gobierno, porque lo mismo Movimientos de tropas y otras disposiciones dictadas por sucedía con la mayor parte de ellas; y sin embargo,con arregío el Gob…</t>
  </si>
  <si>
    <t>y, Nicolás García</t>
  </si>
  <si>
    <t>Nicolás García y</t>
  </si>
  <si>
    <t>…s­ A pertura d e cim ientos y aproxim ación d e m a teriales p a ra la con stru cción d e la alca n ta rilla d el R egajo g ra n d e . forzados en Siberia los propietarios Kakoszewlez, Rudzewicz, pués por el ayudante de E. M. D. Nicolás García y alférez Concza y Romera. Veinte estudiantes de la universidad de D. Bonifacio Gomara , los cuales libertaron al mismo tiempo á Cuatro sacadores de piedra á 9 r s ., sacando piedra en la K iew han sido trasladados al Cáucaso para incorporarlos allí siete sugetos que llevaban presos…</t>
  </si>
  <si>
    <t>y, Nicolás Hazas</t>
  </si>
  <si>
    <t>Nicolás Hazas y</t>
  </si>
  <si>
    <t>…cio, para que bailase con ella la segunda c o n tr a ­ Huesca , i D . A n drés Puch : para la de E u tr a m b a s a g u a s , en la danza. Llegado el mom ento, se buscó in útilm ente á M. W u r ­ prov incia de S an tand er , á D. Nicolás Hazas y G o m ez; y para te m b e rg , q u i e n , ig no ra nte del honor que le estaba reservado, D E LA V E R S I F I C A C I O N C A S T E L L A N A. la de M o n t e f r i o , en la pro vincia de G r a n a d a , á D . N icolás se presentó en el baile bastante tarde. Eociso y S u a re z ,…</t>
  </si>
  <si>
    <t>y, Noblejas</t>
  </si>
  <si>
    <t>Noblejas y</t>
  </si>
  <si>
    <t>…Señora. = A L. R. P. de Gregorio Erehuet Requeoa. =Como apoderado del conde de V. M .= Antoaio Encinas.—Manuel Cuevos.r: Antonio M arios =2 nanda, continúan en esta corte sin novedad en su im­ T o r r e - A r ia s , del duque de Noblejas y otros varios contribu­ Ramón Galera. = José Antonio Gallardo. = Rafael Sebastian. portante salud. yentes, y por m í , J u a n Abalet.—Manuel Ulioa.rzCooso apode­ Cecilio Galera Maregosa , secretario. rado del conde de Cervellon, de D. Pedro Castañeda, de Don Francisco Grandallana , de v…</t>
  </si>
  <si>
    <t>y, Olózaga</t>
  </si>
  <si>
    <t>Olózaga y</t>
  </si>
  <si>
    <t>…erción que palabra -para rectificar fácilmente un hecho con lo cual queda­ cho , repito , que el ministerio actual h a y a dado esa misión; yo habia hecho. Creo que me conoce bastante 3. S. para no s u ­ rá tranquilizado el Sr. Olózaga y creo que también el Congreso. no le he hecho cargo tampoco por ella ; solo se lo he hecho poner en mí sentimientos mezquinos. La duda era sobre la inteligencia que se ha dado ( y digo porque no ha desmentido como debia el aserto de ese personaje El Sr. Ministro ha querido darme una lecció…</t>
  </si>
  <si>
    <t>y, Ondovilla</t>
  </si>
  <si>
    <t>Ondovilla y</t>
  </si>
  <si>
    <t>…537. MIERCOLES 30 DE ENERO DE 1839. d ie z c u a rto s . S. M. la R e i n a , s u augusta M adre la R e i n a G o b e r n a ­ diputación de la Cámara de los Diputados encargada de pre­ En seguida ocupó asimismo la tribuna el Sr. Ondovilla y sentar á S. M. la respuesta al discurso de la corona. leyó el dictámen de la comisión encargada de informar sobre dora y la S erm a. Sra. Infanta D e m a s i a r í a Luisa F e r n a n ­ El presidente M r. D upin leyó dicha respuesta. el proyecto de ley relativo á las comunicaciones de l…</t>
  </si>
  <si>
    <t>y, Orleaos</t>
  </si>
  <si>
    <t>Orleaos y</t>
  </si>
  <si>
    <t>…amientos, cuidando de darles el oportuno aviso de cia y efectos consiguientes. Di os g uar de á Y . S. m u ­ Tolon 9 de Noviembre.=:EI Faro , á cuyo bordo viene el las variaciones que se hicieren, y comunicándolo á los duque de Orleaos y su comitiva, ha llegado á las diez de esta demas pueblos de la provincia por medio del Boletin ofi­ chos años. M a d r i d 18 de N ov i em b re de 183). — S a ­ turnino Ca l de ró n Collantes.zrSr. gefe político de... noche. El príncipe viene bueno. Ha desembarcado iumediala- cial , co…</t>
  </si>
  <si>
    <t>y, Pablo de Llanes</t>
  </si>
  <si>
    <t>Pablo de Llanes y</t>
  </si>
  <si>
    <t>…de es­ ha hecho y hace justicia, firmado Un patriota” , denunciado Habiendo sido informada de que en algunas partes de nues­ tar definitivamente compuesto el ministerio. ( M essager .) en 9 de Setiembre de dicho año 1857 por D. Pablo de Llanes y tro reino se han reunido ilegalmente un gran número de per­ D. José Nicasio Milá de la Roca, la ley condena á Antonio sonas para entregarse á ejercicios, movimientos y evoluciones Carinés, álias Capa, responsable del citado artículo, á la pena militares; en atención á que semejan…</t>
  </si>
  <si>
    <t>y, Pablo Torrens</t>
  </si>
  <si>
    <t>Pablo Torrens y</t>
  </si>
  <si>
    <t>…ra subvenir á los Por providencia del Sr. intendente de esta provincia se c i­ tador, y no como en la galería de Dresden y otras, donde gastos de conservación de los dos faros colocados reciea teme ti­ ta , llam a y emplaza á D. Pablo Torrens y M irald a , D. José se req u iere un anteojo de ópera para d istinguir las p in tu ­ le en aquella embocadura. (Id.) de Acebo , D. Joaquín de E ch ev arría, D. Ricardo L ó p ez, Don ras colgadas ju n to al techo. Los cuadros, por otra p arte, del m inisterio de G racia y Ju s tic i…</t>
  </si>
  <si>
    <t>y, Paiarea</t>
  </si>
  <si>
    <t>Paiarea y</t>
  </si>
  <si>
    <t>…tribunal supremo de guerra y m arina, pidiendo la la consideración del Congreso varias observaciones d fin de qu ras letras en esta corte, sobre abono de los sueldos que dejó de inmediata prisión y embargo de bienes del general Paiarea y se tengan presentes en la discusión de la ley de ayuntamiento1 percibir en el tiempo que estuvo separado de su destino. de su auditor de guerra el Sr. Egaña. 265. El ayuntamiento del lugar de Polopos , provincia d Í 84. D. Manuel Fernaudez Calderón, sobre simultaneidad 225. El ayuntam ie…</t>
  </si>
  <si>
    <t>y, Palmira D. Félix Amat</t>
  </si>
  <si>
    <t>Palmira D. Félix Amat y</t>
  </si>
  <si>
    <t>…calendario, pondremos al nivel * de Carretas, se vendían todas las obras de los limos, seño­ En la Gaceta del domingo 7 , página 1.a, columna 2.a , en el nombre de uno de aquellos hombres ó mugeres ilustres en la res arzobispo de Palmira D. Félix Amat y obispo de Astorga el estado de los alumnos nombrados y presentados en la escuela historia por su valor ó virtudes cívicas, exponiendo asi á la D. Félix Torres de A m at, se venderán estas en adelante en las normal de maestros, la provincia de L érida, en lugar de i considerac…</t>
  </si>
  <si>
    <t>y, Pascual Camino</t>
  </si>
  <si>
    <t>Pascual Camino y</t>
  </si>
  <si>
    <t>…mere­ p ren ta , vigilando muy particularmente sobre su puntual Perez y R e y , juez de primera instancia de Cábuérniga en la cen. Ha observado también que la ciudad de Byr está situada observancia. provincia de Santander, y D. Pascual Camino y V illa, que lo en el territorio que depende directamente del Gran Señor , y 2.a Los mismos gefes políticos cuidarán sobre todo de que el haberle ocupado las tropas turcas, ó el hacer un movi­ es de Belorado, en la de Burgos. que los editores de p eriódicos, los impresores de hojas…</t>
  </si>
  <si>
    <t>y, Pascual de Jo</t>
  </si>
  <si>
    <t>Pascual de Jo y</t>
  </si>
  <si>
    <t>…trio nuevo plomiza j sita ep sierra de Gador , Balseoueva, Inspección de M inas de! distrito de Asturias y Galicia.— destinado a aquel objeto. Pero que habiéndose limitado hasta de término dé B e rja, titulada el Zambo * por D. Pascual de Jo ya, Mes de Setiembre de 1859.=:Relacion de los registros de minas ahora el Ministro de la Gobernación á oir á la diputación ío - Ocurridos en dicho mes. bre las quejas emitidas por el mayordomo m a y o r, se mandaba Otra id. en siérra L u ja r,,, Pajaróte, térdupo de Ó rgiva, En 26 d…</t>
  </si>
  <si>
    <t>y, Paula Acebal</t>
  </si>
  <si>
    <t>Paula Acebal y</t>
  </si>
  <si>
    <t>…i!lalb¿................................................................. La viuda de D ia z ... . .......................................................... 4^ 10 D . L. F. B................................................ Doña Paula Acebal y A rratia....................... . ................... El marques de V ilu m a . El Ateneo de M a d rid ......................................... .............................................. 1000 20 20 | 12403 655 FASTOS ESPAÑOLES, Lá Sra. marquesa de V ilum a.................…</t>
  </si>
  <si>
    <t>…marquesa de Cela....................................................... . . . . 6 0 I d . n. p .............................................................................. ío Cotización del dia 14 d las tres de la tardó • Doña Paula Acebal y A rratia.......................................................... 49 U u Senador...................................................................................................24O EFECTOS PÚBLICOS. La Sra. marquesa viuda de A ravaca................................................…</t>
  </si>
  <si>
    <t>y, Pedro</t>
  </si>
  <si>
    <t>Pedro y</t>
  </si>
  <si>
    <t>…que sea feo, caciones precedentes 810 6 ciones precedentes................. 5,885 1 15 como un talego le lave. Total 7,207 2 27 Total.............. 40,806 5 15 En Yo me entiendo y Dios me entiende entran de no ­ che el Rey D. Pedro y su confidente D. Alvaro en casa de Frutas. Lencería. D. Cosme a enam orar á su futura esposa. D. Cosme en­ Alemanisco 810 6 17 cuentra con ellos á oscuras, y les oye h ab lar, sin cono­ A c e itu n a s ...... .................... 1,897 5 Arabias 942 ' cerlos, de un risco y de un mármol que n…</t>
  </si>
  <si>
    <t>…D o m in go , n ú ­ pués de un Robespierre , un Dauton y un C ab re ra, ha sabido Los festejos se repetirán esta noche y la siguiente , y mañana sé mero 2 l , noticia de las monjas que h a y a en sus respectivas im ag in ar un D. Pedro y uo marques de Velez, tipos á la ver­ cantará un solemne T e D eum en la santa iglesia catedral. clausuras. dad aiguu tanto desviados de nuestras costumbres y de nuestra Habiendo manifestado varias personas que era m u y in có ­ época. O vied o 11 d e S etiem b re . La fausta noticia de los t…</t>
  </si>
  <si>
    <t>…en, D. Manuel Fernandez de Pazos, se cita, llama y em­ porque son el mas excelente modelo de la elocuencia moderada 6 .° L A O POSICION D E S A C R IST A N E S , sainete diver­ plaza por primer edicto y término de nueve dias á D. Pedro y apacible que debe reinar en los escritos, y de que nosotros tido intermediado de música. Lavedan , de estado casado, vecino que fue de esta corte , para según nuestra coustitucion principalmente necesitamos. Esta función será desempeñada por el cuerpo de coristas de que comparezca en la cárc…</t>
  </si>
  <si>
    <t>y, Pedro Garrido</t>
  </si>
  <si>
    <t>Pedro Garrido y</t>
  </si>
  <si>
    <t>…............... tonio 10887747..12 Baltasar Elola, D. Justo Hernández, D. Domingo del Rio, Don el intendente de Rarcelona sobre si los comerciantes titula­ Recibido por provinciales. 8897157.. 50 González, D, Antonio Castro, D. Pedro Garrido y dos de la carrera de América están sujetos al pago del Por equivalentes................................. D. Matías 5260761.. 26 mación de causa Angulo , quienes declararon haber lugar á la for­ subsidió comercial é industrial; y enterada S. M ., ha te­ Por paja y utensilios.......…</t>
  </si>
  <si>
    <t>y, Pedro Laso</t>
  </si>
  <si>
    <t>Pedro Laso y</t>
  </si>
  <si>
    <t>…. PR IN C IPE . A las siete de la noche. Gran función ex­ bezas de ganado y algunos particulares; cabiéndoles esta suerte Bilbao , 1| d. V alen cia, \ id. traordinaria para hoy martes 8 de Enero de 1859. al regidor del últim o D. Pedro Laso y al secretario del mismo C á diz, \ id. Z aragoza, 1 papel id. Se dará principio con una brillante sinfonía ; y á continua­ D . Francisco Barreda , el cual ya se ha fu g a d o : á este, ademas ción se pondrá en escena el drama de m a gia, n u e v o , original, Descuento de letras, á 6 p…</t>
  </si>
  <si>
    <t>y, Pedro López.</t>
  </si>
  <si>
    <t>Pedro López. y</t>
  </si>
  <si>
    <t>…descuidase, hacia nombra­ D. José García Luna.) Q¿reclores escena. mientos de arquitectos con sueldos correspondientes, que se lia D. Juan Lorabia. 5 BUENA—VISTA . inaban maestros mayores, y estos cuidaban de su conservacio D. Pedro López. y reparo : uno de ellos fue el arquitecto Ju a n de Mijares, y an D. Luis Fabiani. Hemos asistido á algunas funciones de este teatro, y he­ tes de este Gaspar de la Vega, sobrino de Luis. Lo mismo suce D. Antonio Campos. mos salido bastante complacidos de ellas. La compañía que dia e…</t>
  </si>
  <si>
    <t>y, Pedro Mariana</t>
  </si>
  <si>
    <t>Pedro Mariana y</t>
  </si>
  <si>
    <t>…i­ Cumpliendo en fin de Diciembre de este año la contrata ce­ de Antonia Polo, vecina que fue de Guadalajara , de cabida ción en Barcelona , y habia obtenido también las licencias ne­ lebrada coa los impresores de esta capital D. Pedro Mariana y dicha viña dos fanegas y media de tierra , y en ella 600 cepas cesarias del limo. Sr. obispo de aquella diócesis ; pero deseando D. Antonio para la publicación del Boletín oficial de y 88 tallones grandes y pequeños, valuado todo en I 428 rea­ dar un cuevo testimonio de sumisión al S…</t>
  </si>
  <si>
    <t>y, Pedro Palomar</t>
  </si>
  <si>
    <t>Pedro Palomar y</t>
  </si>
  <si>
    <t>…to queda ro­ do.=:Julian Arias Ravaoal.—Por D. M iguel Cornejo.=Por Don gando al Todopoderoso por la conservación de las interesantes S. M. la R e i n a , s u augusta Madre la R e i n a G o b ern a­ M iguel Flores López, por D. Pedro Palomar y por m í, Matías vidas de nuestra Reina Doña Isabel n y la de Y . M . d o ra y la Serma. Sra. Infanta Doña María Luisa Fer­ Palomar. =Como apoderado del conde de Adanero , y por mí, Lucar y Noviembre 10 de 1859. = Señora. = A L. R. P. de Gregorio Erehuet Requeoa. =Como apoderado del…</t>
  </si>
  <si>
    <t>y, Pedro Tonssaint</t>
  </si>
  <si>
    <t>Pedro Tonssaint y</t>
  </si>
  <si>
    <t>d e introducción por cinco años, á D. Pedro Tonssaint y D u - Eu la sintaxis se dan nociones claras de cada uno de los los ganados, las bestias , las aves é insectos útiles al labrador. b o st, vecino de esta C orte, por una máquina compuesta de fundamentos en que estriba, sin confundir las funciones pe- varios instrumentos, propia para…</t>
  </si>
  <si>
    <t>y, Pedro Zulueta</t>
  </si>
  <si>
    <t>Pedro Zulueta y</t>
  </si>
  <si>
    <t>…Registros . Alicante y la M ancha , pero de las cuales carecemos de noticias yos y empresas particulares. suficientemente exactas, asi como las que llaman la atención f fíe súmen de las actas de la academia de Ciencias na * D. Pedro Zulueta y compañí* , titulada de la Reunión, de los extrangeros en las islas Baleares, por dpnde corren ríos tárales.)* ha solicitado la concesión de cuatro pertenencias de mina de tnas ó menos grandes; después de lo cual describe las cavernas, carbón de piedra en el sitio llamado la Argamas…</t>
  </si>
  <si>
    <t>y, Peña</t>
  </si>
  <si>
    <t>Peña y</t>
  </si>
  <si>
    <t>…rios M ayaús n isterios para q ue expidiéndose por los mismos las mas es­ d o lo r, señores! ¡qué vergüenza! y Gis per t. ¿ í Estas Potencias, divididas entre sí, eligen la desgraciada Es­ Fue agregado á la cuarta sección el Sr. Peña y A guayo. tre c h a s y te rm in an te s ó rd en es á las au to rid ad es que de paña para campo de sus debates. Unas tienen en M adrid los Se dió cuenta de los nombramientos que las secciones haú ellos d e p e n d e n , c o n trib u y a n todas y cada una de por sí embajadores que sostienen…</t>
  </si>
  <si>
    <t>…ción porque es sumamente tamente.” Inscripciones en el gran libro á 4 por 100,'OO» im porta rile. También lo fueron el Ü y el 1 2 . Títulos al portador del 4 por 1 0 0 , 0 0 . 8. S, en seguida contesta á las objeciones del Sr. Peña y L eído el 1 3 , dijo Vales Reales no consolidados, 0 0 . A g u a y o , relativas á la parte 5 .a y 4 . a del artícu lo , y dice E l Sr. A R G U E L L E S , que expresándose en el artículo que Deuda negociable de 5 por 100 á papel, 0 0 . respecto de la primera que la comisión no se mete en l…</t>
  </si>
  <si>
    <t>y, Piosalía Jo</t>
  </si>
  <si>
    <t>Piosalía Jo y</t>
  </si>
  <si>
    <t>…isfacer los re­ las armas á un hijo suyo. raciones sobre varios puntos relativos á la última quinta. petidos pedidos que se la imponen en ciase de subsidio de 219. D. Antonio de Iloyos C h o ro t, haciendo una relación 257. Doña Piosalía Jo y a, e n ‘solicitud de penúon. préstamo, y de contribuciones extraordinarias. de lo actuado en un pleito que sigue, y pidiendo ¿e suspenda 258. D. Antonio Jiménez, solicitando se restablezca la M i­ 177. D. José Olivan , presentando un plan de organiza­ todo procedimiento contra su per…</t>
  </si>
  <si>
    <t>y, Polo</t>
  </si>
  <si>
    <t>Polo y</t>
  </si>
  <si>
    <t>…blecimieuto municipal. El Sr. Q U IN T O : A pesar de la lectura que acaba de h a ­ comprendiéndose en esta medida las 'Cortes ni la diputación 11. Sobre la repartición de granos de los pósitos y fomento cerse á petición del Sr. Polo y M onge, encueutro motivos pa­ permanente de las mismas. de estos establecimientos. ra oponerme al artículo que se discute. Señores, continuó, esta ley consigna de una manera explí­ Asimismo fue aprobado sin discusión el artículo siguiente: El art. 10 es tnuy vago. Yo no quiero que los ayunt…</t>
  </si>
  <si>
    <t>y, Presidente. Esta</t>
  </si>
  <si>
    <t>Presidente. Esta y</t>
  </si>
  <si>
    <t>…A C IA Y JU S T IC IA : Como quiera A yam ans, Salvá, Carrasco (D, Ju an ), Lujan, Temprado, Iñi­ se trataba nada menos que de salvar su propia existencia. q u esea, el Gobierno se ve precisado á contestar al Sr. Argue­ go y Sr. Presidente. Esta y no otra es la verdadera causa del la til entable estado lles. S. S. sabe el medio que tiene todo español, sea o no D ipu ­ Señores que dijeron no: de la industria en m uchas de nuestras provincias. Mien­ tad o , de entablar el recurso de competencia, el cual no puede Conde de la…</t>
  </si>
  <si>
    <t>y, Presidios</t>
  </si>
  <si>
    <t>Presidios y</t>
  </si>
  <si>
    <t>…er trigo de los pósitos hasta el importe de 800^ rea­ Por robos ejecutados .......... 900 Lo que se anuncia al público para su conocimiento. Por trasladados á las cajas de líquidos del les, por ahora, y á la dirección general de Presidios y soro . . . . ........................................................ 50653814.. 20 te­ á esta para ponerse de acuerdo en aplicar á aquella car­ Por id. á las de amortización......................... 74925. . 5 retera de 1500 á 23 confinados, he repetido orden al in­ Por traslación de ca…</t>
  </si>
  <si>
    <t>y, Puche</t>
  </si>
  <si>
    <t>Puche y</t>
  </si>
  <si>
    <t>…que debia, á saber, El Sr. PRESIDENTE: Con arreglo a] art. 121 del regla­ Se arrienda una posesión agrícola de mas ó menos extensión, obrar líquida esta anticipación, dejando para tiempo oportu- mento se ha presentado por el Sr. Puche y otros señores una llamo mucho sobre esto la atención del Congreso , y está arren­ 10 el abono que debía hacerse ; y fue tal, señores, que siendo proposición á la mesa, de que va á darse cuenta al .Congreso. dada con la obligación de que el propietario pague todaTá”cbn- ro Diputado en aquella…</t>
  </si>
  <si>
    <t>y, Puñonrostro</t>
  </si>
  <si>
    <t>Puñonrostro y</t>
  </si>
  <si>
    <t>…. terac y M en d iv il, á los Sres. Salas Omaña , marques de C astell- L a comisión del Senado ha conocido los m ales, y viéndose IN T E N D E N C IA m ilitar de C astilla la Nuev^.rrDebiendo su d o sriu s, E n tren a, conde de Puñonrostro y B alaazat. en la situación de no poder ad m itir enm iendas, se ha conten­ * bastarse en los estrados de la misma el d ia 17 del actual é Se leyó una comunicación del Sr. D. M iguel Laborda y tado con hacerlo presente al G obierno, para que este tenienda las doce en punto de la mañan…</t>
  </si>
  <si>
    <t>y, R. II.</t>
  </si>
  <si>
    <t>R. II. y</t>
  </si>
  <si>
    <t>…........... 80 El Sr. P R E S ID E N T E anuncio que mañana continuaria la discusiou de los asuntos pendientes, y levantó la sesión á las Doña F. A. C. de M ............................................................... Doña R. II. y P ......................................................................... 380 20 CORRESPONDENCIA DE LA GACETA. cinco. La Sra. marquesa viuda de San M artin.......................... 80 Valencia 1.° de Octubre, Las fiestas siguen en las calles Doña Ana Vallecillot y Corugos...........…</t>
  </si>
  <si>
    <t>y, Rafael Caamaño</t>
  </si>
  <si>
    <t>Rafael Caamaño y</t>
  </si>
  <si>
    <t>…r á la formaciou de causa ; exa­ obispo de Astorga, obispo electo de Oviedo, marques de V ilu m a, niente que continúe aun el de Sevilla , supuesto que los recien­ minó detenidamente el caso en que se encontraba ; descendió á D. Rafael Caamaño y P ardo , D. Joaquín M aría Ferrer , Don tes acontecimientos de su capital tienen aun viva la sensación pormenores. De resultas de haber entrado en esta investigación Jo-íé Antonio Rich , marques de Espeja y D. Francisco Verea de esta excisión , y sus habitantes no disfrutan todavía…</t>
  </si>
  <si>
    <t>y, Rafael Maroto</t>
  </si>
  <si>
    <t>Rafael Maroto y</t>
  </si>
  <si>
    <t>…rala en sus acampamentos iuocente Reina varios batallones y escuadrones enemigos con es todo de mármol blanco, y está enriquecido con una gran y apostar lejos gente para recoger los muchos desertores y evi­ su general en gefe D. Rafael Maroto y otros varios geoeralesy cantidad de fragmentos antiguos grabados de inscripciones , y tar tanta deserción* gefes de las divisiones castellana , guipuzcoana y vizcaína , se esculpidos de bajo relieve. En lo interior cubren las paredes traslucía en los semblantes de todos los habitan…</t>
  </si>
  <si>
    <t>y, Rafael Puig</t>
  </si>
  <si>
    <t>Rafael Puig y</t>
  </si>
  <si>
    <t>…18.. 2 .. 28 termino de Montañola, partido de V ich , provincia de Barce­ G uayanilla............................................................ 9 ,8 6 8 .. 5 .. 16 7,254.. 4 .. 11 1,776.. 1 . . 1 18,879.. 0. . 28 lona 9 por D. Rafael Puig y compañía , en 19. Salinas de Coamo.............................................. 4,1 6 5 .. 2 .. 26 3,815.. 0 .. 25 3 1 4 .. 3 .. 8 .2 9 2 .6 ..1 5 M anatí............................. ...................................... 2,730. . 6 . . 1 ,7 0 4 -.7 .. 526 4,9 6 1 ..5 .. Patillas…</t>
  </si>
  <si>
    <t>y, Ramón Castellanos</t>
  </si>
  <si>
    <t>Ramón Castellanos y</t>
  </si>
  <si>
    <t>…ren­ vincia á coadyuvar para que no se detenga ni se retarde. Cór­ dim iento caritativo y patriótico de sus vecinos, excitado por el doba 22 de Ju n io de l859.= EI diputado de provincia por Cór- alcalde primero constitucional D. Ramón Castellanos y por otras doba.:=José Aviuó.ziEs copia.= l orres, vicesecretario. Y eracruz Abril 9 de 1859.—E1 dia 7 , cuando se enarboló distin gu id as personas, llegaron á aquella ciudad en la mañana el pabellón nacional sobre los muros de Ulúa , el Excrno. se­ del 1 8 , al propio tiempo que…</t>
  </si>
  <si>
    <t>y, Ramón de Castro</t>
  </si>
  <si>
    <t>Ramón de Castro y</t>
  </si>
  <si>
    <t>…n todas en la adopción de los tres tipos propuestos para los d ere­ corte, refrendada del escribano del número del crimen de ella sus principios y sus aliados? chos con q ue aquellas deben c o n trib u ir, se ha g u a rd a d o D. Ramón de Castro y A g u ila r, se c ita , llama y emplaza por E ntre las medidas que á aquella conferencia podrían ocu­ la propo rció n y aplicación co rresp o n d ien te . este ini tercero y último aviso y térm ino de nueve dias desde par hay una sobre todo que debería adoptarse inm ediatam en­ Ar…</t>
  </si>
  <si>
    <t>y, Ramón Figueroa</t>
  </si>
  <si>
    <t>Ramón Figueroa y</t>
  </si>
  <si>
    <t>…ueriles é infundados temores para retirar precipitadamente y José Páramo tuvo noticia de este acontecimiento y dispuso para la caja de ahorros de P a ris , porque es muy posible a d m i- que I 4 caballos al mando del teniente D. Ramón Figueroa y sin reflexión de las cajas de ahorros las economías que lenta­ tir q u e, según las probabilidades, las proporciones establecidas mente han recibido, economías que entregarán siempre fiel­ del alférez D. Andrés Loscos se dirigiesen inmediatamente a l sobre un número de cuentas toma…</t>
  </si>
  <si>
    <t>y, Ramón Pasaron</t>
  </si>
  <si>
    <t>Ramón Pasaron y</t>
  </si>
  <si>
    <t>…....... 835 niusular....................................................................... 1 Batallón de Voluntarios urbanos de Isabel 11 def Los patriotas de Castuera , provincia de Badajoz.. 566 Puerto Príncipe. \ 552.. 6 D. Ramón Pasaron y L astra, juez de primera ins­ París 21 de Marzo* Compañía urbana de caballería de id. [ tancia de Vivero en Galicia..................................... 200 Compañías de Pardos y Morenos de id. Batallón infantería milicias disciplinadas de id ../ 1 El juez de primera instancia y va…</t>
  </si>
  <si>
    <t>y, Reguer</t>
  </si>
  <si>
    <t>Reguer y</t>
  </si>
  <si>
    <t>…el com isionad o de Luis F elip e en su e j é r c i t o estaba en c o r ­ 2.° Introducción en la ópera titulada L ’ESULE DI R O M A , E N virtud de providencia del Sr. intendente subdelegado de del maestro D onizetti, por el Sr. Reguer y coristas; con deco­ resp o n d en cia con los ca rlista s, ha p r o h i b i d o d d ich o co m i­ ^ rentas de esta provincia de 27 de M ayo último se cita, ración y trajes. sionado el s e g u ir al e jé r cito de su m ando. Este hecho es llama y emplaza por el presente anuncio á cualquiera…</t>
  </si>
  <si>
    <t>y, Renesse</t>
  </si>
  <si>
    <t>Renesse y</t>
  </si>
  <si>
    <t>…us pies com o oriámbar encendido en el El Senado ha oido en seguida contra el proyecto de acep­ y la desempeñaron con bastante prontitud. horno y ceñido con un cinto de oro. D e manera que el fuego tación del tratado al conde de Renesse y M r. V an Muyssen, La escritura es de forma nacional m uy bien trazada , y tan de amor encendía su cara, le salia por los o jo s , se difu n día ambos Senadores de Lim burgo. La proposición del Gobierno uniforme que en poco se diferencian las unas de las otras: hay por sus pies y m anos, y…</t>
  </si>
  <si>
    <t>y, Rentas</t>
  </si>
  <si>
    <t>Rentas y</t>
  </si>
  <si>
    <t>…= P ita.— Se­ tán general de Granada. Aquel mismo dia refrescó el viento al O. N. O. en términos que me hizo largar de este fondeadero y dirigirme á las Chafarinas. El 20 se presentó en estas 3 guas el ñor director general de Rentas y arbitrios de amorti­ bergantín de guerra francés Volage , su capitán el teniente de M INISTERIO DE HACIENDA. zación. _______ __ navio Gressier, el que pasó á bordo, y rae manifestó venia de Reales órdenes. Tolon con orden del almirante para ofrecerme sus servicios; PARTES. desde entonces…</t>
  </si>
  <si>
    <t>…en marcha para Nápoles por tierra. El mis­ tim o por el m inisterio de H acienda, en conform idad á lo sarios. Se cree que la accesión se verificará á principios de año. mo dia llegó á Luca. propuesto por la dirección general de Rentas y arbitrios En una de las ultimas sesiones de U Dieta de Hungría eJ de Am ortización, se ha servido S. M. resolver que para la mensaje concerniente é la coronación de S. M. la Emperatriz, provisión de las escribanías que pertenecieron á los maes­ como Reioa de Hungría , ha sido recibido con l…</t>
  </si>
  <si>
    <t>…iduos y Art. 78. Los recolectores rendirán dos cuentas, una de nistración diocesaoa , la cual dirigirá copia de ellos á la conta­ de sus representados. frutos y otra de caudales. duría de la provincia, á la dirección general de Rentas y á la Art. 62. Las mismas fianzas se formalizarán en el preciso En la cuenta de frutos se formarán cargo de todos los gra­ junta principal de diezmos. término de ocho dias contados desde aquel en que fuere hecha nos , frutos y especies que hubieren recibido de cada colector, Art. 44 . La a…</t>
  </si>
  <si>
    <t>…del mismo modo que indica la R eal orden de 2 6 de Fe­ á 10 añoá con reten ció n , los que por dos ó mas sentencias tie­ brero ú ltim o , pero faltan cadenas para ah erro jar la m ayor Habiendo resuelto la dirección general de Rentas y arbitrios nen condenas que pasan de 10 años , los reos de delitos p olíti­ p a rle .. de Am ortización acerCá de las dudas consultadas por las ofici­ co s, los pendientes de c a u sa , el destacamento necesario para Respecto á la asignación de los capataces y hierros para los nas del ramo…</t>
  </si>
  <si>
    <t>…anta Doña María Luisa Fernán­ S. M. con la opinión unánime que han expresado sobre de por 100 en lugar de 4 por HW. En caso de negativa, da , continúan en esta corte sin novedad en su importante la materia el director general de Rentas y arbitrios de habrá reembolso. Si el Gobierno creyese que la cuestión holando- Amortización, el asesor de la superintendencia general de belga pudiera comprometer la tranquilidad de la E u ropa, no salud. Hacienda pública, y la comisión auxiliar consultiva de hubiera ciertamente hecho esta…</t>
  </si>
  <si>
    <t>y, Rivas</t>
  </si>
  <si>
    <t>Rivas y</t>
  </si>
  <si>
    <t>…da brevemen­ el mensaje acordado á los Sres. Piubianes, duque de Frias . mar­ se indicaban, sustituyendo las palabras que proponía como pro­ te por su autor, se preguntó si se tomaría en consideración, ques de Viluma , duque de Rivas y arzobispo electo de Toledo. pias para calmar la ansiedad de las fam ilias, y evitar el con- y acordado asi, fue aprobada por unanimidad. Se aprobó sin discusión un dictamen de la comisión de Pe­ íiieto de los tribunales, en que ciertamente se verían de dejar El Sr. Ministro de la G U E R R…</t>
  </si>
  <si>
    <t>y, Rodríguez Leal</t>
  </si>
  <si>
    <t>Rodríguez Leal y</t>
  </si>
  <si>
    <t>…proponía. circunstancias, de porte de 80 hasta 1200 toneladas y de fuer­ los moGtes de Toledo? Por ctra p a r te , la primera vez que S. S. za de 30 hasta 5 20 caballos. También se fletan y alq u ilan a l­ Contestado por el Sr. Rodríguez Leal y hecha la pregunta nos presentó e^e ejemplo, dijo que cada fanega de tierra v al­ de si se tomaría en consideración se acordó que no. gunos de primera clase. dría 25 rs., y que luego había que desmontarla, descuajarla y Se venden igualmente máquinas para vapores de fuerza Se leyó…</t>
  </si>
  <si>
    <t>y, Ros</t>
  </si>
  <si>
    <t>Ros y</t>
  </si>
  <si>
    <t>…sirvientes. Que Se puso a discusión el a rtícu lo , y habiendo pedido la pa­ pietario del ram o, se encargaba desde mañana de la Secretaría. si se dan esos sueldos por entero á los cesantes, será eterna la labra en contra el Sr. Ros y O la n o , la ced ió en El Congreso quedó enterado. com isión . N o , el G ob iern o procurará que esa institución co r­ El Sr. P E N A A G U A Y O : Tres son las razones en que me Se leyeron y hallaron conformes con lo aprobado por el responda á sus m ira s , ademas de que están prefijados…</t>
  </si>
  <si>
    <t>…nto, y decide negativamente. Avila 16 d e E n ero . Me cabe la mayor satisfacción en par­ en cuatro actos, titulado ticipar á VV . que el espíritu público de esta proviucia ha su­ Tocándole por turno el uso de la palabra al Sr. Ros y (Ma­ no, se la cede, y dice frido el cambio mas feliz, debido primero á la derrota de Cál­ vente y después á los infatigables desvelos y acertadas disposi­ L A ESTRELLA DE ORO. El Sr. G A LIA N O : El Congreso es testigo de con cuán poca voluntad entro en este asunto; hubiera deseado segui…</t>
  </si>
  <si>
    <t>y, Roussin</t>
  </si>
  <si>
    <t>Roussin y</t>
  </si>
  <si>
    <t>…á esta El barco de vapor el Etna ha pasado á Constantinopla para a q u e l la s calu mni as q u e *e forjan para te n e r en c o n tin u a ciudad Mr, Frost y el impresor M r. Partrige por un destaca» tomar a su bordo al almirante Roussin y su comitiva. El Etna ag itac ió n al p u e b lo e s p a ñ o l, y que car ece de toda sombra mentó de lanceros del 12. Venían cada uno en un c a r ru a je , y irá á hacer su cuarentena á Atenas , y concluida aquella , p ar­ de v e r d a d , y hasta de verosimilitud. ambos han sido encerrado…</t>
  </si>
  <si>
    <t>y, Rusia</t>
  </si>
  <si>
    <t>Rusia y</t>
  </si>
  <si>
    <t>…la dirección general de correos para te precedente. so en latín, confirió el grado de doctor en derecho civil por remitir diariamente la correspondencia de esta corte á S. Sebas­ medio de un diploma á S. A . I. el Gran Duque de Rusia y al tian de Guipúzcoa, ha dispuesto que dicha remisión dé prin­ Príncipe Guillermo P3enrique de los Paises Bajos, sieudo este El comandante general de las provincias de Ciudad Real y el mayor honor que según sus facultades puede conferir la u ni­ cipio el dia 10 del corriente por medio del…</t>
  </si>
  <si>
    <t>y, Saavedra</t>
  </si>
  <si>
    <t>Saavedra y</t>
  </si>
  <si>
    <t>…por donde entrarán las tropas de la Confederación titulado batallón tiradores del Cid se resistiese aun en sus posi­ germánica.*’ Añade dicha carta después: ^N o os fiéis de los ciones, fue deshecho enteramente por el comandante Saavedra y R E IN O D E H A N N O V E R . franceses, porque el Gabinete actuál os abandonará , y consen­ su valiente escuadrón, dejando en el campo un considerable tirá hasta la división de la Bélgica. Si la Oposición sube al po­ número de m uertos, 145 prisioneros, entre los que se hallan Osnabru…</t>
  </si>
  <si>
    <t>y, Salas</t>
  </si>
  <si>
    <t>Salas y</t>
  </si>
  <si>
    <t>…ara 1.° Cavatina de Dulcamara en la ópera L *E lissir d %A m o- es Jo que propone la mayoría de la comisión; y S. S. que con­ perseguir á los foragidos en las entrañas de la sierra prometen re , del maestro Donizetti; por el Sr. Salas y coristas, coa de­ dena en nosotros las enmiendas, ha hecho una enmienda de resultados interesantes. coración y trajes. enmienda, porque el mismo artículo dice después (leyó) Creo 2.° Sinfonía en la ópera E elisario , del mismo maestw. No tiene duda que dicho gefe militar está dotado de un…</t>
  </si>
  <si>
    <t>….............................. 20 del derecho. 1.° Cavatina de Dulcamara en la ópera L ’Elissir d*Amo- El Sr. conde de M iranda............................................ 80 Advertencias, r e , del maestro Donizetti; por el Sr. Salas y coristas, con de­ D oña F. F ................................................................................... 20 Las personas que deseen^ matricularse ó recoger papeleta de coración y trajes. D . Juan Nicasio Gallego....................................................... 20 entrada para…</t>
  </si>
  <si>
    <t>…ucción en la ópera Elena é Malvina , del maes­ P O R providencia del Sr. D. Manuel L uceño, juez de pri- A mera instancia de esta capital, se cita y llama por este LA CUESTION ELECTORAL. tro Carnicer, por la Sra. V illó , el Sr. Salas y coristas; con de­ coración y trajes. edicto y término de nueve dias contados de esta fecha, á los 5.° D úo en la ópera Anua Bolena, del maestro Donizettí, que se crean con derecho á los bienes quedados por fallecimiento P O R ABEN AMAR. por la Sra. Lambía y el Sr. R eguer; con decoración y…</t>
  </si>
  <si>
    <t>…as- 2.° Introducción en la ópera Elena é M alvina , del maes­ en aquella situación, como sucede en las varias tribus de lan­ troterreño, capitán director de la Real compañía de Guardias tro C am icer, por la Sra. V illó , el Sr. Salas y coristas; con de­ gostas, langostinos, cigarrones, grillos &amp; c ,, chinches y otras alabarderos, y la viuda y herederos de D. Diego R u te, vecino coración y trajes. especies que constituyen los órdenes O rthoptera , H em ip tera , que fue de la ciudad de M álaga, sobre cumplimiento de una…</t>
  </si>
  <si>
    <t>…o tomos en 4*°&gt; adornados de estampas, á 154 2.° Introducción en la ópera Elena é M alvina , del maes­ Quixote de Sinheriz , que -hade por certo adornar as colecqoes reales en pasta fina. tro Carnicer, por la Sra. V illó, el Sr. Salas y coristas; con de­ de bous livros dos nossos curiosos e illustrados ieitores. Faz-se a La presente historia contiene la vida de uno de los hombres coración y trajes. subscripto pela 2.a parte por 800 réis; e pelos 4 volumes de mas singulares que ha visto el mundo y que mas han honrado 5.° Dú…</t>
  </si>
  <si>
    <t>…cción ea la ópera E lena é M alvin a , del m aes­ L am artin e , no se sienta poseído de uta encanto in terior é in ­ m a s, pues la una será de tres lám inas con el mismo texto , por­ tro C arn icer, por la Sra. V illó , el Sr. Salas y c o ristas; con de­ clinado á lo que ha podido in sp irar tan adm irables p ág in as? coración y trajes. Desde una m ontaña á r id a , sembrada de piedras resbaladi­ tadas con viñeta é índices, y la otra un m apa grande de la 5.° D úo en la ópera A nna B o len a , del maestro D o n izetti,…</t>
  </si>
  <si>
    <t>…claro de luna. geros las sostiene y las fomenta. EFECTOS PÚBLICOS. 2.° Introducción en la ópera Elena é Malvina , del maes­ Si el sentimiento religioso no aparece en la clase criminal, tro Carnicer, por la Sra. V illó, el Sr. Salas y coristas; con de­ no es porque deje de existir, sino porque no ha sido promo­ Inscripciones en el gran libro á 5 por Í00, 00. coración y trajes. vido ni cultivado, á causa de la crasa ignorancia en que han Títulos al portador del 5 por 100, 27 | once dieziseisavos y por5.°la Sra. Dúo en la…</t>
  </si>
  <si>
    <t>y, Salustiano de Olózaga</t>
  </si>
  <si>
    <t>Salustiano de Olózaga y</t>
  </si>
  <si>
    <t>…el que ha sido nombrado por la provincia los Sres. M o n t o y a , Silvela , Laborda , Arteta y Romero. T o­ El Sr. marques viudo de Pontejos, presidente.=Los señores de Albacete. tal de votantes 1 0 7 : mayoría absoluta 54 * D. Salustiano de Olózaga y general M a n s o , vicepresidentes.— Asimismo lo quedó de otra comunicación del mismo Sr. Se­ El limo. Sr. Tarancon y los Sres. Puche y B a u tista , D rument, Para sexto in d ividuo fue elegido el Sr. López (D. J o a q u ín ) cretario del Despacho de la Gobernación de la…</t>
  </si>
  <si>
    <t>y, Sancho</t>
  </si>
  <si>
    <t>Sancho y</t>
  </si>
  <si>
    <t>…unque m uy En esta segunda parte , señores, nosotros hemos adoptado es equivalente, esto es lo mismo ; es necesario demostrarlo. ¿N o de distinto modo. todas las ideas de los individuos de la mayoría de la comisión; tenia el Sr. Sancho y sus compañeros en la mano hacer en el El Sr. Argiielles, bien que con la manera y templanza que nos ha parecido que iban por el buen camino ; los hemos se­ curso de la discusión todas las enmiendas que creyesen oportu­ acostumbra, ha manifestado dos veces que el Gobierno no se guido, y no p…</t>
  </si>
  <si>
    <t>y, Santiago Vázquez</t>
  </si>
  <si>
    <t>Santiago Vázquez y</t>
  </si>
  <si>
    <t>…riben; pero mi descenso constitucio­ luciones por mis secretarios: para cuyo cargó nombro á los se­ Tomas Pacheco, y trasladado al domingo 21 del mismo mes á nal de la silla de la presidencia confundió en el aprobio y en ñores D. Santiago Vázquez y brigadier general D. Enrique las diez de su mañana en el piso bajo de la audiencia territo­ la nada á los que vociferaban insidiosamente que mi ambición M artínez, y cuyo registro he de cerrar el dia que cese la sus­ rial de esta corte. de mando me arrastraría á atropellar el códi…</t>
  </si>
  <si>
    <t>y, Sebastian</t>
  </si>
  <si>
    <t>Sebastian y</t>
  </si>
  <si>
    <t>…u in t o , Diputado electo por de M a ro t o , fue a l l á , contando con la adhesión del ejército y cedente para lo sucesivo, pues en cuanto á la legalidad de las la misma provincia. llevando consigo á su h i jo , al Infante D. Sebastian y su o rd i­ elecciones de M a d r id , y a había manifestado que nada tenia Ocupó en seguida la tribuna el Sr. Secretario Tem prado, y naria escolta de caballería. Llegado á Elorrio encontró los ba­ que hablar contra ellas. leyó los dictámenes de la comisión de A ctas, en que se propo­…</t>
  </si>
  <si>
    <t>…i­ que de la V ic t o r ia y á su valiente ejército una recompensa D . Carlos lo que sigue: do Proveyros, oficial de la gavilla de Souto, cuyo sugeto se proporcionada á la magnitud de sus servicios. Los pasaportes concedidos á D. Sebastian y una explicación hallaba en las filas rebeldes desde el año 5 5 , y al que dió La confirmación de los fueros de las provincias V a sco n ­ muy animada del Ministro de Negocios extrangeros con motivo muerte el soldado del regimiento provincial de Lugo Antonio de los excesos que aun se come…</t>
  </si>
  <si>
    <t>y, Sebastian Montalvo</t>
  </si>
  <si>
    <t>Sebastian Montalvo y</t>
  </si>
  <si>
    <t>…qué punto para fijar el paradero á las inmediaciones de la ciudad tra el agente. La junta está resuelta á devolverlas, sin que sea 6 debe edificarse, y cuanto mas sea conveniente para obtener un te propongan .° Que los Sres. D. Sebastian Montalvo y D . Ignacio Echar­ de extrañarse que en esta clase de encargos le haya sucedido lo resultado ventajoso, que proporcionando nueva carrera á la la regularidad un plan de gobierno en la empresa, que concibe que comunmente acontece a los dueños de ingenios, sin embar­ juventud cub…</t>
  </si>
  <si>
    <t>y, Secretario</t>
  </si>
  <si>
    <t>Secretario y</t>
  </si>
  <si>
    <t>…as ne­ mismo remontarse los regimientos con caballos capones; porque aprobación. cesita el caballo de su aliento y de su vigor. Siempre aquella se ha experimentado no era posible sacarse de ellos partido de Sé leyeron por el Sr. Secretario y quedaron sobre la mesa tristeza ,, aquel abatimiento que se advierte en los caballos recien otra marera. Pero en los paises privilegiados, como son el Asia los dictámenes siguientes de la comisión de Actas : castrados, y que se hace tanto mas sensible eu los caballos adul­ y el A fr ic…</t>
  </si>
  <si>
    <t>y, Secretario de Estado</t>
  </si>
  <si>
    <t>Secretario de Estado y</t>
  </si>
  <si>
    <t>…ente que ninguno de ellos, continúa sus muchos años. Vitoria 3 de Setiembre de 1859. =Excmo. Sr.= L ó n d res 26 d e A gosto . conferencias privadas con el v irey. Este ha dicho ayer á una Gregorio Piqueño Argüelles.~Excmo. Sr. Secretario de Estado y persona de su confianza: "Conozco que la Rusia es la única del Despacho de la Guerra. T o rn eo d e E glington. que puede proteger mis intereses; y de ello debiera haberme persuadido antes. Escriben del castillo de Eglington al M o r n in g -I I e r a ld . El cónsul general…</t>
  </si>
  <si>
    <t>…. sión si tenia ó no ese derecho, ó si únicamente,después de a pro-* badas las actas electorales, podría decir que se suspendiese esta* discusión ; porque ¿de qué sirve el articulo 7.°* del reglamento ro Argiielles.z:Excmo. Sr. Secretario de Estado y, del Despacho C O N G R E SO D E D IPU T A D O S . si no ha de producir ningún.resultado ? ¿Q u é objeto se tuvo de la Guerra. PRESIDENCIA DEL SEÑOR ZUMALACARREGUI. al poner este artículo? El que el Congreso se constituyese cor* la mayor prontitud posible ; ¿ y cómo se ha de…</t>
  </si>
  <si>
    <t>…cisco de Paula G arevayo.-G il R a v a ssa -Ju a n Esteva.-José de la corona , la previsión y el valor del hijo predilecto de la que han adquirido en medio de esta lucha que tanta sangre González Gil , secretario.czrExcmo. Sr. Secretario de Estado y victoria y su esforzado y sufrido ejército han restituido la ha ocasionado ; pero que por el modo como lo proponen los in­ del Despacho de la Gobernación del reino. paz y la alegría á los pueblos tanto tiempo há trabajados por dividuos de la comisión , está seguro de que no p…</t>
  </si>
  <si>
    <t>…cédulas, pasaportes de 1839.=Excmo. Sr.rzEI Presidente José Melchor Prat.=Joa- Que á los ayuntamientos de los tres pueblos se les den las y demas documentos que expidáis para España y para Ul­ quin Golmayo, secretario.=Excmo. Sr. Secretario de Estado y mas expresivas gracias por su cooperación y disposiciones en tramar, exceptuando aquellos en que Yo ponga la mía, en del Despacho de la Gobernación de la Península. esta interesante empresa. los cuales y en los otros casos en qué lo han hecho vues- ! Y que por medio del Boletí…</t>
  </si>
  <si>
    <t>…su extensión el mosaico mencionado; V. E. muchos años. S ev illa 11 de M a y o de 1859 —Excmo. se­ á pesar de todo , la vista se complace al a d m i r a r su belleza, si M E JIC O . ñ o r.—Jo a q u ín M . de A lb a .—Excmo. Sr. Secretario de Estado y bien es preciso confesar que las piedras son del espesor de seis del Despacho de la Gobernación de la P enín sula. líneas. Santipunce 5 de M a y o de l 8 5 9 . = E . D. D. L . E. Ivo de M éjico 2 5 d e F eb r ero . la C o rtin a .r:E s copia —Alba. R elación d e los objetos…</t>
  </si>
  <si>
    <t>y, Secretario de Gracia y Justicia</t>
  </si>
  <si>
    <t>Secretario de Gracia y Justicia y</t>
  </si>
  <si>
    <t>…ber, el artículo 69. Esto, señores, era mas franco , tendría resultados mas gran­ ¿ Qué dice pues el artículo? Que habrá en cada provincia des , y arreglaría sin duda el bienestar. Respecto á las aclaraciones que ha dado el Sr. Secretario de Gracia y Justicia yo estoy muy acorde, como no se llegue á la una diputación; y en la segunda parte, que los Diputados que Yo espero pues que los Sres. Secretarios del Despacho darán parte municipal ni económico-administrativa, que son las que determine la ley serán nombrados por lo…</t>
  </si>
  <si>
    <t>y, Segismundo Gras</t>
  </si>
  <si>
    <t>Segismundo Gras y</t>
  </si>
  <si>
    <t>…alida ha si­ mi llegada no encontré ya á los enemigos, habiéndose retirado Nuestra pérdida ha consistido en cinco heridos, entre ellos el dia anterior hacia Prats de Llusaués y Bergajcou este m oti­ el subteniente de francos D. Segismundo Gras y un muerto de do anunciada con salvas de artillería y repique de campanas. Las ventanas de los edificios públicos y casas particulares de la vo, y noticioso de existir fuerais rebeldes en el Hostal de la Grauo- cansancio , el que con su muerte deja un noble testimonio de calle ta…</t>
  </si>
  <si>
    <t>y, Senador Laborda</t>
  </si>
  <si>
    <t>Senador Laborda y</t>
  </si>
  <si>
    <t>…de adoptar los pensamientos mesa un dictámen de la comisión de Actas sobre una petición campo de los ejércitos nacionales D . Jorge D ’F l i n t e r , e l do­ del proponente en los diversos puntos de administración á que del Sr. Senador Laborda y G aliud o , reclamando la devolución mingo 2 0 delcorriente á las once de su mañana en la posada se refiere, la comisión de Peticiones cree que es laudable su ce­ de los créditos que habia depositado en el banco de San Fer­ deí Sr. auditor de guerra . calle de Relatores, ndm. 7 ,…</t>
  </si>
  <si>
    <t>y, Sevil</t>
  </si>
  <si>
    <t>Sevil y</t>
  </si>
  <si>
    <t>…ión S. M ., se ha dignado resolver se un ilustre casa de Russell, el duque actual hereda los principios y Canarias Granada.. . . . . . . 57 í 56000 551574 56000 1052292 amor hácia dea gracias en su Real nombre al comandante Sevil y su par­ más se han desmentido. los derechos y las libertades del pueblo que ja­ C u e n c a ......... 1 52020 56100 tida. Gerona 5 211770..25 445000 Guadalajara 95 385854..51 722852..22 FRANCIA. H u esca... 23 165564.11 271896 Jaén........................ 18 171105..22 241570..22 PARTE N…</t>
  </si>
  <si>
    <t>y, Shafterbury</t>
  </si>
  <si>
    <t>Shafterbury y</t>
  </si>
  <si>
    <t>…colera, que lo pedido por El lord canciller , el marques de Lansdow ne, el vizconde nas desde muy temprano; esperábase el informe de la comisión la Inglaterra era solamente por la form a, y fundada en las Duncannon , el conde de Shafterbury y lord Falklusd toman sobre las dificultades excitadas contra la elección de Mr. D ’ atenciones que deben guardarse entre Potencias am igas; pera asiento en calidad de comisarios para sancionar en nombre de Iloudetot. Se trataba de saber si este tiene derecho para contar que la escuadra…</t>
  </si>
  <si>
    <t>y, Silvela</t>
  </si>
  <si>
    <t>Silvela y</t>
  </si>
  <si>
    <t>…agentes de seguridad pública para que* rizado para contraer expresa ó tácitamente este pacto: Yo evitasen toda clase de desórdenes; y mientras tomaba estas dis­ respetare y defenderé vuestra existencia (dice á los demas del Sr. Silvela y á sus sentimientos filantrópicos, que aun­ posiciones, D. Mariano Briones , comandante del batallón de hombres que forman con él la sociedad); vosotros respe­ que sostiene la necesidad de conservar en los códigos la Milicia nacional, llevado de su buen celo, se situó en la guar­ tareis y…</t>
  </si>
  <si>
    <t>y, Sotos Ochando</t>
  </si>
  <si>
    <t>Sotos Ochando y</t>
  </si>
  <si>
    <t>…la página 209 tampoco están de acuerdo con los ficó su entrada en esta capital el Excmo. Sr. duque de la Vic­ corazón y aun lo que ven otros. Hemos tenido la advertencia de mirar á nuestro rededor principios sentados por el Sr. Sotos Ochando y otros gra­ toria caballos. , y en seguida lo hicieron 20 batallooes, 600 artilleros y en el momento que pasaba el general, y cuando los vivas se máticos en cuanto á decir que hay muchos verbos que tie­ 900 Las levantaban al cielo con mas entusiasmo; y hemos visto arra­ nen dobles pa…</t>
  </si>
  <si>
    <t>y, Soult</t>
  </si>
  <si>
    <t>Soult y</t>
  </si>
  <si>
    <t>…25 registradas hasta que manifiesten ó se hallen los depósitos de ría. Se asegura que Mr. Dupin, después de haber visto al Rey, florines de ganancia anual. granos que tienen ocultos, último resto de sus fortunas. Asi­ al mariscal Soult y á Mr. Thiers, ha aceptado definitivameá* Al ver semejante pretensión involuntariamente se presenta mismo ha dado orden el feroz Cabrera para que todas las perso­ te el ministerio de la Justicia. La ausencia de Mr. Humann no á la imaginación la pregunta ¿qué ventajas puede ofrecer en nas me…</t>
  </si>
  <si>
    <t>y, Sta. Inés</t>
  </si>
  <si>
    <t>Sta. Inés y</t>
  </si>
  <si>
    <t>…ios extraordinarios para 1.° Que una comisión compuesta de los Sres. alcades ordi­ Souto, aprehendiéndole su correspondencia , 4 caballos con daros la paz. La teneis, y me toca mas satisfacción en que deis narios Excmo. Sr. conde Sta. Inés y licenciado D. Juan B au­ monturas y armas , y 9 fusiles ; cuyo importante servicio lo principio á reparar vuestras proloogadas pérdidas, que ql que tista Cisneros y del teniente regidor decano auditor honorario prestaron las trepas de la izquierda del M iño combinadas con me haya tocado…</t>
  </si>
  <si>
    <t>y, Subsera</t>
  </si>
  <si>
    <t>Subsera y</t>
  </si>
  <si>
    <t>…odría r a , Ministio de Estado de S. M. Fidelísima, á dos oficiales del Creo inútil suministraros nuevas pruebas, después de las por el contrario producir una colisión peligrosa para la Puerta mismo ministerio, y al Sr. conde de Subsera y da Bemposta, que os he trasmitido ea mis últimas comunicaciones, de la Otomana , atendiendo á que si las Potencias creían que la pro­ edecán de S. M. el Rey de Portugal. intención manifiesta de los oficiales rusos de extender la inter­ vocación venia de su parte, le negarían desde luego su…</t>
  </si>
  <si>
    <t>y, Surrá</t>
  </si>
  <si>
    <t>Surrá y</t>
  </si>
  <si>
    <t>…esté que habia sentido Otra de las observaciones es que la ley comprende personas peye. cierta extrañeza de que los Ministros de la Corona sentados en que no debe, y no comprende personas que debe compren­ Siguió á S. S. el Sr. Surrá y R ull; y si bien no citó h e­ esos bancos dejasen pasar la doctrina sobre si esta promesa era der. Esto no es mas que una consecuencia inmediata del artícu­ chos de Roma , los citó de Inglaterra. Yo celebro quizá mas una ley ó un decreto emanado del Gobierno. Yo no ruego á lo 13 del documen…</t>
  </si>
  <si>
    <t>y, Sánchez de la Fuente</t>
  </si>
  <si>
    <t>Sánchez de la Fuente y</t>
  </si>
  <si>
    <t>…os en fin los que todas las leyes sobre 4 ° Otro de la especial nombrada para informar sobre el pezar por los títulos que arreglan la policía de impresores, li­ imprenta tienen principalmente por objeto. proyecto de ley del Sr. Sánchez de la Fuente y otros Sres D i­ breros y expendedores. Después de diferentes ensayos, se ha establecido la teoría putados sobre que los capitanes generales y los regentes de las Publicado un impreso, se necesita saber la clase á que perte­ del editor responsable, ser ficticio y real á un mis…</t>
  </si>
  <si>
    <t>…icas y variedad de artículos. Se dió cuenta, y fue aprobado el dictamen acerca de la pro­ el proyecto de ley presentado por el Gobierno sobre libertad de A rt. 22. No se podrá publicar n ingún periódico sin que posición del Sr. Sánchez de la Fuente y otros Sres. Diputados, im p re n ta , habia nombrado por su presidente al Sr. Arguelles, se presente al gefe político de la provincia un editor responsa­ relativa á que no puedan ser Diputados los Senadores , los ca­ y secretario al Sr. Benavides. ble de cuanto en él se escri…</t>
  </si>
  <si>
    <t>y, Tadeo López</t>
  </si>
  <si>
    <t>Tadeo López y</t>
  </si>
  <si>
    <t>…ndo. ta común. Queso, arrobas............... 12,852 Quien quisiere hacer á él proposiciones lo verificará en la Tasajo, arrobas 174,941 £ administración de la misma eucoaaieoda en Villarejo de Sal- Curso de matemáticas por D. Tadeo López y A guilar. Tres Velas de sebo, arrobas 11,165 £ vaoés. tomos en 4 .0, edición de 1796, á 75 rs. en rústica y 103 en pas­ y disminuido En arroz, arrobas.................. 42,547 | ta común. Bacalao, arrobas............ 58,756 | Tomos sueltos, 1.° á 15 rs. en rústica. Carne de vaca ,…</t>
  </si>
  <si>
    <t>y, Tarancon y los Sres. Puche</t>
  </si>
  <si>
    <t>Tarancon y los Sres. Puche y</t>
  </si>
  <si>
    <t>…Pontejos, presidente.=Los señores de Albacete. tal de votantes 1 0 7 : mayoría absoluta 54 * D. Salustiano de Olózaga y general M a n s o , vicepresidentes.— Asimismo lo quedó de otra comunicación del mismo Sr. Se­ El limo. Sr. Tarancon y los Sres. Puche y B a u tista , D rument, Para sexto in d ividuo fue elegido el Sr. López (D. J o a q u ín ) cretario del Despacho de la Gobernación de la Península en que por 79 votos, habiendo obtenido el Sr. L u z u ria g a 2 1 , y los se­ Eraña , A rib au y Cobo de la T o r r e , vo…</t>
  </si>
  <si>
    <t>y, Teresa Nicolasa de Santiago</t>
  </si>
  <si>
    <t>Teresa Nicolasa de Santiago y</t>
  </si>
  <si>
    <t>…ría D ía z , en verso. tido Sí c. 1 77698 id. id. L a marquesa de Seneterre. El campanero de S. Pablo. El Por el presente c i t o , llamo y emplazo á los parientes mas 1 86 5 00 id. id. V am piro , de Scribe. cercanos de Doña Teresa Nicolasa de Santiago y V a lle jo , n a­ 186 6 69 id. id. Todas llevan u:a grabado en madera al principio de cada tural del lugar de Sautecilla en el valle de M e n a , vecina que 187247 id. id. comedia que representa su princip al escena. fue de esta c iu d a d , viuda de Don M an uel de l…</t>
  </si>
  <si>
    <t>y, Toledo</t>
  </si>
  <si>
    <t>Toledo y</t>
  </si>
  <si>
    <t>…esto en la secretaría de la quien corresponda.=Está rubricado de la Real mano.= PARTES. ju n ta económica de dicho parque á toda hora del d ia. Dado en Palacio á 29 de Enero de 1839.= A Don Isidro Alaix. E l comandante general de Toledo y C iud ad -R eal dice que el comandante de la p artid a de F uencaliente, el Chorno, le da T&gt;OR providencia del Excmo. Sr. capitán general de la p ro - Como Reina Regente y Gobernadora, durante la me­ parte que el 24 salió en persecución de los ladrones que corrían , vincia de C astilla la…</t>
  </si>
  <si>
    <t>…uas. ñones de á 12 y municiones de guerra que ha venido á buscar taba maltratado en todas partes por el furor de las olas. Era Esa musa ha inspirado profundamente á uno de los mas hoy parte de la caballería del 4«° con su coronel Toledo y al­ esta la primera vez que su corazón experimentaba el temor del grandes poetas modernos: á Meli. Las ideas mitológicas tíeneu gunos oficiales de la plana mayor del ejército. A retaguardia peligro; pero quiso desafiarlo. Queriendo permanecer nuestro en sus versos la misma frescura que en l…</t>
  </si>
  <si>
    <t>y, Tomas Ortega</t>
  </si>
  <si>
    <t>Tomas Ortega y</t>
  </si>
  <si>
    <t>…ta mas que tes de protección y seguridad pública , fue descubierto y preso m ilitares y ocho sentenciados, que han protestado de su fideli­ en la h isto ria.A si es aue podemos d ec ir, porque lo sabemos de en el dia de ayer D. Tomas Ortega y G arcía, director p rin - dad al Gobierno y pedido regresar á su pais. Todavía quedan positivo, que ea la independencia de la Polonia inspira mas te­ ¡ cipul de una gran fábrica de moneda existente en la calle de 150 de estos in d iv id u o s, 90 sentenciados por varios delitos, y…</t>
  </si>
  <si>
    <t>y, Toreno</t>
  </si>
  <si>
    <t>Toreno y</t>
  </si>
  <si>
    <t>…e conformándose S. M. con el fallo de la audiencia de Ovie­ ciales que la ganaron en la misma clase de servicios, lo cual El Sr. Ministro de H A C IE N D A : Señores, todas cuantas do, habia tenido á bien declarar en el conde de Toreno y su hace que mas pueda decirse que fue una honorífica distincioú observaciones se hagan sobre este proyecto no servirán mas que fam ilia este requisito. Yo confieso que no estaba inuy al cor­ concedida á una clase, que una condecoración dada á la per­ que el Gobierno fije toda su atención e…</t>
  </si>
  <si>
    <t>y, Unanue</t>
  </si>
  <si>
    <t>Unanue y</t>
  </si>
  <si>
    <t>…to­ exterminio, á no rendirse, como es probable lo hagan, si ya UN AVENTURA D I SCARAMUCCIA. ronesa. no lo han verificado. Después de la comedia se leyeron por los actores d i­ Terminado el primer acto, se cantará por el Sr. Unanue y ferentes composiciones alusivas á las circunstancias; pare coristas, en celebridad de los felices acontecimientos de las pro­ ciéronnos notables por la belleza y elevación de los pen­ vincias del Norte, el ZORCICO VASCUENCE del maestro samientos 1a titulada la P az, de D. Miguel Agustín…</t>
  </si>
  <si>
    <t>y, Valdés</t>
  </si>
  <si>
    <t>Valdés y</t>
  </si>
  <si>
    <t>…siste en la mitad del h a ­ diputación. Se dió cuenta de una comunicación del Sr. conde de Cleo- renuncio ta palabra. ber adjudicado a IX Francisco Cornide en los términos que in­ Tocándole por turno el uso de la palabra al Sr. Valdés y nard al G&lt;*tó¿erno, por la que pone en su conocimiento la que dica la segunda ba&gt;e. 5.° Que se remitan ejemplares de esla no hallándose presente, la obtuvo y dijo ha recibido de D. Jo*é Saavedra y Tenorio, secretario del ge­ 'tewtewcia a los editores de U Gaceta de Madrid y Boletín ofi­…</t>
  </si>
  <si>
    <t>y, Villarrubia</t>
  </si>
  <si>
    <t>Villarrubia y</t>
  </si>
  <si>
    <t>N.º 1666. SABADO 8 DE JUNIO DE 1839. d ie z CU a r t o s . PARTE OFICIAL. parte, que se den las gracias al capitán Villarrubia y tropa de Abercromby, con el título de barón Durmferlioe de D u r m f e r — su mando que concurrieron á este encuentro. line en el conda lo de Fife, y no el de barón de lAinros, co­ mo se habia dicho generalmente. S. M. la R e in a , su augusta Madre la R e in a G oberna ­ El capitán…</t>
  </si>
  <si>
    <t>y, Villó</t>
  </si>
  <si>
    <t>Villó y</t>
  </si>
  <si>
    <t>…a r o , del maestro R ic - las tropas y su activa movilidad para llevar á cabo sus acerta­ E l Sr. Benavides tiene una duda , y puede ser que algo dos planes. Se observa que las personas sensatas y verdadera­ c i ; por Ja Sra. Villó y coristas, con decoración y trajes. m as: yo no tengo capacidad para resolver las verdaderas du­ mente amantes del orden y de la justicia están sumamente com­ das de S. S.; pero en cuanto á esta, resuelta está en el regla­ placidas del Gobierno de S. M. por haber elegido un gefe m i­ mento. ®…</t>
  </si>
  <si>
    <t>…......... 20 tarde. 4 .° Rondó en la ópera ¡l Nuovo Fígaro , del maestro Ric- Doña A. de T ............................................................ 20 No se incluirán en las matrículas los menores de 15 años. ci ; por la Sra. Villó y coristas, con decoración y trajes. Doña A. de P .............................................................................. 100 La entrada para todas las cátedras será por la calle de la D. José Tuileda.......................................................................... 8 Cruz. D…</t>
  </si>
  <si>
    <t>…as de la catedral: Redacción del Guardia Nacional, calle Ancha. j2:°&gt; Cavatina nueva en la ópera Roberto el Diablo , del maestro Alicante, C arratalá: Algeciras, Guerra de Contillo: A v i­ ción y trajes. Mayerbeer; por la Sra. Villó y coristas, con decora­ la, A gu ado: BarbastrOj Lafita : C á d iz ^ é d ito r del Tiempo: Córdoba, Berard: Coruña , Perez: Cartagena*, Beriedifctó: Cuen­ 5.° Los Encajes de Bruselas , quinta tanda de walses de Strauss, con decoración. ca , Feijoo: Ferrol , Tajonera: Figueras, Miegeville:…</t>
  </si>
  <si>
    <t>…ión y traje. ' .s ^ galidad diferentes escritos á favor de los derechos de D. Carlos, 6 .p Cavatina en la opera Roberto el Diablo , del máestro y se responde con moderación á las razones en que se fundan Mayerbeer , por la Sra. Villó y coristas ; con decoración y sus autores. Una cuestión curiosa y trascendental tratada con trajes* - VACANTE. dignidad y buena fe, no puede menos de excitar el Ínteres de Los profesores de la- orquesta -han procurado* refinir éó la todo español. Cualquiera que sea su opioion , y si se lee…</t>
  </si>
  <si>
    <t>…lesia en su celebración y administración, y el 6 .° Cavatina en la ópera Roberto el D iablo, del maestro Vales Reales no consolidados, '00. uso que ha hecho de ellos desde el tiempo de los apóstoles hasta Mayerbeer , por la Sra. Villó y coristas ; con decoración y el presente; escrita en francés por el R. P. D. Carlos Chardon, trajes. Deuda negociable de 5 por 100 á papel, 00. y traducida al castellano con adiciones y notas por los señores D. Fr. Aiberico Echandi y D. Juan de Campo y Oliva. Ocho tomos en 8.°, edición d…</t>
  </si>
  <si>
    <t>…a heroica villa D. Angel Mazon por D. Manuel Fernandez de Sres. Unanue y Calvet; con decoración y trajes. Descuento de letras, á 6 por 100 al año. 6.° Cavatina en la ópera Roberto el Diablo , del maestro Meyerbeer , por la Sra. Villó y coristas ; con decoración y (1) Esta opinión ha sido destruida completamente por re­ trajes. sultado de una serie de observaciones y trabajos comparados, sobre los cuales dire a ustedes algo para su periódico. BIBLIOGRAFIA. NOTA. Esta f unción no entra en el número de las de abo­ {Nota d…</t>
  </si>
  <si>
    <t>y, Wenceslao de Linares</t>
  </si>
  <si>
    <t>Wenceslao de Linares y</t>
  </si>
  <si>
    <t>…gara , jurando man­ /"ABRAS del Excmo. Sr. D. Gaspar Melchor de Jovellanos, documento alguno, y resultando que 3un en el caso de rebajar­ comunarse para conseguir la prosperidad de su patria. N o es arregladas é ilustradas por D. Wenceslao de Linares y se l^s votos de que hace mención , sun quedaban con mayoría posible pintaros tan hermoso trance. Brillaba en el semblante j Pacheco. 1= Nueva edición, zz Prospecto. =:Si Jovellanos hubiese los elegidos, no te parecía que este caso pudiese detener la apro­ de los bizarros vas…</t>
  </si>
  <si>
    <t>y, Yeracruz</t>
  </si>
  <si>
    <t>Yeracruz y</t>
  </si>
  <si>
    <t>…do dicha ciudad eo el día señalado la pesos fuertes de la capital, el los ayuntamientos y diputaciones provinciales, procuran­ lo aqlW fcr, trajtará Y* &amp; de enterarse por todos los me­ cónsul francés se presentó al gobernador de Yeracruz y le ame­ do averiguar las causas de las diferencias que noten, para dios legales que esten á su alcance de las maquinaciones nazó con que protestaría al día siguiente. El gobernador le con­ que solo ejerzan el derecho electoral aquellos á quienes que puedan preparar los enemigos del reposo…</t>
  </si>
  <si>
    <t>y, Zurbano</t>
  </si>
  <si>
    <t>Zurbano y</t>
  </si>
  <si>
    <t>…im iento provincial de Lo ­ P R IN C IP E . H oy sábado se ejecutará el drama nuevo ea Lisboa 26 de Julio.. g roñ o , las compañías del comandante Nalda , la colum na del dos actos , traducido del francés , titu lado: coronel Zurbano y com o 2 0 0 caballos del regimiento de caba­ llería de B orbon , 5.° de linea ; todo á las ordenes del goberna­ L i censura moderada y justa es «correctiva saludable* EL ABUELO. dor de esta plaza D . Bernardo Echaluce; y á las nueve de la pero desde el punto que traspasa los límites de…</t>
  </si>
  <si>
    <t>…ue se citan para que se digne elevarlo al conocim iento de tos por mucho tiempo. El tardío castigo de los crímenes hace los que mas se hubieren distinguido en ella para tomarlas en S. M . , debiendo recomendar al bizarro coronel Zurbano y á las penas ineficaces y dispendiosas; y no pocas veces el inocen­ su Real consideración. te se ve con fu n d id o, y padece cou el culpado por muchos me­ las beneméritas tropas que han concurrido á tan gloriosa jo r­ ses, y aun por años enteros, antes que el fallo de los tribuna­ nada…</t>
  </si>
  <si>
    <t>Ya, España.</t>
  </si>
  <si>
    <t>España. Ya</t>
  </si>
  <si>
    <t>…tan el J e n a , las circunstancias que los han producido, y ia suerte que ha su­ A yer 5 llegó á N tw -p o rt un destacamento de húsares del 10 el Hércules y el Tridente. Se añade que y a sea por las fatigas frido el conde de España. Ya hacia a*gun tiemoo que los gefes procedente de Bristo!. Todo indica que N ew -p o rt ha entrado en y privaciones que ¿ufre nuestra marina en el bloqueo ficticio carlistas de Cataluña toleraban con impaciencia el yo g o de el orden. El interrogatorio de los presos y la sum aria relativa d…</t>
  </si>
  <si>
    <t>Yagüe</t>
  </si>
  <si>
    <t>…obierno á un proyecto de siendo por lo tanto conveniente se suspendiese la admisión en se comprende á unos y no á otros. Cuando llegue otro artícu­ ley , cuyo principio cardinal, cuya conveniencia pública es el Congreso del Sr. Yagüe hasta que este hecho estuviese acla­ lo estará S. S. en su lugar haciendo estas observaciones, aunque hasta cierto punto de todos reconocida? He aqui la conformi­ rado. yo le aconsejo que consulte con su/am igo y mi amigo el señor dad del Gobierno; pero en los detalles y en las particularida­…</t>
  </si>
  <si>
    <t>Yagüe, Joaquín</t>
  </si>
  <si>
    <t>Joaquín Yagüe</t>
  </si>
  <si>
    <t>…lla, D. José Hidalgo y 3.a Recurso de fuerza-en el conocer y proceder. Reflexiones compañía: V alencia, D. Ju an Bautista Jim e n o : Zaragoza, tobre la instancia seguida por D. Juan Raroon balido Cañave­ BOLETIN DE COMERCIO. D. Joaquín Yagüe. ras ante el provisor juez eclesiástico de Jaén sobre que se le de­ Precio de suscripción: 16 rs. vn. en la corte, y 17 en las clare no ser religioso profeso de la orden de Trinitarios calza­ BOLSA DE M A D R ID . provincias por cada tomo, anticipados bajo recibo. dos, y libre para dis…</t>
  </si>
  <si>
    <t>YALBUENA</t>
  </si>
  <si>
    <t>…nemigo. los anales del mundo; reciba V . M . por tan venturoso suceso sión de las elecciooes de León. El orador manifiesta que es imposible que un ministerio la felicitación mas grata de estos fieles súbditos y trasmita la El Sr. Y A L B U E N A manifestó que la comisión sin duda pueda gobernar, ni que se puedan emprender las grandes re­ ternura de nuestros sentimientos al corazón hoy gozoso de por una equivocación involuntaria pedia testimonio de las ac­ formas que la nación necesita, mientras esté en oposición con vu estre…</t>
  </si>
  <si>
    <t>Yalce</t>
  </si>
  <si>
    <t>…qué pues no sometió Ls ta manifestación es del 11 de Setiembre. U n despacho telegráfico, fecha de Argel 1.5 de Diciembre, deznaS'figuras á esta? ¿ por qué se complació en am ontonar lan­ y de Tolon 18, dirigido por el mariscal Yalce al M inistro de ces é incidentes en aquellas intrigas insustanciales, robando el la G u e rra , anuncia que no se ha verificado n i n g ú n combate inferes al sentimiento p rin cipal? P o rq u e , como ya hemos d i ­ formal en ia provincia de Argel. N o h an comenzado en O ran La Gaceta de Lon…</t>
  </si>
  <si>
    <t>Yaldemoro, Felipe López</t>
  </si>
  <si>
    <t>Felipe López Yaldemoro</t>
  </si>
  <si>
    <t>…ocó á los sugetos si­ fin de recoger ó tener prontas las ollas y demas útiles que guientes: D. Juan R u iz , D. José Figuer y Cubero, D. Fran­ los penados pueden y deben llevar consigo, economizan­ cisco Antonio de P a n d o , D. Felipe López Yaldemoro, Don Se sabe que Mr. Detmod y el doctor Cristiaoi fueron inti­ do asi á la dirección general de Caminos los gastos de Manuel Labraña , D. Francisco de las Casas, D. Cleto E g u i- mados por dos jueces criminales á declarar si se consideraban trasporte, saber los puntos en que…</t>
  </si>
  <si>
    <t>Yaldeose-, D. Juan José Rodríguez</t>
  </si>
  <si>
    <t>D. Juan José Rodríguez Yaldeose-</t>
  </si>
  <si>
    <t>….......................................... 554795 . 55 anticipaciones Santiago, una de las mas importantes que hay que ejecu­ Por traslación de caudales reintegrables................... .. 1824591.. 51 p O R providencia del Sr. D. Juan José Rodríguez Yaldeose- .................. 754967,. 50 tar, de manera que queden cerrados los arcos á toda costa Por diferentes ingresos puramente accidentales. este verano, y se practiquen los reconocimientos de los Por la anticipación de los 200 millones 288025. • 5 juez dera ,primera…</t>
  </si>
  <si>
    <t>Yaldeosera, José Rodríguez</t>
  </si>
  <si>
    <t>José Rodríguez Yaldeosera</t>
  </si>
  <si>
    <t>…aide, D. Joaquín de Echavarría , D. Ricardo López, D. Antonio González , D. José de Castejon, D. Miguel M ar- p O R el presente y providencia dictada por el Sr. D. Juan qüés y Villegas, D , Lorenzo Marau , D. Andrés M artí, Don José Rodríguez Yaldeosera, caballero comendador de la Juan Garay y Casal, D. Rafael Cañaveral, D. Francisco Ja­ Real orden Acbericana de Isabel la Católica , juez togado de EL LIBRO DE LOS NIÑOS, vier Sánchez y D. Juan José G il, que aparecen endosantes de primera instancia de esta corte, refrenda…</t>
  </si>
  <si>
    <t>YALDES</t>
  </si>
  <si>
    <t>…es son los desengaños, co n tin uó , que la experiencia ha Se leyó el 3.° ta lid a d , y asi se acordó. demostrado con respecto al sistema de requisición. En efecto, El Sr. marques de V IL U M A indicó que á su parecer de­ El Sr. Y A L D E S : No me opongo en m anera alg u n a á que no h ay que ad m irarse; la requisición envuelve m il inconve­ bia exceptuarse de la requisición un caballo de los oficiales ge­ la H acienda pública h aga todos los esfuerzos posibles para re­ n ien tes; ataca la propiedad: es una contribución t…</t>
  </si>
  <si>
    <t>Yaldés, Gerónimo</t>
  </si>
  <si>
    <t>Gerónimo Yaldés</t>
  </si>
  <si>
    <t>…ENTO S D E L G O B IE R N O el profesor de^ Maquinaria y dé pintpra D. Lucint. — nombrando comandante general de la Guardia Real exté-¡ "La música ha siap expresameoté compuesta ppr el maestro D oii rior al teniente general D. Gerónimo Yaldés. ?(Nútn. 1.498.) Y DE* LAS- mKECCtOÑES y 'AdTbklÉÁDES SU^ERÍÓr Í s. 1 Ramón Carnicer ; y .Jos &gt;bailes iqvent^adoa y dirigidos’pbr D on Real orden dirigida á excitar el cejo do Jos tribunalps[? y pro-; Áútonio Cáiron y D i Juan Bautista Cozzer. mover la mas pronta administraciqn.^éú…</t>
  </si>
  <si>
    <t>Yalee</t>
  </si>
  <si>
    <t>…particulares. buques menores. Con todos estos buques se puedeo trasportar reclamó el nombramiento de persona inteligente y firme, que Necesario es, por ejemplo, predicar con frecuencia á desde luego 4§ hombres; pero el mariscal Yalee, según dicen, en la corte de aquel imperio representase á la nación portu­ los fieles el precepto de la caridad. Asi se ha hecho y se pide hasta 100 . guesa,, pues el Gabinete se contentó con aprovechar la casua­ lidad de mudarse algunos ministros eu el Brasil para llenarnos hará, y se deber…</t>
  </si>
  <si>
    <t>Yalenzuela, Silvestre</t>
  </si>
  <si>
    <t>Silvestre Yalenzuela</t>
  </si>
  <si>
    <t>…dispuesto en la regla 7.a de la pos de voluntarios realistas. que los casos eran bien diferentes, pues que en el dictámen so­ anterior Real órdeo.” Contestación del Infante D. Carlos al ministro plenipoten­ bre la peticioo de D. Silvestre Yalenzuela se hacia una recon­ Y para que llegue á noticia de los interesados, se hace sa­ ciario de S. M. en Portugal á la intimación de éste de Real vención al Gobierno por haber desatendido sus servicios y la ber la anterior Real orden por medio del presente aviso para orden para que S.…</t>
  </si>
  <si>
    <t>Yalores</t>
  </si>
  <si>
    <t>…pitales dé provincia desde la Del recibo de,esta circular esperan también la direc­ dos, dé qué trata da citada Real orden de 28. de .Bngró fabrica del sello; la devolución dél sobrante desde las mis­ ción y contaduría general de Yalores que se servirá V. último. ‘ ; Y_ mas capitales al referido establecimiento, y la conducción darles aviso para su gobierno. - ' , 2 ° Que á esté fin y á falta de utro regulador, &lt;aten? á Cádiz del que sé remita para el surtido de las posesiones Dios guarde á Yi S. muchos años.-Madrid 25 de M…</t>
  </si>
  <si>
    <t>Yalé</t>
  </si>
  <si>
    <t>…nes, y se designará el almirante á los nuestras fronteras al abrigo de una agresión posible, y probar electores de Saint Maló. que la Holanda está preparada para cualquier acontecimiento. De resultas de la negativa del mariscal Yalé para el M i ­ Las cartas de S. Petersburgo anuncian que el embajador in ­ El H andelsblad contiene las mismas noticias. Añade que nisterio de la G uerra, se habla del general Schramtn. gles en Rusia ha tomado medidas para mantener á la Ingla­ esos movimientos de tropas serán seguidos de medida…</t>
  </si>
  <si>
    <t>Yalée</t>
  </si>
  <si>
    <t>…ud , ha continuado organizando tropas regulares, fácil es de ser bati­ Despacho telegráfico* d o : él tiene un cuerpo, y nosotros podremos alcanzarle. Si, H oy en dia la Dinamarca tiene una superficie de 1 ,0 2 2 E l mariscal Yalée al Sr. ministro de la G ae r ra .= A rg e l 1 6 . = como no lo dudam os, la campaña que debe abrirse en los p ri­ metros cuadrados. Puede calcularse de población del reino á Tolon 19 de Noviembre de 1 8 5 9, meros de Marzo se dirige con tanta habilidad como tesón, el 2 . 1 5 5 , 1 0 0 habit…</t>
  </si>
  <si>
    <t>…..... 5,948 5,175 7 ,it5 M i deber como autoridad y mi conciencia como español ce­ Existen.*.......... 54O 44^ 985 loso del bien de mi patria me obligan á excitaros á que hagais Un despacho telegráfico dirigido por el mariscal Yalée al uso de vuestro derecho. Si por una culpable apatía no denun­ Ministro de la Guerra con fecha 16 de Argel, y 19 de Tolon, ciáis los errores que en las listas pudiera haber, vuestro silen­ anuncia que se han verificado dos combates en los alrededores cio falsea en su base nuestras leyes fun…</t>
  </si>
  <si>
    <t>Yan-IIalen, Antonio</t>
  </si>
  <si>
    <t>Antonio Yan-IIalen</t>
  </si>
  <si>
    <t>…rs* roes, y en todas las La verdadera misión del poeta es la que le designó H ora­ literaria. provincias, á 6 frauco de porte, en las comisiones de la agencia Ayer 25 llegó á Daroca el general en gefe del ejército del Centro D. Antonio Yan-IIalen. (Id.) cio : animis juvandis , recrear el ánimo : y todo el que la cumpla dignamente , tendrá por bien empleado el trabajo y el tiempo que le hayan costado sus composiciones. Este objeto es muy noble; pues aumenta , sin menoscabo de la virtud , la cor­ Toda la división de Cabr…</t>
  </si>
  <si>
    <t>Yangham</t>
  </si>
  <si>
    <t>…ncos, están ó nc dando a V. E. parte cada ocho dias de lo que vaya ade­ guarda-costas Barcino, trayendo detenido el brich barca G//Z- sujetos á ellas. lantando, según se me previene en Real orden de 21 del w3oweste e , su capitán Yangham , con 7900 fusiles á su bordo, sien-' Enterada S. M. de lo expuesto, como asimismo de la* actua l, y á la cual por a hora* satisfago con 4o expuesto. buque el mismo que Y. E. me indicaba en su comuni- razones producidas por Y. E. en apoyo de su opinión ne­ Dios guarde á V. E. muchos años. M…</t>
  </si>
  <si>
    <t>Yarela, Manuel Yazquez</t>
  </si>
  <si>
    <t>Manuel Yazquez Yarela</t>
  </si>
  <si>
    <t>…a ó instrucción que presentaron á dicha Hoy se presentaron en esta plaza con sus armas y caballos pagar por entero las anticipaciones que hizo la sociedad sociedad dos ilustrados patricios (l) , cuyos nombres figu­ el oficial D. Manuel Yazquez Yarela , D . Pelayo López R a n - en su favor. ran ya con gloria en los anales de nuestra abatida agri­ cañ o, D . José Teijeiro y dos individuos de tro p a , uno con En cambio de estas ventajas que se le conceden, y que cultura. Esta memoria contiene cuantos datos pueden de­ caball…</t>
  </si>
  <si>
    <t>Yarte, Pedro</t>
  </si>
  <si>
    <t>Pedro Yarte</t>
  </si>
  <si>
    <t>…ez Crespo, por la cual se halla á D. Manuel Bartolomé M iranda, D. Manuel Lindo, D. Pedro su cargo la subsistencia, asistencia y curación de los enfermos LOS ASESINOS D E FL O R E N C IA . Martínez Crespo, D. Pedro O rd u ñ a, D. Pedro Yarte. Y para del ejército que ocurren en el hospital militar de esta plaza, su publicación en la Gaceta de M adrid, según previene la ley, he dispuesto se convoquen lidiadores para otra nueva subasta Seguirá un intermedio de baile; dando fin á la función con y está mandado en auto del Sr„ ju…</t>
  </si>
  <si>
    <t>Yañez</t>
  </si>
  <si>
    <t>…n del h í­ ferior al promedio de las tablas desde 1852 hasta 1858. En actualidad en esta rada son: la fragata A rm ida , mandada por gado. Esta pérdida es irreparable para el reino de Labor. cuanto al primer hecho, observa el Sr. Yañez que en e te pun­ el co ntra-alm iran te A rn o u s; la corbeta C rio lla , aparejada Un fallecimiento tan repentino ha excitado sospechas á las to se presentan á cada paso d los observadores anomalías capa­ para hacerse á la v e la ; la corbeta A dour , id .; el bergantín el cuales no es extra…</t>
  </si>
  <si>
    <t>Yañez, Agustín</t>
  </si>
  <si>
    <t>Agustín Yañez</t>
  </si>
  <si>
    <t>…o al nuestro; pero esto cambios á que está sujeto nuestro sistema planetario. bas manos, especialmente la derecha, para juzgar también importaría poco, porque en pocas victorias como la de Ramales En la propia sesión el socio D. Agustín Yañez presentó un de la corrección de d ib u jo , resulta infundada la im puta­ nos igualaríamos; y si el número les diese atrevimiento para ejemplar de pirita compacta y cristalizada, y otros de mármol ción de no verse las mas bellas partes de la figura. Por lo internarse algún tanto , esta…</t>
  </si>
  <si>
    <t>Yega, Vicente</t>
  </si>
  <si>
    <t>Vicente Yega</t>
  </si>
  <si>
    <t>…a no Jaén en los almacenes de la empresa de aquella carretera, y al Juan Molina Martínez y Pedro Martínez, en 14 de Marzo, y a tenido conocimiento de ellos sino cuando los ha promulga- efecto ha salido ayer para aquella ciudad D. Vicente Yega, ca* ; abandonada en 51. o el Gobierno. Es evidente ene solo se ha tratado de exasperar pataz de la 6.a brigada, sugeto inteligente y de suma actividad, Otra id. de grafito, sitio de Pendú del arroyo, término de &gt;s ánimos en vez de tratar de calmarlos. YA espero que la Gá- para que la&gt;…</t>
  </si>
  <si>
    <t>Yelarde, Francisco</t>
  </si>
  <si>
    <t>Francisco Yelarde</t>
  </si>
  <si>
    <t>…8 de esta división , el coronel del regimiento infantería volun­ Dios guarde á V. m uchos años. Madrid 21 de Mar­ Arbitrios de amortización........................ , 1 .0 5 1 ,9 8 9 .. 1 8 tarios de Valencia, 4*° de ligeros, D. Francisco Yelarde, refor­ zo de 18 3 9 .= Ramón Santilian.c=:Sr. contador de rentas Cesión de papel y donativos.............................. 7 ,5 6 2 .. 9 zando esta con el batallón del Infaate, 5.° de línea, la artillería de la provincia de..... Participes de todas clases..........................…</t>
  </si>
  <si>
    <t>Yelez, Juan Lorenzo</t>
  </si>
  <si>
    <t>Juan Lorenzo Yelez</t>
  </si>
  <si>
    <t>…homeo­ por ei doctor León Simón, y traducidas por el lp misma calle siempre por la acera de la derecha, calle ancha y 2 0Títulos | á v. al portador al 5 por 100, 20 once dieziseisavos , y f. ó vol. y firme con cupones. doctor Juan Lorenzo Yelez, pasarán á la librería de la viuda de Peligros, carrera de S. Gerónimo á la Puerta del Sol, calle Inscripciones en el gran libro á 4 por 100, 09. de Razóla á recoger las entregas sexta, séptima, octava, nove­ de la Montera y de Fuencarral á la puerta de los Pozos ó de Títulos al p…</t>
  </si>
  <si>
    <t>Yelheim</t>
  </si>
  <si>
    <t>…enormes peda­ D. Gaspar Rodríguez. {Id.) La apertura de la Dieta se ha verificado hoy con la solem­ zos de rocas. Han perecido bastantes personas, y otras han sido nidad de costumbre. l i é aqui el discurso de S. E. el conde de Yelheim dirigido á los Diputados : hiendas por las exhalaciones. {Presse.) "Señores: S. A. el duque os ha convocado para llenar el deber que os impone vuestro carácter de representantes. Unta MADRID 2 6 DE DICIEMBRE. nueva era financiera va á empezar: en prim er lugar tendréis En T urq uía se suce…</t>
  </si>
  <si>
    <t>Yicente</t>
  </si>
  <si>
    <t>…illas , tendidas en línea recta al frente de ellas, no dis­ en la toma de la ermita de Santa Bárbara por el destacamen­ S. M ., eficazmente secundado por sus agentes en las pro­ pararon un solo tiro. to al mando del teniente D. Yicente G uillaum a que salió á v in cias, debe circunscribir su influencia á mantener ile­ En este momento dos batallones enemigos que se hallaban hacer la descubierta del fuerte de Albalate en la mañana del sos el orden y la tranquilidad pública, asegurando la li­ sobre el desfiladero de U tr i…</t>
  </si>
  <si>
    <t>Yickowich</t>
  </si>
  <si>
    <t>…comisarios de Inglaterra á la Jamaica á fin de adop­ R E IN O D E H A N N O Y E R . Rusia contra la Inglaterra.*Resulta de los documentos que te­ tar las leyes reclamadas por las circunstancias. nemos á la vista que el capitán Yickowich habia sido enviado Air . Goulburn echa en cara al Gobierno el no haber guar­ Osnabruck 5 de Abril . por el gabinete de Petersburgo cerca de Dost-M ohammet-Kan. dado á la Cámara legislativa de !a Jamaica todas las considera­ En su segunda entrevista con este Soberano, le manifestó el ca­…</t>
  </si>
  <si>
    <t>Yigo, Meodez</t>
  </si>
  <si>
    <t>Meodez Yigo</t>
  </si>
  <si>
    <t>…titucional. Senado en las sesiones anteriores, relativa á concesión de ana d a d , y digo que acaso puede ser este un defecto de esas insti­ Convengo en que no puede haber unidad en una gradación elpensión á la viuda del general Meodez Yigo. tuciones; pero ése no es un defecto tan grave, cuando vemos de fueros: hay algunos que se rozan con esa unidad , otros que que en Inglaterra subsiste, y que en Francia ha subsistido: po­ no se rozan , y otros en los que puede haber duda. Por eso se bado.Se leyó la ley, y el Congreso l…</t>
  </si>
  <si>
    <t>Yila</t>
  </si>
  <si>
    <t>…N T E contestó que la re­ greso El Sr, Ministro de la G U E R R A : He dicho antes que la pro­ comendación que deseaba el Sr. Temprado estaba ya hecha en tomaría en consideración un asunto de tanta ¡rapo, taocia. posición del Sr. Yila tendia á una pequeña interpelación , y esa el dictamen con decir que el interesado habia recurrido otras nifestando El Sr. S A N C H E Z L A F U E N T E sostuvo el dictámen m a­ ya ha ido alargándose: Decia yo que si se quisiera interpelar dos veces al Congreso. la precisión que la comisión ten…</t>
  </si>
  <si>
    <t>Yila-</t>
  </si>
  <si>
    <t>…eron la Europa en el siglo r ; del influjo de la li­ Primera sección.—Presidente, Sr. Olózaga. Vicepresidente, teratura árabe en la española, y de la época ea que los judíos Sr. Valle. Secretario, Sr. Quinto. Vicesecretario, Sr. Yila- vinieron á España. Kingston (Jamaica) 30 de Agosto de 1858. El 1.° del cor­ Cedron. A propuesta del Sr. Mesonero se trató en una de las sesio­ riente , con arreglo á lo dispuesto por el Gobierno ingles, tuvo Segunda sección.—Presidente, Sr. conde de Vigo. Vicepresi­ nes de la formación de un…</t>
  </si>
  <si>
    <t>Yillaarnil</t>
  </si>
  <si>
    <t>…dibujo á la ag uad a m u y gracioso de la señorita F eui- o p o rtu n id ad . monumentos de una de las mejores épocas del gusto gótico. l l e t , dos ó tres vistas de la misma clase, de D . R am ó n G il , y Claro está que el Sr. Yillaarnil ha tenido que excederse, por algunas copias de cuadros de V i l l a a m i l , ejecutadas por varios decirlo a s i , para obtener en este cuadro u n buen resultadoo; de sus discípulos. pero lo ha conseguido en fuerza de su talento. H a y pues en él i P or ú lt im o , no podemos menos de ll…</t>
  </si>
  <si>
    <t>Yillafranca, Nicolasa</t>
  </si>
  <si>
    <t>Nicolasa Yillafranca</t>
  </si>
  <si>
    <t>…currentes. No estuvieron menos felices la Sra. Pellizari, primera da­ número no; la de reemplazos entre todas las provincias del rei­ ley que autoriza al Gobierno para hacer una re­ DE DON ALBERTO LISTA, m a , su criada Doña Nicolasa Yillafranca, y madama Mon- tañana , las cuales respectivamente obtuvieron muestras inequí­ quisición de 6J caballos; la relativa a la ejecución de la vocas de aprobación, y tantas que no dudo habrán quedado contribución extraordinaria de guerra, y la instrucción A UM EN TA D AS muy satisfec…</t>
  </si>
  <si>
    <t>Yillafuertes</t>
  </si>
  <si>
    <t>…vimiento del reverendo padre no preside en los nombramientos de sus empleados el acierto la operación magnética, el enfermo abre los ojos por sí mismo ó que en seguida decía solemnemente á sus oyentes: " Vosotros no que en el Sr. Yillafuertes, la nación le será deudora de muchos con la asistencia del magnetizador , y generalmente se siente enteod-eis esa lengua, ni yo tampoco; pero creedme; esa es U y señalados beneficios. bueno y confortado. Después de esto observa centellitat de lu* lengua de Dios, y con ella nos habla al…</t>
  </si>
  <si>
    <t>Yillagarcía, Joaquin</t>
  </si>
  <si>
    <t>Joaquin Yillagarcía</t>
  </si>
  <si>
    <t>…rio en litigio. Juzgado de amortización. Holandeses: 5 por 100, 1 0 3 f: 2 | id ., 55f. Por providencia del Sr. intendente subdelegado de Rentas Damos á continuación un extracto del mensaje del Presiden­ se cita y emplaza á D. Joaquin Yillagarcía, casado en la villa Se lee en la Gaceta de M ontreal : te de los Estados Unidos de que se ha hecho mérito: de Medina del Campo, para que en el término preciso de'seis En virtud de sentencia judicial, Cárlos H indeulang, el ca­ dos empezada De la correspondencia entre la Inglater…</t>
  </si>
  <si>
    <t>Yillalaz</t>
  </si>
  <si>
    <t>…r, A la lea lea’, Acá no tamente su papel; pero son acreedores á un tributo especial de ORDENES Y REGLAMENTOS DEL GOBIERNO te has de colar, La Rosa y Tirana, por García , á 4 ? y reuni­ justicia el abogado Careaga,el licenciado Yillalaz, el capitán das 20 : se hallará en el almacén de Lodre , con las canciones de la compañía de artilleros nacionales D. Juan Reguiez, y de los bailes españoles arregladas para piano solo, guitarra ó el Sr. de Mocoroa. J Y DE LAS DIRECCIONES Y AUTORIDADES SUPERIORES. flauta , á 2 rs. cada u…</t>
  </si>
  <si>
    <t>YILLALON</t>
  </si>
  <si>
    <t>…reglamento se decia si eran dignas ó no de tomarse en con­ BOLETIN DE COMERCIO* general D. Santiago W a l l , conde Armildez de T oledo, é ins­ sideración. trucciones que se le cometen para la pacificación del pais suble­ El Sr. Y I L L A L O N elogió la conducta de D. J u a n M a r ­ B O L S A DE M A D R I D . vado de las provincias exentas.. tin Arnedo; y dijo que creia ser esto una intriga de los con­ Comunicación notable desde Paris al v ire y en cargos de trabandistas para alejar un hombre que no les convenía. Cotizaci…</t>
  </si>
  <si>
    <t>Yillarrubia, Gerónimo</t>
  </si>
  <si>
    <t>Gerónimo Yillarrubia</t>
  </si>
  <si>
    <t>…ontinua persecución por la pequeña columna que opera á las órdenes del práctico y activo capitán de francos desde 1.° de Enero de 1827 hasta 3Í de Diciembre de 1838. camino de dicho pueblo i las órdenes &lt;jel capitán de San- D. Gerónimo Yillarrubia. t&gt;igo D. José N avarrete, se encontraron con los dos primeros En la provincia de Palencia han sido capturados los cabe­ Por el licenciado D. M anuel Sánchez de Bustamante , abo­ batallones facciosos; y aunque estos ocuparon ventajosas posi­ cillas José María Pascual, Pablo Fonc…</t>
  </si>
  <si>
    <t>Yillarrubia, San- D. Gerónimo</t>
  </si>
  <si>
    <t>San- D. Gerónimo Yillarrubia</t>
  </si>
  <si>
    <t>…en una continua persecución por la pequeña columna que opera á las órdenes del práctico y activo capitán de francos desde 1.° de Enero de 1827 hasta 3Í de Diciembre de 1838. camino de dicho pueblo i las órdenes &lt;jel capitán de San- D. Gerónimo Yillarrubia. t&gt;igo D. José N avarrete, se encontraron con los dos primeros En la provincia de Palencia han sido capturados los cabe­ Por el licenciado D. M anuel Sánchez de Bustamante , abo­ batallones facciosos; y aunque estos ocuparon ventajosas posi­ cillas José María Pascual, Pa…</t>
  </si>
  <si>
    <t>Yillavieja, D. Gregorio</t>
  </si>
  <si>
    <t>D. Gregorio Yillavieja</t>
  </si>
  <si>
    <t>…rincipalmente de la aritmética y geome­ intelectual y física, y métodos de enseñanza; , míuiero de /¿O en ei d ia , han venido á ser el modelo para las tría; se instruirá á los alumnos en los* principios racionales so­ limo. Sr. D. Gregorio Yillavieja , religión y moral. *nuchas que se van estableciendo por todas partes. N o haremos bre que se funda cada una de las operaciones aritméticas, para D. Vicente Masarnau , elementos de física. aquí mención mas que de las de Francia, donde se han organi­ que puedan explicarlas ot…</t>
  </si>
  <si>
    <t>Yinaroz</t>
  </si>
  <si>
    <t>…existan ; pero eludiendo personalidades y argumentos como se deja Ver en su citado oficio. Dios guarde a V. 8. mu­ faltos de verdad, que favoreciendo poco a los que las escriben, EFECTOS PUBLICOS. chos años. Cuartel general de Yinaroz 2 i» de Octubre de 183/.— desquician el primer elemento de la obra, y no se consigue ¡ el Marcelino Oráa.—Sr. intendente de la provincia de Huesca. interesante objeto á que se aspira. Sentiré que mi antagonista Inscripciones en el gran libro á 5 por 1 0 0 &gt;00. Otra, Intendencia m ilitar d…</t>
  </si>
  <si>
    <t>Yincennes, Gamarra.</t>
  </si>
  <si>
    <t>Gamarra. Yincennes</t>
  </si>
  <si>
    <t>…llegado á saber que la dipu­ en Chile el general Prieto; en Bolivia el general Velasco; en el con la fuerza de 150 hombres cada una. Todavía quedarán en tación provincial elevó á Y . M. una reverente manifestación Perú el general Gamarra. Yincennes dos compañías que servirán de modelo para organi­ de los sentimientos de lealtad y respeto que animan á los ha­ zar dos batallones. No se habrá olvidado que en el campo de bitantes de esta proviocia al observar las tentativas que se prac­ maniobras de Fontainebleau los tiradores c…</t>
  </si>
  <si>
    <t>Ylendo</t>
  </si>
  <si>
    <t>…uarda del se­ cortesanos, llamado D. ¡Viendo. Esta equivocación ejs eL ches: asimismo mando que las calles se tengan barridas, lim­ llo al Sr. Ministro que ha de velarle, y después asistir á la verdadero nudo del drama, porque D. Ylendo se enamora pias y regadas ¿ desembarazadas de obstácülbs dé matérialés de función del recibimiento; y de conformidad con cuanto se sir­ perdidamente de Blanca, esposa de García. - - f obras y demás en cuanto sea posible sin grave perjuicio, todo ve V. E. I. manifestarme al remitirme dicha exp…</t>
  </si>
  <si>
    <t>Yo, Zea Bermudez.</t>
  </si>
  <si>
    <t>Zea Bermudez. Yo</t>
  </si>
  <si>
    <t>…dad crómica ni contagiosa. rá después: ahora podéis gan ar tiem po.” en que se exam ine ese fin para que se han aplicado. El Go­ Cada uno de estos documentos debe ir legalizado por tres M e haré cargo de la autorización del Sr. Zea Bermudez. Yo bierno encontró la nación en un estado lam en tab le; los recursos escribanos; pero bastará una legalización con tal que se refiera y a habia formado mi ju icio sobre esto cuando vi que hoy el leoian por fuerza que ir en d ism in u ció n ; con error ó sin é l , el á todos ellos. S…</t>
  </si>
  <si>
    <t>Yo, Zea.</t>
  </si>
  <si>
    <t>Zea. Yo</t>
  </si>
  <si>
    <t>…e, porque el Gobierno lo que ha dicho el Sr. Calatrava , que ha escandalizado á E u ­ yo tuve la suerte de penetrar en los arcanos del congreso de es siempre uno mismo. Yo no he dicho que el ministerio ac­ ropa la memoria del Sr. Zea. Yo ruego á S. S. que no esté en Tropau , y sabe S. S. que ese congreso se dió en anatematizar el tual haya dado esa m isió n: debo declararlo solemnemente para esa persuasión , porque no es cierto ; yo se lo aconsejo. sistema constitucional , y hablar contra la Constitución , que tranquilizar á…</t>
  </si>
  <si>
    <t>Yorck</t>
  </si>
  <si>
    <t>…núm. 14 había naufragado dirigiéndose desde dicha isla á 1 8 5 6 , 1857 y 1858, que desde el primero de estos años la m a- mente. Séame pues permitido manifestar que el Gobierno tiene la Barbada á bordo del bergantín El duque de Yorck que en el riua Real se ha reforzado de una manera notable. En 1855 la la confianza de haber cumplido fielmente con sus deberes ha­ año anterior se declaró inútil para el servicio. Mas de 150 in­ Inglaterra oo contaba mas que nueve navios de línea en activo ciendo presente la situación en que…</t>
  </si>
  <si>
    <t>Yslardecon</t>
  </si>
  <si>
    <t>…FR A N C IA . mente, es decir, que corte de una vez sus relaciones con A bd- ge general de prisioneros que «e da por seguro; el-K ader, y que impida en lo sucesivo que se trasporten por En Gíoebrosa parmanece todavía el coronel Yslardecon tres Paris 4 de Diciembre, el territorio marroquí armas y municiones para aquel gefe de batallones. Se ignora cuando harán movimiento nuestras tropas los árabes , ó que de no hacerlo asi considere que han cesado hacia el Matarraña , cuyos ptróblo# favorecidos este año de una Bolsa del…</t>
  </si>
  <si>
    <t>Yteiar</t>
  </si>
  <si>
    <t>…lez.=Pedro H olguin.= fundado en ella un gran número de establecimientos agrícolas, para que las contribuciones sean como hasta aqui efectivas en Francisco Fueates.=Miguel Adán. entre los cuales descuella te posesión del barón de Yteiar , en medio del lastimoso estado de los pueblos; de esta suerte serán el Beni-Moussa al pie del A tla s, alrededor de 1a cual hay un menos sensibles las uecesidades públicas, y el ejército no se ve­ grupo de varias alquerías y una pequeña aldea. Adem as, es rá privado de los recursos que ha me…</t>
  </si>
  <si>
    <t>Yutosh, Mae</t>
  </si>
  <si>
    <t>Mae Yutosh</t>
  </si>
  <si>
    <t>…osiciones y enviado El dia de la llegada de la escuadra francesa dio una gran ta n c ia , presagiaba grandes obstáculos á las resoluciones mucho inmediatamente orden a Ib rah im -b ajá para que detuviese su comida el gobernador Mae Yutosh al almirante y á sus oficia­ nías moderadas que debía adoptar la Francia. Sin embargo, marcha. les, y al dia siguiente se dió otra en Gacnbio á bordo de la parece haberse resuelto esta dificultad felizmente. Aunque este arreglo parece coocluido consuma precipitación, Nereida:' ? ' ^ E…</t>
  </si>
  <si>
    <t>YYerther</t>
  </si>
  <si>
    <t>…proclamarlo, y las numerosas peticiones depositadas sobre la lord Palmerston : Mr. y Mine. Yan de W e y e r , Mr. N oth om b mesa por M. O ’Connell prueban de una manera irrefragable el conde S e n ftt, Mr. D e d e l, el barón YYerther, Mr. H u m e - que la Irlanda tiene confianza en el ministerio actual. Lord lauer, el barón de Bourgueney y el conde de Cabotasisth asis* Norm anby debia pues conceder su patronazgo á los amigos del PARTE NO OFICIAL. tian á aquel banquete. ( M orning-Fust •) Gobierno. En Inglaterra se con…</t>
  </si>
  <si>
    <t>Za, Alcalá</t>
  </si>
  <si>
    <t>Alcalá Za</t>
  </si>
  <si>
    <t>…gunta al Congreso si toma en consideración la e n ­ Se dió cuenta y acordó constase en el acta que la comisión Ambassade de France en Espagne. mienda , y resuelve negativamente. encargada de informar sobre la proposición del Sr. Alcalá Za­ Vuelto á leer el art. 1 .° dijo mora para que se exija la responsabilidad al M inisterio por los Les Sieurs Candaudap L e ó n , LafFatigue, Je a n Baptiste, El Sr. GONZALEZ A L O N S O : Cuando voy á hablar con­ atropellamientos cometidos contra su persona, habia nombrado E yharchet Jea…</t>
  </si>
  <si>
    <t>Zacarías</t>
  </si>
  <si>
    <t>…ez, eo 6 0 0 rs. e.n busca de orna fuerte facción de caballería mandada por. el. publicarse sacan á pública subasta varias fincas, sitas en téraú - L a mitad de otra tierra de caber toda ella i i fanegas , al- llamado brigadier Zacarías B u g e ra Palillos, hijo mayor del ca­ no y |arijdiiccio-ii de la villa de Y a [demoro, pertenecientes i siitio de Val déla,estrella . en 5 5 0 rs. bed lia del mismo nombre , ge fe de lías facciones de la Man­ D-, Igmii'cio Echavarna y sa esposa Doña María Luisa Sánchez,, Otra de una fan…</t>
  </si>
  <si>
    <t>Zafont, Ignacio</t>
  </si>
  <si>
    <t>Ignacio Zafont</t>
  </si>
  <si>
    <t>…e deseamos que se adopten, es decir , medidas que asegu­ En Oadaqués, D. Ramón Basart. numéricos, que son necesarios para resolver el gran problema ren la libertad legal y la prosperidad pública. Si obrase de este En B esalú , D. Ignacio Zafont* qué el cielo presenta á la t ie r r a , á saber; " d a d a la posición del</t>
  </si>
  <si>
    <t>Zaldivar, María Felipa</t>
  </si>
  <si>
    <t>María Felipa Zaldivar</t>
  </si>
  <si>
    <t>…rogando á la comisión admitiese una y las libertades de la nación , ha cabido en suerte con el pri­ se comunicase al Gobierno. enmienda á aquel artículo, y se dijese en él que á los soldados mer extracto de la de este dia á Doña María Felipa Zaldivar, El Sr. SA N C H EZ D E L A FU E N T E dijo que bastaba procedentes de la quinta de 1009 hombres, á quienes convenga huérfana y hermana de D. H ilario , teniente del batallón fran­ solo que se avisase al Gobierno; pero después de un brevísimo recibir su recompensa en predios r…</t>
  </si>
  <si>
    <t>Zamora</t>
  </si>
  <si>
    <t>…e A imena , al Srl electo de:Oviedo j que era antes ar­ cuerpo coteglsltedor luallaiiid,ase. las Corles ¿oiccta.s, y cuando no El Sr, F'ERREJR,: T mve el honor de «¡poner el ©tro día all , cediano., y por último al Sr* obispo de Zamora , que era doc­ lo reftén 9 oonenrrirá á este acto igual número de Senadores y ■ Senada ¡las raaooes ecoafiinkas en que me fon,da,lia para' pedir , tora! fie Va ttadolíd*,Qniero: cotecarlm .en ta . misma •situado» D ipataé!» de tes. que residan á la e®¡ la curte:1y descae qpe se rehazse á S…</t>
  </si>
  <si>
    <t>…, que ceñirá sus sienes con la corona PARTE NO OFICIAL. La universidad de Yalladolid ha felicitado á S. M. por me­ de laureles cogidos en ’sus afortunadas campañas mezclados dio de una comisión, compuesta de los Sres. obispo de Zamora, con el fruto de la concordia. La libertad civil del pueblo M inistro de Gracia y Justicia, Camaleño, Melero y González, español era sin la paz una este'ríl teoría, y con ella tendre­ doctores de la mism a, llevando la palabra el primero, y de la mos beneficios positivos, que son los que habl…</t>
  </si>
  <si>
    <t>Zamora, Alcalá</t>
  </si>
  <si>
    <t>Alcalá Zamora</t>
  </si>
  <si>
    <t>…tad. A petición del Sr. M ontoya (D. Diego) se leyó la exposi­ que la cercanía de nuestras tropas no los deja campear con la M ilic ian o s: Me glorío de ser vuestro mas sincero amigo, ción original que elevaba al Congreso el Sr. Alcalá Zamora. libertad que antes. (Id.) uno de vuestros mas fieles compañeros; no dudo de vuestra co­ El Sr. M O NTO Y A (D. Diego): Como el Congreso acaba operación, asi como tampoco debáis dudar de que en defensa de o ir, el Sr. Alcalá Zamora se queja en su exposición de las de vuestros interes…</t>
  </si>
  <si>
    <t>Zamora, Antonio</t>
  </si>
  <si>
    <t>Antonio Zamora</t>
  </si>
  <si>
    <t>…ibano de greso, ni crean los Sres. D iputados, que deje de tener la comi­ S. M. y del número del crimen, se cita , llama y emplaza por sión razones , asi corno las ha tenido el Gobierno para proponer término de tercero dia á D. Antonio Zamora, para que tan este artículo en los términos que lo hace. pronto como llegue i su noticia este aviso se presente en la au­ Si la doctrina fuese tal como la presentó en el dia de ayer el En el de 5 de Enero del corriente año se ha servido tam­ diencia de S. S ., sita en el piso bajo d…</t>
  </si>
  <si>
    <t>Zaragoza</t>
  </si>
  <si>
    <t>…ta­ Para la que ha de examinar la ley de beneficencia , los se­ El Sr. J A E N propone que se determine que en la secreta­ do de Vergara ha robustecido la consolidación del trono de ñores Caamaño , marques de Pontejos , duque de Zaragoza, ría del Congreso quede una copia de esta exposición para los nuestra inocente Reina Doña l abel t i , la Regencia de V. M. Capaz y marques de Falces. efectos oportunos. y la Constitución de 1857, dando al mundo un testimonio con­ Para la comisión que entiende en la ley sobre testa raen t i…</t>
  </si>
  <si>
    <t>…icos. dida que pueda evitar el escándalo de esa especie. Me quejo de Ortigosa , y observemos en la Real orden en cuestión si se ar­ H icieron mas; en un artículo expreso conservaron la dignidad que se permita que el arzobispo de Zaragoza insulte á su g o­ regló el Gobierno á las leyes que rigen en la materia. eclesiástica libre de la volu n tad, conservando el fu e ro , j solo bernador: esto está en el Gobierno. N o era de la inspección del Gobierno al tiempo de impe­ añadieron que el fuero de los clérigos continuara segú…</t>
  </si>
  <si>
    <t>…a; pero venia el general con uniforme de hú­ sideración su atento y seguro servidor Q. S. M. B.=Palafox, plication pronunciaremos explicasíon ; mas no sucede lo sar, y no pareciera bien en el carruaje, el cual sin embar­ duque de Zaragoza. mismo con las vocales compuestas, de que carecemos en go ha seguido muy inmediato; y como estaba tan vistosa, ador­ nuestra lengua: asi es que en la palabra autel, por ejem­ naba mucho la marcha. plo, las dos primeras letras forman una vocal compuesta Los claros y avenidasMe extramuros es…</t>
  </si>
  <si>
    <t>…merecida y general tud , dispensarán haga público lo expresado. S. S. S. Q. S. M. B.= no ha sido por culpa mia. En mis viajes, en mis publicaciones, gratitud á) ilustre general Espartero que ha llevado á término Palafox, duque de Zaragoza.=Sr« editor y director de la Gaceta he invertido una parte considerable de mi fortuna. Si hubiese feliz tan difíciles negociaciones. de M adrid. hallado en Paris un editor que quisiese im prim ir mis obras en El Congreso no admira solo en él , como otras veces, el va­ castellano, se las hu…</t>
  </si>
  <si>
    <t>…M a roto, se­ Eran las nueve de la noche del lunes siguiente cuando llegó gún nos d ijeron , á quien le vimos bailar y tomar parlé activa tinados. manos, “ el ayuntamiento constitucional con el discurso de la Cuartel general de Zaragoza 5 de Octubre de 1 8 39 .= E t da-* en una función dispuesta para celebrar el tratado de V ergara. corona a la apertura de las Cortes 5 y el convenio celebrado eo que de la V ictoria . {Eco de Aragón .) La presencia de aquellas y este parece el mejor testimonio de Vergara por os generale…</t>
  </si>
  <si>
    <t>…r diferentes comisiones. participo á Y. E. en comunicación que por separado me cabe Habiendo graduado las secciones 5.a , 4»a y 5.a de útil y la honra de noticiárselo en este mismo correo. oportuna la proposición del Sr. duque de Zaragoza para que se Ruego pues á Y. E. tenga á bien hacer presente á S. M. Señora : El trono, la grandeza, el triunfo de vuestras a r­ erija un monumento en Yergara , se dió cuenta de la proposi­ esta pequeña prueba de mis puros y leales sentimientos, como mas, el amor de vuestros pueblos , la esp…</t>
  </si>
  <si>
    <t>…e no ha llegado á ser la causa ó la cambio de Gabinete, como se ha dicho. Solo ha M nguiro c Irib arren y D. Eugenio L adrón de G uevara, de la P enínsula, y la que transite dentro de la línea de y por la de Zaragoza al duque de Zaragoza , reelegidos cuatro leguas en las fronteras y dos en las costas, siem pre introducido en el seno del Consejo algunas divergencias de opi­ niones sobre los medios de ejecución que convendría emplear todos por las mismas provincias: por la de Almería a Don que la cantidad exceda de 2 3 rs. y…</t>
  </si>
  <si>
    <t>…entas, y á que las oficinas Francisco Varea Cornejo , conde de Pinofiel, duque de Castro- El Sr. P R E SID E N T E : Propongo a! Senado que se pregun­ activen los trabajos necesarios para la formación de ellas. terreño, duque de Zaragoza, marques viudo de Pontejos y los te si se aprueba la proposición del Sr. duque de Frias. Puesto á votación el párrafo 1 0 , fue aprobado. Sres. secretarios conde de V igo y D . D iego Medrano. Hecha la pregunta se aprobó por unanimidad. Se leyó el párrafo 11 y una adición del Sr. Medrano…</t>
  </si>
  <si>
    <t>…o que exige su asunto. te falta de sectido y de exactitud en las ideas, asi como omi­ Duque de Castroterreño.........................................Zamora. siones de bastante consecuencia , lo reproducimos hoy íntegro Duque de Zaragoza.................................................Zaragoza. coa las necesarias correcciones. D. Juan Romeo y Tello.... ................... Idem.</t>
  </si>
  <si>
    <t>…50 ñoles, y para celebrarlo ha creído que en medio de las públicas drid 14 de Setiembre dé 1859.=Excmo. Sr.=:Manuel Ortiz de 2 .° * 20 demostraciones de alegría y fiestas que prepara, ninguna será Taranco.zzExcmo. Sr. duque de Zaragoza, director del cuartel mas grata al Gobierno de S. M. que la en que desplegue los nacional de inválidos. A rchivo . sentimientos de beneficencia de que se halla animado. En su consecuencia ha dispuesto dar una comida á los pobres presos en C ontestación . Archivero........................…</t>
  </si>
  <si>
    <t>…El orador manifestó en seguida que después de nombrado previene que no sean detenidos ni presos los españoles, sino en los casos y formas que las leyes previenen , allanando la casa de TEATROS. Piocer del reino el Sr. duque de Zaragoza , á pretexto de que un ciudadano, sin guardarle siquiera las consideraciones y fór­ PR IN C IPE . H oy no hay función. era cabeza de una conspiración, se le puso en prisión en la no­ mulas legales; y en vista de todos estos cargos, manifiesta que che del 23 de Junio de 1834» y entooces se d…</t>
  </si>
  <si>
    <t>Zarco, D. Manuel Remon</t>
  </si>
  <si>
    <t>D. Manuel Remon Zarco</t>
  </si>
  <si>
    <t>…á lo ha sido de la Coruña: el Sr. D. Jaime María de Salas, deca­ el pensamiento de adjudicarse por medio de la mentira la in­ los otros por la intimidad de una comunicación secreta. R e ú - no de la de P uerto-R ico: el Ilmo. Sr. D. Manuel Remon Zarco fluencia de esas situaciones conocidas, cuya presencia es una nense luego en los almacenes de vino, y sobre todo en el que del Valle, ministro honorario del tribunal de guerra y m ari­ bandera, y cuya personalidad es su símbolo? indicaba Barbés en su billete. Al principio son p…</t>
  </si>
  <si>
    <t>ZARCODELVALLE</t>
  </si>
  <si>
    <t>…os de Doña Tomasa sentase un proyecto de ley penal y preventiva acerca de frau­ ta d o , dijo U jara iz, y teniéndoles que hacer saber el contenido de un des­ des contra la Hacienda pública. Las secciones tercera y cuarta El Sr. Z A R C O D E L V A L L E : Señores, ocioso parecerá pacho librado por el Excmo. Sr. capitán general de Granada, decían 110 ser útil y oportuna. empeñar la discusión sobre la totalidad del proyecto sometido se les da este aviso para que tan pronto como llegué á su noti­ El Sr. P R E S I D E N T E…</t>
  </si>
  <si>
    <t>Zavala</t>
  </si>
  <si>
    <t>…que estas causas de batallón de esta provincia ; y se asegura que también el titula­ Títulos al portador del 5 por 1 0 0 , 1 8 £ , 1 9 ± , tres diezi- perplejidad serán al fin destruidas por el tiempo y la reflexión; do general Zavala ha desaparecido, habiéndose, segua unos, seisa vos y 19 cinco dieziseisavos á v. f. ó vol. y firme: 19| , pero es mi deber anticipar cuanto esté de mi parte el regreso de ocultado , y según otros, fugado á Francia. I 9 f , | y 19* á v. f. ó vol. á prima de i , i , f , nueve diezi­ las famil…</t>
  </si>
  <si>
    <t>…ó al que quedaron en este pueblo. Por nuestra parte hemos tenido de Hacienda con fecha 5 del actual comunica á esta di­ menos negar al tabaco filipino las cualidades superiores algunos heridos, entre ellos levemente el brigadier Zavala. rección y contaduría general de Valores la Real orden que le conceden los inteligentes y los mismos consumido­ La frontera solo dista un cuarto de legua , adonde me ade­ res de mejor gusto. lanté con la escolta y una compañía , habiendo tenido una en­ siguiente: trevista con las autoridades…</t>
  </si>
  <si>
    <t>Zea</t>
  </si>
  <si>
    <t>…me prueban cia sospechosa de que voy hablando, tengo que empezar el ne­ tribunales: se llevó á la fuente de la justicia, que es el tribu­ la tendencia , no m uy constitucional, es que me consta, como á gocio de la misión del Sr. Zea , con lo que creo que es el fin de nal supremo de Justicia. muchos Sres. D iputados y españoles, que el Gobierno tiene muchas gentes de fuera y dentro de España que hacen la guer­ Se pasó el oficio siguiente (leyó). D ig o mas: creo que hasta agentes, principalmente en los países extrangeros, qu…</t>
  </si>
  <si>
    <t>…de consecuencias mas graves de las que muchos mañana, limitándose entre tanto á solo cumplir la palabra que Sr. Calatrava. pueden pensar la existencia ó no existencia legal de esa ley; y dio ayer de presentar la memoria del Sr. Zea, impresa en Pa­ El Sr. CABALLERO: Me limitaré á deshacer cuatro equi­ yo procuraré examinar brevemente todos los principios bajo los rís en francés en 19 de Febrero de este año, la cual había con­ vocaciones en que ha incurido el Sr. Ministro de Gracia y Jus­ cuales importa que sea examinada.…</t>
  </si>
  <si>
    <t>…a se han omitido: asi, si h ay algun a equivocación, después se rectifica. los lo siguiente : ''Quedando sin efecto la autorización conce­ no lo ha leído en algú n manuscrito, no sé cómo sea cierto lo Pero volviendo á lo del Sr. Zea; ese señor estaba fuera del re i­ dida por la ley de 17 de Abril de 1858.” que dice S. S. no , no tenia empleo ni sueldo, no reclamaba nada , y por con­ Quedo sobre la mesa un dictamen de la comisión de Actas Pero de todos modos el ministerio ignora la existencia de siguiente no he tenido ocas…</t>
  </si>
  <si>
    <t>…D. Carlos también cooperadores. los medios de subsistir ; necesitamos inclinar á esas naciones á Después de extenderse el orador en lo que ya llevaba mani­ MADRID' 2 9 DE OCTUBRE. que le nieguen sus auxilios; y no digo yo al Sr. Zea, á Calo- festado acerca de que el Gobierno no debía pertenecer á nin­ marde mismo, al hombre mas enemigo de nuestras institucio­ gún partido, pues que esta había sido la causa de haberse re­ nes le hubiera yo empleado si hubiera sabido que de ello se ha­ tardado la conclusión de la guerra, concl…</t>
  </si>
  <si>
    <t>Zienuski, Francisco</t>
  </si>
  <si>
    <t>Francisco Zienuski</t>
  </si>
  <si>
    <t>…acienda quear la población, dispuso la salida en aquella dirección del destruyen en un dia los trabajos de algunos añ o s, y á la par nacional por el derecho de exportación es tan insignifi­ teniente de caballería de Salamanca D. Francisco Zienuski con que se desmoralizan las masas, corrompen una institución cu­ cante, que en los últimos doce años solo ha producido la la partida de su m a n d o , logrando este oficial alcanzar el dia 28 y as heridas son siempre mortales. á los expresados rebeldes, á quienes cargó y acuchill…</t>
  </si>
  <si>
    <t>Zigler</t>
  </si>
  <si>
    <t>…a autoridades c i v i l e s , militares y eclesiástica y personas notables retirasen á dos iglesias principales para organizarse a i ti bajo las concluido que fue se sacaron en triunfo por las calles princi­ órdenes del coronel Zigler , hasta que fuesen relevados por los yticularmente consuelo en todas las autoridades, patriotas entusiastas, y par­ pales de la ciudad el libro de la Constitución de 1857 t y los en las malhadadas familias de Gandesa y su par­ retratos de nuestras Reinas y del general Espartero; un inmen­…</t>
  </si>
  <si>
    <t>Zinza, Norberto</t>
  </si>
  <si>
    <t>Norberto Zinza</t>
  </si>
  <si>
    <t>…titud de que son tuche de matemáticas cada uno de ellos. vista de C openhague, y en el centro de esta galería se eleva el susceptibles los relojes de longitud con la deducción de esta D. José de U r ia r té , D. Andrés M ora , D. Norberto Zinza, observatorio. En la parte mas alta del ángulo que corresponde por las distancias lunares. D. J u a n R u b io , D. Antonio S e g a le r v a , D. Eugenio S o u b i- á la puerta de la torre h ay la siguiente inscripción : D octrinam Satisfizo completamente las preguntas relativas á de…</t>
  </si>
  <si>
    <t>Zorri</t>
  </si>
  <si>
    <t>…ent e la fidelidad que h a - ; Luna para beneficio del Sr. L u n a : D. P e d r o e l C r u e l , del N in gun o de vosotros ignora que ‘los obispos rusos y toda bian prometido antes á la Iglesia romana. Deploramos que ha- j Sr. Zorri l la , para el de la Sra. Lam adrid m a y o r: G abriela d e esa ilustre nación, que después de recibir la unidad católica pan civilizado tan tristemente el carácter sagrado de que los i B elle I s l e para el de su hermana ; y el C a m p a n e ro d e S. P a - con la fe c r istia n a , se ha…</t>
  </si>
  <si>
    <t>…mé s o un s a i n é - \ y o r en todo lo que va He t empo r a d a . reinado una alegría universal , habiéndose conservado el rnayor te , y no por eso le a p l a u d i r í a el público ^ ni seri&amp; excelente si | Sabemos que el Sr. Zorri l la c on c l u y e a c t u a l m e n t e otra n u e ­ orden y urbanidad en la co ncurrencia, que en todas partes se era detestable. va c om e d i a ; bien hace en escribir de con t i n uo qu i e n tan e l e ­ ha agolpado á gozar de estos brillautes festejos. Esto baste acerca de la profeúon…</t>
  </si>
  <si>
    <t>Zorrilla</t>
  </si>
  <si>
    <t>…p a r a f u n d a r esta última parte a ñ a d irem o s algunas pruebas. ceo. Esto por sí solo no sigo i tica ria mas sino q u e el señor T o rre nos a d m ir a n á veces y nos a r r e b a ta n con rasgos de ¿ Q u ie re el Sr. Zorrilla c o m p e n d ia r en cu atro versos Z o rrilla versifica f á c ilm e n te , q u e el Sr. Z o rrilla escribe la mas delicada ó sublim e poesía, p o r q u e entonce s, des­ los 50 que ha empleado para p in ta r la h erm o su ra de la m u c h o ; pero el ser en E spaña tan r a ro ver p u b…</t>
  </si>
  <si>
    <t>…ugo, P ujol; y en las demas provincias en tas principales li­ dolí-el, del cual hemos copiado este trozo, nos parece la los hombres, y apreciaba en lo justo todas las clases de la socie­ brerías. composición mas correcta del Sr. Zorrilla. dad. t€Los magnates, decía , me despojan, los literatos me ins­ El tomo iv de sus poesías incluye también una come­ truyen, y los hombres industriosos me enriquecen. En suma y dia que aun no ha sido representada. La junta de lectura para hacer un bosquejo suscinto, la época de su reinado…</t>
  </si>
  <si>
    <t>…RCICO VASCUENCE del maestro samientos 1a titulada la P az, de D. Miguel Agustín P rín ­ La Excraa. Sra. duquesa viuda de Gor, por sí y á nombre Sobejano , que tanto se aplaudió en la noche del 6 del corriente. cipe; las del Sr. Zorrilla por la valentía y expresión de de otras señoras, animadas del deseo de solemnizar el final de Concluida la ópera, y con el mismo motivo, se cantará la guerra civil, han pensado en proporcionar un socorro á las también por el Sr. Unanue y coristas otro ZORCICO VAS­ los conceptos, y por su…</t>
  </si>
  <si>
    <t>…ado á Paris un álbum litográíico de brado, y la Sra. Diez. La comedia Cada cu al con su razón tificación , £ por 100 de avería moderna, y ¿ por 100 de canal los puntos mas pintorescos de la ciudad de L yo n y de sus cer­ del Sr. Zorrilla , ha logrado alli un éxito brillante. de G u a d a lq u iv ir , encabezamientos, rentas provinciales y otros canías* Esta obra de lujo está destinada solo para los suscrip­ L a linda J u a n ita Perez, el docoso Pi'duelo d e Paris. está particulares de los que comprende la exposición elev…</t>
  </si>
  <si>
    <t>…tas Tota). poblaron el globo en otras épocas, cuya opinión , si llega á de­ terminada , podemos añadir todavía mas. El bellísimo in ­ marítimas. ter res tre s. mostrarse, ocasionará grandes cambios en la ciencia. genio del Sr. Zorrilla, de ese joven, orgullo de la poesía de En la propia sesión el socio Llobet presentó un ejemplar de nuestro siglo, no ha necesitado recurrir á medios violen­ Tesorería general de la Gaceta mercantil de Buenos-Aires de 2 de Marzo del año tos ni viciosos para producir bellezas de un género s…</t>
  </si>
  <si>
    <t>…ecayó en seguida sobre las enferme­ nio. Pues á ignorancia 110 puede achacarse; porque m u ­ ilustre la opinión del cuerpo electoral. dades de los sordo-mudos, y particularmente sobre la tisis pul­ chos pasajes prueban que el Sr. Zorrilla conoce como ei monar de que mueren tan gran número de ellos. Mr. Guyot no que mas los recursos dei estilo y del lenguaje de nuestra piensa que esta enfermedad sea una consecuencia del mudismo, poesía. No queda pues otro arbitrio que el de atribuir las que priva si pulmón del ejercicio que l…</t>
  </si>
  <si>
    <t>…ciones. en otra parte emite el autor de ella. Esto nos sucede hoy á no­ cio, ademas de que estaba presente ayer cuando se señalaron los Habiéndose concedido la palabra al Sr. Alvaro , el Sr. Ló­ sotros, porque la comedia del Sr. Zorrilla nos ofrece tres cues­ asuntos que habían de discutirse hoy. pez pidió se leyese una proposición que acababa de presentar. tiones distintas: el drama por sí solo, su prefacio y el discurso El Sr. O LO ZAG A : Prescindiendo del fondo de la cuestión Se leyó dicha proposición firmada por los…</t>
  </si>
  <si>
    <t>…e desde hoy es feliz, porque so­ tas en el pról ogo, como el modo de presentarlas. No creemos de las provincias del Norte el sábado y domingo por la via de bran recursos á esta nación grande para ocupar con prontitud q u e el Sr. Zorrilla se ofenda de nuestras observaci ones; su Francia han electrizado los ánimos de los leales habitantes de el lugar que le corresponde entre las europeas. sano j ui ci o , su elevado talento conocerá el objeto que nos m u e ­ esta capital. El festivo clamoreo de las campanas ; el bélico es­ Ho…</t>
  </si>
  <si>
    <t>ZORRILLA, JOSE</t>
  </si>
  <si>
    <t>JOSE ZORRILLA</t>
  </si>
  <si>
    <t>…e proveerla con brevedad, y para conocimiento de los profesores se previene que su dotación es Todos los que pretendan matricularse en este colegio deberán de 103 rs. anuales, pagados mensualmente por el a yu ntam ien to DE D. JOSE ZORRILLA. hacerlo desde el dia 10 de Ju lio hasta 1.° de O ctubre , dirig ien ­ del producto de un arbitrio im puesto sobre la c arn e, ademas de do un memorial en papel sellado al gefe local que presentará en unas 24 fanegas de trigo con que c on trib uy e su arrabal M a l a - Tomo 6.° y últim…</t>
  </si>
  <si>
    <t>Zorrilla, José</t>
  </si>
  <si>
    <t>José Zorrilla</t>
  </si>
  <si>
    <t>…iudad , sobre un plan algo sin­ teratos; y por último de una nueva comedia en tres actos y en divisiones estau separadas por una hilera interior de c u a­ g u lar; tiene 545 pies castellanos de largo y 98 de ancho; V erso de D. José Zorrilla, titulada A venturas de una noche . tro columnas, formando cinco intercolumnios abiertos, los pero en las dos extrem idades tiene alas en figura de m ar­ dos a las extrem idades, estando determinados entre las an ­ tillo, de modo que la planta de todo el edificio es alge tas. Este pó…</t>
  </si>
  <si>
    <t>…de ellas por el cono­ murieron en la guerra d éla independencia, y en la gloriosa Antigüedades de España: el mosaico de la Valmuza. cido y apreciable profesor D. Ramón Carnicer. En la versión de Crítica literaria. Poesías de D. José Zorrilla: juicio de esta estas odas se ha procurado que los acentos castellanos coincidan ludia que sostenemos por los legítimos derechos de Doña Isa­ obra. con los del original griego, y este se ha escrito con caracteres bel ir y las libertades de la nación, ha cabido en suerte con el A Boabd…</t>
  </si>
  <si>
    <t>…. periencias; pero sí quiere que se conserve su gramática, verriague y Blanco, director de la caja nacional de Amortiza­ Un casamiento ch in o, costumbres. ción ; D , Damaso Aparicio y D. Fernando Corradi , procura­ Soneto de D. José Zorrilla. su prosodia y los admirables modelos que han sentado su dores síndicos de ayuntamiento constitucional de esta muy he­ Origen de la sonámbula. poder universal en una base indestructible. roica villa; D. Manuel Villota y D. José Cano Sainz, del co­ Un lance apurado, anécdota. El esti…</t>
  </si>
  <si>
    <t>…lítica pues, como conocimiento de les sucesos mas notables Cómo se come en Berlin. que llamen la atención , será objeto desde hoy en adelante de un virtud de providencia del Sr. D . Benito Serrano y Alia- A Blanca , poesía de D. José Zorrilla. artículo de crónica mensual de los principales acontecimientos ga, magistrado honorario y juez de primera instancia en Invención de los fuegos artificiales. durante el mes anterior, tanto en nuestra patria como en los esta corte, refrendada del escribano del número D. José M a­ sigl…</t>
  </si>
  <si>
    <t>…lo valere n dicho juzgado y por la referida escriba­ á poner en escena la comedia n u e v a , en tres actos y en verso, n í a , dentro del preciso y perentorio término de quince dias, Comedia en tres actos y en verso, su autor D. José Zorrilla. o riginal de D. José Z o rrilla, titulada contados desde la publicación de este an u n c io ; con ap ercibi­ Esta comedia, representada con extraordinario aplauso en el miento de que pasado dicho término sin haberlo verificado , les teatro del P rín cipe, se vende á 8 rs. en las libre…</t>
  </si>
  <si>
    <t>…noche. Se volverá llos , pero expresivos, que retratan fielmente no solo el pais de a poner Astúrias , sino la índole y las costumbres de los habitantes de original en de escena la comedia nueva, en tres actos y en verso, D. José Zorrilla, titulada LES AVENTURES sus montañas. Tal vez ¡a crítica severa de nuestros dias, en demasía escru­ C A D A C U A L C O N SU R A Z O N . DE pulosa y descontentadiza, graduando de rusticidad la sencillez de algunas poesías de esta colección , y su naturalidad de des­ Si para dar al…</t>
  </si>
  <si>
    <t>…ner De orden del Sr. Ministro de la G o bernación se pre­ rándoles el perjuicio que haya lugar. en escena la acreditada comedia en tres actos y en verso origi­ viene á las corporaciones, establecim ientos dependientes nal de D. José Zorrilla , titulada * de su m inisterio, cuyos gefes y dem as em pleados de Real nom bram iento se incluyen en la G u ia de Forasteros, que p O R e! presente y en virtud de providencia del Sr. D. Benito C A D A C U A L C O N SU R A Z O N . para la del añ o de 1840 se sirvan pasar notas certi…</t>
  </si>
  <si>
    <t>…e M arina tiene la palabra. análoga para contener esos disturbios que han puesto á esta na­ El Sr. M inistro de M arina ocupo la tribuna y leyó un pro­ ción al borde del precipicio docenas de veces? ¿Qué otra na­ JpO ESIAS de D. José Zorrilla: tomo 4-° Contiene lo siguien* yecto de ley que S. M. le había autorizado para presentar á las ción de Europa ha visto trastornados los tronos, echados por te.=Mas vale llegar á tiempo que rondar un año, come­ Cortes, comprensivo de un solo artículo , y en que se concedía tierra los…</t>
  </si>
  <si>
    <t>…que vencerán el 21 del estado en que ahora se hiSHa á un lector medianamente ins­ próximo M ayo , en el cual y á las doce de su mañana se veri­ truido en geometría ; é incitar á los ánimos capaces del entu­ p O E S I A S de D. José Zorrilla : tomo 5.° Contiene lo siguien­ siasmo que inspiró á Ovidio cuando dijo: ficará el remate en la sala de sesiones de la junta en el convento te: Ganar perdiendo, comedia.-EI crepúsculo de la ta r­ de capuchinos del Prado. El pliego de condiciones de esta su­ de— ^ un ag uBa ? oda.^Ori…</t>
  </si>
  <si>
    <t>Zui</t>
  </si>
  <si>
    <t>…habrán pagado la pena de su temerario arrojo. escuela normal de instrucción primaria,” Albacete..................................... 2 .. "" Q ue siendo ya imposible llevar á cabo el plan que había concebido, dispuso el coronel Zui oano demoler la caseta y en­ En cumplimiento de lo prevenido en la Real orden ^A'caate..................................... ¡ava......................................... 2 í 15Ó0 tregar al fuego ios combustibles que la cubrían , lo cual se ve­ anterior el director de la escuela ha contestado l…</t>
  </si>
  <si>
    <t>ZUMALA</t>
  </si>
  <si>
    <t>…g is­ varias veces, y en ocasiones semejantes, decir que somos un encargada de presentar el m e n a je á S. M. trados, las palabras w y jueces de letras.” gran jurado, y que como tal se debía votar con arreglo á la ver- El Sr. Z U M A L AC A R R l i G U l , presidente de e l l a , dijo: 4.a De la com isión, en la que pedia que por las mismas dad y á la conciencia de cada uno. S. M. ha recibido á la comisión con su acostumbrada afabili­ razones que se habían excluido del voto pasivo á las autorida­ Y o no diré coico se…</t>
  </si>
  <si>
    <t>Zumalacarregui</t>
  </si>
  <si>
    <t>…C alatrava por 71 votos, siendo el total de los señores que consideración; yo los aprecio, y el Congreso sabrá apreciarlos to del de ah o ra , pues habría que examinar desde el origen y votaron 1 1 1 , y habiendo obteuido el Sr. Zumalacarregui 2/4 mejor que yo ; pero comprometido á dar un voto en este asun­ estado prim itivo que tuvieran las provincias hasta esta época. votos, el Sr. Barrio A y uso 12, el Sr. Arguelles 5 , y el Sr. Cor­ t o , y llenar todos los deberes de Diputado en una ocasión tan Piogaria al Congreso qu…</t>
  </si>
  <si>
    <t>…ores, hay dictámenes de la rificado el escrutinio resultó haber obtenido el Sr. Calatrava 55 Las protestas de las juntas son ya en ese caso directamente al omisión que pueden compararse con el que nos ocupa en este votos, el Sr. Zumalacarregui 2 5 , el Sr. Barrio Ayuso 2 , el Congreso. jomento, no solo por la semejanza de los casos, sino también Sr. Arguelles 1. Total de votantes 81. Mayoría absoluta 42. Se Respecto á la admisión del Sr. Arteta la comisión ha tr a ta ­ or la casi absoluta identidad : hoy mismo se ha discut…</t>
  </si>
  <si>
    <t>Zurbano</t>
  </si>
  <si>
    <t>…a el xv en propio dia regresó la columna, habiendo tenido cuatro raúer- Catorce estampas que forman un cuaderno de los cuadros la extensión del comercio m arítim o , y en los progresos tn s, 22 heridos, entre ellos dicho coronel Zurbano, aunque no hallados en Tito en pliego de marca m ayor, medio pliego de del a rte de navegar. Segunda edición-: '1*11tom o en 4.° pas­ de gravedad, un comandante de batallón y dos oficiales, con idem y cuartilla, cuyós asuntos son: la s ‘dos en pliego, Áo^ ta , 16 rs. mas un caballo muerto y…</t>
  </si>
  <si>
    <t>…eos de S. M. y de cuantos toman parte en la Dios guarde á Y. S. muchos años. Madrid 31 de Marzo prosperidad del nuevo establecimiento podran ser satis­ que Elviendo Sr. conde de Luchana dice, con fecha 2 9 del pasado, el coronel Zurbano burlados sus intentos en diferen­ de l839.=A rrazola.=Sr...... fechos. tes ocasiones que ha provocado al enemigo para un combate, No hay la menor apariencia de que las provincias sin embargo de estar este asegurado en toda la linea que dirige tengan motivos de arrepentirse de su elección,…</t>
  </si>
  <si>
    <t>…ecreto dirigido al Presidente del mismo. Búrgos 4 de Enero. Por carta de Medina se sabe que el propósito de gobernar para su p a t r ia , sobreponiéndose a Art. 5.° Para ser nombrado individuo de este Consejo se valiente coronel Zurbano habia llegado alli con su columna des­ requiere tener 4O años de edad, y haberse distinguido notable­ de Vitoria , en persecución del partidario Lesmes, á quien no Jos vanos clamores de todos los partidos: obrando asi o b ra ­ mente por sus conocimientos ó por servicios importantes en las…</t>
  </si>
  <si>
    <t>…alle aquel territorio el residuo de la gavilla del d ifu n to Souto. no G arcía, secretario. de C arretas, y de la viuda de R u is en la de Preciados, frente Las tapias de la* Descalza* Reales. Soria 2 de Noviembre. El coronel Zurbano con su colum ­ na, y el comandante general Rodríguez con la de su mando, se han situado aquel en flíedinaceli y este en Sigúenza. Gobierno político de la provincia de Soria Debiendo sacarse á pública subasta la contrata del Boletín GALERÍA DRAMATICA. oficial de la provincia de Soria para e…</t>
  </si>
  <si>
    <t>…E. que tan al de la Gobernación de la Peuínsula de Real orden lo luego como aquello se verifique, tendrá efecto la entrega efectos, to que recomendando á su Real consideración el nuevo méri­ acaba de contraer el bizarro coronel Zurbano. que sigue: de confinados, para lo cual, asi como para todo lo que Dios guarde á Y. E. muchos años. Cuartel general de Lo­ «Al capitán general de Andalucía con esta fecha digo conduzca po al al mejor éxito de este asunto, previne con tiem­ groño 25 de Febrero de 1839.=:Excmo. Sr.—El cond…</t>
  </si>
  <si>
    <t>…m 26. 5.a La sociedad procurará extenderse á todas las provincias tina , oi se turbe el orden y tranquilidad. de la monarquía española. Bi-lbilitanos: Me habéis honrado con vuestra confianza , y El 24 hizo movimiento el coronel Zurbano hasta Palomar, 4.a Podrán ser socios todos los que animados de los senti- procuraré no defraudar las esperanzas que concebísteis al ele-</t>
  </si>
  <si>
    <t>Zurbano, Martin</t>
  </si>
  <si>
    <t>Martin Zurbano</t>
  </si>
  <si>
    <t>…o en esta corlo en lá librería de riente salió de esta plaza el benemérito é infatigable coronel término se les concede , se presenten en este juzgado á oir los la viuda de C ru z, frente las Covachuelas de S. Felipe, y en el Don Martin Zurbano coola columna de su digno mando, hizo cargos que contra ellos resultan , y defenderse en dicha causa, almacén de música de C arra fa, calle del Príncipe, á 6 rs. al el reconocimiento sobre la línea del Zadorra desde Escaramendi que si lo hicieren, se les oirá y administrará justicia,…</t>
  </si>
  <si>
    <t>N.º 1566. JUEVES 28 DE FEBRERO DE 1839. DIEZ CUARTOS. S. M. la R e in a , su augusta Madre la R ein a G oberna ­ tar á V. E. que consiguiente á lo dispuesto en Real or­ Excmo. S r.: El coronel D. Martin Zurbano, que como dora y la Serma. Sra. Infanta Doña María Luisa Fernan­ den de 22 de Enero último, conferencié con el director participé á Y. E. había salido anoche con la columna, acaba general de Caminos acerca de los medios y modo de faci­ de regresar ahora , que es la una , con 4*2 pris…</t>
  </si>
  <si>
    <t>Zurbaoo</t>
  </si>
  <si>
    <t>…scien­ Césares, del orgullo filosófico y de todos los cálculos de la de el pedido de cada pueblo. prudencia del siglo: cuando se contó en el núm ero de los Los periódicos de París se ocupan exclusivamente de los lar­ El coronel Zurbaoo con la columna de su mando se halla fieles á los Em p erad ores, a los cónsules, á los g ran d es, á gos despachos que han llegado de Africa , y de la guerra que en esta plaza, y hasta ahora ignoramos el punto donde debe los sabios y á los poderosos del mundo , cesó, por decirlo va á estal…</t>
  </si>
  <si>
    <t>Áyerbe</t>
  </si>
  <si>
    <t>…l consumo de de reserva parece que debió salir el martes de Murviedro ha­ azúcar por cada una se evalúa en seis libras por año; pero cia la Plana. La primera división sigue parte en O nda, cuya Zaragoza 2 i ; de Marzo. El general Áyerbe salió con to­ calculando solo á cuatro libras daría un consumo anual de 5ü03) fortificación está ya bastante adelantada, y de un dia para da su fuerza para Villanueva de la Huerva, Aquilón y Tosos: quintales. Calculando también el precio en los puertos maríti­ otro llevarán la artillería; el…</t>
  </si>
  <si>
    <t>ÉDI</t>
  </si>
  <si>
    <t>…abinete ingles, que en todos los discursos de apertura hacia mención de él # se dis­ E xcm o. S r .: E n la c irc u la r d e 9 de D iciem b re ú ltim o pensa de citarlo hablando únicamente de las desgracias de Es­ CO N G RESO D É D IP U T A D O S . ; tu v o a bien S. M. m a n d a r lo q u e estim ó co n v e n ie n te para p a ñ a ; y yo creo que si entre nosotros el tratado no produce q u e la actual requisición se lleve á p u ro y d e b id o efecto otros fru to s, en breve tampoco se hablará de él. PRESIDENCIA D EL SEÑOR…</t>
  </si>
  <si>
    <t>ÍIE</t>
  </si>
  <si>
    <t>…ue tema , con m oti­ rá como los demas que se desempeñan gratuitam ente.” viene está ya previsto de antem ano por el Gobierno. vo de un expediente seguido de antemano de resultas de una pe­ Se puso á discusión el art. 2.° El Sr. ÍIE R O S dice que renuncia ta palabra en atención á tición de D. Juan Luis González, párroco déla ciudad deB ae- El Sr. BEN AVI D E S , después de m anifestarla sorpresa qué que todos convienen en la necesidad de las represalias, y cree z a ; y en los documentos remitidos ha hallado cuanto deseaba…</t>
  </si>
  <si>
    <t>Ínteres</t>
  </si>
  <si>
    <t>…recio 4 rs. G R A N B A IL E D E M A SC A R A S Barcelona, á ps. fs., * á b. par. Sevilla, ¿ b. En el primero se halla la Constitución antigua española y B ilbao, 1 * d. V alencia, par. en los demas varios artículos de general Ínteres. * EN E L SUNTUOSO SALON DE VILLAHERMOSA. Cádiz, par á * . b. Zaragoza, 1* papel d. Hoy martes 12 de Febrero á las once de la noche se verifi­ Historia de los reinados de Nerva y T rajan o, traducida del cará el sexto en este local. Descuento de letras, á 6 por 100 al año. francés por D…</t>
  </si>
  <si>
    <t>…hacien­ IL NUOYO FIGARO. del condado del Real de Manzanares, pertenecen al Excmo. se- do honor á la cultura del pais, comprenden materias de todas nor duque del lofantado, bajo las condiciones qne se manifes­ clases y de general Ínteres para el progresivo adelanto de la ilus­ En ella desempeñará la parte del protagonista el prim er taran en su contaduría, advirtiéndose que hasta fío del presen­ tración y de la ag ricu ltu ra, industria y comercio, como bases bajo D. Francisco S alas, quien cantará en el acto segundo una te…</t>
  </si>
  <si>
    <t>ÍS, Correo. Adistintas</t>
  </si>
  <si>
    <t>Correo. Adistintas ÍS</t>
  </si>
  <si>
    <t>…lgUUaS V6ces í6r ei°r“ Los individuos de América y el extrangero que quieran sus­ 5.° Se presentará en estrados públicos á hacer las proposi- cribir en cualquiera de los puntos señalados en la Península pa­ Dirección general de Correo. Adistintas ÍS Z I PUKS tqUCT *€ encarSuea P°&gt;- sus suscriptores en las garán como suscripto»es en la Península. , esto es.» con arreado subastas de efectos, víveres, utensilios, hospitales, al art. 11. 6 El buque correo de la empresa de la Habana , núm. 2 sal­ bienes nacionales &amp; c., á cu…</t>
  </si>
  <si>
    <t>Ó-rligost</t>
  </si>
  <si>
    <t>…ue proceder contra un eclesiástico , y el Gobierno e». vir­ por no rebajar la dignidad -de la causa que defendemos na o tes; acora pa ña ndo i g a aIme®te i cad a nú raero u na. esta «npa, tud del denedho de patronato dijo al Sr. Ó-rligost se presentase ■ no queremos, calificar, es uno el de hablar al pueblo es­ litografiada por uno de los mejores artistas de esta capital 9 1» « « Sevil'bu pañol de sus males, ele sus urgencias, de sos recargos y qu e si em pre re presea tara a sub tos d ia lx&gt;Ii cos, pe asamiie*ntos ai re-…</t>
  </si>
  <si>
    <t>Fuentes oficiales y criterio de elaboración · 1839</t>
  </si>
  <si>
    <t>371 archivos · 1498 páginas · enlaces al facsímil oficial</t>
  </si>
  <si>
    <t>Archivo</t>
  </si>
  <si>
    <t>Páginas PDF</t>
  </si>
  <si>
    <t>Registros del índice</t>
  </si>
  <si>
    <t>Facsímil completo</t>
  </si>
  <si>
    <t>GMD-1839-1508.pdf</t>
  </si>
  <si>
    <t>GMD-1839-1509.pdf</t>
  </si>
  <si>
    <t>GMD-1839-1510.pdf</t>
  </si>
  <si>
    <t>GMD-1839-1511.pdf</t>
  </si>
  <si>
    <t>GMD-1839-1512.pdf</t>
  </si>
  <si>
    <t>GMD-1839-1513.pdf</t>
  </si>
  <si>
    <t>GMD-1839-1514.pdf</t>
  </si>
  <si>
    <t>GMD-1839-1515.pdf</t>
  </si>
  <si>
    <t>GMD-1839-1516.pdf</t>
  </si>
  <si>
    <t>GMD-1839-1517.pdf</t>
  </si>
  <si>
    <t>GMD-1839-1518.pdf</t>
  </si>
  <si>
    <t>GMD-1839-1519.pdf</t>
  </si>
  <si>
    <t>GMD-1839-1520.pdf</t>
  </si>
  <si>
    <t>GMD-1839-1521.pdf</t>
  </si>
  <si>
    <t>GMD-1839-1522.pdf</t>
  </si>
  <si>
    <t>GMD-1839-1523.pdf</t>
  </si>
  <si>
    <t>GMD-1839-1524.pdf</t>
  </si>
  <si>
    <t>GMD-1839-1525.pdf</t>
  </si>
  <si>
    <t>GMD-1839-1526.pdf</t>
  </si>
  <si>
    <t>GMD-1839-1527.pdf</t>
  </si>
  <si>
    <t>GMD-1839-1528.pdf</t>
  </si>
  <si>
    <t>GMD-1839-1529.pdf</t>
  </si>
  <si>
    <t>GMD-1839-1530.pdf</t>
  </si>
  <si>
    <t>GMD-1839-1531.pdf</t>
  </si>
  <si>
    <t>GMD-1839-1532.pdf</t>
  </si>
  <si>
    <t>GMD-1839-1533.pdf</t>
  </si>
  <si>
    <t>GMD-1839-1534.pdf</t>
  </si>
  <si>
    <t>GMD-1839-1535.pdf</t>
  </si>
  <si>
    <t>GMD-1839-1536.pdf</t>
  </si>
  <si>
    <t>GMD-1839-1537.pdf</t>
  </si>
  <si>
    <t>GMD-1839-1538.pdf</t>
  </si>
  <si>
    <t>GMD-1839-1539.pdf</t>
  </si>
  <si>
    <t>GMD-1839-1540.pdf</t>
  </si>
  <si>
    <t>GMD-1839-1541.pdf</t>
  </si>
  <si>
    <t>GMD-1839-1542.pdf</t>
  </si>
  <si>
    <t>GMD-1839-1543.pdf</t>
  </si>
  <si>
    <t>GMD-1839-1544.pdf</t>
  </si>
  <si>
    <t>GMD-1839-1545.pdf</t>
  </si>
  <si>
    <t>GMD-1839-1546.pdf</t>
  </si>
  <si>
    <t>GMD-1839-1547.pdf</t>
  </si>
  <si>
    <t>GMD-1839-1548.pdf</t>
  </si>
  <si>
    <t>GMD-1839-1549.pdf</t>
  </si>
  <si>
    <t>GMD-1839-1550.pdf</t>
  </si>
  <si>
    <t>GMD-1839-1551.pdf</t>
  </si>
  <si>
    <t>GMD-1839-1552.pdf</t>
  </si>
  <si>
    <t>GMD-1839-1553.pdf</t>
  </si>
  <si>
    <t>GMD-1839-1554.pdf</t>
  </si>
  <si>
    <t>GMD-1839-1555.pdf</t>
  </si>
  <si>
    <t>GMD-1839-1556.pdf</t>
  </si>
  <si>
    <t>GMD-1839-1557.pdf</t>
  </si>
  <si>
    <t>GMD-1839-1558.pdf</t>
  </si>
  <si>
    <t>GMD-1839-1559.pdf</t>
  </si>
  <si>
    <t>GMD-1839-1560.pdf</t>
  </si>
  <si>
    <t>GMD-1839-1561.pdf</t>
  </si>
  <si>
    <t>GMD-1839-1562.pdf</t>
  </si>
  <si>
    <t>GMD-1839-1563.pdf</t>
  </si>
  <si>
    <t>GMD-1839-1564.pdf</t>
  </si>
  <si>
    <t>GMD-1839-1565.pdf</t>
  </si>
  <si>
    <t>GMD-1839-1566.pdf</t>
  </si>
  <si>
    <t>GMD-1839-1567.pdf</t>
  </si>
  <si>
    <t>GMD-1839-1568.pdf</t>
  </si>
  <si>
    <t>GMD-1839-1569.pdf</t>
  </si>
  <si>
    <t>GMD-1839-1570.pdf</t>
  </si>
  <si>
    <t>GMD-1839-1571.pdf</t>
  </si>
  <si>
    <t>GMD-1839-1572.pdf</t>
  </si>
  <si>
    <t>GMD-1839-1573.pdf</t>
  </si>
  <si>
    <t>GMD-1839-1574.pdf</t>
  </si>
  <si>
    <t>GMD-1839-1575.pdf</t>
  </si>
  <si>
    <t>GMD-1839-1576.pdf</t>
  </si>
  <si>
    <t>GMD-1839-1577.pdf</t>
  </si>
  <si>
    <t>GMD-1839-1578.pdf</t>
  </si>
  <si>
    <t>GMD-1839-1579.pdf</t>
  </si>
  <si>
    <t>GMD-1839-1580.pdf</t>
  </si>
  <si>
    <t>GMD-1839-1581.pdf</t>
  </si>
  <si>
    <t>GMD-1839-1582.pdf</t>
  </si>
  <si>
    <t>GMD-1839-1583.pdf</t>
  </si>
  <si>
    <t>GMD-1839-1584.pdf</t>
  </si>
  <si>
    <t>GMD-1839-1585.pdf</t>
  </si>
  <si>
    <t>GMD-1839-1586.pdf</t>
  </si>
  <si>
    <t>GMD-1839-1587.pdf</t>
  </si>
  <si>
    <t>GMD-1839-1588.pdf</t>
  </si>
  <si>
    <t>GMD-1839-1589.pdf</t>
  </si>
  <si>
    <t>GMD-1839-1590.pdf</t>
  </si>
  <si>
    <t>GMD-1839-1591.pdf</t>
  </si>
  <si>
    <t>GMD-1839-1592.pdf</t>
  </si>
  <si>
    <t>GMD-1839-1593.pdf</t>
  </si>
  <si>
    <t>GMD-1839-1594.pdf</t>
  </si>
  <si>
    <t>GMD-1839-1595.pdf</t>
  </si>
  <si>
    <t>GMD-1839-1596.pdf</t>
  </si>
  <si>
    <t>GMD-1839-1597.pdf</t>
  </si>
  <si>
    <t>GMD-1839-1598.pdf</t>
  </si>
  <si>
    <t>GMD-1839-1599.pdf</t>
  </si>
  <si>
    <t>GMD-1839-1600.pdf</t>
  </si>
  <si>
    <t>GMD-1839-1601.pdf</t>
  </si>
  <si>
    <t>GMD-1839-1602.pdf</t>
  </si>
  <si>
    <t>GMD-1839-1603.pdf</t>
  </si>
  <si>
    <t>GMD-1839-1604.pdf</t>
  </si>
  <si>
    <t>GMD-1839-1605.pdf</t>
  </si>
  <si>
    <t>GMD-1839-1606.pdf</t>
  </si>
  <si>
    <t>GMD-1839-1607.pdf</t>
  </si>
  <si>
    <t>GMD-1839-1608.pdf</t>
  </si>
  <si>
    <t>GMD-1839-1609.pdf</t>
  </si>
  <si>
    <t>GMD-1839-1610.pdf</t>
  </si>
  <si>
    <t>GMD-1839-1611.pdf</t>
  </si>
  <si>
    <t>GMD-1839-1612.pdf</t>
  </si>
  <si>
    <t>GMD-1839-1613.pdf</t>
  </si>
  <si>
    <t>GMD-1839-1614.pdf</t>
  </si>
  <si>
    <t>GMD-1839-1615.pdf</t>
  </si>
  <si>
    <t>GMD-1839-1616.pdf</t>
  </si>
  <si>
    <t>GMD-1839-1617.pdf</t>
  </si>
  <si>
    <t>GMD-1839-1618.pdf</t>
  </si>
  <si>
    <t>GMD-1839-1619.pdf</t>
  </si>
  <si>
    <t>GMD-1839-1620.pdf</t>
  </si>
  <si>
    <t>GMD-1839-1621.pdf</t>
  </si>
  <si>
    <t>GMD-1839-1622.pdf</t>
  </si>
  <si>
    <t>GMD-1839-1623.pdf</t>
  </si>
  <si>
    <t>GMD-1839-1624.pdf</t>
  </si>
  <si>
    <t>GMD-1839-1625.pdf</t>
  </si>
  <si>
    <t>GMD-1839-1626.pdf</t>
  </si>
  <si>
    <t>GMD-1839-1627.pdf</t>
  </si>
  <si>
    <t>GMD-1839-1628.pdf</t>
  </si>
  <si>
    <t>GMD-1839-1629.pdf</t>
  </si>
  <si>
    <t>GMD-1839-1630.pdf</t>
  </si>
  <si>
    <t>GMD-1839-1631.pdf</t>
  </si>
  <si>
    <t>GMD-1839-1632.pdf</t>
  </si>
  <si>
    <t>GMD-1839-1633.pdf</t>
  </si>
  <si>
    <t>GMD-1839-1634.pdf</t>
  </si>
  <si>
    <t>GMD-1839-1635.pdf</t>
  </si>
  <si>
    <t>GMD-1839-1636.pdf</t>
  </si>
  <si>
    <t>GMD-1839-1637.pdf</t>
  </si>
  <si>
    <t>GMD-1839-1638.pdf</t>
  </si>
  <si>
    <t>GMD-1839-1639.pdf</t>
  </si>
  <si>
    <t>GMD-1839-1640.pdf</t>
  </si>
  <si>
    <t>GMD-1839-1641.pdf</t>
  </si>
  <si>
    <t>GMD-1839-1642.pdf</t>
  </si>
  <si>
    <t>GMD-1839-1643.pdf</t>
  </si>
  <si>
    <t>GMD-1839-1644.pdf</t>
  </si>
  <si>
    <t>GMD-1839-1645.pdf</t>
  </si>
  <si>
    <t>GMD-1839-1646.pdf</t>
  </si>
  <si>
    <t>GMD-1839-1647.pdf</t>
  </si>
  <si>
    <t>GMD-1839-1648.pdf</t>
  </si>
  <si>
    <t>GMD-1839-1649.pdf</t>
  </si>
  <si>
    <t>GMD-1839-1650.pdf</t>
  </si>
  <si>
    <t>GMD-1839-1651.pdf</t>
  </si>
  <si>
    <t>GMD-1839-1652.pdf</t>
  </si>
  <si>
    <t>GMD-1839-1653.pdf</t>
  </si>
  <si>
    <t>GMD-1839-1654.pdf</t>
  </si>
  <si>
    <t>GMD-1839-1655.pdf</t>
  </si>
  <si>
    <t>GMD-1839-1656.pdf</t>
  </si>
  <si>
    <t>GMD-1839-1657.pdf</t>
  </si>
  <si>
    <t>GMD-1839-1658.pdf</t>
  </si>
  <si>
    <t>GMD-1839-1659.pdf</t>
  </si>
  <si>
    <t>GMD-1839-1660.pdf</t>
  </si>
  <si>
    <t>GMD-1839-1661.pdf</t>
  </si>
  <si>
    <t>GMD-1839-1662.pdf</t>
  </si>
  <si>
    <t>GMD-1839-1663.pdf</t>
  </si>
  <si>
    <t>GMD-1839-1664.pdf</t>
  </si>
  <si>
    <t>GMD-1839-1665.pdf</t>
  </si>
  <si>
    <t>GMD-1839-1666.pdf</t>
  </si>
  <si>
    <t>GMD-1839-1667.pdf</t>
  </si>
  <si>
    <t>GMD-1839-1668.pdf</t>
  </si>
  <si>
    <t>GMD-1839-1669.pdf</t>
  </si>
  <si>
    <t>GMD-1839-1670.pdf</t>
  </si>
  <si>
    <t>GMD-1839-1671.pdf</t>
  </si>
  <si>
    <t>GMD-1839-1672.pdf</t>
  </si>
  <si>
    <t>GMD-1839-1673.pdf</t>
  </si>
  <si>
    <t>GMD-1839-1674.pdf</t>
  </si>
  <si>
    <t>GMD-1839-1675.pdf</t>
  </si>
  <si>
    <t>GMD-1839-1676.pdf</t>
  </si>
  <si>
    <t>GMD-1839-1677.pdf</t>
  </si>
  <si>
    <t>GMD-1839-1678.pdf</t>
  </si>
  <si>
    <t>GMD-1839-1679.pdf</t>
  </si>
  <si>
    <t>GMD-1839-1680.pdf</t>
  </si>
  <si>
    <t>GMD-1839-1681.pdf</t>
  </si>
  <si>
    <t>GMD-1839-1682.pdf</t>
  </si>
  <si>
    <t>GMD-1839-1683.pdf</t>
  </si>
  <si>
    <t>GMD-1839-1684.pdf</t>
  </si>
  <si>
    <t>GMD-1839-1685.pdf</t>
  </si>
  <si>
    <t>GMD-1839-1686.pdf</t>
  </si>
  <si>
    <t>GMD-1839-1687.pdf</t>
  </si>
  <si>
    <t>GMD-1839-1688.pdf</t>
  </si>
  <si>
    <t>GMD-1839-1689.pdf</t>
  </si>
  <si>
    <t>GMD-1839-1690.pdf</t>
  </si>
  <si>
    <t>GMD-1839-1691.pdf</t>
  </si>
  <si>
    <t>GMD-1839-1692.pdf</t>
  </si>
  <si>
    <t>GMD-1839-1693.pdf</t>
  </si>
  <si>
    <t>GMD-1839-1694.pdf</t>
  </si>
  <si>
    <t>GMD-1839-1695.pdf</t>
  </si>
  <si>
    <t>GMD-1839-1696.pdf</t>
  </si>
  <si>
    <t>GMD-1839-1697.pdf</t>
  </si>
  <si>
    <t>GMD-1839-1698.pdf</t>
  </si>
  <si>
    <t>GMD-1839-1699.pdf</t>
  </si>
  <si>
    <t>GMD-1839-1700.pdf</t>
  </si>
  <si>
    <t>GMD-1839-1701.pdf</t>
  </si>
  <si>
    <t>GMD-1839-1702.pdf</t>
  </si>
  <si>
    <t>GMD-1839-1703.pdf</t>
  </si>
  <si>
    <t>GMD-1839-1704.pdf</t>
  </si>
  <si>
    <t>GMD-1839-1705.pdf</t>
  </si>
  <si>
    <t>GMD-1839-1706.pdf</t>
  </si>
  <si>
    <t>GMD-1839-1707.pdf</t>
  </si>
  <si>
    <t>GMD-1839-1708.pdf</t>
  </si>
  <si>
    <t>GMD-1839-1709.pdf</t>
  </si>
  <si>
    <t>GMD-1839-1710.pdf</t>
  </si>
  <si>
    <t>GMD-1839-1711.pdf</t>
  </si>
  <si>
    <t>E00001-00001.pdf</t>
  </si>
  <si>
    <t>GMD-1839-1713.pdf</t>
  </si>
  <si>
    <t>GMD-1839-1714.pdf</t>
  </si>
  <si>
    <t>GMD-1839-1715.pdf</t>
  </si>
  <si>
    <t>GMD-1839-1716.pdf</t>
  </si>
  <si>
    <t>GMD-1839-1717.pdf</t>
  </si>
  <si>
    <t>GMD-1839-1718.pdf</t>
  </si>
  <si>
    <t>GMD-1839-1719.pdf</t>
  </si>
  <si>
    <t>GMD-1839-1720.pdf</t>
  </si>
  <si>
    <t>GMD-1839-1721.pdf</t>
  </si>
  <si>
    <t>GMD-1839-1722.pdf</t>
  </si>
  <si>
    <t>GMD-1839-1723.pdf</t>
  </si>
  <si>
    <t>GMD-1839-1724.pdf</t>
  </si>
  <si>
    <t>GMD-1839-1725.pdf</t>
  </si>
  <si>
    <t>GMD-1839-1726.pdf</t>
  </si>
  <si>
    <t>GMD-1839-1727.pdf</t>
  </si>
  <si>
    <t>GMD-1839-1728.pdf</t>
  </si>
  <si>
    <t>GMD-1839-1729.pdf</t>
  </si>
  <si>
    <t>GMD-1839-1730.pdf</t>
  </si>
  <si>
    <t>GMD-1839-1731.pdf</t>
  </si>
  <si>
    <t>GMD-1839-1732.pdf</t>
  </si>
  <si>
    <t>GMD-1839-1733.pdf</t>
  </si>
  <si>
    <t>GMD-1839-1734.pdf</t>
  </si>
  <si>
    <t>GMD-1839-1735.pdf</t>
  </si>
  <si>
    <t>GMD-1839-1736.pdf</t>
  </si>
  <si>
    <t>GMD-1839-1737.pdf</t>
  </si>
  <si>
    <t>GMD-1839-1738.pdf</t>
  </si>
  <si>
    <t>GMD-1839-1740.pdf</t>
  </si>
  <si>
    <t>GMD-1839-1741.pdf</t>
  </si>
  <si>
    <t>GMD-1839-1742.pdf</t>
  </si>
  <si>
    <t>GMD-1839-1743.pdf</t>
  </si>
  <si>
    <t>GMD-1839-1744.pdf</t>
  </si>
  <si>
    <t>GMD-1839-1745.pdf</t>
  </si>
  <si>
    <t>GMD-1839-1746.pdf</t>
  </si>
  <si>
    <t>GMD-1839-1747.pdf</t>
  </si>
  <si>
    <t>GMD-1839-1748.pdf</t>
  </si>
  <si>
    <t>GMD-1839-1749.pdf</t>
  </si>
  <si>
    <t>GMD-1839-1750.pdf</t>
  </si>
  <si>
    <t>GMD-1839-1751.pdf</t>
  </si>
  <si>
    <t>GMD-1839-1752.pdf</t>
  </si>
  <si>
    <t>GMD-1839-1753.pdf</t>
  </si>
  <si>
    <t>GMD-1839-1754.pdf</t>
  </si>
  <si>
    <t>GMD-1839-1755.pdf</t>
  </si>
  <si>
    <t>GMD-1839-1757.pdf</t>
  </si>
  <si>
    <t>GMD-1839-1758.pdf</t>
  </si>
  <si>
    <t>GMD-1839-1759.pdf</t>
  </si>
  <si>
    <t>GMD-1839-1760.pdf</t>
  </si>
  <si>
    <t>GMD-1839-1761.pdf</t>
  </si>
  <si>
    <t>GMD-1839-1762.pdf</t>
  </si>
  <si>
    <t>GMD-1839-1763.pdf</t>
  </si>
  <si>
    <t>GMD-1839-1764.pdf</t>
  </si>
  <si>
    <t>GMD-1839-1765.pdf</t>
  </si>
  <si>
    <t>GMD-1839-1766.pdf</t>
  </si>
  <si>
    <t>GMD-1839-1767.pdf</t>
  </si>
  <si>
    <t>GMD-1839-1768.pdf</t>
  </si>
  <si>
    <t>GMD-1839-1769.pdf</t>
  </si>
  <si>
    <t>GMD-1839-1770.pdf</t>
  </si>
  <si>
    <t>GMD-1839-1771.pdf</t>
  </si>
  <si>
    <t>GMD-1839-1773.pdf</t>
  </si>
  <si>
    <t>GMD-1839-1775.pdf</t>
  </si>
  <si>
    <t>GMD-1839-1776.pdf</t>
  </si>
  <si>
    <t>GMD-1839-1777.pdf</t>
  </si>
  <si>
    <t>GMD-1839-1779.pdf</t>
  </si>
  <si>
    <t>GMD-1839-1780.pdf</t>
  </si>
  <si>
    <t>GMD-1839-1781.pdf</t>
  </si>
  <si>
    <t>GMD-1839-1782.pdf</t>
  </si>
  <si>
    <t>GMD-1839-1783.pdf</t>
  </si>
  <si>
    <t>GMD-1839-1784.pdf</t>
  </si>
  <si>
    <t>GMD-1839-1785.pdf</t>
  </si>
  <si>
    <t>GMD-1839-1786.pdf</t>
  </si>
  <si>
    <t>GMD-1839-1787.pdf</t>
  </si>
  <si>
    <t>GMD-1839-1788.pdf</t>
  </si>
  <si>
    <t>GMD-1839-1789.pdf</t>
  </si>
  <si>
    <t>GMD-1839-1790.pdf</t>
  </si>
  <si>
    <t>GMD-1839-1791.pdf</t>
  </si>
  <si>
    <t>GMD-1839-1792.pdf</t>
  </si>
  <si>
    <t>GMD-1839-1793.pdf</t>
  </si>
  <si>
    <t>GMD-1839-1794.pdf</t>
  </si>
  <si>
    <t>GMD-1839-1795.pdf</t>
  </si>
  <si>
    <t>GMD-1839-1796.pdf</t>
  </si>
  <si>
    <t>GMD-1839-1797.pdf</t>
  </si>
  <si>
    <t>GMD-1839-1798.pdf</t>
  </si>
  <si>
    <t>GMD-1839-1799.pdf</t>
  </si>
  <si>
    <t>GMD-1839-1800.pdf</t>
  </si>
  <si>
    <t>GMD-1839-1801.pdf</t>
  </si>
  <si>
    <t>GMD-1839-1802.pdf</t>
  </si>
  <si>
    <t>GMD-1839-1803.pdf</t>
  </si>
  <si>
    <t>GMD-1839-1804.pdf</t>
  </si>
  <si>
    <t>GMD-1839-1805.pdf</t>
  </si>
  <si>
    <t>GMD-1839-1806.pdf</t>
  </si>
  <si>
    <t>GMD-1839-1807.pdf</t>
  </si>
  <si>
    <t>GMD-1839-1808.pdf</t>
  </si>
  <si>
    <t>GMD-1839-1809.pdf</t>
  </si>
  <si>
    <t>GMD-1839-1810.pdf</t>
  </si>
  <si>
    <t>GMD-1839-1811.pdf</t>
  </si>
  <si>
    <t>GMD-1839-1812.pdf</t>
  </si>
  <si>
    <t>GMD-1839-1813.pdf</t>
  </si>
  <si>
    <t>GMD-1839-1814.pdf</t>
  </si>
  <si>
    <t>GMD-1839-1815.pdf</t>
  </si>
  <si>
    <t>GMD-1839-1816.pdf</t>
  </si>
  <si>
    <t>GMD-1839-1817.pdf</t>
  </si>
  <si>
    <t>GMD-1839-1818.pdf</t>
  </si>
  <si>
    <t>GMD-1839-1819.pdf</t>
  </si>
  <si>
    <t>GMD-1839-1820.pdf</t>
  </si>
  <si>
    <t>GMD-1839-1821.pdf</t>
  </si>
  <si>
    <t>GMD-1839-1822.pdf</t>
  </si>
  <si>
    <t>GMD-1839-1823.pdf</t>
  </si>
  <si>
    <t>GMD-1839-1824.pdf</t>
  </si>
  <si>
    <t>GMD-1839-1825.pdf</t>
  </si>
  <si>
    <t>GMD-1839-1826.pdf</t>
  </si>
  <si>
    <t>GMD-1839-1827.pdf</t>
  </si>
  <si>
    <t>GMD-1839-1828.pdf</t>
  </si>
  <si>
    <t>GMD-1839-1829.pdf</t>
  </si>
  <si>
    <t>GMD-1839-1830.pdf</t>
  </si>
  <si>
    <t>GMD-1839-1831.pdf</t>
  </si>
  <si>
    <t>GMD-1839-1832.pdf</t>
  </si>
  <si>
    <t>GMD-1839-1833.pdf</t>
  </si>
  <si>
    <t>GMD-1839-1834.pdf</t>
  </si>
  <si>
    <t>GMD-1839-1835.pdf</t>
  </si>
  <si>
    <t>GMD-1839-1836.pdf</t>
  </si>
  <si>
    <t>GMD-1839-1837.pdf</t>
  </si>
  <si>
    <t>GMD-1839-1838.pdf</t>
  </si>
  <si>
    <t>GMD-1839-1839.pdf</t>
  </si>
  <si>
    <t>GMD-1839-1840.pdf</t>
  </si>
  <si>
    <t>GMD-1839-1841.pdf</t>
  </si>
  <si>
    <t>GMD-1839-1842.pdf</t>
  </si>
  <si>
    <t>GMD-1839-1843.pdf</t>
  </si>
  <si>
    <t>GMD-1839-1844.pdf</t>
  </si>
  <si>
    <t>GMD-1839-1845.pdf</t>
  </si>
  <si>
    <t>GMD-1839-1846.pdf</t>
  </si>
  <si>
    <t>GMD-1839-1847.pdf</t>
  </si>
  <si>
    <t>GMD-1839-1848.pdf</t>
  </si>
  <si>
    <t>GMD-1839-1849.pdf</t>
  </si>
  <si>
    <t>GMD-1839-1850.pdf</t>
  </si>
  <si>
    <t>GMD-1839-1851.pdf</t>
  </si>
  <si>
    <t>GMD-1839-1852.pdf</t>
  </si>
  <si>
    <t>GMD-1839-1853.pdf</t>
  </si>
  <si>
    <t>GMD-1839-1854.pdf</t>
  </si>
  <si>
    <t>GMD-1839-1855.pdf</t>
  </si>
  <si>
    <t>GMD-1839-1856.pdf</t>
  </si>
  <si>
    <t>GMD-1839-1857.pdf</t>
  </si>
  <si>
    <t>GMD-1839-1858.pdf</t>
  </si>
  <si>
    <t>GMD-1839-1859.pdf</t>
  </si>
  <si>
    <t>GMD-1839-1860.pdf</t>
  </si>
  <si>
    <t>GMD-1839-1861.pdf</t>
  </si>
  <si>
    <t>GMD-1839-1862.pdf</t>
  </si>
  <si>
    <t>GMD-1839-1863.pdf</t>
  </si>
  <si>
    <t>GMD-1839-1864.pdf</t>
  </si>
  <si>
    <t>GMD-1839-1865.pdf</t>
  </si>
  <si>
    <t>GMD-1839-1866.pdf</t>
  </si>
  <si>
    <t>GMD-1839-1867.pdf</t>
  </si>
  <si>
    <t>GMD-1839-1868.pdf</t>
  </si>
  <si>
    <t>GMD-1839-1869.pdf</t>
  </si>
  <si>
    <t>GMD-1839-1870.pdf</t>
  </si>
  <si>
    <t>GMD-1839-1871.pdf</t>
  </si>
  <si>
    <t>GMD-1839-1872.pdf</t>
  </si>
  <si>
    <t>GMD-1839-1873.pdf</t>
  </si>
  <si>
    <t>GMD-1839-1874.pdf</t>
  </si>
  <si>
    <t>GMD-1839-1875.pdf</t>
  </si>
  <si>
    <t>GMD-1839-1876.pdf</t>
  </si>
  <si>
    <t>GMD-1839-1877.pdf</t>
  </si>
  <si>
    <t>GMD-1839-1878.pdf</t>
  </si>
  <si>
    <t>Criterio de elaboración</t>
  </si>
  <si>
    <t>Cobertura: 371 facsímiles oficiales publicados en 365 fechas entre el 01/01/1839 y el 31/12/1839; incluye 6 ediciones extraordinarias.</t>
  </si>
  <si>
    <t>Inclusión: nombres propios detectados tras tratamientos, cargos y títulos. Una misma persona puede aparecer en varias páginas o fechas; dentro de cada página se eliminan duplicados idénticos.</t>
  </si>
  <si>
    <t>Orden: la primera columna utiliza un apellido estimado. En nombres extranjeros, nobiliarios o deteriorados por OCR puede no coincidir con el uso catalográfico.</t>
  </si>
  <si>
    <t>Página y enlace: la página indicada es la página interna del PDF. Cada registro enlaza al facsímil oficial en esa página y esta hoja enlaza al documento completo.</t>
  </si>
  <si>
    <t>Clasificación: el motivo y el organismo o sección se asignan automáticamente a partir del contexto inmediato de cada mención.</t>
  </si>
  <si>
    <t>Limitaciones: la ortografía histórica, la impresión y el OCR generan variantes, cortes y errores. Verifique siempre el nombre, la fecha y la página en el facsímil antes de citar.</t>
  </si>
  <si>
    <t>Control: las 1498 páginas produjeron texto OCR. 0 archivo no produjo menciones indexables: ninguno.</t>
  </si>
  <si>
    <t>Lecturas para revisión manual: 3272 registros marcados como «Revisar OCR».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</si>
</sst>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sz val="11"/>
      <name val="Calibri"/>
      <charset val="1"/>
    </font>
    <font>
      <b/>
      <sz val="16"/>
      <color rgb="FF17365D"/>
      <name val="Arial"/>
      <charset val="1"/>
    </font>
    <font>
      <b/>
      <sz val="11"/>
      <color rgb="FF365F91"/>
      <name val="Arial"/>
      <charset val="1"/>
    </font>
    <font>
      <i/>
      <sz val="10"/>
      <color rgb="FF595959"/>
      <name val="Arial"/>
      <charset val="1"/>
    </font>
    <font>
      <b/>
      <sz val="10"/>
      <color rgb="FFFFFFFF"/>
      <name val="Arial"/>
      <charset val="1"/>
    </font>
    <font>
      <sz val="10"/>
      <color rgb="FF262626"/>
      <name val="Arial"/>
      <charset val="1"/>
    </font>
    <font>
      <u/>
      <sz val="10"/>
      <color rgb="FF0563C1"/>
      <name val="Arial"/>
      <charset val="1"/>
    </font>
    <font>
      <b/>
      <sz val="11"/>
      <color rgb="FF17365D"/>
      <name val="Arial"/>
      <charset val="1"/>
    </font>
    <font>
      <sz val="10"/>
      <color rgb="FF404040"/>
      <name val="Arial"/>
      <charset val="1"/>
    </font>
  </fonts>
  <fills count="5">
    <fill>
      <patternFill patternType="none"/>
    </fill>
    <fill>
      <patternFill patternType="gray125"/>
    </fill>
    <fill>
      <patternFill patternType="solid">
        <fgColor rgb="FF1F4E78"/>
        <bgColor rgb="FF156082"/>
      </patternFill>
    </fill>
    <fill>
      <patternFill patternType="solid">
        <fgColor rgb="FF4472C4"/>
        <bgColor rgb="FF365F91"/>
      </patternFill>
    </fill>
    <fill>
      <patternFill patternType="solid">
        <fgColor rgb="FFD9E2F3"/>
        <bgColor rgb="FFCCFFFF"/>
      </patternFill>
    </fill>
  </fills>
  <borders count="9">
    <border>
      <left/>
      <right/>
      <top/>
      <bottom/>
      <diagonal/>
    </border>
    <border>
      <left/>
      <right style="thin">
        <color rgb="FFFFFFFF"/>
      </right>
      <top/>
      <bottom style="thin">
        <color rgb="FFD9E2F3"/>
      </bottom>
      <diagonal/>
    </border>
    <border>
      <left style="thin">
        <color rgb="FFFFFFFF"/>
      </left>
      <right style="thin">
        <color rgb="FFFFFFFF"/>
      </right>
      <top/>
      <bottom style="thin">
        <color rgb="FFD9E2F3"/>
      </bottom>
      <diagonal/>
    </border>
    <border>
      <left style="thin">
        <color rgb="FFFFFFFF"/>
      </left>
      <right/>
      <top/>
      <bottom style="thin">
        <color rgb="FFD9E2F3"/>
      </bottom>
      <diagonal/>
    </border>
    <border>
      <left/>
      <right/>
      <top style="thin">
        <color rgb="FFD9E2F3"/>
      </top>
      <bottom style="thin">
        <color rgb="FFD9E2F3"/>
      </bottom>
      <diagonal/>
    </border>
    <border>
      <left/>
      <right/>
      <top style="thin">
        <color rgb="FFD9E2F3"/>
      </top>
      <bottom style="thin">
        <color rgb="FFA6A6A6"/>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s>
  <cellStyleXfs count="2">
    <xf numFmtId="0" fontId="0" fillId="0" borderId="0"/>
    <xf numFmtId="0" fontId="1" fillId="0" borderId="0"/>
  </cellStyleXfs>
  <cellXfs count="25">
    <xf numFmtId="0" fontId="0" fillId="0" borderId="0" xfId="0"/>
    <xf numFmtId="0" fontId="9" fillId="0" borderId="0" xfId="1" applyFont="1" applyAlignment="1">
      <alignment vertical="top" wrapText="1"/>
    </xf>
    <xf numFmtId="0" fontId="8" fillId="4" borderId="0" xfId="1" applyFont="1" applyFill="1"/>
    <xf numFmtId="0" fontId="4" fillId="0" borderId="0" xfId="1" applyFont="1"/>
    <xf numFmtId="0" fontId="2" fillId="0" borderId="0" xfId="1" applyFont="1"/>
    <xf numFmtId="0" fontId="4" fillId="0" borderId="0" xfId="1" applyFont="1" applyAlignment="1">
      <alignment vertical="center"/>
    </xf>
    <xf numFmtId="0" fontId="3" fillId="0" borderId="0" xfId="1" applyFont="1" applyAlignment="1">
      <alignment vertical="center"/>
    </xf>
    <xf numFmtId="0" fontId="2" fillId="0" borderId="0" xfId="1" applyFont="1" applyAlignment="1">
      <alignment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6" fillId="0" borderId="4" xfId="1" applyFont="1" applyBorder="1" applyAlignment="1">
      <alignment vertical="top"/>
    </xf>
    <xf numFmtId="0" fontId="6" fillId="0" borderId="4" xfId="1" applyFont="1" applyBorder="1" applyAlignment="1">
      <alignment horizontal="center" vertical="top"/>
    </xf>
    <xf numFmtId="0" fontId="6" fillId="0" borderId="4" xfId="1" applyFont="1" applyBorder="1" applyAlignment="1">
      <alignment vertical="top" wrapText="1"/>
    </xf>
    <xf numFmtId="0" fontId="7" fillId="0" borderId="4" xfId="1" applyFont="1" applyBorder="1" applyAlignment="1">
      <alignment horizontal="center" vertical="top"/>
    </xf>
    <xf numFmtId="0" fontId="6" fillId="0" borderId="5" xfId="1" applyFont="1" applyBorder="1" applyAlignment="1">
      <alignment vertical="top"/>
    </xf>
    <xf numFmtId="0" fontId="6" fillId="0" borderId="5" xfId="1" applyFont="1" applyBorder="1" applyAlignment="1">
      <alignment horizontal="center" vertical="top"/>
    </xf>
    <xf numFmtId="0" fontId="6" fillId="0" borderId="5" xfId="1" applyFont="1" applyBorder="1" applyAlignment="1">
      <alignment vertical="top" wrapText="1"/>
    </xf>
    <xf numFmtId="0" fontId="7" fillId="0" borderId="5" xfId="1" applyFont="1" applyBorder="1" applyAlignment="1">
      <alignment horizontal="center" vertical="top"/>
    </xf>
    <xf numFmtId="0" fontId="5" fillId="3" borderId="6"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6" fillId="0" borderId="0" xfId="1" applyFont="1" applyAlignment="1">
      <alignment horizontal="center"/>
    </xf>
    <xf numFmtId="0" fontId="6" fillId="0" borderId="0" xfId="1" applyFont="1"/>
    <xf numFmtId="0" fontId="7" fillId="0" borderId="0" xfId="1" applyFont="1" applyAlignment="1">
      <alignment horizontal="center"/>
    </xf>
  </cellXfs>
  <cellStyles count="2">
    <cellStyle name="Normal" xfId="0" builtinId="0"/>
    <cellStyle name="Normal 2" xfId="1" xr:uid="{00000000-0005-0000-0000-000006000000}"/>
  </cellStyles>
  <dxfs count="1">
    <dxf>
      <font>
        <b/>
        <color rgb="FF9C6500"/>
      </font>
      <fill>
        <patternFill>
          <bgColor rgb="FFFFF2CC"/>
        </patternFill>
      </fill>
    </dxf>
  </dxfs>
  <tableStyles count="0"/>
  <colors>
    <indexedColors>
      <rgbColor rgb="FF000000"/>
      <rgbColor rgb="FFFFFFFF"/>
      <rgbColor rgb="FFFF0000"/>
      <rgbColor rgb="FF00FF00"/>
      <rgbColor rgb="FF0000FF"/>
      <rgbColor rgb="FFFFFF00"/>
      <rgbColor rgb="FFFF00FF"/>
      <rgbColor rgb="FF00FFFF"/>
      <rgbColor rgb="FF800000"/>
      <rgbColor rgb="FF008000"/>
      <rgbColor rgb="FF000080"/>
      <rgbColor rgb="FF9C6500"/>
      <rgbColor rgb="FF800080"/>
      <rgbColor rgb="FF156082"/>
      <rgbColor rgb="FFA6A6A6"/>
      <rgbColor rgb="FF808080"/>
      <rgbColor rgb="FF9999FF"/>
      <rgbColor rgb="FF993366"/>
      <rgbColor rgb="FFFFF2CC"/>
      <rgbColor rgb="FFCCFFFF"/>
      <rgbColor rgb="FF660066"/>
      <rgbColor rgb="FFFF8080"/>
      <rgbColor rgb="FF0563C1"/>
      <rgbColor rgb="FFD9E2F3"/>
      <rgbColor rgb="FF000080"/>
      <rgbColor rgb="FFFF00FF"/>
      <rgbColor rgb="FFFFFF00"/>
      <rgbColor rgb="FF00FFFF"/>
      <rgbColor rgb="FF800080"/>
      <rgbColor rgb="FF800000"/>
      <rgbColor rgb="FF365F91"/>
      <rgbColor rgb="FF0000FF"/>
      <rgbColor rgb="FF00CCFF"/>
      <rgbColor rgb="FFCCFFFF"/>
      <rgbColor rgb="FFCCFFCC"/>
      <rgbColor rgb="FFFFFF99"/>
      <rgbColor rgb="FF99CCFF"/>
      <rgbColor rgb="FFFF99CC"/>
      <rgbColor rgb="FFCC99FF"/>
      <rgbColor rgb="FFFFCC99"/>
      <rgbColor rgb="FF4472C4"/>
      <rgbColor rgb="FF46B1E1"/>
      <rgbColor rgb="FF99CC00"/>
      <rgbColor rgb="FFFFCC00"/>
      <rgbColor rgb="FFFF9900"/>
      <rgbColor rgb="FFFF6600"/>
      <rgbColor rgb="FF595959"/>
      <rgbColor rgb="FF8497B0"/>
      <rgbColor rgb="FF17365D"/>
      <rgbColor rgb="FF339966"/>
      <rgbColor rgb="FF003300"/>
      <rgbColor rgb="FF404040"/>
      <rgbColor rgb="FF993300"/>
      <rgbColor rgb="FF993366"/>
      <rgbColor rgb="FF1F4E78"/>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Indice1839" displayName="Indice1839" ref="A6:K16005" totalsRowShown="0">
  <autoFilter ref="A6:K16005" xr:uid="{00000000-0009-0000-0100-000002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Fuentes1839" displayName="Fuentes1839" ref="A4:F375" totalsRowShown="0">
  <autoFilter ref="A4:F375" xr:uid="{00000000-0009-0000-0100-000001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16005"/>
  <sheetViews>
    <sheetView showGridLines="0" tabSelected="1"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8.6640625" defaultRowHeight="13.2" x14ac:dyDescent="0.25"/>
  <cols>
    <col min="1" max="1" width="31" customWidth="1"/>
    <col min="2" max="2" width="27" customWidth="1"/>
    <col min="3" max="3" width="31" customWidth="1"/>
    <col min="4" max="4" width="24" customWidth="1"/>
    <col min="5" max="5" width="12" customWidth="1"/>
    <col min="6" max="6" width="34" customWidth="1"/>
    <col min="7" max="7" width="11" customWidth="1"/>
    <col min="8" max="8" width="43" customWidth="1"/>
    <col min="9" max="9" width="78" customWidth="1"/>
    <col min="10" max="10" width="18" customWidth="1"/>
    <col min="11" max="11" width="17" customWidth="1"/>
  </cols>
  <sheetData>
    <row r="1" spans="1:11" ht="22.05" customHeight="1" x14ac:dyDescent="0.25">
      <c r="A1" s="7" t="s">
        <v>0</v>
      </c>
      <c r="B1" s="7"/>
      <c r="C1" s="7"/>
      <c r="D1" s="7"/>
      <c r="E1" s="7"/>
      <c r="F1" s="7"/>
      <c r="G1" s="7"/>
      <c r="H1" s="7"/>
      <c r="I1" s="7"/>
      <c r="J1" s="7"/>
      <c r="K1" s="7"/>
    </row>
    <row r="2" spans="1:11" ht="22.05" customHeight="1" x14ac:dyDescent="0.25">
      <c r="A2" s="6" t="s">
        <v>1</v>
      </c>
      <c r="B2" s="6"/>
      <c r="C2" s="6"/>
      <c r="D2" s="6"/>
      <c r="E2" s="6"/>
      <c r="F2" s="6"/>
      <c r="G2" s="6"/>
      <c r="H2" s="6"/>
      <c r="I2" s="6"/>
      <c r="J2" s="6"/>
      <c r="K2" s="6"/>
    </row>
    <row r="3" spans="1:11" ht="22.05" customHeight="1" x14ac:dyDescent="0.25">
      <c r="A3" s="5" t="s">
        <v>2</v>
      </c>
      <c r="B3" s="5"/>
      <c r="C3" s="5"/>
      <c r="D3" s="5"/>
      <c r="E3" s="5"/>
      <c r="F3" s="5"/>
      <c r="G3" s="5"/>
      <c r="H3" s="5"/>
      <c r="I3" s="5"/>
      <c r="J3" s="5"/>
      <c r="K3" s="5"/>
    </row>
    <row r="4" spans="1:11" ht="22.05" customHeight="1" x14ac:dyDescent="0.25">
      <c r="A4" s="5" t="s">
        <v>3</v>
      </c>
      <c r="B4" s="5"/>
      <c r="C4" s="5"/>
      <c r="D4" s="5"/>
      <c r="E4" s="5"/>
      <c r="F4" s="5"/>
      <c r="G4" s="5"/>
      <c r="H4" s="5"/>
      <c r="I4" s="5"/>
      <c r="J4" s="5"/>
      <c r="K4" s="5"/>
    </row>
    <row r="6" spans="1:11" ht="34.049999999999997" customHeight="1" x14ac:dyDescent="0.25">
      <c r="A6" s="8" t="s">
        <v>4</v>
      </c>
      <c r="B6" s="9" t="s">
        <v>5</v>
      </c>
      <c r="C6" s="9" t="s">
        <v>6</v>
      </c>
      <c r="D6" s="9" t="s">
        <v>7</v>
      </c>
      <c r="E6" s="9" t="s">
        <v>8</v>
      </c>
      <c r="F6" s="9" t="s">
        <v>9</v>
      </c>
      <c r="G6" s="9" t="s">
        <v>10</v>
      </c>
      <c r="H6" s="9" t="s">
        <v>11</v>
      </c>
      <c r="I6" s="9" t="s">
        <v>12</v>
      </c>
      <c r="J6" s="9" t="s">
        <v>13</v>
      </c>
      <c r="K6" s="10" t="s">
        <v>14</v>
      </c>
    </row>
    <row r="7" spans="1:11" ht="40.049999999999997" customHeight="1" x14ac:dyDescent="0.25">
      <c r="A7" s="11" t="s">
        <v>15</v>
      </c>
      <c r="B7" s="11" t="s">
        <v>16</v>
      </c>
      <c r="C7" s="11" t="s">
        <v>17</v>
      </c>
      <c r="D7" s="11" t="s">
        <v>18</v>
      </c>
      <c r="E7" s="12" t="s">
        <v>19</v>
      </c>
      <c r="F7" s="12" t="s">
        <v>20</v>
      </c>
      <c r="G7" s="12" t="s">
        <v>21</v>
      </c>
      <c r="H7" s="11" t="s">
        <v>22</v>
      </c>
      <c r="I7" s="13" t="s">
        <v>23</v>
      </c>
      <c r="J7" s="14" t="str">
        <f>HYPERLINK("https://www.boe.es/gazeta/dias/1839/01/19/pdfs/GMD-1839-1526.pdf#page=4","Abrir facsímil")</f>
        <v>Abrir facsímil</v>
      </c>
      <c r="K7" s="12" t="s">
        <v>24</v>
      </c>
    </row>
    <row r="8" spans="1:11" ht="40.049999999999997" customHeight="1" x14ac:dyDescent="0.25">
      <c r="A8" s="11" t="s">
        <v>25</v>
      </c>
      <c r="B8" s="11" t="s">
        <v>26</v>
      </c>
      <c r="C8" s="11" t="s">
        <v>17</v>
      </c>
      <c r="D8" s="11" t="s">
        <v>18</v>
      </c>
      <c r="E8" s="12" t="s">
        <v>27</v>
      </c>
      <c r="F8" s="12" t="s">
        <v>28</v>
      </c>
      <c r="G8" s="12" t="s">
        <v>29</v>
      </c>
      <c r="H8" s="11" t="s">
        <v>22</v>
      </c>
      <c r="I8" s="13" t="s">
        <v>30</v>
      </c>
      <c r="J8" s="14" t="str">
        <f>HYPERLINK("https://www.boe.es/gazeta/dias/1839/07/28/pdfs/GMD-1839-1717.pdf#page=1","Abrir facsímil")</f>
        <v>Abrir facsímil</v>
      </c>
      <c r="K8" s="12" t="s">
        <v>24</v>
      </c>
    </row>
    <row r="9" spans="1:11" ht="40.049999999999997" customHeight="1" x14ac:dyDescent="0.25">
      <c r="A9" s="11" t="s">
        <v>31</v>
      </c>
      <c r="B9" s="11" t="s">
        <v>32</v>
      </c>
      <c r="C9" s="11" t="s">
        <v>17</v>
      </c>
      <c r="D9" s="11" t="s">
        <v>18</v>
      </c>
      <c r="E9" s="12" t="s">
        <v>33</v>
      </c>
      <c r="F9" s="12" t="s">
        <v>34</v>
      </c>
      <c r="G9" s="12" t="s">
        <v>29</v>
      </c>
      <c r="H9" s="11" t="s">
        <v>22</v>
      </c>
      <c r="I9" s="13" t="s">
        <v>35</v>
      </c>
      <c r="J9" s="14" t="str">
        <f>HYPERLINK("https://www.boe.es/gazeta/dias/1839/12/13/pdfs/GMD-1839-1860.pdf#page=1","Abrir facsímil")</f>
        <v>Abrir facsímil</v>
      </c>
      <c r="K9" s="12" t="s">
        <v>24</v>
      </c>
    </row>
    <row r="10" spans="1:11" ht="40.049999999999997" customHeight="1" x14ac:dyDescent="0.25">
      <c r="A10" s="11" t="s">
        <v>36</v>
      </c>
      <c r="B10" s="11" t="s">
        <v>37</v>
      </c>
      <c r="C10" s="11" t="s">
        <v>17</v>
      </c>
      <c r="D10" s="11" t="s">
        <v>18</v>
      </c>
      <c r="E10" s="12" t="s">
        <v>38</v>
      </c>
      <c r="F10" s="12" t="s">
        <v>39</v>
      </c>
      <c r="G10" s="12" t="s">
        <v>40</v>
      </c>
      <c r="H10" s="11" t="s">
        <v>22</v>
      </c>
      <c r="I10" s="13" t="s">
        <v>41</v>
      </c>
      <c r="J10" s="14" t="str">
        <f>HYPERLINK("https://www.boe.es/gazeta/dias/1839/08/08/pdfs/GMD-1839-1728.pdf#page=2","Abrir facsímil")</f>
        <v>Abrir facsímil</v>
      </c>
      <c r="K10" s="12" t="s">
        <v>24</v>
      </c>
    </row>
    <row r="11" spans="1:11" ht="40.049999999999997" customHeight="1" x14ac:dyDescent="0.25">
      <c r="A11" s="11" t="s">
        <v>42</v>
      </c>
      <c r="B11" s="11" t="s">
        <v>42</v>
      </c>
      <c r="C11" s="11" t="s">
        <v>17</v>
      </c>
      <c r="D11" s="11" t="s">
        <v>43</v>
      </c>
      <c r="E11" s="12" t="s">
        <v>44</v>
      </c>
      <c r="F11" s="12" t="s">
        <v>45</v>
      </c>
      <c r="G11" s="12" t="s">
        <v>46</v>
      </c>
      <c r="H11" s="11" t="s">
        <v>22</v>
      </c>
      <c r="I11" s="13" t="s">
        <v>47</v>
      </c>
      <c r="J11" s="14" t="str">
        <f>HYPERLINK("https://www.boe.es/gazeta/dias/1839/11/15/pdfs/GMD-1839-1832.pdf#page=3","Abrir facsímil")</f>
        <v>Abrir facsímil</v>
      </c>
      <c r="K11" s="12" t="s">
        <v>24</v>
      </c>
    </row>
    <row r="12" spans="1:11" ht="40.049999999999997" customHeight="1" x14ac:dyDescent="0.25">
      <c r="A12" s="11" t="s">
        <v>48</v>
      </c>
      <c r="B12" s="11" t="s">
        <v>48</v>
      </c>
      <c r="C12" s="11" t="s">
        <v>17</v>
      </c>
      <c r="D12" s="11" t="s">
        <v>18</v>
      </c>
      <c r="E12" s="12" t="s">
        <v>49</v>
      </c>
      <c r="F12" s="12" t="s">
        <v>50</v>
      </c>
      <c r="G12" s="12" t="s">
        <v>21</v>
      </c>
      <c r="H12" s="11" t="s">
        <v>22</v>
      </c>
      <c r="I12" s="13" t="s">
        <v>51</v>
      </c>
      <c r="J12" s="14" t="str">
        <f>HYPERLINK("https://www.boe.es/gazeta/dias/1839/01/05/pdfs/GMD-1839-1512.pdf#page=4","Abrir facsímil")</f>
        <v>Abrir facsímil</v>
      </c>
      <c r="K12" s="12" t="s">
        <v>24</v>
      </c>
    </row>
    <row r="13" spans="1:11" ht="40.049999999999997" customHeight="1" x14ac:dyDescent="0.25">
      <c r="A13" s="11" t="s">
        <v>52</v>
      </c>
      <c r="B13" s="11" t="s">
        <v>53</v>
      </c>
      <c r="C13" s="11" t="s">
        <v>17</v>
      </c>
      <c r="D13" s="11" t="s">
        <v>18</v>
      </c>
      <c r="E13" s="12" t="s">
        <v>54</v>
      </c>
      <c r="F13" s="12" t="s">
        <v>55</v>
      </c>
      <c r="G13" s="12" t="s">
        <v>46</v>
      </c>
      <c r="H13" s="11" t="s">
        <v>22</v>
      </c>
      <c r="I13" s="13" t="s">
        <v>56</v>
      </c>
      <c r="J13" s="14" t="str">
        <f>HYPERLINK("https://www.boe.es/gazeta/dias/1839/10/05/pdfs/GMD-1839-1791.pdf#page=3","Abrir facsímil")</f>
        <v>Abrir facsímil</v>
      </c>
      <c r="K13" s="12" t="s">
        <v>24</v>
      </c>
    </row>
    <row r="14" spans="1:11" ht="40.049999999999997" customHeight="1" x14ac:dyDescent="0.25">
      <c r="A14" s="11" t="s">
        <v>57</v>
      </c>
      <c r="B14" s="11" t="s">
        <v>58</v>
      </c>
      <c r="C14" s="11" t="s">
        <v>59</v>
      </c>
      <c r="D14" s="11" t="s">
        <v>60</v>
      </c>
      <c r="E14" s="12" t="s">
        <v>61</v>
      </c>
      <c r="F14" s="12" t="s">
        <v>62</v>
      </c>
      <c r="G14" s="12" t="s">
        <v>21</v>
      </c>
      <c r="H14" s="11" t="s">
        <v>63</v>
      </c>
      <c r="I14" s="13" t="s">
        <v>64</v>
      </c>
      <c r="J14" s="14" t="str">
        <f>HYPERLINK("https://www.boe.es/gazeta/dias/1839/09/10/pdfs/GMD-1839-1763.pdf#page=4","Abrir facsímil")</f>
        <v>Abrir facsímil</v>
      </c>
      <c r="K14" s="12" t="s">
        <v>65</v>
      </c>
    </row>
    <row r="15" spans="1:11" ht="40.049999999999997" customHeight="1" x14ac:dyDescent="0.25">
      <c r="A15" s="11" t="s">
        <v>66</v>
      </c>
      <c r="B15" s="11" t="s">
        <v>67</v>
      </c>
      <c r="C15" s="11" t="s">
        <v>59</v>
      </c>
      <c r="D15" s="11" t="s">
        <v>60</v>
      </c>
      <c r="E15" s="12" t="s">
        <v>68</v>
      </c>
      <c r="F15" s="12" t="s">
        <v>69</v>
      </c>
      <c r="G15" s="12" t="s">
        <v>29</v>
      </c>
      <c r="H15" s="11" t="s">
        <v>63</v>
      </c>
      <c r="I15" s="13" t="s">
        <v>70</v>
      </c>
      <c r="J15" s="14" t="str">
        <f>HYPERLINK("https://www.boe.es/gazeta/dias/1839/02/09/pdfs/GMD-1839-1547.pdf#page=1","Abrir facsímil")</f>
        <v>Abrir facsímil</v>
      </c>
      <c r="K15" s="12" t="s">
        <v>65</v>
      </c>
    </row>
    <row r="16" spans="1:11" ht="40.049999999999997" customHeight="1" x14ac:dyDescent="0.25">
      <c r="A16" s="11" t="s">
        <v>71</v>
      </c>
      <c r="B16" s="11" t="s">
        <v>72</v>
      </c>
      <c r="C16" s="11" t="s">
        <v>17</v>
      </c>
      <c r="D16" s="11" t="s">
        <v>18</v>
      </c>
      <c r="E16" s="12" t="s">
        <v>54</v>
      </c>
      <c r="F16" s="12" t="s">
        <v>55</v>
      </c>
      <c r="G16" s="12" t="s">
        <v>46</v>
      </c>
      <c r="H16" s="11" t="s">
        <v>22</v>
      </c>
      <c r="I16" s="13" t="s">
        <v>73</v>
      </c>
      <c r="J16" s="14" t="str">
        <f>HYPERLINK("https://www.boe.es/gazeta/dias/1839/10/05/pdfs/GMD-1839-1791.pdf#page=3","Abrir facsímil")</f>
        <v>Abrir facsímil</v>
      </c>
      <c r="K16" s="12" t="s">
        <v>24</v>
      </c>
    </row>
    <row r="17" spans="1:11" ht="40.049999999999997" customHeight="1" x14ac:dyDescent="0.25">
      <c r="A17" s="11" t="s">
        <v>74</v>
      </c>
      <c r="B17" s="11" t="s">
        <v>75</v>
      </c>
      <c r="C17" s="11" t="s">
        <v>17</v>
      </c>
      <c r="D17" s="11" t="s">
        <v>18</v>
      </c>
      <c r="E17" s="12" t="s">
        <v>76</v>
      </c>
      <c r="F17" s="12" t="s">
        <v>77</v>
      </c>
      <c r="G17" s="12" t="s">
        <v>46</v>
      </c>
      <c r="H17" s="11" t="s">
        <v>63</v>
      </c>
      <c r="I17" s="13" t="s">
        <v>78</v>
      </c>
      <c r="J17" s="14" t="str">
        <f>HYPERLINK("https://www.boe.es/gazeta/dias/1839/03/13/pdfs/GMD-1839-1579.pdf#page=3","Abrir facsímil")</f>
        <v>Abrir facsímil</v>
      </c>
      <c r="K17" s="12" t="s">
        <v>65</v>
      </c>
    </row>
    <row r="18" spans="1:11" ht="40.049999999999997" customHeight="1" x14ac:dyDescent="0.25">
      <c r="A18" s="11" t="s">
        <v>79</v>
      </c>
      <c r="B18" s="11" t="s">
        <v>79</v>
      </c>
      <c r="C18" s="11" t="s">
        <v>80</v>
      </c>
      <c r="D18" s="11" t="s">
        <v>18</v>
      </c>
      <c r="E18" s="12" t="s">
        <v>81</v>
      </c>
      <c r="F18" s="12" t="s">
        <v>82</v>
      </c>
      <c r="G18" s="12" t="s">
        <v>21</v>
      </c>
      <c r="H18" s="11" t="s">
        <v>63</v>
      </c>
      <c r="I18" s="13" t="s">
        <v>83</v>
      </c>
      <c r="J18" s="14" t="str">
        <f>HYPERLINK("https://www.boe.es/gazeta/dias/1839/03/03/pdfs/GMD-1839-1569.pdf#page=4","Abrir facsímil")</f>
        <v>Abrir facsímil</v>
      </c>
      <c r="K18" s="12" t="s">
        <v>65</v>
      </c>
    </row>
    <row r="19" spans="1:11" ht="40.049999999999997" customHeight="1" x14ac:dyDescent="0.25">
      <c r="A19" s="11" t="s">
        <v>79</v>
      </c>
      <c r="B19" s="11" t="s">
        <v>79</v>
      </c>
      <c r="C19" s="11" t="s">
        <v>80</v>
      </c>
      <c r="D19" s="11" t="s">
        <v>18</v>
      </c>
      <c r="E19" s="12" t="s">
        <v>84</v>
      </c>
      <c r="F19" s="12" t="s">
        <v>85</v>
      </c>
      <c r="G19" s="12" t="s">
        <v>21</v>
      </c>
      <c r="H19" s="11" t="s">
        <v>63</v>
      </c>
      <c r="I19" s="13" t="s">
        <v>86</v>
      </c>
      <c r="J19" s="14" t="str">
        <f>HYPERLINK("https://www.boe.es/gazeta/dias/1839/03/11/pdfs/GMD-1839-1577.pdf#page=4","Abrir facsímil")</f>
        <v>Abrir facsímil</v>
      </c>
      <c r="K19" s="12" t="s">
        <v>65</v>
      </c>
    </row>
    <row r="20" spans="1:11" ht="40.049999999999997" customHeight="1" x14ac:dyDescent="0.25">
      <c r="A20" s="11" t="s">
        <v>87</v>
      </c>
      <c r="B20" s="11" t="s">
        <v>88</v>
      </c>
      <c r="C20" s="11" t="s">
        <v>17</v>
      </c>
      <c r="D20" s="11" t="s">
        <v>18</v>
      </c>
      <c r="E20" s="12" t="s">
        <v>89</v>
      </c>
      <c r="F20" s="12" t="s">
        <v>90</v>
      </c>
      <c r="G20" s="12" t="s">
        <v>40</v>
      </c>
      <c r="H20" s="11" t="s">
        <v>22</v>
      </c>
      <c r="I20" s="13" t="s">
        <v>91</v>
      </c>
      <c r="J20" s="14" t="str">
        <f>HYPERLINK("https://www.boe.es/gazeta/dias/1839/11/28/pdfs/GMD-1839-1845.pdf#page=2","Abrir facsímil")</f>
        <v>Abrir facsímil</v>
      </c>
      <c r="K20" s="12" t="s">
        <v>24</v>
      </c>
    </row>
    <row r="21" spans="1:11" ht="40.049999999999997" customHeight="1" x14ac:dyDescent="0.25">
      <c r="A21" s="11" t="s">
        <v>92</v>
      </c>
      <c r="B21" s="11" t="s">
        <v>93</v>
      </c>
      <c r="C21" s="11" t="s">
        <v>17</v>
      </c>
      <c r="D21" s="11" t="s">
        <v>18</v>
      </c>
      <c r="E21" s="12" t="s">
        <v>94</v>
      </c>
      <c r="F21" s="12" t="s">
        <v>95</v>
      </c>
      <c r="G21" s="12" t="s">
        <v>21</v>
      </c>
      <c r="H21" s="11" t="s">
        <v>63</v>
      </c>
      <c r="I21" s="13" t="s">
        <v>96</v>
      </c>
      <c r="J21" s="14" t="str">
        <f>HYPERLINK("https://www.boe.es/gazeta/dias/1839/02/24/pdfs/GMD-1839-1562.pdf#page=4","Abrir facsímil")</f>
        <v>Abrir facsímil</v>
      </c>
      <c r="K21" s="12" t="s">
        <v>65</v>
      </c>
    </row>
    <row r="22" spans="1:11" ht="40.049999999999997" customHeight="1" x14ac:dyDescent="0.25">
      <c r="A22" s="11" t="s">
        <v>97</v>
      </c>
      <c r="B22" s="11" t="s">
        <v>98</v>
      </c>
      <c r="C22" s="11" t="s">
        <v>17</v>
      </c>
      <c r="D22" s="11" t="s">
        <v>18</v>
      </c>
      <c r="E22" s="12" t="s">
        <v>94</v>
      </c>
      <c r="F22" s="12" t="s">
        <v>95</v>
      </c>
      <c r="G22" s="12" t="s">
        <v>21</v>
      </c>
      <c r="H22" s="11" t="s">
        <v>22</v>
      </c>
      <c r="I22" s="13" t="s">
        <v>99</v>
      </c>
      <c r="J22" s="14" t="str">
        <f>HYPERLINK("https://www.boe.es/gazeta/dias/1839/02/24/pdfs/GMD-1839-1562.pdf#page=4","Abrir facsímil")</f>
        <v>Abrir facsímil</v>
      </c>
      <c r="K22" s="12" t="s">
        <v>24</v>
      </c>
    </row>
    <row r="23" spans="1:11" ht="40.049999999999997" customHeight="1" x14ac:dyDescent="0.25">
      <c r="A23" s="11" t="s">
        <v>100</v>
      </c>
      <c r="B23" s="11" t="s">
        <v>100</v>
      </c>
      <c r="C23" s="11" t="s">
        <v>101</v>
      </c>
      <c r="D23" s="11" t="s">
        <v>102</v>
      </c>
      <c r="E23" s="12" t="s">
        <v>103</v>
      </c>
      <c r="F23" s="12" t="s">
        <v>104</v>
      </c>
      <c r="G23" s="12" t="s">
        <v>21</v>
      </c>
      <c r="H23" s="11" t="s">
        <v>63</v>
      </c>
      <c r="I23" s="13" t="s">
        <v>105</v>
      </c>
      <c r="J23" s="14" t="str">
        <f>HYPERLINK("https://www.boe.es/gazeta/dias/1839/10/12/pdfs/GMD-1839-1798.pdf#page=4","Abrir facsímil")</f>
        <v>Abrir facsímil</v>
      </c>
      <c r="K23" s="12" t="s">
        <v>65</v>
      </c>
    </row>
    <row r="24" spans="1:11" ht="40.049999999999997" customHeight="1" x14ac:dyDescent="0.25">
      <c r="A24" s="11" t="s">
        <v>106</v>
      </c>
      <c r="B24" s="11" t="s">
        <v>107</v>
      </c>
      <c r="C24" s="11" t="s">
        <v>17</v>
      </c>
      <c r="D24" s="11" t="s">
        <v>18</v>
      </c>
      <c r="E24" s="12" t="s">
        <v>108</v>
      </c>
      <c r="F24" s="12" t="s">
        <v>109</v>
      </c>
      <c r="G24" s="12" t="s">
        <v>29</v>
      </c>
      <c r="H24" s="11" t="s">
        <v>63</v>
      </c>
      <c r="I24" s="13" t="s">
        <v>110</v>
      </c>
      <c r="J24" s="14" t="str">
        <f>HYPERLINK("https://www.boe.es/gazeta/dias/1839/01/04/pdfs/GMD-1839-1511.pdf#page=1","Abrir facsímil")</f>
        <v>Abrir facsímil</v>
      </c>
      <c r="K24" s="12" t="s">
        <v>65</v>
      </c>
    </row>
    <row r="25" spans="1:11" ht="40.049999999999997" customHeight="1" x14ac:dyDescent="0.25">
      <c r="A25" s="11" t="s">
        <v>106</v>
      </c>
      <c r="B25" s="11" t="s">
        <v>107</v>
      </c>
      <c r="C25" s="11" t="s">
        <v>17</v>
      </c>
      <c r="D25" s="11" t="s">
        <v>18</v>
      </c>
      <c r="E25" s="12" t="s">
        <v>111</v>
      </c>
      <c r="F25" s="12" t="s">
        <v>112</v>
      </c>
      <c r="G25" s="12" t="s">
        <v>21</v>
      </c>
      <c r="H25" s="11" t="s">
        <v>63</v>
      </c>
      <c r="I25" s="13" t="s">
        <v>113</v>
      </c>
      <c r="J25" s="14" t="str">
        <f>HYPERLINK("https://www.boe.es/gazeta/dias/1839/07/25/pdfs/GMD-1839-1714.pdf#page=4","Abrir facsímil")</f>
        <v>Abrir facsímil</v>
      </c>
      <c r="K25" s="12" t="s">
        <v>65</v>
      </c>
    </row>
    <row r="26" spans="1:11" ht="40.049999999999997" customHeight="1" x14ac:dyDescent="0.25">
      <c r="A26" s="11" t="s">
        <v>114</v>
      </c>
      <c r="B26" s="11" t="s">
        <v>115</v>
      </c>
      <c r="C26" s="11" t="s">
        <v>17</v>
      </c>
      <c r="D26" s="11" t="s">
        <v>18</v>
      </c>
      <c r="E26" s="12" t="s">
        <v>116</v>
      </c>
      <c r="F26" s="12" t="s">
        <v>117</v>
      </c>
      <c r="G26" s="12" t="s">
        <v>40</v>
      </c>
      <c r="H26" s="11" t="s">
        <v>63</v>
      </c>
      <c r="I26" s="13" t="s">
        <v>118</v>
      </c>
      <c r="J26" s="14" t="str">
        <f>HYPERLINK("https://www.boe.es/gazeta/dias/1839/10/10/pdfs/GMD-1839-1796.pdf#page=2","Abrir facsímil")</f>
        <v>Abrir facsímil</v>
      </c>
      <c r="K26" s="12" t="s">
        <v>65</v>
      </c>
    </row>
    <row r="27" spans="1:11" ht="40.049999999999997" customHeight="1" x14ac:dyDescent="0.25">
      <c r="A27" s="11" t="s">
        <v>119</v>
      </c>
      <c r="B27" s="11" t="s">
        <v>120</v>
      </c>
      <c r="C27" s="11" t="s">
        <v>17</v>
      </c>
      <c r="D27" s="11" t="s">
        <v>18</v>
      </c>
      <c r="E27" s="12" t="s">
        <v>121</v>
      </c>
      <c r="F27" s="12" t="s">
        <v>122</v>
      </c>
      <c r="G27" s="12" t="s">
        <v>29</v>
      </c>
      <c r="H27" s="11" t="s">
        <v>63</v>
      </c>
      <c r="I27" s="13" t="s">
        <v>123</v>
      </c>
      <c r="J27" s="14" t="str">
        <f>HYPERLINK("https://www.boe.es/gazeta/dias/1839/06/08/pdfs/GMD-1839-1666.pdf#page=1","Abrir facsímil")</f>
        <v>Abrir facsímil</v>
      </c>
      <c r="K27" s="12" t="s">
        <v>65</v>
      </c>
    </row>
    <row r="28" spans="1:11" ht="40.049999999999997" customHeight="1" x14ac:dyDescent="0.25">
      <c r="A28" s="11" t="s">
        <v>124</v>
      </c>
      <c r="B28" s="11" t="s">
        <v>124</v>
      </c>
      <c r="C28" s="11" t="s">
        <v>101</v>
      </c>
      <c r="D28" s="11" t="s">
        <v>43</v>
      </c>
      <c r="E28" s="12" t="s">
        <v>125</v>
      </c>
      <c r="F28" s="12" t="s">
        <v>126</v>
      </c>
      <c r="G28" s="12" t="s">
        <v>29</v>
      </c>
      <c r="H28" s="11" t="s">
        <v>63</v>
      </c>
      <c r="I28" s="13" t="s">
        <v>127</v>
      </c>
      <c r="J28" s="14" t="str">
        <f>HYPERLINK("https://www.boe.es/gazeta/dias/1839/05/23/pdfs/GMD-1839-1650.pdf#page=1","Abrir facsímil")</f>
        <v>Abrir facsímil</v>
      </c>
      <c r="K28" s="12" t="s">
        <v>65</v>
      </c>
    </row>
    <row r="29" spans="1:11" ht="40.049999999999997" customHeight="1" x14ac:dyDescent="0.25">
      <c r="A29" s="11" t="s">
        <v>124</v>
      </c>
      <c r="B29" s="11" t="s">
        <v>124</v>
      </c>
      <c r="C29" s="11" t="s">
        <v>17</v>
      </c>
      <c r="D29" s="11" t="s">
        <v>18</v>
      </c>
      <c r="E29" s="12" t="s">
        <v>128</v>
      </c>
      <c r="F29" s="12" t="s">
        <v>129</v>
      </c>
      <c r="G29" s="12" t="s">
        <v>40</v>
      </c>
      <c r="H29" s="11" t="s">
        <v>63</v>
      </c>
      <c r="I29" s="13" t="s">
        <v>130</v>
      </c>
      <c r="J29" s="14" t="str">
        <f>HYPERLINK("https://www.boe.es/gazeta/dias/1839/05/25/pdfs/GMD-1839-1652.pdf#page=2","Abrir facsímil")</f>
        <v>Abrir facsímil</v>
      </c>
      <c r="K29" s="12" t="s">
        <v>65</v>
      </c>
    </row>
    <row r="30" spans="1:11" ht="40.049999999999997" customHeight="1" x14ac:dyDescent="0.25">
      <c r="A30" s="11" t="s">
        <v>131</v>
      </c>
      <c r="B30" s="11" t="s">
        <v>131</v>
      </c>
      <c r="C30" s="11" t="s">
        <v>101</v>
      </c>
      <c r="D30" s="11" t="s">
        <v>102</v>
      </c>
      <c r="E30" s="12" t="s">
        <v>132</v>
      </c>
      <c r="F30" s="12" t="s">
        <v>133</v>
      </c>
      <c r="G30" s="12" t="s">
        <v>46</v>
      </c>
      <c r="H30" s="11" t="s">
        <v>63</v>
      </c>
      <c r="I30" s="13" t="s">
        <v>134</v>
      </c>
      <c r="J30" s="14" t="str">
        <f>HYPERLINK("https://www.boe.es/gazeta/dias/1839/08/02/pdfs/GMD-1839-1722.pdf#page=3","Abrir facsímil")</f>
        <v>Abrir facsímil</v>
      </c>
      <c r="K30" s="12" t="s">
        <v>65</v>
      </c>
    </row>
    <row r="31" spans="1:11" ht="40.049999999999997" customHeight="1" x14ac:dyDescent="0.25">
      <c r="A31" s="11" t="s">
        <v>135</v>
      </c>
      <c r="B31" s="11" t="s">
        <v>136</v>
      </c>
      <c r="C31" s="11" t="s">
        <v>137</v>
      </c>
      <c r="D31" s="11" t="s">
        <v>18</v>
      </c>
      <c r="E31" s="12" t="s">
        <v>138</v>
      </c>
      <c r="F31" s="12" t="s">
        <v>139</v>
      </c>
      <c r="G31" s="12" t="s">
        <v>21</v>
      </c>
      <c r="H31" s="11" t="s">
        <v>63</v>
      </c>
      <c r="I31" s="13" t="s">
        <v>140</v>
      </c>
      <c r="J31" s="14" t="str">
        <f>HYPERLINK("https://www.boe.es/gazeta/dias/1839/10/09/pdfs/GMD-1839-1795.pdf#page=4","Abrir facsímil")</f>
        <v>Abrir facsímil</v>
      </c>
      <c r="K31" s="12" t="s">
        <v>65</v>
      </c>
    </row>
    <row r="32" spans="1:11" ht="40.049999999999997" customHeight="1" x14ac:dyDescent="0.25">
      <c r="A32" s="11" t="s">
        <v>135</v>
      </c>
      <c r="B32" s="11" t="s">
        <v>136</v>
      </c>
      <c r="C32" s="11" t="s">
        <v>137</v>
      </c>
      <c r="D32" s="11" t="s">
        <v>18</v>
      </c>
      <c r="E32" s="12" t="s">
        <v>141</v>
      </c>
      <c r="F32" s="12" t="s">
        <v>142</v>
      </c>
      <c r="G32" s="12" t="s">
        <v>21</v>
      </c>
      <c r="H32" s="11" t="s">
        <v>63</v>
      </c>
      <c r="I32" s="13" t="s">
        <v>143</v>
      </c>
      <c r="J32" s="14" t="str">
        <f>HYPERLINK("https://www.boe.es/gazeta/dias/1839/11/10/pdfs/GMD-1839-1827.pdf#page=4","Abrir facsímil")</f>
        <v>Abrir facsímil</v>
      </c>
      <c r="K32" s="12" t="s">
        <v>65</v>
      </c>
    </row>
    <row r="33" spans="1:11" ht="40.049999999999997" customHeight="1" x14ac:dyDescent="0.25">
      <c r="A33" s="11" t="s">
        <v>144</v>
      </c>
      <c r="B33" s="11" t="s">
        <v>145</v>
      </c>
      <c r="C33" s="11" t="s">
        <v>17</v>
      </c>
      <c r="D33" s="11" t="s">
        <v>18</v>
      </c>
      <c r="E33" s="12" t="s">
        <v>27</v>
      </c>
      <c r="F33" s="12" t="s">
        <v>28</v>
      </c>
      <c r="G33" s="12" t="s">
        <v>29</v>
      </c>
      <c r="H33" s="11" t="s">
        <v>63</v>
      </c>
      <c r="I33" s="13" t="s">
        <v>146</v>
      </c>
      <c r="J33" s="14" t="str">
        <f>HYPERLINK("https://www.boe.es/gazeta/dias/1839/07/28/pdfs/GMD-1839-1717.pdf#page=1","Abrir facsímil")</f>
        <v>Abrir facsímil</v>
      </c>
      <c r="K33" s="12" t="s">
        <v>65</v>
      </c>
    </row>
    <row r="34" spans="1:11" ht="40.049999999999997" customHeight="1" x14ac:dyDescent="0.25">
      <c r="A34" s="11" t="s">
        <v>147</v>
      </c>
      <c r="B34" s="11" t="s">
        <v>147</v>
      </c>
      <c r="C34" s="11" t="s">
        <v>17</v>
      </c>
      <c r="D34" s="11" t="s">
        <v>18</v>
      </c>
      <c r="E34" s="12" t="s">
        <v>148</v>
      </c>
      <c r="F34" s="12" t="s">
        <v>149</v>
      </c>
      <c r="G34" s="12" t="s">
        <v>40</v>
      </c>
      <c r="H34" s="11" t="s">
        <v>63</v>
      </c>
      <c r="I34" s="13" t="s">
        <v>150</v>
      </c>
      <c r="J34" s="14" t="str">
        <f>HYPERLINK("https://www.boe.es/gazeta/dias/1839/07/16/pdfs/GMD-1839-1704.pdf#page=2","Abrir facsímil")</f>
        <v>Abrir facsímil</v>
      </c>
      <c r="K34" s="12" t="s">
        <v>65</v>
      </c>
    </row>
    <row r="35" spans="1:11" ht="40.049999999999997" customHeight="1" x14ac:dyDescent="0.25">
      <c r="A35" s="11" t="s">
        <v>151</v>
      </c>
      <c r="B35" s="11" t="s">
        <v>151</v>
      </c>
      <c r="C35" s="11" t="s">
        <v>17</v>
      </c>
      <c r="D35" s="11" t="s">
        <v>18</v>
      </c>
      <c r="E35" s="12" t="s">
        <v>148</v>
      </c>
      <c r="F35" s="12" t="s">
        <v>149</v>
      </c>
      <c r="G35" s="12" t="s">
        <v>40</v>
      </c>
      <c r="H35" s="11" t="s">
        <v>63</v>
      </c>
      <c r="I35" s="13" t="s">
        <v>152</v>
      </c>
      <c r="J35" s="14" t="str">
        <f>HYPERLINK("https://www.boe.es/gazeta/dias/1839/07/16/pdfs/GMD-1839-1704.pdf#page=2","Abrir facsímil")</f>
        <v>Abrir facsímil</v>
      </c>
      <c r="K35" s="12" t="s">
        <v>65</v>
      </c>
    </row>
    <row r="36" spans="1:11" ht="40.049999999999997" customHeight="1" x14ac:dyDescent="0.25">
      <c r="A36" s="11" t="s">
        <v>153</v>
      </c>
      <c r="B36" s="11" t="s">
        <v>153</v>
      </c>
      <c r="C36" s="11" t="s">
        <v>17</v>
      </c>
      <c r="D36" s="11" t="s">
        <v>18</v>
      </c>
      <c r="E36" s="12" t="s">
        <v>154</v>
      </c>
      <c r="F36" s="12" t="s">
        <v>155</v>
      </c>
      <c r="G36" s="12" t="s">
        <v>46</v>
      </c>
      <c r="H36" s="11" t="s">
        <v>63</v>
      </c>
      <c r="I36" s="13" t="s">
        <v>156</v>
      </c>
      <c r="J36" s="14" t="str">
        <f>HYPERLINK("https://www.boe.es/gazeta/dias/1839/02/02/pdfs/GMD-1839-1540.pdf#page=3","Abrir facsímil")</f>
        <v>Abrir facsímil</v>
      </c>
      <c r="K36" s="12" t="s">
        <v>65</v>
      </c>
    </row>
    <row r="37" spans="1:11" ht="40.049999999999997" customHeight="1" x14ac:dyDescent="0.25">
      <c r="A37" s="11" t="s">
        <v>153</v>
      </c>
      <c r="B37" s="11" t="s">
        <v>153</v>
      </c>
      <c r="C37" s="11" t="s">
        <v>101</v>
      </c>
      <c r="D37" s="11" t="s">
        <v>102</v>
      </c>
      <c r="E37" s="12" t="s">
        <v>157</v>
      </c>
      <c r="F37" s="12" t="s">
        <v>158</v>
      </c>
      <c r="G37" s="12" t="s">
        <v>21</v>
      </c>
      <c r="H37" s="11" t="s">
        <v>63</v>
      </c>
      <c r="I37" s="13" t="s">
        <v>159</v>
      </c>
      <c r="J37" s="14" t="str">
        <f>HYPERLINK("https://www.boe.es/gazeta/dias/1839/02/08/pdfs/GMD-1839-1546.pdf#page=4","Abrir facsímil")</f>
        <v>Abrir facsímil</v>
      </c>
      <c r="K37" s="12" t="s">
        <v>65</v>
      </c>
    </row>
    <row r="38" spans="1:11" ht="40.049999999999997" customHeight="1" x14ac:dyDescent="0.25">
      <c r="A38" s="11" t="s">
        <v>153</v>
      </c>
      <c r="B38" s="11" t="s">
        <v>153</v>
      </c>
      <c r="C38" s="11" t="s">
        <v>101</v>
      </c>
      <c r="D38" s="11" t="s">
        <v>43</v>
      </c>
      <c r="E38" s="12" t="s">
        <v>160</v>
      </c>
      <c r="F38" s="12" t="s">
        <v>161</v>
      </c>
      <c r="G38" s="12" t="s">
        <v>46</v>
      </c>
      <c r="H38" s="11" t="s">
        <v>63</v>
      </c>
      <c r="I38" s="13" t="s">
        <v>162</v>
      </c>
      <c r="J38" s="14" t="str">
        <f>HYPERLINK("https://www.boe.es/gazeta/dias/1839/01/10/pdfs/GMD-1839-1517.pdf#page=3","Abrir facsímil")</f>
        <v>Abrir facsímil</v>
      </c>
      <c r="K38" s="12" t="s">
        <v>65</v>
      </c>
    </row>
    <row r="39" spans="1:11" ht="40.049999999999997" customHeight="1" x14ac:dyDescent="0.25">
      <c r="A39" s="11" t="s">
        <v>153</v>
      </c>
      <c r="B39" s="11" t="s">
        <v>153</v>
      </c>
      <c r="C39" s="11" t="s">
        <v>80</v>
      </c>
      <c r="D39" s="11" t="s">
        <v>18</v>
      </c>
      <c r="E39" s="12" t="s">
        <v>163</v>
      </c>
      <c r="F39" s="12" t="s">
        <v>164</v>
      </c>
      <c r="G39" s="12" t="s">
        <v>46</v>
      </c>
      <c r="H39" s="11" t="s">
        <v>63</v>
      </c>
      <c r="I39" s="13" t="s">
        <v>165</v>
      </c>
      <c r="J39" s="14" t="str">
        <f>HYPERLINK("https://www.boe.es/gazeta/dias/1839/01/13/pdfs/GMD-1839-1520.pdf#page=3","Abrir facsímil")</f>
        <v>Abrir facsímil</v>
      </c>
      <c r="K39" s="12" t="s">
        <v>65</v>
      </c>
    </row>
    <row r="40" spans="1:11" ht="40.049999999999997" customHeight="1" x14ac:dyDescent="0.25">
      <c r="A40" s="11" t="s">
        <v>166</v>
      </c>
      <c r="B40" s="11" t="s">
        <v>167</v>
      </c>
      <c r="C40" s="11" t="s">
        <v>17</v>
      </c>
      <c r="D40" s="11" t="s">
        <v>18</v>
      </c>
      <c r="E40" s="12" t="s">
        <v>168</v>
      </c>
      <c r="F40" s="12" t="s">
        <v>169</v>
      </c>
      <c r="G40" s="12" t="s">
        <v>21</v>
      </c>
      <c r="H40" s="11" t="s">
        <v>63</v>
      </c>
      <c r="I40" s="13" t="s">
        <v>170</v>
      </c>
      <c r="J40" s="14" t="str">
        <f>HYPERLINK("https://www.boe.es/gazeta/dias/1839/07/12/pdfs/GMD-1839-1700.pdf#page=4","Abrir facsímil")</f>
        <v>Abrir facsímil</v>
      </c>
      <c r="K40" s="12" t="s">
        <v>65</v>
      </c>
    </row>
    <row r="41" spans="1:11" ht="40.049999999999997" customHeight="1" x14ac:dyDescent="0.25">
      <c r="A41" s="11" t="s">
        <v>171</v>
      </c>
      <c r="B41" s="11" t="s">
        <v>172</v>
      </c>
      <c r="C41" s="11" t="s">
        <v>80</v>
      </c>
      <c r="D41" s="11" t="s">
        <v>173</v>
      </c>
      <c r="E41" s="12" t="s">
        <v>163</v>
      </c>
      <c r="F41" s="12" t="s">
        <v>164</v>
      </c>
      <c r="G41" s="12" t="s">
        <v>21</v>
      </c>
      <c r="H41" s="11" t="s">
        <v>22</v>
      </c>
      <c r="I41" s="13" t="s">
        <v>174</v>
      </c>
      <c r="J41" s="14" t="str">
        <f>HYPERLINK("https://www.boe.es/gazeta/dias/1839/01/13/pdfs/GMD-1839-1520.pdf#page=4","Abrir facsímil")</f>
        <v>Abrir facsímil</v>
      </c>
      <c r="K41" s="12" t="s">
        <v>24</v>
      </c>
    </row>
    <row r="42" spans="1:11" ht="40.049999999999997" customHeight="1" x14ac:dyDescent="0.25">
      <c r="A42" s="11" t="s">
        <v>171</v>
      </c>
      <c r="B42" s="11" t="s">
        <v>172</v>
      </c>
      <c r="C42" s="11" t="s">
        <v>80</v>
      </c>
      <c r="D42" s="11" t="s">
        <v>18</v>
      </c>
      <c r="E42" s="12" t="s">
        <v>175</v>
      </c>
      <c r="F42" s="12" t="s">
        <v>176</v>
      </c>
      <c r="G42" s="12" t="s">
        <v>46</v>
      </c>
      <c r="H42" s="11" t="s">
        <v>22</v>
      </c>
      <c r="I42" s="13" t="s">
        <v>177</v>
      </c>
      <c r="J42" s="14" t="str">
        <f>HYPERLINK("https://www.boe.es/gazeta/dias/1839/01/16/pdfs/GMD-1839-1523.pdf#page=3","Abrir facsímil")</f>
        <v>Abrir facsímil</v>
      </c>
      <c r="K42" s="12" t="s">
        <v>24</v>
      </c>
    </row>
    <row r="43" spans="1:11" ht="40.049999999999997" customHeight="1" x14ac:dyDescent="0.25">
      <c r="A43" s="11" t="s">
        <v>178</v>
      </c>
      <c r="B43" s="11" t="s">
        <v>179</v>
      </c>
      <c r="C43" s="11" t="s">
        <v>17</v>
      </c>
      <c r="D43" s="11" t="s">
        <v>18</v>
      </c>
      <c r="E43" s="12" t="s">
        <v>157</v>
      </c>
      <c r="F43" s="12" t="s">
        <v>158</v>
      </c>
      <c r="G43" s="12" t="s">
        <v>21</v>
      </c>
      <c r="H43" s="11" t="s">
        <v>22</v>
      </c>
      <c r="I43" s="13" t="s">
        <v>180</v>
      </c>
      <c r="J43" s="14" t="str">
        <f>HYPERLINK("https://www.boe.es/gazeta/dias/1839/02/08/pdfs/GMD-1839-1546.pdf#page=4","Abrir facsímil")</f>
        <v>Abrir facsímil</v>
      </c>
      <c r="K43" s="12" t="s">
        <v>24</v>
      </c>
    </row>
    <row r="44" spans="1:11" ht="40.049999999999997" customHeight="1" x14ac:dyDescent="0.25">
      <c r="A44" s="11" t="s">
        <v>178</v>
      </c>
      <c r="B44" s="11" t="s">
        <v>179</v>
      </c>
      <c r="C44" s="11" t="s">
        <v>17</v>
      </c>
      <c r="D44" s="11" t="s">
        <v>18</v>
      </c>
      <c r="E44" s="12" t="s">
        <v>181</v>
      </c>
      <c r="F44" s="12" t="s">
        <v>182</v>
      </c>
      <c r="G44" s="12" t="s">
        <v>46</v>
      </c>
      <c r="H44" s="11" t="s">
        <v>22</v>
      </c>
      <c r="I44" s="13" t="s">
        <v>183</v>
      </c>
      <c r="J44" s="14" t="str">
        <f>HYPERLINK("https://www.boe.es/gazeta/dias/1839/01/11/pdfs/GMD-1839-1518.pdf#page=3","Abrir facsímil")</f>
        <v>Abrir facsímil</v>
      </c>
      <c r="K44" s="12" t="s">
        <v>24</v>
      </c>
    </row>
    <row r="45" spans="1:11" ht="40.049999999999997" customHeight="1" x14ac:dyDescent="0.25">
      <c r="A45" s="11" t="s">
        <v>178</v>
      </c>
      <c r="B45" s="11" t="s">
        <v>179</v>
      </c>
      <c r="C45" s="11" t="s">
        <v>17</v>
      </c>
      <c r="D45" s="11" t="s">
        <v>18</v>
      </c>
      <c r="E45" s="12" t="s">
        <v>163</v>
      </c>
      <c r="F45" s="12" t="s">
        <v>164</v>
      </c>
      <c r="G45" s="12" t="s">
        <v>46</v>
      </c>
      <c r="H45" s="11" t="s">
        <v>22</v>
      </c>
      <c r="I45" s="13" t="s">
        <v>184</v>
      </c>
      <c r="J45" s="14" t="str">
        <f>HYPERLINK("https://www.boe.es/gazeta/dias/1839/01/13/pdfs/GMD-1839-1520.pdf#page=3","Abrir facsímil")</f>
        <v>Abrir facsímil</v>
      </c>
      <c r="K45" s="12" t="s">
        <v>24</v>
      </c>
    </row>
    <row r="46" spans="1:11" ht="40.049999999999997" customHeight="1" x14ac:dyDescent="0.25">
      <c r="A46" s="11" t="s">
        <v>178</v>
      </c>
      <c r="B46" s="11" t="s">
        <v>179</v>
      </c>
      <c r="C46" s="11" t="s">
        <v>17</v>
      </c>
      <c r="D46" s="11" t="s">
        <v>18</v>
      </c>
      <c r="E46" s="12" t="s">
        <v>185</v>
      </c>
      <c r="F46" s="12" t="s">
        <v>186</v>
      </c>
      <c r="G46" s="12" t="s">
        <v>29</v>
      </c>
      <c r="H46" s="11" t="s">
        <v>22</v>
      </c>
      <c r="I46" s="13" t="s">
        <v>187</v>
      </c>
      <c r="J46" s="14" t="str">
        <f>HYPERLINK("https://www.boe.es/gazeta/dias/1839/01/15/pdfs/GMD-1839-1522.pdf#page=1","Abrir facsímil")</f>
        <v>Abrir facsímil</v>
      </c>
      <c r="K46" s="12" t="s">
        <v>24</v>
      </c>
    </row>
    <row r="47" spans="1:11" ht="40.049999999999997" customHeight="1" x14ac:dyDescent="0.25">
      <c r="A47" s="11" t="s">
        <v>188</v>
      </c>
      <c r="B47" s="11" t="s">
        <v>189</v>
      </c>
      <c r="C47" s="11" t="s">
        <v>101</v>
      </c>
      <c r="D47" s="11" t="s">
        <v>43</v>
      </c>
      <c r="E47" s="12" t="s">
        <v>68</v>
      </c>
      <c r="F47" s="12" t="s">
        <v>69</v>
      </c>
      <c r="G47" s="12" t="s">
        <v>46</v>
      </c>
      <c r="H47" s="11" t="s">
        <v>63</v>
      </c>
      <c r="I47" s="13" t="s">
        <v>190</v>
      </c>
      <c r="J47" s="14" t="str">
        <f>HYPERLINK("https://www.boe.es/gazeta/dias/1839/02/09/pdfs/GMD-1839-1547.pdf#page=3","Abrir facsímil")</f>
        <v>Abrir facsímil</v>
      </c>
      <c r="K47" s="12" t="s">
        <v>65</v>
      </c>
    </row>
    <row r="48" spans="1:11" ht="40.049999999999997" customHeight="1" x14ac:dyDescent="0.25">
      <c r="A48" s="11" t="s">
        <v>188</v>
      </c>
      <c r="B48" s="11" t="s">
        <v>189</v>
      </c>
      <c r="C48" s="11" t="s">
        <v>80</v>
      </c>
      <c r="D48" s="11" t="s">
        <v>18</v>
      </c>
      <c r="E48" s="12" t="s">
        <v>160</v>
      </c>
      <c r="F48" s="12" t="s">
        <v>161</v>
      </c>
      <c r="G48" s="12" t="s">
        <v>46</v>
      </c>
      <c r="H48" s="11" t="s">
        <v>63</v>
      </c>
      <c r="I48" s="13" t="s">
        <v>191</v>
      </c>
      <c r="J48" s="14" t="str">
        <f>HYPERLINK("https://www.boe.es/gazeta/dias/1839/01/10/pdfs/GMD-1839-1517.pdf#page=3","Abrir facsímil")</f>
        <v>Abrir facsímil</v>
      </c>
      <c r="K48" s="12" t="s">
        <v>65</v>
      </c>
    </row>
    <row r="49" spans="1:11" ht="40.049999999999997" customHeight="1" x14ac:dyDescent="0.25">
      <c r="A49" s="11" t="s">
        <v>188</v>
      </c>
      <c r="B49" s="11" t="s">
        <v>189</v>
      </c>
      <c r="C49" s="11" t="s">
        <v>17</v>
      </c>
      <c r="D49" s="11" t="s">
        <v>18</v>
      </c>
      <c r="E49" s="12" t="s">
        <v>192</v>
      </c>
      <c r="F49" s="12" t="s">
        <v>193</v>
      </c>
      <c r="G49" s="12" t="s">
        <v>21</v>
      </c>
      <c r="H49" s="11" t="s">
        <v>63</v>
      </c>
      <c r="I49" s="13" t="s">
        <v>194</v>
      </c>
      <c r="J49" s="14" t="str">
        <f>HYPERLINK("https://www.boe.es/gazeta/dias/1839/01/12/pdfs/GMD-1839-1519.pdf#page=4","Abrir facsímil")</f>
        <v>Abrir facsímil</v>
      </c>
      <c r="K49" s="12" t="s">
        <v>65</v>
      </c>
    </row>
    <row r="50" spans="1:11" ht="40.049999999999997" customHeight="1" x14ac:dyDescent="0.25">
      <c r="A50" s="11" t="s">
        <v>188</v>
      </c>
      <c r="B50" s="11" t="s">
        <v>189</v>
      </c>
      <c r="C50" s="11" t="s">
        <v>17</v>
      </c>
      <c r="D50" s="11" t="s">
        <v>18</v>
      </c>
      <c r="E50" s="12" t="s">
        <v>185</v>
      </c>
      <c r="F50" s="12" t="s">
        <v>186</v>
      </c>
      <c r="G50" s="12" t="s">
        <v>29</v>
      </c>
      <c r="H50" s="11" t="s">
        <v>63</v>
      </c>
      <c r="I50" s="13" t="s">
        <v>195</v>
      </c>
      <c r="J50" s="14" t="str">
        <f>HYPERLINK("https://www.boe.es/gazeta/dias/1839/01/15/pdfs/GMD-1839-1522.pdf#page=1","Abrir facsímil")</f>
        <v>Abrir facsímil</v>
      </c>
      <c r="K50" s="12" t="s">
        <v>65</v>
      </c>
    </row>
    <row r="51" spans="1:11" ht="40.049999999999997" customHeight="1" x14ac:dyDescent="0.25">
      <c r="A51" s="11" t="s">
        <v>196</v>
      </c>
      <c r="B51" s="11" t="s">
        <v>196</v>
      </c>
      <c r="C51" s="11" t="s">
        <v>17</v>
      </c>
      <c r="D51" s="11" t="s">
        <v>43</v>
      </c>
      <c r="E51" s="12" t="s">
        <v>197</v>
      </c>
      <c r="F51" s="12" t="s">
        <v>198</v>
      </c>
      <c r="G51" s="12" t="s">
        <v>40</v>
      </c>
      <c r="H51" s="11" t="s">
        <v>63</v>
      </c>
      <c r="I51" s="13" t="s">
        <v>199</v>
      </c>
      <c r="J51" s="14" t="str">
        <f>HYPERLINK("https://www.boe.es/gazeta/dias/1839/10/04/pdfs/GMD-1839-1790.pdf#page=2","Abrir facsímil")</f>
        <v>Abrir facsímil</v>
      </c>
      <c r="K51" s="12" t="s">
        <v>65</v>
      </c>
    </row>
    <row r="52" spans="1:11" ht="40.049999999999997" customHeight="1" x14ac:dyDescent="0.25">
      <c r="A52" s="11" t="s">
        <v>200</v>
      </c>
      <c r="B52" s="11" t="s">
        <v>201</v>
      </c>
      <c r="C52" s="11" t="s">
        <v>59</v>
      </c>
      <c r="D52" s="11" t="s">
        <v>60</v>
      </c>
      <c r="E52" s="12" t="s">
        <v>202</v>
      </c>
      <c r="F52" s="12" t="s">
        <v>203</v>
      </c>
      <c r="G52" s="12" t="s">
        <v>46</v>
      </c>
      <c r="H52" s="11" t="s">
        <v>63</v>
      </c>
      <c r="I52" s="13" t="s">
        <v>204</v>
      </c>
      <c r="J52" s="14" t="str">
        <f>HYPERLINK("https://www.boe.es/gazeta/dias/1839/04/05/pdfs/GMD-1839-1602.pdf#page=3","Abrir facsímil")</f>
        <v>Abrir facsímil</v>
      </c>
      <c r="K52" s="12" t="s">
        <v>65</v>
      </c>
    </row>
    <row r="53" spans="1:11" ht="40.049999999999997" customHeight="1" x14ac:dyDescent="0.25">
      <c r="A53" s="11" t="s">
        <v>205</v>
      </c>
      <c r="B53" s="11" t="s">
        <v>206</v>
      </c>
      <c r="C53" s="11" t="s">
        <v>17</v>
      </c>
      <c r="D53" s="11" t="s">
        <v>18</v>
      </c>
      <c r="E53" s="12" t="s">
        <v>207</v>
      </c>
      <c r="F53" s="12" t="s">
        <v>208</v>
      </c>
      <c r="G53" s="12" t="s">
        <v>40</v>
      </c>
      <c r="H53" s="11" t="s">
        <v>63</v>
      </c>
      <c r="I53" s="13" t="s">
        <v>209</v>
      </c>
      <c r="J53" s="14" t="str">
        <f>HYPERLINK("https://www.boe.es/gazeta/dias/1839/02/19/pdfs/GMD-1839-1557.pdf#page=2","Abrir facsímil")</f>
        <v>Abrir facsímil</v>
      </c>
      <c r="K53" s="12" t="s">
        <v>65</v>
      </c>
    </row>
    <row r="54" spans="1:11" ht="40.049999999999997" customHeight="1" x14ac:dyDescent="0.25">
      <c r="A54" s="11" t="s">
        <v>210</v>
      </c>
      <c r="B54" s="11" t="s">
        <v>211</v>
      </c>
      <c r="C54" s="11" t="s">
        <v>17</v>
      </c>
      <c r="D54" s="11" t="s">
        <v>18</v>
      </c>
      <c r="E54" s="12" t="s">
        <v>212</v>
      </c>
      <c r="F54" s="12" t="s">
        <v>213</v>
      </c>
      <c r="G54" s="12" t="s">
        <v>29</v>
      </c>
      <c r="H54" s="11" t="s">
        <v>63</v>
      </c>
      <c r="I54" s="13" t="s">
        <v>214</v>
      </c>
      <c r="J54" s="14" t="str">
        <f>HYPERLINK("https://www.boe.es/gazeta/dias/1839/10/03/pdfs/GMD-1839-1789.pdf#page=1","Abrir facsímil")</f>
        <v>Abrir facsímil</v>
      </c>
      <c r="K54" s="12" t="s">
        <v>65</v>
      </c>
    </row>
    <row r="55" spans="1:11" ht="40.049999999999997" customHeight="1" x14ac:dyDescent="0.25">
      <c r="A55" s="11" t="s">
        <v>215</v>
      </c>
      <c r="B55" s="11" t="s">
        <v>216</v>
      </c>
      <c r="C55" s="11" t="s">
        <v>80</v>
      </c>
      <c r="D55" s="11" t="s">
        <v>18</v>
      </c>
      <c r="E55" s="12" t="s">
        <v>217</v>
      </c>
      <c r="F55" s="12" t="s">
        <v>218</v>
      </c>
      <c r="G55" s="12" t="s">
        <v>46</v>
      </c>
      <c r="H55" s="11" t="s">
        <v>22</v>
      </c>
      <c r="I55" s="13" t="s">
        <v>219</v>
      </c>
      <c r="J55" s="14" t="str">
        <f>HYPERLINK("https://www.boe.es/gazeta/dias/1839/08/06/pdfs/GMD-1839-1726.pdf#page=3","Abrir facsímil")</f>
        <v>Abrir facsímil</v>
      </c>
      <c r="K55" s="12" t="s">
        <v>24</v>
      </c>
    </row>
    <row r="56" spans="1:11" ht="40.049999999999997" customHeight="1" x14ac:dyDescent="0.25">
      <c r="A56" s="11" t="s">
        <v>220</v>
      </c>
      <c r="B56" s="11" t="s">
        <v>221</v>
      </c>
      <c r="C56" s="11" t="s">
        <v>17</v>
      </c>
      <c r="D56" s="11" t="s">
        <v>18</v>
      </c>
      <c r="E56" s="12" t="s">
        <v>222</v>
      </c>
      <c r="F56" s="12" t="s">
        <v>223</v>
      </c>
      <c r="G56" s="12" t="s">
        <v>21</v>
      </c>
      <c r="H56" s="11" t="s">
        <v>63</v>
      </c>
      <c r="I56" s="13" t="s">
        <v>224</v>
      </c>
      <c r="J56" s="14" t="str">
        <f>HYPERLINK("https://www.boe.es/gazeta/dias/1839/06/22/pdfs/GMD-1839-1680.pdf#page=4","Abrir facsímil")</f>
        <v>Abrir facsímil</v>
      </c>
      <c r="K56" s="12" t="s">
        <v>65</v>
      </c>
    </row>
    <row r="57" spans="1:11" ht="40.049999999999997" customHeight="1" x14ac:dyDescent="0.25">
      <c r="A57" s="11" t="s">
        <v>225</v>
      </c>
      <c r="B57" s="11" t="s">
        <v>225</v>
      </c>
      <c r="C57" s="11" t="s">
        <v>137</v>
      </c>
      <c r="D57" s="11" t="s">
        <v>18</v>
      </c>
      <c r="E57" s="12" t="s">
        <v>226</v>
      </c>
      <c r="F57" s="12" t="s">
        <v>227</v>
      </c>
      <c r="G57" s="12" t="s">
        <v>29</v>
      </c>
      <c r="H57" s="11" t="s">
        <v>63</v>
      </c>
      <c r="I57" s="13" t="s">
        <v>228</v>
      </c>
      <c r="J57" s="14" t="str">
        <f>HYPERLINK("https://www.boe.es/gazeta/dias/1839/06/09/pdfs/GMD-1839-1667.pdf#page=1","Abrir facsímil")</f>
        <v>Abrir facsímil</v>
      </c>
      <c r="K57" s="12" t="s">
        <v>65</v>
      </c>
    </row>
    <row r="58" spans="1:11" ht="40.049999999999997" customHeight="1" x14ac:dyDescent="0.25">
      <c r="A58" s="11" t="s">
        <v>229</v>
      </c>
      <c r="B58" s="11" t="s">
        <v>229</v>
      </c>
      <c r="C58" s="11" t="s">
        <v>137</v>
      </c>
      <c r="D58" s="11" t="s">
        <v>18</v>
      </c>
      <c r="E58" s="12" t="s">
        <v>230</v>
      </c>
      <c r="F58" s="12" t="s">
        <v>231</v>
      </c>
      <c r="G58" s="12" t="s">
        <v>21</v>
      </c>
      <c r="H58" s="11" t="s">
        <v>22</v>
      </c>
      <c r="I58" s="13" t="s">
        <v>232</v>
      </c>
      <c r="J58" s="14" t="str">
        <f>HYPERLINK("https://www.boe.es/gazeta/dias/1839/09/16/pdfs/GMD-1839-1769.pdf#page=4","Abrir facsímil")</f>
        <v>Abrir facsímil</v>
      </c>
      <c r="K58" s="12" t="s">
        <v>24</v>
      </c>
    </row>
    <row r="59" spans="1:11" ht="40.049999999999997" customHeight="1" x14ac:dyDescent="0.25">
      <c r="A59" s="11" t="s">
        <v>229</v>
      </c>
      <c r="B59" s="11" t="s">
        <v>229</v>
      </c>
      <c r="C59" s="11" t="s">
        <v>101</v>
      </c>
      <c r="D59" s="11" t="s">
        <v>43</v>
      </c>
      <c r="E59" s="12" t="s">
        <v>233</v>
      </c>
      <c r="F59" s="12" t="s">
        <v>234</v>
      </c>
      <c r="G59" s="12" t="s">
        <v>21</v>
      </c>
      <c r="H59" s="11" t="s">
        <v>22</v>
      </c>
      <c r="I59" s="13" t="s">
        <v>235</v>
      </c>
      <c r="J59" s="14" t="str">
        <f>HYPERLINK("https://www.boe.es/gazeta/dias/1839/09/17/pdfs/GMD-1839-1770.pdf#page=4","Abrir facsímil")</f>
        <v>Abrir facsímil</v>
      </c>
      <c r="K59" s="12" t="s">
        <v>24</v>
      </c>
    </row>
    <row r="60" spans="1:11" ht="40.049999999999997" customHeight="1" x14ac:dyDescent="0.25">
      <c r="A60" s="11" t="s">
        <v>229</v>
      </c>
      <c r="B60" s="11" t="s">
        <v>229</v>
      </c>
      <c r="C60" s="11" t="s">
        <v>59</v>
      </c>
      <c r="D60" s="11" t="s">
        <v>60</v>
      </c>
      <c r="E60" s="12" t="s">
        <v>236</v>
      </c>
      <c r="F60" s="12" t="s">
        <v>237</v>
      </c>
      <c r="G60" s="12" t="s">
        <v>21</v>
      </c>
      <c r="H60" s="11" t="s">
        <v>22</v>
      </c>
      <c r="I60" s="13" t="s">
        <v>238</v>
      </c>
      <c r="J60" s="14" t="str">
        <f>HYPERLINK("https://www.boe.es/gazeta/dias/1839/09/18/pdfs/GMD-1839-1771.pdf#page=4","Abrir facsímil")</f>
        <v>Abrir facsímil</v>
      </c>
      <c r="K60" s="12" t="s">
        <v>24</v>
      </c>
    </row>
    <row r="61" spans="1:11" ht="40.049999999999997" customHeight="1" x14ac:dyDescent="0.25">
      <c r="A61" s="11" t="s">
        <v>229</v>
      </c>
      <c r="B61" s="11" t="s">
        <v>229</v>
      </c>
      <c r="C61" s="11" t="s">
        <v>17</v>
      </c>
      <c r="D61" s="11" t="s">
        <v>18</v>
      </c>
      <c r="E61" s="12" t="s">
        <v>239</v>
      </c>
      <c r="F61" s="12" t="s">
        <v>240</v>
      </c>
      <c r="G61" s="12" t="s">
        <v>21</v>
      </c>
      <c r="H61" s="11" t="s">
        <v>22</v>
      </c>
      <c r="I61" s="13" t="s">
        <v>241</v>
      </c>
      <c r="J61" s="14" t="str">
        <f>HYPERLINK("https://www.boe.es/gazeta/dias/1839/09/22/pdfs/GMD-1839-1777.pdf#page=4","Abrir facsímil")</f>
        <v>Abrir facsímil</v>
      </c>
      <c r="K61" s="12" t="s">
        <v>24</v>
      </c>
    </row>
    <row r="62" spans="1:11" ht="40.049999999999997" customHeight="1" x14ac:dyDescent="0.25">
      <c r="A62" s="11" t="s">
        <v>242</v>
      </c>
      <c r="B62" s="11" t="s">
        <v>242</v>
      </c>
      <c r="C62" s="11" t="s">
        <v>17</v>
      </c>
      <c r="D62" s="11" t="s">
        <v>18</v>
      </c>
      <c r="E62" s="12" t="s">
        <v>243</v>
      </c>
      <c r="F62" s="12" t="s">
        <v>244</v>
      </c>
      <c r="G62" s="12" t="s">
        <v>21</v>
      </c>
      <c r="H62" s="11" t="s">
        <v>22</v>
      </c>
      <c r="I62" s="13" t="s">
        <v>245</v>
      </c>
      <c r="J62" s="14" t="str">
        <f>HYPERLINK("https://www.boe.es/gazeta/dias/1839/09/23/pdfs/GMD-1839-1779.pdf#page=4","Abrir facsímil")</f>
        <v>Abrir facsímil</v>
      </c>
      <c r="K62" s="12" t="s">
        <v>24</v>
      </c>
    </row>
    <row r="63" spans="1:11" ht="40.049999999999997" customHeight="1" x14ac:dyDescent="0.25">
      <c r="A63" s="11" t="s">
        <v>242</v>
      </c>
      <c r="B63" s="11" t="s">
        <v>242</v>
      </c>
      <c r="C63" s="11" t="s">
        <v>17</v>
      </c>
      <c r="D63" s="11" t="s">
        <v>18</v>
      </c>
      <c r="E63" s="12" t="s">
        <v>246</v>
      </c>
      <c r="F63" s="12" t="s">
        <v>247</v>
      </c>
      <c r="G63" s="12" t="s">
        <v>21</v>
      </c>
      <c r="H63" s="11" t="s">
        <v>22</v>
      </c>
      <c r="I63" s="13" t="s">
        <v>248</v>
      </c>
      <c r="J63" s="14" t="str">
        <f>HYPERLINK("https://www.boe.es/gazeta/dias/1839/11/24/pdfs/GMD-1839-1841.pdf#page=4","Abrir facsímil")</f>
        <v>Abrir facsímil</v>
      </c>
      <c r="K63" s="12" t="s">
        <v>24</v>
      </c>
    </row>
    <row r="64" spans="1:11" ht="40.049999999999997" customHeight="1" x14ac:dyDescent="0.25">
      <c r="A64" s="11" t="s">
        <v>249</v>
      </c>
      <c r="B64" s="11" t="s">
        <v>250</v>
      </c>
      <c r="C64" s="11" t="s">
        <v>17</v>
      </c>
      <c r="D64" s="11" t="s">
        <v>18</v>
      </c>
      <c r="E64" s="12" t="s">
        <v>222</v>
      </c>
      <c r="F64" s="12" t="s">
        <v>223</v>
      </c>
      <c r="G64" s="12" t="s">
        <v>21</v>
      </c>
      <c r="H64" s="11" t="s">
        <v>63</v>
      </c>
      <c r="I64" s="13" t="s">
        <v>251</v>
      </c>
      <c r="J64" s="14" t="str">
        <f>HYPERLINK("https://www.boe.es/gazeta/dias/1839/06/22/pdfs/GMD-1839-1680.pdf#page=4","Abrir facsímil")</f>
        <v>Abrir facsímil</v>
      </c>
      <c r="K64" s="12" t="s">
        <v>65</v>
      </c>
    </row>
    <row r="65" spans="1:11" ht="40.049999999999997" customHeight="1" x14ac:dyDescent="0.25">
      <c r="A65" s="11" t="s">
        <v>252</v>
      </c>
      <c r="B65" s="11" t="s">
        <v>253</v>
      </c>
      <c r="C65" s="11" t="s">
        <v>101</v>
      </c>
      <c r="D65" s="11" t="s">
        <v>43</v>
      </c>
      <c r="E65" s="12" t="s">
        <v>254</v>
      </c>
      <c r="F65" s="12" t="s">
        <v>255</v>
      </c>
      <c r="G65" s="12" t="s">
        <v>40</v>
      </c>
      <c r="H65" s="11" t="s">
        <v>22</v>
      </c>
      <c r="I65" s="13" t="s">
        <v>256</v>
      </c>
      <c r="J65" s="14" t="str">
        <f>HYPERLINK("https://www.boe.es/gazeta/dias/1839/09/12/pdfs/GMD-1839-1765.pdf#page=2","Abrir facsímil")</f>
        <v>Abrir facsímil</v>
      </c>
      <c r="K65" s="12" t="s">
        <v>24</v>
      </c>
    </row>
    <row r="66" spans="1:11" ht="40.049999999999997" customHeight="1" x14ac:dyDescent="0.25">
      <c r="A66" s="11" t="s">
        <v>257</v>
      </c>
      <c r="B66" s="11" t="s">
        <v>257</v>
      </c>
      <c r="C66" s="11" t="s">
        <v>137</v>
      </c>
      <c r="D66" s="11" t="s">
        <v>18</v>
      </c>
      <c r="E66" s="12" t="s">
        <v>258</v>
      </c>
      <c r="F66" s="12" t="s">
        <v>259</v>
      </c>
      <c r="G66" s="12" t="s">
        <v>40</v>
      </c>
      <c r="H66" s="11" t="s">
        <v>63</v>
      </c>
      <c r="I66" s="13" t="s">
        <v>260</v>
      </c>
      <c r="J66" s="14" t="str">
        <f>HYPERLINK("https://www.boe.es/gazeta/dias/1839/01/02/pdfs/GMD-1839-1509.pdf#page=2","Abrir facsímil")</f>
        <v>Abrir facsímil</v>
      </c>
      <c r="K66" s="12" t="s">
        <v>65</v>
      </c>
    </row>
    <row r="67" spans="1:11" ht="40.049999999999997" customHeight="1" x14ac:dyDescent="0.25">
      <c r="A67" s="11" t="s">
        <v>261</v>
      </c>
      <c r="B67" s="11" t="s">
        <v>261</v>
      </c>
      <c r="C67" s="11" t="s">
        <v>80</v>
      </c>
      <c r="D67" s="11" t="s">
        <v>18</v>
      </c>
      <c r="E67" s="12" t="s">
        <v>262</v>
      </c>
      <c r="F67" s="12" t="s">
        <v>263</v>
      </c>
      <c r="G67" s="12" t="s">
        <v>21</v>
      </c>
      <c r="H67" s="11" t="s">
        <v>22</v>
      </c>
      <c r="I67" s="13" t="s">
        <v>264</v>
      </c>
      <c r="J67" s="14" t="str">
        <f>HYPERLINK("https://www.boe.es/gazeta/dias/1839/01/01/pdfs/GMD-1839-1508.pdf#page=4","Abrir facsímil")</f>
        <v>Abrir facsímil</v>
      </c>
      <c r="K67" s="12" t="s">
        <v>24</v>
      </c>
    </row>
    <row r="68" spans="1:11" ht="40.049999999999997" customHeight="1" x14ac:dyDescent="0.25">
      <c r="A68" s="11" t="s">
        <v>261</v>
      </c>
      <c r="B68" s="11" t="s">
        <v>261</v>
      </c>
      <c r="C68" s="11" t="s">
        <v>101</v>
      </c>
      <c r="D68" s="11" t="s">
        <v>102</v>
      </c>
      <c r="E68" s="12" t="s">
        <v>258</v>
      </c>
      <c r="F68" s="12" t="s">
        <v>259</v>
      </c>
      <c r="G68" s="12" t="s">
        <v>21</v>
      </c>
      <c r="H68" s="11" t="s">
        <v>22</v>
      </c>
      <c r="I68" s="13" t="s">
        <v>265</v>
      </c>
      <c r="J68" s="14" t="str">
        <f>HYPERLINK("https://www.boe.es/gazeta/dias/1839/01/02/pdfs/GMD-1839-1509.pdf#page=4","Abrir facsímil")</f>
        <v>Abrir facsímil</v>
      </c>
      <c r="K68" s="12" t="s">
        <v>24</v>
      </c>
    </row>
    <row r="69" spans="1:11" ht="40.049999999999997" customHeight="1" x14ac:dyDescent="0.25">
      <c r="A69" s="11" t="s">
        <v>261</v>
      </c>
      <c r="B69" s="11" t="s">
        <v>261</v>
      </c>
      <c r="C69" s="11" t="s">
        <v>80</v>
      </c>
      <c r="D69" s="11" t="s">
        <v>18</v>
      </c>
      <c r="E69" s="12" t="s">
        <v>266</v>
      </c>
      <c r="F69" s="12" t="s">
        <v>267</v>
      </c>
      <c r="G69" s="12" t="s">
        <v>21</v>
      </c>
      <c r="H69" s="11" t="s">
        <v>22</v>
      </c>
      <c r="I69" s="13" t="s">
        <v>268</v>
      </c>
      <c r="J69" s="14" t="str">
        <f>HYPERLINK("https://www.boe.es/gazeta/dias/1839/01/03/pdfs/GMD-1839-1510.pdf#page=4","Abrir facsímil")</f>
        <v>Abrir facsímil</v>
      </c>
      <c r="K69" s="12" t="s">
        <v>24</v>
      </c>
    </row>
    <row r="70" spans="1:11" ht="40.049999999999997" customHeight="1" x14ac:dyDescent="0.25">
      <c r="A70" s="11" t="s">
        <v>261</v>
      </c>
      <c r="B70" s="11" t="s">
        <v>261</v>
      </c>
      <c r="C70" s="11" t="s">
        <v>17</v>
      </c>
      <c r="D70" s="11" t="s">
        <v>18</v>
      </c>
      <c r="E70" s="12" t="s">
        <v>269</v>
      </c>
      <c r="F70" s="12" t="s">
        <v>270</v>
      </c>
      <c r="G70" s="12" t="s">
        <v>21</v>
      </c>
      <c r="H70" s="11" t="s">
        <v>22</v>
      </c>
      <c r="I70" s="13" t="s">
        <v>271</v>
      </c>
      <c r="J70" s="14" t="str">
        <f>HYPERLINK("https://www.boe.es/gazeta/dias/1839/02/10/pdfs/GMD-1839-1548.pdf#page=4","Abrir facsímil")</f>
        <v>Abrir facsímil</v>
      </c>
      <c r="K70" s="12" t="s">
        <v>24</v>
      </c>
    </row>
    <row r="71" spans="1:11" ht="40.049999999999997" customHeight="1" x14ac:dyDescent="0.25">
      <c r="A71" s="11" t="s">
        <v>261</v>
      </c>
      <c r="B71" s="11" t="s">
        <v>261</v>
      </c>
      <c r="C71" s="11" t="s">
        <v>17</v>
      </c>
      <c r="D71" s="11" t="s">
        <v>18</v>
      </c>
      <c r="E71" s="12" t="s">
        <v>272</v>
      </c>
      <c r="F71" s="12" t="s">
        <v>273</v>
      </c>
      <c r="G71" s="12" t="s">
        <v>21</v>
      </c>
      <c r="H71" s="11" t="s">
        <v>22</v>
      </c>
      <c r="I71" s="13" t="s">
        <v>274</v>
      </c>
      <c r="J71" s="14" t="str">
        <f>HYPERLINK("https://www.boe.es/gazeta/dias/1839/02/12/pdfs/GMD-1839-1550.pdf#page=4","Abrir facsímil")</f>
        <v>Abrir facsímil</v>
      </c>
      <c r="K71" s="12" t="s">
        <v>24</v>
      </c>
    </row>
    <row r="72" spans="1:11" ht="40.049999999999997" customHeight="1" x14ac:dyDescent="0.25">
      <c r="A72" s="11" t="s">
        <v>275</v>
      </c>
      <c r="B72" s="11" t="s">
        <v>275</v>
      </c>
      <c r="C72" s="11" t="s">
        <v>17</v>
      </c>
      <c r="D72" s="11" t="s">
        <v>18</v>
      </c>
      <c r="E72" s="12" t="s">
        <v>276</v>
      </c>
      <c r="F72" s="12" t="s">
        <v>277</v>
      </c>
      <c r="G72" s="12" t="s">
        <v>46</v>
      </c>
      <c r="H72" s="11" t="s">
        <v>63</v>
      </c>
      <c r="I72" s="13" t="s">
        <v>278</v>
      </c>
      <c r="J72" s="14" t="str">
        <f>HYPERLINK("https://www.boe.es/gazeta/dias/1839/09/24/pdfs/GMD-1839-1780.pdf#page=3","Abrir facsímil")</f>
        <v>Abrir facsímil</v>
      </c>
      <c r="K72" s="12" t="s">
        <v>65</v>
      </c>
    </row>
    <row r="73" spans="1:11" ht="40.049999999999997" customHeight="1" x14ac:dyDescent="0.25">
      <c r="A73" s="11" t="s">
        <v>279</v>
      </c>
      <c r="B73" s="11" t="s">
        <v>279</v>
      </c>
      <c r="C73" s="11" t="s">
        <v>17</v>
      </c>
      <c r="D73" s="11" t="s">
        <v>18</v>
      </c>
      <c r="E73" s="12" t="s">
        <v>280</v>
      </c>
      <c r="F73" s="12" t="s">
        <v>281</v>
      </c>
      <c r="G73" s="12" t="s">
        <v>29</v>
      </c>
      <c r="H73" s="11" t="s">
        <v>63</v>
      </c>
      <c r="I73" s="13" t="s">
        <v>282</v>
      </c>
      <c r="J73" s="14" t="str">
        <f>HYPERLINK("https://www.boe.es/gazeta/dias/1839/08/21/pdfs/GMD-1839-1742.pdf#page=1","Abrir facsímil")</f>
        <v>Abrir facsímil</v>
      </c>
      <c r="K73" s="12" t="s">
        <v>65</v>
      </c>
    </row>
    <row r="74" spans="1:11" ht="40.049999999999997" customHeight="1" x14ac:dyDescent="0.25">
      <c r="A74" s="11" t="s">
        <v>279</v>
      </c>
      <c r="B74" s="11" t="s">
        <v>279</v>
      </c>
      <c r="C74" s="11" t="s">
        <v>80</v>
      </c>
      <c r="D74" s="11" t="s">
        <v>18</v>
      </c>
      <c r="E74" s="12" t="s">
        <v>222</v>
      </c>
      <c r="F74" s="12" t="s">
        <v>223</v>
      </c>
      <c r="G74" s="12" t="s">
        <v>21</v>
      </c>
      <c r="H74" s="11" t="s">
        <v>63</v>
      </c>
      <c r="I74" s="13" t="s">
        <v>283</v>
      </c>
      <c r="J74" s="14" t="str">
        <f>HYPERLINK("https://www.boe.es/gazeta/dias/1839/06/22/pdfs/GMD-1839-1680.pdf#page=4","Abrir facsímil")</f>
        <v>Abrir facsímil</v>
      </c>
      <c r="K74" s="12" t="s">
        <v>65</v>
      </c>
    </row>
    <row r="75" spans="1:11" ht="40.049999999999997" customHeight="1" x14ac:dyDescent="0.25">
      <c r="A75" s="11" t="s">
        <v>279</v>
      </c>
      <c r="B75" s="11" t="s">
        <v>279</v>
      </c>
      <c r="C75" s="11" t="s">
        <v>17</v>
      </c>
      <c r="D75" s="11" t="s">
        <v>18</v>
      </c>
      <c r="E75" s="12" t="s">
        <v>284</v>
      </c>
      <c r="F75" s="12" t="s">
        <v>285</v>
      </c>
      <c r="G75" s="12" t="s">
        <v>21</v>
      </c>
      <c r="H75" s="11" t="s">
        <v>63</v>
      </c>
      <c r="I75" s="13" t="s">
        <v>286</v>
      </c>
      <c r="J75" s="14" t="str">
        <f>HYPERLINK("https://www.boe.es/gazeta/dias/1839/01/27/pdfs/GMD-1839-1534.pdf#page=4","Abrir facsímil")</f>
        <v>Abrir facsímil</v>
      </c>
      <c r="K75" s="12" t="s">
        <v>65</v>
      </c>
    </row>
    <row r="76" spans="1:11" ht="40.049999999999997" customHeight="1" x14ac:dyDescent="0.25">
      <c r="A76" s="11" t="s">
        <v>279</v>
      </c>
      <c r="B76" s="11" t="s">
        <v>279</v>
      </c>
      <c r="C76" s="11" t="s">
        <v>17</v>
      </c>
      <c r="D76" s="11" t="s">
        <v>18</v>
      </c>
      <c r="E76" s="12" t="s">
        <v>287</v>
      </c>
      <c r="F76" s="12" t="s">
        <v>288</v>
      </c>
      <c r="G76" s="12" t="s">
        <v>29</v>
      </c>
      <c r="H76" s="11" t="s">
        <v>63</v>
      </c>
      <c r="I76" s="13" t="s">
        <v>289</v>
      </c>
      <c r="J76" s="14" t="str">
        <f>HYPERLINK("https://www.boe.es/gazeta/dias/1839/11/27/pdfs/GMD-1839-1844.pdf#page=1","Abrir facsímil")</f>
        <v>Abrir facsímil</v>
      </c>
      <c r="K76" s="12" t="s">
        <v>65</v>
      </c>
    </row>
    <row r="77" spans="1:11" ht="40.049999999999997" customHeight="1" x14ac:dyDescent="0.25">
      <c r="A77" s="11" t="s">
        <v>290</v>
      </c>
      <c r="B77" s="11" t="s">
        <v>290</v>
      </c>
      <c r="C77" s="11" t="s">
        <v>17</v>
      </c>
      <c r="D77" s="11" t="s">
        <v>18</v>
      </c>
      <c r="E77" s="12" t="s">
        <v>291</v>
      </c>
      <c r="F77" s="12" t="s">
        <v>292</v>
      </c>
      <c r="G77" s="12" t="s">
        <v>40</v>
      </c>
      <c r="H77" s="11" t="s">
        <v>63</v>
      </c>
      <c r="I77" s="13" t="s">
        <v>293</v>
      </c>
      <c r="J77" s="14" t="str">
        <f>HYPERLINK("https://www.boe.es/gazeta/dias/1839/09/04/pdfs/GMD-1839-1757.pdf#page=2","Abrir facsímil")</f>
        <v>Abrir facsímil</v>
      </c>
      <c r="K77" s="12" t="s">
        <v>65</v>
      </c>
    </row>
    <row r="78" spans="1:11" ht="40.049999999999997" customHeight="1" x14ac:dyDescent="0.25">
      <c r="A78" s="11" t="s">
        <v>294</v>
      </c>
      <c r="B78" s="11" t="s">
        <v>294</v>
      </c>
      <c r="C78" s="11" t="s">
        <v>17</v>
      </c>
      <c r="D78" s="11" t="s">
        <v>18</v>
      </c>
      <c r="E78" s="12" t="s">
        <v>295</v>
      </c>
      <c r="F78" s="12" t="s">
        <v>296</v>
      </c>
      <c r="G78" s="12" t="s">
        <v>46</v>
      </c>
      <c r="H78" s="11" t="s">
        <v>22</v>
      </c>
      <c r="I78" s="13" t="s">
        <v>297</v>
      </c>
      <c r="J78" s="14" t="str">
        <f>HYPERLINK("https://www.boe.es/gazeta/dias/1839/08/19/pdfs/GMD-1839-1740.pdf#page=3","Abrir facsímil")</f>
        <v>Abrir facsímil</v>
      </c>
      <c r="K78" s="12" t="s">
        <v>24</v>
      </c>
    </row>
    <row r="79" spans="1:11" ht="40.049999999999997" customHeight="1" x14ac:dyDescent="0.25">
      <c r="A79" s="11" t="s">
        <v>298</v>
      </c>
      <c r="B79" s="11" t="s">
        <v>298</v>
      </c>
      <c r="C79" s="11" t="s">
        <v>80</v>
      </c>
      <c r="D79" s="11" t="s">
        <v>18</v>
      </c>
      <c r="E79" s="12" t="s">
        <v>299</v>
      </c>
      <c r="F79" s="12" t="s">
        <v>300</v>
      </c>
      <c r="G79" s="12" t="s">
        <v>46</v>
      </c>
      <c r="H79" s="11" t="s">
        <v>22</v>
      </c>
      <c r="I79" s="13" t="s">
        <v>301</v>
      </c>
      <c r="J79" s="14" t="str">
        <f>HYPERLINK("https://www.boe.es/gazeta/dias/1839/02/14/pdfs/GMD-1839-1552.pdf#page=3","Abrir facsímil")</f>
        <v>Abrir facsímil</v>
      </c>
      <c r="K79" s="12" t="s">
        <v>24</v>
      </c>
    </row>
    <row r="80" spans="1:11" ht="40.049999999999997" customHeight="1" x14ac:dyDescent="0.25">
      <c r="A80" s="11" t="s">
        <v>302</v>
      </c>
      <c r="B80" s="11" t="s">
        <v>302</v>
      </c>
      <c r="C80" s="11" t="s">
        <v>17</v>
      </c>
      <c r="D80" s="11" t="s">
        <v>18</v>
      </c>
      <c r="E80" s="12" t="s">
        <v>303</v>
      </c>
      <c r="F80" s="12" t="s">
        <v>304</v>
      </c>
      <c r="G80" s="12" t="s">
        <v>305</v>
      </c>
      <c r="H80" s="11" t="s">
        <v>22</v>
      </c>
      <c r="I80" s="13" t="s">
        <v>306</v>
      </c>
      <c r="J80" s="14" t="str">
        <f>HYPERLINK("https://www.boe.es/gazeta/dias/1839/10/06/pdfs/GMD-1839-1792.pdf#page=6","Abrir facsímil")</f>
        <v>Abrir facsímil</v>
      </c>
      <c r="K80" s="12" t="s">
        <v>24</v>
      </c>
    </row>
    <row r="81" spans="1:11" ht="40.049999999999997" customHeight="1" x14ac:dyDescent="0.25">
      <c r="A81" s="11" t="s">
        <v>307</v>
      </c>
      <c r="B81" s="11" t="s">
        <v>307</v>
      </c>
      <c r="C81" s="11" t="s">
        <v>17</v>
      </c>
      <c r="D81" s="11" t="s">
        <v>18</v>
      </c>
      <c r="E81" s="12" t="s">
        <v>308</v>
      </c>
      <c r="F81" s="12" t="s">
        <v>309</v>
      </c>
      <c r="G81" s="12" t="s">
        <v>40</v>
      </c>
      <c r="H81" s="11" t="s">
        <v>22</v>
      </c>
      <c r="I81" s="13" t="s">
        <v>310</v>
      </c>
      <c r="J81" s="14" t="str">
        <f>HYPERLINK("https://www.boe.es/gazeta/dias/1839/07/29/pdfs/GMD-1839-1718.pdf#page=2","Abrir facsímil")</f>
        <v>Abrir facsímil</v>
      </c>
      <c r="K81" s="12" t="s">
        <v>24</v>
      </c>
    </row>
    <row r="82" spans="1:11" ht="40.049999999999997" customHeight="1" x14ac:dyDescent="0.25">
      <c r="A82" s="11" t="s">
        <v>311</v>
      </c>
      <c r="B82" s="11" t="s">
        <v>311</v>
      </c>
      <c r="C82" s="11" t="s">
        <v>17</v>
      </c>
      <c r="D82" s="11" t="s">
        <v>18</v>
      </c>
      <c r="E82" s="12" t="s">
        <v>312</v>
      </c>
      <c r="F82" s="12" t="s">
        <v>313</v>
      </c>
      <c r="G82" s="12" t="s">
        <v>29</v>
      </c>
      <c r="H82" s="11" t="s">
        <v>22</v>
      </c>
      <c r="I82" s="13" t="s">
        <v>314</v>
      </c>
      <c r="J82" s="14" t="str">
        <f>HYPERLINK("https://www.boe.es/gazeta/dias/1839/11/30/pdfs/GMD-1839-1847.pdf#page=1","Abrir facsímil")</f>
        <v>Abrir facsímil</v>
      </c>
      <c r="K82" s="12" t="s">
        <v>24</v>
      </c>
    </row>
    <row r="83" spans="1:11" ht="40.049999999999997" customHeight="1" x14ac:dyDescent="0.25">
      <c r="A83" s="11" t="s">
        <v>315</v>
      </c>
      <c r="B83" s="11" t="s">
        <v>315</v>
      </c>
      <c r="C83" s="11" t="s">
        <v>17</v>
      </c>
      <c r="D83" s="11" t="s">
        <v>18</v>
      </c>
      <c r="E83" s="12" t="s">
        <v>262</v>
      </c>
      <c r="F83" s="12" t="s">
        <v>263</v>
      </c>
      <c r="G83" s="12" t="s">
        <v>21</v>
      </c>
      <c r="H83" s="11" t="s">
        <v>22</v>
      </c>
      <c r="I83" s="13" t="s">
        <v>316</v>
      </c>
      <c r="J83" s="14" t="str">
        <f>HYPERLINK("https://www.boe.es/gazeta/dias/1839/01/01/pdfs/GMD-1839-1508.pdf#page=4","Abrir facsímil")</f>
        <v>Abrir facsímil</v>
      </c>
      <c r="K83" s="12" t="s">
        <v>24</v>
      </c>
    </row>
    <row r="84" spans="1:11" ht="40.049999999999997" customHeight="1" x14ac:dyDescent="0.25">
      <c r="A84" s="11" t="s">
        <v>315</v>
      </c>
      <c r="B84" s="11" t="s">
        <v>315</v>
      </c>
      <c r="C84" s="11" t="s">
        <v>17</v>
      </c>
      <c r="D84" s="11" t="s">
        <v>18</v>
      </c>
      <c r="E84" s="12" t="s">
        <v>258</v>
      </c>
      <c r="F84" s="12" t="s">
        <v>259</v>
      </c>
      <c r="G84" s="12" t="s">
        <v>21</v>
      </c>
      <c r="H84" s="11" t="s">
        <v>22</v>
      </c>
      <c r="I84" s="13" t="s">
        <v>317</v>
      </c>
      <c r="J84" s="14" t="str">
        <f>HYPERLINK("https://www.boe.es/gazeta/dias/1839/01/02/pdfs/GMD-1839-1509.pdf#page=4","Abrir facsímil")</f>
        <v>Abrir facsímil</v>
      </c>
      <c r="K84" s="12" t="s">
        <v>24</v>
      </c>
    </row>
    <row r="85" spans="1:11" ht="40.049999999999997" customHeight="1" x14ac:dyDescent="0.25">
      <c r="A85" s="11" t="s">
        <v>318</v>
      </c>
      <c r="B85" s="11" t="s">
        <v>319</v>
      </c>
      <c r="C85" s="11" t="s">
        <v>17</v>
      </c>
      <c r="D85" s="11" t="s">
        <v>18</v>
      </c>
      <c r="E85" s="12" t="s">
        <v>320</v>
      </c>
      <c r="F85" s="12" t="s">
        <v>321</v>
      </c>
      <c r="G85" s="12" t="s">
        <v>21</v>
      </c>
      <c r="H85" s="11" t="s">
        <v>63</v>
      </c>
      <c r="I85" s="13" t="s">
        <v>322</v>
      </c>
      <c r="J85" s="14" t="str">
        <f>HYPERLINK("https://www.boe.es/gazeta/dias/1839/05/11/pdfs/GMD-1839-1638.pdf#page=4","Abrir facsímil")</f>
        <v>Abrir facsímil</v>
      </c>
      <c r="K85" s="12" t="s">
        <v>65</v>
      </c>
    </row>
    <row r="86" spans="1:11" ht="40.049999999999997" customHeight="1" x14ac:dyDescent="0.25">
      <c r="A86" s="11" t="s">
        <v>323</v>
      </c>
      <c r="B86" s="11" t="s">
        <v>323</v>
      </c>
      <c r="C86" s="11" t="s">
        <v>101</v>
      </c>
      <c r="D86" s="11" t="s">
        <v>102</v>
      </c>
      <c r="E86" s="12" t="s">
        <v>324</v>
      </c>
      <c r="F86" s="12" t="s">
        <v>325</v>
      </c>
      <c r="G86" s="12" t="s">
        <v>21</v>
      </c>
      <c r="H86" s="11" t="s">
        <v>22</v>
      </c>
      <c r="I86" s="13" t="s">
        <v>326</v>
      </c>
      <c r="J86" s="14" t="str">
        <f>HYPERLINK("https://www.boe.es/gazeta/dias/1839/02/04/pdfs/GMD-1839-1542.pdf#page=4","Abrir facsímil")</f>
        <v>Abrir facsímil</v>
      </c>
      <c r="K86" s="12" t="s">
        <v>24</v>
      </c>
    </row>
    <row r="87" spans="1:11" ht="40.049999999999997" customHeight="1" x14ac:dyDescent="0.25">
      <c r="A87" s="11" t="s">
        <v>323</v>
      </c>
      <c r="B87" s="11" t="s">
        <v>323</v>
      </c>
      <c r="C87" s="11" t="s">
        <v>17</v>
      </c>
      <c r="D87" s="11" t="s">
        <v>18</v>
      </c>
      <c r="E87" s="12" t="s">
        <v>327</v>
      </c>
      <c r="F87" s="12" t="s">
        <v>328</v>
      </c>
      <c r="G87" s="12" t="s">
        <v>46</v>
      </c>
      <c r="H87" s="11" t="s">
        <v>22</v>
      </c>
      <c r="I87" s="13" t="s">
        <v>329</v>
      </c>
      <c r="J87" s="14" t="str">
        <f>HYPERLINK("https://www.boe.es/gazeta/dias/1839/08/05/pdfs/GMD-1839-1725.pdf#page=3","Abrir facsímil")</f>
        <v>Abrir facsímil</v>
      </c>
      <c r="K87" s="12" t="s">
        <v>24</v>
      </c>
    </row>
    <row r="88" spans="1:11" ht="40.049999999999997" customHeight="1" x14ac:dyDescent="0.25">
      <c r="A88" s="11" t="s">
        <v>323</v>
      </c>
      <c r="B88" s="11" t="s">
        <v>323</v>
      </c>
      <c r="C88" s="11" t="s">
        <v>101</v>
      </c>
      <c r="D88" s="11" t="s">
        <v>102</v>
      </c>
      <c r="E88" s="12" t="s">
        <v>330</v>
      </c>
      <c r="F88" s="12" t="s">
        <v>331</v>
      </c>
      <c r="G88" s="12" t="s">
        <v>46</v>
      </c>
      <c r="H88" s="11" t="s">
        <v>22</v>
      </c>
      <c r="I88" s="13" t="s">
        <v>332</v>
      </c>
      <c r="J88" s="14" t="str">
        <f>HYPERLINK("https://www.boe.es/gazeta/dias/1839/04/11/pdfs/GMD-1839-1608.pdf#page=3","Abrir facsímil")</f>
        <v>Abrir facsímil</v>
      </c>
      <c r="K88" s="12" t="s">
        <v>24</v>
      </c>
    </row>
    <row r="89" spans="1:11" ht="40.049999999999997" customHeight="1" x14ac:dyDescent="0.25">
      <c r="A89" s="11" t="s">
        <v>323</v>
      </c>
      <c r="B89" s="11" t="s">
        <v>323</v>
      </c>
      <c r="C89" s="11" t="s">
        <v>17</v>
      </c>
      <c r="D89" s="11" t="s">
        <v>18</v>
      </c>
      <c r="E89" s="12" t="s">
        <v>333</v>
      </c>
      <c r="F89" s="12" t="s">
        <v>334</v>
      </c>
      <c r="G89" s="12" t="s">
        <v>46</v>
      </c>
      <c r="H89" s="11" t="s">
        <v>22</v>
      </c>
      <c r="I89" s="13" t="s">
        <v>335</v>
      </c>
      <c r="J89" s="14" t="str">
        <f>HYPERLINK("https://www.boe.es/gazeta/dias/1839/06/11/pdfs/GMD-1839-1669.pdf#page=3","Abrir facsímil")</f>
        <v>Abrir facsímil</v>
      </c>
      <c r="K89" s="12" t="s">
        <v>24</v>
      </c>
    </row>
    <row r="90" spans="1:11" ht="40.049999999999997" customHeight="1" x14ac:dyDescent="0.25">
      <c r="A90" s="11" t="s">
        <v>323</v>
      </c>
      <c r="B90" s="11" t="s">
        <v>323</v>
      </c>
      <c r="C90" s="11" t="s">
        <v>17</v>
      </c>
      <c r="D90" s="11" t="s">
        <v>18</v>
      </c>
      <c r="E90" s="12" t="s">
        <v>336</v>
      </c>
      <c r="F90" s="12" t="s">
        <v>337</v>
      </c>
      <c r="G90" s="12" t="s">
        <v>46</v>
      </c>
      <c r="H90" s="11" t="s">
        <v>22</v>
      </c>
      <c r="I90" s="13" t="s">
        <v>338</v>
      </c>
      <c r="J90" s="14" t="str">
        <f>HYPERLINK("https://www.boe.es/gazeta/dias/1839/07/14/pdfs/GMD-1839-1702.pdf#page=3","Abrir facsímil")</f>
        <v>Abrir facsímil</v>
      </c>
      <c r="K90" s="12" t="s">
        <v>24</v>
      </c>
    </row>
    <row r="91" spans="1:11" ht="40.049999999999997" customHeight="1" x14ac:dyDescent="0.25">
      <c r="A91" s="11" t="s">
        <v>323</v>
      </c>
      <c r="B91" s="11" t="s">
        <v>323</v>
      </c>
      <c r="C91" s="11" t="s">
        <v>101</v>
      </c>
      <c r="D91" s="11" t="s">
        <v>43</v>
      </c>
      <c r="E91" s="12" t="s">
        <v>207</v>
      </c>
      <c r="F91" s="12" t="s">
        <v>208</v>
      </c>
      <c r="G91" s="12" t="s">
        <v>46</v>
      </c>
      <c r="H91" s="11" t="s">
        <v>22</v>
      </c>
      <c r="I91" s="13" t="s">
        <v>339</v>
      </c>
      <c r="J91" s="14" t="str">
        <f>HYPERLINK("https://www.boe.es/gazeta/dias/1839/02/19/pdfs/GMD-1839-1557.pdf#page=3","Abrir facsímil")</f>
        <v>Abrir facsímil</v>
      </c>
      <c r="K91" s="12" t="s">
        <v>24</v>
      </c>
    </row>
    <row r="92" spans="1:11" ht="40.049999999999997" customHeight="1" x14ac:dyDescent="0.25">
      <c r="A92" s="11" t="s">
        <v>323</v>
      </c>
      <c r="B92" s="11" t="s">
        <v>323</v>
      </c>
      <c r="C92" s="11" t="s">
        <v>17</v>
      </c>
      <c r="D92" s="11" t="s">
        <v>18</v>
      </c>
      <c r="E92" s="12" t="s">
        <v>340</v>
      </c>
      <c r="F92" s="12" t="s">
        <v>341</v>
      </c>
      <c r="G92" s="12" t="s">
        <v>46</v>
      </c>
      <c r="H92" s="11" t="s">
        <v>22</v>
      </c>
      <c r="I92" s="13" t="s">
        <v>342</v>
      </c>
      <c r="J92" s="14" t="str">
        <f>HYPERLINK("https://www.boe.es/gazeta/dias/1839/03/19/pdfs/GMD-1839-1585.pdf#page=3","Abrir facsímil")</f>
        <v>Abrir facsímil</v>
      </c>
      <c r="K92" s="12" t="s">
        <v>24</v>
      </c>
    </row>
    <row r="93" spans="1:11" ht="40.049999999999997" customHeight="1" x14ac:dyDescent="0.25">
      <c r="A93" s="11" t="s">
        <v>323</v>
      </c>
      <c r="B93" s="11" t="s">
        <v>323</v>
      </c>
      <c r="C93" s="11" t="s">
        <v>137</v>
      </c>
      <c r="D93" s="11" t="s">
        <v>18</v>
      </c>
      <c r="E93" s="12" t="s">
        <v>343</v>
      </c>
      <c r="F93" s="12" t="s">
        <v>344</v>
      </c>
      <c r="G93" s="12" t="s">
        <v>46</v>
      </c>
      <c r="H93" s="11" t="s">
        <v>22</v>
      </c>
      <c r="I93" s="13" t="s">
        <v>345</v>
      </c>
      <c r="J93" s="14" t="str">
        <f>HYPERLINK("https://www.boe.es/gazeta/dias/1839/05/20/pdfs/GMD-1839-1647.pdf#page=3","Abrir facsímil")</f>
        <v>Abrir facsímil</v>
      </c>
      <c r="K93" s="12" t="s">
        <v>24</v>
      </c>
    </row>
    <row r="94" spans="1:11" ht="40.049999999999997" customHeight="1" x14ac:dyDescent="0.25">
      <c r="A94" s="11" t="s">
        <v>323</v>
      </c>
      <c r="B94" s="11" t="s">
        <v>323</v>
      </c>
      <c r="C94" s="11" t="s">
        <v>17</v>
      </c>
      <c r="D94" s="11" t="s">
        <v>18</v>
      </c>
      <c r="E94" s="12" t="s">
        <v>346</v>
      </c>
      <c r="F94" s="12" t="s">
        <v>347</v>
      </c>
      <c r="G94" s="12" t="s">
        <v>40</v>
      </c>
      <c r="H94" s="11" t="s">
        <v>22</v>
      </c>
      <c r="I94" s="13" t="s">
        <v>348</v>
      </c>
      <c r="J94" s="14" t="str">
        <f>HYPERLINK("https://www.boe.es/gazeta/dias/1839/03/24/pdfs/GMD-1839-1590.pdf#page=2","Abrir facsímil")</f>
        <v>Abrir facsímil</v>
      </c>
      <c r="K94" s="12" t="s">
        <v>24</v>
      </c>
    </row>
    <row r="95" spans="1:11" ht="40.049999999999997" customHeight="1" x14ac:dyDescent="0.25">
      <c r="A95" s="11" t="s">
        <v>323</v>
      </c>
      <c r="B95" s="11" t="s">
        <v>323</v>
      </c>
      <c r="C95" s="11" t="s">
        <v>80</v>
      </c>
      <c r="D95" s="11" t="s">
        <v>18</v>
      </c>
      <c r="E95" s="12" t="s">
        <v>349</v>
      </c>
      <c r="F95" s="12" t="s">
        <v>350</v>
      </c>
      <c r="G95" s="12" t="s">
        <v>46</v>
      </c>
      <c r="H95" s="11" t="s">
        <v>22</v>
      </c>
      <c r="I95" s="13" t="s">
        <v>351</v>
      </c>
      <c r="J95" s="14" t="str">
        <f>HYPERLINK("https://www.boe.es/gazeta/dias/1839/12/25/pdfs/GMD-1839-1872.pdf#page=3","Abrir facsímil")</f>
        <v>Abrir facsímil</v>
      </c>
      <c r="K95" s="12" t="s">
        <v>24</v>
      </c>
    </row>
    <row r="96" spans="1:11" ht="40.049999999999997" customHeight="1" x14ac:dyDescent="0.25">
      <c r="A96" s="11" t="s">
        <v>323</v>
      </c>
      <c r="B96" s="11" t="s">
        <v>323</v>
      </c>
      <c r="C96" s="11" t="s">
        <v>101</v>
      </c>
      <c r="D96" s="11" t="s">
        <v>102</v>
      </c>
      <c r="E96" s="12" t="s">
        <v>352</v>
      </c>
      <c r="F96" s="12" t="s">
        <v>353</v>
      </c>
      <c r="G96" s="12" t="s">
        <v>46</v>
      </c>
      <c r="H96" s="11" t="s">
        <v>22</v>
      </c>
      <c r="I96" s="13" t="s">
        <v>354</v>
      </c>
      <c r="J96" s="14" t="str">
        <f>HYPERLINK("https://www.boe.es/gazeta/dias/1839/03/30/pdfs/GMD-1839-1596.pdf#page=3","Abrir facsímil")</f>
        <v>Abrir facsímil</v>
      </c>
      <c r="K96" s="12" t="s">
        <v>24</v>
      </c>
    </row>
    <row r="97" spans="1:11" ht="40.049999999999997" customHeight="1" x14ac:dyDescent="0.25">
      <c r="A97" s="11" t="s">
        <v>323</v>
      </c>
      <c r="B97" s="11" t="s">
        <v>323</v>
      </c>
      <c r="C97" s="11" t="s">
        <v>101</v>
      </c>
      <c r="D97" s="11" t="s">
        <v>102</v>
      </c>
      <c r="E97" s="12" t="s">
        <v>355</v>
      </c>
      <c r="F97" s="12" t="s">
        <v>356</v>
      </c>
      <c r="G97" s="12" t="s">
        <v>46</v>
      </c>
      <c r="H97" s="11" t="s">
        <v>22</v>
      </c>
      <c r="I97" s="13" t="s">
        <v>357</v>
      </c>
      <c r="J97" s="14" t="str">
        <f>HYPERLINK("https://www.boe.es/gazeta/dias/1839/05/31/pdfs/GMD-1839-1658.pdf#page=3","Abrir facsímil")</f>
        <v>Abrir facsímil</v>
      </c>
      <c r="K97" s="12" t="s">
        <v>24</v>
      </c>
    </row>
    <row r="98" spans="1:11" ht="40.049999999999997" customHeight="1" x14ac:dyDescent="0.25">
      <c r="A98" s="11" t="s">
        <v>358</v>
      </c>
      <c r="B98" s="11" t="s">
        <v>359</v>
      </c>
      <c r="C98" s="11" t="s">
        <v>17</v>
      </c>
      <c r="D98" s="11" t="s">
        <v>18</v>
      </c>
      <c r="E98" s="12" t="s">
        <v>360</v>
      </c>
      <c r="F98" s="12" t="s">
        <v>361</v>
      </c>
      <c r="G98" s="12" t="s">
        <v>21</v>
      </c>
      <c r="H98" s="11" t="s">
        <v>63</v>
      </c>
      <c r="I98" s="13" t="s">
        <v>362</v>
      </c>
      <c r="J98" s="14" t="str">
        <f>HYPERLINK("https://www.boe.es/gazeta/dias/1839/08/22/pdfs/GMD-1839-1743.pdf#page=4","Abrir facsímil")</f>
        <v>Abrir facsímil</v>
      </c>
      <c r="K98" s="12" t="s">
        <v>65</v>
      </c>
    </row>
    <row r="99" spans="1:11" ht="40.049999999999997" customHeight="1" x14ac:dyDescent="0.25">
      <c r="A99" s="11" t="s">
        <v>363</v>
      </c>
      <c r="B99" s="11" t="s">
        <v>364</v>
      </c>
      <c r="C99" s="11" t="s">
        <v>59</v>
      </c>
      <c r="D99" s="11" t="s">
        <v>60</v>
      </c>
      <c r="E99" s="12" t="s">
        <v>365</v>
      </c>
      <c r="F99" s="12" t="s">
        <v>366</v>
      </c>
      <c r="G99" s="12" t="s">
        <v>46</v>
      </c>
      <c r="H99" s="11" t="s">
        <v>63</v>
      </c>
      <c r="I99" s="13" t="s">
        <v>367</v>
      </c>
      <c r="J99" s="14" t="str">
        <f>HYPERLINK("https://www.boe.es/gazeta/dias/1839/08/14/pdfs/GMD-1839-1734.pdf#page=3","Abrir facsímil")</f>
        <v>Abrir facsímil</v>
      </c>
      <c r="K99" s="12" t="s">
        <v>65</v>
      </c>
    </row>
    <row r="100" spans="1:11" ht="40.049999999999997" customHeight="1" x14ac:dyDescent="0.25">
      <c r="A100" s="11" t="s">
        <v>368</v>
      </c>
      <c r="B100" s="11" t="s">
        <v>368</v>
      </c>
      <c r="C100" s="11" t="s">
        <v>80</v>
      </c>
      <c r="D100" s="11" t="s">
        <v>18</v>
      </c>
      <c r="E100" s="12" t="s">
        <v>369</v>
      </c>
      <c r="F100" s="12" t="s">
        <v>370</v>
      </c>
      <c r="G100" s="12" t="s">
        <v>21</v>
      </c>
      <c r="H100" s="11" t="s">
        <v>22</v>
      </c>
      <c r="I100" s="13" t="s">
        <v>371</v>
      </c>
      <c r="J100" s="14" t="str">
        <f>HYPERLINK("https://www.boe.es/gazeta/dias/1839/11/01/pdfs/GMD-1839-1818.pdf#page=4","Abrir facsímil")</f>
        <v>Abrir facsímil</v>
      </c>
      <c r="K100" s="12" t="s">
        <v>24</v>
      </c>
    </row>
    <row r="101" spans="1:11" ht="40.049999999999997" customHeight="1" x14ac:dyDescent="0.25">
      <c r="A101" s="11" t="s">
        <v>368</v>
      </c>
      <c r="B101" s="11" t="s">
        <v>368</v>
      </c>
      <c r="C101" s="11" t="s">
        <v>80</v>
      </c>
      <c r="D101" s="11" t="s">
        <v>18</v>
      </c>
      <c r="E101" s="12" t="s">
        <v>372</v>
      </c>
      <c r="F101" s="12" t="s">
        <v>373</v>
      </c>
      <c r="G101" s="12" t="s">
        <v>21</v>
      </c>
      <c r="H101" s="11" t="s">
        <v>22</v>
      </c>
      <c r="I101" s="13" t="s">
        <v>374</v>
      </c>
      <c r="J101" s="14" t="str">
        <f>HYPERLINK("https://www.boe.es/gazeta/dias/1839/11/08/pdfs/GMD-1839-1825.pdf#page=4","Abrir facsímil")</f>
        <v>Abrir facsímil</v>
      </c>
      <c r="K101" s="12" t="s">
        <v>24</v>
      </c>
    </row>
    <row r="102" spans="1:11" ht="40.049999999999997" customHeight="1" x14ac:dyDescent="0.25">
      <c r="A102" s="11" t="s">
        <v>368</v>
      </c>
      <c r="B102" s="11" t="s">
        <v>368</v>
      </c>
      <c r="C102" s="11" t="s">
        <v>80</v>
      </c>
      <c r="D102" s="11" t="s">
        <v>18</v>
      </c>
      <c r="E102" s="12" t="s">
        <v>375</v>
      </c>
      <c r="F102" s="12" t="s">
        <v>376</v>
      </c>
      <c r="G102" s="12" t="s">
        <v>21</v>
      </c>
      <c r="H102" s="11" t="s">
        <v>22</v>
      </c>
      <c r="I102" s="13" t="s">
        <v>377</v>
      </c>
      <c r="J102" s="14" t="str">
        <f>HYPERLINK("https://www.boe.es/gazeta/dias/1839/11/25/pdfs/GMD-1839-1842.pdf#page=4","Abrir facsímil")</f>
        <v>Abrir facsímil</v>
      </c>
      <c r="K102" s="12" t="s">
        <v>24</v>
      </c>
    </row>
    <row r="103" spans="1:11" ht="40.049999999999997" customHeight="1" x14ac:dyDescent="0.25">
      <c r="A103" s="11" t="s">
        <v>378</v>
      </c>
      <c r="B103" s="11" t="s">
        <v>378</v>
      </c>
      <c r="C103" s="11" t="s">
        <v>80</v>
      </c>
      <c r="D103" s="11" t="s">
        <v>18</v>
      </c>
      <c r="E103" s="12" t="s">
        <v>111</v>
      </c>
      <c r="F103" s="12" t="s">
        <v>112</v>
      </c>
      <c r="G103" s="12" t="s">
        <v>40</v>
      </c>
      <c r="H103" s="11" t="s">
        <v>22</v>
      </c>
      <c r="I103" s="13" t="s">
        <v>379</v>
      </c>
      <c r="J103" s="14" t="str">
        <f>HYPERLINK("https://www.boe.es/gazeta/dias/1839/07/25/pdfs/GMD-1839-1714.pdf#page=2","Abrir facsímil")</f>
        <v>Abrir facsímil</v>
      </c>
      <c r="K103" s="12" t="s">
        <v>24</v>
      </c>
    </row>
    <row r="104" spans="1:11" ht="40.049999999999997" customHeight="1" x14ac:dyDescent="0.25">
      <c r="A104" s="11" t="s">
        <v>380</v>
      </c>
      <c r="B104" s="11" t="s">
        <v>380</v>
      </c>
      <c r="C104" s="11" t="s">
        <v>17</v>
      </c>
      <c r="D104" s="11" t="s">
        <v>18</v>
      </c>
      <c r="E104" s="12" t="s">
        <v>381</v>
      </c>
      <c r="F104" s="12" t="s">
        <v>382</v>
      </c>
      <c r="G104" s="12" t="s">
        <v>21</v>
      </c>
      <c r="H104" s="11" t="s">
        <v>22</v>
      </c>
      <c r="I104" s="13" t="s">
        <v>383</v>
      </c>
      <c r="J104" s="14" t="str">
        <f>HYPERLINK("https://www.boe.es/gazeta/dias/1839/06/02/pdfs/GMD-1839-1660.pdf#page=4","Abrir facsímil")</f>
        <v>Abrir facsímil</v>
      </c>
      <c r="K104" s="12" t="s">
        <v>24</v>
      </c>
    </row>
    <row r="105" spans="1:11" ht="40.049999999999997" customHeight="1" x14ac:dyDescent="0.25">
      <c r="A105" s="11" t="s">
        <v>384</v>
      </c>
      <c r="B105" s="11" t="s">
        <v>384</v>
      </c>
      <c r="C105" s="11" t="s">
        <v>17</v>
      </c>
      <c r="D105" s="11" t="s">
        <v>18</v>
      </c>
      <c r="E105" s="12" t="s">
        <v>385</v>
      </c>
      <c r="F105" s="12" t="s">
        <v>386</v>
      </c>
      <c r="G105" s="12" t="s">
        <v>29</v>
      </c>
      <c r="H105" s="11" t="s">
        <v>63</v>
      </c>
      <c r="I105" s="13" t="s">
        <v>387</v>
      </c>
      <c r="J105" s="14" t="str">
        <f>HYPERLINK("https://www.boe.es/gazeta/dias/1839/08/01/pdfs/GMD-1839-1721.pdf#page=1","Abrir facsímil")</f>
        <v>Abrir facsímil</v>
      </c>
      <c r="K105" s="12" t="s">
        <v>65</v>
      </c>
    </row>
    <row r="106" spans="1:11" ht="40.049999999999997" customHeight="1" x14ac:dyDescent="0.25">
      <c r="A106" s="11" t="s">
        <v>384</v>
      </c>
      <c r="B106" s="11" t="s">
        <v>384</v>
      </c>
      <c r="C106" s="11" t="s">
        <v>59</v>
      </c>
      <c r="D106" s="11" t="s">
        <v>60</v>
      </c>
      <c r="E106" s="12" t="s">
        <v>388</v>
      </c>
      <c r="F106" s="12" t="s">
        <v>389</v>
      </c>
      <c r="G106" s="12" t="s">
        <v>29</v>
      </c>
      <c r="H106" s="11" t="s">
        <v>63</v>
      </c>
      <c r="I106" s="13" t="s">
        <v>390</v>
      </c>
      <c r="J106" s="14" t="str">
        <f>HYPERLINK("https://www.boe.es/gazeta/dias/1839/08/07/pdfs/GMD-1839-1727.pdf#page=1","Abrir facsímil")</f>
        <v>Abrir facsímil</v>
      </c>
      <c r="K106" s="12" t="s">
        <v>65</v>
      </c>
    </row>
    <row r="107" spans="1:11" ht="40.049999999999997" customHeight="1" x14ac:dyDescent="0.25">
      <c r="A107" s="11" t="s">
        <v>391</v>
      </c>
      <c r="B107" s="11" t="s">
        <v>392</v>
      </c>
      <c r="C107" s="11" t="s">
        <v>17</v>
      </c>
      <c r="D107" s="11" t="s">
        <v>18</v>
      </c>
      <c r="E107" s="12" t="s">
        <v>276</v>
      </c>
      <c r="F107" s="12" t="s">
        <v>277</v>
      </c>
      <c r="G107" s="12" t="s">
        <v>46</v>
      </c>
      <c r="H107" s="11" t="s">
        <v>63</v>
      </c>
      <c r="I107" s="13" t="s">
        <v>393</v>
      </c>
      <c r="J107" s="14" t="str">
        <f>HYPERLINK("https://www.boe.es/gazeta/dias/1839/09/24/pdfs/GMD-1839-1780.pdf#page=3","Abrir facsímil")</f>
        <v>Abrir facsímil</v>
      </c>
      <c r="K107" s="12" t="s">
        <v>65</v>
      </c>
    </row>
    <row r="108" spans="1:11" ht="40.049999999999997" customHeight="1" x14ac:dyDescent="0.25">
      <c r="A108" s="11" t="s">
        <v>394</v>
      </c>
      <c r="B108" s="11" t="s">
        <v>394</v>
      </c>
      <c r="C108" s="11" t="s">
        <v>17</v>
      </c>
      <c r="D108" s="11" t="s">
        <v>18</v>
      </c>
      <c r="E108" s="12" t="s">
        <v>395</v>
      </c>
      <c r="F108" s="12" t="s">
        <v>396</v>
      </c>
      <c r="G108" s="12" t="s">
        <v>21</v>
      </c>
      <c r="H108" s="11" t="s">
        <v>22</v>
      </c>
      <c r="I108" s="13" t="s">
        <v>397</v>
      </c>
      <c r="J108" s="14" t="str">
        <f>HYPERLINK("https://www.boe.es/gazeta/dias/1839/03/15/pdfs/GMD-1839-1581.pdf#page=4","Abrir facsímil")</f>
        <v>Abrir facsímil</v>
      </c>
      <c r="K108" s="12" t="s">
        <v>24</v>
      </c>
    </row>
    <row r="109" spans="1:11" ht="40.049999999999997" customHeight="1" x14ac:dyDescent="0.25">
      <c r="A109" s="11" t="s">
        <v>394</v>
      </c>
      <c r="B109" s="11" t="s">
        <v>394</v>
      </c>
      <c r="C109" s="11" t="s">
        <v>17</v>
      </c>
      <c r="D109" s="11" t="s">
        <v>18</v>
      </c>
      <c r="E109" s="12" t="s">
        <v>398</v>
      </c>
      <c r="F109" s="12" t="s">
        <v>399</v>
      </c>
      <c r="G109" s="12" t="s">
        <v>21</v>
      </c>
      <c r="H109" s="11" t="s">
        <v>22</v>
      </c>
      <c r="I109" s="13" t="s">
        <v>400</v>
      </c>
      <c r="J109" s="14" t="str">
        <f>HYPERLINK("https://www.boe.es/gazeta/dias/1839/05/17/pdfs/GMD-1839-1644.pdf#page=4","Abrir facsímil")</f>
        <v>Abrir facsímil</v>
      </c>
      <c r="K109" s="12" t="s">
        <v>24</v>
      </c>
    </row>
    <row r="110" spans="1:11" ht="40.049999999999997" customHeight="1" x14ac:dyDescent="0.25">
      <c r="A110" s="11" t="s">
        <v>394</v>
      </c>
      <c r="B110" s="11" t="s">
        <v>394</v>
      </c>
      <c r="C110" s="11" t="s">
        <v>17</v>
      </c>
      <c r="D110" s="11" t="s">
        <v>18</v>
      </c>
      <c r="E110" s="12" t="s">
        <v>401</v>
      </c>
      <c r="F110" s="12" t="s">
        <v>402</v>
      </c>
      <c r="G110" s="12" t="s">
        <v>21</v>
      </c>
      <c r="H110" s="11" t="s">
        <v>22</v>
      </c>
      <c r="I110" s="13" t="s">
        <v>403</v>
      </c>
      <c r="J110" s="14" t="str">
        <f>HYPERLINK("https://www.boe.es/gazeta/dias/1839/03/29/pdfs/GMD-1839-1595.pdf#page=4","Abrir facsímil")</f>
        <v>Abrir facsímil</v>
      </c>
      <c r="K110" s="12" t="s">
        <v>24</v>
      </c>
    </row>
    <row r="111" spans="1:11" ht="40.049999999999997" customHeight="1" x14ac:dyDescent="0.25">
      <c r="A111" s="11" t="s">
        <v>404</v>
      </c>
      <c r="B111" s="11" t="s">
        <v>404</v>
      </c>
      <c r="C111" s="11" t="s">
        <v>17</v>
      </c>
      <c r="D111" s="11" t="s">
        <v>18</v>
      </c>
      <c r="E111" s="12" t="s">
        <v>405</v>
      </c>
      <c r="F111" s="12" t="s">
        <v>406</v>
      </c>
      <c r="G111" s="12" t="s">
        <v>46</v>
      </c>
      <c r="H111" s="11" t="s">
        <v>22</v>
      </c>
      <c r="I111" s="13" t="s">
        <v>407</v>
      </c>
      <c r="J111" s="14" t="str">
        <f>HYPERLINK("https://www.boe.es/gazeta/dias/1839/03/25/pdfs/GMD-1839-1591.pdf#page=3","Abrir facsímil")</f>
        <v>Abrir facsímil</v>
      </c>
      <c r="K111" s="12" t="s">
        <v>24</v>
      </c>
    </row>
    <row r="112" spans="1:11" ht="40.049999999999997" customHeight="1" x14ac:dyDescent="0.25">
      <c r="A112" s="11" t="s">
        <v>408</v>
      </c>
      <c r="B112" s="11" t="s">
        <v>408</v>
      </c>
      <c r="C112" s="11" t="s">
        <v>17</v>
      </c>
      <c r="D112" s="11" t="s">
        <v>18</v>
      </c>
      <c r="E112" s="12" t="s">
        <v>409</v>
      </c>
      <c r="F112" s="12" t="s">
        <v>410</v>
      </c>
      <c r="G112" s="12" t="s">
        <v>21</v>
      </c>
      <c r="H112" s="11" t="s">
        <v>22</v>
      </c>
      <c r="I112" s="13" t="s">
        <v>411</v>
      </c>
      <c r="J112" s="14" t="str">
        <f>HYPERLINK("https://www.boe.es/gazeta/dias/1839/07/05/pdfs/GMD-1839-1693.pdf#page=4","Abrir facsímil")</f>
        <v>Abrir facsímil</v>
      </c>
      <c r="K112" s="12" t="s">
        <v>24</v>
      </c>
    </row>
    <row r="113" spans="1:11" ht="40.049999999999997" customHeight="1" x14ac:dyDescent="0.25">
      <c r="A113" s="11" t="s">
        <v>412</v>
      </c>
      <c r="B113" s="11" t="s">
        <v>412</v>
      </c>
      <c r="C113" s="11" t="s">
        <v>17</v>
      </c>
      <c r="D113" s="11" t="s">
        <v>18</v>
      </c>
      <c r="E113" s="12" t="s">
        <v>160</v>
      </c>
      <c r="F113" s="12" t="s">
        <v>161</v>
      </c>
      <c r="G113" s="12" t="s">
        <v>46</v>
      </c>
      <c r="H113" s="11" t="s">
        <v>63</v>
      </c>
      <c r="I113" s="13" t="s">
        <v>413</v>
      </c>
      <c r="J113" s="14" t="str">
        <f>HYPERLINK("https://www.boe.es/gazeta/dias/1839/01/10/pdfs/GMD-1839-1517.pdf#page=3","Abrir facsímil")</f>
        <v>Abrir facsímil</v>
      </c>
      <c r="K113" s="12" t="s">
        <v>65</v>
      </c>
    </row>
    <row r="114" spans="1:11" ht="40.049999999999997" customHeight="1" x14ac:dyDescent="0.25">
      <c r="A114" s="11" t="s">
        <v>414</v>
      </c>
      <c r="B114" s="11" t="s">
        <v>415</v>
      </c>
      <c r="C114" s="11" t="s">
        <v>17</v>
      </c>
      <c r="D114" s="11" t="s">
        <v>18</v>
      </c>
      <c r="E114" s="12" t="s">
        <v>416</v>
      </c>
      <c r="F114" s="12" t="s">
        <v>417</v>
      </c>
      <c r="G114" s="12" t="s">
        <v>40</v>
      </c>
      <c r="H114" s="11" t="s">
        <v>22</v>
      </c>
      <c r="I114" s="13" t="s">
        <v>418</v>
      </c>
      <c r="J114" s="14" t="str">
        <f>HYPERLINK("https://www.boe.es/gazeta/dias/1839/10/24/pdfs/GMD-1839-1810.pdf#page=2","Abrir facsímil")</f>
        <v>Abrir facsímil</v>
      </c>
      <c r="K114" s="12" t="s">
        <v>24</v>
      </c>
    </row>
    <row r="115" spans="1:11" ht="40.049999999999997" customHeight="1" x14ac:dyDescent="0.25">
      <c r="A115" s="11" t="s">
        <v>419</v>
      </c>
      <c r="B115" s="11" t="s">
        <v>419</v>
      </c>
      <c r="C115" s="11" t="s">
        <v>17</v>
      </c>
      <c r="D115" s="11" t="s">
        <v>18</v>
      </c>
      <c r="E115" s="12" t="s">
        <v>420</v>
      </c>
      <c r="F115" s="12" t="s">
        <v>421</v>
      </c>
      <c r="G115" s="12" t="s">
        <v>29</v>
      </c>
      <c r="H115" s="11" t="s">
        <v>22</v>
      </c>
      <c r="I115" s="13" t="s">
        <v>422</v>
      </c>
      <c r="J115" s="14" t="str">
        <f>HYPERLINK("https://www.boe.es/gazeta/dias/1839/03/12/pdfs/GMD-1839-1578.pdf#page=1","Abrir facsímil")</f>
        <v>Abrir facsímil</v>
      </c>
      <c r="K115" s="12" t="s">
        <v>24</v>
      </c>
    </row>
    <row r="116" spans="1:11" ht="40.049999999999997" customHeight="1" x14ac:dyDescent="0.25">
      <c r="A116" s="11" t="s">
        <v>423</v>
      </c>
      <c r="B116" s="11" t="s">
        <v>423</v>
      </c>
      <c r="C116" s="11" t="s">
        <v>17</v>
      </c>
      <c r="D116" s="11" t="s">
        <v>18</v>
      </c>
      <c r="E116" s="12" t="s">
        <v>243</v>
      </c>
      <c r="F116" s="12" t="s">
        <v>244</v>
      </c>
      <c r="G116" s="12" t="s">
        <v>29</v>
      </c>
      <c r="H116" s="11" t="s">
        <v>22</v>
      </c>
      <c r="I116" s="13" t="s">
        <v>424</v>
      </c>
      <c r="J116" s="14" t="str">
        <f>HYPERLINK("https://www.boe.es/gazeta/dias/1839/09/23/pdfs/GMD-1839-1779.pdf#page=1","Abrir facsímil")</f>
        <v>Abrir facsímil</v>
      </c>
      <c r="K116" s="12" t="s">
        <v>24</v>
      </c>
    </row>
    <row r="117" spans="1:11" ht="40.049999999999997" customHeight="1" x14ac:dyDescent="0.25">
      <c r="A117" s="11" t="s">
        <v>425</v>
      </c>
      <c r="B117" s="11" t="s">
        <v>425</v>
      </c>
      <c r="C117" s="11" t="s">
        <v>17</v>
      </c>
      <c r="D117" s="11" t="s">
        <v>18</v>
      </c>
      <c r="E117" s="12" t="s">
        <v>426</v>
      </c>
      <c r="F117" s="12" t="s">
        <v>427</v>
      </c>
      <c r="G117" s="12" t="s">
        <v>29</v>
      </c>
      <c r="H117" s="11" t="s">
        <v>63</v>
      </c>
      <c r="I117" s="13" t="s">
        <v>428</v>
      </c>
      <c r="J117" s="14" t="str">
        <f>HYPERLINK("https://www.boe.es/gazeta/dias/1839/08/11/pdfs/GMD-1839-1731.pdf#page=1","Abrir facsímil")</f>
        <v>Abrir facsímil</v>
      </c>
      <c r="K117" s="12" t="s">
        <v>65</v>
      </c>
    </row>
    <row r="118" spans="1:11" ht="40.049999999999997" customHeight="1" x14ac:dyDescent="0.25">
      <c r="A118" s="11" t="s">
        <v>429</v>
      </c>
      <c r="B118" s="11" t="s">
        <v>429</v>
      </c>
      <c r="C118" s="11" t="s">
        <v>17</v>
      </c>
      <c r="D118" s="11" t="s">
        <v>18</v>
      </c>
      <c r="E118" s="12" t="s">
        <v>207</v>
      </c>
      <c r="F118" s="12" t="s">
        <v>208</v>
      </c>
      <c r="G118" s="12" t="s">
        <v>29</v>
      </c>
      <c r="H118" s="11" t="s">
        <v>63</v>
      </c>
      <c r="I118" s="13" t="s">
        <v>430</v>
      </c>
      <c r="J118" s="14" t="str">
        <f>HYPERLINK("https://www.boe.es/gazeta/dias/1839/02/19/pdfs/GMD-1839-1557.pdf#page=1","Abrir facsímil")</f>
        <v>Abrir facsímil</v>
      </c>
      <c r="K118" s="12" t="s">
        <v>65</v>
      </c>
    </row>
    <row r="119" spans="1:11" ht="40.049999999999997" customHeight="1" x14ac:dyDescent="0.25">
      <c r="A119" s="11" t="s">
        <v>431</v>
      </c>
      <c r="B119" s="11" t="s">
        <v>432</v>
      </c>
      <c r="C119" s="11" t="s">
        <v>80</v>
      </c>
      <c r="D119" s="11" t="s">
        <v>18</v>
      </c>
      <c r="E119" s="12" t="s">
        <v>433</v>
      </c>
      <c r="F119" s="12" t="s">
        <v>434</v>
      </c>
      <c r="G119" s="12" t="s">
        <v>46</v>
      </c>
      <c r="H119" s="11" t="s">
        <v>63</v>
      </c>
      <c r="I119" s="13" t="s">
        <v>435</v>
      </c>
      <c r="J119" s="14" t="str">
        <f>HYPERLINK("https://www.boe.es/gazeta/dias/1839/01/20/pdfs/GMD-1839-1527.pdf#page=3","Abrir facsímil")</f>
        <v>Abrir facsímil</v>
      </c>
      <c r="K119" s="12" t="s">
        <v>65</v>
      </c>
    </row>
    <row r="120" spans="1:11" ht="40.049999999999997" customHeight="1" x14ac:dyDescent="0.25">
      <c r="A120" s="11" t="s">
        <v>436</v>
      </c>
      <c r="B120" s="11" t="s">
        <v>437</v>
      </c>
      <c r="C120" s="11" t="s">
        <v>80</v>
      </c>
      <c r="D120" s="11" t="s">
        <v>18</v>
      </c>
      <c r="E120" s="12" t="s">
        <v>438</v>
      </c>
      <c r="F120" s="12" t="s">
        <v>439</v>
      </c>
      <c r="G120" s="12" t="s">
        <v>21</v>
      </c>
      <c r="H120" s="11" t="s">
        <v>63</v>
      </c>
      <c r="I120" s="13" t="s">
        <v>440</v>
      </c>
      <c r="J120" s="14" t="str">
        <f>HYPERLINK("https://www.boe.es/gazeta/dias/1839/07/17/pdfs/GMD-1839-1705.pdf#page=4","Abrir facsímil")</f>
        <v>Abrir facsímil</v>
      </c>
      <c r="K120" s="12" t="s">
        <v>65</v>
      </c>
    </row>
    <row r="121" spans="1:11" ht="40.049999999999997" customHeight="1" x14ac:dyDescent="0.25">
      <c r="A121" s="11" t="s">
        <v>441</v>
      </c>
      <c r="B121" s="11" t="s">
        <v>442</v>
      </c>
      <c r="C121" s="11" t="s">
        <v>17</v>
      </c>
      <c r="D121" s="11" t="s">
        <v>18</v>
      </c>
      <c r="E121" s="12" t="s">
        <v>138</v>
      </c>
      <c r="F121" s="12" t="s">
        <v>139</v>
      </c>
      <c r="G121" s="12" t="s">
        <v>21</v>
      </c>
      <c r="H121" s="11" t="s">
        <v>63</v>
      </c>
      <c r="I121" s="13" t="s">
        <v>443</v>
      </c>
      <c r="J121" s="14" t="str">
        <f>HYPERLINK("https://www.boe.es/gazeta/dias/1839/10/09/pdfs/GMD-1839-1795.pdf#page=4","Abrir facsímil")</f>
        <v>Abrir facsímil</v>
      </c>
      <c r="K121" s="12" t="s">
        <v>65</v>
      </c>
    </row>
    <row r="122" spans="1:11" ht="40.049999999999997" customHeight="1" x14ac:dyDescent="0.25">
      <c r="A122" s="11" t="s">
        <v>441</v>
      </c>
      <c r="B122" s="11" t="s">
        <v>442</v>
      </c>
      <c r="C122" s="11" t="s">
        <v>17</v>
      </c>
      <c r="D122" s="11" t="s">
        <v>18</v>
      </c>
      <c r="E122" s="12" t="s">
        <v>181</v>
      </c>
      <c r="F122" s="12" t="s">
        <v>182</v>
      </c>
      <c r="G122" s="12" t="s">
        <v>29</v>
      </c>
      <c r="H122" s="11" t="s">
        <v>63</v>
      </c>
      <c r="I122" s="13" t="s">
        <v>444</v>
      </c>
      <c r="J122" s="14" t="str">
        <f>HYPERLINK("https://www.boe.es/gazeta/dias/1839/01/11/pdfs/GMD-1839-1518.pdf#page=1","Abrir facsímil")</f>
        <v>Abrir facsímil</v>
      </c>
      <c r="K122" s="12" t="s">
        <v>65</v>
      </c>
    </row>
    <row r="123" spans="1:11" ht="40.049999999999997" customHeight="1" x14ac:dyDescent="0.25">
      <c r="A123" s="11" t="s">
        <v>441</v>
      </c>
      <c r="B123" s="11" t="s">
        <v>442</v>
      </c>
      <c r="C123" s="11" t="s">
        <v>137</v>
      </c>
      <c r="D123" s="11" t="s">
        <v>18</v>
      </c>
      <c r="E123" s="12" t="s">
        <v>355</v>
      </c>
      <c r="F123" s="12" t="s">
        <v>356</v>
      </c>
      <c r="G123" s="12" t="s">
        <v>21</v>
      </c>
      <c r="H123" s="11" t="s">
        <v>63</v>
      </c>
      <c r="I123" s="13" t="s">
        <v>445</v>
      </c>
      <c r="J123" s="14" t="str">
        <f>HYPERLINK("https://www.boe.es/gazeta/dias/1839/05/31/pdfs/GMD-1839-1658.pdf#page=4","Abrir facsímil")</f>
        <v>Abrir facsímil</v>
      </c>
      <c r="K123" s="12" t="s">
        <v>65</v>
      </c>
    </row>
    <row r="124" spans="1:11" ht="40.049999999999997" customHeight="1" x14ac:dyDescent="0.25">
      <c r="A124" s="11" t="s">
        <v>446</v>
      </c>
      <c r="B124" s="11" t="s">
        <v>447</v>
      </c>
      <c r="C124" s="11" t="s">
        <v>17</v>
      </c>
      <c r="D124" s="11" t="s">
        <v>18</v>
      </c>
      <c r="E124" s="12" t="s">
        <v>448</v>
      </c>
      <c r="F124" s="12" t="s">
        <v>449</v>
      </c>
      <c r="G124" s="12" t="s">
        <v>46</v>
      </c>
      <c r="H124" s="11" t="s">
        <v>22</v>
      </c>
      <c r="I124" s="13" t="s">
        <v>450</v>
      </c>
      <c r="J124" s="14" t="str">
        <f>HYPERLINK("https://www.boe.es/gazeta/dias/1839/02/06/pdfs/GMD-1839-1544.pdf#page=3","Abrir facsímil")</f>
        <v>Abrir facsímil</v>
      </c>
      <c r="K124" s="12" t="s">
        <v>24</v>
      </c>
    </row>
    <row r="125" spans="1:11" ht="40.049999999999997" customHeight="1" x14ac:dyDescent="0.25">
      <c r="A125" s="11" t="s">
        <v>451</v>
      </c>
      <c r="B125" s="11" t="s">
        <v>452</v>
      </c>
      <c r="C125" s="11" t="s">
        <v>101</v>
      </c>
      <c r="D125" s="11" t="s">
        <v>43</v>
      </c>
      <c r="E125" s="12" t="s">
        <v>453</v>
      </c>
      <c r="F125" s="12" t="s">
        <v>454</v>
      </c>
      <c r="G125" s="12" t="s">
        <v>40</v>
      </c>
      <c r="H125" s="11" t="s">
        <v>63</v>
      </c>
      <c r="I125" s="13" t="s">
        <v>455</v>
      </c>
      <c r="J125" s="14" t="str">
        <f>HYPERLINK("https://www.boe.es/gazeta/dias/1839/02/07/pdfs/GMD-1839-1545.pdf#page=2","Abrir facsímil")</f>
        <v>Abrir facsímil</v>
      </c>
      <c r="K125" s="12" t="s">
        <v>65</v>
      </c>
    </row>
    <row r="126" spans="1:11" ht="40.049999999999997" customHeight="1" x14ac:dyDescent="0.25">
      <c r="A126" s="11" t="s">
        <v>451</v>
      </c>
      <c r="B126" s="11" t="s">
        <v>452</v>
      </c>
      <c r="C126" s="11" t="s">
        <v>137</v>
      </c>
      <c r="D126" s="11" t="s">
        <v>18</v>
      </c>
      <c r="E126" s="12" t="s">
        <v>453</v>
      </c>
      <c r="F126" s="12" t="s">
        <v>454</v>
      </c>
      <c r="G126" s="12" t="s">
        <v>46</v>
      </c>
      <c r="H126" s="11" t="s">
        <v>63</v>
      </c>
      <c r="I126" s="13" t="s">
        <v>456</v>
      </c>
      <c r="J126" s="14" t="str">
        <f>HYPERLINK("https://www.boe.es/gazeta/dias/1839/02/07/pdfs/GMD-1839-1545.pdf#page=3","Abrir facsímil")</f>
        <v>Abrir facsímil</v>
      </c>
      <c r="K126" s="12" t="s">
        <v>65</v>
      </c>
    </row>
    <row r="127" spans="1:11" ht="40.049999999999997" customHeight="1" x14ac:dyDescent="0.25">
      <c r="A127" s="11" t="s">
        <v>457</v>
      </c>
      <c r="B127" s="11" t="s">
        <v>458</v>
      </c>
      <c r="C127" s="11" t="s">
        <v>80</v>
      </c>
      <c r="D127" s="11" t="s">
        <v>18</v>
      </c>
      <c r="E127" s="12" t="s">
        <v>76</v>
      </c>
      <c r="F127" s="12" t="s">
        <v>77</v>
      </c>
      <c r="G127" s="12" t="s">
        <v>46</v>
      </c>
      <c r="H127" s="11" t="s">
        <v>63</v>
      </c>
      <c r="I127" s="13" t="s">
        <v>459</v>
      </c>
      <c r="J127" s="14" t="str">
        <f>HYPERLINK("https://www.boe.es/gazeta/dias/1839/03/13/pdfs/GMD-1839-1579.pdf#page=3","Abrir facsímil")</f>
        <v>Abrir facsímil</v>
      </c>
      <c r="K127" s="12" t="s">
        <v>65</v>
      </c>
    </row>
    <row r="128" spans="1:11" ht="40.049999999999997" customHeight="1" x14ac:dyDescent="0.25">
      <c r="A128" s="11" t="s">
        <v>460</v>
      </c>
      <c r="B128" s="11" t="s">
        <v>461</v>
      </c>
      <c r="C128" s="11" t="s">
        <v>80</v>
      </c>
      <c r="D128" s="11" t="s">
        <v>18</v>
      </c>
      <c r="E128" s="12" t="s">
        <v>462</v>
      </c>
      <c r="F128" s="12" t="s">
        <v>463</v>
      </c>
      <c r="G128" s="12" t="s">
        <v>21</v>
      </c>
      <c r="H128" s="11" t="s">
        <v>63</v>
      </c>
      <c r="I128" s="13" t="s">
        <v>464</v>
      </c>
      <c r="J128" s="14" t="str">
        <f>HYPERLINK("https://www.boe.es/gazeta/dias/1839/06/19/pdfs/GMD-1839-1677.pdf#page=4","Abrir facsímil")</f>
        <v>Abrir facsímil</v>
      </c>
      <c r="K128" s="12" t="s">
        <v>65</v>
      </c>
    </row>
    <row r="129" spans="1:11" ht="40.049999999999997" customHeight="1" x14ac:dyDescent="0.25">
      <c r="A129" s="11" t="s">
        <v>465</v>
      </c>
      <c r="B129" s="11" t="s">
        <v>466</v>
      </c>
      <c r="C129" s="11" t="s">
        <v>80</v>
      </c>
      <c r="D129" s="11" t="s">
        <v>18</v>
      </c>
      <c r="E129" s="12" t="s">
        <v>89</v>
      </c>
      <c r="F129" s="12" t="s">
        <v>90</v>
      </c>
      <c r="G129" s="12" t="s">
        <v>21</v>
      </c>
      <c r="H129" s="11" t="s">
        <v>63</v>
      </c>
      <c r="I129" s="13" t="s">
        <v>467</v>
      </c>
      <c r="J129" s="14" t="str">
        <f>HYPERLINK("https://www.boe.es/gazeta/dias/1839/11/28/pdfs/GMD-1839-1845.pdf#page=4","Abrir facsímil")</f>
        <v>Abrir facsímil</v>
      </c>
      <c r="K129" s="12" t="s">
        <v>65</v>
      </c>
    </row>
    <row r="130" spans="1:11" ht="40.049999999999997" customHeight="1" x14ac:dyDescent="0.25">
      <c r="A130" s="11" t="s">
        <v>468</v>
      </c>
      <c r="B130" s="11" t="s">
        <v>468</v>
      </c>
      <c r="C130" s="11" t="s">
        <v>59</v>
      </c>
      <c r="D130" s="11" t="s">
        <v>60</v>
      </c>
      <c r="E130" s="12" t="s">
        <v>469</v>
      </c>
      <c r="F130" s="12" t="s">
        <v>470</v>
      </c>
      <c r="G130" s="12" t="s">
        <v>29</v>
      </c>
      <c r="H130" s="11" t="s">
        <v>63</v>
      </c>
      <c r="I130" s="13" t="s">
        <v>471</v>
      </c>
      <c r="J130" s="14" t="str">
        <f>HYPERLINK("https://www.boe.es/gazeta/dias/1839/08/20/pdfs/GMD-1839-1741.pdf#page=1","Abrir facsímil")</f>
        <v>Abrir facsímil</v>
      </c>
      <c r="K130" s="12" t="s">
        <v>65</v>
      </c>
    </row>
    <row r="131" spans="1:11" ht="40.049999999999997" customHeight="1" x14ac:dyDescent="0.25">
      <c r="A131" s="11" t="s">
        <v>472</v>
      </c>
      <c r="B131" s="11" t="s">
        <v>473</v>
      </c>
      <c r="C131" s="11" t="s">
        <v>17</v>
      </c>
      <c r="D131" s="11" t="s">
        <v>18</v>
      </c>
      <c r="E131" s="12" t="s">
        <v>474</v>
      </c>
      <c r="F131" s="12" t="s">
        <v>475</v>
      </c>
      <c r="G131" s="12" t="s">
        <v>46</v>
      </c>
      <c r="H131" s="11" t="s">
        <v>63</v>
      </c>
      <c r="I131" s="13" t="s">
        <v>476</v>
      </c>
      <c r="J131" s="14" t="str">
        <f>HYPERLINK("https://www.boe.es/gazeta/dias/1839/03/31/pdfs/GMD-1839-1597.pdf#page=3","Abrir facsímil")</f>
        <v>Abrir facsímil</v>
      </c>
      <c r="K131" s="12" t="s">
        <v>65</v>
      </c>
    </row>
    <row r="132" spans="1:11" ht="40.049999999999997" customHeight="1" x14ac:dyDescent="0.25">
      <c r="A132" s="11" t="s">
        <v>477</v>
      </c>
      <c r="B132" s="11" t="s">
        <v>478</v>
      </c>
      <c r="C132" s="11" t="s">
        <v>137</v>
      </c>
      <c r="D132" s="11" t="s">
        <v>18</v>
      </c>
      <c r="E132" s="12" t="s">
        <v>479</v>
      </c>
      <c r="F132" s="12" t="s">
        <v>480</v>
      </c>
      <c r="G132" s="12" t="s">
        <v>29</v>
      </c>
      <c r="H132" s="11" t="s">
        <v>63</v>
      </c>
      <c r="I132" s="13" t="s">
        <v>481</v>
      </c>
      <c r="J132" s="14" t="str">
        <f>HYPERLINK("https://www.boe.es/gazeta/dias/1839/06/24/pdfs/GMD-1839-1682.pdf#page=1","Abrir facsímil")</f>
        <v>Abrir facsímil</v>
      </c>
      <c r="K132" s="12" t="s">
        <v>65</v>
      </c>
    </row>
    <row r="133" spans="1:11" ht="40.049999999999997" customHeight="1" x14ac:dyDescent="0.25">
      <c r="A133" s="11" t="s">
        <v>482</v>
      </c>
      <c r="B133" s="11" t="s">
        <v>482</v>
      </c>
      <c r="C133" s="11" t="s">
        <v>17</v>
      </c>
      <c r="D133" s="11" t="s">
        <v>18</v>
      </c>
      <c r="E133" s="12" t="s">
        <v>483</v>
      </c>
      <c r="F133" s="12" t="s">
        <v>484</v>
      </c>
      <c r="G133" s="12" t="s">
        <v>21</v>
      </c>
      <c r="H133" s="11" t="s">
        <v>63</v>
      </c>
      <c r="I133" s="13" t="s">
        <v>485</v>
      </c>
      <c r="J133" s="14" t="str">
        <f>HYPERLINK("https://www.boe.es/gazeta/dias/1839/11/18/pdfs/GMD-1839-1835.pdf#page=4","Abrir facsímil")</f>
        <v>Abrir facsímil</v>
      </c>
      <c r="K133" s="12" t="s">
        <v>65</v>
      </c>
    </row>
    <row r="134" spans="1:11" ht="40.049999999999997" customHeight="1" x14ac:dyDescent="0.25">
      <c r="A134" s="11" t="s">
        <v>482</v>
      </c>
      <c r="B134" s="11" t="s">
        <v>482</v>
      </c>
      <c r="C134" s="11" t="s">
        <v>17</v>
      </c>
      <c r="D134" s="11" t="s">
        <v>18</v>
      </c>
      <c r="E134" s="12" t="s">
        <v>486</v>
      </c>
      <c r="F134" s="12" t="s">
        <v>487</v>
      </c>
      <c r="G134" s="12" t="s">
        <v>29</v>
      </c>
      <c r="H134" s="11" t="s">
        <v>63</v>
      </c>
      <c r="I134" s="13" t="s">
        <v>488</v>
      </c>
      <c r="J134" s="14" t="str">
        <f>HYPERLINK("https://www.boe.es/gazeta/dias/1839/04/19/pdfs/GMD-1839-1616.pdf#page=1","Abrir facsímil")</f>
        <v>Abrir facsímil</v>
      </c>
      <c r="K134" s="12" t="s">
        <v>65</v>
      </c>
    </row>
    <row r="135" spans="1:11" ht="40.049999999999997" customHeight="1" x14ac:dyDescent="0.25">
      <c r="A135" s="11" t="s">
        <v>482</v>
      </c>
      <c r="B135" s="11" t="s">
        <v>482</v>
      </c>
      <c r="C135" s="11" t="s">
        <v>59</v>
      </c>
      <c r="D135" s="11" t="s">
        <v>60</v>
      </c>
      <c r="E135" s="12" t="s">
        <v>489</v>
      </c>
      <c r="F135" s="12" t="s">
        <v>490</v>
      </c>
      <c r="G135" s="12" t="s">
        <v>29</v>
      </c>
      <c r="H135" s="11" t="s">
        <v>63</v>
      </c>
      <c r="I135" s="13" t="s">
        <v>491</v>
      </c>
      <c r="J135" s="14" t="str">
        <f>HYPERLINK("https://www.boe.es/gazeta/dias/1839/06/29/pdfs/GMD-1839-1687.pdf#page=1","Abrir facsímil")</f>
        <v>Abrir facsímil</v>
      </c>
      <c r="K135" s="12" t="s">
        <v>65</v>
      </c>
    </row>
    <row r="136" spans="1:11" ht="40.049999999999997" customHeight="1" x14ac:dyDescent="0.25">
      <c r="A136" s="11" t="s">
        <v>492</v>
      </c>
      <c r="B136" s="11" t="s">
        <v>493</v>
      </c>
      <c r="C136" s="11" t="s">
        <v>101</v>
      </c>
      <c r="D136" s="11" t="s">
        <v>43</v>
      </c>
      <c r="E136" s="12" t="s">
        <v>19</v>
      </c>
      <c r="F136" s="12" t="s">
        <v>20</v>
      </c>
      <c r="G136" s="12" t="s">
        <v>40</v>
      </c>
      <c r="H136" s="11" t="s">
        <v>63</v>
      </c>
      <c r="I136" s="13" t="s">
        <v>494</v>
      </c>
      <c r="J136" s="14" t="str">
        <f>HYPERLINK("https://www.boe.es/gazeta/dias/1839/01/19/pdfs/GMD-1839-1526.pdf#page=2","Abrir facsímil")</f>
        <v>Abrir facsímil</v>
      </c>
      <c r="K136" s="12" t="s">
        <v>65</v>
      </c>
    </row>
    <row r="137" spans="1:11" ht="40.049999999999997" customHeight="1" x14ac:dyDescent="0.25">
      <c r="A137" s="11" t="s">
        <v>495</v>
      </c>
      <c r="B137" s="11" t="s">
        <v>495</v>
      </c>
      <c r="C137" s="11" t="s">
        <v>17</v>
      </c>
      <c r="D137" s="11" t="s">
        <v>18</v>
      </c>
      <c r="E137" s="12" t="s">
        <v>496</v>
      </c>
      <c r="F137" s="12" t="s">
        <v>497</v>
      </c>
      <c r="G137" s="12" t="s">
        <v>21</v>
      </c>
      <c r="H137" s="11" t="s">
        <v>63</v>
      </c>
      <c r="I137" s="13" t="s">
        <v>498</v>
      </c>
      <c r="J137" s="14" t="str">
        <f>HYPERLINK("https://www.boe.es/gazeta/dias/1839/11/23/pdfs/GMD-1839-1840.pdf#page=4","Abrir facsímil")</f>
        <v>Abrir facsímil</v>
      </c>
      <c r="K137" s="12" t="s">
        <v>65</v>
      </c>
    </row>
    <row r="138" spans="1:11" ht="40.049999999999997" customHeight="1" x14ac:dyDescent="0.25">
      <c r="A138" s="11" t="s">
        <v>499</v>
      </c>
      <c r="B138" s="11" t="s">
        <v>499</v>
      </c>
      <c r="C138" s="11" t="s">
        <v>17</v>
      </c>
      <c r="D138" s="11" t="s">
        <v>18</v>
      </c>
      <c r="E138" s="12" t="s">
        <v>500</v>
      </c>
      <c r="F138" s="12" t="s">
        <v>501</v>
      </c>
      <c r="G138" s="12" t="s">
        <v>21</v>
      </c>
      <c r="H138" s="11" t="s">
        <v>63</v>
      </c>
      <c r="I138" s="13" t="s">
        <v>502</v>
      </c>
      <c r="J138" s="14" t="str">
        <f>HYPERLINK("https://www.boe.es/gazeta/dias/1839/11/06/pdfs/GMD-1839-1823.pdf#page=4","Abrir facsímil")</f>
        <v>Abrir facsímil</v>
      </c>
      <c r="K138" s="12" t="s">
        <v>65</v>
      </c>
    </row>
    <row r="139" spans="1:11" ht="40.049999999999997" customHeight="1" x14ac:dyDescent="0.25">
      <c r="A139" s="11" t="s">
        <v>499</v>
      </c>
      <c r="B139" s="11" t="s">
        <v>499</v>
      </c>
      <c r="C139" s="11" t="s">
        <v>17</v>
      </c>
      <c r="D139" s="11" t="s">
        <v>18</v>
      </c>
      <c r="E139" s="12" t="s">
        <v>503</v>
      </c>
      <c r="F139" s="12" t="s">
        <v>504</v>
      </c>
      <c r="G139" s="12" t="s">
        <v>21</v>
      </c>
      <c r="H139" s="11" t="s">
        <v>63</v>
      </c>
      <c r="I139" s="13" t="s">
        <v>505</v>
      </c>
      <c r="J139" s="14" t="str">
        <f>HYPERLINK("https://www.boe.es/gazeta/dias/1839/06/07/pdfs/GMD-1839-1665.pdf#page=4","Abrir facsímil")</f>
        <v>Abrir facsímil</v>
      </c>
      <c r="K139" s="12" t="s">
        <v>65</v>
      </c>
    </row>
    <row r="140" spans="1:11" ht="40.049999999999997" customHeight="1" x14ac:dyDescent="0.25">
      <c r="A140" s="11" t="s">
        <v>506</v>
      </c>
      <c r="B140" s="11" t="s">
        <v>506</v>
      </c>
      <c r="C140" s="11" t="s">
        <v>80</v>
      </c>
      <c r="D140" s="11" t="s">
        <v>18</v>
      </c>
      <c r="E140" s="12" t="s">
        <v>507</v>
      </c>
      <c r="F140" s="12" t="s">
        <v>508</v>
      </c>
      <c r="G140" s="12" t="s">
        <v>21</v>
      </c>
      <c r="H140" s="11" t="s">
        <v>63</v>
      </c>
      <c r="I140" s="13" t="s">
        <v>509</v>
      </c>
      <c r="J140" s="14" t="str">
        <f>HYPERLINK("https://www.boe.es/gazeta/dias/1839/08/12/pdfs/GMD-1839-1732.pdf#page=4","Abrir facsímil")</f>
        <v>Abrir facsímil</v>
      </c>
      <c r="K140" s="12" t="s">
        <v>65</v>
      </c>
    </row>
    <row r="141" spans="1:11" ht="40.049999999999997" customHeight="1" x14ac:dyDescent="0.25">
      <c r="A141" s="11" t="s">
        <v>506</v>
      </c>
      <c r="B141" s="11" t="s">
        <v>506</v>
      </c>
      <c r="C141" s="11" t="s">
        <v>17</v>
      </c>
      <c r="D141" s="11" t="s">
        <v>18</v>
      </c>
      <c r="E141" s="12" t="s">
        <v>510</v>
      </c>
      <c r="F141" s="12" t="s">
        <v>511</v>
      </c>
      <c r="G141" s="12" t="s">
        <v>46</v>
      </c>
      <c r="H141" s="11" t="s">
        <v>63</v>
      </c>
      <c r="I141" s="13" t="s">
        <v>512</v>
      </c>
      <c r="J141" s="14" t="str">
        <f>HYPERLINK("https://www.boe.es/gazeta/dias/1839/05/13/pdfs/GMD-1839-1640.pdf#page=3","Abrir facsímil")</f>
        <v>Abrir facsímil</v>
      </c>
      <c r="K141" s="12" t="s">
        <v>65</v>
      </c>
    </row>
    <row r="142" spans="1:11" ht="40.049999999999997" customHeight="1" x14ac:dyDescent="0.25">
      <c r="A142" s="11" t="s">
        <v>506</v>
      </c>
      <c r="B142" s="11" t="s">
        <v>506</v>
      </c>
      <c r="C142" s="11" t="s">
        <v>59</v>
      </c>
      <c r="D142" s="11" t="s">
        <v>60</v>
      </c>
      <c r="E142" s="12" t="s">
        <v>513</v>
      </c>
      <c r="F142" s="12" t="s">
        <v>514</v>
      </c>
      <c r="G142" s="12" t="s">
        <v>21</v>
      </c>
      <c r="H142" s="11" t="s">
        <v>63</v>
      </c>
      <c r="I142" s="13" t="s">
        <v>515</v>
      </c>
      <c r="J142" s="14" t="str">
        <f>HYPERLINK("https://www.boe.es/gazeta/dias/1839/03/17/pdfs/GMD-1839-1583.pdf#page=4","Abrir facsímil")</f>
        <v>Abrir facsímil</v>
      </c>
      <c r="K142" s="12" t="s">
        <v>65</v>
      </c>
    </row>
    <row r="143" spans="1:11" ht="40.049999999999997" customHeight="1" x14ac:dyDescent="0.25">
      <c r="A143" s="11" t="s">
        <v>506</v>
      </c>
      <c r="B143" s="11" t="s">
        <v>506</v>
      </c>
      <c r="C143" s="11" t="s">
        <v>80</v>
      </c>
      <c r="D143" s="11" t="s">
        <v>18</v>
      </c>
      <c r="E143" s="12" t="s">
        <v>516</v>
      </c>
      <c r="F143" s="12" t="s">
        <v>517</v>
      </c>
      <c r="G143" s="12" t="s">
        <v>21</v>
      </c>
      <c r="H143" s="11" t="s">
        <v>63</v>
      </c>
      <c r="I143" s="13" t="s">
        <v>518</v>
      </c>
      <c r="J143" s="14" t="str">
        <f>HYPERLINK("https://www.boe.es/gazeta/dias/1839/06/21/pdfs/GMD-1839-1679.pdf#page=4","Abrir facsímil")</f>
        <v>Abrir facsímil</v>
      </c>
      <c r="K143" s="12" t="s">
        <v>65</v>
      </c>
    </row>
    <row r="144" spans="1:11" ht="40.049999999999997" customHeight="1" x14ac:dyDescent="0.25">
      <c r="A144" s="11" t="s">
        <v>506</v>
      </c>
      <c r="B144" s="11" t="s">
        <v>506</v>
      </c>
      <c r="C144" s="11" t="s">
        <v>17</v>
      </c>
      <c r="D144" s="11" t="s">
        <v>18</v>
      </c>
      <c r="E144" s="12" t="s">
        <v>519</v>
      </c>
      <c r="F144" s="12" t="s">
        <v>520</v>
      </c>
      <c r="G144" s="12" t="s">
        <v>29</v>
      </c>
      <c r="H144" s="11" t="s">
        <v>63</v>
      </c>
      <c r="I144" s="13" t="s">
        <v>521</v>
      </c>
      <c r="J144" s="14" t="str">
        <f>HYPERLINK("https://www.boe.es/gazeta/dias/1839/02/23/pdfs/GMD-1839-1561.pdf#page=1","Abrir facsímil")</f>
        <v>Abrir facsímil</v>
      </c>
      <c r="K144" s="12" t="s">
        <v>65</v>
      </c>
    </row>
    <row r="145" spans="1:11" ht="40.049999999999997" customHeight="1" x14ac:dyDescent="0.25">
      <c r="A145" s="11" t="s">
        <v>506</v>
      </c>
      <c r="B145" s="11" t="s">
        <v>506</v>
      </c>
      <c r="C145" s="11" t="s">
        <v>17</v>
      </c>
      <c r="D145" s="11" t="s">
        <v>18</v>
      </c>
      <c r="E145" s="12" t="s">
        <v>522</v>
      </c>
      <c r="F145" s="12" t="s">
        <v>523</v>
      </c>
      <c r="G145" s="12" t="s">
        <v>40</v>
      </c>
      <c r="H145" s="11" t="s">
        <v>63</v>
      </c>
      <c r="I145" s="13" t="s">
        <v>524</v>
      </c>
      <c r="J145" s="14" t="str">
        <f>HYPERLINK("https://www.boe.es/gazeta/dias/1839/08/27/pdfs/GMD-1839-1748.pdf#page=2","Abrir facsímil")</f>
        <v>Abrir facsímil</v>
      </c>
      <c r="K145" s="12" t="s">
        <v>65</v>
      </c>
    </row>
    <row r="146" spans="1:11" ht="40.049999999999997" customHeight="1" x14ac:dyDescent="0.25">
      <c r="A146" s="11" t="s">
        <v>525</v>
      </c>
      <c r="B146" s="11" t="s">
        <v>526</v>
      </c>
      <c r="C146" s="11" t="s">
        <v>137</v>
      </c>
      <c r="D146" s="11" t="s">
        <v>18</v>
      </c>
      <c r="E146" s="12" t="s">
        <v>527</v>
      </c>
      <c r="F146" s="12" t="s">
        <v>528</v>
      </c>
      <c r="G146" s="12" t="s">
        <v>40</v>
      </c>
      <c r="H146" s="11" t="s">
        <v>22</v>
      </c>
      <c r="I146" s="13" t="s">
        <v>529</v>
      </c>
      <c r="J146" s="14" t="str">
        <f>HYPERLINK("https://www.boe.es/gazeta/dias/1839/07/10/pdfs/GMD-1839-1698.pdf#page=2","Abrir facsímil")</f>
        <v>Abrir facsímil</v>
      </c>
      <c r="K146" s="12" t="s">
        <v>24</v>
      </c>
    </row>
    <row r="147" spans="1:11" ht="40.049999999999997" customHeight="1" x14ac:dyDescent="0.25">
      <c r="A147" s="11" t="s">
        <v>530</v>
      </c>
      <c r="B147" s="11" t="s">
        <v>531</v>
      </c>
      <c r="C147" s="11" t="s">
        <v>17</v>
      </c>
      <c r="D147" s="11" t="s">
        <v>18</v>
      </c>
      <c r="E147" s="12" t="s">
        <v>258</v>
      </c>
      <c r="F147" s="12" t="s">
        <v>259</v>
      </c>
      <c r="G147" s="12" t="s">
        <v>46</v>
      </c>
      <c r="H147" s="11" t="s">
        <v>22</v>
      </c>
      <c r="I147" s="13" t="s">
        <v>532</v>
      </c>
      <c r="J147" s="14" t="str">
        <f>HYPERLINK("https://www.boe.es/gazeta/dias/1839/01/02/pdfs/GMD-1839-1509.pdf#page=3","Abrir facsímil")</f>
        <v>Abrir facsímil</v>
      </c>
      <c r="K147" s="12" t="s">
        <v>24</v>
      </c>
    </row>
    <row r="148" spans="1:11" ht="40.049999999999997" customHeight="1" x14ac:dyDescent="0.25">
      <c r="A148" s="11" t="s">
        <v>533</v>
      </c>
      <c r="B148" s="11" t="s">
        <v>534</v>
      </c>
      <c r="C148" s="11" t="s">
        <v>17</v>
      </c>
      <c r="D148" s="11" t="s">
        <v>18</v>
      </c>
      <c r="E148" s="12" t="s">
        <v>258</v>
      </c>
      <c r="F148" s="12" t="s">
        <v>259</v>
      </c>
      <c r="G148" s="12" t="s">
        <v>46</v>
      </c>
      <c r="H148" s="11" t="s">
        <v>22</v>
      </c>
      <c r="I148" s="13" t="s">
        <v>535</v>
      </c>
      <c r="J148" s="14" t="str">
        <f>HYPERLINK("https://www.boe.es/gazeta/dias/1839/01/02/pdfs/GMD-1839-1509.pdf#page=3","Abrir facsímil")</f>
        <v>Abrir facsímil</v>
      </c>
      <c r="K148" s="12" t="s">
        <v>24</v>
      </c>
    </row>
    <row r="149" spans="1:11" ht="40.049999999999997" customHeight="1" x14ac:dyDescent="0.25">
      <c r="A149" s="11" t="s">
        <v>536</v>
      </c>
      <c r="B149" s="11" t="s">
        <v>537</v>
      </c>
      <c r="C149" s="11" t="s">
        <v>17</v>
      </c>
      <c r="D149" s="11" t="s">
        <v>18</v>
      </c>
      <c r="E149" s="12" t="s">
        <v>258</v>
      </c>
      <c r="F149" s="12" t="s">
        <v>259</v>
      </c>
      <c r="G149" s="12" t="s">
        <v>46</v>
      </c>
      <c r="H149" s="11" t="s">
        <v>22</v>
      </c>
      <c r="I149" s="13" t="s">
        <v>538</v>
      </c>
      <c r="J149" s="14" t="str">
        <f>HYPERLINK("https://www.boe.es/gazeta/dias/1839/01/02/pdfs/GMD-1839-1509.pdf#page=3","Abrir facsímil")</f>
        <v>Abrir facsímil</v>
      </c>
      <c r="K149" s="12" t="s">
        <v>24</v>
      </c>
    </row>
    <row r="150" spans="1:11" ht="40.049999999999997" customHeight="1" x14ac:dyDescent="0.25">
      <c r="A150" s="11" t="s">
        <v>539</v>
      </c>
      <c r="B150" s="11" t="s">
        <v>540</v>
      </c>
      <c r="C150" s="11" t="s">
        <v>17</v>
      </c>
      <c r="D150" s="11" t="s">
        <v>18</v>
      </c>
      <c r="E150" s="12" t="s">
        <v>61</v>
      </c>
      <c r="F150" s="12" t="s">
        <v>62</v>
      </c>
      <c r="G150" s="12" t="s">
        <v>21</v>
      </c>
      <c r="H150" s="11" t="s">
        <v>63</v>
      </c>
      <c r="I150" s="13" t="s">
        <v>541</v>
      </c>
      <c r="J150" s="14" t="str">
        <f>HYPERLINK("https://www.boe.es/gazeta/dias/1839/09/10/pdfs/GMD-1839-1763.pdf#page=4","Abrir facsímil")</f>
        <v>Abrir facsímil</v>
      </c>
      <c r="K150" s="12" t="s">
        <v>65</v>
      </c>
    </row>
    <row r="151" spans="1:11" ht="40.049999999999997" customHeight="1" x14ac:dyDescent="0.25">
      <c r="A151" s="11" t="s">
        <v>542</v>
      </c>
      <c r="B151" s="11" t="s">
        <v>543</v>
      </c>
      <c r="C151" s="11" t="s">
        <v>17</v>
      </c>
      <c r="D151" s="11" t="s">
        <v>18</v>
      </c>
      <c r="E151" s="12" t="s">
        <v>544</v>
      </c>
      <c r="F151" s="12" t="s">
        <v>545</v>
      </c>
      <c r="G151" s="12" t="s">
        <v>46</v>
      </c>
      <c r="H151" s="11" t="s">
        <v>63</v>
      </c>
      <c r="I151" s="13" t="s">
        <v>546</v>
      </c>
      <c r="J151" s="14" t="str">
        <f>HYPERLINK("https://www.boe.es/gazeta/dias/1839/11/11/pdfs/GMD-1839-1828.pdf#page=3","Abrir facsímil")</f>
        <v>Abrir facsímil</v>
      </c>
      <c r="K151" s="12" t="s">
        <v>65</v>
      </c>
    </row>
    <row r="152" spans="1:11" ht="40.049999999999997" customHeight="1" x14ac:dyDescent="0.25">
      <c r="A152" s="11" t="s">
        <v>547</v>
      </c>
      <c r="B152" s="11" t="s">
        <v>547</v>
      </c>
      <c r="C152" s="11" t="s">
        <v>17</v>
      </c>
      <c r="D152" s="11" t="s">
        <v>18</v>
      </c>
      <c r="E152" s="12" t="s">
        <v>548</v>
      </c>
      <c r="F152" s="12" t="s">
        <v>549</v>
      </c>
      <c r="G152" s="12" t="s">
        <v>40</v>
      </c>
      <c r="H152" s="11" t="s">
        <v>63</v>
      </c>
      <c r="I152" s="13" t="s">
        <v>550</v>
      </c>
      <c r="J152" s="14" t="str">
        <f>HYPERLINK("https://www.boe.es/gazeta/dias/1839/06/06/pdfs/GMD-1839-1664.pdf#page=2","Abrir facsímil")</f>
        <v>Abrir facsímil</v>
      </c>
      <c r="K152" s="12" t="s">
        <v>65</v>
      </c>
    </row>
    <row r="153" spans="1:11" ht="40.049999999999997" customHeight="1" x14ac:dyDescent="0.25">
      <c r="A153" s="11" t="s">
        <v>551</v>
      </c>
      <c r="B153" s="11" t="s">
        <v>552</v>
      </c>
      <c r="C153" s="11" t="s">
        <v>80</v>
      </c>
      <c r="D153" s="11" t="s">
        <v>18</v>
      </c>
      <c r="E153" s="12" t="s">
        <v>333</v>
      </c>
      <c r="F153" s="12" t="s">
        <v>334</v>
      </c>
      <c r="G153" s="12" t="s">
        <v>21</v>
      </c>
      <c r="H153" s="11" t="s">
        <v>63</v>
      </c>
      <c r="I153" s="13" t="s">
        <v>553</v>
      </c>
      <c r="J153" s="14" t="str">
        <f>HYPERLINK("https://www.boe.es/gazeta/dias/1839/06/11/pdfs/GMD-1839-1669.pdf#page=4","Abrir facsímil")</f>
        <v>Abrir facsímil</v>
      </c>
      <c r="K153" s="12" t="s">
        <v>65</v>
      </c>
    </row>
    <row r="154" spans="1:11" ht="40.049999999999997" customHeight="1" x14ac:dyDescent="0.25">
      <c r="A154" s="11" t="s">
        <v>554</v>
      </c>
      <c r="B154" s="11" t="s">
        <v>554</v>
      </c>
      <c r="C154" s="11" t="s">
        <v>59</v>
      </c>
      <c r="D154" s="11" t="s">
        <v>60</v>
      </c>
      <c r="E154" s="12" t="s">
        <v>555</v>
      </c>
      <c r="F154" s="12" t="s">
        <v>556</v>
      </c>
      <c r="G154" s="12" t="s">
        <v>29</v>
      </c>
      <c r="H154" s="11" t="s">
        <v>63</v>
      </c>
      <c r="I154" s="13" t="s">
        <v>557</v>
      </c>
      <c r="J154" s="14" t="str">
        <f>HYPERLINK("https://www.boe.es/gazeta/dias/1839/07/19/pdfs/GMD-1839-1707.pdf#page=1","Abrir facsímil")</f>
        <v>Abrir facsímil</v>
      </c>
      <c r="K154" s="12" t="s">
        <v>65</v>
      </c>
    </row>
    <row r="155" spans="1:11" ht="40.049999999999997" customHeight="1" x14ac:dyDescent="0.25">
      <c r="A155" s="11" t="s">
        <v>558</v>
      </c>
      <c r="B155" s="11" t="s">
        <v>558</v>
      </c>
      <c r="C155" s="11" t="s">
        <v>17</v>
      </c>
      <c r="D155" s="11" t="s">
        <v>18</v>
      </c>
      <c r="E155" s="12" t="s">
        <v>212</v>
      </c>
      <c r="F155" s="12" t="s">
        <v>213</v>
      </c>
      <c r="G155" s="12" t="s">
        <v>21</v>
      </c>
      <c r="H155" s="11" t="s">
        <v>63</v>
      </c>
      <c r="I155" s="13" t="s">
        <v>559</v>
      </c>
      <c r="J155" s="14" t="str">
        <f>HYPERLINK("https://www.boe.es/gazeta/dias/1839/10/03/pdfs/GMD-1839-1789.pdf#page=4","Abrir facsímil")</f>
        <v>Abrir facsímil</v>
      </c>
      <c r="K155" s="12" t="s">
        <v>65</v>
      </c>
    </row>
    <row r="156" spans="1:11" ht="40.049999999999997" customHeight="1" x14ac:dyDescent="0.25">
      <c r="A156" s="11" t="s">
        <v>560</v>
      </c>
      <c r="B156" s="11" t="s">
        <v>560</v>
      </c>
      <c r="C156" s="11" t="s">
        <v>101</v>
      </c>
      <c r="D156" s="11" t="s">
        <v>43</v>
      </c>
      <c r="E156" s="12" t="s">
        <v>561</v>
      </c>
      <c r="F156" s="12" t="s">
        <v>562</v>
      </c>
      <c r="G156" s="12" t="s">
        <v>46</v>
      </c>
      <c r="H156" s="11" t="s">
        <v>22</v>
      </c>
      <c r="I156" s="13" t="s">
        <v>563</v>
      </c>
      <c r="J156" s="14" t="str">
        <f>HYPERLINK("https://www.boe.es/gazeta/dias/1839/09/11/pdfs/GMD-1839-1764.pdf#page=3","Abrir facsímil")</f>
        <v>Abrir facsímil</v>
      </c>
      <c r="K156" s="12" t="s">
        <v>24</v>
      </c>
    </row>
    <row r="157" spans="1:11" ht="40.049999999999997" customHeight="1" x14ac:dyDescent="0.25">
      <c r="A157" s="11" t="s">
        <v>558</v>
      </c>
      <c r="B157" s="11" t="s">
        <v>558</v>
      </c>
      <c r="C157" s="11" t="s">
        <v>17</v>
      </c>
      <c r="D157" s="11" t="s">
        <v>18</v>
      </c>
      <c r="E157" s="12" t="s">
        <v>564</v>
      </c>
      <c r="F157" s="12" t="s">
        <v>565</v>
      </c>
      <c r="G157" s="12" t="s">
        <v>566</v>
      </c>
      <c r="H157" s="11" t="s">
        <v>63</v>
      </c>
      <c r="I157" s="13" t="s">
        <v>567</v>
      </c>
      <c r="J157" s="14" t="str">
        <f>HYPERLINK("https://www.boe.es/gazeta/dias/1839/10/17/pdfs/GMD-1839-1803.pdf#page=5","Abrir facsímil")</f>
        <v>Abrir facsímil</v>
      </c>
      <c r="K157" s="12" t="s">
        <v>65</v>
      </c>
    </row>
    <row r="158" spans="1:11" ht="40.049999999999997" customHeight="1" x14ac:dyDescent="0.25">
      <c r="A158" s="11" t="s">
        <v>558</v>
      </c>
      <c r="B158" s="11" t="s">
        <v>558</v>
      </c>
      <c r="C158" s="11" t="s">
        <v>17</v>
      </c>
      <c r="D158" s="11" t="s">
        <v>18</v>
      </c>
      <c r="E158" s="12" t="s">
        <v>568</v>
      </c>
      <c r="F158" s="12" t="s">
        <v>569</v>
      </c>
      <c r="G158" s="12" t="s">
        <v>21</v>
      </c>
      <c r="H158" s="11" t="s">
        <v>63</v>
      </c>
      <c r="I158" s="13" t="s">
        <v>570</v>
      </c>
      <c r="J158" s="14" t="str">
        <f>HYPERLINK("https://www.boe.es/gazeta/dias/1839/10/23/pdfs/GMD-1839-1809.pdf#page=4","Abrir facsímil")</f>
        <v>Abrir facsímil</v>
      </c>
      <c r="K158" s="12" t="s">
        <v>65</v>
      </c>
    </row>
    <row r="159" spans="1:11" ht="40.049999999999997" customHeight="1" x14ac:dyDescent="0.25">
      <c r="A159" s="11" t="s">
        <v>560</v>
      </c>
      <c r="B159" s="11" t="s">
        <v>560</v>
      </c>
      <c r="C159" s="11" t="s">
        <v>17</v>
      </c>
      <c r="D159" s="11" t="s">
        <v>18</v>
      </c>
      <c r="E159" s="12" t="s">
        <v>571</v>
      </c>
      <c r="F159" s="12" t="s">
        <v>572</v>
      </c>
      <c r="G159" s="12" t="s">
        <v>46</v>
      </c>
      <c r="H159" s="11" t="s">
        <v>22</v>
      </c>
      <c r="I159" s="13" t="s">
        <v>573</v>
      </c>
      <c r="J159" s="14" t="str">
        <f>HYPERLINK("https://www.boe.es/gazeta/dias/1839/09/27/pdfs/GMD-1839-1783.pdf#page=3","Abrir facsímil")</f>
        <v>Abrir facsímil</v>
      </c>
      <c r="K159" s="12" t="s">
        <v>24</v>
      </c>
    </row>
    <row r="160" spans="1:11" ht="40.049999999999997" customHeight="1" x14ac:dyDescent="0.25">
      <c r="A160" s="11" t="s">
        <v>558</v>
      </c>
      <c r="B160" s="11" t="s">
        <v>558</v>
      </c>
      <c r="C160" s="11" t="s">
        <v>17</v>
      </c>
      <c r="D160" s="11" t="s">
        <v>18</v>
      </c>
      <c r="E160" s="12" t="s">
        <v>574</v>
      </c>
      <c r="F160" s="12" t="s">
        <v>575</v>
      </c>
      <c r="G160" s="12" t="s">
        <v>40</v>
      </c>
      <c r="H160" s="11" t="s">
        <v>63</v>
      </c>
      <c r="I160" s="13" t="s">
        <v>576</v>
      </c>
      <c r="J160" s="14" t="str">
        <f>HYPERLINK("https://www.boe.es/gazeta/dias/1839/09/28/pdfs/GMD-1839-1784.pdf#page=2","Abrir facsímil")</f>
        <v>Abrir facsímil</v>
      </c>
      <c r="K160" s="12" t="s">
        <v>65</v>
      </c>
    </row>
    <row r="161" spans="1:11" ht="40.049999999999997" customHeight="1" x14ac:dyDescent="0.25">
      <c r="A161" s="11" t="s">
        <v>558</v>
      </c>
      <c r="B161" s="11" t="s">
        <v>558</v>
      </c>
      <c r="C161" s="11" t="s">
        <v>101</v>
      </c>
      <c r="D161" s="11" t="s">
        <v>43</v>
      </c>
      <c r="E161" s="12" t="s">
        <v>577</v>
      </c>
      <c r="F161" s="12" t="s">
        <v>578</v>
      </c>
      <c r="G161" s="12" t="s">
        <v>40</v>
      </c>
      <c r="H161" s="11" t="s">
        <v>63</v>
      </c>
      <c r="I161" s="13" t="s">
        <v>579</v>
      </c>
      <c r="J161" s="14" t="str">
        <f>HYPERLINK("https://www.boe.es/gazeta/dias/1839/09/30/pdfs/GMD-1839-1786.pdf#page=2","Abrir facsímil")</f>
        <v>Abrir facsímil</v>
      </c>
      <c r="K161" s="12" t="s">
        <v>65</v>
      </c>
    </row>
    <row r="162" spans="1:11" ht="40.049999999999997" customHeight="1" x14ac:dyDescent="0.25">
      <c r="A162" s="11" t="s">
        <v>580</v>
      </c>
      <c r="B162" s="11" t="s">
        <v>581</v>
      </c>
      <c r="C162" s="11" t="s">
        <v>80</v>
      </c>
      <c r="D162" s="11" t="s">
        <v>18</v>
      </c>
      <c r="E162" s="12" t="s">
        <v>582</v>
      </c>
      <c r="F162" s="12" t="s">
        <v>583</v>
      </c>
      <c r="G162" s="12" t="s">
        <v>40</v>
      </c>
      <c r="H162" s="11" t="s">
        <v>63</v>
      </c>
      <c r="I162" s="13" t="s">
        <v>584</v>
      </c>
      <c r="J162" s="14" t="str">
        <f>HYPERLINK("https://www.boe.es/gazeta/dias/1839/11/09/pdfs/GMD-1839-1826.pdf#page=2","Abrir facsímil")</f>
        <v>Abrir facsímil</v>
      </c>
      <c r="K162" s="12" t="s">
        <v>65</v>
      </c>
    </row>
    <row r="163" spans="1:11" ht="40.049999999999997" customHeight="1" x14ac:dyDescent="0.25">
      <c r="A163" s="11" t="s">
        <v>585</v>
      </c>
      <c r="B163" s="11" t="s">
        <v>586</v>
      </c>
      <c r="C163" s="11" t="s">
        <v>80</v>
      </c>
      <c r="D163" s="11" t="s">
        <v>18</v>
      </c>
      <c r="E163" s="12" t="s">
        <v>587</v>
      </c>
      <c r="F163" s="12" t="s">
        <v>588</v>
      </c>
      <c r="G163" s="12" t="s">
        <v>21</v>
      </c>
      <c r="H163" s="11" t="s">
        <v>22</v>
      </c>
      <c r="I163" s="13" t="s">
        <v>589</v>
      </c>
      <c r="J163" s="14" t="str">
        <f>HYPERLINK("https://www.boe.es/gazeta/dias/1839/05/02/pdfs/GMD-1839-1629.pdf#page=4","Abrir facsímil")</f>
        <v>Abrir facsímil</v>
      </c>
      <c r="K163" s="12" t="s">
        <v>24</v>
      </c>
    </row>
    <row r="164" spans="1:11" ht="40.049999999999997" customHeight="1" x14ac:dyDescent="0.25">
      <c r="A164" s="11" t="s">
        <v>590</v>
      </c>
      <c r="B164" s="11" t="s">
        <v>591</v>
      </c>
      <c r="C164" s="11" t="s">
        <v>137</v>
      </c>
      <c r="D164" s="11" t="s">
        <v>18</v>
      </c>
      <c r="E164" s="12" t="s">
        <v>592</v>
      </c>
      <c r="F164" s="12" t="s">
        <v>593</v>
      </c>
      <c r="G164" s="12" t="s">
        <v>29</v>
      </c>
      <c r="H164" s="11" t="s">
        <v>63</v>
      </c>
      <c r="I164" s="13" t="s">
        <v>594</v>
      </c>
      <c r="J164" s="14" t="str">
        <f>HYPERLINK("https://www.boe.es/gazeta/dias/1839/09/14/pdfs/GMD-1839-1767.pdf#page=1","Abrir facsímil")</f>
        <v>Abrir facsímil</v>
      </c>
      <c r="K164" s="12" t="s">
        <v>65</v>
      </c>
    </row>
    <row r="165" spans="1:11" ht="40.049999999999997" customHeight="1" x14ac:dyDescent="0.25">
      <c r="A165" s="11" t="s">
        <v>595</v>
      </c>
      <c r="B165" s="11" t="s">
        <v>595</v>
      </c>
      <c r="C165" s="11" t="s">
        <v>17</v>
      </c>
      <c r="D165" s="11" t="s">
        <v>18</v>
      </c>
      <c r="E165" s="12" t="s">
        <v>596</v>
      </c>
      <c r="F165" s="12" t="s">
        <v>597</v>
      </c>
      <c r="G165" s="12" t="s">
        <v>21</v>
      </c>
      <c r="H165" s="11" t="s">
        <v>22</v>
      </c>
      <c r="I165" s="13" t="s">
        <v>598</v>
      </c>
      <c r="J165" s="14" t="str">
        <f>HYPERLINK("https://www.boe.es/gazeta/dias/1839/01/23/pdfs/GMD-1839-1530.pdf#page=4","Abrir facsímil")</f>
        <v>Abrir facsímil</v>
      </c>
      <c r="K165" s="12" t="s">
        <v>24</v>
      </c>
    </row>
    <row r="166" spans="1:11" ht="40.049999999999997" customHeight="1" x14ac:dyDescent="0.25">
      <c r="A166" s="11" t="s">
        <v>599</v>
      </c>
      <c r="B166" s="11" t="s">
        <v>600</v>
      </c>
      <c r="C166" s="11" t="s">
        <v>59</v>
      </c>
      <c r="D166" s="11" t="s">
        <v>60</v>
      </c>
      <c r="E166" s="12" t="s">
        <v>601</v>
      </c>
      <c r="F166" s="12" t="s">
        <v>602</v>
      </c>
      <c r="G166" s="12" t="s">
        <v>46</v>
      </c>
      <c r="H166" s="11" t="s">
        <v>63</v>
      </c>
      <c r="I166" s="13" t="s">
        <v>603</v>
      </c>
      <c r="J166" s="14" t="str">
        <f>HYPERLINK("https://www.boe.es/gazeta/dias/1839/04/21/pdfs/GMD-1839-1618.pdf#page=3","Abrir facsímil")</f>
        <v>Abrir facsímil</v>
      </c>
      <c r="K166" s="12" t="s">
        <v>65</v>
      </c>
    </row>
    <row r="167" spans="1:11" ht="40.049999999999997" customHeight="1" x14ac:dyDescent="0.25">
      <c r="A167" s="11" t="s">
        <v>604</v>
      </c>
      <c r="B167" s="11" t="s">
        <v>605</v>
      </c>
      <c r="C167" s="11" t="s">
        <v>17</v>
      </c>
      <c r="D167" s="11" t="s">
        <v>18</v>
      </c>
      <c r="E167" s="12" t="s">
        <v>606</v>
      </c>
      <c r="F167" s="12" t="s">
        <v>607</v>
      </c>
      <c r="G167" s="12" t="s">
        <v>29</v>
      </c>
      <c r="H167" s="11" t="s">
        <v>63</v>
      </c>
      <c r="I167" s="13" t="s">
        <v>608</v>
      </c>
      <c r="J167" s="14" t="str">
        <f>HYPERLINK("https://www.boe.es/gazeta/dias/1839/04/02/pdfs/GMD-1839-1599.pdf#page=1","Abrir facsímil")</f>
        <v>Abrir facsímil</v>
      </c>
      <c r="K167" s="12" t="s">
        <v>65</v>
      </c>
    </row>
    <row r="168" spans="1:11" ht="40.049999999999997" customHeight="1" x14ac:dyDescent="0.25">
      <c r="A168" s="11" t="s">
        <v>609</v>
      </c>
      <c r="B168" s="11" t="s">
        <v>610</v>
      </c>
      <c r="C168" s="11" t="s">
        <v>17</v>
      </c>
      <c r="D168" s="11" t="s">
        <v>18</v>
      </c>
      <c r="E168" s="12" t="s">
        <v>611</v>
      </c>
      <c r="F168" s="12" t="s">
        <v>612</v>
      </c>
      <c r="G168" s="12" t="s">
        <v>46</v>
      </c>
      <c r="H168" s="11" t="s">
        <v>22</v>
      </c>
      <c r="I168" s="13" t="s">
        <v>613</v>
      </c>
      <c r="J168" s="14" t="str">
        <f>HYPERLINK("https://www.boe.es/gazeta/dias/1839/07/22/pdfs/GMD-1839-1710.pdf#page=3","Abrir facsímil")</f>
        <v>Abrir facsímil</v>
      </c>
      <c r="K168" s="12" t="s">
        <v>24</v>
      </c>
    </row>
    <row r="169" spans="1:11" ht="40.049999999999997" customHeight="1" x14ac:dyDescent="0.25">
      <c r="A169" s="11" t="s">
        <v>614</v>
      </c>
      <c r="B169" s="11" t="s">
        <v>615</v>
      </c>
      <c r="C169" s="11" t="s">
        <v>17</v>
      </c>
      <c r="D169" s="11" t="s">
        <v>18</v>
      </c>
      <c r="E169" s="12" t="s">
        <v>616</v>
      </c>
      <c r="F169" s="12" t="s">
        <v>617</v>
      </c>
      <c r="G169" s="12" t="s">
        <v>29</v>
      </c>
      <c r="H169" s="11" t="s">
        <v>63</v>
      </c>
      <c r="I169" s="13" t="s">
        <v>618</v>
      </c>
      <c r="J169" s="14" t="str">
        <f>HYPERLINK("https://www.boe.es/gazeta/dias/1839/05/29/pdfs/GMD-1839-1656.pdf#page=1","Abrir facsímil")</f>
        <v>Abrir facsímil</v>
      </c>
      <c r="K169" s="12" t="s">
        <v>65</v>
      </c>
    </row>
    <row r="170" spans="1:11" ht="40.049999999999997" customHeight="1" x14ac:dyDescent="0.25">
      <c r="A170" s="11" t="s">
        <v>619</v>
      </c>
      <c r="B170" s="11" t="s">
        <v>620</v>
      </c>
      <c r="C170" s="11" t="s">
        <v>17</v>
      </c>
      <c r="D170" s="11" t="s">
        <v>18</v>
      </c>
      <c r="E170" s="12" t="s">
        <v>621</v>
      </c>
      <c r="F170" s="12" t="s">
        <v>622</v>
      </c>
      <c r="G170" s="12" t="s">
        <v>21</v>
      </c>
      <c r="H170" s="11" t="s">
        <v>63</v>
      </c>
      <c r="I170" s="13" t="s">
        <v>623</v>
      </c>
      <c r="J170" s="14" t="str">
        <f>HYPERLINK("https://www.boe.es/gazeta/dias/1839/04/14/pdfs/GMD-1839-1611.pdf#page=4","Abrir facsímil")</f>
        <v>Abrir facsímil</v>
      </c>
      <c r="K170" s="12" t="s">
        <v>65</v>
      </c>
    </row>
    <row r="171" spans="1:11" ht="40.049999999999997" customHeight="1" x14ac:dyDescent="0.25">
      <c r="A171" s="11" t="s">
        <v>624</v>
      </c>
      <c r="B171" s="11" t="s">
        <v>625</v>
      </c>
      <c r="C171" s="11" t="s">
        <v>101</v>
      </c>
      <c r="D171" s="11" t="s">
        <v>43</v>
      </c>
      <c r="E171" s="12" t="s">
        <v>160</v>
      </c>
      <c r="F171" s="12" t="s">
        <v>161</v>
      </c>
      <c r="G171" s="12" t="s">
        <v>40</v>
      </c>
      <c r="H171" s="11" t="s">
        <v>22</v>
      </c>
      <c r="I171" s="13" t="s">
        <v>626</v>
      </c>
      <c r="J171" s="14" t="str">
        <f>HYPERLINK("https://www.boe.es/gazeta/dias/1839/01/10/pdfs/GMD-1839-1517.pdf#page=2","Abrir facsímil")</f>
        <v>Abrir facsímil</v>
      </c>
      <c r="K171" s="12" t="s">
        <v>24</v>
      </c>
    </row>
    <row r="172" spans="1:11" ht="40.049999999999997" customHeight="1" x14ac:dyDescent="0.25">
      <c r="A172" s="11" t="s">
        <v>627</v>
      </c>
      <c r="B172" s="11" t="s">
        <v>628</v>
      </c>
      <c r="C172" s="11" t="s">
        <v>17</v>
      </c>
      <c r="D172" s="11" t="s">
        <v>18</v>
      </c>
      <c r="E172" s="12" t="s">
        <v>474</v>
      </c>
      <c r="F172" s="12" t="s">
        <v>475</v>
      </c>
      <c r="G172" s="12" t="s">
        <v>21</v>
      </c>
      <c r="H172" s="11" t="s">
        <v>63</v>
      </c>
      <c r="I172" s="13" t="s">
        <v>629</v>
      </c>
      <c r="J172" s="14" t="str">
        <f>HYPERLINK("https://www.boe.es/gazeta/dias/1839/03/31/pdfs/GMD-1839-1597.pdf#page=4","Abrir facsímil")</f>
        <v>Abrir facsímil</v>
      </c>
      <c r="K172" s="12" t="s">
        <v>65</v>
      </c>
    </row>
    <row r="173" spans="1:11" ht="40.049999999999997" customHeight="1" x14ac:dyDescent="0.25">
      <c r="A173" s="11" t="s">
        <v>630</v>
      </c>
      <c r="B173" s="11" t="s">
        <v>631</v>
      </c>
      <c r="C173" s="11" t="s">
        <v>101</v>
      </c>
      <c r="D173" s="11" t="s">
        <v>43</v>
      </c>
      <c r="E173" s="12" t="s">
        <v>632</v>
      </c>
      <c r="F173" s="12" t="s">
        <v>633</v>
      </c>
      <c r="G173" s="12" t="s">
        <v>21</v>
      </c>
      <c r="H173" s="11" t="s">
        <v>63</v>
      </c>
      <c r="I173" s="13" t="s">
        <v>634</v>
      </c>
      <c r="J173" s="14" t="str">
        <f>HYPERLINK("https://www.boe.es/gazeta/dias/1839/04/06/pdfs/GMD-1839-1603.pdf#page=4","Abrir facsímil")</f>
        <v>Abrir facsímil</v>
      </c>
      <c r="K173" s="12" t="s">
        <v>65</v>
      </c>
    </row>
    <row r="174" spans="1:11" ht="40.049999999999997" customHeight="1" x14ac:dyDescent="0.25">
      <c r="A174" s="11" t="s">
        <v>635</v>
      </c>
      <c r="B174" s="11" t="s">
        <v>635</v>
      </c>
      <c r="C174" s="11" t="s">
        <v>137</v>
      </c>
      <c r="D174" s="11" t="s">
        <v>18</v>
      </c>
      <c r="E174" s="12" t="s">
        <v>246</v>
      </c>
      <c r="F174" s="12" t="s">
        <v>247</v>
      </c>
      <c r="G174" s="12" t="s">
        <v>40</v>
      </c>
      <c r="H174" s="11" t="s">
        <v>63</v>
      </c>
      <c r="I174" s="13" t="s">
        <v>636</v>
      </c>
      <c r="J174" s="14" t="str">
        <f>HYPERLINK("https://www.boe.es/gazeta/dias/1839/11/24/pdfs/GMD-1839-1841.pdf#page=2","Abrir facsímil")</f>
        <v>Abrir facsímil</v>
      </c>
      <c r="K174" s="12" t="s">
        <v>65</v>
      </c>
    </row>
    <row r="175" spans="1:11" ht="40.049999999999997" customHeight="1" x14ac:dyDescent="0.25">
      <c r="A175" s="11" t="s">
        <v>637</v>
      </c>
      <c r="B175" s="11" t="s">
        <v>637</v>
      </c>
      <c r="C175" s="11" t="s">
        <v>17</v>
      </c>
      <c r="D175" s="11" t="s">
        <v>18</v>
      </c>
      <c r="E175" s="12" t="s">
        <v>638</v>
      </c>
      <c r="F175" s="12" t="s">
        <v>639</v>
      </c>
      <c r="G175" s="12" t="s">
        <v>29</v>
      </c>
      <c r="H175" s="11" t="s">
        <v>63</v>
      </c>
      <c r="I175" s="13" t="s">
        <v>640</v>
      </c>
      <c r="J175" s="14" t="str">
        <f>HYPERLINK("https://www.boe.es/gazeta/dias/1839/08/26/pdfs/GMD-1839-1747.pdf#page=1","Abrir facsímil")</f>
        <v>Abrir facsímil</v>
      </c>
      <c r="K175" s="12" t="s">
        <v>65</v>
      </c>
    </row>
    <row r="176" spans="1:11" ht="40.049999999999997" customHeight="1" x14ac:dyDescent="0.25">
      <c r="A176" s="11" t="s">
        <v>641</v>
      </c>
      <c r="B176" s="11" t="s">
        <v>642</v>
      </c>
      <c r="C176" s="11" t="s">
        <v>80</v>
      </c>
      <c r="D176" s="11" t="s">
        <v>18</v>
      </c>
      <c r="E176" s="12" t="s">
        <v>643</v>
      </c>
      <c r="F176" s="12" t="s">
        <v>644</v>
      </c>
      <c r="G176" s="12" t="s">
        <v>40</v>
      </c>
      <c r="H176" s="11" t="s">
        <v>63</v>
      </c>
      <c r="I176" s="13" t="s">
        <v>645</v>
      </c>
      <c r="J176" s="14" t="str">
        <f>HYPERLINK("https://www.boe.es/gazeta/dias/1839/03/20/pdfs/GMD-1839-1586.pdf#page=2","Abrir facsímil")</f>
        <v>Abrir facsímil</v>
      </c>
      <c r="K176" s="12" t="s">
        <v>65</v>
      </c>
    </row>
    <row r="177" spans="1:11" ht="40.049999999999997" customHeight="1" x14ac:dyDescent="0.25">
      <c r="A177" s="11" t="s">
        <v>646</v>
      </c>
      <c r="B177" s="11" t="s">
        <v>646</v>
      </c>
      <c r="C177" s="11" t="s">
        <v>137</v>
      </c>
      <c r="D177" s="11" t="s">
        <v>18</v>
      </c>
      <c r="E177" s="12" t="s">
        <v>647</v>
      </c>
      <c r="F177" s="12" t="s">
        <v>648</v>
      </c>
      <c r="G177" s="12" t="s">
        <v>566</v>
      </c>
      <c r="H177" s="11" t="s">
        <v>63</v>
      </c>
      <c r="I177" s="13" t="s">
        <v>649</v>
      </c>
      <c r="J177" s="14" t="str">
        <f>HYPERLINK("https://www.boe.es/gazeta/dias/1839/10/08/pdfs/GMD-1839-1794.pdf#page=5","Abrir facsímil")</f>
        <v>Abrir facsímil</v>
      </c>
      <c r="K177" s="12" t="s">
        <v>65</v>
      </c>
    </row>
    <row r="178" spans="1:11" ht="40.049999999999997" customHeight="1" x14ac:dyDescent="0.25">
      <c r="A178" s="11" t="s">
        <v>646</v>
      </c>
      <c r="B178" s="11" t="s">
        <v>646</v>
      </c>
      <c r="C178" s="11" t="s">
        <v>17</v>
      </c>
      <c r="D178" s="11" t="s">
        <v>18</v>
      </c>
      <c r="E178" s="12" t="s">
        <v>650</v>
      </c>
      <c r="F178" s="12" t="s">
        <v>651</v>
      </c>
      <c r="G178" s="12" t="s">
        <v>21</v>
      </c>
      <c r="H178" s="11" t="s">
        <v>63</v>
      </c>
      <c r="I178" s="13" t="s">
        <v>652</v>
      </c>
      <c r="J178" s="14" t="str">
        <f>HYPERLINK("https://www.boe.es/gazeta/dias/1839/10/25/pdfs/GMD-1839-1811.pdf#page=4","Abrir facsímil")</f>
        <v>Abrir facsímil</v>
      </c>
      <c r="K178" s="12" t="s">
        <v>65</v>
      </c>
    </row>
    <row r="179" spans="1:11" ht="40.049999999999997" customHeight="1" x14ac:dyDescent="0.25">
      <c r="A179" s="11" t="s">
        <v>646</v>
      </c>
      <c r="B179" s="11" t="s">
        <v>646</v>
      </c>
      <c r="C179" s="11" t="s">
        <v>101</v>
      </c>
      <c r="D179" s="11" t="s">
        <v>43</v>
      </c>
      <c r="E179" s="12" t="s">
        <v>653</v>
      </c>
      <c r="F179" s="12" t="s">
        <v>654</v>
      </c>
      <c r="G179" s="12" t="s">
        <v>46</v>
      </c>
      <c r="H179" s="11" t="s">
        <v>63</v>
      </c>
      <c r="I179" s="13" t="s">
        <v>655</v>
      </c>
      <c r="J179" s="14" t="str">
        <f>HYPERLINK("https://www.boe.es/gazeta/dias/1839/10/31/pdfs/GMD-1839-1817.pdf#page=3","Abrir facsímil")</f>
        <v>Abrir facsímil</v>
      </c>
      <c r="K179" s="12" t="s">
        <v>65</v>
      </c>
    </row>
    <row r="180" spans="1:11" ht="40.049999999999997" customHeight="1" x14ac:dyDescent="0.25">
      <c r="A180" s="11" t="s">
        <v>656</v>
      </c>
      <c r="B180" s="11" t="s">
        <v>657</v>
      </c>
      <c r="C180" s="11" t="s">
        <v>80</v>
      </c>
      <c r="D180" s="11" t="s">
        <v>18</v>
      </c>
      <c r="E180" s="12" t="s">
        <v>381</v>
      </c>
      <c r="F180" s="12" t="s">
        <v>382</v>
      </c>
      <c r="G180" s="12" t="s">
        <v>29</v>
      </c>
      <c r="H180" s="11" t="s">
        <v>63</v>
      </c>
      <c r="I180" s="13" t="s">
        <v>658</v>
      </c>
      <c r="J180" s="14" t="str">
        <f>HYPERLINK("https://www.boe.es/gazeta/dias/1839/06/02/pdfs/GMD-1839-1660.pdf#page=1","Abrir facsímil")</f>
        <v>Abrir facsímil</v>
      </c>
      <c r="K180" s="12" t="s">
        <v>65</v>
      </c>
    </row>
    <row r="181" spans="1:11" ht="40.049999999999997" customHeight="1" x14ac:dyDescent="0.25">
      <c r="A181" s="11" t="s">
        <v>656</v>
      </c>
      <c r="B181" s="11" t="s">
        <v>657</v>
      </c>
      <c r="C181" s="11" t="s">
        <v>80</v>
      </c>
      <c r="D181" s="11" t="s">
        <v>18</v>
      </c>
      <c r="E181" s="12" t="s">
        <v>381</v>
      </c>
      <c r="F181" s="12" t="s">
        <v>382</v>
      </c>
      <c r="G181" s="12" t="s">
        <v>21</v>
      </c>
      <c r="H181" s="11" t="s">
        <v>63</v>
      </c>
      <c r="I181" s="13" t="s">
        <v>659</v>
      </c>
      <c r="J181" s="14" t="str">
        <f>HYPERLINK("https://www.boe.es/gazeta/dias/1839/06/02/pdfs/GMD-1839-1660.pdf#page=4","Abrir facsímil")</f>
        <v>Abrir facsímil</v>
      </c>
      <c r="K181" s="12" t="s">
        <v>65</v>
      </c>
    </row>
    <row r="182" spans="1:11" ht="40.049999999999997" customHeight="1" x14ac:dyDescent="0.25">
      <c r="A182" s="11" t="s">
        <v>656</v>
      </c>
      <c r="B182" s="11" t="s">
        <v>657</v>
      </c>
      <c r="C182" s="11" t="s">
        <v>17</v>
      </c>
      <c r="D182" s="11" t="s">
        <v>18</v>
      </c>
      <c r="E182" s="12" t="s">
        <v>157</v>
      </c>
      <c r="F182" s="12" t="s">
        <v>158</v>
      </c>
      <c r="G182" s="12" t="s">
        <v>29</v>
      </c>
      <c r="H182" s="11" t="s">
        <v>63</v>
      </c>
      <c r="I182" s="13" t="s">
        <v>660</v>
      </c>
      <c r="J182" s="14" t="str">
        <f>HYPERLINK("https://www.boe.es/gazeta/dias/1839/02/08/pdfs/GMD-1839-1546.pdf#page=1","Abrir facsímil")</f>
        <v>Abrir facsímil</v>
      </c>
      <c r="K182" s="12" t="s">
        <v>65</v>
      </c>
    </row>
    <row r="183" spans="1:11" ht="40.049999999999997" customHeight="1" x14ac:dyDescent="0.25">
      <c r="A183" s="11" t="s">
        <v>656</v>
      </c>
      <c r="B183" s="11" t="s">
        <v>657</v>
      </c>
      <c r="C183" s="11" t="s">
        <v>17</v>
      </c>
      <c r="D183" s="11" t="s">
        <v>18</v>
      </c>
      <c r="E183" s="12" t="s">
        <v>192</v>
      </c>
      <c r="F183" s="12" t="s">
        <v>193</v>
      </c>
      <c r="G183" s="12" t="s">
        <v>29</v>
      </c>
      <c r="H183" s="11" t="s">
        <v>63</v>
      </c>
      <c r="I183" s="13" t="s">
        <v>661</v>
      </c>
      <c r="J183" s="14" t="str">
        <f>HYPERLINK("https://www.boe.es/gazeta/dias/1839/01/12/pdfs/GMD-1839-1519.pdf#page=1","Abrir facsímil")</f>
        <v>Abrir facsímil</v>
      </c>
      <c r="K183" s="12" t="s">
        <v>65</v>
      </c>
    </row>
    <row r="184" spans="1:11" ht="40.049999999999997" customHeight="1" x14ac:dyDescent="0.25">
      <c r="A184" s="11" t="s">
        <v>656</v>
      </c>
      <c r="B184" s="11" t="s">
        <v>657</v>
      </c>
      <c r="C184" s="11" t="s">
        <v>59</v>
      </c>
      <c r="D184" s="11" t="s">
        <v>60</v>
      </c>
      <c r="E184" s="12" t="s">
        <v>299</v>
      </c>
      <c r="F184" s="12" t="s">
        <v>300</v>
      </c>
      <c r="G184" s="12" t="s">
        <v>29</v>
      </c>
      <c r="H184" s="11" t="s">
        <v>63</v>
      </c>
      <c r="I184" s="13" t="s">
        <v>662</v>
      </c>
      <c r="J184" s="14" t="str">
        <f>HYPERLINK("https://www.boe.es/gazeta/dias/1839/02/14/pdfs/GMD-1839-1552.pdf#page=1","Abrir facsímil")</f>
        <v>Abrir facsímil</v>
      </c>
      <c r="K184" s="12" t="s">
        <v>65</v>
      </c>
    </row>
    <row r="185" spans="1:11" ht="40.049999999999997" customHeight="1" x14ac:dyDescent="0.25">
      <c r="A185" s="11" t="s">
        <v>656</v>
      </c>
      <c r="B185" s="11" t="s">
        <v>657</v>
      </c>
      <c r="C185" s="11" t="s">
        <v>17</v>
      </c>
      <c r="D185" s="11" t="s">
        <v>18</v>
      </c>
      <c r="E185" s="12" t="s">
        <v>185</v>
      </c>
      <c r="F185" s="12" t="s">
        <v>186</v>
      </c>
      <c r="G185" s="12" t="s">
        <v>21</v>
      </c>
      <c r="H185" s="11" t="s">
        <v>63</v>
      </c>
      <c r="I185" s="13" t="s">
        <v>663</v>
      </c>
      <c r="J185" s="14" t="str">
        <f>HYPERLINK("https://www.boe.es/gazeta/dias/1839/01/15/pdfs/GMD-1839-1522.pdf#page=4","Abrir facsímil")</f>
        <v>Abrir facsímil</v>
      </c>
      <c r="K185" s="12" t="s">
        <v>65</v>
      </c>
    </row>
    <row r="186" spans="1:11" ht="40.049999999999997" customHeight="1" x14ac:dyDescent="0.25">
      <c r="A186" s="11" t="s">
        <v>656</v>
      </c>
      <c r="B186" s="11" t="s">
        <v>657</v>
      </c>
      <c r="C186" s="11" t="s">
        <v>17</v>
      </c>
      <c r="D186" s="11" t="s">
        <v>18</v>
      </c>
      <c r="E186" s="12" t="s">
        <v>664</v>
      </c>
      <c r="F186" s="12" t="s">
        <v>665</v>
      </c>
      <c r="G186" s="12" t="s">
        <v>29</v>
      </c>
      <c r="H186" s="11" t="s">
        <v>63</v>
      </c>
      <c r="I186" s="13" t="s">
        <v>666</v>
      </c>
      <c r="J186" s="14" t="str">
        <f>HYPERLINK("https://www.boe.es/gazeta/dias/1839/01/24/pdfs/GMD-1839-1531.pdf#page=1","Abrir facsímil")</f>
        <v>Abrir facsímil</v>
      </c>
      <c r="K186" s="12" t="s">
        <v>65</v>
      </c>
    </row>
    <row r="187" spans="1:11" ht="40.049999999999997" customHeight="1" x14ac:dyDescent="0.25">
      <c r="A187" s="11" t="s">
        <v>656</v>
      </c>
      <c r="B187" s="11" t="s">
        <v>657</v>
      </c>
      <c r="C187" s="11" t="s">
        <v>17</v>
      </c>
      <c r="D187" s="11" t="s">
        <v>18</v>
      </c>
      <c r="E187" s="12" t="s">
        <v>111</v>
      </c>
      <c r="F187" s="12" t="s">
        <v>112</v>
      </c>
      <c r="G187" s="12" t="s">
        <v>29</v>
      </c>
      <c r="H187" s="11" t="s">
        <v>63</v>
      </c>
      <c r="I187" s="13" t="s">
        <v>667</v>
      </c>
      <c r="J187" s="14" t="str">
        <f>HYPERLINK("https://www.boe.es/gazeta/dias/1839/07/25/pdfs/GMD-1839-1714.pdf#page=1","Abrir facsímil")</f>
        <v>Abrir facsímil</v>
      </c>
      <c r="K187" s="12" t="s">
        <v>65</v>
      </c>
    </row>
    <row r="188" spans="1:11" ht="40.049999999999997" customHeight="1" x14ac:dyDescent="0.25">
      <c r="A188" s="11" t="s">
        <v>656</v>
      </c>
      <c r="B188" s="11" t="s">
        <v>657</v>
      </c>
      <c r="C188" s="11" t="s">
        <v>59</v>
      </c>
      <c r="D188" s="11" t="s">
        <v>60</v>
      </c>
      <c r="E188" s="12" t="s">
        <v>668</v>
      </c>
      <c r="F188" s="12" t="s">
        <v>669</v>
      </c>
      <c r="G188" s="12" t="s">
        <v>29</v>
      </c>
      <c r="H188" s="11" t="s">
        <v>63</v>
      </c>
      <c r="I188" s="13" t="s">
        <v>670</v>
      </c>
      <c r="J188" s="14" t="str">
        <f>HYPERLINK("https://www.boe.es/gazeta/dias/1839/03/28/pdfs/GMD-1839-1594.pdf#page=1","Abrir facsímil")</f>
        <v>Abrir facsímil</v>
      </c>
      <c r="K188" s="12" t="s">
        <v>65</v>
      </c>
    </row>
    <row r="189" spans="1:11" ht="40.049999999999997" customHeight="1" x14ac:dyDescent="0.25">
      <c r="A189" s="11" t="s">
        <v>656</v>
      </c>
      <c r="B189" s="11" t="s">
        <v>657</v>
      </c>
      <c r="C189" s="11" t="s">
        <v>17</v>
      </c>
      <c r="D189" s="11" t="s">
        <v>18</v>
      </c>
      <c r="E189" s="12" t="s">
        <v>653</v>
      </c>
      <c r="F189" s="12" t="s">
        <v>654</v>
      </c>
      <c r="G189" s="12" t="s">
        <v>29</v>
      </c>
      <c r="H189" s="11" t="s">
        <v>63</v>
      </c>
      <c r="I189" s="13" t="s">
        <v>671</v>
      </c>
      <c r="J189" s="14" t="str">
        <f>HYPERLINK("https://www.boe.es/gazeta/dias/1839/10/31/pdfs/GMD-1839-1817.pdf#page=1","Abrir facsímil")</f>
        <v>Abrir facsímil</v>
      </c>
      <c r="K189" s="12" t="s">
        <v>65</v>
      </c>
    </row>
    <row r="190" spans="1:11" ht="40.049999999999997" customHeight="1" x14ac:dyDescent="0.25">
      <c r="A190" s="11" t="s">
        <v>672</v>
      </c>
      <c r="B190" s="11" t="s">
        <v>673</v>
      </c>
      <c r="C190" s="11" t="s">
        <v>80</v>
      </c>
      <c r="D190" s="11" t="s">
        <v>18</v>
      </c>
      <c r="E190" s="12" t="s">
        <v>462</v>
      </c>
      <c r="F190" s="12" t="s">
        <v>463</v>
      </c>
      <c r="G190" s="12" t="s">
        <v>21</v>
      </c>
      <c r="H190" s="11" t="s">
        <v>63</v>
      </c>
      <c r="I190" s="13" t="s">
        <v>674</v>
      </c>
      <c r="J190" s="14" t="str">
        <f>HYPERLINK("https://www.boe.es/gazeta/dias/1839/06/19/pdfs/GMD-1839-1677.pdf#page=4","Abrir facsímil")</f>
        <v>Abrir facsímil</v>
      </c>
      <c r="K190" s="12" t="s">
        <v>65</v>
      </c>
    </row>
    <row r="191" spans="1:11" ht="40.049999999999997" customHeight="1" x14ac:dyDescent="0.25">
      <c r="A191" s="11" t="s">
        <v>675</v>
      </c>
      <c r="B191" s="11" t="s">
        <v>676</v>
      </c>
      <c r="C191" s="11" t="s">
        <v>17</v>
      </c>
      <c r="D191" s="11" t="s">
        <v>18</v>
      </c>
      <c r="E191" s="12" t="s">
        <v>677</v>
      </c>
      <c r="F191" s="12" t="s">
        <v>678</v>
      </c>
      <c r="G191" s="12" t="s">
        <v>21</v>
      </c>
      <c r="H191" s="11" t="s">
        <v>63</v>
      </c>
      <c r="I191" s="13" t="s">
        <v>679</v>
      </c>
      <c r="J191" s="14" t="str">
        <f>HYPERLINK("https://www.boe.es/gazeta/dias/1839/04/28/pdfs/GMD-1839-1625.pdf#page=4","Abrir facsímil")</f>
        <v>Abrir facsímil</v>
      </c>
      <c r="K191" s="12" t="s">
        <v>65</v>
      </c>
    </row>
    <row r="192" spans="1:11" ht="40.049999999999997" customHeight="1" x14ac:dyDescent="0.25">
      <c r="A192" s="11" t="s">
        <v>680</v>
      </c>
      <c r="B192" s="11" t="s">
        <v>681</v>
      </c>
      <c r="C192" s="11" t="s">
        <v>17</v>
      </c>
      <c r="D192" s="11" t="s">
        <v>43</v>
      </c>
      <c r="E192" s="12" t="s">
        <v>544</v>
      </c>
      <c r="F192" s="12" t="s">
        <v>545</v>
      </c>
      <c r="G192" s="12" t="s">
        <v>40</v>
      </c>
      <c r="H192" s="11" t="s">
        <v>63</v>
      </c>
      <c r="I192" s="13" t="s">
        <v>682</v>
      </c>
      <c r="J192" s="14" t="str">
        <f>HYPERLINK("https://www.boe.es/gazeta/dias/1839/11/11/pdfs/GMD-1839-1828.pdf#page=2","Abrir facsímil")</f>
        <v>Abrir facsímil</v>
      </c>
      <c r="K192" s="12" t="s">
        <v>65</v>
      </c>
    </row>
    <row r="193" spans="1:11" ht="40.049999999999997" customHeight="1" x14ac:dyDescent="0.25">
      <c r="A193" s="11" t="s">
        <v>683</v>
      </c>
      <c r="B193" s="11" t="s">
        <v>684</v>
      </c>
      <c r="C193" s="11" t="s">
        <v>17</v>
      </c>
      <c r="D193" s="11" t="s">
        <v>18</v>
      </c>
      <c r="E193" s="12" t="s">
        <v>685</v>
      </c>
      <c r="F193" s="12" t="s">
        <v>686</v>
      </c>
      <c r="G193" s="12" t="s">
        <v>21</v>
      </c>
      <c r="H193" s="11" t="s">
        <v>63</v>
      </c>
      <c r="I193" s="13" t="s">
        <v>687</v>
      </c>
      <c r="J193" s="14" t="str">
        <f>HYPERLINK("https://www.boe.es/gazeta/dias/1839/06/18/pdfs/GMD-1839-1676.pdf#page=4","Abrir facsímil")</f>
        <v>Abrir facsímil</v>
      </c>
      <c r="K193" s="12" t="s">
        <v>65</v>
      </c>
    </row>
    <row r="194" spans="1:11" ht="40.049999999999997" customHeight="1" x14ac:dyDescent="0.25">
      <c r="A194" s="11" t="s">
        <v>688</v>
      </c>
      <c r="B194" s="11" t="s">
        <v>689</v>
      </c>
      <c r="C194" s="11" t="s">
        <v>17</v>
      </c>
      <c r="D194" s="11" t="s">
        <v>18</v>
      </c>
      <c r="E194" s="12" t="s">
        <v>690</v>
      </c>
      <c r="F194" s="12" t="s">
        <v>691</v>
      </c>
      <c r="G194" s="12" t="s">
        <v>46</v>
      </c>
      <c r="H194" s="11" t="s">
        <v>63</v>
      </c>
      <c r="I194" s="13" t="s">
        <v>692</v>
      </c>
      <c r="J194" s="14" t="str">
        <f>HYPERLINK("https://www.boe.es/gazeta/dias/1839/12/08/pdfs/GMD-1839-1855.pdf#page=3","Abrir facsímil")</f>
        <v>Abrir facsímil</v>
      </c>
      <c r="K194" s="12" t="s">
        <v>65</v>
      </c>
    </row>
    <row r="195" spans="1:11" ht="40.049999999999997" customHeight="1" x14ac:dyDescent="0.25">
      <c r="A195" s="11" t="s">
        <v>693</v>
      </c>
      <c r="B195" s="11" t="s">
        <v>694</v>
      </c>
      <c r="C195" s="11" t="s">
        <v>17</v>
      </c>
      <c r="D195" s="11" t="s">
        <v>18</v>
      </c>
      <c r="E195" s="12" t="s">
        <v>695</v>
      </c>
      <c r="F195" s="12" t="s">
        <v>696</v>
      </c>
      <c r="G195" s="12" t="s">
        <v>21</v>
      </c>
      <c r="H195" s="11" t="s">
        <v>63</v>
      </c>
      <c r="I195" s="13" t="s">
        <v>697</v>
      </c>
      <c r="J195" s="14" t="str">
        <f>HYPERLINK("https://www.boe.es/gazeta/dias/1839/12/19/pdfs/GMD-1839-1866.pdf#page=4","Abrir facsímil")</f>
        <v>Abrir facsímil</v>
      </c>
      <c r="K195" s="12" t="s">
        <v>65</v>
      </c>
    </row>
    <row r="196" spans="1:11" ht="40.049999999999997" customHeight="1" x14ac:dyDescent="0.25">
      <c r="A196" s="11" t="s">
        <v>698</v>
      </c>
      <c r="B196" s="11" t="s">
        <v>699</v>
      </c>
      <c r="C196" s="11" t="s">
        <v>17</v>
      </c>
      <c r="D196" s="11" t="s">
        <v>18</v>
      </c>
      <c r="E196" s="12" t="s">
        <v>700</v>
      </c>
      <c r="F196" s="12" t="s">
        <v>701</v>
      </c>
      <c r="G196" s="12" t="s">
        <v>40</v>
      </c>
      <c r="H196" s="11" t="s">
        <v>63</v>
      </c>
      <c r="I196" s="13" t="s">
        <v>702</v>
      </c>
      <c r="J196" s="14" t="str">
        <f>HYPERLINK("https://www.boe.es/gazeta/dias/1839/09/01/pdfs/GMD-1839-1753.pdf#page=2","Abrir facsímil")</f>
        <v>Abrir facsímil</v>
      </c>
      <c r="K196" s="12" t="s">
        <v>65</v>
      </c>
    </row>
    <row r="197" spans="1:11" ht="40.049999999999997" customHeight="1" x14ac:dyDescent="0.25">
      <c r="A197" s="11" t="s">
        <v>703</v>
      </c>
      <c r="B197" s="11" t="s">
        <v>703</v>
      </c>
      <c r="C197" s="11" t="s">
        <v>59</v>
      </c>
      <c r="D197" s="11" t="s">
        <v>60</v>
      </c>
      <c r="E197" s="12" t="s">
        <v>704</v>
      </c>
      <c r="F197" s="12" t="s">
        <v>705</v>
      </c>
      <c r="G197" s="12" t="s">
        <v>29</v>
      </c>
      <c r="H197" s="11" t="s">
        <v>63</v>
      </c>
      <c r="I197" s="13" t="s">
        <v>706</v>
      </c>
      <c r="J197" s="14" t="str">
        <f>HYPERLINK("https://www.boe.es/gazeta/dias/1839/03/02/pdfs/GMD-1839-1568.pdf#page=1","Abrir facsímil")</f>
        <v>Abrir facsímil</v>
      </c>
      <c r="K197" s="12" t="s">
        <v>65</v>
      </c>
    </row>
    <row r="198" spans="1:11" ht="40.049999999999997" customHeight="1" x14ac:dyDescent="0.25">
      <c r="A198" s="11" t="s">
        <v>707</v>
      </c>
      <c r="B198" s="11" t="s">
        <v>708</v>
      </c>
      <c r="C198" s="11" t="s">
        <v>17</v>
      </c>
      <c r="D198" s="11" t="s">
        <v>18</v>
      </c>
      <c r="E198" s="12" t="s">
        <v>258</v>
      </c>
      <c r="F198" s="12" t="s">
        <v>259</v>
      </c>
      <c r="G198" s="12" t="s">
        <v>46</v>
      </c>
      <c r="H198" s="11" t="s">
        <v>22</v>
      </c>
      <c r="I198" s="13" t="s">
        <v>709</v>
      </c>
      <c r="J198" s="14" t="str">
        <f>HYPERLINK("https://www.boe.es/gazeta/dias/1839/01/02/pdfs/GMD-1839-1509.pdf#page=3","Abrir facsímil")</f>
        <v>Abrir facsímil</v>
      </c>
      <c r="K198" s="12" t="s">
        <v>24</v>
      </c>
    </row>
    <row r="199" spans="1:11" ht="40.049999999999997" customHeight="1" x14ac:dyDescent="0.25">
      <c r="A199" s="11" t="s">
        <v>710</v>
      </c>
      <c r="B199" s="11" t="s">
        <v>710</v>
      </c>
      <c r="C199" s="11" t="s">
        <v>59</v>
      </c>
      <c r="D199" s="11" t="s">
        <v>60</v>
      </c>
      <c r="E199" s="12" t="s">
        <v>132</v>
      </c>
      <c r="F199" s="12" t="s">
        <v>133</v>
      </c>
      <c r="G199" s="12" t="s">
        <v>46</v>
      </c>
      <c r="H199" s="11" t="s">
        <v>63</v>
      </c>
      <c r="I199" s="13" t="s">
        <v>711</v>
      </c>
      <c r="J199" s="14" t="str">
        <f>HYPERLINK("https://www.boe.es/gazeta/dias/1839/08/02/pdfs/GMD-1839-1722.pdf#page=3","Abrir facsímil")</f>
        <v>Abrir facsímil</v>
      </c>
      <c r="K199" s="12" t="s">
        <v>65</v>
      </c>
    </row>
    <row r="200" spans="1:11" ht="40.049999999999997" customHeight="1" x14ac:dyDescent="0.25">
      <c r="A200" s="11" t="s">
        <v>710</v>
      </c>
      <c r="B200" s="11" t="s">
        <v>710</v>
      </c>
      <c r="C200" s="11" t="s">
        <v>17</v>
      </c>
      <c r="D200" s="11" t="s">
        <v>18</v>
      </c>
      <c r="E200" s="12" t="s">
        <v>324</v>
      </c>
      <c r="F200" s="12" t="s">
        <v>325</v>
      </c>
      <c r="G200" s="12" t="s">
        <v>21</v>
      </c>
      <c r="H200" s="11" t="s">
        <v>63</v>
      </c>
      <c r="I200" s="13" t="s">
        <v>712</v>
      </c>
      <c r="J200" s="14" t="str">
        <f>HYPERLINK("https://www.boe.es/gazeta/dias/1839/02/04/pdfs/GMD-1839-1542.pdf#page=4","Abrir facsímil")</f>
        <v>Abrir facsímil</v>
      </c>
      <c r="K200" s="12" t="s">
        <v>65</v>
      </c>
    </row>
    <row r="201" spans="1:11" ht="40.049999999999997" customHeight="1" x14ac:dyDescent="0.25">
      <c r="A201" s="11" t="s">
        <v>710</v>
      </c>
      <c r="B201" s="11" t="s">
        <v>710</v>
      </c>
      <c r="C201" s="11" t="s">
        <v>17</v>
      </c>
      <c r="D201" s="11" t="s">
        <v>18</v>
      </c>
      <c r="E201" s="12" t="s">
        <v>713</v>
      </c>
      <c r="F201" s="12" t="s">
        <v>714</v>
      </c>
      <c r="G201" s="12" t="s">
        <v>40</v>
      </c>
      <c r="H201" s="11" t="s">
        <v>63</v>
      </c>
      <c r="I201" s="13" t="s">
        <v>715</v>
      </c>
      <c r="J201" s="14" t="str">
        <f>HYPERLINK("https://www.boe.es/gazeta/dias/1839/12/18/pdfs/GMD-1839-1865.pdf#page=2","Abrir facsímil")</f>
        <v>Abrir facsímil</v>
      </c>
      <c r="K201" s="12" t="s">
        <v>65</v>
      </c>
    </row>
    <row r="202" spans="1:11" ht="40.049999999999997" customHeight="1" x14ac:dyDescent="0.25">
      <c r="A202" s="11" t="s">
        <v>710</v>
      </c>
      <c r="B202" s="11" t="s">
        <v>710</v>
      </c>
      <c r="C202" s="11" t="s">
        <v>59</v>
      </c>
      <c r="D202" s="11" t="s">
        <v>60</v>
      </c>
      <c r="E202" s="12" t="s">
        <v>716</v>
      </c>
      <c r="F202" s="12" t="s">
        <v>717</v>
      </c>
      <c r="G202" s="12" t="s">
        <v>21</v>
      </c>
      <c r="H202" s="11" t="s">
        <v>63</v>
      </c>
      <c r="I202" s="13" t="s">
        <v>718</v>
      </c>
      <c r="J202" s="14" t="str">
        <f>HYPERLINK("https://www.boe.es/gazeta/dias/1839/07/30/pdfs/GMD-1839-1719.pdf#page=4","Abrir facsímil")</f>
        <v>Abrir facsímil</v>
      </c>
      <c r="K202" s="12" t="s">
        <v>65</v>
      </c>
    </row>
    <row r="203" spans="1:11" ht="40.049999999999997" customHeight="1" x14ac:dyDescent="0.25">
      <c r="A203" s="11" t="s">
        <v>719</v>
      </c>
      <c r="B203" s="11" t="s">
        <v>719</v>
      </c>
      <c r="C203" s="11" t="s">
        <v>17</v>
      </c>
      <c r="D203" s="11" t="s">
        <v>18</v>
      </c>
      <c r="E203" s="12" t="s">
        <v>720</v>
      </c>
      <c r="F203" s="12" t="s">
        <v>721</v>
      </c>
      <c r="G203" s="12" t="s">
        <v>29</v>
      </c>
      <c r="H203" s="11" t="s">
        <v>63</v>
      </c>
      <c r="I203" s="13" t="s">
        <v>722</v>
      </c>
      <c r="J203" s="14" t="str">
        <f>HYPERLINK("https://www.boe.es/gazeta/dias/1839/01/14/pdfs/GMD-1839-1521.pdf#page=1","Abrir facsímil")</f>
        <v>Abrir facsímil</v>
      </c>
      <c r="K203" s="12" t="s">
        <v>65</v>
      </c>
    </row>
    <row r="204" spans="1:11" ht="40.049999999999997" customHeight="1" x14ac:dyDescent="0.25">
      <c r="A204" s="11" t="s">
        <v>719</v>
      </c>
      <c r="B204" s="11" t="s">
        <v>719</v>
      </c>
      <c r="C204" s="11" t="s">
        <v>17</v>
      </c>
      <c r="D204" s="11" t="s">
        <v>18</v>
      </c>
      <c r="E204" s="12" t="s">
        <v>723</v>
      </c>
      <c r="F204" s="12" t="s">
        <v>724</v>
      </c>
      <c r="G204" s="12" t="s">
        <v>29</v>
      </c>
      <c r="H204" s="11" t="s">
        <v>63</v>
      </c>
      <c r="I204" s="13" t="s">
        <v>725</v>
      </c>
      <c r="J204" s="14" t="str">
        <f>HYPERLINK("https://www.boe.es/gazeta/dias/1839/09/26/pdfs/GMD-1839-1782.pdf#page=1","Abrir facsímil")</f>
        <v>Abrir facsímil</v>
      </c>
      <c r="K204" s="12" t="s">
        <v>65</v>
      </c>
    </row>
    <row r="205" spans="1:11" ht="40.049999999999997" customHeight="1" x14ac:dyDescent="0.25">
      <c r="A205" s="11" t="s">
        <v>726</v>
      </c>
      <c r="B205" s="11" t="s">
        <v>727</v>
      </c>
      <c r="C205" s="11" t="s">
        <v>17</v>
      </c>
      <c r="D205" s="11" t="s">
        <v>18</v>
      </c>
      <c r="E205" s="12" t="s">
        <v>222</v>
      </c>
      <c r="F205" s="12" t="s">
        <v>223</v>
      </c>
      <c r="G205" s="12" t="s">
        <v>21</v>
      </c>
      <c r="H205" s="11" t="s">
        <v>63</v>
      </c>
      <c r="I205" s="13" t="s">
        <v>728</v>
      </c>
      <c r="J205" s="14" t="str">
        <f>HYPERLINK("https://www.boe.es/gazeta/dias/1839/06/22/pdfs/GMD-1839-1680.pdf#page=4","Abrir facsímil")</f>
        <v>Abrir facsímil</v>
      </c>
      <c r="K205" s="12" t="s">
        <v>65</v>
      </c>
    </row>
    <row r="206" spans="1:11" ht="40.049999999999997" customHeight="1" x14ac:dyDescent="0.25">
      <c r="A206" s="11" t="s">
        <v>729</v>
      </c>
      <c r="B206" s="11" t="s">
        <v>730</v>
      </c>
      <c r="C206" s="11" t="s">
        <v>59</v>
      </c>
      <c r="D206" s="11" t="s">
        <v>60</v>
      </c>
      <c r="E206" s="12" t="s">
        <v>416</v>
      </c>
      <c r="F206" s="12" t="s">
        <v>417</v>
      </c>
      <c r="G206" s="12" t="s">
        <v>29</v>
      </c>
      <c r="H206" s="11" t="s">
        <v>63</v>
      </c>
      <c r="I206" s="13" t="s">
        <v>731</v>
      </c>
      <c r="J206" s="14" t="str">
        <f>HYPERLINK("https://www.boe.es/gazeta/dias/1839/10/24/pdfs/GMD-1839-1810.pdf#page=1","Abrir facsímil")</f>
        <v>Abrir facsímil</v>
      </c>
      <c r="K206" s="12" t="s">
        <v>65</v>
      </c>
    </row>
    <row r="207" spans="1:11" ht="40.049999999999997" customHeight="1" x14ac:dyDescent="0.25">
      <c r="A207" s="11" t="s">
        <v>732</v>
      </c>
      <c r="B207" s="11" t="s">
        <v>732</v>
      </c>
      <c r="C207" s="11" t="s">
        <v>80</v>
      </c>
      <c r="D207" s="11" t="s">
        <v>18</v>
      </c>
      <c r="E207" s="12" t="s">
        <v>346</v>
      </c>
      <c r="F207" s="12" t="s">
        <v>347</v>
      </c>
      <c r="G207" s="12" t="s">
        <v>21</v>
      </c>
      <c r="H207" s="11" t="s">
        <v>63</v>
      </c>
      <c r="I207" s="13" t="s">
        <v>733</v>
      </c>
      <c r="J207" s="14" t="str">
        <f>HYPERLINK("https://www.boe.es/gazeta/dias/1839/03/24/pdfs/GMD-1839-1590.pdf#page=4","Abrir facsímil")</f>
        <v>Abrir facsímil</v>
      </c>
      <c r="K207" s="12" t="s">
        <v>65</v>
      </c>
    </row>
    <row r="208" spans="1:11" ht="40.049999999999997" customHeight="1" x14ac:dyDescent="0.25">
      <c r="A208" s="11" t="s">
        <v>734</v>
      </c>
      <c r="B208" s="11" t="s">
        <v>735</v>
      </c>
      <c r="C208" s="11" t="s">
        <v>17</v>
      </c>
      <c r="D208" s="11" t="s">
        <v>18</v>
      </c>
      <c r="E208" s="12" t="s">
        <v>736</v>
      </c>
      <c r="F208" s="12" t="s">
        <v>737</v>
      </c>
      <c r="G208" s="12" t="s">
        <v>21</v>
      </c>
      <c r="H208" s="11" t="s">
        <v>63</v>
      </c>
      <c r="I208" s="13" t="s">
        <v>738</v>
      </c>
      <c r="J208" s="14" t="str">
        <f>HYPERLINK("https://www.boe.es/gazeta/dias/1839/10/13/pdfs/GMD-1839-1799.pdf#page=4","Abrir facsímil")</f>
        <v>Abrir facsímil</v>
      </c>
      <c r="K208" s="12" t="s">
        <v>65</v>
      </c>
    </row>
    <row r="209" spans="1:11" ht="40.049999999999997" customHeight="1" x14ac:dyDescent="0.25">
      <c r="A209" s="11" t="s">
        <v>739</v>
      </c>
      <c r="B209" s="11" t="s">
        <v>740</v>
      </c>
      <c r="C209" s="11" t="s">
        <v>17</v>
      </c>
      <c r="D209" s="11" t="s">
        <v>18</v>
      </c>
      <c r="E209" s="12" t="s">
        <v>61</v>
      </c>
      <c r="F209" s="12" t="s">
        <v>62</v>
      </c>
      <c r="G209" s="12" t="s">
        <v>21</v>
      </c>
      <c r="H209" s="11" t="s">
        <v>63</v>
      </c>
      <c r="I209" s="13" t="s">
        <v>741</v>
      </c>
      <c r="J209" s="14" t="str">
        <f>HYPERLINK("https://www.boe.es/gazeta/dias/1839/09/10/pdfs/GMD-1839-1763.pdf#page=4","Abrir facsímil")</f>
        <v>Abrir facsímil</v>
      </c>
      <c r="K209" s="12" t="s">
        <v>65</v>
      </c>
    </row>
    <row r="210" spans="1:11" ht="40.049999999999997" customHeight="1" x14ac:dyDescent="0.25">
      <c r="A210" s="11" t="s">
        <v>742</v>
      </c>
      <c r="B210" s="11" t="s">
        <v>743</v>
      </c>
      <c r="C210" s="11" t="s">
        <v>80</v>
      </c>
      <c r="D210" s="11" t="s">
        <v>18</v>
      </c>
      <c r="E210" s="12" t="s">
        <v>744</v>
      </c>
      <c r="F210" s="12" t="s">
        <v>745</v>
      </c>
      <c r="G210" s="12" t="s">
        <v>21</v>
      </c>
      <c r="H210" s="11" t="s">
        <v>63</v>
      </c>
      <c r="I210" s="13" t="s">
        <v>746</v>
      </c>
      <c r="J210" s="14" t="str">
        <f>HYPERLINK("https://www.boe.es/gazeta/dias/1839/12/09/pdfs/GMD-1839-1856.pdf#page=4","Abrir facsímil")</f>
        <v>Abrir facsímil</v>
      </c>
      <c r="K210" s="12" t="s">
        <v>65</v>
      </c>
    </row>
    <row r="211" spans="1:11" ht="40.049999999999997" customHeight="1" x14ac:dyDescent="0.25">
      <c r="A211" s="11" t="s">
        <v>747</v>
      </c>
      <c r="B211" s="11" t="s">
        <v>747</v>
      </c>
      <c r="C211" s="11" t="s">
        <v>101</v>
      </c>
      <c r="D211" s="11" t="s">
        <v>102</v>
      </c>
      <c r="E211" s="12" t="s">
        <v>132</v>
      </c>
      <c r="F211" s="12" t="s">
        <v>133</v>
      </c>
      <c r="G211" s="12" t="s">
        <v>46</v>
      </c>
      <c r="H211" s="11" t="s">
        <v>63</v>
      </c>
      <c r="I211" s="13" t="s">
        <v>748</v>
      </c>
      <c r="J211" s="14" t="str">
        <f>HYPERLINK("https://www.boe.es/gazeta/dias/1839/08/02/pdfs/GMD-1839-1722.pdf#page=3","Abrir facsímil")</f>
        <v>Abrir facsímil</v>
      </c>
      <c r="K211" s="12" t="s">
        <v>65</v>
      </c>
    </row>
    <row r="212" spans="1:11" ht="40.049999999999997" customHeight="1" x14ac:dyDescent="0.25">
      <c r="A212" s="11" t="s">
        <v>749</v>
      </c>
      <c r="B212" s="11" t="s">
        <v>750</v>
      </c>
      <c r="C212" s="11" t="s">
        <v>80</v>
      </c>
      <c r="D212" s="11" t="s">
        <v>18</v>
      </c>
      <c r="E212" s="12" t="s">
        <v>751</v>
      </c>
      <c r="F212" s="12" t="s">
        <v>752</v>
      </c>
      <c r="G212" s="12" t="s">
        <v>21</v>
      </c>
      <c r="H212" s="11" t="s">
        <v>63</v>
      </c>
      <c r="I212" s="13" t="s">
        <v>753</v>
      </c>
      <c r="J212" s="14" t="str">
        <f>HYPERLINK("https://www.boe.es/gazeta/dias/1839/02/05/pdfs/GMD-1839-1543.pdf#page=4","Abrir facsímil")</f>
        <v>Abrir facsímil</v>
      </c>
      <c r="K212" s="12" t="s">
        <v>65</v>
      </c>
    </row>
    <row r="213" spans="1:11" ht="40.049999999999997" customHeight="1" x14ac:dyDescent="0.25">
      <c r="A213" s="11" t="s">
        <v>754</v>
      </c>
      <c r="B213" s="11" t="s">
        <v>755</v>
      </c>
      <c r="C213" s="11" t="s">
        <v>17</v>
      </c>
      <c r="D213" s="11" t="s">
        <v>18</v>
      </c>
      <c r="E213" s="12" t="s">
        <v>756</v>
      </c>
      <c r="F213" s="12" t="s">
        <v>757</v>
      </c>
      <c r="G213" s="12" t="s">
        <v>21</v>
      </c>
      <c r="H213" s="11" t="s">
        <v>63</v>
      </c>
      <c r="I213" s="13" t="s">
        <v>758</v>
      </c>
      <c r="J213" s="14" t="str">
        <f>HYPERLINK("https://www.boe.es/gazeta/dias/1839/12/17/pdfs/GMD-1839-1864.pdf#page=4","Abrir facsímil")</f>
        <v>Abrir facsímil</v>
      </c>
      <c r="K213" s="12" t="s">
        <v>65</v>
      </c>
    </row>
    <row r="214" spans="1:11" ht="40.049999999999997" customHeight="1" x14ac:dyDescent="0.25">
      <c r="A214" s="11" t="s">
        <v>759</v>
      </c>
      <c r="B214" s="11" t="s">
        <v>760</v>
      </c>
      <c r="C214" s="11" t="s">
        <v>137</v>
      </c>
      <c r="D214" s="11" t="s">
        <v>18</v>
      </c>
      <c r="E214" s="12" t="s">
        <v>592</v>
      </c>
      <c r="F214" s="12" t="s">
        <v>593</v>
      </c>
      <c r="G214" s="12" t="s">
        <v>29</v>
      </c>
      <c r="H214" s="11" t="s">
        <v>63</v>
      </c>
      <c r="I214" s="13" t="s">
        <v>761</v>
      </c>
      <c r="J214" s="14" t="str">
        <f>HYPERLINK("https://www.boe.es/gazeta/dias/1839/09/14/pdfs/GMD-1839-1767.pdf#page=1","Abrir facsímil")</f>
        <v>Abrir facsímil</v>
      </c>
      <c r="K214" s="12" t="s">
        <v>65</v>
      </c>
    </row>
    <row r="215" spans="1:11" ht="40.049999999999997" customHeight="1" x14ac:dyDescent="0.25">
      <c r="A215" s="11" t="s">
        <v>762</v>
      </c>
      <c r="B215" s="11" t="s">
        <v>762</v>
      </c>
      <c r="C215" s="11" t="s">
        <v>101</v>
      </c>
      <c r="D215" s="11" t="s">
        <v>43</v>
      </c>
      <c r="E215" s="12" t="s">
        <v>596</v>
      </c>
      <c r="F215" s="12" t="s">
        <v>597</v>
      </c>
      <c r="G215" s="12" t="s">
        <v>21</v>
      </c>
      <c r="H215" s="11" t="s">
        <v>22</v>
      </c>
      <c r="I215" s="13" t="s">
        <v>763</v>
      </c>
      <c r="J215" s="14" t="str">
        <f>HYPERLINK("https://www.boe.es/gazeta/dias/1839/01/23/pdfs/GMD-1839-1530.pdf#page=4","Abrir facsímil")</f>
        <v>Abrir facsímil</v>
      </c>
      <c r="K215" s="12" t="s">
        <v>24</v>
      </c>
    </row>
    <row r="216" spans="1:11" ht="40.049999999999997" customHeight="1" x14ac:dyDescent="0.25">
      <c r="A216" s="11" t="s">
        <v>764</v>
      </c>
      <c r="B216" s="11" t="s">
        <v>764</v>
      </c>
      <c r="C216" s="11" t="s">
        <v>101</v>
      </c>
      <c r="D216" s="11" t="s">
        <v>43</v>
      </c>
      <c r="E216" s="12" t="s">
        <v>254</v>
      </c>
      <c r="F216" s="12" t="s">
        <v>255</v>
      </c>
      <c r="G216" s="12" t="s">
        <v>46</v>
      </c>
      <c r="H216" s="11" t="s">
        <v>22</v>
      </c>
      <c r="I216" s="13" t="s">
        <v>765</v>
      </c>
      <c r="J216" s="14" t="str">
        <f>HYPERLINK("https://www.boe.es/gazeta/dias/1839/09/12/pdfs/GMD-1839-1765.pdf#page=3","Abrir facsímil")</f>
        <v>Abrir facsímil</v>
      </c>
      <c r="K216" s="12" t="s">
        <v>24</v>
      </c>
    </row>
    <row r="217" spans="1:11" ht="40.049999999999997" customHeight="1" x14ac:dyDescent="0.25">
      <c r="A217" s="11" t="s">
        <v>766</v>
      </c>
      <c r="B217" s="11" t="s">
        <v>766</v>
      </c>
      <c r="C217" s="11" t="s">
        <v>17</v>
      </c>
      <c r="D217" s="11" t="s">
        <v>18</v>
      </c>
      <c r="E217" s="12" t="s">
        <v>574</v>
      </c>
      <c r="F217" s="12" t="s">
        <v>575</v>
      </c>
      <c r="G217" s="12" t="s">
        <v>29</v>
      </c>
      <c r="H217" s="11" t="s">
        <v>22</v>
      </c>
      <c r="I217" s="13" t="s">
        <v>767</v>
      </c>
      <c r="J217" s="14" t="str">
        <f>HYPERLINK("https://www.boe.es/gazeta/dias/1839/09/28/pdfs/GMD-1839-1784.pdf#page=1","Abrir facsímil")</f>
        <v>Abrir facsímil</v>
      </c>
      <c r="K217" s="12" t="s">
        <v>24</v>
      </c>
    </row>
    <row r="218" spans="1:11" ht="40.049999999999997" customHeight="1" x14ac:dyDescent="0.25">
      <c r="A218" s="11" t="s">
        <v>768</v>
      </c>
      <c r="B218" s="11" t="s">
        <v>769</v>
      </c>
      <c r="C218" s="11" t="s">
        <v>17</v>
      </c>
      <c r="D218" s="11" t="s">
        <v>18</v>
      </c>
      <c r="E218" s="12" t="s">
        <v>770</v>
      </c>
      <c r="F218" s="12" t="s">
        <v>771</v>
      </c>
      <c r="G218" s="12" t="s">
        <v>21</v>
      </c>
      <c r="H218" s="11" t="s">
        <v>63</v>
      </c>
      <c r="I218" s="13" t="s">
        <v>772</v>
      </c>
      <c r="J218" s="14" t="str">
        <f>HYPERLINK("https://www.boe.es/gazeta/dias/1839/12/05/pdfs/GMD-1839-1852.pdf#page=4","Abrir facsímil")</f>
        <v>Abrir facsímil</v>
      </c>
      <c r="K218" s="12" t="s">
        <v>65</v>
      </c>
    </row>
    <row r="219" spans="1:11" ht="40.049999999999997" customHeight="1" x14ac:dyDescent="0.25">
      <c r="A219" s="11" t="s">
        <v>773</v>
      </c>
      <c r="B219" s="11" t="s">
        <v>774</v>
      </c>
      <c r="C219" s="11" t="s">
        <v>59</v>
      </c>
      <c r="D219" s="11" t="s">
        <v>60</v>
      </c>
      <c r="E219" s="12" t="s">
        <v>775</v>
      </c>
      <c r="F219" s="12" t="s">
        <v>776</v>
      </c>
      <c r="G219" s="12" t="s">
        <v>29</v>
      </c>
      <c r="H219" s="11" t="s">
        <v>63</v>
      </c>
      <c r="I219" s="13" t="s">
        <v>777</v>
      </c>
      <c r="J219" s="14" t="str">
        <f>HYPERLINK("https://www.boe.es/gazeta/dias/1839/02/25/pdfs/GMD-1839-1563.pdf#page=1","Abrir facsímil")</f>
        <v>Abrir facsímil</v>
      </c>
      <c r="K219" s="12" t="s">
        <v>65</v>
      </c>
    </row>
    <row r="220" spans="1:11" ht="40.049999999999997" customHeight="1" x14ac:dyDescent="0.25">
      <c r="A220" s="11" t="s">
        <v>778</v>
      </c>
      <c r="B220" s="11" t="s">
        <v>778</v>
      </c>
      <c r="C220" s="11" t="s">
        <v>17</v>
      </c>
      <c r="D220" s="11" t="s">
        <v>18</v>
      </c>
      <c r="E220" s="12" t="s">
        <v>779</v>
      </c>
      <c r="F220" s="12" t="s">
        <v>780</v>
      </c>
      <c r="G220" s="12" t="s">
        <v>40</v>
      </c>
      <c r="H220" s="11" t="s">
        <v>63</v>
      </c>
      <c r="I220" s="13" t="s">
        <v>781</v>
      </c>
      <c r="J220" s="14" t="str">
        <f>HYPERLINK("https://www.boe.es/gazeta/dias/1839/02/03/pdfs/GMD-1839-1541.pdf#page=2","Abrir facsímil")</f>
        <v>Abrir facsímil</v>
      </c>
      <c r="K220" s="12" t="s">
        <v>65</v>
      </c>
    </row>
    <row r="221" spans="1:11" ht="40.049999999999997" customHeight="1" x14ac:dyDescent="0.25">
      <c r="A221" s="11" t="s">
        <v>778</v>
      </c>
      <c r="B221" s="11" t="s">
        <v>778</v>
      </c>
      <c r="C221" s="11" t="s">
        <v>17</v>
      </c>
      <c r="D221" s="11" t="s">
        <v>18</v>
      </c>
      <c r="E221" s="12" t="s">
        <v>782</v>
      </c>
      <c r="F221" s="12" t="s">
        <v>783</v>
      </c>
      <c r="G221" s="12" t="s">
        <v>46</v>
      </c>
      <c r="H221" s="11" t="s">
        <v>63</v>
      </c>
      <c r="I221" s="13" t="s">
        <v>784</v>
      </c>
      <c r="J221" s="14" t="str">
        <f>HYPERLINK("https://www.boe.es/gazeta/dias/1839/05/09/pdfs/GMD-1839-1636.pdf#page=3","Abrir facsímil")</f>
        <v>Abrir facsímil</v>
      </c>
      <c r="K221" s="12" t="s">
        <v>65</v>
      </c>
    </row>
    <row r="222" spans="1:11" ht="40.049999999999997" customHeight="1" x14ac:dyDescent="0.25">
      <c r="A222" s="11" t="s">
        <v>778</v>
      </c>
      <c r="B222" s="11" t="s">
        <v>778</v>
      </c>
      <c r="C222" s="11" t="s">
        <v>17</v>
      </c>
      <c r="D222" s="11" t="s">
        <v>18</v>
      </c>
      <c r="E222" s="12" t="s">
        <v>785</v>
      </c>
      <c r="F222" s="12" t="s">
        <v>786</v>
      </c>
      <c r="G222" s="12" t="s">
        <v>21</v>
      </c>
      <c r="H222" s="11" t="s">
        <v>63</v>
      </c>
      <c r="I222" s="13" t="s">
        <v>787</v>
      </c>
      <c r="J222" s="14" t="str">
        <f>HYPERLINK("https://www.boe.es/gazeta/dias/1839/07/13/pdfs/GMD-1839-1701.pdf#page=4","Abrir facsímil")</f>
        <v>Abrir facsímil</v>
      </c>
      <c r="K222" s="12" t="s">
        <v>65</v>
      </c>
    </row>
    <row r="223" spans="1:11" ht="40.049999999999997" customHeight="1" x14ac:dyDescent="0.25">
      <c r="A223" s="11" t="s">
        <v>788</v>
      </c>
      <c r="B223" s="11" t="s">
        <v>789</v>
      </c>
      <c r="C223" s="11" t="s">
        <v>17</v>
      </c>
      <c r="D223" s="11" t="s">
        <v>18</v>
      </c>
      <c r="E223" s="12" t="s">
        <v>779</v>
      </c>
      <c r="F223" s="12" t="s">
        <v>780</v>
      </c>
      <c r="G223" s="12" t="s">
        <v>40</v>
      </c>
      <c r="H223" s="11" t="s">
        <v>63</v>
      </c>
      <c r="I223" s="13" t="s">
        <v>790</v>
      </c>
      <c r="J223" s="14" t="str">
        <f>HYPERLINK("https://www.boe.es/gazeta/dias/1839/02/03/pdfs/GMD-1839-1541.pdf#page=2","Abrir facsímil")</f>
        <v>Abrir facsímil</v>
      </c>
      <c r="K223" s="12" t="s">
        <v>65</v>
      </c>
    </row>
    <row r="224" spans="1:11" ht="40.049999999999997" customHeight="1" x14ac:dyDescent="0.25">
      <c r="A224" s="11" t="s">
        <v>791</v>
      </c>
      <c r="B224" s="11" t="s">
        <v>791</v>
      </c>
      <c r="C224" s="11" t="s">
        <v>17</v>
      </c>
      <c r="D224" s="11" t="s">
        <v>18</v>
      </c>
      <c r="E224" s="12" t="s">
        <v>405</v>
      </c>
      <c r="F224" s="12" t="s">
        <v>406</v>
      </c>
      <c r="G224" s="12" t="s">
        <v>21</v>
      </c>
      <c r="H224" s="11" t="s">
        <v>63</v>
      </c>
      <c r="I224" s="13" t="s">
        <v>792</v>
      </c>
      <c r="J224" s="14" t="str">
        <f>HYPERLINK("https://www.boe.es/gazeta/dias/1839/03/25/pdfs/GMD-1839-1591.pdf#page=4","Abrir facsímil")</f>
        <v>Abrir facsímil</v>
      </c>
      <c r="K224" s="12" t="s">
        <v>65</v>
      </c>
    </row>
    <row r="225" spans="1:11" ht="40.049999999999997" customHeight="1" x14ac:dyDescent="0.25">
      <c r="A225" s="11" t="s">
        <v>793</v>
      </c>
      <c r="B225" s="11" t="s">
        <v>793</v>
      </c>
      <c r="C225" s="11" t="s">
        <v>101</v>
      </c>
      <c r="D225" s="11" t="s">
        <v>43</v>
      </c>
      <c r="E225" s="12" t="s">
        <v>794</v>
      </c>
      <c r="F225" s="12" t="s">
        <v>795</v>
      </c>
      <c r="G225" s="12" t="s">
        <v>40</v>
      </c>
      <c r="H225" s="11" t="s">
        <v>22</v>
      </c>
      <c r="I225" s="13" t="s">
        <v>796</v>
      </c>
      <c r="J225" s="14" t="str">
        <f>HYPERLINK("https://www.boe.es/gazeta/dias/1839/01/22/pdfs/GMD-1839-1529.pdf#page=2","Abrir facsímil")</f>
        <v>Abrir facsímil</v>
      </c>
      <c r="K225" s="12" t="s">
        <v>24</v>
      </c>
    </row>
    <row r="226" spans="1:11" ht="40.049999999999997" customHeight="1" x14ac:dyDescent="0.25">
      <c r="A226" s="11" t="s">
        <v>797</v>
      </c>
      <c r="B226" s="11" t="s">
        <v>797</v>
      </c>
      <c r="C226" s="11" t="s">
        <v>59</v>
      </c>
      <c r="D226" s="11" t="s">
        <v>60</v>
      </c>
      <c r="E226" s="12" t="s">
        <v>798</v>
      </c>
      <c r="F226" s="12" t="s">
        <v>799</v>
      </c>
      <c r="G226" s="12" t="s">
        <v>29</v>
      </c>
      <c r="H226" s="11" t="s">
        <v>63</v>
      </c>
      <c r="I226" s="13" t="s">
        <v>800</v>
      </c>
      <c r="J226" s="14" t="str">
        <f>HYPERLINK("https://www.boe.es/gazeta/dias/1839/09/03/pdfs/GMD-1839-1755.pdf#page=1","Abrir facsímil")</f>
        <v>Abrir facsímil</v>
      </c>
      <c r="K226" s="12" t="s">
        <v>65</v>
      </c>
    </row>
    <row r="227" spans="1:11" ht="40.049999999999997" customHeight="1" x14ac:dyDescent="0.25">
      <c r="A227" s="11" t="s">
        <v>801</v>
      </c>
      <c r="B227" s="11" t="s">
        <v>801</v>
      </c>
      <c r="C227" s="11" t="s">
        <v>17</v>
      </c>
      <c r="D227" s="11" t="s">
        <v>18</v>
      </c>
      <c r="E227" s="12" t="s">
        <v>239</v>
      </c>
      <c r="F227" s="12" t="s">
        <v>240</v>
      </c>
      <c r="G227" s="12" t="s">
        <v>29</v>
      </c>
      <c r="H227" s="11" t="s">
        <v>22</v>
      </c>
      <c r="I227" s="13" t="s">
        <v>802</v>
      </c>
      <c r="J227" s="14" t="str">
        <f>HYPERLINK("https://www.boe.es/gazeta/dias/1839/09/22/pdfs/GMD-1839-1777.pdf#page=1","Abrir facsímil")</f>
        <v>Abrir facsímil</v>
      </c>
      <c r="K227" s="12" t="s">
        <v>24</v>
      </c>
    </row>
    <row r="228" spans="1:11" ht="40.049999999999997" customHeight="1" x14ac:dyDescent="0.25">
      <c r="A228" s="11" t="s">
        <v>803</v>
      </c>
      <c r="B228" s="11" t="s">
        <v>803</v>
      </c>
      <c r="C228" s="11" t="s">
        <v>137</v>
      </c>
      <c r="D228" s="11" t="s">
        <v>18</v>
      </c>
      <c r="E228" s="12" t="s">
        <v>804</v>
      </c>
      <c r="F228" s="12" t="s">
        <v>805</v>
      </c>
      <c r="G228" s="12" t="s">
        <v>40</v>
      </c>
      <c r="H228" s="11" t="s">
        <v>22</v>
      </c>
      <c r="I228" s="13" t="s">
        <v>806</v>
      </c>
      <c r="J228" s="14" t="str">
        <f>HYPERLINK("https://www.boe.es/gazeta/dias/1839/01/08/pdfs/GMD-1839-1515.pdf#page=2","Abrir facsímil")</f>
        <v>Abrir facsímil</v>
      </c>
      <c r="K228" s="12" t="s">
        <v>24</v>
      </c>
    </row>
    <row r="229" spans="1:11" ht="40.049999999999997" customHeight="1" x14ac:dyDescent="0.25">
      <c r="A229" s="11" t="s">
        <v>807</v>
      </c>
      <c r="B229" s="11" t="s">
        <v>808</v>
      </c>
      <c r="C229" s="11" t="s">
        <v>17</v>
      </c>
      <c r="D229" s="11" t="s">
        <v>18</v>
      </c>
      <c r="E229" s="12" t="s">
        <v>809</v>
      </c>
      <c r="F229" s="12" t="s">
        <v>810</v>
      </c>
      <c r="G229" s="12" t="s">
        <v>21</v>
      </c>
      <c r="H229" s="11" t="s">
        <v>63</v>
      </c>
      <c r="I229" s="13" t="s">
        <v>811</v>
      </c>
      <c r="J229" s="14" t="str">
        <f>HYPERLINK("https://www.boe.es/gazeta/dias/1839/02/11/pdfs/GMD-1839-1549.pdf#page=4","Abrir facsímil")</f>
        <v>Abrir facsímil</v>
      </c>
      <c r="K229" s="12" t="s">
        <v>65</v>
      </c>
    </row>
    <row r="230" spans="1:11" ht="40.049999999999997" customHeight="1" x14ac:dyDescent="0.25">
      <c r="A230" s="11" t="s">
        <v>812</v>
      </c>
      <c r="B230" s="11" t="s">
        <v>812</v>
      </c>
      <c r="C230" s="11" t="s">
        <v>137</v>
      </c>
      <c r="D230" s="11" t="s">
        <v>18</v>
      </c>
      <c r="E230" s="12" t="s">
        <v>736</v>
      </c>
      <c r="F230" s="12" t="s">
        <v>737</v>
      </c>
      <c r="G230" s="12" t="s">
        <v>40</v>
      </c>
      <c r="H230" s="11" t="s">
        <v>22</v>
      </c>
      <c r="I230" s="13" t="s">
        <v>813</v>
      </c>
      <c r="J230" s="14" t="str">
        <f>HYPERLINK("https://www.boe.es/gazeta/dias/1839/10/13/pdfs/GMD-1839-1799.pdf#page=2","Abrir facsímil")</f>
        <v>Abrir facsímil</v>
      </c>
      <c r="K230" s="12" t="s">
        <v>24</v>
      </c>
    </row>
    <row r="231" spans="1:11" ht="40.049999999999997" customHeight="1" x14ac:dyDescent="0.25">
      <c r="A231" s="11" t="s">
        <v>812</v>
      </c>
      <c r="B231" s="11" t="s">
        <v>812</v>
      </c>
      <c r="C231" s="11" t="s">
        <v>101</v>
      </c>
      <c r="D231" s="11" t="s">
        <v>43</v>
      </c>
      <c r="E231" s="12" t="s">
        <v>723</v>
      </c>
      <c r="F231" s="12" t="s">
        <v>724</v>
      </c>
      <c r="G231" s="12" t="s">
        <v>46</v>
      </c>
      <c r="H231" s="11" t="s">
        <v>22</v>
      </c>
      <c r="I231" s="13" t="s">
        <v>814</v>
      </c>
      <c r="J231" s="14" t="str">
        <f>HYPERLINK("https://www.boe.es/gazeta/dias/1839/09/26/pdfs/GMD-1839-1782.pdf#page=3","Abrir facsímil")</f>
        <v>Abrir facsímil</v>
      </c>
      <c r="K231" s="12" t="s">
        <v>24</v>
      </c>
    </row>
    <row r="232" spans="1:11" ht="40.049999999999997" customHeight="1" x14ac:dyDescent="0.25">
      <c r="A232" s="11" t="s">
        <v>815</v>
      </c>
      <c r="B232" s="11" t="s">
        <v>816</v>
      </c>
      <c r="C232" s="11" t="s">
        <v>101</v>
      </c>
      <c r="D232" s="11" t="s">
        <v>102</v>
      </c>
      <c r="E232" s="12" t="s">
        <v>817</v>
      </c>
      <c r="F232" s="12" t="s">
        <v>818</v>
      </c>
      <c r="G232" s="12" t="s">
        <v>21</v>
      </c>
      <c r="H232" s="11" t="s">
        <v>63</v>
      </c>
      <c r="I232" s="13" t="s">
        <v>819</v>
      </c>
      <c r="J232" s="14" t="str">
        <f>HYPERLINK("https://www.boe.es/gazeta/dias/1839/05/28/pdfs/GMD-1839-1655.pdf#page=4","Abrir facsímil")</f>
        <v>Abrir facsímil</v>
      </c>
      <c r="K232" s="12" t="s">
        <v>65</v>
      </c>
    </row>
    <row r="233" spans="1:11" ht="40.049999999999997" customHeight="1" x14ac:dyDescent="0.25">
      <c r="A233" s="11" t="s">
        <v>820</v>
      </c>
      <c r="B233" s="11" t="s">
        <v>820</v>
      </c>
      <c r="C233" s="11" t="s">
        <v>137</v>
      </c>
      <c r="D233" s="11" t="s">
        <v>18</v>
      </c>
      <c r="E233" s="12" t="s">
        <v>821</v>
      </c>
      <c r="F233" s="12" t="s">
        <v>822</v>
      </c>
      <c r="G233" s="12" t="s">
        <v>46</v>
      </c>
      <c r="H233" s="11" t="s">
        <v>63</v>
      </c>
      <c r="I233" s="13" t="s">
        <v>823</v>
      </c>
      <c r="J233" s="14" t="str">
        <f>HYPERLINK("https://www.boe.es/gazeta/dias/1839/09/20/pdfs/GMD-1839-1775.pdf#page=3","Abrir facsímil")</f>
        <v>Abrir facsímil</v>
      </c>
      <c r="K233" s="12" t="s">
        <v>65</v>
      </c>
    </row>
    <row r="234" spans="1:11" ht="40.049999999999997" customHeight="1" x14ac:dyDescent="0.25">
      <c r="A234" s="11" t="s">
        <v>824</v>
      </c>
      <c r="B234" s="11" t="s">
        <v>824</v>
      </c>
      <c r="C234" s="11" t="s">
        <v>80</v>
      </c>
      <c r="D234" s="11" t="s">
        <v>18</v>
      </c>
      <c r="E234" s="12" t="s">
        <v>798</v>
      </c>
      <c r="F234" s="12" t="s">
        <v>799</v>
      </c>
      <c r="G234" s="12" t="s">
        <v>40</v>
      </c>
      <c r="H234" s="11" t="s">
        <v>63</v>
      </c>
      <c r="I234" s="13" t="s">
        <v>825</v>
      </c>
      <c r="J234" s="14" t="str">
        <f>HYPERLINK("https://www.boe.es/gazeta/dias/1839/09/03/pdfs/GMD-1839-1755.pdf#page=2","Abrir facsímil")</f>
        <v>Abrir facsímil</v>
      </c>
      <c r="K234" s="12" t="s">
        <v>65</v>
      </c>
    </row>
    <row r="235" spans="1:11" ht="40.049999999999997" customHeight="1" x14ac:dyDescent="0.25">
      <c r="A235" s="11" t="s">
        <v>824</v>
      </c>
      <c r="B235" s="11" t="s">
        <v>824</v>
      </c>
      <c r="C235" s="11" t="s">
        <v>17</v>
      </c>
      <c r="D235" s="11" t="s">
        <v>18</v>
      </c>
      <c r="E235" s="12" t="s">
        <v>826</v>
      </c>
      <c r="F235" s="12" t="s">
        <v>827</v>
      </c>
      <c r="G235" s="12" t="s">
        <v>21</v>
      </c>
      <c r="H235" s="11" t="s">
        <v>63</v>
      </c>
      <c r="I235" s="13" t="s">
        <v>828</v>
      </c>
      <c r="J235" s="14" t="str">
        <f>HYPERLINK("https://www.boe.es/gazeta/dias/1839/09/25/pdfs/GMD-1839-1781.pdf#page=4","Abrir facsímil")</f>
        <v>Abrir facsímil</v>
      </c>
      <c r="K235" s="12" t="s">
        <v>65</v>
      </c>
    </row>
    <row r="236" spans="1:11" ht="40.049999999999997" customHeight="1" x14ac:dyDescent="0.25">
      <c r="A236" s="11" t="s">
        <v>829</v>
      </c>
      <c r="B236" s="11" t="s">
        <v>830</v>
      </c>
      <c r="C236" s="11" t="s">
        <v>17</v>
      </c>
      <c r="D236" s="11" t="s">
        <v>18</v>
      </c>
      <c r="E236" s="12" t="s">
        <v>716</v>
      </c>
      <c r="F236" s="12" t="s">
        <v>717</v>
      </c>
      <c r="G236" s="12" t="s">
        <v>29</v>
      </c>
      <c r="H236" s="11" t="s">
        <v>63</v>
      </c>
      <c r="I236" s="13" t="s">
        <v>831</v>
      </c>
      <c r="J236" s="14" t="str">
        <f>HYPERLINK("https://www.boe.es/gazeta/dias/1839/07/30/pdfs/GMD-1839-1719.pdf#page=1","Abrir facsímil")</f>
        <v>Abrir facsímil</v>
      </c>
      <c r="K236" s="12" t="s">
        <v>65</v>
      </c>
    </row>
    <row r="237" spans="1:11" ht="40.049999999999997" customHeight="1" x14ac:dyDescent="0.25">
      <c r="A237" s="11" t="s">
        <v>832</v>
      </c>
      <c r="B237" s="11" t="s">
        <v>833</v>
      </c>
      <c r="C237" s="11" t="s">
        <v>17</v>
      </c>
      <c r="D237" s="11" t="s">
        <v>18</v>
      </c>
      <c r="E237" s="12" t="s">
        <v>834</v>
      </c>
      <c r="F237" s="12" t="s">
        <v>835</v>
      </c>
      <c r="G237" s="12" t="s">
        <v>40</v>
      </c>
      <c r="H237" s="11" t="s">
        <v>63</v>
      </c>
      <c r="I237" s="13" t="s">
        <v>836</v>
      </c>
      <c r="J237" s="14" t="str">
        <f>HYPERLINK("https://www.boe.es/gazeta/dias/1839/08/17/pdfs/GMD-1839-1737.pdf#page=2","Abrir facsímil")</f>
        <v>Abrir facsímil</v>
      </c>
      <c r="K237" s="12" t="s">
        <v>65</v>
      </c>
    </row>
    <row r="238" spans="1:11" ht="40.049999999999997" customHeight="1" x14ac:dyDescent="0.25">
      <c r="A238" s="11" t="s">
        <v>837</v>
      </c>
      <c r="B238" s="11" t="s">
        <v>838</v>
      </c>
      <c r="C238" s="11" t="s">
        <v>80</v>
      </c>
      <c r="D238" s="11" t="s">
        <v>18</v>
      </c>
      <c r="E238" s="12" t="s">
        <v>695</v>
      </c>
      <c r="F238" s="12" t="s">
        <v>696</v>
      </c>
      <c r="G238" s="12" t="s">
        <v>46</v>
      </c>
      <c r="H238" s="11" t="s">
        <v>63</v>
      </c>
      <c r="I238" s="13" t="s">
        <v>839</v>
      </c>
      <c r="J238" s="14" t="str">
        <f>HYPERLINK("https://www.boe.es/gazeta/dias/1839/12/19/pdfs/GMD-1839-1866.pdf#page=3","Abrir facsímil")</f>
        <v>Abrir facsímil</v>
      </c>
      <c r="K238" s="12" t="s">
        <v>65</v>
      </c>
    </row>
    <row r="239" spans="1:11" ht="40.049999999999997" customHeight="1" x14ac:dyDescent="0.25">
      <c r="A239" s="11" t="s">
        <v>840</v>
      </c>
      <c r="B239" s="11" t="s">
        <v>841</v>
      </c>
      <c r="C239" s="11" t="s">
        <v>17</v>
      </c>
      <c r="D239" s="11" t="s">
        <v>18</v>
      </c>
      <c r="E239" s="12" t="s">
        <v>222</v>
      </c>
      <c r="F239" s="12" t="s">
        <v>223</v>
      </c>
      <c r="G239" s="12" t="s">
        <v>21</v>
      </c>
      <c r="H239" s="11" t="s">
        <v>63</v>
      </c>
      <c r="I239" s="13" t="s">
        <v>842</v>
      </c>
      <c r="J239" s="14" t="str">
        <f>HYPERLINK("https://www.boe.es/gazeta/dias/1839/06/22/pdfs/GMD-1839-1680.pdf#page=4","Abrir facsímil")</f>
        <v>Abrir facsímil</v>
      </c>
      <c r="K239" s="12" t="s">
        <v>65</v>
      </c>
    </row>
    <row r="240" spans="1:11" ht="40.049999999999997" customHeight="1" x14ac:dyDescent="0.25">
      <c r="A240" s="11" t="s">
        <v>843</v>
      </c>
      <c r="B240" s="11" t="s">
        <v>843</v>
      </c>
      <c r="C240" s="11" t="s">
        <v>101</v>
      </c>
      <c r="D240" s="11" t="s">
        <v>102</v>
      </c>
      <c r="E240" s="12" t="s">
        <v>844</v>
      </c>
      <c r="F240" s="12" t="s">
        <v>845</v>
      </c>
      <c r="G240" s="12" t="s">
        <v>29</v>
      </c>
      <c r="H240" s="11" t="s">
        <v>63</v>
      </c>
      <c r="I240" s="13" t="s">
        <v>846</v>
      </c>
      <c r="J240" s="14" t="str">
        <f>HYPERLINK("https://www.boe.es/gazeta/dias/1839/12/24/pdfs/GMD-1839-1871.pdf#page=1","Abrir facsímil")</f>
        <v>Abrir facsímil</v>
      </c>
      <c r="K240" s="12" t="s">
        <v>65</v>
      </c>
    </row>
    <row r="241" spans="1:11" ht="40.049999999999997" customHeight="1" x14ac:dyDescent="0.25">
      <c r="A241" s="11" t="s">
        <v>847</v>
      </c>
      <c r="B241" s="11" t="s">
        <v>847</v>
      </c>
      <c r="C241" s="11" t="s">
        <v>17</v>
      </c>
      <c r="D241" s="11" t="s">
        <v>43</v>
      </c>
      <c r="E241" s="12" t="s">
        <v>848</v>
      </c>
      <c r="F241" s="12" t="s">
        <v>849</v>
      </c>
      <c r="G241" s="12" t="s">
        <v>40</v>
      </c>
      <c r="H241" s="11" t="s">
        <v>63</v>
      </c>
      <c r="I241" s="13" t="s">
        <v>850</v>
      </c>
      <c r="J241" s="14" t="str">
        <f>HYPERLINK("https://www.boe.es/gazeta/dias/1839/08/04/pdfs/GMD-1839-1724.pdf#page=2","Abrir facsímil")</f>
        <v>Abrir facsímil</v>
      </c>
      <c r="K241" s="12" t="s">
        <v>65</v>
      </c>
    </row>
    <row r="242" spans="1:11" ht="40.049999999999997" customHeight="1" x14ac:dyDescent="0.25">
      <c r="A242" s="11" t="s">
        <v>851</v>
      </c>
      <c r="B242" s="11" t="s">
        <v>851</v>
      </c>
      <c r="C242" s="11" t="s">
        <v>59</v>
      </c>
      <c r="D242" s="11" t="s">
        <v>60</v>
      </c>
      <c r="E242" s="12" t="s">
        <v>385</v>
      </c>
      <c r="F242" s="12" t="s">
        <v>386</v>
      </c>
      <c r="G242" s="12" t="s">
        <v>40</v>
      </c>
      <c r="H242" s="11" t="s">
        <v>63</v>
      </c>
      <c r="I242" s="13" t="s">
        <v>852</v>
      </c>
      <c r="J242" s="14" t="str">
        <f>HYPERLINK("https://www.boe.es/gazeta/dias/1839/08/01/pdfs/GMD-1839-1721.pdf#page=2","Abrir facsímil")</f>
        <v>Abrir facsímil</v>
      </c>
      <c r="K242" s="12" t="s">
        <v>65</v>
      </c>
    </row>
    <row r="243" spans="1:11" ht="40.049999999999997" customHeight="1" x14ac:dyDescent="0.25">
      <c r="A243" s="11" t="s">
        <v>853</v>
      </c>
      <c r="B243" s="11" t="s">
        <v>854</v>
      </c>
      <c r="C243" s="11" t="s">
        <v>137</v>
      </c>
      <c r="D243" s="11" t="s">
        <v>18</v>
      </c>
      <c r="E243" s="12" t="s">
        <v>479</v>
      </c>
      <c r="F243" s="12" t="s">
        <v>480</v>
      </c>
      <c r="G243" s="12" t="s">
        <v>40</v>
      </c>
      <c r="H243" s="11" t="s">
        <v>63</v>
      </c>
      <c r="I243" s="13" t="s">
        <v>855</v>
      </c>
      <c r="J243" s="14" t="str">
        <f>HYPERLINK("https://www.boe.es/gazeta/dias/1839/06/24/pdfs/GMD-1839-1682.pdf#page=2","Abrir facsímil")</f>
        <v>Abrir facsímil</v>
      </c>
      <c r="K243" s="12" t="s">
        <v>65</v>
      </c>
    </row>
    <row r="244" spans="1:11" ht="40.049999999999997" customHeight="1" x14ac:dyDescent="0.25">
      <c r="A244" s="11" t="s">
        <v>856</v>
      </c>
      <c r="B244" s="11" t="s">
        <v>856</v>
      </c>
      <c r="C244" s="11" t="s">
        <v>59</v>
      </c>
      <c r="D244" s="11" t="s">
        <v>60</v>
      </c>
      <c r="E244" s="12" t="s">
        <v>857</v>
      </c>
      <c r="F244" s="12" t="s">
        <v>858</v>
      </c>
      <c r="G244" s="12" t="s">
        <v>29</v>
      </c>
      <c r="H244" s="11" t="s">
        <v>63</v>
      </c>
      <c r="I244" s="13" t="s">
        <v>859</v>
      </c>
      <c r="J244" s="14" t="str">
        <f>HYPERLINK("https://www.boe.es/gazeta/dias/1839/11/21/pdfs/GMD-1839-1838.pdf#page=1","Abrir facsímil")</f>
        <v>Abrir facsímil</v>
      </c>
      <c r="K244" s="12" t="s">
        <v>65</v>
      </c>
    </row>
    <row r="245" spans="1:11" ht="40.049999999999997" customHeight="1" x14ac:dyDescent="0.25">
      <c r="A245" s="11" t="s">
        <v>860</v>
      </c>
      <c r="B245" s="11" t="s">
        <v>861</v>
      </c>
      <c r="C245" s="11" t="s">
        <v>17</v>
      </c>
      <c r="D245" s="11" t="s">
        <v>18</v>
      </c>
      <c r="E245" s="12" t="s">
        <v>862</v>
      </c>
      <c r="F245" s="12" t="s">
        <v>863</v>
      </c>
      <c r="G245" s="12" t="s">
        <v>305</v>
      </c>
      <c r="H245" s="11" t="s">
        <v>63</v>
      </c>
      <c r="I245" s="13" t="s">
        <v>864</v>
      </c>
      <c r="J245" s="14" t="str">
        <f>HYPERLINK("https://www.boe.es/gazeta/dias/1839/10/28/pdfs/GMD-1839-1814.pdf#page=6","Abrir facsímil")</f>
        <v>Abrir facsímil</v>
      </c>
      <c r="K245" s="12" t="s">
        <v>65</v>
      </c>
    </row>
    <row r="246" spans="1:11" ht="40.049999999999997" customHeight="1" x14ac:dyDescent="0.25">
      <c r="A246" s="11" t="s">
        <v>865</v>
      </c>
      <c r="B246" s="11" t="s">
        <v>866</v>
      </c>
      <c r="C246" s="11" t="s">
        <v>17</v>
      </c>
      <c r="D246" s="11" t="s">
        <v>18</v>
      </c>
      <c r="E246" s="12" t="s">
        <v>409</v>
      </c>
      <c r="F246" s="12" t="s">
        <v>410</v>
      </c>
      <c r="G246" s="12" t="s">
        <v>29</v>
      </c>
      <c r="H246" s="11" t="s">
        <v>22</v>
      </c>
      <c r="I246" s="13" t="s">
        <v>867</v>
      </c>
      <c r="J246" s="14" t="str">
        <f>HYPERLINK("https://www.boe.es/gazeta/dias/1839/07/05/pdfs/GMD-1839-1693.pdf#page=1","Abrir facsímil")</f>
        <v>Abrir facsímil</v>
      </c>
      <c r="K246" s="12" t="s">
        <v>24</v>
      </c>
    </row>
    <row r="247" spans="1:11" ht="40.049999999999997" customHeight="1" x14ac:dyDescent="0.25">
      <c r="A247" s="11" t="s">
        <v>868</v>
      </c>
      <c r="B247" s="11" t="s">
        <v>869</v>
      </c>
      <c r="C247" s="11" t="s">
        <v>101</v>
      </c>
      <c r="D247" s="11" t="s">
        <v>102</v>
      </c>
      <c r="E247" s="12" t="s">
        <v>870</v>
      </c>
      <c r="F247" s="12" t="s">
        <v>871</v>
      </c>
      <c r="G247" s="12" t="s">
        <v>46</v>
      </c>
      <c r="H247" s="11" t="s">
        <v>63</v>
      </c>
      <c r="I247" s="13" t="s">
        <v>872</v>
      </c>
      <c r="J247" s="14" t="str">
        <f>HYPERLINK("https://www.boe.es/gazeta/dias/1839/04/18/pdfs/GMD-1839-1615.pdf#page=3","Abrir facsímil")</f>
        <v>Abrir facsímil</v>
      </c>
      <c r="K247" s="12" t="s">
        <v>65</v>
      </c>
    </row>
    <row r="248" spans="1:11" ht="40.049999999999997" customHeight="1" x14ac:dyDescent="0.25">
      <c r="A248" s="11" t="s">
        <v>873</v>
      </c>
      <c r="B248" s="11" t="s">
        <v>874</v>
      </c>
      <c r="C248" s="11" t="s">
        <v>17</v>
      </c>
      <c r="D248" s="11" t="s">
        <v>18</v>
      </c>
      <c r="E248" s="12" t="s">
        <v>561</v>
      </c>
      <c r="F248" s="12" t="s">
        <v>562</v>
      </c>
      <c r="G248" s="12" t="s">
        <v>21</v>
      </c>
      <c r="H248" s="11" t="s">
        <v>22</v>
      </c>
      <c r="I248" s="13" t="s">
        <v>875</v>
      </c>
      <c r="J248" s="14" t="str">
        <f>HYPERLINK("https://www.boe.es/gazeta/dias/1839/09/11/pdfs/GMD-1839-1764.pdf#page=4","Abrir facsímil")</f>
        <v>Abrir facsímil</v>
      </c>
      <c r="K248" s="12" t="s">
        <v>24</v>
      </c>
    </row>
    <row r="249" spans="1:11" ht="40.049999999999997" customHeight="1" x14ac:dyDescent="0.25">
      <c r="A249" s="11" t="s">
        <v>876</v>
      </c>
      <c r="B249" s="11" t="s">
        <v>877</v>
      </c>
      <c r="C249" s="11" t="s">
        <v>17</v>
      </c>
      <c r="D249" s="11" t="s">
        <v>18</v>
      </c>
      <c r="E249" s="12" t="s">
        <v>38</v>
      </c>
      <c r="F249" s="12" t="s">
        <v>39</v>
      </c>
      <c r="G249" s="12" t="s">
        <v>46</v>
      </c>
      <c r="H249" s="11" t="s">
        <v>63</v>
      </c>
      <c r="I249" s="13" t="s">
        <v>878</v>
      </c>
      <c r="J249" s="14" t="str">
        <f>HYPERLINK("https://www.boe.es/gazeta/dias/1839/08/08/pdfs/GMD-1839-1728.pdf#page=3","Abrir facsímil")</f>
        <v>Abrir facsímil</v>
      </c>
      <c r="K249" s="12" t="s">
        <v>65</v>
      </c>
    </row>
    <row r="250" spans="1:11" ht="40.049999999999997" customHeight="1" x14ac:dyDescent="0.25">
      <c r="A250" s="11" t="s">
        <v>879</v>
      </c>
      <c r="B250" s="11" t="s">
        <v>880</v>
      </c>
      <c r="C250" s="11" t="s">
        <v>80</v>
      </c>
      <c r="D250" s="11" t="s">
        <v>18</v>
      </c>
      <c r="E250" s="12" t="s">
        <v>202</v>
      </c>
      <c r="F250" s="12" t="s">
        <v>203</v>
      </c>
      <c r="G250" s="12" t="s">
        <v>40</v>
      </c>
      <c r="H250" s="11" t="s">
        <v>22</v>
      </c>
      <c r="I250" s="13" t="s">
        <v>881</v>
      </c>
      <c r="J250" s="14" t="str">
        <f>HYPERLINK("https://www.boe.es/gazeta/dias/1839/04/05/pdfs/GMD-1839-1602.pdf#page=2","Abrir facsímil")</f>
        <v>Abrir facsímil</v>
      </c>
      <c r="K250" s="12" t="s">
        <v>24</v>
      </c>
    </row>
    <row r="251" spans="1:11" ht="40.049999999999997" customHeight="1" x14ac:dyDescent="0.25">
      <c r="A251" s="11" t="s">
        <v>882</v>
      </c>
      <c r="B251" s="11" t="s">
        <v>882</v>
      </c>
      <c r="C251" s="11" t="s">
        <v>59</v>
      </c>
      <c r="D251" s="11" t="s">
        <v>60</v>
      </c>
      <c r="E251" s="12" t="s">
        <v>883</v>
      </c>
      <c r="F251" s="12" t="s">
        <v>884</v>
      </c>
      <c r="G251" s="12" t="s">
        <v>29</v>
      </c>
      <c r="H251" s="11" t="s">
        <v>63</v>
      </c>
      <c r="I251" s="13" t="s">
        <v>885</v>
      </c>
      <c r="J251" s="14" t="str">
        <f>HYPERLINK("https://www.boe.es/gazeta/dias/1839/11/03/pdfs/GMD-1839-1820.pdf#page=1","Abrir facsímil")</f>
        <v>Abrir facsímil</v>
      </c>
      <c r="K251" s="12" t="s">
        <v>65</v>
      </c>
    </row>
    <row r="252" spans="1:11" ht="40.049999999999997" customHeight="1" x14ac:dyDescent="0.25">
      <c r="A252" s="11" t="s">
        <v>882</v>
      </c>
      <c r="B252" s="11" t="s">
        <v>882</v>
      </c>
      <c r="C252" s="11" t="s">
        <v>80</v>
      </c>
      <c r="D252" s="11" t="s">
        <v>18</v>
      </c>
      <c r="E252" s="12" t="s">
        <v>503</v>
      </c>
      <c r="F252" s="12" t="s">
        <v>504</v>
      </c>
      <c r="G252" s="12" t="s">
        <v>46</v>
      </c>
      <c r="H252" s="11" t="s">
        <v>63</v>
      </c>
      <c r="I252" s="13" t="s">
        <v>886</v>
      </c>
      <c r="J252" s="14" t="str">
        <f>HYPERLINK("https://www.boe.es/gazeta/dias/1839/06/07/pdfs/GMD-1839-1665.pdf#page=3","Abrir facsímil")</f>
        <v>Abrir facsímil</v>
      </c>
      <c r="K252" s="12" t="s">
        <v>65</v>
      </c>
    </row>
    <row r="253" spans="1:11" ht="40.049999999999997" customHeight="1" x14ac:dyDescent="0.25">
      <c r="A253" s="11" t="s">
        <v>882</v>
      </c>
      <c r="B253" s="11" t="s">
        <v>882</v>
      </c>
      <c r="C253" s="11" t="s">
        <v>137</v>
      </c>
      <c r="D253" s="11" t="s">
        <v>18</v>
      </c>
      <c r="E253" s="12" t="s">
        <v>226</v>
      </c>
      <c r="F253" s="12" t="s">
        <v>227</v>
      </c>
      <c r="G253" s="12" t="s">
        <v>29</v>
      </c>
      <c r="H253" s="11" t="s">
        <v>63</v>
      </c>
      <c r="I253" s="13" t="s">
        <v>887</v>
      </c>
      <c r="J253" s="14" t="str">
        <f>HYPERLINK("https://www.boe.es/gazeta/dias/1839/06/09/pdfs/GMD-1839-1667.pdf#page=1","Abrir facsímil")</f>
        <v>Abrir facsímil</v>
      </c>
      <c r="K253" s="12" t="s">
        <v>65</v>
      </c>
    </row>
    <row r="254" spans="1:11" ht="40.049999999999997" customHeight="1" x14ac:dyDescent="0.25">
      <c r="A254" s="11" t="s">
        <v>882</v>
      </c>
      <c r="B254" s="11" t="s">
        <v>882</v>
      </c>
      <c r="C254" s="11" t="s">
        <v>17</v>
      </c>
      <c r="D254" s="11" t="s">
        <v>18</v>
      </c>
      <c r="E254" s="12" t="s">
        <v>888</v>
      </c>
      <c r="F254" s="12" t="s">
        <v>889</v>
      </c>
      <c r="G254" s="12" t="s">
        <v>21</v>
      </c>
      <c r="H254" s="11" t="s">
        <v>63</v>
      </c>
      <c r="I254" s="13" t="s">
        <v>890</v>
      </c>
      <c r="J254" s="14" t="str">
        <f>HYPERLINK("https://www.boe.es/gazeta/dias/1839/05/14/pdfs/GMD-1839-1641.pdf#page=4","Abrir facsímil")</f>
        <v>Abrir facsímil</v>
      </c>
      <c r="K254" s="12" t="s">
        <v>65</v>
      </c>
    </row>
    <row r="255" spans="1:11" ht="40.049999999999997" customHeight="1" x14ac:dyDescent="0.25">
      <c r="A255" s="11" t="s">
        <v>882</v>
      </c>
      <c r="B255" s="11" t="s">
        <v>882</v>
      </c>
      <c r="C255" s="11" t="s">
        <v>101</v>
      </c>
      <c r="D255" s="11" t="s">
        <v>102</v>
      </c>
      <c r="E255" s="12" t="s">
        <v>398</v>
      </c>
      <c r="F255" s="12" t="s">
        <v>399</v>
      </c>
      <c r="G255" s="12" t="s">
        <v>40</v>
      </c>
      <c r="H255" s="11" t="s">
        <v>63</v>
      </c>
      <c r="I255" s="13" t="s">
        <v>891</v>
      </c>
      <c r="J255" s="14" t="str">
        <f>HYPERLINK("https://www.boe.es/gazeta/dias/1839/05/17/pdfs/GMD-1839-1644.pdf#page=2","Abrir facsímil")</f>
        <v>Abrir facsímil</v>
      </c>
      <c r="K255" s="12" t="s">
        <v>65</v>
      </c>
    </row>
    <row r="256" spans="1:11" ht="40.049999999999997" customHeight="1" x14ac:dyDescent="0.25">
      <c r="A256" s="11" t="s">
        <v>882</v>
      </c>
      <c r="B256" s="11" t="s">
        <v>882</v>
      </c>
      <c r="C256" s="11" t="s">
        <v>101</v>
      </c>
      <c r="D256" s="11" t="s">
        <v>102</v>
      </c>
      <c r="E256" s="12" t="s">
        <v>892</v>
      </c>
      <c r="F256" s="12" t="s">
        <v>893</v>
      </c>
      <c r="G256" s="12" t="s">
        <v>40</v>
      </c>
      <c r="H256" s="11" t="s">
        <v>63</v>
      </c>
      <c r="I256" s="13" t="s">
        <v>894</v>
      </c>
      <c r="J256" s="14" t="str">
        <f>HYPERLINK("https://www.boe.es/gazeta/dias/1839/12/28/pdfs/GMD-1839-1875.pdf#page=2","Abrir facsímil")</f>
        <v>Abrir facsímil</v>
      </c>
      <c r="K256" s="12" t="s">
        <v>65</v>
      </c>
    </row>
    <row r="257" spans="1:11" ht="40.049999999999997" customHeight="1" x14ac:dyDescent="0.25">
      <c r="A257" s="11" t="s">
        <v>895</v>
      </c>
      <c r="B257" s="11" t="s">
        <v>896</v>
      </c>
      <c r="C257" s="11" t="s">
        <v>17</v>
      </c>
      <c r="D257" s="11" t="s">
        <v>18</v>
      </c>
      <c r="E257" s="12" t="s">
        <v>375</v>
      </c>
      <c r="F257" s="12" t="s">
        <v>376</v>
      </c>
      <c r="G257" s="12" t="s">
        <v>21</v>
      </c>
      <c r="H257" s="11" t="s">
        <v>22</v>
      </c>
      <c r="I257" s="13" t="s">
        <v>897</v>
      </c>
      <c r="J257" s="14" t="str">
        <f>HYPERLINK("https://www.boe.es/gazeta/dias/1839/11/25/pdfs/GMD-1839-1842.pdf#page=4","Abrir facsímil")</f>
        <v>Abrir facsímil</v>
      </c>
      <c r="K257" s="12" t="s">
        <v>24</v>
      </c>
    </row>
    <row r="258" spans="1:11" ht="40.049999999999997" customHeight="1" x14ac:dyDescent="0.25">
      <c r="A258" s="11" t="s">
        <v>898</v>
      </c>
      <c r="B258" s="11" t="s">
        <v>899</v>
      </c>
      <c r="C258" s="11" t="s">
        <v>80</v>
      </c>
      <c r="D258" s="11" t="s">
        <v>18</v>
      </c>
      <c r="E258" s="12" t="s">
        <v>817</v>
      </c>
      <c r="F258" s="12" t="s">
        <v>818</v>
      </c>
      <c r="G258" s="12" t="s">
        <v>21</v>
      </c>
      <c r="H258" s="11" t="s">
        <v>63</v>
      </c>
      <c r="I258" s="13" t="s">
        <v>900</v>
      </c>
      <c r="J258" s="14" t="str">
        <f>HYPERLINK("https://www.boe.es/gazeta/dias/1839/05/28/pdfs/GMD-1839-1655.pdf#page=4","Abrir facsímil")</f>
        <v>Abrir facsímil</v>
      </c>
      <c r="K258" s="12" t="s">
        <v>65</v>
      </c>
    </row>
    <row r="259" spans="1:11" ht="40.049999999999997" customHeight="1" x14ac:dyDescent="0.25">
      <c r="A259" s="11" t="s">
        <v>901</v>
      </c>
      <c r="B259" s="11" t="s">
        <v>902</v>
      </c>
      <c r="C259" s="11" t="s">
        <v>17</v>
      </c>
      <c r="D259" s="11" t="s">
        <v>18</v>
      </c>
      <c r="E259" s="12" t="s">
        <v>903</v>
      </c>
      <c r="F259" s="12" t="s">
        <v>904</v>
      </c>
      <c r="G259" s="12" t="s">
        <v>40</v>
      </c>
      <c r="H259" s="11" t="s">
        <v>22</v>
      </c>
      <c r="I259" s="13" t="s">
        <v>905</v>
      </c>
      <c r="J259" s="14" t="str">
        <f>HYPERLINK("https://www.boe.es/gazeta/dias/1839/03/14/pdfs/GMD-1839-1580.pdf#page=2","Abrir facsímil")</f>
        <v>Abrir facsímil</v>
      </c>
      <c r="K259" s="12" t="s">
        <v>24</v>
      </c>
    </row>
    <row r="260" spans="1:11" ht="40.049999999999997" customHeight="1" x14ac:dyDescent="0.25">
      <c r="A260" s="11" t="s">
        <v>906</v>
      </c>
      <c r="B260" s="11" t="s">
        <v>906</v>
      </c>
      <c r="C260" s="11" t="s">
        <v>59</v>
      </c>
      <c r="D260" s="11" t="s">
        <v>60</v>
      </c>
      <c r="E260" s="12" t="s">
        <v>907</v>
      </c>
      <c r="F260" s="12" t="s">
        <v>908</v>
      </c>
      <c r="G260" s="12" t="s">
        <v>29</v>
      </c>
      <c r="H260" s="11" t="s">
        <v>63</v>
      </c>
      <c r="I260" s="13" t="s">
        <v>909</v>
      </c>
      <c r="J260" s="14" t="str">
        <f>HYPERLINK("https://www.boe.es/gazeta/dias/1839/07/31/pdfs/GMD-1839-1720.pdf#page=1","Abrir facsímil")</f>
        <v>Abrir facsímil</v>
      </c>
      <c r="K260" s="12" t="s">
        <v>65</v>
      </c>
    </row>
    <row r="261" spans="1:11" ht="40.049999999999997" customHeight="1" x14ac:dyDescent="0.25">
      <c r="A261" s="11" t="s">
        <v>910</v>
      </c>
      <c r="B261" s="11" t="s">
        <v>911</v>
      </c>
      <c r="C261" s="11" t="s">
        <v>137</v>
      </c>
      <c r="D261" s="11" t="s">
        <v>18</v>
      </c>
      <c r="E261" s="12" t="s">
        <v>912</v>
      </c>
      <c r="F261" s="12" t="s">
        <v>913</v>
      </c>
      <c r="G261" s="12" t="s">
        <v>21</v>
      </c>
      <c r="H261" s="11" t="s">
        <v>63</v>
      </c>
      <c r="I261" s="13" t="s">
        <v>914</v>
      </c>
      <c r="J261" s="14" t="str">
        <f>HYPERLINK("https://www.boe.es/gazeta/dias/1839/04/30/pdfs/GMD-1839-1627.pdf#page=4","Abrir facsímil")</f>
        <v>Abrir facsímil</v>
      </c>
      <c r="K261" s="12" t="s">
        <v>65</v>
      </c>
    </row>
    <row r="262" spans="1:11" ht="40.049999999999997" customHeight="1" x14ac:dyDescent="0.25">
      <c r="A262" s="11" t="s">
        <v>915</v>
      </c>
      <c r="B262" s="11" t="s">
        <v>915</v>
      </c>
      <c r="C262" s="11" t="s">
        <v>59</v>
      </c>
      <c r="D262" s="11" t="s">
        <v>60</v>
      </c>
      <c r="E262" s="12" t="s">
        <v>365</v>
      </c>
      <c r="F262" s="12" t="s">
        <v>366</v>
      </c>
      <c r="G262" s="12" t="s">
        <v>46</v>
      </c>
      <c r="H262" s="11" t="s">
        <v>63</v>
      </c>
      <c r="I262" s="13" t="s">
        <v>916</v>
      </c>
      <c r="J262" s="14" t="str">
        <f>HYPERLINK("https://www.boe.es/gazeta/dias/1839/08/14/pdfs/GMD-1839-1734.pdf#page=3","Abrir facsímil")</f>
        <v>Abrir facsímil</v>
      </c>
      <c r="K262" s="12" t="s">
        <v>65</v>
      </c>
    </row>
    <row r="263" spans="1:11" ht="40.049999999999997" customHeight="1" x14ac:dyDescent="0.25">
      <c r="A263" s="11" t="s">
        <v>917</v>
      </c>
      <c r="B263" s="11" t="s">
        <v>917</v>
      </c>
      <c r="C263" s="11" t="s">
        <v>59</v>
      </c>
      <c r="D263" s="11" t="s">
        <v>60</v>
      </c>
      <c r="E263" s="12" t="s">
        <v>918</v>
      </c>
      <c r="F263" s="12" t="s">
        <v>919</v>
      </c>
      <c r="G263" s="12" t="s">
        <v>40</v>
      </c>
      <c r="H263" s="11" t="s">
        <v>63</v>
      </c>
      <c r="I263" s="13" t="s">
        <v>920</v>
      </c>
      <c r="J263" s="14" t="str">
        <f>HYPERLINK("https://www.boe.es/gazeta/dias/1839/12/07/pdfs/GMD-1839-1854.pdf#page=2","Abrir facsímil")</f>
        <v>Abrir facsímil</v>
      </c>
      <c r="K263" s="12" t="s">
        <v>65</v>
      </c>
    </row>
    <row r="264" spans="1:11" ht="40.049999999999997" customHeight="1" x14ac:dyDescent="0.25">
      <c r="A264" s="11" t="s">
        <v>921</v>
      </c>
      <c r="B264" s="11" t="s">
        <v>921</v>
      </c>
      <c r="C264" s="11" t="s">
        <v>59</v>
      </c>
      <c r="D264" s="11" t="s">
        <v>60</v>
      </c>
      <c r="E264" s="12" t="s">
        <v>192</v>
      </c>
      <c r="F264" s="12" t="s">
        <v>193</v>
      </c>
      <c r="G264" s="12" t="s">
        <v>40</v>
      </c>
      <c r="H264" s="11" t="s">
        <v>63</v>
      </c>
      <c r="I264" s="13" t="s">
        <v>922</v>
      </c>
      <c r="J264" s="14" t="str">
        <f>HYPERLINK("https://www.boe.es/gazeta/dias/1839/01/12/pdfs/GMD-1839-1519.pdf#page=2","Abrir facsímil")</f>
        <v>Abrir facsímil</v>
      </c>
      <c r="K264" s="12" t="s">
        <v>65</v>
      </c>
    </row>
    <row r="265" spans="1:11" ht="40.049999999999997" customHeight="1" x14ac:dyDescent="0.25">
      <c r="A265" s="11" t="s">
        <v>921</v>
      </c>
      <c r="B265" s="11" t="s">
        <v>921</v>
      </c>
      <c r="C265" s="11" t="s">
        <v>17</v>
      </c>
      <c r="D265" s="11" t="s">
        <v>18</v>
      </c>
      <c r="E265" s="12" t="s">
        <v>103</v>
      </c>
      <c r="F265" s="12" t="s">
        <v>104</v>
      </c>
      <c r="G265" s="12" t="s">
        <v>21</v>
      </c>
      <c r="H265" s="11" t="s">
        <v>63</v>
      </c>
      <c r="I265" s="13" t="s">
        <v>923</v>
      </c>
      <c r="J265" s="14" t="str">
        <f>HYPERLINK("https://www.boe.es/gazeta/dias/1839/10/12/pdfs/GMD-1839-1798.pdf#page=4","Abrir facsímil")</f>
        <v>Abrir facsímil</v>
      </c>
      <c r="K265" s="12" t="s">
        <v>65</v>
      </c>
    </row>
    <row r="266" spans="1:11" ht="40.049999999999997" customHeight="1" x14ac:dyDescent="0.25">
      <c r="A266" s="11" t="s">
        <v>924</v>
      </c>
      <c r="B266" s="11" t="s">
        <v>925</v>
      </c>
      <c r="C266" s="11" t="s">
        <v>59</v>
      </c>
      <c r="D266" s="11" t="s">
        <v>60</v>
      </c>
      <c r="E266" s="12" t="s">
        <v>926</v>
      </c>
      <c r="F266" s="12" t="s">
        <v>927</v>
      </c>
      <c r="G266" s="12" t="s">
        <v>21</v>
      </c>
      <c r="H266" s="11" t="s">
        <v>22</v>
      </c>
      <c r="I266" s="13" t="s">
        <v>928</v>
      </c>
      <c r="J266" s="14" t="str">
        <f>HYPERLINK("https://www.boe.es/gazeta/dias/1839/01/25/pdfs/GMD-1839-1532.pdf#page=4","Abrir facsímil")</f>
        <v>Abrir facsímil</v>
      </c>
      <c r="K266" s="12" t="s">
        <v>24</v>
      </c>
    </row>
    <row r="267" spans="1:11" ht="40.049999999999997" customHeight="1" x14ac:dyDescent="0.25">
      <c r="A267" s="11" t="s">
        <v>924</v>
      </c>
      <c r="B267" s="11" t="s">
        <v>925</v>
      </c>
      <c r="C267" s="11" t="s">
        <v>101</v>
      </c>
      <c r="D267" s="11" t="s">
        <v>43</v>
      </c>
      <c r="E267" s="12" t="s">
        <v>929</v>
      </c>
      <c r="F267" s="12" t="s">
        <v>930</v>
      </c>
      <c r="G267" s="12" t="s">
        <v>40</v>
      </c>
      <c r="H267" s="11" t="s">
        <v>22</v>
      </c>
      <c r="I267" s="13" t="s">
        <v>931</v>
      </c>
      <c r="J267" s="14" t="str">
        <f>HYPERLINK("https://www.boe.es/gazeta/dias/1839/01/31/pdfs/GMD-1839-1538.pdf#page=2","Abrir facsímil")</f>
        <v>Abrir facsímil</v>
      </c>
      <c r="K267" s="12" t="s">
        <v>24</v>
      </c>
    </row>
    <row r="268" spans="1:11" ht="40.049999999999997" customHeight="1" x14ac:dyDescent="0.25">
      <c r="A268" s="11" t="s">
        <v>932</v>
      </c>
      <c r="B268" s="11" t="s">
        <v>932</v>
      </c>
      <c r="C268" s="11" t="s">
        <v>17</v>
      </c>
      <c r="D268" s="11" t="s">
        <v>18</v>
      </c>
      <c r="E268" s="12" t="s">
        <v>388</v>
      </c>
      <c r="F268" s="12" t="s">
        <v>389</v>
      </c>
      <c r="G268" s="12" t="s">
        <v>21</v>
      </c>
      <c r="H268" s="11" t="s">
        <v>63</v>
      </c>
      <c r="I268" s="13" t="s">
        <v>933</v>
      </c>
      <c r="J268" s="14" t="str">
        <f>HYPERLINK("https://www.boe.es/gazeta/dias/1839/08/07/pdfs/GMD-1839-1727.pdf#page=4","Abrir facsímil")</f>
        <v>Abrir facsímil</v>
      </c>
      <c r="K268" s="12" t="s">
        <v>65</v>
      </c>
    </row>
    <row r="269" spans="1:11" ht="40.049999999999997" customHeight="1" x14ac:dyDescent="0.25">
      <c r="A269" s="11" t="s">
        <v>932</v>
      </c>
      <c r="B269" s="11" t="s">
        <v>932</v>
      </c>
      <c r="C269" s="11" t="s">
        <v>17</v>
      </c>
      <c r="D269" s="11" t="s">
        <v>18</v>
      </c>
      <c r="E269" s="12" t="s">
        <v>934</v>
      </c>
      <c r="F269" s="12" t="s">
        <v>935</v>
      </c>
      <c r="G269" s="12" t="s">
        <v>21</v>
      </c>
      <c r="H269" s="11" t="s">
        <v>63</v>
      </c>
      <c r="I269" s="13" t="s">
        <v>936</v>
      </c>
      <c r="J269" s="14" t="str">
        <f>HYPERLINK("https://www.boe.es/gazeta/dias/1839/11/07/pdfs/GMD-1839-1824.pdf#page=4","Abrir facsímil")</f>
        <v>Abrir facsímil</v>
      </c>
      <c r="K269" s="12" t="s">
        <v>65</v>
      </c>
    </row>
    <row r="270" spans="1:11" ht="40.049999999999997" customHeight="1" x14ac:dyDescent="0.25">
      <c r="A270" s="11" t="s">
        <v>932</v>
      </c>
      <c r="B270" s="11" t="s">
        <v>932</v>
      </c>
      <c r="C270" s="11" t="s">
        <v>17</v>
      </c>
      <c r="D270" s="11" t="s">
        <v>18</v>
      </c>
      <c r="E270" s="12" t="s">
        <v>157</v>
      </c>
      <c r="F270" s="12" t="s">
        <v>158</v>
      </c>
      <c r="G270" s="12" t="s">
        <v>29</v>
      </c>
      <c r="H270" s="11" t="s">
        <v>63</v>
      </c>
      <c r="I270" s="13" t="s">
        <v>937</v>
      </c>
      <c r="J270" s="14" t="str">
        <f>HYPERLINK("https://www.boe.es/gazeta/dias/1839/02/08/pdfs/GMD-1839-1546.pdf#page=1","Abrir facsímil")</f>
        <v>Abrir facsímil</v>
      </c>
      <c r="K270" s="12" t="s">
        <v>65</v>
      </c>
    </row>
    <row r="271" spans="1:11" ht="40.049999999999997" customHeight="1" x14ac:dyDescent="0.25">
      <c r="A271" s="11" t="s">
        <v>932</v>
      </c>
      <c r="B271" s="11" t="s">
        <v>932</v>
      </c>
      <c r="C271" s="11" t="s">
        <v>17</v>
      </c>
      <c r="D271" s="11" t="s">
        <v>18</v>
      </c>
      <c r="E271" s="12" t="s">
        <v>870</v>
      </c>
      <c r="F271" s="12" t="s">
        <v>871</v>
      </c>
      <c r="G271" s="12" t="s">
        <v>21</v>
      </c>
      <c r="H271" s="11" t="s">
        <v>63</v>
      </c>
      <c r="I271" s="13" t="s">
        <v>938</v>
      </c>
      <c r="J271" s="14" t="str">
        <f>HYPERLINK("https://www.boe.es/gazeta/dias/1839/04/18/pdfs/GMD-1839-1615.pdf#page=4","Abrir facsímil")</f>
        <v>Abrir facsímil</v>
      </c>
      <c r="K271" s="12" t="s">
        <v>65</v>
      </c>
    </row>
    <row r="272" spans="1:11" ht="40.049999999999997" customHeight="1" x14ac:dyDescent="0.25">
      <c r="A272" s="11" t="s">
        <v>939</v>
      </c>
      <c r="B272" s="11" t="s">
        <v>940</v>
      </c>
      <c r="C272" s="11" t="s">
        <v>17</v>
      </c>
      <c r="D272" s="11" t="s">
        <v>18</v>
      </c>
      <c r="E272" s="12" t="s">
        <v>258</v>
      </c>
      <c r="F272" s="12" t="s">
        <v>259</v>
      </c>
      <c r="G272" s="12" t="s">
        <v>46</v>
      </c>
      <c r="H272" s="11" t="s">
        <v>22</v>
      </c>
      <c r="I272" s="13" t="s">
        <v>941</v>
      </c>
      <c r="J272" s="14" t="str">
        <f>HYPERLINK("https://www.boe.es/gazeta/dias/1839/01/02/pdfs/GMD-1839-1509.pdf#page=3","Abrir facsímil")</f>
        <v>Abrir facsímil</v>
      </c>
      <c r="K272" s="12" t="s">
        <v>24</v>
      </c>
    </row>
    <row r="273" spans="1:11" ht="40.049999999999997" customHeight="1" x14ac:dyDescent="0.25">
      <c r="A273" s="11" t="s">
        <v>942</v>
      </c>
      <c r="B273" s="11" t="s">
        <v>943</v>
      </c>
      <c r="C273" s="11" t="s">
        <v>17</v>
      </c>
      <c r="D273" s="11" t="s">
        <v>18</v>
      </c>
      <c r="E273" s="12" t="s">
        <v>474</v>
      </c>
      <c r="F273" s="12" t="s">
        <v>475</v>
      </c>
      <c r="G273" s="12" t="s">
        <v>21</v>
      </c>
      <c r="H273" s="11" t="s">
        <v>63</v>
      </c>
      <c r="I273" s="13" t="s">
        <v>944</v>
      </c>
      <c r="J273" s="14" t="str">
        <f>HYPERLINK("https://www.boe.es/gazeta/dias/1839/03/31/pdfs/GMD-1839-1597.pdf#page=4","Abrir facsímil")</f>
        <v>Abrir facsímil</v>
      </c>
      <c r="K273" s="12" t="s">
        <v>65</v>
      </c>
    </row>
    <row r="274" spans="1:11" ht="40.049999999999997" customHeight="1" x14ac:dyDescent="0.25">
      <c r="A274" s="11" t="s">
        <v>945</v>
      </c>
      <c r="B274" s="11" t="s">
        <v>945</v>
      </c>
      <c r="C274" s="11" t="s">
        <v>17</v>
      </c>
      <c r="D274" s="11" t="s">
        <v>18</v>
      </c>
      <c r="E274" s="12" t="s">
        <v>946</v>
      </c>
      <c r="F274" s="12" t="s">
        <v>947</v>
      </c>
      <c r="G274" s="12" t="s">
        <v>40</v>
      </c>
      <c r="H274" s="11" t="s">
        <v>63</v>
      </c>
      <c r="I274" s="13" t="s">
        <v>948</v>
      </c>
      <c r="J274" s="14" t="str">
        <f>HYPERLINK("https://www.boe.es/gazeta/dias/1839/04/15/pdfs/GMD-1839-1612.pdf#page=2","Abrir facsímil")</f>
        <v>Abrir facsímil</v>
      </c>
      <c r="K274" s="12" t="s">
        <v>65</v>
      </c>
    </row>
    <row r="275" spans="1:11" ht="40.049999999999997" customHeight="1" x14ac:dyDescent="0.25">
      <c r="A275" s="11" t="s">
        <v>949</v>
      </c>
      <c r="B275" s="11" t="s">
        <v>950</v>
      </c>
      <c r="C275" s="11" t="s">
        <v>17</v>
      </c>
      <c r="D275" s="11" t="s">
        <v>18</v>
      </c>
      <c r="E275" s="12" t="s">
        <v>951</v>
      </c>
      <c r="F275" s="12" t="s">
        <v>952</v>
      </c>
      <c r="G275" s="12" t="s">
        <v>21</v>
      </c>
      <c r="H275" s="11" t="s">
        <v>63</v>
      </c>
      <c r="I275" s="13" t="s">
        <v>953</v>
      </c>
      <c r="J275" s="14" t="str">
        <f>HYPERLINK("https://www.boe.es/gazeta/dias/1839/12/30/pdfs/GMD-1839-1877.pdf#page=4","Abrir facsímil")</f>
        <v>Abrir facsímil</v>
      </c>
      <c r="K275" s="12" t="s">
        <v>65</v>
      </c>
    </row>
    <row r="276" spans="1:11" ht="40.049999999999997" customHeight="1" x14ac:dyDescent="0.25">
      <c r="A276" s="11" t="s">
        <v>954</v>
      </c>
      <c r="B276" s="11" t="s">
        <v>955</v>
      </c>
      <c r="C276" s="11" t="s">
        <v>59</v>
      </c>
      <c r="D276" s="11" t="s">
        <v>60</v>
      </c>
      <c r="E276" s="12" t="s">
        <v>19</v>
      </c>
      <c r="F276" s="12" t="s">
        <v>20</v>
      </c>
      <c r="G276" s="12" t="s">
        <v>29</v>
      </c>
      <c r="H276" s="11" t="s">
        <v>63</v>
      </c>
      <c r="I276" s="13" t="s">
        <v>956</v>
      </c>
      <c r="J276" s="14" t="str">
        <f>HYPERLINK("https://www.boe.es/gazeta/dias/1839/01/19/pdfs/GMD-1839-1526.pdf#page=1","Abrir facsímil")</f>
        <v>Abrir facsímil</v>
      </c>
      <c r="K276" s="12" t="s">
        <v>65</v>
      </c>
    </row>
    <row r="277" spans="1:11" ht="40.049999999999997" customHeight="1" x14ac:dyDescent="0.25">
      <c r="A277" s="11" t="s">
        <v>957</v>
      </c>
      <c r="B277" s="11" t="s">
        <v>958</v>
      </c>
      <c r="C277" s="11" t="s">
        <v>17</v>
      </c>
      <c r="D277" s="11" t="s">
        <v>18</v>
      </c>
      <c r="E277" s="12" t="s">
        <v>959</v>
      </c>
      <c r="F277" s="12" t="s">
        <v>960</v>
      </c>
      <c r="G277" s="12" t="s">
        <v>29</v>
      </c>
      <c r="H277" s="11" t="s">
        <v>63</v>
      </c>
      <c r="I277" s="13" t="s">
        <v>961</v>
      </c>
      <c r="J277" s="14" t="str">
        <f>HYPERLINK("https://www.boe.es/gazeta/dias/1839/12/06/pdfs/GMD-1839-1853.pdf#page=1","Abrir facsímil")</f>
        <v>Abrir facsímil</v>
      </c>
      <c r="K277" s="12" t="s">
        <v>65</v>
      </c>
    </row>
    <row r="278" spans="1:11" ht="40.049999999999997" customHeight="1" x14ac:dyDescent="0.25">
      <c r="A278" s="11" t="s">
        <v>962</v>
      </c>
      <c r="B278" s="11" t="s">
        <v>963</v>
      </c>
      <c r="C278" s="11" t="s">
        <v>17</v>
      </c>
      <c r="D278" s="11" t="s">
        <v>18</v>
      </c>
      <c r="E278" s="12" t="s">
        <v>258</v>
      </c>
      <c r="F278" s="12" t="s">
        <v>259</v>
      </c>
      <c r="G278" s="12" t="s">
        <v>46</v>
      </c>
      <c r="H278" s="11" t="s">
        <v>22</v>
      </c>
      <c r="I278" s="13" t="s">
        <v>964</v>
      </c>
      <c r="J278" s="14" t="str">
        <f>HYPERLINK("https://www.boe.es/gazeta/dias/1839/01/02/pdfs/GMD-1839-1509.pdf#page=3","Abrir facsímil")</f>
        <v>Abrir facsímil</v>
      </c>
      <c r="K278" s="12" t="s">
        <v>24</v>
      </c>
    </row>
    <row r="279" spans="1:11" ht="40.049999999999997" customHeight="1" x14ac:dyDescent="0.25">
      <c r="A279" s="11" t="s">
        <v>965</v>
      </c>
      <c r="B279" s="11" t="s">
        <v>966</v>
      </c>
      <c r="C279" s="11" t="s">
        <v>137</v>
      </c>
      <c r="D279" s="11" t="s">
        <v>18</v>
      </c>
      <c r="E279" s="12" t="s">
        <v>89</v>
      </c>
      <c r="F279" s="12" t="s">
        <v>90</v>
      </c>
      <c r="G279" s="12" t="s">
        <v>21</v>
      </c>
      <c r="H279" s="11" t="s">
        <v>63</v>
      </c>
      <c r="I279" s="13" t="s">
        <v>967</v>
      </c>
      <c r="J279" s="14" t="str">
        <f>HYPERLINK("https://www.boe.es/gazeta/dias/1839/11/28/pdfs/GMD-1839-1845.pdf#page=4","Abrir facsímil")</f>
        <v>Abrir facsímil</v>
      </c>
      <c r="K279" s="12" t="s">
        <v>65</v>
      </c>
    </row>
    <row r="280" spans="1:11" ht="40.049999999999997" customHeight="1" x14ac:dyDescent="0.25">
      <c r="A280" s="11" t="s">
        <v>968</v>
      </c>
      <c r="B280" s="11" t="s">
        <v>969</v>
      </c>
      <c r="C280" s="11" t="s">
        <v>80</v>
      </c>
      <c r="D280" s="11" t="s">
        <v>18</v>
      </c>
      <c r="E280" s="12" t="s">
        <v>462</v>
      </c>
      <c r="F280" s="12" t="s">
        <v>463</v>
      </c>
      <c r="G280" s="12" t="s">
        <v>21</v>
      </c>
      <c r="H280" s="11" t="s">
        <v>63</v>
      </c>
      <c r="I280" s="13" t="s">
        <v>970</v>
      </c>
      <c r="J280" s="14" t="str">
        <f>HYPERLINK("https://www.boe.es/gazeta/dias/1839/06/19/pdfs/GMD-1839-1677.pdf#page=4","Abrir facsímil")</f>
        <v>Abrir facsímil</v>
      </c>
      <c r="K280" s="12" t="s">
        <v>65</v>
      </c>
    </row>
    <row r="281" spans="1:11" ht="40.049999999999997" customHeight="1" x14ac:dyDescent="0.25">
      <c r="A281" s="11" t="s">
        <v>971</v>
      </c>
      <c r="B281" s="11" t="s">
        <v>972</v>
      </c>
      <c r="C281" s="11" t="s">
        <v>80</v>
      </c>
      <c r="D281" s="11" t="s">
        <v>18</v>
      </c>
      <c r="E281" s="12" t="s">
        <v>138</v>
      </c>
      <c r="F281" s="12" t="s">
        <v>139</v>
      </c>
      <c r="G281" s="12" t="s">
        <v>29</v>
      </c>
      <c r="H281" s="11" t="s">
        <v>63</v>
      </c>
      <c r="I281" s="13" t="s">
        <v>973</v>
      </c>
      <c r="J281" s="14" t="str">
        <f>HYPERLINK("https://www.boe.es/gazeta/dias/1839/10/09/pdfs/GMD-1839-1795.pdf#page=1","Abrir facsímil")</f>
        <v>Abrir facsímil</v>
      </c>
      <c r="K281" s="12" t="s">
        <v>65</v>
      </c>
    </row>
    <row r="282" spans="1:11" ht="40.049999999999997" customHeight="1" x14ac:dyDescent="0.25">
      <c r="A282" s="11" t="s">
        <v>974</v>
      </c>
      <c r="B282" s="11" t="s">
        <v>975</v>
      </c>
      <c r="C282" s="11" t="s">
        <v>17</v>
      </c>
      <c r="D282" s="11" t="s">
        <v>18</v>
      </c>
      <c r="E282" s="12" t="s">
        <v>817</v>
      </c>
      <c r="F282" s="12" t="s">
        <v>818</v>
      </c>
      <c r="G282" s="12" t="s">
        <v>21</v>
      </c>
      <c r="H282" s="11" t="s">
        <v>63</v>
      </c>
      <c r="I282" s="13" t="s">
        <v>976</v>
      </c>
      <c r="J282" s="14" t="str">
        <f>HYPERLINK("https://www.boe.es/gazeta/dias/1839/05/28/pdfs/GMD-1839-1655.pdf#page=4","Abrir facsímil")</f>
        <v>Abrir facsímil</v>
      </c>
      <c r="K282" s="12" t="s">
        <v>65</v>
      </c>
    </row>
    <row r="283" spans="1:11" ht="40.049999999999997" customHeight="1" x14ac:dyDescent="0.25">
      <c r="A283" s="11" t="s">
        <v>977</v>
      </c>
      <c r="B283" s="11" t="s">
        <v>978</v>
      </c>
      <c r="C283" s="11" t="s">
        <v>17</v>
      </c>
      <c r="D283" s="11" t="s">
        <v>18</v>
      </c>
      <c r="E283" s="12" t="s">
        <v>128</v>
      </c>
      <c r="F283" s="12" t="s">
        <v>129</v>
      </c>
      <c r="G283" s="12" t="s">
        <v>21</v>
      </c>
      <c r="H283" s="11" t="s">
        <v>63</v>
      </c>
      <c r="I283" s="13" t="s">
        <v>979</v>
      </c>
      <c r="J283" s="14" t="str">
        <f>HYPERLINK("https://www.boe.es/gazeta/dias/1839/05/25/pdfs/GMD-1839-1652.pdf#page=4","Abrir facsímil")</f>
        <v>Abrir facsímil</v>
      </c>
      <c r="K283" s="12" t="s">
        <v>65</v>
      </c>
    </row>
    <row r="284" spans="1:11" ht="40.049999999999997" customHeight="1" x14ac:dyDescent="0.25">
      <c r="A284" s="11" t="s">
        <v>980</v>
      </c>
      <c r="B284" s="11" t="s">
        <v>981</v>
      </c>
      <c r="C284" s="11" t="s">
        <v>101</v>
      </c>
      <c r="D284" s="11" t="s">
        <v>43</v>
      </c>
      <c r="E284" s="12" t="s">
        <v>736</v>
      </c>
      <c r="F284" s="12" t="s">
        <v>737</v>
      </c>
      <c r="G284" s="12" t="s">
        <v>21</v>
      </c>
      <c r="H284" s="11" t="s">
        <v>63</v>
      </c>
      <c r="I284" s="13" t="s">
        <v>982</v>
      </c>
      <c r="J284" s="14" t="str">
        <f>HYPERLINK("https://www.boe.es/gazeta/dias/1839/10/13/pdfs/GMD-1839-1799.pdf#page=4","Abrir facsímil")</f>
        <v>Abrir facsímil</v>
      </c>
      <c r="K284" s="12" t="s">
        <v>65</v>
      </c>
    </row>
    <row r="285" spans="1:11" ht="40.049999999999997" customHeight="1" x14ac:dyDescent="0.25">
      <c r="A285" s="11" t="s">
        <v>983</v>
      </c>
      <c r="B285" s="11" t="s">
        <v>983</v>
      </c>
      <c r="C285" s="11" t="s">
        <v>59</v>
      </c>
      <c r="D285" s="11" t="s">
        <v>60</v>
      </c>
      <c r="E285" s="12" t="s">
        <v>984</v>
      </c>
      <c r="F285" s="12" t="s">
        <v>985</v>
      </c>
      <c r="G285" s="12" t="s">
        <v>46</v>
      </c>
      <c r="H285" s="11" t="s">
        <v>63</v>
      </c>
      <c r="I285" s="13" t="s">
        <v>986</v>
      </c>
      <c r="J285" s="14" t="str">
        <f>HYPERLINK("https://www.boe.es/gazeta/dias/1839/04/10/pdfs/GMD-1839-1607.pdf#page=3","Abrir facsímil")</f>
        <v>Abrir facsímil</v>
      </c>
      <c r="K285" s="12" t="s">
        <v>65</v>
      </c>
    </row>
    <row r="286" spans="1:11" ht="40.049999999999997" customHeight="1" x14ac:dyDescent="0.25">
      <c r="A286" s="11" t="s">
        <v>987</v>
      </c>
      <c r="B286" s="11" t="s">
        <v>988</v>
      </c>
      <c r="C286" s="11" t="s">
        <v>17</v>
      </c>
      <c r="D286" s="11" t="s">
        <v>18</v>
      </c>
      <c r="E286" s="12" t="s">
        <v>181</v>
      </c>
      <c r="F286" s="12" t="s">
        <v>182</v>
      </c>
      <c r="G286" s="12" t="s">
        <v>29</v>
      </c>
      <c r="H286" s="11" t="s">
        <v>63</v>
      </c>
      <c r="I286" s="13" t="s">
        <v>989</v>
      </c>
      <c r="J286" s="14" t="str">
        <f>HYPERLINK("https://www.boe.es/gazeta/dias/1839/01/11/pdfs/GMD-1839-1518.pdf#page=1","Abrir facsímil")</f>
        <v>Abrir facsímil</v>
      </c>
      <c r="K286" s="12" t="s">
        <v>65</v>
      </c>
    </row>
    <row r="287" spans="1:11" ht="40.049999999999997" customHeight="1" x14ac:dyDescent="0.25">
      <c r="A287" s="11" t="s">
        <v>990</v>
      </c>
      <c r="B287" s="11" t="s">
        <v>991</v>
      </c>
      <c r="C287" s="11" t="s">
        <v>80</v>
      </c>
      <c r="D287" s="11" t="s">
        <v>18</v>
      </c>
      <c r="E287" s="12" t="s">
        <v>992</v>
      </c>
      <c r="F287" s="12" t="s">
        <v>993</v>
      </c>
      <c r="G287" s="12" t="s">
        <v>21</v>
      </c>
      <c r="H287" s="11" t="s">
        <v>63</v>
      </c>
      <c r="I287" s="13" t="s">
        <v>994</v>
      </c>
      <c r="J287" s="14" t="str">
        <f>HYPERLINK("https://www.boe.es/gazeta/dias/1839/02/18/pdfs/GMD-1839-1556.pdf#page=4","Abrir facsímil")</f>
        <v>Abrir facsímil</v>
      </c>
      <c r="K287" s="12" t="s">
        <v>65</v>
      </c>
    </row>
    <row r="288" spans="1:11" ht="40.049999999999997" customHeight="1" x14ac:dyDescent="0.25">
      <c r="A288" s="11" t="s">
        <v>995</v>
      </c>
      <c r="B288" s="11" t="s">
        <v>995</v>
      </c>
      <c r="C288" s="11" t="s">
        <v>80</v>
      </c>
      <c r="D288" s="11" t="s">
        <v>18</v>
      </c>
      <c r="E288" s="12" t="s">
        <v>398</v>
      </c>
      <c r="F288" s="12" t="s">
        <v>399</v>
      </c>
      <c r="G288" s="12" t="s">
        <v>21</v>
      </c>
      <c r="H288" s="11" t="s">
        <v>22</v>
      </c>
      <c r="I288" s="13" t="s">
        <v>996</v>
      </c>
      <c r="J288" s="14" t="str">
        <f>HYPERLINK("https://www.boe.es/gazeta/dias/1839/05/17/pdfs/GMD-1839-1644.pdf#page=4","Abrir facsímil")</f>
        <v>Abrir facsímil</v>
      </c>
      <c r="K288" s="12" t="s">
        <v>24</v>
      </c>
    </row>
    <row r="289" spans="1:11" ht="40.049999999999997" customHeight="1" x14ac:dyDescent="0.25">
      <c r="A289" s="11" t="s">
        <v>997</v>
      </c>
      <c r="B289" s="11" t="s">
        <v>997</v>
      </c>
      <c r="C289" s="11" t="s">
        <v>101</v>
      </c>
      <c r="D289" s="11" t="s">
        <v>102</v>
      </c>
      <c r="E289" s="12" t="s">
        <v>998</v>
      </c>
      <c r="F289" s="12" t="s">
        <v>999</v>
      </c>
      <c r="G289" s="12" t="s">
        <v>46</v>
      </c>
      <c r="H289" s="11" t="s">
        <v>63</v>
      </c>
      <c r="I289" s="13" t="s">
        <v>1000</v>
      </c>
      <c r="J289" s="14" t="str">
        <f>HYPERLINK("https://www.boe.es/gazeta/dias/1839/05/06/pdfs/GMD-1839-1633.pdf#page=3","Abrir facsímil")</f>
        <v>Abrir facsímil</v>
      </c>
      <c r="K289" s="12" t="s">
        <v>65</v>
      </c>
    </row>
    <row r="290" spans="1:11" ht="40.049999999999997" customHeight="1" x14ac:dyDescent="0.25">
      <c r="A290" s="11" t="s">
        <v>997</v>
      </c>
      <c r="B290" s="11" t="s">
        <v>997</v>
      </c>
      <c r="C290" s="11" t="s">
        <v>80</v>
      </c>
      <c r="D290" s="11" t="s">
        <v>18</v>
      </c>
      <c r="E290" s="12" t="s">
        <v>1001</v>
      </c>
      <c r="F290" s="12" t="s">
        <v>1002</v>
      </c>
      <c r="G290" s="12" t="s">
        <v>40</v>
      </c>
      <c r="H290" s="11" t="s">
        <v>63</v>
      </c>
      <c r="I290" s="13" t="s">
        <v>1003</v>
      </c>
      <c r="J290" s="14" t="str">
        <f>HYPERLINK("https://www.boe.es/gazeta/dias/1839/07/09/pdfs/GMD-1839-1697.pdf#page=2","Abrir facsímil")</f>
        <v>Abrir facsímil</v>
      </c>
      <c r="K290" s="12" t="s">
        <v>65</v>
      </c>
    </row>
    <row r="291" spans="1:11" ht="40.049999999999997" customHeight="1" x14ac:dyDescent="0.25">
      <c r="A291" s="11" t="s">
        <v>1004</v>
      </c>
      <c r="B291" s="11" t="s">
        <v>1004</v>
      </c>
      <c r="C291" s="11" t="s">
        <v>137</v>
      </c>
      <c r="D291" s="11" t="s">
        <v>18</v>
      </c>
      <c r="E291" s="12" t="s">
        <v>527</v>
      </c>
      <c r="F291" s="12" t="s">
        <v>528</v>
      </c>
      <c r="G291" s="12" t="s">
        <v>40</v>
      </c>
      <c r="H291" s="11" t="s">
        <v>22</v>
      </c>
      <c r="I291" s="13" t="s">
        <v>1005</v>
      </c>
      <c r="J291" s="14" t="str">
        <f>HYPERLINK("https://www.boe.es/gazeta/dias/1839/07/10/pdfs/GMD-1839-1698.pdf#page=2","Abrir facsímil")</f>
        <v>Abrir facsímil</v>
      </c>
      <c r="K291" s="12" t="s">
        <v>24</v>
      </c>
    </row>
    <row r="292" spans="1:11" ht="40.049999999999997" customHeight="1" x14ac:dyDescent="0.25">
      <c r="A292" s="11" t="s">
        <v>1006</v>
      </c>
      <c r="B292" s="11" t="s">
        <v>1007</v>
      </c>
      <c r="C292" s="11" t="s">
        <v>17</v>
      </c>
      <c r="D292" s="11" t="s">
        <v>18</v>
      </c>
      <c r="E292" s="12" t="s">
        <v>1008</v>
      </c>
      <c r="F292" s="12" t="s">
        <v>1009</v>
      </c>
      <c r="G292" s="12" t="s">
        <v>21</v>
      </c>
      <c r="H292" s="11" t="s">
        <v>22</v>
      </c>
      <c r="I292" s="13" t="s">
        <v>1010</v>
      </c>
      <c r="J292" s="14" t="str">
        <f>HYPERLINK("https://www.boe.es/gazeta/dias/1839/09/07/pdfs/GMD-1839-1760.pdf#page=4","Abrir facsímil")</f>
        <v>Abrir facsímil</v>
      </c>
      <c r="K292" s="12" t="s">
        <v>24</v>
      </c>
    </row>
    <row r="293" spans="1:11" ht="40.049999999999997" customHeight="1" x14ac:dyDescent="0.25">
      <c r="A293" s="11" t="s">
        <v>1011</v>
      </c>
      <c r="B293" s="11" t="s">
        <v>1011</v>
      </c>
      <c r="C293" s="11" t="s">
        <v>59</v>
      </c>
      <c r="D293" s="11" t="s">
        <v>60</v>
      </c>
      <c r="E293" s="12" t="s">
        <v>1012</v>
      </c>
      <c r="F293" s="12" t="s">
        <v>1013</v>
      </c>
      <c r="G293" s="12" t="s">
        <v>46</v>
      </c>
      <c r="H293" s="11" t="s">
        <v>63</v>
      </c>
      <c r="I293" s="13" t="s">
        <v>1014</v>
      </c>
      <c r="J293" s="14" t="str">
        <f>HYPERLINK("https://www.boe.es/gazeta/dias/1839/11/22/pdfs/GMD-1839-1839.pdf#page=3","Abrir facsímil")</f>
        <v>Abrir facsímil</v>
      </c>
      <c r="K293" s="12" t="s">
        <v>65</v>
      </c>
    </row>
    <row r="294" spans="1:11" ht="40.049999999999997" customHeight="1" x14ac:dyDescent="0.25">
      <c r="A294" s="11" t="s">
        <v>1015</v>
      </c>
      <c r="B294" s="11" t="s">
        <v>1015</v>
      </c>
      <c r="C294" s="11" t="s">
        <v>137</v>
      </c>
      <c r="D294" s="11" t="s">
        <v>18</v>
      </c>
      <c r="E294" s="12" t="s">
        <v>883</v>
      </c>
      <c r="F294" s="12" t="s">
        <v>884</v>
      </c>
      <c r="G294" s="12" t="s">
        <v>40</v>
      </c>
      <c r="H294" s="11" t="s">
        <v>63</v>
      </c>
      <c r="I294" s="13" t="s">
        <v>1016</v>
      </c>
      <c r="J294" s="14" t="str">
        <f>HYPERLINK("https://www.boe.es/gazeta/dias/1839/11/03/pdfs/GMD-1839-1820.pdf#page=2","Abrir facsímil")</f>
        <v>Abrir facsímil</v>
      </c>
      <c r="K294" s="12" t="s">
        <v>65</v>
      </c>
    </row>
    <row r="295" spans="1:11" ht="40.049999999999997" customHeight="1" x14ac:dyDescent="0.25">
      <c r="A295" s="11" t="s">
        <v>1017</v>
      </c>
      <c r="B295" s="11" t="s">
        <v>1018</v>
      </c>
      <c r="C295" s="11" t="s">
        <v>17</v>
      </c>
      <c r="D295" s="11" t="s">
        <v>18</v>
      </c>
      <c r="E295" s="12" t="s">
        <v>1019</v>
      </c>
      <c r="F295" s="12" t="s">
        <v>1020</v>
      </c>
      <c r="G295" s="12" t="s">
        <v>21</v>
      </c>
      <c r="H295" s="11" t="s">
        <v>63</v>
      </c>
      <c r="I295" s="13" t="s">
        <v>1021</v>
      </c>
      <c r="J295" s="14" t="str">
        <f>HYPERLINK("https://www.boe.es/gazeta/dias/1839/07/15/pdfs/GMD-1839-1703.pdf#page=4","Abrir facsímil")</f>
        <v>Abrir facsímil</v>
      </c>
      <c r="K295" s="12" t="s">
        <v>65</v>
      </c>
    </row>
    <row r="296" spans="1:11" ht="40.049999999999997" customHeight="1" x14ac:dyDescent="0.25">
      <c r="A296" s="11" t="s">
        <v>1022</v>
      </c>
      <c r="B296" s="11" t="s">
        <v>1023</v>
      </c>
      <c r="C296" s="11" t="s">
        <v>17</v>
      </c>
      <c r="D296" s="11" t="s">
        <v>18</v>
      </c>
      <c r="E296" s="12" t="s">
        <v>258</v>
      </c>
      <c r="F296" s="12" t="s">
        <v>259</v>
      </c>
      <c r="G296" s="12" t="s">
        <v>46</v>
      </c>
      <c r="H296" s="11" t="s">
        <v>22</v>
      </c>
      <c r="I296" s="13" t="s">
        <v>1024</v>
      </c>
      <c r="J296" s="14" t="str">
        <f>HYPERLINK("https://www.boe.es/gazeta/dias/1839/01/02/pdfs/GMD-1839-1509.pdf#page=3","Abrir facsímil")</f>
        <v>Abrir facsímil</v>
      </c>
      <c r="K296" s="12" t="s">
        <v>24</v>
      </c>
    </row>
    <row r="297" spans="1:11" ht="40.049999999999997" customHeight="1" x14ac:dyDescent="0.25">
      <c r="A297" s="11" t="s">
        <v>1025</v>
      </c>
      <c r="B297" s="11" t="s">
        <v>1026</v>
      </c>
      <c r="C297" s="11" t="s">
        <v>17</v>
      </c>
      <c r="D297" s="11" t="s">
        <v>18</v>
      </c>
      <c r="E297" s="12" t="s">
        <v>1027</v>
      </c>
      <c r="F297" s="12" t="s">
        <v>1028</v>
      </c>
      <c r="G297" s="12" t="s">
        <v>21</v>
      </c>
      <c r="H297" s="11" t="s">
        <v>63</v>
      </c>
      <c r="I297" s="13" t="s">
        <v>1029</v>
      </c>
      <c r="J297" s="14" t="str">
        <f>HYPERLINK("https://www.boe.es/gazeta/dias/1839/08/16/pdfs/GMD-1839-1736.pdf#page=4","Abrir facsímil")</f>
        <v>Abrir facsímil</v>
      </c>
      <c r="K297" s="12" t="s">
        <v>65</v>
      </c>
    </row>
    <row r="298" spans="1:11" ht="40.049999999999997" customHeight="1" x14ac:dyDescent="0.25">
      <c r="A298" s="11" t="s">
        <v>1030</v>
      </c>
      <c r="B298" s="11" t="s">
        <v>1030</v>
      </c>
      <c r="C298" s="11" t="s">
        <v>17</v>
      </c>
      <c r="D298" s="11" t="s">
        <v>18</v>
      </c>
      <c r="E298" s="12" t="s">
        <v>258</v>
      </c>
      <c r="F298" s="12" t="s">
        <v>259</v>
      </c>
      <c r="G298" s="12" t="s">
        <v>40</v>
      </c>
      <c r="H298" s="11" t="s">
        <v>63</v>
      </c>
      <c r="I298" s="13" t="s">
        <v>1031</v>
      </c>
      <c r="J298" s="14" t="str">
        <f>HYPERLINK("https://www.boe.es/gazeta/dias/1839/01/02/pdfs/GMD-1839-1509.pdf#page=2","Abrir facsímil")</f>
        <v>Abrir facsímil</v>
      </c>
      <c r="K298" s="12" t="s">
        <v>65</v>
      </c>
    </row>
    <row r="299" spans="1:11" ht="40.049999999999997" customHeight="1" x14ac:dyDescent="0.25">
      <c r="A299" s="11" t="s">
        <v>1032</v>
      </c>
      <c r="B299" s="11" t="s">
        <v>1033</v>
      </c>
      <c r="C299" s="11" t="s">
        <v>101</v>
      </c>
      <c r="D299" s="11" t="s">
        <v>43</v>
      </c>
      <c r="E299" s="12" t="s">
        <v>568</v>
      </c>
      <c r="F299" s="12" t="s">
        <v>569</v>
      </c>
      <c r="G299" s="12" t="s">
        <v>21</v>
      </c>
      <c r="H299" s="11" t="s">
        <v>22</v>
      </c>
      <c r="I299" s="13" t="s">
        <v>1034</v>
      </c>
      <c r="J299" s="14" t="str">
        <f>HYPERLINK("https://www.boe.es/gazeta/dias/1839/10/23/pdfs/GMD-1839-1809.pdf#page=4","Abrir facsímil")</f>
        <v>Abrir facsímil</v>
      </c>
      <c r="K299" s="12" t="s">
        <v>24</v>
      </c>
    </row>
    <row r="300" spans="1:11" ht="40.049999999999997" customHeight="1" x14ac:dyDescent="0.25">
      <c r="A300" s="11" t="s">
        <v>1035</v>
      </c>
      <c r="B300" s="11" t="s">
        <v>1036</v>
      </c>
      <c r="C300" s="11" t="s">
        <v>17</v>
      </c>
      <c r="D300" s="11" t="s">
        <v>18</v>
      </c>
      <c r="E300" s="12" t="s">
        <v>284</v>
      </c>
      <c r="F300" s="12" t="s">
        <v>285</v>
      </c>
      <c r="G300" s="12" t="s">
        <v>21</v>
      </c>
      <c r="H300" s="11" t="s">
        <v>63</v>
      </c>
      <c r="I300" s="13" t="s">
        <v>1037</v>
      </c>
      <c r="J300" s="14" t="str">
        <f>HYPERLINK("https://www.boe.es/gazeta/dias/1839/01/27/pdfs/GMD-1839-1534.pdf#page=4","Abrir facsímil")</f>
        <v>Abrir facsímil</v>
      </c>
      <c r="K300" s="12" t="s">
        <v>65</v>
      </c>
    </row>
    <row r="301" spans="1:11" ht="40.049999999999997" customHeight="1" x14ac:dyDescent="0.25">
      <c r="A301" s="11" t="s">
        <v>1038</v>
      </c>
      <c r="B301" s="11" t="s">
        <v>1038</v>
      </c>
      <c r="C301" s="11" t="s">
        <v>17</v>
      </c>
      <c r="D301" s="11" t="s">
        <v>18</v>
      </c>
      <c r="E301" s="12" t="s">
        <v>212</v>
      </c>
      <c r="F301" s="12" t="s">
        <v>213</v>
      </c>
      <c r="G301" s="12" t="s">
        <v>46</v>
      </c>
      <c r="H301" s="11" t="s">
        <v>63</v>
      </c>
      <c r="I301" s="13" t="s">
        <v>1039</v>
      </c>
      <c r="J301" s="14" t="str">
        <f>HYPERLINK("https://www.boe.es/gazeta/dias/1839/10/03/pdfs/GMD-1839-1789.pdf#page=3","Abrir facsímil")</f>
        <v>Abrir facsímil</v>
      </c>
      <c r="K301" s="12" t="s">
        <v>65</v>
      </c>
    </row>
    <row r="302" spans="1:11" ht="40.049999999999997" customHeight="1" x14ac:dyDescent="0.25">
      <c r="A302" s="11" t="s">
        <v>1040</v>
      </c>
      <c r="B302" s="11" t="s">
        <v>1041</v>
      </c>
      <c r="C302" s="11" t="s">
        <v>137</v>
      </c>
      <c r="D302" s="11" t="s">
        <v>18</v>
      </c>
      <c r="E302" s="12" t="s">
        <v>907</v>
      </c>
      <c r="F302" s="12" t="s">
        <v>908</v>
      </c>
      <c r="G302" s="12" t="s">
        <v>21</v>
      </c>
      <c r="H302" s="11" t="s">
        <v>63</v>
      </c>
      <c r="I302" s="13" t="s">
        <v>1042</v>
      </c>
      <c r="J302" s="14" t="str">
        <f>HYPERLINK("https://www.boe.es/gazeta/dias/1839/07/31/pdfs/GMD-1839-1720.pdf#page=4","Abrir facsímil")</f>
        <v>Abrir facsímil</v>
      </c>
      <c r="K302" s="12" t="s">
        <v>65</v>
      </c>
    </row>
    <row r="303" spans="1:11" ht="40.049999999999997" customHeight="1" x14ac:dyDescent="0.25">
      <c r="A303" s="11" t="s">
        <v>1043</v>
      </c>
      <c r="B303" s="11" t="s">
        <v>1044</v>
      </c>
      <c r="C303" s="11" t="s">
        <v>17</v>
      </c>
      <c r="D303" s="11" t="s">
        <v>18</v>
      </c>
      <c r="E303" s="12" t="s">
        <v>723</v>
      </c>
      <c r="F303" s="12" t="s">
        <v>724</v>
      </c>
      <c r="G303" s="12" t="s">
        <v>40</v>
      </c>
      <c r="H303" s="11" t="s">
        <v>63</v>
      </c>
      <c r="I303" s="13" t="s">
        <v>1045</v>
      </c>
      <c r="J303" s="14" t="str">
        <f>HYPERLINK("https://www.boe.es/gazeta/dias/1839/09/26/pdfs/GMD-1839-1782.pdf#page=2","Abrir facsímil")</f>
        <v>Abrir facsímil</v>
      </c>
      <c r="K303" s="12" t="s">
        <v>65</v>
      </c>
    </row>
    <row r="304" spans="1:11" ht="40.049999999999997" customHeight="1" x14ac:dyDescent="0.25">
      <c r="A304" s="11" t="s">
        <v>1046</v>
      </c>
      <c r="B304" s="11" t="s">
        <v>1047</v>
      </c>
      <c r="C304" s="11" t="s">
        <v>17</v>
      </c>
      <c r="D304" s="11" t="s">
        <v>18</v>
      </c>
      <c r="E304" s="12" t="s">
        <v>621</v>
      </c>
      <c r="F304" s="12" t="s">
        <v>622</v>
      </c>
      <c r="G304" s="12" t="s">
        <v>29</v>
      </c>
      <c r="H304" s="11" t="s">
        <v>63</v>
      </c>
      <c r="I304" s="13" t="s">
        <v>1048</v>
      </c>
      <c r="J304" s="14" t="str">
        <f>HYPERLINK("https://www.boe.es/gazeta/dias/1839/04/14/pdfs/GMD-1839-1611.pdf#page=1","Abrir facsímil")</f>
        <v>Abrir facsímil</v>
      </c>
      <c r="K304" s="12" t="s">
        <v>65</v>
      </c>
    </row>
    <row r="305" spans="1:11" ht="40.049999999999997" customHeight="1" x14ac:dyDescent="0.25">
      <c r="A305" s="11" t="s">
        <v>1049</v>
      </c>
      <c r="B305" s="11" t="s">
        <v>1049</v>
      </c>
      <c r="C305" s="11" t="s">
        <v>17</v>
      </c>
      <c r="D305" s="11" t="s">
        <v>18</v>
      </c>
      <c r="E305" s="12" t="s">
        <v>212</v>
      </c>
      <c r="F305" s="12" t="s">
        <v>213</v>
      </c>
      <c r="G305" s="12" t="s">
        <v>46</v>
      </c>
      <c r="H305" s="11" t="s">
        <v>22</v>
      </c>
      <c r="I305" s="13" t="s">
        <v>1050</v>
      </c>
      <c r="J305" s="14" t="str">
        <f>HYPERLINK("https://www.boe.es/gazeta/dias/1839/10/03/pdfs/GMD-1839-1789.pdf#page=3","Abrir facsímil")</f>
        <v>Abrir facsímil</v>
      </c>
      <c r="K305" s="12" t="s">
        <v>24</v>
      </c>
    </row>
    <row r="306" spans="1:11" ht="40.049999999999997" customHeight="1" x14ac:dyDescent="0.25">
      <c r="A306" s="11" t="s">
        <v>1049</v>
      </c>
      <c r="B306" s="11" t="s">
        <v>1049</v>
      </c>
      <c r="C306" s="11" t="s">
        <v>101</v>
      </c>
      <c r="D306" s="11" t="s">
        <v>43</v>
      </c>
      <c r="E306" s="12" t="s">
        <v>103</v>
      </c>
      <c r="F306" s="12" t="s">
        <v>104</v>
      </c>
      <c r="G306" s="12" t="s">
        <v>46</v>
      </c>
      <c r="H306" s="11" t="s">
        <v>22</v>
      </c>
      <c r="I306" s="13" t="s">
        <v>1051</v>
      </c>
      <c r="J306" s="14" t="str">
        <f>HYPERLINK("https://www.boe.es/gazeta/dias/1839/10/12/pdfs/GMD-1839-1798.pdf#page=3","Abrir facsímil")</f>
        <v>Abrir facsímil</v>
      </c>
      <c r="K306" s="12" t="s">
        <v>24</v>
      </c>
    </row>
    <row r="307" spans="1:11" ht="40.049999999999997" customHeight="1" x14ac:dyDescent="0.25">
      <c r="A307" s="11" t="s">
        <v>1049</v>
      </c>
      <c r="B307" s="11" t="s">
        <v>1049</v>
      </c>
      <c r="C307" s="11" t="s">
        <v>17</v>
      </c>
      <c r="D307" s="11" t="s">
        <v>18</v>
      </c>
      <c r="E307" s="12" t="s">
        <v>650</v>
      </c>
      <c r="F307" s="12" t="s">
        <v>651</v>
      </c>
      <c r="G307" s="12" t="s">
        <v>40</v>
      </c>
      <c r="H307" s="11" t="s">
        <v>22</v>
      </c>
      <c r="I307" s="13" t="s">
        <v>1052</v>
      </c>
      <c r="J307" s="14" t="str">
        <f>HYPERLINK("https://www.boe.es/gazeta/dias/1839/10/25/pdfs/GMD-1839-1811.pdf#page=2","Abrir facsímil")</f>
        <v>Abrir facsímil</v>
      </c>
      <c r="K307" s="12" t="s">
        <v>24</v>
      </c>
    </row>
    <row r="308" spans="1:11" ht="40.049999999999997" customHeight="1" x14ac:dyDescent="0.25">
      <c r="A308" s="11" t="s">
        <v>1053</v>
      </c>
      <c r="B308" s="11" t="s">
        <v>1054</v>
      </c>
      <c r="C308" s="11" t="s">
        <v>17</v>
      </c>
      <c r="D308" s="11" t="s">
        <v>18</v>
      </c>
      <c r="E308" s="12" t="s">
        <v>416</v>
      </c>
      <c r="F308" s="12" t="s">
        <v>417</v>
      </c>
      <c r="G308" s="12" t="s">
        <v>46</v>
      </c>
      <c r="H308" s="11" t="s">
        <v>63</v>
      </c>
      <c r="I308" s="13" t="s">
        <v>1055</v>
      </c>
      <c r="J308" s="14" t="str">
        <f>HYPERLINK("https://www.boe.es/gazeta/dias/1839/10/24/pdfs/GMD-1839-1810.pdf#page=3","Abrir facsímil")</f>
        <v>Abrir facsímil</v>
      </c>
      <c r="K308" s="12" t="s">
        <v>65</v>
      </c>
    </row>
    <row r="309" spans="1:11" ht="40.049999999999997" customHeight="1" x14ac:dyDescent="0.25">
      <c r="A309" s="11" t="s">
        <v>1056</v>
      </c>
      <c r="B309" s="11" t="s">
        <v>1056</v>
      </c>
      <c r="C309" s="11" t="s">
        <v>80</v>
      </c>
      <c r="D309" s="11" t="s">
        <v>18</v>
      </c>
      <c r="E309" s="12" t="s">
        <v>1057</v>
      </c>
      <c r="F309" s="12" t="s">
        <v>1058</v>
      </c>
      <c r="G309" s="12" t="s">
        <v>46</v>
      </c>
      <c r="H309" s="11" t="s">
        <v>63</v>
      </c>
      <c r="I309" s="13" t="s">
        <v>1059</v>
      </c>
      <c r="J309" s="14" t="str">
        <f>HYPERLINK("https://www.boe.es/gazeta/dias/1839/10/01/pdfs/GMD-1839-1787.pdf#page=3","Abrir facsímil")</f>
        <v>Abrir facsímil</v>
      </c>
      <c r="K309" s="12" t="s">
        <v>65</v>
      </c>
    </row>
    <row r="310" spans="1:11" ht="40.049999999999997" customHeight="1" x14ac:dyDescent="0.25">
      <c r="A310" s="11" t="s">
        <v>1056</v>
      </c>
      <c r="B310" s="11" t="s">
        <v>1056</v>
      </c>
      <c r="C310" s="11" t="s">
        <v>17</v>
      </c>
      <c r="D310" s="11" t="s">
        <v>18</v>
      </c>
      <c r="E310" s="12" t="s">
        <v>212</v>
      </c>
      <c r="F310" s="12" t="s">
        <v>213</v>
      </c>
      <c r="G310" s="12" t="s">
        <v>40</v>
      </c>
      <c r="H310" s="11" t="s">
        <v>63</v>
      </c>
      <c r="I310" s="13" t="s">
        <v>1060</v>
      </c>
      <c r="J310" s="14" t="str">
        <f>HYPERLINK("https://www.boe.es/gazeta/dias/1839/10/03/pdfs/GMD-1839-1789.pdf#page=2","Abrir facsímil")</f>
        <v>Abrir facsímil</v>
      </c>
      <c r="K310" s="12" t="s">
        <v>65</v>
      </c>
    </row>
    <row r="311" spans="1:11" ht="40.049999999999997" customHeight="1" x14ac:dyDescent="0.25">
      <c r="A311" s="11" t="s">
        <v>1056</v>
      </c>
      <c r="B311" s="11" t="s">
        <v>1056</v>
      </c>
      <c r="C311" s="11" t="s">
        <v>101</v>
      </c>
      <c r="D311" s="11" t="s">
        <v>43</v>
      </c>
      <c r="E311" s="12" t="s">
        <v>212</v>
      </c>
      <c r="F311" s="12" t="s">
        <v>213</v>
      </c>
      <c r="G311" s="12" t="s">
        <v>46</v>
      </c>
      <c r="H311" s="11" t="s">
        <v>63</v>
      </c>
      <c r="I311" s="13" t="s">
        <v>1061</v>
      </c>
      <c r="J311" s="14" t="str">
        <f>HYPERLINK("https://www.boe.es/gazeta/dias/1839/10/03/pdfs/GMD-1839-1789.pdf#page=3","Abrir facsímil")</f>
        <v>Abrir facsímil</v>
      </c>
      <c r="K311" s="12" t="s">
        <v>65</v>
      </c>
    </row>
    <row r="312" spans="1:11" ht="40.049999999999997" customHeight="1" x14ac:dyDescent="0.25">
      <c r="A312" s="11" t="s">
        <v>1056</v>
      </c>
      <c r="B312" s="11" t="s">
        <v>1056</v>
      </c>
      <c r="C312" s="11" t="s">
        <v>17</v>
      </c>
      <c r="D312" s="11" t="s">
        <v>18</v>
      </c>
      <c r="E312" s="12" t="s">
        <v>883</v>
      </c>
      <c r="F312" s="12" t="s">
        <v>884</v>
      </c>
      <c r="G312" s="12" t="s">
        <v>46</v>
      </c>
      <c r="H312" s="11" t="s">
        <v>63</v>
      </c>
      <c r="I312" s="13" t="s">
        <v>1062</v>
      </c>
      <c r="J312" s="14" t="str">
        <f>HYPERLINK("https://www.boe.es/gazeta/dias/1839/11/03/pdfs/GMD-1839-1820.pdf#page=3","Abrir facsímil")</f>
        <v>Abrir facsímil</v>
      </c>
      <c r="K312" s="12" t="s">
        <v>65</v>
      </c>
    </row>
    <row r="313" spans="1:11" ht="40.049999999999997" customHeight="1" x14ac:dyDescent="0.25">
      <c r="A313" s="11" t="s">
        <v>1056</v>
      </c>
      <c r="B313" s="11" t="s">
        <v>1056</v>
      </c>
      <c r="C313" s="11" t="s">
        <v>17</v>
      </c>
      <c r="D313" s="11" t="s">
        <v>18</v>
      </c>
      <c r="E313" s="12" t="s">
        <v>303</v>
      </c>
      <c r="F313" s="12" t="s">
        <v>304</v>
      </c>
      <c r="G313" s="12" t="s">
        <v>40</v>
      </c>
      <c r="H313" s="11" t="s">
        <v>63</v>
      </c>
      <c r="I313" s="13" t="s">
        <v>1063</v>
      </c>
      <c r="J313" s="14" t="str">
        <f>HYPERLINK("https://www.boe.es/gazeta/dias/1839/10/06/pdfs/GMD-1839-1792.pdf#page=2","Abrir facsímil")</f>
        <v>Abrir facsímil</v>
      </c>
      <c r="K313" s="12" t="s">
        <v>65</v>
      </c>
    </row>
    <row r="314" spans="1:11" ht="40.049999999999997" customHeight="1" x14ac:dyDescent="0.25">
      <c r="A314" s="11" t="s">
        <v>1056</v>
      </c>
      <c r="B314" s="11" t="s">
        <v>1056</v>
      </c>
      <c r="C314" s="11" t="s">
        <v>17</v>
      </c>
      <c r="D314" s="11" t="s">
        <v>18</v>
      </c>
      <c r="E314" s="12" t="s">
        <v>388</v>
      </c>
      <c r="F314" s="12" t="s">
        <v>389</v>
      </c>
      <c r="G314" s="12" t="s">
        <v>46</v>
      </c>
      <c r="H314" s="11" t="s">
        <v>63</v>
      </c>
      <c r="I314" s="13" t="s">
        <v>1064</v>
      </c>
      <c r="J314" s="14" t="str">
        <f>HYPERLINK("https://www.boe.es/gazeta/dias/1839/08/07/pdfs/GMD-1839-1727.pdf#page=3","Abrir facsímil")</f>
        <v>Abrir facsímil</v>
      </c>
      <c r="K314" s="12" t="s">
        <v>65</v>
      </c>
    </row>
    <row r="315" spans="1:11" ht="40.049999999999997" customHeight="1" x14ac:dyDescent="0.25">
      <c r="A315" s="11" t="s">
        <v>1056</v>
      </c>
      <c r="B315" s="11" t="s">
        <v>1056</v>
      </c>
      <c r="C315" s="11" t="s">
        <v>80</v>
      </c>
      <c r="D315" s="11" t="s">
        <v>18</v>
      </c>
      <c r="E315" s="12" t="s">
        <v>647</v>
      </c>
      <c r="F315" s="12" t="s">
        <v>648</v>
      </c>
      <c r="G315" s="12" t="s">
        <v>566</v>
      </c>
      <c r="H315" s="11" t="s">
        <v>63</v>
      </c>
      <c r="I315" s="13" t="s">
        <v>1065</v>
      </c>
      <c r="J315" s="14" t="str">
        <f>HYPERLINK("https://www.boe.es/gazeta/dias/1839/10/08/pdfs/GMD-1839-1794.pdf#page=5","Abrir facsímil")</f>
        <v>Abrir facsímil</v>
      </c>
      <c r="K315" s="12" t="s">
        <v>65</v>
      </c>
    </row>
    <row r="316" spans="1:11" ht="40.049999999999997" customHeight="1" x14ac:dyDescent="0.25">
      <c r="A316" s="11" t="s">
        <v>1056</v>
      </c>
      <c r="B316" s="11" t="s">
        <v>1056</v>
      </c>
      <c r="C316" s="11" t="s">
        <v>17</v>
      </c>
      <c r="D316" s="11" t="s">
        <v>18</v>
      </c>
      <c r="E316" s="12" t="s">
        <v>103</v>
      </c>
      <c r="F316" s="12" t="s">
        <v>104</v>
      </c>
      <c r="G316" s="12" t="s">
        <v>46</v>
      </c>
      <c r="H316" s="11" t="s">
        <v>63</v>
      </c>
      <c r="I316" s="13" t="s">
        <v>1066</v>
      </c>
      <c r="J316" s="14" t="str">
        <f>HYPERLINK("https://www.boe.es/gazeta/dias/1839/10/12/pdfs/GMD-1839-1798.pdf#page=3","Abrir facsímil")</f>
        <v>Abrir facsímil</v>
      </c>
      <c r="K316" s="12" t="s">
        <v>65</v>
      </c>
    </row>
    <row r="317" spans="1:11" ht="40.049999999999997" customHeight="1" x14ac:dyDescent="0.25">
      <c r="A317" s="11" t="s">
        <v>1056</v>
      </c>
      <c r="B317" s="11" t="s">
        <v>1056</v>
      </c>
      <c r="C317" s="11" t="s">
        <v>17</v>
      </c>
      <c r="D317" s="11" t="s">
        <v>18</v>
      </c>
      <c r="E317" s="12" t="s">
        <v>592</v>
      </c>
      <c r="F317" s="12" t="s">
        <v>593</v>
      </c>
      <c r="G317" s="12" t="s">
        <v>46</v>
      </c>
      <c r="H317" s="11" t="s">
        <v>63</v>
      </c>
      <c r="I317" s="13" t="s">
        <v>1067</v>
      </c>
      <c r="J317" s="14" t="str">
        <f>HYPERLINK("https://www.boe.es/gazeta/dias/1839/09/14/pdfs/GMD-1839-1767.pdf#page=3","Abrir facsímil")</f>
        <v>Abrir facsímil</v>
      </c>
      <c r="K317" s="12" t="s">
        <v>65</v>
      </c>
    </row>
    <row r="318" spans="1:11" ht="40.049999999999997" customHeight="1" x14ac:dyDescent="0.25">
      <c r="A318" s="11" t="s">
        <v>1068</v>
      </c>
      <c r="B318" s="11" t="s">
        <v>1068</v>
      </c>
      <c r="C318" s="11" t="s">
        <v>101</v>
      </c>
      <c r="D318" s="11" t="s">
        <v>43</v>
      </c>
      <c r="E318" s="12" t="s">
        <v>1069</v>
      </c>
      <c r="F318" s="12" t="s">
        <v>1070</v>
      </c>
      <c r="G318" s="12" t="s">
        <v>46</v>
      </c>
      <c r="H318" s="11" t="s">
        <v>22</v>
      </c>
      <c r="I318" s="13" t="s">
        <v>1071</v>
      </c>
      <c r="J318" s="14" t="str">
        <f>HYPERLINK("https://www.boe.es/gazeta/dias/1839/10/15/pdfs/GMD-1839-1801.pdf#page=3","Abrir facsímil")</f>
        <v>Abrir facsímil</v>
      </c>
      <c r="K318" s="12" t="s">
        <v>24</v>
      </c>
    </row>
    <row r="319" spans="1:11" ht="40.049999999999997" customHeight="1" x14ac:dyDescent="0.25">
      <c r="A319" s="11" t="s">
        <v>1056</v>
      </c>
      <c r="B319" s="11" t="s">
        <v>1056</v>
      </c>
      <c r="C319" s="11" t="s">
        <v>101</v>
      </c>
      <c r="D319" s="11" t="s">
        <v>43</v>
      </c>
      <c r="E319" s="12" t="s">
        <v>1072</v>
      </c>
      <c r="F319" s="12" t="s">
        <v>1073</v>
      </c>
      <c r="G319" s="12" t="s">
        <v>29</v>
      </c>
      <c r="H319" s="11" t="s">
        <v>63</v>
      </c>
      <c r="I319" s="13" t="s">
        <v>1074</v>
      </c>
      <c r="J319" s="14" t="str">
        <f>HYPERLINK("https://www.boe.es/gazeta/dias/1839/01/18/pdfs/GMD-1839-1525.pdf#page=1","Abrir facsímil")</f>
        <v>Abrir facsímil</v>
      </c>
      <c r="K319" s="12" t="s">
        <v>65</v>
      </c>
    </row>
    <row r="320" spans="1:11" ht="40.049999999999997" customHeight="1" x14ac:dyDescent="0.25">
      <c r="A320" s="11" t="s">
        <v>1056</v>
      </c>
      <c r="B320" s="11" t="s">
        <v>1056</v>
      </c>
      <c r="C320" s="11" t="s">
        <v>17</v>
      </c>
      <c r="D320" s="11" t="s">
        <v>18</v>
      </c>
      <c r="E320" s="12" t="s">
        <v>713</v>
      </c>
      <c r="F320" s="12" t="s">
        <v>714</v>
      </c>
      <c r="G320" s="12" t="s">
        <v>29</v>
      </c>
      <c r="H320" s="11" t="s">
        <v>63</v>
      </c>
      <c r="I320" s="13" t="s">
        <v>1075</v>
      </c>
      <c r="J320" s="14" t="str">
        <f>HYPERLINK("https://www.boe.es/gazeta/dias/1839/12/18/pdfs/GMD-1839-1865.pdf#page=1","Abrir facsímil")</f>
        <v>Abrir facsímil</v>
      </c>
      <c r="K320" s="12" t="s">
        <v>65</v>
      </c>
    </row>
    <row r="321" spans="1:11" ht="40.049999999999997" customHeight="1" x14ac:dyDescent="0.25">
      <c r="A321" s="11" t="s">
        <v>1068</v>
      </c>
      <c r="B321" s="11" t="s">
        <v>1068</v>
      </c>
      <c r="C321" s="11" t="s">
        <v>101</v>
      </c>
      <c r="D321" s="11" t="s">
        <v>43</v>
      </c>
      <c r="E321" s="12" t="s">
        <v>1076</v>
      </c>
      <c r="F321" s="12" t="s">
        <v>1077</v>
      </c>
      <c r="G321" s="12" t="s">
        <v>21</v>
      </c>
      <c r="H321" s="11" t="s">
        <v>22</v>
      </c>
      <c r="I321" s="13" t="s">
        <v>1078</v>
      </c>
      <c r="J321" s="14" t="str">
        <f>HYPERLINK("https://www.boe.es/gazeta/dias/1839/10/19/pdfs/GMD-1839-1805.pdf#page=4","Abrir facsímil")</f>
        <v>Abrir facsímil</v>
      </c>
      <c r="K321" s="12" t="s">
        <v>24</v>
      </c>
    </row>
    <row r="322" spans="1:11" ht="40.049999999999997" customHeight="1" x14ac:dyDescent="0.25">
      <c r="A322" s="11" t="s">
        <v>1056</v>
      </c>
      <c r="B322" s="11" t="s">
        <v>1056</v>
      </c>
      <c r="C322" s="11" t="s">
        <v>17</v>
      </c>
      <c r="D322" s="11" t="s">
        <v>18</v>
      </c>
      <c r="E322" s="12" t="s">
        <v>1079</v>
      </c>
      <c r="F322" s="12" t="s">
        <v>1080</v>
      </c>
      <c r="G322" s="12" t="s">
        <v>40</v>
      </c>
      <c r="H322" s="11" t="s">
        <v>63</v>
      </c>
      <c r="I322" s="13" t="s">
        <v>1081</v>
      </c>
      <c r="J322" s="14" t="str">
        <f>HYPERLINK("https://www.boe.es/gazeta/dias/1839/05/24/pdfs/GMD-1839-1651.pdf#page=2","Abrir facsímil")</f>
        <v>Abrir facsímil</v>
      </c>
      <c r="K322" s="12" t="s">
        <v>65</v>
      </c>
    </row>
    <row r="323" spans="1:11" ht="40.049999999999997" customHeight="1" x14ac:dyDescent="0.25">
      <c r="A323" s="11" t="s">
        <v>1056</v>
      </c>
      <c r="B323" s="11" t="s">
        <v>1056</v>
      </c>
      <c r="C323" s="11" t="s">
        <v>17</v>
      </c>
      <c r="D323" s="11" t="s">
        <v>18</v>
      </c>
      <c r="E323" s="12" t="s">
        <v>416</v>
      </c>
      <c r="F323" s="12" t="s">
        <v>417</v>
      </c>
      <c r="G323" s="12" t="s">
        <v>46</v>
      </c>
      <c r="H323" s="11" t="s">
        <v>63</v>
      </c>
      <c r="I323" s="13" t="s">
        <v>1082</v>
      </c>
      <c r="J323" s="14" t="str">
        <f>HYPERLINK("https://www.boe.es/gazeta/dias/1839/10/24/pdfs/GMD-1839-1810.pdf#page=3","Abrir facsímil")</f>
        <v>Abrir facsímil</v>
      </c>
      <c r="K323" s="12" t="s">
        <v>65</v>
      </c>
    </row>
    <row r="324" spans="1:11" ht="40.049999999999997" customHeight="1" x14ac:dyDescent="0.25">
      <c r="A324" s="11" t="s">
        <v>1056</v>
      </c>
      <c r="B324" s="11" t="s">
        <v>1056</v>
      </c>
      <c r="C324" s="11" t="s">
        <v>17</v>
      </c>
      <c r="D324" s="11" t="s">
        <v>18</v>
      </c>
      <c r="E324" s="12" t="s">
        <v>416</v>
      </c>
      <c r="F324" s="12" t="s">
        <v>417</v>
      </c>
      <c r="G324" s="12" t="s">
        <v>21</v>
      </c>
      <c r="H324" s="11" t="s">
        <v>63</v>
      </c>
      <c r="I324" s="13" t="s">
        <v>1083</v>
      </c>
      <c r="J324" s="14" t="str">
        <f>HYPERLINK("https://www.boe.es/gazeta/dias/1839/10/24/pdfs/GMD-1839-1810.pdf#page=4","Abrir facsímil")</f>
        <v>Abrir facsímil</v>
      </c>
      <c r="K324" s="12" t="s">
        <v>65</v>
      </c>
    </row>
    <row r="325" spans="1:11" ht="40.049999999999997" customHeight="1" x14ac:dyDescent="0.25">
      <c r="A325" s="11" t="s">
        <v>1056</v>
      </c>
      <c r="B325" s="11" t="s">
        <v>1056</v>
      </c>
      <c r="C325" s="11" t="s">
        <v>59</v>
      </c>
      <c r="D325" s="11" t="s">
        <v>60</v>
      </c>
      <c r="E325" s="12" t="s">
        <v>650</v>
      </c>
      <c r="F325" s="12" t="s">
        <v>651</v>
      </c>
      <c r="G325" s="12" t="s">
        <v>40</v>
      </c>
      <c r="H325" s="11" t="s">
        <v>63</v>
      </c>
      <c r="I325" s="13" t="s">
        <v>1084</v>
      </c>
      <c r="J325" s="14" t="str">
        <f>HYPERLINK("https://www.boe.es/gazeta/dias/1839/10/25/pdfs/GMD-1839-1811.pdf#page=2","Abrir facsímil")</f>
        <v>Abrir facsímil</v>
      </c>
      <c r="K325" s="12" t="s">
        <v>65</v>
      </c>
    </row>
    <row r="326" spans="1:11" ht="40.049999999999997" customHeight="1" x14ac:dyDescent="0.25">
      <c r="A326" s="11" t="s">
        <v>1056</v>
      </c>
      <c r="B326" s="11" t="s">
        <v>1056</v>
      </c>
      <c r="C326" s="11" t="s">
        <v>80</v>
      </c>
      <c r="D326" s="11" t="s">
        <v>18</v>
      </c>
      <c r="E326" s="12" t="s">
        <v>650</v>
      </c>
      <c r="F326" s="12" t="s">
        <v>651</v>
      </c>
      <c r="G326" s="12" t="s">
        <v>46</v>
      </c>
      <c r="H326" s="11" t="s">
        <v>63</v>
      </c>
      <c r="I326" s="13" t="s">
        <v>1085</v>
      </c>
      <c r="J326" s="14" t="str">
        <f>HYPERLINK("https://www.boe.es/gazeta/dias/1839/10/25/pdfs/GMD-1839-1811.pdf#page=3","Abrir facsímil")</f>
        <v>Abrir facsímil</v>
      </c>
      <c r="K326" s="12" t="s">
        <v>65</v>
      </c>
    </row>
    <row r="327" spans="1:11" ht="40.049999999999997" customHeight="1" x14ac:dyDescent="0.25">
      <c r="A327" s="11" t="s">
        <v>1056</v>
      </c>
      <c r="B327" s="11" t="s">
        <v>1056</v>
      </c>
      <c r="C327" s="11" t="s">
        <v>80</v>
      </c>
      <c r="D327" s="11" t="s">
        <v>18</v>
      </c>
      <c r="E327" s="12" t="s">
        <v>1086</v>
      </c>
      <c r="F327" s="12" t="s">
        <v>1087</v>
      </c>
      <c r="G327" s="12" t="s">
        <v>40</v>
      </c>
      <c r="H327" s="11" t="s">
        <v>63</v>
      </c>
      <c r="I327" s="13" t="s">
        <v>1088</v>
      </c>
      <c r="J327" s="14" t="str">
        <f>HYPERLINK("https://www.boe.es/gazeta/dias/1839/10/26/pdfs/GMD-1839-1812.pdf#page=2","Abrir facsímil")</f>
        <v>Abrir facsímil</v>
      </c>
      <c r="K327" s="12" t="s">
        <v>65</v>
      </c>
    </row>
    <row r="328" spans="1:11" ht="40.049999999999997" customHeight="1" x14ac:dyDescent="0.25">
      <c r="A328" s="11" t="s">
        <v>1089</v>
      </c>
      <c r="B328" s="11" t="s">
        <v>1090</v>
      </c>
      <c r="C328" s="11" t="s">
        <v>17</v>
      </c>
      <c r="D328" s="11" t="s">
        <v>18</v>
      </c>
      <c r="E328" s="12" t="s">
        <v>258</v>
      </c>
      <c r="F328" s="12" t="s">
        <v>259</v>
      </c>
      <c r="G328" s="12" t="s">
        <v>46</v>
      </c>
      <c r="H328" s="11" t="s">
        <v>22</v>
      </c>
      <c r="I328" s="13" t="s">
        <v>1091</v>
      </c>
      <c r="J328" s="14" t="str">
        <f>HYPERLINK("https://www.boe.es/gazeta/dias/1839/01/02/pdfs/GMD-1839-1509.pdf#page=3","Abrir facsímil")</f>
        <v>Abrir facsímil</v>
      </c>
      <c r="K328" s="12" t="s">
        <v>24</v>
      </c>
    </row>
    <row r="329" spans="1:11" ht="40.049999999999997" customHeight="1" x14ac:dyDescent="0.25">
      <c r="A329" s="11" t="s">
        <v>1092</v>
      </c>
      <c r="B329" s="11" t="s">
        <v>1093</v>
      </c>
      <c r="C329" s="11" t="s">
        <v>17</v>
      </c>
      <c r="D329" s="11" t="s">
        <v>18</v>
      </c>
      <c r="E329" s="12" t="s">
        <v>236</v>
      </c>
      <c r="F329" s="12" t="s">
        <v>237</v>
      </c>
      <c r="G329" s="12" t="s">
        <v>46</v>
      </c>
      <c r="H329" s="11" t="s">
        <v>22</v>
      </c>
      <c r="I329" s="13" t="s">
        <v>1094</v>
      </c>
      <c r="J329" s="14" t="str">
        <f>HYPERLINK("https://www.boe.es/gazeta/dias/1839/09/18/pdfs/GMD-1839-1771.pdf#page=3","Abrir facsímil")</f>
        <v>Abrir facsímil</v>
      </c>
      <c r="K329" s="12" t="s">
        <v>24</v>
      </c>
    </row>
    <row r="330" spans="1:11" ht="40.049999999999997" customHeight="1" x14ac:dyDescent="0.25">
      <c r="A330" s="11" t="s">
        <v>1092</v>
      </c>
      <c r="B330" s="11" t="s">
        <v>1093</v>
      </c>
      <c r="C330" s="11" t="s">
        <v>80</v>
      </c>
      <c r="D330" s="11" t="s">
        <v>18</v>
      </c>
      <c r="E330" s="12" t="s">
        <v>821</v>
      </c>
      <c r="F330" s="12" t="s">
        <v>822</v>
      </c>
      <c r="G330" s="12" t="s">
        <v>21</v>
      </c>
      <c r="H330" s="11" t="s">
        <v>22</v>
      </c>
      <c r="I330" s="13" t="s">
        <v>1095</v>
      </c>
      <c r="J330" s="14" t="str">
        <f>HYPERLINK("https://www.boe.es/gazeta/dias/1839/09/20/pdfs/GMD-1839-1775.pdf#page=4","Abrir facsímil")</f>
        <v>Abrir facsímil</v>
      </c>
      <c r="K330" s="12" t="s">
        <v>24</v>
      </c>
    </row>
    <row r="331" spans="1:11" ht="40.049999999999997" customHeight="1" x14ac:dyDescent="0.25">
      <c r="A331" s="11" t="s">
        <v>1096</v>
      </c>
      <c r="B331" s="11" t="s">
        <v>1097</v>
      </c>
      <c r="C331" s="11" t="s">
        <v>80</v>
      </c>
      <c r="D331" s="11" t="s">
        <v>18</v>
      </c>
      <c r="E331" s="12" t="s">
        <v>1057</v>
      </c>
      <c r="F331" s="12" t="s">
        <v>1058</v>
      </c>
      <c r="G331" s="12" t="s">
        <v>46</v>
      </c>
      <c r="H331" s="11" t="s">
        <v>63</v>
      </c>
      <c r="I331" s="13" t="s">
        <v>1098</v>
      </c>
      <c r="J331" s="14" t="str">
        <f>HYPERLINK("https://www.boe.es/gazeta/dias/1839/10/01/pdfs/GMD-1839-1787.pdf#page=3","Abrir facsímil")</f>
        <v>Abrir facsímil</v>
      </c>
      <c r="K331" s="12" t="s">
        <v>65</v>
      </c>
    </row>
    <row r="332" spans="1:11" ht="40.049999999999997" customHeight="1" x14ac:dyDescent="0.25">
      <c r="A332" s="11" t="s">
        <v>1096</v>
      </c>
      <c r="B332" s="11" t="s">
        <v>1097</v>
      </c>
      <c r="C332" s="11" t="s">
        <v>17</v>
      </c>
      <c r="D332" s="11" t="s">
        <v>18</v>
      </c>
      <c r="E332" s="12" t="s">
        <v>1008</v>
      </c>
      <c r="F332" s="12" t="s">
        <v>1009</v>
      </c>
      <c r="G332" s="12" t="s">
        <v>40</v>
      </c>
      <c r="H332" s="11" t="s">
        <v>63</v>
      </c>
      <c r="I332" s="13" t="s">
        <v>1099</v>
      </c>
      <c r="J332" s="14" t="str">
        <f>HYPERLINK("https://www.boe.es/gazeta/dias/1839/09/07/pdfs/GMD-1839-1760.pdf#page=2","Abrir facsímil")</f>
        <v>Abrir facsímil</v>
      </c>
      <c r="K332" s="12" t="s">
        <v>65</v>
      </c>
    </row>
    <row r="333" spans="1:11" ht="40.049999999999997" customHeight="1" x14ac:dyDescent="0.25">
      <c r="A333" s="11" t="s">
        <v>1096</v>
      </c>
      <c r="B333" s="11" t="s">
        <v>1097</v>
      </c>
      <c r="C333" s="11" t="s">
        <v>17</v>
      </c>
      <c r="D333" s="11" t="s">
        <v>18</v>
      </c>
      <c r="E333" s="12" t="s">
        <v>1100</v>
      </c>
      <c r="F333" s="12" t="s">
        <v>1101</v>
      </c>
      <c r="G333" s="12" t="s">
        <v>29</v>
      </c>
      <c r="H333" s="11" t="s">
        <v>63</v>
      </c>
      <c r="I333" s="13" t="s">
        <v>1102</v>
      </c>
      <c r="J333" s="14" t="str">
        <f>HYPERLINK("https://www.boe.es/gazeta/dias/1839/09/13/pdfs/GMD-1839-1766.pdf#page=1","Abrir facsímil")</f>
        <v>Abrir facsímil</v>
      </c>
      <c r="K333" s="12" t="s">
        <v>65</v>
      </c>
    </row>
    <row r="334" spans="1:11" ht="40.049999999999997" customHeight="1" x14ac:dyDescent="0.25">
      <c r="A334" s="11" t="s">
        <v>1096</v>
      </c>
      <c r="B334" s="11" t="s">
        <v>1097</v>
      </c>
      <c r="C334" s="11" t="s">
        <v>101</v>
      </c>
      <c r="D334" s="11" t="s">
        <v>43</v>
      </c>
      <c r="E334" s="12" t="s">
        <v>592</v>
      </c>
      <c r="F334" s="12" t="s">
        <v>593</v>
      </c>
      <c r="G334" s="12" t="s">
        <v>46</v>
      </c>
      <c r="H334" s="11" t="s">
        <v>63</v>
      </c>
      <c r="I334" s="13" t="s">
        <v>1103</v>
      </c>
      <c r="J334" s="14" t="str">
        <f>HYPERLINK("https://www.boe.es/gazeta/dias/1839/09/14/pdfs/GMD-1839-1767.pdf#page=3","Abrir facsímil")</f>
        <v>Abrir facsímil</v>
      </c>
      <c r="K334" s="12" t="s">
        <v>65</v>
      </c>
    </row>
    <row r="335" spans="1:11" ht="40.049999999999997" customHeight="1" x14ac:dyDescent="0.25">
      <c r="A335" s="11" t="s">
        <v>1096</v>
      </c>
      <c r="B335" s="11" t="s">
        <v>1097</v>
      </c>
      <c r="C335" s="11" t="s">
        <v>101</v>
      </c>
      <c r="D335" s="11" t="s">
        <v>43</v>
      </c>
      <c r="E335" s="12" t="s">
        <v>230</v>
      </c>
      <c r="F335" s="12" t="s">
        <v>231</v>
      </c>
      <c r="G335" s="12" t="s">
        <v>40</v>
      </c>
      <c r="H335" s="11" t="s">
        <v>63</v>
      </c>
      <c r="I335" s="13" t="s">
        <v>1104</v>
      </c>
      <c r="J335" s="14" t="str">
        <f>HYPERLINK("https://www.boe.es/gazeta/dias/1839/09/16/pdfs/GMD-1839-1769.pdf#page=2","Abrir facsímil")</f>
        <v>Abrir facsímil</v>
      </c>
      <c r="K335" s="12" t="s">
        <v>65</v>
      </c>
    </row>
    <row r="336" spans="1:11" ht="40.049999999999997" customHeight="1" x14ac:dyDescent="0.25">
      <c r="A336" s="11" t="s">
        <v>1096</v>
      </c>
      <c r="B336" s="11" t="s">
        <v>1097</v>
      </c>
      <c r="C336" s="11" t="s">
        <v>137</v>
      </c>
      <c r="D336" s="11" t="s">
        <v>18</v>
      </c>
      <c r="E336" s="12" t="s">
        <v>564</v>
      </c>
      <c r="F336" s="12" t="s">
        <v>565</v>
      </c>
      <c r="G336" s="12" t="s">
        <v>46</v>
      </c>
      <c r="H336" s="11" t="s">
        <v>63</v>
      </c>
      <c r="I336" s="13" t="s">
        <v>1105</v>
      </c>
      <c r="J336" s="14" t="str">
        <f>HYPERLINK("https://www.boe.es/gazeta/dias/1839/10/17/pdfs/GMD-1839-1803.pdf#page=3","Abrir facsímil")</f>
        <v>Abrir facsímil</v>
      </c>
      <c r="K336" s="12" t="s">
        <v>65</v>
      </c>
    </row>
    <row r="337" spans="1:11" ht="40.049999999999997" customHeight="1" x14ac:dyDescent="0.25">
      <c r="A337" s="11" t="s">
        <v>1096</v>
      </c>
      <c r="B337" s="11" t="s">
        <v>1097</v>
      </c>
      <c r="C337" s="11" t="s">
        <v>137</v>
      </c>
      <c r="D337" s="11" t="s">
        <v>18</v>
      </c>
      <c r="E337" s="12" t="s">
        <v>236</v>
      </c>
      <c r="F337" s="12" t="s">
        <v>237</v>
      </c>
      <c r="G337" s="12" t="s">
        <v>46</v>
      </c>
      <c r="H337" s="11" t="s">
        <v>63</v>
      </c>
      <c r="I337" s="13" t="s">
        <v>1106</v>
      </c>
      <c r="J337" s="14" t="str">
        <f>HYPERLINK("https://www.boe.es/gazeta/dias/1839/09/18/pdfs/GMD-1839-1771.pdf#page=3","Abrir facsímil")</f>
        <v>Abrir facsímil</v>
      </c>
      <c r="K337" s="12" t="s">
        <v>65</v>
      </c>
    </row>
    <row r="338" spans="1:11" ht="40.049999999999997" customHeight="1" x14ac:dyDescent="0.25">
      <c r="A338" s="11" t="s">
        <v>1096</v>
      </c>
      <c r="B338" s="11" t="s">
        <v>1097</v>
      </c>
      <c r="C338" s="11" t="s">
        <v>101</v>
      </c>
      <c r="D338" s="11" t="s">
        <v>43</v>
      </c>
      <c r="E338" s="12" t="s">
        <v>821</v>
      </c>
      <c r="F338" s="12" t="s">
        <v>822</v>
      </c>
      <c r="G338" s="12" t="s">
        <v>21</v>
      </c>
      <c r="H338" s="11" t="s">
        <v>63</v>
      </c>
      <c r="I338" s="13" t="s">
        <v>1107</v>
      </c>
      <c r="J338" s="14" t="str">
        <f>HYPERLINK("https://www.boe.es/gazeta/dias/1839/09/20/pdfs/GMD-1839-1775.pdf#page=4","Abrir facsímil")</f>
        <v>Abrir facsímil</v>
      </c>
      <c r="K338" s="12" t="s">
        <v>65</v>
      </c>
    </row>
    <row r="339" spans="1:11" ht="40.049999999999997" customHeight="1" x14ac:dyDescent="0.25">
      <c r="A339" s="11" t="s">
        <v>1096</v>
      </c>
      <c r="B339" s="11" t="s">
        <v>1097</v>
      </c>
      <c r="C339" s="11" t="s">
        <v>17</v>
      </c>
      <c r="D339" s="11" t="s">
        <v>18</v>
      </c>
      <c r="E339" s="12" t="s">
        <v>1108</v>
      </c>
      <c r="F339" s="12" t="s">
        <v>1109</v>
      </c>
      <c r="G339" s="12" t="s">
        <v>21</v>
      </c>
      <c r="H339" s="11" t="s">
        <v>63</v>
      </c>
      <c r="I339" s="13" t="s">
        <v>1110</v>
      </c>
      <c r="J339" s="14" t="str">
        <f>HYPERLINK("https://www.boe.es/gazeta/dias/1839/09/21/pdfs/GMD-1839-1776.pdf#page=4","Abrir facsímil")</f>
        <v>Abrir facsímil</v>
      </c>
      <c r="K339" s="12" t="s">
        <v>65</v>
      </c>
    </row>
    <row r="340" spans="1:11" ht="40.049999999999997" customHeight="1" x14ac:dyDescent="0.25">
      <c r="A340" s="11" t="s">
        <v>1096</v>
      </c>
      <c r="B340" s="11" t="s">
        <v>1097</v>
      </c>
      <c r="C340" s="11" t="s">
        <v>17</v>
      </c>
      <c r="D340" s="11" t="s">
        <v>18</v>
      </c>
      <c r="E340" s="12" t="s">
        <v>239</v>
      </c>
      <c r="F340" s="12" t="s">
        <v>240</v>
      </c>
      <c r="G340" s="12" t="s">
        <v>40</v>
      </c>
      <c r="H340" s="11" t="s">
        <v>63</v>
      </c>
      <c r="I340" s="13" t="s">
        <v>1111</v>
      </c>
      <c r="J340" s="14" t="str">
        <f>HYPERLINK("https://www.boe.es/gazeta/dias/1839/09/22/pdfs/GMD-1839-1777.pdf#page=2","Abrir facsímil")</f>
        <v>Abrir facsímil</v>
      </c>
      <c r="K340" s="12" t="s">
        <v>65</v>
      </c>
    </row>
    <row r="341" spans="1:11" ht="40.049999999999997" customHeight="1" x14ac:dyDescent="0.25">
      <c r="A341" s="11" t="s">
        <v>1096</v>
      </c>
      <c r="B341" s="11" t="s">
        <v>1097</v>
      </c>
      <c r="C341" s="11" t="s">
        <v>80</v>
      </c>
      <c r="D341" s="11" t="s">
        <v>18</v>
      </c>
      <c r="E341" s="12" t="s">
        <v>568</v>
      </c>
      <c r="F341" s="12" t="s">
        <v>569</v>
      </c>
      <c r="G341" s="12" t="s">
        <v>21</v>
      </c>
      <c r="H341" s="11" t="s">
        <v>63</v>
      </c>
      <c r="I341" s="13" t="s">
        <v>1112</v>
      </c>
      <c r="J341" s="14" t="str">
        <f>HYPERLINK("https://www.boe.es/gazeta/dias/1839/10/23/pdfs/GMD-1839-1809.pdf#page=4","Abrir facsímil")</f>
        <v>Abrir facsímil</v>
      </c>
      <c r="K341" s="12" t="s">
        <v>65</v>
      </c>
    </row>
    <row r="342" spans="1:11" ht="40.049999999999997" customHeight="1" x14ac:dyDescent="0.25">
      <c r="A342" s="11" t="s">
        <v>1096</v>
      </c>
      <c r="B342" s="11" t="s">
        <v>1097</v>
      </c>
      <c r="C342" s="11" t="s">
        <v>17</v>
      </c>
      <c r="D342" s="11" t="s">
        <v>18</v>
      </c>
      <c r="E342" s="12" t="s">
        <v>416</v>
      </c>
      <c r="F342" s="12" t="s">
        <v>417</v>
      </c>
      <c r="G342" s="12" t="s">
        <v>46</v>
      </c>
      <c r="H342" s="11" t="s">
        <v>63</v>
      </c>
      <c r="I342" s="13" t="s">
        <v>1113</v>
      </c>
      <c r="J342" s="14" t="str">
        <f>HYPERLINK("https://www.boe.es/gazeta/dias/1839/10/24/pdfs/GMD-1839-1810.pdf#page=3","Abrir facsímil")</f>
        <v>Abrir facsímil</v>
      </c>
      <c r="K342" s="12" t="s">
        <v>65</v>
      </c>
    </row>
    <row r="343" spans="1:11" ht="40.049999999999997" customHeight="1" x14ac:dyDescent="0.25">
      <c r="A343" s="11" t="s">
        <v>1096</v>
      </c>
      <c r="B343" s="11" t="s">
        <v>1097</v>
      </c>
      <c r="C343" s="11" t="s">
        <v>101</v>
      </c>
      <c r="D343" s="11" t="s">
        <v>43</v>
      </c>
      <c r="E343" s="12" t="s">
        <v>650</v>
      </c>
      <c r="F343" s="12" t="s">
        <v>651</v>
      </c>
      <c r="G343" s="12" t="s">
        <v>46</v>
      </c>
      <c r="H343" s="11" t="s">
        <v>63</v>
      </c>
      <c r="I343" s="13" t="s">
        <v>1114</v>
      </c>
      <c r="J343" s="14" t="str">
        <f>HYPERLINK("https://www.boe.es/gazeta/dias/1839/10/25/pdfs/GMD-1839-1811.pdf#page=3","Abrir facsímil")</f>
        <v>Abrir facsímil</v>
      </c>
      <c r="K343" s="12" t="s">
        <v>65</v>
      </c>
    </row>
    <row r="344" spans="1:11" ht="40.049999999999997" customHeight="1" x14ac:dyDescent="0.25">
      <c r="A344" s="11" t="s">
        <v>1096</v>
      </c>
      <c r="B344" s="11" t="s">
        <v>1097</v>
      </c>
      <c r="C344" s="11" t="s">
        <v>101</v>
      </c>
      <c r="D344" s="11" t="s">
        <v>43</v>
      </c>
      <c r="E344" s="12" t="s">
        <v>723</v>
      </c>
      <c r="F344" s="12" t="s">
        <v>724</v>
      </c>
      <c r="G344" s="12" t="s">
        <v>40</v>
      </c>
      <c r="H344" s="11" t="s">
        <v>63</v>
      </c>
      <c r="I344" s="13" t="s">
        <v>1115</v>
      </c>
      <c r="J344" s="14" t="str">
        <f>HYPERLINK("https://www.boe.es/gazeta/dias/1839/09/26/pdfs/GMD-1839-1782.pdf#page=2","Abrir facsímil")</f>
        <v>Abrir facsímil</v>
      </c>
      <c r="K344" s="12" t="s">
        <v>65</v>
      </c>
    </row>
    <row r="345" spans="1:11" ht="40.049999999999997" customHeight="1" x14ac:dyDescent="0.25">
      <c r="A345" s="11" t="s">
        <v>1096</v>
      </c>
      <c r="B345" s="11" t="s">
        <v>1097</v>
      </c>
      <c r="C345" s="11" t="s">
        <v>17</v>
      </c>
      <c r="D345" s="11" t="s">
        <v>18</v>
      </c>
      <c r="E345" s="12" t="s">
        <v>1086</v>
      </c>
      <c r="F345" s="12" t="s">
        <v>1087</v>
      </c>
      <c r="G345" s="12" t="s">
        <v>40</v>
      </c>
      <c r="H345" s="11" t="s">
        <v>63</v>
      </c>
      <c r="I345" s="13" t="s">
        <v>1116</v>
      </c>
      <c r="J345" s="14" t="str">
        <f>HYPERLINK("https://www.boe.es/gazeta/dias/1839/10/26/pdfs/GMD-1839-1812.pdf#page=2","Abrir facsímil")</f>
        <v>Abrir facsímil</v>
      </c>
      <c r="K345" s="12" t="s">
        <v>65</v>
      </c>
    </row>
    <row r="346" spans="1:11" ht="40.049999999999997" customHeight="1" x14ac:dyDescent="0.25">
      <c r="A346" s="11" t="s">
        <v>1096</v>
      </c>
      <c r="B346" s="11" t="s">
        <v>1097</v>
      </c>
      <c r="C346" s="11" t="s">
        <v>59</v>
      </c>
      <c r="D346" s="11" t="s">
        <v>60</v>
      </c>
      <c r="E346" s="12" t="s">
        <v>571</v>
      </c>
      <c r="F346" s="12" t="s">
        <v>572</v>
      </c>
      <c r="G346" s="12" t="s">
        <v>46</v>
      </c>
      <c r="H346" s="11" t="s">
        <v>63</v>
      </c>
      <c r="I346" s="13" t="s">
        <v>1117</v>
      </c>
      <c r="J346" s="14" t="str">
        <f>HYPERLINK("https://www.boe.es/gazeta/dias/1839/09/27/pdfs/GMD-1839-1783.pdf#page=3","Abrir facsímil")</f>
        <v>Abrir facsímil</v>
      </c>
      <c r="K346" s="12" t="s">
        <v>65</v>
      </c>
    </row>
    <row r="347" spans="1:11" ht="40.049999999999997" customHeight="1" x14ac:dyDescent="0.25">
      <c r="A347" s="11" t="s">
        <v>1096</v>
      </c>
      <c r="B347" s="11" t="s">
        <v>1097</v>
      </c>
      <c r="C347" s="11" t="s">
        <v>137</v>
      </c>
      <c r="D347" s="11" t="s">
        <v>18</v>
      </c>
      <c r="E347" s="12" t="s">
        <v>1118</v>
      </c>
      <c r="F347" s="12" t="s">
        <v>1119</v>
      </c>
      <c r="G347" s="12" t="s">
        <v>21</v>
      </c>
      <c r="H347" s="11" t="s">
        <v>63</v>
      </c>
      <c r="I347" s="13" t="s">
        <v>1120</v>
      </c>
      <c r="J347" s="14" t="str">
        <f>HYPERLINK("https://www.boe.es/gazeta/dias/1839/08/30/pdfs/GMD-1839-1751.pdf#page=4","Abrir facsímil")</f>
        <v>Abrir facsímil</v>
      </c>
      <c r="K347" s="12" t="s">
        <v>65</v>
      </c>
    </row>
    <row r="348" spans="1:11" ht="40.049999999999997" customHeight="1" x14ac:dyDescent="0.25">
      <c r="A348" s="11" t="s">
        <v>1121</v>
      </c>
      <c r="B348" s="11" t="s">
        <v>1122</v>
      </c>
      <c r="C348" s="11" t="s">
        <v>17</v>
      </c>
      <c r="D348" s="11" t="s">
        <v>18</v>
      </c>
      <c r="E348" s="12" t="s">
        <v>1123</v>
      </c>
      <c r="F348" s="12" t="s">
        <v>1124</v>
      </c>
      <c r="G348" s="12" t="s">
        <v>21</v>
      </c>
      <c r="H348" s="11" t="s">
        <v>63</v>
      </c>
      <c r="I348" s="13" t="s">
        <v>1125</v>
      </c>
      <c r="J348" s="14" t="str">
        <f>HYPERLINK("https://www.boe.es/gazeta/dias/1839/08/10/pdfs/GMD-1839-1730.pdf#page=4","Abrir facsímil")</f>
        <v>Abrir facsímil</v>
      </c>
      <c r="K348" s="12" t="s">
        <v>65</v>
      </c>
    </row>
    <row r="349" spans="1:11" ht="40.049999999999997" customHeight="1" x14ac:dyDescent="0.25">
      <c r="A349" s="11" t="s">
        <v>1126</v>
      </c>
      <c r="B349" s="11" t="s">
        <v>1127</v>
      </c>
      <c r="C349" s="11" t="s">
        <v>17</v>
      </c>
      <c r="D349" s="11" t="s">
        <v>18</v>
      </c>
      <c r="E349" s="12" t="s">
        <v>212</v>
      </c>
      <c r="F349" s="12" t="s">
        <v>213</v>
      </c>
      <c r="G349" s="12" t="s">
        <v>40</v>
      </c>
      <c r="H349" s="11" t="s">
        <v>63</v>
      </c>
      <c r="I349" s="13" t="s">
        <v>1128</v>
      </c>
      <c r="J349" s="14" t="str">
        <f>HYPERLINK("https://www.boe.es/gazeta/dias/1839/10/03/pdfs/GMD-1839-1789.pdf#page=2","Abrir facsímil")</f>
        <v>Abrir facsímil</v>
      </c>
      <c r="K349" s="12" t="s">
        <v>65</v>
      </c>
    </row>
    <row r="350" spans="1:11" ht="40.049999999999997" customHeight="1" x14ac:dyDescent="0.25">
      <c r="A350" s="11" t="s">
        <v>1126</v>
      </c>
      <c r="B350" s="11" t="s">
        <v>1127</v>
      </c>
      <c r="C350" s="11" t="s">
        <v>101</v>
      </c>
      <c r="D350" s="11" t="s">
        <v>43</v>
      </c>
      <c r="E350" s="12" t="s">
        <v>577</v>
      </c>
      <c r="F350" s="12" t="s">
        <v>578</v>
      </c>
      <c r="G350" s="12" t="s">
        <v>40</v>
      </c>
      <c r="H350" s="11" t="s">
        <v>63</v>
      </c>
      <c r="I350" s="13" t="s">
        <v>1129</v>
      </c>
      <c r="J350" s="14" t="str">
        <f>HYPERLINK("https://www.boe.es/gazeta/dias/1839/09/30/pdfs/GMD-1839-1786.pdf#page=2","Abrir facsímil")</f>
        <v>Abrir facsímil</v>
      </c>
      <c r="K350" s="12" t="s">
        <v>65</v>
      </c>
    </row>
    <row r="351" spans="1:11" ht="40.049999999999997" customHeight="1" x14ac:dyDescent="0.25">
      <c r="A351" s="11" t="s">
        <v>1130</v>
      </c>
      <c r="B351" s="11" t="s">
        <v>1131</v>
      </c>
      <c r="C351" s="11" t="s">
        <v>101</v>
      </c>
      <c r="D351" s="11" t="s">
        <v>43</v>
      </c>
      <c r="E351" s="12" t="s">
        <v>197</v>
      </c>
      <c r="F351" s="12" t="s">
        <v>198</v>
      </c>
      <c r="G351" s="12" t="s">
        <v>46</v>
      </c>
      <c r="H351" s="11" t="s">
        <v>63</v>
      </c>
      <c r="I351" s="13" t="s">
        <v>1132</v>
      </c>
      <c r="J351" s="14" t="str">
        <f>HYPERLINK("https://www.boe.es/gazeta/dias/1839/10/04/pdfs/GMD-1839-1790.pdf#page=3","Abrir facsímil")</f>
        <v>Abrir facsímil</v>
      </c>
      <c r="K351" s="12" t="s">
        <v>65</v>
      </c>
    </row>
    <row r="352" spans="1:11" ht="40.049999999999997" customHeight="1" x14ac:dyDescent="0.25">
      <c r="A352" s="11" t="s">
        <v>1130</v>
      </c>
      <c r="B352" s="11" t="s">
        <v>1131</v>
      </c>
      <c r="C352" s="11" t="s">
        <v>80</v>
      </c>
      <c r="D352" s="11" t="s">
        <v>18</v>
      </c>
      <c r="E352" s="12" t="s">
        <v>992</v>
      </c>
      <c r="F352" s="12" t="s">
        <v>993</v>
      </c>
      <c r="G352" s="12" t="s">
        <v>21</v>
      </c>
      <c r="H352" s="11" t="s">
        <v>63</v>
      </c>
      <c r="I352" s="13" t="s">
        <v>1133</v>
      </c>
      <c r="J352" s="14" t="str">
        <f>HYPERLINK("https://www.boe.es/gazeta/dias/1839/02/18/pdfs/GMD-1839-1556.pdf#page=4","Abrir facsímil")</f>
        <v>Abrir facsímil</v>
      </c>
      <c r="K352" s="12" t="s">
        <v>65</v>
      </c>
    </row>
    <row r="353" spans="1:11" ht="40.049999999999997" customHeight="1" x14ac:dyDescent="0.25">
      <c r="A353" s="11" t="s">
        <v>1134</v>
      </c>
      <c r="B353" s="11" t="s">
        <v>1135</v>
      </c>
      <c r="C353" s="11" t="s">
        <v>17</v>
      </c>
      <c r="D353" s="11" t="s">
        <v>18</v>
      </c>
      <c r="E353" s="12" t="s">
        <v>1136</v>
      </c>
      <c r="F353" s="12" t="s">
        <v>1137</v>
      </c>
      <c r="G353" s="12" t="s">
        <v>46</v>
      </c>
      <c r="H353" s="11" t="s">
        <v>63</v>
      </c>
      <c r="I353" s="13" t="s">
        <v>1138</v>
      </c>
      <c r="J353" s="14" t="str">
        <f>HYPERLINK("https://www.boe.es/gazeta/dias/1839/04/03/pdfs/GMD-1839-1600.pdf#page=3","Abrir facsímil")</f>
        <v>Abrir facsímil</v>
      </c>
      <c r="K353" s="12" t="s">
        <v>65</v>
      </c>
    </row>
    <row r="354" spans="1:11" ht="40.049999999999997" customHeight="1" x14ac:dyDescent="0.25">
      <c r="A354" s="11" t="s">
        <v>1134</v>
      </c>
      <c r="B354" s="11" t="s">
        <v>1135</v>
      </c>
      <c r="C354" s="11" t="s">
        <v>101</v>
      </c>
      <c r="D354" s="11" t="s">
        <v>102</v>
      </c>
      <c r="E354" s="12" t="s">
        <v>1139</v>
      </c>
      <c r="F354" s="12" t="s">
        <v>1140</v>
      </c>
      <c r="G354" s="12" t="s">
        <v>29</v>
      </c>
      <c r="H354" s="11" t="s">
        <v>63</v>
      </c>
      <c r="I354" s="13" t="s">
        <v>1141</v>
      </c>
      <c r="J354" s="14" t="str">
        <f>HYPERLINK("https://www.boe.es/gazeta/dias/1839/02/15/pdfs/GMD-1839-1553.pdf#page=1","Abrir facsímil")</f>
        <v>Abrir facsímil</v>
      </c>
      <c r="K354" s="12" t="s">
        <v>65</v>
      </c>
    </row>
    <row r="355" spans="1:11" ht="40.049999999999997" customHeight="1" x14ac:dyDescent="0.25">
      <c r="A355" s="11" t="s">
        <v>1142</v>
      </c>
      <c r="B355" s="11" t="s">
        <v>1143</v>
      </c>
      <c r="C355" s="11" t="s">
        <v>17</v>
      </c>
      <c r="D355" s="11" t="s">
        <v>18</v>
      </c>
      <c r="E355" s="12" t="s">
        <v>1144</v>
      </c>
      <c r="F355" s="12" t="s">
        <v>1145</v>
      </c>
      <c r="G355" s="12" t="s">
        <v>21</v>
      </c>
      <c r="H355" s="11" t="s">
        <v>63</v>
      </c>
      <c r="I355" s="13" t="s">
        <v>1146</v>
      </c>
      <c r="J355" s="14" t="str">
        <f>HYPERLINK("https://www.boe.es/gazeta/dias/1839/08/13/pdfs/GMD-1839-1733.pdf#page=4","Abrir facsímil")</f>
        <v>Abrir facsímil</v>
      </c>
      <c r="K355" s="12" t="s">
        <v>65</v>
      </c>
    </row>
    <row r="356" spans="1:11" ht="40.049999999999997" customHeight="1" x14ac:dyDescent="0.25">
      <c r="A356" s="11" t="s">
        <v>1147</v>
      </c>
      <c r="B356" s="11" t="s">
        <v>1148</v>
      </c>
      <c r="C356" s="11" t="s">
        <v>17</v>
      </c>
      <c r="D356" s="11" t="s">
        <v>18</v>
      </c>
      <c r="E356" s="12" t="s">
        <v>1149</v>
      </c>
      <c r="F356" s="12" t="s">
        <v>1150</v>
      </c>
      <c r="G356" s="12" t="s">
        <v>21</v>
      </c>
      <c r="H356" s="11" t="s">
        <v>63</v>
      </c>
      <c r="I356" s="13" t="s">
        <v>1151</v>
      </c>
      <c r="J356" s="14" t="str">
        <f>HYPERLINK("https://www.boe.es/gazeta/dias/1839/06/25/pdfs/GMD-1839-1683.pdf#page=4","Abrir facsímil")</f>
        <v>Abrir facsímil</v>
      </c>
      <c r="K356" s="12" t="s">
        <v>65</v>
      </c>
    </row>
    <row r="357" spans="1:11" ht="40.049999999999997" customHeight="1" x14ac:dyDescent="0.25">
      <c r="A357" s="11" t="s">
        <v>1152</v>
      </c>
      <c r="B357" s="11" t="s">
        <v>1153</v>
      </c>
      <c r="C357" s="11" t="s">
        <v>17</v>
      </c>
      <c r="D357" s="11" t="s">
        <v>43</v>
      </c>
      <c r="E357" s="12" t="s">
        <v>212</v>
      </c>
      <c r="F357" s="12" t="s">
        <v>213</v>
      </c>
      <c r="G357" s="12" t="s">
        <v>40</v>
      </c>
      <c r="H357" s="11" t="s">
        <v>63</v>
      </c>
      <c r="I357" s="13" t="s">
        <v>1154</v>
      </c>
      <c r="J357" s="14" t="str">
        <f>HYPERLINK("https://www.boe.es/gazeta/dias/1839/10/03/pdfs/GMD-1839-1789.pdf#page=2","Abrir facsímil")</f>
        <v>Abrir facsímil</v>
      </c>
      <c r="K357" s="12" t="s">
        <v>65</v>
      </c>
    </row>
    <row r="358" spans="1:11" ht="40.049999999999997" customHeight="1" x14ac:dyDescent="0.25">
      <c r="A358" s="11" t="s">
        <v>1155</v>
      </c>
      <c r="B358" s="11" t="s">
        <v>1155</v>
      </c>
      <c r="C358" s="11" t="s">
        <v>17</v>
      </c>
      <c r="D358" s="11" t="s">
        <v>18</v>
      </c>
      <c r="E358" s="12" t="s">
        <v>1057</v>
      </c>
      <c r="F358" s="12" t="s">
        <v>1058</v>
      </c>
      <c r="G358" s="12" t="s">
        <v>46</v>
      </c>
      <c r="H358" s="11" t="s">
        <v>63</v>
      </c>
      <c r="I358" s="13" t="s">
        <v>1156</v>
      </c>
      <c r="J358" s="14" t="str">
        <f>HYPERLINK("https://www.boe.es/gazeta/dias/1839/10/01/pdfs/GMD-1839-1787.pdf#page=3","Abrir facsímil")</f>
        <v>Abrir facsímil</v>
      </c>
      <c r="K358" s="12" t="s">
        <v>65</v>
      </c>
    </row>
    <row r="359" spans="1:11" ht="40.049999999999997" customHeight="1" x14ac:dyDescent="0.25">
      <c r="A359" s="11" t="s">
        <v>1155</v>
      </c>
      <c r="B359" s="11" t="s">
        <v>1155</v>
      </c>
      <c r="C359" s="11" t="s">
        <v>137</v>
      </c>
      <c r="D359" s="11" t="s">
        <v>18</v>
      </c>
      <c r="E359" s="12" t="s">
        <v>212</v>
      </c>
      <c r="F359" s="12" t="s">
        <v>213</v>
      </c>
      <c r="G359" s="12" t="s">
        <v>40</v>
      </c>
      <c r="H359" s="11" t="s">
        <v>63</v>
      </c>
      <c r="I359" s="13" t="s">
        <v>1157</v>
      </c>
      <c r="J359" s="14" t="str">
        <f>HYPERLINK("https://www.boe.es/gazeta/dias/1839/10/03/pdfs/GMD-1839-1789.pdf#page=2","Abrir facsímil")</f>
        <v>Abrir facsímil</v>
      </c>
      <c r="K359" s="12" t="s">
        <v>65</v>
      </c>
    </row>
    <row r="360" spans="1:11" ht="40.049999999999997" customHeight="1" x14ac:dyDescent="0.25">
      <c r="A360" s="11" t="s">
        <v>1158</v>
      </c>
      <c r="B360" s="11" t="s">
        <v>1158</v>
      </c>
      <c r="C360" s="11" t="s">
        <v>17</v>
      </c>
      <c r="D360" s="11" t="s">
        <v>43</v>
      </c>
      <c r="E360" s="12" t="s">
        <v>1159</v>
      </c>
      <c r="F360" s="12" t="s">
        <v>1160</v>
      </c>
      <c r="G360" s="12" t="s">
        <v>40</v>
      </c>
      <c r="H360" s="11" t="s">
        <v>22</v>
      </c>
      <c r="I360" s="13" t="s">
        <v>1161</v>
      </c>
      <c r="J360" s="14" t="str">
        <f>HYPERLINK("https://www.boe.es/gazeta/dias/1839/11/26/pdfs/GMD-1839-1843.pdf#page=2","Abrir facsímil")</f>
        <v>Abrir facsímil</v>
      </c>
      <c r="K360" s="12" t="s">
        <v>24</v>
      </c>
    </row>
    <row r="361" spans="1:11" ht="40.049999999999997" customHeight="1" x14ac:dyDescent="0.25">
      <c r="A361" s="11" t="s">
        <v>1162</v>
      </c>
      <c r="B361" s="11" t="s">
        <v>1163</v>
      </c>
      <c r="C361" s="11" t="s">
        <v>17</v>
      </c>
      <c r="D361" s="11" t="s">
        <v>18</v>
      </c>
      <c r="E361" s="12" t="s">
        <v>685</v>
      </c>
      <c r="F361" s="12" t="s">
        <v>686</v>
      </c>
      <c r="G361" s="12" t="s">
        <v>21</v>
      </c>
      <c r="H361" s="11" t="s">
        <v>22</v>
      </c>
      <c r="I361" s="13" t="s">
        <v>1164</v>
      </c>
      <c r="J361" s="14" t="str">
        <f>HYPERLINK("https://www.boe.es/gazeta/dias/1839/06/18/pdfs/GMD-1839-1676.pdf#page=4","Abrir facsímil")</f>
        <v>Abrir facsímil</v>
      </c>
      <c r="K361" s="12" t="s">
        <v>24</v>
      </c>
    </row>
    <row r="362" spans="1:11" ht="40.049999999999997" customHeight="1" x14ac:dyDescent="0.25">
      <c r="A362" s="11" t="s">
        <v>1165</v>
      </c>
      <c r="B362" s="11" t="s">
        <v>1166</v>
      </c>
      <c r="C362" s="11" t="s">
        <v>17</v>
      </c>
      <c r="D362" s="11" t="s">
        <v>18</v>
      </c>
      <c r="E362" s="12" t="s">
        <v>291</v>
      </c>
      <c r="F362" s="12" t="s">
        <v>292</v>
      </c>
      <c r="G362" s="12" t="s">
        <v>46</v>
      </c>
      <c r="H362" s="11" t="s">
        <v>63</v>
      </c>
      <c r="I362" s="13" t="s">
        <v>1167</v>
      </c>
      <c r="J362" s="14" t="str">
        <f>HYPERLINK("https://www.boe.es/gazeta/dias/1839/09/04/pdfs/GMD-1839-1757.pdf#page=3","Abrir facsímil")</f>
        <v>Abrir facsímil</v>
      </c>
      <c r="K362" s="12" t="s">
        <v>65</v>
      </c>
    </row>
    <row r="363" spans="1:11" ht="40.049999999999997" customHeight="1" x14ac:dyDescent="0.25">
      <c r="A363" s="11" t="s">
        <v>1168</v>
      </c>
      <c r="B363" s="11" t="s">
        <v>1169</v>
      </c>
      <c r="C363" s="11" t="s">
        <v>17</v>
      </c>
      <c r="D363" s="11" t="s">
        <v>18</v>
      </c>
      <c r="E363" s="12" t="s">
        <v>68</v>
      </c>
      <c r="F363" s="12" t="s">
        <v>69</v>
      </c>
      <c r="G363" s="12" t="s">
        <v>40</v>
      </c>
      <c r="H363" s="11" t="s">
        <v>63</v>
      </c>
      <c r="I363" s="13" t="s">
        <v>1170</v>
      </c>
      <c r="J363" s="14" t="str">
        <f>HYPERLINK("https://www.boe.es/gazeta/dias/1839/02/09/pdfs/GMD-1839-1547.pdf#page=2","Abrir facsímil")</f>
        <v>Abrir facsímil</v>
      </c>
      <c r="K363" s="12" t="s">
        <v>65</v>
      </c>
    </row>
    <row r="364" spans="1:11" ht="40.049999999999997" customHeight="1" x14ac:dyDescent="0.25">
      <c r="A364" s="11" t="s">
        <v>1171</v>
      </c>
      <c r="B364" s="11" t="s">
        <v>1171</v>
      </c>
      <c r="C364" s="11" t="s">
        <v>137</v>
      </c>
      <c r="D364" s="11" t="s">
        <v>18</v>
      </c>
      <c r="E364" s="12" t="s">
        <v>883</v>
      </c>
      <c r="F364" s="12" t="s">
        <v>884</v>
      </c>
      <c r="G364" s="12" t="s">
        <v>29</v>
      </c>
      <c r="H364" s="11" t="s">
        <v>63</v>
      </c>
      <c r="I364" s="13" t="s">
        <v>1172</v>
      </c>
      <c r="J364" s="14" t="str">
        <f>HYPERLINK("https://www.boe.es/gazeta/dias/1839/11/03/pdfs/GMD-1839-1820.pdf#page=1","Abrir facsímil")</f>
        <v>Abrir facsímil</v>
      </c>
      <c r="K364" s="12" t="s">
        <v>65</v>
      </c>
    </row>
    <row r="365" spans="1:11" ht="40.049999999999997" customHeight="1" x14ac:dyDescent="0.25">
      <c r="A365" s="11" t="s">
        <v>1173</v>
      </c>
      <c r="B365" s="11" t="s">
        <v>1173</v>
      </c>
      <c r="C365" s="11" t="s">
        <v>17</v>
      </c>
      <c r="D365" s="11" t="s">
        <v>18</v>
      </c>
      <c r="E365" s="12" t="s">
        <v>108</v>
      </c>
      <c r="F365" s="12" t="s">
        <v>109</v>
      </c>
      <c r="G365" s="12" t="s">
        <v>46</v>
      </c>
      <c r="H365" s="11" t="s">
        <v>63</v>
      </c>
      <c r="I365" s="13" t="s">
        <v>1174</v>
      </c>
      <c r="J365" s="14" t="str">
        <f>HYPERLINK("https://www.boe.es/gazeta/dias/1839/01/04/pdfs/GMD-1839-1511.pdf#page=3","Abrir facsímil")</f>
        <v>Abrir facsímil</v>
      </c>
      <c r="K365" s="12" t="s">
        <v>65</v>
      </c>
    </row>
    <row r="366" spans="1:11" ht="40.049999999999997" customHeight="1" x14ac:dyDescent="0.25">
      <c r="A366" s="11" t="s">
        <v>1175</v>
      </c>
      <c r="B366" s="11" t="s">
        <v>1175</v>
      </c>
      <c r="C366" s="11" t="s">
        <v>17</v>
      </c>
      <c r="D366" s="11" t="s">
        <v>43</v>
      </c>
      <c r="E366" s="12" t="s">
        <v>1086</v>
      </c>
      <c r="F366" s="12" t="s">
        <v>1087</v>
      </c>
      <c r="G366" s="12" t="s">
        <v>46</v>
      </c>
      <c r="H366" s="11" t="s">
        <v>63</v>
      </c>
      <c r="I366" s="13" t="s">
        <v>1176</v>
      </c>
      <c r="J366" s="14" t="str">
        <f>HYPERLINK("https://www.boe.es/gazeta/dias/1839/10/26/pdfs/GMD-1839-1812.pdf#page=3","Abrir facsímil")</f>
        <v>Abrir facsímil</v>
      </c>
      <c r="K366" s="12" t="s">
        <v>65</v>
      </c>
    </row>
    <row r="367" spans="1:11" ht="40.049999999999997" customHeight="1" x14ac:dyDescent="0.25">
      <c r="A367" s="11" t="s">
        <v>1177</v>
      </c>
      <c r="B367" s="11" t="s">
        <v>1178</v>
      </c>
      <c r="C367" s="11" t="s">
        <v>101</v>
      </c>
      <c r="D367" s="11" t="s">
        <v>43</v>
      </c>
      <c r="E367" s="12" t="s">
        <v>1179</v>
      </c>
      <c r="F367" s="12" t="s">
        <v>1180</v>
      </c>
      <c r="G367" s="12" t="s">
        <v>46</v>
      </c>
      <c r="H367" s="11" t="s">
        <v>63</v>
      </c>
      <c r="I367" s="13" t="s">
        <v>1181</v>
      </c>
      <c r="J367" s="14" t="str">
        <f>HYPERLINK("https://www.boe.es/gazeta/dias/1839/10/18/pdfs/GMD-1839-1804.pdf#page=3","Abrir facsímil")</f>
        <v>Abrir facsímil</v>
      </c>
      <c r="K367" s="12" t="s">
        <v>65</v>
      </c>
    </row>
    <row r="368" spans="1:11" ht="40.049999999999997" customHeight="1" x14ac:dyDescent="0.25">
      <c r="A368" s="11" t="s">
        <v>1182</v>
      </c>
      <c r="B368" s="11" t="s">
        <v>1182</v>
      </c>
      <c r="C368" s="11" t="s">
        <v>17</v>
      </c>
      <c r="D368" s="11" t="s">
        <v>18</v>
      </c>
      <c r="E368" s="12" t="s">
        <v>1183</v>
      </c>
      <c r="F368" s="12" t="s">
        <v>1184</v>
      </c>
      <c r="G368" s="12" t="s">
        <v>21</v>
      </c>
      <c r="H368" s="11" t="s">
        <v>63</v>
      </c>
      <c r="I368" s="13" t="s">
        <v>1185</v>
      </c>
      <c r="J368" s="14" t="str">
        <f>HYPERLINK("https://www.boe.es/gazeta/dias/1839/07/26/pdfs/GMD-1839-1715.pdf#page=4","Abrir facsímil")</f>
        <v>Abrir facsímil</v>
      </c>
      <c r="K368" s="12" t="s">
        <v>65</v>
      </c>
    </row>
    <row r="369" spans="1:11" ht="40.049999999999997" customHeight="1" x14ac:dyDescent="0.25">
      <c r="A369" s="11" t="s">
        <v>1186</v>
      </c>
      <c r="B369" s="11" t="s">
        <v>1186</v>
      </c>
      <c r="C369" s="11" t="s">
        <v>17</v>
      </c>
      <c r="D369" s="11" t="s">
        <v>18</v>
      </c>
      <c r="E369" s="12" t="s">
        <v>262</v>
      </c>
      <c r="F369" s="12" t="s">
        <v>263</v>
      </c>
      <c r="G369" s="12" t="s">
        <v>29</v>
      </c>
      <c r="H369" s="11" t="s">
        <v>63</v>
      </c>
      <c r="I369" s="13" t="s">
        <v>1187</v>
      </c>
      <c r="J369" s="14" t="str">
        <f>HYPERLINK("https://www.boe.es/gazeta/dias/1839/01/01/pdfs/GMD-1839-1508.pdf#page=1","Abrir facsímil")</f>
        <v>Abrir facsímil</v>
      </c>
      <c r="K369" s="12" t="s">
        <v>65</v>
      </c>
    </row>
    <row r="370" spans="1:11" ht="40.049999999999997" customHeight="1" x14ac:dyDescent="0.25">
      <c r="A370" s="11" t="s">
        <v>1186</v>
      </c>
      <c r="B370" s="11" t="s">
        <v>1186</v>
      </c>
      <c r="C370" s="11" t="s">
        <v>101</v>
      </c>
      <c r="D370" s="11" t="s">
        <v>43</v>
      </c>
      <c r="E370" s="12" t="s">
        <v>262</v>
      </c>
      <c r="F370" s="12" t="s">
        <v>263</v>
      </c>
      <c r="G370" s="12" t="s">
        <v>40</v>
      </c>
      <c r="H370" s="11" t="s">
        <v>63</v>
      </c>
      <c r="I370" s="13" t="s">
        <v>1188</v>
      </c>
      <c r="J370" s="14" t="str">
        <f>HYPERLINK("https://www.boe.es/gazeta/dias/1839/01/01/pdfs/GMD-1839-1508.pdf#page=2","Abrir facsímil")</f>
        <v>Abrir facsímil</v>
      </c>
      <c r="K370" s="12" t="s">
        <v>65</v>
      </c>
    </row>
    <row r="371" spans="1:11" ht="40.049999999999997" customHeight="1" x14ac:dyDescent="0.25">
      <c r="A371" s="11" t="s">
        <v>1186</v>
      </c>
      <c r="B371" s="11" t="s">
        <v>1186</v>
      </c>
      <c r="C371" s="11" t="s">
        <v>101</v>
      </c>
      <c r="D371" s="11" t="s">
        <v>43</v>
      </c>
      <c r="E371" s="12" t="s">
        <v>262</v>
      </c>
      <c r="F371" s="12" t="s">
        <v>263</v>
      </c>
      <c r="G371" s="12" t="s">
        <v>46</v>
      </c>
      <c r="H371" s="11" t="s">
        <v>63</v>
      </c>
      <c r="I371" s="13" t="s">
        <v>1189</v>
      </c>
      <c r="J371" s="14" t="str">
        <f>HYPERLINK("https://www.boe.es/gazeta/dias/1839/01/01/pdfs/GMD-1839-1508.pdf#page=3","Abrir facsímil")</f>
        <v>Abrir facsímil</v>
      </c>
      <c r="K371" s="12" t="s">
        <v>65</v>
      </c>
    </row>
    <row r="372" spans="1:11" ht="40.049999999999997" customHeight="1" x14ac:dyDescent="0.25">
      <c r="A372" s="11" t="s">
        <v>1186</v>
      </c>
      <c r="B372" s="11" t="s">
        <v>1186</v>
      </c>
      <c r="C372" s="11" t="s">
        <v>17</v>
      </c>
      <c r="D372" s="11" t="s">
        <v>18</v>
      </c>
      <c r="E372" s="12" t="s">
        <v>262</v>
      </c>
      <c r="F372" s="12" t="s">
        <v>263</v>
      </c>
      <c r="G372" s="12" t="s">
        <v>21</v>
      </c>
      <c r="H372" s="11" t="s">
        <v>63</v>
      </c>
      <c r="I372" s="13" t="s">
        <v>1190</v>
      </c>
      <c r="J372" s="14" t="str">
        <f>HYPERLINK("https://www.boe.es/gazeta/dias/1839/01/01/pdfs/GMD-1839-1508.pdf#page=4","Abrir facsímil")</f>
        <v>Abrir facsímil</v>
      </c>
      <c r="K372" s="12" t="s">
        <v>65</v>
      </c>
    </row>
    <row r="373" spans="1:11" ht="40.049999999999997" customHeight="1" x14ac:dyDescent="0.25">
      <c r="A373" s="11" t="s">
        <v>1186</v>
      </c>
      <c r="B373" s="11" t="s">
        <v>1186</v>
      </c>
      <c r="C373" s="11" t="s">
        <v>17</v>
      </c>
      <c r="D373" s="11" t="s">
        <v>18</v>
      </c>
      <c r="E373" s="12" t="s">
        <v>266</v>
      </c>
      <c r="F373" s="12" t="s">
        <v>267</v>
      </c>
      <c r="G373" s="12" t="s">
        <v>21</v>
      </c>
      <c r="H373" s="11" t="s">
        <v>63</v>
      </c>
      <c r="I373" s="13" t="s">
        <v>1191</v>
      </c>
      <c r="J373" s="14" t="str">
        <f>HYPERLINK("https://www.boe.es/gazeta/dias/1839/01/03/pdfs/GMD-1839-1510.pdf#page=4","Abrir facsímil")</f>
        <v>Abrir facsímil</v>
      </c>
      <c r="K373" s="12" t="s">
        <v>65</v>
      </c>
    </row>
    <row r="374" spans="1:11" ht="40.049999999999997" customHeight="1" x14ac:dyDescent="0.25">
      <c r="A374" s="11" t="s">
        <v>1186</v>
      </c>
      <c r="B374" s="11" t="s">
        <v>1186</v>
      </c>
      <c r="C374" s="11" t="s">
        <v>17</v>
      </c>
      <c r="D374" s="11" t="s">
        <v>18</v>
      </c>
      <c r="E374" s="12" t="s">
        <v>108</v>
      </c>
      <c r="F374" s="12" t="s">
        <v>109</v>
      </c>
      <c r="G374" s="12" t="s">
        <v>46</v>
      </c>
      <c r="H374" s="11" t="s">
        <v>63</v>
      </c>
      <c r="I374" s="13" t="s">
        <v>1192</v>
      </c>
      <c r="J374" s="14" t="str">
        <f>HYPERLINK("https://www.boe.es/gazeta/dias/1839/01/04/pdfs/GMD-1839-1511.pdf#page=3","Abrir facsímil")</f>
        <v>Abrir facsímil</v>
      </c>
      <c r="K374" s="12" t="s">
        <v>65</v>
      </c>
    </row>
    <row r="375" spans="1:11" ht="40.049999999999997" customHeight="1" x14ac:dyDescent="0.25">
      <c r="A375" s="11" t="s">
        <v>1186</v>
      </c>
      <c r="B375" s="11" t="s">
        <v>1186</v>
      </c>
      <c r="C375" s="11" t="s">
        <v>17</v>
      </c>
      <c r="D375" s="11" t="s">
        <v>18</v>
      </c>
      <c r="E375" s="12" t="s">
        <v>108</v>
      </c>
      <c r="F375" s="12" t="s">
        <v>109</v>
      </c>
      <c r="G375" s="12" t="s">
        <v>21</v>
      </c>
      <c r="H375" s="11" t="s">
        <v>63</v>
      </c>
      <c r="I375" s="13" t="s">
        <v>1193</v>
      </c>
      <c r="J375" s="14" t="str">
        <f>HYPERLINK("https://www.boe.es/gazeta/dias/1839/01/04/pdfs/GMD-1839-1511.pdf#page=4","Abrir facsímil")</f>
        <v>Abrir facsímil</v>
      </c>
      <c r="K375" s="12" t="s">
        <v>65</v>
      </c>
    </row>
    <row r="376" spans="1:11" ht="40.049999999999997" customHeight="1" x14ac:dyDescent="0.25">
      <c r="A376" s="11" t="s">
        <v>1186</v>
      </c>
      <c r="B376" s="11" t="s">
        <v>1186</v>
      </c>
      <c r="C376" s="11" t="s">
        <v>17</v>
      </c>
      <c r="D376" s="11" t="s">
        <v>18</v>
      </c>
      <c r="E376" s="12" t="s">
        <v>121</v>
      </c>
      <c r="F376" s="12" t="s">
        <v>122</v>
      </c>
      <c r="G376" s="12" t="s">
        <v>46</v>
      </c>
      <c r="H376" s="11" t="s">
        <v>63</v>
      </c>
      <c r="I376" s="13" t="s">
        <v>1194</v>
      </c>
      <c r="J376" s="14" t="str">
        <f>HYPERLINK("https://www.boe.es/gazeta/dias/1839/06/08/pdfs/GMD-1839-1666.pdf#page=3","Abrir facsímil")</f>
        <v>Abrir facsímil</v>
      </c>
      <c r="K376" s="12" t="s">
        <v>65</v>
      </c>
    </row>
    <row r="377" spans="1:11" ht="40.049999999999997" customHeight="1" x14ac:dyDescent="0.25">
      <c r="A377" s="11" t="s">
        <v>1186</v>
      </c>
      <c r="B377" s="11" t="s">
        <v>1186</v>
      </c>
      <c r="C377" s="11" t="s">
        <v>17</v>
      </c>
      <c r="D377" s="11" t="s">
        <v>18</v>
      </c>
      <c r="E377" s="12" t="s">
        <v>333</v>
      </c>
      <c r="F377" s="12" t="s">
        <v>334</v>
      </c>
      <c r="G377" s="12" t="s">
        <v>29</v>
      </c>
      <c r="H377" s="11" t="s">
        <v>63</v>
      </c>
      <c r="I377" s="13" t="s">
        <v>1195</v>
      </c>
      <c r="J377" s="14" t="str">
        <f>HYPERLINK("https://www.boe.es/gazeta/dias/1839/06/11/pdfs/GMD-1839-1669.pdf#page=1","Abrir facsímil")</f>
        <v>Abrir facsímil</v>
      </c>
      <c r="K377" s="12" t="s">
        <v>65</v>
      </c>
    </row>
    <row r="378" spans="1:11" ht="40.049999999999997" customHeight="1" x14ac:dyDescent="0.25">
      <c r="A378" s="11" t="s">
        <v>1186</v>
      </c>
      <c r="B378" s="11" t="s">
        <v>1186</v>
      </c>
      <c r="C378" s="11" t="s">
        <v>101</v>
      </c>
      <c r="D378" s="11" t="s">
        <v>43</v>
      </c>
      <c r="E378" s="12" t="s">
        <v>1179</v>
      </c>
      <c r="F378" s="12" t="s">
        <v>1180</v>
      </c>
      <c r="G378" s="12" t="s">
        <v>40</v>
      </c>
      <c r="H378" s="11" t="s">
        <v>63</v>
      </c>
      <c r="I378" s="13" t="s">
        <v>1196</v>
      </c>
      <c r="J378" s="14" t="str">
        <f>HYPERLINK("https://www.boe.es/gazeta/dias/1839/10/18/pdfs/GMD-1839-1804.pdf#page=2","Abrir facsímil")</f>
        <v>Abrir facsímil</v>
      </c>
      <c r="K378" s="12" t="s">
        <v>65</v>
      </c>
    </row>
    <row r="379" spans="1:11" ht="40.049999999999997" customHeight="1" x14ac:dyDescent="0.25">
      <c r="A379" s="11" t="s">
        <v>1186</v>
      </c>
      <c r="B379" s="11" t="s">
        <v>1186</v>
      </c>
      <c r="C379" s="11" t="s">
        <v>17</v>
      </c>
      <c r="D379" s="11" t="s">
        <v>18</v>
      </c>
      <c r="E379" s="12" t="s">
        <v>1179</v>
      </c>
      <c r="F379" s="12" t="s">
        <v>1180</v>
      </c>
      <c r="G379" s="12" t="s">
        <v>46</v>
      </c>
      <c r="H379" s="11" t="s">
        <v>63</v>
      </c>
      <c r="I379" s="13" t="s">
        <v>1197</v>
      </c>
      <c r="J379" s="14" t="str">
        <f>HYPERLINK("https://www.boe.es/gazeta/dias/1839/10/18/pdfs/GMD-1839-1804.pdf#page=3","Abrir facsímil")</f>
        <v>Abrir facsímil</v>
      </c>
      <c r="K379" s="12" t="s">
        <v>65</v>
      </c>
    </row>
    <row r="380" spans="1:11" ht="40.049999999999997" customHeight="1" x14ac:dyDescent="0.25">
      <c r="A380" s="11" t="s">
        <v>1186</v>
      </c>
      <c r="B380" s="11" t="s">
        <v>1186</v>
      </c>
      <c r="C380" s="11" t="s">
        <v>137</v>
      </c>
      <c r="D380" s="11" t="s">
        <v>18</v>
      </c>
      <c r="E380" s="12" t="s">
        <v>1179</v>
      </c>
      <c r="F380" s="12" t="s">
        <v>1180</v>
      </c>
      <c r="G380" s="12" t="s">
        <v>21</v>
      </c>
      <c r="H380" s="11" t="s">
        <v>63</v>
      </c>
      <c r="I380" s="13" t="s">
        <v>1198</v>
      </c>
      <c r="J380" s="14" t="str">
        <f>HYPERLINK("https://www.boe.es/gazeta/dias/1839/10/18/pdfs/GMD-1839-1804.pdf#page=4","Abrir facsímil")</f>
        <v>Abrir facsímil</v>
      </c>
      <c r="K380" s="12" t="s">
        <v>65</v>
      </c>
    </row>
    <row r="381" spans="1:11" ht="40.049999999999997" customHeight="1" x14ac:dyDescent="0.25">
      <c r="A381" s="11" t="s">
        <v>1186</v>
      </c>
      <c r="B381" s="11" t="s">
        <v>1186</v>
      </c>
      <c r="C381" s="11" t="s">
        <v>101</v>
      </c>
      <c r="D381" s="11" t="s">
        <v>43</v>
      </c>
      <c r="E381" s="12" t="s">
        <v>1179</v>
      </c>
      <c r="F381" s="12" t="s">
        <v>1180</v>
      </c>
      <c r="G381" s="12" t="s">
        <v>566</v>
      </c>
      <c r="H381" s="11" t="s">
        <v>63</v>
      </c>
      <c r="I381" s="13" t="s">
        <v>1199</v>
      </c>
      <c r="J381" s="14" t="str">
        <f>HYPERLINK("https://www.boe.es/gazeta/dias/1839/10/18/pdfs/GMD-1839-1804.pdf#page=5","Abrir facsímil")</f>
        <v>Abrir facsímil</v>
      </c>
      <c r="K381" s="12" t="s">
        <v>65</v>
      </c>
    </row>
    <row r="382" spans="1:11" ht="40.049999999999997" customHeight="1" x14ac:dyDescent="0.25">
      <c r="A382" s="11" t="s">
        <v>1186</v>
      </c>
      <c r="B382" s="11" t="s">
        <v>1186</v>
      </c>
      <c r="C382" s="11" t="s">
        <v>101</v>
      </c>
      <c r="D382" s="11" t="s">
        <v>43</v>
      </c>
      <c r="E382" s="12" t="s">
        <v>284</v>
      </c>
      <c r="F382" s="12" t="s">
        <v>285</v>
      </c>
      <c r="G382" s="12" t="s">
        <v>46</v>
      </c>
      <c r="H382" s="11" t="s">
        <v>63</v>
      </c>
      <c r="I382" s="13" t="s">
        <v>1200</v>
      </c>
      <c r="J382" s="14" t="str">
        <f>HYPERLINK("https://www.boe.es/gazeta/dias/1839/01/27/pdfs/GMD-1839-1534.pdf#page=3","Abrir facsímil")</f>
        <v>Abrir facsímil</v>
      </c>
      <c r="K382" s="12" t="s">
        <v>65</v>
      </c>
    </row>
    <row r="383" spans="1:11" ht="40.049999999999997" customHeight="1" x14ac:dyDescent="0.25">
      <c r="A383" s="11" t="s">
        <v>1186</v>
      </c>
      <c r="B383" s="11" t="s">
        <v>1186</v>
      </c>
      <c r="C383" s="11" t="s">
        <v>101</v>
      </c>
      <c r="D383" s="11" t="s">
        <v>43</v>
      </c>
      <c r="E383" s="12" t="s">
        <v>653</v>
      </c>
      <c r="F383" s="12" t="s">
        <v>654</v>
      </c>
      <c r="G383" s="12" t="s">
        <v>40</v>
      </c>
      <c r="H383" s="11" t="s">
        <v>63</v>
      </c>
      <c r="I383" s="13" t="s">
        <v>1201</v>
      </c>
      <c r="J383" s="14" t="str">
        <f>HYPERLINK("https://www.boe.es/gazeta/dias/1839/10/31/pdfs/GMD-1839-1817.pdf#page=2","Abrir facsímil")</f>
        <v>Abrir facsímil</v>
      </c>
      <c r="K383" s="12" t="s">
        <v>65</v>
      </c>
    </row>
    <row r="384" spans="1:11" ht="40.049999999999997" customHeight="1" x14ac:dyDescent="0.25">
      <c r="A384" s="11" t="s">
        <v>1202</v>
      </c>
      <c r="B384" s="11" t="s">
        <v>1203</v>
      </c>
      <c r="C384" s="11" t="s">
        <v>59</v>
      </c>
      <c r="D384" s="11" t="s">
        <v>60</v>
      </c>
      <c r="E384" s="12" t="s">
        <v>695</v>
      </c>
      <c r="F384" s="12" t="s">
        <v>696</v>
      </c>
      <c r="G384" s="12" t="s">
        <v>46</v>
      </c>
      <c r="H384" s="11" t="s">
        <v>63</v>
      </c>
      <c r="I384" s="13" t="s">
        <v>1204</v>
      </c>
      <c r="J384" s="14" t="str">
        <f>HYPERLINK("https://www.boe.es/gazeta/dias/1839/12/19/pdfs/GMD-1839-1866.pdf#page=3","Abrir facsímil")</f>
        <v>Abrir facsímil</v>
      </c>
      <c r="K384" s="12" t="s">
        <v>65</v>
      </c>
    </row>
    <row r="385" spans="1:11" ht="40.049999999999997" customHeight="1" x14ac:dyDescent="0.25">
      <c r="A385" s="11" t="s">
        <v>1202</v>
      </c>
      <c r="B385" s="11" t="s">
        <v>1203</v>
      </c>
      <c r="C385" s="11" t="s">
        <v>17</v>
      </c>
      <c r="D385" s="11" t="s">
        <v>18</v>
      </c>
      <c r="E385" s="12" t="s">
        <v>664</v>
      </c>
      <c r="F385" s="12" t="s">
        <v>665</v>
      </c>
      <c r="G385" s="12" t="s">
        <v>29</v>
      </c>
      <c r="H385" s="11" t="s">
        <v>63</v>
      </c>
      <c r="I385" s="13" t="s">
        <v>1205</v>
      </c>
      <c r="J385" s="14" t="str">
        <f>HYPERLINK("https://www.boe.es/gazeta/dias/1839/01/24/pdfs/GMD-1839-1531.pdf#page=1","Abrir facsímil")</f>
        <v>Abrir facsímil</v>
      </c>
      <c r="K385" s="12" t="s">
        <v>65</v>
      </c>
    </row>
    <row r="386" spans="1:11" ht="40.049999999999997" customHeight="1" x14ac:dyDescent="0.25">
      <c r="A386" s="11" t="s">
        <v>1206</v>
      </c>
      <c r="B386" s="11" t="s">
        <v>1207</v>
      </c>
      <c r="C386" s="11" t="s">
        <v>17</v>
      </c>
      <c r="D386" s="11" t="s">
        <v>18</v>
      </c>
      <c r="E386" s="12" t="s">
        <v>1208</v>
      </c>
      <c r="F386" s="12" t="s">
        <v>1209</v>
      </c>
      <c r="G386" s="12" t="s">
        <v>40</v>
      </c>
      <c r="H386" s="11" t="s">
        <v>22</v>
      </c>
      <c r="I386" s="13" t="s">
        <v>1210</v>
      </c>
      <c r="J386" s="14" t="str">
        <f>HYPERLINK("https://www.boe.es/gazeta/dias/1839/04/24/pdfs/GMD-1839-1621.pdf#page=2","Abrir facsímil")</f>
        <v>Abrir facsímil</v>
      </c>
      <c r="K386" s="12" t="s">
        <v>24</v>
      </c>
    </row>
    <row r="387" spans="1:11" ht="40.049999999999997" customHeight="1" x14ac:dyDescent="0.25">
      <c r="A387" s="11" t="s">
        <v>1211</v>
      </c>
      <c r="B387" s="11" t="s">
        <v>1212</v>
      </c>
      <c r="C387" s="11" t="s">
        <v>17</v>
      </c>
      <c r="D387" s="11" t="s">
        <v>18</v>
      </c>
      <c r="E387" s="12" t="s">
        <v>1179</v>
      </c>
      <c r="F387" s="12" t="s">
        <v>1180</v>
      </c>
      <c r="G387" s="12" t="s">
        <v>46</v>
      </c>
      <c r="H387" s="11" t="s">
        <v>22</v>
      </c>
      <c r="I387" s="13" t="s">
        <v>1213</v>
      </c>
      <c r="J387" s="14" t="str">
        <f>HYPERLINK("https://www.boe.es/gazeta/dias/1839/10/18/pdfs/GMD-1839-1804.pdf#page=3","Abrir facsímil")</f>
        <v>Abrir facsímil</v>
      </c>
      <c r="K387" s="12" t="s">
        <v>24</v>
      </c>
    </row>
    <row r="388" spans="1:11" ht="40.049999999999997" customHeight="1" x14ac:dyDescent="0.25">
      <c r="A388" s="11" t="s">
        <v>1214</v>
      </c>
      <c r="B388" s="11" t="s">
        <v>1215</v>
      </c>
      <c r="C388" s="11" t="s">
        <v>17</v>
      </c>
      <c r="D388" s="11" t="s">
        <v>18</v>
      </c>
      <c r="E388" s="12" t="s">
        <v>262</v>
      </c>
      <c r="F388" s="12" t="s">
        <v>263</v>
      </c>
      <c r="G388" s="12" t="s">
        <v>29</v>
      </c>
      <c r="H388" s="11" t="s">
        <v>63</v>
      </c>
      <c r="I388" s="13" t="s">
        <v>1216</v>
      </c>
      <c r="J388" s="14" t="str">
        <f>HYPERLINK("https://www.boe.es/gazeta/dias/1839/01/01/pdfs/GMD-1839-1508.pdf#page=1","Abrir facsímil")</f>
        <v>Abrir facsímil</v>
      </c>
      <c r="K388" s="12" t="s">
        <v>65</v>
      </c>
    </row>
    <row r="389" spans="1:11" ht="40.049999999999997" customHeight="1" x14ac:dyDescent="0.25">
      <c r="A389" s="11" t="s">
        <v>1214</v>
      </c>
      <c r="B389" s="11" t="s">
        <v>1215</v>
      </c>
      <c r="C389" s="11" t="s">
        <v>17</v>
      </c>
      <c r="D389" s="11" t="s">
        <v>18</v>
      </c>
      <c r="E389" s="12" t="s">
        <v>262</v>
      </c>
      <c r="F389" s="12" t="s">
        <v>263</v>
      </c>
      <c r="G389" s="12" t="s">
        <v>40</v>
      </c>
      <c r="H389" s="11" t="s">
        <v>63</v>
      </c>
      <c r="I389" s="13" t="s">
        <v>1217</v>
      </c>
      <c r="J389" s="14" t="str">
        <f>HYPERLINK("https://www.boe.es/gazeta/dias/1839/01/01/pdfs/GMD-1839-1508.pdf#page=2","Abrir facsímil")</f>
        <v>Abrir facsímil</v>
      </c>
      <c r="K389" s="12" t="s">
        <v>65</v>
      </c>
    </row>
    <row r="390" spans="1:11" ht="40.049999999999997" customHeight="1" x14ac:dyDescent="0.25">
      <c r="A390" s="11" t="s">
        <v>1214</v>
      </c>
      <c r="B390" s="11" t="s">
        <v>1215</v>
      </c>
      <c r="C390" s="11" t="s">
        <v>17</v>
      </c>
      <c r="D390" s="11" t="s">
        <v>18</v>
      </c>
      <c r="E390" s="12" t="s">
        <v>262</v>
      </c>
      <c r="F390" s="12" t="s">
        <v>263</v>
      </c>
      <c r="G390" s="12" t="s">
        <v>21</v>
      </c>
      <c r="H390" s="11" t="s">
        <v>63</v>
      </c>
      <c r="I390" s="13" t="s">
        <v>1218</v>
      </c>
      <c r="J390" s="14" t="str">
        <f>HYPERLINK("https://www.boe.es/gazeta/dias/1839/01/01/pdfs/GMD-1839-1508.pdf#page=4","Abrir facsímil")</f>
        <v>Abrir facsímil</v>
      </c>
      <c r="K390" s="12" t="s">
        <v>65</v>
      </c>
    </row>
    <row r="391" spans="1:11" ht="40.049999999999997" customHeight="1" x14ac:dyDescent="0.25">
      <c r="A391" s="11" t="s">
        <v>1214</v>
      </c>
      <c r="B391" s="11" t="s">
        <v>1215</v>
      </c>
      <c r="C391" s="11" t="s">
        <v>17</v>
      </c>
      <c r="D391" s="11" t="s">
        <v>18</v>
      </c>
      <c r="E391" s="12" t="s">
        <v>266</v>
      </c>
      <c r="F391" s="12" t="s">
        <v>267</v>
      </c>
      <c r="G391" s="12" t="s">
        <v>21</v>
      </c>
      <c r="H391" s="11" t="s">
        <v>63</v>
      </c>
      <c r="I391" s="13" t="s">
        <v>1219</v>
      </c>
      <c r="J391" s="14" t="str">
        <f>HYPERLINK("https://www.boe.es/gazeta/dias/1839/01/03/pdfs/GMD-1839-1510.pdf#page=4","Abrir facsímil")</f>
        <v>Abrir facsímil</v>
      </c>
      <c r="K391" s="12" t="s">
        <v>65</v>
      </c>
    </row>
    <row r="392" spans="1:11" ht="40.049999999999997" customHeight="1" x14ac:dyDescent="0.25">
      <c r="A392" s="11" t="s">
        <v>1220</v>
      </c>
      <c r="B392" s="11" t="s">
        <v>1221</v>
      </c>
      <c r="C392" s="11" t="s">
        <v>101</v>
      </c>
      <c r="D392" s="11" t="s">
        <v>43</v>
      </c>
      <c r="E392" s="12" t="s">
        <v>262</v>
      </c>
      <c r="F392" s="12" t="s">
        <v>263</v>
      </c>
      <c r="G392" s="12" t="s">
        <v>29</v>
      </c>
      <c r="H392" s="11" t="s">
        <v>22</v>
      </c>
      <c r="I392" s="13" t="s">
        <v>1222</v>
      </c>
      <c r="J392" s="14" t="str">
        <f>HYPERLINK("https://www.boe.es/gazeta/dias/1839/01/01/pdfs/GMD-1839-1508.pdf#page=1","Abrir facsímil")</f>
        <v>Abrir facsímil</v>
      </c>
      <c r="K392" s="12" t="s">
        <v>24</v>
      </c>
    </row>
    <row r="393" spans="1:11" ht="40.049999999999997" customHeight="1" x14ac:dyDescent="0.25">
      <c r="A393" s="11" t="s">
        <v>1223</v>
      </c>
      <c r="B393" s="11" t="s">
        <v>1224</v>
      </c>
      <c r="C393" s="11" t="s">
        <v>17</v>
      </c>
      <c r="D393" s="11" t="s">
        <v>18</v>
      </c>
      <c r="E393" s="12" t="s">
        <v>438</v>
      </c>
      <c r="F393" s="12" t="s">
        <v>439</v>
      </c>
      <c r="G393" s="12" t="s">
        <v>29</v>
      </c>
      <c r="H393" s="11" t="s">
        <v>63</v>
      </c>
      <c r="I393" s="13" t="s">
        <v>1225</v>
      </c>
      <c r="J393" s="14" t="str">
        <f>HYPERLINK("https://www.boe.es/gazeta/dias/1839/07/17/pdfs/GMD-1839-1705.pdf#page=1","Abrir facsímil")</f>
        <v>Abrir facsímil</v>
      </c>
      <c r="K393" s="12" t="s">
        <v>65</v>
      </c>
    </row>
    <row r="394" spans="1:11" ht="40.049999999999997" customHeight="1" x14ac:dyDescent="0.25">
      <c r="A394" s="11" t="s">
        <v>1226</v>
      </c>
      <c r="B394" s="11" t="s">
        <v>1227</v>
      </c>
      <c r="C394" s="11" t="s">
        <v>59</v>
      </c>
      <c r="D394" s="11" t="s">
        <v>60</v>
      </c>
      <c r="E394" s="12" t="s">
        <v>197</v>
      </c>
      <c r="F394" s="12" t="s">
        <v>198</v>
      </c>
      <c r="G394" s="12" t="s">
        <v>46</v>
      </c>
      <c r="H394" s="11" t="s">
        <v>63</v>
      </c>
      <c r="I394" s="13" t="s">
        <v>1228</v>
      </c>
      <c r="J394" s="14" t="str">
        <f>HYPERLINK("https://www.boe.es/gazeta/dias/1839/10/04/pdfs/GMD-1839-1790.pdf#page=3","Abrir facsímil")</f>
        <v>Abrir facsímil</v>
      </c>
      <c r="K394" s="12" t="s">
        <v>65</v>
      </c>
    </row>
    <row r="395" spans="1:11" ht="40.049999999999997" customHeight="1" x14ac:dyDescent="0.25">
      <c r="A395" s="11" t="s">
        <v>1229</v>
      </c>
      <c r="B395" s="11" t="s">
        <v>1230</v>
      </c>
      <c r="C395" s="11" t="s">
        <v>101</v>
      </c>
      <c r="D395" s="11" t="s">
        <v>43</v>
      </c>
      <c r="E395" s="12" t="s">
        <v>1179</v>
      </c>
      <c r="F395" s="12" t="s">
        <v>1180</v>
      </c>
      <c r="G395" s="12" t="s">
        <v>21</v>
      </c>
      <c r="H395" s="11" t="s">
        <v>63</v>
      </c>
      <c r="I395" s="13" t="s">
        <v>1231</v>
      </c>
      <c r="J395" s="14" t="str">
        <f>HYPERLINK("https://www.boe.es/gazeta/dias/1839/10/18/pdfs/GMD-1839-1804.pdf#page=4","Abrir facsímil")</f>
        <v>Abrir facsímil</v>
      </c>
      <c r="K395" s="12" t="s">
        <v>65</v>
      </c>
    </row>
    <row r="396" spans="1:11" ht="40.049999999999997" customHeight="1" x14ac:dyDescent="0.25">
      <c r="A396" s="11" t="s">
        <v>1229</v>
      </c>
      <c r="B396" s="11" t="s">
        <v>1230</v>
      </c>
      <c r="C396" s="11" t="s">
        <v>137</v>
      </c>
      <c r="D396" s="11" t="s">
        <v>18</v>
      </c>
      <c r="E396" s="12" t="s">
        <v>821</v>
      </c>
      <c r="F396" s="12" t="s">
        <v>822</v>
      </c>
      <c r="G396" s="12" t="s">
        <v>21</v>
      </c>
      <c r="H396" s="11" t="s">
        <v>63</v>
      </c>
      <c r="I396" s="13" t="s">
        <v>1232</v>
      </c>
      <c r="J396" s="14" t="str">
        <f>HYPERLINK("https://www.boe.es/gazeta/dias/1839/09/20/pdfs/GMD-1839-1775.pdf#page=4","Abrir facsímil")</f>
        <v>Abrir facsímil</v>
      </c>
      <c r="K396" s="12" t="s">
        <v>65</v>
      </c>
    </row>
    <row r="397" spans="1:11" ht="40.049999999999997" customHeight="1" x14ac:dyDescent="0.25">
      <c r="A397" s="11" t="s">
        <v>1233</v>
      </c>
      <c r="B397" s="11" t="s">
        <v>1234</v>
      </c>
      <c r="C397" s="11" t="s">
        <v>101</v>
      </c>
      <c r="D397" s="11" t="s">
        <v>43</v>
      </c>
      <c r="E397" s="12" t="s">
        <v>262</v>
      </c>
      <c r="F397" s="12" t="s">
        <v>263</v>
      </c>
      <c r="G397" s="12" t="s">
        <v>29</v>
      </c>
      <c r="H397" s="11" t="s">
        <v>63</v>
      </c>
      <c r="I397" s="13" t="s">
        <v>1235</v>
      </c>
      <c r="J397" s="14" t="str">
        <f>HYPERLINK("https://www.boe.es/gazeta/dias/1839/01/01/pdfs/GMD-1839-1508.pdf#page=1","Abrir facsímil")</f>
        <v>Abrir facsímil</v>
      </c>
      <c r="K397" s="12" t="s">
        <v>65</v>
      </c>
    </row>
    <row r="398" spans="1:11" ht="40.049999999999997" customHeight="1" x14ac:dyDescent="0.25">
      <c r="A398" s="11" t="s">
        <v>1233</v>
      </c>
      <c r="B398" s="11" t="s">
        <v>1234</v>
      </c>
      <c r="C398" s="11" t="s">
        <v>101</v>
      </c>
      <c r="D398" s="11" t="s">
        <v>43</v>
      </c>
      <c r="E398" s="12" t="s">
        <v>1236</v>
      </c>
      <c r="F398" s="12" t="s">
        <v>1237</v>
      </c>
      <c r="G398" s="12" t="s">
        <v>29</v>
      </c>
      <c r="H398" s="11" t="s">
        <v>63</v>
      </c>
      <c r="I398" s="13" t="s">
        <v>1238</v>
      </c>
      <c r="J398" s="14" t="str">
        <f>HYPERLINK("https://www.boe.es/gazeta/dias/1839/10/16/pdfs/GMD-1839-1802.pdf#page=1","Abrir facsímil")</f>
        <v>Abrir facsímil</v>
      </c>
      <c r="K398" s="12" t="s">
        <v>65</v>
      </c>
    </row>
    <row r="399" spans="1:11" ht="40.049999999999997" customHeight="1" x14ac:dyDescent="0.25">
      <c r="A399" s="11" t="s">
        <v>1233</v>
      </c>
      <c r="B399" s="11" t="s">
        <v>1234</v>
      </c>
      <c r="C399" s="11" t="s">
        <v>17</v>
      </c>
      <c r="D399" s="11" t="s">
        <v>18</v>
      </c>
      <c r="E399" s="12" t="s">
        <v>1179</v>
      </c>
      <c r="F399" s="12" t="s">
        <v>1180</v>
      </c>
      <c r="G399" s="12" t="s">
        <v>46</v>
      </c>
      <c r="H399" s="11" t="s">
        <v>63</v>
      </c>
      <c r="I399" s="13" t="s">
        <v>1239</v>
      </c>
      <c r="J399" s="14" t="str">
        <f>HYPERLINK("https://www.boe.es/gazeta/dias/1839/10/18/pdfs/GMD-1839-1804.pdf#page=3","Abrir facsímil")</f>
        <v>Abrir facsímil</v>
      </c>
      <c r="K399" s="12" t="s">
        <v>65</v>
      </c>
    </row>
    <row r="400" spans="1:11" ht="40.049999999999997" customHeight="1" x14ac:dyDescent="0.25">
      <c r="A400" s="11" t="s">
        <v>1233</v>
      </c>
      <c r="B400" s="11" t="s">
        <v>1234</v>
      </c>
      <c r="C400" s="11" t="s">
        <v>101</v>
      </c>
      <c r="D400" s="11" t="s">
        <v>43</v>
      </c>
      <c r="E400" s="12" t="s">
        <v>1179</v>
      </c>
      <c r="F400" s="12" t="s">
        <v>1180</v>
      </c>
      <c r="G400" s="12" t="s">
        <v>566</v>
      </c>
      <c r="H400" s="11" t="s">
        <v>63</v>
      </c>
      <c r="I400" s="13" t="s">
        <v>1240</v>
      </c>
      <c r="J400" s="14" t="str">
        <f>HYPERLINK("https://www.boe.es/gazeta/dias/1839/10/18/pdfs/GMD-1839-1804.pdf#page=5","Abrir facsímil")</f>
        <v>Abrir facsímil</v>
      </c>
      <c r="K400" s="12" t="s">
        <v>65</v>
      </c>
    </row>
    <row r="401" spans="1:11" ht="40.049999999999997" customHeight="1" x14ac:dyDescent="0.25">
      <c r="A401" s="11" t="s">
        <v>1241</v>
      </c>
      <c r="B401" s="11" t="s">
        <v>1242</v>
      </c>
      <c r="C401" s="11" t="s">
        <v>17</v>
      </c>
      <c r="D401" s="11" t="s">
        <v>18</v>
      </c>
      <c r="E401" s="12" t="s">
        <v>222</v>
      </c>
      <c r="F401" s="12" t="s">
        <v>223</v>
      </c>
      <c r="G401" s="12" t="s">
        <v>21</v>
      </c>
      <c r="H401" s="11" t="s">
        <v>63</v>
      </c>
      <c r="I401" s="13" t="s">
        <v>1243</v>
      </c>
      <c r="J401" s="14" t="str">
        <f>HYPERLINK("https://www.boe.es/gazeta/dias/1839/06/22/pdfs/GMD-1839-1680.pdf#page=4","Abrir facsímil")</f>
        <v>Abrir facsímil</v>
      </c>
      <c r="K401" s="12" t="s">
        <v>65</v>
      </c>
    </row>
    <row r="402" spans="1:11" ht="40.049999999999997" customHeight="1" x14ac:dyDescent="0.25">
      <c r="A402" s="11" t="s">
        <v>1244</v>
      </c>
      <c r="B402" s="11" t="s">
        <v>1245</v>
      </c>
      <c r="C402" s="11" t="s">
        <v>80</v>
      </c>
      <c r="D402" s="11" t="s">
        <v>18</v>
      </c>
      <c r="E402" s="12" t="s">
        <v>138</v>
      </c>
      <c r="F402" s="12" t="s">
        <v>139</v>
      </c>
      <c r="G402" s="12" t="s">
        <v>21</v>
      </c>
      <c r="H402" s="11" t="s">
        <v>63</v>
      </c>
      <c r="I402" s="13" t="s">
        <v>1246</v>
      </c>
      <c r="J402" s="14" t="str">
        <f>HYPERLINK("https://www.boe.es/gazeta/dias/1839/10/09/pdfs/GMD-1839-1795.pdf#page=4","Abrir facsímil")</f>
        <v>Abrir facsímil</v>
      </c>
      <c r="K402" s="12" t="s">
        <v>65</v>
      </c>
    </row>
    <row r="403" spans="1:11" ht="40.049999999999997" customHeight="1" x14ac:dyDescent="0.25">
      <c r="A403" s="11" t="s">
        <v>1247</v>
      </c>
      <c r="B403" s="11" t="s">
        <v>1248</v>
      </c>
      <c r="C403" s="11" t="s">
        <v>17</v>
      </c>
      <c r="D403" s="11" t="s">
        <v>18</v>
      </c>
      <c r="E403" s="12" t="s">
        <v>479</v>
      </c>
      <c r="F403" s="12" t="s">
        <v>480</v>
      </c>
      <c r="G403" s="12" t="s">
        <v>46</v>
      </c>
      <c r="H403" s="11" t="s">
        <v>63</v>
      </c>
      <c r="I403" s="13" t="s">
        <v>1249</v>
      </c>
      <c r="J403" s="14" t="str">
        <f>HYPERLINK("https://www.boe.es/gazeta/dias/1839/06/24/pdfs/GMD-1839-1682.pdf#page=3","Abrir facsímil")</f>
        <v>Abrir facsímil</v>
      </c>
      <c r="K403" s="12" t="s">
        <v>65</v>
      </c>
    </row>
    <row r="404" spans="1:11" ht="40.049999999999997" customHeight="1" x14ac:dyDescent="0.25">
      <c r="A404" s="11" t="s">
        <v>1250</v>
      </c>
      <c r="B404" s="11" t="s">
        <v>1251</v>
      </c>
      <c r="C404" s="11" t="s">
        <v>59</v>
      </c>
      <c r="D404" s="11" t="s">
        <v>60</v>
      </c>
      <c r="E404" s="12" t="s">
        <v>1252</v>
      </c>
      <c r="F404" s="12" t="s">
        <v>1253</v>
      </c>
      <c r="G404" s="12" t="s">
        <v>21</v>
      </c>
      <c r="H404" s="11" t="s">
        <v>63</v>
      </c>
      <c r="I404" s="13" t="s">
        <v>1254</v>
      </c>
      <c r="J404" s="14" t="str">
        <f>HYPERLINK("https://www.boe.es/gazeta/dias/1839/06/15/pdfs/GMD-1839-1673.pdf#page=4","Abrir facsímil")</f>
        <v>Abrir facsímil</v>
      </c>
      <c r="K404" s="12" t="s">
        <v>65</v>
      </c>
    </row>
    <row r="405" spans="1:11" ht="40.049999999999997" customHeight="1" x14ac:dyDescent="0.25">
      <c r="A405" s="11" t="s">
        <v>1255</v>
      </c>
      <c r="B405" s="11" t="s">
        <v>1256</v>
      </c>
      <c r="C405" s="11" t="s">
        <v>17</v>
      </c>
      <c r="D405" s="11" t="s">
        <v>18</v>
      </c>
      <c r="E405" s="12" t="s">
        <v>756</v>
      </c>
      <c r="F405" s="12" t="s">
        <v>757</v>
      </c>
      <c r="G405" s="12" t="s">
        <v>21</v>
      </c>
      <c r="H405" s="11" t="s">
        <v>63</v>
      </c>
      <c r="I405" s="13" t="s">
        <v>1257</v>
      </c>
      <c r="J405" s="14" t="str">
        <f>HYPERLINK("https://www.boe.es/gazeta/dias/1839/12/17/pdfs/GMD-1839-1864.pdf#page=4","Abrir facsímil")</f>
        <v>Abrir facsímil</v>
      </c>
      <c r="K405" s="12" t="s">
        <v>65</v>
      </c>
    </row>
    <row r="406" spans="1:11" ht="40.049999999999997" customHeight="1" x14ac:dyDescent="0.25">
      <c r="A406" s="11" t="s">
        <v>1258</v>
      </c>
      <c r="B406" s="11" t="s">
        <v>1259</v>
      </c>
      <c r="C406" s="11" t="s">
        <v>80</v>
      </c>
      <c r="D406" s="11" t="s">
        <v>18</v>
      </c>
      <c r="E406" s="12" t="s">
        <v>1079</v>
      </c>
      <c r="F406" s="12" t="s">
        <v>1080</v>
      </c>
      <c r="G406" s="12" t="s">
        <v>21</v>
      </c>
      <c r="H406" s="11" t="s">
        <v>63</v>
      </c>
      <c r="I406" s="13" t="s">
        <v>1260</v>
      </c>
      <c r="J406" s="14" t="str">
        <f>HYPERLINK("https://www.boe.es/gazeta/dias/1839/05/24/pdfs/GMD-1839-1651.pdf#page=4","Abrir facsímil")</f>
        <v>Abrir facsímil</v>
      </c>
      <c r="K406" s="12" t="s">
        <v>65</v>
      </c>
    </row>
    <row r="407" spans="1:11" ht="40.049999999999997" customHeight="1" x14ac:dyDescent="0.25">
      <c r="A407" s="11" t="s">
        <v>1261</v>
      </c>
      <c r="B407" s="11" t="s">
        <v>1262</v>
      </c>
      <c r="C407" s="11" t="s">
        <v>17</v>
      </c>
      <c r="D407" s="11" t="s">
        <v>18</v>
      </c>
      <c r="E407" s="12" t="s">
        <v>1019</v>
      </c>
      <c r="F407" s="12" t="s">
        <v>1020</v>
      </c>
      <c r="G407" s="12" t="s">
        <v>21</v>
      </c>
      <c r="H407" s="11" t="s">
        <v>63</v>
      </c>
      <c r="I407" s="13" t="s">
        <v>1263</v>
      </c>
      <c r="J407" s="14" t="str">
        <f>HYPERLINK("https://www.boe.es/gazeta/dias/1839/07/15/pdfs/GMD-1839-1703.pdf#page=4","Abrir facsímil")</f>
        <v>Abrir facsímil</v>
      </c>
      <c r="K407" s="12" t="s">
        <v>65</v>
      </c>
    </row>
    <row r="408" spans="1:11" ht="40.049999999999997" customHeight="1" x14ac:dyDescent="0.25">
      <c r="A408" s="11" t="s">
        <v>1264</v>
      </c>
      <c r="B408" s="11" t="s">
        <v>1265</v>
      </c>
      <c r="C408" s="11" t="s">
        <v>80</v>
      </c>
      <c r="D408" s="11" t="s">
        <v>18</v>
      </c>
      <c r="E408" s="12" t="s">
        <v>469</v>
      </c>
      <c r="F408" s="12" t="s">
        <v>470</v>
      </c>
      <c r="G408" s="12" t="s">
        <v>21</v>
      </c>
      <c r="H408" s="11" t="s">
        <v>63</v>
      </c>
      <c r="I408" s="13" t="s">
        <v>1266</v>
      </c>
      <c r="J408" s="14" t="str">
        <f>HYPERLINK("https://www.boe.es/gazeta/dias/1839/08/20/pdfs/GMD-1839-1741.pdf#page=4","Abrir facsímil")</f>
        <v>Abrir facsímil</v>
      </c>
      <c r="K408" s="12" t="s">
        <v>65</v>
      </c>
    </row>
    <row r="409" spans="1:11" ht="40.049999999999997" customHeight="1" x14ac:dyDescent="0.25">
      <c r="A409" s="11" t="s">
        <v>1267</v>
      </c>
      <c r="B409" s="11" t="s">
        <v>1268</v>
      </c>
      <c r="C409" s="11" t="s">
        <v>80</v>
      </c>
      <c r="D409" s="11" t="s">
        <v>18</v>
      </c>
      <c r="E409" s="12" t="s">
        <v>1269</v>
      </c>
      <c r="F409" s="12" t="s">
        <v>1270</v>
      </c>
      <c r="G409" s="12" t="s">
        <v>21</v>
      </c>
      <c r="H409" s="11" t="s">
        <v>63</v>
      </c>
      <c r="I409" s="13" t="s">
        <v>1271</v>
      </c>
      <c r="J409" s="14" t="str">
        <f>HYPERLINK("https://www.boe.es/gazeta/dias/1839/04/29/pdfs/GMD-1839-1626.pdf#page=4","Abrir facsímil")</f>
        <v>Abrir facsímil</v>
      </c>
      <c r="K409" s="12" t="s">
        <v>65</v>
      </c>
    </row>
    <row r="410" spans="1:11" ht="40.049999999999997" customHeight="1" x14ac:dyDescent="0.25">
      <c r="A410" s="11" t="s">
        <v>1272</v>
      </c>
      <c r="B410" s="11" t="s">
        <v>1272</v>
      </c>
      <c r="C410" s="11" t="s">
        <v>17</v>
      </c>
      <c r="D410" s="11" t="s">
        <v>18</v>
      </c>
      <c r="E410" s="12" t="s">
        <v>704</v>
      </c>
      <c r="F410" s="12" t="s">
        <v>705</v>
      </c>
      <c r="G410" s="12" t="s">
        <v>46</v>
      </c>
      <c r="H410" s="11" t="s">
        <v>63</v>
      </c>
      <c r="I410" s="13" t="s">
        <v>1273</v>
      </c>
      <c r="J410" s="14" t="str">
        <f>HYPERLINK("https://www.boe.es/gazeta/dias/1839/03/02/pdfs/GMD-1839-1568.pdf#page=3","Abrir facsímil")</f>
        <v>Abrir facsímil</v>
      </c>
      <c r="K410" s="12" t="s">
        <v>65</v>
      </c>
    </row>
    <row r="411" spans="1:11" ht="40.049999999999997" customHeight="1" x14ac:dyDescent="0.25">
      <c r="A411" s="11" t="s">
        <v>1274</v>
      </c>
      <c r="B411" s="11" t="s">
        <v>1274</v>
      </c>
      <c r="C411" s="11" t="s">
        <v>101</v>
      </c>
      <c r="D411" s="11" t="s">
        <v>43</v>
      </c>
      <c r="E411" s="12" t="s">
        <v>561</v>
      </c>
      <c r="F411" s="12" t="s">
        <v>562</v>
      </c>
      <c r="G411" s="12" t="s">
        <v>46</v>
      </c>
      <c r="H411" s="11" t="s">
        <v>22</v>
      </c>
      <c r="I411" s="13" t="s">
        <v>1275</v>
      </c>
      <c r="J411" s="14" t="str">
        <f>HYPERLINK("https://www.boe.es/gazeta/dias/1839/09/11/pdfs/GMD-1839-1764.pdf#page=3","Abrir facsímil")</f>
        <v>Abrir facsímil</v>
      </c>
      <c r="K411" s="12" t="s">
        <v>24</v>
      </c>
    </row>
    <row r="412" spans="1:11" ht="40.049999999999997" customHeight="1" x14ac:dyDescent="0.25">
      <c r="A412" s="11" t="s">
        <v>1272</v>
      </c>
      <c r="B412" s="11" t="s">
        <v>1272</v>
      </c>
      <c r="C412" s="11" t="s">
        <v>17</v>
      </c>
      <c r="D412" s="11" t="s">
        <v>18</v>
      </c>
      <c r="E412" s="12" t="s">
        <v>103</v>
      </c>
      <c r="F412" s="12" t="s">
        <v>104</v>
      </c>
      <c r="G412" s="12" t="s">
        <v>46</v>
      </c>
      <c r="H412" s="11" t="s">
        <v>63</v>
      </c>
      <c r="I412" s="13" t="s">
        <v>1276</v>
      </c>
      <c r="J412" s="14" t="str">
        <f>HYPERLINK("https://www.boe.es/gazeta/dias/1839/10/12/pdfs/GMD-1839-1798.pdf#page=3","Abrir facsímil")</f>
        <v>Abrir facsímil</v>
      </c>
      <c r="K412" s="12" t="s">
        <v>65</v>
      </c>
    </row>
    <row r="413" spans="1:11" ht="40.049999999999997" customHeight="1" x14ac:dyDescent="0.25">
      <c r="A413" s="11" t="s">
        <v>1272</v>
      </c>
      <c r="B413" s="11" t="s">
        <v>1272</v>
      </c>
      <c r="C413" s="11" t="s">
        <v>80</v>
      </c>
      <c r="D413" s="11" t="s">
        <v>18</v>
      </c>
      <c r="E413" s="12" t="s">
        <v>736</v>
      </c>
      <c r="F413" s="12" t="s">
        <v>737</v>
      </c>
      <c r="G413" s="12" t="s">
        <v>21</v>
      </c>
      <c r="H413" s="11" t="s">
        <v>63</v>
      </c>
      <c r="I413" s="13" t="s">
        <v>1277</v>
      </c>
      <c r="J413" s="14" t="str">
        <f>HYPERLINK("https://www.boe.es/gazeta/dias/1839/10/13/pdfs/GMD-1839-1799.pdf#page=4","Abrir facsímil")</f>
        <v>Abrir facsímil</v>
      </c>
      <c r="K413" s="12" t="s">
        <v>65</v>
      </c>
    </row>
    <row r="414" spans="1:11" ht="40.049999999999997" customHeight="1" x14ac:dyDescent="0.25">
      <c r="A414" s="11" t="s">
        <v>1272</v>
      </c>
      <c r="B414" s="11" t="s">
        <v>1272</v>
      </c>
      <c r="C414" s="11" t="s">
        <v>101</v>
      </c>
      <c r="D414" s="11" t="s">
        <v>43</v>
      </c>
      <c r="E414" s="12" t="s">
        <v>1069</v>
      </c>
      <c r="F414" s="12" t="s">
        <v>1070</v>
      </c>
      <c r="G414" s="12" t="s">
        <v>46</v>
      </c>
      <c r="H414" s="11" t="s">
        <v>63</v>
      </c>
      <c r="I414" s="13" t="s">
        <v>1278</v>
      </c>
      <c r="J414" s="14" t="str">
        <f>HYPERLINK("https://www.boe.es/gazeta/dias/1839/10/15/pdfs/GMD-1839-1801.pdf#page=3","Abrir facsímil")</f>
        <v>Abrir facsímil</v>
      </c>
      <c r="K414" s="12" t="s">
        <v>65</v>
      </c>
    </row>
    <row r="415" spans="1:11" ht="40.049999999999997" customHeight="1" x14ac:dyDescent="0.25">
      <c r="A415" s="11" t="s">
        <v>1272</v>
      </c>
      <c r="B415" s="11" t="s">
        <v>1272</v>
      </c>
      <c r="C415" s="11" t="s">
        <v>17</v>
      </c>
      <c r="D415" s="11" t="s">
        <v>18</v>
      </c>
      <c r="E415" s="12" t="s">
        <v>1069</v>
      </c>
      <c r="F415" s="12" t="s">
        <v>1070</v>
      </c>
      <c r="G415" s="12" t="s">
        <v>21</v>
      </c>
      <c r="H415" s="11" t="s">
        <v>63</v>
      </c>
      <c r="I415" s="13" t="s">
        <v>1279</v>
      </c>
      <c r="J415" s="14" t="str">
        <f>HYPERLINK("https://www.boe.es/gazeta/dias/1839/10/15/pdfs/GMD-1839-1801.pdf#page=4","Abrir facsímil")</f>
        <v>Abrir facsímil</v>
      </c>
      <c r="K415" s="12" t="s">
        <v>65</v>
      </c>
    </row>
    <row r="416" spans="1:11" ht="40.049999999999997" customHeight="1" x14ac:dyDescent="0.25">
      <c r="A416" s="11" t="s">
        <v>1274</v>
      </c>
      <c r="B416" s="11" t="s">
        <v>1274</v>
      </c>
      <c r="C416" s="11" t="s">
        <v>17</v>
      </c>
      <c r="D416" s="11" t="s">
        <v>18</v>
      </c>
      <c r="E416" s="12" t="s">
        <v>1236</v>
      </c>
      <c r="F416" s="12" t="s">
        <v>1237</v>
      </c>
      <c r="G416" s="12" t="s">
        <v>46</v>
      </c>
      <c r="H416" s="11" t="s">
        <v>22</v>
      </c>
      <c r="I416" s="13" t="s">
        <v>1280</v>
      </c>
      <c r="J416" s="14" t="str">
        <f>HYPERLINK("https://www.boe.es/gazeta/dias/1839/10/16/pdfs/GMD-1839-1802.pdf#page=3","Abrir facsímil")</f>
        <v>Abrir facsímil</v>
      </c>
      <c r="K416" s="12" t="s">
        <v>24</v>
      </c>
    </row>
    <row r="417" spans="1:11" ht="40.049999999999997" customHeight="1" x14ac:dyDescent="0.25">
      <c r="A417" s="11" t="s">
        <v>1272</v>
      </c>
      <c r="B417" s="11" t="s">
        <v>1272</v>
      </c>
      <c r="C417" s="11" t="s">
        <v>101</v>
      </c>
      <c r="D417" s="11" t="s">
        <v>43</v>
      </c>
      <c r="E417" s="12" t="s">
        <v>564</v>
      </c>
      <c r="F417" s="12" t="s">
        <v>565</v>
      </c>
      <c r="G417" s="12" t="s">
        <v>21</v>
      </c>
      <c r="H417" s="11" t="s">
        <v>63</v>
      </c>
      <c r="I417" s="13" t="s">
        <v>1281</v>
      </c>
      <c r="J417" s="14" t="str">
        <f>HYPERLINK("https://www.boe.es/gazeta/dias/1839/10/17/pdfs/GMD-1839-1803.pdf#page=4","Abrir facsímil")</f>
        <v>Abrir facsímil</v>
      </c>
      <c r="K417" s="12" t="s">
        <v>65</v>
      </c>
    </row>
    <row r="418" spans="1:11" ht="40.049999999999997" customHeight="1" x14ac:dyDescent="0.25">
      <c r="A418" s="11" t="s">
        <v>1272</v>
      </c>
      <c r="B418" s="11" t="s">
        <v>1272</v>
      </c>
      <c r="C418" s="11" t="s">
        <v>17</v>
      </c>
      <c r="D418" s="11" t="s">
        <v>18</v>
      </c>
      <c r="E418" s="12" t="s">
        <v>564</v>
      </c>
      <c r="F418" s="12" t="s">
        <v>565</v>
      </c>
      <c r="G418" s="12" t="s">
        <v>566</v>
      </c>
      <c r="H418" s="11" t="s">
        <v>63</v>
      </c>
      <c r="I418" s="13" t="s">
        <v>1282</v>
      </c>
      <c r="J418" s="14" t="str">
        <f>HYPERLINK("https://www.boe.es/gazeta/dias/1839/10/17/pdfs/GMD-1839-1803.pdf#page=5","Abrir facsímil")</f>
        <v>Abrir facsímil</v>
      </c>
      <c r="K418" s="12" t="s">
        <v>65</v>
      </c>
    </row>
    <row r="419" spans="1:11" ht="40.049999999999997" customHeight="1" x14ac:dyDescent="0.25">
      <c r="A419" s="11" t="s">
        <v>1272</v>
      </c>
      <c r="B419" s="11" t="s">
        <v>1272</v>
      </c>
      <c r="C419" s="11" t="s">
        <v>17</v>
      </c>
      <c r="D419" s="11" t="s">
        <v>18</v>
      </c>
      <c r="E419" s="12" t="s">
        <v>723</v>
      </c>
      <c r="F419" s="12" t="s">
        <v>724</v>
      </c>
      <c r="G419" s="12" t="s">
        <v>46</v>
      </c>
      <c r="H419" s="11" t="s">
        <v>63</v>
      </c>
      <c r="I419" s="13" t="s">
        <v>1283</v>
      </c>
      <c r="J419" s="14" t="str">
        <f>HYPERLINK("https://www.boe.es/gazeta/dias/1839/09/26/pdfs/GMD-1839-1782.pdf#page=3","Abrir facsímil")</f>
        <v>Abrir facsímil</v>
      </c>
      <c r="K419" s="12" t="s">
        <v>65</v>
      </c>
    </row>
    <row r="420" spans="1:11" ht="40.049999999999997" customHeight="1" x14ac:dyDescent="0.25">
      <c r="A420" s="11" t="s">
        <v>1272</v>
      </c>
      <c r="B420" s="11" t="s">
        <v>1272</v>
      </c>
      <c r="C420" s="11" t="s">
        <v>80</v>
      </c>
      <c r="D420" s="11" t="s">
        <v>18</v>
      </c>
      <c r="E420" s="12" t="s">
        <v>1284</v>
      </c>
      <c r="F420" s="12" t="s">
        <v>1285</v>
      </c>
      <c r="G420" s="12" t="s">
        <v>21</v>
      </c>
      <c r="H420" s="11" t="s">
        <v>63</v>
      </c>
      <c r="I420" s="13" t="s">
        <v>1286</v>
      </c>
      <c r="J420" s="14" t="str">
        <f>HYPERLINK("https://www.boe.es/gazeta/dias/1839/03/27/pdfs/GMD-1839-1593.pdf#page=4","Abrir facsímil")</f>
        <v>Abrir facsímil</v>
      </c>
      <c r="K420" s="12" t="s">
        <v>65</v>
      </c>
    </row>
    <row r="421" spans="1:11" ht="40.049999999999997" customHeight="1" x14ac:dyDescent="0.25">
      <c r="A421" s="11" t="s">
        <v>1272</v>
      </c>
      <c r="B421" s="11" t="s">
        <v>1272</v>
      </c>
      <c r="C421" s="11" t="s">
        <v>137</v>
      </c>
      <c r="D421" s="11" t="s">
        <v>18</v>
      </c>
      <c r="E421" s="12" t="s">
        <v>1287</v>
      </c>
      <c r="F421" s="12" t="s">
        <v>1288</v>
      </c>
      <c r="G421" s="12" t="s">
        <v>46</v>
      </c>
      <c r="H421" s="11" t="s">
        <v>63</v>
      </c>
      <c r="I421" s="13" t="s">
        <v>1289</v>
      </c>
      <c r="J421" s="14" t="str">
        <f>HYPERLINK("https://www.boe.es/gazeta/dias/1839/10/30/pdfs/GMD-1839-1816.pdf#page=3","Abrir facsímil")</f>
        <v>Abrir facsímil</v>
      </c>
      <c r="K421" s="12" t="s">
        <v>65</v>
      </c>
    </row>
    <row r="422" spans="1:11" ht="40.049999999999997" customHeight="1" x14ac:dyDescent="0.25">
      <c r="A422" s="11" t="s">
        <v>1272</v>
      </c>
      <c r="B422" s="11" t="s">
        <v>1272</v>
      </c>
      <c r="C422" s="11" t="s">
        <v>17</v>
      </c>
      <c r="D422" s="11" t="s">
        <v>18</v>
      </c>
      <c r="E422" s="12" t="s">
        <v>312</v>
      </c>
      <c r="F422" s="12" t="s">
        <v>313</v>
      </c>
      <c r="G422" s="12" t="s">
        <v>21</v>
      </c>
      <c r="H422" s="11" t="s">
        <v>63</v>
      </c>
      <c r="I422" s="13" t="s">
        <v>1290</v>
      </c>
      <c r="J422" s="14" t="str">
        <f>HYPERLINK("https://www.boe.es/gazeta/dias/1839/11/30/pdfs/GMD-1839-1847.pdf#page=4","Abrir facsímil")</f>
        <v>Abrir facsímil</v>
      </c>
      <c r="K422" s="12" t="s">
        <v>65</v>
      </c>
    </row>
    <row r="423" spans="1:11" ht="40.049999999999997" customHeight="1" x14ac:dyDescent="0.25">
      <c r="A423" s="11" t="s">
        <v>1272</v>
      </c>
      <c r="B423" s="11" t="s">
        <v>1272</v>
      </c>
      <c r="C423" s="11" t="s">
        <v>17</v>
      </c>
      <c r="D423" s="11" t="s">
        <v>18</v>
      </c>
      <c r="E423" s="12" t="s">
        <v>653</v>
      </c>
      <c r="F423" s="12" t="s">
        <v>654</v>
      </c>
      <c r="G423" s="12" t="s">
        <v>29</v>
      </c>
      <c r="H423" s="11" t="s">
        <v>63</v>
      </c>
      <c r="I423" s="13" t="s">
        <v>1291</v>
      </c>
      <c r="J423" s="14" t="str">
        <f>HYPERLINK("https://www.boe.es/gazeta/dias/1839/10/31/pdfs/GMD-1839-1817.pdf#page=1","Abrir facsímil")</f>
        <v>Abrir facsímil</v>
      </c>
      <c r="K423" s="12" t="s">
        <v>65</v>
      </c>
    </row>
    <row r="424" spans="1:11" ht="40.049999999999997" customHeight="1" x14ac:dyDescent="0.25">
      <c r="A424" s="11" t="s">
        <v>1272</v>
      </c>
      <c r="B424" s="11" t="s">
        <v>1272</v>
      </c>
      <c r="C424" s="11" t="s">
        <v>17</v>
      </c>
      <c r="D424" s="11" t="s">
        <v>18</v>
      </c>
      <c r="E424" s="12" t="s">
        <v>653</v>
      </c>
      <c r="F424" s="12" t="s">
        <v>654</v>
      </c>
      <c r="G424" s="12" t="s">
        <v>40</v>
      </c>
      <c r="H424" s="11" t="s">
        <v>63</v>
      </c>
      <c r="I424" s="13" t="s">
        <v>1292</v>
      </c>
      <c r="J424" s="14" t="str">
        <f>HYPERLINK("https://www.boe.es/gazeta/dias/1839/10/31/pdfs/GMD-1839-1817.pdf#page=2","Abrir facsímil")</f>
        <v>Abrir facsímil</v>
      </c>
      <c r="K424" s="12" t="s">
        <v>65</v>
      </c>
    </row>
    <row r="425" spans="1:11" ht="40.049999999999997" customHeight="1" x14ac:dyDescent="0.25">
      <c r="A425" s="11" t="s">
        <v>1293</v>
      </c>
      <c r="B425" s="11" t="s">
        <v>1294</v>
      </c>
      <c r="C425" s="11" t="s">
        <v>17</v>
      </c>
      <c r="D425" s="11" t="s">
        <v>18</v>
      </c>
      <c r="E425" s="12" t="s">
        <v>653</v>
      </c>
      <c r="F425" s="12" t="s">
        <v>654</v>
      </c>
      <c r="G425" s="12" t="s">
        <v>40</v>
      </c>
      <c r="H425" s="11" t="s">
        <v>63</v>
      </c>
      <c r="I425" s="13" t="s">
        <v>1295</v>
      </c>
      <c r="J425" s="14" t="str">
        <f>HYPERLINK("https://www.boe.es/gazeta/dias/1839/10/31/pdfs/GMD-1839-1817.pdf#page=2","Abrir facsímil")</f>
        <v>Abrir facsímil</v>
      </c>
      <c r="K425" s="12" t="s">
        <v>65</v>
      </c>
    </row>
    <row r="426" spans="1:11" ht="40.049999999999997" customHeight="1" x14ac:dyDescent="0.25">
      <c r="A426" s="11" t="s">
        <v>1296</v>
      </c>
      <c r="B426" s="11" t="s">
        <v>1297</v>
      </c>
      <c r="C426" s="11" t="s">
        <v>17</v>
      </c>
      <c r="D426" s="11" t="s">
        <v>18</v>
      </c>
      <c r="E426" s="12" t="s">
        <v>653</v>
      </c>
      <c r="F426" s="12" t="s">
        <v>654</v>
      </c>
      <c r="G426" s="12" t="s">
        <v>29</v>
      </c>
      <c r="H426" s="11" t="s">
        <v>22</v>
      </c>
      <c r="I426" s="13" t="s">
        <v>1298</v>
      </c>
      <c r="J426" s="14" t="str">
        <f>HYPERLINK("https://www.boe.es/gazeta/dias/1839/10/31/pdfs/GMD-1839-1817.pdf#page=1","Abrir facsímil")</f>
        <v>Abrir facsímil</v>
      </c>
      <c r="K426" s="12" t="s">
        <v>24</v>
      </c>
    </row>
    <row r="427" spans="1:11" ht="40.049999999999997" customHeight="1" x14ac:dyDescent="0.25">
      <c r="A427" s="11" t="s">
        <v>1299</v>
      </c>
      <c r="B427" s="11" t="s">
        <v>1300</v>
      </c>
      <c r="C427" s="11" t="s">
        <v>17</v>
      </c>
      <c r="D427" s="11" t="s">
        <v>18</v>
      </c>
      <c r="E427" s="12" t="s">
        <v>1301</v>
      </c>
      <c r="F427" s="12" t="s">
        <v>1302</v>
      </c>
      <c r="G427" s="12" t="s">
        <v>46</v>
      </c>
      <c r="H427" s="11" t="s">
        <v>22</v>
      </c>
      <c r="I427" s="13" t="s">
        <v>1303</v>
      </c>
      <c r="J427" s="14" t="str">
        <f>HYPERLINK("https://www.boe.es/gazeta/dias/1839/11/16/pdfs/GMD-1839-1833.pdf#page=3","Abrir facsímil")</f>
        <v>Abrir facsímil</v>
      </c>
      <c r="K427" s="12" t="s">
        <v>24</v>
      </c>
    </row>
    <row r="428" spans="1:11" ht="40.049999999999997" customHeight="1" x14ac:dyDescent="0.25">
      <c r="A428" s="11" t="s">
        <v>1304</v>
      </c>
      <c r="B428" s="11" t="s">
        <v>1304</v>
      </c>
      <c r="C428" s="11" t="s">
        <v>17</v>
      </c>
      <c r="D428" s="11" t="s">
        <v>18</v>
      </c>
      <c r="E428" s="12" t="s">
        <v>108</v>
      </c>
      <c r="F428" s="12" t="s">
        <v>109</v>
      </c>
      <c r="G428" s="12" t="s">
        <v>21</v>
      </c>
      <c r="H428" s="11" t="s">
        <v>63</v>
      </c>
      <c r="I428" s="13" t="s">
        <v>1305</v>
      </c>
      <c r="J428" s="14" t="str">
        <f>HYPERLINK("https://www.boe.es/gazeta/dias/1839/01/04/pdfs/GMD-1839-1511.pdf#page=4","Abrir facsímil")</f>
        <v>Abrir facsímil</v>
      </c>
      <c r="K428" s="12" t="s">
        <v>65</v>
      </c>
    </row>
    <row r="429" spans="1:11" ht="40.049999999999997" customHeight="1" x14ac:dyDescent="0.25">
      <c r="A429" s="11" t="s">
        <v>1306</v>
      </c>
      <c r="B429" s="11" t="s">
        <v>1307</v>
      </c>
      <c r="C429" s="11" t="s">
        <v>17</v>
      </c>
      <c r="D429" s="11" t="s">
        <v>18</v>
      </c>
      <c r="E429" s="12" t="s">
        <v>258</v>
      </c>
      <c r="F429" s="12" t="s">
        <v>259</v>
      </c>
      <c r="G429" s="12" t="s">
        <v>46</v>
      </c>
      <c r="H429" s="11" t="s">
        <v>22</v>
      </c>
      <c r="I429" s="13" t="s">
        <v>1308</v>
      </c>
      <c r="J429" s="14" t="str">
        <f>HYPERLINK("https://www.boe.es/gazeta/dias/1839/01/02/pdfs/GMD-1839-1509.pdf#page=3","Abrir facsímil")</f>
        <v>Abrir facsímil</v>
      </c>
      <c r="K429" s="12" t="s">
        <v>24</v>
      </c>
    </row>
    <row r="430" spans="1:11" ht="40.049999999999997" customHeight="1" x14ac:dyDescent="0.25">
      <c r="A430" s="11" t="s">
        <v>1309</v>
      </c>
      <c r="B430" s="11" t="s">
        <v>1309</v>
      </c>
      <c r="C430" s="11" t="s">
        <v>80</v>
      </c>
      <c r="D430" s="11" t="s">
        <v>18</v>
      </c>
      <c r="E430" s="12" t="s">
        <v>1310</v>
      </c>
      <c r="F430" s="12" t="s">
        <v>1311</v>
      </c>
      <c r="G430" s="12" t="s">
        <v>40</v>
      </c>
      <c r="H430" s="11" t="s">
        <v>63</v>
      </c>
      <c r="I430" s="13" t="s">
        <v>1312</v>
      </c>
      <c r="J430" s="14" t="str">
        <f>HYPERLINK("https://www.boe.es/gazeta/dias/1839/04/23/pdfs/GMD-1839-1620.pdf#page=2","Abrir facsímil")</f>
        <v>Abrir facsímil</v>
      </c>
      <c r="K430" s="12" t="s">
        <v>65</v>
      </c>
    </row>
    <row r="431" spans="1:11" ht="40.049999999999997" customHeight="1" x14ac:dyDescent="0.25">
      <c r="A431" s="11" t="s">
        <v>1313</v>
      </c>
      <c r="B431" s="11" t="s">
        <v>1314</v>
      </c>
      <c r="C431" s="11" t="s">
        <v>137</v>
      </c>
      <c r="D431" s="11" t="s">
        <v>18</v>
      </c>
      <c r="E431" s="12" t="s">
        <v>1310</v>
      </c>
      <c r="F431" s="12" t="s">
        <v>1311</v>
      </c>
      <c r="G431" s="12" t="s">
        <v>40</v>
      </c>
      <c r="H431" s="11" t="s">
        <v>63</v>
      </c>
      <c r="I431" s="13" t="s">
        <v>1315</v>
      </c>
      <c r="J431" s="14" t="str">
        <f>HYPERLINK("https://www.boe.es/gazeta/dias/1839/04/23/pdfs/GMD-1839-1620.pdf#page=2","Abrir facsímil")</f>
        <v>Abrir facsímil</v>
      </c>
      <c r="K431" s="12" t="s">
        <v>65</v>
      </c>
    </row>
    <row r="432" spans="1:11" ht="40.049999999999997" customHeight="1" x14ac:dyDescent="0.25">
      <c r="A432" s="11" t="s">
        <v>1316</v>
      </c>
      <c r="B432" s="11" t="s">
        <v>1317</v>
      </c>
      <c r="C432" s="11" t="s">
        <v>101</v>
      </c>
      <c r="D432" s="11" t="s">
        <v>102</v>
      </c>
      <c r="E432" s="12" t="s">
        <v>486</v>
      </c>
      <c r="F432" s="12" t="s">
        <v>487</v>
      </c>
      <c r="G432" s="12" t="s">
        <v>29</v>
      </c>
      <c r="H432" s="11" t="s">
        <v>63</v>
      </c>
      <c r="I432" s="13" t="s">
        <v>1318</v>
      </c>
      <c r="J432" s="14" t="str">
        <f>HYPERLINK("https://www.boe.es/gazeta/dias/1839/04/19/pdfs/GMD-1839-1616.pdf#page=1","Abrir facsímil")</f>
        <v>Abrir facsímil</v>
      </c>
      <c r="K432" s="12" t="s">
        <v>65</v>
      </c>
    </row>
    <row r="433" spans="1:11" ht="40.049999999999997" customHeight="1" x14ac:dyDescent="0.25">
      <c r="A433" s="11" t="s">
        <v>1319</v>
      </c>
      <c r="B433" s="11" t="s">
        <v>1319</v>
      </c>
      <c r="C433" s="11" t="s">
        <v>101</v>
      </c>
      <c r="D433" s="11" t="s">
        <v>102</v>
      </c>
      <c r="E433" s="12" t="s">
        <v>336</v>
      </c>
      <c r="F433" s="12" t="s">
        <v>337</v>
      </c>
      <c r="G433" s="12" t="s">
        <v>21</v>
      </c>
      <c r="H433" s="11" t="s">
        <v>63</v>
      </c>
      <c r="I433" s="13" t="s">
        <v>1320</v>
      </c>
      <c r="J433" s="14" t="str">
        <f>HYPERLINK("https://www.boe.es/gazeta/dias/1839/07/14/pdfs/GMD-1839-1702.pdf#page=4","Abrir facsímil")</f>
        <v>Abrir facsímil</v>
      </c>
      <c r="K433" s="12" t="s">
        <v>65</v>
      </c>
    </row>
    <row r="434" spans="1:11" ht="40.049999999999997" customHeight="1" x14ac:dyDescent="0.25">
      <c r="A434" s="11" t="s">
        <v>1321</v>
      </c>
      <c r="B434" s="11" t="s">
        <v>1321</v>
      </c>
      <c r="C434" s="11" t="s">
        <v>17</v>
      </c>
      <c r="D434" s="11" t="s">
        <v>18</v>
      </c>
      <c r="E434" s="12" t="s">
        <v>365</v>
      </c>
      <c r="F434" s="12" t="s">
        <v>366</v>
      </c>
      <c r="G434" s="12" t="s">
        <v>46</v>
      </c>
      <c r="H434" s="11" t="s">
        <v>63</v>
      </c>
      <c r="I434" s="13" t="s">
        <v>1322</v>
      </c>
      <c r="J434" s="14" t="str">
        <f>HYPERLINK("https://www.boe.es/gazeta/dias/1839/08/14/pdfs/GMD-1839-1734.pdf#page=3","Abrir facsímil")</f>
        <v>Abrir facsímil</v>
      </c>
      <c r="K434" s="12" t="s">
        <v>65</v>
      </c>
    </row>
    <row r="435" spans="1:11" ht="40.049999999999997" customHeight="1" x14ac:dyDescent="0.25">
      <c r="A435" s="11" t="s">
        <v>1323</v>
      </c>
      <c r="B435" s="11" t="s">
        <v>1324</v>
      </c>
      <c r="C435" s="11" t="s">
        <v>80</v>
      </c>
      <c r="D435" s="11" t="s">
        <v>18</v>
      </c>
      <c r="E435" s="12" t="s">
        <v>197</v>
      </c>
      <c r="F435" s="12" t="s">
        <v>198</v>
      </c>
      <c r="G435" s="12" t="s">
        <v>21</v>
      </c>
      <c r="H435" s="11" t="s">
        <v>22</v>
      </c>
      <c r="I435" s="13" t="s">
        <v>1325</v>
      </c>
      <c r="J435" s="14" t="str">
        <f>HYPERLINK("https://www.boe.es/gazeta/dias/1839/10/04/pdfs/GMD-1839-1790.pdf#page=4","Abrir facsímil")</f>
        <v>Abrir facsímil</v>
      </c>
      <c r="K435" s="12" t="s">
        <v>24</v>
      </c>
    </row>
    <row r="436" spans="1:11" ht="40.049999999999997" customHeight="1" x14ac:dyDescent="0.25">
      <c r="A436" s="11" t="s">
        <v>1326</v>
      </c>
      <c r="B436" s="11" t="s">
        <v>1327</v>
      </c>
      <c r="C436" s="11" t="s">
        <v>80</v>
      </c>
      <c r="D436" s="11" t="s">
        <v>18</v>
      </c>
      <c r="E436" s="12" t="s">
        <v>44</v>
      </c>
      <c r="F436" s="12" t="s">
        <v>45</v>
      </c>
      <c r="G436" s="12" t="s">
        <v>46</v>
      </c>
      <c r="H436" s="11" t="s">
        <v>63</v>
      </c>
      <c r="I436" s="13" t="s">
        <v>1328</v>
      </c>
      <c r="J436" s="14" t="str">
        <f>HYPERLINK("https://www.boe.es/gazeta/dias/1839/11/15/pdfs/GMD-1839-1832.pdf#page=3","Abrir facsímil")</f>
        <v>Abrir facsímil</v>
      </c>
      <c r="K436" s="12" t="s">
        <v>65</v>
      </c>
    </row>
    <row r="437" spans="1:11" ht="40.049999999999997" customHeight="1" x14ac:dyDescent="0.25">
      <c r="A437" s="11" t="s">
        <v>1329</v>
      </c>
      <c r="B437" s="11" t="s">
        <v>1330</v>
      </c>
      <c r="C437" s="11" t="s">
        <v>80</v>
      </c>
      <c r="D437" s="11" t="s">
        <v>18</v>
      </c>
      <c r="E437" s="12" t="s">
        <v>369</v>
      </c>
      <c r="F437" s="12" t="s">
        <v>370</v>
      </c>
      <c r="G437" s="12" t="s">
        <v>21</v>
      </c>
      <c r="H437" s="11" t="s">
        <v>63</v>
      </c>
      <c r="I437" s="13" t="s">
        <v>1331</v>
      </c>
      <c r="J437" s="14" t="str">
        <f>HYPERLINK("https://www.boe.es/gazeta/dias/1839/11/01/pdfs/GMD-1839-1818.pdf#page=4","Abrir facsímil")</f>
        <v>Abrir facsímil</v>
      </c>
      <c r="K437" s="12" t="s">
        <v>65</v>
      </c>
    </row>
    <row r="438" spans="1:11" ht="40.049999999999997" customHeight="1" x14ac:dyDescent="0.25">
      <c r="A438" s="11" t="s">
        <v>1329</v>
      </c>
      <c r="B438" s="11" t="s">
        <v>1330</v>
      </c>
      <c r="C438" s="11" t="s">
        <v>17</v>
      </c>
      <c r="D438" s="11" t="s">
        <v>18</v>
      </c>
      <c r="E438" s="12" t="s">
        <v>1332</v>
      </c>
      <c r="F438" s="12" t="s">
        <v>1333</v>
      </c>
      <c r="G438" s="12" t="s">
        <v>21</v>
      </c>
      <c r="H438" s="11" t="s">
        <v>63</v>
      </c>
      <c r="I438" s="13" t="s">
        <v>1334</v>
      </c>
      <c r="J438" s="14" t="str">
        <f>HYPERLINK("https://www.boe.es/gazeta/dias/1839/05/04/pdfs/GMD-1839-1631.pdf#page=4","Abrir facsímil")</f>
        <v>Abrir facsímil</v>
      </c>
      <c r="K438" s="12" t="s">
        <v>65</v>
      </c>
    </row>
    <row r="439" spans="1:11" ht="40.049999999999997" customHeight="1" x14ac:dyDescent="0.25">
      <c r="A439" s="11" t="s">
        <v>1335</v>
      </c>
      <c r="B439" s="11" t="s">
        <v>1335</v>
      </c>
      <c r="C439" s="11" t="s">
        <v>17</v>
      </c>
      <c r="D439" s="11" t="s">
        <v>18</v>
      </c>
      <c r="E439" s="12" t="s">
        <v>1336</v>
      </c>
      <c r="F439" s="12" t="s">
        <v>1337</v>
      </c>
      <c r="G439" s="12" t="s">
        <v>21</v>
      </c>
      <c r="H439" s="11" t="s">
        <v>22</v>
      </c>
      <c r="I439" s="13" t="s">
        <v>1338</v>
      </c>
      <c r="J439" s="14" t="str">
        <f>HYPERLINK("https://www.boe.es/gazeta/dias/1839/02/26/pdfs/GMD-1839-1564.pdf#page=4","Abrir facsímil")</f>
        <v>Abrir facsímil</v>
      </c>
      <c r="K439" s="12" t="s">
        <v>24</v>
      </c>
    </row>
    <row r="440" spans="1:11" ht="40.049999999999997" customHeight="1" x14ac:dyDescent="0.25">
      <c r="A440" s="11" t="s">
        <v>1339</v>
      </c>
      <c r="B440" s="11" t="s">
        <v>1339</v>
      </c>
      <c r="C440" s="11" t="s">
        <v>17</v>
      </c>
      <c r="D440" s="11" t="s">
        <v>18</v>
      </c>
      <c r="E440" s="12" t="s">
        <v>1340</v>
      </c>
      <c r="F440" s="12" t="s">
        <v>1341</v>
      </c>
      <c r="G440" s="12" t="s">
        <v>46</v>
      </c>
      <c r="H440" s="11" t="s">
        <v>63</v>
      </c>
      <c r="I440" s="13" t="s">
        <v>1342</v>
      </c>
      <c r="J440" s="14" t="str">
        <f>HYPERLINK("https://www.boe.es/gazeta/dias/1839/05/05/pdfs/GMD-1839-1632.pdf#page=3","Abrir facsímil")</f>
        <v>Abrir facsímil</v>
      </c>
      <c r="K440" s="12" t="s">
        <v>65</v>
      </c>
    </row>
    <row r="441" spans="1:11" ht="40.049999999999997" customHeight="1" x14ac:dyDescent="0.25">
      <c r="A441" s="11" t="s">
        <v>1339</v>
      </c>
      <c r="B441" s="11" t="s">
        <v>1339</v>
      </c>
      <c r="C441" s="11" t="s">
        <v>80</v>
      </c>
      <c r="D441" s="11" t="s">
        <v>18</v>
      </c>
      <c r="E441" s="12" t="s">
        <v>349</v>
      </c>
      <c r="F441" s="12" t="s">
        <v>350</v>
      </c>
      <c r="G441" s="12" t="s">
        <v>40</v>
      </c>
      <c r="H441" s="11" t="s">
        <v>63</v>
      </c>
      <c r="I441" s="13" t="s">
        <v>1343</v>
      </c>
      <c r="J441" s="14" t="str">
        <f>HYPERLINK("https://www.boe.es/gazeta/dias/1839/12/25/pdfs/GMD-1839-1872.pdf#page=2","Abrir facsímil")</f>
        <v>Abrir facsímil</v>
      </c>
      <c r="K441" s="12" t="s">
        <v>65</v>
      </c>
    </row>
    <row r="442" spans="1:11" ht="40.049999999999997" customHeight="1" x14ac:dyDescent="0.25">
      <c r="A442" s="11" t="s">
        <v>1344</v>
      </c>
      <c r="B442" s="11" t="s">
        <v>1345</v>
      </c>
      <c r="C442" s="11" t="s">
        <v>17</v>
      </c>
      <c r="D442" s="11" t="s">
        <v>43</v>
      </c>
      <c r="E442" s="12" t="s">
        <v>1340</v>
      </c>
      <c r="F442" s="12" t="s">
        <v>1341</v>
      </c>
      <c r="G442" s="12" t="s">
        <v>46</v>
      </c>
      <c r="H442" s="11" t="s">
        <v>63</v>
      </c>
      <c r="I442" s="13" t="s">
        <v>1346</v>
      </c>
      <c r="J442" s="14" t="str">
        <f>HYPERLINK("https://www.boe.es/gazeta/dias/1839/05/05/pdfs/GMD-1839-1632.pdf#page=3","Abrir facsímil")</f>
        <v>Abrir facsímil</v>
      </c>
      <c r="K442" s="12" t="s">
        <v>65</v>
      </c>
    </row>
    <row r="443" spans="1:11" ht="40.049999999999997" customHeight="1" x14ac:dyDescent="0.25">
      <c r="A443" s="11" t="s">
        <v>1344</v>
      </c>
      <c r="B443" s="11" t="s">
        <v>1345</v>
      </c>
      <c r="C443" s="11" t="s">
        <v>80</v>
      </c>
      <c r="D443" s="11" t="s">
        <v>173</v>
      </c>
      <c r="E443" s="12" t="s">
        <v>44</v>
      </c>
      <c r="F443" s="12" t="s">
        <v>45</v>
      </c>
      <c r="G443" s="12" t="s">
        <v>46</v>
      </c>
      <c r="H443" s="11" t="s">
        <v>63</v>
      </c>
      <c r="I443" s="13" t="s">
        <v>1347</v>
      </c>
      <c r="J443" s="14" t="str">
        <f>HYPERLINK("https://www.boe.es/gazeta/dias/1839/11/15/pdfs/GMD-1839-1832.pdf#page=3","Abrir facsímil")</f>
        <v>Abrir facsímil</v>
      </c>
      <c r="K443" s="12" t="s">
        <v>65</v>
      </c>
    </row>
    <row r="444" spans="1:11" ht="40.049999999999997" customHeight="1" x14ac:dyDescent="0.25">
      <c r="A444" s="11" t="s">
        <v>1344</v>
      </c>
      <c r="B444" s="11" t="s">
        <v>1345</v>
      </c>
      <c r="C444" s="11" t="s">
        <v>101</v>
      </c>
      <c r="D444" s="11" t="s">
        <v>102</v>
      </c>
      <c r="E444" s="12" t="s">
        <v>349</v>
      </c>
      <c r="F444" s="12" t="s">
        <v>350</v>
      </c>
      <c r="G444" s="12" t="s">
        <v>40</v>
      </c>
      <c r="H444" s="11" t="s">
        <v>63</v>
      </c>
      <c r="I444" s="13" t="s">
        <v>1348</v>
      </c>
      <c r="J444" s="14" t="str">
        <f>HYPERLINK("https://www.boe.es/gazeta/dias/1839/12/25/pdfs/GMD-1839-1872.pdf#page=2","Abrir facsímil")</f>
        <v>Abrir facsímil</v>
      </c>
      <c r="K444" s="12" t="s">
        <v>65</v>
      </c>
    </row>
    <row r="445" spans="1:11" ht="40.049999999999997" customHeight="1" x14ac:dyDescent="0.25">
      <c r="A445" s="11" t="s">
        <v>1349</v>
      </c>
      <c r="B445" s="11" t="s">
        <v>1350</v>
      </c>
      <c r="C445" s="11" t="s">
        <v>80</v>
      </c>
      <c r="D445" s="11" t="s">
        <v>18</v>
      </c>
      <c r="E445" s="12" t="s">
        <v>299</v>
      </c>
      <c r="F445" s="12" t="s">
        <v>300</v>
      </c>
      <c r="G445" s="12" t="s">
        <v>40</v>
      </c>
      <c r="H445" s="11" t="s">
        <v>22</v>
      </c>
      <c r="I445" s="13" t="s">
        <v>1351</v>
      </c>
      <c r="J445" s="14" t="str">
        <f>HYPERLINK("https://www.boe.es/gazeta/dias/1839/02/14/pdfs/GMD-1839-1552.pdf#page=2","Abrir facsímil")</f>
        <v>Abrir facsímil</v>
      </c>
      <c r="K445" s="12" t="s">
        <v>24</v>
      </c>
    </row>
    <row r="446" spans="1:11" ht="40.049999999999997" customHeight="1" x14ac:dyDescent="0.25">
      <c r="A446" s="11" t="s">
        <v>1352</v>
      </c>
      <c r="B446" s="11" t="s">
        <v>1353</v>
      </c>
      <c r="C446" s="11" t="s">
        <v>17</v>
      </c>
      <c r="D446" s="11" t="s">
        <v>18</v>
      </c>
      <c r="E446" s="12" t="s">
        <v>175</v>
      </c>
      <c r="F446" s="12" t="s">
        <v>176</v>
      </c>
      <c r="G446" s="12" t="s">
        <v>40</v>
      </c>
      <c r="H446" s="11" t="s">
        <v>63</v>
      </c>
      <c r="I446" s="13" t="s">
        <v>1354</v>
      </c>
      <c r="J446" s="14" t="str">
        <f>HYPERLINK("https://www.boe.es/gazeta/dias/1839/01/16/pdfs/GMD-1839-1523.pdf#page=2","Abrir facsímil")</f>
        <v>Abrir facsímil</v>
      </c>
      <c r="K446" s="12" t="s">
        <v>65</v>
      </c>
    </row>
    <row r="447" spans="1:11" ht="40.049999999999997" customHeight="1" x14ac:dyDescent="0.25">
      <c r="A447" s="11" t="s">
        <v>1355</v>
      </c>
      <c r="B447" s="11" t="s">
        <v>1355</v>
      </c>
      <c r="C447" s="11" t="s">
        <v>137</v>
      </c>
      <c r="D447" s="11" t="s">
        <v>18</v>
      </c>
      <c r="E447" s="12" t="s">
        <v>1356</v>
      </c>
      <c r="F447" s="12" t="s">
        <v>1357</v>
      </c>
      <c r="G447" s="12" t="s">
        <v>21</v>
      </c>
      <c r="H447" s="11" t="s">
        <v>63</v>
      </c>
      <c r="I447" s="13" t="s">
        <v>1358</v>
      </c>
      <c r="J447" s="14" t="str">
        <f>HYPERLINK("https://www.boe.es/gazeta/dias/1839/06/05/pdfs/GMD-1839-1663.pdf#page=4","Abrir facsímil")</f>
        <v>Abrir facsímil</v>
      </c>
      <c r="K447" s="12" t="s">
        <v>65</v>
      </c>
    </row>
    <row r="448" spans="1:11" ht="40.049999999999997" customHeight="1" x14ac:dyDescent="0.25">
      <c r="A448" s="11" t="s">
        <v>1359</v>
      </c>
      <c r="B448" s="11" t="s">
        <v>1359</v>
      </c>
      <c r="C448" s="11" t="s">
        <v>17</v>
      </c>
      <c r="D448" s="11" t="s">
        <v>18</v>
      </c>
      <c r="E448" s="12" t="s">
        <v>1208</v>
      </c>
      <c r="F448" s="12" t="s">
        <v>1209</v>
      </c>
      <c r="G448" s="12" t="s">
        <v>21</v>
      </c>
      <c r="H448" s="11" t="s">
        <v>22</v>
      </c>
      <c r="I448" s="13" t="s">
        <v>1360</v>
      </c>
      <c r="J448" s="14" t="str">
        <f>HYPERLINK("https://www.boe.es/gazeta/dias/1839/04/24/pdfs/GMD-1839-1621.pdf#page=4","Abrir facsímil")</f>
        <v>Abrir facsímil</v>
      </c>
      <c r="K448" s="12" t="s">
        <v>24</v>
      </c>
    </row>
    <row r="449" spans="1:11" ht="40.049999999999997" customHeight="1" x14ac:dyDescent="0.25">
      <c r="A449" s="11" t="s">
        <v>1361</v>
      </c>
      <c r="B449" s="11" t="s">
        <v>1361</v>
      </c>
      <c r="C449" s="11" t="s">
        <v>17</v>
      </c>
      <c r="D449" s="11" t="s">
        <v>18</v>
      </c>
      <c r="E449" s="12" t="s">
        <v>375</v>
      </c>
      <c r="F449" s="12" t="s">
        <v>376</v>
      </c>
      <c r="G449" s="12" t="s">
        <v>46</v>
      </c>
      <c r="H449" s="11" t="s">
        <v>63</v>
      </c>
      <c r="I449" s="13" t="s">
        <v>1362</v>
      </c>
      <c r="J449" s="14" t="str">
        <f>HYPERLINK("https://www.boe.es/gazeta/dias/1839/11/25/pdfs/GMD-1839-1842.pdf#page=3","Abrir facsímil")</f>
        <v>Abrir facsímil</v>
      </c>
      <c r="K449" s="12" t="s">
        <v>65</v>
      </c>
    </row>
    <row r="450" spans="1:11" ht="40.049999999999997" customHeight="1" x14ac:dyDescent="0.25">
      <c r="A450" s="11" t="s">
        <v>1363</v>
      </c>
      <c r="B450" s="11" t="s">
        <v>1363</v>
      </c>
      <c r="C450" s="11" t="s">
        <v>17</v>
      </c>
      <c r="D450" s="11" t="s">
        <v>18</v>
      </c>
      <c r="E450" s="12" t="s">
        <v>883</v>
      </c>
      <c r="F450" s="12" t="s">
        <v>884</v>
      </c>
      <c r="G450" s="12" t="s">
        <v>40</v>
      </c>
      <c r="H450" s="11" t="s">
        <v>63</v>
      </c>
      <c r="I450" s="13" t="s">
        <v>1364</v>
      </c>
      <c r="J450" s="14" t="str">
        <f>HYPERLINK("https://www.boe.es/gazeta/dias/1839/11/03/pdfs/GMD-1839-1820.pdf#page=2","Abrir facsímil")</f>
        <v>Abrir facsímil</v>
      </c>
      <c r="K450" s="12" t="s">
        <v>65</v>
      </c>
    </row>
    <row r="451" spans="1:11" ht="40.049999999999997" customHeight="1" x14ac:dyDescent="0.25">
      <c r="A451" s="11" t="s">
        <v>1365</v>
      </c>
      <c r="B451" s="11" t="s">
        <v>1365</v>
      </c>
      <c r="C451" s="11" t="s">
        <v>17</v>
      </c>
      <c r="D451" s="11" t="s">
        <v>18</v>
      </c>
      <c r="E451" s="12" t="s">
        <v>1366</v>
      </c>
      <c r="F451" s="12" t="s">
        <v>1367</v>
      </c>
      <c r="G451" s="12" t="s">
        <v>40</v>
      </c>
      <c r="H451" s="11" t="s">
        <v>63</v>
      </c>
      <c r="I451" s="13" t="s">
        <v>1368</v>
      </c>
      <c r="J451" s="14" t="str">
        <f>HYPERLINK("https://www.boe.es/gazeta/dias/1839/09/09/pdfs/GMD-1839-1762.pdf#page=2","Abrir facsímil")</f>
        <v>Abrir facsímil</v>
      </c>
      <c r="K451" s="12" t="s">
        <v>65</v>
      </c>
    </row>
    <row r="452" spans="1:11" ht="40.049999999999997" customHeight="1" x14ac:dyDescent="0.25">
      <c r="A452" s="11" t="s">
        <v>1369</v>
      </c>
      <c r="B452" s="11" t="s">
        <v>1370</v>
      </c>
      <c r="C452" s="11" t="s">
        <v>17</v>
      </c>
      <c r="D452" s="11" t="s">
        <v>18</v>
      </c>
      <c r="E452" s="12" t="s">
        <v>601</v>
      </c>
      <c r="F452" s="12" t="s">
        <v>602</v>
      </c>
      <c r="G452" s="12" t="s">
        <v>21</v>
      </c>
      <c r="H452" s="11" t="s">
        <v>63</v>
      </c>
      <c r="I452" s="13" t="s">
        <v>1371</v>
      </c>
      <c r="J452" s="14" t="str">
        <f>HYPERLINK("https://www.boe.es/gazeta/dias/1839/04/21/pdfs/GMD-1839-1618.pdf#page=4","Abrir facsímil")</f>
        <v>Abrir facsímil</v>
      </c>
      <c r="K452" s="12" t="s">
        <v>65</v>
      </c>
    </row>
    <row r="453" spans="1:11" ht="40.049999999999997" customHeight="1" x14ac:dyDescent="0.25">
      <c r="A453" s="11" t="s">
        <v>1369</v>
      </c>
      <c r="B453" s="11" t="s">
        <v>1370</v>
      </c>
      <c r="C453" s="11" t="s">
        <v>17</v>
      </c>
      <c r="D453" s="11" t="s">
        <v>18</v>
      </c>
      <c r="E453" s="12" t="s">
        <v>479</v>
      </c>
      <c r="F453" s="12" t="s">
        <v>480</v>
      </c>
      <c r="G453" s="12" t="s">
        <v>21</v>
      </c>
      <c r="H453" s="11" t="s">
        <v>63</v>
      </c>
      <c r="I453" s="13" t="s">
        <v>1372</v>
      </c>
      <c r="J453" s="14" t="str">
        <f>HYPERLINK("https://www.boe.es/gazeta/dias/1839/06/24/pdfs/GMD-1839-1682.pdf#page=4","Abrir facsímil")</f>
        <v>Abrir facsímil</v>
      </c>
      <c r="K453" s="12" t="s">
        <v>65</v>
      </c>
    </row>
    <row r="454" spans="1:11" ht="40.049999999999997" customHeight="1" x14ac:dyDescent="0.25">
      <c r="A454" s="11" t="s">
        <v>1373</v>
      </c>
      <c r="B454" s="11" t="s">
        <v>1373</v>
      </c>
      <c r="C454" s="11" t="s">
        <v>17</v>
      </c>
      <c r="D454" s="11" t="s">
        <v>18</v>
      </c>
      <c r="E454" s="12" t="s">
        <v>1374</v>
      </c>
      <c r="F454" s="12" t="s">
        <v>1375</v>
      </c>
      <c r="G454" s="12" t="s">
        <v>46</v>
      </c>
      <c r="H454" s="11" t="s">
        <v>63</v>
      </c>
      <c r="I454" s="13" t="s">
        <v>1376</v>
      </c>
      <c r="J454" s="14" t="str">
        <f>HYPERLINK("https://www.boe.es/gazeta/dias/1839/07/20/pdfs/GMD-1839-1708.pdf#page=3","Abrir facsímil")</f>
        <v>Abrir facsímil</v>
      </c>
      <c r="K454" s="12" t="s">
        <v>65</v>
      </c>
    </row>
    <row r="455" spans="1:11" ht="40.049999999999997" customHeight="1" x14ac:dyDescent="0.25">
      <c r="A455" s="11" t="s">
        <v>1377</v>
      </c>
      <c r="B455" s="11" t="s">
        <v>1377</v>
      </c>
      <c r="C455" s="11" t="s">
        <v>59</v>
      </c>
      <c r="D455" s="11" t="s">
        <v>60</v>
      </c>
      <c r="E455" s="12" t="s">
        <v>1378</v>
      </c>
      <c r="F455" s="12" t="s">
        <v>1379</v>
      </c>
      <c r="G455" s="12" t="s">
        <v>21</v>
      </c>
      <c r="H455" s="11" t="s">
        <v>63</v>
      </c>
      <c r="I455" s="13" t="s">
        <v>1380</v>
      </c>
      <c r="J455" s="14" t="str">
        <f>HYPERLINK("https://www.boe.es/gazeta/dias/1839/05/18/pdfs/GMD-1839-1645.pdf#page=4","Abrir facsímil")</f>
        <v>Abrir facsímil</v>
      </c>
      <c r="K455" s="12" t="s">
        <v>65</v>
      </c>
    </row>
    <row r="456" spans="1:11" ht="40.049999999999997" customHeight="1" x14ac:dyDescent="0.25">
      <c r="A456" s="11" t="s">
        <v>1381</v>
      </c>
      <c r="B456" s="11" t="s">
        <v>1382</v>
      </c>
      <c r="C456" s="11" t="s">
        <v>17</v>
      </c>
      <c r="D456" s="11" t="s">
        <v>18</v>
      </c>
      <c r="E456" s="12" t="s">
        <v>233</v>
      </c>
      <c r="F456" s="12" t="s">
        <v>234</v>
      </c>
      <c r="G456" s="12" t="s">
        <v>29</v>
      </c>
      <c r="H456" s="11" t="s">
        <v>63</v>
      </c>
      <c r="I456" s="13" t="s">
        <v>1383</v>
      </c>
      <c r="J456" s="14" t="str">
        <f>HYPERLINK("https://www.boe.es/gazeta/dias/1839/09/17/pdfs/GMD-1839-1770.pdf#page=1","Abrir facsímil")</f>
        <v>Abrir facsímil</v>
      </c>
      <c r="K456" s="12" t="s">
        <v>65</v>
      </c>
    </row>
    <row r="457" spans="1:11" ht="40.049999999999997" customHeight="1" x14ac:dyDescent="0.25">
      <c r="A457" s="11" t="s">
        <v>1384</v>
      </c>
      <c r="B457" s="11" t="s">
        <v>1385</v>
      </c>
      <c r="C457" s="11" t="s">
        <v>137</v>
      </c>
      <c r="D457" s="11" t="s">
        <v>18</v>
      </c>
      <c r="E457" s="12" t="s">
        <v>621</v>
      </c>
      <c r="F457" s="12" t="s">
        <v>622</v>
      </c>
      <c r="G457" s="12" t="s">
        <v>21</v>
      </c>
      <c r="H457" s="11" t="s">
        <v>22</v>
      </c>
      <c r="I457" s="13" t="s">
        <v>1386</v>
      </c>
      <c r="J457" s="14" t="str">
        <f>HYPERLINK("https://www.boe.es/gazeta/dias/1839/04/14/pdfs/GMD-1839-1611.pdf#page=4","Abrir facsímil")</f>
        <v>Abrir facsímil</v>
      </c>
      <c r="K457" s="12" t="s">
        <v>24</v>
      </c>
    </row>
    <row r="458" spans="1:11" ht="40.049999999999997" customHeight="1" x14ac:dyDescent="0.25">
      <c r="A458" s="11" t="s">
        <v>1387</v>
      </c>
      <c r="B458" s="11" t="s">
        <v>1387</v>
      </c>
      <c r="C458" s="11" t="s">
        <v>17</v>
      </c>
      <c r="D458" s="11" t="s">
        <v>18</v>
      </c>
      <c r="E458" s="12" t="s">
        <v>1388</v>
      </c>
      <c r="F458" s="12" t="s">
        <v>1389</v>
      </c>
      <c r="G458" s="12" t="s">
        <v>29</v>
      </c>
      <c r="H458" s="11" t="s">
        <v>63</v>
      </c>
      <c r="I458" s="13" t="s">
        <v>1390</v>
      </c>
      <c r="J458" s="14" t="str">
        <f>HYPERLINK("https://www.boe.es/gazeta/dias/1839/06/04/pdfs/GMD-1839-1662.pdf#page=1","Abrir facsímil")</f>
        <v>Abrir facsímil</v>
      </c>
      <c r="K458" s="12" t="s">
        <v>65</v>
      </c>
    </row>
    <row r="459" spans="1:11" ht="40.049999999999997" customHeight="1" x14ac:dyDescent="0.25">
      <c r="A459" s="11" t="s">
        <v>1387</v>
      </c>
      <c r="B459" s="11" t="s">
        <v>1387</v>
      </c>
      <c r="C459" s="11" t="s">
        <v>17</v>
      </c>
      <c r="D459" s="11" t="s">
        <v>18</v>
      </c>
      <c r="E459" s="12" t="s">
        <v>1391</v>
      </c>
      <c r="F459" s="12" t="s">
        <v>1392</v>
      </c>
      <c r="G459" s="12" t="s">
        <v>29</v>
      </c>
      <c r="H459" s="11" t="s">
        <v>63</v>
      </c>
      <c r="I459" s="13" t="s">
        <v>1393</v>
      </c>
      <c r="J459" s="14" t="str">
        <f>HYPERLINK("https://www.boe.es/gazeta/dias/1839/05/12/pdfs/GMD-1839-1639.pdf#page=1","Abrir facsímil")</f>
        <v>Abrir facsímil</v>
      </c>
      <c r="K459" s="12" t="s">
        <v>65</v>
      </c>
    </row>
    <row r="460" spans="1:11" ht="40.049999999999997" customHeight="1" x14ac:dyDescent="0.25">
      <c r="A460" s="11" t="s">
        <v>1387</v>
      </c>
      <c r="B460" s="11" t="s">
        <v>1387</v>
      </c>
      <c r="C460" s="11" t="s">
        <v>80</v>
      </c>
      <c r="D460" s="11" t="s">
        <v>173</v>
      </c>
      <c r="E460" s="12" t="s">
        <v>664</v>
      </c>
      <c r="F460" s="12" t="s">
        <v>665</v>
      </c>
      <c r="G460" s="12" t="s">
        <v>21</v>
      </c>
      <c r="H460" s="11" t="s">
        <v>63</v>
      </c>
      <c r="I460" s="13" t="s">
        <v>1394</v>
      </c>
      <c r="J460" s="14" t="str">
        <f>HYPERLINK("https://www.boe.es/gazeta/dias/1839/01/24/pdfs/GMD-1839-1531.pdf#page=4","Abrir facsímil")</f>
        <v>Abrir facsímil</v>
      </c>
      <c r="K460" s="12" t="s">
        <v>65</v>
      </c>
    </row>
    <row r="461" spans="1:11" ht="40.049999999999997" customHeight="1" x14ac:dyDescent="0.25">
      <c r="A461" s="11" t="s">
        <v>1387</v>
      </c>
      <c r="B461" s="11" t="s">
        <v>1387</v>
      </c>
      <c r="C461" s="11" t="s">
        <v>17</v>
      </c>
      <c r="D461" s="11" t="s">
        <v>18</v>
      </c>
      <c r="E461" s="12" t="s">
        <v>1395</v>
      </c>
      <c r="F461" s="12" t="s">
        <v>1396</v>
      </c>
      <c r="G461" s="12" t="s">
        <v>46</v>
      </c>
      <c r="H461" s="11" t="s">
        <v>63</v>
      </c>
      <c r="I461" s="13" t="s">
        <v>1397</v>
      </c>
      <c r="J461" s="14" t="str">
        <f>HYPERLINK("https://www.boe.es/gazeta/dias/1839/06/26/pdfs/GMD-1839-1684.pdf#page=3","Abrir facsímil")</f>
        <v>Abrir facsímil</v>
      </c>
      <c r="K461" s="12" t="s">
        <v>65</v>
      </c>
    </row>
    <row r="462" spans="1:11" ht="40.049999999999997" customHeight="1" x14ac:dyDescent="0.25">
      <c r="A462" s="11" t="s">
        <v>1387</v>
      </c>
      <c r="B462" s="11" t="s">
        <v>1387</v>
      </c>
      <c r="C462" s="11" t="s">
        <v>59</v>
      </c>
      <c r="D462" s="11" t="s">
        <v>60</v>
      </c>
      <c r="E462" s="12" t="s">
        <v>1398</v>
      </c>
      <c r="F462" s="12" t="s">
        <v>1399</v>
      </c>
      <c r="G462" s="12" t="s">
        <v>40</v>
      </c>
      <c r="H462" s="11" t="s">
        <v>63</v>
      </c>
      <c r="I462" s="13" t="s">
        <v>1400</v>
      </c>
      <c r="J462" s="14" t="str">
        <f>HYPERLINK("https://www.boe.es/gazeta/dias/1839/05/27/pdfs/GMD-1839-1654.pdf#page=2","Abrir facsímil")</f>
        <v>Abrir facsímil</v>
      </c>
      <c r="K462" s="12" t="s">
        <v>65</v>
      </c>
    </row>
    <row r="463" spans="1:11" ht="40.049999999999997" customHeight="1" x14ac:dyDescent="0.25">
      <c r="A463" s="11" t="s">
        <v>1401</v>
      </c>
      <c r="B463" s="11" t="s">
        <v>1402</v>
      </c>
      <c r="C463" s="11" t="s">
        <v>59</v>
      </c>
      <c r="D463" s="11" t="s">
        <v>60</v>
      </c>
      <c r="E463" s="12" t="s">
        <v>1391</v>
      </c>
      <c r="F463" s="12" t="s">
        <v>1392</v>
      </c>
      <c r="G463" s="12" t="s">
        <v>29</v>
      </c>
      <c r="H463" s="11" t="s">
        <v>63</v>
      </c>
      <c r="I463" s="13" t="s">
        <v>1403</v>
      </c>
      <c r="J463" s="14" t="str">
        <f>HYPERLINK("https://www.boe.es/gazeta/dias/1839/05/12/pdfs/GMD-1839-1639.pdf#page=1","Abrir facsímil")</f>
        <v>Abrir facsímil</v>
      </c>
      <c r="K463" s="12" t="s">
        <v>65</v>
      </c>
    </row>
    <row r="464" spans="1:11" ht="40.049999999999997" customHeight="1" x14ac:dyDescent="0.25">
      <c r="A464" s="11" t="s">
        <v>1404</v>
      </c>
      <c r="B464" s="11" t="s">
        <v>1405</v>
      </c>
      <c r="C464" s="11" t="s">
        <v>59</v>
      </c>
      <c r="D464" s="11" t="s">
        <v>60</v>
      </c>
      <c r="E464" s="12" t="s">
        <v>1406</v>
      </c>
      <c r="F464" s="12" t="s">
        <v>1407</v>
      </c>
      <c r="G464" s="12" t="s">
        <v>21</v>
      </c>
      <c r="H464" s="11" t="s">
        <v>22</v>
      </c>
      <c r="I464" s="13" t="s">
        <v>1408</v>
      </c>
      <c r="J464" s="14" t="str">
        <f>HYPERLINK("https://www.boe.es/gazeta/dias/1839/07/18/pdfs/GMD-1839-1706.pdf#page=4","Abrir facsímil")</f>
        <v>Abrir facsímil</v>
      </c>
      <c r="K464" s="12" t="s">
        <v>24</v>
      </c>
    </row>
    <row r="465" spans="1:11" ht="40.049999999999997" customHeight="1" x14ac:dyDescent="0.25">
      <c r="A465" s="11" t="s">
        <v>1409</v>
      </c>
      <c r="B465" s="11" t="s">
        <v>1410</v>
      </c>
      <c r="C465" s="11" t="s">
        <v>17</v>
      </c>
      <c r="D465" s="11" t="s">
        <v>18</v>
      </c>
      <c r="E465" s="12" t="s">
        <v>258</v>
      </c>
      <c r="F465" s="12" t="s">
        <v>259</v>
      </c>
      <c r="G465" s="12" t="s">
        <v>46</v>
      </c>
      <c r="H465" s="11" t="s">
        <v>22</v>
      </c>
      <c r="I465" s="13" t="s">
        <v>1411</v>
      </c>
      <c r="J465" s="14" t="str">
        <f>HYPERLINK("https://www.boe.es/gazeta/dias/1839/01/02/pdfs/GMD-1839-1509.pdf#page=3","Abrir facsímil")</f>
        <v>Abrir facsímil</v>
      </c>
      <c r="K465" s="12" t="s">
        <v>24</v>
      </c>
    </row>
    <row r="466" spans="1:11" ht="40.049999999999997" customHeight="1" x14ac:dyDescent="0.25">
      <c r="A466" s="11" t="s">
        <v>1412</v>
      </c>
      <c r="B466" s="11" t="s">
        <v>1413</v>
      </c>
      <c r="C466" s="11" t="s">
        <v>17</v>
      </c>
      <c r="D466" s="11" t="s">
        <v>18</v>
      </c>
      <c r="E466" s="12" t="s">
        <v>1414</v>
      </c>
      <c r="F466" s="12" t="s">
        <v>1415</v>
      </c>
      <c r="G466" s="12" t="s">
        <v>21</v>
      </c>
      <c r="H466" s="11" t="s">
        <v>63</v>
      </c>
      <c r="I466" s="13" t="s">
        <v>1416</v>
      </c>
      <c r="J466" s="14" t="str">
        <f>HYPERLINK("https://www.boe.es/gazeta/dias/1839/06/12/pdfs/GMD-1839-1670.pdf#page=4","Abrir facsímil")</f>
        <v>Abrir facsímil</v>
      </c>
      <c r="K466" s="12" t="s">
        <v>65</v>
      </c>
    </row>
    <row r="467" spans="1:11" ht="40.049999999999997" customHeight="1" x14ac:dyDescent="0.25">
      <c r="A467" s="11" t="s">
        <v>1417</v>
      </c>
      <c r="B467" s="11" t="s">
        <v>1417</v>
      </c>
      <c r="C467" s="11" t="s">
        <v>59</v>
      </c>
      <c r="D467" s="11" t="s">
        <v>60</v>
      </c>
      <c r="E467" s="12" t="s">
        <v>287</v>
      </c>
      <c r="F467" s="12" t="s">
        <v>288</v>
      </c>
      <c r="G467" s="12" t="s">
        <v>46</v>
      </c>
      <c r="H467" s="11" t="s">
        <v>63</v>
      </c>
      <c r="I467" s="13" t="s">
        <v>1418</v>
      </c>
      <c r="J467" s="14" t="str">
        <f>HYPERLINK("https://www.boe.es/gazeta/dias/1839/11/27/pdfs/GMD-1839-1844.pdf#page=3","Abrir facsímil")</f>
        <v>Abrir facsímil</v>
      </c>
      <c r="K467" s="12" t="s">
        <v>65</v>
      </c>
    </row>
    <row r="468" spans="1:11" ht="40.049999999999997" customHeight="1" x14ac:dyDescent="0.25">
      <c r="A468" s="11" t="s">
        <v>1419</v>
      </c>
      <c r="B468" s="11" t="s">
        <v>1419</v>
      </c>
      <c r="C468" s="11" t="s">
        <v>80</v>
      </c>
      <c r="D468" s="11" t="s">
        <v>18</v>
      </c>
      <c r="E468" s="12" t="s">
        <v>269</v>
      </c>
      <c r="F468" s="12" t="s">
        <v>270</v>
      </c>
      <c r="G468" s="12" t="s">
        <v>21</v>
      </c>
      <c r="H468" s="11" t="s">
        <v>63</v>
      </c>
      <c r="I468" s="13" t="s">
        <v>1420</v>
      </c>
      <c r="J468" s="14" t="str">
        <f>HYPERLINK("https://www.boe.es/gazeta/dias/1839/02/10/pdfs/GMD-1839-1548.pdf#page=4","Abrir facsímil")</f>
        <v>Abrir facsímil</v>
      </c>
      <c r="K468" s="12" t="s">
        <v>65</v>
      </c>
    </row>
    <row r="469" spans="1:11" ht="40.049999999999997" customHeight="1" x14ac:dyDescent="0.25">
      <c r="A469" s="11" t="s">
        <v>1421</v>
      </c>
      <c r="B469" s="11" t="s">
        <v>1421</v>
      </c>
      <c r="C469" s="11" t="s">
        <v>137</v>
      </c>
      <c r="D469" s="11" t="s">
        <v>18</v>
      </c>
      <c r="E469" s="12" t="s">
        <v>883</v>
      </c>
      <c r="F469" s="12" t="s">
        <v>884</v>
      </c>
      <c r="G469" s="12" t="s">
        <v>29</v>
      </c>
      <c r="H469" s="11" t="s">
        <v>63</v>
      </c>
      <c r="I469" s="13" t="s">
        <v>1422</v>
      </c>
      <c r="J469" s="14" t="str">
        <f>HYPERLINK("https://www.boe.es/gazeta/dias/1839/11/03/pdfs/GMD-1839-1820.pdf#page=1","Abrir facsímil")</f>
        <v>Abrir facsímil</v>
      </c>
      <c r="K469" s="12" t="s">
        <v>65</v>
      </c>
    </row>
    <row r="470" spans="1:11" ht="40.049999999999997" customHeight="1" x14ac:dyDescent="0.25">
      <c r="A470" s="11" t="s">
        <v>1421</v>
      </c>
      <c r="B470" s="11" t="s">
        <v>1421</v>
      </c>
      <c r="C470" s="11" t="s">
        <v>17</v>
      </c>
      <c r="D470" s="11" t="s">
        <v>43</v>
      </c>
      <c r="E470" s="12" t="s">
        <v>287</v>
      </c>
      <c r="F470" s="12" t="s">
        <v>288</v>
      </c>
      <c r="G470" s="12" t="s">
        <v>46</v>
      </c>
      <c r="H470" s="11" t="s">
        <v>63</v>
      </c>
      <c r="I470" s="13" t="s">
        <v>1423</v>
      </c>
      <c r="J470" s="14" t="str">
        <f>HYPERLINK("https://www.boe.es/gazeta/dias/1839/11/27/pdfs/GMD-1839-1844.pdf#page=3","Abrir facsímil")</f>
        <v>Abrir facsímil</v>
      </c>
      <c r="K470" s="12" t="s">
        <v>65</v>
      </c>
    </row>
    <row r="471" spans="1:11" ht="40.049999999999997" customHeight="1" x14ac:dyDescent="0.25">
      <c r="A471" s="11" t="s">
        <v>1421</v>
      </c>
      <c r="B471" s="11" t="s">
        <v>1421</v>
      </c>
      <c r="C471" s="11" t="s">
        <v>59</v>
      </c>
      <c r="D471" s="11" t="s">
        <v>60</v>
      </c>
      <c r="E471" s="12" t="s">
        <v>287</v>
      </c>
      <c r="F471" s="12" t="s">
        <v>288</v>
      </c>
      <c r="G471" s="12" t="s">
        <v>21</v>
      </c>
      <c r="H471" s="11" t="s">
        <v>63</v>
      </c>
      <c r="I471" s="13" t="s">
        <v>1424</v>
      </c>
      <c r="J471" s="14" t="str">
        <f>HYPERLINK("https://www.boe.es/gazeta/dias/1839/11/27/pdfs/GMD-1839-1844.pdf#page=4","Abrir facsímil")</f>
        <v>Abrir facsímil</v>
      </c>
      <c r="K471" s="12" t="s">
        <v>65</v>
      </c>
    </row>
    <row r="472" spans="1:11" ht="40.049999999999997" customHeight="1" x14ac:dyDescent="0.25">
      <c r="A472" s="11" t="s">
        <v>1425</v>
      </c>
      <c r="B472" s="11" t="s">
        <v>1426</v>
      </c>
      <c r="C472" s="11" t="s">
        <v>137</v>
      </c>
      <c r="D472" s="11" t="s">
        <v>18</v>
      </c>
      <c r="E472" s="12" t="s">
        <v>1136</v>
      </c>
      <c r="F472" s="12" t="s">
        <v>1137</v>
      </c>
      <c r="G472" s="12" t="s">
        <v>46</v>
      </c>
      <c r="H472" s="11" t="s">
        <v>22</v>
      </c>
      <c r="I472" s="13" t="s">
        <v>1427</v>
      </c>
      <c r="J472" s="14" t="str">
        <f>HYPERLINK("https://www.boe.es/gazeta/dias/1839/04/03/pdfs/GMD-1839-1600.pdf#page=3","Abrir facsímil")</f>
        <v>Abrir facsímil</v>
      </c>
      <c r="K472" s="12" t="s">
        <v>24</v>
      </c>
    </row>
    <row r="473" spans="1:11" ht="40.049999999999997" customHeight="1" x14ac:dyDescent="0.25">
      <c r="A473" s="11" t="s">
        <v>1428</v>
      </c>
      <c r="B473" s="11" t="s">
        <v>1429</v>
      </c>
      <c r="C473" s="11" t="s">
        <v>17</v>
      </c>
      <c r="D473" s="11" t="s">
        <v>18</v>
      </c>
      <c r="E473" s="12" t="s">
        <v>462</v>
      </c>
      <c r="F473" s="12" t="s">
        <v>463</v>
      </c>
      <c r="G473" s="12" t="s">
        <v>21</v>
      </c>
      <c r="H473" s="11" t="s">
        <v>22</v>
      </c>
      <c r="I473" s="13" t="s">
        <v>1430</v>
      </c>
      <c r="J473" s="14" t="str">
        <f>HYPERLINK("https://www.boe.es/gazeta/dias/1839/06/19/pdfs/GMD-1839-1677.pdf#page=4","Abrir facsímil")</f>
        <v>Abrir facsímil</v>
      </c>
      <c r="K473" s="12" t="s">
        <v>24</v>
      </c>
    </row>
    <row r="474" spans="1:11" ht="40.049999999999997" customHeight="1" x14ac:dyDescent="0.25">
      <c r="A474" s="11" t="s">
        <v>1431</v>
      </c>
      <c r="B474" s="11" t="s">
        <v>1432</v>
      </c>
      <c r="C474" s="11" t="s">
        <v>17</v>
      </c>
      <c r="D474" s="11" t="s">
        <v>18</v>
      </c>
      <c r="E474" s="12" t="s">
        <v>1433</v>
      </c>
      <c r="F474" s="12" t="s">
        <v>1434</v>
      </c>
      <c r="G474" s="12" t="s">
        <v>21</v>
      </c>
      <c r="H474" s="11" t="s">
        <v>22</v>
      </c>
      <c r="I474" s="13" t="s">
        <v>1435</v>
      </c>
      <c r="J474" s="14" t="str">
        <f>HYPERLINK("https://www.boe.es/gazeta/dias/1839/10/22/pdfs/GMD-1839-1808.pdf#page=4","Abrir facsímil")</f>
        <v>Abrir facsímil</v>
      </c>
      <c r="K474" s="12" t="s">
        <v>24</v>
      </c>
    </row>
    <row r="475" spans="1:11" ht="40.049999999999997" customHeight="1" x14ac:dyDescent="0.25">
      <c r="A475" s="11" t="s">
        <v>1436</v>
      </c>
      <c r="B475" s="11" t="s">
        <v>1437</v>
      </c>
      <c r="C475" s="11" t="s">
        <v>17</v>
      </c>
      <c r="D475" s="11" t="s">
        <v>18</v>
      </c>
      <c r="E475" s="12" t="s">
        <v>258</v>
      </c>
      <c r="F475" s="12" t="s">
        <v>259</v>
      </c>
      <c r="G475" s="12" t="s">
        <v>40</v>
      </c>
      <c r="H475" s="11" t="s">
        <v>63</v>
      </c>
      <c r="I475" s="13" t="s">
        <v>1438</v>
      </c>
      <c r="J475" s="14" t="str">
        <f>HYPERLINK("https://www.boe.es/gazeta/dias/1839/01/02/pdfs/GMD-1839-1509.pdf#page=2","Abrir facsímil")</f>
        <v>Abrir facsímil</v>
      </c>
      <c r="K475" s="12" t="s">
        <v>65</v>
      </c>
    </row>
    <row r="476" spans="1:11" ht="40.049999999999997" customHeight="1" x14ac:dyDescent="0.25">
      <c r="A476" s="11" t="s">
        <v>1439</v>
      </c>
      <c r="B476" s="11" t="s">
        <v>1440</v>
      </c>
      <c r="C476" s="11" t="s">
        <v>17</v>
      </c>
      <c r="D476" s="11" t="s">
        <v>18</v>
      </c>
      <c r="E476" s="12" t="s">
        <v>817</v>
      </c>
      <c r="F476" s="12" t="s">
        <v>818</v>
      </c>
      <c r="G476" s="12" t="s">
        <v>40</v>
      </c>
      <c r="H476" s="11" t="s">
        <v>63</v>
      </c>
      <c r="I476" s="13" t="s">
        <v>1441</v>
      </c>
      <c r="J476" s="14" t="str">
        <f>HYPERLINK("https://www.boe.es/gazeta/dias/1839/05/28/pdfs/GMD-1839-1655.pdf#page=2","Abrir facsímil")</f>
        <v>Abrir facsímil</v>
      </c>
      <c r="K476" s="12" t="s">
        <v>65</v>
      </c>
    </row>
    <row r="477" spans="1:11" ht="40.049999999999997" customHeight="1" x14ac:dyDescent="0.25">
      <c r="A477" s="11" t="s">
        <v>1442</v>
      </c>
      <c r="B477" s="11" t="s">
        <v>1442</v>
      </c>
      <c r="C477" s="11" t="s">
        <v>59</v>
      </c>
      <c r="D477" s="11" t="s">
        <v>60</v>
      </c>
      <c r="E477" s="12" t="s">
        <v>27</v>
      </c>
      <c r="F477" s="12" t="s">
        <v>28</v>
      </c>
      <c r="G477" s="12" t="s">
        <v>29</v>
      </c>
      <c r="H477" s="11" t="s">
        <v>63</v>
      </c>
      <c r="I477" s="13" t="s">
        <v>1443</v>
      </c>
      <c r="J477" s="14" t="str">
        <f>HYPERLINK("https://www.boe.es/gazeta/dias/1839/07/28/pdfs/GMD-1839-1717.pdf#page=1","Abrir facsímil")</f>
        <v>Abrir facsímil</v>
      </c>
      <c r="K477" s="12" t="s">
        <v>65</v>
      </c>
    </row>
    <row r="478" spans="1:11" ht="40.049999999999997" customHeight="1" x14ac:dyDescent="0.25">
      <c r="A478" s="11" t="s">
        <v>1444</v>
      </c>
      <c r="B478" s="11" t="s">
        <v>1444</v>
      </c>
      <c r="C478" s="11" t="s">
        <v>137</v>
      </c>
      <c r="D478" s="11" t="s">
        <v>18</v>
      </c>
      <c r="E478" s="12" t="s">
        <v>369</v>
      </c>
      <c r="F478" s="12" t="s">
        <v>370</v>
      </c>
      <c r="G478" s="12" t="s">
        <v>46</v>
      </c>
      <c r="H478" s="11" t="s">
        <v>63</v>
      </c>
      <c r="I478" s="13" t="s">
        <v>1445</v>
      </c>
      <c r="J478" s="14" t="str">
        <f>HYPERLINK("https://www.boe.es/gazeta/dias/1839/11/01/pdfs/GMD-1839-1818.pdf#page=3","Abrir facsímil")</f>
        <v>Abrir facsímil</v>
      </c>
      <c r="K478" s="12" t="s">
        <v>65</v>
      </c>
    </row>
    <row r="479" spans="1:11" ht="40.049999999999997" customHeight="1" x14ac:dyDescent="0.25">
      <c r="A479" s="11" t="s">
        <v>1444</v>
      </c>
      <c r="B479" s="11" t="s">
        <v>1444</v>
      </c>
      <c r="C479" s="11" t="s">
        <v>17</v>
      </c>
      <c r="D479" s="11" t="s">
        <v>18</v>
      </c>
      <c r="E479" s="12" t="s">
        <v>1446</v>
      </c>
      <c r="F479" s="12" t="s">
        <v>1447</v>
      </c>
      <c r="G479" s="12" t="s">
        <v>29</v>
      </c>
      <c r="H479" s="11" t="s">
        <v>63</v>
      </c>
      <c r="I479" s="13" t="s">
        <v>1448</v>
      </c>
      <c r="J479" s="14" t="str">
        <f>HYPERLINK("https://www.boe.es/gazeta/dias/1839/08/25/pdfs/GMD-1839-1746.pdf#page=1","Abrir facsímil")</f>
        <v>Abrir facsímil</v>
      </c>
      <c r="K479" s="12" t="s">
        <v>65</v>
      </c>
    </row>
    <row r="480" spans="1:11" ht="40.049999999999997" customHeight="1" x14ac:dyDescent="0.25">
      <c r="A480" s="11" t="s">
        <v>1449</v>
      </c>
      <c r="B480" s="11" t="s">
        <v>1450</v>
      </c>
      <c r="C480" s="11" t="s">
        <v>17</v>
      </c>
      <c r="D480" s="11" t="s">
        <v>18</v>
      </c>
      <c r="E480" s="12" t="s">
        <v>756</v>
      </c>
      <c r="F480" s="12" t="s">
        <v>757</v>
      </c>
      <c r="G480" s="12" t="s">
        <v>29</v>
      </c>
      <c r="H480" s="11" t="s">
        <v>63</v>
      </c>
      <c r="I480" s="13" t="s">
        <v>1451</v>
      </c>
      <c r="J480" s="14" t="str">
        <f>HYPERLINK("https://www.boe.es/gazeta/dias/1839/12/17/pdfs/GMD-1839-1864.pdf#page=1","Abrir facsímil")</f>
        <v>Abrir facsímil</v>
      </c>
      <c r="K480" s="12" t="s">
        <v>65</v>
      </c>
    </row>
    <row r="481" spans="1:11" ht="40.049999999999997" customHeight="1" x14ac:dyDescent="0.25">
      <c r="A481" s="11" t="s">
        <v>1452</v>
      </c>
      <c r="B481" s="11" t="s">
        <v>1453</v>
      </c>
      <c r="C481" s="11" t="s">
        <v>17</v>
      </c>
      <c r="D481" s="11" t="s">
        <v>18</v>
      </c>
      <c r="E481" s="12" t="s">
        <v>258</v>
      </c>
      <c r="F481" s="12" t="s">
        <v>259</v>
      </c>
      <c r="G481" s="12" t="s">
        <v>46</v>
      </c>
      <c r="H481" s="11" t="s">
        <v>22</v>
      </c>
      <c r="I481" s="13" t="s">
        <v>1454</v>
      </c>
      <c r="J481" s="14" t="str">
        <f>HYPERLINK("https://www.boe.es/gazeta/dias/1839/01/02/pdfs/GMD-1839-1509.pdf#page=3","Abrir facsímil")</f>
        <v>Abrir facsímil</v>
      </c>
      <c r="K481" s="12" t="s">
        <v>24</v>
      </c>
    </row>
    <row r="482" spans="1:11" ht="40.049999999999997" customHeight="1" x14ac:dyDescent="0.25">
      <c r="A482" s="11" t="s">
        <v>1455</v>
      </c>
      <c r="B482" s="11" t="s">
        <v>1455</v>
      </c>
      <c r="C482" s="11" t="s">
        <v>59</v>
      </c>
      <c r="D482" s="11" t="s">
        <v>60</v>
      </c>
      <c r="E482" s="12" t="s">
        <v>1183</v>
      </c>
      <c r="F482" s="12" t="s">
        <v>1184</v>
      </c>
      <c r="G482" s="12" t="s">
        <v>21</v>
      </c>
      <c r="H482" s="11" t="s">
        <v>63</v>
      </c>
      <c r="I482" s="13" t="s">
        <v>1456</v>
      </c>
      <c r="J482" s="14" t="str">
        <f>HYPERLINK("https://www.boe.es/gazeta/dias/1839/07/26/pdfs/GMD-1839-1715.pdf#page=4","Abrir facsímil")</f>
        <v>Abrir facsímil</v>
      </c>
      <c r="K482" s="12" t="s">
        <v>65</v>
      </c>
    </row>
    <row r="483" spans="1:11" ht="40.049999999999997" customHeight="1" x14ac:dyDescent="0.25">
      <c r="A483" s="11" t="s">
        <v>1457</v>
      </c>
      <c r="B483" s="11" t="s">
        <v>1457</v>
      </c>
      <c r="C483" s="11" t="s">
        <v>101</v>
      </c>
      <c r="D483" s="11" t="s">
        <v>43</v>
      </c>
      <c r="E483" s="12" t="s">
        <v>262</v>
      </c>
      <c r="F483" s="12" t="s">
        <v>263</v>
      </c>
      <c r="G483" s="12" t="s">
        <v>29</v>
      </c>
      <c r="H483" s="11" t="s">
        <v>63</v>
      </c>
      <c r="I483" s="13" t="s">
        <v>1458</v>
      </c>
      <c r="J483" s="14" t="str">
        <f>HYPERLINK("https://www.boe.es/gazeta/dias/1839/01/01/pdfs/GMD-1839-1508.pdf#page=1","Abrir facsímil")</f>
        <v>Abrir facsímil</v>
      </c>
      <c r="K483" s="12" t="s">
        <v>65</v>
      </c>
    </row>
    <row r="484" spans="1:11" ht="40.049999999999997" customHeight="1" x14ac:dyDescent="0.25">
      <c r="A484" s="11" t="s">
        <v>1457</v>
      </c>
      <c r="B484" s="11" t="s">
        <v>1457</v>
      </c>
      <c r="C484" s="11" t="s">
        <v>101</v>
      </c>
      <c r="D484" s="11" t="s">
        <v>43</v>
      </c>
      <c r="E484" s="12" t="s">
        <v>262</v>
      </c>
      <c r="F484" s="12" t="s">
        <v>263</v>
      </c>
      <c r="G484" s="12" t="s">
        <v>40</v>
      </c>
      <c r="H484" s="11" t="s">
        <v>63</v>
      </c>
      <c r="I484" s="13" t="s">
        <v>1459</v>
      </c>
      <c r="J484" s="14" t="str">
        <f>HYPERLINK("https://www.boe.es/gazeta/dias/1839/01/01/pdfs/GMD-1839-1508.pdf#page=2","Abrir facsímil")</f>
        <v>Abrir facsímil</v>
      </c>
      <c r="K484" s="12" t="s">
        <v>65</v>
      </c>
    </row>
    <row r="485" spans="1:11" ht="40.049999999999997" customHeight="1" x14ac:dyDescent="0.25">
      <c r="A485" s="11" t="s">
        <v>1457</v>
      </c>
      <c r="B485" s="11" t="s">
        <v>1457</v>
      </c>
      <c r="C485" s="11" t="s">
        <v>137</v>
      </c>
      <c r="D485" s="11" t="s">
        <v>18</v>
      </c>
      <c r="E485" s="12" t="s">
        <v>1460</v>
      </c>
      <c r="F485" s="12" t="s">
        <v>1461</v>
      </c>
      <c r="G485" s="12" t="s">
        <v>46</v>
      </c>
      <c r="H485" s="11" t="s">
        <v>63</v>
      </c>
      <c r="I485" s="13" t="s">
        <v>1462</v>
      </c>
      <c r="J485" s="14" t="str">
        <f>HYPERLINK("https://www.boe.es/gazeta/dias/1839/03/01/pdfs/GMD-1839-1567.pdf#page=3","Abrir facsímil")</f>
        <v>Abrir facsímil</v>
      </c>
      <c r="K485" s="12" t="s">
        <v>65</v>
      </c>
    </row>
    <row r="486" spans="1:11" ht="40.049999999999997" customHeight="1" x14ac:dyDescent="0.25">
      <c r="A486" s="11" t="s">
        <v>1457</v>
      </c>
      <c r="B486" s="11" t="s">
        <v>1457</v>
      </c>
      <c r="C486" s="11" t="s">
        <v>17</v>
      </c>
      <c r="D486" s="11" t="s">
        <v>18</v>
      </c>
      <c r="E486" s="12" t="s">
        <v>704</v>
      </c>
      <c r="F486" s="12" t="s">
        <v>705</v>
      </c>
      <c r="G486" s="12" t="s">
        <v>46</v>
      </c>
      <c r="H486" s="11" t="s">
        <v>63</v>
      </c>
      <c r="I486" s="13" t="s">
        <v>1463</v>
      </c>
      <c r="J486" s="14" t="str">
        <f>HYPERLINK("https://www.boe.es/gazeta/dias/1839/03/02/pdfs/GMD-1839-1568.pdf#page=3","Abrir facsímil")</f>
        <v>Abrir facsímil</v>
      </c>
      <c r="K486" s="12" t="s">
        <v>65</v>
      </c>
    </row>
    <row r="487" spans="1:11" ht="40.049999999999997" customHeight="1" x14ac:dyDescent="0.25">
      <c r="A487" s="11" t="s">
        <v>1457</v>
      </c>
      <c r="B487" s="11" t="s">
        <v>1457</v>
      </c>
      <c r="C487" s="11" t="s">
        <v>17</v>
      </c>
      <c r="D487" s="11" t="s">
        <v>18</v>
      </c>
      <c r="E487" s="12" t="s">
        <v>779</v>
      </c>
      <c r="F487" s="12" t="s">
        <v>780</v>
      </c>
      <c r="G487" s="12" t="s">
        <v>40</v>
      </c>
      <c r="H487" s="11" t="s">
        <v>63</v>
      </c>
      <c r="I487" s="13" t="s">
        <v>1464</v>
      </c>
      <c r="J487" s="14" t="str">
        <f>HYPERLINK("https://www.boe.es/gazeta/dias/1839/02/03/pdfs/GMD-1839-1541.pdf#page=2","Abrir facsímil")</f>
        <v>Abrir facsímil</v>
      </c>
      <c r="K487" s="12" t="s">
        <v>65</v>
      </c>
    </row>
    <row r="488" spans="1:11" ht="40.049999999999997" customHeight="1" x14ac:dyDescent="0.25">
      <c r="A488" s="11" t="s">
        <v>1457</v>
      </c>
      <c r="B488" s="11" t="s">
        <v>1457</v>
      </c>
      <c r="C488" s="11" t="s">
        <v>17</v>
      </c>
      <c r="D488" s="11" t="s">
        <v>18</v>
      </c>
      <c r="E488" s="12" t="s">
        <v>49</v>
      </c>
      <c r="F488" s="12" t="s">
        <v>50</v>
      </c>
      <c r="G488" s="12" t="s">
        <v>29</v>
      </c>
      <c r="H488" s="11" t="s">
        <v>63</v>
      </c>
      <c r="I488" s="13" t="s">
        <v>1465</v>
      </c>
      <c r="J488" s="14" t="str">
        <f>HYPERLINK("https://www.boe.es/gazeta/dias/1839/01/05/pdfs/GMD-1839-1512.pdf#page=1","Abrir facsímil")</f>
        <v>Abrir facsímil</v>
      </c>
      <c r="K488" s="12" t="s">
        <v>65</v>
      </c>
    </row>
    <row r="489" spans="1:11" ht="40.049999999999997" customHeight="1" x14ac:dyDescent="0.25">
      <c r="A489" s="11" t="s">
        <v>1457</v>
      </c>
      <c r="B489" s="11" t="s">
        <v>1457</v>
      </c>
      <c r="C489" s="11" t="s">
        <v>80</v>
      </c>
      <c r="D489" s="11" t="s">
        <v>173</v>
      </c>
      <c r="E489" s="12" t="s">
        <v>49</v>
      </c>
      <c r="F489" s="12" t="s">
        <v>50</v>
      </c>
      <c r="G489" s="12" t="s">
        <v>40</v>
      </c>
      <c r="H489" s="11" t="s">
        <v>63</v>
      </c>
      <c r="I489" s="13" t="s">
        <v>1466</v>
      </c>
      <c r="J489" s="14" t="str">
        <f>HYPERLINK("https://www.boe.es/gazeta/dias/1839/01/05/pdfs/GMD-1839-1512.pdf#page=2","Abrir facsímil")</f>
        <v>Abrir facsímil</v>
      </c>
      <c r="K489" s="12" t="s">
        <v>65</v>
      </c>
    </row>
    <row r="490" spans="1:11" ht="40.049999999999997" customHeight="1" x14ac:dyDescent="0.25">
      <c r="A490" s="11" t="s">
        <v>1457</v>
      </c>
      <c r="B490" s="11" t="s">
        <v>1457</v>
      </c>
      <c r="C490" s="11" t="s">
        <v>59</v>
      </c>
      <c r="D490" s="11" t="s">
        <v>60</v>
      </c>
      <c r="E490" s="12" t="s">
        <v>1467</v>
      </c>
      <c r="F490" s="12" t="s">
        <v>1468</v>
      </c>
      <c r="G490" s="12" t="s">
        <v>46</v>
      </c>
      <c r="H490" s="11" t="s">
        <v>63</v>
      </c>
      <c r="I490" s="13" t="s">
        <v>1469</v>
      </c>
      <c r="J490" s="14" t="str">
        <f>HYPERLINK("https://www.boe.es/gazeta/dias/1839/03/05/pdfs/GMD-1839-1571.pdf#page=3","Abrir facsímil")</f>
        <v>Abrir facsímil</v>
      </c>
      <c r="K490" s="12" t="s">
        <v>65</v>
      </c>
    </row>
    <row r="491" spans="1:11" ht="40.049999999999997" customHeight="1" x14ac:dyDescent="0.25">
      <c r="A491" s="11" t="s">
        <v>1457</v>
      </c>
      <c r="B491" s="11" t="s">
        <v>1457</v>
      </c>
      <c r="C491" s="11" t="s">
        <v>17</v>
      </c>
      <c r="D491" s="11" t="s">
        <v>18</v>
      </c>
      <c r="E491" s="12" t="s">
        <v>398</v>
      </c>
      <c r="F491" s="12" t="s">
        <v>399</v>
      </c>
      <c r="G491" s="12" t="s">
        <v>46</v>
      </c>
      <c r="H491" s="11" t="s">
        <v>63</v>
      </c>
      <c r="I491" s="13" t="s">
        <v>1470</v>
      </c>
      <c r="J491" s="14" t="str">
        <f>HYPERLINK("https://www.boe.es/gazeta/dias/1839/05/17/pdfs/GMD-1839-1644.pdf#page=3","Abrir facsímil")</f>
        <v>Abrir facsímil</v>
      </c>
      <c r="K491" s="12" t="s">
        <v>65</v>
      </c>
    </row>
    <row r="492" spans="1:11" ht="40.049999999999997" customHeight="1" x14ac:dyDescent="0.25">
      <c r="A492" s="11" t="s">
        <v>1457</v>
      </c>
      <c r="B492" s="11" t="s">
        <v>1457</v>
      </c>
      <c r="C492" s="11" t="s">
        <v>17</v>
      </c>
      <c r="D492" s="11" t="s">
        <v>18</v>
      </c>
      <c r="E492" s="12" t="s">
        <v>233</v>
      </c>
      <c r="F492" s="12" t="s">
        <v>234</v>
      </c>
      <c r="G492" s="12" t="s">
        <v>29</v>
      </c>
      <c r="H492" s="11" t="s">
        <v>63</v>
      </c>
      <c r="I492" s="13" t="s">
        <v>1471</v>
      </c>
      <c r="J492" s="14" t="str">
        <f>HYPERLINK("https://www.boe.es/gazeta/dias/1839/09/17/pdfs/GMD-1839-1770.pdf#page=1","Abrir facsímil")</f>
        <v>Abrir facsímil</v>
      </c>
      <c r="K492" s="12" t="s">
        <v>65</v>
      </c>
    </row>
    <row r="493" spans="1:11" ht="40.049999999999997" customHeight="1" x14ac:dyDescent="0.25">
      <c r="A493" s="11" t="s">
        <v>1457</v>
      </c>
      <c r="B493" s="11" t="s">
        <v>1457</v>
      </c>
      <c r="C493" s="11" t="s">
        <v>17</v>
      </c>
      <c r="D493" s="11" t="s">
        <v>18</v>
      </c>
      <c r="E493" s="12" t="s">
        <v>695</v>
      </c>
      <c r="F493" s="12" t="s">
        <v>696</v>
      </c>
      <c r="G493" s="12" t="s">
        <v>46</v>
      </c>
      <c r="H493" s="11" t="s">
        <v>63</v>
      </c>
      <c r="I493" s="13" t="s">
        <v>1472</v>
      </c>
      <c r="J493" s="14" t="str">
        <f>HYPERLINK("https://www.boe.es/gazeta/dias/1839/12/19/pdfs/GMD-1839-1866.pdf#page=3","Abrir facsímil")</f>
        <v>Abrir facsímil</v>
      </c>
      <c r="K493" s="12" t="s">
        <v>65</v>
      </c>
    </row>
    <row r="494" spans="1:11" ht="40.049999999999997" customHeight="1" x14ac:dyDescent="0.25">
      <c r="A494" s="11" t="s">
        <v>1457</v>
      </c>
      <c r="B494" s="11" t="s">
        <v>1457</v>
      </c>
      <c r="C494" s="11" t="s">
        <v>59</v>
      </c>
      <c r="D494" s="11" t="s">
        <v>60</v>
      </c>
      <c r="E494" s="12" t="s">
        <v>516</v>
      </c>
      <c r="F494" s="12" t="s">
        <v>517</v>
      </c>
      <c r="G494" s="12" t="s">
        <v>29</v>
      </c>
      <c r="H494" s="11" t="s">
        <v>63</v>
      </c>
      <c r="I494" s="13" t="s">
        <v>1473</v>
      </c>
      <c r="J494" s="14" t="str">
        <f>HYPERLINK("https://www.boe.es/gazeta/dias/1839/06/21/pdfs/GMD-1839-1679.pdf#page=1","Abrir facsímil")</f>
        <v>Abrir facsímil</v>
      </c>
      <c r="K494" s="12" t="s">
        <v>65</v>
      </c>
    </row>
    <row r="495" spans="1:11" ht="40.049999999999997" customHeight="1" x14ac:dyDescent="0.25">
      <c r="A495" s="11" t="s">
        <v>1457</v>
      </c>
      <c r="B495" s="11" t="s">
        <v>1457</v>
      </c>
      <c r="C495" s="11" t="s">
        <v>17</v>
      </c>
      <c r="D495" s="11" t="s">
        <v>18</v>
      </c>
      <c r="E495" s="12" t="s">
        <v>1474</v>
      </c>
      <c r="F495" s="12" t="s">
        <v>1475</v>
      </c>
      <c r="G495" s="12" t="s">
        <v>29</v>
      </c>
      <c r="H495" s="11" t="s">
        <v>63</v>
      </c>
      <c r="I495" s="13" t="s">
        <v>1476</v>
      </c>
      <c r="J495" s="14" t="str">
        <f>HYPERLINK("https://www.boe.es/gazeta/dias/1839/02/28/pdfs/GMD-1839-1566.pdf#page=1","Abrir facsímil")</f>
        <v>Abrir facsímil</v>
      </c>
      <c r="K495" s="12" t="s">
        <v>65</v>
      </c>
    </row>
    <row r="496" spans="1:11" ht="40.049999999999997" customHeight="1" x14ac:dyDescent="0.25">
      <c r="A496" s="11" t="s">
        <v>1457</v>
      </c>
      <c r="B496" s="11" t="s">
        <v>1457</v>
      </c>
      <c r="C496" s="11" t="s">
        <v>80</v>
      </c>
      <c r="D496" s="11" t="s">
        <v>18</v>
      </c>
      <c r="E496" s="12" t="s">
        <v>929</v>
      </c>
      <c r="F496" s="12" t="s">
        <v>930</v>
      </c>
      <c r="G496" s="12" t="s">
        <v>29</v>
      </c>
      <c r="H496" s="11" t="s">
        <v>63</v>
      </c>
      <c r="I496" s="13" t="s">
        <v>1477</v>
      </c>
      <c r="J496" s="14" t="str">
        <f>HYPERLINK("https://www.boe.es/gazeta/dias/1839/01/31/pdfs/GMD-1839-1538.pdf#page=1","Abrir facsímil")</f>
        <v>Abrir facsímil</v>
      </c>
      <c r="K496" s="12" t="s">
        <v>65</v>
      </c>
    </row>
    <row r="497" spans="1:11" ht="40.049999999999997" customHeight="1" x14ac:dyDescent="0.25">
      <c r="A497" s="11" t="s">
        <v>1478</v>
      </c>
      <c r="B497" s="11" t="s">
        <v>1478</v>
      </c>
      <c r="C497" s="11" t="s">
        <v>59</v>
      </c>
      <c r="D497" s="11" t="s">
        <v>60</v>
      </c>
      <c r="E497" s="12" t="s">
        <v>1479</v>
      </c>
      <c r="F497" s="12" t="s">
        <v>1480</v>
      </c>
      <c r="G497" s="12" t="s">
        <v>46</v>
      </c>
      <c r="H497" s="11" t="s">
        <v>63</v>
      </c>
      <c r="I497" s="13" t="s">
        <v>1481</v>
      </c>
      <c r="J497" s="14" t="str">
        <f>HYPERLINK("https://www.boe.es/gazeta/dias/1839/04/09/pdfs/GMD-1839-1606.pdf#page=3","Abrir facsímil")</f>
        <v>Abrir facsímil</v>
      </c>
      <c r="K497" s="12" t="s">
        <v>65</v>
      </c>
    </row>
    <row r="498" spans="1:11" ht="40.049999999999997" customHeight="1" x14ac:dyDescent="0.25">
      <c r="A498" s="11" t="s">
        <v>1482</v>
      </c>
      <c r="B498" s="11" t="s">
        <v>1482</v>
      </c>
      <c r="C498" s="11" t="s">
        <v>17</v>
      </c>
      <c r="D498" s="11" t="s">
        <v>18</v>
      </c>
      <c r="E498" s="12" t="s">
        <v>700</v>
      </c>
      <c r="F498" s="12" t="s">
        <v>701</v>
      </c>
      <c r="G498" s="12" t="s">
        <v>40</v>
      </c>
      <c r="H498" s="11" t="s">
        <v>63</v>
      </c>
      <c r="I498" s="13" t="s">
        <v>1483</v>
      </c>
      <c r="J498" s="14" t="str">
        <f>HYPERLINK("https://www.boe.es/gazeta/dias/1839/09/01/pdfs/GMD-1839-1753.pdf#page=2","Abrir facsímil")</f>
        <v>Abrir facsímil</v>
      </c>
      <c r="K498" s="12" t="s">
        <v>65</v>
      </c>
    </row>
    <row r="499" spans="1:11" ht="40.049999999999997" customHeight="1" x14ac:dyDescent="0.25">
      <c r="A499" s="11" t="s">
        <v>1482</v>
      </c>
      <c r="B499" s="11" t="s">
        <v>1482</v>
      </c>
      <c r="C499" s="11" t="s">
        <v>17</v>
      </c>
      <c r="D499" s="11" t="s">
        <v>18</v>
      </c>
      <c r="E499" s="12" t="s">
        <v>883</v>
      </c>
      <c r="F499" s="12" t="s">
        <v>884</v>
      </c>
      <c r="G499" s="12" t="s">
        <v>46</v>
      </c>
      <c r="H499" s="11" t="s">
        <v>63</v>
      </c>
      <c r="I499" s="13" t="s">
        <v>1484</v>
      </c>
      <c r="J499" s="14" t="str">
        <f>HYPERLINK("https://www.boe.es/gazeta/dias/1839/11/03/pdfs/GMD-1839-1820.pdf#page=3","Abrir facsímil")</f>
        <v>Abrir facsímil</v>
      </c>
      <c r="K499" s="12" t="s">
        <v>65</v>
      </c>
    </row>
    <row r="500" spans="1:11" ht="40.049999999999997" customHeight="1" x14ac:dyDescent="0.25">
      <c r="A500" s="11" t="s">
        <v>1482</v>
      </c>
      <c r="B500" s="11" t="s">
        <v>1482</v>
      </c>
      <c r="C500" s="11" t="s">
        <v>80</v>
      </c>
      <c r="D500" s="11" t="s">
        <v>173</v>
      </c>
      <c r="E500" s="12" t="s">
        <v>291</v>
      </c>
      <c r="F500" s="12" t="s">
        <v>292</v>
      </c>
      <c r="G500" s="12" t="s">
        <v>21</v>
      </c>
      <c r="H500" s="11" t="s">
        <v>63</v>
      </c>
      <c r="I500" s="13" t="s">
        <v>1485</v>
      </c>
      <c r="J500" s="14" t="str">
        <f>HYPERLINK("https://www.boe.es/gazeta/dias/1839/09/04/pdfs/GMD-1839-1757.pdf#page=4","Abrir facsímil")</f>
        <v>Abrir facsímil</v>
      </c>
      <c r="K500" s="12" t="s">
        <v>65</v>
      </c>
    </row>
    <row r="501" spans="1:11" ht="40.049999999999997" customHeight="1" x14ac:dyDescent="0.25">
      <c r="A501" s="11" t="s">
        <v>1482</v>
      </c>
      <c r="B501" s="11" t="s">
        <v>1482</v>
      </c>
      <c r="C501" s="11" t="s">
        <v>17</v>
      </c>
      <c r="D501" s="11" t="s">
        <v>18</v>
      </c>
      <c r="E501" s="12" t="s">
        <v>138</v>
      </c>
      <c r="F501" s="12" t="s">
        <v>139</v>
      </c>
      <c r="G501" s="12" t="s">
        <v>21</v>
      </c>
      <c r="H501" s="11" t="s">
        <v>63</v>
      </c>
      <c r="I501" s="13" t="s">
        <v>1486</v>
      </c>
      <c r="J501" s="14" t="str">
        <f>HYPERLINK("https://www.boe.es/gazeta/dias/1839/10/09/pdfs/GMD-1839-1795.pdf#page=4","Abrir facsímil")</f>
        <v>Abrir facsímil</v>
      </c>
      <c r="K501" s="12" t="s">
        <v>65</v>
      </c>
    </row>
    <row r="502" spans="1:11" ht="40.049999999999997" customHeight="1" x14ac:dyDescent="0.25">
      <c r="A502" s="11" t="s">
        <v>1482</v>
      </c>
      <c r="B502" s="11" t="s">
        <v>1482</v>
      </c>
      <c r="C502" s="11" t="s">
        <v>17</v>
      </c>
      <c r="D502" s="11" t="s">
        <v>18</v>
      </c>
      <c r="E502" s="12" t="s">
        <v>1179</v>
      </c>
      <c r="F502" s="12" t="s">
        <v>1180</v>
      </c>
      <c r="G502" s="12" t="s">
        <v>305</v>
      </c>
      <c r="H502" s="11" t="s">
        <v>63</v>
      </c>
      <c r="I502" s="13" t="s">
        <v>1487</v>
      </c>
      <c r="J502" s="14" t="str">
        <f>HYPERLINK("https://www.boe.es/gazeta/dias/1839/10/18/pdfs/GMD-1839-1804.pdf#page=6","Abrir facsímil")</f>
        <v>Abrir facsímil</v>
      </c>
      <c r="K502" s="12" t="s">
        <v>65</v>
      </c>
    </row>
    <row r="503" spans="1:11" ht="40.049999999999997" customHeight="1" x14ac:dyDescent="0.25">
      <c r="A503" s="11" t="s">
        <v>1482</v>
      </c>
      <c r="B503" s="11" t="s">
        <v>1482</v>
      </c>
      <c r="C503" s="11" t="s">
        <v>17</v>
      </c>
      <c r="D503" s="11" t="s">
        <v>18</v>
      </c>
      <c r="E503" s="12" t="s">
        <v>713</v>
      </c>
      <c r="F503" s="12" t="s">
        <v>714</v>
      </c>
      <c r="G503" s="12" t="s">
        <v>46</v>
      </c>
      <c r="H503" s="11" t="s">
        <v>63</v>
      </c>
      <c r="I503" s="13" t="s">
        <v>1488</v>
      </c>
      <c r="J503" s="14" t="str">
        <f>HYPERLINK("https://www.boe.es/gazeta/dias/1839/12/18/pdfs/GMD-1839-1865.pdf#page=3","Abrir facsímil")</f>
        <v>Abrir facsímil</v>
      </c>
      <c r="K503" s="12" t="s">
        <v>65</v>
      </c>
    </row>
    <row r="504" spans="1:11" ht="40.049999999999997" customHeight="1" x14ac:dyDescent="0.25">
      <c r="A504" s="11" t="s">
        <v>1482</v>
      </c>
      <c r="B504" s="11" t="s">
        <v>1482</v>
      </c>
      <c r="C504" s="11" t="s">
        <v>101</v>
      </c>
      <c r="D504" s="11" t="s">
        <v>43</v>
      </c>
      <c r="E504" s="12" t="s">
        <v>19</v>
      </c>
      <c r="F504" s="12" t="s">
        <v>20</v>
      </c>
      <c r="G504" s="12" t="s">
        <v>40</v>
      </c>
      <c r="H504" s="11" t="s">
        <v>63</v>
      </c>
      <c r="I504" s="13" t="s">
        <v>1489</v>
      </c>
      <c r="J504" s="14" t="str">
        <f>HYPERLINK("https://www.boe.es/gazeta/dias/1839/01/19/pdfs/GMD-1839-1526.pdf#page=2","Abrir facsímil")</f>
        <v>Abrir facsímil</v>
      </c>
      <c r="K504" s="12" t="s">
        <v>65</v>
      </c>
    </row>
    <row r="505" spans="1:11" ht="40.049999999999997" customHeight="1" x14ac:dyDescent="0.25">
      <c r="A505" s="11" t="s">
        <v>1482</v>
      </c>
      <c r="B505" s="11" t="s">
        <v>1482</v>
      </c>
      <c r="C505" s="11" t="s">
        <v>137</v>
      </c>
      <c r="D505" s="11" t="s">
        <v>18</v>
      </c>
      <c r="E505" s="12" t="s">
        <v>1490</v>
      </c>
      <c r="F505" s="12" t="s">
        <v>1491</v>
      </c>
      <c r="G505" s="12" t="s">
        <v>46</v>
      </c>
      <c r="H505" s="11" t="s">
        <v>63</v>
      </c>
      <c r="I505" s="13" t="s">
        <v>1492</v>
      </c>
      <c r="J505" s="14" t="str">
        <f>HYPERLINK("https://www.boe.es/gazeta/dias/1839/02/27/pdfs/GMD-1839-1565.pdf#page=3","Abrir facsímil")</f>
        <v>Abrir facsímil</v>
      </c>
      <c r="K505" s="12" t="s">
        <v>65</v>
      </c>
    </row>
    <row r="506" spans="1:11" ht="40.049999999999997" customHeight="1" x14ac:dyDescent="0.25">
      <c r="A506" s="11" t="s">
        <v>1482</v>
      </c>
      <c r="B506" s="11" t="s">
        <v>1482</v>
      </c>
      <c r="C506" s="11" t="s">
        <v>59</v>
      </c>
      <c r="D506" s="11" t="s">
        <v>60</v>
      </c>
      <c r="E506" s="12" t="s">
        <v>489</v>
      </c>
      <c r="F506" s="12" t="s">
        <v>490</v>
      </c>
      <c r="G506" s="12" t="s">
        <v>21</v>
      </c>
      <c r="H506" s="11" t="s">
        <v>63</v>
      </c>
      <c r="I506" s="13" t="s">
        <v>1493</v>
      </c>
      <c r="J506" s="14" t="str">
        <f>HYPERLINK("https://www.boe.es/gazeta/dias/1839/06/29/pdfs/GMD-1839-1687.pdf#page=4","Abrir facsímil")</f>
        <v>Abrir facsímil</v>
      </c>
      <c r="K506" s="12" t="s">
        <v>65</v>
      </c>
    </row>
    <row r="507" spans="1:11" ht="40.049999999999997" customHeight="1" x14ac:dyDescent="0.25">
      <c r="A507" s="11" t="s">
        <v>1482</v>
      </c>
      <c r="B507" s="11" t="s">
        <v>1482</v>
      </c>
      <c r="C507" s="11" t="s">
        <v>137</v>
      </c>
      <c r="D507" s="11" t="s">
        <v>18</v>
      </c>
      <c r="E507" s="12" t="s">
        <v>355</v>
      </c>
      <c r="F507" s="12" t="s">
        <v>356</v>
      </c>
      <c r="G507" s="12" t="s">
        <v>21</v>
      </c>
      <c r="H507" s="11" t="s">
        <v>63</v>
      </c>
      <c r="I507" s="13" t="s">
        <v>1494</v>
      </c>
      <c r="J507" s="14" t="str">
        <f>HYPERLINK("https://www.boe.es/gazeta/dias/1839/05/31/pdfs/GMD-1839-1658.pdf#page=4","Abrir facsímil")</f>
        <v>Abrir facsímil</v>
      </c>
      <c r="K507" s="12" t="s">
        <v>65</v>
      </c>
    </row>
    <row r="508" spans="1:11" ht="40.049999999999997" customHeight="1" x14ac:dyDescent="0.25">
      <c r="A508" s="11" t="s">
        <v>1495</v>
      </c>
      <c r="B508" s="11" t="s">
        <v>1496</v>
      </c>
      <c r="C508" s="11" t="s">
        <v>137</v>
      </c>
      <c r="D508" s="11" t="s">
        <v>18</v>
      </c>
      <c r="E508" s="12" t="s">
        <v>1497</v>
      </c>
      <c r="F508" s="12" t="s">
        <v>1498</v>
      </c>
      <c r="G508" s="12" t="s">
        <v>21</v>
      </c>
      <c r="H508" s="11" t="s">
        <v>63</v>
      </c>
      <c r="I508" s="13" t="s">
        <v>1499</v>
      </c>
      <c r="J508" s="14" t="str">
        <f>HYPERLINK("https://www.boe.es/gazeta/dias/1839/08/23/pdfs/GMD-1839-1744.pdf#page=4","Abrir facsímil")</f>
        <v>Abrir facsímil</v>
      </c>
      <c r="K508" s="12" t="s">
        <v>65</v>
      </c>
    </row>
    <row r="509" spans="1:11" ht="40.049999999999997" customHeight="1" x14ac:dyDescent="0.25">
      <c r="A509" s="11" t="s">
        <v>1500</v>
      </c>
      <c r="B509" s="11" t="s">
        <v>1501</v>
      </c>
      <c r="C509" s="11" t="s">
        <v>101</v>
      </c>
      <c r="D509" s="11" t="s">
        <v>43</v>
      </c>
      <c r="E509" s="12" t="s">
        <v>723</v>
      </c>
      <c r="F509" s="12" t="s">
        <v>724</v>
      </c>
      <c r="G509" s="12" t="s">
        <v>40</v>
      </c>
      <c r="H509" s="11" t="s">
        <v>63</v>
      </c>
      <c r="I509" s="13" t="s">
        <v>1502</v>
      </c>
      <c r="J509" s="14" t="str">
        <f>HYPERLINK("https://www.boe.es/gazeta/dias/1839/09/26/pdfs/GMD-1839-1782.pdf#page=2","Abrir facsímil")</f>
        <v>Abrir facsímil</v>
      </c>
      <c r="K509" s="12" t="s">
        <v>65</v>
      </c>
    </row>
    <row r="510" spans="1:11" ht="40.049999999999997" customHeight="1" x14ac:dyDescent="0.25">
      <c r="A510" s="11" t="s">
        <v>1503</v>
      </c>
      <c r="B510" s="11" t="s">
        <v>1504</v>
      </c>
      <c r="C510" s="11" t="s">
        <v>80</v>
      </c>
      <c r="D510" s="11" t="s">
        <v>18</v>
      </c>
      <c r="E510" s="12" t="s">
        <v>736</v>
      </c>
      <c r="F510" s="12" t="s">
        <v>737</v>
      </c>
      <c r="G510" s="12" t="s">
        <v>21</v>
      </c>
      <c r="H510" s="11" t="s">
        <v>63</v>
      </c>
      <c r="I510" s="13" t="s">
        <v>1505</v>
      </c>
      <c r="J510" s="14" t="str">
        <f>HYPERLINK("https://www.boe.es/gazeta/dias/1839/10/13/pdfs/GMD-1839-1799.pdf#page=4","Abrir facsímil")</f>
        <v>Abrir facsímil</v>
      </c>
      <c r="K510" s="12" t="s">
        <v>65</v>
      </c>
    </row>
    <row r="511" spans="1:11" ht="40.049999999999997" customHeight="1" x14ac:dyDescent="0.25">
      <c r="A511" s="11" t="s">
        <v>1506</v>
      </c>
      <c r="B511" s="11" t="s">
        <v>1506</v>
      </c>
      <c r="C511" s="11" t="s">
        <v>80</v>
      </c>
      <c r="D511" s="11" t="s">
        <v>18</v>
      </c>
      <c r="E511" s="12" t="s">
        <v>1183</v>
      </c>
      <c r="F511" s="12" t="s">
        <v>1184</v>
      </c>
      <c r="G511" s="12" t="s">
        <v>21</v>
      </c>
      <c r="H511" s="11" t="s">
        <v>63</v>
      </c>
      <c r="I511" s="13" t="s">
        <v>1507</v>
      </c>
      <c r="J511" s="14" t="str">
        <f>HYPERLINK("https://www.boe.es/gazeta/dias/1839/07/26/pdfs/GMD-1839-1715.pdf#page=4","Abrir facsímil")</f>
        <v>Abrir facsímil</v>
      </c>
      <c r="K511" s="12" t="s">
        <v>65</v>
      </c>
    </row>
    <row r="512" spans="1:11" ht="40.049999999999997" customHeight="1" x14ac:dyDescent="0.25">
      <c r="A512" s="11" t="s">
        <v>1508</v>
      </c>
      <c r="B512" s="11" t="s">
        <v>1508</v>
      </c>
      <c r="C512" s="11" t="s">
        <v>137</v>
      </c>
      <c r="D512" s="11" t="s">
        <v>18</v>
      </c>
      <c r="E512" s="12" t="s">
        <v>1509</v>
      </c>
      <c r="F512" s="12" t="s">
        <v>1510</v>
      </c>
      <c r="G512" s="12" t="s">
        <v>305</v>
      </c>
      <c r="H512" s="11" t="s">
        <v>63</v>
      </c>
      <c r="I512" s="13" t="s">
        <v>1511</v>
      </c>
      <c r="J512" s="14" t="str">
        <f>HYPERLINK("https://www.boe.es/gazeta/dias/1839/10/07/pdfs/GMD-1839-1793.pdf#page=6","Abrir facsímil")</f>
        <v>Abrir facsímil</v>
      </c>
      <c r="K512" s="12" t="s">
        <v>65</v>
      </c>
    </row>
    <row r="513" spans="1:11" ht="40.049999999999997" customHeight="1" x14ac:dyDescent="0.25">
      <c r="A513" s="11" t="s">
        <v>1508</v>
      </c>
      <c r="B513" s="11" t="s">
        <v>1508</v>
      </c>
      <c r="C513" s="11" t="s">
        <v>80</v>
      </c>
      <c r="D513" s="11" t="s">
        <v>18</v>
      </c>
      <c r="E513" s="12" t="s">
        <v>1512</v>
      </c>
      <c r="F513" s="12" t="s">
        <v>1513</v>
      </c>
      <c r="G513" s="12" t="s">
        <v>21</v>
      </c>
      <c r="H513" s="11" t="s">
        <v>63</v>
      </c>
      <c r="I513" s="13" t="s">
        <v>1514</v>
      </c>
      <c r="J513" s="14" t="str">
        <f>HYPERLINK("https://www.boe.es/gazeta/dias/1839/04/13/pdfs/GMD-1839-1610.pdf#page=4","Abrir facsímil")</f>
        <v>Abrir facsímil</v>
      </c>
      <c r="K513" s="12" t="s">
        <v>65</v>
      </c>
    </row>
    <row r="514" spans="1:11" ht="40.049999999999997" customHeight="1" x14ac:dyDescent="0.25">
      <c r="A514" s="11" t="s">
        <v>1508</v>
      </c>
      <c r="B514" s="11" t="s">
        <v>1508</v>
      </c>
      <c r="C514" s="11" t="s">
        <v>17</v>
      </c>
      <c r="D514" s="11" t="s">
        <v>18</v>
      </c>
      <c r="E514" s="12" t="s">
        <v>230</v>
      </c>
      <c r="F514" s="12" t="s">
        <v>231</v>
      </c>
      <c r="G514" s="12" t="s">
        <v>21</v>
      </c>
      <c r="H514" s="11" t="s">
        <v>63</v>
      </c>
      <c r="I514" s="13" t="s">
        <v>1515</v>
      </c>
      <c r="J514" s="14" t="str">
        <f>HYPERLINK("https://www.boe.es/gazeta/dias/1839/09/16/pdfs/GMD-1839-1769.pdf#page=4","Abrir facsímil")</f>
        <v>Abrir facsímil</v>
      </c>
      <c r="K514" s="12" t="s">
        <v>65</v>
      </c>
    </row>
    <row r="515" spans="1:11" ht="40.049999999999997" customHeight="1" x14ac:dyDescent="0.25">
      <c r="A515" s="11" t="s">
        <v>1508</v>
      </c>
      <c r="B515" s="11" t="s">
        <v>1508</v>
      </c>
      <c r="C515" s="11" t="s">
        <v>17</v>
      </c>
      <c r="D515" s="11" t="s">
        <v>18</v>
      </c>
      <c r="E515" s="12" t="s">
        <v>564</v>
      </c>
      <c r="F515" s="12" t="s">
        <v>565</v>
      </c>
      <c r="G515" s="12" t="s">
        <v>305</v>
      </c>
      <c r="H515" s="11" t="s">
        <v>63</v>
      </c>
      <c r="I515" s="13" t="s">
        <v>1516</v>
      </c>
      <c r="J515" s="14" t="str">
        <f>HYPERLINK("https://www.boe.es/gazeta/dias/1839/10/17/pdfs/GMD-1839-1803.pdf#page=6","Abrir facsímil")</f>
        <v>Abrir facsímil</v>
      </c>
      <c r="K515" s="12" t="s">
        <v>65</v>
      </c>
    </row>
    <row r="516" spans="1:11" ht="40.049999999999997" customHeight="1" x14ac:dyDescent="0.25">
      <c r="A516" s="11" t="s">
        <v>1508</v>
      </c>
      <c r="B516" s="11" t="s">
        <v>1508</v>
      </c>
      <c r="C516" s="11" t="s">
        <v>17</v>
      </c>
      <c r="D516" s="11" t="s">
        <v>18</v>
      </c>
      <c r="E516" s="12" t="s">
        <v>1517</v>
      </c>
      <c r="F516" s="12" t="s">
        <v>1518</v>
      </c>
      <c r="G516" s="12" t="s">
        <v>21</v>
      </c>
      <c r="H516" s="11" t="s">
        <v>63</v>
      </c>
      <c r="I516" s="13" t="s">
        <v>1519</v>
      </c>
      <c r="J516" s="14" t="str">
        <f>HYPERLINK("https://www.boe.es/gazeta/dias/1839/12/20/pdfs/GMD-1839-1867.pdf#page=4","Abrir facsímil")</f>
        <v>Abrir facsímil</v>
      </c>
      <c r="K516" s="12" t="s">
        <v>65</v>
      </c>
    </row>
    <row r="517" spans="1:11" ht="40.049999999999997" customHeight="1" x14ac:dyDescent="0.25">
      <c r="A517" s="11" t="s">
        <v>1508</v>
      </c>
      <c r="B517" s="11" t="s">
        <v>1508</v>
      </c>
      <c r="C517" s="11" t="s">
        <v>17</v>
      </c>
      <c r="D517" s="11" t="s">
        <v>18</v>
      </c>
      <c r="E517" s="12" t="s">
        <v>1520</v>
      </c>
      <c r="F517" s="12" t="s">
        <v>1521</v>
      </c>
      <c r="G517" s="12" t="s">
        <v>46</v>
      </c>
      <c r="H517" s="11" t="s">
        <v>63</v>
      </c>
      <c r="I517" s="13" t="s">
        <v>1522</v>
      </c>
      <c r="J517" s="14" t="str">
        <f>HYPERLINK("https://www.boe.es/gazeta/dias/1839/12/27/pdfs/GMD-1839-1874.pdf#page=3","Abrir facsímil")</f>
        <v>Abrir facsímil</v>
      </c>
      <c r="K517" s="12" t="s">
        <v>65</v>
      </c>
    </row>
    <row r="518" spans="1:11" ht="40.049999999999997" customHeight="1" x14ac:dyDescent="0.25">
      <c r="A518" s="11" t="s">
        <v>1508</v>
      </c>
      <c r="B518" s="11" t="s">
        <v>1508</v>
      </c>
      <c r="C518" s="11" t="s">
        <v>137</v>
      </c>
      <c r="D518" s="11" t="s">
        <v>18</v>
      </c>
      <c r="E518" s="12" t="s">
        <v>1523</v>
      </c>
      <c r="F518" s="12" t="s">
        <v>1524</v>
      </c>
      <c r="G518" s="12" t="s">
        <v>21</v>
      </c>
      <c r="H518" s="11" t="s">
        <v>63</v>
      </c>
      <c r="I518" s="13" t="s">
        <v>1525</v>
      </c>
      <c r="J518" s="14" t="str">
        <f>HYPERLINK("https://www.boe.es/gazeta/dias/1839/08/29/pdfs/GMD-1839-1750.pdf#page=4","Abrir facsímil")</f>
        <v>Abrir facsímil</v>
      </c>
      <c r="K518" s="12" t="s">
        <v>65</v>
      </c>
    </row>
    <row r="519" spans="1:11" ht="40.049999999999997" customHeight="1" x14ac:dyDescent="0.25">
      <c r="A519" s="11" t="s">
        <v>1526</v>
      </c>
      <c r="B519" s="11" t="s">
        <v>1527</v>
      </c>
      <c r="C519" s="11" t="s">
        <v>17</v>
      </c>
      <c r="D519" s="11" t="s">
        <v>18</v>
      </c>
      <c r="E519" s="12" t="s">
        <v>1528</v>
      </c>
      <c r="F519" s="12" t="s">
        <v>1529</v>
      </c>
      <c r="G519" s="12" t="s">
        <v>21</v>
      </c>
      <c r="H519" s="11" t="s">
        <v>22</v>
      </c>
      <c r="I519" s="13" t="s">
        <v>1530</v>
      </c>
      <c r="J519" s="14" t="str">
        <f>HYPERLINK("https://www.boe.es/gazeta/dias/1839/12/15/pdfs/GMD-1839-1862.pdf#page=4","Abrir facsímil")</f>
        <v>Abrir facsímil</v>
      </c>
      <c r="K519" s="12" t="s">
        <v>24</v>
      </c>
    </row>
    <row r="520" spans="1:11" ht="40.049999999999997" customHeight="1" x14ac:dyDescent="0.25">
      <c r="A520" s="11" t="s">
        <v>1531</v>
      </c>
      <c r="B520" s="11" t="s">
        <v>1532</v>
      </c>
      <c r="C520" s="11" t="s">
        <v>137</v>
      </c>
      <c r="D520" s="11" t="s">
        <v>18</v>
      </c>
      <c r="E520" s="12" t="s">
        <v>1144</v>
      </c>
      <c r="F520" s="12" t="s">
        <v>1145</v>
      </c>
      <c r="G520" s="12" t="s">
        <v>40</v>
      </c>
      <c r="H520" s="11" t="s">
        <v>63</v>
      </c>
      <c r="I520" s="13" t="s">
        <v>1533</v>
      </c>
      <c r="J520" s="14" t="str">
        <f>HYPERLINK("https://www.boe.es/gazeta/dias/1839/08/13/pdfs/GMD-1839-1733.pdf#page=2","Abrir facsímil")</f>
        <v>Abrir facsímil</v>
      </c>
      <c r="K520" s="12" t="s">
        <v>65</v>
      </c>
    </row>
    <row r="521" spans="1:11" ht="40.049999999999997" customHeight="1" x14ac:dyDescent="0.25">
      <c r="A521" s="11" t="s">
        <v>1534</v>
      </c>
      <c r="B521" s="11" t="s">
        <v>1534</v>
      </c>
      <c r="C521" s="11" t="s">
        <v>59</v>
      </c>
      <c r="D521" s="11" t="s">
        <v>60</v>
      </c>
      <c r="E521" s="12" t="s">
        <v>212</v>
      </c>
      <c r="F521" s="12" t="s">
        <v>213</v>
      </c>
      <c r="G521" s="12" t="s">
        <v>40</v>
      </c>
      <c r="H521" s="11" t="s">
        <v>63</v>
      </c>
      <c r="I521" s="13" t="s">
        <v>1535</v>
      </c>
      <c r="J521" s="14" t="str">
        <f>HYPERLINK("https://www.boe.es/gazeta/dias/1839/10/03/pdfs/GMD-1839-1789.pdf#page=2","Abrir facsímil")</f>
        <v>Abrir facsímil</v>
      </c>
      <c r="K521" s="12" t="s">
        <v>65</v>
      </c>
    </row>
    <row r="522" spans="1:11" ht="40.049999999999997" customHeight="1" x14ac:dyDescent="0.25">
      <c r="A522" s="11" t="s">
        <v>1536</v>
      </c>
      <c r="B522" s="11" t="s">
        <v>1536</v>
      </c>
      <c r="C522" s="11" t="s">
        <v>17</v>
      </c>
      <c r="D522" s="11" t="s">
        <v>18</v>
      </c>
      <c r="E522" s="12" t="s">
        <v>1537</v>
      </c>
      <c r="F522" s="12" t="s">
        <v>1538</v>
      </c>
      <c r="G522" s="12" t="s">
        <v>29</v>
      </c>
      <c r="H522" s="11" t="s">
        <v>63</v>
      </c>
      <c r="I522" s="13" t="s">
        <v>1539</v>
      </c>
      <c r="J522" s="14" t="str">
        <f>HYPERLINK("https://www.boe.es/gazeta/dias/1839/12/16/pdfs/GMD-1839-1863.pdf#page=1","Abrir facsímil")</f>
        <v>Abrir facsímil</v>
      </c>
      <c r="K522" s="12" t="s">
        <v>65</v>
      </c>
    </row>
    <row r="523" spans="1:11" ht="40.049999999999997" customHeight="1" x14ac:dyDescent="0.25">
      <c r="A523" s="11" t="s">
        <v>1540</v>
      </c>
      <c r="B523" s="11" t="s">
        <v>1541</v>
      </c>
      <c r="C523" s="11" t="s">
        <v>80</v>
      </c>
      <c r="D523" s="11" t="s">
        <v>18</v>
      </c>
      <c r="E523" s="12" t="s">
        <v>138</v>
      </c>
      <c r="F523" s="12" t="s">
        <v>139</v>
      </c>
      <c r="G523" s="12" t="s">
        <v>46</v>
      </c>
      <c r="H523" s="11" t="s">
        <v>63</v>
      </c>
      <c r="I523" s="13" t="s">
        <v>1542</v>
      </c>
      <c r="J523" s="14" t="str">
        <f>HYPERLINK("https://www.boe.es/gazeta/dias/1839/10/09/pdfs/GMD-1839-1795.pdf#page=3","Abrir facsímil")</f>
        <v>Abrir facsímil</v>
      </c>
      <c r="K523" s="12" t="s">
        <v>65</v>
      </c>
    </row>
    <row r="524" spans="1:11" ht="40.049999999999997" customHeight="1" x14ac:dyDescent="0.25">
      <c r="A524" s="11" t="s">
        <v>1543</v>
      </c>
      <c r="B524" s="11" t="s">
        <v>1543</v>
      </c>
      <c r="C524" s="11" t="s">
        <v>137</v>
      </c>
      <c r="D524" s="11" t="s">
        <v>18</v>
      </c>
      <c r="E524" s="12" t="s">
        <v>76</v>
      </c>
      <c r="F524" s="12" t="s">
        <v>77</v>
      </c>
      <c r="G524" s="12" t="s">
        <v>29</v>
      </c>
      <c r="H524" s="11" t="s">
        <v>63</v>
      </c>
      <c r="I524" s="13" t="s">
        <v>1544</v>
      </c>
      <c r="J524" s="14" t="str">
        <f>HYPERLINK("https://www.boe.es/gazeta/dias/1839/03/13/pdfs/GMD-1839-1579.pdf#page=1","Abrir facsímil")</f>
        <v>Abrir facsímil</v>
      </c>
      <c r="K524" s="12" t="s">
        <v>65</v>
      </c>
    </row>
    <row r="525" spans="1:11" ht="40.049999999999997" customHeight="1" x14ac:dyDescent="0.25">
      <c r="A525" s="11" t="s">
        <v>1545</v>
      </c>
      <c r="B525" s="11" t="s">
        <v>1545</v>
      </c>
      <c r="C525" s="11" t="s">
        <v>59</v>
      </c>
      <c r="D525" s="11" t="s">
        <v>60</v>
      </c>
      <c r="E525" s="12" t="s">
        <v>1388</v>
      </c>
      <c r="F525" s="12" t="s">
        <v>1389</v>
      </c>
      <c r="G525" s="12" t="s">
        <v>29</v>
      </c>
      <c r="H525" s="11" t="s">
        <v>63</v>
      </c>
      <c r="I525" s="13" t="s">
        <v>1546</v>
      </c>
      <c r="J525" s="14" t="str">
        <f>HYPERLINK("https://www.boe.es/gazeta/dias/1839/06/04/pdfs/GMD-1839-1662.pdf#page=1","Abrir facsímil")</f>
        <v>Abrir facsímil</v>
      </c>
      <c r="K525" s="12" t="s">
        <v>65</v>
      </c>
    </row>
    <row r="526" spans="1:11" ht="40.049999999999997" customHeight="1" x14ac:dyDescent="0.25">
      <c r="A526" s="11" t="s">
        <v>1547</v>
      </c>
      <c r="B526" s="11" t="s">
        <v>1548</v>
      </c>
      <c r="C526" s="11" t="s">
        <v>59</v>
      </c>
      <c r="D526" s="11" t="s">
        <v>60</v>
      </c>
      <c r="E526" s="12" t="s">
        <v>1388</v>
      </c>
      <c r="F526" s="12" t="s">
        <v>1389</v>
      </c>
      <c r="G526" s="12" t="s">
        <v>29</v>
      </c>
      <c r="H526" s="11" t="s">
        <v>22</v>
      </c>
      <c r="I526" s="13" t="s">
        <v>1549</v>
      </c>
      <c r="J526" s="14" t="str">
        <f>HYPERLINK("https://www.boe.es/gazeta/dias/1839/06/04/pdfs/GMD-1839-1662.pdf#page=1","Abrir facsímil")</f>
        <v>Abrir facsímil</v>
      </c>
      <c r="K526" s="12" t="s">
        <v>24</v>
      </c>
    </row>
    <row r="527" spans="1:11" ht="40.049999999999997" customHeight="1" x14ac:dyDescent="0.25">
      <c r="A527" s="11" t="s">
        <v>1550</v>
      </c>
      <c r="B527" s="11" t="s">
        <v>1550</v>
      </c>
      <c r="C527" s="11" t="s">
        <v>17</v>
      </c>
      <c r="D527" s="11" t="s">
        <v>18</v>
      </c>
      <c r="E527" s="12" t="s">
        <v>1551</v>
      </c>
      <c r="F527" s="12" t="s">
        <v>1552</v>
      </c>
      <c r="G527" s="12" t="s">
        <v>29</v>
      </c>
      <c r="H527" s="11" t="s">
        <v>63</v>
      </c>
      <c r="I527" s="13" t="s">
        <v>1553</v>
      </c>
      <c r="J527" s="14" t="str">
        <f>HYPERLINK("https://www.boe.es/gazeta/dias/1839/06/30/pdfs/GMD-1839-1688.pdf#page=1","Abrir facsímil")</f>
        <v>Abrir facsímil</v>
      </c>
      <c r="K527" s="12" t="s">
        <v>65</v>
      </c>
    </row>
    <row r="528" spans="1:11" ht="40.049999999999997" customHeight="1" x14ac:dyDescent="0.25">
      <c r="A528" s="11" t="s">
        <v>1554</v>
      </c>
      <c r="B528" s="11" t="s">
        <v>1554</v>
      </c>
      <c r="C528" s="11" t="s">
        <v>17</v>
      </c>
      <c r="D528" s="11" t="s">
        <v>18</v>
      </c>
      <c r="E528" s="12" t="s">
        <v>1336</v>
      </c>
      <c r="F528" s="12" t="s">
        <v>1337</v>
      </c>
      <c r="G528" s="12" t="s">
        <v>40</v>
      </c>
      <c r="H528" s="11" t="s">
        <v>22</v>
      </c>
      <c r="I528" s="13" t="s">
        <v>1555</v>
      </c>
      <c r="J528" s="14" t="str">
        <f>HYPERLINK("https://www.boe.es/gazeta/dias/1839/02/26/pdfs/GMD-1839-1564.pdf#page=2","Abrir facsímil")</f>
        <v>Abrir facsímil</v>
      </c>
      <c r="K528" s="12" t="s">
        <v>24</v>
      </c>
    </row>
    <row r="529" spans="1:11" ht="40.049999999999997" customHeight="1" x14ac:dyDescent="0.25">
      <c r="A529" s="11" t="s">
        <v>1556</v>
      </c>
      <c r="B529" s="11" t="s">
        <v>1556</v>
      </c>
      <c r="C529" s="11" t="s">
        <v>17</v>
      </c>
      <c r="D529" s="11" t="s">
        <v>18</v>
      </c>
      <c r="E529" s="12" t="s">
        <v>1144</v>
      </c>
      <c r="F529" s="12" t="s">
        <v>1145</v>
      </c>
      <c r="G529" s="12" t="s">
        <v>40</v>
      </c>
      <c r="H529" s="11" t="s">
        <v>63</v>
      </c>
      <c r="I529" s="13" t="s">
        <v>1557</v>
      </c>
      <c r="J529" s="14" t="str">
        <f>HYPERLINK("https://www.boe.es/gazeta/dias/1839/08/13/pdfs/GMD-1839-1733.pdf#page=2","Abrir facsímil")</f>
        <v>Abrir facsímil</v>
      </c>
      <c r="K529" s="12" t="s">
        <v>65</v>
      </c>
    </row>
    <row r="530" spans="1:11" ht="40.049999999999997" customHeight="1" x14ac:dyDescent="0.25">
      <c r="A530" s="11" t="s">
        <v>1558</v>
      </c>
      <c r="B530" s="11" t="s">
        <v>1559</v>
      </c>
      <c r="C530" s="11" t="s">
        <v>59</v>
      </c>
      <c r="D530" s="11" t="s">
        <v>60</v>
      </c>
      <c r="E530" s="12" t="s">
        <v>527</v>
      </c>
      <c r="F530" s="12" t="s">
        <v>528</v>
      </c>
      <c r="G530" s="12" t="s">
        <v>29</v>
      </c>
      <c r="H530" s="11" t="s">
        <v>63</v>
      </c>
      <c r="I530" s="13" t="s">
        <v>1560</v>
      </c>
      <c r="J530" s="14" t="str">
        <f>HYPERLINK("https://www.boe.es/gazeta/dias/1839/07/10/pdfs/GMD-1839-1698.pdf#page=1","Abrir facsímil")</f>
        <v>Abrir facsímil</v>
      </c>
      <c r="K530" s="12" t="s">
        <v>65</v>
      </c>
    </row>
    <row r="531" spans="1:11" ht="40.049999999999997" customHeight="1" x14ac:dyDescent="0.25">
      <c r="A531" s="11" t="s">
        <v>1561</v>
      </c>
      <c r="B531" s="11" t="s">
        <v>1561</v>
      </c>
      <c r="C531" s="11" t="s">
        <v>17</v>
      </c>
      <c r="D531" s="11" t="s">
        <v>18</v>
      </c>
      <c r="E531" s="12" t="s">
        <v>1562</v>
      </c>
      <c r="F531" s="12" t="s">
        <v>1563</v>
      </c>
      <c r="G531" s="12" t="s">
        <v>46</v>
      </c>
      <c r="H531" s="11" t="s">
        <v>63</v>
      </c>
      <c r="I531" s="13" t="s">
        <v>1564</v>
      </c>
      <c r="J531" s="14" t="str">
        <f>HYPERLINK("https://www.boe.es/gazeta/dias/1839/04/08/pdfs/GMD-1839-1605.pdf#page=3","Abrir facsímil")</f>
        <v>Abrir facsímil</v>
      </c>
      <c r="K531" s="12" t="s">
        <v>65</v>
      </c>
    </row>
    <row r="532" spans="1:11" ht="40.049999999999997" customHeight="1" x14ac:dyDescent="0.25">
      <c r="A532" s="11" t="s">
        <v>1561</v>
      </c>
      <c r="B532" s="11" t="s">
        <v>1561</v>
      </c>
      <c r="C532" s="11" t="s">
        <v>59</v>
      </c>
      <c r="D532" s="11" t="s">
        <v>60</v>
      </c>
      <c r="E532" s="12" t="s">
        <v>1565</v>
      </c>
      <c r="F532" s="12" t="s">
        <v>1566</v>
      </c>
      <c r="G532" s="12" t="s">
        <v>21</v>
      </c>
      <c r="H532" s="11" t="s">
        <v>63</v>
      </c>
      <c r="I532" s="13" t="s">
        <v>1567</v>
      </c>
      <c r="J532" s="14" t="str">
        <f>HYPERLINK("https://www.boe.es/gazeta/dias/1839/06/17/pdfs/GMD-1839-1675.pdf#page=4","Abrir facsímil")</f>
        <v>Abrir facsímil</v>
      </c>
      <c r="K532" s="12" t="s">
        <v>65</v>
      </c>
    </row>
    <row r="533" spans="1:11" ht="40.049999999999997" customHeight="1" x14ac:dyDescent="0.25">
      <c r="A533" s="11" t="s">
        <v>1568</v>
      </c>
      <c r="B533" s="11" t="s">
        <v>1569</v>
      </c>
      <c r="C533" s="11" t="s">
        <v>17</v>
      </c>
      <c r="D533" s="11" t="s">
        <v>18</v>
      </c>
      <c r="E533" s="12" t="s">
        <v>1414</v>
      </c>
      <c r="F533" s="12" t="s">
        <v>1415</v>
      </c>
      <c r="G533" s="12" t="s">
        <v>40</v>
      </c>
      <c r="H533" s="11" t="s">
        <v>63</v>
      </c>
      <c r="I533" s="13" t="s">
        <v>1570</v>
      </c>
      <c r="J533" s="14" t="str">
        <f>HYPERLINK("https://www.boe.es/gazeta/dias/1839/06/12/pdfs/GMD-1839-1670.pdf#page=2","Abrir facsímil")</f>
        <v>Abrir facsímil</v>
      </c>
      <c r="K533" s="12" t="s">
        <v>65</v>
      </c>
    </row>
    <row r="534" spans="1:11" ht="40.049999999999997" customHeight="1" x14ac:dyDescent="0.25">
      <c r="A534" s="11" t="s">
        <v>1571</v>
      </c>
      <c r="B534" s="11" t="s">
        <v>1572</v>
      </c>
      <c r="C534" s="11" t="s">
        <v>17</v>
      </c>
      <c r="D534" s="11" t="s">
        <v>18</v>
      </c>
      <c r="E534" s="12" t="s">
        <v>1183</v>
      </c>
      <c r="F534" s="12" t="s">
        <v>1184</v>
      </c>
      <c r="G534" s="12" t="s">
        <v>21</v>
      </c>
      <c r="H534" s="11" t="s">
        <v>63</v>
      </c>
      <c r="I534" s="13" t="s">
        <v>1573</v>
      </c>
      <c r="J534" s="14" t="str">
        <f>HYPERLINK("https://www.boe.es/gazeta/dias/1839/07/26/pdfs/GMD-1839-1715.pdf#page=4","Abrir facsímil")</f>
        <v>Abrir facsímil</v>
      </c>
      <c r="K534" s="12" t="s">
        <v>65</v>
      </c>
    </row>
    <row r="535" spans="1:11" ht="40.049999999999997" customHeight="1" x14ac:dyDescent="0.25">
      <c r="A535" s="11" t="s">
        <v>1574</v>
      </c>
      <c r="B535" s="11" t="s">
        <v>1574</v>
      </c>
      <c r="C535" s="11" t="s">
        <v>17</v>
      </c>
      <c r="D535" s="11" t="s">
        <v>18</v>
      </c>
      <c r="E535" s="12" t="s">
        <v>239</v>
      </c>
      <c r="F535" s="12" t="s">
        <v>240</v>
      </c>
      <c r="G535" s="12" t="s">
        <v>29</v>
      </c>
      <c r="H535" s="11" t="s">
        <v>63</v>
      </c>
      <c r="I535" s="13" t="s">
        <v>1575</v>
      </c>
      <c r="J535" s="14" t="str">
        <f>HYPERLINK("https://www.boe.es/gazeta/dias/1839/09/22/pdfs/GMD-1839-1777.pdf#page=1","Abrir facsímil")</f>
        <v>Abrir facsímil</v>
      </c>
      <c r="K535" s="12" t="s">
        <v>65</v>
      </c>
    </row>
    <row r="536" spans="1:11" ht="40.049999999999997" customHeight="1" x14ac:dyDescent="0.25">
      <c r="A536" s="11" t="s">
        <v>1576</v>
      </c>
      <c r="B536" s="11" t="s">
        <v>1577</v>
      </c>
      <c r="C536" s="11" t="s">
        <v>80</v>
      </c>
      <c r="D536" s="11" t="s">
        <v>18</v>
      </c>
      <c r="E536" s="12" t="s">
        <v>116</v>
      </c>
      <c r="F536" s="12" t="s">
        <v>117</v>
      </c>
      <c r="G536" s="12" t="s">
        <v>46</v>
      </c>
      <c r="H536" s="11" t="s">
        <v>63</v>
      </c>
      <c r="I536" s="13" t="s">
        <v>1578</v>
      </c>
      <c r="J536" s="14" t="str">
        <f>HYPERLINK("https://www.boe.es/gazeta/dias/1839/10/10/pdfs/GMD-1839-1796.pdf#page=3","Abrir facsímil")</f>
        <v>Abrir facsímil</v>
      </c>
      <c r="K536" s="12" t="s">
        <v>65</v>
      </c>
    </row>
    <row r="537" spans="1:11" ht="40.049999999999997" customHeight="1" x14ac:dyDescent="0.25">
      <c r="A537" s="11" t="s">
        <v>1576</v>
      </c>
      <c r="B537" s="11" t="s">
        <v>1577</v>
      </c>
      <c r="C537" s="11" t="s">
        <v>80</v>
      </c>
      <c r="D537" s="11" t="s">
        <v>18</v>
      </c>
      <c r="E537" s="12" t="s">
        <v>621</v>
      </c>
      <c r="F537" s="12" t="s">
        <v>622</v>
      </c>
      <c r="G537" s="12" t="s">
        <v>29</v>
      </c>
      <c r="H537" s="11" t="s">
        <v>63</v>
      </c>
      <c r="I537" s="13" t="s">
        <v>1579</v>
      </c>
      <c r="J537" s="14" t="str">
        <f>HYPERLINK("https://www.boe.es/gazeta/dias/1839/04/14/pdfs/GMD-1839-1611.pdf#page=1","Abrir facsímil")</f>
        <v>Abrir facsímil</v>
      </c>
      <c r="K537" s="12" t="s">
        <v>65</v>
      </c>
    </row>
    <row r="538" spans="1:11" ht="40.049999999999997" customHeight="1" x14ac:dyDescent="0.25">
      <c r="A538" s="11" t="s">
        <v>1580</v>
      </c>
      <c r="B538" s="11" t="s">
        <v>1581</v>
      </c>
      <c r="C538" s="11" t="s">
        <v>80</v>
      </c>
      <c r="D538" s="11" t="s">
        <v>173</v>
      </c>
      <c r="E538" s="12" t="s">
        <v>202</v>
      </c>
      <c r="F538" s="12" t="s">
        <v>203</v>
      </c>
      <c r="G538" s="12" t="s">
        <v>40</v>
      </c>
      <c r="H538" s="11" t="s">
        <v>63</v>
      </c>
      <c r="I538" s="13" t="s">
        <v>1582</v>
      </c>
      <c r="J538" s="14" t="str">
        <f>HYPERLINK("https://www.boe.es/gazeta/dias/1839/04/05/pdfs/GMD-1839-1602.pdf#page=2","Abrir facsímil")</f>
        <v>Abrir facsímil</v>
      </c>
      <c r="K538" s="12" t="s">
        <v>65</v>
      </c>
    </row>
    <row r="539" spans="1:11" ht="40.049999999999997" customHeight="1" x14ac:dyDescent="0.25">
      <c r="A539" s="11" t="s">
        <v>1583</v>
      </c>
      <c r="B539" s="11" t="s">
        <v>1583</v>
      </c>
      <c r="C539" s="11" t="s">
        <v>17</v>
      </c>
      <c r="D539" s="11" t="s">
        <v>18</v>
      </c>
      <c r="E539" s="12" t="s">
        <v>1584</v>
      </c>
      <c r="F539" s="12" t="s">
        <v>1585</v>
      </c>
      <c r="G539" s="12" t="s">
        <v>46</v>
      </c>
      <c r="H539" s="11" t="s">
        <v>63</v>
      </c>
      <c r="I539" s="13" t="s">
        <v>1586</v>
      </c>
      <c r="J539" s="14" t="str">
        <f>HYPERLINK("https://www.boe.es/gazeta/dias/1839/11/20/pdfs/GMD-1839-1837.pdf#page=3","Abrir facsímil")</f>
        <v>Abrir facsímil</v>
      </c>
      <c r="K539" s="12" t="s">
        <v>65</v>
      </c>
    </row>
    <row r="540" spans="1:11" ht="40.049999999999997" customHeight="1" x14ac:dyDescent="0.25">
      <c r="A540" s="11" t="s">
        <v>1583</v>
      </c>
      <c r="B540" s="11" t="s">
        <v>1583</v>
      </c>
      <c r="C540" s="11" t="s">
        <v>137</v>
      </c>
      <c r="D540" s="11" t="s">
        <v>18</v>
      </c>
      <c r="E540" s="12" t="s">
        <v>857</v>
      </c>
      <c r="F540" s="12" t="s">
        <v>858</v>
      </c>
      <c r="G540" s="12" t="s">
        <v>21</v>
      </c>
      <c r="H540" s="11" t="s">
        <v>63</v>
      </c>
      <c r="I540" s="13" t="s">
        <v>1587</v>
      </c>
      <c r="J540" s="14" t="str">
        <f>HYPERLINK("https://www.boe.es/gazeta/dias/1839/11/21/pdfs/GMD-1839-1838.pdf#page=4","Abrir facsímil")</f>
        <v>Abrir facsímil</v>
      </c>
      <c r="K540" s="12" t="s">
        <v>65</v>
      </c>
    </row>
    <row r="541" spans="1:11" ht="40.049999999999997" customHeight="1" x14ac:dyDescent="0.25">
      <c r="A541" s="11" t="s">
        <v>1583</v>
      </c>
      <c r="B541" s="11" t="s">
        <v>1583</v>
      </c>
      <c r="C541" s="11" t="s">
        <v>80</v>
      </c>
      <c r="D541" s="11" t="s">
        <v>18</v>
      </c>
      <c r="E541" s="12" t="s">
        <v>1588</v>
      </c>
      <c r="F541" s="12" t="s">
        <v>1589</v>
      </c>
      <c r="G541" s="12" t="s">
        <v>40</v>
      </c>
      <c r="H541" s="11" t="s">
        <v>63</v>
      </c>
      <c r="I541" s="13" t="s">
        <v>1590</v>
      </c>
      <c r="J541" s="14" t="str">
        <f>HYPERLINK("https://www.boe.es/gazeta/dias/1839/07/27/pdfs/GMD-1839-1716.pdf#page=2","Abrir facsímil")</f>
        <v>Abrir facsímil</v>
      </c>
      <c r="K541" s="12" t="s">
        <v>65</v>
      </c>
    </row>
    <row r="542" spans="1:11" ht="40.049999999999997" customHeight="1" x14ac:dyDescent="0.25">
      <c r="A542" s="11" t="s">
        <v>1591</v>
      </c>
      <c r="B542" s="11" t="s">
        <v>1592</v>
      </c>
      <c r="C542" s="11" t="s">
        <v>101</v>
      </c>
      <c r="D542" s="11" t="s">
        <v>43</v>
      </c>
      <c r="E542" s="12" t="s">
        <v>352</v>
      </c>
      <c r="F542" s="12" t="s">
        <v>353</v>
      </c>
      <c r="G542" s="12" t="s">
        <v>29</v>
      </c>
      <c r="H542" s="11" t="s">
        <v>63</v>
      </c>
      <c r="I542" s="13" t="s">
        <v>1593</v>
      </c>
      <c r="J542" s="14" t="str">
        <f>HYPERLINK("https://www.boe.es/gazeta/dias/1839/03/30/pdfs/GMD-1839-1596.pdf#page=1","Abrir facsímil")</f>
        <v>Abrir facsímil</v>
      </c>
      <c r="K542" s="12" t="s">
        <v>65</v>
      </c>
    </row>
    <row r="543" spans="1:11" ht="40.049999999999997" customHeight="1" x14ac:dyDescent="0.25">
      <c r="A543" s="11" t="s">
        <v>1594</v>
      </c>
      <c r="B543" s="11" t="s">
        <v>1595</v>
      </c>
      <c r="C543" s="11" t="s">
        <v>101</v>
      </c>
      <c r="D543" s="11" t="s">
        <v>43</v>
      </c>
      <c r="E543" s="12" t="s">
        <v>700</v>
      </c>
      <c r="F543" s="12" t="s">
        <v>701</v>
      </c>
      <c r="G543" s="12" t="s">
        <v>29</v>
      </c>
      <c r="H543" s="11" t="s">
        <v>63</v>
      </c>
      <c r="I543" s="13" t="s">
        <v>1596</v>
      </c>
      <c r="J543" s="14" t="str">
        <f>HYPERLINK("https://www.boe.es/gazeta/dias/1839/09/01/pdfs/GMD-1839-1753.pdf#page=1","Abrir facsímil")</f>
        <v>Abrir facsímil</v>
      </c>
      <c r="K543" s="12" t="s">
        <v>65</v>
      </c>
    </row>
    <row r="544" spans="1:11" ht="40.049999999999997" customHeight="1" x14ac:dyDescent="0.25">
      <c r="A544" s="11" t="s">
        <v>1597</v>
      </c>
      <c r="B544" s="11" t="s">
        <v>1597</v>
      </c>
      <c r="C544" s="11" t="s">
        <v>17</v>
      </c>
      <c r="D544" s="11" t="s">
        <v>18</v>
      </c>
      <c r="E544" s="12" t="s">
        <v>1100</v>
      </c>
      <c r="F544" s="12" t="s">
        <v>1101</v>
      </c>
      <c r="G544" s="12" t="s">
        <v>21</v>
      </c>
      <c r="H544" s="11" t="s">
        <v>63</v>
      </c>
      <c r="I544" s="13" t="s">
        <v>1598</v>
      </c>
      <c r="J544" s="14" t="str">
        <f>HYPERLINK("https://www.boe.es/gazeta/dias/1839/09/13/pdfs/GMD-1839-1766.pdf#page=4","Abrir facsímil")</f>
        <v>Abrir facsímil</v>
      </c>
      <c r="K544" s="12" t="s">
        <v>65</v>
      </c>
    </row>
    <row r="545" spans="1:11" ht="40.049999999999997" customHeight="1" x14ac:dyDescent="0.25">
      <c r="A545" s="11" t="s">
        <v>1599</v>
      </c>
      <c r="B545" s="11" t="s">
        <v>1599</v>
      </c>
      <c r="C545" s="11" t="s">
        <v>17</v>
      </c>
      <c r="D545" s="11" t="s">
        <v>18</v>
      </c>
      <c r="E545" s="12" t="s">
        <v>700</v>
      </c>
      <c r="F545" s="12" t="s">
        <v>701</v>
      </c>
      <c r="G545" s="12" t="s">
        <v>40</v>
      </c>
      <c r="H545" s="11" t="s">
        <v>63</v>
      </c>
      <c r="I545" s="13" t="s">
        <v>1600</v>
      </c>
      <c r="J545" s="14" t="str">
        <f>HYPERLINK("https://www.boe.es/gazeta/dias/1839/09/01/pdfs/GMD-1839-1753.pdf#page=2","Abrir facsímil")</f>
        <v>Abrir facsímil</v>
      </c>
      <c r="K545" s="12" t="s">
        <v>65</v>
      </c>
    </row>
    <row r="546" spans="1:11" ht="40.049999999999997" customHeight="1" x14ac:dyDescent="0.25">
      <c r="A546" s="11" t="s">
        <v>1599</v>
      </c>
      <c r="B546" s="11" t="s">
        <v>1599</v>
      </c>
      <c r="C546" s="11" t="s">
        <v>17</v>
      </c>
      <c r="D546" s="11" t="s">
        <v>18</v>
      </c>
      <c r="E546" s="12" t="s">
        <v>258</v>
      </c>
      <c r="F546" s="12" t="s">
        <v>259</v>
      </c>
      <c r="G546" s="12" t="s">
        <v>40</v>
      </c>
      <c r="H546" s="11" t="s">
        <v>63</v>
      </c>
      <c r="I546" s="13" t="s">
        <v>1601</v>
      </c>
      <c r="J546" s="14" t="str">
        <f>HYPERLINK("https://www.boe.es/gazeta/dias/1839/01/02/pdfs/GMD-1839-1509.pdf#page=2","Abrir facsímil")</f>
        <v>Abrir facsímil</v>
      </c>
      <c r="K546" s="12" t="s">
        <v>65</v>
      </c>
    </row>
    <row r="547" spans="1:11" ht="40.049999999999997" customHeight="1" x14ac:dyDescent="0.25">
      <c r="A547" s="11" t="s">
        <v>1599</v>
      </c>
      <c r="B547" s="11" t="s">
        <v>1599</v>
      </c>
      <c r="C547" s="11" t="s">
        <v>59</v>
      </c>
      <c r="D547" s="11" t="s">
        <v>60</v>
      </c>
      <c r="E547" s="12" t="s">
        <v>154</v>
      </c>
      <c r="F547" s="12" t="s">
        <v>155</v>
      </c>
      <c r="G547" s="12" t="s">
        <v>21</v>
      </c>
      <c r="H547" s="11" t="s">
        <v>63</v>
      </c>
      <c r="I547" s="13" t="s">
        <v>1602</v>
      </c>
      <c r="J547" s="14" t="str">
        <f>HYPERLINK("https://www.boe.es/gazeta/dias/1839/02/02/pdfs/GMD-1839-1540.pdf#page=4","Abrir facsímil")</f>
        <v>Abrir facsímil</v>
      </c>
      <c r="K547" s="12" t="s">
        <v>65</v>
      </c>
    </row>
    <row r="548" spans="1:11" ht="40.049999999999997" customHeight="1" x14ac:dyDescent="0.25">
      <c r="A548" s="11" t="s">
        <v>1599</v>
      </c>
      <c r="B548" s="11" t="s">
        <v>1599</v>
      </c>
      <c r="C548" s="11" t="s">
        <v>80</v>
      </c>
      <c r="D548" s="11" t="s">
        <v>18</v>
      </c>
      <c r="E548" s="12" t="s">
        <v>704</v>
      </c>
      <c r="F548" s="12" t="s">
        <v>705</v>
      </c>
      <c r="G548" s="12" t="s">
        <v>29</v>
      </c>
      <c r="H548" s="11" t="s">
        <v>63</v>
      </c>
      <c r="I548" s="13" t="s">
        <v>1603</v>
      </c>
      <c r="J548" s="14" t="str">
        <f>HYPERLINK("https://www.boe.es/gazeta/dias/1839/03/02/pdfs/GMD-1839-1568.pdf#page=1","Abrir facsímil")</f>
        <v>Abrir facsímil</v>
      </c>
      <c r="K548" s="12" t="s">
        <v>65</v>
      </c>
    </row>
    <row r="549" spans="1:11" ht="40.049999999999997" customHeight="1" x14ac:dyDescent="0.25">
      <c r="A549" s="11" t="s">
        <v>1599</v>
      </c>
      <c r="B549" s="11" t="s">
        <v>1599</v>
      </c>
      <c r="C549" s="11" t="s">
        <v>59</v>
      </c>
      <c r="D549" s="11" t="s">
        <v>60</v>
      </c>
      <c r="E549" s="12" t="s">
        <v>704</v>
      </c>
      <c r="F549" s="12" t="s">
        <v>705</v>
      </c>
      <c r="G549" s="12" t="s">
        <v>46</v>
      </c>
      <c r="H549" s="11" t="s">
        <v>63</v>
      </c>
      <c r="I549" s="13" t="s">
        <v>1604</v>
      </c>
      <c r="J549" s="14" t="str">
        <f>HYPERLINK("https://www.boe.es/gazeta/dias/1839/03/02/pdfs/GMD-1839-1568.pdf#page=3","Abrir facsímil")</f>
        <v>Abrir facsímil</v>
      </c>
      <c r="K549" s="12" t="s">
        <v>65</v>
      </c>
    </row>
    <row r="550" spans="1:11" ht="40.049999999999997" customHeight="1" x14ac:dyDescent="0.25">
      <c r="A550" s="11" t="s">
        <v>1599</v>
      </c>
      <c r="B550" s="11" t="s">
        <v>1599</v>
      </c>
      <c r="C550" s="11" t="s">
        <v>101</v>
      </c>
      <c r="D550" s="11" t="s">
        <v>43</v>
      </c>
      <c r="E550" s="12" t="s">
        <v>587</v>
      </c>
      <c r="F550" s="12" t="s">
        <v>588</v>
      </c>
      <c r="G550" s="12" t="s">
        <v>21</v>
      </c>
      <c r="H550" s="11" t="s">
        <v>63</v>
      </c>
      <c r="I550" s="13" t="s">
        <v>1605</v>
      </c>
      <c r="J550" s="14" t="str">
        <f>HYPERLINK("https://www.boe.es/gazeta/dias/1839/05/02/pdfs/GMD-1839-1629.pdf#page=4","Abrir facsímil")</f>
        <v>Abrir facsímil</v>
      </c>
      <c r="K550" s="12" t="s">
        <v>65</v>
      </c>
    </row>
    <row r="551" spans="1:11" ht="40.049999999999997" customHeight="1" x14ac:dyDescent="0.25">
      <c r="A551" s="11" t="s">
        <v>1599</v>
      </c>
      <c r="B551" s="11" t="s">
        <v>1599</v>
      </c>
      <c r="C551" s="11" t="s">
        <v>59</v>
      </c>
      <c r="D551" s="11" t="s">
        <v>60</v>
      </c>
      <c r="E551" s="12" t="s">
        <v>1606</v>
      </c>
      <c r="F551" s="12" t="s">
        <v>1607</v>
      </c>
      <c r="G551" s="12" t="s">
        <v>21</v>
      </c>
      <c r="H551" s="11" t="s">
        <v>63</v>
      </c>
      <c r="I551" s="13" t="s">
        <v>1608</v>
      </c>
      <c r="J551" s="14" t="str">
        <f>HYPERLINK("https://www.boe.es/gazeta/dias/1839/07/02/pdfs/GMD-1839-1690.pdf#page=4","Abrir facsímil")</f>
        <v>Abrir facsímil</v>
      </c>
      <c r="K551" s="12" t="s">
        <v>65</v>
      </c>
    </row>
    <row r="552" spans="1:11" ht="40.049999999999997" customHeight="1" x14ac:dyDescent="0.25">
      <c r="A552" s="11" t="s">
        <v>1599</v>
      </c>
      <c r="B552" s="11" t="s">
        <v>1599</v>
      </c>
      <c r="C552" s="11" t="s">
        <v>17</v>
      </c>
      <c r="D552" s="11" t="s">
        <v>18</v>
      </c>
      <c r="E552" s="12" t="s">
        <v>779</v>
      </c>
      <c r="F552" s="12" t="s">
        <v>780</v>
      </c>
      <c r="G552" s="12" t="s">
        <v>29</v>
      </c>
      <c r="H552" s="11" t="s">
        <v>63</v>
      </c>
      <c r="I552" s="13" t="s">
        <v>1609</v>
      </c>
      <c r="J552" s="14" t="str">
        <f>HYPERLINK("https://www.boe.es/gazeta/dias/1839/02/03/pdfs/GMD-1839-1541.pdf#page=1","Abrir facsímil")</f>
        <v>Abrir facsímil</v>
      </c>
      <c r="K552" s="12" t="s">
        <v>65</v>
      </c>
    </row>
    <row r="553" spans="1:11" ht="40.049999999999997" customHeight="1" x14ac:dyDescent="0.25">
      <c r="A553" s="11" t="s">
        <v>1599</v>
      </c>
      <c r="B553" s="11" t="s">
        <v>1599</v>
      </c>
      <c r="C553" s="11" t="s">
        <v>80</v>
      </c>
      <c r="D553" s="11" t="s">
        <v>18</v>
      </c>
      <c r="E553" s="12" t="s">
        <v>779</v>
      </c>
      <c r="F553" s="12" t="s">
        <v>780</v>
      </c>
      <c r="G553" s="12" t="s">
        <v>40</v>
      </c>
      <c r="H553" s="11" t="s">
        <v>63</v>
      </c>
      <c r="I553" s="13" t="s">
        <v>1610</v>
      </c>
      <c r="J553" s="14" t="str">
        <f>HYPERLINK("https://www.boe.es/gazeta/dias/1839/02/03/pdfs/GMD-1839-1541.pdf#page=2","Abrir facsímil")</f>
        <v>Abrir facsímil</v>
      </c>
      <c r="K553" s="12" t="s">
        <v>65</v>
      </c>
    </row>
    <row r="554" spans="1:11" ht="40.049999999999997" customHeight="1" x14ac:dyDescent="0.25">
      <c r="A554" s="11" t="s">
        <v>1599</v>
      </c>
      <c r="B554" s="11" t="s">
        <v>1599</v>
      </c>
      <c r="C554" s="11" t="s">
        <v>17</v>
      </c>
      <c r="D554" s="11" t="s">
        <v>18</v>
      </c>
      <c r="E554" s="12" t="s">
        <v>1611</v>
      </c>
      <c r="F554" s="12" t="s">
        <v>1612</v>
      </c>
      <c r="G554" s="12" t="s">
        <v>21</v>
      </c>
      <c r="H554" s="11" t="s">
        <v>63</v>
      </c>
      <c r="I554" s="13" t="s">
        <v>1613</v>
      </c>
      <c r="J554" s="14" t="str">
        <f>HYPERLINK("https://www.boe.es/gazeta/dias/1839/05/03/pdfs/GMD-1839-1630.pdf#page=4","Abrir facsímil")</f>
        <v>Abrir facsímil</v>
      </c>
      <c r="K554" s="12" t="s">
        <v>65</v>
      </c>
    </row>
    <row r="555" spans="1:11" ht="40.049999999999997" customHeight="1" x14ac:dyDescent="0.25">
      <c r="A555" s="11" t="s">
        <v>1599</v>
      </c>
      <c r="B555" s="11" t="s">
        <v>1599</v>
      </c>
      <c r="C555" s="11" t="s">
        <v>80</v>
      </c>
      <c r="D555" s="11" t="s">
        <v>18</v>
      </c>
      <c r="E555" s="12" t="s">
        <v>1614</v>
      </c>
      <c r="F555" s="12" t="s">
        <v>1615</v>
      </c>
      <c r="G555" s="12" t="s">
        <v>29</v>
      </c>
      <c r="H555" s="11" t="s">
        <v>63</v>
      </c>
      <c r="I555" s="13" t="s">
        <v>1616</v>
      </c>
      <c r="J555" s="14" t="str">
        <f>HYPERLINK("https://www.boe.es/gazeta/dias/1839/07/03/pdfs/GMD-1839-1691.pdf#page=1","Abrir facsímil")</f>
        <v>Abrir facsímil</v>
      </c>
      <c r="K555" s="12" t="s">
        <v>65</v>
      </c>
    </row>
    <row r="556" spans="1:11" ht="40.049999999999997" customHeight="1" x14ac:dyDescent="0.25">
      <c r="A556" s="11" t="s">
        <v>1599</v>
      </c>
      <c r="B556" s="11" t="s">
        <v>1599</v>
      </c>
      <c r="C556" s="11" t="s">
        <v>80</v>
      </c>
      <c r="D556" s="11" t="s">
        <v>18</v>
      </c>
      <c r="E556" s="12" t="s">
        <v>883</v>
      </c>
      <c r="F556" s="12" t="s">
        <v>884</v>
      </c>
      <c r="G556" s="12" t="s">
        <v>21</v>
      </c>
      <c r="H556" s="11" t="s">
        <v>63</v>
      </c>
      <c r="I556" s="13" t="s">
        <v>1617</v>
      </c>
      <c r="J556" s="14" t="str">
        <f>HYPERLINK("https://www.boe.es/gazeta/dias/1839/11/03/pdfs/GMD-1839-1820.pdf#page=4","Abrir facsímil")</f>
        <v>Abrir facsímil</v>
      </c>
      <c r="K556" s="12" t="s">
        <v>65</v>
      </c>
    </row>
    <row r="557" spans="1:11" ht="40.049999999999997" customHeight="1" x14ac:dyDescent="0.25">
      <c r="A557" s="11" t="s">
        <v>1599</v>
      </c>
      <c r="B557" s="11" t="s">
        <v>1599</v>
      </c>
      <c r="C557" s="11" t="s">
        <v>17</v>
      </c>
      <c r="D557" s="11" t="s">
        <v>18</v>
      </c>
      <c r="E557" s="12" t="s">
        <v>108</v>
      </c>
      <c r="F557" s="12" t="s">
        <v>109</v>
      </c>
      <c r="G557" s="12" t="s">
        <v>29</v>
      </c>
      <c r="H557" s="11" t="s">
        <v>63</v>
      </c>
      <c r="I557" s="13" t="s">
        <v>1618</v>
      </c>
      <c r="J557" s="14" t="str">
        <f>HYPERLINK("https://www.boe.es/gazeta/dias/1839/01/04/pdfs/GMD-1839-1511.pdf#page=1","Abrir facsímil")</f>
        <v>Abrir facsímil</v>
      </c>
      <c r="K557" s="12" t="s">
        <v>65</v>
      </c>
    </row>
    <row r="558" spans="1:11" ht="40.049999999999997" customHeight="1" x14ac:dyDescent="0.25">
      <c r="A558" s="11" t="s">
        <v>1599</v>
      </c>
      <c r="B558" s="11" t="s">
        <v>1599</v>
      </c>
      <c r="C558" s="11" t="s">
        <v>80</v>
      </c>
      <c r="D558" s="11" t="s">
        <v>18</v>
      </c>
      <c r="E558" s="12" t="s">
        <v>291</v>
      </c>
      <c r="F558" s="12" t="s">
        <v>292</v>
      </c>
      <c r="G558" s="12" t="s">
        <v>21</v>
      </c>
      <c r="H558" s="11" t="s">
        <v>63</v>
      </c>
      <c r="I558" s="13" t="s">
        <v>1619</v>
      </c>
      <c r="J558" s="14" t="str">
        <f>HYPERLINK("https://www.boe.es/gazeta/dias/1839/09/04/pdfs/GMD-1839-1757.pdf#page=4","Abrir facsímil")</f>
        <v>Abrir facsímil</v>
      </c>
      <c r="K558" s="12" t="s">
        <v>65</v>
      </c>
    </row>
    <row r="559" spans="1:11" ht="40.049999999999997" customHeight="1" x14ac:dyDescent="0.25">
      <c r="A559" s="11" t="s">
        <v>1599</v>
      </c>
      <c r="B559" s="11" t="s">
        <v>1599</v>
      </c>
      <c r="C559" s="11" t="s">
        <v>17</v>
      </c>
      <c r="D559" s="11" t="s">
        <v>18</v>
      </c>
      <c r="E559" s="12" t="s">
        <v>1467</v>
      </c>
      <c r="F559" s="12" t="s">
        <v>1468</v>
      </c>
      <c r="G559" s="12" t="s">
        <v>46</v>
      </c>
      <c r="H559" s="11" t="s">
        <v>63</v>
      </c>
      <c r="I559" s="13" t="s">
        <v>1620</v>
      </c>
      <c r="J559" s="14" t="str">
        <f>HYPERLINK("https://www.boe.es/gazeta/dias/1839/03/05/pdfs/GMD-1839-1571.pdf#page=3","Abrir facsímil")</f>
        <v>Abrir facsímil</v>
      </c>
      <c r="K559" s="12" t="s">
        <v>65</v>
      </c>
    </row>
    <row r="560" spans="1:11" ht="40.049999999999997" customHeight="1" x14ac:dyDescent="0.25">
      <c r="A560" s="11" t="s">
        <v>1599</v>
      </c>
      <c r="B560" s="11" t="s">
        <v>1599</v>
      </c>
      <c r="C560" s="11" t="s">
        <v>80</v>
      </c>
      <c r="D560" s="11" t="s">
        <v>18</v>
      </c>
      <c r="E560" s="12" t="s">
        <v>202</v>
      </c>
      <c r="F560" s="12" t="s">
        <v>203</v>
      </c>
      <c r="G560" s="12" t="s">
        <v>21</v>
      </c>
      <c r="H560" s="11" t="s">
        <v>63</v>
      </c>
      <c r="I560" s="13" t="s">
        <v>1621</v>
      </c>
      <c r="J560" s="14" t="str">
        <f>HYPERLINK("https://www.boe.es/gazeta/dias/1839/04/05/pdfs/GMD-1839-1602.pdf#page=4","Abrir facsímil")</f>
        <v>Abrir facsímil</v>
      </c>
      <c r="K560" s="12" t="s">
        <v>65</v>
      </c>
    </row>
    <row r="561" spans="1:11" ht="40.049999999999997" customHeight="1" x14ac:dyDescent="0.25">
      <c r="A561" s="11" t="s">
        <v>1599</v>
      </c>
      <c r="B561" s="11" t="s">
        <v>1599</v>
      </c>
      <c r="C561" s="11" t="s">
        <v>17</v>
      </c>
      <c r="D561" s="11" t="s">
        <v>18</v>
      </c>
      <c r="E561" s="12" t="s">
        <v>448</v>
      </c>
      <c r="F561" s="12" t="s">
        <v>449</v>
      </c>
      <c r="G561" s="12" t="s">
        <v>29</v>
      </c>
      <c r="H561" s="11" t="s">
        <v>63</v>
      </c>
      <c r="I561" s="13" t="s">
        <v>1622</v>
      </c>
      <c r="J561" s="14" t="str">
        <f>HYPERLINK("https://www.boe.es/gazeta/dias/1839/02/06/pdfs/GMD-1839-1544.pdf#page=1","Abrir facsímil")</f>
        <v>Abrir facsímil</v>
      </c>
      <c r="K561" s="12" t="s">
        <v>65</v>
      </c>
    </row>
    <row r="562" spans="1:11" ht="40.049999999999997" customHeight="1" x14ac:dyDescent="0.25">
      <c r="A562" s="11" t="s">
        <v>1599</v>
      </c>
      <c r="B562" s="11" t="s">
        <v>1599</v>
      </c>
      <c r="C562" s="11" t="s">
        <v>101</v>
      </c>
      <c r="D562" s="11" t="s">
        <v>43</v>
      </c>
      <c r="E562" s="12" t="s">
        <v>1623</v>
      </c>
      <c r="F562" s="12" t="s">
        <v>1624</v>
      </c>
      <c r="G562" s="12" t="s">
        <v>21</v>
      </c>
      <c r="H562" s="11" t="s">
        <v>63</v>
      </c>
      <c r="I562" s="13" t="s">
        <v>1625</v>
      </c>
      <c r="J562" s="14" t="str">
        <f>HYPERLINK("https://www.boe.es/gazeta/dias/1839/04/07/pdfs/GMD-1839-1604.pdf#page=4","Abrir facsímil")</f>
        <v>Abrir facsímil</v>
      </c>
      <c r="K562" s="12" t="s">
        <v>65</v>
      </c>
    </row>
    <row r="563" spans="1:11" ht="40.049999999999997" customHeight="1" x14ac:dyDescent="0.25">
      <c r="A563" s="11" t="s">
        <v>1599</v>
      </c>
      <c r="B563" s="11" t="s">
        <v>1599</v>
      </c>
      <c r="C563" s="11" t="s">
        <v>17</v>
      </c>
      <c r="D563" s="11" t="s">
        <v>18</v>
      </c>
      <c r="E563" s="12" t="s">
        <v>782</v>
      </c>
      <c r="F563" s="12" t="s">
        <v>783</v>
      </c>
      <c r="G563" s="12" t="s">
        <v>21</v>
      </c>
      <c r="H563" s="11" t="s">
        <v>63</v>
      </c>
      <c r="I563" s="13" t="s">
        <v>1626</v>
      </c>
      <c r="J563" s="14" t="str">
        <f>HYPERLINK("https://www.boe.es/gazeta/dias/1839/05/09/pdfs/GMD-1839-1636.pdf#page=4","Abrir facsímil")</f>
        <v>Abrir facsímil</v>
      </c>
      <c r="K563" s="12" t="s">
        <v>65</v>
      </c>
    </row>
    <row r="564" spans="1:11" ht="40.049999999999997" customHeight="1" x14ac:dyDescent="0.25">
      <c r="A564" s="11" t="s">
        <v>1599</v>
      </c>
      <c r="B564" s="11" t="s">
        <v>1599</v>
      </c>
      <c r="C564" s="11" t="s">
        <v>80</v>
      </c>
      <c r="D564" s="11" t="s">
        <v>18</v>
      </c>
      <c r="E564" s="12" t="s">
        <v>744</v>
      </c>
      <c r="F564" s="12" t="s">
        <v>745</v>
      </c>
      <c r="G564" s="12" t="s">
        <v>21</v>
      </c>
      <c r="H564" s="11" t="s">
        <v>63</v>
      </c>
      <c r="I564" s="13" t="s">
        <v>1627</v>
      </c>
      <c r="J564" s="14" t="str">
        <f>HYPERLINK("https://www.boe.es/gazeta/dias/1839/12/09/pdfs/GMD-1839-1856.pdf#page=4","Abrir facsímil")</f>
        <v>Abrir facsímil</v>
      </c>
      <c r="K564" s="12" t="s">
        <v>65</v>
      </c>
    </row>
    <row r="565" spans="1:11" ht="40.049999999999997" customHeight="1" x14ac:dyDescent="0.25">
      <c r="A565" s="11" t="s">
        <v>1599</v>
      </c>
      <c r="B565" s="11" t="s">
        <v>1599</v>
      </c>
      <c r="C565" s="11" t="s">
        <v>17</v>
      </c>
      <c r="D565" s="11" t="s">
        <v>18</v>
      </c>
      <c r="E565" s="12" t="s">
        <v>1628</v>
      </c>
      <c r="F565" s="12" t="s">
        <v>1629</v>
      </c>
      <c r="G565" s="12" t="s">
        <v>29</v>
      </c>
      <c r="H565" s="11" t="s">
        <v>63</v>
      </c>
      <c r="I565" s="13" t="s">
        <v>1630</v>
      </c>
      <c r="J565" s="14" t="str">
        <f>HYPERLINK("https://www.boe.es/gazeta/dias/1839/03/10/pdfs/GMD-1839-1576.pdf#page=1","Abrir facsímil")</f>
        <v>Abrir facsímil</v>
      </c>
      <c r="K565" s="12" t="s">
        <v>65</v>
      </c>
    </row>
    <row r="566" spans="1:11" ht="40.049999999999997" customHeight="1" x14ac:dyDescent="0.25">
      <c r="A566" s="11" t="s">
        <v>1599</v>
      </c>
      <c r="B566" s="11" t="s">
        <v>1599</v>
      </c>
      <c r="C566" s="11" t="s">
        <v>17</v>
      </c>
      <c r="D566" s="11" t="s">
        <v>18</v>
      </c>
      <c r="E566" s="12" t="s">
        <v>1631</v>
      </c>
      <c r="F566" s="12" t="s">
        <v>1632</v>
      </c>
      <c r="G566" s="12" t="s">
        <v>21</v>
      </c>
      <c r="H566" s="11" t="s">
        <v>63</v>
      </c>
      <c r="I566" s="13" t="s">
        <v>1633</v>
      </c>
      <c r="J566" s="14" t="str">
        <f>HYPERLINK("https://www.boe.es/gazeta/dias/1839/05/10/pdfs/GMD-1839-1637.pdf#page=4","Abrir facsímil")</f>
        <v>Abrir facsímil</v>
      </c>
      <c r="K566" s="12" t="s">
        <v>65</v>
      </c>
    </row>
    <row r="567" spans="1:11" ht="40.049999999999997" customHeight="1" x14ac:dyDescent="0.25">
      <c r="A567" s="11" t="s">
        <v>1599</v>
      </c>
      <c r="B567" s="11" t="s">
        <v>1599</v>
      </c>
      <c r="C567" s="11" t="s">
        <v>80</v>
      </c>
      <c r="D567" s="11" t="s">
        <v>18</v>
      </c>
      <c r="E567" s="12" t="s">
        <v>544</v>
      </c>
      <c r="F567" s="12" t="s">
        <v>545</v>
      </c>
      <c r="G567" s="12" t="s">
        <v>46</v>
      </c>
      <c r="H567" s="11" t="s">
        <v>63</v>
      </c>
      <c r="I567" s="13" t="s">
        <v>1634</v>
      </c>
      <c r="J567" s="14" t="str">
        <f>HYPERLINK("https://www.boe.es/gazeta/dias/1839/11/11/pdfs/GMD-1839-1828.pdf#page=3","Abrir facsímil")</f>
        <v>Abrir facsímil</v>
      </c>
      <c r="K567" s="12" t="s">
        <v>65</v>
      </c>
    </row>
    <row r="568" spans="1:11" ht="40.049999999999997" customHeight="1" x14ac:dyDescent="0.25">
      <c r="A568" s="11" t="s">
        <v>1599</v>
      </c>
      <c r="B568" s="11" t="s">
        <v>1599</v>
      </c>
      <c r="C568" s="11" t="s">
        <v>17</v>
      </c>
      <c r="D568" s="11" t="s">
        <v>18</v>
      </c>
      <c r="E568" s="12" t="s">
        <v>1414</v>
      </c>
      <c r="F568" s="12" t="s">
        <v>1415</v>
      </c>
      <c r="G568" s="12" t="s">
        <v>40</v>
      </c>
      <c r="H568" s="11" t="s">
        <v>63</v>
      </c>
      <c r="I568" s="13" t="s">
        <v>1635</v>
      </c>
      <c r="J568" s="14" t="str">
        <f>HYPERLINK("https://www.boe.es/gazeta/dias/1839/06/12/pdfs/GMD-1839-1670.pdf#page=2","Abrir facsímil")</f>
        <v>Abrir facsímil</v>
      </c>
      <c r="K568" s="12" t="s">
        <v>65</v>
      </c>
    </row>
    <row r="569" spans="1:11" ht="40.049999999999997" customHeight="1" x14ac:dyDescent="0.25">
      <c r="A569" s="11" t="s">
        <v>1599</v>
      </c>
      <c r="B569" s="11" t="s">
        <v>1599</v>
      </c>
      <c r="C569" s="11" t="s">
        <v>80</v>
      </c>
      <c r="D569" s="11" t="s">
        <v>18</v>
      </c>
      <c r="E569" s="12" t="s">
        <v>168</v>
      </c>
      <c r="F569" s="12" t="s">
        <v>169</v>
      </c>
      <c r="G569" s="12" t="s">
        <v>46</v>
      </c>
      <c r="H569" s="11" t="s">
        <v>63</v>
      </c>
      <c r="I569" s="13" t="s">
        <v>1636</v>
      </c>
      <c r="J569" s="14" t="str">
        <f>HYPERLINK("https://www.boe.es/gazeta/dias/1839/07/12/pdfs/GMD-1839-1700.pdf#page=3","Abrir facsímil")</f>
        <v>Abrir facsímil</v>
      </c>
      <c r="K569" s="12" t="s">
        <v>65</v>
      </c>
    </row>
    <row r="570" spans="1:11" ht="40.049999999999997" customHeight="1" x14ac:dyDescent="0.25">
      <c r="A570" s="11" t="s">
        <v>1599</v>
      </c>
      <c r="B570" s="11" t="s">
        <v>1599</v>
      </c>
      <c r="C570" s="11" t="s">
        <v>17</v>
      </c>
      <c r="D570" s="11" t="s">
        <v>18</v>
      </c>
      <c r="E570" s="12" t="s">
        <v>168</v>
      </c>
      <c r="F570" s="12" t="s">
        <v>169</v>
      </c>
      <c r="G570" s="12" t="s">
        <v>21</v>
      </c>
      <c r="H570" s="11" t="s">
        <v>63</v>
      </c>
      <c r="I570" s="13" t="s">
        <v>1637</v>
      </c>
      <c r="J570" s="14" t="str">
        <f>HYPERLINK("https://www.boe.es/gazeta/dias/1839/07/12/pdfs/GMD-1839-1700.pdf#page=4","Abrir facsímil")</f>
        <v>Abrir facsímil</v>
      </c>
      <c r="K570" s="12" t="s">
        <v>65</v>
      </c>
    </row>
    <row r="571" spans="1:11" ht="40.049999999999997" customHeight="1" x14ac:dyDescent="0.25">
      <c r="A571" s="11" t="s">
        <v>1599</v>
      </c>
      <c r="B571" s="11" t="s">
        <v>1599</v>
      </c>
      <c r="C571" s="11" t="s">
        <v>59</v>
      </c>
      <c r="D571" s="11" t="s">
        <v>60</v>
      </c>
      <c r="E571" s="12" t="s">
        <v>1512</v>
      </c>
      <c r="F571" s="12" t="s">
        <v>1513</v>
      </c>
      <c r="G571" s="12" t="s">
        <v>21</v>
      </c>
      <c r="H571" s="11" t="s">
        <v>63</v>
      </c>
      <c r="I571" s="13" t="s">
        <v>1638</v>
      </c>
      <c r="J571" s="14" t="str">
        <f>HYPERLINK("https://www.boe.es/gazeta/dias/1839/04/13/pdfs/GMD-1839-1610.pdf#page=4","Abrir facsímil")</f>
        <v>Abrir facsímil</v>
      </c>
      <c r="K571" s="12" t="s">
        <v>65</v>
      </c>
    </row>
    <row r="572" spans="1:11" ht="40.049999999999997" customHeight="1" x14ac:dyDescent="0.25">
      <c r="A572" s="11" t="s">
        <v>1599</v>
      </c>
      <c r="B572" s="11" t="s">
        <v>1599</v>
      </c>
      <c r="C572" s="11" t="s">
        <v>17</v>
      </c>
      <c r="D572" s="11" t="s">
        <v>18</v>
      </c>
      <c r="E572" s="12" t="s">
        <v>785</v>
      </c>
      <c r="F572" s="12" t="s">
        <v>786</v>
      </c>
      <c r="G572" s="12" t="s">
        <v>46</v>
      </c>
      <c r="H572" s="11" t="s">
        <v>63</v>
      </c>
      <c r="I572" s="13" t="s">
        <v>1639</v>
      </c>
      <c r="J572" s="14" t="str">
        <f>HYPERLINK("https://www.boe.es/gazeta/dias/1839/07/13/pdfs/GMD-1839-1701.pdf#page=3","Abrir facsímil")</f>
        <v>Abrir facsímil</v>
      </c>
      <c r="K572" s="12" t="s">
        <v>65</v>
      </c>
    </row>
    <row r="573" spans="1:11" ht="40.049999999999997" customHeight="1" x14ac:dyDescent="0.25">
      <c r="A573" s="11" t="s">
        <v>1599</v>
      </c>
      <c r="B573" s="11" t="s">
        <v>1599</v>
      </c>
      <c r="C573" s="11" t="s">
        <v>137</v>
      </c>
      <c r="D573" s="11" t="s">
        <v>18</v>
      </c>
      <c r="E573" s="12" t="s">
        <v>1100</v>
      </c>
      <c r="F573" s="12" t="s">
        <v>1101</v>
      </c>
      <c r="G573" s="12" t="s">
        <v>29</v>
      </c>
      <c r="H573" s="11" t="s">
        <v>63</v>
      </c>
      <c r="I573" s="13" t="s">
        <v>1640</v>
      </c>
      <c r="J573" s="14" t="str">
        <f>HYPERLINK("https://www.boe.es/gazeta/dias/1839/09/13/pdfs/GMD-1839-1766.pdf#page=1","Abrir facsímil")</f>
        <v>Abrir facsímil</v>
      </c>
      <c r="K573" s="12" t="s">
        <v>65</v>
      </c>
    </row>
    <row r="574" spans="1:11" ht="40.049999999999997" customHeight="1" x14ac:dyDescent="0.25">
      <c r="A574" s="11" t="s">
        <v>1599</v>
      </c>
      <c r="B574" s="11" t="s">
        <v>1599</v>
      </c>
      <c r="C574" s="11" t="s">
        <v>17</v>
      </c>
      <c r="D574" s="11" t="s">
        <v>18</v>
      </c>
      <c r="E574" s="12" t="s">
        <v>903</v>
      </c>
      <c r="F574" s="12" t="s">
        <v>904</v>
      </c>
      <c r="G574" s="12" t="s">
        <v>21</v>
      </c>
      <c r="H574" s="11" t="s">
        <v>63</v>
      </c>
      <c r="I574" s="13" t="s">
        <v>1641</v>
      </c>
      <c r="J574" s="14" t="str">
        <f>HYPERLINK("https://www.boe.es/gazeta/dias/1839/03/14/pdfs/GMD-1839-1580.pdf#page=4","Abrir facsímil")</f>
        <v>Abrir facsímil</v>
      </c>
      <c r="K574" s="12" t="s">
        <v>65</v>
      </c>
    </row>
    <row r="575" spans="1:11" ht="40.049999999999997" customHeight="1" x14ac:dyDescent="0.25">
      <c r="A575" s="11" t="s">
        <v>1599</v>
      </c>
      <c r="B575" s="11" t="s">
        <v>1599</v>
      </c>
      <c r="C575" s="11" t="s">
        <v>17</v>
      </c>
      <c r="D575" s="11" t="s">
        <v>18</v>
      </c>
      <c r="E575" s="12" t="s">
        <v>44</v>
      </c>
      <c r="F575" s="12" t="s">
        <v>45</v>
      </c>
      <c r="G575" s="12" t="s">
        <v>46</v>
      </c>
      <c r="H575" s="11" t="s">
        <v>63</v>
      </c>
      <c r="I575" s="13" t="s">
        <v>1642</v>
      </c>
      <c r="J575" s="14" t="str">
        <f>HYPERLINK("https://www.boe.es/gazeta/dias/1839/11/15/pdfs/GMD-1839-1832.pdf#page=3","Abrir facsímil")</f>
        <v>Abrir facsímil</v>
      </c>
      <c r="K575" s="12" t="s">
        <v>65</v>
      </c>
    </row>
    <row r="576" spans="1:11" ht="40.049999999999997" customHeight="1" x14ac:dyDescent="0.25">
      <c r="A576" s="11" t="s">
        <v>1599</v>
      </c>
      <c r="B576" s="11" t="s">
        <v>1599</v>
      </c>
      <c r="C576" s="11" t="s">
        <v>80</v>
      </c>
      <c r="D576" s="11" t="s">
        <v>18</v>
      </c>
      <c r="E576" s="12" t="s">
        <v>1528</v>
      </c>
      <c r="F576" s="12" t="s">
        <v>1529</v>
      </c>
      <c r="G576" s="12" t="s">
        <v>46</v>
      </c>
      <c r="H576" s="11" t="s">
        <v>63</v>
      </c>
      <c r="I576" s="13" t="s">
        <v>1643</v>
      </c>
      <c r="J576" s="14" t="str">
        <f>HYPERLINK("https://www.boe.es/gazeta/dias/1839/12/15/pdfs/GMD-1839-1862.pdf#page=3","Abrir facsímil")</f>
        <v>Abrir facsímil</v>
      </c>
      <c r="K576" s="12" t="s">
        <v>65</v>
      </c>
    </row>
    <row r="577" spans="1:11" ht="40.049999999999997" customHeight="1" x14ac:dyDescent="0.25">
      <c r="A577" s="11" t="s">
        <v>1599</v>
      </c>
      <c r="B577" s="11" t="s">
        <v>1599</v>
      </c>
      <c r="C577" s="11" t="s">
        <v>17</v>
      </c>
      <c r="D577" s="11" t="s">
        <v>18</v>
      </c>
      <c r="E577" s="12" t="s">
        <v>1644</v>
      </c>
      <c r="F577" s="12" t="s">
        <v>1645</v>
      </c>
      <c r="G577" s="12" t="s">
        <v>29</v>
      </c>
      <c r="H577" s="11" t="s">
        <v>63</v>
      </c>
      <c r="I577" s="13" t="s">
        <v>1646</v>
      </c>
      <c r="J577" s="14" t="str">
        <f>HYPERLINK("https://www.boe.es/gazeta/dias/1839/04/16/pdfs/GMD-1839-1613.pdf#page=1","Abrir facsímil")</f>
        <v>Abrir facsímil</v>
      </c>
      <c r="K577" s="12" t="s">
        <v>65</v>
      </c>
    </row>
    <row r="578" spans="1:11" ht="40.049999999999997" customHeight="1" x14ac:dyDescent="0.25">
      <c r="A578" s="11" t="s">
        <v>1599</v>
      </c>
      <c r="B578" s="11" t="s">
        <v>1599</v>
      </c>
      <c r="C578" s="11" t="s">
        <v>59</v>
      </c>
      <c r="D578" s="11" t="s">
        <v>60</v>
      </c>
      <c r="E578" s="12" t="s">
        <v>870</v>
      </c>
      <c r="F578" s="12" t="s">
        <v>871</v>
      </c>
      <c r="G578" s="12" t="s">
        <v>29</v>
      </c>
      <c r="H578" s="11" t="s">
        <v>63</v>
      </c>
      <c r="I578" s="13" t="s">
        <v>1647</v>
      </c>
      <c r="J578" s="14" t="str">
        <f>HYPERLINK("https://www.boe.es/gazeta/dias/1839/04/18/pdfs/GMD-1839-1615.pdf#page=1","Abrir facsímil")</f>
        <v>Abrir facsímil</v>
      </c>
      <c r="K578" s="12" t="s">
        <v>65</v>
      </c>
    </row>
    <row r="579" spans="1:11" ht="40.049999999999997" customHeight="1" x14ac:dyDescent="0.25">
      <c r="A579" s="11" t="s">
        <v>1599</v>
      </c>
      <c r="B579" s="11" t="s">
        <v>1599</v>
      </c>
      <c r="C579" s="11" t="s">
        <v>17</v>
      </c>
      <c r="D579" s="11" t="s">
        <v>18</v>
      </c>
      <c r="E579" s="12" t="s">
        <v>1648</v>
      </c>
      <c r="F579" s="12" t="s">
        <v>1649</v>
      </c>
      <c r="G579" s="12" t="s">
        <v>29</v>
      </c>
      <c r="H579" s="11" t="s">
        <v>63</v>
      </c>
      <c r="I579" s="13" t="s">
        <v>1650</v>
      </c>
      <c r="J579" s="14" t="str">
        <f>HYPERLINK("https://www.boe.es/gazeta/dias/1839/08/18/pdfs/GMD-1839-1738.pdf#page=1","Abrir facsímil")</f>
        <v>Abrir facsímil</v>
      </c>
      <c r="K579" s="12" t="s">
        <v>65</v>
      </c>
    </row>
    <row r="580" spans="1:11" ht="40.049999999999997" customHeight="1" x14ac:dyDescent="0.25">
      <c r="A580" s="11" t="s">
        <v>1599</v>
      </c>
      <c r="B580" s="11" t="s">
        <v>1599</v>
      </c>
      <c r="C580" s="11" t="s">
        <v>17</v>
      </c>
      <c r="D580" s="11" t="s">
        <v>18</v>
      </c>
      <c r="E580" s="12" t="s">
        <v>1648</v>
      </c>
      <c r="F580" s="12" t="s">
        <v>1649</v>
      </c>
      <c r="G580" s="12" t="s">
        <v>21</v>
      </c>
      <c r="H580" s="11" t="s">
        <v>63</v>
      </c>
      <c r="I580" s="13" t="s">
        <v>1651</v>
      </c>
      <c r="J580" s="14" t="str">
        <f>HYPERLINK("https://www.boe.es/gazeta/dias/1839/08/18/pdfs/GMD-1839-1738.pdf#page=4","Abrir facsímil")</f>
        <v>Abrir facsímil</v>
      </c>
      <c r="K580" s="12" t="s">
        <v>65</v>
      </c>
    </row>
    <row r="581" spans="1:11" ht="40.049999999999997" customHeight="1" x14ac:dyDescent="0.25">
      <c r="A581" s="11" t="s">
        <v>1599</v>
      </c>
      <c r="B581" s="11" t="s">
        <v>1599</v>
      </c>
      <c r="C581" s="11" t="s">
        <v>80</v>
      </c>
      <c r="D581" s="11" t="s">
        <v>18</v>
      </c>
      <c r="E581" s="12" t="s">
        <v>236</v>
      </c>
      <c r="F581" s="12" t="s">
        <v>237</v>
      </c>
      <c r="G581" s="12" t="s">
        <v>21</v>
      </c>
      <c r="H581" s="11" t="s">
        <v>63</v>
      </c>
      <c r="I581" s="13" t="s">
        <v>1652</v>
      </c>
      <c r="J581" s="14" t="str">
        <f>HYPERLINK("https://www.boe.es/gazeta/dias/1839/09/18/pdfs/GMD-1839-1771.pdf#page=4","Abrir facsímil")</f>
        <v>Abrir facsímil</v>
      </c>
      <c r="K581" s="12" t="s">
        <v>65</v>
      </c>
    </row>
    <row r="582" spans="1:11" ht="40.049999999999997" customHeight="1" x14ac:dyDescent="0.25">
      <c r="A582" s="11" t="s">
        <v>1599</v>
      </c>
      <c r="B582" s="11" t="s">
        <v>1599</v>
      </c>
      <c r="C582" s="11" t="s">
        <v>17</v>
      </c>
      <c r="D582" s="11" t="s">
        <v>18</v>
      </c>
      <c r="E582" s="12" t="s">
        <v>486</v>
      </c>
      <c r="F582" s="12" t="s">
        <v>487</v>
      </c>
      <c r="G582" s="12" t="s">
        <v>21</v>
      </c>
      <c r="H582" s="11" t="s">
        <v>63</v>
      </c>
      <c r="I582" s="13" t="s">
        <v>1653</v>
      </c>
      <c r="J582" s="14" t="str">
        <f>HYPERLINK("https://www.boe.es/gazeta/dias/1839/04/19/pdfs/GMD-1839-1616.pdf#page=4","Abrir facsímil")</f>
        <v>Abrir facsímil</v>
      </c>
      <c r="K582" s="12" t="s">
        <v>65</v>
      </c>
    </row>
    <row r="583" spans="1:11" ht="40.049999999999997" customHeight="1" x14ac:dyDescent="0.25">
      <c r="A583" s="11" t="s">
        <v>1599</v>
      </c>
      <c r="B583" s="11" t="s">
        <v>1599</v>
      </c>
      <c r="C583" s="11" t="s">
        <v>80</v>
      </c>
      <c r="D583" s="11" t="s">
        <v>18</v>
      </c>
      <c r="E583" s="12" t="s">
        <v>1654</v>
      </c>
      <c r="F583" s="12" t="s">
        <v>1655</v>
      </c>
      <c r="G583" s="12" t="s">
        <v>21</v>
      </c>
      <c r="H583" s="11" t="s">
        <v>63</v>
      </c>
      <c r="I583" s="13" t="s">
        <v>1656</v>
      </c>
      <c r="J583" s="14" t="str">
        <f>HYPERLINK("https://www.boe.es/gazeta/dias/1839/11/19/pdfs/GMD-1839-1836.pdf#page=4","Abrir facsímil")</f>
        <v>Abrir facsímil</v>
      </c>
      <c r="K583" s="12" t="s">
        <v>65</v>
      </c>
    </row>
    <row r="584" spans="1:11" ht="40.049999999999997" customHeight="1" x14ac:dyDescent="0.25">
      <c r="A584" s="11" t="s">
        <v>1599</v>
      </c>
      <c r="B584" s="11" t="s">
        <v>1599</v>
      </c>
      <c r="C584" s="11" t="s">
        <v>17</v>
      </c>
      <c r="D584" s="11" t="s">
        <v>18</v>
      </c>
      <c r="E584" s="12" t="s">
        <v>1657</v>
      </c>
      <c r="F584" s="12" t="s">
        <v>1658</v>
      </c>
      <c r="G584" s="12" t="s">
        <v>40</v>
      </c>
      <c r="H584" s="11" t="s">
        <v>63</v>
      </c>
      <c r="I584" s="13" t="s">
        <v>1659</v>
      </c>
      <c r="J584" s="14" t="str">
        <f>HYPERLINK("https://www.boe.es/gazeta/dias/1839/02/21/pdfs/GMD-1839-1559.pdf#page=2","Abrir facsímil")</f>
        <v>Abrir facsímil</v>
      </c>
      <c r="K584" s="12" t="s">
        <v>65</v>
      </c>
    </row>
    <row r="585" spans="1:11" ht="40.049999999999997" customHeight="1" x14ac:dyDescent="0.25">
      <c r="A585" s="11" t="s">
        <v>1599</v>
      </c>
      <c r="B585" s="11" t="s">
        <v>1599</v>
      </c>
      <c r="C585" s="11" t="s">
        <v>17</v>
      </c>
      <c r="D585" s="11" t="s">
        <v>18</v>
      </c>
      <c r="E585" s="12" t="s">
        <v>1657</v>
      </c>
      <c r="F585" s="12" t="s">
        <v>1658</v>
      </c>
      <c r="G585" s="12" t="s">
        <v>21</v>
      </c>
      <c r="H585" s="11" t="s">
        <v>63</v>
      </c>
      <c r="I585" s="13" t="s">
        <v>1660</v>
      </c>
      <c r="J585" s="14" t="str">
        <f>HYPERLINK("https://www.boe.es/gazeta/dias/1839/02/21/pdfs/GMD-1839-1559.pdf#page=4","Abrir facsímil")</f>
        <v>Abrir facsímil</v>
      </c>
      <c r="K585" s="12" t="s">
        <v>65</v>
      </c>
    </row>
    <row r="586" spans="1:11" ht="40.049999999999997" customHeight="1" x14ac:dyDescent="0.25">
      <c r="A586" s="11" t="s">
        <v>1599</v>
      </c>
      <c r="B586" s="11" t="s">
        <v>1599</v>
      </c>
      <c r="C586" s="11" t="s">
        <v>137</v>
      </c>
      <c r="D586" s="11" t="s">
        <v>18</v>
      </c>
      <c r="E586" s="12" t="s">
        <v>516</v>
      </c>
      <c r="F586" s="12" t="s">
        <v>517</v>
      </c>
      <c r="G586" s="12" t="s">
        <v>40</v>
      </c>
      <c r="H586" s="11" t="s">
        <v>63</v>
      </c>
      <c r="I586" s="13" t="s">
        <v>1661</v>
      </c>
      <c r="J586" s="14" t="str">
        <f>HYPERLINK("https://www.boe.es/gazeta/dias/1839/06/21/pdfs/GMD-1839-1679.pdf#page=2","Abrir facsímil")</f>
        <v>Abrir facsímil</v>
      </c>
      <c r="K586" s="12" t="s">
        <v>65</v>
      </c>
    </row>
    <row r="587" spans="1:11" ht="40.049999999999997" customHeight="1" x14ac:dyDescent="0.25">
      <c r="A587" s="11" t="s">
        <v>1599</v>
      </c>
      <c r="B587" s="11" t="s">
        <v>1599</v>
      </c>
      <c r="C587" s="11" t="s">
        <v>17</v>
      </c>
      <c r="D587" s="11" t="s">
        <v>18</v>
      </c>
      <c r="E587" s="12" t="s">
        <v>794</v>
      </c>
      <c r="F587" s="12" t="s">
        <v>795</v>
      </c>
      <c r="G587" s="12" t="s">
        <v>40</v>
      </c>
      <c r="H587" s="11" t="s">
        <v>63</v>
      </c>
      <c r="I587" s="13" t="s">
        <v>1662</v>
      </c>
      <c r="J587" s="14" t="str">
        <f>HYPERLINK("https://www.boe.es/gazeta/dias/1839/01/22/pdfs/GMD-1839-1529.pdf#page=2","Abrir facsímil")</f>
        <v>Abrir facsímil</v>
      </c>
      <c r="K587" s="12" t="s">
        <v>65</v>
      </c>
    </row>
    <row r="588" spans="1:11" ht="40.049999999999997" customHeight="1" x14ac:dyDescent="0.25">
      <c r="A588" s="11" t="s">
        <v>1599</v>
      </c>
      <c r="B588" s="11" t="s">
        <v>1599</v>
      </c>
      <c r="C588" s="11" t="s">
        <v>17</v>
      </c>
      <c r="D588" s="11" t="s">
        <v>18</v>
      </c>
      <c r="E588" s="12" t="s">
        <v>1663</v>
      </c>
      <c r="F588" s="12" t="s">
        <v>1664</v>
      </c>
      <c r="G588" s="12" t="s">
        <v>46</v>
      </c>
      <c r="H588" s="11" t="s">
        <v>63</v>
      </c>
      <c r="I588" s="13" t="s">
        <v>1665</v>
      </c>
      <c r="J588" s="14" t="str">
        <f>HYPERLINK("https://www.boe.es/gazeta/dias/1839/03/22/pdfs/GMD-1839-1588.pdf#page=3","Abrir facsímil")</f>
        <v>Abrir facsímil</v>
      </c>
      <c r="K588" s="12" t="s">
        <v>65</v>
      </c>
    </row>
    <row r="589" spans="1:11" ht="40.049999999999997" customHeight="1" x14ac:dyDescent="0.25">
      <c r="A589" s="11" t="s">
        <v>1599</v>
      </c>
      <c r="B589" s="11" t="s">
        <v>1599</v>
      </c>
      <c r="C589" s="11" t="s">
        <v>17</v>
      </c>
      <c r="D589" s="11" t="s">
        <v>18</v>
      </c>
      <c r="E589" s="12" t="s">
        <v>1666</v>
      </c>
      <c r="F589" s="12" t="s">
        <v>1667</v>
      </c>
      <c r="G589" s="12" t="s">
        <v>29</v>
      </c>
      <c r="H589" s="11" t="s">
        <v>63</v>
      </c>
      <c r="I589" s="13" t="s">
        <v>1668</v>
      </c>
      <c r="J589" s="14" t="str">
        <f>HYPERLINK("https://www.boe.es/gazeta/dias/1839/04/22/pdfs/GMD-1839-1619.pdf#page=1","Abrir facsímil")</f>
        <v>Abrir facsímil</v>
      </c>
      <c r="K589" s="12" t="s">
        <v>65</v>
      </c>
    </row>
    <row r="590" spans="1:11" ht="40.049999999999997" customHeight="1" x14ac:dyDescent="0.25">
      <c r="A590" s="11" t="s">
        <v>1599</v>
      </c>
      <c r="B590" s="11" t="s">
        <v>1599</v>
      </c>
      <c r="C590" s="11" t="s">
        <v>59</v>
      </c>
      <c r="D590" s="11" t="s">
        <v>60</v>
      </c>
      <c r="E590" s="12" t="s">
        <v>360</v>
      </c>
      <c r="F590" s="12" t="s">
        <v>361</v>
      </c>
      <c r="G590" s="12" t="s">
        <v>29</v>
      </c>
      <c r="H590" s="11" t="s">
        <v>63</v>
      </c>
      <c r="I590" s="13" t="s">
        <v>1669</v>
      </c>
      <c r="J590" s="14" t="str">
        <f>HYPERLINK("https://www.boe.es/gazeta/dias/1839/08/22/pdfs/GMD-1839-1743.pdf#page=1","Abrir facsímil")</f>
        <v>Abrir facsímil</v>
      </c>
      <c r="K590" s="12" t="s">
        <v>65</v>
      </c>
    </row>
    <row r="591" spans="1:11" ht="40.049999999999997" customHeight="1" x14ac:dyDescent="0.25">
      <c r="A591" s="11" t="s">
        <v>1599</v>
      </c>
      <c r="B591" s="11" t="s">
        <v>1599</v>
      </c>
      <c r="C591" s="11" t="s">
        <v>59</v>
      </c>
      <c r="D591" s="11" t="s">
        <v>60</v>
      </c>
      <c r="E591" s="12" t="s">
        <v>1012</v>
      </c>
      <c r="F591" s="12" t="s">
        <v>1013</v>
      </c>
      <c r="G591" s="12" t="s">
        <v>46</v>
      </c>
      <c r="H591" s="11" t="s">
        <v>63</v>
      </c>
      <c r="I591" s="13" t="s">
        <v>1670</v>
      </c>
      <c r="J591" s="14" t="str">
        <f>HYPERLINK("https://www.boe.es/gazeta/dias/1839/11/22/pdfs/GMD-1839-1839.pdf#page=3","Abrir facsímil")</f>
        <v>Abrir facsímil</v>
      </c>
      <c r="K591" s="12" t="s">
        <v>65</v>
      </c>
    </row>
    <row r="592" spans="1:11" ht="40.049999999999997" customHeight="1" x14ac:dyDescent="0.25">
      <c r="A592" s="11" t="s">
        <v>1599</v>
      </c>
      <c r="B592" s="11" t="s">
        <v>1599</v>
      </c>
      <c r="C592" s="11" t="s">
        <v>137</v>
      </c>
      <c r="D592" s="11" t="s">
        <v>18</v>
      </c>
      <c r="E592" s="12" t="s">
        <v>1497</v>
      </c>
      <c r="F592" s="12" t="s">
        <v>1498</v>
      </c>
      <c r="G592" s="12" t="s">
        <v>21</v>
      </c>
      <c r="H592" s="11" t="s">
        <v>63</v>
      </c>
      <c r="I592" s="13" t="s">
        <v>1671</v>
      </c>
      <c r="J592" s="14" t="str">
        <f>HYPERLINK("https://www.boe.es/gazeta/dias/1839/08/23/pdfs/GMD-1839-1744.pdf#page=4","Abrir facsímil")</f>
        <v>Abrir facsímil</v>
      </c>
      <c r="K592" s="12" t="s">
        <v>65</v>
      </c>
    </row>
    <row r="593" spans="1:11" ht="40.049999999999997" customHeight="1" x14ac:dyDescent="0.25">
      <c r="A593" s="11" t="s">
        <v>1599</v>
      </c>
      <c r="B593" s="11" t="s">
        <v>1599</v>
      </c>
      <c r="C593" s="11" t="s">
        <v>80</v>
      </c>
      <c r="D593" s="11" t="s">
        <v>18</v>
      </c>
      <c r="E593" s="12" t="s">
        <v>1672</v>
      </c>
      <c r="F593" s="12" t="s">
        <v>1673</v>
      </c>
      <c r="G593" s="12" t="s">
        <v>21</v>
      </c>
      <c r="H593" s="11" t="s">
        <v>63</v>
      </c>
      <c r="I593" s="13" t="s">
        <v>1674</v>
      </c>
      <c r="J593" s="14" t="str">
        <f>HYPERLINK("https://www.boe.es/gazeta/dias/1839/08/24/pdfs/GMD-1839-1745.pdf#page=4","Abrir facsímil")</f>
        <v>Abrir facsímil</v>
      </c>
      <c r="K593" s="12" t="s">
        <v>65</v>
      </c>
    </row>
    <row r="594" spans="1:11" ht="40.049999999999997" customHeight="1" x14ac:dyDescent="0.25">
      <c r="A594" s="11" t="s">
        <v>1599</v>
      </c>
      <c r="B594" s="11" t="s">
        <v>1599</v>
      </c>
      <c r="C594" s="11" t="s">
        <v>80</v>
      </c>
      <c r="D594" s="11" t="s">
        <v>18</v>
      </c>
      <c r="E594" s="12" t="s">
        <v>246</v>
      </c>
      <c r="F594" s="12" t="s">
        <v>247</v>
      </c>
      <c r="G594" s="12" t="s">
        <v>21</v>
      </c>
      <c r="H594" s="11" t="s">
        <v>63</v>
      </c>
      <c r="I594" s="13" t="s">
        <v>1675</v>
      </c>
      <c r="J594" s="14" t="str">
        <f>HYPERLINK("https://www.boe.es/gazeta/dias/1839/11/24/pdfs/GMD-1839-1841.pdf#page=4","Abrir facsímil")</f>
        <v>Abrir facsímil</v>
      </c>
      <c r="K594" s="12" t="s">
        <v>65</v>
      </c>
    </row>
    <row r="595" spans="1:11" ht="40.049999999999997" customHeight="1" x14ac:dyDescent="0.25">
      <c r="A595" s="11" t="s">
        <v>1599</v>
      </c>
      <c r="B595" s="11" t="s">
        <v>1599</v>
      </c>
      <c r="C595" s="11" t="s">
        <v>80</v>
      </c>
      <c r="D595" s="11" t="s">
        <v>18</v>
      </c>
      <c r="E595" s="12" t="s">
        <v>128</v>
      </c>
      <c r="F595" s="12" t="s">
        <v>129</v>
      </c>
      <c r="G595" s="12" t="s">
        <v>29</v>
      </c>
      <c r="H595" s="11" t="s">
        <v>63</v>
      </c>
      <c r="I595" s="13" t="s">
        <v>1676</v>
      </c>
      <c r="J595" s="14" t="str">
        <f>HYPERLINK("https://www.boe.es/gazeta/dias/1839/05/25/pdfs/GMD-1839-1652.pdf#page=1","Abrir facsímil")</f>
        <v>Abrir facsímil</v>
      </c>
      <c r="K595" s="12" t="s">
        <v>65</v>
      </c>
    </row>
    <row r="596" spans="1:11" ht="40.049999999999997" customHeight="1" x14ac:dyDescent="0.25">
      <c r="A596" s="11" t="s">
        <v>1599</v>
      </c>
      <c r="B596" s="11" t="s">
        <v>1599</v>
      </c>
      <c r="C596" s="11" t="s">
        <v>17</v>
      </c>
      <c r="D596" s="11" t="s">
        <v>18</v>
      </c>
      <c r="E596" s="12" t="s">
        <v>111</v>
      </c>
      <c r="F596" s="12" t="s">
        <v>112</v>
      </c>
      <c r="G596" s="12" t="s">
        <v>21</v>
      </c>
      <c r="H596" s="11" t="s">
        <v>63</v>
      </c>
      <c r="I596" s="13" t="s">
        <v>1677</v>
      </c>
      <c r="J596" s="14" t="str">
        <f>HYPERLINK("https://www.boe.es/gazeta/dias/1839/07/25/pdfs/GMD-1839-1714.pdf#page=4","Abrir facsímil")</f>
        <v>Abrir facsímil</v>
      </c>
      <c r="K596" s="12" t="s">
        <v>65</v>
      </c>
    </row>
    <row r="597" spans="1:11" ht="40.049999999999997" customHeight="1" x14ac:dyDescent="0.25">
      <c r="A597" s="11" t="s">
        <v>1599</v>
      </c>
      <c r="B597" s="11" t="s">
        <v>1599</v>
      </c>
      <c r="C597" s="11" t="s">
        <v>101</v>
      </c>
      <c r="D597" s="11" t="s">
        <v>43</v>
      </c>
      <c r="E597" s="12" t="s">
        <v>1446</v>
      </c>
      <c r="F597" s="12" t="s">
        <v>1447</v>
      </c>
      <c r="G597" s="12" t="s">
        <v>29</v>
      </c>
      <c r="H597" s="11" t="s">
        <v>63</v>
      </c>
      <c r="I597" s="13" t="s">
        <v>1678</v>
      </c>
      <c r="J597" s="14" t="str">
        <f>HYPERLINK("https://www.boe.es/gazeta/dias/1839/08/25/pdfs/GMD-1839-1746.pdf#page=1","Abrir facsímil")</f>
        <v>Abrir facsímil</v>
      </c>
      <c r="K597" s="12" t="s">
        <v>65</v>
      </c>
    </row>
    <row r="598" spans="1:11" ht="40.049999999999997" customHeight="1" x14ac:dyDescent="0.25">
      <c r="A598" s="11" t="s">
        <v>1599</v>
      </c>
      <c r="B598" s="11" t="s">
        <v>1599</v>
      </c>
      <c r="C598" s="11" t="s">
        <v>137</v>
      </c>
      <c r="D598" s="11" t="s">
        <v>18</v>
      </c>
      <c r="E598" s="12" t="s">
        <v>1679</v>
      </c>
      <c r="F598" s="12" t="s">
        <v>1680</v>
      </c>
      <c r="G598" s="12" t="s">
        <v>29</v>
      </c>
      <c r="H598" s="11" t="s">
        <v>63</v>
      </c>
      <c r="I598" s="13" t="s">
        <v>1681</v>
      </c>
      <c r="J598" s="14" t="str">
        <f>HYPERLINK("https://www.boe.es/gazeta/dias/1839/01/26/pdfs/GMD-1839-1533.pdf#page=1","Abrir facsímil")</f>
        <v>Abrir facsímil</v>
      </c>
      <c r="K598" s="12" t="s">
        <v>65</v>
      </c>
    </row>
    <row r="599" spans="1:11" ht="40.049999999999997" customHeight="1" x14ac:dyDescent="0.25">
      <c r="A599" s="11" t="s">
        <v>1599</v>
      </c>
      <c r="B599" s="11" t="s">
        <v>1599</v>
      </c>
      <c r="C599" s="11" t="s">
        <v>101</v>
      </c>
      <c r="D599" s="11" t="s">
        <v>102</v>
      </c>
      <c r="E599" s="12" t="s">
        <v>1682</v>
      </c>
      <c r="F599" s="12" t="s">
        <v>1683</v>
      </c>
      <c r="G599" s="12" t="s">
        <v>46</v>
      </c>
      <c r="H599" s="11" t="s">
        <v>63</v>
      </c>
      <c r="I599" s="13" t="s">
        <v>1684</v>
      </c>
      <c r="J599" s="14" t="str">
        <f>HYPERLINK("https://www.boe.es/gazeta/dias/1839/12/26/pdfs/GMD-1839-1873.pdf#page=3","Abrir facsímil")</f>
        <v>Abrir facsímil</v>
      </c>
      <c r="K599" s="12" t="s">
        <v>65</v>
      </c>
    </row>
    <row r="600" spans="1:11" ht="40.049999999999997" customHeight="1" x14ac:dyDescent="0.25">
      <c r="A600" s="11" t="s">
        <v>1599</v>
      </c>
      <c r="B600" s="11" t="s">
        <v>1599</v>
      </c>
      <c r="C600" s="11" t="s">
        <v>59</v>
      </c>
      <c r="D600" s="11" t="s">
        <v>60</v>
      </c>
      <c r="E600" s="12" t="s">
        <v>1685</v>
      </c>
      <c r="F600" s="12" t="s">
        <v>1686</v>
      </c>
      <c r="G600" s="12" t="s">
        <v>29</v>
      </c>
      <c r="H600" s="11" t="s">
        <v>63</v>
      </c>
      <c r="I600" s="13" t="s">
        <v>1687</v>
      </c>
      <c r="J600" s="14" t="str">
        <f>HYPERLINK("https://www.boe.es/gazeta/dias/1839/04/27/pdfs/GMD-1839-1624.pdf#page=1","Abrir facsímil")</f>
        <v>Abrir facsímil</v>
      </c>
      <c r="K600" s="12" t="s">
        <v>65</v>
      </c>
    </row>
    <row r="601" spans="1:11" ht="40.049999999999997" customHeight="1" x14ac:dyDescent="0.25">
      <c r="A601" s="11" t="s">
        <v>1599</v>
      </c>
      <c r="B601" s="11" t="s">
        <v>1599</v>
      </c>
      <c r="C601" s="11" t="s">
        <v>101</v>
      </c>
      <c r="D601" s="11" t="s">
        <v>102</v>
      </c>
      <c r="E601" s="12" t="s">
        <v>1588</v>
      </c>
      <c r="F601" s="12" t="s">
        <v>1589</v>
      </c>
      <c r="G601" s="12" t="s">
        <v>29</v>
      </c>
      <c r="H601" s="11" t="s">
        <v>63</v>
      </c>
      <c r="I601" s="13" t="s">
        <v>1688</v>
      </c>
      <c r="J601" s="14" t="str">
        <f>HYPERLINK("https://www.boe.es/gazeta/dias/1839/07/27/pdfs/GMD-1839-1716.pdf#page=1","Abrir facsímil")</f>
        <v>Abrir facsímil</v>
      </c>
      <c r="K601" s="12" t="s">
        <v>65</v>
      </c>
    </row>
    <row r="602" spans="1:11" ht="40.049999999999997" customHeight="1" x14ac:dyDescent="0.25">
      <c r="A602" s="11" t="s">
        <v>1599</v>
      </c>
      <c r="B602" s="11" t="s">
        <v>1599</v>
      </c>
      <c r="C602" s="11" t="s">
        <v>137</v>
      </c>
      <c r="D602" s="11" t="s">
        <v>18</v>
      </c>
      <c r="E602" s="12" t="s">
        <v>27</v>
      </c>
      <c r="F602" s="12" t="s">
        <v>28</v>
      </c>
      <c r="G602" s="12" t="s">
        <v>21</v>
      </c>
      <c r="H602" s="11" t="s">
        <v>63</v>
      </c>
      <c r="I602" s="13" t="s">
        <v>1689</v>
      </c>
      <c r="J602" s="14" t="str">
        <f>HYPERLINK("https://www.boe.es/gazeta/dias/1839/07/28/pdfs/GMD-1839-1717.pdf#page=4","Abrir facsímil")</f>
        <v>Abrir facsímil</v>
      </c>
      <c r="K602" s="12" t="s">
        <v>65</v>
      </c>
    </row>
    <row r="603" spans="1:11" ht="40.049999999999997" customHeight="1" x14ac:dyDescent="0.25">
      <c r="A603" s="11" t="s">
        <v>1599</v>
      </c>
      <c r="B603" s="11" t="s">
        <v>1599</v>
      </c>
      <c r="C603" s="11" t="s">
        <v>80</v>
      </c>
      <c r="D603" s="11" t="s">
        <v>18</v>
      </c>
      <c r="E603" s="12" t="s">
        <v>89</v>
      </c>
      <c r="F603" s="12" t="s">
        <v>90</v>
      </c>
      <c r="G603" s="12" t="s">
        <v>21</v>
      </c>
      <c r="H603" s="11" t="s">
        <v>63</v>
      </c>
      <c r="I603" s="13" t="s">
        <v>1690</v>
      </c>
      <c r="J603" s="14" t="str">
        <f>HYPERLINK("https://www.boe.es/gazeta/dias/1839/11/28/pdfs/GMD-1839-1845.pdf#page=4","Abrir facsímil")</f>
        <v>Abrir facsímil</v>
      </c>
      <c r="K603" s="12" t="s">
        <v>65</v>
      </c>
    </row>
    <row r="604" spans="1:11" ht="40.049999999999997" customHeight="1" x14ac:dyDescent="0.25">
      <c r="A604" s="11" t="s">
        <v>1599</v>
      </c>
      <c r="B604" s="11" t="s">
        <v>1599</v>
      </c>
      <c r="C604" s="11" t="s">
        <v>137</v>
      </c>
      <c r="D604" s="11" t="s">
        <v>18</v>
      </c>
      <c r="E604" s="12" t="s">
        <v>489</v>
      </c>
      <c r="F604" s="12" t="s">
        <v>490</v>
      </c>
      <c r="G604" s="12" t="s">
        <v>46</v>
      </c>
      <c r="H604" s="11" t="s">
        <v>63</v>
      </c>
      <c r="I604" s="13" t="s">
        <v>1691</v>
      </c>
      <c r="J604" s="14" t="str">
        <f>HYPERLINK("https://www.boe.es/gazeta/dias/1839/06/29/pdfs/GMD-1839-1687.pdf#page=3","Abrir facsímil")</f>
        <v>Abrir facsímil</v>
      </c>
      <c r="K604" s="12" t="s">
        <v>65</v>
      </c>
    </row>
    <row r="605" spans="1:11" ht="40.049999999999997" customHeight="1" x14ac:dyDescent="0.25">
      <c r="A605" s="11" t="s">
        <v>1599</v>
      </c>
      <c r="B605" s="11" t="s">
        <v>1599</v>
      </c>
      <c r="C605" s="11" t="s">
        <v>17</v>
      </c>
      <c r="D605" s="11" t="s">
        <v>18</v>
      </c>
      <c r="E605" s="12" t="s">
        <v>1692</v>
      </c>
      <c r="F605" s="12" t="s">
        <v>1693</v>
      </c>
      <c r="G605" s="12" t="s">
        <v>40</v>
      </c>
      <c r="H605" s="11" t="s">
        <v>63</v>
      </c>
      <c r="I605" s="13" t="s">
        <v>1694</v>
      </c>
      <c r="J605" s="14" t="str">
        <f>HYPERLINK("https://www.boe.es/gazeta/dias/1839/05/30/pdfs/GMD-1839-1657.pdf#page=2","Abrir facsímil")</f>
        <v>Abrir facsímil</v>
      </c>
      <c r="K605" s="12" t="s">
        <v>65</v>
      </c>
    </row>
    <row r="606" spans="1:11" ht="40.049999999999997" customHeight="1" x14ac:dyDescent="0.25">
      <c r="A606" s="11" t="s">
        <v>1599</v>
      </c>
      <c r="B606" s="11" t="s">
        <v>1599</v>
      </c>
      <c r="C606" s="11" t="s">
        <v>17</v>
      </c>
      <c r="D606" s="11" t="s">
        <v>18</v>
      </c>
      <c r="E606" s="12" t="s">
        <v>474</v>
      </c>
      <c r="F606" s="12" t="s">
        <v>475</v>
      </c>
      <c r="G606" s="12" t="s">
        <v>21</v>
      </c>
      <c r="H606" s="11" t="s">
        <v>63</v>
      </c>
      <c r="I606" s="13" t="s">
        <v>1695</v>
      </c>
      <c r="J606" s="14" t="str">
        <f>HYPERLINK("https://www.boe.es/gazeta/dias/1839/03/31/pdfs/GMD-1839-1597.pdf#page=4","Abrir facsímil")</f>
        <v>Abrir facsímil</v>
      </c>
      <c r="K606" s="12" t="s">
        <v>65</v>
      </c>
    </row>
    <row r="607" spans="1:11" ht="40.049999999999997" customHeight="1" x14ac:dyDescent="0.25">
      <c r="A607" s="11" t="s">
        <v>1599</v>
      </c>
      <c r="B607" s="11" t="s">
        <v>1599</v>
      </c>
      <c r="C607" s="11" t="s">
        <v>80</v>
      </c>
      <c r="D607" s="11" t="s">
        <v>18</v>
      </c>
      <c r="E607" s="12" t="s">
        <v>1696</v>
      </c>
      <c r="F607" s="12" t="s">
        <v>1697</v>
      </c>
      <c r="G607" s="12" t="s">
        <v>29</v>
      </c>
      <c r="H607" s="11" t="s">
        <v>63</v>
      </c>
      <c r="I607" s="13" t="s">
        <v>1698</v>
      </c>
      <c r="J607" s="14" t="str">
        <f>HYPERLINK("https://www.boe.es/gazeta/dias/1839/08/31/pdfs/GMD-1839-1752.pdf#page=1","Abrir facsímil")</f>
        <v>Abrir facsímil</v>
      </c>
      <c r="K607" s="12" t="s">
        <v>65</v>
      </c>
    </row>
    <row r="608" spans="1:11" ht="40.049999999999997" customHeight="1" x14ac:dyDescent="0.25">
      <c r="A608" s="11" t="s">
        <v>1699</v>
      </c>
      <c r="B608" s="11" t="s">
        <v>1700</v>
      </c>
      <c r="C608" s="11" t="s">
        <v>17</v>
      </c>
      <c r="D608" s="11" t="s">
        <v>18</v>
      </c>
      <c r="E608" s="12" t="s">
        <v>1072</v>
      </c>
      <c r="F608" s="12" t="s">
        <v>1073</v>
      </c>
      <c r="G608" s="12" t="s">
        <v>29</v>
      </c>
      <c r="H608" s="11" t="s">
        <v>22</v>
      </c>
      <c r="I608" s="13" t="s">
        <v>1701</v>
      </c>
      <c r="J608" s="14" t="str">
        <f>HYPERLINK("https://www.boe.es/gazeta/dias/1839/01/18/pdfs/GMD-1839-1525.pdf#page=1","Abrir facsímil")</f>
        <v>Abrir facsímil</v>
      </c>
      <c r="K608" s="12" t="s">
        <v>24</v>
      </c>
    </row>
    <row r="609" spans="1:11" ht="40.049999999999997" customHeight="1" x14ac:dyDescent="0.25">
      <c r="A609" s="11" t="s">
        <v>1699</v>
      </c>
      <c r="B609" s="11" t="s">
        <v>1700</v>
      </c>
      <c r="C609" s="11" t="s">
        <v>17</v>
      </c>
      <c r="D609" s="11" t="s">
        <v>18</v>
      </c>
      <c r="E609" s="12" t="s">
        <v>1072</v>
      </c>
      <c r="F609" s="12" t="s">
        <v>1073</v>
      </c>
      <c r="G609" s="12" t="s">
        <v>46</v>
      </c>
      <c r="H609" s="11" t="s">
        <v>22</v>
      </c>
      <c r="I609" s="13" t="s">
        <v>1702</v>
      </c>
      <c r="J609" s="14" t="str">
        <f>HYPERLINK("https://www.boe.es/gazeta/dias/1839/01/18/pdfs/GMD-1839-1525.pdf#page=3","Abrir facsímil")</f>
        <v>Abrir facsímil</v>
      </c>
      <c r="K609" s="12" t="s">
        <v>24</v>
      </c>
    </row>
    <row r="610" spans="1:11" ht="40.049999999999997" customHeight="1" x14ac:dyDescent="0.25">
      <c r="A610" s="11" t="s">
        <v>1699</v>
      </c>
      <c r="B610" s="11" t="s">
        <v>1700</v>
      </c>
      <c r="C610" s="11" t="s">
        <v>17</v>
      </c>
      <c r="D610" s="11" t="s">
        <v>18</v>
      </c>
      <c r="E610" s="12" t="s">
        <v>1703</v>
      </c>
      <c r="F610" s="12" t="s">
        <v>1704</v>
      </c>
      <c r="G610" s="12" t="s">
        <v>46</v>
      </c>
      <c r="H610" s="11" t="s">
        <v>22</v>
      </c>
      <c r="I610" s="13" t="s">
        <v>1705</v>
      </c>
      <c r="J610" s="14" t="str">
        <f>HYPERLINK("https://www.boe.es/gazeta/dias/1839/01/21/pdfs/GMD-1839-1528.pdf#page=3","Abrir facsímil")</f>
        <v>Abrir facsímil</v>
      </c>
      <c r="K610" s="12" t="s">
        <v>24</v>
      </c>
    </row>
    <row r="611" spans="1:11" ht="40.049999999999997" customHeight="1" x14ac:dyDescent="0.25">
      <c r="A611" s="11" t="s">
        <v>1699</v>
      </c>
      <c r="B611" s="11" t="s">
        <v>1700</v>
      </c>
      <c r="C611" s="11" t="s">
        <v>80</v>
      </c>
      <c r="D611" s="11" t="s">
        <v>18</v>
      </c>
      <c r="E611" s="12" t="s">
        <v>489</v>
      </c>
      <c r="F611" s="12" t="s">
        <v>490</v>
      </c>
      <c r="G611" s="12" t="s">
        <v>21</v>
      </c>
      <c r="H611" s="11" t="s">
        <v>22</v>
      </c>
      <c r="I611" s="13" t="s">
        <v>1706</v>
      </c>
      <c r="J611" s="14" t="str">
        <f>HYPERLINK("https://www.boe.es/gazeta/dias/1839/06/29/pdfs/GMD-1839-1687.pdf#page=4","Abrir facsímil")</f>
        <v>Abrir facsímil</v>
      </c>
      <c r="K611" s="12" t="s">
        <v>24</v>
      </c>
    </row>
    <row r="612" spans="1:11" ht="40.049999999999997" customHeight="1" x14ac:dyDescent="0.25">
      <c r="A612" s="11" t="s">
        <v>1707</v>
      </c>
      <c r="B612" s="11" t="s">
        <v>1708</v>
      </c>
      <c r="C612" s="11" t="s">
        <v>17</v>
      </c>
      <c r="D612" s="11" t="s">
        <v>18</v>
      </c>
      <c r="E612" s="12" t="s">
        <v>258</v>
      </c>
      <c r="F612" s="12" t="s">
        <v>259</v>
      </c>
      <c r="G612" s="12" t="s">
        <v>46</v>
      </c>
      <c r="H612" s="11" t="s">
        <v>22</v>
      </c>
      <c r="I612" s="13" t="s">
        <v>1709</v>
      </c>
      <c r="J612" s="14" t="str">
        <f>HYPERLINK("https://www.boe.es/gazeta/dias/1839/01/02/pdfs/GMD-1839-1509.pdf#page=3","Abrir facsímil")</f>
        <v>Abrir facsímil</v>
      </c>
      <c r="K612" s="12" t="s">
        <v>24</v>
      </c>
    </row>
    <row r="613" spans="1:11" ht="40.049999999999997" customHeight="1" x14ac:dyDescent="0.25">
      <c r="A613" s="11" t="s">
        <v>1710</v>
      </c>
      <c r="B613" s="11" t="s">
        <v>1711</v>
      </c>
      <c r="C613" s="11" t="s">
        <v>17</v>
      </c>
      <c r="D613" s="11" t="s">
        <v>18</v>
      </c>
      <c r="E613" s="12" t="s">
        <v>258</v>
      </c>
      <c r="F613" s="12" t="s">
        <v>259</v>
      </c>
      <c r="G613" s="12" t="s">
        <v>46</v>
      </c>
      <c r="H613" s="11" t="s">
        <v>22</v>
      </c>
      <c r="I613" s="13" t="s">
        <v>1712</v>
      </c>
      <c r="J613" s="14" t="str">
        <f>HYPERLINK("https://www.boe.es/gazeta/dias/1839/01/02/pdfs/GMD-1839-1509.pdf#page=3","Abrir facsímil")</f>
        <v>Abrir facsímil</v>
      </c>
      <c r="K613" s="12" t="s">
        <v>24</v>
      </c>
    </row>
    <row r="614" spans="1:11" ht="40.049999999999997" customHeight="1" x14ac:dyDescent="0.25">
      <c r="A614" s="11" t="s">
        <v>1713</v>
      </c>
      <c r="B614" s="11" t="s">
        <v>1714</v>
      </c>
      <c r="C614" s="11" t="s">
        <v>17</v>
      </c>
      <c r="D614" s="11" t="s">
        <v>18</v>
      </c>
      <c r="E614" s="12" t="s">
        <v>561</v>
      </c>
      <c r="F614" s="12" t="s">
        <v>562</v>
      </c>
      <c r="G614" s="12" t="s">
        <v>29</v>
      </c>
      <c r="H614" s="11" t="s">
        <v>63</v>
      </c>
      <c r="I614" s="13" t="s">
        <v>1715</v>
      </c>
      <c r="J614" s="14" t="str">
        <f>HYPERLINK("https://www.boe.es/gazeta/dias/1839/09/11/pdfs/GMD-1839-1764.pdf#page=1","Abrir facsímil")</f>
        <v>Abrir facsímil</v>
      </c>
      <c r="K614" s="12" t="s">
        <v>65</v>
      </c>
    </row>
    <row r="615" spans="1:11" ht="40.049999999999997" customHeight="1" x14ac:dyDescent="0.25">
      <c r="A615" s="11" t="s">
        <v>1716</v>
      </c>
      <c r="B615" s="11" t="s">
        <v>1717</v>
      </c>
      <c r="C615" s="11" t="s">
        <v>59</v>
      </c>
      <c r="D615" s="11" t="s">
        <v>60</v>
      </c>
      <c r="E615" s="12" t="s">
        <v>416</v>
      </c>
      <c r="F615" s="12" t="s">
        <v>417</v>
      </c>
      <c r="G615" s="12" t="s">
        <v>21</v>
      </c>
      <c r="H615" s="11" t="s">
        <v>63</v>
      </c>
      <c r="I615" s="13" t="s">
        <v>1718</v>
      </c>
      <c r="J615" s="14" t="str">
        <f>HYPERLINK("https://www.boe.es/gazeta/dias/1839/10/24/pdfs/GMD-1839-1810.pdf#page=4","Abrir facsímil")</f>
        <v>Abrir facsímil</v>
      </c>
      <c r="K615" s="12" t="s">
        <v>65</v>
      </c>
    </row>
    <row r="616" spans="1:11" ht="40.049999999999997" customHeight="1" x14ac:dyDescent="0.25">
      <c r="A616" s="11" t="s">
        <v>1719</v>
      </c>
      <c r="B616" s="11" t="s">
        <v>1720</v>
      </c>
      <c r="C616" s="11" t="s">
        <v>101</v>
      </c>
      <c r="D616" s="11" t="s">
        <v>43</v>
      </c>
      <c r="E616" s="12" t="s">
        <v>197</v>
      </c>
      <c r="F616" s="12" t="s">
        <v>198</v>
      </c>
      <c r="G616" s="12" t="s">
        <v>46</v>
      </c>
      <c r="H616" s="11" t="s">
        <v>22</v>
      </c>
      <c r="I616" s="13" t="s">
        <v>1721</v>
      </c>
      <c r="J616" s="14" t="str">
        <f>HYPERLINK("https://www.boe.es/gazeta/dias/1839/10/04/pdfs/GMD-1839-1790.pdf#page=3","Abrir facsímil")</f>
        <v>Abrir facsímil</v>
      </c>
      <c r="K616" s="12" t="s">
        <v>24</v>
      </c>
    </row>
    <row r="617" spans="1:11" ht="40.049999999999997" customHeight="1" x14ac:dyDescent="0.25">
      <c r="A617" s="11" t="s">
        <v>1722</v>
      </c>
      <c r="B617" s="11" t="s">
        <v>1723</v>
      </c>
      <c r="C617" s="11" t="s">
        <v>17</v>
      </c>
      <c r="D617" s="11" t="s">
        <v>18</v>
      </c>
      <c r="E617" s="12" t="s">
        <v>1414</v>
      </c>
      <c r="F617" s="12" t="s">
        <v>1415</v>
      </c>
      <c r="G617" s="12" t="s">
        <v>21</v>
      </c>
      <c r="H617" s="11" t="s">
        <v>63</v>
      </c>
      <c r="I617" s="13" t="s">
        <v>1724</v>
      </c>
      <c r="J617" s="14" t="str">
        <f>HYPERLINK("https://www.boe.es/gazeta/dias/1839/06/12/pdfs/GMD-1839-1670.pdf#page=4","Abrir facsímil")</f>
        <v>Abrir facsímil</v>
      </c>
      <c r="K617" s="12" t="s">
        <v>65</v>
      </c>
    </row>
    <row r="618" spans="1:11" ht="40.049999999999997" customHeight="1" x14ac:dyDescent="0.25">
      <c r="A618" s="11" t="s">
        <v>1722</v>
      </c>
      <c r="B618" s="11" t="s">
        <v>1723</v>
      </c>
      <c r="C618" s="11" t="s">
        <v>137</v>
      </c>
      <c r="D618" s="11" t="s">
        <v>18</v>
      </c>
      <c r="E618" s="12" t="s">
        <v>1725</v>
      </c>
      <c r="F618" s="12" t="s">
        <v>1726</v>
      </c>
      <c r="G618" s="12" t="s">
        <v>29</v>
      </c>
      <c r="H618" s="11" t="s">
        <v>63</v>
      </c>
      <c r="I618" s="13" t="s">
        <v>1727</v>
      </c>
      <c r="J618" s="14" t="str">
        <f>HYPERLINK("https://www.boe.es/gazeta/dias/1839/11/17/pdfs/GMD-1839-1834.pdf#page=1","Abrir facsímil")</f>
        <v>Abrir facsímil</v>
      </c>
      <c r="K618" s="12" t="s">
        <v>65</v>
      </c>
    </row>
    <row r="619" spans="1:11" ht="40.049999999999997" customHeight="1" x14ac:dyDescent="0.25">
      <c r="A619" s="11" t="s">
        <v>1722</v>
      </c>
      <c r="B619" s="11" t="s">
        <v>1723</v>
      </c>
      <c r="C619" s="11" t="s">
        <v>59</v>
      </c>
      <c r="D619" s="11" t="s">
        <v>60</v>
      </c>
      <c r="E619" s="12" t="s">
        <v>555</v>
      </c>
      <c r="F619" s="12" t="s">
        <v>556</v>
      </c>
      <c r="G619" s="12" t="s">
        <v>29</v>
      </c>
      <c r="H619" s="11" t="s">
        <v>63</v>
      </c>
      <c r="I619" s="13" t="s">
        <v>1728</v>
      </c>
      <c r="J619" s="14" t="str">
        <f>HYPERLINK("https://www.boe.es/gazeta/dias/1839/07/19/pdfs/GMD-1839-1707.pdf#page=1","Abrir facsímil")</f>
        <v>Abrir facsímil</v>
      </c>
      <c r="K619" s="12" t="s">
        <v>65</v>
      </c>
    </row>
    <row r="620" spans="1:11" ht="40.049999999999997" customHeight="1" x14ac:dyDescent="0.25">
      <c r="A620" s="11" t="s">
        <v>1722</v>
      </c>
      <c r="B620" s="11" t="s">
        <v>1723</v>
      </c>
      <c r="C620" s="11" t="s">
        <v>137</v>
      </c>
      <c r="D620" s="11" t="s">
        <v>18</v>
      </c>
      <c r="E620" s="12" t="s">
        <v>1729</v>
      </c>
      <c r="F620" s="12" t="s">
        <v>1730</v>
      </c>
      <c r="G620" s="12" t="s">
        <v>46</v>
      </c>
      <c r="H620" s="11" t="s">
        <v>63</v>
      </c>
      <c r="I620" s="13" t="s">
        <v>1731</v>
      </c>
      <c r="J620" s="14" t="str">
        <f>HYPERLINK("https://www.boe.es/gazeta/dias/1839/04/25/pdfs/GMD-1839-1622.pdf#page=3","Abrir facsímil")</f>
        <v>Abrir facsímil</v>
      </c>
      <c r="K620" s="12" t="s">
        <v>65</v>
      </c>
    </row>
    <row r="621" spans="1:11" ht="40.049999999999997" customHeight="1" x14ac:dyDescent="0.25">
      <c r="A621" s="11" t="s">
        <v>1732</v>
      </c>
      <c r="B621" s="11" t="s">
        <v>1733</v>
      </c>
      <c r="C621" s="11" t="s">
        <v>17</v>
      </c>
      <c r="D621" s="11" t="s">
        <v>18</v>
      </c>
      <c r="E621" s="12" t="s">
        <v>369</v>
      </c>
      <c r="F621" s="12" t="s">
        <v>370</v>
      </c>
      <c r="G621" s="12" t="s">
        <v>46</v>
      </c>
      <c r="H621" s="11" t="s">
        <v>63</v>
      </c>
      <c r="I621" s="13" t="s">
        <v>1734</v>
      </c>
      <c r="J621" s="14" t="str">
        <f>HYPERLINK("https://www.boe.es/gazeta/dias/1839/11/01/pdfs/GMD-1839-1818.pdf#page=3","Abrir facsímil")</f>
        <v>Abrir facsímil</v>
      </c>
      <c r="K621" s="12" t="s">
        <v>65</v>
      </c>
    </row>
    <row r="622" spans="1:11" ht="40.049999999999997" customHeight="1" x14ac:dyDescent="0.25">
      <c r="A622" s="11" t="s">
        <v>1732</v>
      </c>
      <c r="B622" s="11" t="s">
        <v>1733</v>
      </c>
      <c r="C622" s="11" t="s">
        <v>17</v>
      </c>
      <c r="D622" s="11" t="s">
        <v>18</v>
      </c>
      <c r="E622" s="12" t="s">
        <v>756</v>
      </c>
      <c r="F622" s="12" t="s">
        <v>757</v>
      </c>
      <c r="G622" s="12" t="s">
        <v>21</v>
      </c>
      <c r="H622" s="11" t="s">
        <v>63</v>
      </c>
      <c r="I622" s="13" t="s">
        <v>1735</v>
      </c>
      <c r="J622" s="14" t="str">
        <f>HYPERLINK("https://www.boe.es/gazeta/dias/1839/12/17/pdfs/GMD-1839-1864.pdf#page=4","Abrir facsímil")</f>
        <v>Abrir facsímil</v>
      </c>
      <c r="K622" s="12" t="s">
        <v>65</v>
      </c>
    </row>
    <row r="623" spans="1:11" ht="40.049999999999997" customHeight="1" x14ac:dyDescent="0.25">
      <c r="A623" s="11" t="s">
        <v>1732</v>
      </c>
      <c r="B623" s="11" t="s">
        <v>1733</v>
      </c>
      <c r="C623" s="11" t="s">
        <v>137</v>
      </c>
      <c r="D623" s="11" t="s">
        <v>18</v>
      </c>
      <c r="E623" s="12" t="s">
        <v>951</v>
      </c>
      <c r="F623" s="12" t="s">
        <v>952</v>
      </c>
      <c r="G623" s="12" t="s">
        <v>46</v>
      </c>
      <c r="H623" s="11" t="s">
        <v>63</v>
      </c>
      <c r="I623" s="13" t="s">
        <v>1736</v>
      </c>
      <c r="J623" s="14" t="str">
        <f>HYPERLINK("https://www.boe.es/gazeta/dias/1839/12/30/pdfs/GMD-1839-1877.pdf#page=3","Abrir facsímil")</f>
        <v>Abrir facsímil</v>
      </c>
      <c r="K623" s="12" t="s">
        <v>65</v>
      </c>
    </row>
    <row r="624" spans="1:11" ht="40.049999999999997" customHeight="1" x14ac:dyDescent="0.25">
      <c r="A624" s="11" t="s">
        <v>1737</v>
      </c>
      <c r="B624" s="11" t="s">
        <v>1738</v>
      </c>
      <c r="C624" s="11" t="s">
        <v>17</v>
      </c>
      <c r="D624" s="11" t="s">
        <v>18</v>
      </c>
      <c r="E624" s="12" t="s">
        <v>1123</v>
      </c>
      <c r="F624" s="12" t="s">
        <v>1124</v>
      </c>
      <c r="G624" s="12" t="s">
        <v>21</v>
      </c>
      <c r="H624" s="11" t="s">
        <v>63</v>
      </c>
      <c r="I624" s="13" t="s">
        <v>1739</v>
      </c>
      <c r="J624" s="14" t="str">
        <f>HYPERLINK("https://www.boe.es/gazeta/dias/1839/08/10/pdfs/GMD-1839-1730.pdf#page=4","Abrir facsímil")</f>
        <v>Abrir facsímil</v>
      </c>
      <c r="K624" s="12" t="s">
        <v>65</v>
      </c>
    </row>
    <row r="625" spans="1:11" ht="40.049999999999997" customHeight="1" x14ac:dyDescent="0.25">
      <c r="A625" s="11" t="s">
        <v>1740</v>
      </c>
      <c r="B625" s="11" t="s">
        <v>1741</v>
      </c>
      <c r="C625" s="11" t="s">
        <v>80</v>
      </c>
      <c r="D625" s="11" t="s">
        <v>18</v>
      </c>
      <c r="E625" s="12" t="s">
        <v>1388</v>
      </c>
      <c r="F625" s="12" t="s">
        <v>1389</v>
      </c>
      <c r="G625" s="12" t="s">
        <v>21</v>
      </c>
      <c r="H625" s="11" t="s">
        <v>63</v>
      </c>
      <c r="I625" s="13" t="s">
        <v>1742</v>
      </c>
      <c r="J625" s="14" t="str">
        <f>HYPERLINK("https://www.boe.es/gazeta/dias/1839/06/04/pdfs/GMD-1839-1662.pdf#page=4","Abrir facsímil")</f>
        <v>Abrir facsímil</v>
      </c>
      <c r="K625" s="12" t="s">
        <v>65</v>
      </c>
    </row>
    <row r="626" spans="1:11" ht="40.049999999999997" customHeight="1" x14ac:dyDescent="0.25">
      <c r="A626" s="11" t="s">
        <v>1743</v>
      </c>
      <c r="B626" s="11" t="s">
        <v>1743</v>
      </c>
      <c r="C626" s="11" t="s">
        <v>80</v>
      </c>
      <c r="D626" s="11" t="s">
        <v>18</v>
      </c>
      <c r="E626" s="12" t="s">
        <v>269</v>
      </c>
      <c r="F626" s="12" t="s">
        <v>270</v>
      </c>
      <c r="G626" s="12" t="s">
        <v>21</v>
      </c>
      <c r="H626" s="11" t="s">
        <v>63</v>
      </c>
      <c r="I626" s="13" t="s">
        <v>1744</v>
      </c>
      <c r="J626" s="14" t="str">
        <f>HYPERLINK("https://www.boe.es/gazeta/dias/1839/02/10/pdfs/GMD-1839-1548.pdf#page=4","Abrir facsímil")</f>
        <v>Abrir facsímil</v>
      </c>
      <c r="K626" s="12" t="s">
        <v>65</v>
      </c>
    </row>
    <row r="627" spans="1:11" ht="40.049999999999997" customHeight="1" x14ac:dyDescent="0.25">
      <c r="A627" s="11" t="s">
        <v>1745</v>
      </c>
      <c r="B627" s="11" t="s">
        <v>1746</v>
      </c>
      <c r="C627" s="11" t="s">
        <v>17</v>
      </c>
      <c r="D627" s="11" t="s">
        <v>18</v>
      </c>
      <c r="E627" s="12" t="s">
        <v>287</v>
      </c>
      <c r="F627" s="12" t="s">
        <v>288</v>
      </c>
      <c r="G627" s="12" t="s">
        <v>46</v>
      </c>
      <c r="H627" s="11" t="s">
        <v>63</v>
      </c>
      <c r="I627" s="13" t="s">
        <v>1747</v>
      </c>
      <c r="J627" s="14" t="str">
        <f>HYPERLINK("https://www.boe.es/gazeta/dias/1839/11/27/pdfs/GMD-1839-1844.pdf#page=3","Abrir facsímil")</f>
        <v>Abrir facsímil</v>
      </c>
      <c r="K627" s="12" t="s">
        <v>65</v>
      </c>
    </row>
    <row r="628" spans="1:11" ht="40.049999999999997" customHeight="1" x14ac:dyDescent="0.25">
      <c r="A628" s="11" t="s">
        <v>1748</v>
      </c>
      <c r="B628" s="11" t="s">
        <v>1748</v>
      </c>
      <c r="C628" s="11" t="s">
        <v>17</v>
      </c>
      <c r="D628" s="11" t="s">
        <v>18</v>
      </c>
      <c r="E628" s="12" t="s">
        <v>1749</v>
      </c>
      <c r="F628" s="12" t="s">
        <v>1750</v>
      </c>
      <c r="G628" s="12" t="s">
        <v>46</v>
      </c>
      <c r="H628" s="11" t="s">
        <v>63</v>
      </c>
      <c r="I628" s="13" t="s">
        <v>1751</v>
      </c>
      <c r="J628" s="14" t="str">
        <f>HYPERLINK("https://www.boe.es/gazeta/dias/1839/06/28/pdfs/GMD-1839-1686.pdf#page=3","Abrir facsímil")</f>
        <v>Abrir facsímil</v>
      </c>
      <c r="K628" s="12" t="s">
        <v>65</v>
      </c>
    </row>
    <row r="629" spans="1:11" ht="40.049999999999997" customHeight="1" x14ac:dyDescent="0.25">
      <c r="A629" s="11" t="s">
        <v>1752</v>
      </c>
      <c r="B629" s="11" t="s">
        <v>1753</v>
      </c>
      <c r="C629" s="11" t="s">
        <v>17</v>
      </c>
      <c r="D629" s="11" t="s">
        <v>18</v>
      </c>
      <c r="E629" s="12" t="s">
        <v>222</v>
      </c>
      <c r="F629" s="12" t="s">
        <v>223</v>
      </c>
      <c r="G629" s="12" t="s">
        <v>21</v>
      </c>
      <c r="H629" s="11" t="s">
        <v>63</v>
      </c>
      <c r="I629" s="13" t="s">
        <v>1754</v>
      </c>
      <c r="J629" s="14" t="str">
        <f>HYPERLINK("https://www.boe.es/gazeta/dias/1839/06/22/pdfs/GMD-1839-1680.pdf#page=4","Abrir facsímil")</f>
        <v>Abrir facsímil</v>
      </c>
      <c r="K629" s="12" t="s">
        <v>65</v>
      </c>
    </row>
    <row r="630" spans="1:11" ht="40.049999999999997" customHeight="1" x14ac:dyDescent="0.25">
      <c r="A630" s="11" t="s">
        <v>1755</v>
      </c>
      <c r="B630" s="11" t="s">
        <v>1756</v>
      </c>
      <c r="C630" s="11" t="s">
        <v>101</v>
      </c>
      <c r="D630" s="11" t="s">
        <v>43</v>
      </c>
      <c r="E630" s="12" t="s">
        <v>409</v>
      </c>
      <c r="F630" s="12" t="s">
        <v>410</v>
      </c>
      <c r="G630" s="12" t="s">
        <v>29</v>
      </c>
      <c r="H630" s="11" t="s">
        <v>63</v>
      </c>
      <c r="I630" s="13" t="s">
        <v>1757</v>
      </c>
      <c r="J630" s="14" t="str">
        <f>HYPERLINK("https://www.boe.es/gazeta/dias/1839/07/05/pdfs/GMD-1839-1693.pdf#page=1","Abrir facsímil")</f>
        <v>Abrir facsímil</v>
      </c>
      <c r="K630" s="12" t="s">
        <v>65</v>
      </c>
    </row>
    <row r="631" spans="1:11" ht="40.049999999999997" customHeight="1" x14ac:dyDescent="0.25">
      <c r="A631" s="11" t="s">
        <v>1755</v>
      </c>
      <c r="B631" s="11" t="s">
        <v>1756</v>
      </c>
      <c r="C631" s="11" t="s">
        <v>80</v>
      </c>
      <c r="D631" s="11" t="s">
        <v>18</v>
      </c>
      <c r="E631" s="12" t="s">
        <v>226</v>
      </c>
      <c r="F631" s="12" t="s">
        <v>227</v>
      </c>
      <c r="G631" s="12" t="s">
        <v>29</v>
      </c>
      <c r="H631" s="11" t="s">
        <v>63</v>
      </c>
      <c r="I631" s="13" t="s">
        <v>1758</v>
      </c>
      <c r="J631" s="14" t="str">
        <f>HYPERLINK("https://www.boe.es/gazeta/dias/1839/06/09/pdfs/GMD-1839-1667.pdf#page=1","Abrir facsímil")</f>
        <v>Abrir facsímil</v>
      </c>
      <c r="K631" s="12" t="s">
        <v>65</v>
      </c>
    </row>
    <row r="632" spans="1:11" ht="40.049999999999997" customHeight="1" x14ac:dyDescent="0.25">
      <c r="A632" s="11" t="s">
        <v>1759</v>
      </c>
      <c r="B632" s="11" t="s">
        <v>1760</v>
      </c>
      <c r="C632" s="11" t="s">
        <v>59</v>
      </c>
      <c r="D632" s="11" t="s">
        <v>60</v>
      </c>
      <c r="E632" s="12" t="s">
        <v>1460</v>
      </c>
      <c r="F632" s="12" t="s">
        <v>1461</v>
      </c>
      <c r="G632" s="12" t="s">
        <v>46</v>
      </c>
      <c r="H632" s="11" t="s">
        <v>63</v>
      </c>
      <c r="I632" s="13" t="s">
        <v>1761</v>
      </c>
      <c r="J632" s="14" t="str">
        <f>HYPERLINK("https://www.boe.es/gazeta/dias/1839/03/01/pdfs/GMD-1839-1567.pdf#page=3","Abrir facsímil")</f>
        <v>Abrir facsímil</v>
      </c>
      <c r="K632" s="12" t="s">
        <v>65</v>
      </c>
    </row>
    <row r="633" spans="1:11" ht="40.049999999999997" customHeight="1" x14ac:dyDescent="0.25">
      <c r="A633" s="11" t="s">
        <v>1762</v>
      </c>
      <c r="B633" s="11" t="s">
        <v>1762</v>
      </c>
      <c r="C633" s="11" t="s">
        <v>101</v>
      </c>
      <c r="D633" s="11" t="s">
        <v>43</v>
      </c>
      <c r="E633" s="12" t="s">
        <v>1183</v>
      </c>
      <c r="F633" s="12" t="s">
        <v>1184</v>
      </c>
      <c r="G633" s="12" t="s">
        <v>29</v>
      </c>
      <c r="H633" s="11" t="s">
        <v>63</v>
      </c>
      <c r="I633" s="13" t="s">
        <v>1763</v>
      </c>
      <c r="J633" s="14" t="str">
        <f>HYPERLINK("https://www.boe.es/gazeta/dias/1839/07/26/pdfs/GMD-1839-1715.pdf#page=1","Abrir facsímil")</f>
        <v>Abrir facsímil</v>
      </c>
      <c r="K633" s="12" t="s">
        <v>65</v>
      </c>
    </row>
    <row r="634" spans="1:11" ht="40.049999999999997" customHeight="1" x14ac:dyDescent="0.25">
      <c r="A634" s="11" t="s">
        <v>1764</v>
      </c>
      <c r="B634" s="11" t="s">
        <v>1765</v>
      </c>
      <c r="C634" s="11" t="s">
        <v>17</v>
      </c>
      <c r="D634" s="11" t="s">
        <v>18</v>
      </c>
      <c r="E634" s="12" t="s">
        <v>606</v>
      </c>
      <c r="F634" s="12" t="s">
        <v>607</v>
      </c>
      <c r="G634" s="12" t="s">
        <v>29</v>
      </c>
      <c r="H634" s="11" t="s">
        <v>63</v>
      </c>
      <c r="I634" s="13" t="s">
        <v>1766</v>
      </c>
      <c r="J634" s="14" t="str">
        <f>HYPERLINK("https://www.boe.es/gazeta/dias/1839/04/02/pdfs/GMD-1839-1599.pdf#page=1","Abrir facsímil")</f>
        <v>Abrir facsímil</v>
      </c>
      <c r="K634" s="12" t="s">
        <v>65</v>
      </c>
    </row>
    <row r="635" spans="1:11" ht="40.049999999999997" customHeight="1" x14ac:dyDescent="0.25">
      <c r="A635" s="11" t="s">
        <v>1767</v>
      </c>
      <c r="B635" s="11" t="s">
        <v>1767</v>
      </c>
      <c r="C635" s="11" t="s">
        <v>137</v>
      </c>
      <c r="D635" s="11" t="s">
        <v>18</v>
      </c>
      <c r="E635" s="12" t="s">
        <v>409</v>
      </c>
      <c r="F635" s="12" t="s">
        <v>410</v>
      </c>
      <c r="G635" s="12" t="s">
        <v>29</v>
      </c>
      <c r="H635" s="11" t="s">
        <v>22</v>
      </c>
      <c r="I635" s="13" t="s">
        <v>1768</v>
      </c>
      <c r="J635" s="14" t="str">
        <f>HYPERLINK("https://www.boe.es/gazeta/dias/1839/07/05/pdfs/GMD-1839-1693.pdf#page=1","Abrir facsímil")</f>
        <v>Abrir facsímil</v>
      </c>
      <c r="K635" s="12" t="s">
        <v>24</v>
      </c>
    </row>
    <row r="636" spans="1:11" ht="40.049999999999997" customHeight="1" x14ac:dyDescent="0.25">
      <c r="A636" s="11" t="s">
        <v>1769</v>
      </c>
      <c r="B636" s="11" t="s">
        <v>1770</v>
      </c>
      <c r="C636" s="11" t="s">
        <v>17</v>
      </c>
      <c r="D636" s="11" t="s">
        <v>18</v>
      </c>
      <c r="E636" s="12" t="s">
        <v>1340</v>
      </c>
      <c r="F636" s="12" t="s">
        <v>1341</v>
      </c>
      <c r="G636" s="12" t="s">
        <v>40</v>
      </c>
      <c r="H636" s="11" t="s">
        <v>63</v>
      </c>
      <c r="I636" s="13" t="s">
        <v>1771</v>
      </c>
      <c r="J636" s="14" t="str">
        <f>HYPERLINK("https://www.boe.es/gazeta/dias/1839/05/05/pdfs/GMD-1839-1632.pdf#page=2","Abrir facsímil")</f>
        <v>Abrir facsímil</v>
      </c>
      <c r="K636" s="12" t="s">
        <v>65</v>
      </c>
    </row>
    <row r="637" spans="1:11" ht="40.049999999999997" customHeight="1" x14ac:dyDescent="0.25">
      <c r="A637" s="11" t="s">
        <v>1769</v>
      </c>
      <c r="B637" s="11" t="s">
        <v>1770</v>
      </c>
      <c r="C637" s="11" t="s">
        <v>17</v>
      </c>
      <c r="D637" s="11" t="s">
        <v>18</v>
      </c>
      <c r="E637" s="12" t="s">
        <v>1772</v>
      </c>
      <c r="F637" s="12" t="s">
        <v>1773</v>
      </c>
      <c r="G637" s="12" t="s">
        <v>40</v>
      </c>
      <c r="H637" s="11" t="s">
        <v>63</v>
      </c>
      <c r="I637" s="13" t="s">
        <v>1774</v>
      </c>
      <c r="J637" s="14" t="str">
        <f>HYPERLINK("https://www.boe.es/gazeta/dias/1839/05/07/pdfs/GMD-1839-1634.pdf#page=2","Abrir facsímil")</f>
        <v>Abrir facsímil</v>
      </c>
      <c r="K637" s="12" t="s">
        <v>65</v>
      </c>
    </row>
    <row r="638" spans="1:11" ht="40.049999999999997" customHeight="1" x14ac:dyDescent="0.25">
      <c r="A638" s="11" t="s">
        <v>1769</v>
      </c>
      <c r="B638" s="11" t="s">
        <v>1770</v>
      </c>
      <c r="C638" s="11" t="s">
        <v>17</v>
      </c>
      <c r="D638" s="11" t="s">
        <v>43</v>
      </c>
      <c r="E638" s="12" t="s">
        <v>1562</v>
      </c>
      <c r="F638" s="12" t="s">
        <v>1563</v>
      </c>
      <c r="G638" s="12" t="s">
        <v>29</v>
      </c>
      <c r="H638" s="11" t="s">
        <v>63</v>
      </c>
      <c r="I638" s="13" t="s">
        <v>1775</v>
      </c>
      <c r="J638" s="14" t="str">
        <f>HYPERLINK("https://www.boe.es/gazeta/dias/1839/04/08/pdfs/GMD-1839-1605.pdf#page=1","Abrir facsímil")</f>
        <v>Abrir facsímil</v>
      </c>
      <c r="K638" s="12" t="s">
        <v>65</v>
      </c>
    </row>
    <row r="639" spans="1:11" ht="40.049999999999997" customHeight="1" x14ac:dyDescent="0.25">
      <c r="A639" s="11" t="s">
        <v>1769</v>
      </c>
      <c r="B639" s="11" t="s">
        <v>1770</v>
      </c>
      <c r="C639" s="11" t="s">
        <v>17</v>
      </c>
      <c r="D639" s="11" t="s">
        <v>18</v>
      </c>
      <c r="E639" s="12" t="s">
        <v>984</v>
      </c>
      <c r="F639" s="12" t="s">
        <v>985</v>
      </c>
      <c r="G639" s="12" t="s">
        <v>29</v>
      </c>
      <c r="H639" s="11" t="s">
        <v>63</v>
      </c>
      <c r="I639" s="13" t="s">
        <v>1776</v>
      </c>
      <c r="J639" s="14" t="str">
        <f>HYPERLINK("https://www.boe.es/gazeta/dias/1839/04/10/pdfs/GMD-1839-1607.pdf#page=1","Abrir facsímil")</f>
        <v>Abrir facsímil</v>
      </c>
      <c r="K639" s="12" t="s">
        <v>65</v>
      </c>
    </row>
    <row r="640" spans="1:11" ht="40.049999999999997" customHeight="1" x14ac:dyDescent="0.25">
      <c r="A640" s="11" t="s">
        <v>1769</v>
      </c>
      <c r="B640" s="11" t="s">
        <v>1770</v>
      </c>
      <c r="C640" s="11" t="s">
        <v>17</v>
      </c>
      <c r="D640" s="11" t="s">
        <v>18</v>
      </c>
      <c r="E640" s="12" t="s">
        <v>621</v>
      </c>
      <c r="F640" s="12" t="s">
        <v>622</v>
      </c>
      <c r="G640" s="12" t="s">
        <v>29</v>
      </c>
      <c r="H640" s="11" t="s">
        <v>63</v>
      </c>
      <c r="I640" s="13" t="s">
        <v>1777</v>
      </c>
      <c r="J640" s="14" t="str">
        <f>HYPERLINK("https://www.boe.es/gazeta/dias/1839/04/14/pdfs/GMD-1839-1611.pdf#page=1","Abrir facsímil")</f>
        <v>Abrir facsímil</v>
      </c>
      <c r="K640" s="12" t="s">
        <v>65</v>
      </c>
    </row>
    <row r="641" spans="1:11" ht="40.049999999999997" customHeight="1" x14ac:dyDescent="0.25">
      <c r="A641" s="11" t="s">
        <v>1769</v>
      </c>
      <c r="B641" s="11" t="s">
        <v>1770</v>
      </c>
      <c r="C641" s="11" t="s">
        <v>137</v>
      </c>
      <c r="D641" s="11" t="s">
        <v>18</v>
      </c>
      <c r="E641" s="12" t="s">
        <v>513</v>
      </c>
      <c r="F641" s="12" t="s">
        <v>514</v>
      </c>
      <c r="G641" s="12" t="s">
        <v>29</v>
      </c>
      <c r="H641" s="11" t="s">
        <v>63</v>
      </c>
      <c r="I641" s="13" t="s">
        <v>1778</v>
      </c>
      <c r="J641" s="14" t="str">
        <f>HYPERLINK("https://www.boe.es/gazeta/dias/1839/03/17/pdfs/GMD-1839-1583.pdf#page=1","Abrir facsímil")</f>
        <v>Abrir facsímil</v>
      </c>
      <c r="K641" s="12" t="s">
        <v>65</v>
      </c>
    </row>
    <row r="642" spans="1:11" ht="40.049999999999997" customHeight="1" x14ac:dyDescent="0.25">
      <c r="A642" s="11" t="s">
        <v>1769</v>
      </c>
      <c r="B642" s="11" t="s">
        <v>1770</v>
      </c>
      <c r="C642" s="11" t="s">
        <v>80</v>
      </c>
      <c r="D642" s="11" t="s">
        <v>18</v>
      </c>
      <c r="E642" s="12" t="s">
        <v>1779</v>
      </c>
      <c r="F642" s="12" t="s">
        <v>1780</v>
      </c>
      <c r="G642" s="12" t="s">
        <v>29</v>
      </c>
      <c r="H642" s="11" t="s">
        <v>63</v>
      </c>
      <c r="I642" s="13" t="s">
        <v>1781</v>
      </c>
      <c r="J642" s="14" t="str">
        <f>HYPERLINK("https://www.boe.es/gazeta/dias/1839/03/18/pdfs/GMD-1839-1584.pdf#page=1","Abrir facsímil")</f>
        <v>Abrir facsímil</v>
      </c>
      <c r="K642" s="12" t="s">
        <v>65</v>
      </c>
    </row>
    <row r="643" spans="1:11" ht="40.049999999999997" customHeight="1" x14ac:dyDescent="0.25">
      <c r="A643" s="11" t="s">
        <v>1769</v>
      </c>
      <c r="B643" s="11" t="s">
        <v>1770</v>
      </c>
      <c r="C643" s="11" t="s">
        <v>17</v>
      </c>
      <c r="D643" s="11" t="s">
        <v>18</v>
      </c>
      <c r="E643" s="12" t="s">
        <v>405</v>
      </c>
      <c r="F643" s="12" t="s">
        <v>406</v>
      </c>
      <c r="G643" s="12" t="s">
        <v>29</v>
      </c>
      <c r="H643" s="11" t="s">
        <v>63</v>
      </c>
      <c r="I643" s="13" t="s">
        <v>1782</v>
      </c>
      <c r="J643" s="14" t="str">
        <f>HYPERLINK("https://www.boe.es/gazeta/dias/1839/03/25/pdfs/GMD-1839-1591.pdf#page=1","Abrir facsímil")</f>
        <v>Abrir facsímil</v>
      </c>
      <c r="K643" s="12" t="s">
        <v>65</v>
      </c>
    </row>
    <row r="644" spans="1:11" ht="40.049999999999997" customHeight="1" x14ac:dyDescent="0.25">
      <c r="A644" s="11" t="s">
        <v>1769</v>
      </c>
      <c r="B644" s="11" t="s">
        <v>1770</v>
      </c>
      <c r="C644" s="11" t="s">
        <v>17</v>
      </c>
      <c r="D644" s="11" t="s">
        <v>18</v>
      </c>
      <c r="E644" s="12" t="s">
        <v>1336</v>
      </c>
      <c r="F644" s="12" t="s">
        <v>1337</v>
      </c>
      <c r="G644" s="12" t="s">
        <v>29</v>
      </c>
      <c r="H644" s="11" t="s">
        <v>63</v>
      </c>
      <c r="I644" s="13" t="s">
        <v>1783</v>
      </c>
      <c r="J644" s="14" t="str">
        <f>HYPERLINK("https://www.boe.es/gazeta/dias/1839/02/26/pdfs/GMD-1839-1564.pdf#page=1","Abrir facsímil")</f>
        <v>Abrir facsímil</v>
      </c>
      <c r="K644" s="12" t="s">
        <v>65</v>
      </c>
    </row>
    <row r="645" spans="1:11" ht="40.049999999999997" customHeight="1" x14ac:dyDescent="0.25">
      <c r="A645" s="11" t="s">
        <v>1769</v>
      </c>
      <c r="B645" s="11" t="s">
        <v>1770</v>
      </c>
      <c r="C645" s="11" t="s">
        <v>17</v>
      </c>
      <c r="D645" s="11" t="s">
        <v>18</v>
      </c>
      <c r="E645" s="12" t="s">
        <v>1685</v>
      </c>
      <c r="F645" s="12" t="s">
        <v>1686</v>
      </c>
      <c r="G645" s="12" t="s">
        <v>29</v>
      </c>
      <c r="H645" s="11" t="s">
        <v>63</v>
      </c>
      <c r="I645" s="13" t="s">
        <v>1784</v>
      </c>
      <c r="J645" s="14" t="str">
        <f>HYPERLINK("https://www.boe.es/gazeta/dias/1839/04/27/pdfs/GMD-1839-1624.pdf#page=1","Abrir facsímil")</f>
        <v>Abrir facsímil</v>
      </c>
      <c r="K645" s="12" t="s">
        <v>65</v>
      </c>
    </row>
    <row r="646" spans="1:11" ht="40.049999999999997" customHeight="1" x14ac:dyDescent="0.25">
      <c r="A646" s="11" t="s">
        <v>1769</v>
      </c>
      <c r="B646" s="11" t="s">
        <v>1770</v>
      </c>
      <c r="C646" s="11" t="s">
        <v>17</v>
      </c>
      <c r="D646" s="11" t="s">
        <v>18</v>
      </c>
      <c r="E646" s="12" t="s">
        <v>1269</v>
      </c>
      <c r="F646" s="12" t="s">
        <v>1270</v>
      </c>
      <c r="G646" s="12" t="s">
        <v>46</v>
      </c>
      <c r="H646" s="11" t="s">
        <v>63</v>
      </c>
      <c r="I646" s="13" t="s">
        <v>1785</v>
      </c>
      <c r="J646" s="14" t="str">
        <f>HYPERLINK("https://www.boe.es/gazeta/dias/1839/04/29/pdfs/GMD-1839-1626.pdf#page=3","Abrir facsímil")</f>
        <v>Abrir facsímil</v>
      </c>
      <c r="K646" s="12" t="s">
        <v>65</v>
      </c>
    </row>
    <row r="647" spans="1:11" ht="40.049999999999997" customHeight="1" x14ac:dyDescent="0.25">
      <c r="A647" s="11" t="s">
        <v>1786</v>
      </c>
      <c r="B647" s="11" t="s">
        <v>1787</v>
      </c>
      <c r="C647" s="11" t="s">
        <v>17</v>
      </c>
      <c r="D647" s="11" t="s">
        <v>18</v>
      </c>
      <c r="E647" s="12" t="s">
        <v>606</v>
      </c>
      <c r="F647" s="12" t="s">
        <v>607</v>
      </c>
      <c r="G647" s="12" t="s">
        <v>29</v>
      </c>
      <c r="H647" s="11" t="s">
        <v>63</v>
      </c>
      <c r="I647" s="13" t="s">
        <v>1788</v>
      </c>
      <c r="J647" s="14" t="str">
        <f>HYPERLINK("https://www.boe.es/gazeta/dias/1839/04/02/pdfs/GMD-1839-1599.pdf#page=1","Abrir facsímil")</f>
        <v>Abrir facsímil</v>
      </c>
      <c r="K647" s="12" t="s">
        <v>65</v>
      </c>
    </row>
    <row r="648" spans="1:11" ht="40.049999999999997" customHeight="1" x14ac:dyDescent="0.25">
      <c r="A648" s="11" t="s">
        <v>1789</v>
      </c>
      <c r="B648" s="11" t="s">
        <v>1790</v>
      </c>
      <c r="C648" s="11" t="s">
        <v>80</v>
      </c>
      <c r="D648" s="11" t="s">
        <v>173</v>
      </c>
      <c r="E648" s="12" t="s">
        <v>1366</v>
      </c>
      <c r="F648" s="12" t="s">
        <v>1367</v>
      </c>
      <c r="G648" s="12" t="s">
        <v>40</v>
      </c>
      <c r="H648" s="11" t="s">
        <v>63</v>
      </c>
      <c r="I648" s="13" t="s">
        <v>1791</v>
      </c>
      <c r="J648" s="14" t="str">
        <f>HYPERLINK("https://www.boe.es/gazeta/dias/1839/09/09/pdfs/GMD-1839-1762.pdf#page=2","Abrir facsímil")</f>
        <v>Abrir facsímil</v>
      </c>
      <c r="K648" s="12" t="s">
        <v>65</v>
      </c>
    </row>
    <row r="649" spans="1:11" ht="40.049999999999997" customHeight="1" x14ac:dyDescent="0.25">
      <c r="A649" s="11" t="s">
        <v>1792</v>
      </c>
      <c r="B649" s="11" t="s">
        <v>1793</v>
      </c>
      <c r="C649" s="11" t="s">
        <v>17</v>
      </c>
      <c r="D649" s="11" t="s">
        <v>18</v>
      </c>
      <c r="E649" s="12" t="s">
        <v>1794</v>
      </c>
      <c r="F649" s="12" t="s">
        <v>1795</v>
      </c>
      <c r="G649" s="12" t="s">
        <v>29</v>
      </c>
      <c r="H649" s="11" t="s">
        <v>63</v>
      </c>
      <c r="I649" s="13" t="s">
        <v>1796</v>
      </c>
      <c r="J649" s="14" t="str">
        <f>HYPERLINK("https://www.boe.es/gazeta/dias/1839/02/22/pdfs/GMD-1839-1560.pdf#page=1","Abrir facsímil")</f>
        <v>Abrir facsímil</v>
      </c>
      <c r="K649" s="12" t="s">
        <v>65</v>
      </c>
    </row>
    <row r="650" spans="1:11" ht="40.049999999999997" customHeight="1" x14ac:dyDescent="0.25">
      <c r="A650" s="11" t="s">
        <v>1797</v>
      </c>
      <c r="B650" s="11" t="s">
        <v>1798</v>
      </c>
      <c r="C650" s="11" t="s">
        <v>101</v>
      </c>
      <c r="D650" s="11" t="s">
        <v>43</v>
      </c>
      <c r="E650" s="12" t="s">
        <v>1654</v>
      </c>
      <c r="F650" s="12" t="s">
        <v>1655</v>
      </c>
      <c r="G650" s="12" t="s">
        <v>29</v>
      </c>
      <c r="H650" s="11" t="s">
        <v>63</v>
      </c>
      <c r="I650" s="13" t="s">
        <v>1799</v>
      </c>
      <c r="J650" s="14" t="str">
        <f>HYPERLINK("https://www.boe.es/gazeta/dias/1839/11/19/pdfs/GMD-1839-1836.pdf#page=1","Abrir facsímil")</f>
        <v>Abrir facsímil</v>
      </c>
      <c r="K650" s="12" t="s">
        <v>65</v>
      </c>
    </row>
    <row r="651" spans="1:11" ht="40.049999999999997" customHeight="1" x14ac:dyDescent="0.25">
      <c r="A651" s="11" t="s">
        <v>1800</v>
      </c>
      <c r="B651" s="11" t="s">
        <v>1801</v>
      </c>
      <c r="C651" s="11" t="s">
        <v>59</v>
      </c>
      <c r="D651" s="11" t="s">
        <v>60</v>
      </c>
      <c r="E651" s="12" t="s">
        <v>1623</v>
      </c>
      <c r="F651" s="12" t="s">
        <v>1624</v>
      </c>
      <c r="G651" s="12" t="s">
        <v>40</v>
      </c>
      <c r="H651" s="11" t="s">
        <v>63</v>
      </c>
      <c r="I651" s="13" t="s">
        <v>1802</v>
      </c>
      <c r="J651" s="14" t="str">
        <f>HYPERLINK("https://www.boe.es/gazeta/dias/1839/04/07/pdfs/GMD-1839-1604.pdf#page=2","Abrir facsímil")</f>
        <v>Abrir facsímil</v>
      </c>
      <c r="K651" s="12" t="s">
        <v>65</v>
      </c>
    </row>
    <row r="652" spans="1:11" ht="40.049999999999997" customHeight="1" x14ac:dyDescent="0.25">
      <c r="A652" s="11" t="s">
        <v>1803</v>
      </c>
      <c r="B652" s="11" t="s">
        <v>1803</v>
      </c>
      <c r="C652" s="11" t="s">
        <v>59</v>
      </c>
      <c r="D652" s="11" t="s">
        <v>60</v>
      </c>
      <c r="E652" s="12" t="s">
        <v>1008</v>
      </c>
      <c r="F652" s="12" t="s">
        <v>1009</v>
      </c>
      <c r="G652" s="12" t="s">
        <v>40</v>
      </c>
      <c r="H652" s="11" t="s">
        <v>63</v>
      </c>
      <c r="I652" s="13" t="s">
        <v>1804</v>
      </c>
      <c r="J652" s="14" t="str">
        <f>HYPERLINK("https://www.boe.es/gazeta/dias/1839/09/07/pdfs/GMD-1839-1760.pdf#page=2","Abrir facsímil")</f>
        <v>Abrir facsímil</v>
      </c>
      <c r="K652" s="12" t="s">
        <v>65</v>
      </c>
    </row>
    <row r="653" spans="1:11" ht="40.049999999999997" customHeight="1" x14ac:dyDescent="0.25">
      <c r="A653" s="11" t="s">
        <v>1803</v>
      </c>
      <c r="B653" s="11" t="s">
        <v>1803</v>
      </c>
      <c r="C653" s="11" t="s">
        <v>80</v>
      </c>
      <c r="D653" s="11" t="s">
        <v>18</v>
      </c>
      <c r="E653" s="12" t="s">
        <v>111</v>
      </c>
      <c r="F653" s="12" t="s">
        <v>112</v>
      </c>
      <c r="G653" s="12" t="s">
        <v>40</v>
      </c>
      <c r="H653" s="11" t="s">
        <v>63</v>
      </c>
      <c r="I653" s="13" t="s">
        <v>1805</v>
      </c>
      <c r="J653" s="14" t="str">
        <f>HYPERLINK("https://www.boe.es/gazeta/dias/1839/07/25/pdfs/GMD-1839-1714.pdf#page=2","Abrir facsímil")</f>
        <v>Abrir facsímil</v>
      </c>
      <c r="K653" s="12" t="s">
        <v>65</v>
      </c>
    </row>
    <row r="654" spans="1:11" ht="40.049999999999997" customHeight="1" x14ac:dyDescent="0.25">
      <c r="A654" s="11" t="s">
        <v>1806</v>
      </c>
      <c r="B654" s="11" t="s">
        <v>1806</v>
      </c>
      <c r="C654" s="11" t="s">
        <v>80</v>
      </c>
      <c r="D654" s="11" t="s">
        <v>18</v>
      </c>
      <c r="E654" s="12" t="s">
        <v>1807</v>
      </c>
      <c r="F654" s="12" t="s">
        <v>1808</v>
      </c>
      <c r="G654" s="12" t="s">
        <v>21</v>
      </c>
      <c r="H654" s="11" t="s">
        <v>63</v>
      </c>
      <c r="I654" s="13" t="s">
        <v>1809</v>
      </c>
      <c r="J654" s="14" t="str">
        <f>HYPERLINK("https://www.boe.es/gazeta/dias/1839/01/29/pdfs/GMD-1839-1536.pdf#page=4","Abrir facsímil")</f>
        <v>Abrir facsímil</v>
      </c>
      <c r="K654" s="12" t="s">
        <v>65</v>
      </c>
    </row>
    <row r="655" spans="1:11" ht="40.049999999999997" customHeight="1" x14ac:dyDescent="0.25">
      <c r="A655" s="11" t="s">
        <v>1810</v>
      </c>
      <c r="B655" s="11" t="s">
        <v>1810</v>
      </c>
      <c r="C655" s="11" t="s">
        <v>59</v>
      </c>
      <c r="D655" s="11" t="s">
        <v>60</v>
      </c>
      <c r="E655" s="12" t="s">
        <v>984</v>
      </c>
      <c r="F655" s="12" t="s">
        <v>985</v>
      </c>
      <c r="G655" s="12" t="s">
        <v>21</v>
      </c>
      <c r="H655" s="11" t="s">
        <v>63</v>
      </c>
      <c r="I655" s="13" t="s">
        <v>1811</v>
      </c>
      <c r="J655" s="14" t="str">
        <f>HYPERLINK("https://www.boe.es/gazeta/dias/1839/04/10/pdfs/GMD-1839-1607.pdf#page=4","Abrir facsímil")</f>
        <v>Abrir facsímil</v>
      </c>
      <c r="K655" s="12" t="s">
        <v>65</v>
      </c>
    </row>
    <row r="656" spans="1:11" ht="40.049999999999997" customHeight="1" x14ac:dyDescent="0.25">
      <c r="A656" s="11" t="s">
        <v>1812</v>
      </c>
      <c r="B656" s="11" t="s">
        <v>1812</v>
      </c>
      <c r="C656" s="11" t="s">
        <v>59</v>
      </c>
      <c r="D656" s="11" t="s">
        <v>60</v>
      </c>
      <c r="E656" s="12" t="s">
        <v>1813</v>
      </c>
      <c r="F656" s="12" t="s">
        <v>1814</v>
      </c>
      <c r="G656" s="12" t="s">
        <v>40</v>
      </c>
      <c r="H656" s="11" t="s">
        <v>63</v>
      </c>
      <c r="I656" s="13" t="s">
        <v>1815</v>
      </c>
      <c r="J656" s="14" t="str">
        <f>HYPERLINK("https://www.boe.es/gazeta/dias/1839/09/02/pdfs/GMD-1839-1754.pdf#page=2","Abrir facsímil")</f>
        <v>Abrir facsímil</v>
      </c>
      <c r="K656" s="12" t="s">
        <v>65</v>
      </c>
    </row>
    <row r="657" spans="1:11" ht="40.049999999999997" customHeight="1" x14ac:dyDescent="0.25">
      <c r="A657" s="11" t="s">
        <v>1816</v>
      </c>
      <c r="B657" s="11" t="s">
        <v>1816</v>
      </c>
      <c r="C657" s="11" t="s">
        <v>59</v>
      </c>
      <c r="D657" s="11" t="s">
        <v>60</v>
      </c>
      <c r="E657" s="12" t="s">
        <v>154</v>
      </c>
      <c r="F657" s="12" t="s">
        <v>155</v>
      </c>
      <c r="G657" s="12" t="s">
        <v>21</v>
      </c>
      <c r="H657" s="11" t="s">
        <v>63</v>
      </c>
      <c r="I657" s="13" t="s">
        <v>1817</v>
      </c>
      <c r="J657" s="14" t="str">
        <f>HYPERLINK("https://www.boe.es/gazeta/dias/1839/02/02/pdfs/GMD-1839-1540.pdf#page=4","Abrir facsímil")</f>
        <v>Abrir facsímil</v>
      </c>
      <c r="K657" s="12" t="s">
        <v>65</v>
      </c>
    </row>
    <row r="658" spans="1:11" ht="40.049999999999997" customHeight="1" x14ac:dyDescent="0.25">
      <c r="A658" s="11" t="s">
        <v>1816</v>
      </c>
      <c r="B658" s="11" t="s">
        <v>1816</v>
      </c>
      <c r="C658" s="11" t="s">
        <v>137</v>
      </c>
      <c r="D658" s="11" t="s">
        <v>18</v>
      </c>
      <c r="E658" s="12" t="s">
        <v>1366</v>
      </c>
      <c r="F658" s="12" t="s">
        <v>1367</v>
      </c>
      <c r="G658" s="12" t="s">
        <v>40</v>
      </c>
      <c r="H658" s="11" t="s">
        <v>63</v>
      </c>
      <c r="I658" s="13" t="s">
        <v>1818</v>
      </c>
      <c r="J658" s="14" t="str">
        <f>HYPERLINK("https://www.boe.es/gazeta/dias/1839/09/09/pdfs/GMD-1839-1762.pdf#page=2","Abrir facsímil")</f>
        <v>Abrir facsímil</v>
      </c>
      <c r="K658" s="12" t="s">
        <v>65</v>
      </c>
    </row>
    <row r="659" spans="1:11" ht="40.049999999999997" customHeight="1" x14ac:dyDescent="0.25">
      <c r="A659" s="11" t="s">
        <v>1816</v>
      </c>
      <c r="B659" s="11" t="s">
        <v>1816</v>
      </c>
      <c r="C659" s="11" t="s">
        <v>59</v>
      </c>
      <c r="D659" s="11" t="s">
        <v>60</v>
      </c>
      <c r="E659" s="12" t="s">
        <v>794</v>
      </c>
      <c r="F659" s="12" t="s">
        <v>795</v>
      </c>
      <c r="G659" s="12" t="s">
        <v>40</v>
      </c>
      <c r="H659" s="11" t="s">
        <v>63</v>
      </c>
      <c r="I659" s="13" t="s">
        <v>1819</v>
      </c>
      <c r="J659" s="14" t="str">
        <f>HYPERLINK("https://www.boe.es/gazeta/dias/1839/01/22/pdfs/GMD-1839-1529.pdf#page=2","Abrir facsímil")</f>
        <v>Abrir facsímil</v>
      </c>
      <c r="K659" s="12" t="s">
        <v>65</v>
      </c>
    </row>
    <row r="660" spans="1:11" ht="40.049999999999997" customHeight="1" x14ac:dyDescent="0.25">
      <c r="A660" s="11" t="s">
        <v>1816</v>
      </c>
      <c r="B660" s="11" t="s">
        <v>1816</v>
      </c>
      <c r="C660" s="11" t="s">
        <v>17</v>
      </c>
      <c r="D660" s="11" t="s">
        <v>18</v>
      </c>
      <c r="E660" s="12" t="s">
        <v>496</v>
      </c>
      <c r="F660" s="12" t="s">
        <v>497</v>
      </c>
      <c r="G660" s="12" t="s">
        <v>46</v>
      </c>
      <c r="H660" s="11" t="s">
        <v>63</v>
      </c>
      <c r="I660" s="13" t="s">
        <v>1820</v>
      </c>
      <c r="J660" s="14" t="str">
        <f>HYPERLINK("https://www.boe.es/gazeta/dias/1839/11/23/pdfs/GMD-1839-1840.pdf#page=3","Abrir facsímil")</f>
        <v>Abrir facsímil</v>
      </c>
      <c r="K660" s="12" t="s">
        <v>65</v>
      </c>
    </row>
    <row r="661" spans="1:11" ht="40.049999999999997" customHeight="1" x14ac:dyDescent="0.25">
      <c r="A661" s="11" t="s">
        <v>1816</v>
      </c>
      <c r="B661" s="11" t="s">
        <v>1816</v>
      </c>
      <c r="C661" s="11" t="s">
        <v>80</v>
      </c>
      <c r="D661" s="11" t="s">
        <v>18</v>
      </c>
      <c r="E661" s="12" t="s">
        <v>1395</v>
      </c>
      <c r="F661" s="12" t="s">
        <v>1396</v>
      </c>
      <c r="G661" s="12" t="s">
        <v>46</v>
      </c>
      <c r="H661" s="11" t="s">
        <v>63</v>
      </c>
      <c r="I661" s="13" t="s">
        <v>1821</v>
      </c>
      <c r="J661" s="14" t="str">
        <f>HYPERLINK("https://www.boe.es/gazeta/dias/1839/06/26/pdfs/GMD-1839-1684.pdf#page=3","Abrir facsímil")</f>
        <v>Abrir facsímil</v>
      </c>
      <c r="K661" s="12" t="s">
        <v>65</v>
      </c>
    </row>
    <row r="662" spans="1:11" ht="40.049999999999997" customHeight="1" x14ac:dyDescent="0.25">
      <c r="A662" s="11" t="s">
        <v>1816</v>
      </c>
      <c r="B662" s="11" t="s">
        <v>1816</v>
      </c>
      <c r="C662" s="11" t="s">
        <v>59</v>
      </c>
      <c r="D662" s="11" t="s">
        <v>60</v>
      </c>
      <c r="E662" s="12" t="s">
        <v>668</v>
      </c>
      <c r="F662" s="12" t="s">
        <v>669</v>
      </c>
      <c r="G662" s="12" t="s">
        <v>29</v>
      </c>
      <c r="H662" s="11" t="s">
        <v>63</v>
      </c>
      <c r="I662" s="13" t="s">
        <v>1822</v>
      </c>
      <c r="J662" s="14" t="str">
        <f>HYPERLINK("https://www.boe.es/gazeta/dias/1839/03/28/pdfs/GMD-1839-1594.pdf#page=1","Abrir facsímil")</f>
        <v>Abrir facsímil</v>
      </c>
      <c r="K662" s="12" t="s">
        <v>65</v>
      </c>
    </row>
    <row r="663" spans="1:11" ht="40.049999999999997" customHeight="1" x14ac:dyDescent="0.25">
      <c r="A663" s="11" t="s">
        <v>1823</v>
      </c>
      <c r="B663" s="11" t="s">
        <v>1823</v>
      </c>
      <c r="C663" s="11" t="s">
        <v>80</v>
      </c>
      <c r="D663" s="11" t="s">
        <v>18</v>
      </c>
      <c r="E663" s="12" t="s">
        <v>269</v>
      </c>
      <c r="F663" s="12" t="s">
        <v>270</v>
      </c>
      <c r="G663" s="12" t="s">
        <v>21</v>
      </c>
      <c r="H663" s="11" t="s">
        <v>63</v>
      </c>
      <c r="I663" s="13" t="s">
        <v>1824</v>
      </c>
      <c r="J663" s="14" t="str">
        <f>HYPERLINK("https://www.boe.es/gazeta/dias/1839/02/10/pdfs/GMD-1839-1548.pdf#page=4","Abrir facsímil")</f>
        <v>Abrir facsímil</v>
      </c>
      <c r="K663" s="12" t="s">
        <v>65</v>
      </c>
    </row>
    <row r="664" spans="1:11" ht="40.049999999999997" customHeight="1" x14ac:dyDescent="0.25">
      <c r="A664" s="11" t="s">
        <v>1823</v>
      </c>
      <c r="B664" s="11" t="s">
        <v>1823</v>
      </c>
      <c r="C664" s="11" t="s">
        <v>137</v>
      </c>
      <c r="D664" s="11" t="s">
        <v>18</v>
      </c>
      <c r="E664" s="12" t="s">
        <v>809</v>
      </c>
      <c r="F664" s="12" t="s">
        <v>810</v>
      </c>
      <c r="G664" s="12" t="s">
        <v>21</v>
      </c>
      <c r="H664" s="11" t="s">
        <v>63</v>
      </c>
      <c r="I664" s="13" t="s">
        <v>1825</v>
      </c>
      <c r="J664" s="14" t="str">
        <f>HYPERLINK("https://www.boe.es/gazeta/dias/1839/02/11/pdfs/GMD-1839-1549.pdf#page=4","Abrir facsímil")</f>
        <v>Abrir facsímil</v>
      </c>
      <c r="K664" s="12" t="s">
        <v>65</v>
      </c>
    </row>
    <row r="665" spans="1:11" ht="40.049999999999997" customHeight="1" x14ac:dyDescent="0.25">
      <c r="A665" s="11" t="s">
        <v>1826</v>
      </c>
      <c r="B665" s="11" t="s">
        <v>1826</v>
      </c>
      <c r="C665" s="11" t="s">
        <v>17</v>
      </c>
      <c r="D665" s="11" t="s">
        <v>18</v>
      </c>
      <c r="E665" s="12" t="s">
        <v>132</v>
      </c>
      <c r="F665" s="12" t="s">
        <v>133</v>
      </c>
      <c r="G665" s="12" t="s">
        <v>40</v>
      </c>
      <c r="H665" s="11" t="s">
        <v>63</v>
      </c>
      <c r="I665" s="13" t="s">
        <v>1827</v>
      </c>
      <c r="J665" s="14" t="str">
        <f>HYPERLINK("https://www.boe.es/gazeta/dias/1839/08/02/pdfs/GMD-1839-1722.pdf#page=2","Abrir facsímil")</f>
        <v>Abrir facsímil</v>
      </c>
      <c r="K665" s="12" t="s">
        <v>65</v>
      </c>
    </row>
    <row r="666" spans="1:11" ht="40.049999999999997" customHeight="1" x14ac:dyDescent="0.25">
      <c r="A666" s="11" t="s">
        <v>1826</v>
      </c>
      <c r="B666" s="11" t="s">
        <v>1826</v>
      </c>
      <c r="C666" s="11" t="s">
        <v>17</v>
      </c>
      <c r="D666" s="11" t="s">
        <v>18</v>
      </c>
      <c r="E666" s="12" t="s">
        <v>1813</v>
      </c>
      <c r="F666" s="12" t="s">
        <v>1814</v>
      </c>
      <c r="G666" s="12" t="s">
        <v>46</v>
      </c>
      <c r="H666" s="11" t="s">
        <v>63</v>
      </c>
      <c r="I666" s="13" t="s">
        <v>1828</v>
      </c>
      <c r="J666" s="14" t="str">
        <f>HYPERLINK("https://www.boe.es/gazeta/dias/1839/09/02/pdfs/GMD-1839-1754.pdf#page=3","Abrir facsímil")</f>
        <v>Abrir facsímil</v>
      </c>
      <c r="K666" s="12" t="s">
        <v>65</v>
      </c>
    </row>
    <row r="667" spans="1:11" ht="40.049999999999997" customHeight="1" x14ac:dyDescent="0.25">
      <c r="A667" s="11" t="s">
        <v>1826</v>
      </c>
      <c r="B667" s="11" t="s">
        <v>1826</v>
      </c>
      <c r="C667" s="11" t="s">
        <v>17</v>
      </c>
      <c r="D667" s="11" t="s">
        <v>18</v>
      </c>
      <c r="E667" s="12" t="s">
        <v>804</v>
      </c>
      <c r="F667" s="12" t="s">
        <v>805</v>
      </c>
      <c r="G667" s="12" t="s">
        <v>21</v>
      </c>
      <c r="H667" s="11" t="s">
        <v>63</v>
      </c>
      <c r="I667" s="13" t="s">
        <v>1829</v>
      </c>
      <c r="J667" s="14" t="str">
        <f>HYPERLINK("https://www.boe.es/gazeta/dias/1839/01/08/pdfs/GMD-1839-1515.pdf#page=4","Abrir facsímil")</f>
        <v>Abrir facsímil</v>
      </c>
      <c r="K667" s="12" t="s">
        <v>65</v>
      </c>
    </row>
    <row r="668" spans="1:11" ht="40.049999999999997" customHeight="1" x14ac:dyDescent="0.25">
      <c r="A668" s="11" t="s">
        <v>1826</v>
      </c>
      <c r="B668" s="11" t="s">
        <v>1826</v>
      </c>
      <c r="C668" s="11" t="s">
        <v>17</v>
      </c>
      <c r="D668" s="11" t="s">
        <v>43</v>
      </c>
      <c r="E668" s="12" t="s">
        <v>1807</v>
      </c>
      <c r="F668" s="12" t="s">
        <v>1808</v>
      </c>
      <c r="G668" s="12" t="s">
        <v>21</v>
      </c>
      <c r="H668" s="11" t="s">
        <v>63</v>
      </c>
      <c r="I668" s="13" t="s">
        <v>1830</v>
      </c>
      <c r="J668" s="14" t="str">
        <f>HYPERLINK("https://www.boe.es/gazeta/dias/1839/01/29/pdfs/GMD-1839-1536.pdf#page=4","Abrir facsímil")</f>
        <v>Abrir facsímil</v>
      </c>
      <c r="K668" s="12" t="s">
        <v>65</v>
      </c>
    </row>
    <row r="669" spans="1:11" ht="40.049999999999997" customHeight="1" x14ac:dyDescent="0.25">
      <c r="A669" s="11" t="s">
        <v>1831</v>
      </c>
      <c r="B669" s="11" t="s">
        <v>1832</v>
      </c>
      <c r="C669" s="11" t="s">
        <v>59</v>
      </c>
      <c r="D669" s="11" t="s">
        <v>60</v>
      </c>
      <c r="E669" s="12" t="s">
        <v>474</v>
      </c>
      <c r="F669" s="12" t="s">
        <v>475</v>
      </c>
      <c r="G669" s="12" t="s">
        <v>46</v>
      </c>
      <c r="H669" s="11" t="s">
        <v>63</v>
      </c>
      <c r="I669" s="13" t="s">
        <v>1833</v>
      </c>
      <c r="J669" s="14" t="str">
        <f>HYPERLINK("https://www.boe.es/gazeta/dias/1839/03/31/pdfs/GMD-1839-1597.pdf#page=3","Abrir facsímil")</f>
        <v>Abrir facsímil</v>
      </c>
      <c r="K669" s="12" t="s">
        <v>65</v>
      </c>
    </row>
    <row r="670" spans="1:11" ht="40.049999999999997" customHeight="1" x14ac:dyDescent="0.25">
      <c r="A670" s="11" t="s">
        <v>1834</v>
      </c>
      <c r="B670" s="11" t="s">
        <v>1835</v>
      </c>
      <c r="C670" s="11" t="s">
        <v>101</v>
      </c>
      <c r="D670" s="11" t="s">
        <v>43</v>
      </c>
      <c r="E670" s="12" t="s">
        <v>984</v>
      </c>
      <c r="F670" s="12" t="s">
        <v>985</v>
      </c>
      <c r="G670" s="12" t="s">
        <v>29</v>
      </c>
      <c r="H670" s="11" t="s">
        <v>63</v>
      </c>
      <c r="I670" s="13" t="s">
        <v>1836</v>
      </c>
      <c r="J670" s="14" t="str">
        <f>HYPERLINK("https://www.boe.es/gazeta/dias/1839/04/10/pdfs/GMD-1839-1607.pdf#page=1","Abrir facsímil")</f>
        <v>Abrir facsímil</v>
      </c>
      <c r="K670" s="12" t="s">
        <v>65</v>
      </c>
    </row>
    <row r="671" spans="1:11" ht="40.049999999999997" customHeight="1" x14ac:dyDescent="0.25">
      <c r="A671" s="11" t="s">
        <v>1837</v>
      </c>
      <c r="B671" s="11" t="s">
        <v>1838</v>
      </c>
      <c r="C671" s="11" t="s">
        <v>59</v>
      </c>
      <c r="D671" s="11" t="s">
        <v>60</v>
      </c>
      <c r="E671" s="12" t="s">
        <v>243</v>
      </c>
      <c r="F671" s="12" t="s">
        <v>244</v>
      </c>
      <c r="G671" s="12" t="s">
        <v>40</v>
      </c>
      <c r="H671" s="11" t="s">
        <v>63</v>
      </c>
      <c r="I671" s="13" t="s">
        <v>1839</v>
      </c>
      <c r="J671" s="14" t="str">
        <f>HYPERLINK("https://www.boe.es/gazeta/dias/1839/09/23/pdfs/GMD-1839-1779.pdf#page=2","Abrir facsímil")</f>
        <v>Abrir facsímil</v>
      </c>
      <c r="K671" s="12" t="s">
        <v>65</v>
      </c>
    </row>
    <row r="672" spans="1:11" ht="40.049999999999997" customHeight="1" x14ac:dyDescent="0.25">
      <c r="A672" s="11" t="s">
        <v>1840</v>
      </c>
      <c r="B672" s="11" t="s">
        <v>1841</v>
      </c>
      <c r="C672" s="11" t="s">
        <v>137</v>
      </c>
      <c r="D672" s="11" t="s">
        <v>18</v>
      </c>
      <c r="E672" s="12" t="s">
        <v>138</v>
      </c>
      <c r="F672" s="12" t="s">
        <v>139</v>
      </c>
      <c r="G672" s="12" t="s">
        <v>21</v>
      </c>
      <c r="H672" s="11" t="s">
        <v>63</v>
      </c>
      <c r="I672" s="13" t="s">
        <v>1842</v>
      </c>
      <c r="J672" s="14" t="str">
        <f>HYPERLINK("https://www.boe.es/gazeta/dias/1839/10/09/pdfs/GMD-1839-1795.pdf#page=4","Abrir facsímil")</f>
        <v>Abrir facsímil</v>
      </c>
      <c r="K672" s="12" t="s">
        <v>65</v>
      </c>
    </row>
    <row r="673" spans="1:11" ht="40.049999999999997" customHeight="1" x14ac:dyDescent="0.25">
      <c r="A673" s="11" t="s">
        <v>1843</v>
      </c>
      <c r="B673" s="11" t="s">
        <v>1844</v>
      </c>
      <c r="C673" s="11" t="s">
        <v>17</v>
      </c>
      <c r="D673" s="11" t="s">
        <v>18</v>
      </c>
      <c r="E673" s="12" t="s">
        <v>929</v>
      </c>
      <c r="F673" s="12" t="s">
        <v>930</v>
      </c>
      <c r="G673" s="12" t="s">
        <v>40</v>
      </c>
      <c r="H673" s="11" t="s">
        <v>22</v>
      </c>
      <c r="I673" s="13" t="s">
        <v>1845</v>
      </c>
      <c r="J673" s="14" t="str">
        <f>HYPERLINK("https://www.boe.es/gazeta/dias/1839/01/31/pdfs/GMD-1839-1538.pdf#page=2","Abrir facsímil")</f>
        <v>Abrir facsímil</v>
      </c>
      <c r="K673" s="12" t="s">
        <v>24</v>
      </c>
    </row>
    <row r="674" spans="1:11" ht="40.049999999999997" customHeight="1" x14ac:dyDescent="0.25">
      <c r="A674" s="11" t="s">
        <v>1846</v>
      </c>
      <c r="B674" s="11" t="s">
        <v>1846</v>
      </c>
      <c r="C674" s="11" t="s">
        <v>17</v>
      </c>
      <c r="D674" s="11" t="s">
        <v>18</v>
      </c>
      <c r="E674" s="12" t="s">
        <v>1100</v>
      </c>
      <c r="F674" s="12" t="s">
        <v>1101</v>
      </c>
      <c r="G674" s="12" t="s">
        <v>29</v>
      </c>
      <c r="H674" s="11" t="s">
        <v>63</v>
      </c>
      <c r="I674" s="13" t="s">
        <v>1847</v>
      </c>
      <c r="J674" s="14" t="str">
        <f>HYPERLINK("https://www.boe.es/gazeta/dias/1839/09/13/pdfs/GMD-1839-1766.pdf#page=1","Abrir facsímil")</f>
        <v>Abrir facsímil</v>
      </c>
      <c r="K674" s="12" t="s">
        <v>65</v>
      </c>
    </row>
    <row r="675" spans="1:11" ht="40.049999999999997" customHeight="1" x14ac:dyDescent="0.25">
      <c r="A675" s="11" t="s">
        <v>1848</v>
      </c>
      <c r="B675" s="11" t="s">
        <v>1848</v>
      </c>
      <c r="C675" s="11" t="s">
        <v>17</v>
      </c>
      <c r="D675" s="11" t="s">
        <v>18</v>
      </c>
      <c r="E675" s="12" t="s">
        <v>284</v>
      </c>
      <c r="F675" s="12" t="s">
        <v>285</v>
      </c>
      <c r="G675" s="12" t="s">
        <v>40</v>
      </c>
      <c r="H675" s="11" t="s">
        <v>63</v>
      </c>
      <c r="I675" s="13" t="s">
        <v>1849</v>
      </c>
      <c r="J675" s="14" t="str">
        <f>HYPERLINK("https://www.boe.es/gazeta/dias/1839/01/27/pdfs/GMD-1839-1534.pdf#page=2","Abrir facsímil")</f>
        <v>Abrir facsímil</v>
      </c>
      <c r="K675" s="12" t="s">
        <v>65</v>
      </c>
    </row>
    <row r="676" spans="1:11" ht="40.049999999999997" customHeight="1" x14ac:dyDescent="0.25">
      <c r="A676" s="11" t="s">
        <v>1850</v>
      </c>
      <c r="B676" s="11" t="s">
        <v>1850</v>
      </c>
      <c r="C676" s="11" t="s">
        <v>17</v>
      </c>
      <c r="D676" s="11" t="s">
        <v>18</v>
      </c>
      <c r="E676" s="12" t="s">
        <v>903</v>
      </c>
      <c r="F676" s="12" t="s">
        <v>904</v>
      </c>
      <c r="G676" s="12" t="s">
        <v>40</v>
      </c>
      <c r="H676" s="11" t="s">
        <v>63</v>
      </c>
      <c r="I676" s="13" t="s">
        <v>1851</v>
      </c>
      <c r="J676" s="14" t="str">
        <f>HYPERLINK("https://www.boe.es/gazeta/dias/1839/03/14/pdfs/GMD-1839-1580.pdf#page=2","Abrir facsímil")</f>
        <v>Abrir facsímil</v>
      </c>
      <c r="K676" s="12" t="s">
        <v>65</v>
      </c>
    </row>
    <row r="677" spans="1:11" ht="40.049999999999997" customHeight="1" x14ac:dyDescent="0.25">
      <c r="A677" s="11" t="s">
        <v>1852</v>
      </c>
      <c r="B677" s="11" t="s">
        <v>1853</v>
      </c>
      <c r="C677" s="11" t="s">
        <v>80</v>
      </c>
      <c r="D677" s="11" t="s">
        <v>18</v>
      </c>
      <c r="E677" s="12" t="s">
        <v>409</v>
      </c>
      <c r="F677" s="12" t="s">
        <v>410</v>
      </c>
      <c r="G677" s="12" t="s">
        <v>29</v>
      </c>
      <c r="H677" s="11" t="s">
        <v>63</v>
      </c>
      <c r="I677" s="13" t="s">
        <v>1854</v>
      </c>
      <c r="J677" s="14" t="str">
        <f>HYPERLINK("https://www.boe.es/gazeta/dias/1839/07/05/pdfs/GMD-1839-1693.pdf#page=1","Abrir facsímil")</f>
        <v>Abrir facsímil</v>
      </c>
      <c r="K677" s="12" t="s">
        <v>65</v>
      </c>
    </row>
    <row r="678" spans="1:11" ht="40.049999999999997" customHeight="1" x14ac:dyDescent="0.25">
      <c r="A678" s="11" t="s">
        <v>1852</v>
      </c>
      <c r="B678" s="11" t="s">
        <v>1853</v>
      </c>
      <c r="C678" s="11" t="s">
        <v>17</v>
      </c>
      <c r="D678" s="11" t="s">
        <v>18</v>
      </c>
      <c r="E678" s="12" t="s">
        <v>1366</v>
      </c>
      <c r="F678" s="12" t="s">
        <v>1367</v>
      </c>
      <c r="G678" s="12" t="s">
        <v>46</v>
      </c>
      <c r="H678" s="11" t="s">
        <v>63</v>
      </c>
      <c r="I678" s="13" t="s">
        <v>1855</v>
      </c>
      <c r="J678" s="14" t="str">
        <f>HYPERLINK("https://www.boe.es/gazeta/dias/1839/09/09/pdfs/GMD-1839-1762.pdf#page=3","Abrir facsímil")</f>
        <v>Abrir facsímil</v>
      </c>
      <c r="K678" s="12" t="s">
        <v>65</v>
      </c>
    </row>
    <row r="679" spans="1:11" ht="40.049999999999997" customHeight="1" x14ac:dyDescent="0.25">
      <c r="A679" s="11" t="s">
        <v>1856</v>
      </c>
      <c r="B679" s="11" t="s">
        <v>1857</v>
      </c>
      <c r="C679" s="11" t="s">
        <v>80</v>
      </c>
      <c r="D679" s="11" t="s">
        <v>18</v>
      </c>
      <c r="E679" s="12" t="s">
        <v>903</v>
      </c>
      <c r="F679" s="12" t="s">
        <v>904</v>
      </c>
      <c r="G679" s="12" t="s">
        <v>40</v>
      </c>
      <c r="H679" s="11" t="s">
        <v>63</v>
      </c>
      <c r="I679" s="13" t="s">
        <v>1858</v>
      </c>
      <c r="J679" s="14" t="str">
        <f>HYPERLINK("https://www.boe.es/gazeta/dias/1839/03/14/pdfs/GMD-1839-1580.pdf#page=2","Abrir facsímil")</f>
        <v>Abrir facsímil</v>
      </c>
      <c r="K679" s="12" t="s">
        <v>65</v>
      </c>
    </row>
    <row r="680" spans="1:11" ht="40.049999999999997" customHeight="1" x14ac:dyDescent="0.25">
      <c r="A680" s="11" t="s">
        <v>1859</v>
      </c>
      <c r="B680" s="11" t="s">
        <v>1859</v>
      </c>
      <c r="C680" s="11" t="s">
        <v>17</v>
      </c>
      <c r="D680" s="11" t="s">
        <v>18</v>
      </c>
      <c r="E680" s="12" t="s">
        <v>369</v>
      </c>
      <c r="F680" s="12" t="s">
        <v>370</v>
      </c>
      <c r="G680" s="12" t="s">
        <v>40</v>
      </c>
      <c r="H680" s="11" t="s">
        <v>63</v>
      </c>
      <c r="I680" s="13" t="s">
        <v>1860</v>
      </c>
      <c r="J680" s="14" t="str">
        <f>HYPERLINK("https://www.boe.es/gazeta/dias/1839/11/01/pdfs/GMD-1839-1818.pdf#page=2","Abrir facsímil")</f>
        <v>Abrir facsímil</v>
      </c>
      <c r="K680" s="12" t="s">
        <v>65</v>
      </c>
    </row>
    <row r="681" spans="1:11" ht="40.049999999999997" customHeight="1" x14ac:dyDescent="0.25">
      <c r="A681" s="11" t="s">
        <v>1861</v>
      </c>
      <c r="B681" s="11" t="s">
        <v>1862</v>
      </c>
      <c r="C681" s="11" t="s">
        <v>137</v>
      </c>
      <c r="D681" s="11" t="s">
        <v>18</v>
      </c>
      <c r="E681" s="12" t="s">
        <v>239</v>
      </c>
      <c r="F681" s="12" t="s">
        <v>1863</v>
      </c>
      <c r="G681" s="12" t="s">
        <v>29</v>
      </c>
      <c r="H681" s="11" t="s">
        <v>63</v>
      </c>
      <c r="I681" s="13" t="s">
        <v>1864</v>
      </c>
      <c r="J681" s="14" t="str">
        <f>HYPERLINK("https://www.boe.es/datos/pdfs/BOE//1839/1778/E00001-00001.pdf#page=1","Abrir facsímil")</f>
        <v>Abrir facsímil</v>
      </c>
      <c r="K681" s="12" t="s">
        <v>65</v>
      </c>
    </row>
    <row r="682" spans="1:11" ht="40.049999999999997" customHeight="1" x14ac:dyDescent="0.25">
      <c r="A682" s="11" t="s">
        <v>1861</v>
      </c>
      <c r="B682" s="11" t="s">
        <v>1862</v>
      </c>
      <c r="C682" s="11" t="s">
        <v>17</v>
      </c>
      <c r="D682" s="11" t="s">
        <v>18</v>
      </c>
      <c r="E682" s="12" t="s">
        <v>243</v>
      </c>
      <c r="F682" s="12" t="s">
        <v>244</v>
      </c>
      <c r="G682" s="12" t="s">
        <v>40</v>
      </c>
      <c r="H682" s="11" t="s">
        <v>63</v>
      </c>
      <c r="I682" s="13" t="s">
        <v>1865</v>
      </c>
      <c r="J682" s="14" t="str">
        <f>HYPERLINK("https://www.boe.es/gazeta/dias/1839/09/23/pdfs/GMD-1839-1779.pdf#page=2","Abrir facsímil")</f>
        <v>Abrir facsímil</v>
      </c>
      <c r="K682" s="12" t="s">
        <v>65</v>
      </c>
    </row>
    <row r="683" spans="1:11" ht="40.049999999999997" customHeight="1" x14ac:dyDescent="0.25">
      <c r="A683" s="11" t="s">
        <v>1866</v>
      </c>
      <c r="B683" s="11" t="s">
        <v>1866</v>
      </c>
      <c r="C683" s="11" t="s">
        <v>101</v>
      </c>
      <c r="D683" s="11" t="s">
        <v>43</v>
      </c>
      <c r="E683" s="12" t="s">
        <v>1867</v>
      </c>
      <c r="F683" s="12" t="s">
        <v>1868</v>
      </c>
      <c r="G683" s="12" t="s">
        <v>46</v>
      </c>
      <c r="H683" s="11" t="s">
        <v>63</v>
      </c>
      <c r="I683" s="13" t="s">
        <v>1869</v>
      </c>
      <c r="J683" s="14" t="str">
        <f>HYPERLINK("https://www.boe.es/gazeta/dias/1839/01/30/pdfs/GMD-1839-1537.pdf#page=3","Abrir facsímil")</f>
        <v>Abrir facsímil</v>
      </c>
      <c r="K683" s="12" t="s">
        <v>65</v>
      </c>
    </row>
    <row r="684" spans="1:11" ht="40.049999999999997" customHeight="1" x14ac:dyDescent="0.25">
      <c r="A684" s="11" t="s">
        <v>1870</v>
      </c>
      <c r="B684" s="11" t="s">
        <v>1871</v>
      </c>
      <c r="C684" s="11" t="s">
        <v>101</v>
      </c>
      <c r="D684" s="11" t="s">
        <v>43</v>
      </c>
      <c r="E684" s="12" t="s">
        <v>1867</v>
      </c>
      <c r="F684" s="12" t="s">
        <v>1868</v>
      </c>
      <c r="G684" s="12" t="s">
        <v>40</v>
      </c>
      <c r="H684" s="11" t="s">
        <v>63</v>
      </c>
      <c r="I684" s="13" t="s">
        <v>1872</v>
      </c>
      <c r="J684" s="14" t="str">
        <f>HYPERLINK("https://www.boe.es/gazeta/dias/1839/01/30/pdfs/GMD-1839-1537.pdf#page=2","Abrir facsímil")</f>
        <v>Abrir facsímil</v>
      </c>
      <c r="K684" s="12" t="s">
        <v>65</v>
      </c>
    </row>
    <row r="685" spans="1:11" ht="40.049999999999997" customHeight="1" x14ac:dyDescent="0.25">
      <c r="A685" s="11" t="s">
        <v>1873</v>
      </c>
      <c r="B685" s="11" t="s">
        <v>1873</v>
      </c>
      <c r="C685" s="11" t="s">
        <v>17</v>
      </c>
      <c r="D685" s="11" t="s">
        <v>18</v>
      </c>
      <c r="E685" s="12" t="s">
        <v>1076</v>
      </c>
      <c r="F685" s="12" t="s">
        <v>1077</v>
      </c>
      <c r="G685" s="12" t="s">
        <v>21</v>
      </c>
      <c r="H685" s="11" t="s">
        <v>63</v>
      </c>
      <c r="I685" s="13" t="s">
        <v>1874</v>
      </c>
      <c r="J685" s="14" t="str">
        <f>HYPERLINK("https://www.boe.es/gazeta/dias/1839/10/19/pdfs/GMD-1839-1805.pdf#page=4","Abrir facsímil")</f>
        <v>Abrir facsímil</v>
      </c>
      <c r="K685" s="12" t="s">
        <v>65</v>
      </c>
    </row>
    <row r="686" spans="1:11" ht="40.049999999999997" customHeight="1" x14ac:dyDescent="0.25">
      <c r="A686" s="11" t="s">
        <v>1875</v>
      </c>
      <c r="B686" s="11" t="s">
        <v>1876</v>
      </c>
      <c r="C686" s="11" t="s">
        <v>17</v>
      </c>
      <c r="D686" s="11" t="s">
        <v>18</v>
      </c>
      <c r="E686" s="12" t="s">
        <v>592</v>
      </c>
      <c r="F686" s="12" t="s">
        <v>593</v>
      </c>
      <c r="G686" s="12" t="s">
        <v>29</v>
      </c>
      <c r="H686" s="11" t="s">
        <v>63</v>
      </c>
      <c r="I686" s="13" t="s">
        <v>1877</v>
      </c>
      <c r="J686" s="14" t="str">
        <f>HYPERLINK("https://www.boe.es/gazeta/dias/1839/09/14/pdfs/GMD-1839-1767.pdf#page=1","Abrir facsímil")</f>
        <v>Abrir facsímil</v>
      </c>
      <c r="K686" s="12" t="s">
        <v>65</v>
      </c>
    </row>
    <row r="687" spans="1:11" ht="40.049999999999997" customHeight="1" x14ac:dyDescent="0.25">
      <c r="A687" s="11" t="s">
        <v>1878</v>
      </c>
      <c r="B687" s="11" t="s">
        <v>1879</v>
      </c>
      <c r="C687" s="11" t="s">
        <v>17</v>
      </c>
      <c r="D687" s="11" t="s">
        <v>18</v>
      </c>
      <c r="E687" s="12" t="s">
        <v>998</v>
      </c>
      <c r="F687" s="12" t="s">
        <v>999</v>
      </c>
      <c r="G687" s="12" t="s">
        <v>21</v>
      </c>
      <c r="H687" s="11" t="s">
        <v>63</v>
      </c>
      <c r="I687" s="13" t="s">
        <v>1880</v>
      </c>
      <c r="J687" s="14" t="str">
        <f>HYPERLINK("https://www.boe.es/gazeta/dias/1839/05/06/pdfs/GMD-1839-1633.pdf#page=4","Abrir facsímil")</f>
        <v>Abrir facsímil</v>
      </c>
      <c r="K687" s="12" t="s">
        <v>65</v>
      </c>
    </row>
    <row r="688" spans="1:11" ht="40.049999999999997" customHeight="1" x14ac:dyDescent="0.25">
      <c r="A688" s="11" t="s">
        <v>1881</v>
      </c>
      <c r="B688" s="11" t="s">
        <v>1882</v>
      </c>
      <c r="C688" s="11" t="s">
        <v>80</v>
      </c>
      <c r="D688" s="11" t="s">
        <v>18</v>
      </c>
      <c r="E688" s="12" t="s">
        <v>202</v>
      </c>
      <c r="F688" s="12" t="s">
        <v>203</v>
      </c>
      <c r="G688" s="12" t="s">
        <v>21</v>
      </c>
      <c r="H688" s="11" t="s">
        <v>63</v>
      </c>
      <c r="I688" s="13" t="s">
        <v>1883</v>
      </c>
      <c r="J688" s="14" t="str">
        <f>HYPERLINK("https://www.boe.es/gazeta/dias/1839/04/05/pdfs/GMD-1839-1602.pdf#page=4","Abrir facsímil")</f>
        <v>Abrir facsímil</v>
      </c>
      <c r="K688" s="12" t="s">
        <v>65</v>
      </c>
    </row>
    <row r="689" spans="1:11" ht="40.049999999999997" customHeight="1" x14ac:dyDescent="0.25">
      <c r="A689" s="11" t="s">
        <v>1884</v>
      </c>
      <c r="B689" s="11" t="s">
        <v>1884</v>
      </c>
      <c r="C689" s="11" t="s">
        <v>80</v>
      </c>
      <c r="D689" s="11" t="s">
        <v>18</v>
      </c>
      <c r="E689" s="12" t="s">
        <v>163</v>
      </c>
      <c r="F689" s="12" t="s">
        <v>164</v>
      </c>
      <c r="G689" s="12" t="s">
        <v>21</v>
      </c>
      <c r="H689" s="11" t="s">
        <v>22</v>
      </c>
      <c r="I689" s="13" t="s">
        <v>1885</v>
      </c>
      <c r="J689" s="14" t="str">
        <f>HYPERLINK("https://www.boe.es/gazeta/dias/1839/01/13/pdfs/GMD-1839-1520.pdf#page=4","Abrir facsímil")</f>
        <v>Abrir facsímil</v>
      </c>
      <c r="K689" s="12" t="s">
        <v>24</v>
      </c>
    </row>
    <row r="690" spans="1:11" ht="40.049999999999997" customHeight="1" x14ac:dyDescent="0.25">
      <c r="A690" s="11" t="s">
        <v>1884</v>
      </c>
      <c r="B690" s="11" t="s">
        <v>1884</v>
      </c>
      <c r="C690" s="11" t="s">
        <v>80</v>
      </c>
      <c r="D690" s="11" t="s">
        <v>18</v>
      </c>
      <c r="E690" s="12" t="s">
        <v>926</v>
      </c>
      <c r="F690" s="12" t="s">
        <v>927</v>
      </c>
      <c r="G690" s="12" t="s">
        <v>21</v>
      </c>
      <c r="H690" s="11" t="s">
        <v>22</v>
      </c>
      <c r="I690" s="13" t="s">
        <v>1886</v>
      </c>
      <c r="J690" s="14" t="str">
        <f>HYPERLINK("https://www.boe.es/gazeta/dias/1839/01/25/pdfs/GMD-1839-1532.pdf#page=4","Abrir facsímil")</f>
        <v>Abrir facsímil</v>
      </c>
      <c r="K690" s="12" t="s">
        <v>24</v>
      </c>
    </row>
    <row r="691" spans="1:11" ht="40.049999999999997" customHeight="1" x14ac:dyDescent="0.25">
      <c r="A691" s="11" t="s">
        <v>1887</v>
      </c>
      <c r="B691" s="11" t="s">
        <v>1888</v>
      </c>
      <c r="C691" s="11" t="s">
        <v>137</v>
      </c>
      <c r="D691" s="11" t="s">
        <v>18</v>
      </c>
      <c r="E691" s="12" t="s">
        <v>163</v>
      </c>
      <c r="F691" s="12" t="s">
        <v>164</v>
      </c>
      <c r="G691" s="12" t="s">
        <v>40</v>
      </c>
      <c r="H691" s="11" t="s">
        <v>63</v>
      </c>
      <c r="I691" s="13" t="s">
        <v>1889</v>
      </c>
      <c r="J691" s="14" t="str">
        <f>HYPERLINK("https://www.boe.es/gazeta/dias/1839/01/13/pdfs/GMD-1839-1520.pdf#page=2","Abrir facsímil")</f>
        <v>Abrir facsímil</v>
      </c>
      <c r="K691" s="12" t="s">
        <v>65</v>
      </c>
    </row>
    <row r="692" spans="1:11" ht="40.049999999999997" customHeight="1" x14ac:dyDescent="0.25">
      <c r="A692" s="11" t="s">
        <v>1890</v>
      </c>
      <c r="B692" s="11" t="s">
        <v>1890</v>
      </c>
      <c r="C692" s="11" t="s">
        <v>80</v>
      </c>
      <c r="D692" s="11" t="s">
        <v>18</v>
      </c>
      <c r="E692" s="12" t="s">
        <v>1891</v>
      </c>
      <c r="F692" s="12" t="s">
        <v>1892</v>
      </c>
      <c r="G692" s="12" t="s">
        <v>40</v>
      </c>
      <c r="H692" s="11" t="s">
        <v>63</v>
      </c>
      <c r="I692" s="13" t="s">
        <v>1893</v>
      </c>
      <c r="J692" s="14" t="str">
        <f>HYPERLINK("https://www.boe.es/gazeta/dias/1839/12/14/pdfs/GMD-1839-1861.pdf#page=2","Abrir facsímil")</f>
        <v>Abrir facsímil</v>
      </c>
      <c r="K692" s="12" t="s">
        <v>65</v>
      </c>
    </row>
    <row r="693" spans="1:11" ht="40.049999999999997" customHeight="1" x14ac:dyDescent="0.25">
      <c r="A693" s="11" t="s">
        <v>1890</v>
      </c>
      <c r="B693" s="11" t="s">
        <v>1890</v>
      </c>
      <c r="C693" s="11" t="s">
        <v>59</v>
      </c>
      <c r="D693" s="11" t="s">
        <v>60</v>
      </c>
      <c r="E693" s="12" t="s">
        <v>713</v>
      </c>
      <c r="F693" s="12" t="s">
        <v>714</v>
      </c>
      <c r="G693" s="12" t="s">
        <v>40</v>
      </c>
      <c r="H693" s="11" t="s">
        <v>63</v>
      </c>
      <c r="I693" s="13" t="s">
        <v>1894</v>
      </c>
      <c r="J693" s="14" t="str">
        <f>HYPERLINK("https://www.boe.es/gazeta/dias/1839/12/18/pdfs/GMD-1839-1865.pdf#page=2","Abrir facsímil")</f>
        <v>Abrir facsímil</v>
      </c>
      <c r="K693" s="12" t="s">
        <v>65</v>
      </c>
    </row>
    <row r="694" spans="1:11" ht="40.049999999999997" customHeight="1" x14ac:dyDescent="0.25">
      <c r="A694" s="11" t="s">
        <v>1890</v>
      </c>
      <c r="B694" s="11" t="s">
        <v>1890</v>
      </c>
      <c r="C694" s="11" t="s">
        <v>59</v>
      </c>
      <c r="D694" s="11" t="s">
        <v>60</v>
      </c>
      <c r="E694" s="12" t="s">
        <v>1895</v>
      </c>
      <c r="F694" s="12" t="s">
        <v>1896</v>
      </c>
      <c r="G694" s="12" t="s">
        <v>29</v>
      </c>
      <c r="H694" s="11" t="s">
        <v>63</v>
      </c>
      <c r="I694" s="13" t="s">
        <v>1897</v>
      </c>
      <c r="J694" s="14" t="str">
        <f>HYPERLINK("https://www.boe.es/gazeta/dias/1839/12/23/pdfs/GMD-1839-1870.pdf#page=1","Abrir facsímil")</f>
        <v>Abrir facsímil</v>
      </c>
      <c r="K694" s="12" t="s">
        <v>65</v>
      </c>
    </row>
    <row r="695" spans="1:11" ht="40.049999999999997" customHeight="1" x14ac:dyDescent="0.25">
      <c r="A695" s="11" t="s">
        <v>1890</v>
      </c>
      <c r="B695" s="11" t="s">
        <v>1890</v>
      </c>
      <c r="C695" s="11" t="s">
        <v>80</v>
      </c>
      <c r="D695" s="11" t="s">
        <v>18</v>
      </c>
      <c r="E695" s="12" t="s">
        <v>349</v>
      </c>
      <c r="F695" s="12" t="s">
        <v>350</v>
      </c>
      <c r="G695" s="12" t="s">
        <v>40</v>
      </c>
      <c r="H695" s="11" t="s">
        <v>63</v>
      </c>
      <c r="I695" s="13" t="s">
        <v>1898</v>
      </c>
      <c r="J695" s="14" t="str">
        <f>HYPERLINK("https://www.boe.es/gazeta/dias/1839/12/25/pdfs/GMD-1839-1872.pdf#page=2","Abrir facsímil")</f>
        <v>Abrir facsímil</v>
      </c>
      <c r="K695" s="12" t="s">
        <v>65</v>
      </c>
    </row>
    <row r="696" spans="1:11" ht="40.049999999999997" customHeight="1" x14ac:dyDescent="0.25">
      <c r="A696" s="11" t="s">
        <v>1890</v>
      </c>
      <c r="B696" s="11" t="s">
        <v>1890</v>
      </c>
      <c r="C696" s="11" t="s">
        <v>101</v>
      </c>
      <c r="D696" s="11" t="s">
        <v>102</v>
      </c>
      <c r="E696" s="12" t="s">
        <v>474</v>
      </c>
      <c r="F696" s="12" t="s">
        <v>475</v>
      </c>
      <c r="G696" s="12" t="s">
        <v>46</v>
      </c>
      <c r="H696" s="11" t="s">
        <v>63</v>
      </c>
      <c r="I696" s="13" t="s">
        <v>1899</v>
      </c>
      <c r="J696" s="14" t="str">
        <f>HYPERLINK("https://www.boe.es/gazeta/dias/1839/03/31/pdfs/GMD-1839-1597.pdf#page=3","Abrir facsímil")</f>
        <v>Abrir facsímil</v>
      </c>
      <c r="K696" s="12" t="s">
        <v>65</v>
      </c>
    </row>
    <row r="697" spans="1:11" ht="40.049999999999997" customHeight="1" x14ac:dyDescent="0.25">
      <c r="A697" s="11" t="s">
        <v>1900</v>
      </c>
      <c r="B697" s="11" t="s">
        <v>1900</v>
      </c>
      <c r="C697" s="11" t="s">
        <v>17</v>
      </c>
      <c r="D697" s="11" t="s">
        <v>18</v>
      </c>
      <c r="E697" s="12" t="s">
        <v>197</v>
      </c>
      <c r="F697" s="12" t="s">
        <v>198</v>
      </c>
      <c r="G697" s="12" t="s">
        <v>40</v>
      </c>
      <c r="H697" s="11" t="s">
        <v>63</v>
      </c>
      <c r="I697" s="13" t="s">
        <v>1901</v>
      </c>
      <c r="J697" s="14" t="str">
        <f>HYPERLINK("https://www.boe.es/gazeta/dias/1839/10/04/pdfs/GMD-1839-1790.pdf#page=2","Abrir facsímil")</f>
        <v>Abrir facsímil</v>
      </c>
      <c r="K697" s="12" t="s">
        <v>65</v>
      </c>
    </row>
    <row r="698" spans="1:11" ht="40.049999999999997" customHeight="1" x14ac:dyDescent="0.25">
      <c r="A698" s="11" t="s">
        <v>1902</v>
      </c>
      <c r="B698" s="11" t="s">
        <v>1902</v>
      </c>
      <c r="C698" s="11" t="s">
        <v>101</v>
      </c>
      <c r="D698" s="11" t="s">
        <v>43</v>
      </c>
      <c r="E698" s="12" t="s">
        <v>54</v>
      </c>
      <c r="F698" s="12" t="s">
        <v>55</v>
      </c>
      <c r="G698" s="12" t="s">
        <v>566</v>
      </c>
      <c r="H698" s="11" t="s">
        <v>63</v>
      </c>
      <c r="I698" s="13" t="s">
        <v>1903</v>
      </c>
      <c r="J698" s="14" t="str">
        <f>HYPERLINK("https://www.boe.es/gazeta/dias/1839/10/05/pdfs/GMD-1839-1791.pdf#page=5","Abrir facsímil")</f>
        <v>Abrir facsímil</v>
      </c>
      <c r="K698" s="12" t="s">
        <v>65</v>
      </c>
    </row>
    <row r="699" spans="1:11" ht="40.049999999999997" customHeight="1" x14ac:dyDescent="0.25">
      <c r="A699" s="11" t="s">
        <v>1902</v>
      </c>
      <c r="B699" s="11" t="s">
        <v>1902</v>
      </c>
      <c r="C699" s="11" t="s">
        <v>17</v>
      </c>
      <c r="D699" s="11" t="s">
        <v>18</v>
      </c>
      <c r="E699" s="12" t="s">
        <v>448</v>
      </c>
      <c r="F699" s="12" t="s">
        <v>449</v>
      </c>
      <c r="G699" s="12" t="s">
        <v>46</v>
      </c>
      <c r="H699" s="11" t="s">
        <v>63</v>
      </c>
      <c r="I699" s="13" t="s">
        <v>1904</v>
      </c>
      <c r="J699" s="14" t="str">
        <f>HYPERLINK("https://www.boe.es/gazeta/dias/1839/02/06/pdfs/GMD-1839-1544.pdf#page=3","Abrir facsímil")</f>
        <v>Abrir facsímil</v>
      </c>
      <c r="K699" s="12" t="s">
        <v>65</v>
      </c>
    </row>
    <row r="700" spans="1:11" ht="40.049999999999997" customHeight="1" x14ac:dyDescent="0.25">
      <c r="A700" s="11" t="s">
        <v>1902</v>
      </c>
      <c r="B700" s="11" t="s">
        <v>1902</v>
      </c>
      <c r="C700" s="11" t="s">
        <v>80</v>
      </c>
      <c r="D700" s="11" t="s">
        <v>18</v>
      </c>
      <c r="E700" s="12" t="s">
        <v>453</v>
      </c>
      <c r="F700" s="12" t="s">
        <v>454</v>
      </c>
      <c r="G700" s="12" t="s">
        <v>46</v>
      </c>
      <c r="H700" s="11" t="s">
        <v>63</v>
      </c>
      <c r="I700" s="13" t="s">
        <v>1905</v>
      </c>
      <c r="J700" s="14" t="str">
        <f>HYPERLINK("https://www.boe.es/gazeta/dias/1839/02/07/pdfs/GMD-1839-1545.pdf#page=3","Abrir facsímil")</f>
        <v>Abrir facsímil</v>
      </c>
      <c r="K700" s="12" t="s">
        <v>65</v>
      </c>
    </row>
    <row r="701" spans="1:11" ht="40.049999999999997" customHeight="1" x14ac:dyDescent="0.25">
      <c r="A701" s="11" t="s">
        <v>1902</v>
      </c>
      <c r="B701" s="11" t="s">
        <v>1902</v>
      </c>
      <c r="C701" s="11" t="s">
        <v>17</v>
      </c>
      <c r="D701" s="11" t="s">
        <v>18</v>
      </c>
      <c r="E701" s="12" t="s">
        <v>103</v>
      </c>
      <c r="F701" s="12" t="s">
        <v>104</v>
      </c>
      <c r="G701" s="12" t="s">
        <v>46</v>
      </c>
      <c r="H701" s="11" t="s">
        <v>63</v>
      </c>
      <c r="I701" s="13" t="s">
        <v>1906</v>
      </c>
      <c r="J701" s="14" t="str">
        <f>HYPERLINK("https://www.boe.es/gazeta/dias/1839/10/12/pdfs/GMD-1839-1798.pdf#page=3","Abrir facsímil")</f>
        <v>Abrir facsímil</v>
      </c>
      <c r="K701" s="12" t="s">
        <v>65</v>
      </c>
    </row>
    <row r="702" spans="1:11" ht="40.049999999999997" customHeight="1" x14ac:dyDescent="0.25">
      <c r="A702" s="11" t="s">
        <v>1902</v>
      </c>
      <c r="B702" s="11" t="s">
        <v>1902</v>
      </c>
      <c r="C702" s="11" t="s">
        <v>17</v>
      </c>
      <c r="D702" s="11" t="s">
        <v>43</v>
      </c>
      <c r="E702" s="12" t="s">
        <v>1179</v>
      </c>
      <c r="F702" s="12" t="s">
        <v>1180</v>
      </c>
      <c r="G702" s="12" t="s">
        <v>566</v>
      </c>
      <c r="H702" s="11" t="s">
        <v>63</v>
      </c>
      <c r="I702" s="13" t="s">
        <v>1907</v>
      </c>
      <c r="J702" s="14" t="str">
        <f>HYPERLINK("https://www.boe.es/gazeta/dias/1839/10/18/pdfs/GMD-1839-1804.pdf#page=5","Abrir facsímil")</f>
        <v>Abrir facsímil</v>
      </c>
      <c r="K702" s="12" t="s">
        <v>65</v>
      </c>
    </row>
    <row r="703" spans="1:11" ht="40.049999999999997" customHeight="1" x14ac:dyDescent="0.25">
      <c r="A703" s="11" t="s">
        <v>1902</v>
      </c>
      <c r="B703" s="11" t="s">
        <v>1902</v>
      </c>
      <c r="C703" s="11" t="s">
        <v>101</v>
      </c>
      <c r="D703" s="11" t="s">
        <v>102</v>
      </c>
      <c r="E703" s="12" t="s">
        <v>1679</v>
      </c>
      <c r="F703" s="12" t="s">
        <v>1680</v>
      </c>
      <c r="G703" s="12" t="s">
        <v>46</v>
      </c>
      <c r="H703" s="11" t="s">
        <v>63</v>
      </c>
      <c r="I703" s="13" t="s">
        <v>1908</v>
      </c>
      <c r="J703" s="14" t="str">
        <f>HYPERLINK("https://www.boe.es/gazeta/dias/1839/01/26/pdfs/GMD-1839-1533.pdf#page=3","Abrir facsímil")</f>
        <v>Abrir facsímil</v>
      </c>
      <c r="K703" s="12" t="s">
        <v>65</v>
      </c>
    </row>
    <row r="704" spans="1:11" ht="40.049999999999997" customHeight="1" x14ac:dyDescent="0.25">
      <c r="A704" s="11" t="s">
        <v>1902</v>
      </c>
      <c r="B704" s="11" t="s">
        <v>1902</v>
      </c>
      <c r="C704" s="11" t="s">
        <v>101</v>
      </c>
      <c r="D704" s="11" t="s">
        <v>43</v>
      </c>
      <c r="E704" s="12" t="s">
        <v>1909</v>
      </c>
      <c r="F704" s="12" t="s">
        <v>1910</v>
      </c>
      <c r="G704" s="12" t="s">
        <v>46</v>
      </c>
      <c r="H704" s="11" t="s">
        <v>63</v>
      </c>
      <c r="I704" s="13" t="s">
        <v>1911</v>
      </c>
      <c r="J704" s="14" t="str">
        <f>HYPERLINK("https://www.boe.es/gazeta/dias/1839/10/27/pdfs/GMD-1839-1813.pdf#page=3","Abrir facsímil")</f>
        <v>Abrir facsímil</v>
      </c>
      <c r="K704" s="12" t="s">
        <v>65</v>
      </c>
    </row>
    <row r="705" spans="1:11" ht="40.049999999999997" customHeight="1" x14ac:dyDescent="0.25">
      <c r="A705" s="11" t="s">
        <v>1912</v>
      </c>
      <c r="B705" s="11" t="s">
        <v>1913</v>
      </c>
      <c r="C705" s="11" t="s">
        <v>17</v>
      </c>
      <c r="D705" s="11" t="s">
        <v>18</v>
      </c>
      <c r="E705" s="12" t="s">
        <v>108</v>
      </c>
      <c r="F705" s="12" t="s">
        <v>109</v>
      </c>
      <c r="G705" s="12" t="s">
        <v>21</v>
      </c>
      <c r="H705" s="11" t="s">
        <v>63</v>
      </c>
      <c r="I705" s="13" t="s">
        <v>1914</v>
      </c>
      <c r="J705" s="14" t="str">
        <f>HYPERLINK("https://www.boe.es/gazeta/dias/1839/01/04/pdfs/GMD-1839-1511.pdf#page=4","Abrir facsímil")</f>
        <v>Abrir facsímil</v>
      </c>
      <c r="K705" s="12" t="s">
        <v>65</v>
      </c>
    </row>
    <row r="706" spans="1:11" ht="40.049999999999997" customHeight="1" x14ac:dyDescent="0.25">
      <c r="A706" s="11" t="s">
        <v>1915</v>
      </c>
      <c r="B706" s="11" t="s">
        <v>1916</v>
      </c>
      <c r="C706" s="11" t="s">
        <v>17</v>
      </c>
      <c r="D706" s="11" t="s">
        <v>18</v>
      </c>
      <c r="E706" s="12" t="s">
        <v>108</v>
      </c>
      <c r="F706" s="12" t="s">
        <v>109</v>
      </c>
      <c r="G706" s="12" t="s">
        <v>21</v>
      </c>
      <c r="H706" s="11" t="s">
        <v>63</v>
      </c>
      <c r="I706" s="13" t="s">
        <v>1917</v>
      </c>
      <c r="J706" s="14" t="str">
        <f>HYPERLINK("https://www.boe.es/gazeta/dias/1839/01/04/pdfs/GMD-1839-1511.pdf#page=4","Abrir facsímil")</f>
        <v>Abrir facsímil</v>
      </c>
      <c r="K706" s="12" t="s">
        <v>65</v>
      </c>
    </row>
    <row r="707" spans="1:11" ht="40.049999999999997" customHeight="1" x14ac:dyDescent="0.25">
      <c r="A707" s="11" t="s">
        <v>1918</v>
      </c>
      <c r="B707" s="11" t="s">
        <v>1918</v>
      </c>
      <c r="C707" s="11" t="s">
        <v>137</v>
      </c>
      <c r="D707" s="11" t="s">
        <v>18</v>
      </c>
      <c r="E707" s="12" t="s">
        <v>108</v>
      </c>
      <c r="F707" s="12" t="s">
        <v>109</v>
      </c>
      <c r="G707" s="12" t="s">
        <v>21</v>
      </c>
      <c r="H707" s="11" t="s">
        <v>63</v>
      </c>
      <c r="I707" s="13" t="s">
        <v>1919</v>
      </c>
      <c r="J707" s="14" t="str">
        <f>HYPERLINK("https://www.boe.es/gazeta/dias/1839/01/04/pdfs/GMD-1839-1511.pdf#page=4","Abrir facsímil")</f>
        <v>Abrir facsímil</v>
      </c>
      <c r="K707" s="12" t="s">
        <v>65</v>
      </c>
    </row>
    <row r="708" spans="1:11" ht="40.049999999999997" customHeight="1" x14ac:dyDescent="0.25">
      <c r="A708" s="11" t="s">
        <v>1920</v>
      </c>
      <c r="B708" s="11" t="s">
        <v>1920</v>
      </c>
      <c r="C708" s="11" t="s">
        <v>17</v>
      </c>
      <c r="D708" s="11" t="s">
        <v>18</v>
      </c>
      <c r="E708" s="12" t="s">
        <v>108</v>
      </c>
      <c r="F708" s="12" t="s">
        <v>109</v>
      </c>
      <c r="G708" s="12" t="s">
        <v>21</v>
      </c>
      <c r="H708" s="11" t="s">
        <v>63</v>
      </c>
      <c r="I708" s="13" t="s">
        <v>1921</v>
      </c>
      <c r="J708" s="14" t="str">
        <f>HYPERLINK("https://www.boe.es/gazeta/dias/1839/01/04/pdfs/GMD-1839-1511.pdf#page=4","Abrir facsímil")</f>
        <v>Abrir facsímil</v>
      </c>
      <c r="K708" s="12" t="s">
        <v>65</v>
      </c>
    </row>
    <row r="709" spans="1:11" ht="40.049999999999997" customHeight="1" x14ac:dyDescent="0.25">
      <c r="A709" s="11" t="s">
        <v>1922</v>
      </c>
      <c r="B709" s="11" t="s">
        <v>1922</v>
      </c>
      <c r="C709" s="11" t="s">
        <v>137</v>
      </c>
      <c r="D709" s="11" t="s">
        <v>18</v>
      </c>
      <c r="E709" s="12" t="s">
        <v>103</v>
      </c>
      <c r="F709" s="12" t="s">
        <v>104</v>
      </c>
      <c r="G709" s="12" t="s">
        <v>46</v>
      </c>
      <c r="H709" s="11" t="s">
        <v>22</v>
      </c>
      <c r="I709" s="13" t="s">
        <v>1923</v>
      </c>
      <c r="J709" s="14" t="str">
        <f>HYPERLINK("https://www.boe.es/gazeta/dias/1839/10/12/pdfs/GMD-1839-1798.pdf#page=3","Abrir facsímil")</f>
        <v>Abrir facsímil</v>
      </c>
      <c r="K709" s="12" t="s">
        <v>24</v>
      </c>
    </row>
    <row r="710" spans="1:11" ht="40.049999999999997" customHeight="1" x14ac:dyDescent="0.25">
      <c r="A710" s="11" t="s">
        <v>1920</v>
      </c>
      <c r="B710" s="11" t="s">
        <v>1920</v>
      </c>
      <c r="C710" s="11" t="s">
        <v>101</v>
      </c>
      <c r="D710" s="11" t="s">
        <v>43</v>
      </c>
      <c r="E710" s="12" t="s">
        <v>175</v>
      </c>
      <c r="F710" s="12" t="s">
        <v>176</v>
      </c>
      <c r="G710" s="12" t="s">
        <v>46</v>
      </c>
      <c r="H710" s="11" t="s">
        <v>63</v>
      </c>
      <c r="I710" s="13" t="s">
        <v>1924</v>
      </c>
      <c r="J710" s="14" t="str">
        <f>HYPERLINK("https://www.boe.es/gazeta/dias/1839/01/16/pdfs/GMD-1839-1523.pdf#page=3","Abrir facsímil")</f>
        <v>Abrir facsímil</v>
      </c>
      <c r="K710" s="12" t="s">
        <v>65</v>
      </c>
    </row>
    <row r="711" spans="1:11" ht="40.049999999999997" customHeight="1" x14ac:dyDescent="0.25">
      <c r="A711" s="11" t="s">
        <v>1925</v>
      </c>
      <c r="B711" s="11" t="s">
        <v>1926</v>
      </c>
      <c r="C711" s="11" t="s">
        <v>101</v>
      </c>
      <c r="D711" s="11" t="s">
        <v>43</v>
      </c>
      <c r="E711" s="12" t="s">
        <v>775</v>
      </c>
      <c r="F711" s="12" t="s">
        <v>776</v>
      </c>
      <c r="G711" s="12" t="s">
        <v>21</v>
      </c>
      <c r="H711" s="11" t="s">
        <v>63</v>
      </c>
      <c r="I711" s="13" t="s">
        <v>1927</v>
      </c>
      <c r="J711" s="14" t="str">
        <f>HYPERLINK("https://www.boe.es/gazeta/dias/1839/02/25/pdfs/GMD-1839-1563.pdf#page=4","Abrir facsímil")</f>
        <v>Abrir facsímil</v>
      </c>
      <c r="K711" s="12" t="s">
        <v>65</v>
      </c>
    </row>
    <row r="712" spans="1:11" ht="40.049999999999997" customHeight="1" x14ac:dyDescent="0.25">
      <c r="A712" s="11" t="s">
        <v>1928</v>
      </c>
      <c r="B712" s="11" t="s">
        <v>1928</v>
      </c>
      <c r="C712" s="11" t="s">
        <v>17</v>
      </c>
      <c r="D712" s="11" t="s">
        <v>18</v>
      </c>
      <c r="E712" s="12" t="s">
        <v>1929</v>
      </c>
      <c r="F712" s="12" t="s">
        <v>1930</v>
      </c>
      <c r="G712" s="12" t="s">
        <v>21</v>
      </c>
      <c r="H712" s="11" t="s">
        <v>22</v>
      </c>
      <c r="I712" s="13" t="s">
        <v>1931</v>
      </c>
      <c r="J712" s="14" t="str">
        <f>HYPERLINK("https://www.boe.es/gazeta/dias/1839/02/01/pdfs/GMD-1839-1539.pdf#page=4","Abrir facsímil")</f>
        <v>Abrir facsímil</v>
      </c>
      <c r="K712" s="12" t="s">
        <v>24</v>
      </c>
    </row>
    <row r="713" spans="1:11" ht="40.049999999999997" customHeight="1" x14ac:dyDescent="0.25">
      <c r="A713" s="11" t="s">
        <v>1928</v>
      </c>
      <c r="B713" s="11" t="s">
        <v>1928</v>
      </c>
      <c r="C713" s="11" t="s">
        <v>17</v>
      </c>
      <c r="D713" s="11" t="s">
        <v>18</v>
      </c>
      <c r="E713" s="12" t="s">
        <v>103</v>
      </c>
      <c r="F713" s="12" t="s">
        <v>104</v>
      </c>
      <c r="G713" s="12" t="s">
        <v>46</v>
      </c>
      <c r="H713" s="11" t="s">
        <v>22</v>
      </c>
      <c r="I713" s="13" t="s">
        <v>1932</v>
      </c>
      <c r="J713" s="14" t="str">
        <f>HYPERLINK("https://www.boe.es/gazeta/dias/1839/10/12/pdfs/GMD-1839-1798.pdf#page=3","Abrir facsímil")</f>
        <v>Abrir facsímil</v>
      </c>
      <c r="K713" s="12" t="s">
        <v>24</v>
      </c>
    </row>
    <row r="714" spans="1:11" ht="40.049999999999997" customHeight="1" x14ac:dyDescent="0.25">
      <c r="A714" s="11" t="s">
        <v>1928</v>
      </c>
      <c r="B714" s="11" t="s">
        <v>1928</v>
      </c>
      <c r="C714" s="11" t="s">
        <v>17</v>
      </c>
      <c r="D714" s="11" t="s">
        <v>18</v>
      </c>
      <c r="E714" s="12" t="s">
        <v>175</v>
      </c>
      <c r="F714" s="12" t="s">
        <v>176</v>
      </c>
      <c r="G714" s="12" t="s">
        <v>46</v>
      </c>
      <c r="H714" s="11" t="s">
        <v>22</v>
      </c>
      <c r="I714" s="13" t="s">
        <v>1933</v>
      </c>
      <c r="J714" s="14" t="str">
        <f>HYPERLINK("https://www.boe.es/gazeta/dias/1839/01/16/pdfs/GMD-1839-1523.pdf#page=3","Abrir facsímil")</f>
        <v>Abrir facsímil</v>
      </c>
      <c r="K714" s="12" t="s">
        <v>24</v>
      </c>
    </row>
    <row r="715" spans="1:11" ht="40.049999999999997" customHeight="1" x14ac:dyDescent="0.25">
      <c r="A715" s="11" t="s">
        <v>1934</v>
      </c>
      <c r="B715" s="11" t="s">
        <v>1934</v>
      </c>
      <c r="C715" s="11" t="s">
        <v>59</v>
      </c>
      <c r="D715" s="11" t="s">
        <v>60</v>
      </c>
      <c r="E715" s="12" t="s">
        <v>448</v>
      </c>
      <c r="F715" s="12" t="s">
        <v>449</v>
      </c>
      <c r="G715" s="12" t="s">
        <v>21</v>
      </c>
      <c r="H715" s="11" t="s">
        <v>22</v>
      </c>
      <c r="I715" s="13" t="s">
        <v>1935</v>
      </c>
      <c r="J715" s="14" t="str">
        <f>HYPERLINK("https://www.boe.es/gazeta/dias/1839/02/06/pdfs/GMD-1839-1544.pdf#page=4","Abrir facsímil")</f>
        <v>Abrir facsímil</v>
      </c>
      <c r="K715" s="12" t="s">
        <v>24</v>
      </c>
    </row>
    <row r="716" spans="1:11" ht="40.049999999999997" customHeight="1" x14ac:dyDescent="0.25">
      <c r="A716" s="11" t="s">
        <v>1936</v>
      </c>
      <c r="B716" s="11" t="s">
        <v>1936</v>
      </c>
      <c r="C716" s="11" t="s">
        <v>17</v>
      </c>
      <c r="D716" s="11" t="s">
        <v>18</v>
      </c>
      <c r="E716" s="12" t="s">
        <v>448</v>
      </c>
      <c r="F716" s="12" t="s">
        <v>449</v>
      </c>
      <c r="G716" s="12" t="s">
        <v>46</v>
      </c>
      <c r="H716" s="11" t="s">
        <v>63</v>
      </c>
      <c r="I716" s="13" t="s">
        <v>1937</v>
      </c>
      <c r="J716" s="14" t="str">
        <f>HYPERLINK("https://www.boe.es/gazeta/dias/1839/02/06/pdfs/GMD-1839-1544.pdf#page=3","Abrir facsímil")</f>
        <v>Abrir facsímil</v>
      </c>
      <c r="K716" s="12" t="s">
        <v>65</v>
      </c>
    </row>
    <row r="717" spans="1:11" ht="40.049999999999997" customHeight="1" x14ac:dyDescent="0.25">
      <c r="A717" s="11" t="s">
        <v>1936</v>
      </c>
      <c r="B717" s="11" t="s">
        <v>1936</v>
      </c>
      <c r="C717" s="11" t="s">
        <v>137</v>
      </c>
      <c r="D717" s="11" t="s">
        <v>18</v>
      </c>
      <c r="E717" s="12" t="s">
        <v>448</v>
      </c>
      <c r="F717" s="12" t="s">
        <v>449</v>
      </c>
      <c r="G717" s="12" t="s">
        <v>21</v>
      </c>
      <c r="H717" s="11" t="s">
        <v>63</v>
      </c>
      <c r="I717" s="13" t="s">
        <v>1938</v>
      </c>
      <c r="J717" s="14" t="str">
        <f>HYPERLINK("https://www.boe.es/gazeta/dias/1839/02/06/pdfs/GMD-1839-1544.pdf#page=4","Abrir facsímil")</f>
        <v>Abrir facsímil</v>
      </c>
      <c r="K717" s="12" t="s">
        <v>65</v>
      </c>
    </row>
    <row r="718" spans="1:11" ht="40.049999999999997" customHeight="1" x14ac:dyDescent="0.25">
      <c r="A718" s="11" t="s">
        <v>1939</v>
      </c>
      <c r="B718" s="11" t="s">
        <v>1939</v>
      </c>
      <c r="C718" s="11" t="s">
        <v>101</v>
      </c>
      <c r="D718" s="11" t="s">
        <v>43</v>
      </c>
      <c r="E718" s="12" t="s">
        <v>262</v>
      </c>
      <c r="F718" s="12" t="s">
        <v>263</v>
      </c>
      <c r="G718" s="12" t="s">
        <v>40</v>
      </c>
      <c r="H718" s="11" t="s">
        <v>22</v>
      </c>
      <c r="I718" s="13" t="s">
        <v>1940</v>
      </c>
      <c r="J718" s="14" t="str">
        <f>HYPERLINK("https://www.boe.es/gazeta/dias/1839/01/01/pdfs/GMD-1839-1508.pdf#page=2","Abrir facsímil")</f>
        <v>Abrir facsímil</v>
      </c>
      <c r="K718" s="12" t="s">
        <v>24</v>
      </c>
    </row>
    <row r="719" spans="1:11" ht="40.049999999999997" customHeight="1" x14ac:dyDescent="0.25">
      <c r="A719" s="11" t="s">
        <v>1941</v>
      </c>
      <c r="B719" s="11" t="s">
        <v>1941</v>
      </c>
      <c r="C719" s="11" t="s">
        <v>17</v>
      </c>
      <c r="D719" s="11" t="s">
        <v>18</v>
      </c>
      <c r="E719" s="12" t="s">
        <v>262</v>
      </c>
      <c r="F719" s="12" t="s">
        <v>263</v>
      </c>
      <c r="G719" s="12" t="s">
        <v>46</v>
      </c>
      <c r="H719" s="11" t="s">
        <v>63</v>
      </c>
      <c r="I719" s="13" t="s">
        <v>1942</v>
      </c>
      <c r="J719" s="14" t="str">
        <f>HYPERLINK("https://www.boe.es/gazeta/dias/1839/01/01/pdfs/GMD-1839-1508.pdf#page=3","Abrir facsímil")</f>
        <v>Abrir facsímil</v>
      </c>
      <c r="K719" s="12" t="s">
        <v>65</v>
      </c>
    </row>
    <row r="720" spans="1:11" ht="40.049999999999997" customHeight="1" x14ac:dyDescent="0.25">
      <c r="A720" s="11" t="s">
        <v>1941</v>
      </c>
      <c r="B720" s="11" t="s">
        <v>1941</v>
      </c>
      <c r="C720" s="11" t="s">
        <v>17</v>
      </c>
      <c r="D720" s="11" t="s">
        <v>18</v>
      </c>
      <c r="E720" s="12" t="s">
        <v>1929</v>
      </c>
      <c r="F720" s="12" t="s">
        <v>1930</v>
      </c>
      <c r="G720" s="12" t="s">
        <v>21</v>
      </c>
      <c r="H720" s="11" t="s">
        <v>63</v>
      </c>
      <c r="I720" s="13" t="s">
        <v>1943</v>
      </c>
      <c r="J720" s="14" t="str">
        <f>HYPERLINK("https://www.boe.es/gazeta/dias/1839/02/01/pdfs/GMD-1839-1539.pdf#page=4","Abrir facsímil")</f>
        <v>Abrir facsímil</v>
      </c>
      <c r="K720" s="12" t="s">
        <v>65</v>
      </c>
    </row>
    <row r="721" spans="1:11" ht="40.049999999999997" customHeight="1" x14ac:dyDescent="0.25">
      <c r="A721" s="11" t="s">
        <v>1939</v>
      </c>
      <c r="B721" s="11" t="s">
        <v>1939</v>
      </c>
      <c r="C721" s="11" t="s">
        <v>17</v>
      </c>
      <c r="D721" s="11" t="s">
        <v>18</v>
      </c>
      <c r="E721" s="12" t="s">
        <v>266</v>
      </c>
      <c r="F721" s="12" t="s">
        <v>267</v>
      </c>
      <c r="G721" s="12" t="s">
        <v>21</v>
      </c>
      <c r="H721" s="11" t="s">
        <v>22</v>
      </c>
      <c r="I721" s="13" t="s">
        <v>1944</v>
      </c>
      <c r="J721" s="14" t="str">
        <f>HYPERLINK("https://www.boe.es/gazeta/dias/1839/01/03/pdfs/GMD-1839-1510.pdf#page=4","Abrir facsímil")</f>
        <v>Abrir facsímil</v>
      </c>
      <c r="K721" s="12" t="s">
        <v>24</v>
      </c>
    </row>
    <row r="722" spans="1:11" ht="40.049999999999997" customHeight="1" x14ac:dyDescent="0.25">
      <c r="A722" s="11" t="s">
        <v>1941</v>
      </c>
      <c r="B722" s="11" t="s">
        <v>1941</v>
      </c>
      <c r="C722" s="11" t="s">
        <v>17</v>
      </c>
      <c r="D722" s="11" t="s">
        <v>18</v>
      </c>
      <c r="E722" s="12" t="s">
        <v>108</v>
      </c>
      <c r="F722" s="12" t="s">
        <v>109</v>
      </c>
      <c r="G722" s="12" t="s">
        <v>46</v>
      </c>
      <c r="H722" s="11" t="s">
        <v>63</v>
      </c>
      <c r="I722" s="13" t="s">
        <v>1945</v>
      </c>
      <c r="J722" s="14" t="str">
        <f>HYPERLINK("https://www.boe.es/gazeta/dias/1839/01/04/pdfs/GMD-1839-1511.pdf#page=3","Abrir facsímil")</f>
        <v>Abrir facsímil</v>
      </c>
      <c r="K722" s="12" t="s">
        <v>65</v>
      </c>
    </row>
    <row r="723" spans="1:11" ht="40.049999999999997" customHeight="1" x14ac:dyDescent="0.25">
      <c r="A723" s="11" t="s">
        <v>1941</v>
      </c>
      <c r="B723" s="11" t="s">
        <v>1941</v>
      </c>
      <c r="C723" s="11" t="s">
        <v>17</v>
      </c>
      <c r="D723" s="11" t="s">
        <v>18</v>
      </c>
      <c r="E723" s="12" t="s">
        <v>108</v>
      </c>
      <c r="F723" s="12" t="s">
        <v>109</v>
      </c>
      <c r="G723" s="12" t="s">
        <v>21</v>
      </c>
      <c r="H723" s="11" t="s">
        <v>63</v>
      </c>
      <c r="I723" s="13" t="s">
        <v>1946</v>
      </c>
      <c r="J723" s="14" t="str">
        <f>HYPERLINK("https://www.boe.es/gazeta/dias/1839/01/04/pdfs/GMD-1839-1511.pdf#page=4","Abrir facsímil")</f>
        <v>Abrir facsímil</v>
      </c>
      <c r="K723" s="12" t="s">
        <v>65</v>
      </c>
    </row>
    <row r="724" spans="1:11" ht="40.049999999999997" customHeight="1" x14ac:dyDescent="0.25">
      <c r="A724" s="11" t="s">
        <v>1941</v>
      </c>
      <c r="B724" s="11" t="s">
        <v>1941</v>
      </c>
      <c r="C724" s="11" t="s">
        <v>101</v>
      </c>
      <c r="D724" s="11" t="s">
        <v>43</v>
      </c>
      <c r="E724" s="12" t="s">
        <v>197</v>
      </c>
      <c r="F724" s="12" t="s">
        <v>198</v>
      </c>
      <c r="G724" s="12" t="s">
        <v>40</v>
      </c>
      <c r="H724" s="11" t="s">
        <v>63</v>
      </c>
      <c r="I724" s="13" t="s">
        <v>1947</v>
      </c>
      <c r="J724" s="14" t="str">
        <f>HYPERLINK("https://www.boe.es/gazeta/dias/1839/10/04/pdfs/GMD-1839-1790.pdf#page=2","Abrir facsímil")</f>
        <v>Abrir facsímil</v>
      </c>
      <c r="K724" s="12" t="s">
        <v>65</v>
      </c>
    </row>
    <row r="725" spans="1:11" ht="40.049999999999997" customHeight="1" x14ac:dyDescent="0.25">
      <c r="A725" s="11" t="s">
        <v>1939</v>
      </c>
      <c r="B725" s="11" t="s">
        <v>1939</v>
      </c>
      <c r="C725" s="11" t="s">
        <v>101</v>
      </c>
      <c r="D725" s="11" t="s">
        <v>43</v>
      </c>
      <c r="E725" s="12" t="s">
        <v>751</v>
      </c>
      <c r="F725" s="12" t="s">
        <v>752</v>
      </c>
      <c r="G725" s="12" t="s">
        <v>46</v>
      </c>
      <c r="H725" s="11" t="s">
        <v>22</v>
      </c>
      <c r="I725" s="13" t="s">
        <v>1948</v>
      </c>
      <c r="J725" s="14" t="str">
        <f>HYPERLINK("https://www.boe.es/gazeta/dias/1839/02/05/pdfs/GMD-1839-1543.pdf#page=3","Abrir facsímil")</f>
        <v>Abrir facsímil</v>
      </c>
      <c r="K725" s="12" t="s">
        <v>24</v>
      </c>
    </row>
    <row r="726" spans="1:11" ht="40.049999999999997" customHeight="1" x14ac:dyDescent="0.25">
      <c r="A726" s="11" t="s">
        <v>1941</v>
      </c>
      <c r="B726" s="11" t="s">
        <v>1941</v>
      </c>
      <c r="C726" s="11" t="s">
        <v>101</v>
      </c>
      <c r="D726" s="11" t="s">
        <v>43</v>
      </c>
      <c r="E726" s="12" t="s">
        <v>751</v>
      </c>
      <c r="F726" s="12" t="s">
        <v>752</v>
      </c>
      <c r="G726" s="12" t="s">
        <v>21</v>
      </c>
      <c r="H726" s="11" t="s">
        <v>63</v>
      </c>
      <c r="I726" s="13" t="s">
        <v>1949</v>
      </c>
      <c r="J726" s="14" t="str">
        <f>HYPERLINK("https://www.boe.es/gazeta/dias/1839/02/05/pdfs/GMD-1839-1543.pdf#page=4","Abrir facsímil")</f>
        <v>Abrir facsímil</v>
      </c>
      <c r="K726" s="12" t="s">
        <v>65</v>
      </c>
    </row>
    <row r="727" spans="1:11" ht="40.049999999999997" customHeight="1" x14ac:dyDescent="0.25">
      <c r="A727" s="11" t="s">
        <v>1939</v>
      </c>
      <c r="B727" s="11" t="s">
        <v>1939</v>
      </c>
      <c r="C727" s="11" t="s">
        <v>101</v>
      </c>
      <c r="D727" s="11" t="s">
        <v>43</v>
      </c>
      <c r="E727" s="12" t="s">
        <v>54</v>
      </c>
      <c r="F727" s="12" t="s">
        <v>55</v>
      </c>
      <c r="G727" s="12" t="s">
        <v>46</v>
      </c>
      <c r="H727" s="11" t="s">
        <v>22</v>
      </c>
      <c r="I727" s="13" t="s">
        <v>1950</v>
      </c>
      <c r="J727" s="14" t="str">
        <f>HYPERLINK("https://www.boe.es/gazeta/dias/1839/10/05/pdfs/GMD-1839-1791.pdf#page=3","Abrir facsímil")</f>
        <v>Abrir facsímil</v>
      </c>
      <c r="K727" s="12" t="s">
        <v>24</v>
      </c>
    </row>
    <row r="728" spans="1:11" ht="40.049999999999997" customHeight="1" x14ac:dyDescent="0.25">
      <c r="A728" s="11" t="s">
        <v>1939</v>
      </c>
      <c r="B728" s="11" t="s">
        <v>1939</v>
      </c>
      <c r="C728" s="11" t="s">
        <v>101</v>
      </c>
      <c r="D728" s="11" t="s">
        <v>43</v>
      </c>
      <c r="E728" s="12" t="s">
        <v>54</v>
      </c>
      <c r="F728" s="12" t="s">
        <v>55</v>
      </c>
      <c r="G728" s="12" t="s">
        <v>566</v>
      </c>
      <c r="H728" s="11" t="s">
        <v>22</v>
      </c>
      <c r="I728" s="13" t="s">
        <v>1951</v>
      </c>
      <c r="J728" s="14" t="str">
        <f>HYPERLINK("https://www.boe.es/gazeta/dias/1839/10/05/pdfs/GMD-1839-1791.pdf#page=5","Abrir facsímil")</f>
        <v>Abrir facsímil</v>
      </c>
      <c r="K728" s="12" t="s">
        <v>24</v>
      </c>
    </row>
    <row r="729" spans="1:11" ht="40.049999999999997" customHeight="1" x14ac:dyDescent="0.25">
      <c r="A729" s="11" t="s">
        <v>1941</v>
      </c>
      <c r="B729" s="11" t="s">
        <v>1941</v>
      </c>
      <c r="C729" s="11" t="s">
        <v>17</v>
      </c>
      <c r="D729" s="11" t="s">
        <v>18</v>
      </c>
      <c r="E729" s="12" t="s">
        <v>448</v>
      </c>
      <c r="F729" s="12" t="s">
        <v>449</v>
      </c>
      <c r="G729" s="12" t="s">
        <v>46</v>
      </c>
      <c r="H729" s="11" t="s">
        <v>63</v>
      </c>
      <c r="I729" s="13" t="s">
        <v>1952</v>
      </c>
      <c r="J729" s="14" t="str">
        <f>HYPERLINK("https://www.boe.es/gazeta/dias/1839/02/06/pdfs/GMD-1839-1544.pdf#page=3","Abrir facsímil")</f>
        <v>Abrir facsímil</v>
      </c>
      <c r="K729" s="12" t="s">
        <v>65</v>
      </c>
    </row>
    <row r="730" spans="1:11" ht="40.049999999999997" customHeight="1" x14ac:dyDescent="0.25">
      <c r="A730" s="11" t="s">
        <v>1939</v>
      </c>
      <c r="B730" s="11" t="s">
        <v>1939</v>
      </c>
      <c r="C730" s="11" t="s">
        <v>101</v>
      </c>
      <c r="D730" s="11" t="s">
        <v>43</v>
      </c>
      <c r="E730" s="12" t="s">
        <v>453</v>
      </c>
      <c r="F730" s="12" t="s">
        <v>454</v>
      </c>
      <c r="G730" s="12" t="s">
        <v>40</v>
      </c>
      <c r="H730" s="11" t="s">
        <v>22</v>
      </c>
      <c r="I730" s="13" t="s">
        <v>1953</v>
      </c>
      <c r="J730" s="14" t="str">
        <f>HYPERLINK("https://www.boe.es/gazeta/dias/1839/02/07/pdfs/GMD-1839-1545.pdf#page=2","Abrir facsímil")</f>
        <v>Abrir facsímil</v>
      </c>
      <c r="K730" s="12" t="s">
        <v>24</v>
      </c>
    </row>
    <row r="731" spans="1:11" ht="40.049999999999997" customHeight="1" x14ac:dyDescent="0.25">
      <c r="A731" s="11" t="s">
        <v>1941</v>
      </c>
      <c r="B731" s="11" t="s">
        <v>1941</v>
      </c>
      <c r="C731" s="11" t="s">
        <v>17</v>
      </c>
      <c r="D731" s="11" t="s">
        <v>18</v>
      </c>
      <c r="E731" s="12" t="s">
        <v>453</v>
      </c>
      <c r="F731" s="12" t="s">
        <v>454</v>
      </c>
      <c r="G731" s="12" t="s">
        <v>46</v>
      </c>
      <c r="H731" s="11" t="s">
        <v>63</v>
      </c>
      <c r="I731" s="13" t="s">
        <v>1954</v>
      </c>
      <c r="J731" s="14" t="str">
        <f>HYPERLINK("https://www.boe.es/gazeta/dias/1839/02/07/pdfs/GMD-1839-1545.pdf#page=3","Abrir facsímil")</f>
        <v>Abrir facsímil</v>
      </c>
      <c r="K731" s="12" t="s">
        <v>65</v>
      </c>
    </row>
    <row r="732" spans="1:11" ht="40.049999999999997" customHeight="1" x14ac:dyDescent="0.25">
      <c r="A732" s="11" t="s">
        <v>1941</v>
      </c>
      <c r="B732" s="11" t="s">
        <v>1941</v>
      </c>
      <c r="C732" s="11" t="s">
        <v>17</v>
      </c>
      <c r="D732" s="11" t="s">
        <v>18</v>
      </c>
      <c r="E732" s="12" t="s">
        <v>453</v>
      </c>
      <c r="F732" s="12" t="s">
        <v>454</v>
      </c>
      <c r="G732" s="12" t="s">
        <v>21</v>
      </c>
      <c r="H732" s="11" t="s">
        <v>63</v>
      </c>
      <c r="I732" s="13" t="s">
        <v>1955</v>
      </c>
      <c r="J732" s="14" t="str">
        <f>HYPERLINK("https://www.boe.es/gazeta/dias/1839/02/07/pdfs/GMD-1839-1545.pdf#page=4","Abrir facsímil")</f>
        <v>Abrir facsímil</v>
      </c>
      <c r="K732" s="12" t="s">
        <v>65</v>
      </c>
    </row>
    <row r="733" spans="1:11" ht="40.049999999999997" customHeight="1" x14ac:dyDescent="0.25">
      <c r="A733" s="11" t="s">
        <v>1941</v>
      </c>
      <c r="B733" s="11" t="s">
        <v>1941</v>
      </c>
      <c r="C733" s="11" t="s">
        <v>17</v>
      </c>
      <c r="D733" s="11" t="s">
        <v>18</v>
      </c>
      <c r="E733" s="12" t="s">
        <v>1509</v>
      </c>
      <c r="F733" s="12" t="s">
        <v>1510</v>
      </c>
      <c r="G733" s="12" t="s">
        <v>40</v>
      </c>
      <c r="H733" s="11" t="s">
        <v>63</v>
      </c>
      <c r="I733" s="13" t="s">
        <v>1956</v>
      </c>
      <c r="J733" s="14" t="str">
        <f>HYPERLINK("https://www.boe.es/gazeta/dias/1839/10/07/pdfs/GMD-1839-1793.pdf#page=2","Abrir facsímil")</f>
        <v>Abrir facsímil</v>
      </c>
      <c r="K733" s="12" t="s">
        <v>65</v>
      </c>
    </row>
    <row r="734" spans="1:11" ht="40.049999999999997" customHeight="1" x14ac:dyDescent="0.25">
      <c r="A734" s="11" t="s">
        <v>1939</v>
      </c>
      <c r="B734" s="11" t="s">
        <v>1939</v>
      </c>
      <c r="C734" s="11" t="s">
        <v>17</v>
      </c>
      <c r="D734" s="11" t="s">
        <v>18</v>
      </c>
      <c r="E734" s="12" t="s">
        <v>157</v>
      </c>
      <c r="F734" s="12" t="s">
        <v>158</v>
      </c>
      <c r="G734" s="12" t="s">
        <v>46</v>
      </c>
      <c r="H734" s="11" t="s">
        <v>22</v>
      </c>
      <c r="I734" s="13" t="s">
        <v>1957</v>
      </c>
      <c r="J734" s="14" t="str">
        <f>HYPERLINK("https://www.boe.es/gazeta/dias/1839/02/08/pdfs/GMD-1839-1546.pdf#page=3","Abrir facsímil")</f>
        <v>Abrir facsímil</v>
      </c>
      <c r="K734" s="12" t="s">
        <v>24</v>
      </c>
    </row>
    <row r="735" spans="1:11" ht="40.049999999999997" customHeight="1" x14ac:dyDescent="0.25">
      <c r="A735" s="11" t="s">
        <v>1941</v>
      </c>
      <c r="B735" s="11" t="s">
        <v>1941</v>
      </c>
      <c r="C735" s="11" t="s">
        <v>137</v>
      </c>
      <c r="D735" s="11" t="s">
        <v>18</v>
      </c>
      <c r="E735" s="12" t="s">
        <v>647</v>
      </c>
      <c r="F735" s="12" t="s">
        <v>648</v>
      </c>
      <c r="G735" s="12" t="s">
        <v>566</v>
      </c>
      <c r="H735" s="11" t="s">
        <v>63</v>
      </c>
      <c r="I735" s="13" t="s">
        <v>1958</v>
      </c>
      <c r="J735" s="14" t="str">
        <f>HYPERLINK("https://www.boe.es/gazeta/dias/1839/10/08/pdfs/GMD-1839-1794.pdf#page=5","Abrir facsímil")</f>
        <v>Abrir facsímil</v>
      </c>
      <c r="K735" s="12" t="s">
        <v>65</v>
      </c>
    </row>
    <row r="736" spans="1:11" ht="40.049999999999997" customHeight="1" x14ac:dyDescent="0.25">
      <c r="A736" s="11" t="s">
        <v>1939</v>
      </c>
      <c r="B736" s="11" t="s">
        <v>1939</v>
      </c>
      <c r="C736" s="11" t="s">
        <v>17</v>
      </c>
      <c r="D736" s="11" t="s">
        <v>18</v>
      </c>
      <c r="E736" s="12" t="s">
        <v>68</v>
      </c>
      <c r="F736" s="12" t="s">
        <v>69</v>
      </c>
      <c r="G736" s="12" t="s">
        <v>46</v>
      </c>
      <c r="H736" s="11" t="s">
        <v>22</v>
      </c>
      <c r="I736" s="13" t="s">
        <v>1959</v>
      </c>
      <c r="J736" s="14" t="str">
        <f>HYPERLINK("https://www.boe.es/gazeta/dias/1839/02/09/pdfs/GMD-1839-1547.pdf#page=3","Abrir facsímil")</f>
        <v>Abrir facsímil</v>
      </c>
      <c r="K736" s="12" t="s">
        <v>24</v>
      </c>
    </row>
    <row r="737" spans="1:11" ht="40.049999999999997" customHeight="1" x14ac:dyDescent="0.25">
      <c r="A737" s="11" t="s">
        <v>1941</v>
      </c>
      <c r="B737" s="11" t="s">
        <v>1941</v>
      </c>
      <c r="C737" s="11" t="s">
        <v>101</v>
      </c>
      <c r="D737" s="11" t="s">
        <v>43</v>
      </c>
      <c r="E737" s="12" t="s">
        <v>269</v>
      </c>
      <c r="F737" s="12" t="s">
        <v>270</v>
      </c>
      <c r="G737" s="12" t="s">
        <v>46</v>
      </c>
      <c r="H737" s="11" t="s">
        <v>63</v>
      </c>
      <c r="I737" s="13" t="s">
        <v>1960</v>
      </c>
      <c r="J737" s="14" t="str">
        <f>HYPERLINK("https://www.boe.es/gazeta/dias/1839/02/10/pdfs/GMD-1839-1548.pdf#page=3","Abrir facsímil")</f>
        <v>Abrir facsímil</v>
      </c>
      <c r="K737" s="12" t="s">
        <v>65</v>
      </c>
    </row>
    <row r="738" spans="1:11" ht="40.049999999999997" customHeight="1" x14ac:dyDescent="0.25">
      <c r="A738" s="11" t="s">
        <v>1939</v>
      </c>
      <c r="B738" s="11" t="s">
        <v>1939</v>
      </c>
      <c r="C738" s="11" t="s">
        <v>137</v>
      </c>
      <c r="D738" s="11" t="s">
        <v>18</v>
      </c>
      <c r="E738" s="12" t="s">
        <v>181</v>
      </c>
      <c r="F738" s="12" t="s">
        <v>182</v>
      </c>
      <c r="G738" s="12" t="s">
        <v>40</v>
      </c>
      <c r="H738" s="11" t="s">
        <v>22</v>
      </c>
      <c r="I738" s="13" t="s">
        <v>1961</v>
      </c>
      <c r="J738" s="14" t="str">
        <f>HYPERLINK("https://www.boe.es/gazeta/dias/1839/01/11/pdfs/GMD-1839-1518.pdf#page=2","Abrir facsímil")</f>
        <v>Abrir facsímil</v>
      </c>
      <c r="K738" s="12" t="s">
        <v>24</v>
      </c>
    </row>
    <row r="739" spans="1:11" ht="40.049999999999997" customHeight="1" x14ac:dyDescent="0.25">
      <c r="A739" s="11" t="s">
        <v>1941</v>
      </c>
      <c r="B739" s="11" t="s">
        <v>1941</v>
      </c>
      <c r="C739" s="11" t="s">
        <v>101</v>
      </c>
      <c r="D739" s="11" t="s">
        <v>43</v>
      </c>
      <c r="E739" s="12" t="s">
        <v>561</v>
      </c>
      <c r="F739" s="12" t="s">
        <v>562</v>
      </c>
      <c r="G739" s="12" t="s">
        <v>46</v>
      </c>
      <c r="H739" s="11" t="s">
        <v>63</v>
      </c>
      <c r="I739" s="13" t="s">
        <v>1962</v>
      </c>
      <c r="J739" s="14" t="str">
        <f>HYPERLINK("https://www.boe.es/gazeta/dias/1839/09/11/pdfs/GMD-1839-1764.pdf#page=3","Abrir facsímil")</f>
        <v>Abrir facsímil</v>
      </c>
      <c r="K739" s="12" t="s">
        <v>65</v>
      </c>
    </row>
    <row r="740" spans="1:11" ht="40.049999999999997" customHeight="1" x14ac:dyDescent="0.25">
      <c r="A740" s="11" t="s">
        <v>1939</v>
      </c>
      <c r="B740" s="11" t="s">
        <v>1939</v>
      </c>
      <c r="C740" s="11" t="s">
        <v>17</v>
      </c>
      <c r="D740" s="11" t="s">
        <v>18</v>
      </c>
      <c r="E740" s="12" t="s">
        <v>192</v>
      </c>
      <c r="F740" s="12" t="s">
        <v>193</v>
      </c>
      <c r="G740" s="12" t="s">
        <v>21</v>
      </c>
      <c r="H740" s="11" t="s">
        <v>22</v>
      </c>
      <c r="I740" s="13" t="s">
        <v>1963</v>
      </c>
      <c r="J740" s="14" t="str">
        <f>HYPERLINK("https://www.boe.es/gazeta/dias/1839/01/12/pdfs/GMD-1839-1519.pdf#page=4","Abrir facsímil")</f>
        <v>Abrir facsímil</v>
      </c>
      <c r="K740" s="12" t="s">
        <v>24</v>
      </c>
    </row>
    <row r="741" spans="1:11" ht="40.049999999999997" customHeight="1" x14ac:dyDescent="0.25">
      <c r="A741" s="11" t="s">
        <v>1941</v>
      </c>
      <c r="B741" s="11" t="s">
        <v>1941</v>
      </c>
      <c r="C741" s="11" t="s">
        <v>101</v>
      </c>
      <c r="D741" s="11" t="s">
        <v>43</v>
      </c>
      <c r="E741" s="12" t="s">
        <v>103</v>
      </c>
      <c r="F741" s="12" t="s">
        <v>104</v>
      </c>
      <c r="G741" s="12" t="s">
        <v>46</v>
      </c>
      <c r="H741" s="11" t="s">
        <v>63</v>
      </c>
      <c r="I741" s="13" t="s">
        <v>1964</v>
      </c>
      <c r="J741" s="14" t="str">
        <f>HYPERLINK("https://www.boe.es/gazeta/dias/1839/10/12/pdfs/GMD-1839-1798.pdf#page=3","Abrir facsímil")</f>
        <v>Abrir facsímil</v>
      </c>
      <c r="K741" s="12" t="s">
        <v>65</v>
      </c>
    </row>
    <row r="742" spans="1:11" ht="40.049999999999997" customHeight="1" x14ac:dyDescent="0.25">
      <c r="A742" s="11" t="s">
        <v>1941</v>
      </c>
      <c r="B742" s="11" t="s">
        <v>1941</v>
      </c>
      <c r="C742" s="11" t="s">
        <v>80</v>
      </c>
      <c r="D742" s="11" t="s">
        <v>18</v>
      </c>
      <c r="E742" s="12" t="s">
        <v>103</v>
      </c>
      <c r="F742" s="12" t="s">
        <v>104</v>
      </c>
      <c r="G742" s="12" t="s">
        <v>21</v>
      </c>
      <c r="H742" s="11" t="s">
        <v>63</v>
      </c>
      <c r="I742" s="13" t="s">
        <v>1965</v>
      </c>
      <c r="J742" s="14" t="str">
        <f>HYPERLINK("https://www.boe.es/gazeta/dias/1839/10/12/pdfs/GMD-1839-1798.pdf#page=4","Abrir facsímil")</f>
        <v>Abrir facsímil</v>
      </c>
      <c r="K742" s="12" t="s">
        <v>65</v>
      </c>
    </row>
    <row r="743" spans="1:11" ht="40.049999999999997" customHeight="1" x14ac:dyDescent="0.25">
      <c r="A743" s="11" t="s">
        <v>1939</v>
      </c>
      <c r="B743" s="11" t="s">
        <v>1939</v>
      </c>
      <c r="C743" s="11" t="s">
        <v>17</v>
      </c>
      <c r="D743" s="11" t="s">
        <v>18</v>
      </c>
      <c r="E743" s="12" t="s">
        <v>163</v>
      </c>
      <c r="F743" s="12" t="s">
        <v>164</v>
      </c>
      <c r="G743" s="12" t="s">
        <v>40</v>
      </c>
      <c r="H743" s="11" t="s">
        <v>22</v>
      </c>
      <c r="I743" s="13" t="s">
        <v>1966</v>
      </c>
      <c r="J743" s="14" t="str">
        <f>HYPERLINK("https://www.boe.es/gazeta/dias/1839/01/13/pdfs/GMD-1839-1520.pdf#page=2","Abrir facsímil")</f>
        <v>Abrir facsímil</v>
      </c>
      <c r="K743" s="12" t="s">
        <v>24</v>
      </c>
    </row>
    <row r="744" spans="1:11" ht="40.049999999999997" customHeight="1" x14ac:dyDescent="0.25">
      <c r="A744" s="11" t="s">
        <v>1941</v>
      </c>
      <c r="B744" s="11" t="s">
        <v>1941</v>
      </c>
      <c r="C744" s="11" t="s">
        <v>17</v>
      </c>
      <c r="D744" s="11" t="s">
        <v>18</v>
      </c>
      <c r="E744" s="12" t="s">
        <v>1100</v>
      </c>
      <c r="F744" s="12" t="s">
        <v>1101</v>
      </c>
      <c r="G744" s="12" t="s">
        <v>29</v>
      </c>
      <c r="H744" s="11" t="s">
        <v>63</v>
      </c>
      <c r="I744" s="13" t="s">
        <v>1967</v>
      </c>
      <c r="J744" s="14" t="str">
        <f>HYPERLINK("https://www.boe.es/gazeta/dias/1839/09/13/pdfs/GMD-1839-1766.pdf#page=1","Abrir facsímil")</f>
        <v>Abrir facsímil</v>
      </c>
      <c r="K744" s="12" t="s">
        <v>65</v>
      </c>
    </row>
    <row r="745" spans="1:11" ht="40.049999999999997" customHeight="1" x14ac:dyDescent="0.25">
      <c r="A745" s="11" t="s">
        <v>1941</v>
      </c>
      <c r="B745" s="11" t="s">
        <v>1941</v>
      </c>
      <c r="C745" s="11" t="s">
        <v>17</v>
      </c>
      <c r="D745" s="11" t="s">
        <v>18</v>
      </c>
      <c r="E745" s="12" t="s">
        <v>1100</v>
      </c>
      <c r="F745" s="12" t="s">
        <v>1101</v>
      </c>
      <c r="G745" s="12" t="s">
        <v>21</v>
      </c>
      <c r="H745" s="11" t="s">
        <v>63</v>
      </c>
      <c r="I745" s="13" t="s">
        <v>1968</v>
      </c>
      <c r="J745" s="14" t="str">
        <f>HYPERLINK("https://www.boe.es/gazeta/dias/1839/09/13/pdfs/GMD-1839-1766.pdf#page=4","Abrir facsímil")</f>
        <v>Abrir facsímil</v>
      </c>
      <c r="K745" s="12" t="s">
        <v>65</v>
      </c>
    </row>
    <row r="746" spans="1:11" ht="40.049999999999997" customHeight="1" x14ac:dyDescent="0.25">
      <c r="A746" s="11" t="s">
        <v>1941</v>
      </c>
      <c r="B746" s="11" t="s">
        <v>1941</v>
      </c>
      <c r="C746" s="11" t="s">
        <v>80</v>
      </c>
      <c r="D746" s="11" t="s">
        <v>18</v>
      </c>
      <c r="E746" s="12" t="s">
        <v>736</v>
      </c>
      <c r="F746" s="12" t="s">
        <v>737</v>
      </c>
      <c r="G746" s="12" t="s">
        <v>21</v>
      </c>
      <c r="H746" s="11" t="s">
        <v>63</v>
      </c>
      <c r="I746" s="13" t="s">
        <v>1969</v>
      </c>
      <c r="J746" s="14" t="str">
        <f>HYPERLINK("https://www.boe.es/gazeta/dias/1839/10/13/pdfs/GMD-1839-1799.pdf#page=4","Abrir facsímil")</f>
        <v>Abrir facsímil</v>
      </c>
      <c r="K746" s="12" t="s">
        <v>65</v>
      </c>
    </row>
    <row r="747" spans="1:11" ht="40.049999999999997" customHeight="1" x14ac:dyDescent="0.25">
      <c r="A747" s="11" t="s">
        <v>1939</v>
      </c>
      <c r="B747" s="11" t="s">
        <v>1939</v>
      </c>
      <c r="C747" s="11" t="s">
        <v>80</v>
      </c>
      <c r="D747" s="11" t="s">
        <v>18</v>
      </c>
      <c r="E747" s="12" t="s">
        <v>592</v>
      </c>
      <c r="F747" s="12" t="s">
        <v>593</v>
      </c>
      <c r="G747" s="12" t="s">
        <v>40</v>
      </c>
      <c r="H747" s="11" t="s">
        <v>22</v>
      </c>
      <c r="I747" s="13" t="s">
        <v>1970</v>
      </c>
      <c r="J747" s="14" t="str">
        <f>HYPERLINK("https://www.boe.es/gazeta/dias/1839/09/14/pdfs/GMD-1839-1767.pdf#page=2","Abrir facsímil")</f>
        <v>Abrir facsímil</v>
      </c>
      <c r="K747" s="12" t="s">
        <v>24</v>
      </c>
    </row>
    <row r="748" spans="1:11" ht="40.049999999999997" customHeight="1" x14ac:dyDescent="0.25">
      <c r="A748" s="11" t="s">
        <v>1941</v>
      </c>
      <c r="B748" s="11" t="s">
        <v>1941</v>
      </c>
      <c r="C748" s="11" t="s">
        <v>17</v>
      </c>
      <c r="D748" s="11" t="s">
        <v>18</v>
      </c>
      <c r="E748" s="12" t="s">
        <v>185</v>
      </c>
      <c r="F748" s="12" t="s">
        <v>186</v>
      </c>
      <c r="G748" s="12" t="s">
        <v>29</v>
      </c>
      <c r="H748" s="11" t="s">
        <v>63</v>
      </c>
      <c r="I748" s="13" t="s">
        <v>1971</v>
      </c>
      <c r="J748" s="14" t="str">
        <f>HYPERLINK("https://www.boe.es/gazeta/dias/1839/01/15/pdfs/GMD-1839-1522.pdf#page=1","Abrir facsímil")</f>
        <v>Abrir facsímil</v>
      </c>
      <c r="K748" s="12" t="s">
        <v>65</v>
      </c>
    </row>
    <row r="749" spans="1:11" ht="40.049999999999997" customHeight="1" x14ac:dyDescent="0.25">
      <c r="A749" s="11" t="s">
        <v>1941</v>
      </c>
      <c r="B749" s="11" t="s">
        <v>1941</v>
      </c>
      <c r="C749" s="11" t="s">
        <v>17</v>
      </c>
      <c r="D749" s="11" t="s">
        <v>18</v>
      </c>
      <c r="E749" s="12" t="s">
        <v>175</v>
      </c>
      <c r="F749" s="12" t="s">
        <v>176</v>
      </c>
      <c r="G749" s="12" t="s">
        <v>46</v>
      </c>
      <c r="H749" s="11" t="s">
        <v>63</v>
      </c>
      <c r="I749" s="13" t="s">
        <v>1972</v>
      </c>
      <c r="J749" s="14" t="str">
        <f>HYPERLINK("https://www.boe.es/gazeta/dias/1839/01/16/pdfs/GMD-1839-1523.pdf#page=3","Abrir facsímil")</f>
        <v>Abrir facsímil</v>
      </c>
      <c r="K749" s="12" t="s">
        <v>65</v>
      </c>
    </row>
    <row r="750" spans="1:11" ht="40.049999999999997" customHeight="1" x14ac:dyDescent="0.25">
      <c r="A750" s="11" t="s">
        <v>1941</v>
      </c>
      <c r="B750" s="11" t="s">
        <v>1941</v>
      </c>
      <c r="C750" s="11" t="s">
        <v>17</v>
      </c>
      <c r="D750" s="11" t="s">
        <v>18</v>
      </c>
      <c r="E750" s="12" t="s">
        <v>230</v>
      </c>
      <c r="F750" s="12" t="s">
        <v>231</v>
      </c>
      <c r="G750" s="12" t="s">
        <v>40</v>
      </c>
      <c r="H750" s="11" t="s">
        <v>63</v>
      </c>
      <c r="I750" s="13" t="s">
        <v>1973</v>
      </c>
      <c r="J750" s="14" t="str">
        <f>HYPERLINK("https://www.boe.es/gazeta/dias/1839/09/16/pdfs/GMD-1839-1769.pdf#page=2","Abrir facsímil")</f>
        <v>Abrir facsímil</v>
      </c>
      <c r="K750" s="12" t="s">
        <v>65</v>
      </c>
    </row>
    <row r="751" spans="1:11" ht="40.049999999999997" customHeight="1" x14ac:dyDescent="0.25">
      <c r="A751" s="11" t="s">
        <v>1939</v>
      </c>
      <c r="B751" s="11" t="s">
        <v>1939</v>
      </c>
      <c r="C751" s="11" t="s">
        <v>17</v>
      </c>
      <c r="D751" s="11" t="s">
        <v>18</v>
      </c>
      <c r="E751" s="12" t="s">
        <v>1179</v>
      </c>
      <c r="F751" s="12" t="s">
        <v>1180</v>
      </c>
      <c r="G751" s="12" t="s">
        <v>21</v>
      </c>
      <c r="H751" s="11" t="s">
        <v>22</v>
      </c>
      <c r="I751" s="13" t="s">
        <v>1974</v>
      </c>
      <c r="J751" s="14" t="str">
        <f>HYPERLINK("https://www.boe.es/gazeta/dias/1839/10/18/pdfs/GMD-1839-1804.pdf#page=4","Abrir facsímil")</f>
        <v>Abrir facsímil</v>
      </c>
      <c r="K751" s="12" t="s">
        <v>24</v>
      </c>
    </row>
    <row r="752" spans="1:11" ht="40.049999999999997" customHeight="1" x14ac:dyDescent="0.25">
      <c r="A752" s="11" t="s">
        <v>1939</v>
      </c>
      <c r="B752" s="11" t="s">
        <v>1939</v>
      </c>
      <c r="C752" s="11" t="s">
        <v>101</v>
      </c>
      <c r="D752" s="11" t="s">
        <v>43</v>
      </c>
      <c r="E752" s="12" t="s">
        <v>1179</v>
      </c>
      <c r="F752" s="12" t="s">
        <v>1180</v>
      </c>
      <c r="G752" s="12" t="s">
        <v>566</v>
      </c>
      <c r="H752" s="11" t="s">
        <v>22</v>
      </c>
      <c r="I752" s="13" t="s">
        <v>1975</v>
      </c>
      <c r="J752" s="14" t="str">
        <f>HYPERLINK("https://www.boe.es/gazeta/dias/1839/10/18/pdfs/GMD-1839-1804.pdf#page=5","Abrir facsímil")</f>
        <v>Abrir facsímil</v>
      </c>
      <c r="K752" s="12" t="s">
        <v>24</v>
      </c>
    </row>
    <row r="753" spans="1:11" ht="40.049999999999997" customHeight="1" x14ac:dyDescent="0.25">
      <c r="A753" s="11" t="s">
        <v>1939</v>
      </c>
      <c r="B753" s="11" t="s">
        <v>1939</v>
      </c>
      <c r="C753" s="11" t="s">
        <v>17</v>
      </c>
      <c r="D753" s="11" t="s">
        <v>18</v>
      </c>
      <c r="E753" s="12" t="s">
        <v>1076</v>
      </c>
      <c r="F753" s="12" t="s">
        <v>1077</v>
      </c>
      <c r="G753" s="12" t="s">
        <v>21</v>
      </c>
      <c r="H753" s="11" t="s">
        <v>22</v>
      </c>
      <c r="I753" s="13" t="s">
        <v>1976</v>
      </c>
      <c r="J753" s="14" t="str">
        <f>HYPERLINK("https://www.boe.es/gazeta/dias/1839/10/19/pdfs/GMD-1839-1805.pdf#page=4","Abrir facsímil")</f>
        <v>Abrir facsímil</v>
      </c>
      <c r="K753" s="12" t="s">
        <v>24</v>
      </c>
    </row>
    <row r="754" spans="1:11" ht="40.049999999999997" customHeight="1" x14ac:dyDescent="0.25">
      <c r="A754" s="11" t="s">
        <v>1939</v>
      </c>
      <c r="B754" s="11" t="s">
        <v>1939</v>
      </c>
      <c r="C754" s="11" t="s">
        <v>17</v>
      </c>
      <c r="D754" s="11" t="s">
        <v>18</v>
      </c>
      <c r="E754" s="12" t="s">
        <v>794</v>
      </c>
      <c r="F754" s="12" t="s">
        <v>795</v>
      </c>
      <c r="G754" s="12" t="s">
        <v>21</v>
      </c>
      <c r="H754" s="11" t="s">
        <v>22</v>
      </c>
      <c r="I754" s="13" t="s">
        <v>1977</v>
      </c>
      <c r="J754" s="14" t="str">
        <f>HYPERLINK("https://www.boe.es/gazeta/dias/1839/01/22/pdfs/GMD-1839-1529.pdf#page=4","Abrir facsímil")</f>
        <v>Abrir facsímil</v>
      </c>
      <c r="K754" s="12" t="s">
        <v>24</v>
      </c>
    </row>
    <row r="755" spans="1:11" ht="40.049999999999997" customHeight="1" x14ac:dyDescent="0.25">
      <c r="A755" s="11" t="s">
        <v>1941</v>
      </c>
      <c r="B755" s="11" t="s">
        <v>1941</v>
      </c>
      <c r="C755" s="11" t="s">
        <v>17</v>
      </c>
      <c r="D755" s="11" t="s">
        <v>18</v>
      </c>
      <c r="E755" s="12" t="s">
        <v>596</v>
      </c>
      <c r="F755" s="12" t="s">
        <v>597</v>
      </c>
      <c r="G755" s="12" t="s">
        <v>21</v>
      </c>
      <c r="H755" s="11" t="s">
        <v>63</v>
      </c>
      <c r="I755" s="13" t="s">
        <v>1978</v>
      </c>
      <c r="J755" s="14" t="str">
        <f>HYPERLINK("https://www.boe.es/gazeta/dias/1839/01/23/pdfs/GMD-1839-1530.pdf#page=4","Abrir facsímil")</f>
        <v>Abrir facsímil</v>
      </c>
      <c r="K755" s="12" t="s">
        <v>65</v>
      </c>
    </row>
    <row r="756" spans="1:11" ht="40.049999999999997" customHeight="1" x14ac:dyDescent="0.25">
      <c r="A756" s="11" t="s">
        <v>1941</v>
      </c>
      <c r="B756" s="11" t="s">
        <v>1941</v>
      </c>
      <c r="C756" s="11" t="s">
        <v>101</v>
      </c>
      <c r="D756" s="11" t="s">
        <v>43</v>
      </c>
      <c r="E756" s="12" t="s">
        <v>926</v>
      </c>
      <c r="F756" s="12" t="s">
        <v>927</v>
      </c>
      <c r="G756" s="12" t="s">
        <v>46</v>
      </c>
      <c r="H756" s="11" t="s">
        <v>63</v>
      </c>
      <c r="I756" s="13" t="s">
        <v>1979</v>
      </c>
      <c r="J756" s="14" t="str">
        <f>HYPERLINK("https://www.boe.es/gazeta/dias/1839/01/25/pdfs/GMD-1839-1532.pdf#page=3","Abrir facsímil")</f>
        <v>Abrir facsímil</v>
      </c>
      <c r="K756" s="12" t="s">
        <v>65</v>
      </c>
    </row>
    <row r="757" spans="1:11" ht="40.049999999999997" customHeight="1" x14ac:dyDescent="0.25">
      <c r="A757" s="11" t="s">
        <v>1941</v>
      </c>
      <c r="B757" s="11" t="s">
        <v>1941</v>
      </c>
      <c r="C757" s="11" t="s">
        <v>80</v>
      </c>
      <c r="D757" s="11" t="s">
        <v>18</v>
      </c>
      <c r="E757" s="12" t="s">
        <v>926</v>
      </c>
      <c r="F757" s="12" t="s">
        <v>927</v>
      </c>
      <c r="G757" s="12" t="s">
        <v>21</v>
      </c>
      <c r="H757" s="11" t="s">
        <v>63</v>
      </c>
      <c r="I757" s="13" t="s">
        <v>1980</v>
      </c>
      <c r="J757" s="14" t="str">
        <f>HYPERLINK("https://www.boe.es/gazeta/dias/1839/01/25/pdfs/GMD-1839-1532.pdf#page=4","Abrir facsímil")</f>
        <v>Abrir facsímil</v>
      </c>
      <c r="K757" s="12" t="s">
        <v>65</v>
      </c>
    </row>
    <row r="758" spans="1:11" ht="40.049999999999997" customHeight="1" x14ac:dyDescent="0.25">
      <c r="A758" s="11" t="s">
        <v>1941</v>
      </c>
      <c r="B758" s="11" t="s">
        <v>1941</v>
      </c>
      <c r="C758" s="11" t="s">
        <v>17</v>
      </c>
      <c r="D758" s="11" t="s">
        <v>18</v>
      </c>
      <c r="E758" s="12" t="s">
        <v>826</v>
      </c>
      <c r="F758" s="12" t="s">
        <v>827</v>
      </c>
      <c r="G758" s="12" t="s">
        <v>21</v>
      </c>
      <c r="H758" s="11" t="s">
        <v>63</v>
      </c>
      <c r="I758" s="13" t="s">
        <v>1981</v>
      </c>
      <c r="J758" s="14" t="str">
        <f>HYPERLINK("https://www.boe.es/gazeta/dias/1839/09/25/pdfs/GMD-1839-1781.pdf#page=4","Abrir facsímil")</f>
        <v>Abrir facsímil</v>
      </c>
      <c r="K758" s="12" t="s">
        <v>65</v>
      </c>
    </row>
    <row r="759" spans="1:11" ht="40.049999999999997" customHeight="1" x14ac:dyDescent="0.25">
      <c r="A759" s="11" t="s">
        <v>1941</v>
      </c>
      <c r="B759" s="11" t="s">
        <v>1941</v>
      </c>
      <c r="C759" s="11" t="s">
        <v>80</v>
      </c>
      <c r="D759" s="11" t="s">
        <v>18</v>
      </c>
      <c r="E759" s="12" t="s">
        <v>1679</v>
      </c>
      <c r="F759" s="12" t="s">
        <v>1680</v>
      </c>
      <c r="G759" s="12" t="s">
        <v>46</v>
      </c>
      <c r="H759" s="11" t="s">
        <v>63</v>
      </c>
      <c r="I759" s="13" t="s">
        <v>1982</v>
      </c>
      <c r="J759" s="14" t="str">
        <f>HYPERLINK("https://www.boe.es/gazeta/dias/1839/01/26/pdfs/GMD-1839-1533.pdf#page=3","Abrir facsímil")</f>
        <v>Abrir facsímil</v>
      </c>
      <c r="K759" s="12" t="s">
        <v>65</v>
      </c>
    </row>
    <row r="760" spans="1:11" ht="40.049999999999997" customHeight="1" x14ac:dyDescent="0.25">
      <c r="A760" s="11" t="s">
        <v>1939</v>
      </c>
      <c r="B760" s="11" t="s">
        <v>1939</v>
      </c>
      <c r="C760" s="11" t="s">
        <v>101</v>
      </c>
      <c r="D760" s="11" t="s">
        <v>43</v>
      </c>
      <c r="E760" s="12" t="s">
        <v>1086</v>
      </c>
      <c r="F760" s="12" t="s">
        <v>1087</v>
      </c>
      <c r="G760" s="12" t="s">
        <v>21</v>
      </c>
      <c r="H760" s="11" t="s">
        <v>22</v>
      </c>
      <c r="I760" s="13" t="s">
        <v>1983</v>
      </c>
      <c r="J760" s="14" t="str">
        <f>HYPERLINK("https://www.boe.es/gazeta/dias/1839/10/26/pdfs/GMD-1839-1812.pdf#page=4","Abrir facsímil")</f>
        <v>Abrir facsímil</v>
      </c>
      <c r="K760" s="12" t="s">
        <v>24</v>
      </c>
    </row>
    <row r="761" spans="1:11" ht="40.049999999999997" customHeight="1" x14ac:dyDescent="0.25">
      <c r="A761" s="11" t="s">
        <v>1941</v>
      </c>
      <c r="B761" s="11" t="s">
        <v>1941</v>
      </c>
      <c r="C761" s="11" t="s">
        <v>17</v>
      </c>
      <c r="D761" s="11" t="s">
        <v>18</v>
      </c>
      <c r="E761" s="12" t="s">
        <v>284</v>
      </c>
      <c r="F761" s="12" t="s">
        <v>285</v>
      </c>
      <c r="G761" s="12" t="s">
        <v>46</v>
      </c>
      <c r="H761" s="11" t="s">
        <v>63</v>
      </c>
      <c r="I761" s="13" t="s">
        <v>1984</v>
      </c>
      <c r="J761" s="14" t="str">
        <f>HYPERLINK("https://www.boe.es/gazeta/dias/1839/01/27/pdfs/GMD-1839-1534.pdf#page=3","Abrir facsímil")</f>
        <v>Abrir facsímil</v>
      </c>
      <c r="K761" s="12" t="s">
        <v>65</v>
      </c>
    </row>
    <row r="762" spans="1:11" ht="40.049999999999997" customHeight="1" x14ac:dyDescent="0.25">
      <c r="A762" s="11" t="s">
        <v>1941</v>
      </c>
      <c r="B762" s="11" t="s">
        <v>1941</v>
      </c>
      <c r="C762" s="11" t="s">
        <v>101</v>
      </c>
      <c r="D762" s="11" t="s">
        <v>43</v>
      </c>
      <c r="E762" s="12" t="s">
        <v>1909</v>
      </c>
      <c r="F762" s="12" t="s">
        <v>1910</v>
      </c>
      <c r="G762" s="12" t="s">
        <v>46</v>
      </c>
      <c r="H762" s="11" t="s">
        <v>63</v>
      </c>
      <c r="I762" s="13" t="s">
        <v>1985</v>
      </c>
      <c r="J762" s="14" t="str">
        <f>HYPERLINK("https://www.boe.es/gazeta/dias/1839/10/27/pdfs/GMD-1839-1813.pdf#page=3","Abrir facsímil")</f>
        <v>Abrir facsímil</v>
      </c>
      <c r="K762" s="12" t="s">
        <v>65</v>
      </c>
    </row>
    <row r="763" spans="1:11" ht="40.049999999999997" customHeight="1" x14ac:dyDescent="0.25">
      <c r="A763" s="11" t="s">
        <v>1941</v>
      </c>
      <c r="B763" s="11" t="s">
        <v>1941</v>
      </c>
      <c r="C763" s="11" t="s">
        <v>137</v>
      </c>
      <c r="D763" s="11" t="s">
        <v>18</v>
      </c>
      <c r="E763" s="12" t="s">
        <v>574</v>
      </c>
      <c r="F763" s="12" t="s">
        <v>575</v>
      </c>
      <c r="G763" s="12" t="s">
        <v>40</v>
      </c>
      <c r="H763" s="11" t="s">
        <v>63</v>
      </c>
      <c r="I763" s="13" t="s">
        <v>1986</v>
      </c>
      <c r="J763" s="14" t="str">
        <f>HYPERLINK("https://www.boe.es/gazeta/dias/1839/09/28/pdfs/GMD-1839-1784.pdf#page=2","Abrir facsímil")</f>
        <v>Abrir facsímil</v>
      </c>
      <c r="K763" s="12" t="s">
        <v>65</v>
      </c>
    </row>
    <row r="764" spans="1:11" ht="40.049999999999997" customHeight="1" x14ac:dyDescent="0.25">
      <c r="A764" s="11" t="s">
        <v>1941</v>
      </c>
      <c r="B764" s="11" t="s">
        <v>1941</v>
      </c>
      <c r="C764" s="11" t="s">
        <v>137</v>
      </c>
      <c r="D764" s="11" t="s">
        <v>18</v>
      </c>
      <c r="E764" s="12" t="s">
        <v>862</v>
      </c>
      <c r="F764" s="12" t="s">
        <v>863</v>
      </c>
      <c r="G764" s="12" t="s">
        <v>46</v>
      </c>
      <c r="H764" s="11" t="s">
        <v>63</v>
      </c>
      <c r="I764" s="13" t="s">
        <v>1987</v>
      </c>
      <c r="J764" s="14" t="str">
        <f>HYPERLINK("https://www.boe.es/gazeta/dias/1839/10/28/pdfs/GMD-1839-1814.pdf#page=3","Abrir facsímil")</f>
        <v>Abrir facsímil</v>
      </c>
      <c r="K764" s="12" t="s">
        <v>65</v>
      </c>
    </row>
    <row r="765" spans="1:11" ht="40.049999999999997" customHeight="1" x14ac:dyDescent="0.25">
      <c r="A765" s="11" t="s">
        <v>1941</v>
      </c>
      <c r="B765" s="11" t="s">
        <v>1941</v>
      </c>
      <c r="C765" s="11" t="s">
        <v>101</v>
      </c>
      <c r="D765" s="11" t="s">
        <v>43</v>
      </c>
      <c r="E765" s="12" t="s">
        <v>1988</v>
      </c>
      <c r="F765" s="12" t="s">
        <v>1989</v>
      </c>
      <c r="G765" s="12" t="s">
        <v>46</v>
      </c>
      <c r="H765" s="11" t="s">
        <v>63</v>
      </c>
      <c r="I765" s="13" t="s">
        <v>1990</v>
      </c>
      <c r="J765" s="14" t="str">
        <f>HYPERLINK("https://www.boe.es/gazeta/dias/1839/10/29/pdfs/GMD-1839-1815.pdf#page=3","Abrir facsímil")</f>
        <v>Abrir facsímil</v>
      </c>
      <c r="K765" s="12" t="s">
        <v>65</v>
      </c>
    </row>
    <row r="766" spans="1:11" ht="40.049999999999997" customHeight="1" x14ac:dyDescent="0.25">
      <c r="A766" s="11" t="s">
        <v>1939</v>
      </c>
      <c r="B766" s="11" t="s">
        <v>1939</v>
      </c>
      <c r="C766" s="11" t="s">
        <v>137</v>
      </c>
      <c r="D766" s="11" t="s">
        <v>18</v>
      </c>
      <c r="E766" s="12" t="s">
        <v>1988</v>
      </c>
      <c r="F766" s="12" t="s">
        <v>1989</v>
      </c>
      <c r="G766" s="12" t="s">
        <v>21</v>
      </c>
      <c r="H766" s="11" t="s">
        <v>22</v>
      </c>
      <c r="I766" s="13" t="s">
        <v>1991</v>
      </c>
      <c r="J766" s="14" t="str">
        <f>HYPERLINK("https://www.boe.es/gazeta/dias/1839/10/29/pdfs/GMD-1839-1815.pdf#page=4","Abrir facsímil")</f>
        <v>Abrir facsímil</v>
      </c>
      <c r="K766" s="12" t="s">
        <v>24</v>
      </c>
    </row>
    <row r="767" spans="1:11" ht="40.049999999999997" customHeight="1" x14ac:dyDescent="0.25">
      <c r="A767" s="11" t="s">
        <v>1939</v>
      </c>
      <c r="B767" s="11" t="s">
        <v>1939</v>
      </c>
      <c r="C767" s="11" t="s">
        <v>101</v>
      </c>
      <c r="D767" s="11" t="s">
        <v>43</v>
      </c>
      <c r="E767" s="12" t="s">
        <v>1867</v>
      </c>
      <c r="F767" s="12" t="s">
        <v>1868</v>
      </c>
      <c r="G767" s="12" t="s">
        <v>46</v>
      </c>
      <c r="H767" s="11" t="s">
        <v>22</v>
      </c>
      <c r="I767" s="13" t="s">
        <v>1992</v>
      </c>
      <c r="J767" s="14" t="str">
        <f>HYPERLINK("https://www.boe.es/gazeta/dias/1839/01/30/pdfs/GMD-1839-1537.pdf#page=3","Abrir facsímil")</f>
        <v>Abrir facsímil</v>
      </c>
      <c r="K767" s="12" t="s">
        <v>24</v>
      </c>
    </row>
    <row r="768" spans="1:11" ht="40.049999999999997" customHeight="1" x14ac:dyDescent="0.25">
      <c r="A768" s="11" t="s">
        <v>1941</v>
      </c>
      <c r="B768" s="11" t="s">
        <v>1941</v>
      </c>
      <c r="C768" s="11" t="s">
        <v>137</v>
      </c>
      <c r="D768" s="11" t="s">
        <v>18</v>
      </c>
      <c r="E768" s="12" t="s">
        <v>1287</v>
      </c>
      <c r="F768" s="12" t="s">
        <v>1288</v>
      </c>
      <c r="G768" s="12" t="s">
        <v>46</v>
      </c>
      <c r="H768" s="11" t="s">
        <v>63</v>
      </c>
      <c r="I768" s="13" t="s">
        <v>1993</v>
      </c>
      <c r="J768" s="14" t="str">
        <f>HYPERLINK("https://www.boe.es/gazeta/dias/1839/10/30/pdfs/GMD-1839-1816.pdf#page=3","Abrir facsímil")</f>
        <v>Abrir facsímil</v>
      </c>
      <c r="K768" s="12" t="s">
        <v>65</v>
      </c>
    </row>
    <row r="769" spans="1:11" ht="40.049999999999997" customHeight="1" x14ac:dyDescent="0.25">
      <c r="A769" s="11" t="s">
        <v>1994</v>
      </c>
      <c r="B769" s="11" t="s">
        <v>1994</v>
      </c>
      <c r="C769" s="11" t="s">
        <v>101</v>
      </c>
      <c r="D769" s="11" t="s">
        <v>43</v>
      </c>
      <c r="E769" s="12" t="s">
        <v>926</v>
      </c>
      <c r="F769" s="12" t="s">
        <v>927</v>
      </c>
      <c r="G769" s="12" t="s">
        <v>46</v>
      </c>
      <c r="H769" s="11" t="s">
        <v>63</v>
      </c>
      <c r="I769" s="13" t="s">
        <v>1995</v>
      </c>
      <c r="J769" s="14" t="str">
        <f>HYPERLINK("https://www.boe.es/gazeta/dias/1839/01/25/pdfs/GMD-1839-1532.pdf#page=3","Abrir facsímil")</f>
        <v>Abrir facsímil</v>
      </c>
      <c r="K769" s="12" t="s">
        <v>65</v>
      </c>
    </row>
    <row r="770" spans="1:11" ht="40.049999999999997" customHeight="1" x14ac:dyDescent="0.25">
      <c r="A770" s="11" t="s">
        <v>1996</v>
      </c>
      <c r="B770" s="11" t="s">
        <v>1996</v>
      </c>
      <c r="C770" s="11" t="s">
        <v>101</v>
      </c>
      <c r="D770" s="11" t="s">
        <v>43</v>
      </c>
      <c r="E770" s="12" t="s">
        <v>262</v>
      </c>
      <c r="F770" s="12" t="s">
        <v>263</v>
      </c>
      <c r="G770" s="12" t="s">
        <v>46</v>
      </c>
      <c r="H770" s="11" t="s">
        <v>63</v>
      </c>
      <c r="I770" s="13" t="s">
        <v>1997</v>
      </c>
      <c r="J770" s="14" t="str">
        <f>HYPERLINK("https://www.boe.es/gazeta/dias/1839/01/01/pdfs/GMD-1839-1508.pdf#page=3","Abrir facsímil")</f>
        <v>Abrir facsímil</v>
      </c>
      <c r="K770" s="12" t="s">
        <v>65</v>
      </c>
    </row>
    <row r="771" spans="1:11" ht="40.049999999999997" customHeight="1" x14ac:dyDescent="0.25">
      <c r="A771" s="11" t="s">
        <v>1998</v>
      </c>
      <c r="B771" s="11" t="s">
        <v>1998</v>
      </c>
      <c r="C771" s="11" t="s">
        <v>17</v>
      </c>
      <c r="D771" s="11" t="s">
        <v>18</v>
      </c>
      <c r="E771" s="12" t="s">
        <v>262</v>
      </c>
      <c r="F771" s="12" t="s">
        <v>263</v>
      </c>
      <c r="G771" s="12" t="s">
        <v>46</v>
      </c>
      <c r="H771" s="11" t="s">
        <v>63</v>
      </c>
      <c r="I771" s="13" t="s">
        <v>1999</v>
      </c>
      <c r="J771" s="14" t="str">
        <f>HYPERLINK("https://www.boe.es/gazeta/dias/1839/01/01/pdfs/GMD-1839-1508.pdf#page=3","Abrir facsímil")</f>
        <v>Abrir facsímil</v>
      </c>
      <c r="K771" s="12" t="s">
        <v>65</v>
      </c>
    </row>
    <row r="772" spans="1:11" ht="40.049999999999997" customHeight="1" x14ac:dyDescent="0.25">
      <c r="A772" s="11" t="s">
        <v>2000</v>
      </c>
      <c r="B772" s="11" t="s">
        <v>2000</v>
      </c>
      <c r="C772" s="11" t="s">
        <v>17</v>
      </c>
      <c r="D772" s="11" t="s">
        <v>18</v>
      </c>
      <c r="E772" s="12" t="s">
        <v>262</v>
      </c>
      <c r="F772" s="12" t="s">
        <v>263</v>
      </c>
      <c r="G772" s="12" t="s">
        <v>46</v>
      </c>
      <c r="H772" s="11" t="s">
        <v>63</v>
      </c>
      <c r="I772" s="13" t="s">
        <v>2001</v>
      </c>
      <c r="J772" s="14" t="str">
        <f>HYPERLINK("https://www.boe.es/gazeta/dias/1839/01/01/pdfs/GMD-1839-1508.pdf#page=3","Abrir facsímil")</f>
        <v>Abrir facsímil</v>
      </c>
      <c r="K772" s="12" t="s">
        <v>65</v>
      </c>
    </row>
    <row r="773" spans="1:11" ht="40.049999999999997" customHeight="1" x14ac:dyDescent="0.25">
      <c r="A773" s="11" t="s">
        <v>2002</v>
      </c>
      <c r="B773" s="11" t="s">
        <v>2002</v>
      </c>
      <c r="C773" s="11" t="s">
        <v>17</v>
      </c>
      <c r="D773" s="11" t="s">
        <v>18</v>
      </c>
      <c r="E773" s="12" t="s">
        <v>1366</v>
      </c>
      <c r="F773" s="12" t="s">
        <v>1367</v>
      </c>
      <c r="G773" s="12" t="s">
        <v>40</v>
      </c>
      <c r="H773" s="11" t="s">
        <v>22</v>
      </c>
      <c r="I773" s="13" t="s">
        <v>2003</v>
      </c>
      <c r="J773" s="14" t="str">
        <f>HYPERLINK("https://www.boe.es/gazeta/dias/1839/09/09/pdfs/GMD-1839-1762.pdf#page=2","Abrir facsímil")</f>
        <v>Abrir facsímil</v>
      </c>
      <c r="K773" s="12" t="s">
        <v>24</v>
      </c>
    </row>
    <row r="774" spans="1:11" ht="40.049999999999997" customHeight="1" x14ac:dyDescent="0.25">
      <c r="A774" s="11" t="s">
        <v>2002</v>
      </c>
      <c r="B774" s="11" t="s">
        <v>2002</v>
      </c>
      <c r="C774" s="11" t="s">
        <v>17</v>
      </c>
      <c r="D774" s="11" t="s">
        <v>18</v>
      </c>
      <c r="E774" s="12" t="s">
        <v>1366</v>
      </c>
      <c r="F774" s="12" t="s">
        <v>1367</v>
      </c>
      <c r="G774" s="12" t="s">
        <v>46</v>
      </c>
      <c r="H774" s="11" t="s">
        <v>22</v>
      </c>
      <c r="I774" s="13" t="s">
        <v>2004</v>
      </c>
      <c r="J774" s="14" t="str">
        <f>HYPERLINK("https://www.boe.es/gazeta/dias/1839/09/09/pdfs/GMD-1839-1762.pdf#page=3","Abrir facsímil")</f>
        <v>Abrir facsímil</v>
      </c>
      <c r="K774" s="12" t="s">
        <v>24</v>
      </c>
    </row>
    <row r="775" spans="1:11" ht="40.049999999999997" customHeight="1" x14ac:dyDescent="0.25">
      <c r="A775" s="11" t="s">
        <v>2002</v>
      </c>
      <c r="B775" s="11" t="s">
        <v>2002</v>
      </c>
      <c r="C775" s="11" t="s">
        <v>17</v>
      </c>
      <c r="D775" s="11" t="s">
        <v>18</v>
      </c>
      <c r="E775" s="12" t="s">
        <v>1807</v>
      </c>
      <c r="F775" s="12" t="s">
        <v>1808</v>
      </c>
      <c r="G775" s="12" t="s">
        <v>40</v>
      </c>
      <c r="H775" s="11" t="s">
        <v>22</v>
      </c>
      <c r="I775" s="13" t="s">
        <v>2005</v>
      </c>
      <c r="J775" s="14" t="str">
        <f>HYPERLINK("https://www.boe.es/gazeta/dias/1839/01/29/pdfs/GMD-1839-1536.pdf#page=2","Abrir facsímil")</f>
        <v>Abrir facsímil</v>
      </c>
      <c r="K775" s="12" t="s">
        <v>24</v>
      </c>
    </row>
    <row r="776" spans="1:11" ht="40.049999999999997" customHeight="1" x14ac:dyDescent="0.25">
      <c r="A776" s="11" t="s">
        <v>2006</v>
      </c>
      <c r="B776" s="11" t="s">
        <v>2006</v>
      </c>
      <c r="C776" s="11" t="s">
        <v>80</v>
      </c>
      <c r="D776" s="11" t="s">
        <v>18</v>
      </c>
      <c r="E776" s="12" t="s">
        <v>217</v>
      </c>
      <c r="F776" s="12" t="s">
        <v>218</v>
      </c>
      <c r="G776" s="12" t="s">
        <v>46</v>
      </c>
      <c r="H776" s="11" t="s">
        <v>63</v>
      </c>
      <c r="I776" s="13" t="s">
        <v>2007</v>
      </c>
      <c r="J776" s="14" t="str">
        <f>HYPERLINK("https://www.boe.es/gazeta/dias/1839/08/06/pdfs/GMD-1839-1726.pdf#page=3","Abrir facsímil")</f>
        <v>Abrir facsímil</v>
      </c>
      <c r="K776" s="12" t="s">
        <v>65</v>
      </c>
    </row>
    <row r="777" spans="1:11" ht="40.049999999999997" customHeight="1" x14ac:dyDescent="0.25">
      <c r="A777" s="11" t="s">
        <v>2006</v>
      </c>
      <c r="B777" s="11" t="s">
        <v>2006</v>
      </c>
      <c r="C777" s="11" t="s">
        <v>101</v>
      </c>
      <c r="D777" s="11" t="s">
        <v>102</v>
      </c>
      <c r="E777" s="12" t="s">
        <v>611</v>
      </c>
      <c r="F777" s="12" t="s">
        <v>612</v>
      </c>
      <c r="G777" s="12" t="s">
        <v>21</v>
      </c>
      <c r="H777" s="11" t="s">
        <v>63</v>
      </c>
      <c r="I777" s="13" t="s">
        <v>2008</v>
      </c>
      <c r="J777" s="14" t="str">
        <f>HYPERLINK("https://www.boe.es/gazeta/dias/1839/07/22/pdfs/GMD-1839-1710.pdf#page=4","Abrir facsímil")</f>
        <v>Abrir facsímil</v>
      </c>
      <c r="K777" s="12" t="s">
        <v>65</v>
      </c>
    </row>
    <row r="778" spans="1:11" ht="40.049999999999997" customHeight="1" x14ac:dyDescent="0.25">
      <c r="A778" s="11" t="s">
        <v>2009</v>
      </c>
      <c r="B778" s="11" t="s">
        <v>2010</v>
      </c>
      <c r="C778" s="11" t="s">
        <v>17</v>
      </c>
      <c r="D778" s="11" t="s">
        <v>18</v>
      </c>
      <c r="E778" s="12" t="s">
        <v>1623</v>
      </c>
      <c r="F778" s="12" t="s">
        <v>1624</v>
      </c>
      <c r="G778" s="12" t="s">
        <v>46</v>
      </c>
      <c r="H778" s="11" t="s">
        <v>63</v>
      </c>
      <c r="I778" s="13" t="s">
        <v>2011</v>
      </c>
      <c r="J778" s="14" t="str">
        <f>HYPERLINK("https://www.boe.es/gazeta/dias/1839/04/07/pdfs/GMD-1839-1604.pdf#page=3","Abrir facsímil")</f>
        <v>Abrir facsímil</v>
      </c>
      <c r="K778" s="12" t="s">
        <v>65</v>
      </c>
    </row>
    <row r="779" spans="1:11" ht="40.049999999999997" customHeight="1" x14ac:dyDescent="0.25">
      <c r="A779" s="11" t="s">
        <v>2012</v>
      </c>
      <c r="B779" s="11" t="s">
        <v>2013</v>
      </c>
      <c r="C779" s="11" t="s">
        <v>17</v>
      </c>
      <c r="D779" s="11" t="s">
        <v>18</v>
      </c>
      <c r="E779" s="12" t="s">
        <v>685</v>
      </c>
      <c r="F779" s="12" t="s">
        <v>686</v>
      </c>
      <c r="G779" s="12" t="s">
        <v>21</v>
      </c>
      <c r="H779" s="11" t="s">
        <v>22</v>
      </c>
      <c r="I779" s="13" t="s">
        <v>2014</v>
      </c>
      <c r="J779" s="14" t="str">
        <f>HYPERLINK("https://www.boe.es/gazeta/dias/1839/06/18/pdfs/GMD-1839-1676.pdf#page=4","Abrir facsímil")</f>
        <v>Abrir facsímil</v>
      </c>
      <c r="K779" s="12" t="s">
        <v>24</v>
      </c>
    </row>
    <row r="780" spans="1:11" ht="40.049999999999997" customHeight="1" x14ac:dyDescent="0.25">
      <c r="A780" s="11" t="s">
        <v>2015</v>
      </c>
      <c r="B780" s="11" t="s">
        <v>2016</v>
      </c>
      <c r="C780" s="11" t="s">
        <v>80</v>
      </c>
      <c r="D780" s="11" t="s">
        <v>173</v>
      </c>
      <c r="E780" s="12" t="s">
        <v>946</v>
      </c>
      <c r="F780" s="12" t="s">
        <v>947</v>
      </c>
      <c r="G780" s="12" t="s">
        <v>21</v>
      </c>
      <c r="H780" s="11" t="s">
        <v>63</v>
      </c>
      <c r="I780" s="13" t="s">
        <v>2017</v>
      </c>
      <c r="J780" s="14" t="str">
        <f>HYPERLINK("https://www.boe.es/gazeta/dias/1839/04/15/pdfs/GMD-1839-1612.pdf#page=4","Abrir facsímil")</f>
        <v>Abrir facsímil</v>
      </c>
      <c r="K780" s="12" t="s">
        <v>65</v>
      </c>
    </row>
    <row r="781" spans="1:11" ht="40.049999999999997" customHeight="1" x14ac:dyDescent="0.25">
      <c r="A781" s="11" t="s">
        <v>2018</v>
      </c>
      <c r="B781" s="11" t="s">
        <v>2018</v>
      </c>
      <c r="C781" s="11" t="s">
        <v>17</v>
      </c>
      <c r="D781" s="11" t="s">
        <v>18</v>
      </c>
      <c r="E781" s="12" t="s">
        <v>217</v>
      </c>
      <c r="F781" s="12" t="s">
        <v>218</v>
      </c>
      <c r="G781" s="12" t="s">
        <v>29</v>
      </c>
      <c r="H781" s="11" t="s">
        <v>63</v>
      </c>
      <c r="I781" s="13" t="s">
        <v>2019</v>
      </c>
      <c r="J781" s="14" t="str">
        <f>HYPERLINK("https://www.boe.es/gazeta/dias/1839/08/06/pdfs/GMD-1839-1726.pdf#page=1","Abrir facsímil")</f>
        <v>Abrir facsímil</v>
      </c>
      <c r="K781" s="12" t="s">
        <v>65</v>
      </c>
    </row>
    <row r="782" spans="1:11" ht="40.049999999999997" customHeight="1" x14ac:dyDescent="0.25">
      <c r="A782" s="11" t="s">
        <v>2020</v>
      </c>
      <c r="B782" s="11" t="s">
        <v>2020</v>
      </c>
      <c r="C782" s="11" t="s">
        <v>137</v>
      </c>
      <c r="D782" s="11" t="s">
        <v>18</v>
      </c>
      <c r="E782" s="12" t="s">
        <v>2021</v>
      </c>
      <c r="F782" s="12" t="s">
        <v>2022</v>
      </c>
      <c r="G782" s="12" t="s">
        <v>40</v>
      </c>
      <c r="H782" s="11" t="s">
        <v>63</v>
      </c>
      <c r="I782" s="13" t="s">
        <v>2023</v>
      </c>
      <c r="J782" s="14" t="str">
        <f>HYPERLINK("https://www.boe.es/gazeta/dias/1839/02/17/pdfs/GMD-1839-1555.pdf#page=2","Abrir facsímil")</f>
        <v>Abrir facsímil</v>
      </c>
      <c r="K782" s="12" t="s">
        <v>65</v>
      </c>
    </row>
    <row r="783" spans="1:11" ht="40.049999999999997" customHeight="1" x14ac:dyDescent="0.25">
      <c r="A783" s="11" t="s">
        <v>2020</v>
      </c>
      <c r="B783" s="11" t="s">
        <v>2020</v>
      </c>
      <c r="C783" s="11" t="s">
        <v>59</v>
      </c>
      <c r="D783" s="11" t="s">
        <v>60</v>
      </c>
      <c r="E783" s="12" t="s">
        <v>555</v>
      </c>
      <c r="F783" s="12" t="s">
        <v>556</v>
      </c>
      <c r="G783" s="12" t="s">
        <v>29</v>
      </c>
      <c r="H783" s="11" t="s">
        <v>63</v>
      </c>
      <c r="I783" s="13" t="s">
        <v>2024</v>
      </c>
      <c r="J783" s="14" t="str">
        <f>HYPERLINK("https://www.boe.es/gazeta/dias/1839/07/19/pdfs/GMD-1839-1707.pdf#page=1","Abrir facsímil")</f>
        <v>Abrir facsímil</v>
      </c>
      <c r="K783" s="12" t="s">
        <v>65</v>
      </c>
    </row>
    <row r="784" spans="1:11" ht="40.049999999999997" customHeight="1" x14ac:dyDescent="0.25">
      <c r="A784" s="11" t="s">
        <v>2020</v>
      </c>
      <c r="B784" s="11" t="s">
        <v>2020</v>
      </c>
      <c r="C784" s="11" t="s">
        <v>80</v>
      </c>
      <c r="D784" s="11" t="s">
        <v>173</v>
      </c>
      <c r="E784" s="12" t="s">
        <v>1474</v>
      </c>
      <c r="F784" s="12" t="s">
        <v>1475</v>
      </c>
      <c r="G784" s="12" t="s">
        <v>40</v>
      </c>
      <c r="H784" s="11" t="s">
        <v>63</v>
      </c>
      <c r="I784" s="13" t="s">
        <v>2025</v>
      </c>
      <c r="J784" s="14" t="str">
        <f>HYPERLINK("https://www.boe.es/gazeta/dias/1839/02/28/pdfs/GMD-1839-1566.pdf#page=2","Abrir facsímil")</f>
        <v>Abrir facsímil</v>
      </c>
      <c r="K784" s="12" t="s">
        <v>65</v>
      </c>
    </row>
    <row r="785" spans="1:11" ht="40.049999999999997" customHeight="1" x14ac:dyDescent="0.25">
      <c r="A785" s="11" t="s">
        <v>2020</v>
      </c>
      <c r="B785" s="11" t="s">
        <v>2020</v>
      </c>
      <c r="C785" s="11" t="s">
        <v>17</v>
      </c>
      <c r="D785" s="11" t="s">
        <v>18</v>
      </c>
      <c r="E785" s="12" t="s">
        <v>1551</v>
      </c>
      <c r="F785" s="12" t="s">
        <v>1552</v>
      </c>
      <c r="G785" s="12" t="s">
        <v>29</v>
      </c>
      <c r="H785" s="11" t="s">
        <v>63</v>
      </c>
      <c r="I785" s="13" t="s">
        <v>2026</v>
      </c>
      <c r="J785" s="14" t="str">
        <f>HYPERLINK("https://www.boe.es/gazeta/dias/1839/06/30/pdfs/GMD-1839-1688.pdf#page=1","Abrir facsímil")</f>
        <v>Abrir facsímil</v>
      </c>
      <c r="K785" s="12" t="s">
        <v>65</v>
      </c>
    </row>
    <row r="786" spans="1:11" ht="40.049999999999997" customHeight="1" x14ac:dyDescent="0.25">
      <c r="A786" s="11" t="s">
        <v>2027</v>
      </c>
      <c r="B786" s="11" t="s">
        <v>2028</v>
      </c>
      <c r="C786" s="11" t="s">
        <v>17</v>
      </c>
      <c r="D786" s="11" t="s">
        <v>18</v>
      </c>
      <c r="E786" s="12" t="s">
        <v>1474</v>
      </c>
      <c r="F786" s="12" t="s">
        <v>1475</v>
      </c>
      <c r="G786" s="12" t="s">
        <v>40</v>
      </c>
      <c r="H786" s="11" t="s">
        <v>63</v>
      </c>
      <c r="I786" s="13" t="s">
        <v>2029</v>
      </c>
      <c r="J786" s="14" t="str">
        <f>HYPERLINK("https://www.boe.es/gazeta/dias/1839/02/28/pdfs/GMD-1839-1566.pdf#page=2","Abrir facsímil")</f>
        <v>Abrir facsímil</v>
      </c>
      <c r="K786" s="12" t="s">
        <v>65</v>
      </c>
    </row>
    <row r="787" spans="1:11" ht="40.049999999999997" customHeight="1" x14ac:dyDescent="0.25">
      <c r="A787" s="11" t="s">
        <v>2030</v>
      </c>
      <c r="B787" s="11" t="s">
        <v>2031</v>
      </c>
      <c r="C787" s="11" t="s">
        <v>59</v>
      </c>
      <c r="D787" s="11" t="s">
        <v>60</v>
      </c>
      <c r="E787" s="12" t="s">
        <v>809</v>
      </c>
      <c r="F787" s="12" t="s">
        <v>810</v>
      </c>
      <c r="G787" s="12" t="s">
        <v>21</v>
      </c>
      <c r="H787" s="11" t="s">
        <v>63</v>
      </c>
      <c r="I787" s="13" t="s">
        <v>2032</v>
      </c>
      <c r="J787" s="14" t="str">
        <f>HYPERLINK("https://www.boe.es/gazeta/dias/1839/02/11/pdfs/GMD-1839-1549.pdf#page=4","Abrir facsímil")</f>
        <v>Abrir facsímil</v>
      </c>
      <c r="K787" s="12" t="s">
        <v>65</v>
      </c>
    </row>
    <row r="788" spans="1:11" ht="40.049999999999997" customHeight="1" x14ac:dyDescent="0.25">
      <c r="A788" s="11" t="s">
        <v>2033</v>
      </c>
      <c r="B788" s="11" t="s">
        <v>2033</v>
      </c>
      <c r="C788" s="11" t="s">
        <v>80</v>
      </c>
      <c r="D788" s="11" t="s">
        <v>18</v>
      </c>
      <c r="E788" s="12" t="s">
        <v>632</v>
      </c>
      <c r="F788" s="12" t="s">
        <v>633</v>
      </c>
      <c r="G788" s="12" t="s">
        <v>21</v>
      </c>
      <c r="H788" s="11" t="s">
        <v>22</v>
      </c>
      <c r="I788" s="13" t="s">
        <v>2034</v>
      </c>
      <c r="J788" s="14" t="str">
        <f>HYPERLINK("https://www.boe.es/gazeta/dias/1839/04/06/pdfs/GMD-1839-1603.pdf#page=4","Abrir facsímil")</f>
        <v>Abrir facsímil</v>
      </c>
      <c r="K788" s="12" t="s">
        <v>24</v>
      </c>
    </row>
    <row r="789" spans="1:11" ht="40.049999999999997" customHeight="1" x14ac:dyDescent="0.25">
      <c r="A789" s="11" t="s">
        <v>2035</v>
      </c>
      <c r="B789" s="11" t="s">
        <v>2036</v>
      </c>
      <c r="C789" s="11" t="s">
        <v>59</v>
      </c>
      <c r="D789" s="11" t="s">
        <v>60</v>
      </c>
      <c r="E789" s="12" t="s">
        <v>1749</v>
      </c>
      <c r="F789" s="12" t="s">
        <v>1750</v>
      </c>
      <c r="G789" s="12" t="s">
        <v>46</v>
      </c>
      <c r="H789" s="11" t="s">
        <v>63</v>
      </c>
      <c r="I789" s="13" t="s">
        <v>2037</v>
      </c>
      <c r="J789" s="14" t="str">
        <f>HYPERLINK("https://www.boe.es/gazeta/dias/1839/06/28/pdfs/GMD-1839-1686.pdf#page=3","Abrir facsímil")</f>
        <v>Abrir facsímil</v>
      </c>
      <c r="K789" s="12" t="s">
        <v>65</v>
      </c>
    </row>
    <row r="790" spans="1:11" ht="40.049999999999997" customHeight="1" x14ac:dyDescent="0.25">
      <c r="A790" s="11" t="s">
        <v>2038</v>
      </c>
      <c r="B790" s="11" t="s">
        <v>2038</v>
      </c>
      <c r="C790" s="11" t="s">
        <v>80</v>
      </c>
      <c r="D790" s="11" t="s">
        <v>18</v>
      </c>
      <c r="E790" s="12" t="s">
        <v>103</v>
      </c>
      <c r="F790" s="12" t="s">
        <v>104</v>
      </c>
      <c r="G790" s="12" t="s">
        <v>21</v>
      </c>
      <c r="H790" s="11" t="s">
        <v>63</v>
      </c>
      <c r="I790" s="13" t="s">
        <v>2039</v>
      </c>
      <c r="J790" s="14" t="str">
        <f>HYPERLINK("https://www.boe.es/gazeta/dias/1839/10/12/pdfs/GMD-1839-1798.pdf#page=4","Abrir facsímil")</f>
        <v>Abrir facsímil</v>
      </c>
      <c r="K790" s="12" t="s">
        <v>65</v>
      </c>
    </row>
    <row r="791" spans="1:11" ht="40.049999999999997" customHeight="1" x14ac:dyDescent="0.25">
      <c r="A791" s="11" t="s">
        <v>2040</v>
      </c>
      <c r="B791" s="11" t="s">
        <v>2041</v>
      </c>
      <c r="C791" s="11" t="s">
        <v>101</v>
      </c>
      <c r="D791" s="11" t="s">
        <v>102</v>
      </c>
      <c r="E791" s="12" t="s">
        <v>349</v>
      </c>
      <c r="F791" s="12" t="s">
        <v>350</v>
      </c>
      <c r="G791" s="12" t="s">
        <v>40</v>
      </c>
      <c r="H791" s="11" t="s">
        <v>63</v>
      </c>
      <c r="I791" s="13" t="s">
        <v>2042</v>
      </c>
      <c r="J791" s="14" t="str">
        <f>HYPERLINK("https://www.boe.es/gazeta/dias/1839/12/25/pdfs/GMD-1839-1872.pdf#page=2","Abrir facsímil")</f>
        <v>Abrir facsímil</v>
      </c>
      <c r="K791" s="12" t="s">
        <v>65</v>
      </c>
    </row>
    <row r="792" spans="1:11" ht="40.049999999999997" customHeight="1" x14ac:dyDescent="0.25">
      <c r="A792" s="11" t="s">
        <v>2043</v>
      </c>
      <c r="B792" s="11" t="s">
        <v>2043</v>
      </c>
      <c r="C792" s="11" t="s">
        <v>17</v>
      </c>
      <c r="D792" s="11" t="s">
        <v>18</v>
      </c>
      <c r="E792" s="12" t="s">
        <v>291</v>
      </c>
      <c r="F792" s="12" t="s">
        <v>292</v>
      </c>
      <c r="G792" s="12" t="s">
        <v>46</v>
      </c>
      <c r="H792" s="11" t="s">
        <v>63</v>
      </c>
      <c r="I792" s="13" t="s">
        <v>2044</v>
      </c>
      <c r="J792" s="14" t="str">
        <f>HYPERLINK("https://www.boe.es/gazeta/dias/1839/09/04/pdfs/GMD-1839-1757.pdf#page=3","Abrir facsímil")</f>
        <v>Abrir facsímil</v>
      </c>
      <c r="K792" s="12" t="s">
        <v>65</v>
      </c>
    </row>
    <row r="793" spans="1:11" ht="40.049999999999997" customHeight="1" x14ac:dyDescent="0.25">
      <c r="A793" s="11" t="s">
        <v>2043</v>
      </c>
      <c r="B793" s="11" t="s">
        <v>2043</v>
      </c>
      <c r="C793" s="11" t="s">
        <v>137</v>
      </c>
      <c r="D793" s="11" t="s">
        <v>18</v>
      </c>
      <c r="E793" s="12" t="s">
        <v>690</v>
      </c>
      <c r="F793" s="12" t="s">
        <v>691</v>
      </c>
      <c r="G793" s="12" t="s">
        <v>46</v>
      </c>
      <c r="H793" s="11" t="s">
        <v>63</v>
      </c>
      <c r="I793" s="13" t="s">
        <v>2045</v>
      </c>
      <c r="J793" s="14" t="str">
        <f>HYPERLINK("https://www.boe.es/gazeta/dias/1839/12/08/pdfs/GMD-1839-1855.pdf#page=3","Abrir facsímil")</f>
        <v>Abrir facsímil</v>
      </c>
      <c r="K793" s="12" t="s">
        <v>65</v>
      </c>
    </row>
    <row r="794" spans="1:11" ht="40.049999999999997" customHeight="1" x14ac:dyDescent="0.25">
      <c r="A794" s="11" t="s">
        <v>2046</v>
      </c>
      <c r="B794" s="11" t="s">
        <v>2046</v>
      </c>
      <c r="C794" s="11" t="s">
        <v>101</v>
      </c>
      <c r="D794" s="11" t="s">
        <v>43</v>
      </c>
      <c r="E794" s="12" t="s">
        <v>1929</v>
      </c>
      <c r="F794" s="12" t="s">
        <v>1930</v>
      </c>
      <c r="G794" s="12" t="s">
        <v>46</v>
      </c>
      <c r="H794" s="11" t="s">
        <v>22</v>
      </c>
      <c r="I794" s="13" t="s">
        <v>2047</v>
      </c>
      <c r="J794" s="14" t="str">
        <f>HYPERLINK("https://www.boe.es/gazeta/dias/1839/02/01/pdfs/GMD-1839-1539.pdf#page=3","Abrir facsímil")</f>
        <v>Abrir facsímil</v>
      </c>
      <c r="K794" s="12" t="s">
        <v>24</v>
      </c>
    </row>
    <row r="795" spans="1:11" ht="40.049999999999997" customHeight="1" x14ac:dyDescent="0.25">
      <c r="A795" s="11" t="s">
        <v>2048</v>
      </c>
      <c r="B795" s="11" t="s">
        <v>2048</v>
      </c>
      <c r="C795" s="11" t="s">
        <v>17</v>
      </c>
      <c r="D795" s="11" t="s">
        <v>18</v>
      </c>
      <c r="E795" s="12" t="s">
        <v>108</v>
      </c>
      <c r="F795" s="12" t="s">
        <v>109</v>
      </c>
      <c r="G795" s="12" t="s">
        <v>21</v>
      </c>
      <c r="H795" s="11" t="s">
        <v>22</v>
      </c>
      <c r="I795" s="13" t="s">
        <v>2049</v>
      </c>
      <c r="J795" s="14" t="str">
        <f>HYPERLINK("https://www.boe.es/gazeta/dias/1839/01/04/pdfs/GMD-1839-1511.pdf#page=4","Abrir facsímil")</f>
        <v>Abrir facsímil</v>
      </c>
      <c r="K795" s="12" t="s">
        <v>24</v>
      </c>
    </row>
    <row r="796" spans="1:11" ht="40.049999999999997" customHeight="1" x14ac:dyDescent="0.25">
      <c r="A796" s="11" t="s">
        <v>2048</v>
      </c>
      <c r="B796" s="11" t="s">
        <v>2048</v>
      </c>
      <c r="C796" s="11" t="s">
        <v>17</v>
      </c>
      <c r="D796" s="11" t="s">
        <v>18</v>
      </c>
      <c r="E796" s="12" t="s">
        <v>2050</v>
      </c>
      <c r="F796" s="12" t="s">
        <v>2051</v>
      </c>
      <c r="G796" s="12" t="s">
        <v>40</v>
      </c>
      <c r="H796" s="11" t="s">
        <v>22</v>
      </c>
      <c r="I796" s="13" t="s">
        <v>2052</v>
      </c>
      <c r="J796" s="14" t="str">
        <f>HYPERLINK("https://www.boe.es/gazeta/dias/1839/01/09/pdfs/GMD-1839-1516.pdf#page=2","Abrir facsímil")</f>
        <v>Abrir facsímil</v>
      </c>
      <c r="K796" s="12" t="s">
        <v>24</v>
      </c>
    </row>
    <row r="797" spans="1:11" ht="40.049999999999997" customHeight="1" x14ac:dyDescent="0.25">
      <c r="A797" s="11" t="s">
        <v>2053</v>
      </c>
      <c r="B797" s="11" t="s">
        <v>2053</v>
      </c>
      <c r="C797" s="11" t="s">
        <v>17</v>
      </c>
      <c r="D797" s="11" t="s">
        <v>43</v>
      </c>
      <c r="E797" s="12" t="s">
        <v>108</v>
      </c>
      <c r="F797" s="12" t="s">
        <v>109</v>
      </c>
      <c r="G797" s="12" t="s">
        <v>46</v>
      </c>
      <c r="H797" s="11" t="s">
        <v>63</v>
      </c>
      <c r="I797" s="13" t="s">
        <v>2054</v>
      </c>
      <c r="J797" s="14" t="str">
        <f>HYPERLINK("https://www.boe.es/gazeta/dias/1839/01/04/pdfs/GMD-1839-1511.pdf#page=3","Abrir facsímil")</f>
        <v>Abrir facsímil</v>
      </c>
      <c r="K797" s="12" t="s">
        <v>65</v>
      </c>
    </row>
    <row r="798" spans="1:11" ht="40.049999999999997" customHeight="1" x14ac:dyDescent="0.25">
      <c r="A798" s="11" t="s">
        <v>2053</v>
      </c>
      <c r="B798" s="11" t="s">
        <v>2053</v>
      </c>
      <c r="C798" s="11" t="s">
        <v>17</v>
      </c>
      <c r="D798" s="11" t="s">
        <v>18</v>
      </c>
      <c r="E798" s="12" t="s">
        <v>1008</v>
      </c>
      <c r="F798" s="12" t="s">
        <v>1009</v>
      </c>
      <c r="G798" s="12" t="s">
        <v>40</v>
      </c>
      <c r="H798" s="11" t="s">
        <v>63</v>
      </c>
      <c r="I798" s="13" t="s">
        <v>2055</v>
      </c>
      <c r="J798" s="14" t="str">
        <f>HYPERLINK("https://www.boe.es/gazeta/dias/1839/09/07/pdfs/GMD-1839-1760.pdf#page=2","Abrir facsímil")</f>
        <v>Abrir facsímil</v>
      </c>
      <c r="K798" s="12" t="s">
        <v>65</v>
      </c>
    </row>
    <row r="799" spans="1:11" ht="40.049999999999997" customHeight="1" x14ac:dyDescent="0.25">
      <c r="A799" s="11" t="s">
        <v>2053</v>
      </c>
      <c r="B799" s="11" t="s">
        <v>2053</v>
      </c>
      <c r="C799" s="11" t="s">
        <v>137</v>
      </c>
      <c r="D799" s="11" t="s">
        <v>18</v>
      </c>
      <c r="E799" s="12" t="s">
        <v>1366</v>
      </c>
      <c r="F799" s="12" t="s">
        <v>1367</v>
      </c>
      <c r="G799" s="12" t="s">
        <v>46</v>
      </c>
      <c r="H799" s="11" t="s">
        <v>63</v>
      </c>
      <c r="I799" s="13" t="s">
        <v>2056</v>
      </c>
      <c r="J799" s="14" t="str">
        <f>HYPERLINK("https://www.boe.es/gazeta/dias/1839/09/09/pdfs/GMD-1839-1762.pdf#page=3","Abrir facsímil")</f>
        <v>Abrir facsímil</v>
      </c>
      <c r="K799" s="12" t="s">
        <v>65</v>
      </c>
    </row>
    <row r="800" spans="1:11" ht="40.049999999999997" customHeight="1" x14ac:dyDescent="0.25">
      <c r="A800" s="11" t="s">
        <v>2057</v>
      </c>
      <c r="B800" s="11" t="s">
        <v>2057</v>
      </c>
      <c r="C800" s="11" t="s">
        <v>17</v>
      </c>
      <c r="D800" s="11" t="s">
        <v>18</v>
      </c>
      <c r="E800" s="12" t="s">
        <v>1929</v>
      </c>
      <c r="F800" s="12" t="s">
        <v>1930</v>
      </c>
      <c r="G800" s="12" t="s">
        <v>46</v>
      </c>
      <c r="H800" s="11" t="s">
        <v>22</v>
      </c>
      <c r="I800" s="13" t="s">
        <v>2058</v>
      </c>
      <c r="J800" s="14" t="str">
        <f>HYPERLINK("https://www.boe.es/gazeta/dias/1839/02/01/pdfs/GMD-1839-1539.pdf#page=3","Abrir facsímil")</f>
        <v>Abrir facsímil</v>
      </c>
      <c r="K800" s="12" t="s">
        <v>24</v>
      </c>
    </row>
    <row r="801" spans="1:11" ht="40.049999999999997" customHeight="1" x14ac:dyDescent="0.25">
      <c r="A801" s="11" t="s">
        <v>2059</v>
      </c>
      <c r="B801" s="11" t="s">
        <v>2059</v>
      </c>
      <c r="C801" s="11" t="s">
        <v>17</v>
      </c>
      <c r="D801" s="11" t="s">
        <v>18</v>
      </c>
      <c r="E801" s="12" t="s">
        <v>433</v>
      </c>
      <c r="F801" s="12" t="s">
        <v>434</v>
      </c>
      <c r="G801" s="12" t="s">
        <v>21</v>
      </c>
      <c r="H801" s="11" t="s">
        <v>22</v>
      </c>
      <c r="I801" s="13" t="s">
        <v>2060</v>
      </c>
      <c r="J801" s="14" t="str">
        <f>HYPERLINK("https://www.boe.es/gazeta/dias/1839/01/20/pdfs/GMD-1839-1527.pdf#page=4","Abrir facsímil")</f>
        <v>Abrir facsímil</v>
      </c>
      <c r="K801" s="12" t="s">
        <v>24</v>
      </c>
    </row>
    <row r="802" spans="1:11" ht="40.049999999999997" customHeight="1" x14ac:dyDescent="0.25">
      <c r="A802" s="11" t="s">
        <v>2061</v>
      </c>
      <c r="B802" s="11" t="s">
        <v>2062</v>
      </c>
      <c r="C802" s="11" t="s">
        <v>80</v>
      </c>
      <c r="D802" s="11" t="s">
        <v>18</v>
      </c>
      <c r="E802" s="12" t="s">
        <v>1019</v>
      </c>
      <c r="F802" s="12" t="s">
        <v>1020</v>
      </c>
      <c r="G802" s="12" t="s">
        <v>21</v>
      </c>
      <c r="H802" s="11" t="s">
        <v>63</v>
      </c>
      <c r="I802" s="13" t="s">
        <v>2063</v>
      </c>
      <c r="J802" s="14" t="str">
        <f>HYPERLINK("https://www.boe.es/gazeta/dias/1839/07/15/pdfs/GMD-1839-1703.pdf#page=4","Abrir facsímil")</f>
        <v>Abrir facsímil</v>
      </c>
      <c r="K802" s="12" t="s">
        <v>65</v>
      </c>
    </row>
    <row r="803" spans="1:11" ht="40.049999999999997" customHeight="1" x14ac:dyDescent="0.25">
      <c r="A803" s="11" t="s">
        <v>2064</v>
      </c>
      <c r="B803" s="11" t="s">
        <v>2065</v>
      </c>
      <c r="C803" s="11" t="s">
        <v>17</v>
      </c>
      <c r="D803" s="11" t="s">
        <v>18</v>
      </c>
      <c r="E803" s="12" t="s">
        <v>798</v>
      </c>
      <c r="F803" s="12" t="s">
        <v>799</v>
      </c>
      <c r="G803" s="12" t="s">
        <v>21</v>
      </c>
      <c r="H803" s="11" t="s">
        <v>63</v>
      </c>
      <c r="I803" s="13" t="s">
        <v>2066</v>
      </c>
      <c r="J803" s="14" t="str">
        <f>HYPERLINK("https://www.boe.es/gazeta/dias/1839/09/03/pdfs/GMD-1839-1755.pdf#page=4","Abrir facsímil")</f>
        <v>Abrir facsímil</v>
      </c>
      <c r="K803" s="12" t="s">
        <v>65</v>
      </c>
    </row>
    <row r="804" spans="1:11" ht="40.049999999999997" customHeight="1" x14ac:dyDescent="0.25">
      <c r="A804" s="11" t="s">
        <v>2067</v>
      </c>
      <c r="B804" s="11" t="s">
        <v>2067</v>
      </c>
      <c r="C804" s="11" t="s">
        <v>17</v>
      </c>
      <c r="D804" s="11" t="s">
        <v>18</v>
      </c>
      <c r="E804" s="12" t="s">
        <v>303</v>
      </c>
      <c r="F804" s="12" t="s">
        <v>304</v>
      </c>
      <c r="G804" s="12" t="s">
        <v>305</v>
      </c>
      <c r="H804" s="11" t="s">
        <v>63</v>
      </c>
      <c r="I804" s="13" t="s">
        <v>2068</v>
      </c>
      <c r="J804" s="14" t="str">
        <f>HYPERLINK("https://www.boe.es/gazeta/dias/1839/10/06/pdfs/GMD-1839-1792.pdf#page=6","Abrir facsímil")</f>
        <v>Abrir facsímil</v>
      </c>
      <c r="K804" s="12" t="s">
        <v>65</v>
      </c>
    </row>
    <row r="805" spans="1:11" ht="40.049999999999997" customHeight="1" x14ac:dyDescent="0.25">
      <c r="A805" s="11" t="s">
        <v>2067</v>
      </c>
      <c r="B805" s="11" t="s">
        <v>2067</v>
      </c>
      <c r="C805" s="11" t="s">
        <v>17</v>
      </c>
      <c r="D805" s="11" t="s">
        <v>18</v>
      </c>
      <c r="E805" s="12" t="s">
        <v>2069</v>
      </c>
      <c r="F805" s="12" t="s">
        <v>2070</v>
      </c>
      <c r="G805" s="12" t="s">
        <v>305</v>
      </c>
      <c r="H805" s="11" t="s">
        <v>63</v>
      </c>
      <c r="I805" s="13" t="s">
        <v>2071</v>
      </c>
      <c r="J805" s="14" t="str">
        <f>HYPERLINK("https://www.boe.es/gazeta/dias/1839/10/20/pdfs/GMD-1839-1806.pdf#page=6","Abrir facsímil")</f>
        <v>Abrir facsímil</v>
      </c>
      <c r="K805" s="12" t="s">
        <v>65</v>
      </c>
    </row>
    <row r="806" spans="1:11" ht="40.049999999999997" customHeight="1" x14ac:dyDescent="0.25">
      <c r="A806" s="11" t="s">
        <v>2072</v>
      </c>
      <c r="B806" s="11" t="s">
        <v>2073</v>
      </c>
      <c r="C806" s="11" t="s">
        <v>101</v>
      </c>
      <c r="D806" s="11" t="s">
        <v>102</v>
      </c>
      <c r="E806" s="12" t="s">
        <v>1623</v>
      </c>
      <c r="F806" s="12" t="s">
        <v>1624</v>
      </c>
      <c r="G806" s="12" t="s">
        <v>40</v>
      </c>
      <c r="H806" s="11" t="s">
        <v>63</v>
      </c>
      <c r="I806" s="13" t="s">
        <v>2074</v>
      </c>
      <c r="J806" s="14" t="str">
        <f>HYPERLINK("https://www.boe.es/gazeta/dias/1839/04/07/pdfs/GMD-1839-1604.pdf#page=2","Abrir facsímil")</f>
        <v>Abrir facsímil</v>
      </c>
      <c r="K806" s="12" t="s">
        <v>65</v>
      </c>
    </row>
    <row r="807" spans="1:11" ht="40.049999999999997" customHeight="1" x14ac:dyDescent="0.25">
      <c r="A807" s="11" t="s">
        <v>2075</v>
      </c>
      <c r="B807" s="11" t="s">
        <v>2076</v>
      </c>
      <c r="C807" s="11" t="s">
        <v>17</v>
      </c>
      <c r="D807" s="11" t="s">
        <v>18</v>
      </c>
      <c r="E807" s="12" t="s">
        <v>89</v>
      </c>
      <c r="F807" s="12" t="s">
        <v>90</v>
      </c>
      <c r="G807" s="12" t="s">
        <v>21</v>
      </c>
      <c r="H807" s="11" t="s">
        <v>63</v>
      </c>
      <c r="I807" s="13" t="s">
        <v>2077</v>
      </c>
      <c r="J807" s="14" t="str">
        <f>HYPERLINK("https://www.boe.es/gazeta/dias/1839/11/28/pdfs/GMD-1839-1845.pdf#page=4","Abrir facsímil")</f>
        <v>Abrir facsímil</v>
      </c>
      <c r="K807" s="12" t="s">
        <v>65</v>
      </c>
    </row>
    <row r="808" spans="1:11" ht="40.049999999999997" customHeight="1" x14ac:dyDescent="0.25">
      <c r="A808" s="11" t="s">
        <v>2078</v>
      </c>
      <c r="B808" s="11" t="s">
        <v>2078</v>
      </c>
      <c r="C808" s="11" t="s">
        <v>17</v>
      </c>
      <c r="D808" s="11" t="s">
        <v>18</v>
      </c>
      <c r="E808" s="12" t="s">
        <v>1366</v>
      </c>
      <c r="F808" s="12" t="s">
        <v>1367</v>
      </c>
      <c r="G808" s="12" t="s">
        <v>40</v>
      </c>
      <c r="H808" s="11" t="s">
        <v>63</v>
      </c>
      <c r="I808" s="13" t="s">
        <v>2079</v>
      </c>
      <c r="J808" s="14" t="str">
        <f>HYPERLINK("https://www.boe.es/gazeta/dias/1839/09/09/pdfs/GMD-1839-1762.pdf#page=2","Abrir facsímil")</f>
        <v>Abrir facsímil</v>
      </c>
      <c r="K808" s="12" t="s">
        <v>65</v>
      </c>
    </row>
    <row r="809" spans="1:11" ht="40.049999999999997" customHeight="1" x14ac:dyDescent="0.25">
      <c r="A809" s="11" t="s">
        <v>2080</v>
      </c>
      <c r="B809" s="11" t="s">
        <v>2081</v>
      </c>
      <c r="C809" s="11" t="s">
        <v>101</v>
      </c>
      <c r="D809" s="11" t="s">
        <v>43</v>
      </c>
      <c r="E809" s="12" t="s">
        <v>1414</v>
      </c>
      <c r="F809" s="12" t="s">
        <v>1415</v>
      </c>
      <c r="G809" s="12" t="s">
        <v>21</v>
      </c>
      <c r="H809" s="11" t="s">
        <v>63</v>
      </c>
      <c r="I809" s="13" t="s">
        <v>2082</v>
      </c>
      <c r="J809" s="14" t="str">
        <f>HYPERLINK("https://www.boe.es/gazeta/dias/1839/06/12/pdfs/GMD-1839-1670.pdf#page=4","Abrir facsímil")</f>
        <v>Abrir facsímil</v>
      </c>
      <c r="K809" s="12" t="s">
        <v>65</v>
      </c>
    </row>
    <row r="810" spans="1:11" ht="40.049999999999997" customHeight="1" x14ac:dyDescent="0.25">
      <c r="A810" s="11" t="s">
        <v>2083</v>
      </c>
      <c r="B810" s="11" t="s">
        <v>2084</v>
      </c>
      <c r="C810" s="11" t="s">
        <v>17</v>
      </c>
      <c r="D810" s="11" t="s">
        <v>18</v>
      </c>
      <c r="E810" s="12" t="s">
        <v>1269</v>
      </c>
      <c r="F810" s="12" t="s">
        <v>1270</v>
      </c>
      <c r="G810" s="12" t="s">
        <v>21</v>
      </c>
      <c r="H810" s="11" t="s">
        <v>63</v>
      </c>
      <c r="I810" s="13" t="s">
        <v>2085</v>
      </c>
      <c r="J810" s="14" t="str">
        <f>HYPERLINK("https://www.boe.es/gazeta/dias/1839/04/29/pdfs/GMD-1839-1626.pdf#page=4","Abrir facsímil")</f>
        <v>Abrir facsímil</v>
      </c>
      <c r="K810" s="12" t="s">
        <v>65</v>
      </c>
    </row>
    <row r="811" spans="1:11" ht="40.049999999999997" customHeight="1" x14ac:dyDescent="0.25">
      <c r="A811" s="11" t="s">
        <v>2086</v>
      </c>
      <c r="B811" s="11" t="s">
        <v>2087</v>
      </c>
      <c r="C811" s="11" t="s">
        <v>80</v>
      </c>
      <c r="D811" s="11" t="s">
        <v>18</v>
      </c>
      <c r="E811" s="12" t="s">
        <v>360</v>
      </c>
      <c r="F811" s="12" t="s">
        <v>361</v>
      </c>
      <c r="G811" s="12" t="s">
        <v>29</v>
      </c>
      <c r="H811" s="11" t="s">
        <v>63</v>
      </c>
      <c r="I811" s="13" t="s">
        <v>2088</v>
      </c>
      <c r="J811" s="14" t="str">
        <f>HYPERLINK("https://www.boe.es/gazeta/dias/1839/08/22/pdfs/GMD-1839-1743.pdf#page=1","Abrir facsímil")</f>
        <v>Abrir facsímil</v>
      </c>
      <c r="K811" s="12" t="s">
        <v>65</v>
      </c>
    </row>
    <row r="812" spans="1:11" ht="40.049999999999997" customHeight="1" x14ac:dyDescent="0.25">
      <c r="A812" s="11" t="s">
        <v>2089</v>
      </c>
      <c r="B812" s="11" t="s">
        <v>2089</v>
      </c>
      <c r="C812" s="11" t="s">
        <v>17</v>
      </c>
      <c r="D812" s="11" t="s">
        <v>18</v>
      </c>
      <c r="E812" s="12" t="s">
        <v>365</v>
      </c>
      <c r="F812" s="12" t="s">
        <v>366</v>
      </c>
      <c r="G812" s="12" t="s">
        <v>40</v>
      </c>
      <c r="H812" s="11" t="s">
        <v>63</v>
      </c>
      <c r="I812" s="13" t="s">
        <v>2090</v>
      </c>
      <c r="J812" s="14" t="str">
        <f>HYPERLINK("https://www.boe.es/gazeta/dias/1839/08/14/pdfs/GMD-1839-1734.pdf#page=2","Abrir facsímil")</f>
        <v>Abrir facsímil</v>
      </c>
      <c r="K812" s="12" t="s">
        <v>65</v>
      </c>
    </row>
    <row r="813" spans="1:11" ht="40.049999999999997" customHeight="1" x14ac:dyDescent="0.25">
      <c r="A813" s="11" t="s">
        <v>2091</v>
      </c>
      <c r="B813" s="11" t="s">
        <v>2091</v>
      </c>
      <c r="C813" s="11" t="s">
        <v>80</v>
      </c>
      <c r="D813" s="11" t="s">
        <v>18</v>
      </c>
      <c r="E813" s="12" t="s">
        <v>568</v>
      </c>
      <c r="F813" s="12" t="s">
        <v>569</v>
      </c>
      <c r="G813" s="12" t="s">
        <v>21</v>
      </c>
      <c r="H813" s="11" t="s">
        <v>63</v>
      </c>
      <c r="I813" s="13" t="s">
        <v>2092</v>
      </c>
      <c r="J813" s="14" t="str">
        <f>HYPERLINK("https://www.boe.es/gazeta/dias/1839/10/23/pdfs/GMD-1839-1809.pdf#page=4","Abrir facsímil")</f>
        <v>Abrir facsímil</v>
      </c>
      <c r="K813" s="12" t="s">
        <v>65</v>
      </c>
    </row>
    <row r="814" spans="1:11" ht="40.049999999999997" customHeight="1" x14ac:dyDescent="0.25">
      <c r="A814" s="11" t="s">
        <v>2091</v>
      </c>
      <c r="B814" s="11" t="s">
        <v>2091</v>
      </c>
      <c r="C814" s="11" t="s">
        <v>137</v>
      </c>
      <c r="D814" s="11" t="s">
        <v>18</v>
      </c>
      <c r="E814" s="12" t="s">
        <v>650</v>
      </c>
      <c r="F814" s="12" t="s">
        <v>651</v>
      </c>
      <c r="G814" s="12" t="s">
        <v>40</v>
      </c>
      <c r="H814" s="11" t="s">
        <v>63</v>
      </c>
      <c r="I814" s="13" t="s">
        <v>2093</v>
      </c>
      <c r="J814" s="14" t="str">
        <f>HYPERLINK("https://www.boe.es/gazeta/dias/1839/10/25/pdfs/GMD-1839-1811.pdf#page=2","Abrir facsímil")</f>
        <v>Abrir facsímil</v>
      </c>
      <c r="K814" s="12" t="s">
        <v>65</v>
      </c>
    </row>
    <row r="815" spans="1:11" ht="40.049999999999997" customHeight="1" x14ac:dyDescent="0.25">
      <c r="A815" s="11" t="s">
        <v>2094</v>
      </c>
      <c r="B815" s="11" t="s">
        <v>2094</v>
      </c>
      <c r="C815" s="11" t="s">
        <v>17</v>
      </c>
      <c r="D815" s="11" t="s">
        <v>18</v>
      </c>
      <c r="E815" s="12" t="s">
        <v>1929</v>
      </c>
      <c r="F815" s="12" t="s">
        <v>1930</v>
      </c>
      <c r="G815" s="12" t="s">
        <v>40</v>
      </c>
      <c r="H815" s="11" t="s">
        <v>63</v>
      </c>
      <c r="I815" s="13" t="s">
        <v>2095</v>
      </c>
      <c r="J815" s="14" t="str">
        <f>HYPERLINK("https://www.boe.es/gazeta/dias/1839/02/01/pdfs/GMD-1839-1539.pdf#page=2","Abrir facsímil")</f>
        <v>Abrir facsímil</v>
      </c>
      <c r="K815" s="12" t="s">
        <v>65</v>
      </c>
    </row>
    <row r="816" spans="1:11" ht="40.049999999999997" customHeight="1" x14ac:dyDescent="0.25">
      <c r="A816" s="11" t="s">
        <v>2094</v>
      </c>
      <c r="B816" s="11" t="s">
        <v>2094</v>
      </c>
      <c r="C816" s="11" t="s">
        <v>17</v>
      </c>
      <c r="D816" s="11" t="s">
        <v>18</v>
      </c>
      <c r="E816" s="12" t="s">
        <v>1509</v>
      </c>
      <c r="F816" s="12" t="s">
        <v>1510</v>
      </c>
      <c r="G816" s="12" t="s">
        <v>29</v>
      </c>
      <c r="H816" s="11" t="s">
        <v>63</v>
      </c>
      <c r="I816" s="13" t="s">
        <v>2096</v>
      </c>
      <c r="J816" s="14" t="str">
        <f>HYPERLINK("https://www.boe.es/gazeta/dias/1839/10/07/pdfs/GMD-1839-1793.pdf#page=1","Abrir facsímil")</f>
        <v>Abrir facsímil</v>
      </c>
      <c r="K816" s="12" t="s">
        <v>65</v>
      </c>
    </row>
    <row r="817" spans="1:11" ht="40.049999999999997" customHeight="1" x14ac:dyDescent="0.25">
      <c r="A817" s="11" t="s">
        <v>2094</v>
      </c>
      <c r="B817" s="11" t="s">
        <v>2094</v>
      </c>
      <c r="C817" s="11" t="s">
        <v>101</v>
      </c>
      <c r="D817" s="11" t="s">
        <v>43</v>
      </c>
      <c r="E817" s="12" t="s">
        <v>1509</v>
      </c>
      <c r="F817" s="12" t="s">
        <v>1510</v>
      </c>
      <c r="G817" s="12" t="s">
        <v>46</v>
      </c>
      <c r="H817" s="11" t="s">
        <v>63</v>
      </c>
      <c r="I817" s="13" t="s">
        <v>2097</v>
      </c>
      <c r="J817" s="14" t="str">
        <f>HYPERLINK("https://www.boe.es/gazeta/dias/1839/10/07/pdfs/GMD-1839-1793.pdf#page=3","Abrir facsímil")</f>
        <v>Abrir facsímil</v>
      </c>
      <c r="K817" s="12" t="s">
        <v>65</v>
      </c>
    </row>
    <row r="818" spans="1:11" ht="40.049999999999997" customHeight="1" x14ac:dyDescent="0.25">
      <c r="A818" s="11" t="s">
        <v>2094</v>
      </c>
      <c r="B818" s="11" t="s">
        <v>2094</v>
      </c>
      <c r="C818" s="11" t="s">
        <v>80</v>
      </c>
      <c r="D818" s="11" t="s">
        <v>18</v>
      </c>
      <c r="E818" s="12" t="s">
        <v>1366</v>
      </c>
      <c r="F818" s="12" t="s">
        <v>1367</v>
      </c>
      <c r="G818" s="12" t="s">
        <v>40</v>
      </c>
      <c r="H818" s="11" t="s">
        <v>63</v>
      </c>
      <c r="I818" s="13" t="s">
        <v>2098</v>
      </c>
      <c r="J818" s="14" t="str">
        <f>HYPERLINK("https://www.boe.es/gazeta/dias/1839/09/09/pdfs/GMD-1839-1762.pdf#page=2","Abrir facsímil")</f>
        <v>Abrir facsímil</v>
      </c>
      <c r="K818" s="12" t="s">
        <v>65</v>
      </c>
    </row>
    <row r="819" spans="1:11" ht="40.049999999999997" customHeight="1" x14ac:dyDescent="0.25">
      <c r="A819" s="11" t="s">
        <v>2094</v>
      </c>
      <c r="B819" s="11" t="s">
        <v>2094</v>
      </c>
      <c r="C819" s="11" t="s">
        <v>137</v>
      </c>
      <c r="D819" s="11" t="s">
        <v>18</v>
      </c>
      <c r="E819" s="12" t="s">
        <v>1100</v>
      </c>
      <c r="F819" s="12" t="s">
        <v>1101</v>
      </c>
      <c r="G819" s="12" t="s">
        <v>21</v>
      </c>
      <c r="H819" s="11" t="s">
        <v>63</v>
      </c>
      <c r="I819" s="13" t="s">
        <v>2099</v>
      </c>
      <c r="J819" s="14" t="str">
        <f>HYPERLINK("https://www.boe.es/gazeta/dias/1839/09/13/pdfs/GMD-1839-1766.pdf#page=4","Abrir facsímil")</f>
        <v>Abrir facsímil</v>
      </c>
      <c r="K819" s="12" t="s">
        <v>65</v>
      </c>
    </row>
    <row r="820" spans="1:11" ht="40.049999999999997" customHeight="1" x14ac:dyDescent="0.25">
      <c r="A820" s="11" t="s">
        <v>2094</v>
      </c>
      <c r="B820" s="11" t="s">
        <v>2094</v>
      </c>
      <c r="C820" s="11" t="s">
        <v>101</v>
      </c>
      <c r="D820" s="11" t="s">
        <v>43</v>
      </c>
      <c r="E820" s="12" t="s">
        <v>1236</v>
      </c>
      <c r="F820" s="12" t="s">
        <v>1237</v>
      </c>
      <c r="G820" s="12" t="s">
        <v>29</v>
      </c>
      <c r="H820" s="11" t="s">
        <v>63</v>
      </c>
      <c r="I820" s="13" t="s">
        <v>2100</v>
      </c>
      <c r="J820" s="14" t="str">
        <f>HYPERLINK("https://www.boe.es/gazeta/dias/1839/10/16/pdfs/GMD-1839-1802.pdf#page=1","Abrir facsímil")</f>
        <v>Abrir facsímil</v>
      </c>
      <c r="K820" s="12" t="s">
        <v>65</v>
      </c>
    </row>
    <row r="821" spans="1:11" ht="40.049999999999997" customHeight="1" x14ac:dyDescent="0.25">
      <c r="A821" s="11" t="s">
        <v>2094</v>
      </c>
      <c r="B821" s="11" t="s">
        <v>2094</v>
      </c>
      <c r="C821" s="11" t="s">
        <v>17</v>
      </c>
      <c r="D821" s="11" t="s">
        <v>43</v>
      </c>
      <c r="E821" s="12" t="s">
        <v>857</v>
      </c>
      <c r="F821" s="12" t="s">
        <v>858</v>
      </c>
      <c r="G821" s="12" t="s">
        <v>40</v>
      </c>
      <c r="H821" s="11" t="s">
        <v>63</v>
      </c>
      <c r="I821" s="13" t="s">
        <v>2101</v>
      </c>
      <c r="J821" s="14" t="str">
        <f>HYPERLINK("https://www.boe.es/gazeta/dias/1839/11/21/pdfs/GMD-1839-1838.pdf#page=2","Abrir facsímil")</f>
        <v>Abrir facsímil</v>
      </c>
      <c r="K821" s="12" t="s">
        <v>65</v>
      </c>
    </row>
    <row r="822" spans="1:11" ht="40.049999999999997" customHeight="1" x14ac:dyDescent="0.25">
      <c r="A822" s="11" t="s">
        <v>2102</v>
      </c>
      <c r="B822" s="11" t="s">
        <v>2103</v>
      </c>
      <c r="C822" s="11" t="s">
        <v>137</v>
      </c>
      <c r="D822" s="11" t="s">
        <v>18</v>
      </c>
      <c r="E822" s="12" t="s">
        <v>381</v>
      </c>
      <c r="F822" s="12" t="s">
        <v>382</v>
      </c>
      <c r="G822" s="12" t="s">
        <v>21</v>
      </c>
      <c r="H822" s="11" t="s">
        <v>63</v>
      </c>
      <c r="I822" s="13" t="s">
        <v>2104</v>
      </c>
      <c r="J822" s="14" t="str">
        <f>HYPERLINK("https://www.boe.es/gazeta/dias/1839/06/02/pdfs/GMD-1839-1660.pdf#page=4","Abrir facsímil")</f>
        <v>Abrir facsímil</v>
      </c>
      <c r="K822" s="12" t="s">
        <v>65</v>
      </c>
    </row>
    <row r="823" spans="1:11" ht="40.049999999999997" customHeight="1" x14ac:dyDescent="0.25">
      <c r="A823" s="11" t="s">
        <v>2102</v>
      </c>
      <c r="B823" s="11" t="s">
        <v>2103</v>
      </c>
      <c r="C823" s="11" t="s">
        <v>80</v>
      </c>
      <c r="D823" s="11" t="s">
        <v>18</v>
      </c>
      <c r="E823" s="12" t="s">
        <v>141</v>
      </c>
      <c r="F823" s="12" t="s">
        <v>142</v>
      </c>
      <c r="G823" s="12" t="s">
        <v>29</v>
      </c>
      <c r="H823" s="11" t="s">
        <v>63</v>
      </c>
      <c r="I823" s="13" t="s">
        <v>2105</v>
      </c>
      <c r="J823" s="14" t="str">
        <f>HYPERLINK("https://www.boe.es/gazeta/dias/1839/11/10/pdfs/GMD-1839-1827.pdf#page=1","Abrir facsímil")</f>
        <v>Abrir facsímil</v>
      </c>
      <c r="K823" s="12" t="s">
        <v>65</v>
      </c>
    </row>
    <row r="824" spans="1:11" ht="40.049999999999997" customHeight="1" x14ac:dyDescent="0.25">
      <c r="A824" s="11" t="s">
        <v>2102</v>
      </c>
      <c r="B824" s="11" t="s">
        <v>2103</v>
      </c>
      <c r="C824" s="11" t="s">
        <v>17</v>
      </c>
      <c r="D824" s="11" t="s">
        <v>18</v>
      </c>
      <c r="E824" s="12" t="s">
        <v>320</v>
      </c>
      <c r="F824" s="12" t="s">
        <v>321</v>
      </c>
      <c r="G824" s="12" t="s">
        <v>29</v>
      </c>
      <c r="H824" s="11" t="s">
        <v>63</v>
      </c>
      <c r="I824" s="13" t="s">
        <v>2106</v>
      </c>
      <c r="J824" s="14" t="str">
        <f>HYPERLINK("https://www.boe.es/gazeta/dias/1839/05/11/pdfs/GMD-1839-1638.pdf#page=1","Abrir facsímil")</f>
        <v>Abrir facsímil</v>
      </c>
      <c r="K824" s="12" t="s">
        <v>65</v>
      </c>
    </row>
    <row r="825" spans="1:11" ht="40.049999999999997" customHeight="1" x14ac:dyDescent="0.25">
      <c r="A825" s="11" t="s">
        <v>2102</v>
      </c>
      <c r="B825" s="11" t="s">
        <v>2103</v>
      </c>
      <c r="C825" s="11" t="s">
        <v>17</v>
      </c>
      <c r="D825" s="11" t="s">
        <v>18</v>
      </c>
      <c r="E825" s="12" t="s">
        <v>2107</v>
      </c>
      <c r="F825" s="12" t="s">
        <v>2108</v>
      </c>
      <c r="G825" s="12" t="s">
        <v>40</v>
      </c>
      <c r="H825" s="11" t="s">
        <v>63</v>
      </c>
      <c r="I825" s="13" t="s">
        <v>2109</v>
      </c>
      <c r="J825" s="14" t="str">
        <f>HYPERLINK("https://www.boe.es/gazeta/dias/1839/10/11/pdfs/GMD-1839-1797.pdf#page=2","Abrir facsímil")</f>
        <v>Abrir facsímil</v>
      </c>
      <c r="K825" s="12" t="s">
        <v>65</v>
      </c>
    </row>
    <row r="826" spans="1:11" ht="40.049999999999997" customHeight="1" x14ac:dyDescent="0.25">
      <c r="A826" s="11" t="s">
        <v>2102</v>
      </c>
      <c r="B826" s="11" t="s">
        <v>2103</v>
      </c>
      <c r="C826" s="11" t="s">
        <v>17</v>
      </c>
      <c r="D826" s="11" t="s">
        <v>18</v>
      </c>
      <c r="E826" s="12" t="s">
        <v>185</v>
      </c>
      <c r="F826" s="12" t="s">
        <v>186</v>
      </c>
      <c r="G826" s="12" t="s">
        <v>21</v>
      </c>
      <c r="H826" s="11" t="s">
        <v>63</v>
      </c>
      <c r="I826" s="13" t="s">
        <v>2110</v>
      </c>
      <c r="J826" s="14" t="str">
        <f>HYPERLINK("https://www.boe.es/gazeta/dias/1839/01/15/pdfs/GMD-1839-1522.pdf#page=4","Abrir facsímil")</f>
        <v>Abrir facsímil</v>
      </c>
      <c r="K826" s="12" t="s">
        <v>65</v>
      </c>
    </row>
    <row r="827" spans="1:11" ht="40.049999999999997" customHeight="1" x14ac:dyDescent="0.25">
      <c r="A827" s="11" t="s">
        <v>2102</v>
      </c>
      <c r="B827" s="11" t="s">
        <v>2103</v>
      </c>
      <c r="C827" s="11" t="s">
        <v>17</v>
      </c>
      <c r="D827" s="11" t="s">
        <v>18</v>
      </c>
      <c r="E827" s="12" t="s">
        <v>695</v>
      </c>
      <c r="F827" s="12" t="s">
        <v>696</v>
      </c>
      <c r="G827" s="12" t="s">
        <v>46</v>
      </c>
      <c r="H827" s="11" t="s">
        <v>63</v>
      </c>
      <c r="I827" s="13" t="s">
        <v>2111</v>
      </c>
      <c r="J827" s="14" t="str">
        <f>HYPERLINK("https://www.boe.es/gazeta/dias/1839/12/19/pdfs/GMD-1839-1866.pdf#page=3","Abrir facsímil")</f>
        <v>Abrir facsímil</v>
      </c>
      <c r="K827" s="12" t="s">
        <v>65</v>
      </c>
    </row>
    <row r="828" spans="1:11" ht="40.049999999999997" customHeight="1" x14ac:dyDescent="0.25">
      <c r="A828" s="11" t="s">
        <v>2112</v>
      </c>
      <c r="B828" s="11" t="s">
        <v>2113</v>
      </c>
      <c r="C828" s="11" t="s">
        <v>17</v>
      </c>
      <c r="D828" s="11" t="s">
        <v>18</v>
      </c>
      <c r="E828" s="12" t="s">
        <v>1086</v>
      </c>
      <c r="F828" s="12" t="s">
        <v>1087</v>
      </c>
      <c r="G828" s="12" t="s">
        <v>29</v>
      </c>
      <c r="H828" s="11" t="s">
        <v>63</v>
      </c>
      <c r="I828" s="13" t="s">
        <v>2114</v>
      </c>
      <c r="J828" s="14" t="str">
        <f>HYPERLINK("https://www.boe.es/gazeta/dias/1839/10/26/pdfs/GMD-1839-1812.pdf#page=1","Abrir facsímil")</f>
        <v>Abrir facsímil</v>
      </c>
      <c r="K828" s="12" t="s">
        <v>65</v>
      </c>
    </row>
    <row r="829" spans="1:11" ht="40.049999999999997" customHeight="1" x14ac:dyDescent="0.25">
      <c r="A829" s="11" t="s">
        <v>2115</v>
      </c>
      <c r="B829" s="11" t="s">
        <v>2116</v>
      </c>
      <c r="C829" s="11" t="s">
        <v>59</v>
      </c>
      <c r="D829" s="11" t="s">
        <v>60</v>
      </c>
      <c r="E829" s="12" t="s">
        <v>2117</v>
      </c>
      <c r="F829" s="12" t="s">
        <v>2118</v>
      </c>
      <c r="G829" s="12" t="s">
        <v>21</v>
      </c>
      <c r="H829" s="11" t="s">
        <v>63</v>
      </c>
      <c r="I829" s="13" t="s">
        <v>2119</v>
      </c>
      <c r="J829" s="14" t="str">
        <f>HYPERLINK("https://www.boe.es/gazeta/dias/1839/06/23/pdfs/GMD-1839-1681.pdf#page=4","Abrir facsímil")</f>
        <v>Abrir facsímil</v>
      </c>
      <c r="K829" s="12" t="s">
        <v>65</v>
      </c>
    </row>
    <row r="830" spans="1:11" ht="40.049999999999997" customHeight="1" x14ac:dyDescent="0.25">
      <c r="A830" s="11" t="s">
        <v>2120</v>
      </c>
      <c r="B830" s="11" t="s">
        <v>2121</v>
      </c>
      <c r="C830" s="11" t="s">
        <v>17</v>
      </c>
      <c r="D830" s="11" t="s">
        <v>18</v>
      </c>
      <c r="E830" s="12" t="s">
        <v>1336</v>
      </c>
      <c r="F830" s="12" t="s">
        <v>1337</v>
      </c>
      <c r="G830" s="12" t="s">
        <v>29</v>
      </c>
      <c r="H830" s="11" t="s">
        <v>63</v>
      </c>
      <c r="I830" s="13" t="s">
        <v>2122</v>
      </c>
      <c r="J830" s="14" t="str">
        <f>HYPERLINK("https://www.boe.es/gazeta/dias/1839/02/26/pdfs/GMD-1839-1564.pdf#page=1","Abrir facsímil")</f>
        <v>Abrir facsímil</v>
      </c>
      <c r="K830" s="12" t="s">
        <v>65</v>
      </c>
    </row>
    <row r="831" spans="1:11" ht="40.049999999999997" customHeight="1" x14ac:dyDescent="0.25">
      <c r="A831" s="11" t="s">
        <v>2123</v>
      </c>
      <c r="B831" s="11" t="s">
        <v>2124</v>
      </c>
      <c r="C831" s="11" t="s">
        <v>137</v>
      </c>
      <c r="D831" s="11" t="s">
        <v>18</v>
      </c>
      <c r="E831" s="12" t="s">
        <v>54</v>
      </c>
      <c r="F831" s="12" t="s">
        <v>55</v>
      </c>
      <c r="G831" s="12" t="s">
        <v>29</v>
      </c>
      <c r="H831" s="11" t="s">
        <v>63</v>
      </c>
      <c r="I831" s="13" t="s">
        <v>2125</v>
      </c>
      <c r="J831" s="14" t="str">
        <f>HYPERLINK("https://www.boe.es/gazeta/dias/1839/10/05/pdfs/GMD-1839-1791.pdf#page=1","Abrir facsímil")</f>
        <v>Abrir facsímil</v>
      </c>
      <c r="K831" s="12" t="s">
        <v>65</v>
      </c>
    </row>
    <row r="832" spans="1:11" ht="40.049999999999997" customHeight="1" x14ac:dyDescent="0.25">
      <c r="A832" s="11" t="s">
        <v>2126</v>
      </c>
      <c r="B832" s="11" t="s">
        <v>2127</v>
      </c>
      <c r="C832" s="11" t="s">
        <v>101</v>
      </c>
      <c r="D832" s="11" t="s">
        <v>43</v>
      </c>
      <c r="E832" s="12" t="s">
        <v>258</v>
      </c>
      <c r="F832" s="12" t="s">
        <v>259</v>
      </c>
      <c r="G832" s="12" t="s">
        <v>46</v>
      </c>
      <c r="H832" s="11" t="s">
        <v>22</v>
      </c>
      <c r="I832" s="13" t="s">
        <v>2128</v>
      </c>
      <c r="J832" s="14" t="str">
        <f>HYPERLINK("https://www.boe.es/gazeta/dias/1839/01/02/pdfs/GMD-1839-1509.pdf#page=3","Abrir facsímil")</f>
        <v>Abrir facsímil</v>
      </c>
      <c r="K832" s="12" t="s">
        <v>24</v>
      </c>
    </row>
    <row r="833" spans="1:11" ht="40.049999999999997" customHeight="1" x14ac:dyDescent="0.25">
      <c r="A833" s="11" t="s">
        <v>2129</v>
      </c>
      <c r="B833" s="11" t="s">
        <v>2129</v>
      </c>
      <c r="C833" s="11" t="s">
        <v>101</v>
      </c>
      <c r="D833" s="11" t="s">
        <v>102</v>
      </c>
      <c r="E833" s="12" t="s">
        <v>236</v>
      </c>
      <c r="F833" s="12" t="s">
        <v>237</v>
      </c>
      <c r="G833" s="12" t="s">
        <v>40</v>
      </c>
      <c r="H833" s="11" t="s">
        <v>63</v>
      </c>
      <c r="I833" s="13" t="s">
        <v>2130</v>
      </c>
      <c r="J833" s="14" t="str">
        <f>HYPERLINK("https://www.boe.es/gazeta/dias/1839/09/18/pdfs/GMD-1839-1771.pdf#page=2","Abrir facsímil")</f>
        <v>Abrir facsímil</v>
      </c>
      <c r="K833" s="12" t="s">
        <v>65</v>
      </c>
    </row>
    <row r="834" spans="1:11" ht="40.049999999999997" customHeight="1" x14ac:dyDescent="0.25">
      <c r="A834" s="11" t="s">
        <v>2131</v>
      </c>
      <c r="B834" s="11" t="s">
        <v>2132</v>
      </c>
      <c r="C834" s="11" t="s">
        <v>17</v>
      </c>
      <c r="D834" s="11" t="s">
        <v>18</v>
      </c>
      <c r="E834" s="12" t="s">
        <v>1340</v>
      </c>
      <c r="F834" s="12" t="s">
        <v>1341</v>
      </c>
      <c r="G834" s="12" t="s">
        <v>40</v>
      </c>
      <c r="H834" s="11" t="s">
        <v>63</v>
      </c>
      <c r="I834" s="13" t="s">
        <v>2133</v>
      </c>
      <c r="J834" s="14" t="str">
        <f>HYPERLINK("https://www.boe.es/gazeta/dias/1839/05/05/pdfs/GMD-1839-1632.pdf#page=2","Abrir facsímil")</f>
        <v>Abrir facsímil</v>
      </c>
      <c r="K834" s="12" t="s">
        <v>65</v>
      </c>
    </row>
    <row r="835" spans="1:11" ht="40.049999999999997" customHeight="1" x14ac:dyDescent="0.25">
      <c r="A835" s="11" t="s">
        <v>2131</v>
      </c>
      <c r="B835" s="11" t="s">
        <v>2132</v>
      </c>
      <c r="C835" s="11" t="s">
        <v>137</v>
      </c>
      <c r="D835" s="11" t="s">
        <v>18</v>
      </c>
      <c r="E835" s="12" t="s">
        <v>1562</v>
      </c>
      <c r="F835" s="12" t="s">
        <v>1563</v>
      </c>
      <c r="G835" s="12" t="s">
        <v>29</v>
      </c>
      <c r="H835" s="11" t="s">
        <v>63</v>
      </c>
      <c r="I835" s="13" t="s">
        <v>2134</v>
      </c>
      <c r="J835" s="14" t="str">
        <f>HYPERLINK("https://www.boe.es/gazeta/dias/1839/04/08/pdfs/GMD-1839-1605.pdf#page=1","Abrir facsímil")</f>
        <v>Abrir facsímil</v>
      </c>
      <c r="K835" s="12" t="s">
        <v>65</v>
      </c>
    </row>
    <row r="836" spans="1:11" ht="40.049999999999997" customHeight="1" x14ac:dyDescent="0.25">
      <c r="A836" s="11" t="s">
        <v>2131</v>
      </c>
      <c r="B836" s="11" t="s">
        <v>2132</v>
      </c>
      <c r="C836" s="11" t="s">
        <v>80</v>
      </c>
      <c r="D836" s="11" t="s">
        <v>18</v>
      </c>
      <c r="E836" s="12" t="s">
        <v>1644</v>
      </c>
      <c r="F836" s="12" t="s">
        <v>1645</v>
      </c>
      <c r="G836" s="12" t="s">
        <v>29</v>
      </c>
      <c r="H836" s="11" t="s">
        <v>63</v>
      </c>
      <c r="I836" s="13" t="s">
        <v>2135</v>
      </c>
      <c r="J836" s="14" t="str">
        <f>HYPERLINK("https://www.boe.es/gazeta/dias/1839/04/16/pdfs/GMD-1839-1613.pdf#page=1","Abrir facsímil")</f>
        <v>Abrir facsímil</v>
      </c>
      <c r="K836" s="12" t="s">
        <v>65</v>
      </c>
    </row>
    <row r="837" spans="1:11" ht="40.049999999999997" customHeight="1" x14ac:dyDescent="0.25">
      <c r="A837" s="11" t="s">
        <v>2131</v>
      </c>
      <c r="B837" s="11" t="s">
        <v>2132</v>
      </c>
      <c r="C837" s="11" t="s">
        <v>17</v>
      </c>
      <c r="D837" s="11" t="s">
        <v>18</v>
      </c>
      <c r="E837" s="12" t="s">
        <v>1794</v>
      </c>
      <c r="F837" s="12" t="s">
        <v>1795</v>
      </c>
      <c r="G837" s="12" t="s">
        <v>29</v>
      </c>
      <c r="H837" s="11" t="s">
        <v>63</v>
      </c>
      <c r="I837" s="13" t="s">
        <v>2136</v>
      </c>
      <c r="J837" s="14" t="str">
        <f>HYPERLINK("https://www.boe.es/gazeta/dias/1839/02/22/pdfs/GMD-1839-1560.pdf#page=1","Abrir facsímil")</f>
        <v>Abrir facsímil</v>
      </c>
      <c r="K837" s="12" t="s">
        <v>65</v>
      </c>
    </row>
    <row r="838" spans="1:11" ht="40.049999999999997" customHeight="1" x14ac:dyDescent="0.25">
      <c r="A838" s="11" t="s">
        <v>2137</v>
      </c>
      <c r="B838" s="11" t="s">
        <v>2137</v>
      </c>
      <c r="C838" s="11" t="s">
        <v>17</v>
      </c>
      <c r="D838" s="11" t="s">
        <v>18</v>
      </c>
      <c r="E838" s="12" t="s">
        <v>2138</v>
      </c>
      <c r="F838" s="12" t="s">
        <v>2139</v>
      </c>
      <c r="G838" s="12" t="s">
        <v>305</v>
      </c>
      <c r="H838" s="11" t="s">
        <v>63</v>
      </c>
      <c r="I838" s="13" t="s">
        <v>2140</v>
      </c>
      <c r="J838" s="14" t="str">
        <f>HYPERLINK("https://www.boe.es/gazeta/dias/1839/10/02/pdfs/GMD-1839-1788.pdf#page=6","Abrir facsímil")</f>
        <v>Abrir facsímil</v>
      </c>
      <c r="K838" s="12" t="s">
        <v>65</v>
      </c>
    </row>
    <row r="839" spans="1:11" ht="40.049999999999997" customHeight="1" x14ac:dyDescent="0.25">
      <c r="A839" s="11" t="s">
        <v>2137</v>
      </c>
      <c r="B839" s="11" t="s">
        <v>2137</v>
      </c>
      <c r="C839" s="11" t="s">
        <v>17</v>
      </c>
      <c r="D839" s="11" t="s">
        <v>18</v>
      </c>
      <c r="E839" s="12" t="s">
        <v>1679</v>
      </c>
      <c r="F839" s="12" t="s">
        <v>1680</v>
      </c>
      <c r="G839" s="12" t="s">
        <v>29</v>
      </c>
      <c r="H839" s="11" t="s">
        <v>63</v>
      </c>
      <c r="I839" s="13" t="s">
        <v>2141</v>
      </c>
      <c r="J839" s="14" t="str">
        <f>HYPERLINK("https://www.boe.es/gazeta/dias/1839/01/26/pdfs/GMD-1839-1533.pdf#page=1","Abrir facsímil")</f>
        <v>Abrir facsímil</v>
      </c>
      <c r="K839" s="12" t="s">
        <v>65</v>
      </c>
    </row>
    <row r="840" spans="1:11" ht="40.049999999999997" customHeight="1" x14ac:dyDescent="0.25">
      <c r="A840" s="11" t="s">
        <v>2142</v>
      </c>
      <c r="B840" s="11" t="s">
        <v>2143</v>
      </c>
      <c r="C840" s="11" t="s">
        <v>17</v>
      </c>
      <c r="D840" s="11" t="s">
        <v>18</v>
      </c>
      <c r="E840" s="12" t="s">
        <v>1269</v>
      </c>
      <c r="F840" s="12" t="s">
        <v>1270</v>
      </c>
      <c r="G840" s="12" t="s">
        <v>40</v>
      </c>
      <c r="H840" s="11" t="s">
        <v>63</v>
      </c>
      <c r="I840" s="13" t="s">
        <v>2144</v>
      </c>
      <c r="J840" s="14" t="str">
        <f>HYPERLINK("https://www.boe.es/gazeta/dias/1839/04/29/pdfs/GMD-1839-1626.pdf#page=2","Abrir facsímil")</f>
        <v>Abrir facsímil</v>
      </c>
      <c r="K840" s="12" t="s">
        <v>65</v>
      </c>
    </row>
    <row r="841" spans="1:11" ht="40.049999999999997" customHeight="1" x14ac:dyDescent="0.25">
      <c r="A841" s="11" t="s">
        <v>2145</v>
      </c>
      <c r="B841" s="11" t="s">
        <v>2146</v>
      </c>
      <c r="C841" s="11" t="s">
        <v>101</v>
      </c>
      <c r="D841" s="11" t="s">
        <v>43</v>
      </c>
      <c r="E841" s="12" t="s">
        <v>254</v>
      </c>
      <c r="F841" s="12" t="s">
        <v>255</v>
      </c>
      <c r="G841" s="12" t="s">
        <v>40</v>
      </c>
      <c r="H841" s="11" t="s">
        <v>63</v>
      </c>
      <c r="I841" s="13" t="s">
        <v>2147</v>
      </c>
      <c r="J841" s="14" t="str">
        <f>HYPERLINK("https://www.boe.es/gazeta/dias/1839/09/12/pdfs/GMD-1839-1765.pdf#page=2","Abrir facsímil")</f>
        <v>Abrir facsímil</v>
      </c>
      <c r="K841" s="12" t="s">
        <v>65</v>
      </c>
    </row>
    <row r="842" spans="1:11" ht="40.049999999999997" customHeight="1" x14ac:dyDescent="0.25">
      <c r="A842" s="11" t="s">
        <v>2148</v>
      </c>
      <c r="B842" s="11" t="s">
        <v>2149</v>
      </c>
      <c r="C842" s="11" t="s">
        <v>59</v>
      </c>
      <c r="D842" s="11" t="s">
        <v>60</v>
      </c>
      <c r="E842" s="12" t="s">
        <v>266</v>
      </c>
      <c r="F842" s="12" t="s">
        <v>267</v>
      </c>
      <c r="G842" s="12" t="s">
        <v>29</v>
      </c>
      <c r="H842" s="11" t="s">
        <v>63</v>
      </c>
      <c r="I842" s="13" t="s">
        <v>2150</v>
      </c>
      <c r="J842" s="14" t="str">
        <f>HYPERLINK("https://www.boe.es/gazeta/dias/1839/01/03/pdfs/GMD-1839-1510.pdf#page=1","Abrir facsímil")</f>
        <v>Abrir facsímil</v>
      </c>
      <c r="K842" s="12" t="s">
        <v>65</v>
      </c>
    </row>
    <row r="843" spans="1:11" ht="40.049999999999997" customHeight="1" x14ac:dyDescent="0.25">
      <c r="A843" s="11" t="s">
        <v>2151</v>
      </c>
      <c r="B843" s="11" t="s">
        <v>2152</v>
      </c>
      <c r="C843" s="11" t="s">
        <v>17</v>
      </c>
      <c r="D843" s="11" t="s">
        <v>18</v>
      </c>
      <c r="E843" s="12" t="s">
        <v>202</v>
      </c>
      <c r="F843" s="12" t="s">
        <v>203</v>
      </c>
      <c r="G843" s="12" t="s">
        <v>46</v>
      </c>
      <c r="H843" s="11" t="s">
        <v>63</v>
      </c>
      <c r="I843" s="13" t="s">
        <v>2153</v>
      </c>
      <c r="J843" s="14" t="str">
        <f>HYPERLINK("https://www.boe.es/gazeta/dias/1839/04/05/pdfs/GMD-1839-1602.pdf#page=3","Abrir facsímil")</f>
        <v>Abrir facsímil</v>
      </c>
      <c r="K843" s="12" t="s">
        <v>65</v>
      </c>
    </row>
    <row r="844" spans="1:11" ht="40.049999999999997" customHeight="1" x14ac:dyDescent="0.25">
      <c r="A844" s="11" t="s">
        <v>2154</v>
      </c>
      <c r="B844" s="11" t="s">
        <v>2154</v>
      </c>
      <c r="C844" s="11" t="s">
        <v>17</v>
      </c>
      <c r="D844" s="11" t="s">
        <v>18</v>
      </c>
      <c r="E844" s="12" t="s">
        <v>2155</v>
      </c>
      <c r="F844" s="12" t="s">
        <v>2156</v>
      </c>
      <c r="G844" s="12" t="s">
        <v>40</v>
      </c>
      <c r="H844" s="11" t="s">
        <v>63</v>
      </c>
      <c r="I844" s="13" t="s">
        <v>2157</v>
      </c>
      <c r="J844" s="14" t="str">
        <f>HYPERLINK("https://www.boe.es/gazeta/dias/1839/01/17/pdfs/GMD-1839-1524.pdf#page=2","Abrir facsímil")</f>
        <v>Abrir facsímil</v>
      </c>
      <c r="K844" s="12" t="s">
        <v>65</v>
      </c>
    </row>
    <row r="845" spans="1:11" ht="40.049999999999997" customHeight="1" x14ac:dyDescent="0.25">
      <c r="A845" s="11" t="s">
        <v>2158</v>
      </c>
      <c r="B845" s="11" t="s">
        <v>2159</v>
      </c>
      <c r="C845" s="11" t="s">
        <v>17</v>
      </c>
      <c r="D845" s="11" t="s">
        <v>18</v>
      </c>
      <c r="E845" s="12" t="s">
        <v>1374</v>
      </c>
      <c r="F845" s="12" t="s">
        <v>1375</v>
      </c>
      <c r="G845" s="12" t="s">
        <v>29</v>
      </c>
      <c r="H845" s="11" t="s">
        <v>63</v>
      </c>
      <c r="I845" s="13" t="s">
        <v>2160</v>
      </c>
      <c r="J845" s="14" t="str">
        <f>HYPERLINK("https://www.boe.es/gazeta/dias/1839/07/20/pdfs/GMD-1839-1708.pdf#page=1","Abrir facsímil")</f>
        <v>Abrir facsímil</v>
      </c>
      <c r="K845" s="12" t="s">
        <v>65</v>
      </c>
    </row>
    <row r="846" spans="1:11" ht="40.049999999999997" customHeight="1" x14ac:dyDescent="0.25">
      <c r="A846" s="11" t="s">
        <v>2161</v>
      </c>
      <c r="B846" s="11" t="s">
        <v>2161</v>
      </c>
      <c r="C846" s="11" t="s">
        <v>17</v>
      </c>
      <c r="D846" s="11" t="s">
        <v>18</v>
      </c>
      <c r="E846" s="12" t="s">
        <v>197</v>
      </c>
      <c r="F846" s="12" t="s">
        <v>198</v>
      </c>
      <c r="G846" s="12" t="s">
        <v>46</v>
      </c>
      <c r="H846" s="11" t="s">
        <v>63</v>
      </c>
      <c r="I846" s="13" t="s">
        <v>2162</v>
      </c>
      <c r="J846" s="14" t="str">
        <f>HYPERLINK("https://www.boe.es/gazeta/dias/1839/10/04/pdfs/GMD-1839-1790.pdf#page=3","Abrir facsímil")</f>
        <v>Abrir facsímil</v>
      </c>
      <c r="K846" s="12" t="s">
        <v>65</v>
      </c>
    </row>
    <row r="847" spans="1:11" ht="40.049999999999997" customHeight="1" x14ac:dyDescent="0.25">
      <c r="A847" s="11" t="s">
        <v>2161</v>
      </c>
      <c r="B847" s="11" t="s">
        <v>2161</v>
      </c>
      <c r="C847" s="11" t="s">
        <v>17</v>
      </c>
      <c r="D847" s="11" t="s">
        <v>18</v>
      </c>
      <c r="E847" s="12" t="s">
        <v>54</v>
      </c>
      <c r="F847" s="12" t="s">
        <v>55</v>
      </c>
      <c r="G847" s="12" t="s">
        <v>305</v>
      </c>
      <c r="H847" s="11" t="s">
        <v>63</v>
      </c>
      <c r="I847" s="13" t="s">
        <v>2163</v>
      </c>
      <c r="J847" s="14" t="str">
        <f>HYPERLINK("https://www.boe.es/gazeta/dias/1839/10/05/pdfs/GMD-1839-1791.pdf#page=6","Abrir facsímil")</f>
        <v>Abrir facsímil</v>
      </c>
      <c r="K847" s="12" t="s">
        <v>65</v>
      </c>
    </row>
    <row r="848" spans="1:11" ht="40.049999999999997" customHeight="1" x14ac:dyDescent="0.25">
      <c r="A848" s="11" t="s">
        <v>2164</v>
      </c>
      <c r="B848" s="11" t="s">
        <v>2164</v>
      </c>
      <c r="C848" s="11" t="s">
        <v>17</v>
      </c>
      <c r="D848" s="11" t="s">
        <v>18</v>
      </c>
      <c r="E848" s="12" t="s">
        <v>2165</v>
      </c>
      <c r="F848" s="12" t="s">
        <v>2166</v>
      </c>
      <c r="G848" s="12" t="s">
        <v>46</v>
      </c>
      <c r="H848" s="11" t="s">
        <v>22</v>
      </c>
      <c r="I848" s="13" t="s">
        <v>2167</v>
      </c>
      <c r="J848" s="14" t="str">
        <f>HYPERLINK("https://www.boe.es/gazeta/dias/1839/01/06/pdfs/GMD-1839-1513.pdf#page=3","Abrir facsímil")</f>
        <v>Abrir facsímil</v>
      </c>
      <c r="K848" s="12" t="s">
        <v>24</v>
      </c>
    </row>
    <row r="849" spans="1:11" ht="40.049999999999997" customHeight="1" x14ac:dyDescent="0.25">
      <c r="A849" s="11" t="s">
        <v>2161</v>
      </c>
      <c r="B849" s="11" t="s">
        <v>2161</v>
      </c>
      <c r="C849" s="11" t="s">
        <v>101</v>
      </c>
      <c r="D849" s="11" t="s">
        <v>43</v>
      </c>
      <c r="E849" s="12" t="s">
        <v>303</v>
      </c>
      <c r="F849" s="12" t="s">
        <v>304</v>
      </c>
      <c r="G849" s="12" t="s">
        <v>40</v>
      </c>
      <c r="H849" s="11" t="s">
        <v>63</v>
      </c>
      <c r="I849" s="13" t="s">
        <v>2168</v>
      </c>
      <c r="J849" s="14" t="str">
        <f>HYPERLINK("https://www.boe.es/gazeta/dias/1839/10/06/pdfs/GMD-1839-1792.pdf#page=2","Abrir facsímil")</f>
        <v>Abrir facsímil</v>
      </c>
      <c r="K849" s="12" t="s">
        <v>65</v>
      </c>
    </row>
    <row r="850" spans="1:11" ht="40.049999999999997" customHeight="1" x14ac:dyDescent="0.25">
      <c r="A850" s="11" t="s">
        <v>2164</v>
      </c>
      <c r="B850" s="11" t="s">
        <v>2164</v>
      </c>
      <c r="C850" s="11" t="s">
        <v>137</v>
      </c>
      <c r="D850" s="11" t="s">
        <v>18</v>
      </c>
      <c r="E850" s="12" t="s">
        <v>1366</v>
      </c>
      <c r="F850" s="12" t="s">
        <v>1367</v>
      </c>
      <c r="G850" s="12" t="s">
        <v>46</v>
      </c>
      <c r="H850" s="11" t="s">
        <v>22</v>
      </c>
      <c r="I850" s="13" t="s">
        <v>2169</v>
      </c>
      <c r="J850" s="14" t="str">
        <f>HYPERLINK("https://www.boe.es/gazeta/dias/1839/09/09/pdfs/GMD-1839-1762.pdf#page=3","Abrir facsímil")</f>
        <v>Abrir facsímil</v>
      </c>
      <c r="K850" s="12" t="s">
        <v>24</v>
      </c>
    </row>
    <row r="851" spans="1:11" ht="40.049999999999997" customHeight="1" x14ac:dyDescent="0.25">
      <c r="A851" s="11" t="s">
        <v>2161</v>
      </c>
      <c r="B851" s="11" t="s">
        <v>2161</v>
      </c>
      <c r="C851" s="11" t="s">
        <v>137</v>
      </c>
      <c r="D851" s="11" t="s">
        <v>18</v>
      </c>
      <c r="E851" s="12" t="s">
        <v>561</v>
      </c>
      <c r="F851" s="12" t="s">
        <v>562</v>
      </c>
      <c r="G851" s="12" t="s">
        <v>40</v>
      </c>
      <c r="H851" s="11" t="s">
        <v>63</v>
      </c>
      <c r="I851" s="13" t="s">
        <v>2170</v>
      </c>
      <c r="J851" s="14" t="str">
        <f>HYPERLINK("https://www.boe.es/gazeta/dias/1839/09/11/pdfs/GMD-1839-1764.pdf#page=2","Abrir facsímil")</f>
        <v>Abrir facsímil</v>
      </c>
      <c r="K851" s="12" t="s">
        <v>65</v>
      </c>
    </row>
    <row r="852" spans="1:11" ht="40.049999999999997" customHeight="1" x14ac:dyDescent="0.25">
      <c r="A852" s="11" t="s">
        <v>2161</v>
      </c>
      <c r="B852" s="11" t="s">
        <v>2161</v>
      </c>
      <c r="C852" s="11" t="s">
        <v>101</v>
      </c>
      <c r="D852" s="11" t="s">
        <v>43</v>
      </c>
      <c r="E852" s="12" t="s">
        <v>561</v>
      </c>
      <c r="F852" s="12" t="s">
        <v>562</v>
      </c>
      <c r="G852" s="12" t="s">
        <v>46</v>
      </c>
      <c r="H852" s="11" t="s">
        <v>63</v>
      </c>
      <c r="I852" s="13" t="s">
        <v>2171</v>
      </c>
      <c r="J852" s="14" t="str">
        <f>HYPERLINK("https://www.boe.es/gazeta/dias/1839/09/11/pdfs/GMD-1839-1764.pdf#page=3","Abrir facsímil")</f>
        <v>Abrir facsímil</v>
      </c>
      <c r="K852" s="12" t="s">
        <v>65</v>
      </c>
    </row>
    <row r="853" spans="1:11" ht="40.049999999999997" customHeight="1" x14ac:dyDescent="0.25">
      <c r="A853" s="11" t="s">
        <v>2164</v>
      </c>
      <c r="B853" s="11" t="s">
        <v>2164</v>
      </c>
      <c r="C853" s="11" t="s">
        <v>17</v>
      </c>
      <c r="D853" s="11" t="s">
        <v>18</v>
      </c>
      <c r="E853" s="12" t="s">
        <v>1069</v>
      </c>
      <c r="F853" s="12" t="s">
        <v>1070</v>
      </c>
      <c r="G853" s="12" t="s">
        <v>21</v>
      </c>
      <c r="H853" s="11" t="s">
        <v>22</v>
      </c>
      <c r="I853" s="13" t="s">
        <v>2172</v>
      </c>
      <c r="J853" s="14" t="str">
        <f>HYPERLINK("https://www.boe.es/gazeta/dias/1839/10/15/pdfs/GMD-1839-1801.pdf#page=4","Abrir facsímil")</f>
        <v>Abrir facsímil</v>
      </c>
      <c r="K853" s="12" t="s">
        <v>24</v>
      </c>
    </row>
    <row r="854" spans="1:11" ht="40.049999999999997" customHeight="1" x14ac:dyDescent="0.25">
      <c r="A854" s="11" t="s">
        <v>2164</v>
      </c>
      <c r="B854" s="11" t="s">
        <v>2164</v>
      </c>
      <c r="C854" s="11" t="s">
        <v>17</v>
      </c>
      <c r="D854" s="11" t="s">
        <v>18</v>
      </c>
      <c r="E854" s="12" t="s">
        <v>2155</v>
      </c>
      <c r="F854" s="12" t="s">
        <v>2156</v>
      </c>
      <c r="G854" s="12" t="s">
        <v>29</v>
      </c>
      <c r="H854" s="11" t="s">
        <v>22</v>
      </c>
      <c r="I854" s="13" t="s">
        <v>2173</v>
      </c>
      <c r="J854" s="14" t="str">
        <f>HYPERLINK("https://www.boe.es/gazeta/dias/1839/01/17/pdfs/GMD-1839-1524.pdf#page=1","Abrir facsímil")</f>
        <v>Abrir facsímil</v>
      </c>
      <c r="K854" s="12" t="s">
        <v>24</v>
      </c>
    </row>
    <row r="855" spans="1:11" ht="40.049999999999997" customHeight="1" x14ac:dyDescent="0.25">
      <c r="A855" s="11" t="s">
        <v>2161</v>
      </c>
      <c r="B855" s="11" t="s">
        <v>2161</v>
      </c>
      <c r="C855" s="11" t="s">
        <v>101</v>
      </c>
      <c r="D855" s="11" t="s">
        <v>43</v>
      </c>
      <c r="E855" s="12" t="s">
        <v>2155</v>
      </c>
      <c r="F855" s="12" t="s">
        <v>2156</v>
      </c>
      <c r="G855" s="12" t="s">
        <v>40</v>
      </c>
      <c r="H855" s="11" t="s">
        <v>63</v>
      </c>
      <c r="I855" s="13" t="s">
        <v>2174</v>
      </c>
      <c r="J855" s="14" t="str">
        <f>HYPERLINK("https://www.boe.es/gazeta/dias/1839/01/17/pdfs/GMD-1839-1524.pdf#page=2","Abrir facsímil")</f>
        <v>Abrir facsímil</v>
      </c>
      <c r="K855" s="12" t="s">
        <v>65</v>
      </c>
    </row>
    <row r="856" spans="1:11" ht="40.049999999999997" customHeight="1" x14ac:dyDescent="0.25">
      <c r="A856" s="11" t="s">
        <v>2161</v>
      </c>
      <c r="B856" s="11" t="s">
        <v>2161</v>
      </c>
      <c r="C856" s="11" t="s">
        <v>17</v>
      </c>
      <c r="D856" s="11" t="s">
        <v>18</v>
      </c>
      <c r="E856" s="12" t="s">
        <v>564</v>
      </c>
      <c r="F856" s="12" t="s">
        <v>565</v>
      </c>
      <c r="G856" s="12" t="s">
        <v>21</v>
      </c>
      <c r="H856" s="11" t="s">
        <v>63</v>
      </c>
      <c r="I856" s="13" t="s">
        <v>2175</v>
      </c>
      <c r="J856" s="14" t="str">
        <f>HYPERLINK("https://www.boe.es/gazeta/dias/1839/10/17/pdfs/GMD-1839-1803.pdf#page=4","Abrir facsímil")</f>
        <v>Abrir facsímil</v>
      </c>
      <c r="K856" s="12" t="s">
        <v>65</v>
      </c>
    </row>
    <row r="857" spans="1:11" ht="40.049999999999997" customHeight="1" x14ac:dyDescent="0.25">
      <c r="A857" s="11" t="s">
        <v>2161</v>
      </c>
      <c r="B857" s="11" t="s">
        <v>2161</v>
      </c>
      <c r="C857" s="11" t="s">
        <v>80</v>
      </c>
      <c r="D857" s="11" t="s">
        <v>18</v>
      </c>
      <c r="E857" s="12" t="s">
        <v>564</v>
      </c>
      <c r="F857" s="12" t="s">
        <v>565</v>
      </c>
      <c r="G857" s="12" t="s">
        <v>566</v>
      </c>
      <c r="H857" s="11" t="s">
        <v>63</v>
      </c>
      <c r="I857" s="13" t="s">
        <v>2176</v>
      </c>
      <c r="J857" s="14" t="str">
        <f>HYPERLINK("https://www.boe.es/gazeta/dias/1839/10/17/pdfs/GMD-1839-1803.pdf#page=5","Abrir facsímil")</f>
        <v>Abrir facsímil</v>
      </c>
      <c r="K857" s="12" t="s">
        <v>65</v>
      </c>
    </row>
    <row r="858" spans="1:11" ht="40.049999999999997" customHeight="1" x14ac:dyDescent="0.25">
      <c r="A858" s="11" t="s">
        <v>2164</v>
      </c>
      <c r="B858" s="11" t="s">
        <v>2164</v>
      </c>
      <c r="C858" s="11" t="s">
        <v>137</v>
      </c>
      <c r="D858" s="11" t="s">
        <v>18</v>
      </c>
      <c r="E858" s="12" t="s">
        <v>236</v>
      </c>
      <c r="F858" s="12" t="s">
        <v>237</v>
      </c>
      <c r="G858" s="12" t="s">
        <v>46</v>
      </c>
      <c r="H858" s="11" t="s">
        <v>22</v>
      </c>
      <c r="I858" s="13" t="s">
        <v>2177</v>
      </c>
      <c r="J858" s="14" t="str">
        <f>HYPERLINK("https://www.boe.es/gazeta/dias/1839/09/18/pdfs/GMD-1839-1771.pdf#page=3","Abrir facsímil")</f>
        <v>Abrir facsímil</v>
      </c>
      <c r="K858" s="12" t="s">
        <v>24</v>
      </c>
    </row>
    <row r="859" spans="1:11" ht="40.049999999999997" customHeight="1" x14ac:dyDescent="0.25">
      <c r="A859" s="11" t="s">
        <v>2161</v>
      </c>
      <c r="B859" s="11" t="s">
        <v>2161</v>
      </c>
      <c r="C859" s="11" t="s">
        <v>101</v>
      </c>
      <c r="D859" s="11" t="s">
        <v>43</v>
      </c>
      <c r="E859" s="12" t="s">
        <v>19</v>
      </c>
      <c r="F859" s="12" t="s">
        <v>20</v>
      </c>
      <c r="G859" s="12" t="s">
        <v>21</v>
      </c>
      <c r="H859" s="11" t="s">
        <v>63</v>
      </c>
      <c r="I859" s="13" t="s">
        <v>2178</v>
      </c>
      <c r="J859" s="14" t="str">
        <f>HYPERLINK("https://www.boe.es/gazeta/dias/1839/01/19/pdfs/GMD-1839-1526.pdf#page=4","Abrir facsímil")</f>
        <v>Abrir facsímil</v>
      </c>
      <c r="K859" s="12" t="s">
        <v>65</v>
      </c>
    </row>
    <row r="860" spans="1:11" ht="40.049999999999997" customHeight="1" x14ac:dyDescent="0.25">
      <c r="A860" s="11" t="s">
        <v>2164</v>
      </c>
      <c r="B860" s="11" t="s">
        <v>2164</v>
      </c>
      <c r="C860" s="11" t="s">
        <v>101</v>
      </c>
      <c r="D860" s="11" t="s">
        <v>43</v>
      </c>
      <c r="E860" s="12" t="s">
        <v>794</v>
      </c>
      <c r="F860" s="12" t="s">
        <v>795</v>
      </c>
      <c r="G860" s="12" t="s">
        <v>21</v>
      </c>
      <c r="H860" s="11" t="s">
        <v>22</v>
      </c>
      <c r="I860" s="13" t="s">
        <v>2179</v>
      </c>
      <c r="J860" s="14" t="str">
        <f>HYPERLINK("https://www.boe.es/gazeta/dias/1839/01/22/pdfs/GMD-1839-1529.pdf#page=4","Abrir facsímil")</f>
        <v>Abrir facsímil</v>
      </c>
      <c r="K860" s="12" t="s">
        <v>24</v>
      </c>
    </row>
    <row r="861" spans="1:11" ht="40.049999999999997" customHeight="1" x14ac:dyDescent="0.25">
      <c r="A861" s="11" t="s">
        <v>2161</v>
      </c>
      <c r="B861" s="11" t="s">
        <v>2161</v>
      </c>
      <c r="C861" s="11" t="s">
        <v>17</v>
      </c>
      <c r="D861" s="11" t="s">
        <v>18</v>
      </c>
      <c r="E861" s="12" t="s">
        <v>1433</v>
      </c>
      <c r="F861" s="12" t="s">
        <v>1434</v>
      </c>
      <c r="G861" s="12" t="s">
        <v>40</v>
      </c>
      <c r="H861" s="11" t="s">
        <v>63</v>
      </c>
      <c r="I861" s="13" t="s">
        <v>2180</v>
      </c>
      <c r="J861" s="14" t="str">
        <f>HYPERLINK("https://www.boe.es/gazeta/dias/1839/10/22/pdfs/GMD-1839-1808.pdf#page=2","Abrir facsímil")</f>
        <v>Abrir facsímil</v>
      </c>
      <c r="K861" s="12" t="s">
        <v>65</v>
      </c>
    </row>
    <row r="862" spans="1:11" ht="40.049999999999997" customHeight="1" x14ac:dyDescent="0.25">
      <c r="A862" s="11" t="s">
        <v>2164</v>
      </c>
      <c r="B862" s="11" t="s">
        <v>2164</v>
      </c>
      <c r="C862" s="11" t="s">
        <v>101</v>
      </c>
      <c r="D862" s="11" t="s">
        <v>43</v>
      </c>
      <c r="E862" s="12" t="s">
        <v>571</v>
      </c>
      <c r="F862" s="12" t="s">
        <v>572</v>
      </c>
      <c r="G862" s="12" t="s">
        <v>40</v>
      </c>
      <c r="H862" s="11" t="s">
        <v>22</v>
      </c>
      <c r="I862" s="13" t="s">
        <v>2181</v>
      </c>
      <c r="J862" s="14" t="str">
        <f>HYPERLINK("https://www.boe.es/gazeta/dias/1839/09/27/pdfs/GMD-1839-1783.pdf#page=2","Abrir facsímil")</f>
        <v>Abrir facsímil</v>
      </c>
      <c r="K862" s="12" t="s">
        <v>24</v>
      </c>
    </row>
    <row r="863" spans="1:11" ht="40.049999999999997" customHeight="1" x14ac:dyDescent="0.25">
      <c r="A863" s="11" t="s">
        <v>2161</v>
      </c>
      <c r="B863" s="11" t="s">
        <v>2161</v>
      </c>
      <c r="C863" s="11" t="s">
        <v>101</v>
      </c>
      <c r="D863" s="11" t="s">
        <v>43</v>
      </c>
      <c r="E863" s="12" t="s">
        <v>571</v>
      </c>
      <c r="F863" s="12" t="s">
        <v>572</v>
      </c>
      <c r="G863" s="12" t="s">
        <v>46</v>
      </c>
      <c r="H863" s="11" t="s">
        <v>63</v>
      </c>
      <c r="I863" s="13" t="s">
        <v>2182</v>
      </c>
      <c r="J863" s="14" t="str">
        <f>HYPERLINK("https://www.boe.es/gazeta/dias/1839/09/27/pdfs/GMD-1839-1783.pdf#page=3","Abrir facsímil")</f>
        <v>Abrir facsímil</v>
      </c>
      <c r="K863" s="12" t="s">
        <v>65</v>
      </c>
    </row>
    <row r="864" spans="1:11" ht="40.049999999999997" customHeight="1" x14ac:dyDescent="0.25">
      <c r="A864" s="11" t="s">
        <v>2161</v>
      </c>
      <c r="B864" s="11" t="s">
        <v>2161</v>
      </c>
      <c r="C864" s="11" t="s">
        <v>17</v>
      </c>
      <c r="D864" s="11" t="s">
        <v>18</v>
      </c>
      <c r="E864" s="12" t="s">
        <v>1988</v>
      </c>
      <c r="F864" s="12" t="s">
        <v>1989</v>
      </c>
      <c r="G864" s="12" t="s">
        <v>21</v>
      </c>
      <c r="H864" s="11" t="s">
        <v>63</v>
      </c>
      <c r="I864" s="13" t="s">
        <v>2183</v>
      </c>
      <c r="J864" s="14" t="str">
        <f>HYPERLINK("https://www.boe.es/gazeta/dias/1839/10/29/pdfs/GMD-1839-1815.pdf#page=4","Abrir facsímil")</f>
        <v>Abrir facsímil</v>
      </c>
      <c r="K864" s="12" t="s">
        <v>65</v>
      </c>
    </row>
    <row r="865" spans="1:11" ht="40.049999999999997" customHeight="1" x14ac:dyDescent="0.25">
      <c r="A865" s="11" t="s">
        <v>2184</v>
      </c>
      <c r="B865" s="11" t="s">
        <v>2185</v>
      </c>
      <c r="C865" s="11" t="s">
        <v>17</v>
      </c>
      <c r="D865" s="11" t="s">
        <v>18</v>
      </c>
      <c r="E865" s="12" t="s">
        <v>258</v>
      </c>
      <c r="F865" s="12" t="s">
        <v>259</v>
      </c>
      <c r="G865" s="12" t="s">
        <v>46</v>
      </c>
      <c r="H865" s="11" t="s">
        <v>22</v>
      </c>
      <c r="I865" s="13" t="s">
        <v>2186</v>
      </c>
      <c r="J865" s="14" t="str">
        <f>HYPERLINK("https://www.boe.es/gazeta/dias/1839/01/02/pdfs/GMD-1839-1509.pdf#page=3","Abrir facsímil")</f>
        <v>Abrir facsímil</v>
      </c>
      <c r="K865" s="12" t="s">
        <v>24</v>
      </c>
    </row>
    <row r="866" spans="1:11" ht="40.049999999999997" customHeight="1" x14ac:dyDescent="0.25">
      <c r="A866" s="11" t="s">
        <v>2187</v>
      </c>
      <c r="B866" s="11" t="s">
        <v>2188</v>
      </c>
      <c r="C866" s="11" t="s">
        <v>17</v>
      </c>
      <c r="D866" s="11" t="s">
        <v>18</v>
      </c>
      <c r="E866" s="12" t="s">
        <v>254</v>
      </c>
      <c r="F866" s="12" t="s">
        <v>255</v>
      </c>
      <c r="G866" s="12" t="s">
        <v>40</v>
      </c>
      <c r="H866" s="11" t="s">
        <v>63</v>
      </c>
      <c r="I866" s="13" t="s">
        <v>2189</v>
      </c>
      <c r="J866" s="14" t="str">
        <f>HYPERLINK("https://www.boe.es/gazeta/dias/1839/09/12/pdfs/GMD-1839-1765.pdf#page=2","Abrir facsímil")</f>
        <v>Abrir facsímil</v>
      </c>
      <c r="K866" s="12" t="s">
        <v>65</v>
      </c>
    </row>
    <row r="867" spans="1:11" ht="40.049999999999997" customHeight="1" x14ac:dyDescent="0.25">
      <c r="A867" s="11" t="s">
        <v>2190</v>
      </c>
      <c r="B867" s="11" t="s">
        <v>2191</v>
      </c>
      <c r="C867" s="11" t="s">
        <v>17</v>
      </c>
      <c r="D867" s="11" t="s">
        <v>18</v>
      </c>
      <c r="E867" s="12" t="s">
        <v>690</v>
      </c>
      <c r="F867" s="12" t="s">
        <v>691</v>
      </c>
      <c r="G867" s="12" t="s">
        <v>46</v>
      </c>
      <c r="H867" s="11" t="s">
        <v>63</v>
      </c>
      <c r="I867" s="13" t="s">
        <v>2192</v>
      </c>
      <c r="J867" s="14" t="str">
        <f>HYPERLINK("https://www.boe.es/gazeta/dias/1839/12/08/pdfs/GMD-1839-1855.pdf#page=3","Abrir facsímil")</f>
        <v>Abrir facsímil</v>
      </c>
      <c r="K867" s="12" t="s">
        <v>65</v>
      </c>
    </row>
    <row r="868" spans="1:11" ht="40.049999999999997" customHeight="1" x14ac:dyDescent="0.25">
      <c r="A868" s="11" t="s">
        <v>2193</v>
      </c>
      <c r="B868" s="11" t="s">
        <v>2194</v>
      </c>
      <c r="C868" s="11" t="s">
        <v>59</v>
      </c>
      <c r="D868" s="11" t="s">
        <v>60</v>
      </c>
      <c r="E868" s="12" t="s">
        <v>197</v>
      </c>
      <c r="F868" s="12" t="s">
        <v>198</v>
      </c>
      <c r="G868" s="12" t="s">
        <v>46</v>
      </c>
      <c r="H868" s="11" t="s">
        <v>63</v>
      </c>
      <c r="I868" s="13" t="s">
        <v>2195</v>
      </c>
      <c r="J868" s="14" t="str">
        <f>HYPERLINK("https://www.boe.es/gazeta/dias/1839/10/04/pdfs/GMD-1839-1790.pdf#page=3","Abrir facsímil")</f>
        <v>Abrir facsímil</v>
      </c>
      <c r="K868" s="12" t="s">
        <v>65</v>
      </c>
    </row>
    <row r="869" spans="1:11" ht="40.049999999999997" customHeight="1" x14ac:dyDescent="0.25">
      <c r="A869" s="11" t="s">
        <v>2196</v>
      </c>
      <c r="B869" s="11" t="s">
        <v>2197</v>
      </c>
      <c r="C869" s="11" t="s">
        <v>17</v>
      </c>
      <c r="D869" s="11" t="s">
        <v>18</v>
      </c>
      <c r="E869" s="12" t="s">
        <v>1623</v>
      </c>
      <c r="F869" s="12" t="s">
        <v>1624</v>
      </c>
      <c r="G869" s="12" t="s">
        <v>21</v>
      </c>
      <c r="H869" s="11" t="s">
        <v>63</v>
      </c>
      <c r="I869" s="13" t="s">
        <v>2198</v>
      </c>
      <c r="J869" s="14" t="str">
        <f>HYPERLINK("https://www.boe.es/gazeta/dias/1839/04/07/pdfs/GMD-1839-1604.pdf#page=4","Abrir facsímil")</f>
        <v>Abrir facsímil</v>
      </c>
      <c r="K869" s="12" t="s">
        <v>65</v>
      </c>
    </row>
    <row r="870" spans="1:11" ht="40.049999999999997" customHeight="1" x14ac:dyDescent="0.25">
      <c r="A870" s="11" t="s">
        <v>2199</v>
      </c>
      <c r="B870" s="11" t="s">
        <v>2199</v>
      </c>
      <c r="C870" s="11" t="s">
        <v>17</v>
      </c>
      <c r="D870" s="11" t="s">
        <v>18</v>
      </c>
      <c r="E870" s="12" t="s">
        <v>1749</v>
      </c>
      <c r="F870" s="12" t="s">
        <v>1750</v>
      </c>
      <c r="G870" s="12" t="s">
        <v>29</v>
      </c>
      <c r="H870" s="11" t="s">
        <v>22</v>
      </c>
      <c r="I870" s="13" t="s">
        <v>2200</v>
      </c>
      <c r="J870" s="14" t="str">
        <f>HYPERLINK("https://www.boe.es/gazeta/dias/1839/06/28/pdfs/GMD-1839-1686.pdf#page=1","Abrir facsímil")</f>
        <v>Abrir facsímil</v>
      </c>
      <c r="K870" s="12" t="s">
        <v>24</v>
      </c>
    </row>
    <row r="871" spans="1:11" ht="40.049999999999997" customHeight="1" x14ac:dyDescent="0.25">
      <c r="A871" s="11" t="s">
        <v>2201</v>
      </c>
      <c r="B871" s="11" t="s">
        <v>2202</v>
      </c>
      <c r="C871" s="11" t="s">
        <v>17</v>
      </c>
      <c r="D871" s="11" t="s">
        <v>18</v>
      </c>
      <c r="E871" s="12" t="s">
        <v>1779</v>
      </c>
      <c r="F871" s="12" t="s">
        <v>1780</v>
      </c>
      <c r="G871" s="12" t="s">
        <v>29</v>
      </c>
      <c r="H871" s="11" t="s">
        <v>63</v>
      </c>
      <c r="I871" s="13" t="s">
        <v>2203</v>
      </c>
      <c r="J871" s="14" t="str">
        <f>HYPERLINK("https://www.boe.es/gazeta/dias/1839/03/18/pdfs/GMD-1839-1584.pdf#page=1","Abrir facsímil")</f>
        <v>Abrir facsímil</v>
      </c>
      <c r="K871" s="12" t="s">
        <v>65</v>
      </c>
    </row>
    <row r="872" spans="1:11" ht="40.049999999999997" customHeight="1" x14ac:dyDescent="0.25">
      <c r="A872" s="11" t="s">
        <v>2204</v>
      </c>
      <c r="B872" s="11" t="s">
        <v>2204</v>
      </c>
      <c r="C872" s="11" t="s">
        <v>17</v>
      </c>
      <c r="D872" s="11" t="s">
        <v>18</v>
      </c>
      <c r="E872" s="12" t="s">
        <v>2205</v>
      </c>
      <c r="F872" s="12" t="s">
        <v>2206</v>
      </c>
      <c r="G872" s="12" t="s">
        <v>21</v>
      </c>
      <c r="H872" s="11" t="s">
        <v>22</v>
      </c>
      <c r="I872" s="13" t="s">
        <v>2207</v>
      </c>
      <c r="J872" s="14" t="str">
        <f>HYPERLINK("https://www.boe.es/gazeta/dias/1839/07/11/pdfs/GMD-1839-1699.pdf#page=4","Abrir facsímil")</f>
        <v>Abrir facsímil</v>
      </c>
      <c r="K872" s="12" t="s">
        <v>24</v>
      </c>
    </row>
    <row r="873" spans="1:11" ht="40.049999999999997" customHeight="1" x14ac:dyDescent="0.25">
      <c r="A873" s="11" t="s">
        <v>2208</v>
      </c>
      <c r="B873" s="11" t="s">
        <v>2209</v>
      </c>
      <c r="C873" s="11" t="s">
        <v>17</v>
      </c>
      <c r="D873" s="11" t="s">
        <v>18</v>
      </c>
      <c r="E873" s="12" t="s">
        <v>2210</v>
      </c>
      <c r="F873" s="12" t="s">
        <v>2211</v>
      </c>
      <c r="G873" s="12" t="s">
        <v>29</v>
      </c>
      <c r="H873" s="11" t="s">
        <v>63</v>
      </c>
      <c r="I873" s="13" t="s">
        <v>2212</v>
      </c>
      <c r="J873" s="14" t="str">
        <f>HYPERLINK("https://www.boe.es/gazeta/dias/1839/09/05/pdfs/GMD-1839-1758.pdf#page=1","Abrir facsímil")</f>
        <v>Abrir facsímil</v>
      </c>
      <c r="K873" s="12" t="s">
        <v>65</v>
      </c>
    </row>
    <row r="874" spans="1:11" ht="40.049999999999997" customHeight="1" x14ac:dyDescent="0.25">
      <c r="A874" s="11" t="s">
        <v>2213</v>
      </c>
      <c r="B874" s="11" t="s">
        <v>2214</v>
      </c>
      <c r="C874" s="11" t="s">
        <v>17</v>
      </c>
      <c r="D874" s="11" t="s">
        <v>18</v>
      </c>
      <c r="E874" s="12" t="s">
        <v>2215</v>
      </c>
      <c r="F874" s="12" t="s">
        <v>2216</v>
      </c>
      <c r="G874" s="12" t="s">
        <v>21</v>
      </c>
      <c r="H874" s="11" t="s">
        <v>63</v>
      </c>
      <c r="I874" s="13" t="s">
        <v>2217</v>
      </c>
      <c r="J874" s="14" t="str">
        <f>HYPERLINK("https://www.boe.es/gazeta/dias/1839/07/21/pdfs/GMD-1839-1709.pdf#page=4","Abrir facsímil")</f>
        <v>Abrir facsímil</v>
      </c>
      <c r="K874" s="12" t="s">
        <v>65</v>
      </c>
    </row>
    <row r="875" spans="1:11" ht="40.049999999999997" customHeight="1" x14ac:dyDescent="0.25">
      <c r="A875" s="11" t="s">
        <v>2218</v>
      </c>
      <c r="B875" s="11" t="s">
        <v>2219</v>
      </c>
      <c r="C875" s="11" t="s">
        <v>17</v>
      </c>
      <c r="D875" s="11" t="s">
        <v>18</v>
      </c>
      <c r="E875" s="12" t="s">
        <v>2069</v>
      </c>
      <c r="F875" s="12" t="s">
        <v>2070</v>
      </c>
      <c r="G875" s="12" t="s">
        <v>566</v>
      </c>
      <c r="H875" s="11" t="s">
        <v>63</v>
      </c>
      <c r="I875" s="13" t="s">
        <v>2220</v>
      </c>
      <c r="J875" s="14" t="str">
        <f>HYPERLINK("https://www.boe.es/gazeta/dias/1839/10/20/pdfs/GMD-1839-1806.pdf#page=5","Abrir facsímil")</f>
        <v>Abrir facsímil</v>
      </c>
      <c r="K875" s="12" t="s">
        <v>65</v>
      </c>
    </row>
    <row r="876" spans="1:11" ht="40.049999999999997" customHeight="1" x14ac:dyDescent="0.25">
      <c r="A876" s="11" t="s">
        <v>2221</v>
      </c>
      <c r="B876" s="11" t="s">
        <v>2221</v>
      </c>
      <c r="C876" s="11" t="s">
        <v>59</v>
      </c>
      <c r="D876" s="11" t="s">
        <v>60</v>
      </c>
      <c r="E876" s="12" t="s">
        <v>2222</v>
      </c>
      <c r="F876" s="12" t="s">
        <v>2223</v>
      </c>
      <c r="G876" s="12" t="s">
        <v>40</v>
      </c>
      <c r="H876" s="11" t="s">
        <v>63</v>
      </c>
      <c r="I876" s="13" t="s">
        <v>2224</v>
      </c>
      <c r="J876" s="14" t="str">
        <f>HYPERLINK("https://www.boe.es/gazeta/dias/1839/09/19/pdfs/GMD-1839-1773.pdf#page=2","Abrir facsímil")</f>
        <v>Abrir facsímil</v>
      </c>
      <c r="K876" s="12" t="s">
        <v>65</v>
      </c>
    </row>
    <row r="877" spans="1:11" ht="40.049999999999997" customHeight="1" x14ac:dyDescent="0.25">
      <c r="A877" s="11" t="s">
        <v>2225</v>
      </c>
      <c r="B877" s="11" t="s">
        <v>2226</v>
      </c>
      <c r="C877" s="11" t="s">
        <v>17</v>
      </c>
      <c r="D877" s="11" t="s">
        <v>18</v>
      </c>
      <c r="E877" s="12" t="s">
        <v>2227</v>
      </c>
      <c r="F877" s="12" t="s">
        <v>2228</v>
      </c>
      <c r="G877" s="12" t="s">
        <v>40</v>
      </c>
      <c r="H877" s="11" t="s">
        <v>63</v>
      </c>
      <c r="I877" s="13" t="s">
        <v>2229</v>
      </c>
      <c r="J877" s="14" t="str">
        <f>HYPERLINK("https://www.boe.es/gazeta/dias/1839/12/04/pdfs/GMD-1839-1851.pdf#page=2","Abrir facsímil")</f>
        <v>Abrir facsímil</v>
      </c>
      <c r="K877" s="12" t="s">
        <v>65</v>
      </c>
    </row>
    <row r="878" spans="1:11" ht="40.049999999999997" customHeight="1" x14ac:dyDescent="0.25">
      <c r="A878" s="11" t="s">
        <v>2230</v>
      </c>
      <c r="B878" s="11" t="s">
        <v>2231</v>
      </c>
      <c r="C878" s="11" t="s">
        <v>137</v>
      </c>
      <c r="D878" s="11" t="s">
        <v>18</v>
      </c>
      <c r="E878" s="12" t="s">
        <v>89</v>
      </c>
      <c r="F878" s="12" t="s">
        <v>90</v>
      </c>
      <c r="G878" s="12" t="s">
        <v>21</v>
      </c>
      <c r="H878" s="11" t="s">
        <v>63</v>
      </c>
      <c r="I878" s="13" t="s">
        <v>2232</v>
      </c>
      <c r="J878" s="14" t="str">
        <f>HYPERLINK("https://www.boe.es/gazeta/dias/1839/11/28/pdfs/GMD-1839-1845.pdf#page=4","Abrir facsímil")</f>
        <v>Abrir facsímil</v>
      </c>
      <c r="K878" s="12" t="s">
        <v>65</v>
      </c>
    </row>
    <row r="879" spans="1:11" ht="40.049999999999997" customHeight="1" x14ac:dyDescent="0.25">
      <c r="A879" s="11" t="s">
        <v>2233</v>
      </c>
      <c r="B879" s="11" t="s">
        <v>2233</v>
      </c>
      <c r="C879" s="11" t="s">
        <v>80</v>
      </c>
      <c r="D879" s="11" t="s">
        <v>18</v>
      </c>
      <c r="E879" s="12" t="s">
        <v>1611</v>
      </c>
      <c r="F879" s="12" t="s">
        <v>1612</v>
      </c>
      <c r="G879" s="12" t="s">
        <v>21</v>
      </c>
      <c r="H879" s="11" t="s">
        <v>63</v>
      </c>
      <c r="I879" s="13" t="s">
        <v>2234</v>
      </c>
      <c r="J879" s="14" t="str">
        <f>HYPERLINK("https://www.boe.es/gazeta/dias/1839/05/03/pdfs/GMD-1839-1630.pdf#page=4","Abrir facsímil")</f>
        <v>Abrir facsímil</v>
      </c>
      <c r="K879" s="12" t="s">
        <v>65</v>
      </c>
    </row>
    <row r="880" spans="1:11" ht="40.049999999999997" customHeight="1" x14ac:dyDescent="0.25">
      <c r="A880" s="11" t="s">
        <v>2235</v>
      </c>
      <c r="B880" s="11" t="s">
        <v>2235</v>
      </c>
      <c r="C880" s="11" t="s">
        <v>59</v>
      </c>
      <c r="D880" s="11" t="s">
        <v>60</v>
      </c>
      <c r="E880" s="12" t="s">
        <v>1374</v>
      </c>
      <c r="F880" s="12" t="s">
        <v>1375</v>
      </c>
      <c r="G880" s="12" t="s">
        <v>21</v>
      </c>
      <c r="H880" s="11" t="s">
        <v>63</v>
      </c>
      <c r="I880" s="13" t="s">
        <v>2236</v>
      </c>
      <c r="J880" s="14" t="str">
        <f>HYPERLINK("https://www.boe.es/gazeta/dias/1839/07/20/pdfs/GMD-1839-1708.pdf#page=4","Abrir facsímil")</f>
        <v>Abrir facsímil</v>
      </c>
      <c r="K880" s="12" t="s">
        <v>65</v>
      </c>
    </row>
    <row r="881" spans="1:11" ht="40.049999999999997" customHeight="1" x14ac:dyDescent="0.25">
      <c r="A881" s="11" t="s">
        <v>2237</v>
      </c>
      <c r="B881" s="11" t="s">
        <v>2237</v>
      </c>
      <c r="C881" s="11" t="s">
        <v>17</v>
      </c>
      <c r="D881" s="11" t="s">
        <v>18</v>
      </c>
      <c r="E881" s="12" t="s">
        <v>385</v>
      </c>
      <c r="F881" s="12" t="s">
        <v>386</v>
      </c>
      <c r="G881" s="12" t="s">
        <v>29</v>
      </c>
      <c r="H881" s="11" t="s">
        <v>63</v>
      </c>
      <c r="I881" s="13" t="s">
        <v>2238</v>
      </c>
      <c r="J881" s="14" t="str">
        <f>HYPERLINK("https://www.boe.es/gazeta/dias/1839/08/01/pdfs/GMD-1839-1721.pdf#page=1","Abrir facsímil")</f>
        <v>Abrir facsímil</v>
      </c>
      <c r="K881" s="12" t="s">
        <v>65</v>
      </c>
    </row>
    <row r="882" spans="1:11" ht="40.049999999999997" customHeight="1" x14ac:dyDescent="0.25">
      <c r="A882" s="11" t="s">
        <v>2237</v>
      </c>
      <c r="B882" s="11" t="s">
        <v>2237</v>
      </c>
      <c r="C882" s="11" t="s">
        <v>17</v>
      </c>
      <c r="D882" s="11" t="s">
        <v>18</v>
      </c>
      <c r="E882" s="12" t="s">
        <v>1208</v>
      </c>
      <c r="F882" s="12" t="s">
        <v>1209</v>
      </c>
      <c r="G882" s="12" t="s">
        <v>29</v>
      </c>
      <c r="H882" s="11" t="s">
        <v>63</v>
      </c>
      <c r="I882" s="13" t="s">
        <v>2239</v>
      </c>
      <c r="J882" s="14" t="str">
        <f>HYPERLINK("https://www.boe.es/gazeta/dias/1839/04/24/pdfs/GMD-1839-1621.pdf#page=1","Abrir facsímil")</f>
        <v>Abrir facsímil</v>
      </c>
      <c r="K882" s="12" t="s">
        <v>65</v>
      </c>
    </row>
    <row r="883" spans="1:11" ht="40.049999999999997" customHeight="1" x14ac:dyDescent="0.25">
      <c r="A883" s="11" t="s">
        <v>2237</v>
      </c>
      <c r="B883" s="11" t="s">
        <v>2237</v>
      </c>
      <c r="C883" s="11" t="s">
        <v>137</v>
      </c>
      <c r="D883" s="11" t="s">
        <v>18</v>
      </c>
      <c r="E883" s="12" t="s">
        <v>1208</v>
      </c>
      <c r="F883" s="12" t="s">
        <v>1209</v>
      </c>
      <c r="G883" s="12" t="s">
        <v>40</v>
      </c>
      <c r="H883" s="11" t="s">
        <v>63</v>
      </c>
      <c r="I883" s="13" t="s">
        <v>2240</v>
      </c>
      <c r="J883" s="14" t="str">
        <f>HYPERLINK("https://www.boe.es/gazeta/dias/1839/04/24/pdfs/GMD-1839-1621.pdf#page=2","Abrir facsímil")</f>
        <v>Abrir facsímil</v>
      </c>
      <c r="K883" s="12" t="s">
        <v>65</v>
      </c>
    </row>
    <row r="884" spans="1:11" ht="40.049999999999997" customHeight="1" x14ac:dyDescent="0.25">
      <c r="A884" s="11" t="s">
        <v>2237</v>
      </c>
      <c r="B884" s="11" t="s">
        <v>2237</v>
      </c>
      <c r="C884" s="11" t="s">
        <v>59</v>
      </c>
      <c r="D884" s="11" t="s">
        <v>60</v>
      </c>
      <c r="E884" s="12" t="s">
        <v>1685</v>
      </c>
      <c r="F884" s="12" t="s">
        <v>1686</v>
      </c>
      <c r="G884" s="12" t="s">
        <v>29</v>
      </c>
      <c r="H884" s="11" t="s">
        <v>63</v>
      </c>
      <c r="I884" s="13" t="s">
        <v>2241</v>
      </c>
      <c r="J884" s="14" t="str">
        <f>HYPERLINK("https://www.boe.es/gazeta/dias/1839/04/27/pdfs/GMD-1839-1624.pdf#page=1","Abrir facsímil")</f>
        <v>Abrir facsímil</v>
      </c>
      <c r="K884" s="12" t="s">
        <v>65</v>
      </c>
    </row>
    <row r="885" spans="1:11" ht="40.049999999999997" customHeight="1" x14ac:dyDescent="0.25">
      <c r="A885" s="11" t="s">
        <v>2237</v>
      </c>
      <c r="B885" s="11" t="s">
        <v>2237</v>
      </c>
      <c r="C885" s="11" t="s">
        <v>59</v>
      </c>
      <c r="D885" s="11" t="s">
        <v>60</v>
      </c>
      <c r="E885" s="12" t="s">
        <v>312</v>
      </c>
      <c r="F885" s="12" t="s">
        <v>313</v>
      </c>
      <c r="G885" s="12" t="s">
        <v>46</v>
      </c>
      <c r="H885" s="11" t="s">
        <v>63</v>
      </c>
      <c r="I885" s="13" t="s">
        <v>2242</v>
      </c>
      <c r="J885" s="14" t="str">
        <f>HYPERLINK("https://www.boe.es/gazeta/dias/1839/11/30/pdfs/GMD-1839-1847.pdf#page=3","Abrir facsímil")</f>
        <v>Abrir facsímil</v>
      </c>
      <c r="K885" s="12" t="s">
        <v>65</v>
      </c>
    </row>
    <row r="886" spans="1:11" ht="40.049999999999997" customHeight="1" x14ac:dyDescent="0.25">
      <c r="A886" s="11" t="s">
        <v>2243</v>
      </c>
      <c r="B886" s="11" t="s">
        <v>2244</v>
      </c>
      <c r="C886" s="11" t="s">
        <v>17</v>
      </c>
      <c r="D886" s="11" t="s">
        <v>18</v>
      </c>
      <c r="E886" s="12" t="s">
        <v>168</v>
      </c>
      <c r="F886" s="12" t="s">
        <v>169</v>
      </c>
      <c r="G886" s="12" t="s">
        <v>21</v>
      </c>
      <c r="H886" s="11" t="s">
        <v>22</v>
      </c>
      <c r="I886" s="13" t="s">
        <v>2245</v>
      </c>
      <c r="J886" s="14" t="str">
        <f>HYPERLINK("https://www.boe.es/gazeta/dias/1839/07/12/pdfs/GMD-1839-1700.pdf#page=4","Abrir facsímil")</f>
        <v>Abrir facsímil</v>
      </c>
      <c r="K886" s="12" t="s">
        <v>24</v>
      </c>
    </row>
    <row r="887" spans="1:11" ht="40.049999999999997" customHeight="1" x14ac:dyDescent="0.25">
      <c r="A887" s="11" t="s">
        <v>2246</v>
      </c>
      <c r="B887" s="11" t="s">
        <v>2246</v>
      </c>
      <c r="C887" s="11" t="s">
        <v>17</v>
      </c>
      <c r="D887" s="11" t="s">
        <v>18</v>
      </c>
      <c r="E887" s="12" t="s">
        <v>258</v>
      </c>
      <c r="F887" s="12" t="s">
        <v>259</v>
      </c>
      <c r="G887" s="12" t="s">
        <v>40</v>
      </c>
      <c r="H887" s="11" t="s">
        <v>63</v>
      </c>
      <c r="I887" s="13" t="s">
        <v>2247</v>
      </c>
      <c r="J887" s="14" t="str">
        <f>HYPERLINK("https://www.boe.es/gazeta/dias/1839/01/02/pdfs/GMD-1839-1509.pdf#page=2","Abrir facsímil")</f>
        <v>Abrir facsímil</v>
      </c>
      <c r="K887" s="12" t="s">
        <v>65</v>
      </c>
    </row>
    <row r="888" spans="1:11" ht="40.049999999999997" customHeight="1" x14ac:dyDescent="0.25">
      <c r="A888" s="11" t="s">
        <v>2246</v>
      </c>
      <c r="B888" s="11" t="s">
        <v>2246</v>
      </c>
      <c r="C888" s="11" t="s">
        <v>17</v>
      </c>
      <c r="D888" s="11" t="s">
        <v>18</v>
      </c>
      <c r="E888" s="12" t="s">
        <v>108</v>
      </c>
      <c r="F888" s="12" t="s">
        <v>109</v>
      </c>
      <c r="G888" s="12" t="s">
        <v>40</v>
      </c>
      <c r="H888" s="11" t="s">
        <v>63</v>
      </c>
      <c r="I888" s="13" t="s">
        <v>2248</v>
      </c>
      <c r="J888" s="14" t="str">
        <f>HYPERLINK("https://www.boe.es/gazeta/dias/1839/01/04/pdfs/GMD-1839-1511.pdf#page=2","Abrir facsímil")</f>
        <v>Abrir facsímil</v>
      </c>
      <c r="K888" s="12" t="s">
        <v>65</v>
      </c>
    </row>
    <row r="889" spans="1:11" ht="40.049999999999997" customHeight="1" x14ac:dyDescent="0.25">
      <c r="A889" s="11" t="s">
        <v>2246</v>
      </c>
      <c r="B889" s="11" t="s">
        <v>2246</v>
      </c>
      <c r="C889" s="11" t="s">
        <v>80</v>
      </c>
      <c r="D889" s="11" t="s">
        <v>18</v>
      </c>
      <c r="E889" s="12" t="s">
        <v>217</v>
      </c>
      <c r="F889" s="12" t="s">
        <v>218</v>
      </c>
      <c r="G889" s="12" t="s">
        <v>46</v>
      </c>
      <c r="H889" s="11" t="s">
        <v>63</v>
      </c>
      <c r="I889" s="13" t="s">
        <v>2249</v>
      </c>
      <c r="J889" s="14" t="str">
        <f>HYPERLINK("https://www.boe.es/gazeta/dias/1839/08/06/pdfs/GMD-1839-1726.pdf#page=3","Abrir facsímil")</f>
        <v>Abrir facsímil</v>
      </c>
      <c r="K889" s="12" t="s">
        <v>65</v>
      </c>
    </row>
    <row r="890" spans="1:11" ht="40.049999999999997" customHeight="1" x14ac:dyDescent="0.25">
      <c r="A890" s="11" t="s">
        <v>2246</v>
      </c>
      <c r="B890" s="11" t="s">
        <v>2246</v>
      </c>
      <c r="C890" s="11" t="s">
        <v>17</v>
      </c>
      <c r="D890" s="11" t="s">
        <v>18</v>
      </c>
      <c r="E890" s="12" t="s">
        <v>395</v>
      </c>
      <c r="F890" s="12" t="s">
        <v>396</v>
      </c>
      <c r="G890" s="12" t="s">
        <v>46</v>
      </c>
      <c r="H890" s="11" t="s">
        <v>63</v>
      </c>
      <c r="I890" s="13" t="s">
        <v>2250</v>
      </c>
      <c r="J890" s="14" t="str">
        <f>HYPERLINK("https://www.boe.es/gazeta/dias/1839/03/15/pdfs/GMD-1839-1581.pdf#page=3","Abrir facsímil")</f>
        <v>Abrir facsímil</v>
      </c>
      <c r="K890" s="12" t="s">
        <v>65</v>
      </c>
    </row>
    <row r="891" spans="1:11" ht="40.049999999999997" customHeight="1" x14ac:dyDescent="0.25">
      <c r="A891" s="11" t="s">
        <v>2246</v>
      </c>
      <c r="B891" s="11" t="s">
        <v>2246</v>
      </c>
      <c r="C891" s="11" t="s">
        <v>17</v>
      </c>
      <c r="D891" s="11" t="s">
        <v>18</v>
      </c>
      <c r="E891" s="12" t="s">
        <v>44</v>
      </c>
      <c r="F891" s="12" t="s">
        <v>45</v>
      </c>
      <c r="G891" s="12" t="s">
        <v>40</v>
      </c>
      <c r="H891" s="11" t="s">
        <v>63</v>
      </c>
      <c r="I891" s="13" t="s">
        <v>2251</v>
      </c>
      <c r="J891" s="14" t="str">
        <f>HYPERLINK("https://www.boe.es/gazeta/dias/1839/11/15/pdfs/GMD-1839-1832.pdf#page=2","Abrir facsímil")</f>
        <v>Abrir facsímil</v>
      </c>
      <c r="K891" s="12" t="s">
        <v>65</v>
      </c>
    </row>
    <row r="892" spans="1:11" ht="40.049999999999997" customHeight="1" x14ac:dyDescent="0.25">
      <c r="A892" s="11" t="s">
        <v>2246</v>
      </c>
      <c r="B892" s="11" t="s">
        <v>2246</v>
      </c>
      <c r="C892" s="11" t="s">
        <v>17</v>
      </c>
      <c r="D892" s="11" t="s">
        <v>43</v>
      </c>
      <c r="E892" s="12" t="s">
        <v>44</v>
      </c>
      <c r="F892" s="12" t="s">
        <v>45</v>
      </c>
      <c r="G892" s="12" t="s">
        <v>46</v>
      </c>
      <c r="H892" s="11" t="s">
        <v>63</v>
      </c>
      <c r="I892" s="13" t="s">
        <v>2252</v>
      </c>
      <c r="J892" s="14" t="str">
        <f>HYPERLINK("https://www.boe.es/gazeta/dias/1839/11/15/pdfs/GMD-1839-1832.pdf#page=3","Abrir facsímil")</f>
        <v>Abrir facsímil</v>
      </c>
      <c r="K892" s="12" t="s">
        <v>65</v>
      </c>
    </row>
    <row r="893" spans="1:11" ht="40.049999999999997" customHeight="1" x14ac:dyDescent="0.25">
      <c r="A893" s="11" t="s">
        <v>2246</v>
      </c>
      <c r="B893" s="11" t="s">
        <v>2246</v>
      </c>
      <c r="C893" s="11" t="s">
        <v>17</v>
      </c>
      <c r="D893" s="11" t="s">
        <v>18</v>
      </c>
      <c r="E893" s="12" t="s">
        <v>2253</v>
      </c>
      <c r="F893" s="12" t="s">
        <v>2254</v>
      </c>
      <c r="G893" s="12" t="s">
        <v>21</v>
      </c>
      <c r="H893" s="11" t="s">
        <v>63</v>
      </c>
      <c r="I893" s="13" t="s">
        <v>2255</v>
      </c>
      <c r="J893" s="14" t="str">
        <f>HYPERLINK("https://www.boe.es/gazeta/dias/1839/02/20/pdfs/GMD-1839-1558.pdf#page=4","Abrir facsímil")</f>
        <v>Abrir facsímil</v>
      </c>
      <c r="K893" s="12" t="s">
        <v>65</v>
      </c>
    </row>
    <row r="894" spans="1:11" ht="40.049999999999997" customHeight="1" x14ac:dyDescent="0.25">
      <c r="A894" s="11" t="s">
        <v>2246</v>
      </c>
      <c r="B894" s="11" t="s">
        <v>2246</v>
      </c>
      <c r="C894" s="11" t="s">
        <v>80</v>
      </c>
      <c r="D894" s="11" t="s">
        <v>18</v>
      </c>
      <c r="E894" s="12" t="s">
        <v>222</v>
      </c>
      <c r="F894" s="12" t="s">
        <v>223</v>
      </c>
      <c r="G894" s="12" t="s">
        <v>21</v>
      </c>
      <c r="H894" s="11" t="s">
        <v>63</v>
      </c>
      <c r="I894" s="13" t="s">
        <v>2256</v>
      </c>
      <c r="J894" s="14" t="str">
        <f>HYPERLINK("https://www.boe.es/gazeta/dias/1839/06/22/pdfs/GMD-1839-1680.pdf#page=4","Abrir facsímil")</f>
        <v>Abrir facsímil</v>
      </c>
      <c r="K894" s="12" t="s">
        <v>65</v>
      </c>
    </row>
    <row r="895" spans="1:11" ht="40.049999999999997" customHeight="1" x14ac:dyDescent="0.25">
      <c r="A895" s="11" t="s">
        <v>2246</v>
      </c>
      <c r="B895" s="11" t="s">
        <v>2246</v>
      </c>
      <c r="C895" s="11" t="s">
        <v>101</v>
      </c>
      <c r="D895" s="11" t="s">
        <v>43</v>
      </c>
      <c r="E895" s="12" t="s">
        <v>349</v>
      </c>
      <c r="F895" s="12" t="s">
        <v>350</v>
      </c>
      <c r="G895" s="12" t="s">
        <v>40</v>
      </c>
      <c r="H895" s="11" t="s">
        <v>63</v>
      </c>
      <c r="I895" s="13" t="s">
        <v>2257</v>
      </c>
      <c r="J895" s="14" t="str">
        <f>HYPERLINK("https://www.boe.es/gazeta/dias/1839/12/25/pdfs/GMD-1839-1872.pdf#page=2","Abrir facsímil")</f>
        <v>Abrir facsímil</v>
      </c>
      <c r="K895" s="12" t="s">
        <v>65</v>
      </c>
    </row>
    <row r="896" spans="1:11" ht="40.049999999999997" customHeight="1" x14ac:dyDescent="0.25">
      <c r="A896" s="11" t="s">
        <v>2258</v>
      </c>
      <c r="B896" s="11" t="s">
        <v>2259</v>
      </c>
      <c r="C896" s="11" t="s">
        <v>59</v>
      </c>
      <c r="D896" s="11" t="s">
        <v>60</v>
      </c>
      <c r="E896" s="12" t="s">
        <v>291</v>
      </c>
      <c r="F896" s="12" t="s">
        <v>292</v>
      </c>
      <c r="G896" s="12" t="s">
        <v>29</v>
      </c>
      <c r="H896" s="11" t="s">
        <v>63</v>
      </c>
      <c r="I896" s="13" t="s">
        <v>2260</v>
      </c>
      <c r="J896" s="14" t="str">
        <f>HYPERLINK("https://www.boe.es/gazeta/dias/1839/09/04/pdfs/GMD-1839-1757.pdf#page=1","Abrir facsímil")</f>
        <v>Abrir facsímil</v>
      </c>
      <c r="K896" s="12" t="s">
        <v>65</v>
      </c>
    </row>
    <row r="897" spans="1:11" ht="40.049999999999997" customHeight="1" x14ac:dyDescent="0.25">
      <c r="A897" s="11" t="s">
        <v>2261</v>
      </c>
      <c r="B897" s="11" t="s">
        <v>2261</v>
      </c>
      <c r="C897" s="11" t="s">
        <v>17</v>
      </c>
      <c r="D897" s="11" t="s">
        <v>18</v>
      </c>
      <c r="E897" s="12" t="s">
        <v>2262</v>
      </c>
      <c r="F897" s="12" t="s">
        <v>2263</v>
      </c>
      <c r="G897" s="12" t="s">
        <v>29</v>
      </c>
      <c r="H897" s="11" t="s">
        <v>22</v>
      </c>
      <c r="I897" s="13" t="s">
        <v>2264</v>
      </c>
      <c r="J897" s="14" t="str">
        <f>HYPERLINK("https://www.boe.es/gazeta/dias/1839/03/16/pdfs/GMD-1839-1582.pdf#page=1","Abrir facsímil")</f>
        <v>Abrir facsímil</v>
      </c>
      <c r="K897" s="12" t="s">
        <v>24</v>
      </c>
    </row>
    <row r="898" spans="1:11" ht="40.049999999999997" customHeight="1" x14ac:dyDescent="0.25">
      <c r="A898" s="11" t="s">
        <v>2265</v>
      </c>
      <c r="B898" s="11" t="s">
        <v>2265</v>
      </c>
      <c r="C898" s="11" t="s">
        <v>17</v>
      </c>
      <c r="D898" s="11" t="s">
        <v>18</v>
      </c>
      <c r="E898" s="12" t="s">
        <v>121</v>
      </c>
      <c r="F898" s="12" t="s">
        <v>122</v>
      </c>
      <c r="G898" s="12" t="s">
        <v>46</v>
      </c>
      <c r="H898" s="11" t="s">
        <v>63</v>
      </c>
      <c r="I898" s="13" t="s">
        <v>2266</v>
      </c>
      <c r="J898" s="14" t="str">
        <f>HYPERLINK("https://www.boe.es/gazeta/dias/1839/06/08/pdfs/GMD-1839-1666.pdf#page=3","Abrir facsímil")</f>
        <v>Abrir facsímil</v>
      </c>
      <c r="K898" s="12" t="s">
        <v>65</v>
      </c>
    </row>
    <row r="899" spans="1:11" ht="40.049999999999997" customHeight="1" x14ac:dyDescent="0.25">
      <c r="A899" s="11" t="s">
        <v>2267</v>
      </c>
      <c r="B899" s="11" t="s">
        <v>2267</v>
      </c>
      <c r="C899" s="11" t="s">
        <v>59</v>
      </c>
      <c r="D899" s="11" t="s">
        <v>60</v>
      </c>
      <c r="E899" s="12" t="s">
        <v>160</v>
      </c>
      <c r="F899" s="12" t="s">
        <v>161</v>
      </c>
      <c r="G899" s="12" t="s">
        <v>40</v>
      </c>
      <c r="H899" s="11" t="s">
        <v>63</v>
      </c>
      <c r="I899" s="13" t="s">
        <v>2268</v>
      </c>
      <c r="J899" s="14" t="str">
        <f>HYPERLINK("https://www.boe.es/gazeta/dias/1839/01/10/pdfs/GMD-1839-1517.pdf#page=2","Abrir facsímil")</f>
        <v>Abrir facsímil</v>
      </c>
      <c r="K899" s="12" t="s">
        <v>65</v>
      </c>
    </row>
    <row r="900" spans="1:11" ht="40.049999999999997" customHeight="1" x14ac:dyDescent="0.25">
      <c r="A900" s="11" t="s">
        <v>2269</v>
      </c>
      <c r="B900" s="11" t="s">
        <v>2269</v>
      </c>
      <c r="C900" s="11" t="s">
        <v>17</v>
      </c>
      <c r="D900" s="11" t="s">
        <v>18</v>
      </c>
      <c r="E900" s="12" t="s">
        <v>2270</v>
      </c>
      <c r="F900" s="12" t="s">
        <v>2271</v>
      </c>
      <c r="G900" s="12" t="s">
        <v>21</v>
      </c>
      <c r="H900" s="11" t="s">
        <v>63</v>
      </c>
      <c r="I900" s="13" t="s">
        <v>2272</v>
      </c>
      <c r="J900" s="14" t="str">
        <f>HYPERLINK("https://www.boe.es/gazeta/dias/1839/06/13/pdfs/GMD-1839-1671.pdf#page=4","Abrir facsímil")</f>
        <v>Abrir facsímil</v>
      </c>
      <c r="K900" s="12" t="s">
        <v>65</v>
      </c>
    </row>
    <row r="901" spans="1:11" ht="40.049999999999997" customHeight="1" x14ac:dyDescent="0.25">
      <c r="A901" s="11" t="s">
        <v>2273</v>
      </c>
      <c r="B901" s="11" t="s">
        <v>2274</v>
      </c>
      <c r="C901" s="11" t="s">
        <v>17</v>
      </c>
      <c r="D901" s="11" t="s">
        <v>18</v>
      </c>
      <c r="E901" s="12" t="s">
        <v>128</v>
      </c>
      <c r="F901" s="12" t="s">
        <v>129</v>
      </c>
      <c r="G901" s="12" t="s">
        <v>21</v>
      </c>
      <c r="H901" s="11" t="s">
        <v>63</v>
      </c>
      <c r="I901" s="13" t="s">
        <v>2275</v>
      </c>
      <c r="J901" s="14" t="str">
        <f>HYPERLINK("https://www.boe.es/gazeta/dias/1839/05/25/pdfs/GMD-1839-1652.pdf#page=4","Abrir facsímil")</f>
        <v>Abrir facsímil</v>
      </c>
      <c r="K901" s="12" t="s">
        <v>65</v>
      </c>
    </row>
    <row r="902" spans="1:11" ht="40.049999999999997" customHeight="1" x14ac:dyDescent="0.25">
      <c r="A902" s="11" t="s">
        <v>2276</v>
      </c>
      <c r="B902" s="11" t="s">
        <v>2277</v>
      </c>
      <c r="C902" s="11" t="s">
        <v>17</v>
      </c>
      <c r="D902" s="11" t="s">
        <v>18</v>
      </c>
      <c r="E902" s="12" t="s">
        <v>483</v>
      </c>
      <c r="F902" s="12" t="s">
        <v>484</v>
      </c>
      <c r="G902" s="12" t="s">
        <v>21</v>
      </c>
      <c r="H902" s="11" t="s">
        <v>63</v>
      </c>
      <c r="I902" s="13" t="s">
        <v>2278</v>
      </c>
      <c r="J902" s="14" t="str">
        <f>HYPERLINK("https://www.boe.es/gazeta/dias/1839/11/18/pdfs/GMD-1839-1835.pdf#page=4","Abrir facsímil")</f>
        <v>Abrir facsímil</v>
      </c>
      <c r="K902" s="12" t="s">
        <v>65</v>
      </c>
    </row>
    <row r="903" spans="1:11" ht="40.049999999999997" customHeight="1" x14ac:dyDescent="0.25">
      <c r="A903" s="11" t="s">
        <v>2279</v>
      </c>
      <c r="B903" s="11" t="s">
        <v>2279</v>
      </c>
      <c r="C903" s="11" t="s">
        <v>17</v>
      </c>
      <c r="D903" s="11" t="s">
        <v>18</v>
      </c>
      <c r="E903" s="12" t="s">
        <v>1614</v>
      </c>
      <c r="F903" s="12" t="s">
        <v>1615</v>
      </c>
      <c r="G903" s="12" t="s">
        <v>40</v>
      </c>
      <c r="H903" s="11" t="s">
        <v>63</v>
      </c>
      <c r="I903" s="13" t="s">
        <v>2280</v>
      </c>
      <c r="J903" s="14" t="str">
        <f>HYPERLINK("https://www.boe.es/gazeta/dias/1839/07/03/pdfs/GMD-1839-1691.pdf#page=2","Abrir facsímil")</f>
        <v>Abrir facsímil</v>
      </c>
      <c r="K903" s="12" t="s">
        <v>65</v>
      </c>
    </row>
    <row r="904" spans="1:11" ht="40.049999999999997" customHeight="1" x14ac:dyDescent="0.25">
      <c r="A904" s="11" t="s">
        <v>2281</v>
      </c>
      <c r="B904" s="11" t="s">
        <v>2281</v>
      </c>
      <c r="C904" s="11" t="s">
        <v>17</v>
      </c>
      <c r="D904" s="11" t="s">
        <v>18</v>
      </c>
      <c r="E904" s="12" t="s">
        <v>94</v>
      </c>
      <c r="F904" s="12" t="s">
        <v>95</v>
      </c>
      <c r="G904" s="12" t="s">
        <v>21</v>
      </c>
      <c r="H904" s="11" t="s">
        <v>63</v>
      </c>
      <c r="I904" s="13" t="s">
        <v>2282</v>
      </c>
      <c r="J904" s="14" t="str">
        <f>HYPERLINK("https://www.boe.es/gazeta/dias/1839/02/24/pdfs/GMD-1839-1562.pdf#page=4","Abrir facsímil")</f>
        <v>Abrir facsímil</v>
      </c>
      <c r="K904" s="12" t="s">
        <v>65</v>
      </c>
    </row>
    <row r="905" spans="1:11" ht="40.049999999999997" customHeight="1" x14ac:dyDescent="0.25">
      <c r="A905" s="11" t="s">
        <v>2283</v>
      </c>
      <c r="B905" s="11" t="s">
        <v>2283</v>
      </c>
      <c r="C905" s="11" t="s">
        <v>17</v>
      </c>
      <c r="D905" s="11" t="s">
        <v>18</v>
      </c>
      <c r="E905" s="12" t="s">
        <v>544</v>
      </c>
      <c r="F905" s="12" t="s">
        <v>545</v>
      </c>
      <c r="G905" s="12" t="s">
        <v>46</v>
      </c>
      <c r="H905" s="11" t="s">
        <v>22</v>
      </c>
      <c r="I905" s="13" t="s">
        <v>2284</v>
      </c>
      <c r="J905" s="14" t="str">
        <f>HYPERLINK("https://www.boe.es/gazeta/dias/1839/11/11/pdfs/GMD-1839-1828.pdf#page=3","Abrir facsímil")</f>
        <v>Abrir facsímil</v>
      </c>
      <c r="K905" s="12" t="s">
        <v>24</v>
      </c>
    </row>
    <row r="906" spans="1:11" ht="40.049999999999997" customHeight="1" x14ac:dyDescent="0.25">
      <c r="A906" s="11" t="s">
        <v>2285</v>
      </c>
      <c r="B906" s="11" t="s">
        <v>2285</v>
      </c>
      <c r="C906" s="11" t="s">
        <v>101</v>
      </c>
      <c r="D906" s="11" t="s">
        <v>102</v>
      </c>
      <c r="E906" s="12" t="s">
        <v>1988</v>
      </c>
      <c r="F906" s="12" t="s">
        <v>1989</v>
      </c>
      <c r="G906" s="12" t="s">
        <v>40</v>
      </c>
      <c r="H906" s="11" t="s">
        <v>63</v>
      </c>
      <c r="I906" s="13" t="s">
        <v>2286</v>
      </c>
      <c r="J906" s="14" t="str">
        <f>HYPERLINK("https://www.boe.es/gazeta/dias/1839/10/29/pdfs/GMD-1839-1815.pdf#page=2","Abrir facsímil")</f>
        <v>Abrir facsímil</v>
      </c>
      <c r="K906" s="12" t="s">
        <v>65</v>
      </c>
    </row>
    <row r="907" spans="1:11" ht="40.049999999999997" customHeight="1" x14ac:dyDescent="0.25">
      <c r="A907" s="11" t="s">
        <v>2287</v>
      </c>
      <c r="B907" s="11" t="s">
        <v>2287</v>
      </c>
      <c r="C907" s="11" t="s">
        <v>17</v>
      </c>
      <c r="D907" s="11" t="s">
        <v>18</v>
      </c>
      <c r="E907" s="12" t="s">
        <v>1144</v>
      </c>
      <c r="F907" s="12" t="s">
        <v>1145</v>
      </c>
      <c r="G907" s="12" t="s">
        <v>29</v>
      </c>
      <c r="H907" s="11" t="s">
        <v>63</v>
      </c>
      <c r="I907" s="13" t="s">
        <v>2288</v>
      </c>
      <c r="J907" s="14" t="str">
        <f>HYPERLINK("https://www.boe.es/gazeta/dias/1839/08/13/pdfs/GMD-1839-1733.pdf#page=1","Abrir facsímil")</f>
        <v>Abrir facsímil</v>
      </c>
      <c r="K907" s="12" t="s">
        <v>65</v>
      </c>
    </row>
    <row r="908" spans="1:11" ht="40.049999999999997" customHeight="1" x14ac:dyDescent="0.25">
      <c r="A908" s="11" t="s">
        <v>2287</v>
      </c>
      <c r="B908" s="11" t="s">
        <v>2287</v>
      </c>
      <c r="C908" s="11" t="s">
        <v>101</v>
      </c>
      <c r="D908" s="11" t="s">
        <v>102</v>
      </c>
      <c r="E908" s="12" t="s">
        <v>1528</v>
      </c>
      <c r="F908" s="12" t="s">
        <v>1529</v>
      </c>
      <c r="G908" s="12" t="s">
        <v>40</v>
      </c>
      <c r="H908" s="11" t="s">
        <v>63</v>
      </c>
      <c r="I908" s="13" t="s">
        <v>2289</v>
      </c>
      <c r="J908" s="14" t="str">
        <f>HYPERLINK("https://www.boe.es/gazeta/dias/1839/12/15/pdfs/GMD-1839-1862.pdf#page=2","Abrir facsímil")</f>
        <v>Abrir facsímil</v>
      </c>
      <c r="K908" s="12" t="s">
        <v>65</v>
      </c>
    </row>
    <row r="909" spans="1:11" ht="40.049999999999997" customHeight="1" x14ac:dyDescent="0.25">
      <c r="A909" s="11" t="s">
        <v>2290</v>
      </c>
      <c r="B909" s="11" t="s">
        <v>2291</v>
      </c>
      <c r="C909" s="11" t="s">
        <v>80</v>
      </c>
      <c r="D909" s="11" t="s">
        <v>18</v>
      </c>
      <c r="E909" s="12" t="s">
        <v>1398</v>
      </c>
      <c r="F909" s="12" t="s">
        <v>1399</v>
      </c>
      <c r="G909" s="12" t="s">
        <v>21</v>
      </c>
      <c r="H909" s="11" t="s">
        <v>63</v>
      </c>
      <c r="I909" s="13" t="s">
        <v>2292</v>
      </c>
      <c r="J909" s="14" t="str">
        <f>HYPERLINK("https://www.boe.es/gazeta/dias/1839/05/27/pdfs/GMD-1839-1654.pdf#page=4","Abrir facsímil")</f>
        <v>Abrir facsímil</v>
      </c>
      <c r="K909" s="12" t="s">
        <v>65</v>
      </c>
    </row>
    <row r="910" spans="1:11" ht="40.049999999999997" customHeight="1" x14ac:dyDescent="0.25">
      <c r="A910" s="11" t="s">
        <v>2293</v>
      </c>
      <c r="B910" s="11" t="s">
        <v>2293</v>
      </c>
      <c r="C910" s="11" t="s">
        <v>80</v>
      </c>
      <c r="D910" s="11" t="s">
        <v>173</v>
      </c>
      <c r="E910" s="12" t="s">
        <v>420</v>
      </c>
      <c r="F910" s="12" t="s">
        <v>421</v>
      </c>
      <c r="G910" s="12" t="s">
        <v>21</v>
      </c>
      <c r="H910" s="11" t="s">
        <v>63</v>
      </c>
      <c r="I910" s="13" t="s">
        <v>2294</v>
      </c>
      <c r="J910" s="14" t="str">
        <f>HYPERLINK("https://www.boe.es/gazeta/dias/1839/03/12/pdfs/GMD-1839-1578.pdf#page=4","Abrir facsímil")</f>
        <v>Abrir facsímil</v>
      </c>
      <c r="K910" s="12" t="s">
        <v>65</v>
      </c>
    </row>
    <row r="911" spans="1:11" ht="40.049999999999997" customHeight="1" x14ac:dyDescent="0.25">
      <c r="A911" s="11" t="s">
        <v>2295</v>
      </c>
      <c r="B911" s="11" t="s">
        <v>2296</v>
      </c>
      <c r="C911" s="11" t="s">
        <v>137</v>
      </c>
      <c r="D911" s="11" t="s">
        <v>18</v>
      </c>
      <c r="E911" s="12" t="s">
        <v>420</v>
      </c>
      <c r="F911" s="12" t="s">
        <v>421</v>
      </c>
      <c r="G911" s="12" t="s">
        <v>21</v>
      </c>
      <c r="H911" s="11" t="s">
        <v>63</v>
      </c>
      <c r="I911" s="13" t="s">
        <v>2297</v>
      </c>
      <c r="J911" s="14" t="str">
        <f>HYPERLINK("https://www.boe.es/gazeta/dias/1839/03/12/pdfs/GMD-1839-1578.pdf#page=4","Abrir facsímil")</f>
        <v>Abrir facsímil</v>
      </c>
      <c r="K911" s="12" t="s">
        <v>65</v>
      </c>
    </row>
    <row r="912" spans="1:11" ht="40.049999999999997" customHeight="1" x14ac:dyDescent="0.25">
      <c r="A912" s="11" t="s">
        <v>2298</v>
      </c>
      <c r="B912" s="11" t="s">
        <v>2298</v>
      </c>
      <c r="C912" s="11" t="s">
        <v>59</v>
      </c>
      <c r="D912" s="11" t="s">
        <v>60</v>
      </c>
      <c r="E912" s="12" t="s">
        <v>68</v>
      </c>
      <c r="F912" s="12" t="s">
        <v>69</v>
      </c>
      <c r="G912" s="12" t="s">
        <v>29</v>
      </c>
      <c r="H912" s="11" t="s">
        <v>63</v>
      </c>
      <c r="I912" s="13" t="s">
        <v>2299</v>
      </c>
      <c r="J912" s="14" t="str">
        <f>HYPERLINK("https://www.boe.es/gazeta/dias/1839/02/09/pdfs/GMD-1839-1547.pdf#page=1","Abrir facsímil")</f>
        <v>Abrir facsímil</v>
      </c>
      <c r="K912" s="12" t="s">
        <v>65</v>
      </c>
    </row>
    <row r="913" spans="1:11" ht="40.049999999999997" customHeight="1" x14ac:dyDescent="0.25">
      <c r="A913" s="11" t="s">
        <v>2300</v>
      </c>
      <c r="B913" s="11" t="s">
        <v>2300</v>
      </c>
      <c r="C913" s="11" t="s">
        <v>59</v>
      </c>
      <c r="D913" s="11" t="s">
        <v>60</v>
      </c>
      <c r="E913" s="12" t="s">
        <v>2301</v>
      </c>
      <c r="F913" s="12" t="s">
        <v>2302</v>
      </c>
      <c r="G913" s="12" t="s">
        <v>40</v>
      </c>
      <c r="H913" s="11" t="s">
        <v>63</v>
      </c>
      <c r="I913" s="13" t="s">
        <v>2303</v>
      </c>
      <c r="J913" s="14" t="str">
        <f>HYPERLINK("https://www.boe.es/gazeta/dias/1839/09/08/pdfs/GMD-1839-1761.pdf#page=2","Abrir facsímil")</f>
        <v>Abrir facsímil</v>
      </c>
      <c r="K913" s="12" t="s">
        <v>65</v>
      </c>
    </row>
    <row r="914" spans="1:11" ht="40.049999999999997" customHeight="1" x14ac:dyDescent="0.25">
      <c r="A914" s="11" t="s">
        <v>2304</v>
      </c>
      <c r="B914" s="11" t="s">
        <v>2304</v>
      </c>
      <c r="C914" s="11" t="s">
        <v>17</v>
      </c>
      <c r="D914" s="11" t="s">
        <v>18</v>
      </c>
      <c r="E914" s="12" t="s">
        <v>2301</v>
      </c>
      <c r="F914" s="12" t="s">
        <v>2302</v>
      </c>
      <c r="G914" s="12" t="s">
        <v>40</v>
      </c>
      <c r="H914" s="11" t="s">
        <v>63</v>
      </c>
      <c r="I914" s="13" t="s">
        <v>2305</v>
      </c>
      <c r="J914" s="14" t="str">
        <f>HYPERLINK("https://www.boe.es/gazeta/dias/1839/09/08/pdfs/GMD-1839-1761.pdf#page=2","Abrir facsímil")</f>
        <v>Abrir facsímil</v>
      </c>
      <c r="K914" s="12" t="s">
        <v>65</v>
      </c>
    </row>
    <row r="915" spans="1:11" ht="40.049999999999997" customHeight="1" x14ac:dyDescent="0.25">
      <c r="A915" s="11" t="s">
        <v>2306</v>
      </c>
      <c r="B915" s="11" t="s">
        <v>2306</v>
      </c>
      <c r="C915" s="11" t="s">
        <v>59</v>
      </c>
      <c r="D915" s="11" t="s">
        <v>60</v>
      </c>
      <c r="E915" s="12" t="s">
        <v>611</v>
      </c>
      <c r="F915" s="12" t="s">
        <v>612</v>
      </c>
      <c r="G915" s="12" t="s">
        <v>21</v>
      </c>
      <c r="H915" s="11" t="s">
        <v>63</v>
      </c>
      <c r="I915" s="13" t="s">
        <v>2307</v>
      </c>
      <c r="J915" s="14" t="str">
        <f>HYPERLINK("https://www.boe.es/gazeta/dias/1839/07/22/pdfs/GMD-1839-1710.pdf#page=4","Abrir facsímil")</f>
        <v>Abrir facsímil</v>
      </c>
      <c r="K915" s="12" t="s">
        <v>65</v>
      </c>
    </row>
    <row r="916" spans="1:11" ht="40.049999999999997" customHeight="1" x14ac:dyDescent="0.25">
      <c r="A916" s="11" t="s">
        <v>2308</v>
      </c>
      <c r="B916" s="11" t="s">
        <v>2308</v>
      </c>
      <c r="C916" s="11" t="s">
        <v>17</v>
      </c>
      <c r="D916" s="11" t="s">
        <v>18</v>
      </c>
      <c r="E916" s="12" t="s">
        <v>1269</v>
      </c>
      <c r="F916" s="12" t="s">
        <v>1270</v>
      </c>
      <c r="G916" s="12" t="s">
        <v>21</v>
      </c>
      <c r="H916" s="11" t="s">
        <v>63</v>
      </c>
      <c r="I916" s="13" t="s">
        <v>2309</v>
      </c>
      <c r="J916" s="14" t="str">
        <f>HYPERLINK("https://www.boe.es/gazeta/dias/1839/04/29/pdfs/GMD-1839-1626.pdf#page=4","Abrir facsímil")</f>
        <v>Abrir facsímil</v>
      </c>
      <c r="K916" s="12" t="s">
        <v>65</v>
      </c>
    </row>
    <row r="917" spans="1:11" ht="40.049999999999997" customHeight="1" x14ac:dyDescent="0.25">
      <c r="A917" s="11" t="s">
        <v>2310</v>
      </c>
      <c r="B917" s="11" t="s">
        <v>2311</v>
      </c>
      <c r="C917" s="11" t="s">
        <v>17</v>
      </c>
      <c r="D917" s="11" t="s">
        <v>18</v>
      </c>
      <c r="E917" s="12" t="s">
        <v>474</v>
      </c>
      <c r="F917" s="12" t="s">
        <v>475</v>
      </c>
      <c r="G917" s="12" t="s">
        <v>21</v>
      </c>
      <c r="H917" s="11" t="s">
        <v>63</v>
      </c>
      <c r="I917" s="13" t="s">
        <v>2312</v>
      </c>
      <c r="J917" s="14" t="str">
        <f>HYPERLINK("https://www.boe.es/gazeta/dias/1839/03/31/pdfs/GMD-1839-1597.pdf#page=4","Abrir facsímil")</f>
        <v>Abrir facsímil</v>
      </c>
      <c r="K917" s="12" t="s">
        <v>65</v>
      </c>
    </row>
    <row r="918" spans="1:11" ht="40.049999999999997" customHeight="1" x14ac:dyDescent="0.25">
      <c r="A918" s="11" t="s">
        <v>2313</v>
      </c>
      <c r="B918" s="11" t="s">
        <v>2314</v>
      </c>
      <c r="C918" s="11" t="s">
        <v>80</v>
      </c>
      <c r="D918" s="11" t="s">
        <v>18</v>
      </c>
      <c r="E918" s="12" t="s">
        <v>1123</v>
      </c>
      <c r="F918" s="12" t="s">
        <v>1124</v>
      </c>
      <c r="G918" s="12" t="s">
        <v>40</v>
      </c>
      <c r="H918" s="11" t="s">
        <v>63</v>
      </c>
      <c r="I918" s="13" t="s">
        <v>2315</v>
      </c>
      <c r="J918" s="14" t="str">
        <f>HYPERLINK("https://www.boe.es/gazeta/dias/1839/08/10/pdfs/GMD-1839-1730.pdf#page=2","Abrir facsímil")</f>
        <v>Abrir facsímil</v>
      </c>
      <c r="K918" s="12" t="s">
        <v>65</v>
      </c>
    </row>
    <row r="919" spans="1:11" ht="40.049999999999997" customHeight="1" x14ac:dyDescent="0.25">
      <c r="A919" s="11" t="s">
        <v>2316</v>
      </c>
      <c r="B919" s="11" t="s">
        <v>2317</v>
      </c>
      <c r="C919" s="11" t="s">
        <v>80</v>
      </c>
      <c r="D919" s="11" t="s">
        <v>18</v>
      </c>
      <c r="E919" s="12" t="s">
        <v>1123</v>
      </c>
      <c r="F919" s="12" t="s">
        <v>1124</v>
      </c>
      <c r="G919" s="12" t="s">
        <v>29</v>
      </c>
      <c r="H919" s="11" t="s">
        <v>63</v>
      </c>
      <c r="I919" s="13" t="s">
        <v>2318</v>
      </c>
      <c r="J919" s="14" t="str">
        <f>HYPERLINK("https://www.boe.es/gazeta/dias/1839/08/10/pdfs/GMD-1839-1730.pdf#page=1","Abrir facsímil")</f>
        <v>Abrir facsímil</v>
      </c>
      <c r="K919" s="12" t="s">
        <v>65</v>
      </c>
    </row>
    <row r="920" spans="1:11" ht="40.049999999999997" customHeight="1" x14ac:dyDescent="0.25">
      <c r="A920" s="11" t="s">
        <v>2319</v>
      </c>
      <c r="B920" s="11" t="s">
        <v>2319</v>
      </c>
      <c r="C920" s="11" t="s">
        <v>17</v>
      </c>
      <c r="D920" s="11" t="s">
        <v>18</v>
      </c>
      <c r="E920" s="12" t="s">
        <v>2320</v>
      </c>
      <c r="F920" s="12" t="s">
        <v>2321</v>
      </c>
      <c r="G920" s="12" t="s">
        <v>21</v>
      </c>
      <c r="H920" s="11" t="s">
        <v>22</v>
      </c>
      <c r="I920" s="13" t="s">
        <v>2322</v>
      </c>
      <c r="J920" s="14" t="str">
        <f>HYPERLINK("https://www.boe.es/gazeta/dias/1839/11/13/pdfs/GMD-1839-1830.pdf#page=4","Abrir facsímil")</f>
        <v>Abrir facsímil</v>
      </c>
      <c r="K920" s="12" t="s">
        <v>24</v>
      </c>
    </row>
    <row r="921" spans="1:11" ht="40.049999999999997" customHeight="1" x14ac:dyDescent="0.25">
      <c r="A921" s="11" t="s">
        <v>2319</v>
      </c>
      <c r="B921" s="11" t="s">
        <v>2319</v>
      </c>
      <c r="C921" s="11" t="s">
        <v>17</v>
      </c>
      <c r="D921" s="11" t="s">
        <v>18</v>
      </c>
      <c r="E921" s="12" t="s">
        <v>243</v>
      </c>
      <c r="F921" s="12" t="s">
        <v>244</v>
      </c>
      <c r="G921" s="12" t="s">
        <v>21</v>
      </c>
      <c r="H921" s="11" t="s">
        <v>22</v>
      </c>
      <c r="I921" s="13" t="s">
        <v>2323</v>
      </c>
      <c r="J921" s="14" t="str">
        <f>HYPERLINK("https://www.boe.es/gazeta/dias/1839/09/23/pdfs/GMD-1839-1779.pdf#page=4","Abrir facsímil")</f>
        <v>Abrir facsímil</v>
      </c>
      <c r="K921" s="12" t="s">
        <v>24</v>
      </c>
    </row>
    <row r="922" spans="1:11" ht="40.049999999999997" customHeight="1" x14ac:dyDescent="0.25">
      <c r="A922" s="11" t="s">
        <v>2324</v>
      </c>
      <c r="B922" s="11" t="s">
        <v>2325</v>
      </c>
      <c r="C922" s="11" t="s">
        <v>17</v>
      </c>
      <c r="D922" s="11" t="s">
        <v>18</v>
      </c>
      <c r="E922" s="12" t="s">
        <v>2050</v>
      </c>
      <c r="F922" s="12" t="s">
        <v>2051</v>
      </c>
      <c r="G922" s="12" t="s">
        <v>40</v>
      </c>
      <c r="H922" s="11" t="s">
        <v>22</v>
      </c>
      <c r="I922" s="13" t="s">
        <v>2326</v>
      </c>
      <c r="J922" s="14" t="str">
        <f>HYPERLINK("https://www.boe.es/gazeta/dias/1839/01/09/pdfs/GMD-1839-1516.pdf#page=2","Abrir facsímil")</f>
        <v>Abrir facsímil</v>
      </c>
      <c r="K922" s="12" t="s">
        <v>24</v>
      </c>
    </row>
    <row r="923" spans="1:11" ht="40.049999999999997" customHeight="1" x14ac:dyDescent="0.25">
      <c r="A923" s="11" t="s">
        <v>2327</v>
      </c>
      <c r="B923" s="11" t="s">
        <v>2327</v>
      </c>
      <c r="C923" s="11" t="s">
        <v>59</v>
      </c>
      <c r="D923" s="11" t="s">
        <v>60</v>
      </c>
      <c r="E923" s="12" t="s">
        <v>2320</v>
      </c>
      <c r="F923" s="12" t="s">
        <v>2321</v>
      </c>
      <c r="G923" s="12" t="s">
        <v>46</v>
      </c>
      <c r="H923" s="11" t="s">
        <v>63</v>
      </c>
      <c r="I923" s="13" t="s">
        <v>2328</v>
      </c>
      <c r="J923" s="14" t="str">
        <f>HYPERLINK("https://www.boe.es/gazeta/dias/1839/11/13/pdfs/GMD-1839-1830.pdf#page=3","Abrir facsímil")</f>
        <v>Abrir facsímil</v>
      </c>
      <c r="K923" s="12" t="s">
        <v>65</v>
      </c>
    </row>
    <row r="924" spans="1:11" ht="40.049999999999997" customHeight="1" x14ac:dyDescent="0.25">
      <c r="A924" s="11" t="s">
        <v>2327</v>
      </c>
      <c r="B924" s="11" t="s">
        <v>2327</v>
      </c>
      <c r="C924" s="11" t="s">
        <v>59</v>
      </c>
      <c r="D924" s="11" t="s">
        <v>60</v>
      </c>
      <c r="E924" s="12" t="s">
        <v>834</v>
      </c>
      <c r="F924" s="12" t="s">
        <v>835</v>
      </c>
      <c r="G924" s="12" t="s">
        <v>40</v>
      </c>
      <c r="H924" s="11" t="s">
        <v>63</v>
      </c>
      <c r="I924" s="13" t="s">
        <v>2329</v>
      </c>
      <c r="J924" s="14" t="str">
        <f>HYPERLINK("https://www.boe.es/gazeta/dias/1839/08/17/pdfs/GMD-1839-1737.pdf#page=2","Abrir facsímil")</f>
        <v>Abrir facsímil</v>
      </c>
      <c r="K924" s="12" t="s">
        <v>65</v>
      </c>
    </row>
    <row r="925" spans="1:11" ht="40.049999999999997" customHeight="1" x14ac:dyDescent="0.25">
      <c r="A925" s="11" t="s">
        <v>2327</v>
      </c>
      <c r="B925" s="11" t="s">
        <v>2327</v>
      </c>
      <c r="C925" s="11" t="s">
        <v>80</v>
      </c>
      <c r="D925" s="11" t="s">
        <v>18</v>
      </c>
      <c r="E925" s="12" t="s">
        <v>1079</v>
      </c>
      <c r="F925" s="12" t="s">
        <v>1080</v>
      </c>
      <c r="G925" s="12" t="s">
        <v>21</v>
      </c>
      <c r="H925" s="11" t="s">
        <v>63</v>
      </c>
      <c r="I925" s="13" t="s">
        <v>2330</v>
      </c>
      <c r="J925" s="14" t="str">
        <f>HYPERLINK("https://www.boe.es/gazeta/dias/1839/05/24/pdfs/GMD-1839-1651.pdf#page=4","Abrir facsímil")</f>
        <v>Abrir facsímil</v>
      </c>
      <c r="K925" s="12" t="s">
        <v>65</v>
      </c>
    </row>
    <row r="926" spans="1:11" ht="40.049999999999997" customHeight="1" x14ac:dyDescent="0.25">
      <c r="A926" s="11" t="s">
        <v>2331</v>
      </c>
      <c r="B926" s="11" t="s">
        <v>2332</v>
      </c>
      <c r="C926" s="11" t="s">
        <v>59</v>
      </c>
      <c r="D926" s="11" t="s">
        <v>60</v>
      </c>
      <c r="E926" s="12" t="s">
        <v>54</v>
      </c>
      <c r="F926" s="12" t="s">
        <v>55</v>
      </c>
      <c r="G926" s="12" t="s">
        <v>40</v>
      </c>
      <c r="H926" s="11" t="s">
        <v>63</v>
      </c>
      <c r="I926" s="13" t="s">
        <v>2333</v>
      </c>
      <c r="J926" s="14" t="str">
        <f>HYPERLINK("https://www.boe.es/gazeta/dias/1839/10/05/pdfs/GMD-1839-1791.pdf#page=2","Abrir facsímil")</f>
        <v>Abrir facsímil</v>
      </c>
      <c r="K926" s="12" t="s">
        <v>65</v>
      </c>
    </row>
    <row r="927" spans="1:11" ht="40.049999999999997" customHeight="1" x14ac:dyDescent="0.25">
      <c r="A927" s="11" t="s">
        <v>2331</v>
      </c>
      <c r="B927" s="11" t="s">
        <v>2332</v>
      </c>
      <c r="C927" s="11" t="s">
        <v>101</v>
      </c>
      <c r="D927" s="11" t="s">
        <v>43</v>
      </c>
      <c r="E927" s="12" t="s">
        <v>653</v>
      </c>
      <c r="F927" s="12" t="s">
        <v>654</v>
      </c>
      <c r="G927" s="12" t="s">
        <v>46</v>
      </c>
      <c r="H927" s="11" t="s">
        <v>63</v>
      </c>
      <c r="I927" s="13" t="s">
        <v>2334</v>
      </c>
      <c r="J927" s="14" t="str">
        <f>HYPERLINK("https://www.boe.es/gazeta/dias/1839/10/31/pdfs/GMD-1839-1817.pdf#page=3","Abrir facsímil")</f>
        <v>Abrir facsímil</v>
      </c>
      <c r="K927" s="12" t="s">
        <v>65</v>
      </c>
    </row>
    <row r="928" spans="1:11" ht="40.049999999999997" customHeight="1" x14ac:dyDescent="0.25">
      <c r="A928" s="11" t="s">
        <v>2335</v>
      </c>
      <c r="B928" s="11" t="s">
        <v>2336</v>
      </c>
      <c r="C928" s="11" t="s">
        <v>17</v>
      </c>
      <c r="D928" s="11" t="s">
        <v>18</v>
      </c>
      <c r="E928" s="12" t="s">
        <v>1679</v>
      </c>
      <c r="F928" s="12" t="s">
        <v>1680</v>
      </c>
      <c r="G928" s="12" t="s">
        <v>40</v>
      </c>
      <c r="H928" s="11" t="s">
        <v>22</v>
      </c>
      <c r="I928" s="13" t="s">
        <v>2337</v>
      </c>
      <c r="J928" s="14" t="str">
        <f>HYPERLINK("https://www.boe.es/gazeta/dias/1839/01/26/pdfs/GMD-1839-1533.pdf#page=2","Abrir facsímil")</f>
        <v>Abrir facsímil</v>
      </c>
      <c r="K928" s="12" t="s">
        <v>24</v>
      </c>
    </row>
    <row r="929" spans="1:11" ht="40.049999999999997" customHeight="1" x14ac:dyDescent="0.25">
      <c r="A929" s="11" t="s">
        <v>2338</v>
      </c>
      <c r="B929" s="11" t="s">
        <v>2338</v>
      </c>
      <c r="C929" s="11" t="s">
        <v>17</v>
      </c>
      <c r="D929" s="11" t="s">
        <v>18</v>
      </c>
      <c r="E929" s="12" t="s">
        <v>276</v>
      </c>
      <c r="F929" s="12" t="s">
        <v>277</v>
      </c>
      <c r="G929" s="12" t="s">
        <v>46</v>
      </c>
      <c r="H929" s="11" t="s">
        <v>63</v>
      </c>
      <c r="I929" s="13" t="s">
        <v>2339</v>
      </c>
      <c r="J929" s="14" t="str">
        <f>HYPERLINK("https://www.boe.es/gazeta/dias/1839/09/24/pdfs/GMD-1839-1780.pdf#page=3","Abrir facsímil")</f>
        <v>Abrir facsímil</v>
      </c>
      <c r="K929" s="12" t="s">
        <v>65</v>
      </c>
    </row>
    <row r="930" spans="1:11" ht="40.049999999999997" customHeight="1" x14ac:dyDescent="0.25">
      <c r="A930" s="11" t="s">
        <v>2340</v>
      </c>
      <c r="B930" s="11" t="s">
        <v>2340</v>
      </c>
      <c r="C930" s="11" t="s">
        <v>137</v>
      </c>
      <c r="D930" s="11" t="s">
        <v>18</v>
      </c>
      <c r="E930" s="12" t="s">
        <v>185</v>
      </c>
      <c r="F930" s="12" t="s">
        <v>186</v>
      </c>
      <c r="G930" s="12" t="s">
        <v>40</v>
      </c>
      <c r="H930" s="11" t="s">
        <v>22</v>
      </c>
      <c r="I930" s="13" t="s">
        <v>2341</v>
      </c>
      <c r="J930" s="14" t="str">
        <f>HYPERLINK("https://www.boe.es/gazeta/dias/1839/01/15/pdfs/GMD-1839-1522.pdf#page=2","Abrir facsímil")</f>
        <v>Abrir facsímil</v>
      </c>
      <c r="K930" s="12" t="s">
        <v>24</v>
      </c>
    </row>
    <row r="931" spans="1:11" ht="40.049999999999997" customHeight="1" x14ac:dyDescent="0.25">
      <c r="A931" s="11" t="s">
        <v>2342</v>
      </c>
      <c r="B931" s="11" t="s">
        <v>2342</v>
      </c>
      <c r="C931" s="11" t="s">
        <v>17</v>
      </c>
      <c r="D931" s="11" t="s">
        <v>18</v>
      </c>
      <c r="E931" s="12" t="s">
        <v>1179</v>
      </c>
      <c r="F931" s="12" t="s">
        <v>1180</v>
      </c>
      <c r="G931" s="12" t="s">
        <v>566</v>
      </c>
      <c r="H931" s="11" t="s">
        <v>63</v>
      </c>
      <c r="I931" s="13" t="s">
        <v>2343</v>
      </c>
      <c r="J931" s="14" t="str">
        <f>HYPERLINK("https://www.boe.es/gazeta/dias/1839/10/18/pdfs/GMD-1839-1804.pdf#page=5","Abrir facsímil")</f>
        <v>Abrir facsímil</v>
      </c>
      <c r="K931" s="12" t="s">
        <v>65</v>
      </c>
    </row>
    <row r="932" spans="1:11" ht="40.049999999999997" customHeight="1" x14ac:dyDescent="0.25">
      <c r="A932" s="11" t="s">
        <v>2340</v>
      </c>
      <c r="B932" s="11" t="s">
        <v>2340</v>
      </c>
      <c r="C932" s="11" t="s">
        <v>17</v>
      </c>
      <c r="D932" s="11" t="s">
        <v>18</v>
      </c>
      <c r="E932" s="12" t="s">
        <v>2222</v>
      </c>
      <c r="F932" s="12" t="s">
        <v>2223</v>
      </c>
      <c r="G932" s="12" t="s">
        <v>46</v>
      </c>
      <c r="H932" s="11" t="s">
        <v>22</v>
      </c>
      <c r="I932" s="13" t="s">
        <v>2344</v>
      </c>
      <c r="J932" s="14" t="str">
        <f>HYPERLINK("https://www.boe.es/gazeta/dias/1839/09/19/pdfs/GMD-1839-1773.pdf#page=3","Abrir facsímil")</f>
        <v>Abrir facsímil</v>
      </c>
      <c r="K932" s="12" t="s">
        <v>24</v>
      </c>
    </row>
    <row r="933" spans="1:11" ht="40.049999999999997" customHeight="1" x14ac:dyDescent="0.25">
      <c r="A933" s="11" t="s">
        <v>2340</v>
      </c>
      <c r="B933" s="11" t="s">
        <v>2340</v>
      </c>
      <c r="C933" s="11" t="s">
        <v>17</v>
      </c>
      <c r="D933" s="11" t="s">
        <v>18</v>
      </c>
      <c r="E933" s="12" t="s">
        <v>1108</v>
      </c>
      <c r="F933" s="12" t="s">
        <v>1109</v>
      </c>
      <c r="G933" s="12" t="s">
        <v>21</v>
      </c>
      <c r="H933" s="11" t="s">
        <v>22</v>
      </c>
      <c r="I933" s="13" t="s">
        <v>2345</v>
      </c>
      <c r="J933" s="14" t="str">
        <f>HYPERLINK("https://www.boe.es/gazeta/dias/1839/09/21/pdfs/GMD-1839-1776.pdf#page=4","Abrir facsímil")</f>
        <v>Abrir facsímil</v>
      </c>
      <c r="K933" s="12" t="s">
        <v>24</v>
      </c>
    </row>
    <row r="934" spans="1:11" ht="40.049999999999997" customHeight="1" x14ac:dyDescent="0.25">
      <c r="A934" s="11" t="s">
        <v>2340</v>
      </c>
      <c r="B934" s="11" t="s">
        <v>2340</v>
      </c>
      <c r="C934" s="11" t="s">
        <v>17</v>
      </c>
      <c r="D934" s="11" t="s">
        <v>18</v>
      </c>
      <c r="E934" s="12" t="s">
        <v>239</v>
      </c>
      <c r="F934" s="12" t="s">
        <v>240</v>
      </c>
      <c r="G934" s="12" t="s">
        <v>40</v>
      </c>
      <c r="H934" s="11" t="s">
        <v>22</v>
      </c>
      <c r="I934" s="13" t="s">
        <v>2346</v>
      </c>
      <c r="J934" s="14" t="str">
        <f>HYPERLINK("https://www.boe.es/gazeta/dias/1839/09/22/pdfs/GMD-1839-1777.pdf#page=2","Abrir facsímil")</f>
        <v>Abrir facsímil</v>
      </c>
      <c r="K934" s="12" t="s">
        <v>24</v>
      </c>
    </row>
    <row r="935" spans="1:11" ht="40.049999999999997" customHeight="1" x14ac:dyDescent="0.25">
      <c r="A935" s="11" t="s">
        <v>2340</v>
      </c>
      <c r="B935" s="11" t="s">
        <v>2340</v>
      </c>
      <c r="C935" s="11" t="s">
        <v>17</v>
      </c>
      <c r="D935" s="11" t="s">
        <v>18</v>
      </c>
      <c r="E935" s="12" t="s">
        <v>276</v>
      </c>
      <c r="F935" s="12" t="s">
        <v>277</v>
      </c>
      <c r="G935" s="12" t="s">
        <v>46</v>
      </c>
      <c r="H935" s="11" t="s">
        <v>22</v>
      </c>
      <c r="I935" s="13" t="s">
        <v>2347</v>
      </c>
      <c r="J935" s="14" t="str">
        <f>HYPERLINK("https://www.boe.es/gazeta/dias/1839/09/24/pdfs/GMD-1839-1780.pdf#page=3","Abrir facsímil")</f>
        <v>Abrir facsímil</v>
      </c>
      <c r="K935" s="12" t="s">
        <v>24</v>
      </c>
    </row>
    <row r="936" spans="1:11" ht="40.049999999999997" customHeight="1" x14ac:dyDescent="0.25">
      <c r="A936" s="11" t="s">
        <v>2340</v>
      </c>
      <c r="B936" s="11" t="s">
        <v>2340</v>
      </c>
      <c r="C936" s="11" t="s">
        <v>17</v>
      </c>
      <c r="D936" s="11" t="s">
        <v>18</v>
      </c>
      <c r="E936" s="12" t="s">
        <v>276</v>
      </c>
      <c r="F936" s="12" t="s">
        <v>277</v>
      </c>
      <c r="G936" s="12" t="s">
        <v>21</v>
      </c>
      <c r="H936" s="11" t="s">
        <v>22</v>
      </c>
      <c r="I936" s="13" t="s">
        <v>2348</v>
      </c>
      <c r="J936" s="14" t="str">
        <f>HYPERLINK("https://www.boe.es/gazeta/dias/1839/09/24/pdfs/GMD-1839-1780.pdf#page=4","Abrir facsímil")</f>
        <v>Abrir facsímil</v>
      </c>
      <c r="K936" s="12" t="s">
        <v>24</v>
      </c>
    </row>
    <row r="937" spans="1:11" ht="40.049999999999997" customHeight="1" x14ac:dyDescent="0.25">
      <c r="A937" s="11" t="s">
        <v>2340</v>
      </c>
      <c r="B937" s="11" t="s">
        <v>2340</v>
      </c>
      <c r="C937" s="11" t="s">
        <v>101</v>
      </c>
      <c r="D937" s="11" t="s">
        <v>43</v>
      </c>
      <c r="E937" s="12" t="s">
        <v>2349</v>
      </c>
      <c r="F937" s="12" t="s">
        <v>2350</v>
      </c>
      <c r="G937" s="12" t="s">
        <v>46</v>
      </c>
      <c r="H937" s="11" t="s">
        <v>22</v>
      </c>
      <c r="I937" s="13" t="s">
        <v>2351</v>
      </c>
      <c r="J937" s="14" t="str">
        <f>HYPERLINK("https://www.boe.es/gazeta/dias/1839/09/29/pdfs/GMD-1839-1785.pdf#page=3","Abrir facsímil")</f>
        <v>Abrir facsímil</v>
      </c>
      <c r="K937" s="12" t="s">
        <v>24</v>
      </c>
    </row>
    <row r="938" spans="1:11" ht="40.049999999999997" customHeight="1" x14ac:dyDescent="0.25">
      <c r="A938" s="11" t="s">
        <v>2352</v>
      </c>
      <c r="B938" s="11" t="s">
        <v>2353</v>
      </c>
      <c r="C938" s="11" t="s">
        <v>17</v>
      </c>
      <c r="D938" s="11" t="s">
        <v>18</v>
      </c>
      <c r="E938" s="12" t="s">
        <v>474</v>
      </c>
      <c r="F938" s="12" t="s">
        <v>475</v>
      </c>
      <c r="G938" s="12" t="s">
        <v>21</v>
      </c>
      <c r="H938" s="11" t="s">
        <v>63</v>
      </c>
      <c r="I938" s="13" t="s">
        <v>2354</v>
      </c>
      <c r="J938" s="14" t="str">
        <f>HYPERLINK("https://www.boe.es/gazeta/dias/1839/03/31/pdfs/GMD-1839-1597.pdf#page=4","Abrir facsímil")</f>
        <v>Abrir facsímil</v>
      </c>
      <c r="K938" s="12" t="s">
        <v>65</v>
      </c>
    </row>
    <row r="939" spans="1:11" ht="40.049999999999997" customHeight="1" x14ac:dyDescent="0.25">
      <c r="A939" s="11" t="s">
        <v>2355</v>
      </c>
      <c r="B939" s="11" t="s">
        <v>2355</v>
      </c>
      <c r="C939" s="11" t="s">
        <v>101</v>
      </c>
      <c r="D939" s="11" t="s">
        <v>43</v>
      </c>
      <c r="E939" s="12" t="s">
        <v>49</v>
      </c>
      <c r="F939" s="12" t="s">
        <v>50</v>
      </c>
      <c r="G939" s="12" t="s">
        <v>46</v>
      </c>
      <c r="H939" s="11" t="s">
        <v>22</v>
      </c>
      <c r="I939" s="13" t="s">
        <v>2356</v>
      </c>
      <c r="J939" s="14" t="str">
        <f>HYPERLINK("https://www.boe.es/gazeta/dias/1839/01/05/pdfs/GMD-1839-1512.pdf#page=3","Abrir facsímil")</f>
        <v>Abrir facsímil</v>
      </c>
      <c r="K939" s="12" t="s">
        <v>24</v>
      </c>
    </row>
    <row r="940" spans="1:11" ht="40.049999999999997" customHeight="1" x14ac:dyDescent="0.25">
      <c r="A940" s="11" t="s">
        <v>2355</v>
      </c>
      <c r="B940" s="11" t="s">
        <v>2355</v>
      </c>
      <c r="C940" s="11" t="s">
        <v>17</v>
      </c>
      <c r="D940" s="11" t="s">
        <v>18</v>
      </c>
      <c r="E940" s="12" t="s">
        <v>1179</v>
      </c>
      <c r="F940" s="12" t="s">
        <v>1180</v>
      </c>
      <c r="G940" s="12" t="s">
        <v>566</v>
      </c>
      <c r="H940" s="11" t="s">
        <v>22</v>
      </c>
      <c r="I940" s="13" t="s">
        <v>2357</v>
      </c>
      <c r="J940" s="14" t="str">
        <f>HYPERLINK("https://www.boe.es/gazeta/dias/1839/10/18/pdfs/GMD-1839-1804.pdf#page=5","Abrir facsímil")</f>
        <v>Abrir facsímil</v>
      </c>
      <c r="K940" s="12" t="s">
        <v>24</v>
      </c>
    </row>
    <row r="941" spans="1:11" ht="40.049999999999997" customHeight="1" x14ac:dyDescent="0.25">
      <c r="A941" s="11" t="s">
        <v>2358</v>
      </c>
      <c r="B941" s="11" t="s">
        <v>2358</v>
      </c>
      <c r="C941" s="11" t="s">
        <v>17</v>
      </c>
      <c r="D941" s="11" t="s">
        <v>18</v>
      </c>
      <c r="E941" s="12" t="s">
        <v>108</v>
      </c>
      <c r="F941" s="12" t="s">
        <v>109</v>
      </c>
      <c r="G941" s="12" t="s">
        <v>21</v>
      </c>
      <c r="H941" s="11" t="s">
        <v>63</v>
      </c>
      <c r="I941" s="13" t="s">
        <v>2359</v>
      </c>
      <c r="J941" s="14" t="str">
        <f>HYPERLINK("https://www.boe.es/gazeta/dias/1839/01/04/pdfs/GMD-1839-1511.pdf#page=4","Abrir facsímil")</f>
        <v>Abrir facsímil</v>
      </c>
      <c r="K941" s="12" t="s">
        <v>65</v>
      </c>
    </row>
    <row r="942" spans="1:11" ht="40.049999999999997" customHeight="1" x14ac:dyDescent="0.25">
      <c r="A942" s="11" t="s">
        <v>2360</v>
      </c>
      <c r="B942" s="11" t="s">
        <v>2360</v>
      </c>
      <c r="C942" s="11" t="s">
        <v>101</v>
      </c>
      <c r="D942" s="11" t="s">
        <v>43</v>
      </c>
      <c r="E942" s="12" t="s">
        <v>336</v>
      </c>
      <c r="F942" s="12" t="s">
        <v>337</v>
      </c>
      <c r="G942" s="12" t="s">
        <v>46</v>
      </c>
      <c r="H942" s="11" t="s">
        <v>63</v>
      </c>
      <c r="I942" s="13" t="s">
        <v>2361</v>
      </c>
      <c r="J942" s="14" t="str">
        <f>HYPERLINK("https://www.boe.es/gazeta/dias/1839/07/14/pdfs/GMD-1839-1702.pdf#page=3","Abrir facsímil")</f>
        <v>Abrir facsímil</v>
      </c>
      <c r="K942" s="12" t="s">
        <v>65</v>
      </c>
    </row>
    <row r="943" spans="1:11" ht="40.049999999999997" customHeight="1" x14ac:dyDescent="0.25">
      <c r="A943" s="11" t="s">
        <v>2362</v>
      </c>
      <c r="B943" s="11" t="s">
        <v>2363</v>
      </c>
      <c r="C943" s="11" t="s">
        <v>17</v>
      </c>
      <c r="D943" s="11" t="s">
        <v>43</v>
      </c>
      <c r="E943" s="12" t="s">
        <v>2301</v>
      </c>
      <c r="F943" s="12" t="s">
        <v>2302</v>
      </c>
      <c r="G943" s="12" t="s">
        <v>40</v>
      </c>
      <c r="H943" s="11" t="s">
        <v>63</v>
      </c>
      <c r="I943" s="13" t="s">
        <v>2364</v>
      </c>
      <c r="J943" s="14" t="str">
        <f>HYPERLINK("https://www.boe.es/gazeta/dias/1839/09/08/pdfs/GMD-1839-1761.pdf#page=2","Abrir facsímil")</f>
        <v>Abrir facsímil</v>
      </c>
      <c r="K943" s="12" t="s">
        <v>65</v>
      </c>
    </row>
    <row r="944" spans="1:11" ht="40.049999999999997" customHeight="1" x14ac:dyDescent="0.25">
      <c r="A944" s="11" t="s">
        <v>2365</v>
      </c>
      <c r="B944" s="11" t="s">
        <v>2365</v>
      </c>
      <c r="C944" s="11" t="s">
        <v>17</v>
      </c>
      <c r="D944" s="11" t="s">
        <v>18</v>
      </c>
      <c r="E944" s="12" t="s">
        <v>474</v>
      </c>
      <c r="F944" s="12" t="s">
        <v>475</v>
      </c>
      <c r="G944" s="12" t="s">
        <v>46</v>
      </c>
      <c r="H944" s="11" t="s">
        <v>63</v>
      </c>
      <c r="I944" s="13" t="s">
        <v>2366</v>
      </c>
      <c r="J944" s="14" t="str">
        <f>HYPERLINK("https://www.boe.es/gazeta/dias/1839/03/31/pdfs/GMD-1839-1597.pdf#page=3","Abrir facsímil")</f>
        <v>Abrir facsímil</v>
      </c>
      <c r="K944" s="12" t="s">
        <v>65</v>
      </c>
    </row>
    <row r="945" spans="1:11" ht="40.049999999999997" customHeight="1" x14ac:dyDescent="0.25">
      <c r="A945" s="11" t="s">
        <v>2367</v>
      </c>
      <c r="B945" s="11" t="s">
        <v>2367</v>
      </c>
      <c r="C945" s="11" t="s">
        <v>80</v>
      </c>
      <c r="D945" s="11" t="s">
        <v>18</v>
      </c>
      <c r="E945" s="12" t="s">
        <v>1136</v>
      </c>
      <c r="F945" s="12" t="s">
        <v>1137</v>
      </c>
      <c r="G945" s="12" t="s">
        <v>21</v>
      </c>
      <c r="H945" s="11" t="s">
        <v>63</v>
      </c>
      <c r="I945" s="13" t="s">
        <v>2368</v>
      </c>
      <c r="J945" s="14" t="str">
        <f>HYPERLINK("https://www.boe.es/gazeta/dias/1839/04/03/pdfs/GMD-1839-1600.pdf#page=4","Abrir facsímil")</f>
        <v>Abrir facsímil</v>
      </c>
      <c r="K945" s="12" t="s">
        <v>65</v>
      </c>
    </row>
    <row r="946" spans="1:11" ht="40.049999999999997" customHeight="1" x14ac:dyDescent="0.25">
      <c r="A946" s="11" t="s">
        <v>2369</v>
      </c>
      <c r="B946" s="11" t="s">
        <v>2369</v>
      </c>
      <c r="C946" s="11" t="s">
        <v>17</v>
      </c>
      <c r="D946" s="11" t="s">
        <v>18</v>
      </c>
      <c r="E946" s="12" t="s">
        <v>226</v>
      </c>
      <c r="F946" s="12" t="s">
        <v>227</v>
      </c>
      <c r="G946" s="12" t="s">
        <v>21</v>
      </c>
      <c r="H946" s="11" t="s">
        <v>63</v>
      </c>
      <c r="I946" s="13" t="s">
        <v>2370</v>
      </c>
      <c r="J946" s="14" t="str">
        <f>HYPERLINK("https://www.boe.es/gazeta/dias/1839/06/09/pdfs/GMD-1839-1667.pdf#page=4","Abrir facsímil")</f>
        <v>Abrir facsímil</v>
      </c>
      <c r="K946" s="12" t="s">
        <v>65</v>
      </c>
    </row>
    <row r="947" spans="1:11" ht="40.049999999999997" customHeight="1" x14ac:dyDescent="0.25">
      <c r="A947" s="11" t="s">
        <v>2369</v>
      </c>
      <c r="B947" s="11" t="s">
        <v>2369</v>
      </c>
      <c r="C947" s="11" t="s">
        <v>80</v>
      </c>
      <c r="D947" s="11" t="s">
        <v>18</v>
      </c>
      <c r="E947" s="12" t="s">
        <v>984</v>
      </c>
      <c r="F947" s="12" t="s">
        <v>985</v>
      </c>
      <c r="G947" s="12" t="s">
        <v>46</v>
      </c>
      <c r="H947" s="11" t="s">
        <v>63</v>
      </c>
      <c r="I947" s="13" t="s">
        <v>2371</v>
      </c>
      <c r="J947" s="14" t="str">
        <f>HYPERLINK("https://www.boe.es/gazeta/dias/1839/04/10/pdfs/GMD-1839-1607.pdf#page=3","Abrir facsímil")</f>
        <v>Abrir facsímil</v>
      </c>
      <c r="K947" s="12" t="s">
        <v>65</v>
      </c>
    </row>
    <row r="948" spans="1:11" ht="40.049999999999997" customHeight="1" x14ac:dyDescent="0.25">
      <c r="A948" s="11" t="s">
        <v>2369</v>
      </c>
      <c r="B948" s="11" t="s">
        <v>2369</v>
      </c>
      <c r="C948" s="11" t="s">
        <v>17</v>
      </c>
      <c r="D948" s="11" t="s">
        <v>18</v>
      </c>
      <c r="E948" s="12" t="s">
        <v>84</v>
      </c>
      <c r="F948" s="12" t="s">
        <v>85</v>
      </c>
      <c r="G948" s="12" t="s">
        <v>21</v>
      </c>
      <c r="H948" s="11" t="s">
        <v>63</v>
      </c>
      <c r="I948" s="13" t="s">
        <v>2372</v>
      </c>
      <c r="J948" s="14" t="str">
        <f>HYPERLINK("https://www.boe.es/gazeta/dias/1839/03/11/pdfs/GMD-1839-1577.pdf#page=4","Abrir facsímil")</f>
        <v>Abrir facsímil</v>
      </c>
      <c r="K948" s="12" t="s">
        <v>65</v>
      </c>
    </row>
    <row r="949" spans="1:11" ht="40.049999999999997" customHeight="1" x14ac:dyDescent="0.25">
      <c r="A949" s="11" t="s">
        <v>2369</v>
      </c>
      <c r="B949" s="11" t="s">
        <v>2369</v>
      </c>
      <c r="C949" s="11" t="s">
        <v>101</v>
      </c>
      <c r="D949" s="11" t="s">
        <v>43</v>
      </c>
      <c r="E949" s="12" t="s">
        <v>2270</v>
      </c>
      <c r="F949" s="12" t="s">
        <v>2271</v>
      </c>
      <c r="G949" s="12" t="s">
        <v>29</v>
      </c>
      <c r="H949" s="11" t="s">
        <v>63</v>
      </c>
      <c r="I949" s="13" t="s">
        <v>2373</v>
      </c>
      <c r="J949" s="14" t="str">
        <f>HYPERLINK("https://www.boe.es/gazeta/dias/1839/06/13/pdfs/GMD-1839-1671.pdf#page=1","Abrir facsímil")</f>
        <v>Abrir facsímil</v>
      </c>
      <c r="K949" s="12" t="s">
        <v>65</v>
      </c>
    </row>
    <row r="950" spans="1:11" ht="40.049999999999997" customHeight="1" x14ac:dyDescent="0.25">
      <c r="A950" s="11" t="s">
        <v>2369</v>
      </c>
      <c r="B950" s="11" t="s">
        <v>2369</v>
      </c>
      <c r="C950" s="11" t="s">
        <v>59</v>
      </c>
      <c r="D950" s="11" t="s">
        <v>60</v>
      </c>
      <c r="E950" s="12" t="s">
        <v>2374</v>
      </c>
      <c r="F950" s="12" t="s">
        <v>2375</v>
      </c>
      <c r="G950" s="12" t="s">
        <v>46</v>
      </c>
      <c r="H950" s="11" t="s">
        <v>63</v>
      </c>
      <c r="I950" s="13" t="s">
        <v>2376</v>
      </c>
      <c r="J950" s="14" t="str">
        <f>HYPERLINK("https://www.boe.es/gazeta/dias/1839/06/14/pdfs/GMD-1839-1672.pdf#page=3","Abrir facsímil")</f>
        <v>Abrir facsímil</v>
      </c>
      <c r="K950" s="12" t="s">
        <v>65</v>
      </c>
    </row>
    <row r="951" spans="1:11" ht="40.049999999999997" customHeight="1" x14ac:dyDescent="0.25">
      <c r="A951" s="11" t="s">
        <v>2369</v>
      </c>
      <c r="B951" s="11" t="s">
        <v>2369</v>
      </c>
      <c r="C951" s="11" t="s">
        <v>59</v>
      </c>
      <c r="D951" s="11" t="s">
        <v>60</v>
      </c>
      <c r="E951" s="12" t="s">
        <v>643</v>
      </c>
      <c r="F951" s="12" t="s">
        <v>644</v>
      </c>
      <c r="G951" s="12" t="s">
        <v>21</v>
      </c>
      <c r="H951" s="11" t="s">
        <v>63</v>
      </c>
      <c r="I951" s="13" t="s">
        <v>2377</v>
      </c>
      <c r="J951" s="14" t="str">
        <f>HYPERLINK("https://www.boe.es/gazeta/dias/1839/03/20/pdfs/GMD-1839-1586.pdf#page=4","Abrir facsímil")</f>
        <v>Abrir facsímil</v>
      </c>
      <c r="K951" s="12" t="s">
        <v>65</v>
      </c>
    </row>
    <row r="952" spans="1:11" ht="40.049999999999997" customHeight="1" x14ac:dyDescent="0.25">
      <c r="A952" s="11" t="s">
        <v>2369</v>
      </c>
      <c r="B952" s="11" t="s">
        <v>2369</v>
      </c>
      <c r="C952" s="11" t="s">
        <v>80</v>
      </c>
      <c r="D952" s="11" t="s">
        <v>18</v>
      </c>
      <c r="E952" s="12" t="s">
        <v>2378</v>
      </c>
      <c r="F952" s="12" t="s">
        <v>2379</v>
      </c>
      <c r="G952" s="12" t="s">
        <v>21</v>
      </c>
      <c r="H952" s="11" t="s">
        <v>63</v>
      </c>
      <c r="I952" s="13" t="s">
        <v>2380</v>
      </c>
      <c r="J952" s="14" t="str">
        <f>HYPERLINK("https://www.boe.es/gazeta/dias/1839/06/20/pdfs/GMD-1839-1678.pdf#page=4","Abrir facsímil")</f>
        <v>Abrir facsímil</v>
      </c>
      <c r="K952" s="12" t="s">
        <v>65</v>
      </c>
    </row>
    <row r="953" spans="1:11" ht="40.049999999999997" customHeight="1" x14ac:dyDescent="0.25">
      <c r="A953" s="11" t="s">
        <v>2369</v>
      </c>
      <c r="B953" s="11" t="s">
        <v>2369</v>
      </c>
      <c r="C953" s="11" t="s">
        <v>17</v>
      </c>
      <c r="D953" s="11" t="s">
        <v>18</v>
      </c>
      <c r="E953" s="12" t="s">
        <v>2117</v>
      </c>
      <c r="F953" s="12" t="s">
        <v>2118</v>
      </c>
      <c r="G953" s="12" t="s">
        <v>21</v>
      </c>
      <c r="H953" s="11" t="s">
        <v>63</v>
      </c>
      <c r="I953" s="13" t="s">
        <v>2381</v>
      </c>
      <c r="J953" s="14" t="str">
        <f>HYPERLINK("https://www.boe.es/gazeta/dias/1839/06/23/pdfs/GMD-1839-1681.pdf#page=4","Abrir facsímil")</f>
        <v>Abrir facsímil</v>
      </c>
      <c r="K953" s="12" t="s">
        <v>65</v>
      </c>
    </row>
    <row r="954" spans="1:11" ht="40.049999999999997" customHeight="1" x14ac:dyDescent="0.25">
      <c r="A954" s="11" t="s">
        <v>2369</v>
      </c>
      <c r="B954" s="11" t="s">
        <v>2369</v>
      </c>
      <c r="C954" s="11" t="s">
        <v>59</v>
      </c>
      <c r="D954" s="11" t="s">
        <v>60</v>
      </c>
      <c r="E954" s="12" t="s">
        <v>1398</v>
      </c>
      <c r="F954" s="12" t="s">
        <v>1399</v>
      </c>
      <c r="G954" s="12" t="s">
        <v>40</v>
      </c>
      <c r="H954" s="11" t="s">
        <v>63</v>
      </c>
      <c r="I954" s="13" t="s">
        <v>2382</v>
      </c>
      <c r="J954" s="14" t="str">
        <f>HYPERLINK("https://www.boe.es/gazeta/dias/1839/05/27/pdfs/GMD-1839-1654.pdf#page=2","Abrir facsímil")</f>
        <v>Abrir facsímil</v>
      </c>
      <c r="K954" s="12" t="s">
        <v>65</v>
      </c>
    </row>
    <row r="955" spans="1:11" ht="40.049999999999997" customHeight="1" x14ac:dyDescent="0.25">
      <c r="A955" s="11" t="s">
        <v>2369</v>
      </c>
      <c r="B955" s="11" t="s">
        <v>2369</v>
      </c>
      <c r="C955" s="11" t="s">
        <v>80</v>
      </c>
      <c r="D955" s="11" t="s">
        <v>18</v>
      </c>
      <c r="E955" s="12" t="s">
        <v>668</v>
      </c>
      <c r="F955" s="12" t="s">
        <v>669</v>
      </c>
      <c r="G955" s="12" t="s">
        <v>21</v>
      </c>
      <c r="H955" s="11" t="s">
        <v>63</v>
      </c>
      <c r="I955" s="13" t="s">
        <v>2383</v>
      </c>
      <c r="J955" s="14" t="str">
        <f>HYPERLINK("https://www.boe.es/gazeta/dias/1839/03/28/pdfs/GMD-1839-1594.pdf#page=4","Abrir facsímil")</f>
        <v>Abrir facsímil</v>
      </c>
      <c r="K955" s="12" t="s">
        <v>65</v>
      </c>
    </row>
    <row r="956" spans="1:11" ht="40.049999999999997" customHeight="1" x14ac:dyDescent="0.25">
      <c r="A956" s="11" t="s">
        <v>2369</v>
      </c>
      <c r="B956" s="11" t="s">
        <v>2369</v>
      </c>
      <c r="C956" s="11" t="s">
        <v>17</v>
      </c>
      <c r="D956" s="11" t="s">
        <v>18</v>
      </c>
      <c r="E956" s="12" t="s">
        <v>474</v>
      </c>
      <c r="F956" s="12" t="s">
        <v>475</v>
      </c>
      <c r="G956" s="12" t="s">
        <v>46</v>
      </c>
      <c r="H956" s="11" t="s">
        <v>63</v>
      </c>
      <c r="I956" s="13" t="s">
        <v>2384</v>
      </c>
      <c r="J956" s="14" t="str">
        <f>HYPERLINK("https://www.boe.es/gazeta/dias/1839/03/31/pdfs/GMD-1839-1597.pdf#page=3","Abrir facsímil")</f>
        <v>Abrir facsímil</v>
      </c>
      <c r="K956" s="12" t="s">
        <v>65</v>
      </c>
    </row>
    <row r="957" spans="1:11" ht="40.049999999999997" customHeight="1" x14ac:dyDescent="0.25">
      <c r="A957" s="11" t="s">
        <v>2385</v>
      </c>
      <c r="B957" s="11" t="s">
        <v>2386</v>
      </c>
      <c r="C957" s="11" t="s">
        <v>59</v>
      </c>
      <c r="D957" s="11" t="s">
        <v>60</v>
      </c>
      <c r="E957" s="12" t="s">
        <v>668</v>
      </c>
      <c r="F957" s="12" t="s">
        <v>669</v>
      </c>
      <c r="G957" s="12" t="s">
        <v>29</v>
      </c>
      <c r="H957" s="11" t="s">
        <v>63</v>
      </c>
      <c r="I957" s="13" t="s">
        <v>2387</v>
      </c>
      <c r="J957" s="14" t="str">
        <f>HYPERLINK("https://www.boe.es/gazeta/dias/1839/03/28/pdfs/GMD-1839-1594.pdf#page=1","Abrir facsímil")</f>
        <v>Abrir facsímil</v>
      </c>
      <c r="K957" s="12" t="s">
        <v>65</v>
      </c>
    </row>
    <row r="958" spans="1:11" ht="40.049999999999997" customHeight="1" x14ac:dyDescent="0.25">
      <c r="A958" s="11" t="s">
        <v>2388</v>
      </c>
      <c r="B958" s="11" t="s">
        <v>2389</v>
      </c>
      <c r="C958" s="11" t="s">
        <v>80</v>
      </c>
      <c r="D958" s="11" t="s">
        <v>18</v>
      </c>
      <c r="E958" s="12" t="s">
        <v>1252</v>
      </c>
      <c r="F958" s="12" t="s">
        <v>1253</v>
      </c>
      <c r="G958" s="12" t="s">
        <v>46</v>
      </c>
      <c r="H958" s="11" t="s">
        <v>63</v>
      </c>
      <c r="I958" s="13" t="s">
        <v>2390</v>
      </c>
      <c r="J958" s="14" t="str">
        <f>HYPERLINK("https://www.boe.es/gazeta/dias/1839/06/15/pdfs/GMD-1839-1673.pdf#page=3","Abrir facsímil")</f>
        <v>Abrir facsímil</v>
      </c>
      <c r="K958" s="12" t="s">
        <v>65</v>
      </c>
    </row>
    <row r="959" spans="1:11" ht="40.049999999999997" customHeight="1" x14ac:dyDescent="0.25">
      <c r="A959" s="11" t="s">
        <v>2391</v>
      </c>
      <c r="B959" s="11" t="s">
        <v>2391</v>
      </c>
      <c r="C959" s="11" t="s">
        <v>59</v>
      </c>
      <c r="D959" s="11" t="s">
        <v>60</v>
      </c>
      <c r="E959" s="12" t="s">
        <v>2392</v>
      </c>
      <c r="F959" s="12" t="s">
        <v>2393</v>
      </c>
      <c r="G959" s="12" t="s">
        <v>40</v>
      </c>
      <c r="H959" s="11" t="s">
        <v>22</v>
      </c>
      <c r="I959" s="13" t="s">
        <v>2394</v>
      </c>
      <c r="J959" s="14" t="str">
        <f>HYPERLINK("https://www.boe.es/gazeta/dias/1839/05/21/pdfs/GMD-1839-1648.pdf#page=2","Abrir facsímil")</f>
        <v>Abrir facsímil</v>
      </c>
      <c r="K959" s="12" t="s">
        <v>24</v>
      </c>
    </row>
    <row r="960" spans="1:11" ht="40.049999999999997" customHeight="1" x14ac:dyDescent="0.25">
      <c r="A960" s="11" t="s">
        <v>2395</v>
      </c>
      <c r="B960" s="11" t="s">
        <v>2395</v>
      </c>
      <c r="C960" s="11" t="s">
        <v>17</v>
      </c>
      <c r="D960" s="11" t="s">
        <v>18</v>
      </c>
      <c r="E960" s="12" t="s">
        <v>157</v>
      </c>
      <c r="F960" s="12" t="s">
        <v>158</v>
      </c>
      <c r="G960" s="12" t="s">
        <v>21</v>
      </c>
      <c r="H960" s="11" t="s">
        <v>63</v>
      </c>
      <c r="I960" s="13" t="s">
        <v>2396</v>
      </c>
      <c r="J960" s="14" t="str">
        <f>HYPERLINK("https://www.boe.es/gazeta/dias/1839/02/08/pdfs/GMD-1839-1546.pdf#page=4","Abrir facsímil")</f>
        <v>Abrir facsímil</v>
      </c>
      <c r="K960" s="12" t="s">
        <v>65</v>
      </c>
    </row>
    <row r="961" spans="1:11" ht="40.049999999999997" customHeight="1" x14ac:dyDescent="0.25">
      <c r="A961" s="11" t="s">
        <v>2397</v>
      </c>
      <c r="B961" s="11" t="s">
        <v>2397</v>
      </c>
      <c r="C961" s="11" t="s">
        <v>17</v>
      </c>
      <c r="D961" s="11" t="s">
        <v>18</v>
      </c>
      <c r="E961" s="12" t="s">
        <v>212</v>
      </c>
      <c r="F961" s="12" t="s">
        <v>213</v>
      </c>
      <c r="G961" s="12" t="s">
        <v>21</v>
      </c>
      <c r="H961" s="11" t="s">
        <v>63</v>
      </c>
      <c r="I961" s="13" t="s">
        <v>2398</v>
      </c>
      <c r="J961" s="14" t="str">
        <f>HYPERLINK("https://www.boe.es/gazeta/dias/1839/10/03/pdfs/GMD-1839-1789.pdf#page=4","Abrir facsímil")</f>
        <v>Abrir facsímil</v>
      </c>
      <c r="K961" s="12" t="s">
        <v>65</v>
      </c>
    </row>
    <row r="962" spans="1:11" ht="40.049999999999997" customHeight="1" x14ac:dyDescent="0.25">
      <c r="A962" s="11" t="s">
        <v>2399</v>
      </c>
      <c r="B962" s="11" t="s">
        <v>2399</v>
      </c>
      <c r="C962" s="11" t="s">
        <v>17</v>
      </c>
      <c r="D962" s="11" t="s">
        <v>18</v>
      </c>
      <c r="E962" s="12" t="s">
        <v>1236</v>
      </c>
      <c r="F962" s="12" t="s">
        <v>1237</v>
      </c>
      <c r="G962" s="12" t="s">
        <v>40</v>
      </c>
      <c r="H962" s="11" t="s">
        <v>22</v>
      </c>
      <c r="I962" s="13" t="s">
        <v>2400</v>
      </c>
      <c r="J962" s="14" t="str">
        <f>HYPERLINK("https://www.boe.es/gazeta/dias/1839/10/16/pdfs/GMD-1839-1802.pdf#page=2","Abrir facsímil")</f>
        <v>Abrir facsímil</v>
      </c>
      <c r="K962" s="12" t="s">
        <v>24</v>
      </c>
    </row>
    <row r="963" spans="1:11" ht="40.049999999999997" customHeight="1" x14ac:dyDescent="0.25">
      <c r="A963" s="11" t="s">
        <v>2397</v>
      </c>
      <c r="B963" s="11" t="s">
        <v>2397</v>
      </c>
      <c r="C963" s="11" t="s">
        <v>101</v>
      </c>
      <c r="D963" s="11" t="s">
        <v>43</v>
      </c>
      <c r="E963" s="12" t="s">
        <v>1179</v>
      </c>
      <c r="F963" s="12" t="s">
        <v>1180</v>
      </c>
      <c r="G963" s="12" t="s">
        <v>21</v>
      </c>
      <c r="H963" s="11" t="s">
        <v>63</v>
      </c>
      <c r="I963" s="13" t="s">
        <v>2401</v>
      </c>
      <c r="J963" s="14" t="str">
        <f>HYPERLINK("https://www.boe.es/gazeta/dias/1839/10/18/pdfs/GMD-1839-1804.pdf#page=4","Abrir facsímil")</f>
        <v>Abrir facsímil</v>
      </c>
      <c r="K963" s="12" t="s">
        <v>65</v>
      </c>
    </row>
    <row r="964" spans="1:11" ht="40.049999999999997" customHeight="1" x14ac:dyDescent="0.25">
      <c r="A964" s="11" t="s">
        <v>2397</v>
      </c>
      <c r="B964" s="11" t="s">
        <v>2397</v>
      </c>
      <c r="C964" s="11" t="s">
        <v>59</v>
      </c>
      <c r="D964" s="11" t="s">
        <v>60</v>
      </c>
      <c r="E964" s="12" t="s">
        <v>2069</v>
      </c>
      <c r="F964" s="12" t="s">
        <v>2070</v>
      </c>
      <c r="G964" s="12" t="s">
        <v>305</v>
      </c>
      <c r="H964" s="11" t="s">
        <v>63</v>
      </c>
      <c r="I964" s="13" t="s">
        <v>2402</v>
      </c>
      <c r="J964" s="14" t="str">
        <f>HYPERLINK("https://www.boe.es/gazeta/dias/1839/10/20/pdfs/GMD-1839-1806.pdf#page=6","Abrir facsímil")</f>
        <v>Abrir facsímil</v>
      </c>
      <c r="K964" s="12" t="s">
        <v>65</v>
      </c>
    </row>
    <row r="965" spans="1:11" ht="40.049999999999997" customHeight="1" x14ac:dyDescent="0.25">
      <c r="A965" s="11" t="s">
        <v>2397</v>
      </c>
      <c r="B965" s="11" t="s">
        <v>2397</v>
      </c>
      <c r="C965" s="11" t="s">
        <v>17</v>
      </c>
      <c r="D965" s="11" t="s">
        <v>18</v>
      </c>
      <c r="E965" s="12" t="s">
        <v>276</v>
      </c>
      <c r="F965" s="12" t="s">
        <v>277</v>
      </c>
      <c r="G965" s="12" t="s">
        <v>21</v>
      </c>
      <c r="H965" s="11" t="s">
        <v>63</v>
      </c>
      <c r="I965" s="13" t="s">
        <v>2403</v>
      </c>
      <c r="J965" s="14" t="str">
        <f>HYPERLINK("https://www.boe.es/gazeta/dias/1839/09/24/pdfs/GMD-1839-1780.pdf#page=4","Abrir facsímil")</f>
        <v>Abrir facsímil</v>
      </c>
      <c r="K965" s="12" t="s">
        <v>65</v>
      </c>
    </row>
    <row r="966" spans="1:11" ht="40.049999999999997" customHeight="1" x14ac:dyDescent="0.25">
      <c r="A966" s="11" t="s">
        <v>2404</v>
      </c>
      <c r="B966" s="11" t="s">
        <v>2405</v>
      </c>
      <c r="C966" s="11" t="s">
        <v>17</v>
      </c>
      <c r="D966" s="11" t="s">
        <v>18</v>
      </c>
      <c r="E966" s="12" t="s">
        <v>844</v>
      </c>
      <c r="F966" s="12" t="s">
        <v>845</v>
      </c>
      <c r="G966" s="12" t="s">
        <v>21</v>
      </c>
      <c r="H966" s="11" t="s">
        <v>63</v>
      </c>
      <c r="I966" s="13" t="s">
        <v>2406</v>
      </c>
      <c r="J966" s="14" t="str">
        <f>HYPERLINK("https://www.boe.es/gazeta/dias/1839/12/24/pdfs/GMD-1839-1871.pdf#page=4","Abrir facsímil")</f>
        <v>Abrir facsímil</v>
      </c>
      <c r="K966" s="12" t="s">
        <v>65</v>
      </c>
    </row>
    <row r="967" spans="1:11" ht="40.049999999999997" customHeight="1" x14ac:dyDescent="0.25">
      <c r="A967" s="11" t="s">
        <v>2407</v>
      </c>
      <c r="B967" s="11" t="s">
        <v>2408</v>
      </c>
      <c r="C967" s="11" t="s">
        <v>59</v>
      </c>
      <c r="D967" s="11" t="s">
        <v>60</v>
      </c>
      <c r="E967" s="12" t="s">
        <v>54</v>
      </c>
      <c r="F967" s="12" t="s">
        <v>55</v>
      </c>
      <c r="G967" s="12" t="s">
        <v>40</v>
      </c>
      <c r="H967" s="11" t="s">
        <v>63</v>
      </c>
      <c r="I967" s="13" t="s">
        <v>2409</v>
      </c>
      <c r="J967" s="14" t="str">
        <f>HYPERLINK("https://www.boe.es/gazeta/dias/1839/10/05/pdfs/GMD-1839-1791.pdf#page=2","Abrir facsímil")</f>
        <v>Abrir facsímil</v>
      </c>
      <c r="K967" s="12" t="s">
        <v>65</v>
      </c>
    </row>
    <row r="968" spans="1:11" ht="40.049999999999997" customHeight="1" x14ac:dyDescent="0.25">
      <c r="A968" s="11" t="s">
        <v>2410</v>
      </c>
      <c r="B968" s="11" t="s">
        <v>2411</v>
      </c>
      <c r="C968" s="11" t="s">
        <v>137</v>
      </c>
      <c r="D968" s="11" t="s">
        <v>18</v>
      </c>
      <c r="E968" s="12" t="s">
        <v>303</v>
      </c>
      <c r="F968" s="12" t="s">
        <v>304</v>
      </c>
      <c r="G968" s="12" t="s">
        <v>40</v>
      </c>
      <c r="H968" s="11" t="s">
        <v>22</v>
      </c>
      <c r="I968" s="13" t="s">
        <v>2412</v>
      </c>
      <c r="J968" s="14" t="str">
        <f>HYPERLINK("https://www.boe.es/gazeta/dias/1839/10/06/pdfs/GMD-1839-1792.pdf#page=2","Abrir facsímil")</f>
        <v>Abrir facsímil</v>
      </c>
      <c r="K968" s="12" t="s">
        <v>24</v>
      </c>
    </row>
    <row r="969" spans="1:11" ht="40.049999999999997" customHeight="1" x14ac:dyDescent="0.25">
      <c r="A969" s="11" t="s">
        <v>2407</v>
      </c>
      <c r="B969" s="11" t="s">
        <v>2408</v>
      </c>
      <c r="C969" s="11" t="s">
        <v>101</v>
      </c>
      <c r="D969" s="11" t="s">
        <v>43</v>
      </c>
      <c r="E969" s="12" t="s">
        <v>561</v>
      </c>
      <c r="F969" s="12" t="s">
        <v>562</v>
      </c>
      <c r="G969" s="12" t="s">
        <v>46</v>
      </c>
      <c r="H969" s="11" t="s">
        <v>63</v>
      </c>
      <c r="I969" s="13" t="s">
        <v>2413</v>
      </c>
      <c r="J969" s="14" t="str">
        <f>HYPERLINK("https://www.boe.es/gazeta/dias/1839/09/11/pdfs/GMD-1839-1764.pdf#page=3","Abrir facsímil")</f>
        <v>Abrir facsímil</v>
      </c>
      <c r="K969" s="12" t="s">
        <v>65</v>
      </c>
    </row>
    <row r="970" spans="1:11" ht="40.049999999999997" customHeight="1" x14ac:dyDescent="0.25">
      <c r="A970" s="11" t="s">
        <v>2414</v>
      </c>
      <c r="B970" s="11" t="s">
        <v>2414</v>
      </c>
      <c r="C970" s="11" t="s">
        <v>17</v>
      </c>
      <c r="D970" s="11" t="s">
        <v>18</v>
      </c>
      <c r="E970" s="12" t="s">
        <v>2415</v>
      </c>
      <c r="F970" s="12" t="s">
        <v>2416</v>
      </c>
      <c r="G970" s="12" t="s">
        <v>21</v>
      </c>
      <c r="H970" s="11" t="s">
        <v>63</v>
      </c>
      <c r="I970" s="13" t="s">
        <v>2417</v>
      </c>
      <c r="J970" s="14" t="str">
        <f>HYPERLINK("https://www.boe.es/gazeta/dias/1839/12/22/pdfs/GMD-1839-1869.pdf#page=4","Abrir facsímil")</f>
        <v>Abrir facsímil</v>
      </c>
      <c r="K970" s="12" t="s">
        <v>65</v>
      </c>
    </row>
    <row r="971" spans="1:11" ht="40.049999999999997" customHeight="1" x14ac:dyDescent="0.25">
      <c r="A971" s="11" t="s">
        <v>2418</v>
      </c>
      <c r="B971" s="11" t="s">
        <v>2419</v>
      </c>
      <c r="C971" s="11" t="s">
        <v>101</v>
      </c>
      <c r="D971" s="11" t="s">
        <v>43</v>
      </c>
      <c r="E971" s="12" t="s">
        <v>1654</v>
      </c>
      <c r="F971" s="12" t="s">
        <v>1655</v>
      </c>
      <c r="G971" s="12" t="s">
        <v>21</v>
      </c>
      <c r="H971" s="11" t="s">
        <v>63</v>
      </c>
      <c r="I971" s="13" t="s">
        <v>2420</v>
      </c>
      <c r="J971" s="14" t="str">
        <f>HYPERLINK("https://www.boe.es/gazeta/dias/1839/11/19/pdfs/GMD-1839-1836.pdf#page=4","Abrir facsímil")</f>
        <v>Abrir facsímil</v>
      </c>
      <c r="K971" s="12" t="s">
        <v>65</v>
      </c>
    </row>
    <row r="972" spans="1:11" ht="40.049999999999997" customHeight="1" x14ac:dyDescent="0.25">
      <c r="A972" s="11" t="s">
        <v>2421</v>
      </c>
      <c r="B972" s="11" t="s">
        <v>2421</v>
      </c>
      <c r="C972" s="11" t="s">
        <v>101</v>
      </c>
      <c r="D972" s="11" t="s">
        <v>43</v>
      </c>
      <c r="E972" s="12" t="s">
        <v>81</v>
      </c>
      <c r="F972" s="12" t="s">
        <v>82</v>
      </c>
      <c r="G972" s="12" t="s">
        <v>40</v>
      </c>
      <c r="H972" s="11" t="s">
        <v>63</v>
      </c>
      <c r="I972" s="13" t="s">
        <v>2422</v>
      </c>
      <c r="J972" s="14" t="str">
        <f>HYPERLINK("https://www.boe.es/gazeta/dias/1839/03/03/pdfs/GMD-1839-1569.pdf#page=2","Abrir facsímil")</f>
        <v>Abrir facsímil</v>
      </c>
      <c r="K972" s="12" t="s">
        <v>65</v>
      </c>
    </row>
    <row r="973" spans="1:11" ht="40.049999999999997" customHeight="1" x14ac:dyDescent="0.25">
      <c r="A973" s="11" t="s">
        <v>2423</v>
      </c>
      <c r="B973" s="11" t="s">
        <v>2424</v>
      </c>
      <c r="C973" s="11" t="s">
        <v>80</v>
      </c>
      <c r="D973" s="11" t="s">
        <v>18</v>
      </c>
      <c r="E973" s="12" t="s">
        <v>486</v>
      </c>
      <c r="F973" s="12" t="s">
        <v>487</v>
      </c>
      <c r="G973" s="12" t="s">
        <v>40</v>
      </c>
      <c r="H973" s="11" t="s">
        <v>63</v>
      </c>
      <c r="I973" s="13" t="s">
        <v>2425</v>
      </c>
      <c r="J973" s="14" t="str">
        <f>HYPERLINK("https://www.boe.es/gazeta/dias/1839/04/19/pdfs/GMD-1839-1616.pdf#page=2","Abrir facsímil")</f>
        <v>Abrir facsímil</v>
      </c>
      <c r="K973" s="12" t="s">
        <v>65</v>
      </c>
    </row>
    <row r="974" spans="1:11" ht="40.049999999999997" customHeight="1" x14ac:dyDescent="0.25">
      <c r="A974" s="11" t="s">
        <v>2426</v>
      </c>
      <c r="B974" s="11" t="s">
        <v>2427</v>
      </c>
      <c r="C974" s="11" t="s">
        <v>80</v>
      </c>
      <c r="D974" s="11" t="s">
        <v>18</v>
      </c>
      <c r="E974" s="12" t="s">
        <v>486</v>
      </c>
      <c r="F974" s="12" t="s">
        <v>487</v>
      </c>
      <c r="G974" s="12" t="s">
        <v>29</v>
      </c>
      <c r="H974" s="11" t="s">
        <v>63</v>
      </c>
      <c r="I974" s="13" t="s">
        <v>2428</v>
      </c>
      <c r="J974" s="14" t="str">
        <f>HYPERLINK("https://www.boe.es/gazeta/dias/1839/04/19/pdfs/GMD-1839-1616.pdf#page=1","Abrir facsímil")</f>
        <v>Abrir facsímil</v>
      </c>
      <c r="K974" s="12" t="s">
        <v>65</v>
      </c>
    </row>
    <row r="975" spans="1:11" ht="40.049999999999997" customHeight="1" x14ac:dyDescent="0.25">
      <c r="A975" s="11" t="s">
        <v>2429</v>
      </c>
      <c r="B975" s="11" t="s">
        <v>2429</v>
      </c>
      <c r="C975" s="11" t="s">
        <v>80</v>
      </c>
      <c r="D975" s="11" t="s">
        <v>18</v>
      </c>
      <c r="E975" s="12" t="s">
        <v>121</v>
      </c>
      <c r="F975" s="12" t="s">
        <v>122</v>
      </c>
      <c r="G975" s="12" t="s">
        <v>29</v>
      </c>
      <c r="H975" s="11" t="s">
        <v>63</v>
      </c>
      <c r="I975" s="13" t="s">
        <v>2430</v>
      </c>
      <c r="J975" s="14" t="str">
        <f>HYPERLINK("https://www.boe.es/gazeta/dias/1839/06/08/pdfs/GMD-1839-1666.pdf#page=1","Abrir facsímil")</f>
        <v>Abrir facsímil</v>
      </c>
      <c r="K975" s="12" t="s">
        <v>65</v>
      </c>
    </row>
    <row r="976" spans="1:11" ht="40.049999999999997" customHeight="1" x14ac:dyDescent="0.25">
      <c r="A976" s="11" t="s">
        <v>2429</v>
      </c>
      <c r="B976" s="11" t="s">
        <v>2429</v>
      </c>
      <c r="C976" s="11" t="s">
        <v>137</v>
      </c>
      <c r="D976" s="11" t="s">
        <v>18</v>
      </c>
      <c r="E976" s="12" t="s">
        <v>336</v>
      </c>
      <c r="F976" s="12" t="s">
        <v>337</v>
      </c>
      <c r="G976" s="12" t="s">
        <v>21</v>
      </c>
      <c r="H976" s="11" t="s">
        <v>63</v>
      </c>
      <c r="I976" s="13" t="s">
        <v>2431</v>
      </c>
      <c r="J976" s="14" t="str">
        <f>HYPERLINK("https://www.boe.es/gazeta/dias/1839/07/14/pdfs/GMD-1839-1702.pdf#page=4","Abrir facsímil")</f>
        <v>Abrir facsímil</v>
      </c>
      <c r="K976" s="12" t="s">
        <v>65</v>
      </c>
    </row>
    <row r="977" spans="1:11" ht="40.049999999999997" customHeight="1" x14ac:dyDescent="0.25">
      <c r="A977" s="11" t="s">
        <v>2429</v>
      </c>
      <c r="B977" s="11" t="s">
        <v>2429</v>
      </c>
      <c r="C977" s="11" t="s">
        <v>59</v>
      </c>
      <c r="D977" s="11" t="s">
        <v>60</v>
      </c>
      <c r="E977" s="12" t="s">
        <v>2432</v>
      </c>
      <c r="F977" s="12" t="s">
        <v>2433</v>
      </c>
      <c r="G977" s="12" t="s">
        <v>29</v>
      </c>
      <c r="H977" s="11" t="s">
        <v>63</v>
      </c>
      <c r="I977" s="13" t="s">
        <v>2434</v>
      </c>
      <c r="J977" s="14" t="str">
        <f>HYPERLINK("https://www.boe.es/datos/pdfs/BOE//1839/1712/E00001-00001.pdf#page=1","Abrir facsímil")</f>
        <v>Abrir facsímil</v>
      </c>
      <c r="K977" s="12" t="s">
        <v>65</v>
      </c>
    </row>
    <row r="978" spans="1:11" ht="40.049999999999997" customHeight="1" x14ac:dyDescent="0.25">
      <c r="A978" s="11" t="s">
        <v>2429</v>
      </c>
      <c r="B978" s="11" t="s">
        <v>2429</v>
      </c>
      <c r="C978" s="11" t="s">
        <v>17</v>
      </c>
      <c r="D978" s="11" t="s">
        <v>18</v>
      </c>
      <c r="E978" s="12" t="s">
        <v>2435</v>
      </c>
      <c r="F978" s="12" t="s">
        <v>2436</v>
      </c>
      <c r="G978" s="12" t="s">
        <v>40</v>
      </c>
      <c r="H978" s="11" t="s">
        <v>63</v>
      </c>
      <c r="I978" s="13" t="s">
        <v>2437</v>
      </c>
      <c r="J978" s="14" t="str">
        <f>HYPERLINK("https://www.boe.es/gazeta/dias/1839/07/24/pdfs/GMD-1839-1713.pdf#page=2","Abrir facsímil")</f>
        <v>Abrir facsímil</v>
      </c>
      <c r="K978" s="12" t="s">
        <v>65</v>
      </c>
    </row>
    <row r="979" spans="1:11" ht="40.049999999999997" customHeight="1" x14ac:dyDescent="0.25">
      <c r="A979" s="11" t="s">
        <v>2429</v>
      </c>
      <c r="B979" s="11" t="s">
        <v>2429</v>
      </c>
      <c r="C979" s="11" t="s">
        <v>59</v>
      </c>
      <c r="D979" s="11" t="s">
        <v>60</v>
      </c>
      <c r="E979" s="12" t="s">
        <v>111</v>
      </c>
      <c r="F979" s="12" t="s">
        <v>112</v>
      </c>
      <c r="G979" s="12" t="s">
        <v>21</v>
      </c>
      <c r="H979" s="11" t="s">
        <v>63</v>
      </c>
      <c r="I979" s="13" t="s">
        <v>2438</v>
      </c>
      <c r="J979" s="14" t="str">
        <f>HYPERLINK("https://www.boe.es/gazeta/dias/1839/07/25/pdfs/GMD-1839-1714.pdf#page=4","Abrir facsímil")</f>
        <v>Abrir facsímil</v>
      </c>
      <c r="K979" s="12" t="s">
        <v>65</v>
      </c>
    </row>
    <row r="980" spans="1:11" ht="40.049999999999997" customHeight="1" x14ac:dyDescent="0.25">
      <c r="A980" s="11" t="s">
        <v>2439</v>
      </c>
      <c r="B980" s="11" t="s">
        <v>2439</v>
      </c>
      <c r="C980" s="11" t="s">
        <v>17</v>
      </c>
      <c r="D980" s="11" t="s">
        <v>18</v>
      </c>
      <c r="E980" s="12" t="s">
        <v>2440</v>
      </c>
      <c r="F980" s="12" t="s">
        <v>2441</v>
      </c>
      <c r="G980" s="12" t="s">
        <v>29</v>
      </c>
      <c r="H980" s="11" t="s">
        <v>63</v>
      </c>
      <c r="I980" s="13" t="s">
        <v>2442</v>
      </c>
      <c r="J980" s="14" t="str">
        <f>HYPERLINK("https://www.boe.es/gazeta/dias/1839/12/01/pdfs/GMD-1839-1848.pdf#page=1","Abrir facsímil")</f>
        <v>Abrir facsímil</v>
      </c>
      <c r="K980" s="12" t="s">
        <v>65</v>
      </c>
    </row>
    <row r="981" spans="1:11" ht="40.049999999999997" customHeight="1" x14ac:dyDescent="0.25">
      <c r="A981" s="11" t="s">
        <v>2439</v>
      </c>
      <c r="B981" s="11" t="s">
        <v>2439</v>
      </c>
      <c r="C981" s="11" t="s">
        <v>59</v>
      </c>
      <c r="D981" s="11" t="s">
        <v>60</v>
      </c>
      <c r="E981" s="12" t="s">
        <v>2443</v>
      </c>
      <c r="F981" s="12" t="s">
        <v>2444</v>
      </c>
      <c r="G981" s="12" t="s">
        <v>40</v>
      </c>
      <c r="H981" s="11" t="s">
        <v>63</v>
      </c>
      <c r="I981" s="13" t="s">
        <v>2445</v>
      </c>
      <c r="J981" s="14" t="str">
        <f>HYPERLINK("https://www.boe.es/gazeta/dias/1839/11/02/pdfs/GMD-1839-1819.pdf#page=2","Abrir facsímil")</f>
        <v>Abrir facsímil</v>
      </c>
      <c r="K981" s="12" t="s">
        <v>65</v>
      </c>
    </row>
    <row r="982" spans="1:11" ht="40.049999999999997" customHeight="1" x14ac:dyDescent="0.25">
      <c r="A982" s="11" t="s">
        <v>2439</v>
      </c>
      <c r="B982" s="11" t="s">
        <v>2439</v>
      </c>
      <c r="C982" s="11" t="s">
        <v>17</v>
      </c>
      <c r="D982" s="11" t="s">
        <v>18</v>
      </c>
      <c r="E982" s="12" t="s">
        <v>324</v>
      </c>
      <c r="F982" s="12" t="s">
        <v>325</v>
      </c>
      <c r="G982" s="12" t="s">
        <v>46</v>
      </c>
      <c r="H982" s="11" t="s">
        <v>63</v>
      </c>
      <c r="I982" s="13" t="s">
        <v>2446</v>
      </c>
      <c r="J982" s="14" t="str">
        <f>HYPERLINK("https://www.boe.es/gazeta/dias/1839/02/04/pdfs/GMD-1839-1542.pdf#page=3","Abrir facsímil")</f>
        <v>Abrir facsímil</v>
      </c>
      <c r="K982" s="12" t="s">
        <v>65</v>
      </c>
    </row>
    <row r="983" spans="1:11" ht="40.049999999999997" customHeight="1" x14ac:dyDescent="0.25">
      <c r="A983" s="11" t="s">
        <v>2439</v>
      </c>
      <c r="B983" s="11" t="s">
        <v>2439</v>
      </c>
      <c r="C983" s="11" t="s">
        <v>59</v>
      </c>
      <c r="D983" s="11" t="s">
        <v>60</v>
      </c>
      <c r="E983" s="12" t="s">
        <v>202</v>
      </c>
      <c r="F983" s="12" t="s">
        <v>203</v>
      </c>
      <c r="G983" s="12" t="s">
        <v>46</v>
      </c>
      <c r="H983" s="11" t="s">
        <v>63</v>
      </c>
      <c r="I983" s="13" t="s">
        <v>2447</v>
      </c>
      <c r="J983" s="14" t="str">
        <f>HYPERLINK("https://www.boe.es/gazeta/dias/1839/04/05/pdfs/GMD-1839-1602.pdf#page=3","Abrir facsímil")</f>
        <v>Abrir facsímil</v>
      </c>
      <c r="K983" s="12" t="s">
        <v>65</v>
      </c>
    </row>
    <row r="984" spans="1:11" ht="40.049999999999997" customHeight="1" x14ac:dyDescent="0.25">
      <c r="A984" s="11" t="s">
        <v>2439</v>
      </c>
      <c r="B984" s="11" t="s">
        <v>2439</v>
      </c>
      <c r="C984" s="11" t="s">
        <v>59</v>
      </c>
      <c r="D984" s="11" t="s">
        <v>60</v>
      </c>
      <c r="E984" s="12" t="s">
        <v>2210</v>
      </c>
      <c r="F984" s="12" t="s">
        <v>2211</v>
      </c>
      <c r="G984" s="12" t="s">
        <v>29</v>
      </c>
      <c r="H984" s="11" t="s">
        <v>63</v>
      </c>
      <c r="I984" s="13" t="s">
        <v>2448</v>
      </c>
      <c r="J984" s="14" t="str">
        <f>HYPERLINK("https://www.boe.es/gazeta/dias/1839/09/05/pdfs/GMD-1839-1758.pdf#page=1","Abrir facsímil")</f>
        <v>Abrir facsímil</v>
      </c>
      <c r="K984" s="12" t="s">
        <v>65</v>
      </c>
    </row>
    <row r="985" spans="1:11" ht="40.049999999999997" customHeight="1" x14ac:dyDescent="0.25">
      <c r="A985" s="11" t="s">
        <v>2439</v>
      </c>
      <c r="B985" s="11" t="s">
        <v>2439</v>
      </c>
      <c r="C985" s="11" t="s">
        <v>59</v>
      </c>
      <c r="D985" s="11" t="s">
        <v>60</v>
      </c>
      <c r="E985" s="12" t="s">
        <v>2449</v>
      </c>
      <c r="F985" s="12" t="s">
        <v>2450</v>
      </c>
      <c r="G985" s="12" t="s">
        <v>40</v>
      </c>
      <c r="H985" s="11" t="s">
        <v>63</v>
      </c>
      <c r="I985" s="13" t="s">
        <v>2451</v>
      </c>
      <c r="J985" s="14" t="str">
        <f>HYPERLINK("https://www.boe.es/gazeta/dias/1839/12/11/pdfs/GMD-1839-1858.pdf#page=2","Abrir facsímil")</f>
        <v>Abrir facsímil</v>
      </c>
      <c r="K985" s="12" t="s">
        <v>65</v>
      </c>
    </row>
    <row r="986" spans="1:11" ht="40.049999999999997" customHeight="1" x14ac:dyDescent="0.25">
      <c r="A986" s="11" t="s">
        <v>2439</v>
      </c>
      <c r="B986" s="11" t="s">
        <v>2439</v>
      </c>
      <c r="C986" s="11" t="s">
        <v>59</v>
      </c>
      <c r="D986" s="11" t="s">
        <v>60</v>
      </c>
      <c r="E986" s="12" t="s">
        <v>2452</v>
      </c>
      <c r="F986" s="12" t="s">
        <v>2453</v>
      </c>
      <c r="G986" s="12" t="s">
        <v>40</v>
      </c>
      <c r="H986" s="11" t="s">
        <v>63</v>
      </c>
      <c r="I986" s="13" t="s">
        <v>2454</v>
      </c>
      <c r="J986" s="14" t="str">
        <f>HYPERLINK("https://www.boe.es/gazeta/dias/1839/11/14/pdfs/GMD-1839-1831.pdf#page=2","Abrir facsímil")</f>
        <v>Abrir facsímil</v>
      </c>
      <c r="K986" s="12" t="s">
        <v>65</v>
      </c>
    </row>
    <row r="987" spans="1:11" ht="40.049999999999997" customHeight="1" x14ac:dyDescent="0.25">
      <c r="A987" s="11" t="s">
        <v>2439</v>
      </c>
      <c r="B987" s="11" t="s">
        <v>2439</v>
      </c>
      <c r="C987" s="11" t="s">
        <v>59</v>
      </c>
      <c r="D987" s="11" t="s">
        <v>60</v>
      </c>
      <c r="E987" s="12" t="s">
        <v>2452</v>
      </c>
      <c r="F987" s="12" t="s">
        <v>2453</v>
      </c>
      <c r="G987" s="12" t="s">
        <v>46</v>
      </c>
      <c r="H987" s="11" t="s">
        <v>63</v>
      </c>
      <c r="I987" s="13" t="s">
        <v>2455</v>
      </c>
      <c r="J987" s="14" t="str">
        <f>HYPERLINK("https://www.boe.es/gazeta/dias/1839/11/14/pdfs/GMD-1839-1831.pdf#page=3","Abrir facsímil")</f>
        <v>Abrir facsímil</v>
      </c>
      <c r="K987" s="12" t="s">
        <v>65</v>
      </c>
    </row>
    <row r="988" spans="1:11" ht="40.049999999999997" customHeight="1" x14ac:dyDescent="0.25">
      <c r="A988" s="11" t="s">
        <v>2439</v>
      </c>
      <c r="B988" s="11" t="s">
        <v>2439</v>
      </c>
      <c r="C988" s="11" t="s">
        <v>59</v>
      </c>
      <c r="D988" s="11" t="s">
        <v>60</v>
      </c>
      <c r="E988" s="12" t="s">
        <v>1301</v>
      </c>
      <c r="F988" s="12" t="s">
        <v>1302</v>
      </c>
      <c r="G988" s="12" t="s">
        <v>46</v>
      </c>
      <c r="H988" s="11" t="s">
        <v>63</v>
      </c>
      <c r="I988" s="13" t="s">
        <v>2456</v>
      </c>
      <c r="J988" s="14" t="str">
        <f>HYPERLINK("https://www.boe.es/gazeta/dias/1839/11/16/pdfs/GMD-1839-1833.pdf#page=3","Abrir facsímil")</f>
        <v>Abrir facsímil</v>
      </c>
      <c r="K988" s="12" t="s">
        <v>65</v>
      </c>
    </row>
    <row r="989" spans="1:11" ht="40.049999999999997" customHeight="1" x14ac:dyDescent="0.25">
      <c r="A989" s="11" t="s">
        <v>2439</v>
      </c>
      <c r="B989" s="11" t="s">
        <v>2439</v>
      </c>
      <c r="C989" s="11" t="s">
        <v>59</v>
      </c>
      <c r="D989" s="11" t="s">
        <v>60</v>
      </c>
      <c r="E989" s="12" t="s">
        <v>1537</v>
      </c>
      <c r="F989" s="12" t="s">
        <v>1538</v>
      </c>
      <c r="G989" s="12" t="s">
        <v>40</v>
      </c>
      <c r="H989" s="11" t="s">
        <v>63</v>
      </c>
      <c r="I989" s="13" t="s">
        <v>2457</v>
      </c>
      <c r="J989" s="14" t="str">
        <f>HYPERLINK("https://www.boe.es/gazeta/dias/1839/12/16/pdfs/GMD-1839-1863.pdf#page=2","Abrir facsímil")</f>
        <v>Abrir facsímil</v>
      </c>
      <c r="K989" s="12" t="s">
        <v>65</v>
      </c>
    </row>
    <row r="990" spans="1:11" ht="40.049999999999997" customHeight="1" x14ac:dyDescent="0.25">
      <c r="A990" s="11" t="s">
        <v>2439</v>
      </c>
      <c r="B990" s="11" t="s">
        <v>2439</v>
      </c>
      <c r="C990" s="11" t="s">
        <v>17</v>
      </c>
      <c r="D990" s="11" t="s">
        <v>18</v>
      </c>
      <c r="E990" s="12" t="s">
        <v>1648</v>
      </c>
      <c r="F990" s="12" t="s">
        <v>2458</v>
      </c>
      <c r="G990" s="12" t="s">
        <v>29</v>
      </c>
      <c r="H990" s="11" t="s">
        <v>63</v>
      </c>
      <c r="I990" s="13" t="s">
        <v>2459</v>
      </c>
      <c r="J990" s="14" t="str">
        <f>HYPERLINK("https://www.boe.es/datos/pdfs/BOE//1839/1739/E00001-00001.pdf#page=1","Abrir facsímil")</f>
        <v>Abrir facsímil</v>
      </c>
      <c r="K990" s="12" t="s">
        <v>65</v>
      </c>
    </row>
    <row r="991" spans="1:11" ht="40.049999999999997" customHeight="1" x14ac:dyDescent="0.25">
      <c r="A991" s="11" t="s">
        <v>2439</v>
      </c>
      <c r="B991" s="11" t="s">
        <v>2439</v>
      </c>
      <c r="C991" s="11" t="s">
        <v>17</v>
      </c>
      <c r="D991" s="11" t="s">
        <v>18</v>
      </c>
      <c r="E991" s="12" t="s">
        <v>1584</v>
      </c>
      <c r="F991" s="12" t="s">
        <v>1585</v>
      </c>
      <c r="G991" s="12" t="s">
        <v>46</v>
      </c>
      <c r="H991" s="11" t="s">
        <v>63</v>
      </c>
      <c r="I991" s="13" t="s">
        <v>2460</v>
      </c>
      <c r="J991" s="14" t="str">
        <f>HYPERLINK("https://www.boe.es/gazeta/dias/1839/11/20/pdfs/GMD-1839-1837.pdf#page=3","Abrir facsímil")</f>
        <v>Abrir facsímil</v>
      </c>
      <c r="K991" s="12" t="s">
        <v>65</v>
      </c>
    </row>
    <row r="992" spans="1:11" ht="40.049999999999997" customHeight="1" x14ac:dyDescent="0.25">
      <c r="A992" s="11" t="s">
        <v>2439</v>
      </c>
      <c r="B992" s="11" t="s">
        <v>2439</v>
      </c>
      <c r="C992" s="11" t="s">
        <v>17</v>
      </c>
      <c r="D992" s="11" t="s">
        <v>18</v>
      </c>
      <c r="E992" s="12" t="s">
        <v>1672</v>
      </c>
      <c r="F992" s="12" t="s">
        <v>1673</v>
      </c>
      <c r="G992" s="12" t="s">
        <v>21</v>
      </c>
      <c r="H992" s="11" t="s">
        <v>63</v>
      </c>
      <c r="I992" s="13" t="s">
        <v>2461</v>
      </c>
      <c r="J992" s="14" t="str">
        <f>HYPERLINK("https://www.boe.es/gazeta/dias/1839/08/24/pdfs/GMD-1839-1745.pdf#page=4","Abrir facsímil")</f>
        <v>Abrir facsímil</v>
      </c>
      <c r="K992" s="12" t="s">
        <v>65</v>
      </c>
    </row>
    <row r="993" spans="1:11" ht="40.049999999999997" customHeight="1" x14ac:dyDescent="0.25">
      <c r="A993" s="11" t="s">
        <v>2439</v>
      </c>
      <c r="B993" s="11" t="s">
        <v>2439</v>
      </c>
      <c r="C993" s="11" t="s">
        <v>137</v>
      </c>
      <c r="D993" s="11" t="s">
        <v>18</v>
      </c>
      <c r="E993" s="12" t="s">
        <v>246</v>
      </c>
      <c r="F993" s="12" t="s">
        <v>247</v>
      </c>
      <c r="G993" s="12" t="s">
        <v>46</v>
      </c>
      <c r="H993" s="11" t="s">
        <v>63</v>
      </c>
      <c r="I993" s="13" t="s">
        <v>2462</v>
      </c>
      <c r="J993" s="14" t="str">
        <f>HYPERLINK("https://www.boe.es/gazeta/dias/1839/11/24/pdfs/GMD-1839-1841.pdf#page=3","Abrir facsímil")</f>
        <v>Abrir facsímil</v>
      </c>
      <c r="K993" s="12" t="s">
        <v>65</v>
      </c>
    </row>
    <row r="994" spans="1:11" ht="40.049999999999997" customHeight="1" x14ac:dyDescent="0.25">
      <c r="A994" s="11" t="s">
        <v>2439</v>
      </c>
      <c r="B994" s="11" t="s">
        <v>2439</v>
      </c>
      <c r="C994" s="11" t="s">
        <v>17</v>
      </c>
      <c r="D994" s="11" t="s">
        <v>18</v>
      </c>
      <c r="E994" s="12" t="s">
        <v>2463</v>
      </c>
      <c r="F994" s="12" t="s">
        <v>2464</v>
      </c>
      <c r="G994" s="12" t="s">
        <v>21</v>
      </c>
      <c r="H994" s="11" t="s">
        <v>63</v>
      </c>
      <c r="I994" s="13" t="s">
        <v>2465</v>
      </c>
      <c r="J994" s="14" t="str">
        <f>HYPERLINK("https://www.boe.es/gazeta/dias/1839/04/26/pdfs/GMD-1839-1623.pdf#page=4","Abrir facsímil")</f>
        <v>Abrir facsímil</v>
      </c>
      <c r="K994" s="12" t="s">
        <v>65</v>
      </c>
    </row>
    <row r="995" spans="1:11" ht="40.049999999999997" customHeight="1" x14ac:dyDescent="0.25">
      <c r="A995" s="11" t="s">
        <v>2439</v>
      </c>
      <c r="B995" s="11" t="s">
        <v>2439</v>
      </c>
      <c r="C995" s="11" t="s">
        <v>137</v>
      </c>
      <c r="D995" s="11" t="s">
        <v>18</v>
      </c>
      <c r="E995" s="12" t="s">
        <v>287</v>
      </c>
      <c r="F995" s="12" t="s">
        <v>288</v>
      </c>
      <c r="G995" s="12" t="s">
        <v>40</v>
      </c>
      <c r="H995" s="11" t="s">
        <v>63</v>
      </c>
      <c r="I995" s="13" t="s">
        <v>2466</v>
      </c>
      <c r="J995" s="14" t="str">
        <f>HYPERLINK("https://www.boe.es/gazeta/dias/1839/11/27/pdfs/GMD-1839-1844.pdf#page=2","Abrir facsímil")</f>
        <v>Abrir facsímil</v>
      </c>
      <c r="K995" s="12" t="s">
        <v>65</v>
      </c>
    </row>
    <row r="996" spans="1:11" ht="40.049999999999997" customHeight="1" x14ac:dyDescent="0.25">
      <c r="A996" s="11" t="s">
        <v>2439</v>
      </c>
      <c r="B996" s="11" t="s">
        <v>2439</v>
      </c>
      <c r="C996" s="11" t="s">
        <v>59</v>
      </c>
      <c r="D996" s="11" t="s">
        <v>60</v>
      </c>
      <c r="E996" s="12" t="s">
        <v>312</v>
      </c>
      <c r="F996" s="12" t="s">
        <v>313</v>
      </c>
      <c r="G996" s="12" t="s">
        <v>46</v>
      </c>
      <c r="H996" s="11" t="s">
        <v>63</v>
      </c>
      <c r="I996" s="13" t="s">
        <v>2467</v>
      </c>
      <c r="J996" s="14" t="str">
        <f>HYPERLINK("https://www.boe.es/gazeta/dias/1839/11/30/pdfs/GMD-1839-1847.pdf#page=3","Abrir facsímil")</f>
        <v>Abrir facsímil</v>
      </c>
      <c r="K996" s="12" t="s">
        <v>65</v>
      </c>
    </row>
    <row r="997" spans="1:11" ht="40.049999999999997" customHeight="1" x14ac:dyDescent="0.25">
      <c r="A997" s="11" t="s">
        <v>2439</v>
      </c>
      <c r="B997" s="11" t="s">
        <v>2439</v>
      </c>
      <c r="C997" s="11" t="s">
        <v>17</v>
      </c>
      <c r="D997" s="11" t="s">
        <v>18</v>
      </c>
      <c r="E997" s="12" t="s">
        <v>1696</v>
      </c>
      <c r="F997" s="12" t="s">
        <v>1697</v>
      </c>
      <c r="G997" s="12" t="s">
        <v>40</v>
      </c>
      <c r="H997" s="11" t="s">
        <v>63</v>
      </c>
      <c r="I997" s="13" t="s">
        <v>2468</v>
      </c>
      <c r="J997" s="14" t="str">
        <f>HYPERLINK("https://www.boe.es/gazeta/dias/1839/08/31/pdfs/GMD-1839-1752.pdf#page=2","Abrir facsímil")</f>
        <v>Abrir facsímil</v>
      </c>
      <c r="K997" s="12" t="s">
        <v>65</v>
      </c>
    </row>
    <row r="998" spans="1:11" ht="40.049999999999997" customHeight="1" x14ac:dyDescent="0.25">
      <c r="A998" s="11" t="s">
        <v>2469</v>
      </c>
      <c r="B998" s="11" t="s">
        <v>2470</v>
      </c>
      <c r="C998" s="11" t="s">
        <v>80</v>
      </c>
      <c r="D998" s="11" t="s">
        <v>18</v>
      </c>
      <c r="E998" s="12" t="s">
        <v>303</v>
      </c>
      <c r="F998" s="12" t="s">
        <v>304</v>
      </c>
      <c r="G998" s="12" t="s">
        <v>305</v>
      </c>
      <c r="H998" s="11" t="s">
        <v>63</v>
      </c>
      <c r="I998" s="13" t="s">
        <v>2471</v>
      </c>
      <c r="J998" s="14" t="str">
        <f>HYPERLINK("https://www.boe.es/gazeta/dias/1839/10/06/pdfs/GMD-1839-1792.pdf#page=6","Abrir facsímil")</f>
        <v>Abrir facsímil</v>
      </c>
      <c r="K998" s="12" t="s">
        <v>65</v>
      </c>
    </row>
    <row r="999" spans="1:11" ht="40.049999999999997" customHeight="1" x14ac:dyDescent="0.25">
      <c r="A999" s="11" t="s">
        <v>2472</v>
      </c>
      <c r="B999" s="11" t="s">
        <v>2473</v>
      </c>
      <c r="C999" s="11" t="s">
        <v>101</v>
      </c>
      <c r="D999" s="11" t="s">
        <v>43</v>
      </c>
      <c r="E999" s="12" t="s">
        <v>84</v>
      </c>
      <c r="F999" s="12" t="s">
        <v>85</v>
      </c>
      <c r="G999" s="12" t="s">
        <v>46</v>
      </c>
      <c r="H999" s="11" t="s">
        <v>63</v>
      </c>
      <c r="I999" s="13" t="s">
        <v>2474</v>
      </c>
      <c r="J999" s="14" t="str">
        <f>HYPERLINK("https://www.boe.es/gazeta/dias/1839/03/11/pdfs/GMD-1839-1577.pdf#page=3","Abrir facsímil")</f>
        <v>Abrir facsímil</v>
      </c>
      <c r="K999" s="12" t="s">
        <v>65</v>
      </c>
    </row>
    <row r="1000" spans="1:11" ht="40.049999999999997" customHeight="1" x14ac:dyDescent="0.25">
      <c r="A1000" s="11" t="s">
        <v>2475</v>
      </c>
      <c r="B1000" s="11" t="s">
        <v>2476</v>
      </c>
      <c r="C1000" s="11" t="s">
        <v>80</v>
      </c>
      <c r="D1000" s="11" t="s">
        <v>18</v>
      </c>
      <c r="E1000" s="12" t="s">
        <v>303</v>
      </c>
      <c r="F1000" s="12" t="s">
        <v>304</v>
      </c>
      <c r="G1000" s="12" t="s">
        <v>305</v>
      </c>
      <c r="H1000" s="11" t="s">
        <v>63</v>
      </c>
      <c r="I1000" s="13" t="s">
        <v>2477</v>
      </c>
      <c r="J1000" s="14" t="str">
        <f>HYPERLINK("https://www.boe.es/gazeta/dias/1839/10/06/pdfs/GMD-1839-1792.pdf#page=6","Abrir facsímil")</f>
        <v>Abrir facsímil</v>
      </c>
      <c r="K1000" s="12" t="s">
        <v>65</v>
      </c>
    </row>
    <row r="1001" spans="1:11" ht="40.049999999999997" customHeight="1" x14ac:dyDescent="0.25">
      <c r="A1001" s="11" t="s">
        <v>2478</v>
      </c>
      <c r="B1001" s="11" t="s">
        <v>2478</v>
      </c>
      <c r="C1001" s="11" t="s">
        <v>59</v>
      </c>
      <c r="D1001" s="11" t="s">
        <v>60</v>
      </c>
      <c r="E1001" s="12" t="s">
        <v>2440</v>
      </c>
      <c r="F1001" s="12" t="s">
        <v>2441</v>
      </c>
      <c r="G1001" s="12" t="s">
        <v>29</v>
      </c>
      <c r="H1001" s="11" t="s">
        <v>63</v>
      </c>
      <c r="I1001" s="13" t="s">
        <v>2479</v>
      </c>
      <c r="J1001" s="14" t="str">
        <f>HYPERLINK("https://www.boe.es/gazeta/dias/1839/12/01/pdfs/GMD-1839-1848.pdf#page=1","Abrir facsímil")</f>
        <v>Abrir facsímil</v>
      </c>
      <c r="K1001" s="12" t="s">
        <v>65</v>
      </c>
    </row>
    <row r="1002" spans="1:11" ht="40.049999999999997" customHeight="1" x14ac:dyDescent="0.25">
      <c r="A1002" s="11" t="s">
        <v>2480</v>
      </c>
      <c r="B1002" s="11" t="s">
        <v>2481</v>
      </c>
      <c r="C1002" s="11" t="s">
        <v>80</v>
      </c>
      <c r="D1002" s="11" t="s">
        <v>18</v>
      </c>
      <c r="E1002" s="12" t="s">
        <v>2482</v>
      </c>
      <c r="F1002" s="12" t="s">
        <v>2483</v>
      </c>
      <c r="G1002" s="12" t="s">
        <v>46</v>
      </c>
      <c r="H1002" s="11" t="s">
        <v>22</v>
      </c>
      <c r="I1002" s="13" t="s">
        <v>2484</v>
      </c>
      <c r="J1002" s="14" t="str">
        <f>HYPERLINK("https://www.boe.es/gazeta/dias/1839/07/07/pdfs/GMD-1839-1695.pdf#page=3","Abrir facsímil")</f>
        <v>Abrir facsímil</v>
      </c>
      <c r="K1002" s="12" t="s">
        <v>24</v>
      </c>
    </row>
    <row r="1003" spans="1:11" ht="40.049999999999997" customHeight="1" x14ac:dyDescent="0.25">
      <c r="A1003" s="11" t="s">
        <v>2485</v>
      </c>
      <c r="B1003" s="11" t="s">
        <v>2485</v>
      </c>
      <c r="C1003" s="11" t="s">
        <v>17</v>
      </c>
      <c r="D1003" s="11" t="s">
        <v>18</v>
      </c>
      <c r="E1003" s="12" t="s">
        <v>516</v>
      </c>
      <c r="F1003" s="12" t="s">
        <v>517</v>
      </c>
      <c r="G1003" s="12" t="s">
        <v>29</v>
      </c>
      <c r="H1003" s="11" t="s">
        <v>63</v>
      </c>
      <c r="I1003" s="13" t="s">
        <v>2486</v>
      </c>
      <c r="J1003" s="14" t="str">
        <f>HYPERLINK("https://www.boe.es/gazeta/dias/1839/06/21/pdfs/GMD-1839-1679.pdf#page=1","Abrir facsímil")</f>
        <v>Abrir facsímil</v>
      </c>
      <c r="K1003" s="12" t="s">
        <v>65</v>
      </c>
    </row>
    <row r="1004" spans="1:11" ht="40.049999999999997" customHeight="1" x14ac:dyDescent="0.25">
      <c r="A1004" s="11" t="s">
        <v>2487</v>
      </c>
      <c r="B1004" s="11" t="s">
        <v>2487</v>
      </c>
      <c r="C1004" s="11" t="s">
        <v>17</v>
      </c>
      <c r="D1004" s="11" t="s">
        <v>18</v>
      </c>
      <c r="E1004" s="12" t="s">
        <v>433</v>
      </c>
      <c r="F1004" s="12" t="s">
        <v>434</v>
      </c>
      <c r="G1004" s="12" t="s">
        <v>46</v>
      </c>
      <c r="H1004" s="11" t="s">
        <v>63</v>
      </c>
      <c r="I1004" s="13" t="s">
        <v>2488</v>
      </c>
      <c r="J1004" s="14" t="str">
        <f>HYPERLINK("https://www.boe.es/gazeta/dias/1839/01/20/pdfs/GMD-1839-1527.pdf#page=3","Abrir facsímil")</f>
        <v>Abrir facsímil</v>
      </c>
      <c r="K1004" s="12" t="s">
        <v>65</v>
      </c>
    </row>
    <row r="1005" spans="1:11" ht="40.049999999999997" customHeight="1" x14ac:dyDescent="0.25">
      <c r="A1005" s="11" t="s">
        <v>2489</v>
      </c>
      <c r="B1005" s="11" t="s">
        <v>2490</v>
      </c>
      <c r="C1005" s="11" t="s">
        <v>17</v>
      </c>
      <c r="D1005" s="11" t="s">
        <v>18</v>
      </c>
      <c r="E1005" s="12" t="s">
        <v>2491</v>
      </c>
      <c r="F1005" s="12" t="s">
        <v>2492</v>
      </c>
      <c r="G1005" s="12" t="s">
        <v>46</v>
      </c>
      <c r="H1005" s="11" t="s">
        <v>63</v>
      </c>
      <c r="I1005" s="13" t="s">
        <v>2493</v>
      </c>
      <c r="J1005" s="14" t="str">
        <f>HYPERLINK("https://www.boe.es/gazeta/dias/1839/05/01/pdfs/GMD-1839-1628.pdf#page=3","Abrir facsímil")</f>
        <v>Abrir facsímil</v>
      </c>
      <c r="K1005" s="12" t="s">
        <v>65</v>
      </c>
    </row>
    <row r="1006" spans="1:11" ht="40.049999999999997" customHeight="1" x14ac:dyDescent="0.25">
      <c r="A1006" s="11" t="s">
        <v>2494</v>
      </c>
      <c r="B1006" s="11" t="s">
        <v>2494</v>
      </c>
      <c r="C1006" s="11" t="s">
        <v>59</v>
      </c>
      <c r="D1006" s="11" t="s">
        <v>60</v>
      </c>
      <c r="E1006" s="12" t="s">
        <v>299</v>
      </c>
      <c r="F1006" s="12" t="s">
        <v>300</v>
      </c>
      <c r="G1006" s="12" t="s">
        <v>29</v>
      </c>
      <c r="H1006" s="11" t="s">
        <v>22</v>
      </c>
      <c r="I1006" s="13" t="s">
        <v>2495</v>
      </c>
      <c r="J1006" s="14" t="str">
        <f>HYPERLINK("https://www.boe.es/gazeta/dias/1839/02/14/pdfs/GMD-1839-1552.pdf#page=1","Abrir facsímil")</f>
        <v>Abrir facsímil</v>
      </c>
      <c r="K1006" s="12" t="s">
        <v>24</v>
      </c>
    </row>
    <row r="1007" spans="1:11" ht="40.049999999999997" customHeight="1" x14ac:dyDescent="0.25">
      <c r="A1007" s="11" t="s">
        <v>2496</v>
      </c>
      <c r="B1007" s="11" t="s">
        <v>2497</v>
      </c>
      <c r="C1007" s="11" t="s">
        <v>137</v>
      </c>
      <c r="D1007" s="11" t="s">
        <v>18</v>
      </c>
      <c r="E1007" s="12" t="s">
        <v>226</v>
      </c>
      <c r="F1007" s="12" t="s">
        <v>227</v>
      </c>
      <c r="G1007" s="12" t="s">
        <v>29</v>
      </c>
      <c r="H1007" s="11" t="s">
        <v>22</v>
      </c>
      <c r="I1007" s="13" t="s">
        <v>2498</v>
      </c>
      <c r="J1007" s="14" t="str">
        <f>HYPERLINK("https://www.boe.es/gazeta/dias/1839/06/09/pdfs/GMD-1839-1667.pdf#page=1","Abrir facsímil")</f>
        <v>Abrir facsímil</v>
      </c>
      <c r="K1007" s="12" t="s">
        <v>24</v>
      </c>
    </row>
    <row r="1008" spans="1:11" ht="40.049999999999997" customHeight="1" x14ac:dyDescent="0.25">
      <c r="A1008" s="11" t="s">
        <v>2499</v>
      </c>
      <c r="B1008" s="11" t="s">
        <v>2500</v>
      </c>
      <c r="C1008" s="11" t="s">
        <v>17</v>
      </c>
      <c r="D1008" s="11" t="s">
        <v>18</v>
      </c>
      <c r="E1008" s="12" t="s">
        <v>239</v>
      </c>
      <c r="F1008" s="12" t="s">
        <v>1863</v>
      </c>
      <c r="G1008" s="12" t="s">
        <v>29</v>
      </c>
      <c r="H1008" s="11" t="s">
        <v>63</v>
      </c>
      <c r="I1008" s="13" t="s">
        <v>2501</v>
      </c>
      <c r="J1008" s="14" t="str">
        <f>HYPERLINK("https://www.boe.es/datos/pdfs/BOE//1839/1778/E00001-00001.pdf#page=1","Abrir facsímil")</f>
        <v>Abrir facsímil</v>
      </c>
      <c r="K1008" s="12" t="s">
        <v>65</v>
      </c>
    </row>
    <row r="1009" spans="1:11" ht="40.049999999999997" customHeight="1" x14ac:dyDescent="0.25">
      <c r="A1009" s="11" t="s">
        <v>2502</v>
      </c>
      <c r="B1009" s="11" t="s">
        <v>2503</v>
      </c>
      <c r="C1009" s="11" t="s">
        <v>17</v>
      </c>
      <c r="D1009" s="11" t="s">
        <v>18</v>
      </c>
      <c r="E1009" s="12" t="s">
        <v>2320</v>
      </c>
      <c r="F1009" s="12" t="s">
        <v>2321</v>
      </c>
      <c r="G1009" s="12" t="s">
        <v>21</v>
      </c>
      <c r="H1009" s="11" t="s">
        <v>63</v>
      </c>
      <c r="I1009" s="13" t="s">
        <v>2504</v>
      </c>
      <c r="J1009" s="14" t="str">
        <f>HYPERLINK("https://www.boe.es/gazeta/dias/1839/11/13/pdfs/GMD-1839-1830.pdf#page=4","Abrir facsímil")</f>
        <v>Abrir facsímil</v>
      </c>
      <c r="K1009" s="12" t="s">
        <v>65</v>
      </c>
    </row>
    <row r="1010" spans="1:11" ht="40.049999999999997" customHeight="1" x14ac:dyDescent="0.25">
      <c r="A1010" s="11" t="s">
        <v>2505</v>
      </c>
      <c r="B1010" s="11" t="s">
        <v>2506</v>
      </c>
      <c r="C1010" s="11" t="s">
        <v>80</v>
      </c>
      <c r="D1010" s="11" t="s">
        <v>18</v>
      </c>
      <c r="E1010" s="12" t="s">
        <v>2507</v>
      </c>
      <c r="F1010" s="12" t="s">
        <v>2508</v>
      </c>
      <c r="G1010" s="12" t="s">
        <v>21</v>
      </c>
      <c r="H1010" s="11" t="s">
        <v>63</v>
      </c>
      <c r="I1010" s="13" t="s">
        <v>2509</v>
      </c>
      <c r="J1010" s="14" t="str">
        <f>HYPERLINK("https://www.boe.es/gazeta/dias/1839/03/08/pdfs/GMD-1839-1574.pdf#page=4","Abrir facsímil")</f>
        <v>Abrir facsímil</v>
      </c>
      <c r="K1010" s="12" t="s">
        <v>65</v>
      </c>
    </row>
    <row r="1011" spans="1:11" ht="40.049999999999997" customHeight="1" x14ac:dyDescent="0.25">
      <c r="A1011" s="11" t="s">
        <v>2510</v>
      </c>
      <c r="B1011" s="11" t="s">
        <v>2510</v>
      </c>
      <c r="C1011" s="11" t="s">
        <v>17</v>
      </c>
      <c r="D1011" s="11" t="s">
        <v>18</v>
      </c>
      <c r="E1011" s="12" t="s">
        <v>653</v>
      </c>
      <c r="F1011" s="12" t="s">
        <v>654</v>
      </c>
      <c r="G1011" s="12" t="s">
        <v>40</v>
      </c>
      <c r="H1011" s="11" t="s">
        <v>22</v>
      </c>
      <c r="I1011" s="13" t="s">
        <v>2511</v>
      </c>
      <c r="J1011" s="14" t="str">
        <f>HYPERLINK("https://www.boe.es/gazeta/dias/1839/10/31/pdfs/GMD-1839-1817.pdf#page=2","Abrir facsímil")</f>
        <v>Abrir facsímil</v>
      </c>
      <c r="K1011" s="12" t="s">
        <v>24</v>
      </c>
    </row>
    <row r="1012" spans="1:11" ht="40.049999999999997" customHeight="1" x14ac:dyDescent="0.25">
      <c r="A1012" s="11" t="s">
        <v>2512</v>
      </c>
      <c r="B1012" s="11" t="s">
        <v>2512</v>
      </c>
      <c r="C1012" s="11" t="s">
        <v>17</v>
      </c>
      <c r="D1012" s="11" t="s">
        <v>43</v>
      </c>
      <c r="E1012" s="12" t="s">
        <v>2491</v>
      </c>
      <c r="F1012" s="12" t="s">
        <v>2492</v>
      </c>
      <c r="G1012" s="12" t="s">
        <v>21</v>
      </c>
      <c r="H1012" s="11" t="s">
        <v>63</v>
      </c>
      <c r="I1012" s="13" t="s">
        <v>2513</v>
      </c>
      <c r="J1012" s="14" t="str">
        <f>HYPERLINK("https://www.boe.es/gazeta/dias/1839/05/01/pdfs/GMD-1839-1628.pdf#page=4","Abrir facsímil")</f>
        <v>Abrir facsímil</v>
      </c>
      <c r="K1012" s="12" t="s">
        <v>65</v>
      </c>
    </row>
    <row r="1013" spans="1:11" ht="40.049999999999997" customHeight="1" x14ac:dyDescent="0.25">
      <c r="A1013" s="11" t="s">
        <v>2514</v>
      </c>
      <c r="B1013" s="11" t="s">
        <v>2515</v>
      </c>
      <c r="C1013" s="11" t="s">
        <v>59</v>
      </c>
      <c r="D1013" s="11" t="s">
        <v>60</v>
      </c>
      <c r="E1013" s="12" t="s">
        <v>984</v>
      </c>
      <c r="F1013" s="12" t="s">
        <v>985</v>
      </c>
      <c r="G1013" s="12" t="s">
        <v>46</v>
      </c>
      <c r="H1013" s="11" t="s">
        <v>63</v>
      </c>
      <c r="I1013" s="13" t="s">
        <v>2516</v>
      </c>
      <c r="J1013" s="14" t="str">
        <f>HYPERLINK("https://www.boe.es/gazeta/dias/1839/04/10/pdfs/GMD-1839-1607.pdf#page=3","Abrir facsímil")</f>
        <v>Abrir facsímil</v>
      </c>
      <c r="K1013" s="12" t="s">
        <v>65</v>
      </c>
    </row>
    <row r="1014" spans="1:11" ht="40.049999999999997" customHeight="1" x14ac:dyDescent="0.25">
      <c r="A1014" s="11" t="s">
        <v>2517</v>
      </c>
      <c r="B1014" s="11" t="s">
        <v>2518</v>
      </c>
      <c r="C1014" s="11" t="s">
        <v>59</v>
      </c>
      <c r="D1014" s="11" t="s">
        <v>60</v>
      </c>
      <c r="E1014" s="12" t="s">
        <v>2443</v>
      </c>
      <c r="F1014" s="12" t="s">
        <v>2444</v>
      </c>
      <c r="G1014" s="12" t="s">
        <v>40</v>
      </c>
      <c r="H1014" s="11" t="s">
        <v>63</v>
      </c>
      <c r="I1014" s="13" t="s">
        <v>2519</v>
      </c>
      <c r="J1014" s="14" t="str">
        <f>HYPERLINK("https://www.boe.es/gazeta/dias/1839/11/02/pdfs/GMD-1839-1819.pdf#page=2","Abrir facsímil")</f>
        <v>Abrir facsímil</v>
      </c>
      <c r="K1014" s="12" t="s">
        <v>65</v>
      </c>
    </row>
    <row r="1015" spans="1:11" ht="40.049999999999997" customHeight="1" x14ac:dyDescent="0.25">
      <c r="A1015" s="11" t="s">
        <v>2520</v>
      </c>
      <c r="B1015" s="11" t="s">
        <v>2520</v>
      </c>
      <c r="C1015" s="11" t="s">
        <v>17</v>
      </c>
      <c r="D1015" s="11" t="s">
        <v>18</v>
      </c>
      <c r="E1015" s="12" t="s">
        <v>81</v>
      </c>
      <c r="F1015" s="12" t="s">
        <v>82</v>
      </c>
      <c r="G1015" s="12" t="s">
        <v>46</v>
      </c>
      <c r="H1015" s="11" t="s">
        <v>63</v>
      </c>
      <c r="I1015" s="13" t="s">
        <v>2521</v>
      </c>
      <c r="J1015" s="14" t="str">
        <f>HYPERLINK("https://www.boe.es/gazeta/dias/1839/03/03/pdfs/GMD-1839-1569.pdf#page=3","Abrir facsímil")</f>
        <v>Abrir facsímil</v>
      </c>
      <c r="K1015" s="12" t="s">
        <v>65</v>
      </c>
    </row>
    <row r="1016" spans="1:11" ht="40.049999999999997" customHeight="1" x14ac:dyDescent="0.25">
      <c r="A1016" s="11" t="s">
        <v>2520</v>
      </c>
      <c r="B1016" s="11" t="s">
        <v>2520</v>
      </c>
      <c r="C1016" s="11" t="s">
        <v>59</v>
      </c>
      <c r="D1016" s="11" t="s">
        <v>60</v>
      </c>
      <c r="E1016" s="12" t="s">
        <v>2522</v>
      </c>
      <c r="F1016" s="12" t="s">
        <v>2523</v>
      </c>
      <c r="G1016" s="12" t="s">
        <v>40</v>
      </c>
      <c r="H1016" s="11" t="s">
        <v>63</v>
      </c>
      <c r="I1016" s="13" t="s">
        <v>2524</v>
      </c>
      <c r="J1016" s="14" t="str">
        <f>HYPERLINK("https://www.boe.es/gazeta/dias/1839/12/29/pdfs/GMD-1839-1876.pdf#page=2","Abrir facsímil")</f>
        <v>Abrir facsímil</v>
      </c>
      <c r="K1016" s="12" t="s">
        <v>65</v>
      </c>
    </row>
    <row r="1017" spans="1:11" ht="40.049999999999997" customHeight="1" x14ac:dyDescent="0.25">
      <c r="A1017" s="11" t="s">
        <v>2525</v>
      </c>
      <c r="B1017" s="11" t="s">
        <v>2525</v>
      </c>
      <c r="C1017" s="11" t="s">
        <v>80</v>
      </c>
      <c r="D1017" s="11" t="s">
        <v>18</v>
      </c>
      <c r="E1017" s="12" t="s">
        <v>1807</v>
      </c>
      <c r="F1017" s="12" t="s">
        <v>1808</v>
      </c>
      <c r="G1017" s="12" t="s">
        <v>40</v>
      </c>
      <c r="H1017" s="11" t="s">
        <v>22</v>
      </c>
      <c r="I1017" s="13" t="s">
        <v>2526</v>
      </c>
      <c r="J1017" s="14" t="str">
        <f>HYPERLINK("https://www.boe.es/gazeta/dias/1839/01/29/pdfs/GMD-1839-1536.pdf#page=2","Abrir facsímil")</f>
        <v>Abrir facsímil</v>
      </c>
      <c r="K1017" s="12" t="s">
        <v>24</v>
      </c>
    </row>
    <row r="1018" spans="1:11" ht="40.049999999999997" customHeight="1" x14ac:dyDescent="0.25">
      <c r="A1018" s="11" t="s">
        <v>2525</v>
      </c>
      <c r="B1018" s="11" t="s">
        <v>2525</v>
      </c>
      <c r="C1018" s="11" t="s">
        <v>137</v>
      </c>
      <c r="D1018" s="11" t="s">
        <v>18</v>
      </c>
      <c r="E1018" s="12" t="s">
        <v>1867</v>
      </c>
      <c r="F1018" s="12" t="s">
        <v>1868</v>
      </c>
      <c r="G1018" s="12" t="s">
        <v>46</v>
      </c>
      <c r="H1018" s="11" t="s">
        <v>22</v>
      </c>
      <c r="I1018" s="13" t="s">
        <v>2527</v>
      </c>
      <c r="J1018" s="14" t="str">
        <f>HYPERLINK("https://www.boe.es/gazeta/dias/1839/01/30/pdfs/GMD-1839-1537.pdf#page=3","Abrir facsímil")</f>
        <v>Abrir facsímil</v>
      </c>
      <c r="K1018" s="12" t="s">
        <v>24</v>
      </c>
    </row>
    <row r="1019" spans="1:11" ht="40.049999999999997" customHeight="1" x14ac:dyDescent="0.25">
      <c r="A1019" s="11" t="s">
        <v>2528</v>
      </c>
      <c r="B1019" s="11" t="s">
        <v>2528</v>
      </c>
      <c r="C1019" s="11" t="s">
        <v>17</v>
      </c>
      <c r="D1019" s="11" t="s">
        <v>18</v>
      </c>
      <c r="E1019" s="12" t="s">
        <v>154</v>
      </c>
      <c r="F1019" s="12" t="s">
        <v>155</v>
      </c>
      <c r="G1019" s="12" t="s">
        <v>46</v>
      </c>
      <c r="H1019" s="11" t="s">
        <v>63</v>
      </c>
      <c r="I1019" s="13" t="s">
        <v>2529</v>
      </c>
      <c r="J1019" s="14" t="str">
        <f>HYPERLINK("https://www.boe.es/gazeta/dias/1839/02/02/pdfs/GMD-1839-1540.pdf#page=3","Abrir facsímil")</f>
        <v>Abrir facsímil</v>
      </c>
      <c r="K1019" s="12" t="s">
        <v>65</v>
      </c>
    </row>
    <row r="1020" spans="1:11" ht="40.049999999999997" customHeight="1" x14ac:dyDescent="0.25">
      <c r="A1020" s="11" t="s">
        <v>2528</v>
      </c>
      <c r="B1020" s="11" t="s">
        <v>2528</v>
      </c>
      <c r="C1020" s="11" t="s">
        <v>137</v>
      </c>
      <c r="D1020" s="11" t="s">
        <v>18</v>
      </c>
      <c r="E1020" s="12" t="s">
        <v>266</v>
      </c>
      <c r="F1020" s="12" t="s">
        <v>267</v>
      </c>
      <c r="G1020" s="12" t="s">
        <v>40</v>
      </c>
      <c r="H1020" s="11" t="s">
        <v>63</v>
      </c>
      <c r="I1020" s="13" t="s">
        <v>2530</v>
      </c>
      <c r="J1020" s="14" t="str">
        <f>HYPERLINK("https://www.boe.es/gazeta/dias/1839/01/03/pdfs/GMD-1839-1510.pdf#page=2","Abrir facsímil")</f>
        <v>Abrir facsímil</v>
      </c>
      <c r="K1020" s="12" t="s">
        <v>65</v>
      </c>
    </row>
    <row r="1021" spans="1:11" ht="40.049999999999997" customHeight="1" x14ac:dyDescent="0.25">
      <c r="A1021" s="11" t="s">
        <v>2528</v>
      </c>
      <c r="B1021" s="11" t="s">
        <v>2528</v>
      </c>
      <c r="C1021" s="11" t="s">
        <v>17</v>
      </c>
      <c r="D1021" s="11" t="s">
        <v>18</v>
      </c>
      <c r="E1021" s="12" t="s">
        <v>49</v>
      </c>
      <c r="F1021" s="12" t="s">
        <v>50</v>
      </c>
      <c r="G1021" s="12" t="s">
        <v>46</v>
      </c>
      <c r="H1021" s="11" t="s">
        <v>63</v>
      </c>
      <c r="I1021" s="13" t="s">
        <v>2531</v>
      </c>
      <c r="J1021" s="14" t="str">
        <f>HYPERLINK("https://www.boe.es/gazeta/dias/1839/01/05/pdfs/GMD-1839-1512.pdf#page=3","Abrir facsímil")</f>
        <v>Abrir facsímil</v>
      </c>
      <c r="K1021" s="12" t="s">
        <v>65</v>
      </c>
    </row>
    <row r="1022" spans="1:11" ht="40.049999999999997" customHeight="1" x14ac:dyDescent="0.25">
      <c r="A1022" s="11" t="s">
        <v>2528</v>
      </c>
      <c r="B1022" s="11" t="s">
        <v>2528</v>
      </c>
      <c r="C1022" s="11" t="s">
        <v>17</v>
      </c>
      <c r="D1022" s="11" t="s">
        <v>18</v>
      </c>
      <c r="E1022" s="12" t="s">
        <v>157</v>
      </c>
      <c r="F1022" s="12" t="s">
        <v>158</v>
      </c>
      <c r="G1022" s="12" t="s">
        <v>21</v>
      </c>
      <c r="H1022" s="11" t="s">
        <v>63</v>
      </c>
      <c r="I1022" s="13" t="s">
        <v>2532</v>
      </c>
      <c r="J1022" s="14" t="str">
        <f>HYPERLINK("https://www.boe.es/gazeta/dias/1839/02/08/pdfs/GMD-1839-1546.pdf#page=4","Abrir facsímil")</f>
        <v>Abrir facsímil</v>
      </c>
      <c r="K1022" s="12" t="s">
        <v>65</v>
      </c>
    </row>
    <row r="1023" spans="1:11" ht="40.049999999999997" customHeight="1" x14ac:dyDescent="0.25">
      <c r="A1023" s="11" t="s">
        <v>2528</v>
      </c>
      <c r="B1023" s="11" t="s">
        <v>2528</v>
      </c>
      <c r="C1023" s="11" t="s">
        <v>59</v>
      </c>
      <c r="D1023" s="11" t="s">
        <v>60</v>
      </c>
      <c r="E1023" s="12" t="s">
        <v>68</v>
      </c>
      <c r="F1023" s="12" t="s">
        <v>69</v>
      </c>
      <c r="G1023" s="12" t="s">
        <v>40</v>
      </c>
      <c r="H1023" s="11" t="s">
        <v>63</v>
      </c>
      <c r="I1023" s="13" t="s">
        <v>2533</v>
      </c>
      <c r="J1023" s="14" t="str">
        <f>HYPERLINK("https://www.boe.es/gazeta/dias/1839/02/09/pdfs/GMD-1839-1547.pdf#page=2","Abrir facsímil")</f>
        <v>Abrir facsímil</v>
      </c>
      <c r="K1023" s="12" t="s">
        <v>65</v>
      </c>
    </row>
    <row r="1024" spans="1:11" ht="40.049999999999997" customHeight="1" x14ac:dyDescent="0.25">
      <c r="A1024" s="11" t="s">
        <v>2528</v>
      </c>
      <c r="B1024" s="11" t="s">
        <v>2528</v>
      </c>
      <c r="C1024" s="11" t="s">
        <v>101</v>
      </c>
      <c r="D1024" s="11" t="s">
        <v>43</v>
      </c>
      <c r="E1024" s="12" t="s">
        <v>68</v>
      </c>
      <c r="F1024" s="12" t="s">
        <v>69</v>
      </c>
      <c r="G1024" s="12" t="s">
        <v>46</v>
      </c>
      <c r="H1024" s="11" t="s">
        <v>63</v>
      </c>
      <c r="I1024" s="13" t="s">
        <v>2534</v>
      </c>
      <c r="J1024" s="14" t="str">
        <f>HYPERLINK("https://www.boe.es/gazeta/dias/1839/02/09/pdfs/GMD-1839-1547.pdf#page=3","Abrir facsímil")</f>
        <v>Abrir facsímil</v>
      </c>
      <c r="K1024" s="12" t="s">
        <v>65</v>
      </c>
    </row>
    <row r="1025" spans="1:11" ht="40.049999999999997" customHeight="1" x14ac:dyDescent="0.25">
      <c r="A1025" s="11" t="s">
        <v>2528</v>
      </c>
      <c r="B1025" s="11" t="s">
        <v>2528</v>
      </c>
      <c r="C1025" s="11" t="s">
        <v>17</v>
      </c>
      <c r="D1025" s="11" t="s">
        <v>18</v>
      </c>
      <c r="E1025" s="12" t="s">
        <v>1366</v>
      </c>
      <c r="F1025" s="12" t="s">
        <v>1367</v>
      </c>
      <c r="G1025" s="12" t="s">
        <v>40</v>
      </c>
      <c r="H1025" s="11" t="s">
        <v>63</v>
      </c>
      <c r="I1025" s="13" t="s">
        <v>2535</v>
      </c>
      <c r="J1025" s="14" t="str">
        <f>HYPERLINK("https://www.boe.es/gazeta/dias/1839/09/09/pdfs/GMD-1839-1762.pdf#page=2","Abrir facsímil")</f>
        <v>Abrir facsímil</v>
      </c>
      <c r="K1025" s="12" t="s">
        <v>65</v>
      </c>
    </row>
    <row r="1026" spans="1:11" ht="40.049999999999997" customHeight="1" x14ac:dyDescent="0.25">
      <c r="A1026" s="11" t="s">
        <v>2528</v>
      </c>
      <c r="B1026" s="11" t="s">
        <v>2528</v>
      </c>
      <c r="C1026" s="11" t="s">
        <v>137</v>
      </c>
      <c r="D1026" s="11" t="s">
        <v>18</v>
      </c>
      <c r="E1026" s="12" t="s">
        <v>185</v>
      </c>
      <c r="F1026" s="12" t="s">
        <v>186</v>
      </c>
      <c r="G1026" s="12" t="s">
        <v>40</v>
      </c>
      <c r="H1026" s="11" t="s">
        <v>63</v>
      </c>
      <c r="I1026" s="13" t="s">
        <v>2536</v>
      </c>
      <c r="J1026" s="14" t="str">
        <f>HYPERLINK("https://www.boe.es/gazeta/dias/1839/01/15/pdfs/GMD-1839-1522.pdf#page=2","Abrir facsímil")</f>
        <v>Abrir facsímil</v>
      </c>
      <c r="K1026" s="12" t="s">
        <v>65</v>
      </c>
    </row>
    <row r="1027" spans="1:11" ht="40.049999999999997" customHeight="1" x14ac:dyDescent="0.25">
      <c r="A1027" s="11" t="s">
        <v>2528</v>
      </c>
      <c r="B1027" s="11" t="s">
        <v>2528</v>
      </c>
      <c r="C1027" s="11" t="s">
        <v>137</v>
      </c>
      <c r="D1027" s="11" t="s">
        <v>18</v>
      </c>
      <c r="E1027" s="12" t="s">
        <v>1867</v>
      </c>
      <c r="F1027" s="12" t="s">
        <v>1868</v>
      </c>
      <c r="G1027" s="12" t="s">
        <v>46</v>
      </c>
      <c r="H1027" s="11" t="s">
        <v>63</v>
      </c>
      <c r="I1027" s="13" t="s">
        <v>2537</v>
      </c>
      <c r="J1027" s="14" t="str">
        <f>HYPERLINK("https://www.boe.es/gazeta/dias/1839/01/30/pdfs/GMD-1839-1537.pdf#page=3","Abrir facsímil")</f>
        <v>Abrir facsímil</v>
      </c>
      <c r="K1027" s="12" t="s">
        <v>65</v>
      </c>
    </row>
    <row r="1028" spans="1:11" ht="40.049999999999997" customHeight="1" x14ac:dyDescent="0.25">
      <c r="A1028" s="11" t="s">
        <v>2538</v>
      </c>
      <c r="B1028" s="11" t="s">
        <v>2539</v>
      </c>
      <c r="C1028" s="11" t="s">
        <v>59</v>
      </c>
      <c r="D1028" s="11" t="s">
        <v>60</v>
      </c>
      <c r="E1028" s="12" t="s">
        <v>266</v>
      </c>
      <c r="F1028" s="12" t="s">
        <v>267</v>
      </c>
      <c r="G1028" s="12" t="s">
        <v>40</v>
      </c>
      <c r="H1028" s="11" t="s">
        <v>22</v>
      </c>
      <c r="I1028" s="13" t="s">
        <v>2540</v>
      </c>
      <c r="J1028" s="14" t="str">
        <f>HYPERLINK("https://www.boe.es/gazeta/dias/1839/01/03/pdfs/GMD-1839-1510.pdf#page=2","Abrir facsímil")</f>
        <v>Abrir facsímil</v>
      </c>
      <c r="K1028" s="12" t="s">
        <v>24</v>
      </c>
    </row>
    <row r="1029" spans="1:11" ht="40.049999999999997" customHeight="1" x14ac:dyDescent="0.25">
      <c r="A1029" s="11" t="s">
        <v>2541</v>
      </c>
      <c r="B1029" s="11" t="s">
        <v>2542</v>
      </c>
      <c r="C1029" s="11" t="s">
        <v>137</v>
      </c>
      <c r="D1029" s="11" t="s">
        <v>18</v>
      </c>
      <c r="E1029" s="12" t="s">
        <v>49</v>
      </c>
      <c r="F1029" s="12" t="s">
        <v>50</v>
      </c>
      <c r="G1029" s="12" t="s">
        <v>46</v>
      </c>
      <c r="H1029" s="11" t="s">
        <v>63</v>
      </c>
      <c r="I1029" s="13" t="s">
        <v>2543</v>
      </c>
      <c r="J1029" s="14" t="str">
        <f>HYPERLINK("https://www.boe.es/gazeta/dias/1839/01/05/pdfs/GMD-1839-1512.pdf#page=3","Abrir facsímil")</f>
        <v>Abrir facsímil</v>
      </c>
      <c r="K1029" s="12" t="s">
        <v>65</v>
      </c>
    </row>
    <row r="1030" spans="1:11" ht="40.049999999999997" customHeight="1" x14ac:dyDescent="0.25">
      <c r="A1030" s="11" t="s">
        <v>2544</v>
      </c>
      <c r="B1030" s="11" t="s">
        <v>2545</v>
      </c>
      <c r="C1030" s="11" t="s">
        <v>101</v>
      </c>
      <c r="D1030" s="11" t="s">
        <v>43</v>
      </c>
      <c r="E1030" s="12" t="s">
        <v>157</v>
      </c>
      <c r="F1030" s="12" t="s">
        <v>158</v>
      </c>
      <c r="G1030" s="12" t="s">
        <v>21</v>
      </c>
      <c r="H1030" s="11" t="s">
        <v>22</v>
      </c>
      <c r="I1030" s="13" t="s">
        <v>2546</v>
      </c>
      <c r="J1030" s="14" t="str">
        <f>HYPERLINK("https://www.boe.es/gazeta/dias/1839/02/08/pdfs/GMD-1839-1546.pdf#page=4","Abrir facsímil")</f>
        <v>Abrir facsímil</v>
      </c>
      <c r="K1030" s="12" t="s">
        <v>24</v>
      </c>
    </row>
    <row r="1031" spans="1:11" ht="40.049999999999997" customHeight="1" x14ac:dyDescent="0.25">
      <c r="A1031" s="11" t="s">
        <v>2544</v>
      </c>
      <c r="B1031" s="11" t="s">
        <v>2545</v>
      </c>
      <c r="C1031" s="11" t="s">
        <v>137</v>
      </c>
      <c r="D1031" s="11" t="s">
        <v>18</v>
      </c>
      <c r="E1031" s="12" t="s">
        <v>68</v>
      </c>
      <c r="F1031" s="12" t="s">
        <v>69</v>
      </c>
      <c r="G1031" s="12" t="s">
        <v>40</v>
      </c>
      <c r="H1031" s="11" t="s">
        <v>22</v>
      </c>
      <c r="I1031" s="13" t="s">
        <v>2547</v>
      </c>
      <c r="J1031" s="14" t="str">
        <f>HYPERLINK("https://www.boe.es/gazeta/dias/1839/02/09/pdfs/GMD-1839-1547.pdf#page=2","Abrir facsímil")</f>
        <v>Abrir facsímil</v>
      </c>
      <c r="K1031" s="12" t="s">
        <v>24</v>
      </c>
    </row>
    <row r="1032" spans="1:11" ht="40.049999999999997" customHeight="1" x14ac:dyDescent="0.25">
      <c r="A1032" s="11" t="s">
        <v>2541</v>
      </c>
      <c r="B1032" s="11" t="s">
        <v>2542</v>
      </c>
      <c r="C1032" s="11" t="s">
        <v>17</v>
      </c>
      <c r="D1032" s="11" t="s">
        <v>18</v>
      </c>
      <c r="E1032" s="12" t="s">
        <v>1366</v>
      </c>
      <c r="F1032" s="12" t="s">
        <v>1367</v>
      </c>
      <c r="G1032" s="12" t="s">
        <v>40</v>
      </c>
      <c r="H1032" s="11" t="s">
        <v>63</v>
      </c>
      <c r="I1032" s="13" t="s">
        <v>2548</v>
      </c>
      <c r="J1032" s="14" t="str">
        <f>HYPERLINK("https://www.boe.es/gazeta/dias/1839/09/09/pdfs/GMD-1839-1762.pdf#page=2","Abrir facsímil")</f>
        <v>Abrir facsímil</v>
      </c>
      <c r="K1032" s="12" t="s">
        <v>65</v>
      </c>
    </row>
    <row r="1033" spans="1:11" ht="40.049999999999997" customHeight="1" x14ac:dyDescent="0.25">
      <c r="A1033" s="11" t="s">
        <v>2541</v>
      </c>
      <c r="B1033" s="11" t="s">
        <v>2542</v>
      </c>
      <c r="C1033" s="11" t="s">
        <v>17</v>
      </c>
      <c r="D1033" s="11" t="s">
        <v>18</v>
      </c>
      <c r="E1033" s="12" t="s">
        <v>1867</v>
      </c>
      <c r="F1033" s="12" t="s">
        <v>1868</v>
      </c>
      <c r="G1033" s="12" t="s">
        <v>46</v>
      </c>
      <c r="H1033" s="11" t="s">
        <v>63</v>
      </c>
      <c r="I1033" s="13" t="s">
        <v>2549</v>
      </c>
      <c r="J1033" s="14" t="str">
        <f>HYPERLINK("https://www.boe.es/gazeta/dias/1839/01/30/pdfs/GMD-1839-1537.pdf#page=3","Abrir facsímil")</f>
        <v>Abrir facsímil</v>
      </c>
      <c r="K1033" s="12" t="s">
        <v>65</v>
      </c>
    </row>
    <row r="1034" spans="1:11" ht="40.049999999999997" customHeight="1" x14ac:dyDescent="0.25">
      <c r="A1034" s="11" t="s">
        <v>2550</v>
      </c>
      <c r="B1034" s="11" t="s">
        <v>2551</v>
      </c>
      <c r="C1034" s="11" t="s">
        <v>137</v>
      </c>
      <c r="D1034" s="11" t="s">
        <v>18</v>
      </c>
      <c r="E1034" s="12" t="s">
        <v>94</v>
      </c>
      <c r="F1034" s="12" t="s">
        <v>95</v>
      </c>
      <c r="G1034" s="12" t="s">
        <v>29</v>
      </c>
      <c r="H1034" s="11" t="s">
        <v>63</v>
      </c>
      <c r="I1034" s="13" t="s">
        <v>2552</v>
      </c>
      <c r="J1034" s="14" t="str">
        <f>HYPERLINK("https://www.boe.es/gazeta/dias/1839/02/24/pdfs/GMD-1839-1562.pdf#page=1","Abrir facsímil")</f>
        <v>Abrir facsímil</v>
      </c>
      <c r="K1034" s="12" t="s">
        <v>65</v>
      </c>
    </row>
    <row r="1035" spans="1:11" ht="40.049999999999997" customHeight="1" x14ac:dyDescent="0.25">
      <c r="A1035" s="11" t="s">
        <v>2553</v>
      </c>
      <c r="B1035" s="11" t="s">
        <v>2554</v>
      </c>
      <c r="C1035" s="11" t="s">
        <v>137</v>
      </c>
      <c r="D1035" s="11" t="s">
        <v>18</v>
      </c>
      <c r="E1035" s="12" t="s">
        <v>266</v>
      </c>
      <c r="F1035" s="12" t="s">
        <v>267</v>
      </c>
      <c r="G1035" s="12" t="s">
        <v>40</v>
      </c>
      <c r="H1035" s="11" t="s">
        <v>63</v>
      </c>
      <c r="I1035" s="13" t="s">
        <v>2555</v>
      </c>
      <c r="J1035" s="14" t="str">
        <f>HYPERLINK("https://www.boe.es/gazeta/dias/1839/01/03/pdfs/GMD-1839-1510.pdf#page=2","Abrir facsímil")</f>
        <v>Abrir facsímil</v>
      </c>
      <c r="K1035" s="12" t="s">
        <v>65</v>
      </c>
    </row>
    <row r="1036" spans="1:11" ht="40.049999999999997" customHeight="1" x14ac:dyDescent="0.25">
      <c r="A1036" s="11" t="s">
        <v>2553</v>
      </c>
      <c r="B1036" s="11" t="s">
        <v>2554</v>
      </c>
      <c r="C1036" s="11" t="s">
        <v>17</v>
      </c>
      <c r="D1036" s="11" t="s">
        <v>18</v>
      </c>
      <c r="E1036" s="12" t="s">
        <v>1772</v>
      </c>
      <c r="F1036" s="12" t="s">
        <v>1773</v>
      </c>
      <c r="G1036" s="12" t="s">
        <v>40</v>
      </c>
      <c r="H1036" s="11" t="s">
        <v>63</v>
      </c>
      <c r="I1036" s="13" t="s">
        <v>2556</v>
      </c>
      <c r="J1036" s="14" t="str">
        <f>HYPERLINK("https://www.boe.es/gazeta/dias/1839/05/07/pdfs/GMD-1839-1634.pdf#page=2","Abrir facsímil")</f>
        <v>Abrir facsímil</v>
      </c>
      <c r="K1036" s="12" t="s">
        <v>65</v>
      </c>
    </row>
    <row r="1037" spans="1:11" ht="40.049999999999997" customHeight="1" x14ac:dyDescent="0.25">
      <c r="A1037" s="11" t="s">
        <v>2553</v>
      </c>
      <c r="B1037" s="11" t="s">
        <v>2554</v>
      </c>
      <c r="C1037" s="11" t="s">
        <v>17</v>
      </c>
      <c r="D1037" s="11" t="s">
        <v>18</v>
      </c>
      <c r="E1037" s="12" t="s">
        <v>2349</v>
      </c>
      <c r="F1037" s="12" t="s">
        <v>2350</v>
      </c>
      <c r="G1037" s="12" t="s">
        <v>40</v>
      </c>
      <c r="H1037" s="11" t="s">
        <v>63</v>
      </c>
      <c r="I1037" s="13" t="s">
        <v>2557</v>
      </c>
      <c r="J1037" s="14" t="str">
        <f>HYPERLINK("https://www.boe.es/gazeta/dias/1839/09/29/pdfs/GMD-1839-1785.pdf#page=2","Abrir facsímil")</f>
        <v>Abrir facsímil</v>
      </c>
      <c r="K1037" s="12" t="s">
        <v>65</v>
      </c>
    </row>
    <row r="1038" spans="1:11" ht="40.049999999999997" customHeight="1" x14ac:dyDescent="0.25">
      <c r="A1038" s="11" t="s">
        <v>2558</v>
      </c>
      <c r="B1038" s="11" t="s">
        <v>2558</v>
      </c>
      <c r="C1038" s="11" t="s">
        <v>137</v>
      </c>
      <c r="D1038" s="11" t="s">
        <v>18</v>
      </c>
      <c r="E1038" s="12" t="s">
        <v>185</v>
      </c>
      <c r="F1038" s="12" t="s">
        <v>186</v>
      </c>
      <c r="G1038" s="12" t="s">
        <v>40</v>
      </c>
      <c r="H1038" s="11" t="s">
        <v>63</v>
      </c>
      <c r="I1038" s="13" t="s">
        <v>2559</v>
      </c>
      <c r="J1038" s="14" t="str">
        <f>HYPERLINK("https://www.boe.es/gazeta/dias/1839/01/15/pdfs/GMD-1839-1522.pdf#page=2","Abrir facsímil")</f>
        <v>Abrir facsímil</v>
      </c>
      <c r="K1038" s="12" t="s">
        <v>65</v>
      </c>
    </row>
    <row r="1039" spans="1:11" ht="40.049999999999997" customHeight="1" x14ac:dyDescent="0.25">
      <c r="A1039" s="11" t="s">
        <v>2560</v>
      </c>
      <c r="B1039" s="11" t="s">
        <v>2561</v>
      </c>
      <c r="C1039" s="11" t="s">
        <v>137</v>
      </c>
      <c r="D1039" s="11" t="s">
        <v>18</v>
      </c>
      <c r="E1039" s="12" t="s">
        <v>1891</v>
      </c>
      <c r="F1039" s="12" t="s">
        <v>1892</v>
      </c>
      <c r="G1039" s="12" t="s">
        <v>21</v>
      </c>
      <c r="H1039" s="11" t="s">
        <v>63</v>
      </c>
      <c r="I1039" s="13" t="s">
        <v>2562</v>
      </c>
      <c r="J1039" s="14" t="str">
        <f>HYPERLINK("https://www.boe.es/gazeta/dias/1839/12/14/pdfs/GMD-1839-1861.pdf#page=4","Abrir facsímil")</f>
        <v>Abrir facsímil</v>
      </c>
      <c r="K1039" s="12" t="s">
        <v>65</v>
      </c>
    </row>
    <row r="1040" spans="1:11" ht="40.049999999999997" customHeight="1" x14ac:dyDescent="0.25">
      <c r="A1040" s="11" t="s">
        <v>2563</v>
      </c>
      <c r="B1040" s="11" t="s">
        <v>2563</v>
      </c>
      <c r="C1040" s="11" t="s">
        <v>17</v>
      </c>
      <c r="D1040" s="11" t="s">
        <v>18</v>
      </c>
      <c r="E1040" s="12" t="s">
        <v>448</v>
      </c>
      <c r="F1040" s="12" t="s">
        <v>449</v>
      </c>
      <c r="G1040" s="12" t="s">
        <v>40</v>
      </c>
      <c r="H1040" s="11" t="s">
        <v>63</v>
      </c>
      <c r="I1040" s="13" t="s">
        <v>2564</v>
      </c>
      <c r="J1040" s="14" t="str">
        <f>HYPERLINK("https://www.boe.es/gazeta/dias/1839/02/06/pdfs/GMD-1839-1544.pdf#page=2","Abrir facsímil")</f>
        <v>Abrir facsímil</v>
      </c>
      <c r="K1040" s="12" t="s">
        <v>65</v>
      </c>
    </row>
    <row r="1041" spans="1:11" ht="40.049999999999997" customHeight="1" x14ac:dyDescent="0.25">
      <c r="A1041" s="11" t="s">
        <v>2565</v>
      </c>
      <c r="B1041" s="11" t="s">
        <v>2565</v>
      </c>
      <c r="C1041" s="11" t="s">
        <v>17</v>
      </c>
      <c r="D1041" s="11" t="s">
        <v>18</v>
      </c>
      <c r="E1041" s="12" t="s">
        <v>798</v>
      </c>
      <c r="F1041" s="12" t="s">
        <v>799</v>
      </c>
      <c r="G1041" s="12" t="s">
        <v>40</v>
      </c>
      <c r="H1041" s="11" t="s">
        <v>63</v>
      </c>
      <c r="I1041" s="13" t="s">
        <v>2566</v>
      </c>
      <c r="J1041" s="14" t="str">
        <f>HYPERLINK("https://www.boe.es/gazeta/dias/1839/09/03/pdfs/GMD-1839-1755.pdf#page=2","Abrir facsímil")</f>
        <v>Abrir facsímil</v>
      </c>
      <c r="K1041" s="12" t="s">
        <v>65</v>
      </c>
    </row>
    <row r="1042" spans="1:11" ht="40.049999999999997" customHeight="1" x14ac:dyDescent="0.25">
      <c r="A1042" s="11" t="s">
        <v>2565</v>
      </c>
      <c r="B1042" s="11" t="s">
        <v>2565</v>
      </c>
      <c r="C1042" s="11" t="s">
        <v>17</v>
      </c>
      <c r="D1042" s="11" t="s">
        <v>18</v>
      </c>
      <c r="E1042" s="12" t="s">
        <v>108</v>
      </c>
      <c r="F1042" s="12" t="s">
        <v>109</v>
      </c>
      <c r="G1042" s="12" t="s">
        <v>40</v>
      </c>
      <c r="H1042" s="11" t="s">
        <v>63</v>
      </c>
      <c r="I1042" s="13" t="s">
        <v>2567</v>
      </c>
      <c r="J1042" s="14" t="str">
        <f>HYPERLINK("https://www.boe.es/gazeta/dias/1839/01/04/pdfs/GMD-1839-1511.pdf#page=2","Abrir facsímil")</f>
        <v>Abrir facsímil</v>
      </c>
      <c r="K1042" s="12" t="s">
        <v>65</v>
      </c>
    </row>
    <row r="1043" spans="1:11" ht="40.049999999999997" customHeight="1" x14ac:dyDescent="0.25">
      <c r="A1043" s="11" t="s">
        <v>2565</v>
      </c>
      <c r="B1043" s="11" t="s">
        <v>2565</v>
      </c>
      <c r="C1043" s="11" t="s">
        <v>17</v>
      </c>
      <c r="D1043" s="11" t="s">
        <v>18</v>
      </c>
      <c r="E1043" s="12" t="s">
        <v>804</v>
      </c>
      <c r="F1043" s="12" t="s">
        <v>805</v>
      </c>
      <c r="G1043" s="12" t="s">
        <v>29</v>
      </c>
      <c r="H1043" s="11" t="s">
        <v>63</v>
      </c>
      <c r="I1043" s="13" t="s">
        <v>2568</v>
      </c>
      <c r="J1043" s="14" t="str">
        <f>HYPERLINK("https://www.boe.es/gazeta/dias/1839/01/08/pdfs/GMD-1839-1515.pdf#page=1","Abrir facsímil")</f>
        <v>Abrir facsímil</v>
      </c>
      <c r="K1043" s="12" t="s">
        <v>65</v>
      </c>
    </row>
    <row r="1044" spans="1:11" ht="40.049999999999997" customHeight="1" x14ac:dyDescent="0.25">
      <c r="A1044" s="11" t="s">
        <v>2565</v>
      </c>
      <c r="B1044" s="11" t="s">
        <v>2565</v>
      </c>
      <c r="C1044" s="11" t="s">
        <v>17</v>
      </c>
      <c r="D1044" s="11" t="s">
        <v>18</v>
      </c>
      <c r="E1044" s="12" t="s">
        <v>2050</v>
      </c>
      <c r="F1044" s="12" t="s">
        <v>2051</v>
      </c>
      <c r="G1044" s="12" t="s">
        <v>29</v>
      </c>
      <c r="H1044" s="11" t="s">
        <v>63</v>
      </c>
      <c r="I1044" s="13" t="s">
        <v>2569</v>
      </c>
      <c r="J1044" s="14" t="str">
        <f>HYPERLINK("https://www.boe.es/gazeta/dias/1839/01/09/pdfs/GMD-1839-1516.pdf#page=1","Abrir facsímil")</f>
        <v>Abrir facsímil</v>
      </c>
      <c r="K1044" s="12" t="s">
        <v>65</v>
      </c>
    </row>
    <row r="1045" spans="1:11" ht="40.049999999999997" customHeight="1" x14ac:dyDescent="0.25">
      <c r="A1045" s="11" t="s">
        <v>2565</v>
      </c>
      <c r="B1045" s="11" t="s">
        <v>2565</v>
      </c>
      <c r="C1045" s="11" t="s">
        <v>17</v>
      </c>
      <c r="D1045" s="11" t="s">
        <v>18</v>
      </c>
      <c r="E1045" s="12" t="s">
        <v>2222</v>
      </c>
      <c r="F1045" s="12" t="s">
        <v>2223</v>
      </c>
      <c r="G1045" s="12" t="s">
        <v>40</v>
      </c>
      <c r="H1045" s="11" t="s">
        <v>63</v>
      </c>
      <c r="I1045" s="13" t="s">
        <v>2570</v>
      </c>
      <c r="J1045" s="14" t="str">
        <f>HYPERLINK("https://www.boe.es/gazeta/dias/1839/09/19/pdfs/GMD-1839-1773.pdf#page=2","Abrir facsímil")</f>
        <v>Abrir facsímil</v>
      </c>
      <c r="K1045" s="12" t="s">
        <v>65</v>
      </c>
    </row>
    <row r="1046" spans="1:11" ht="40.049999999999997" customHeight="1" x14ac:dyDescent="0.25">
      <c r="A1046" s="11" t="s">
        <v>2565</v>
      </c>
      <c r="B1046" s="11" t="s">
        <v>2565</v>
      </c>
      <c r="C1046" s="11" t="s">
        <v>59</v>
      </c>
      <c r="D1046" s="11" t="s">
        <v>60</v>
      </c>
      <c r="E1046" s="12" t="s">
        <v>794</v>
      </c>
      <c r="F1046" s="12" t="s">
        <v>795</v>
      </c>
      <c r="G1046" s="12" t="s">
        <v>40</v>
      </c>
      <c r="H1046" s="11" t="s">
        <v>63</v>
      </c>
      <c r="I1046" s="13" t="s">
        <v>2571</v>
      </c>
      <c r="J1046" s="14" t="str">
        <f>HYPERLINK("https://www.boe.es/gazeta/dias/1839/01/22/pdfs/GMD-1839-1529.pdf#page=2","Abrir facsímil")</f>
        <v>Abrir facsímil</v>
      </c>
      <c r="K1046" s="12" t="s">
        <v>65</v>
      </c>
    </row>
    <row r="1047" spans="1:11" ht="40.049999999999997" customHeight="1" x14ac:dyDescent="0.25">
      <c r="A1047" s="11" t="s">
        <v>2572</v>
      </c>
      <c r="B1047" s="11" t="s">
        <v>2573</v>
      </c>
      <c r="C1047" s="11" t="s">
        <v>17</v>
      </c>
      <c r="D1047" s="11" t="s">
        <v>18</v>
      </c>
      <c r="E1047" s="12" t="s">
        <v>303</v>
      </c>
      <c r="F1047" s="12" t="s">
        <v>304</v>
      </c>
      <c r="G1047" s="12" t="s">
        <v>305</v>
      </c>
      <c r="H1047" s="11" t="s">
        <v>63</v>
      </c>
      <c r="I1047" s="13" t="s">
        <v>2574</v>
      </c>
      <c r="J1047" s="14" t="str">
        <f>HYPERLINK("https://www.boe.es/gazeta/dias/1839/10/06/pdfs/GMD-1839-1792.pdf#page=6","Abrir facsímil")</f>
        <v>Abrir facsímil</v>
      </c>
      <c r="K1047" s="12" t="s">
        <v>65</v>
      </c>
    </row>
    <row r="1048" spans="1:11" ht="40.049999999999997" customHeight="1" x14ac:dyDescent="0.25">
      <c r="A1048" s="11" t="s">
        <v>2575</v>
      </c>
      <c r="B1048" s="11" t="s">
        <v>2575</v>
      </c>
      <c r="C1048" s="11" t="s">
        <v>101</v>
      </c>
      <c r="D1048" s="11" t="s">
        <v>43</v>
      </c>
      <c r="E1048" s="12" t="s">
        <v>84</v>
      </c>
      <c r="F1048" s="12" t="s">
        <v>85</v>
      </c>
      <c r="G1048" s="12" t="s">
        <v>46</v>
      </c>
      <c r="H1048" s="11" t="s">
        <v>63</v>
      </c>
      <c r="I1048" s="13" t="s">
        <v>2576</v>
      </c>
      <c r="J1048" s="14" t="str">
        <f>HYPERLINK("https://www.boe.es/gazeta/dias/1839/03/11/pdfs/GMD-1839-1577.pdf#page=3","Abrir facsímil")</f>
        <v>Abrir facsímil</v>
      </c>
      <c r="K1048" s="12" t="s">
        <v>65</v>
      </c>
    </row>
    <row r="1049" spans="1:11" ht="40.049999999999997" customHeight="1" x14ac:dyDescent="0.25">
      <c r="A1049" s="11" t="s">
        <v>2577</v>
      </c>
      <c r="B1049" s="11" t="s">
        <v>2577</v>
      </c>
      <c r="C1049" s="11" t="s">
        <v>17</v>
      </c>
      <c r="D1049" s="11" t="s">
        <v>18</v>
      </c>
      <c r="E1049" s="12" t="s">
        <v>2392</v>
      </c>
      <c r="F1049" s="12" t="s">
        <v>2393</v>
      </c>
      <c r="G1049" s="12" t="s">
        <v>40</v>
      </c>
      <c r="H1049" s="11" t="s">
        <v>63</v>
      </c>
      <c r="I1049" s="13" t="s">
        <v>2578</v>
      </c>
      <c r="J1049" s="14" t="str">
        <f>HYPERLINK("https://www.boe.es/gazeta/dias/1839/05/21/pdfs/GMD-1839-1648.pdf#page=2","Abrir facsímil")</f>
        <v>Abrir facsímil</v>
      </c>
      <c r="K1049" s="12" t="s">
        <v>65</v>
      </c>
    </row>
    <row r="1050" spans="1:11" ht="40.049999999999997" customHeight="1" x14ac:dyDescent="0.25">
      <c r="A1050" s="11" t="s">
        <v>2579</v>
      </c>
      <c r="B1050" s="11" t="s">
        <v>2580</v>
      </c>
      <c r="C1050" s="11" t="s">
        <v>17</v>
      </c>
      <c r="D1050" s="11" t="s">
        <v>18</v>
      </c>
      <c r="E1050" s="12" t="s">
        <v>2432</v>
      </c>
      <c r="F1050" s="12" t="s">
        <v>2581</v>
      </c>
      <c r="G1050" s="12" t="s">
        <v>29</v>
      </c>
      <c r="H1050" s="11" t="s">
        <v>63</v>
      </c>
      <c r="I1050" s="13" t="s">
        <v>2582</v>
      </c>
      <c r="J1050" s="14" t="str">
        <f>HYPERLINK("https://www.boe.es/gazeta/dias/1839/07/23/pdfs/GMD-1839-1711.pdf#page=1","Abrir facsímil")</f>
        <v>Abrir facsímil</v>
      </c>
      <c r="K1050" s="12" t="s">
        <v>65</v>
      </c>
    </row>
    <row r="1051" spans="1:11" ht="40.049999999999997" customHeight="1" x14ac:dyDescent="0.25">
      <c r="A1051" s="11" t="s">
        <v>2583</v>
      </c>
      <c r="B1051" s="11" t="s">
        <v>2583</v>
      </c>
      <c r="C1051" s="11" t="s">
        <v>59</v>
      </c>
      <c r="D1051" s="11" t="s">
        <v>60</v>
      </c>
      <c r="E1051" s="12" t="s">
        <v>121</v>
      </c>
      <c r="F1051" s="12" t="s">
        <v>122</v>
      </c>
      <c r="G1051" s="12" t="s">
        <v>29</v>
      </c>
      <c r="H1051" s="11" t="s">
        <v>63</v>
      </c>
      <c r="I1051" s="13" t="s">
        <v>2584</v>
      </c>
      <c r="J1051" s="14" t="str">
        <f>HYPERLINK("https://www.boe.es/gazeta/dias/1839/06/08/pdfs/GMD-1839-1666.pdf#page=1","Abrir facsímil")</f>
        <v>Abrir facsímil</v>
      </c>
      <c r="K1051" s="12" t="s">
        <v>65</v>
      </c>
    </row>
    <row r="1052" spans="1:11" ht="40.049999999999997" customHeight="1" x14ac:dyDescent="0.25">
      <c r="A1052" s="11" t="s">
        <v>2585</v>
      </c>
      <c r="B1052" s="11" t="s">
        <v>2586</v>
      </c>
      <c r="C1052" s="11" t="s">
        <v>80</v>
      </c>
      <c r="D1052" s="11" t="s">
        <v>18</v>
      </c>
      <c r="E1052" s="12" t="s">
        <v>280</v>
      </c>
      <c r="F1052" s="12" t="s">
        <v>281</v>
      </c>
      <c r="G1052" s="12" t="s">
        <v>29</v>
      </c>
      <c r="H1052" s="11" t="s">
        <v>63</v>
      </c>
      <c r="I1052" s="13" t="s">
        <v>2587</v>
      </c>
      <c r="J1052" s="14" t="str">
        <f>HYPERLINK("https://www.boe.es/gazeta/dias/1839/08/21/pdfs/GMD-1839-1742.pdf#page=1","Abrir facsímil")</f>
        <v>Abrir facsímil</v>
      </c>
      <c r="K1052" s="12" t="s">
        <v>65</v>
      </c>
    </row>
    <row r="1053" spans="1:11" ht="40.049999999999997" customHeight="1" x14ac:dyDescent="0.25">
      <c r="A1053" s="11" t="s">
        <v>2588</v>
      </c>
      <c r="B1053" s="11" t="s">
        <v>2589</v>
      </c>
      <c r="C1053" s="11" t="s">
        <v>17</v>
      </c>
      <c r="D1053" s="11" t="s">
        <v>18</v>
      </c>
      <c r="E1053" s="12" t="s">
        <v>496</v>
      </c>
      <c r="F1053" s="12" t="s">
        <v>497</v>
      </c>
      <c r="G1053" s="12" t="s">
        <v>46</v>
      </c>
      <c r="H1053" s="11" t="s">
        <v>22</v>
      </c>
      <c r="I1053" s="13" t="s">
        <v>2590</v>
      </c>
      <c r="J1053" s="14" t="str">
        <f>HYPERLINK("https://www.boe.es/gazeta/dias/1839/11/23/pdfs/GMD-1839-1840.pdf#page=3","Abrir facsímil")</f>
        <v>Abrir facsímil</v>
      </c>
      <c r="K1053" s="12" t="s">
        <v>24</v>
      </c>
    </row>
    <row r="1054" spans="1:11" ht="40.049999999999997" customHeight="1" x14ac:dyDescent="0.25">
      <c r="A1054" s="11" t="s">
        <v>2591</v>
      </c>
      <c r="B1054" s="11" t="s">
        <v>2591</v>
      </c>
      <c r="C1054" s="11" t="s">
        <v>17</v>
      </c>
      <c r="D1054" s="11" t="s">
        <v>18</v>
      </c>
      <c r="E1054" s="12" t="s">
        <v>181</v>
      </c>
      <c r="F1054" s="12" t="s">
        <v>182</v>
      </c>
      <c r="G1054" s="12" t="s">
        <v>29</v>
      </c>
      <c r="H1054" s="11" t="s">
        <v>63</v>
      </c>
      <c r="I1054" s="13" t="s">
        <v>2592</v>
      </c>
      <c r="J1054" s="14" t="str">
        <f>HYPERLINK("https://www.boe.es/gazeta/dias/1839/01/11/pdfs/GMD-1839-1518.pdf#page=1","Abrir facsímil")</f>
        <v>Abrir facsímil</v>
      </c>
      <c r="K1054" s="12" t="s">
        <v>65</v>
      </c>
    </row>
    <row r="1055" spans="1:11" ht="40.049999999999997" customHeight="1" x14ac:dyDescent="0.25">
      <c r="A1055" s="11" t="s">
        <v>2593</v>
      </c>
      <c r="B1055" s="11" t="s">
        <v>2593</v>
      </c>
      <c r="C1055" s="11" t="s">
        <v>17</v>
      </c>
      <c r="D1055" s="11" t="s">
        <v>18</v>
      </c>
      <c r="E1055" s="12" t="s">
        <v>1076</v>
      </c>
      <c r="F1055" s="12" t="s">
        <v>1077</v>
      </c>
      <c r="G1055" s="12" t="s">
        <v>40</v>
      </c>
      <c r="H1055" s="11" t="s">
        <v>63</v>
      </c>
      <c r="I1055" s="13" t="s">
        <v>2594</v>
      </c>
      <c r="J1055" s="14" t="str">
        <f>HYPERLINK("https://www.boe.es/gazeta/dias/1839/10/19/pdfs/GMD-1839-1805.pdf#page=2","Abrir facsímil")</f>
        <v>Abrir facsímil</v>
      </c>
      <c r="K1055" s="12" t="s">
        <v>65</v>
      </c>
    </row>
    <row r="1056" spans="1:11" ht="40.049999999999997" customHeight="1" x14ac:dyDescent="0.25">
      <c r="A1056" s="11" t="s">
        <v>2595</v>
      </c>
      <c r="B1056" s="11" t="s">
        <v>2596</v>
      </c>
      <c r="C1056" s="11" t="s">
        <v>137</v>
      </c>
      <c r="D1056" s="11" t="s">
        <v>18</v>
      </c>
      <c r="E1056" s="12" t="s">
        <v>108</v>
      </c>
      <c r="F1056" s="12" t="s">
        <v>109</v>
      </c>
      <c r="G1056" s="12" t="s">
        <v>29</v>
      </c>
      <c r="H1056" s="11" t="s">
        <v>63</v>
      </c>
      <c r="I1056" s="13" t="s">
        <v>2597</v>
      </c>
      <c r="J1056" s="14" t="str">
        <f>HYPERLINK("https://www.boe.es/gazeta/dias/1839/01/04/pdfs/GMD-1839-1511.pdf#page=1","Abrir facsímil")</f>
        <v>Abrir facsímil</v>
      </c>
      <c r="K1056" s="12" t="s">
        <v>65</v>
      </c>
    </row>
    <row r="1057" spans="1:11" ht="40.049999999999997" customHeight="1" x14ac:dyDescent="0.25">
      <c r="A1057" s="11" t="s">
        <v>2595</v>
      </c>
      <c r="B1057" s="11" t="s">
        <v>2596</v>
      </c>
      <c r="C1057" s="11" t="s">
        <v>137</v>
      </c>
      <c r="D1057" s="11" t="s">
        <v>18</v>
      </c>
      <c r="E1057" s="12" t="s">
        <v>2165</v>
      </c>
      <c r="F1057" s="12" t="s">
        <v>2166</v>
      </c>
      <c r="G1057" s="12" t="s">
        <v>40</v>
      </c>
      <c r="H1057" s="11" t="s">
        <v>63</v>
      </c>
      <c r="I1057" s="13" t="s">
        <v>2598</v>
      </c>
      <c r="J1057" s="14" t="str">
        <f>HYPERLINK("https://www.boe.es/gazeta/dias/1839/01/06/pdfs/GMD-1839-1513.pdf#page=2","Abrir facsímil")</f>
        <v>Abrir facsímil</v>
      </c>
      <c r="K1057" s="12" t="s">
        <v>65</v>
      </c>
    </row>
    <row r="1058" spans="1:11" ht="40.049999999999997" customHeight="1" x14ac:dyDescent="0.25">
      <c r="A1058" s="11" t="s">
        <v>2595</v>
      </c>
      <c r="B1058" s="11" t="s">
        <v>2596</v>
      </c>
      <c r="C1058" s="11" t="s">
        <v>137</v>
      </c>
      <c r="D1058" s="11" t="s">
        <v>18</v>
      </c>
      <c r="E1058" s="12" t="s">
        <v>1729</v>
      </c>
      <c r="F1058" s="12" t="s">
        <v>1730</v>
      </c>
      <c r="G1058" s="12" t="s">
        <v>21</v>
      </c>
      <c r="H1058" s="11" t="s">
        <v>63</v>
      </c>
      <c r="I1058" s="13" t="s">
        <v>2599</v>
      </c>
      <c r="J1058" s="14" t="str">
        <f>HYPERLINK("https://www.boe.es/gazeta/dias/1839/04/25/pdfs/GMD-1839-1622.pdf#page=4","Abrir facsímil")</f>
        <v>Abrir facsímil</v>
      </c>
      <c r="K1058" s="12" t="s">
        <v>65</v>
      </c>
    </row>
    <row r="1059" spans="1:11" ht="40.049999999999997" customHeight="1" x14ac:dyDescent="0.25">
      <c r="A1059" s="11" t="s">
        <v>2600</v>
      </c>
      <c r="B1059" s="11" t="s">
        <v>2601</v>
      </c>
      <c r="C1059" s="11" t="s">
        <v>17</v>
      </c>
      <c r="D1059" s="11" t="s">
        <v>18</v>
      </c>
      <c r="E1059" s="12" t="s">
        <v>462</v>
      </c>
      <c r="F1059" s="12" t="s">
        <v>463</v>
      </c>
      <c r="G1059" s="12" t="s">
        <v>21</v>
      </c>
      <c r="H1059" s="11" t="s">
        <v>22</v>
      </c>
      <c r="I1059" s="13" t="s">
        <v>2602</v>
      </c>
      <c r="J1059" s="14" t="str">
        <f>HYPERLINK("https://www.boe.es/gazeta/dias/1839/06/19/pdfs/GMD-1839-1677.pdf#page=4","Abrir facsímil")</f>
        <v>Abrir facsímil</v>
      </c>
      <c r="K1059" s="12" t="s">
        <v>24</v>
      </c>
    </row>
    <row r="1060" spans="1:11" ht="40.049999999999997" customHeight="1" x14ac:dyDescent="0.25">
      <c r="A1060" s="11" t="s">
        <v>2603</v>
      </c>
      <c r="B1060" s="11" t="s">
        <v>2604</v>
      </c>
      <c r="C1060" s="11" t="s">
        <v>17</v>
      </c>
      <c r="D1060" s="11" t="s">
        <v>18</v>
      </c>
      <c r="E1060" s="12" t="s">
        <v>398</v>
      </c>
      <c r="F1060" s="12" t="s">
        <v>399</v>
      </c>
      <c r="G1060" s="12" t="s">
        <v>46</v>
      </c>
      <c r="H1060" s="11" t="s">
        <v>22</v>
      </c>
      <c r="I1060" s="13" t="s">
        <v>2605</v>
      </c>
      <c r="J1060" s="14" t="str">
        <f>HYPERLINK("https://www.boe.es/gazeta/dias/1839/05/17/pdfs/GMD-1839-1644.pdf#page=3","Abrir facsímil")</f>
        <v>Abrir facsímil</v>
      </c>
      <c r="K1060" s="12" t="s">
        <v>24</v>
      </c>
    </row>
    <row r="1061" spans="1:11" ht="40.049999999999997" customHeight="1" x14ac:dyDescent="0.25">
      <c r="A1061" s="11" t="s">
        <v>2606</v>
      </c>
      <c r="B1061" s="11" t="s">
        <v>2607</v>
      </c>
      <c r="C1061" s="11" t="s">
        <v>17</v>
      </c>
      <c r="D1061" s="11" t="s">
        <v>18</v>
      </c>
      <c r="E1061" s="12" t="s">
        <v>713</v>
      </c>
      <c r="F1061" s="12" t="s">
        <v>714</v>
      </c>
      <c r="G1061" s="12" t="s">
        <v>46</v>
      </c>
      <c r="H1061" s="11" t="s">
        <v>63</v>
      </c>
      <c r="I1061" s="13" t="s">
        <v>2608</v>
      </c>
      <c r="J1061" s="14" t="str">
        <f>HYPERLINK("https://www.boe.es/gazeta/dias/1839/12/18/pdfs/GMD-1839-1865.pdf#page=3","Abrir facsímil")</f>
        <v>Abrir facsímil</v>
      </c>
      <c r="K1061" s="12" t="s">
        <v>65</v>
      </c>
    </row>
    <row r="1062" spans="1:11" ht="40.049999999999997" customHeight="1" x14ac:dyDescent="0.25">
      <c r="A1062" s="11" t="s">
        <v>2609</v>
      </c>
      <c r="B1062" s="11" t="s">
        <v>2609</v>
      </c>
      <c r="C1062" s="11" t="s">
        <v>17</v>
      </c>
      <c r="D1062" s="11" t="s">
        <v>18</v>
      </c>
      <c r="E1062" s="12" t="s">
        <v>804</v>
      </c>
      <c r="F1062" s="12" t="s">
        <v>805</v>
      </c>
      <c r="G1062" s="12" t="s">
        <v>46</v>
      </c>
      <c r="H1062" s="11" t="s">
        <v>22</v>
      </c>
      <c r="I1062" s="13" t="s">
        <v>2610</v>
      </c>
      <c r="J1062" s="14" t="str">
        <f>HYPERLINK("https://www.boe.es/gazeta/dias/1839/01/08/pdfs/GMD-1839-1515.pdf#page=3","Abrir facsímil")</f>
        <v>Abrir facsímil</v>
      </c>
      <c r="K1062" s="12" t="s">
        <v>24</v>
      </c>
    </row>
    <row r="1063" spans="1:11" ht="40.049999999999997" customHeight="1" x14ac:dyDescent="0.25">
      <c r="A1063" s="11" t="s">
        <v>2611</v>
      </c>
      <c r="B1063" s="11" t="s">
        <v>2611</v>
      </c>
      <c r="C1063" s="11" t="s">
        <v>17</v>
      </c>
      <c r="D1063" s="11" t="s">
        <v>18</v>
      </c>
      <c r="E1063" s="12" t="s">
        <v>168</v>
      </c>
      <c r="F1063" s="12" t="s">
        <v>169</v>
      </c>
      <c r="G1063" s="12" t="s">
        <v>46</v>
      </c>
      <c r="H1063" s="11" t="s">
        <v>63</v>
      </c>
      <c r="I1063" s="13" t="s">
        <v>2612</v>
      </c>
      <c r="J1063" s="14" t="str">
        <f>HYPERLINK("https://www.boe.es/gazeta/dias/1839/07/12/pdfs/GMD-1839-1700.pdf#page=3","Abrir facsímil")</f>
        <v>Abrir facsímil</v>
      </c>
      <c r="K1063" s="12" t="s">
        <v>65</v>
      </c>
    </row>
    <row r="1064" spans="1:11" ht="40.049999999999997" customHeight="1" x14ac:dyDescent="0.25">
      <c r="A1064" s="11" t="s">
        <v>2611</v>
      </c>
      <c r="B1064" s="11" t="s">
        <v>2611</v>
      </c>
      <c r="C1064" s="11" t="s">
        <v>17</v>
      </c>
      <c r="D1064" s="11" t="s">
        <v>18</v>
      </c>
      <c r="E1064" s="12" t="s">
        <v>230</v>
      </c>
      <c r="F1064" s="12" t="s">
        <v>231</v>
      </c>
      <c r="G1064" s="12" t="s">
        <v>40</v>
      </c>
      <c r="H1064" s="11" t="s">
        <v>63</v>
      </c>
      <c r="I1064" s="13" t="s">
        <v>2613</v>
      </c>
      <c r="J1064" s="14" t="str">
        <f>HYPERLINK("https://www.boe.es/gazeta/dias/1839/09/16/pdfs/GMD-1839-1769.pdf#page=2","Abrir facsímil")</f>
        <v>Abrir facsímil</v>
      </c>
      <c r="K1064" s="12" t="s">
        <v>65</v>
      </c>
    </row>
    <row r="1065" spans="1:11" ht="40.049999999999997" customHeight="1" x14ac:dyDescent="0.25">
      <c r="A1065" s="11" t="s">
        <v>2611</v>
      </c>
      <c r="B1065" s="11" t="s">
        <v>2611</v>
      </c>
      <c r="C1065" s="11" t="s">
        <v>17</v>
      </c>
      <c r="D1065" s="11" t="s">
        <v>18</v>
      </c>
      <c r="E1065" s="12" t="s">
        <v>433</v>
      </c>
      <c r="F1065" s="12" t="s">
        <v>434</v>
      </c>
      <c r="G1065" s="12" t="s">
        <v>21</v>
      </c>
      <c r="H1065" s="11" t="s">
        <v>63</v>
      </c>
      <c r="I1065" s="13" t="s">
        <v>2614</v>
      </c>
      <c r="J1065" s="14" t="str">
        <f>HYPERLINK("https://www.boe.es/gazeta/dias/1839/01/20/pdfs/GMD-1839-1527.pdf#page=4","Abrir facsímil")</f>
        <v>Abrir facsímil</v>
      </c>
      <c r="K1065" s="12" t="s">
        <v>65</v>
      </c>
    </row>
    <row r="1066" spans="1:11" ht="40.049999999999997" customHeight="1" x14ac:dyDescent="0.25">
      <c r="A1066" s="11" t="s">
        <v>2615</v>
      </c>
      <c r="B1066" s="11" t="s">
        <v>2616</v>
      </c>
      <c r="C1066" s="11" t="s">
        <v>17</v>
      </c>
      <c r="D1066" s="11" t="s">
        <v>18</v>
      </c>
      <c r="E1066" s="12" t="s">
        <v>89</v>
      </c>
      <c r="F1066" s="12" t="s">
        <v>90</v>
      </c>
      <c r="G1066" s="12" t="s">
        <v>21</v>
      </c>
      <c r="H1066" s="11" t="s">
        <v>63</v>
      </c>
      <c r="I1066" s="13" t="s">
        <v>2617</v>
      </c>
      <c r="J1066" s="14" t="str">
        <f>HYPERLINK("https://www.boe.es/gazeta/dias/1839/11/28/pdfs/GMD-1839-1845.pdf#page=4","Abrir facsímil")</f>
        <v>Abrir facsímil</v>
      </c>
      <c r="K1066" s="12" t="s">
        <v>65</v>
      </c>
    </row>
    <row r="1067" spans="1:11" ht="40.049999999999997" customHeight="1" x14ac:dyDescent="0.25">
      <c r="A1067" s="11" t="s">
        <v>2618</v>
      </c>
      <c r="B1067" s="11" t="s">
        <v>2619</v>
      </c>
      <c r="C1067" s="11" t="s">
        <v>80</v>
      </c>
      <c r="D1067" s="11" t="s">
        <v>18</v>
      </c>
      <c r="E1067" s="12" t="s">
        <v>168</v>
      </c>
      <c r="F1067" s="12" t="s">
        <v>169</v>
      </c>
      <c r="G1067" s="12" t="s">
        <v>46</v>
      </c>
      <c r="H1067" s="11" t="s">
        <v>63</v>
      </c>
      <c r="I1067" s="13" t="s">
        <v>2620</v>
      </c>
      <c r="J1067" s="14" t="str">
        <f>HYPERLINK("https://www.boe.es/gazeta/dias/1839/07/12/pdfs/GMD-1839-1700.pdf#page=3","Abrir facsímil")</f>
        <v>Abrir facsímil</v>
      </c>
      <c r="K1067" s="12" t="s">
        <v>65</v>
      </c>
    </row>
    <row r="1068" spans="1:11" ht="40.049999999999997" customHeight="1" x14ac:dyDescent="0.25">
      <c r="A1068" s="11" t="s">
        <v>2621</v>
      </c>
      <c r="B1068" s="11" t="s">
        <v>2622</v>
      </c>
      <c r="C1068" s="11" t="s">
        <v>17</v>
      </c>
      <c r="D1068" s="11" t="s">
        <v>43</v>
      </c>
      <c r="E1068" s="12" t="s">
        <v>862</v>
      </c>
      <c r="F1068" s="12" t="s">
        <v>863</v>
      </c>
      <c r="G1068" s="12" t="s">
        <v>46</v>
      </c>
      <c r="H1068" s="11" t="s">
        <v>63</v>
      </c>
      <c r="I1068" s="13" t="s">
        <v>2623</v>
      </c>
      <c r="J1068" s="14" t="str">
        <f>HYPERLINK("https://www.boe.es/gazeta/dias/1839/10/28/pdfs/GMD-1839-1814.pdf#page=3","Abrir facsímil")</f>
        <v>Abrir facsímil</v>
      </c>
      <c r="K1068" s="12" t="s">
        <v>65</v>
      </c>
    </row>
    <row r="1069" spans="1:11" ht="40.049999999999997" customHeight="1" x14ac:dyDescent="0.25">
      <c r="A1069" s="11" t="s">
        <v>2624</v>
      </c>
      <c r="B1069" s="11" t="s">
        <v>2624</v>
      </c>
      <c r="C1069" s="11" t="s">
        <v>17</v>
      </c>
      <c r="D1069" s="11" t="s">
        <v>18</v>
      </c>
      <c r="E1069" s="12" t="s">
        <v>1374</v>
      </c>
      <c r="F1069" s="12" t="s">
        <v>1375</v>
      </c>
      <c r="G1069" s="12" t="s">
        <v>29</v>
      </c>
      <c r="H1069" s="11" t="s">
        <v>63</v>
      </c>
      <c r="I1069" s="13" t="s">
        <v>2625</v>
      </c>
      <c r="J1069" s="14" t="str">
        <f>HYPERLINK("https://www.boe.es/gazeta/dias/1839/07/20/pdfs/GMD-1839-1708.pdf#page=1","Abrir facsímil")</f>
        <v>Abrir facsímil</v>
      </c>
      <c r="K1069" s="12" t="s">
        <v>65</v>
      </c>
    </row>
    <row r="1070" spans="1:11" ht="40.049999999999997" customHeight="1" x14ac:dyDescent="0.25">
      <c r="A1070" s="11" t="s">
        <v>2626</v>
      </c>
      <c r="B1070" s="11" t="s">
        <v>2626</v>
      </c>
      <c r="C1070" s="11" t="s">
        <v>59</v>
      </c>
      <c r="D1070" s="11" t="s">
        <v>60</v>
      </c>
      <c r="E1070" s="12" t="s">
        <v>1374</v>
      </c>
      <c r="F1070" s="12" t="s">
        <v>1375</v>
      </c>
      <c r="G1070" s="12" t="s">
        <v>40</v>
      </c>
      <c r="H1070" s="11" t="s">
        <v>63</v>
      </c>
      <c r="I1070" s="13" t="s">
        <v>2627</v>
      </c>
      <c r="J1070" s="14" t="str">
        <f>HYPERLINK("https://www.boe.es/gazeta/dias/1839/07/20/pdfs/GMD-1839-1708.pdf#page=2","Abrir facsímil")</f>
        <v>Abrir facsímil</v>
      </c>
      <c r="K1070" s="12" t="s">
        <v>65</v>
      </c>
    </row>
    <row r="1071" spans="1:11" ht="40.049999999999997" customHeight="1" x14ac:dyDescent="0.25">
      <c r="A1071" s="11" t="s">
        <v>2628</v>
      </c>
      <c r="B1071" s="11" t="s">
        <v>2629</v>
      </c>
      <c r="C1071" s="11" t="s">
        <v>137</v>
      </c>
      <c r="D1071" s="11" t="s">
        <v>18</v>
      </c>
      <c r="E1071" s="12" t="s">
        <v>1509</v>
      </c>
      <c r="F1071" s="12" t="s">
        <v>1510</v>
      </c>
      <c r="G1071" s="12" t="s">
        <v>305</v>
      </c>
      <c r="H1071" s="11" t="s">
        <v>63</v>
      </c>
      <c r="I1071" s="13" t="s">
        <v>2630</v>
      </c>
      <c r="J1071" s="14" t="str">
        <f>HYPERLINK("https://www.boe.es/gazeta/dias/1839/10/07/pdfs/GMD-1839-1793.pdf#page=6","Abrir facsímil")</f>
        <v>Abrir facsímil</v>
      </c>
      <c r="K1071" s="12" t="s">
        <v>65</v>
      </c>
    </row>
    <row r="1072" spans="1:11" ht="40.049999999999997" customHeight="1" x14ac:dyDescent="0.25">
      <c r="A1072" s="11" t="s">
        <v>2631</v>
      </c>
      <c r="B1072" s="11" t="s">
        <v>2631</v>
      </c>
      <c r="C1072" s="11" t="s">
        <v>80</v>
      </c>
      <c r="D1072" s="11" t="s">
        <v>18</v>
      </c>
      <c r="E1072" s="12" t="s">
        <v>1374</v>
      </c>
      <c r="F1072" s="12" t="s">
        <v>1375</v>
      </c>
      <c r="G1072" s="12" t="s">
        <v>40</v>
      </c>
      <c r="H1072" s="11" t="s">
        <v>63</v>
      </c>
      <c r="I1072" s="13" t="s">
        <v>2632</v>
      </c>
      <c r="J1072" s="14" t="str">
        <f>HYPERLINK("https://www.boe.es/gazeta/dias/1839/07/20/pdfs/GMD-1839-1708.pdf#page=2","Abrir facsímil")</f>
        <v>Abrir facsímil</v>
      </c>
      <c r="K1072" s="12" t="s">
        <v>65</v>
      </c>
    </row>
    <row r="1073" spans="1:11" ht="40.049999999999997" customHeight="1" x14ac:dyDescent="0.25">
      <c r="A1073" s="11" t="s">
        <v>2633</v>
      </c>
      <c r="B1073" s="11" t="s">
        <v>2633</v>
      </c>
      <c r="C1073" s="11" t="s">
        <v>80</v>
      </c>
      <c r="D1073" s="11" t="s">
        <v>18</v>
      </c>
      <c r="E1073" s="12" t="s">
        <v>181</v>
      </c>
      <c r="F1073" s="12" t="s">
        <v>182</v>
      </c>
      <c r="G1073" s="12" t="s">
        <v>21</v>
      </c>
      <c r="H1073" s="11" t="s">
        <v>63</v>
      </c>
      <c r="I1073" s="13" t="s">
        <v>2634</v>
      </c>
      <c r="J1073" s="14" t="str">
        <f>HYPERLINK("https://www.boe.es/gazeta/dias/1839/01/11/pdfs/GMD-1839-1518.pdf#page=4","Abrir facsímil")</f>
        <v>Abrir facsímil</v>
      </c>
      <c r="K1073" s="12" t="s">
        <v>65</v>
      </c>
    </row>
    <row r="1074" spans="1:11" ht="40.049999999999997" customHeight="1" x14ac:dyDescent="0.25">
      <c r="A1074" s="11" t="s">
        <v>2635</v>
      </c>
      <c r="B1074" s="11" t="s">
        <v>2635</v>
      </c>
      <c r="C1074" s="11" t="s">
        <v>17</v>
      </c>
      <c r="D1074" s="11" t="s">
        <v>18</v>
      </c>
      <c r="E1074" s="12" t="s">
        <v>157</v>
      </c>
      <c r="F1074" s="12" t="s">
        <v>158</v>
      </c>
      <c r="G1074" s="12" t="s">
        <v>21</v>
      </c>
      <c r="H1074" s="11" t="s">
        <v>63</v>
      </c>
      <c r="I1074" s="13" t="s">
        <v>2636</v>
      </c>
      <c r="J1074" s="14" t="str">
        <f>HYPERLINK("https://www.boe.es/gazeta/dias/1839/02/08/pdfs/GMD-1839-1546.pdf#page=4","Abrir facsímil")</f>
        <v>Abrir facsímil</v>
      </c>
      <c r="K1074" s="12" t="s">
        <v>65</v>
      </c>
    </row>
    <row r="1075" spans="1:11" ht="40.049999999999997" customHeight="1" x14ac:dyDescent="0.25">
      <c r="A1075" s="11" t="s">
        <v>2637</v>
      </c>
      <c r="B1075" s="11" t="s">
        <v>2637</v>
      </c>
      <c r="C1075" s="11" t="s">
        <v>17</v>
      </c>
      <c r="D1075" s="11" t="s">
        <v>18</v>
      </c>
      <c r="E1075" s="12" t="s">
        <v>38</v>
      </c>
      <c r="F1075" s="12" t="s">
        <v>39</v>
      </c>
      <c r="G1075" s="12" t="s">
        <v>40</v>
      </c>
      <c r="H1075" s="11" t="s">
        <v>63</v>
      </c>
      <c r="I1075" s="13" t="s">
        <v>2638</v>
      </c>
      <c r="J1075" s="14" t="str">
        <f>HYPERLINK("https://www.boe.es/gazeta/dias/1839/08/08/pdfs/GMD-1839-1728.pdf#page=2","Abrir facsímil")</f>
        <v>Abrir facsímil</v>
      </c>
      <c r="K1075" s="12" t="s">
        <v>65</v>
      </c>
    </row>
    <row r="1076" spans="1:11" ht="40.049999999999997" customHeight="1" x14ac:dyDescent="0.25">
      <c r="A1076" s="11" t="s">
        <v>2639</v>
      </c>
      <c r="B1076" s="11" t="s">
        <v>2639</v>
      </c>
      <c r="C1076" s="11" t="s">
        <v>80</v>
      </c>
      <c r="D1076" s="11" t="s">
        <v>173</v>
      </c>
      <c r="E1076" s="12" t="s">
        <v>1528</v>
      </c>
      <c r="F1076" s="12" t="s">
        <v>1529</v>
      </c>
      <c r="G1076" s="12" t="s">
        <v>21</v>
      </c>
      <c r="H1076" s="11" t="s">
        <v>63</v>
      </c>
      <c r="I1076" s="13" t="s">
        <v>2640</v>
      </c>
      <c r="J1076" s="14" t="str">
        <f>HYPERLINK("https://www.boe.es/gazeta/dias/1839/12/15/pdfs/GMD-1839-1862.pdf#page=4","Abrir facsímil")</f>
        <v>Abrir facsímil</v>
      </c>
      <c r="K1076" s="12" t="s">
        <v>65</v>
      </c>
    </row>
    <row r="1077" spans="1:11" ht="40.049999999999997" customHeight="1" x14ac:dyDescent="0.25">
      <c r="A1077" s="11" t="s">
        <v>2639</v>
      </c>
      <c r="B1077" s="11" t="s">
        <v>2639</v>
      </c>
      <c r="C1077" s="11" t="s">
        <v>137</v>
      </c>
      <c r="D1077" s="11" t="s">
        <v>18</v>
      </c>
      <c r="E1077" s="12" t="s">
        <v>486</v>
      </c>
      <c r="F1077" s="12" t="s">
        <v>487</v>
      </c>
      <c r="G1077" s="12" t="s">
        <v>29</v>
      </c>
      <c r="H1077" s="11" t="s">
        <v>63</v>
      </c>
      <c r="I1077" s="13" t="s">
        <v>2641</v>
      </c>
      <c r="J1077" s="14" t="str">
        <f>HYPERLINK("https://www.boe.es/gazeta/dias/1839/04/19/pdfs/GMD-1839-1616.pdf#page=1","Abrir facsímil")</f>
        <v>Abrir facsímil</v>
      </c>
      <c r="K1077" s="12" t="s">
        <v>65</v>
      </c>
    </row>
    <row r="1078" spans="1:11" ht="40.049999999999997" customHeight="1" x14ac:dyDescent="0.25">
      <c r="A1078" s="11" t="s">
        <v>2639</v>
      </c>
      <c r="B1078" s="11" t="s">
        <v>2639</v>
      </c>
      <c r="C1078" s="11" t="s">
        <v>80</v>
      </c>
      <c r="D1078" s="11" t="s">
        <v>18</v>
      </c>
      <c r="E1078" s="12" t="s">
        <v>486</v>
      </c>
      <c r="F1078" s="12" t="s">
        <v>487</v>
      </c>
      <c r="G1078" s="12" t="s">
        <v>40</v>
      </c>
      <c r="H1078" s="11" t="s">
        <v>63</v>
      </c>
      <c r="I1078" s="13" t="s">
        <v>2642</v>
      </c>
      <c r="J1078" s="14" t="str">
        <f>HYPERLINK("https://www.boe.es/gazeta/dias/1839/04/19/pdfs/GMD-1839-1616.pdf#page=2","Abrir facsímil")</f>
        <v>Abrir facsímil</v>
      </c>
      <c r="K1078" s="12" t="s">
        <v>65</v>
      </c>
    </row>
    <row r="1079" spans="1:11" ht="40.049999999999997" customHeight="1" x14ac:dyDescent="0.25">
      <c r="A1079" s="11" t="s">
        <v>2643</v>
      </c>
      <c r="B1079" s="11" t="s">
        <v>2644</v>
      </c>
      <c r="C1079" s="11" t="s">
        <v>17</v>
      </c>
      <c r="D1079" s="11" t="s">
        <v>18</v>
      </c>
      <c r="E1079" s="12" t="s">
        <v>1562</v>
      </c>
      <c r="F1079" s="12" t="s">
        <v>1563</v>
      </c>
      <c r="G1079" s="12" t="s">
        <v>29</v>
      </c>
      <c r="H1079" s="11" t="s">
        <v>63</v>
      </c>
      <c r="I1079" s="13" t="s">
        <v>2645</v>
      </c>
      <c r="J1079" s="14" t="str">
        <f>HYPERLINK("https://www.boe.es/gazeta/dias/1839/04/08/pdfs/GMD-1839-1605.pdf#page=1","Abrir facsímil")</f>
        <v>Abrir facsímil</v>
      </c>
      <c r="K1079" s="12" t="s">
        <v>65</v>
      </c>
    </row>
    <row r="1080" spans="1:11" ht="40.049999999999997" customHeight="1" x14ac:dyDescent="0.25">
      <c r="A1080" s="11" t="s">
        <v>2646</v>
      </c>
      <c r="B1080" s="11" t="s">
        <v>2647</v>
      </c>
      <c r="C1080" s="11" t="s">
        <v>137</v>
      </c>
      <c r="D1080" s="11" t="s">
        <v>18</v>
      </c>
      <c r="E1080" s="12" t="s">
        <v>1929</v>
      </c>
      <c r="F1080" s="12" t="s">
        <v>1930</v>
      </c>
      <c r="G1080" s="12" t="s">
        <v>40</v>
      </c>
      <c r="H1080" s="11" t="s">
        <v>63</v>
      </c>
      <c r="I1080" s="13" t="s">
        <v>2648</v>
      </c>
      <c r="J1080" s="14" t="str">
        <f>HYPERLINK("https://www.boe.es/gazeta/dias/1839/02/01/pdfs/GMD-1839-1539.pdf#page=2","Abrir facsímil")</f>
        <v>Abrir facsímil</v>
      </c>
      <c r="K1080" s="12" t="s">
        <v>65</v>
      </c>
    </row>
    <row r="1081" spans="1:11" ht="40.049999999999997" customHeight="1" x14ac:dyDescent="0.25">
      <c r="A1081" s="11" t="s">
        <v>2646</v>
      </c>
      <c r="B1081" s="11" t="s">
        <v>2647</v>
      </c>
      <c r="C1081" s="11" t="s">
        <v>80</v>
      </c>
      <c r="D1081" s="11" t="s">
        <v>173</v>
      </c>
      <c r="E1081" s="12" t="s">
        <v>544</v>
      </c>
      <c r="F1081" s="12" t="s">
        <v>545</v>
      </c>
      <c r="G1081" s="12" t="s">
        <v>21</v>
      </c>
      <c r="H1081" s="11" t="s">
        <v>63</v>
      </c>
      <c r="I1081" s="13" t="s">
        <v>2649</v>
      </c>
      <c r="J1081" s="14" t="str">
        <f>HYPERLINK("https://www.boe.es/gazeta/dias/1839/11/11/pdfs/GMD-1839-1828.pdf#page=4","Abrir facsímil")</f>
        <v>Abrir facsímil</v>
      </c>
      <c r="K1081" s="12" t="s">
        <v>65</v>
      </c>
    </row>
    <row r="1082" spans="1:11" ht="40.049999999999997" customHeight="1" x14ac:dyDescent="0.25">
      <c r="A1082" s="11" t="s">
        <v>2646</v>
      </c>
      <c r="B1082" s="11" t="s">
        <v>2647</v>
      </c>
      <c r="C1082" s="11" t="s">
        <v>80</v>
      </c>
      <c r="D1082" s="11" t="s">
        <v>18</v>
      </c>
      <c r="E1082" s="12" t="s">
        <v>2650</v>
      </c>
      <c r="F1082" s="12" t="s">
        <v>2651</v>
      </c>
      <c r="G1082" s="12" t="s">
        <v>21</v>
      </c>
      <c r="H1082" s="11" t="s">
        <v>63</v>
      </c>
      <c r="I1082" s="13" t="s">
        <v>2652</v>
      </c>
      <c r="J1082" s="14" t="str">
        <f>HYPERLINK("https://www.boe.es/gazeta/dias/1839/09/15/pdfs/GMD-1839-1768.pdf#page=4","Abrir facsímil")</f>
        <v>Abrir facsímil</v>
      </c>
      <c r="K1082" s="12" t="s">
        <v>65</v>
      </c>
    </row>
    <row r="1083" spans="1:11" ht="40.049999999999997" customHeight="1" x14ac:dyDescent="0.25">
      <c r="A1083" s="11" t="s">
        <v>2653</v>
      </c>
      <c r="B1083" s="11" t="s">
        <v>2654</v>
      </c>
      <c r="C1083" s="11" t="s">
        <v>59</v>
      </c>
      <c r="D1083" s="11" t="s">
        <v>60</v>
      </c>
      <c r="E1083" s="12" t="s">
        <v>1019</v>
      </c>
      <c r="F1083" s="12" t="s">
        <v>1020</v>
      </c>
      <c r="G1083" s="12" t="s">
        <v>40</v>
      </c>
      <c r="H1083" s="11" t="s">
        <v>22</v>
      </c>
      <c r="I1083" s="13" t="s">
        <v>2655</v>
      </c>
      <c r="J1083" s="14" t="str">
        <f>HYPERLINK("https://www.boe.es/gazeta/dias/1839/07/15/pdfs/GMD-1839-1703.pdf#page=2","Abrir facsímil")</f>
        <v>Abrir facsímil</v>
      </c>
      <c r="K1083" s="12" t="s">
        <v>24</v>
      </c>
    </row>
    <row r="1084" spans="1:11" ht="40.049999999999997" customHeight="1" x14ac:dyDescent="0.25">
      <c r="A1084" s="11" t="s">
        <v>2656</v>
      </c>
      <c r="B1084" s="11" t="s">
        <v>2656</v>
      </c>
      <c r="C1084" s="11" t="s">
        <v>59</v>
      </c>
      <c r="D1084" s="11" t="s">
        <v>60</v>
      </c>
      <c r="E1084" s="12" t="s">
        <v>507</v>
      </c>
      <c r="F1084" s="12" t="s">
        <v>508</v>
      </c>
      <c r="G1084" s="12" t="s">
        <v>40</v>
      </c>
      <c r="H1084" s="11" t="s">
        <v>63</v>
      </c>
      <c r="I1084" s="13" t="s">
        <v>2657</v>
      </c>
      <c r="J1084" s="14" t="str">
        <f>HYPERLINK("https://www.boe.es/gazeta/dias/1839/08/12/pdfs/GMD-1839-1732.pdf#page=2","Abrir facsímil")</f>
        <v>Abrir facsímil</v>
      </c>
      <c r="K1084" s="12" t="s">
        <v>65</v>
      </c>
    </row>
    <row r="1085" spans="1:11" ht="40.049999999999997" customHeight="1" x14ac:dyDescent="0.25">
      <c r="A1085" s="11" t="s">
        <v>2656</v>
      </c>
      <c r="B1085" s="11" t="s">
        <v>2656</v>
      </c>
      <c r="C1085" s="11" t="s">
        <v>17</v>
      </c>
      <c r="D1085" s="11" t="s">
        <v>18</v>
      </c>
      <c r="E1085" s="12" t="s">
        <v>2658</v>
      </c>
      <c r="F1085" s="12" t="s">
        <v>2659</v>
      </c>
      <c r="G1085" s="12" t="s">
        <v>46</v>
      </c>
      <c r="H1085" s="11" t="s">
        <v>63</v>
      </c>
      <c r="I1085" s="13" t="s">
        <v>2660</v>
      </c>
      <c r="J1085" s="14" t="str">
        <f>HYPERLINK("https://www.boe.es/gazeta/dias/1839/06/27/pdfs/GMD-1839-1685.pdf#page=3","Abrir facsímil")</f>
        <v>Abrir facsímil</v>
      </c>
      <c r="K1085" s="12" t="s">
        <v>65</v>
      </c>
    </row>
    <row r="1086" spans="1:11" ht="40.049999999999997" customHeight="1" x14ac:dyDescent="0.25">
      <c r="A1086" s="11" t="s">
        <v>2661</v>
      </c>
      <c r="B1086" s="11" t="s">
        <v>2662</v>
      </c>
      <c r="C1086" s="11" t="s">
        <v>17</v>
      </c>
      <c r="D1086" s="11" t="s">
        <v>18</v>
      </c>
      <c r="E1086" s="12" t="s">
        <v>522</v>
      </c>
      <c r="F1086" s="12" t="s">
        <v>523</v>
      </c>
      <c r="G1086" s="12" t="s">
        <v>40</v>
      </c>
      <c r="H1086" s="11" t="s">
        <v>63</v>
      </c>
      <c r="I1086" s="13" t="s">
        <v>2663</v>
      </c>
      <c r="J1086" s="14" t="str">
        <f>HYPERLINK("https://www.boe.es/gazeta/dias/1839/08/27/pdfs/GMD-1839-1748.pdf#page=2","Abrir facsímil")</f>
        <v>Abrir facsímil</v>
      </c>
      <c r="K1086" s="12" t="s">
        <v>65</v>
      </c>
    </row>
    <row r="1087" spans="1:11" ht="40.049999999999997" customHeight="1" x14ac:dyDescent="0.25">
      <c r="A1087" s="11" t="s">
        <v>2664</v>
      </c>
      <c r="B1087" s="11" t="s">
        <v>2664</v>
      </c>
      <c r="C1087" s="11" t="s">
        <v>17</v>
      </c>
      <c r="D1087" s="11" t="s">
        <v>18</v>
      </c>
      <c r="E1087" s="12" t="s">
        <v>1100</v>
      </c>
      <c r="F1087" s="12" t="s">
        <v>1101</v>
      </c>
      <c r="G1087" s="12" t="s">
        <v>40</v>
      </c>
      <c r="H1087" s="11" t="s">
        <v>63</v>
      </c>
      <c r="I1087" s="13" t="s">
        <v>2665</v>
      </c>
      <c r="J1087" s="14" t="str">
        <f>HYPERLINK("https://www.boe.es/gazeta/dias/1839/09/13/pdfs/GMD-1839-1766.pdf#page=2","Abrir facsímil")</f>
        <v>Abrir facsímil</v>
      </c>
      <c r="K1087" s="12" t="s">
        <v>65</v>
      </c>
    </row>
    <row r="1088" spans="1:11" ht="40.049999999999997" customHeight="1" x14ac:dyDescent="0.25">
      <c r="A1088" s="11" t="s">
        <v>2666</v>
      </c>
      <c r="B1088" s="11" t="s">
        <v>2667</v>
      </c>
      <c r="C1088" s="11" t="s">
        <v>17</v>
      </c>
      <c r="D1088" s="11" t="s">
        <v>18</v>
      </c>
      <c r="E1088" s="12" t="s">
        <v>1611</v>
      </c>
      <c r="F1088" s="12" t="s">
        <v>1612</v>
      </c>
      <c r="G1088" s="12" t="s">
        <v>29</v>
      </c>
      <c r="H1088" s="11" t="s">
        <v>22</v>
      </c>
      <c r="I1088" s="13" t="s">
        <v>2668</v>
      </c>
      <c r="J1088" s="14" t="str">
        <f>HYPERLINK("https://www.boe.es/gazeta/dias/1839/05/03/pdfs/GMD-1839-1630.pdf#page=1","Abrir facsímil")</f>
        <v>Abrir facsímil</v>
      </c>
      <c r="K1088" s="12" t="s">
        <v>24</v>
      </c>
    </row>
    <row r="1089" spans="1:11" ht="40.049999999999997" customHeight="1" x14ac:dyDescent="0.25">
      <c r="A1089" s="11" t="s">
        <v>2666</v>
      </c>
      <c r="B1089" s="11" t="s">
        <v>2667</v>
      </c>
      <c r="C1089" s="11" t="s">
        <v>101</v>
      </c>
      <c r="D1089" s="11" t="s">
        <v>102</v>
      </c>
      <c r="E1089" s="12" t="s">
        <v>409</v>
      </c>
      <c r="F1089" s="12" t="s">
        <v>410</v>
      </c>
      <c r="G1089" s="12" t="s">
        <v>29</v>
      </c>
      <c r="H1089" s="11" t="s">
        <v>22</v>
      </c>
      <c r="I1089" s="13" t="s">
        <v>2669</v>
      </c>
      <c r="J1089" s="14" t="str">
        <f>HYPERLINK("https://www.boe.es/gazeta/dias/1839/07/05/pdfs/GMD-1839-1693.pdf#page=1","Abrir facsímil")</f>
        <v>Abrir facsímil</v>
      </c>
      <c r="K1089" s="12" t="s">
        <v>24</v>
      </c>
    </row>
    <row r="1090" spans="1:11" ht="40.049999999999997" customHeight="1" x14ac:dyDescent="0.25">
      <c r="A1090" s="11" t="s">
        <v>2666</v>
      </c>
      <c r="B1090" s="11" t="s">
        <v>2667</v>
      </c>
      <c r="C1090" s="11" t="s">
        <v>17</v>
      </c>
      <c r="D1090" s="11" t="s">
        <v>18</v>
      </c>
      <c r="E1090" s="12" t="s">
        <v>903</v>
      </c>
      <c r="F1090" s="12" t="s">
        <v>904</v>
      </c>
      <c r="G1090" s="12" t="s">
        <v>40</v>
      </c>
      <c r="H1090" s="11" t="s">
        <v>22</v>
      </c>
      <c r="I1090" s="13" t="s">
        <v>2670</v>
      </c>
      <c r="J1090" s="14" t="str">
        <f>HYPERLINK("https://www.boe.es/gazeta/dias/1839/03/14/pdfs/GMD-1839-1580.pdf#page=2","Abrir facsímil")</f>
        <v>Abrir facsímil</v>
      </c>
      <c r="K1090" s="12" t="s">
        <v>24</v>
      </c>
    </row>
    <row r="1091" spans="1:11" ht="40.049999999999997" customHeight="1" x14ac:dyDescent="0.25">
      <c r="A1091" s="11" t="s">
        <v>2671</v>
      </c>
      <c r="B1091" s="11" t="s">
        <v>2672</v>
      </c>
      <c r="C1091" s="11" t="s">
        <v>137</v>
      </c>
      <c r="D1091" s="11" t="s">
        <v>18</v>
      </c>
      <c r="E1091" s="12" t="s">
        <v>1537</v>
      </c>
      <c r="F1091" s="12" t="s">
        <v>1538</v>
      </c>
      <c r="G1091" s="12" t="s">
        <v>21</v>
      </c>
      <c r="H1091" s="11" t="s">
        <v>63</v>
      </c>
      <c r="I1091" s="13" t="s">
        <v>2673</v>
      </c>
      <c r="J1091" s="14" t="str">
        <f>HYPERLINK("https://www.boe.es/gazeta/dias/1839/12/16/pdfs/GMD-1839-1863.pdf#page=4","Abrir facsímil")</f>
        <v>Abrir facsímil</v>
      </c>
      <c r="K1091" s="12" t="s">
        <v>65</v>
      </c>
    </row>
    <row r="1092" spans="1:11" ht="40.049999999999997" customHeight="1" x14ac:dyDescent="0.25">
      <c r="A1092" s="11" t="s">
        <v>2674</v>
      </c>
      <c r="B1092" s="11" t="s">
        <v>2675</v>
      </c>
      <c r="C1092" s="11" t="s">
        <v>80</v>
      </c>
      <c r="D1092" s="11" t="s">
        <v>18</v>
      </c>
      <c r="E1092" s="12" t="s">
        <v>992</v>
      </c>
      <c r="F1092" s="12" t="s">
        <v>993</v>
      </c>
      <c r="G1092" s="12" t="s">
        <v>21</v>
      </c>
      <c r="H1092" s="11" t="s">
        <v>63</v>
      </c>
      <c r="I1092" s="13" t="s">
        <v>2676</v>
      </c>
      <c r="J1092" s="14" t="str">
        <f>HYPERLINK("https://www.boe.es/gazeta/dias/1839/02/18/pdfs/GMD-1839-1556.pdf#page=4","Abrir facsímil")</f>
        <v>Abrir facsímil</v>
      </c>
      <c r="K1092" s="12" t="s">
        <v>65</v>
      </c>
    </row>
    <row r="1093" spans="1:11" ht="40.049999999999997" customHeight="1" x14ac:dyDescent="0.25">
      <c r="A1093" s="11" t="s">
        <v>2677</v>
      </c>
      <c r="B1093" s="11" t="s">
        <v>2677</v>
      </c>
      <c r="C1093" s="11" t="s">
        <v>101</v>
      </c>
      <c r="D1093" s="11" t="s">
        <v>43</v>
      </c>
      <c r="E1093" s="12" t="s">
        <v>2378</v>
      </c>
      <c r="F1093" s="12" t="s">
        <v>2379</v>
      </c>
      <c r="G1093" s="12" t="s">
        <v>29</v>
      </c>
      <c r="H1093" s="11" t="s">
        <v>63</v>
      </c>
      <c r="I1093" s="13" t="s">
        <v>2678</v>
      </c>
      <c r="J1093" s="14" t="str">
        <f>HYPERLINK("https://www.boe.es/gazeta/dias/1839/06/20/pdfs/GMD-1839-1678.pdf#page=1","Abrir facsímil")</f>
        <v>Abrir facsímil</v>
      </c>
      <c r="K1093" s="12" t="s">
        <v>65</v>
      </c>
    </row>
    <row r="1094" spans="1:11" ht="40.049999999999997" customHeight="1" x14ac:dyDescent="0.25">
      <c r="A1094" s="11" t="s">
        <v>2679</v>
      </c>
      <c r="B1094" s="11" t="s">
        <v>2680</v>
      </c>
      <c r="C1094" s="11" t="s">
        <v>80</v>
      </c>
      <c r="D1094" s="11" t="s">
        <v>18</v>
      </c>
      <c r="E1094" s="12" t="s">
        <v>1614</v>
      </c>
      <c r="F1094" s="12" t="s">
        <v>1615</v>
      </c>
      <c r="G1094" s="12" t="s">
        <v>21</v>
      </c>
      <c r="H1094" s="11" t="s">
        <v>63</v>
      </c>
      <c r="I1094" s="13" t="s">
        <v>2681</v>
      </c>
      <c r="J1094" s="14" t="str">
        <f>HYPERLINK("https://www.boe.es/gazeta/dias/1839/07/03/pdfs/GMD-1839-1691.pdf#page=4","Abrir facsímil")</f>
        <v>Abrir facsímil</v>
      </c>
      <c r="K1094" s="12" t="s">
        <v>65</v>
      </c>
    </row>
    <row r="1095" spans="1:11" ht="40.049999999999997" customHeight="1" x14ac:dyDescent="0.25">
      <c r="A1095" s="11" t="s">
        <v>2682</v>
      </c>
      <c r="B1095" s="11" t="s">
        <v>2683</v>
      </c>
      <c r="C1095" s="11" t="s">
        <v>17</v>
      </c>
      <c r="D1095" s="11" t="s">
        <v>18</v>
      </c>
      <c r="E1095" s="12" t="s">
        <v>116</v>
      </c>
      <c r="F1095" s="12" t="s">
        <v>117</v>
      </c>
      <c r="G1095" s="12" t="s">
        <v>21</v>
      </c>
      <c r="H1095" s="11" t="s">
        <v>63</v>
      </c>
      <c r="I1095" s="13" t="s">
        <v>2684</v>
      </c>
      <c r="J1095" s="14" t="str">
        <f>HYPERLINK("https://www.boe.es/gazeta/dias/1839/10/10/pdfs/GMD-1839-1796.pdf#page=4","Abrir facsímil")</f>
        <v>Abrir facsímil</v>
      </c>
      <c r="K1095" s="12" t="s">
        <v>65</v>
      </c>
    </row>
    <row r="1096" spans="1:11" ht="40.049999999999997" customHeight="1" x14ac:dyDescent="0.25">
      <c r="A1096" s="11" t="s">
        <v>2685</v>
      </c>
      <c r="B1096" s="11" t="s">
        <v>2685</v>
      </c>
      <c r="C1096" s="11" t="s">
        <v>80</v>
      </c>
      <c r="D1096" s="11" t="s">
        <v>18</v>
      </c>
      <c r="E1096" s="12" t="s">
        <v>1149</v>
      </c>
      <c r="F1096" s="12" t="s">
        <v>1150</v>
      </c>
      <c r="G1096" s="12" t="s">
        <v>46</v>
      </c>
      <c r="H1096" s="11" t="s">
        <v>63</v>
      </c>
      <c r="I1096" s="13" t="s">
        <v>2686</v>
      </c>
      <c r="J1096" s="14" t="str">
        <f>HYPERLINK("https://www.boe.es/gazeta/dias/1839/06/25/pdfs/GMD-1839-1683.pdf#page=3","Abrir facsímil")</f>
        <v>Abrir facsímil</v>
      </c>
      <c r="K1096" s="12" t="s">
        <v>65</v>
      </c>
    </row>
    <row r="1097" spans="1:11" ht="40.049999999999997" customHeight="1" x14ac:dyDescent="0.25">
      <c r="A1097" s="11" t="s">
        <v>2687</v>
      </c>
      <c r="B1097" s="11" t="s">
        <v>2687</v>
      </c>
      <c r="C1097" s="11" t="s">
        <v>17</v>
      </c>
      <c r="D1097" s="11" t="s">
        <v>18</v>
      </c>
      <c r="E1097" s="12" t="s">
        <v>548</v>
      </c>
      <c r="F1097" s="12" t="s">
        <v>549</v>
      </c>
      <c r="G1097" s="12" t="s">
        <v>40</v>
      </c>
      <c r="H1097" s="11" t="s">
        <v>63</v>
      </c>
      <c r="I1097" s="13" t="s">
        <v>2688</v>
      </c>
      <c r="J1097" s="14" t="str">
        <f>HYPERLINK("https://www.boe.es/gazeta/dias/1839/06/06/pdfs/GMD-1839-1664.pdf#page=2","Abrir facsímil")</f>
        <v>Abrir facsímil</v>
      </c>
      <c r="K1097" s="12" t="s">
        <v>65</v>
      </c>
    </row>
    <row r="1098" spans="1:11" ht="40.049999999999997" customHeight="1" x14ac:dyDescent="0.25">
      <c r="A1098" s="11" t="s">
        <v>2687</v>
      </c>
      <c r="B1098" s="11" t="s">
        <v>2687</v>
      </c>
      <c r="C1098" s="11" t="s">
        <v>17</v>
      </c>
      <c r="D1098" s="11" t="s">
        <v>18</v>
      </c>
      <c r="E1098" s="12" t="s">
        <v>121</v>
      </c>
      <c r="F1098" s="12" t="s">
        <v>122</v>
      </c>
      <c r="G1098" s="12" t="s">
        <v>46</v>
      </c>
      <c r="H1098" s="11" t="s">
        <v>63</v>
      </c>
      <c r="I1098" s="13" t="s">
        <v>2689</v>
      </c>
      <c r="J1098" s="14" t="str">
        <f>HYPERLINK("https://www.boe.es/gazeta/dias/1839/06/08/pdfs/GMD-1839-1666.pdf#page=3","Abrir facsímil")</f>
        <v>Abrir facsímil</v>
      </c>
      <c r="K1098" s="12" t="s">
        <v>65</v>
      </c>
    </row>
    <row r="1099" spans="1:11" ht="40.049999999999997" customHeight="1" x14ac:dyDescent="0.25">
      <c r="A1099" s="11" t="s">
        <v>2687</v>
      </c>
      <c r="B1099" s="11" t="s">
        <v>2687</v>
      </c>
      <c r="C1099" s="11" t="s">
        <v>17</v>
      </c>
      <c r="D1099" s="11" t="s">
        <v>18</v>
      </c>
      <c r="E1099" s="12" t="s">
        <v>2301</v>
      </c>
      <c r="F1099" s="12" t="s">
        <v>2302</v>
      </c>
      <c r="G1099" s="12" t="s">
        <v>40</v>
      </c>
      <c r="H1099" s="11" t="s">
        <v>63</v>
      </c>
      <c r="I1099" s="13" t="s">
        <v>2690</v>
      </c>
      <c r="J1099" s="14" t="str">
        <f>HYPERLINK("https://www.boe.es/gazeta/dias/1839/09/08/pdfs/GMD-1839-1761.pdf#page=2","Abrir facsímil")</f>
        <v>Abrir facsímil</v>
      </c>
      <c r="K1099" s="12" t="s">
        <v>65</v>
      </c>
    </row>
    <row r="1100" spans="1:11" ht="40.049999999999997" customHeight="1" x14ac:dyDescent="0.25">
      <c r="A1100" s="11" t="s">
        <v>2687</v>
      </c>
      <c r="B1100" s="11" t="s">
        <v>2687</v>
      </c>
      <c r="C1100" s="11" t="s">
        <v>17</v>
      </c>
      <c r="D1100" s="11" t="s">
        <v>18</v>
      </c>
      <c r="E1100" s="12" t="s">
        <v>1391</v>
      </c>
      <c r="F1100" s="12" t="s">
        <v>1392</v>
      </c>
      <c r="G1100" s="12" t="s">
        <v>29</v>
      </c>
      <c r="H1100" s="11" t="s">
        <v>63</v>
      </c>
      <c r="I1100" s="13" t="s">
        <v>2691</v>
      </c>
      <c r="J1100" s="14" t="str">
        <f>HYPERLINK("https://www.boe.es/gazeta/dias/1839/05/12/pdfs/GMD-1839-1639.pdf#page=1","Abrir facsímil")</f>
        <v>Abrir facsímil</v>
      </c>
      <c r="K1100" s="12" t="s">
        <v>65</v>
      </c>
    </row>
    <row r="1101" spans="1:11" ht="40.049999999999997" customHeight="1" x14ac:dyDescent="0.25">
      <c r="A1101" s="11" t="s">
        <v>2687</v>
      </c>
      <c r="B1101" s="11" t="s">
        <v>2687</v>
      </c>
      <c r="C1101" s="11" t="s">
        <v>17</v>
      </c>
      <c r="D1101" s="11" t="s">
        <v>18</v>
      </c>
      <c r="E1101" s="12" t="s">
        <v>2021</v>
      </c>
      <c r="F1101" s="12" t="s">
        <v>2022</v>
      </c>
      <c r="G1101" s="12" t="s">
        <v>21</v>
      </c>
      <c r="H1101" s="11" t="s">
        <v>63</v>
      </c>
      <c r="I1101" s="13" t="s">
        <v>2692</v>
      </c>
      <c r="J1101" s="14" t="str">
        <f>HYPERLINK("https://www.boe.es/gazeta/dias/1839/02/17/pdfs/GMD-1839-1555.pdf#page=4","Abrir facsímil")</f>
        <v>Abrir facsímil</v>
      </c>
      <c r="K1101" s="12" t="s">
        <v>65</v>
      </c>
    </row>
    <row r="1102" spans="1:11" ht="40.049999999999997" customHeight="1" x14ac:dyDescent="0.25">
      <c r="A1102" s="11" t="s">
        <v>2687</v>
      </c>
      <c r="B1102" s="11" t="s">
        <v>2687</v>
      </c>
      <c r="C1102" s="11" t="s">
        <v>59</v>
      </c>
      <c r="D1102" s="11" t="s">
        <v>60</v>
      </c>
      <c r="E1102" s="12" t="s">
        <v>2117</v>
      </c>
      <c r="F1102" s="12" t="s">
        <v>2118</v>
      </c>
      <c r="G1102" s="12" t="s">
        <v>21</v>
      </c>
      <c r="H1102" s="11" t="s">
        <v>63</v>
      </c>
      <c r="I1102" s="13" t="s">
        <v>2693</v>
      </c>
      <c r="J1102" s="14" t="str">
        <f>HYPERLINK("https://www.boe.es/gazeta/dias/1839/06/23/pdfs/GMD-1839-1681.pdf#page=4","Abrir facsímil")</f>
        <v>Abrir facsímil</v>
      </c>
      <c r="K1102" s="12" t="s">
        <v>65</v>
      </c>
    </row>
    <row r="1103" spans="1:11" ht="40.049999999999997" customHeight="1" x14ac:dyDescent="0.25">
      <c r="A1103" s="11" t="s">
        <v>2694</v>
      </c>
      <c r="B1103" s="11" t="s">
        <v>2695</v>
      </c>
      <c r="C1103" s="11" t="s">
        <v>80</v>
      </c>
      <c r="D1103" s="11" t="s">
        <v>18</v>
      </c>
      <c r="E1103" s="12" t="s">
        <v>462</v>
      </c>
      <c r="F1103" s="12" t="s">
        <v>463</v>
      </c>
      <c r="G1103" s="12" t="s">
        <v>21</v>
      </c>
      <c r="H1103" s="11" t="s">
        <v>63</v>
      </c>
      <c r="I1103" s="13" t="s">
        <v>2696</v>
      </c>
      <c r="J1103" s="14" t="str">
        <f>HYPERLINK("https://www.boe.es/gazeta/dias/1839/06/19/pdfs/GMD-1839-1677.pdf#page=4","Abrir facsímil")</f>
        <v>Abrir facsímil</v>
      </c>
      <c r="K1103" s="12" t="s">
        <v>65</v>
      </c>
    </row>
    <row r="1104" spans="1:11" ht="40.049999999999997" customHeight="1" x14ac:dyDescent="0.25">
      <c r="A1104" s="11" t="s">
        <v>2697</v>
      </c>
      <c r="B1104" s="11" t="s">
        <v>2698</v>
      </c>
      <c r="C1104" s="11" t="s">
        <v>17</v>
      </c>
      <c r="D1104" s="11" t="s">
        <v>18</v>
      </c>
      <c r="E1104" s="12" t="s">
        <v>1528</v>
      </c>
      <c r="F1104" s="12" t="s">
        <v>1529</v>
      </c>
      <c r="G1104" s="12" t="s">
        <v>21</v>
      </c>
      <c r="H1104" s="11" t="s">
        <v>63</v>
      </c>
      <c r="I1104" s="13" t="s">
        <v>2699</v>
      </c>
      <c r="J1104" s="14" t="str">
        <f>HYPERLINK("https://www.boe.es/gazeta/dias/1839/12/15/pdfs/GMD-1839-1862.pdf#page=4","Abrir facsímil")</f>
        <v>Abrir facsímil</v>
      </c>
      <c r="K1104" s="12" t="s">
        <v>65</v>
      </c>
    </row>
    <row r="1105" spans="1:11" ht="40.049999999999997" customHeight="1" x14ac:dyDescent="0.25">
      <c r="A1105" s="11" t="s">
        <v>2700</v>
      </c>
      <c r="B1105" s="11" t="s">
        <v>2700</v>
      </c>
      <c r="C1105" s="11" t="s">
        <v>101</v>
      </c>
      <c r="D1105" s="11" t="s">
        <v>43</v>
      </c>
      <c r="E1105" s="12" t="s">
        <v>416</v>
      </c>
      <c r="F1105" s="12" t="s">
        <v>417</v>
      </c>
      <c r="G1105" s="12" t="s">
        <v>40</v>
      </c>
      <c r="H1105" s="11" t="s">
        <v>63</v>
      </c>
      <c r="I1105" s="13" t="s">
        <v>2701</v>
      </c>
      <c r="J1105" s="14" t="str">
        <f>HYPERLINK("https://www.boe.es/gazeta/dias/1839/10/24/pdfs/GMD-1839-1810.pdf#page=2","Abrir facsímil")</f>
        <v>Abrir facsímil</v>
      </c>
      <c r="K1105" s="12" t="s">
        <v>65</v>
      </c>
    </row>
    <row r="1106" spans="1:11" ht="40.049999999999997" customHeight="1" x14ac:dyDescent="0.25">
      <c r="A1106" s="11" t="s">
        <v>2702</v>
      </c>
      <c r="B1106" s="11" t="s">
        <v>2702</v>
      </c>
      <c r="C1106" s="11" t="s">
        <v>137</v>
      </c>
      <c r="D1106" s="11" t="s">
        <v>18</v>
      </c>
      <c r="E1106" s="12" t="s">
        <v>163</v>
      </c>
      <c r="F1106" s="12" t="s">
        <v>164</v>
      </c>
      <c r="G1106" s="12" t="s">
        <v>40</v>
      </c>
      <c r="H1106" s="11" t="s">
        <v>63</v>
      </c>
      <c r="I1106" s="13" t="s">
        <v>2703</v>
      </c>
      <c r="J1106" s="14" t="str">
        <f>HYPERLINK("https://www.boe.es/gazeta/dias/1839/01/13/pdfs/GMD-1839-1520.pdf#page=2","Abrir facsímil")</f>
        <v>Abrir facsímil</v>
      </c>
      <c r="K1106" s="12" t="s">
        <v>65</v>
      </c>
    </row>
    <row r="1107" spans="1:11" ht="40.049999999999997" customHeight="1" x14ac:dyDescent="0.25">
      <c r="A1107" s="11" t="s">
        <v>2704</v>
      </c>
      <c r="B1107" s="11" t="s">
        <v>2704</v>
      </c>
      <c r="C1107" s="11" t="s">
        <v>17</v>
      </c>
      <c r="D1107" s="11" t="s">
        <v>18</v>
      </c>
      <c r="E1107" s="12" t="s">
        <v>258</v>
      </c>
      <c r="F1107" s="12" t="s">
        <v>259</v>
      </c>
      <c r="G1107" s="12" t="s">
        <v>21</v>
      </c>
      <c r="H1107" s="11" t="s">
        <v>63</v>
      </c>
      <c r="I1107" s="13" t="s">
        <v>2705</v>
      </c>
      <c r="J1107" s="14" t="str">
        <f>HYPERLINK("https://www.boe.es/gazeta/dias/1839/01/02/pdfs/GMD-1839-1509.pdf#page=4","Abrir facsímil")</f>
        <v>Abrir facsímil</v>
      </c>
      <c r="K1107" s="12" t="s">
        <v>65</v>
      </c>
    </row>
    <row r="1108" spans="1:11" ht="40.049999999999997" customHeight="1" x14ac:dyDescent="0.25">
      <c r="A1108" s="11" t="s">
        <v>2706</v>
      </c>
      <c r="B1108" s="11" t="s">
        <v>2707</v>
      </c>
      <c r="C1108" s="11" t="s">
        <v>101</v>
      </c>
      <c r="D1108" s="11" t="s">
        <v>43</v>
      </c>
      <c r="E1108" s="12" t="s">
        <v>197</v>
      </c>
      <c r="F1108" s="12" t="s">
        <v>198</v>
      </c>
      <c r="G1108" s="12" t="s">
        <v>46</v>
      </c>
      <c r="H1108" s="11" t="s">
        <v>63</v>
      </c>
      <c r="I1108" s="13" t="s">
        <v>2708</v>
      </c>
      <c r="J1108" s="14" t="str">
        <f>HYPERLINK("https://www.boe.es/gazeta/dias/1839/10/04/pdfs/GMD-1839-1790.pdf#page=3","Abrir facsímil")</f>
        <v>Abrir facsímil</v>
      </c>
      <c r="K1108" s="12" t="s">
        <v>65</v>
      </c>
    </row>
    <row r="1109" spans="1:11" ht="40.049999999999997" customHeight="1" x14ac:dyDescent="0.25">
      <c r="A1109" s="11" t="s">
        <v>2709</v>
      </c>
      <c r="B1109" s="11" t="s">
        <v>2709</v>
      </c>
      <c r="C1109" s="11" t="s">
        <v>101</v>
      </c>
      <c r="D1109" s="11" t="s">
        <v>43</v>
      </c>
      <c r="E1109" s="12" t="s">
        <v>303</v>
      </c>
      <c r="F1109" s="12" t="s">
        <v>304</v>
      </c>
      <c r="G1109" s="12" t="s">
        <v>40</v>
      </c>
      <c r="H1109" s="11" t="s">
        <v>22</v>
      </c>
      <c r="I1109" s="13" t="s">
        <v>2710</v>
      </c>
      <c r="J1109" s="14" t="str">
        <f>HYPERLINK("https://www.boe.es/gazeta/dias/1839/10/06/pdfs/GMD-1839-1792.pdf#page=2","Abrir facsímil")</f>
        <v>Abrir facsímil</v>
      </c>
      <c r="K1109" s="12" t="s">
        <v>24</v>
      </c>
    </row>
    <row r="1110" spans="1:11" ht="40.049999999999997" customHeight="1" x14ac:dyDescent="0.25">
      <c r="A1110" s="11" t="s">
        <v>2709</v>
      </c>
      <c r="B1110" s="11" t="s">
        <v>2709</v>
      </c>
      <c r="C1110" s="11" t="s">
        <v>101</v>
      </c>
      <c r="D1110" s="11" t="s">
        <v>43</v>
      </c>
      <c r="E1110" s="12" t="s">
        <v>1008</v>
      </c>
      <c r="F1110" s="12" t="s">
        <v>1009</v>
      </c>
      <c r="G1110" s="12" t="s">
        <v>46</v>
      </c>
      <c r="H1110" s="11" t="s">
        <v>22</v>
      </c>
      <c r="I1110" s="13" t="s">
        <v>2711</v>
      </c>
      <c r="J1110" s="14" t="str">
        <f>HYPERLINK("https://www.boe.es/gazeta/dias/1839/09/07/pdfs/GMD-1839-1760.pdf#page=3","Abrir facsímil")</f>
        <v>Abrir facsímil</v>
      </c>
      <c r="K1110" s="12" t="s">
        <v>24</v>
      </c>
    </row>
    <row r="1111" spans="1:11" ht="40.049999999999997" customHeight="1" x14ac:dyDescent="0.25">
      <c r="A1111" s="11" t="s">
        <v>2712</v>
      </c>
      <c r="B1111" s="11" t="s">
        <v>2713</v>
      </c>
      <c r="C1111" s="11" t="s">
        <v>17</v>
      </c>
      <c r="D1111" s="11" t="s">
        <v>18</v>
      </c>
      <c r="E1111" s="12" t="s">
        <v>1794</v>
      </c>
      <c r="F1111" s="12" t="s">
        <v>1795</v>
      </c>
      <c r="G1111" s="12" t="s">
        <v>29</v>
      </c>
      <c r="H1111" s="11" t="s">
        <v>63</v>
      </c>
      <c r="I1111" s="13" t="s">
        <v>2714</v>
      </c>
      <c r="J1111" s="14" t="str">
        <f>HYPERLINK("https://www.boe.es/gazeta/dias/1839/02/22/pdfs/GMD-1839-1560.pdf#page=1","Abrir facsímil")</f>
        <v>Abrir facsímil</v>
      </c>
      <c r="K1111" s="12" t="s">
        <v>65</v>
      </c>
    </row>
    <row r="1112" spans="1:11" ht="40.049999999999997" customHeight="1" x14ac:dyDescent="0.25">
      <c r="A1112" s="11" t="s">
        <v>2715</v>
      </c>
      <c r="B1112" s="11" t="s">
        <v>2715</v>
      </c>
      <c r="C1112" s="11" t="s">
        <v>101</v>
      </c>
      <c r="D1112" s="11" t="s">
        <v>43</v>
      </c>
      <c r="E1112" s="12" t="s">
        <v>303</v>
      </c>
      <c r="F1112" s="12" t="s">
        <v>304</v>
      </c>
      <c r="G1112" s="12" t="s">
        <v>29</v>
      </c>
      <c r="H1112" s="11" t="s">
        <v>63</v>
      </c>
      <c r="I1112" s="13" t="s">
        <v>2716</v>
      </c>
      <c r="J1112" s="14" t="str">
        <f>HYPERLINK("https://www.boe.es/gazeta/dias/1839/10/06/pdfs/GMD-1839-1792.pdf#page=1","Abrir facsímil")</f>
        <v>Abrir facsímil</v>
      </c>
      <c r="K1112" s="12" t="s">
        <v>65</v>
      </c>
    </row>
    <row r="1113" spans="1:11" ht="40.049999999999997" customHeight="1" x14ac:dyDescent="0.25">
      <c r="A1113" s="11" t="s">
        <v>2717</v>
      </c>
      <c r="B1113" s="11" t="s">
        <v>2718</v>
      </c>
      <c r="C1113" s="11" t="s">
        <v>137</v>
      </c>
      <c r="D1113" s="11" t="s">
        <v>18</v>
      </c>
      <c r="E1113" s="12" t="s">
        <v>870</v>
      </c>
      <c r="F1113" s="12" t="s">
        <v>871</v>
      </c>
      <c r="G1113" s="12" t="s">
        <v>21</v>
      </c>
      <c r="H1113" s="11" t="s">
        <v>63</v>
      </c>
      <c r="I1113" s="13" t="s">
        <v>2719</v>
      </c>
      <c r="J1113" s="14" t="str">
        <f>HYPERLINK("https://www.boe.es/gazeta/dias/1839/04/18/pdfs/GMD-1839-1615.pdf#page=4","Abrir facsímil")</f>
        <v>Abrir facsímil</v>
      </c>
      <c r="K1113" s="12" t="s">
        <v>65</v>
      </c>
    </row>
    <row r="1114" spans="1:11" ht="40.049999999999997" customHeight="1" x14ac:dyDescent="0.25">
      <c r="A1114" s="11" t="s">
        <v>2720</v>
      </c>
      <c r="B1114" s="11" t="s">
        <v>2720</v>
      </c>
      <c r="C1114" s="11" t="s">
        <v>17</v>
      </c>
      <c r="D1114" s="11" t="s">
        <v>18</v>
      </c>
      <c r="E1114" s="12" t="s">
        <v>2210</v>
      </c>
      <c r="F1114" s="12" t="s">
        <v>2211</v>
      </c>
      <c r="G1114" s="12" t="s">
        <v>46</v>
      </c>
      <c r="H1114" s="11" t="s">
        <v>22</v>
      </c>
      <c r="I1114" s="13" t="s">
        <v>2721</v>
      </c>
      <c r="J1114" s="14" t="str">
        <f>HYPERLINK("https://www.boe.es/gazeta/dias/1839/09/05/pdfs/GMD-1839-1758.pdf#page=3","Abrir facsímil")</f>
        <v>Abrir facsímil</v>
      </c>
      <c r="K1114" s="12" t="s">
        <v>24</v>
      </c>
    </row>
    <row r="1115" spans="1:11" ht="40.049999999999997" customHeight="1" x14ac:dyDescent="0.25">
      <c r="A1115" s="11" t="s">
        <v>2720</v>
      </c>
      <c r="B1115" s="11" t="s">
        <v>2720</v>
      </c>
      <c r="C1115" s="11" t="s">
        <v>101</v>
      </c>
      <c r="D1115" s="11" t="s">
        <v>43</v>
      </c>
      <c r="E1115" s="12" t="s">
        <v>303</v>
      </c>
      <c r="F1115" s="12" t="s">
        <v>304</v>
      </c>
      <c r="G1115" s="12" t="s">
        <v>40</v>
      </c>
      <c r="H1115" s="11" t="s">
        <v>22</v>
      </c>
      <c r="I1115" s="13" t="s">
        <v>2722</v>
      </c>
      <c r="J1115" s="14" t="str">
        <f>HYPERLINK("https://www.boe.es/gazeta/dias/1839/10/06/pdfs/GMD-1839-1792.pdf#page=2","Abrir facsímil")</f>
        <v>Abrir facsímil</v>
      </c>
      <c r="K1115" s="12" t="s">
        <v>24</v>
      </c>
    </row>
    <row r="1116" spans="1:11" ht="40.049999999999997" customHeight="1" x14ac:dyDescent="0.25">
      <c r="A1116" s="11" t="s">
        <v>2720</v>
      </c>
      <c r="B1116" s="11" t="s">
        <v>2720</v>
      </c>
      <c r="C1116" s="11" t="s">
        <v>17</v>
      </c>
      <c r="D1116" s="11" t="s">
        <v>18</v>
      </c>
      <c r="E1116" s="12" t="s">
        <v>1108</v>
      </c>
      <c r="F1116" s="12" t="s">
        <v>1109</v>
      </c>
      <c r="G1116" s="12" t="s">
        <v>21</v>
      </c>
      <c r="H1116" s="11" t="s">
        <v>22</v>
      </c>
      <c r="I1116" s="13" t="s">
        <v>2723</v>
      </c>
      <c r="J1116" s="14" t="str">
        <f>HYPERLINK("https://www.boe.es/gazeta/dias/1839/09/21/pdfs/GMD-1839-1776.pdf#page=4","Abrir facsímil")</f>
        <v>Abrir facsímil</v>
      </c>
      <c r="K1116" s="12" t="s">
        <v>24</v>
      </c>
    </row>
    <row r="1117" spans="1:11" ht="40.049999999999997" customHeight="1" x14ac:dyDescent="0.25">
      <c r="A1117" s="11" t="s">
        <v>2724</v>
      </c>
      <c r="B1117" s="11" t="s">
        <v>2724</v>
      </c>
      <c r="C1117" s="11" t="s">
        <v>17</v>
      </c>
      <c r="D1117" s="11" t="s">
        <v>18</v>
      </c>
      <c r="E1117" s="12" t="s">
        <v>496</v>
      </c>
      <c r="F1117" s="12" t="s">
        <v>497</v>
      </c>
      <c r="G1117" s="12" t="s">
        <v>40</v>
      </c>
      <c r="H1117" s="11" t="s">
        <v>63</v>
      </c>
      <c r="I1117" s="13" t="s">
        <v>2725</v>
      </c>
      <c r="J1117" s="14" t="str">
        <f>HYPERLINK("https://www.boe.es/gazeta/dias/1839/11/23/pdfs/GMD-1839-1840.pdf#page=2","Abrir facsímil")</f>
        <v>Abrir facsímil</v>
      </c>
      <c r="K1117" s="12" t="s">
        <v>65</v>
      </c>
    </row>
    <row r="1118" spans="1:11" ht="40.049999999999997" customHeight="1" x14ac:dyDescent="0.25">
      <c r="A1118" s="11" t="s">
        <v>2726</v>
      </c>
      <c r="B1118" s="11" t="s">
        <v>2727</v>
      </c>
      <c r="C1118" s="11" t="s">
        <v>59</v>
      </c>
      <c r="D1118" s="11" t="s">
        <v>60</v>
      </c>
      <c r="E1118" s="12" t="s">
        <v>685</v>
      </c>
      <c r="F1118" s="12" t="s">
        <v>686</v>
      </c>
      <c r="G1118" s="12" t="s">
        <v>46</v>
      </c>
      <c r="H1118" s="11" t="s">
        <v>63</v>
      </c>
      <c r="I1118" s="13" t="s">
        <v>2728</v>
      </c>
      <c r="J1118" s="14" t="str">
        <f>HYPERLINK("https://www.boe.es/gazeta/dias/1839/06/18/pdfs/GMD-1839-1676.pdf#page=3","Abrir facsímil")</f>
        <v>Abrir facsímil</v>
      </c>
      <c r="K1118" s="12" t="s">
        <v>65</v>
      </c>
    </row>
    <row r="1119" spans="1:11" ht="40.049999999999997" customHeight="1" x14ac:dyDescent="0.25">
      <c r="A1119" s="11" t="s">
        <v>2729</v>
      </c>
      <c r="B1119" s="11" t="s">
        <v>2730</v>
      </c>
      <c r="C1119" s="11" t="s">
        <v>17</v>
      </c>
      <c r="D1119" s="11" t="s">
        <v>18</v>
      </c>
      <c r="E1119" s="12" t="s">
        <v>685</v>
      </c>
      <c r="F1119" s="12" t="s">
        <v>686</v>
      </c>
      <c r="G1119" s="12" t="s">
        <v>46</v>
      </c>
      <c r="H1119" s="11" t="s">
        <v>22</v>
      </c>
      <c r="I1119" s="13" t="s">
        <v>2731</v>
      </c>
      <c r="J1119" s="14" t="str">
        <f>HYPERLINK("https://www.boe.es/gazeta/dias/1839/06/18/pdfs/GMD-1839-1676.pdf#page=3","Abrir facsímil")</f>
        <v>Abrir facsímil</v>
      </c>
      <c r="K1119" s="12" t="s">
        <v>24</v>
      </c>
    </row>
    <row r="1120" spans="1:11" ht="40.049999999999997" customHeight="1" x14ac:dyDescent="0.25">
      <c r="A1120" s="11" t="s">
        <v>2732</v>
      </c>
      <c r="B1120" s="11" t="s">
        <v>2732</v>
      </c>
      <c r="C1120" s="11" t="s">
        <v>101</v>
      </c>
      <c r="D1120" s="11" t="s">
        <v>43</v>
      </c>
      <c r="E1120" s="12" t="s">
        <v>197</v>
      </c>
      <c r="F1120" s="12" t="s">
        <v>198</v>
      </c>
      <c r="G1120" s="12" t="s">
        <v>40</v>
      </c>
      <c r="H1120" s="11" t="s">
        <v>63</v>
      </c>
      <c r="I1120" s="13" t="s">
        <v>2733</v>
      </c>
      <c r="J1120" s="14" t="str">
        <f>HYPERLINK("https://www.boe.es/gazeta/dias/1839/10/04/pdfs/GMD-1839-1790.pdf#page=2","Abrir facsímil")</f>
        <v>Abrir facsímil</v>
      </c>
      <c r="K1120" s="12" t="s">
        <v>65</v>
      </c>
    </row>
    <row r="1121" spans="1:11" ht="40.049999999999997" customHeight="1" x14ac:dyDescent="0.25">
      <c r="A1121" s="11" t="s">
        <v>2732</v>
      </c>
      <c r="B1121" s="11" t="s">
        <v>2732</v>
      </c>
      <c r="C1121" s="11" t="s">
        <v>101</v>
      </c>
      <c r="D1121" s="11" t="s">
        <v>43</v>
      </c>
      <c r="E1121" s="12" t="s">
        <v>2210</v>
      </c>
      <c r="F1121" s="12" t="s">
        <v>2211</v>
      </c>
      <c r="G1121" s="12" t="s">
        <v>46</v>
      </c>
      <c r="H1121" s="11" t="s">
        <v>63</v>
      </c>
      <c r="I1121" s="13" t="s">
        <v>2734</v>
      </c>
      <c r="J1121" s="14" t="str">
        <f>HYPERLINK("https://www.boe.es/gazeta/dias/1839/09/05/pdfs/GMD-1839-1758.pdf#page=3","Abrir facsímil")</f>
        <v>Abrir facsímil</v>
      </c>
      <c r="K1121" s="12" t="s">
        <v>65</v>
      </c>
    </row>
    <row r="1122" spans="1:11" ht="40.049999999999997" customHeight="1" x14ac:dyDescent="0.25">
      <c r="A1122" s="11" t="s">
        <v>2735</v>
      </c>
      <c r="B1122" s="11" t="s">
        <v>2735</v>
      </c>
      <c r="C1122" s="11" t="s">
        <v>101</v>
      </c>
      <c r="D1122" s="11" t="s">
        <v>43</v>
      </c>
      <c r="E1122" s="12" t="s">
        <v>54</v>
      </c>
      <c r="F1122" s="12" t="s">
        <v>55</v>
      </c>
      <c r="G1122" s="12" t="s">
        <v>40</v>
      </c>
      <c r="H1122" s="11" t="s">
        <v>22</v>
      </c>
      <c r="I1122" s="13" t="s">
        <v>2736</v>
      </c>
      <c r="J1122" s="14" t="str">
        <f>HYPERLINK("https://www.boe.es/gazeta/dias/1839/10/05/pdfs/GMD-1839-1791.pdf#page=2","Abrir facsímil")</f>
        <v>Abrir facsímil</v>
      </c>
      <c r="K1122" s="12" t="s">
        <v>24</v>
      </c>
    </row>
    <row r="1123" spans="1:11" ht="40.049999999999997" customHeight="1" x14ac:dyDescent="0.25">
      <c r="A1123" s="11" t="s">
        <v>2732</v>
      </c>
      <c r="B1123" s="11" t="s">
        <v>2732</v>
      </c>
      <c r="C1123" s="11" t="s">
        <v>17</v>
      </c>
      <c r="D1123" s="11" t="s">
        <v>18</v>
      </c>
      <c r="E1123" s="12" t="s">
        <v>54</v>
      </c>
      <c r="F1123" s="12" t="s">
        <v>55</v>
      </c>
      <c r="G1123" s="12" t="s">
        <v>46</v>
      </c>
      <c r="H1123" s="11" t="s">
        <v>63</v>
      </c>
      <c r="I1123" s="13" t="s">
        <v>2737</v>
      </c>
      <c r="J1123" s="14" t="str">
        <f>HYPERLINK("https://www.boe.es/gazeta/dias/1839/10/05/pdfs/GMD-1839-1791.pdf#page=3","Abrir facsímil")</f>
        <v>Abrir facsímil</v>
      </c>
      <c r="K1123" s="12" t="s">
        <v>65</v>
      </c>
    </row>
    <row r="1124" spans="1:11" ht="40.049999999999997" customHeight="1" x14ac:dyDescent="0.25">
      <c r="A1124" s="11" t="s">
        <v>2732</v>
      </c>
      <c r="B1124" s="11" t="s">
        <v>2732</v>
      </c>
      <c r="C1124" s="11" t="s">
        <v>17</v>
      </c>
      <c r="D1124" s="11" t="s">
        <v>18</v>
      </c>
      <c r="E1124" s="12" t="s">
        <v>2738</v>
      </c>
      <c r="F1124" s="12" t="s">
        <v>2739</v>
      </c>
      <c r="G1124" s="12" t="s">
        <v>40</v>
      </c>
      <c r="H1124" s="11" t="s">
        <v>63</v>
      </c>
      <c r="I1124" s="13" t="s">
        <v>2740</v>
      </c>
      <c r="J1124" s="14" t="str">
        <f>HYPERLINK("https://www.boe.es/gazeta/dias/1839/09/06/pdfs/GMD-1839-1759.pdf#page=2","Abrir facsímil")</f>
        <v>Abrir facsímil</v>
      </c>
      <c r="K1124" s="12" t="s">
        <v>65</v>
      </c>
    </row>
    <row r="1125" spans="1:11" ht="40.049999999999997" customHeight="1" x14ac:dyDescent="0.25">
      <c r="A1125" s="11" t="s">
        <v>2732</v>
      </c>
      <c r="B1125" s="11" t="s">
        <v>2732</v>
      </c>
      <c r="C1125" s="11" t="s">
        <v>17</v>
      </c>
      <c r="D1125" s="11" t="s">
        <v>18</v>
      </c>
      <c r="E1125" s="12" t="s">
        <v>303</v>
      </c>
      <c r="F1125" s="12" t="s">
        <v>304</v>
      </c>
      <c r="G1125" s="12" t="s">
        <v>40</v>
      </c>
      <c r="H1125" s="11" t="s">
        <v>63</v>
      </c>
      <c r="I1125" s="13" t="s">
        <v>2741</v>
      </c>
      <c r="J1125" s="14" t="str">
        <f>HYPERLINK("https://www.boe.es/gazeta/dias/1839/10/06/pdfs/GMD-1839-1792.pdf#page=2","Abrir facsímil")</f>
        <v>Abrir facsímil</v>
      </c>
      <c r="K1125" s="12" t="s">
        <v>65</v>
      </c>
    </row>
    <row r="1126" spans="1:11" ht="40.049999999999997" customHeight="1" x14ac:dyDescent="0.25">
      <c r="A1126" s="11" t="s">
        <v>2735</v>
      </c>
      <c r="B1126" s="11" t="s">
        <v>2735</v>
      </c>
      <c r="C1126" s="11" t="s">
        <v>137</v>
      </c>
      <c r="D1126" s="11" t="s">
        <v>18</v>
      </c>
      <c r="E1126" s="12" t="s">
        <v>647</v>
      </c>
      <c r="F1126" s="12" t="s">
        <v>648</v>
      </c>
      <c r="G1126" s="12" t="s">
        <v>566</v>
      </c>
      <c r="H1126" s="11" t="s">
        <v>22</v>
      </c>
      <c r="I1126" s="13" t="s">
        <v>2742</v>
      </c>
      <c r="J1126" s="14" t="str">
        <f>HYPERLINK("https://www.boe.es/gazeta/dias/1839/10/08/pdfs/GMD-1839-1794.pdf#page=5","Abrir facsímil")</f>
        <v>Abrir facsímil</v>
      </c>
      <c r="K1126" s="12" t="s">
        <v>24</v>
      </c>
    </row>
    <row r="1127" spans="1:11" ht="40.049999999999997" customHeight="1" x14ac:dyDescent="0.25">
      <c r="A1127" s="11" t="s">
        <v>2735</v>
      </c>
      <c r="B1127" s="11" t="s">
        <v>2735</v>
      </c>
      <c r="C1127" s="11" t="s">
        <v>17</v>
      </c>
      <c r="D1127" s="11" t="s">
        <v>18</v>
      </c>
      <c r="E1127" s="12" t="s">
        <v>1366</v>
      </c>
      <c r="F1127" s="12" t="s">
        <v>1367</v>
      </c>
      <c r="G1127" s="12" t="s">
        <v>40</v>
      </c>
      <c r="H1127" s="11" t="s">
        <v>22</v>
      </c>
      <c r="I1127" s="13" t="s">
        <v>2743</v>
      </c>
      <c r="J1127" s="14" t="str">
        <f>HYPERLINK("https://www.boe.es/gazeta/dias/1839/09/09/pdfs/GMD-1839-1762.pdf#page=2","Abrir facsímil")</f>
        <v>Abrir facsímil</v>
      </c>
      <c r="K1127" s="12" t="s">
        <v>24</v>
      </c>
    </row>
    <row r="1128" spans="1:11" ht="40.049999999999997" customHeight="1" x14ac:dyDescent="0.25">
      <c r="A1128" s="11" t="s">
        <v>2735</v>
      </c>
      <c r="B1128" s="11" t="s">
        <v>2735</v>
      </c>
      <c r="C1128" s="11" t="s">
        <v>17</v>
      </c>
      <c r="D1128" s="11" t="s">
        <v>18</v>
      </c>
      <c r="E1128" s="12" t="s">
        <v>1100</v>
      </c>
      <c r="F1128" s="12" t="s">
        <v>1101</v>
      </c>
      <c r="G1128" s="12" t="s">
        <v>21</v>
      </c>
      <c r="H1128" s="11" t="s">
        <v>22</v>
      </c>
      <c r="I1128" s="13" t="s">
        <v>2744</v>
      </c>
      <c r="J1128" s="14" t="str">
        <f>HYPERLINK("https://www.boe.es/gazeta/dias/1839/09/13/pdfs/GMD-1839-1766.pdf#page=4","Abrir facsímil")</f>
        <v>Abrir facsímil</v>
      </c>
      <c r="K1128" s="12" t="s">
        <v>24</v>
      </c>
    </row>
    <row r="1129" spans="1:11" ht="40.049999999999997" customHeight="1" x14ac:dyDescent="0.25">
      <c r="A1129" s="11" t="s">
        <v>2732</v>
      </c>
      <c r="B1129" s="11" t="s">
        <v>2732</v>
      </c>
      <c r="C1129" s="11" t="s">
        <v>137</v>
      </c>
      <c r="D1129" s="11" t="s">
        <v>18</v>
      </c>
      <c r="E1129" s="12" t="s">
        <v>239</v>
      </c>
      <c r="F1129" s="12" t="s">
        <v>240</v>
      </c>
      <c r="G1129" s="12" t="s">
        <v>40</v>
      </c>
      <c r="H1129" s="11" t="s">
        <v>63</v>
      </c>
      <c r="I1129" s="13" t="s">
        <v>2745</v>
      </c>
      <c r="J1129" s="14" t="str">
        <f>HYPERLINK("https://www.boe.es/gazeta/dias/1839/09/22/pdfs/GMD-1839-1777.pdf#page=2","Abrir facsímil")</f>
        <v>Abrir facsímil</v>
      </c>
      <c r="K1129" s="12" t="s">
        <v>65</v>
      </c>
    </row>
    <row r="1130" spans="1:11" ht="40.049999999999997" customHeight="1" x14ac:dyDescent="0.25">
      <c r="A1130" s="11" t="s">
        <v>2732</v>
      </c>
      <c r="B1130" s="11" t="s">
        <v>2732</v>
      </c>
      <c r="C1130" s="11" t="s">
        <v>59</v>
      </c>
      <c r="D1130" s="11" t="s">
        <v>60</v>
      </c>
      <c r="E1130" s="12" t="s">
        <v>2349</v>
      </c>
      <c r="F1130" s="12" t="s">
        <v>2350</v>
      </c>
      <c r="G1130" s="12" t="s">
        <v>21</v>
      </c>
      <c r="H1130" s="11" t="s">
        <v>63</v>
      </c>
      <c r="I1130" s="13" t="s">
        <v>2746</v>
      </c>
      <c r="J1130" s="14" t="str">
        <f>HYPERLINK("https://www.boe.es/gazeta/dias/1839/09/29/pdfs/GMD-1839-1785.pdf#page=4","Abrir facsímil")</f>
        <v>Abrir facsímil</v>
      </c>
      <c r="K1130" s="12" t="s">
        <v>65</v>
      </c>
    </row>
    <row r="1131" spans="1:11" ht="40.049999999999997" customHeight="1" x14ac:dyDescent="0.25">
      <c r="A1131" s="11" t="s">
        <v>2747</v>
      </c>
      <c r="B1131" s="11" t="s">
        <v>2748</v>
      </c>
      <c r="C1131" s="11" t="s">
        <v>17</v>
      </c>
      <c r="D1131" s="11" t="s">
        <v>18</v>
      </c>
      <c r="E1131" s="12" t="s">
        <v>258</v>
      </c>
      <c r="F1131" s="12" t="s">
        <v>259</v>
      </c>
      <c r="G1131" s="12" t="s">
        <v>46</v>
      </c>
      <c r="H1131" s="11" t="s">
        <v>63</v>
      </c>
      <c r="I1131" s="13" t="s">
        <v>2749</v>
      </c>
      <c r="J1131" s="14" t="str">
        <f>HYPERLINK("https://www.boe.es/gazeta/dias/1839/01/02/pdfs/GMD-1839-1509.pdf#page=3","Abrir facsímil")</f>
        <v>Abrir facsímil</v>
      </c>
      <c r="K1131" s="12" t="s">
        <v>65</v>
      </c>
    </row>
    <row r="1132" spans="1:11" ht="40.049999999999997" customHeight="1" x14ac:dyDescent="0.25">
      <c r="A1132" s="11" t="s">
        <v>2750</v>
      </c>
      <c r="B1132" s="11" t="s">
        <v>2750</v>
      </c>
      <c r="C1132" s="11" t="s">
        <v>17</v>
      </c>
      <c r="D1132" s="11" t="s">
        <v>18</v>
      </c>
      <c r="E1132" s="12" t="s">
        <v>54</v>
      </c>
      <c r="F1132" s="12" t="s">
        <v>55</v>
      </c>
      <c r="G1132" s="12" t="s">
        <v>21</v>
      </c>
      <c r="H1132" s="11" t="s">
        <v>22</v>
      </c>
      <c r="I1132" s="13" t="s">
        <v>2751</v>
      </c>
      <c r="J1132" s="14" t="str">
        <f>HYPERLINK("https://www.boe.es/gazeta/dias/1839/10/05/pdfs/GMD-1839-1791.pdf#page=4","Abrir facsímil")</f>
        <v>Abrir facsímil</v>
      </c>
      <c r="K1132" s="12" t="s">
        <v>24</v>
      </c>
    </row>
    <row r="1133" spans="1:11" ht="40.049999999999997" customHeight="1" x14ac:dyDescent="0.25">
      <c r="A1133" s="11" t="s">
        <v>2752</v>
      </c>
      <c r="B1133" s="11" t="s">
        <v>2752</v>
      </c>
      <c r="C1133" s="11" t="s">
        <v>17</v>
      </c>
      <c r="D1133" s="11" t="s">
        <v>43</v>
      </c>
      <c r="E1133" s="12" t="s">
        <v>54</v>
      </c>
      <c r="F1133" s="12" t="s">
        <v>55</v>
      </c>
      <c r="G1133" s="12" t="s">
        <v>21</v>
      </c>
      <c r="H1133" s="11" t="s">
        <v>22</v>
      </c>
      <c r="I1133" s="13" t="s">
        <v>2753</v>
      </c>
      <c r="J1133" s="14" t="str">
        <f>HYPERLINK("https://www.boe.es/gazeta/dias/1839/10/05/pdfs/GMD-1839-1791.pdf#page=4","Abrir facsímil")</f>
        <v>Abrir facsímil</v>
      </c>
      <c r="K1133" s="12" t="s">
        <v>24</v>
      </c>
    </row>
    <row r="1134" spans="1:11" ht="40.049999999999997" customHeight="1" x14ac:dyDescent="0.25">
      <c r="A1134" s="11" t="s">
        <v>2752</v>
      </c>
      <c r="B1134" s="11" t="s">
        <v>2752</v>
      </c>
      <c r="C1134" s="11" t="s">
        <v>17</v>
      </c>
      <c r="D1134" s="11" t="s">
        <v>18</v>
      </c>
      <c r="E1134" s="12" t="s">
        <v>254</v>
      </c>
      <c r="F1134" s="12" t="s">
        <v>255</v>
      </c>
      <c r="G1134" s="12" t="s">
        <v>46</v>
      </c>
      <c r="H1134" s="11" t="s">
        <v>22</v>
      </c>
      <c r="I1134" s="13" t="s">
        <v>2754</v>
      </c>
      <c r="J1134" s="14" t="str">
        <f>HYPERLINK("https://www.boe.es/gazeta/dias/1839/09/12/pdfs/GMD-1839-1765.pdf#page=3","Abrir facsímil")</f>
        <v>Abrir facsímil</v>
      </c>
      <c r="K1134" s="12" t="s">
        <v>24</v>
      </c>
    </row>
    <row r="1135" spans="1:11" ht="40.049999999999997" customHeight="1" x14ac:dyDescent="0.25">
      <c r="A1135" s="11" t="s">
        <v>2752</v>
      </c>
      <c r="B1135" s="11" t="s">
        <v>2752</v>
      </c>
      <c r="C1135" s="11" t="s">
        <v>101</v>
      </c>
      <c r="D1135" s="11" t="s">
        <v>43</v>
      </c>
      <c r="E1135" s="12" t="s">
        <v>2222</v>
      </c>
      <c r="F1135" s="12" t="s">
        <v>2223</v>
      </c>
      <c r="G1135" s="12" t="s">
        <v>46</v>
      </c>
      <c r="H1135" s="11" t="s">
        <v>22</v>
      </c>
      <c r="I1135" s="13" t="s">
        <v>2755</v>
      </c>
      <c r="J1135" s="14" t="str">
        <f>HYPERLINK("https://www.boe.es/gazeta/dias/1839/09/19/pdfs/GMD-1839-1773.pdf#page=3","Abrir facsímil")</f>
        <v>Abrir facsímil</v>
      </c>
      <c r="K1135" s="12" t="s">
        <v>24</v>
      </c>
    </row>
    <row r="1136" spans="1:11" ht="40.049999999999997" customHeight="1" x14ac:dyDescent="0.25">
      <c r="A1136" s="11" t="s">
        <v>2752</v>
      </c>
      <c r="B1136" s="11" t="s">
        <v>2752</v>
      </c>
      <c r="C1136" s="11" t="s">
        <v>17</v>
      </c>
      <c r="D1136" s="11" t="s">
        <v>18</v>
      </c>
      <c r="E1136" s="12" t="s">
        <v>2349</v>
      </c>
      <c r="F1136" s="12" t="s">
        <v>2350</v>
      </c>
      <c r="G1136" s="12" t="s">
        <v>46</v>
      </c>
      <c r="H1136" s="11" t="s">
        <v>22</v>
      </c>
      <c r="I1136" s="13" t="s">
        <v>2756</v>
      </c>
      <c r="J1136" s="14" t="str">
        <f>HYPERLINK("https://www.boe.es/gazeta/dias/1839/09/29/pdfs/GMD-1839-1785.pdf#page=3","Abrir facsímil")</f>
        <v>Abrir facsímil</v>
      </c>
      <c r="K1136" s="12" t="s">
        <v>24</v>
      </c>
    </row>
    <row r="1137" spans="1:11" ht="40.049999999999997" customHeight="1" x14ac:dyDescent="0.25">
      <c r="A1137" s="11" t="s">
        <v>2757</v>
      </c>
      <c r="B1137" s="11" t="s">
        <v>2758</v>
      </c>
      <c r="C1137" s="11" t="s">
        <v>101</v>
      </c>
      <c r="D1137" s="11" t="s">
        <v>43</v>
      </c>
      <c r="E1137" s="12" t="s">
        <v>369</v>
      </c>
      <c r="F1137" s="12" t="s">
        <v>370</v>
      </c>
      <c r="G1137" s="12" t="s">
        <v>46</v>
      </c>
      <c r="H1137" s="11" t="s">
        <v>63</v>
      </c>
      <c r="I1137" s="13" t="s">
        <v>2759</v>
      </c>
      <c r="J1137" s="14" t="str">
        <f>HYPERLINK("https://www.boe.es/gazeta/dias/1839/11/01/pdfs/GMD-1839-1818.pdf#page=3","Abrir facsímil")</f>
        <v>Abrir facsímil</v>
      </c>
      <c r="K1137" s="12" t="s">
        <v>65</v>
      </c>
    </row>
    <row r="1138" spans="1:11" ht="40.049999999999997" customHeight="1" x14ac:dyDescent="0.25">
      <c r="A1138" s="11" t="s">
        <v>2760</v>
      </c>
      <c r="B1138" s="11" t="s">
        <v>2761</v>
      </c>
      <c r="C1138" s="11" t="s">
        <v>17</v>
      </c>
      <c r="D1138" s="11" t="s">
        <v>18</v>
      </c>
      <c r="E1138" s="12" t="s">
        <v>844</v>
      </c>
      <c r="F1138" s="12" t="s">
        <v>845</v>
      </c>
      <c r="G1138" s="12" t="s">
        <v>21</v>
      </c>
      <c r="H1138" s="11" t="s">
        <v>63</v>
      </c>
      <c r="I1138" s="13" t="s">
        <v>2762</v>
      </c>
      <c r="J1138" s="14" t="str">
        <f>HYPERLINK("https://www.boe.es/gazeta/dias/1839/12/24/pdfs/GMD-1839-1871.pdf#page=4","Abrir facsímil")</f>
        <v>Abrir facsímil</v>
      </c>
      <c r="K1138" s="12" t="s">
        <v>65</v>
      </c>
    </row>
    <row r="1139" spans="1:11" ht="40.049999999999997" customHeight="1" x14ac:dyDescent="0.25">
      <c r="A1139" s="11" t="s">
        <v>2763</v>
      </c>
      <c r="B1139" s="11" t="s">
        <v>2763</v>
      </c>
      <c r="C1139" s="11" t="s">
        <v>17</v>
      </c>
      <c r="D1139" s="11" t="s">
        <v>18</v>
      </c>
      <c r="E1139" s="12" t="s">
        <v>2301</v>
      </c>
      <c r="F1139" s="12" t="s">
        <v>2302</v>
      </c>
      <c r="G1139" s="12" t="s">
        <v>46</v>
      </c>
      <c r="H1139" s="11" t="s">
        <v>22</v>
      </c>
      <c r="I1139" s="13" t="s">
        <v>2764</v>
      </c>
      <c r="J1139" s="14" t="str">
        <f>HYPERLINK("https://www.boe.es/gazeta/dias/1839/09/08/pdfs/GMD-1839-1761.pdf#page=3","Abrir facsímil")</f>
        <v>Abrir facsímil</v>
      </c>
      <c r="K1139" s="12" t="s">
        <v>24</v>
      </c>
    </row>
    <row r="1140" spans="1:11" ht="40.049999999999997" customHeight="1" x14ac:dyDescent="0.25">
      <c r="A1140" s="11" t="s">
        <v>2765</v>
      </c>
      <c r="B1140" s="11" t="s">
        <v>2766</v>
      </c>
      <c r="C1140" s="11" t="s">
        <v>17</v>
      </c>
      <c r="D1140" s="11" t="s">
        <v>18</v>
      </c>
      <c r="E1140" s="12" t="s">
        <v>291</v>
      </c>
      <c r="F1140" s="12" t="s">
        <v>292</v>
      </c>
      <c r="G1140" s="12" t="s">
        <v>46</v>
      </c>
      <c r="H1140" s="11" t="s">
        <v>63</v>
      </c>
      <c r="I1140" s="13" t="s">
        <v>2767</v>
      </c>
      <c r="J1140" s="14" t="str">
        <f>HYPERLINK("https://www.boe.es/gazeta/dias/1839/09/04/pdfs/GMD-1839-1757.pdf#page=3","Abrir facsímil")</f>
        <v>Abrir facsímil</v>
      </c>
      <c r="K1140" s="12" t="s">
        <v>65</v>
      </c>
    </row>
    <row r="1141" spans="1:11" ht="40.049999999999997" customHeight="1" x14ac:dyDescent="0.25">
      <c r="A1141" s="11" t="s">
        <v>2768</v>
      </c>
      <c r="B1141" s="11" t="s">
        <v>2769</v>
      </c>
      <c r="C1141" s="11" t="s">
        <v>17</v>
      </c>
      <c r="D1141" s="11" t="s">
        <v>18</v>
      </c>
      <c r="E1141" s="12" t="s">
        <v>207</v>
      </c>
      <c r="F1141" s="12" t="s">
        <v>208</v>
      </c>
      <c r="G1141" s="12" t="s">
        <v>40</v>
      </c>
      <c r="H1141" s="11" t="s">
        <v>63</v>
      </c>
      <c r="I1141" s="13" t="s">
        <v>2770</v>
      </c>
      <c r="J1141" s="14" t="str">
        <f>HYPERLINK("https://www.boe.es/gazeta/dias/1839/02/19/pdfs/GMD-1839-1557.pdf#page=2","Abrir facsímil")</f>
        <v>Abrir facsímil</v>
      </c>
      <c r="K1141" s="12" t="s">
        <v>65</v>
      </c>
    </row>
    <row r="1142" spans="1:11" ht="40.049999999999997" customHeight="1" x14ac:dyDescent="0.25">
      <c r="A1142" s="11" t="s">
        <v>2771</v>
      </c>
      <c r="B1142" s="11" t="s">
        <v>2771</v>
      </c>
      <c r="C1142" s="11" t="s">
        <v>17</v>
      </c>
      <c r="D1142" s="11" t="s">
        <v>18</v>
      </c>
      <c r="E1142" s="12" t="s">
        <v>984</v>
      </c>
      <c r="F1142" s="12" t="s">
        <v>985</v>
      </c>
      <c r="G1142" s="12" t="s">
        <v>46</v>
      </c>
      <c r="H1142" s="11" t="s">
        <v>63</v>
      </c>
      <c r="I1142" s="13" t="s">
        <v>2772</v>
      </c>
      <c r="J1142" s="14" t="str">
        <f>HYPERLINK("https://www.boe.es/gazeta/dias/1839/04/10/pdfs/GMD-1839-1607.pdf#page=3","Abrir facsímil")</f>
        <v>Abrir facsímil</v>
      </c>
      <c r="K1142" s="12" t="s">
        <v>65</v>
      </c>
    </row>
    <row r="1143" spans="1:11" ht="40.049999999999997" customHeight="1" x14ac:dyDescent="0.25">
      <c r="A1143" s="11" t="s">
        <v>2773</v>
      </c>
      <c r="B1143" s="11" t="s">
        <v>2773</v>
      </c>
      <c r="C1143" s="11" t="s">
        <v>17</v>
      </c>
      <c r="D1143" s="11" t="s">
        <v>18</v>
      </c>
      <c r="E1143" s="12" t="s">
        <v>903</v>
      </c>
      <c r="F1143" s="12" t="s">
        <v>904</v>
      </c>
      <c r="G1143" s="12" t="s">
        <v>21</v>
      </c>
      <c r="H1143" s="11" t="s">
        <v>63</v>
      </c>
      <c r="I1143" s="13" t="s">
        <v>2774</v>
      </c>
      <c r="J1143" s="14" t="str">
        <f>HYPERLINK("https://www.boe.es/gazeta/dias/1839/03/14/pdfs/GMD-1839-1580.pdf#page=4","Abrir facsímil")</f>
        <v>Abrir facsímil</v>
      </c>
      <c r="K1143" s="12" t="s">
        <v>65</v>
      </c>
    </row>
    <row r="1144" spans="1:11" ht="40.049999999999997" customHeight="1" x14ac:dyDescent="0.25">
      <c r="A1144" s="11" t="s">
        <v>2773</v>
      </c>
      <c r="B1144" s="11" t="s">
        <v>2773</v>
      </c>
      <c r="C1144" s="11" t="s">
        <v>17</v>
      </c>
      <c r="D1144" s="11" t="s">
        <v>18</v>
      </c>
      <c r="E1144" s="12" t="s">
        <v>474</v>
      </c>
      <c r="F1144" s="12" t="s">
        <v>475</v>
      </c>
      <c r="G1144" s="12" t="s">
        <v>21</v>
      </c>
      <c r="H1144" s="11" t="s">
        <v>63</v>
      </c>
      <c r="I1144" s="13" t="s">
        <v>2775</v>
      </c>
      <c r="J1144" s="14" t="str">
        <f>HYPERLINK("https://www.boe.es/gazeta/dias/1839/03/31/pdfs/GMD-1839-1597.pdf#page=4","Abrir facsímil")</f>
        <v>Abrir facsímil</v>
      </c>
      <c r="K1144" s="12" t="s">
        <v>65</v>
      </c>
    </row>
    <row r="1145" spans="1:11" ht="40.049999999999997" customHeight="1" x14ac:dyDescent="0.25">
      <c r="A1145" s="11" t="s">
        <v>2776</v>
      </c>
      <c r="B1145" s="11" t="s">
        <v>2777</v>
      </c>
      <c r="C1145" s="11" t="s">
        <v>17</v>
      </c>
      <c r="D1145" s="11" t="s">
        <v>18</v>
      </c>
      <c r="E1145" s="12" t="s">
        <v>258</v>
      </c>
      <c r="F1145" s="12" t="s">
        <v>259</v>
      </c>
      <c r="G1145" s="12" t="s">
        <v>46</v>
      </c>
      <c r="H1145" s="11" t="s">
        <v>22</v>
      </c>
      <c r="I1145" s="13" t="s">
        <v>2778</v>
      </c>
      <c r="J1145" s="14" t="str">
        <f>HYPERLINK("https://www.boe.es/gazeta/dias/1839/01/02/pdfs/GMD-1839-1509.pdf#page=3","Abrir facsímil")</f>
        <v>Abrir facsímil</v>
      </c>
      <c r="K1145" s="12" t="s">
        <v>24</v>
      </c>
    </row>
    <row r="1146" spans="1:11" ht="40.049999999999997" customHeight="1" x14ac:dyDescent="0.25">
      <c r="A1146" s="11" t="s">
        <v>2779</v>
      </c>
      <c r="B1146" s="11" t="s">
        <v>2780</v>
      </c>
      <c r="C1146" s="11" t="s">
        <v>59</v>
      </c>
      <c r="D1146" s="11" t="s">
        <v>60</v>
      </c>
      <c r="E1146" s="12" t="s">
        <v>870</v>
      </c>
      <c r="F1146" s="12" t="s">
        <v>871</v>
      </c>
      <c r="G1146" s="12" t="s">
        <v>21</v>
      </c>
      <c r="H1146" s="11" t="s">
        <v>63</v>
      </c>
      <c r="I1146" s="13" t="s">
        <v>2781</v>
      </c>
      <c r="J1146" s="14" t="str">
        <f>HYPERLINK("https://www.boe.es/gazeta/dias/1839/04/18/pdfs/GMD-1839-1615.pdf#page=4","Abrir facsímil")</f>
        <v>Abrir facsímil</v>
      </c>
      <c r="K1146" s="12" t="s">
        <v>65</v>
      </c>
    </row>
    <row r="1147" spans="1:11" ht="40.049999999999997" customHeight="1" x14ac:dyDescent="0.25">
      <c r="A1147" s="11" t="s">
        <v>2782</v>
      </c>
      <c r="B1147" s="11" t="s">
        <v>2783</v>
      </c>
      <c r="C1147" s="11" t="s">
        <v>80</v>
      </c>
      <c r="D1147" s="11" t="s">
        <v>18</v>
      </c>
      <c r="E1147" s="12" t="s">
        <v>116</v>
      </c>
      <c r="F1147" s="12" t="s">
        <v>117</v>
      </c>
      <c r="G1147" s="12" t="s">
        <v>21</v>
      </c>
      <c r="H1147" s="11" t="s">
        <v>22</v>
      </c>
      <c r="I1147" s="13" t="s">
        <v>2784</v>
      </c>
      <c r="J1147" s="14" t="str">
        <f>HYPERLINK("https://www.boe.es/gazeta/dias/1839/10/10/pdfs/GMD-1839-1796.pdf#page=4","Abrir facsímil")</f>
        <v>Abrir facsímil</v>
      </c>
      <c r="K1147" s="12" t="s">
        <v>24</v>
      </c>
    </row>
    <row r="1148" spans="1:11" ht="40.049999999999997" customHeight="1" x14ac:dyDescent="0.25">
      <c r="A1148" s="11" t="s">
        <v>2785</v>
      </c>
      <c r="B1148" s="11" t="s">
        <v>2786</v>
      </c>
      <c r="C1148" s="11" t="s">
        <v>80</v>
      </c>
      <c r="D1148" s="11" t="s">
        <v>18</v>
      </c>
      <c r="E1148" s="12" t="s">
        <v>369</v>
      </c>
      <c r="F1148" s="12" t="s">
        <v>370</v>
      </c>
      <c r="G1148" s="12" t="s">
        <v>21</v>
      </c>
      <c r="H1148" s="11" t="s">
        <v>63</v>
      </c>
      <c r="I1148" s="13" t="s">
        <v>2787</v>
      </c>
      <c r="J1148" s="14" t="str">
        <f>HYPERLINK("https://www.boe.es/gazeta/dias/1839/11/01/pdfs/GMD-1839-1818.pdf#page=4","Abrir facsímil")</f>
        <v>Abrir facsímil</v>
      </c>
      <c r="K1148" s="12" t="s">
        <v>65</v>
      </c>
    </row>
    <row r="1149" spans="1:11" ht="40.049999999999997" customHeight="1" x14ac:dyDescent="0.25">
      <c r="A1149" s="11" t="s">
        <v>2788</v>
      </c>
      <c r="B1149" s="11" t="s">
        <v>2789</v>
      </c>
      <c r="C1149" s="11" t="s">
        <v>17</v>
      </c>
      <c r="D1149" s="11" t="s">
        <v>18</v>
      </c>
      <c r="E1149" s="12" t="s">
        <v>2449</v>
      </c>
      <c r="F1149" s="12" t="s">
        <v>2450</v>
      </c>
      <c r="G1149" s="12" t="s">
        <v>40</v>
      </c>
      <c r="H1149" s="11" t="s">
        <v>63</v>
      </c>
      <c r="I1149" s="13" t="s">
        <v>2790</v>
      </c>
      <c r="J1149" s="14" t="str">
        <f>HYPERLINK("https://www.boe.es/gazeta/dias/1839/12/11/pdfs/GMD-1839-1858.pdf#page=2","Abrir facsímil")</f>
        <v>Abrir facsímil</v>
      </c>
      <c r="K1149" s="12" t="s">
        <v>65</v>
      </c>
    </row>
    <row r="1150" spans="1:11" ht="40.049999999999997" customHeight="1" x14ac:dyDescent="0.25">
      <c r="A1150" s="11" t="s">
        <v>2791</v>
      </c>
      <c r="B1150" s="11" t="s">
        <v>2792</v>
      </c>
      <c r="C1150" s="11" t="s">
        <v>17</v>
      </c>
      <c r="D1150" s="11" t="s">
        <v>18</v>
      </c>
      <c r="E1150" s="12" t="s">
        <v>1685</v>
      </c>
      <c r="F1150" s="12" t="s">
        <v>1686</v>
      </c>
      <c r="G1150" s="12" t="s">
        <v>46</v>
      </c>
      <c r="H1150" s="11" t="s">
        <v>63</v>
      </c>
      <c r="I1150" s="13" t="s">
        <v>2793</v>
      </c>
      <c r="J1150" s="14" t="str">
        <f>HYPERLINK("https://www.boe.es/gazeta/dias/1839/04/27/pdfs/GMD-1839-1624.pdf#page=3","Abrir facsímil")</f>
        <v>Abrir facsímil</v>
      </c>
      <c r="K1150" s="12" t="s">
        <v>65</v>
      </c>
    </row>
    <row r="1151" spans="1:11" ht="40.049999999999997" customHeight="1" x14ac:dyDescent="0.25">
      <c r="A1151" s="11" t="s">
        <v>2794</v>
      </c>
      <c r="B1151" s="11" t="s">
        <v>2795</v>
      </c>
      <c r="C1151" s="11" t="s">
        <v>59</v>
      </c>
      <c r="D1151" s="11" t="s">
        <v>60</v>
      </c>
      <c r="E1151" s="12" t="s">
        <v>582</v>
      </c>
      <c r="F1151" s="12" t="s">
        <v>583</v>
      </c>
      <c r="G1151" s="12" t="s">
        <v>29</v>
      </c>
      <c r="H1151" s="11" t="s">
        <v>63</v>
      </c>
      <c r="I1151" s="13" t="s">
        <v>2796</v>
      </c>
      <c r="J1151" s="14" t="str">
        <f>HYPERLINK("https://www.boe.es/gazeta/dias/1839/11/09/pdfs/GMD-1839-1826.pdf#page=1","Abrir facsímil")</f>
        <v>Abrir facsímil</v>
      </c>
      <c r="K1151" s="12" t="s">
        <v>65</v>
      </c>
    </row>
    <row r="1152" spans="1:11" ht="40.049999999999997" customHeight="1" x14ac:dyDescent="0.25">
      <c r="A1152" s="11" t="s">
        <v>2797</v>
      </c>
      <c r="B1152" s="11" t="s">
        <v>2797</v>
      </c>
      <c r="C1152" s="11" t="s">
        <v>80</v>
      </c>
      <c r="D1152" s="11" t="s">
        <v>18</v>
      </c>
      <c r="E1152" s="12" t="s">
        <v>883</v>
      </c>
      <c r="F1152" s="12" t="s">
        <v>884</v>
      </c>
      <c r="G1152" s="12" t="s">
        <v>40</v>
      </c>
      <c r="H1152" s="11" t="s">
        <v>63</v>
      </c>
      <c r="I1152" s="13" t="s">
        <v>2798</v>
      </c>
      <c r="J1152" s="14" t="str">
        <f>HYPERLINK("https://www.boe.es/gazeta/dias/1839/11/03/pdfs/GMD-1839-1820.pdf#page=2","Abrir facsímil")</f>
        <v>Abrir facsímil</v>
      </c>
      <c r="K1152" s="12" t="s">
        <v>65</v>
      </c>
    </row>
    <row r="1153" spans="1:11" ht="40.049999999999997" customHeight="1" x14ac:dyDescent="0.25">
      <c r="A1153" s="11" t="s">
        <v>2799</v>
      </c>
      <c r="B1153" s="11" t="s">
        <v>2800</v>
      </c>
      <c r="C1153" s="11" t="s">
        <v>59</v>
      </c>
      <c r="D1153" s="11" t="s">
        <v>60</v>
      </c>
      <c r="E1153" s="12" t="s">
        <v>54</v>
      </c>
      <c r="F1153" s="12" t="s">
        <v>55</v>
      </c>
      <c r="G1153" s="12" t="s">
        <v>305</v>
      </c>
      <c r="H1153" s="11" t="s">
        <v>63</v>
      </c>
      <c r="I1153" s="13" t="s">
        <v>2801</v>
      </c>
      <c r="J1153" s="14" t="str">
        <f>HYPERLINK("https://www.boe.es/gazeta/dias/1839/10/05/pdfs/GMD-1839-1791.pdf#page=6","Abrir facsímil")</f>
        <v>Abrir facsímil</v>
      </c>
      <c r="K1153" s="12" t="s">
        <v>65</v>
      </c>
    </row>
    <row r="1154" spans="1:11" ht="40.049999999999997" customHeight="1" x14ac:dyDescent="0.25">
      <c r="A1154" s="11" t="s">
        <v>2799</v>
      </c>
      <c r="B1154" s="11" t="s">
        <v>2800</v>
      </c>
      <c r="C1154" s="11" t="s">
        <v>17</v>
      </c>
      <c r="D1154" s="11" t="s">
        <v>18</v>
      </c>
      <c r="E1154" s="12" t="s">
        <v>303</v>
      </c>
      <c r="F1154" s="12" t="s">
        <v>304</v>
      </c>
      <c r="G1154" s="12" t="s">
        <v>305</v>
      </c>
      <c r="H1154" s="11" t="s">
        <v>63</v>
      </c>
      <c r="I1154" s="13" t="s">
        <v>2802</v>
      </c>
      <c r="J1154" s="14" t="str">
        <f>HYPERLINK("https://www.boe.es/gazeta/dias/1839/10/06/pdfs/GMD-1839-1792.pdf#page=6","Abrir facsímil")</f>
        <v>Abrir facsímil</v>
      </c>
      <c r="K1154" s="12" t="s">
        <v>65</v>
      </c>
    </row>
    <row r="1155" spans="1:11" ht="40.049999999999997" customHeight="1" x14ac:dyDescent="0.25">
      <c r="A1155" s="11" t="s">
        <v>2803</v>
      </c>
      <c r="B1155" s="11" t="s">
        <v>2803</v>
      </c>
      <c r="C1155" s="11" t="s">
        <v>59</v>
      </c>
      <c r="D1155" s="11" t="s">
        <v>60</v>
      </c>
      <c r="E1155" s="12" t="s">
        <v>1467</v>
      </c>
      <c r="F1155" s="12" t="s">
        <v>1468</v>
      </c>
      <c r="G1155" s="12" t="s">
        <v>46</v>
      </c>
      <c r="H1155" s="11" t="s">
        <v>63</v>
      </c>
      <c r="I1155" s="13" t="s">
        <v>2804</v>
      </c>
      <c r="J1155" s="14" t="str">
        <f>HYPERLINK("https://www.boe.es/gazeta/dias/1839/03/05/pdfs/GMD-1839-1571.pdf#page=3","Abrir facsímil")</f>
        <v>Abrir facsímil</v>
      </c>
      <c r="K1155" s="12" t="s">
        <v>65</v>
      </c>
    </row>
    <row r="1156" spans="1:11" ht="40.049999999999997" customHeight="1" x14ac:dyDescent="0.25">
      <c r="A1156" s="11" t="s">
        <v>2803</v>
      </c>
      <c r="B1156" s="11" t="s">
        <v>2803</v>
      </c>
      <c r="C1156" s="11" t="s">
        <v>17</v>
      </c>
      <c r="D1156" s="11" t="s">
        <v>18</v>
      </c>
      <c r="E1156" s="12" t="s">
        <v>770</v>
      </c>
      <c r="F1156" s="12" t="s">
        <v>771</v>
      </c>
      <c r="G1156" s="12" t="s">
        <v>29</v>
      </c>
      <c r="H1156" s="11" t="s">
        <v>63</v>
      </c>
      <c r="I1156" s="13" t="s">
        <v>2805</v>
      </c>
      <c r="J1156" s="14" t="str">
        <f>HYPERLINK("https://www.boe.es/gazeta/dias/1839/12/05/pdfs/GMD-1839-1852.pdf#page=1","Abrir facsímil")</f>
        <v>Abrir facsímil</v>
      </c>
      <c r="K1156" s="12" t="s">
        <v>65</v>
      </c>
    </row>
    <row r="1157" spans="1:11" ht="40.049999999999997" customHeight="1" x14ac:dyDescent="0.25">
      <c r="A1157" s="11" t="s">
        <v>2803</v>
      </c>
      <c r="B1157" s="11" t="s">
        <v>2803</v>
      </c>
      <c r="C1157" s="11" t="s">
        <v>137</v>
      </c>
      <c r="D1157" s="11" t="s">
        <v>18</v>
      </c>
      <c r="E1157" s="12" t="s">
        <v>246</v>
      </c>
      <c r="F1157" s="12" t="s">
        <v>247</v>
      </c>
      <c r="G1157" s="12" t="s">
        <v>21</v>
      </c>
      <c r="H1157" s="11" t="s">
        <v>63</v>
      </c>
      <c r="I1157" s="13" t="s">
        <v>2806</v>
      </c>
      <c r="J1157" s="14" t="str">
        <f>HYPERLINK("https://www.boe.es/gazeta/dias/1839/11/24/pdfs/GMD-1839-1841.pdf#page=4","Abrir facsímil")</f>
        <v>Abrir facsímil</v>
      </c>
      <c r="K1157" s="12" t="s">
        <v>65</v>
      </c>
    </row>
    <row r="1158" spans="1:11" ht="40.049999999999997" customHeight="1" x14ac:dyDescent="0.25">
      <c r="A1158" s="11" t="s">
        <v>2807</v>
      </c>
      <c r="B1158" s="11" t="s">
        <v>2807</v>
      </c>
      <c r="C1158" s="11" t="s">
        <v>17</v>
      </c>
      <c r="D1158" s="11" t="s">
        <v>18</v>
      </c>
      <c r="E1158" s="12" t="s">
        <v>355</v>
      </c>
      <c r="F1158" s="12" t="s">
        <v>356</v>
      </c>
      <c r="G1158" s="12" t="s">
        <v>21</v>
      </c>
      <c r="H1158" s="11" t="s">
        <v>63</v>
      </c>
      <c r="I1158" s="13" t="s">
        <v>2808</v>
      </c>
      <c r="J1158" s="14" t="str">
        <f>HYPERLINK("https://www.boe.es/gazeta/dias/1839/05/31/pdfs/GMD-1839-1658.pdf#page=4","Abrir facsímil")</f>
        <v>Abrir facsímil</v>
      </c>
      <c r="K1158" s="12" t="s">
        <v>65</v>
      </c>
    </row>
    <row r="1159" spans="1:11" ht="40.049999999999997" customHeight="1" x14ac:dyDescent="0.25">
      <c r="A1159" s="11" t="s">
        <v>2809</v>
      </c>
      <c r="B1159" s="11" t="s">
        <v>2809</v>
      </c>
      <c r="C1159" s="11" t="s">
        <v>17</v>
      </c>
      <c r="D1159" s="11" t="s">
        <v>18</v>
      </c>
      <c r="E1159" s="12" t="s">
        <v>555</v>
      </c>
      <c r="F1159" s="12" t="s">
        <v>556</v>
      </c>
      <c r="G1159" s="12" t="s">
        <v>29</v>
      </c>
      <c r="H1159" s="11" t="s">
        <v>63</v>
      </c>
      <c r="I1159" s="13" t="s">
        <v>2810</v>
      </c>
      <c r="J1159" s="14" t="str">
        <f>HYPERLINK("https://www.boe.es/gazeta/dias/1839/07/19/pdfs/GMD-1839-1707.pdf#page=1","Abrir facsímil")</f>
        <v>Abrir facsímil</v>
      </c>
      <c r="K1159" s="12" t="s">
        <v>65</v>
      </c>
    </row>
    <row r="1160" spans="1:11" ht="40.049999999999997" customHeight="1" x14ac:dyDescent="0.25">
      <c r="A1160" s="11" t="s">
        <v>2811</v>
      </c>
      <c r="B1160" s="11" t="s">
        <v>2812</v>
      </c>
      <c r="C1160" s="11" t="s">
        <v>137</v>
      </c>
      <c r="D1160" s="11" t="s">
        <v>18</v>
      </c>
      <c r="E1160" s="12" t="s">
        <v>94</v>
      </c>
      <c r="F1160" s="12" t="s">
        <v>95</v>
      </c>
      <c r="G1160" s="12" t="s">
        <v>29</v>
      </c>
      <c r="H1160" s="11" t="s">
        <v>63</v>
      </c>
      <c r="I1160" s="13" t="s">
        <v>2813</v>
      </c>
      <c r="J1160" s="14" t="str">
        <f>HYPERLINK("https://www.boe.es/gazeta/dias/1839/02/24/pdfs/GMD-1839-1562.pdf#page=1","Abrir facsímil")</f>
        <v>Abrir facsímil</v>
      </c>
      <c r="K1160" s="12" t="s">
        <v>65</v>
      </c>
    </row>
    <row r="1161" spans="1:11" ht="40.049999999999997" customHeight="1" x14ac:dyDescent="0.25">
      <c r="A1161" s="11" t="s">
        <v>2814</v>
      </c>
      <c r="B1161" s="11" t="s">
        <v>2815</v>
      </c>
      <c r="C1161" s="11" t="s">
        <v>137</v>
      </c>
      <c r="D1161" s="11" t="s">
        <v>18</v>
      </c>
      <c r="E1161" s="12" t="s">
        <v>375</v>
      </c>
      <c r="F1161" s="12" t="s">
        <v>376</v>
      </c>
      <c r="G1161" s="12" t="s">
        <v>21</v>
      </c>
      <c r="H1161" s="11" t="s">
        <v>63</v>
      </c>
      <c r="I1161" s="13" t="s">
        <v>2816</v>
      </c>
      <c r="J1161" s="14" t="str">
        <f>HYPERLINK("https://www.boe.es/gazeta/dias/1839/11/25/pdfs/GMD-1839-1842.pdf#page=4","Abrir facsímil")</f>
        <v>Abrir facsímil</v>
      </c>
      <c r="K1161" s="12" t="s">
        <v>65</v>
      </c>
    </row>
    <row r="1162" spans="1:11" ht="40.049999999999997" customHeight="1" x14ac:dyDescent="0.25">
      <c r="A1162" s="11" t="s">
        <v>2817</v>
      </c>
      <c r="B1162" s="11" t="s">
        <v>2818</v>
      </c>
      <c r="C1162" s="11" t="s">
        <v>17</v>
      </c>
      <c r="D1162" s="11" t="s">
        <v>18</v>
      </c>
      <c r="E1162" s="12" t="s">
        <v>1012</v>
      </c>
      <c r="F1162" s="12" t="s">
        <v>1013</v>
      </c>
      <c r="G1162" s="12" t="s">
        <v>29</v>
      </c>
      <c r="H1162" s="11" t="s">
        <v>63</v>
      </c>
      <c r="I1162" s="13" t="s">
        <v>2819</v>
      </c>
      <c r="J1162" s="14" t="str">
        <f>HYPERLINK("https://www.boe.es/gazeta/dias/1839/11/22/pdfs/GMD-1839-1839.pdf#page=1","Abrir facsímil")</f>
        <v>Abrir facsímil</v>
      </c>
      <c r="K1162" s="12" t="s">
        <v>65</v>
      </c>
    </row>
    <row r="1163" spans="1:11" ht="40.049999999999997" customHeight="1" x14ac:dyDescent="0.25">
      <c r="A1163" s="11" t="s">
        <v>2820</v>
      </c>
      <c r="B1163" s="11" t="s">
        <v>2820</v>
      </c>
      <c r="C1163" s="11" t="s">
        <v>59</v>
      </c>
      <c r="D1163" s="11" t="s">
        <v>60</v>
      </c>
      <c r="E1163" s="12" t="s">
        <v>984</v>
      </c>
      <c r="F1163" s="12" t="s">
        <v>985</v>
      </c>
      <c r="G1163" s="12" t="s">
        <v>21</v>
      </c>
      <c r="H1163" s="11" t="s">
        <v>63</v>
      </c>
      <c r="I1163" s="13" t="s">
        <v>2821</v>
      </c>
      <c r="J1163" s="14" t="str">
        <f>HYPERLINK("https://www.boe.es/gazeta/dias/1839/04/10/pdfs/GMD-1839-1607.pdf#page=4","Abrir facsímil")</f>
        <v>Abrir facsímil</v>
      </c>
      <c r="K1163" s="12" t="s">
        <v>65</v>
      </c>
    </row>
    <row r="1164" spans="1:11" ht="40.049999999999997" customHeight="1" x14ac:dyDescent="0.25">
      <c r="A1164" s="11" t="s">
        <v>2820</v>
      </c>
      <c r="B1164" s="11" t="s">
        <v>2820</v>
      </c>
      <c r="C1164" s="11" t="s">
        <v>80</v>
      </c>
      <c r="D1164" s="11" t="s">
        <v>18</v>
      </c>
      <c r="E1164" s="12" t="s">
        <v>2021</v>
      </c>
      <c r="F1164" s="12" t="s">
        <v>2022</v>
      </c>
      <c r="G1164" s="12" t="s">
        <v>40</v>
      </c>
      <c r="H1164" s="11" t="s">
        <v>63</v>
      </c>
      <c r="I1164" s="13" t="s">
        <v>2822</v>
      </c>
      <c r="J1164" s="14" t="str">
        <f>HYPERLINK("https://www.boe.es/gazeta/dias/1839/02/17/pdfs/GMD-1839-1555.pdf#page=2","Abrir facsímil")</f>
        <v>Abrir facsímil</v>
      </c>
      <c r="K1164" s="12" t="s">
        <v>65</v>
      </c>
    </row>
    <row r="1165" spans="1:11" ht="40.049999999999997" customHeight="1" x14ac:dyDescent="0.25">
      <c r="A1165" s="11" t="s">
        <v>2823</v>
      </c>
      <c r="B1165" s="11" t="s">
        <v>2824</v>
      </c>
      <c r="C1165" s="11" t="s">
        <v>80</v>
      </c>
      <c r="D1165" s="11" t="s">
        <v>18</v>
      </c>
      <c r="E1165" s="12" t="s">
        <v>798</v>
      </c>
      <c r="F1165" s="12" t="s">
        <v>799</v>
      </c>
      <c r="G1165" s="12" t="s">
        <v>21</v>
      </c>
      <c r="H1165" s="11" t="s">
        <v>63</v>
      </c>
      <c r="I1165" s="13" t="s">
        <v>2825</v>
      </c>
      <c r="J1165" s="14" t="str">
        <f>HYPERLINK("https://www.boe.es/gazeta/dias/1839/09/03/pdfs/GMD-1839-1755.pdf#page=4","Abrir facsímil")</f>
        <v>Abrir facsímil</v>
      </c>
      <c r="K1165" s="12" t="s">
        <v>65</v>
      </c>
    </row>
    <row r="1166" spans="1:11" ht="40.049999999999997" customHeight="1" x14ac:dyDescent="0.25">
      <c r="A1166" s="11" t="s">
        <v>2823</v>
      </c>
      <c r="B1166" s="11" t="s">
        <v>2824</v>
      </c>
      <c r="C1166" s="11" t="s">
        <v>80</v>
      </c>
      <c r="D1166" s="11" t="s">
        <v>18</v>
      </c>
      <c r="E1166" s="12" t="s">
        <v>217</v>
      </c>
      <c r="F1166" s="12" t="s">
        <v>218</v>
      </c>
      <c r="G1166" s="12" t="s">
        <v>46</v>
      </c>
      <c r="H1166" s="11" t="s">
        <v>63</v>
      </c>
      <c r="I1166" s="13" t="s">
        <v>2826</v>
      </c>
      <c r="J1166" s="14" t="str">
        <f>HYPERLINK("https://www.boe.es/gazeta/dias/1839/08/06/pdfs/GMD-1839-1726.pdf#page=3","Abrir facsímil")</f>
        <v>Abrir facsímil</v>
      </c>
      <c r="K1166" s="12" t="s">
        <v>65</v>
      </c>
    </row>
    <row r="1167" spans="1:11" ht="40.049999999999997" customHeight="1" x14ac:dyDescent="0.25">
      <c r="A1167" s="11" t="s">
        <v>2823</v>
      </c>
      <c r="B1167" s="11" t="s">
        <v>2824</v>
      </c>
      <c r="C1167" s="11" t="s">
        <v>80</v>
      </c>
      <c r="D1167" s="11" t="s">
        <v>18</v>
      </c>
      <c r="E1167" s="12" t="s">
        <v>647</v>
      </c>
      <c r="F1167" s="12" t="s">
        <v>648</v>
      </c>
      <c r="G1167" s="12" t="s">
        <v>566</v>
      </c>
      <c r="H1167" s="11" t="s">
        <v>63</v>
      </c>
      <c r="I1167" s="13" t="s">
        <v>2827</v>
      </c>
      <c r="J1167" s="14" t="str">
        <f>HYPERLINK("https://www.boe.es/gazeta/dias/1839/10/08/pdfs/GMD-1839-1794.pdf#page=5","Abrir facsímil")</f>
        <v>Abrir facsímil</v>
      </c>
      <c r="K1167" s="12" t="s">
        <v>65</v>
      </c>
    </row>
    <row r="1168" spans="1:11" ht="40.049999999999997" customHeight="1" x14ac:dyDescent="0.25">
      <c r="A1168" s="11" t="s">
        <v>2828</v>
      </c>
      <c r="B1168" s="11" t="s">
        <v>2828</v>
      </c>
      <c r="C1168" s="11" t="s">
        <v>59</v>
      </c>
      <c r="D1168" s="11" t="s">
        <v>60</v>
      </c>
      <c r="E1168" s="12" t="s">
        <v>2829</v>
      </c>
      <c r="F1168" s="12" t="s">
        <v>2830</v>
      </c>
      <c r="G1168" s="12" t="s">
        <v>46</v>
      </c>
      <c r="H1168" s="11" t="s">
        <v>63</v>
      </c>
      <c r="I1168" s="13" t="s">
        <v>2831</v>
      </c>
      <c r="J1168" s="14" t="str">
        <f>HYPERLINK("https://www.boe.es/gazeta/dias/1839/07/01/pdfs/GMD-1839-1689.pdf#page=3","Abrir facsímil")</f>
        <v>Abrir facsímil</v>
      </c>
      <c r="K1168" s="12" t="s">
        <v>65</v>
      </c>
    </row>
    <row r="1169" spans="1:11" ht="40.049999999999997" customHeight="1" x14ac:dyDescent="0.25">
      <c r="A1169" s="11" t="s">
        <v>2832</v>
      </c>
      <c r="B1169" s="11" t="s">
        <v>2833</v>
      </c>
      <c r="C1169" s="11" t="s">
        <v>137</v>
      </c>
      <c r="D1169" s="11" t="s">
        <v>18</v>
      </c>
      <c r="E1169" s="12" t="s">
        <v>239</v>
      </c>
      <c r="F1169" s="12" t="s">
        <v>240</v>
      </c>
      <c r="G1169" s="12" t="s">
        <v>21</v>
      </c>
      <c r="H1169" s="11" t="s">
        <v>63</v>
      </c>
      <c r="I1169" s="13" t="s">
        <v>2834</v>
      </c>
      <c r="J1169" s="14" t="str">
        <f>HYPERLINK("https://www.boe.es/gazeta/dias/1839/09/22/pdfs/GMD-1839-1777.pdf#page=4","Abrir facsímil")</f>
        <v>Abrir facsímil</v>
      </c>
      <c r="K1169" s="12" t="s">
        <v>65</v>
      </c>
    </row>
    <row r="1170" spans="1:11" ht="40.049999999999997" customHeight="1" x14ac:dyDescent="0.25">
      <c r="A1170" s="11" t="s">
        <v>2835</v>
      </c>
      <c r="B1170" s="11" t="s">
        <v>2835</v>
      </c>
      <c r="C1170" s="11" t="s">
        <v>17</v>
      </c>
      <c r="D1170" s="11" t="s">
        <v>18</v>
      </c>
      <c r="E1170" s="12" t="s">
        <v>2829</v>
      </c>
      <c r="F1170" s="12" t="s">
        <v>2830</v>
      </c>
      <c r="G1170" s="12" t="s">
        <v>29</v>
      </c>
      <c r="H1170" s="11" t="s">
        <v>63</v>
      </c>
      <c r="I1170" s="13" t="s">
        <v>2836</v>
      </c>
      <c r="J1170" s="14" t="str">
        <f>HYPERLINK("https://www.boe.es/gazeta/dias/1839/07/01/pdfs/GMD-1839-1689.pdf#page=1","Abrir facsímil")</f>
        <v>Abrir facsímil</v>
      </c>
      <c r="K1170" s="12" t="s">
        <v>65</v>
      </c>
    </row>
    <row r="1171" spans="1:11" ht="40.049999999999997" customHeight="1" x14ac:dyDescent="0.25">
      <c r="A1171" s="11" t="s">
        <v>2835</v>
      </c>
      <c r="B1171" s="11" t="s">
        <v>2835</v>
      </c>
      <c r="C1171" s="11" t="s">
        <v>59</v>
      </c>
      <c r="D1171" s="11" t="s">
        <v>60</v>
      </c>
      <c r="E1171" s="12" t="s">
        <v>2829</v>
      </c>
      <c r="F1171" s="12" t="s">
        <v>2830</v>
      </c>
      <c r="G1171" s="12" t="s">
        <v>46</v>
      </c>
      <c r="H1171" s="11" t="s">
        <v>63</v>
      </c>
      <c r="I1171" s="13" t="s">
        <v>2837</v>
      </c>
      <c r="J1171" s="14" t="str">
        <f>HYPERLINK("https://www.boe.es/gazeta/dias/1839/07/01/pdfs/GMD-1839-1689.pdf#page=3","Abrir facsímil")</f>
        <v>Abrir facsímil</v>
      </c>
      <c r="K1171" s="12" t="s">
        <v>65</v>
      </c>
    </row>
    <row r="1172" spans="1:11" ht="40.049999999999997" customHeight="1" x14ac:dyDescent="0.25">
      <c r="A1172" s="11" t="s">
        <v>2835</v>
      </c>
      <c r="B1172" s="11" t="s">
        <v>2835</v>
      </c>
      <c r="C1172" s="11" t="s">
        <v>59</v>
      </c>
      <c r="D1172" s="11" t="s">
        <v>60</v>
      </c>
      <c r="E1172" s="12" t="s">
        <v>258</v>
      </c>
      <c r="F1172" s="12" t="s">
        <v>259</v>
      </c>
      <c r="G1172" s="12" t="s">
        <v>29</v>
      </c>
      <c r="H1172" s="11" t="s">
        <v>63</v>
      </c>
      <c r="I1172" s="13" t="s">
        <v>2838</v>
      </c>
      <c r="J1172" s="14" t="str">
        <f>HYPERLINK("https://www.boe.es/gazeta/dias/1839/01/02/pdfs/GMD-1839-1509.pdf#page=1","Abrir facsímil")</f>
        <v>Abrir facsímil</v>
      </c>
      <c r="K1172" s="12" t="s">
        <v>65</v>
      </c>
    </row>
    <row r="1173" spans="1:11" ht="40.049999999999997" customHeight="1" x14ac:dyDescent="0.25">
      <c r="A1173" s="11" t="s">
        <v>2835</v>
      </c>
      <c r="B1173" s="11" t="s">
        <v>2835</v>
      </c>
      <c r="C1173" s="11" t="s">
        <v>17</v>
      </c>
      <c r="D1173" s="11" t="s">
        <v>18</v>
      </c>
      <c r="E1173" s="12" t="s">
        <v>2839</v>
      </c>
      <c r="F1173" s="12" t="s">
        <v>2840</v>
      </c>
      <c r="G1173" s="12" t="s">
        <v>46</v>
      </c>
      <c r="H1173" s="11" t="s">
        <v>63</v>
      </c>
      <c r="I1173" s="13" t="s">
        <v>2841</v>
      </c>
      <c r="J1173" s="14" t="str">
        <f>HYPERLINK("https://www.boe.es/gazeta/dias/1839/03/06/pdfs/GMD-1839-1572.pdf#page=3","Abrir facsímil")</f>
        <v>Abrir facsímil</v>
      </c>
      <c r="K1173" s="12" t="s">
        <v>65</v>
      </c>
    </row>
    <row r="1174" spans="1:11" ht="40.049999999999997" customHeight="1" x14ac:dyDescent="0.25">
      <c r="A1174" s="11" t="s">
        <v>2835</v>
      </c>
      <c r="B1174" s="11" t="s">
        <v>2835</v>
      </c>
      <c r="C1174" s="11" t="s">
        <v>17</v>
      </c>
      <c r="D1174" s="11" t="s">
        <v>18</v>
      </c>
      <c r="E1174" s="12" t="s">
        <v>84</v>
      </c>
      <c r="F1174" s="12" t="s">
        <v>85</v>
      </c>
      <c r="G1174" s="12" t="s">
        <v>40</v>
      </c>
      <c r="H1174" s="11" t="s">
        <v>63</v>
      </c>
      <c r="I1174" s="13" t="s">
        <v>2842</v>
      </c>
      <c r="J1174" s="14" t="str">
        <f>HYPERLINK("https://www.boe.es/gazeta/dias/1839/03/11/pdfs/GMD-1839-1577.pdf#page=2","Abrir facsímil")</f>
        <v>Abrir facsímil</v>
      </c>
      <c r="K1174" s="12" t="s">
        <v>65</v>
      </c>
    </row>
    <row r="1175" spans="1:11" ht="40.049999999999997" customHeight="1" x14ac:dyDescent="0.25">
      <c r="A1175" s="11" t="s">
        <v>2835</v>
      </c>
      <c r="B1175" s="11" t="s">
        <v>2835</v>
      </c>
      <c r="C1175" s="11" t="s">
        <v>101</v>
      </c>
      <c r="D1175" s="11" t="s">
        <v>102</v>
      </c>
      <c r="E1175" s="12" t="s">
        <v>280</v>
      </c>
      <c r="F1175" s="12" t="s">
        <v>281</v>
      </c>
      <c r="G1175" s="12" t="s">
        <v>29</v>
      </c>
      <c r="H1175" s="11" t="s">
        <v>63</v>
      </c>
      <c r="I1175" s="13" t="s">
        <v>2843</v>
      </c>
      <c r="J1175" s="14" t="str">
        <f>HYPERLINK("https://www.boe.es/gazeta/dias/1839/08/21/pdfs/GMD-1839-1742.pdf#page=1","Abrir facsímil")</f>
        <v>Abrir facsímil</v>
      </c>
      <c r="K1175" s="12" t="s">
        <v>65</v>
      </c>
    </row>
    <row r="1176" spans="1:11" ht="40.049999999999997" customHeight="1" x14ac:dyDescent="0.25">
      <c r="A1176" s="11" t="s">
        <v>2835</v>
      </c>
      <c r="B1176" s="11" t="s">
        <v>2835</v>
      </c>
      <c r="C1176" s="11" t="s">
        <v>101</v>
      </c>
      <c r="D1176" s="11" t="s">
        <v>43</v>
      </c>
      <c r="E1176" s="12" t="s">
        <v>1497</v>
      </c>
      <c r="F1176" s="12" t="s">
        <v>1498</v>
      </c>
      <c r="G1176" s="12" t="s">
        <v>29</v>
      </c>
      <c r="H1176" s="11" t="s">
        <v>63</v>
      </c>
      <c r="I1176" s="13" t="s">
        <v>2844</v>
      </c>
      <c r="J1176" s="14" t="str">
        <f>HYPERLINK("https://www.boe.es/gazeta/dias/1839/08/23/pdfs/GMD-1839-1744.pdf#page=1","Abrir facsímil")</f>
        <v>Abrir facsímil</v>
      </c>
      <c r="K1176" s="12" t="s">
        <v>65</v>
      </c>
    </row>
    <row r="1177" spans="1:11" ht="40.049999999999997" customHeight="1" x14ac:dyDescent="0.25">
      <c r="A1177" s="11" t="s">
        <v>2835</v>
      </c>
      <c r="B1177" s="11" t="s">
        <v>2835</v>
      </c>
      <c r="C1177" s="11" t="s">
        <v>59</v>
      </c>
      <c r="D1177" s="11" t="s">
        <v>60</v>
      </c>
      <c r="E1177" s="12" t="s">
        <v>664</v>
      </c>
      <c r="F1177" s="12" t="s">
        <v>665</v>
      </c>
      <c r="G1177" s="12" t="s">
        <v>46</v>
      </c>
      <c r="H1177" s="11" t="s">
        <v>63</v>
      </c>
      <c r="I1177" s="13" t="s">
        <v>2845</v>
      </c>
      <c r="J1177" s="14" t="str">
        <f>HYPERLINK("https://www.boe.es/gazeta/dias/1839/01/24/pdfs/GMD-1839-1531.pdf#page=3","Abrir facsímil")</f>
        <v>Abrir facsímil</v>
      </c>
      <c r="K1177" s="12" t="s">
        <v>65</v>
      </c>
    </row>
    <row r="1178" spans="1:11" ht="40.049999999999997" customHeight="1" x14ac:dyDescent="0.25">
      <c r="A1178" s="11" t="s">
        <v>2835</v>
      </c>
      <c r="B1178" s="11" t="s">
        <v>2835</v>
      </c>
      <c r="C1178" s="11" t="s">
        <v>80</v>
      </c>
      <c r="D1178" s="11" t="s">
        <v>18</v>
      </c>
      <c r="E1178" s="12" t="s">
        <v>479</v>
      </c>
      <c r="F1178" s="12" t="s">
        <v>480</v>
      </c>
      <c r="G1178" s="12" t="s">
        <v>40</v>
      </c>
      <c r="H1178" s="11" t="s">
        <v>63</v>
      </c>
      <c r="I1178" s="13" t="s">
        <v>2846</v>
      </c>
      <c r="J1178" s="14" t="str">
        <f>HYPERLINK("https://www.boe.es/gazeta/dias/1839/06/24/pdfs/GMD-1839-1682.pdf#page=2","Abrir facsímil")</f>
        <v>Abrir facsímil</v>
      </c>
      <c r="K1178" s="12" t="s">
        <v>65</v>
      </c>
    </row>
    <row r="1179" spans="1:11" ht="40.049999999999997" customHeight="1" x14ac:dyDescent="0.25">
      <c r="A1179" s="11" t="s">
        <v>2835</v>
      </c>
      <c r="B1179" s="11" t="s">
        <v>2835</v>
      </c>
      <c r="C1179" s="11" t="s">
        <v>17</v>
      </c>
      <c r="D1179" s="11" t="s">
        <v>18</v>
      </c>
      <c r="E1179" s="12" t="s">
        <v>1490</v>
      </c>
      <c r="F1179" s="12" t="s">
        <v>1491</v>
      </c>
      <c r="G1179" s="12" t="s">
        <v>29</v>
      </c>
      <c r="H1179" s="11" t="s">
        <v>63</v>
      </c>
      <c r="I1179" s="13" t="s">
        <v>2847</v>
      </c>
      <c r="J1179" s="14" t="str">
        <f>HYPERLINK("https://www.boe.es/gazeta/dias/1839/02/27/pdfs/GMD-1839-1565.pdf#page=1","Abrir facsímil")</f>
        <v>Abrir facsímil</v>
      </c>
      <c r="K1179" s="12" t="s">
        <v>65</v>
      </c>
    </row>
    <row r="1180" spans="1:11" ht="40.049999999999997" customHeight="1" x14ac:dyDescent="0.25">
      <c r="A1180" s="11" t="s">
        <v>2835</v>
      </c>
      <c r="B1180" s="11" t="s">
        <v>2835</v>
      </c>
      <c r="C1180" s="11" t="s">
        <v>101</v>
      </c>
      <c r="D1180" s="11" t="s">
        <v>43</v>
      </c>
      <c r="E1180" s="12" t="s">
        <v>1685</v>
      </c>
      <c r="F1180" s="12" t="s">
        <v>1686</v>
      </c>
      <c r="G1180" s="12" t="s">
        <v>40</v>
      </c>
      <c r="H1180" s="11" t="s">
        <v>63</v>
      </c>
      <c r="I1180" s="13" t="s">
        <v>2848</v>
      </c>
      <c r="J1180" s="14" t="str">
        <f>HYPERLINK("https://www.boe.es/gazeta/dias/1839/04/27/pdfs/GMD-1839-1624.pdf#page=2","Abrir facsímil")</f>
        <v>Abrir facsímil</v>
      </c>
      <c r="K1180" s="12" t="s">
        <v>65</v>
      </c>
    </row>
    <row r="1181" spans="1:11" ht="40.049999999999997" customHeight="1" x14ac:dyDescent="0.25">
      <c r="A1181" s="11" t="s">
        <v>2849</v>
      </c>
      <c r="B1181" s="11" t="s">
        <v>2850</v>
      </c>
      <c r="C1181" s="11" t="s">
        <v>80</v>
      </c>
      <c r="D1181" s="11" t="s">
        <v>18</v>
      </c>
      <c r="E1181" s="12" t="s">
        <v>2851</v>
      </c>
      <c r="F1181" s="12" t="s">
        <v>2852</v>
      </c>
      <c r="G1181" s="12" t="s">
        <v>40</v>
      </c>
      <c r="H1181" s="11" t="s">
        <v>63</v>
      </c>
      <c r="I1181" s="13" t="s">
        <v>2853</v>
      </c>
      <c r="J1181" s="14" t="str">
        <f>HYPERLINK("https://www.boe.es/gazeta/dias/1839/05/16/pdfs/GMD-1839-1643.pdf#page=2","Abrir facsímil")</f>
        <v>Abrir facsímil</v>
      </c>
      <c r="K1181" s="12" t="s">
        <v>65</v>
      </c>
    </row>
    <row r="1182" spans="1:11" ht="40.049999999999997" customHeight="1" x14ac:dyDescent="0.25">
      <c r="A1182" s="11" t="s">
        <v>2854</v>
      </c>
      <c r="B1182" s="11" t="s">
        <v>2854</v>
      </c>
      <c r="C1182" s="11" t="s">
        <v>137</v>
      </c>
      <c r="D1182" s="11" t="s">
        <v>18</v>
      </c>
      <c r="E1182" s="12" t="s">
        <v>132</v>
      </c>
      <c r="F1182" s="12" t="s">
        <v>133</v>
      </c>
      <c r="G1182" s="12" t="s">
        <v>29</v>
      </c>
      <c r="H1182" s="11" t="s">
        <v>63</v>
      </c>
      <c r="I1182" s="13" t="s">
        <v>2855</v>
      </c>
      <c r="J1182" s="14" t="str">
        <f>HYPERLINK("https://www.boe.es/gazeta/dias/1839/08/02/pdfs/GMD-1839-1722.pdf#page=1","Abrir facsímil")</f>
        <v>Abrir facsímil</v>
      </c>
      <c r="K1182" s="12" t="s">
        <v>65</v>
      </c>
    </row>
    <row r="1183" spans="1:11" ht="40.049999999999997" customHeight="1" x14ac:dyDescent="0.25">
      <c r="A1183" s="11" t="s">
        <v>2856</v>
      </c>
      <c r="B1183" s="11" t="s">
        <v>2856</v>
      </c>
      <c r="C1183" s="11" t="s">
        <v>80</v>
      </c>
      <c r="D1183" s="11" t="s">
        <v>18</v>
      </c>
      <c r="E1183" s="12" t="s">
        <v>918</v>
      </c>
      <c r="F1183" s="12" t="s">
        <v>919</v>
      </c>
      <c r="G1183" s="12" t="s">
        <v>40</v>
      </c>
      <c r="H1183" s="11" t="s">
        <v>63</v>
      </c>
      <c r="I1183" s="13" t="s">
        <v>2857</v>
      </c>
      <c r="J1183" s="14" t="str">
        <f>HYPERLINK("https://www.boe.es/gazeta/dias/1839/12/07/pdfs/GMD-1839-1854.pdf#page=2","Abrir facsímil")</f>
        <v>Abrir facsímil</v>
      </c>
      <c r="K1183" s="12" t="s">
        <v>65</v>
      </c>
    </row>
    <row r="1184" spans="1:11" ht="40.049999999999997" customHeight="1" x14ac:dyDescent="0.25">
      <c r="A1184" s="11" t="s">
        <v>2858</v>
      </c>
      <c r="B1184" s="11" t="s">
        <v>2859</v>
      </c>
      <c r="C1184" s="11" t="s">
        <v>17</v>
      </c>
      <c r="D1184" s="11" t="s">
        <v>18</v>
      </c>
      <c r="E1184" s="12" t="s">
        <v>1310</v>
      </c>
      <c r="F1184" s="12" t="s">
        <v>1311</v>
      </c>
      <c r="G1184" s="12" t="s">
        <v>40</v>
      </c>
      <c r="H1184" s="11" t="s">
        <v>63</v>
      </c>
      <c r="I1184" s="13" t="s">
        <v>2860</v>
      </c>
      <c r="J1184" s="14" t="str">
        <f>HYPERLINK("https://www.boe.es/gazeta/dias/1839/04/23/pdfs/GMD-1839-1620.pdf#page=2","Abrir facsímil")</f>
        <v>Abrir facsímil</v>
      </c>
      <c r="K1184" s="12" t="s">
        <v>65</v>
      </c>
    </row>
    <row r="1185" spans="1:11" ht="40.049999999999997" customHeight="1" x14ac:dyDescent="0.25">
      <c r="A1185" s="11" t="s">
        <v>2861</v>
      </c>
      <c r="B1185" s="11" t="s">
        <v>2861</v>
      </c>
      <c r="C1185" s="11" t="s">
        <v>17</v>
      </c>
      <c r="D1185" s="11" t="s">
        <v>18</v>
      </c>
      <c r="E1185" s="12" t="s">
        <v>287</v>
      </c>
      <c r="F1185" s="12" t="s">
        <v>288</v>
      </c>
      <c r="G1185" s="12" t="s">
        <v>46</v>
      </c>
      <c r="H1185" s="11" t="s">
        <v>63</v>
      </c>
      <c r="I1185" s="13" t="s">
        <v>2862</v>
      </c>
      <c r="J1185" s="14" t="str">
        <f>HYPERLINK("https://www.boe.es/gazeta/dias/1839/11/27/pdfs/GMD-1839-1844.pdf#page=3","Abrir facsímil")</f>
        <v>Abrir facsímil</v>
      </c>
      <c r="K1185" s="12" t="s">
        <v>65</v>
      </c>
    </row>
    <row r="1186" spans="1:11" ht="40.049999999999997" customHeight="1" x14ac:dyDescent="0.25">
      <c r="A1186" s="11" t="s">
        <v>2863</v>
      </c>
      <c r="B1186" s="11" t="s">
        <v>2864</v>
      </c>
      <c r="C1186" s="11" t="s">
        <v>80</v>
      </c>
      <c r="D1186" s="11" t="s">
        <v>18</v>
      </c>
      <c r="E1186" s="12" t="s">
        <v>217</v>
      </c>
      <c r="F1186" s="12" t="s">
        <v>218</v>
      </c>
      <c r="G1186" s="12" t="s">
        <v>46</v>
      </c>
      <c r="H1186" s="11" t="s">
        <v>22</v>
      </c>
      <c r="I1186" s="13" t="s">
        <v>2865</v>
      </c>
      <c r="J1186" s="14" t="str">
        <f>HYPERLINK("https://www.boe.es/gazeta/dias/1839/08/06/pdfs/GMD-1839-1726.pdf#page=3","Abrir facsímil")</f>
        <v>Abrir facsímil</v>
      </c>
      <c r="K1186" s="12" t="s">
        <v>24</v>
      </c>
    </row>
    <row r="1187" spans="1:11" ht="40.049999999999997" customHeight="1" x14ac:dyDescent="0.25">
      <c r="A1187" s="11" t="s">
        <v>2866</v>
      </c>
      <c r="B1187" s="11" t="s">
        <v>2867</v>
      </c>
      <c r="C1187" s="11" t="s">
        <v>101</v>
      </c>
      <c r="D1187" s="11" t="s">
        <v>43</v>
      </c>
      <c r="E1187" s="12" t="s">
        <v>303</v>
      </c>
      <c r="F1187" s="12" t="s">
        <v>304</v>
      </c>
      <c r="G1187" s="12" t="s">
        <v>40</v>
      </c>
      <c r="H1187" s="11" t="s">
        <v>63</v>
      </c>
      <c r="I1187" s="13" t="s">
        <v>2868</v>
      </c>
      <c r="J1187" s="14" t="str">
        <f>HYPERLINK("https://www.boe.es/gazeta/dias/1839/10/06/pdfs/GMD-1839-1792.pdf#page=2","Abrir facsímil")</f>
        <v>Abrir facsímil</v>
      </c>
      <c r="K1187" s="12" t="s">
        <v>65</v>
      </c>
    </row>
    <row r="1188" spans="1:11" ht="40.049999999999997" customHeight="1" x14ac:dyDescent="0.25">
      <c r="A1188" s="11" t="s">
        <v>2866</v>
      </c>
      <c r="B1188" s="11" t="s">
        <v>2867</v>
      </c>
      <c r="C1188" s="11" t="s">
        <v>17</v>
      </c>
      <c r="D1188" s="11" t="s">
        <v>18</v>
      </c>
      <c r="E1188" s="12" t="s">
        <v>116</v>
      </c>
      <c r="F1188" s="12" t="s">
        <v>117</v>
      </c>
      <c r="G1188" s="12" t="s">
        <v>40</v>
      </c>
      <c r="H1188" s="11" t="s">
        <v>63</v>
      </c>
      <c r="I1188" s="13" t="s">
        <v>2869</v>
      </c>
      <c r="J1188" s="14" t="str">
        <f>HYPERLINK("https://www.boe.es/gazeta/dias/1839/10/10/pdfs/GMD-1839-1796.pdf#page=2","Abrir facsímil")</f>
        <v>Abrir facsímil</v>
      </c>
      <c r="K1188" s="12" t="s">
        <v>65</v>
      </c>
    </row>
    <row r="1189" spans="1:11" ht="40.049999999999997" customHeight="1" x14ac:dyDescent="0.25">
      <c r="A1189" s="11" t="s">
        <v>2866</v>
      </c>
      <c r="B1189" s="11" t="s">
        <v>2867</v>
      </c>
      <c r="C1189" s="11" t="s">
        <v>101</v>
      </c>
      <c r="D1189" s="11" t="s">
        <v>43</v>
      </c>
      <c r="E1189" s="12" t="s">
        <v>103</v>
      </c>
      <c r="F1189" s="12" t="s">
        <v>104</v>
      </c>
      <c r="G1189" s="12" t="s">
        <v>46</v>
      </c>
      <c r="H1189" s="11" t="s">
        <v>63</v>
      </c>
      <c r="I1189" s="13" t="s">
        <v>2870</v>
      </c>
      <c r="J1189" s="14" t="str">
        <f>HYPERLINK("https://www.boe.es/gazeta/dias/1839/10/12/pdfs/GMD-1839-1798.pdf#page=3","Abrir facsímil")</f>
        <v>Abrir facsímil</v>
      </c>
      <c r="K1189" s="12" t="s">
        <v>65</v>
      </c>
    </row>
    <row r="1190" spans="1:11" ht="40.049999999999997" customHeight="1" x14ac:dyDescent="0.25">
      <c r="A1190" s="11" t="s">
        <v>2866</v>
      </c>
      <c r="B1190" s="11" t="s">
        <v>2867</v>
      </c>
      <c r="C1190" s="11" t="s">
        <v>59</v>
      </c>
      <c r="D1190" s="11" t="s">
        <v>60</v>
      </c>
      <c r="E1190" s="12" t="s">
        <v>416</v>
      </c>
      <c r="F1190" s="12" t="s">
        <v>417</v>
      </c>
      <c r="G1190" s="12" t="s">
        <v>21</v>
      </c>
      <c r="H1190" s="11" t="s">
        <v>63</v>
      </c>
      <c r="I1190" s="13" t="s">
        <v>2871</v>
      </c>
      <c r="J1190" s="14" t="str">
        <f>HYPERLINK("https://www.boe.es/gazeta/dias/1839/10/24/pdfs/GMD-1839-1810.pdf#page=4","Abrir facsímil")</f>
        <v>Abrir facsímil</v>
      </c>
      <c r="K1190" s="12" t="s">
        <v>65</v>
      </c>
    </row>
    <row r="1191" spans="1:11" ht="40.049999999999997" customHeight="1" x14ac:dyDescent="0.25">
      <c r="A1191" s="11" t="s">
        <v>2866</v>
      </c>
      <c r="B1191" s="11" t="s">
        <v>2867</v>
      </c>
      <c r="C1191" s="11" t="s">
        <v>80</v>
      </c>
      <c r="D1191" s="11" t="s">
        <v>18</v>
      </c>
      <c r="E1191" s="12" t="s">
        <v>1086</v>
      </c>
      <c r="F1191" s="12" t="s">
        <v>1087</v>
      </c>
      <c r="G1191" s="12" t="s">
        <v>40</v>
      </c>
      <c r="H1191" s="11" t="s">
        <v>63</v>
      </c>
      <c r="I1191" s="13" t="s">
        <v>2872</v>
      </c>
      <c r="J1191" s="14" t="str">
        <f>HYPERLINK("https://www.boe.es/gazeta/dias/1839/10/26/pdfs/GMD-1839-1812.pdf#page=2","Abrir facsímil")</f>
        <v>Abrir facsímil</v>
      </c>
      <c r="K1191" s="12" t="s">
        <v>65</v>
      </c>
    </row>
    <row r="1192" spans="1:11" ht="40.049999999999997" customHeight="1" x14ac:dyDescent="0.25">
      <c r="A1192" s="11" t="s">
        <v>2873</v>
      </c>
      <c r="B1192" s="11" t="s">
        <v>2874</v>
      </c>
      <c r="C1192" s="11" t="s">
        <v>59</v>
      </c>
      <c r="D1192" s="11" t="s">
        <v>60</v>
      </c>
      <c r="E1192" s="12" t="s">
        <v>438</v>
      </c>
      <c r="F1192" s="12" t="s">
        <v>439</v>
      </c>
      <c r="G1192" s="12" t="s">
        <v>21</v>
      </c>
      <c r="H1192" s="11" t="s">
        <v>63</v>
      </c>
      <c r="I1192" s="13" t="s">
        <v>2875</v>
      </c>
      <c r="J1192" s="14" t="str">
        <f>HYPERLINK("https://www.boe.es/gazeta/dias/1839/07/17/pdfs/GMD-1839-1705.pdf#page=4","Abrir facsímil")</f>
        <v>Abrir facsímil</v>
      </c>
      <c r="K1192" s="12" t="s">
        <v>65</v>
      </c>
    </row>
    <row r="1193" spans="1:11" ht="40.049999999999997" customHeight="1" x14ac:dyDescent="0.25">
      <c r="A1193" s="11" t="s">
        <v>2876</v>
      </c>
      <c r="B1193" s="11" t="s">
        <v>2877</v>
      </c>
      <c r="C1193" s="11" t="s">
        <v>137</v>
      </c>
      <c r="D1193" s="11" t="s">
        <v>18</v>
      </c>
      <c r="E1193" s="12" t="s">
        <v>132</v>
      </c>
      <c r="F1193" s="12" t="s">
        <v>133</v>
      </c>
      <c r="G1193" s="12" t="s">
        <v>21</v>
      </c>
      <c r="H1193" s="11" t="s">
        <v>63</v>
      </c>
      <c r="I1193" s="13" t="s">
        <v>2878</v>
      </c>
      <c r="J1193" s="14" t="str">
        <f>HYPERLINK("https://www.boe.es/gazeta/dias/1839/08/02/pdfs/GMD-1839-1722.pdf#page=4","Abrir facsímil")</f>
        <v>Abrir facsímil</v>
      </c>
      <c r="K1193" s="12" t="s">
        <v>65</v>
      </c>
    </row>
    <row r="1194" spans="1:11" ht="40.049999999999997" customHeight="1" x14ac:dyDescent="0.25">
      <c r="A1194" s="11" t="s">
        <v>2879</v>
      </c>
      <c r="B1194" s="11" t="s">
        <v>2880</v>
      </c>
      <c r="C1194" s="11" t="s">
        <v>80</v>
      </c>
      <c r="D1194" s="11" t="s">
        <v>18</v>
      </c>
      <c r="E1194" s="12" t="s">
        <v>2881</v>
      </c>
      <c r="F1194" s="12" t="s">
        <v>2882</v>
      </c>
      <c r="G1194" s="12" t="s">
        <v>21</v>
      </c>
      <c r="H1194" s="11" t="s">
        <v>63</v>
      </c>
      <c r="I1194" s="13" t="s">
        <v>2883</v>
      </c>
      <c r="J1194" s="14" t="str">
        <f>HYPERLINK("https://www.boe.es/gazeta/dias/1839/05/08/pdfs/GMD-1839-1635.pdf#page=4","Abrir facsímil")</f>
        <v>Abrir facsímil</v>
      </c>
      <c r="K1194" s="12" t="s">
        <v>65</v>
      </c>
    </row>
    <row r="1195" spans="1:11" ht="40.049999999999997" customHeight="1" x14ac:dyDescent="0.25">
      <c r="A1195" s="11" t="s">
        <v>2884</v>
      </c>
      <c r="B1195" s="11" t="s">
        <v>2885</v>
      </c>
      <c r="C1195" s="11" t="s">
        <v>17</v>
      </c>
      <c r="D1195" s="11" t="s">
        <v>18</v>
      </c>
      <c r="E1195" s="12" t="s">
        <v>303</v>
      </c>
      <c r="F1195" s="12" t="s">
        <v>304</v>
      </c>
      <c r="G1195" s="12" t="s">
        <v>305</v>
      </c>
      <c r="H1195" s="11" t="s">
        <v>63</v>
      </c>
      <c r="I1195" s="13" t="s">
        <v>2886</v>
      </c>
      <c r="J1195" s="14" t="str">
        <f>HYPERLINK("https://www.boe.es/gazeta/dias/1839/10/06/pdfs/GMD-1839-1792.pdf#page=6","Abrir facsímil")</f>
        <v>Abrir facsímil</v>
      </c>
      <c r="K1195" s="12" t="s">
        <v>65</v>
      </c>
    </row>
    <row r="1196" spans="1:11" ht="40.049999999999997" customHeight="1" x14ac:dyDescent="0.25">
      <c r="A1196" s="11" t="s">
        <v>2887</v>
      </c>
      <c r="B1196" s="11" t="s">
        <v>2888</v>
      </c>
      <c r="C1196" s="11" t="s">
        <v>17</v>
      </c>
      <c r="D1196" s="11" t="s">
        <v>18</v>
      </c>
      <c r="E1196" s="12" t="s">
        <v>84</v>
      </c>
      <c r="F1196" s="12" t="s">
        <v>85</v>
      </c>
      <c r="G1196" s="12" t="s">
        <v>29</v>
      </c>
      <c r="H1196" s="11" t="s">
        <v>63</v>
      </c>
      <c r="I1196" s="13" t="s">
        <v>2889</v>
      </c>
      <c r="J1196" s="14" t="str">
        <f>HYPERLINK("https://www.boe.es/gazeta/dias/1839/03/11/pdfs/GMD-1839-1577.pdf#page=1","Abrir facsímil")</f>
        <v>Abrir facsímil</v>
      </c>
      <c r="K1196" s="12" t="s">
        <v>65</v>
      </c>
    </row>
    <row r="1197" spans="1:11" ht="40.049999999999997" customHeight="1" x14ac:dyDescent="0.25">
      <c r="A1197" s="11" t="s">
        <v>2890</v>
      </c>
      <c r="B1197" s="11" t="s">
        <v>2891</v>
      </c>
      <c r="C1197" s="11" t="s">
        <v>101</v>
      </c>
      <c r="D1197" s="11" t="s">
        <v>102</v>
      </c>
      <c r="E1197" s="12" t="s">
        <v>744</v>
      </c>
      <c r="F1197" s="12" t="s">
        <v>745</v>
      </c>
      <c r="G1197" s="12" t="s">
        <v>29</v>
      </c>
      <c r="H1197" s="11" t="s">
        <v>63</v>
      </c>
      <c r="I1197" s="13" t="s">
        <v>2892</v>
      </c>
      <c r="J1197" s="14" t="str">
        <f>HYPERLINK("https://www.boe.es/gazeta/dias/1839/12/09/pdfs/GMD-1839-1856.pdf#page=1","Abrir facsímil")</f>
        <v>Abrir facsímil</v>
      </c>
      <c r="K1197" s="12" t="s">
        <v>65</v>
      </c>
    </row>
    <row r="1198" spans="1:11" ht="40.049999999999997" customHeight="1" x14ac:dyDescent="0.25">
      <c r="A1198" s="11" t="s">
        <v>2893</v>
      </c>
      <c r="B1198" s="11" t="s">
        <v>2894</v>
      </c>
      <c r="C1198" s="11" t="s">
        <v>80</v>
      </c>
      <c r="D1198" s="11" t="s">
        <v>173</v>
      </c>
      <c r="E1198" s="12" t="s">
        <v>632</v>
      </c>
      <c r="F1198" s="12" t="s">
        <v>633</v>
      </c>
      <c r="G1198" s="12" t="s">
        <v>29</v>
      </c>
      <c r="H1198" s="11" t="s">
        <v>63</v>
      </c>
      <c r="I1198" s="13" t="s">
        <v>2895</v>
      </c>
      <c r="J1198" s="14" t="str">
        <f>HYPERLINK("https://www.boe.es/gazeta/dias/1839/04/06/pdfs/GMD-1839-1603.pdf#page=1","Abrir facsímil")</f>
        <v>Abrir facsímil</v>
      </c>
      <c r="K1198" s="12" t="s">
        <v>65</v>
      </c>
    </row>
    <row r="1199" spans="1:11" ht="40.049999999999997" customHeight="1" x14ac:dyDescent="0.25">
      <c r="A1199" s="11" t="s">
        <v>2896</v>
      </c>
      <c r="B1199" s="11" t="s">
        <v>2897</v>
      </c>
      <c r="C1199" s="11" t="s">
        <v>17</v>
      </c>
      <c r="D1199" s="11" t="s">
        <v>18</v>
      </c>
      <c r="E1199" s="12" t="s">
        <v>1517</v>
      </c>
      <c r="F1199" s="12" t="s">
        <v>1518</v>
      </c>
      <c r="G1199" s="12" t="s">
        <v>29</v>
      </c>
      <c r="H1199" s="11" t="s">
        <v>63</v>
      </c>
      <c r="I1199" s="13" t="s">
        <v>2898</v>
      </c>
      <c r="J1199" s="14" t="str">
        <f>HYPERLINK("https://www.boe.es/gazeta/dias/1839/12/20/pdfs/GMD-1839-1867.pdf#page=1","Abrir facsímil")</f>
        <v>Abrir facsímil</v>
      </c>
      <c r="K1199" s="12" t="s">
        <v>65</v>
      </c>
    </row>
    <row r="1200" spans="1:11" ht="40.049999999999997" customHeight="1" x14ac:dyDescent="0.25">
      <c r="A1200" s="11" t="s">
        <v>2899</v>
      </c>
      <c r="B1200" s="11" t="s">
        <v>2899</v>
      </c>
      <c r="C1200" s="11" t="s">
        <v>17</v>
      </c>
      <c r="D1200" s="11" t="s">
        <v>18</v>
      </c>
      <c r="E1200" s="12" t="s">
        <v>1340</v>
      </c>
      <c r="F1200" s="12" t="s">
        <v>1341</v>
      </c>
      <c r="G1200" s="12" t="s">
        <v>40</v>
      </c>
      <c r="H1200" s="11" t="s">
        <v>63</v>
      </c>
      <c r="I1200" s="13" t="s">
        <v>2900</v>
      </c>
      <c r="J1200" s="14" t="str">
        <f>HYPERLINK("https://www.boe.es/gazeta/dias/1839/05/05/pdfs/GMD-1839-1632.pdf#page=2","Abrir facsímil")</f>
        <v>Abrir facsímil</v>
      </c>
      <c r="K1200" s="12" t="s">
        <v>65</v>
      </c>
    </row>
    <row r="1201" spans="1:11" ht="40.049999999999997" customHeight="1" x14ac:dyDescent="0.25">
      <c r="A1201" s="11" t="s">
        <v>2901</v>
      </c>
      <c r="B1201" s="11" t="s">
        <v>2901</v>
      </c>
      <c r="C1201" s="11" t="s">
        <v>80</v>
      </c>
      <c r="D1201" s="11" t="s">
        <v>18</v>
      </c>
      <c r="E1201" s="12" t="s">
        <v>1086</v>
      </c>
      <c r="F1201" s="12" t="s">
        <v>1087</v>
      </c>
      <c r="G1201" s="12" t="s">
        <v>40</v>
      </c>
      <c r="H1201" s="11" t="s">
        <v>63</v>
      </c>
      <c r="I1201" s="13" t="s">
        <v>2902</v>
      </c>
      <c r="J1201" s="14" t="str">
        <f>HYPERLINK("https://www.boe.es/gazeta/dias/1839/10/26/pdfs/GMD-1839-1812.pdf#page=2","Abrir facsímil")</f>
        <v>Abrir facsímil</v>
      </c>
      <c r="K1201" s="12" t="s">
        <v>65</v>
      </c>
    </row>
    <row r="1202" spans="1:11" ht="40.049999999999997" customHeight="1" x14ac:dyDescent="0.25">
      <c r="A1202" s="11" t="s">
        <v>2903</v>
      </c>
      <c r="B1202" s="11" t="s">
        <v>2904</v>
      </c>
      <c r="C1202" s="11" t="s">
        <v>80</v>
      </c>
      <c r="D1202" s="11" t="s">
        <v>18</v>
      </c>
      <c r="E1202" s="12" t="s">
        <v>883</v>
      </c>
      <c r="F1202" s="12" t="s">
        <v>884</v>
      </c>
      <c r="G1202" s="12" t="s">
        <v>21</v>
      </c>
      <c r="H1202" s="11" t="s">
        <v>22</v>
      </c>
      <c r="I1202" s="13" t="s">
        <v>2905</v>
      </c>
      <c r="J1202" s="14" t="str">
        <f>HYPERLINK("https://www.boe.es/gazeta/dias/1839/11/03/pdfs/GMD-1839-1820.pdf#page=4","Abrir facsímil")</f>
        <v>Abrir facsímil</v>
      </c>
      <c r="K1202" s="12" t="s">
        <v>24</v>
      </c>
    </row>
    <row r="1203" spans="1:11" ht="40.049999999999997" customHeight="1" x14ac:dyDescent="0.25">
      <c r="A1203" s="11" t="s">
        <v>2906</v>
      </c>
      <c r="B1203" s="11" t="s">
        <v>2907</v>
      </c>
      <c r="C1203" s="11" t="s">
        <v>80</v>
      </c>
      <c r="D1203" s="11" t="s">
        <v>173</v>
      </c>
      <c r="E1203" s="12" t="s">
        <v>462</v>
      </c>
      <c r="F1203" s="12" t="s">
        <v>463</v>
      </c>
      <c r="G1203" s="12" t="s">
        <v>21</v>
      </c>
      <c r="H1203" s="11" t="s">
        <v>63</v>
      </c>
      <c r="I1203" s="13" t="s">
        <v>2908</v>
      </c>
      <c r="J1203" s="14" t="str">
        <f>HYPERLINK("https://www.boe.es/gazeta/dias/1839/06/19/pdfs/GMD-1839-1677.pdf#page=4","Abrir facsímil")</f>
        <v>Abrir facsímil</v>
      </c>
      <c r="K1203" s="12" t="s">
        <v>65</v>
      </c>
    </row>
    <row r="1204" spans="1:11" ht="40.049999999999997" customHeight="1" x14ac:dyDescent="0.25">
      <c r="A1204" s="11" t="s">
        <v>2909</v>
      </c>
      <c r="B1204" s="11" t="s">
        <v>2910</v>
      </c>
      <c r="C1204" s="11" t="s">
        <v>17</v>
      </c>
      <c r="D1204" s="11" t="s">
        <v>18</v>
      </c>
      <c r="E1204" s="12" t="s">
        <v>883</v>
      </c>
      <c r="F1204" s="12" t="s">
        <v>884</v>
      </c>
      <c r="G1204" s="12" t="s">
        <v>40</v>
      </c>
      <c r="H1204" s="11" t="s">
        <v>63</v>
      </c>
      <c r="I1204" s="13" t="s">
        <v>2911</v>
      </c>
      <c r="J1204" s="14" t="str">
        <f>HYPERLINK("https://www.boe.es/gazeta/dias/1839/11/03/pdfs/GMD-1839-1820.pdf#page=2","Abrir facsímil")</f>
        <v>Abrir facsímil</v>
      </c>
      <c r="K1204" s="12" t="s">
        <v>65</v>
      </c>
    </row>
    <row r="1205" spans="1:11" ht="40.049999999999997" customHeight="1" x14ac:dyDescent="0.25">
      <c r="A1205" s="11" t="s">
        <v>2912</v>
      </c>
      <c r="B1205" s="11" t="s">
        <v>2913</v>
      </c>
      <c r="C1205" s="11" t="s">
        <v>59</v>
      </c>
      <c r="D1205" s="11" t="s">
        <v>60</v>
      </c>
      <c r="E1205" s="12" t="s">
        <v>1663</v>
      </c>
      <c r="F1205" s="12" t="s">
        <v>1664</v>
      </c>
      <c r="G1205" s="12" t="s">
        <v>21</v>
      </c>
      <c r="H1205" s="11" t="s">
        <v>22</v>
      </c>
      <c r="I1205" s="13" t="s">
        <v>2914</v>
      </c>
      <c r="J1205" s="14" t="str">
        <f>HYPERLINK("https://www.boe.es/gazeta/dias/1839/03/22/pdfs/GMD-1839-1588.pdf#page=4","Abrir facsímil")</f>
        <v>Abrir facsímil</v>
      </c>
      <c r="K1205" s="12" t="s">
        <v>24</v>
      </c>
    </row>
    <row r="1206" spans="1:11" ht="40.049999999999997" customHeight="1" x14ac:dyDescent="0.25">
      <c r="A1206" s="11" t="s">
        <v>2915</v>
      </c>
      <c r="B1206" s="11" t="s">
        <v>2915</v>
      </c>
      <c r="C1206" s="11" t="s">
        <v>17</v>
      </c>
      <c r="D1206" s="11" t="s">
        <v>18</v>
      </c>
      <c r="E1206" s="12" t="s">
        <v>336</v>
      </c>
      <c r="F1206" s="12" t="s">
        <v>337</v>
      </c>
      <c r="G1206" s="12" t="s">
        <v>29</v>
      </c>
      <c r="H1206" s="11" t="s">
        <v>63</v>
      </c>
      <c r="I1206" s="13" t="s">
        <v>2916</v>
      </c>
      <c r="J1206" s="14" t="str">
        <f>HYPERLINK("https://www.boe.es/gazeta/dias/1839/07/14/pdfs/GMD-1839-1702.pdf#page=1","Abrir facsímil")</f>
        <v>Abrir facsímil</v>
      </c>
      <c r="K1206" s="12" t="s">
        <v>65</v>
      </c>
    </row>
    <row r="1207" spans="1:11" ht="40.049999999999997" customHeight="1" x14ac:dyDescent="0.25">
      <c r="A1207" s="11" t="s">
        <v>2917</v>
      </c>
      <c r="B1207" s="11" t="s">
        <v>2917</v>
      </c>
      <c r="C1207" s="11" t="s">
        <v>59</v>
      </c>
      <c r="D1207" s="11" t="s">
        <v>60</v>
      </c>
      <c r="E1207" s="12" t="s">
        <v>2443</v>
      </c>
      <c r="F1207" s="12" t="s">
        <v>2444</v>
      </c>
      <c r="G1207" s="12" t="s">
        <v>46</v>
      </c>
      <c r="H1207" s="11" t="s">
        <v>63</v>
      </c>
      <c r="I1207" s="13" t="s">
        <v>2918</v>
      </c>
      <c r="J1207" s="14" t="str">
        <f>HYPERLINK("https://www.boe.es/gazeta/dias/1839/11/02/pdfs/GMD-1839-1819.pdf#page=3","Abrir facsímil")</f>
        <v>Abrir facsímil</v>
      </c>
      <c r="K1207" s="12" t="s">
        <v>65</v>
      </c>
    </row>
    <row r="1208" spans="1:11" ht="40.049999999999997" customHeight="1" x14ac:dyDescent="0.25">
      <c r="A1208" s="11" t="s">
        <v>2917</v>
      </c>
      <c r="B1208" s="11" t="s">
        <v>2917</v>
      </c>
      <c r="C1208" s="11" t="s">
        <v>17</v>
      </c>
      <c r="D1208" s="11" t="s">
        <v>18</v>
      </c>
      <c r="E1208" s="12" t="s">
        <v>2919</v>
      </c>
      <c r="F1208" s="12" t="s">
        <v>2920</v>
      </c>
      <c r="G1208" s="12" t="s">
        <v>21</v>
      </c>
      <c r="H1208" s="11" t="s">
        <v>63</v>
      </c>
      <c r="I1208" s="13" t="s">
        <v>2921</v>
      </c>
      <c r="J1208" s="14" t="str">
        <f>HYPERLINK("https://www.boe.es/gazeta/dias/1839/11/12/pdfs/GMD-1839-1829.pdf#page=4","Abrir facsímil")</f>
        <v>Abrir facsímil</v>
      </c>
      <c r="K1208" s="12" t="s">
        <v>65</v>
      </c>
    </row>
    <row r="1209" spans="1:11" ht="40.049999999999997" customHeight="1" x14ac:dyDescent="0.25">
      <c r="A1209" s="11" t="s">
        <v>2922</v>
      </c>
      <c r="B1209" s="11" t="s">
        <v>2922</v>
      </c>
      <c r="C1209" s="11" t="s">
        <v>59</v>
      </c>
      <c r="D1209" s="11" t="s">
        <v>60</v>
      </c>
      <c r="E1209" s="12" t="s">
        <v>287</v>
      </c>
      <c r="F1209" s="12" t="s">
        <v>288</v>
      </c>
      <c r="G1209" s="12" t="s">
        <v>40</v>
      </c>
      <c r="H1209" s="11" t="s">
        <v>63</v>
      </c>
      <c r="I1209" s="13" t="s">
        <v>2923</v>
      </c>
      <c r="J1209" s="14" t="str">
        <f>HYPERLINK("https://www.boe.es/gazeta/dias/1839/11/27/pdfs/GMD-1839-1844.pdf#page=2","Abrir facsímil")</f>
        <v>Abrir facsímil</v>
      </c>
      <c r="K1209" s="12" t="s">
        <v>65</v>
      </c>
    </row>
    <row r="1210" spans="1:11" ht="40.049999999999997" customHeight="1" x14ac:dyDescent="0.25">
      <c r="A1210" s="11" t="s">
        <v>2924</v>
      </c>
      <c r="B1210" s="11" t="s">
        <v>2924</v>
      </c>
      <c r="C1210" s="11" t="s">
        <v>17</v>
      </c>
      <c r="D1210" s="11" t="s">
        <v>18</v>
      </c>
      <c r="E1210" s="12" t="s">
        <v>1287</v>
      </c>
      <c r="F1210" s="12" t="s">
        <v>1288</v>
      </c>
      <c r="G1210" s="12" t="s">
        <v>40</v>
      </c>
      <c r="H1210" s="11" t="s">
        <v>22</v>
      </c>
      <c r="I1210" s="13" t="s">
        <v>2925</v>
      </c>
      <c r="J1210" s="14" t="str">
        <f>HYPERLINK("https://www.boe.es/gazeta/dias/1839/10/30/pdfs/GMD-1839-1816.pdf#page=2","Abrir facsímil")</f>
        <v>Abrir facsímil</v>
      </c>
      <c r="K1210" s="12" t="s">
        <v>24</v>
      </c>
    </row>
    <row r="1211" spans="1:11" ht="40.049999999999997" customHeight="1" x14ac:dyDescent="0.25">
      <c r="A1211" s="11" t="s">
        <v>2926</v>
      </c>
      <c r="B1211" s="11" t="s">
        <v>2926</v>
      </c>
      <c r="C1211" s="11" t="s">
        <v>17</v>
      </c>
      <c r="D1211" s="11" t="s">
        <v>18</v>
      </c>
      <c r="E1211" s="12" t="s">
        <v>157</v>
      </c>
      <c r="F1211" s="12" t="s">
        <v>158</v>
      </c>
      <c r="G1211" s="12" t="s">
        <v>40</v>
      </c>
      <c r="H1211" s="11" t="s">
        <v>22</v>
      </c>
      <c r="I1211" s="13" t="s">
        <v>2927</v>
      </c>
      <c r="J1211" s="14" t="str">
        <f>HYPERLINK("https://www.boe.es/gazeta/dias/1839/02/08/pdfs/GMD-1839-1546.pdf#page=2","Abrir facsímil")</f>
        <v>Abrir facsímil</v>
      </c>
      <c r="K1211" s="12" t="s">
        <v>24</v>
      </c>
    </row>
    <row r="1212" spans="1:11" ht="40.049999999999997" customHeight="1" x14ac:dyDescent="0.25">
      <c r="A1212" s="11" t="s">
        <v>2928</v>
      </c>
      <c r="B1212" s="11" t="s">
        <v>2928</v>
      </c>
      <c r="C1212" s="11" t="s">
        <v>59</v>
      </c>
      <c r="D1212" s="11" t="s">
        <v>60</v>
      </c>
      <c r="E1212" s="12" t="s">
        <v>650</v>
      </c>
      <c r="F1212" s="12" t="s">
        <v>651</v>
      </c>
      <c r="G1212" s="12" t="s">
        <v>40</v>
      </c>
      <c r="H1212" s="11" t="s">
        <v>63</v>
      </c>
      <c r="I1212" s="13" t="s">
        <v>2929</v>
      </c>
      <c r="J1212" s="14" t="str">
        <f>HYPERLINK("https://www.boe.es/gazeta/dias/1839/10/25/pdfs/GMD-1839-1811.pdf#page=2","Abrir facsímil")</f>
        <v>Abrir facsímil</v>
      </c>
      <c r="K1212" s="12" t="s">
        <v>65</v>
      </c>
    </row>
    <row r="1213" spans="1:11" ht="40.049999999999997" customHeight="1" x14ac:dyDescent="0.25">
      <c r="A1213" s="11" t="s">
        <v>2928</v>
      </c>
      <c r="B1213" s="11" t="s">
        <v>2928</v>
      </c>
      <c r="C1213" s="11" t="s">
        <v>17</v>
      </c>
      <c r="D1213" s="11" t="s">
        <v>18</v>
      </c>
      <c r="E1213" s="12" t="s">
        <v>1867</v>
      </c>
      <c r="F1213" s="12" t="s">
        <v>1868</v>
      </c>
      <c r="G1213" s="12" t="s">
        <v>40</v>
      </c>
      <c r="H1213" s="11" t="s">
        <v>63</v>
      </c>
      <c r="I1213" s="13" t="s">
        <v>2930</v>
      </c>
      <c r="J1213" s="14" t="str">
        <f>HYPERLINK("https://www.boe.es/gazeta/dias/1839/01/30/pdfs/GMD-1839-1537.pdf#page=2","Abrir facsímil")</f>
        <v>Abrir facsímil</v>
      </c>
      <c r="K1213" s="12" t="s">
        <v>65</v>
      </c>
    </row>
    <row r="1214" spans="1:11" ht="40.049999999999997" customHeight="1" x14ac:dyDescent="0.25">
      <c r="A1214" s="11" t="s">
        <v>2928</v>
      </c>
      <c r="B1214" s="11" t="s">
        <v>2928</v>
      </c>
      <c r="C1214" s="11" t="s">
        <v>101</v>
      </c>
      <c r="D1214" s="11" t="s">
        <v>43</v>
      </c>
      <c r="E1214" s="12" t="s">
        <v>1287</v>
      </c>
      <c r="F1214" s="12" t="s">
        <v>1288</v>
      </c>
      <c r="G1214" s="12" t="s">
        <v>40</v>
      </c>
      <c r="H1214" s="11" t="s">
        <v>63</v>
      </c>
      <c r="I1214" s="13" t="s">
        <v>2931</v>
      </c>
      <c r="J1214" s="14" t="str">
        <f>HYPERLINK("https://www.boe.es/gazeta/dias/1839/10/30/pdfs/GMD-1839-1816.pdf#page=2","Abrir facsímil")</f>
        <v>Abrir facsímil</v>
      </c>
      <c r="K1214" s="12" t="s">
        <v>65</v>
      </c>
    </row>
    <row r="1215" spans="1:11" ht="40.049999999999997" customHeight="1" x14ac:dyDescent="0.25">
      <c r="A1215" s="11" t="s">
        <v>2932</v>
      </c>
      <c r="B1215" s="11" t="s">
        <v>2933</v>
      </c>
      <c r="C1215" s="11" t="s">
        <v>17</v>
      </c>
      <c r="D1215" s="11" t="s">
        <v>18</v>
      </c>
      <c r="E1215" s="12" t="s">
        <v>108</v>
      </c>
      <c r="F1215" s="12" t="s">
        <v>109</v>
      </c>
      <c r="G1215" s="12" t="s">
        <v>40</v>
      </c>
      <c r="H1215" s="11" t="s">
        <v>63</v>
      </c>
      <c r="I1215" s="13" t="s">
        <v>2934</v>
      </c>
      <c r="J1215" s="14" t="str">
        <f>HYPERLINK("https://www.boe.es/gazeta/dias/1839/01/04/pdfs/GMD-1839-1511.pdf#page=2","Abrir facsímil")</f>
        <v>Abrir facsímil</v>
      </c>
      <c r="K1215" s="12" t="s">
        <v>65</v>
      </c>
    </row>
    <row r="1216" spans="1:11" ht="40.049999999999997" customHeight="1" x14ac:dyDescent="0.25">
      <c r="A1216" s="11" t="s">
        <v>2932</v>
      </c>
      <c r="B1216" s="11" t="s">
        <v>2933</v>
      </c>
      <c r="C1216" s="11" t="s">
        <v>17</v>
      </c>
      <c r="D1216" s="11" t="s">
        <v>18</v>
      </c>
      <c r="E1216" s="12" t="s">
        <v>222</v>
      </c>
      <c r="F1216" s="12" t="s">
        <v>223</v>
      </c>
      <c r="G1216" s="12" t="s">
        <v>21</v>
      </c>
      <c r="H1216" s="11" t="s">
        <v>63</v>
      </c>
      <c r="I1216" s="13" t="s">
        <v>2935</v>
      </c>
      <c r="J1216" s="14" t="str">
        <f>HYPERLINK("https://www.boe.es/gazeta/dias/1839/06/22/pdfs/GMD-1839-1680.pdf#page=4","Abrir facsímil")</f>
        <v>Abrir facsímil</v>
      </c>
      <c r="K1216" s="12" t="s">
        <v>65</v>
      </c>
    </row>
    <row r="1217" spans="1:11" ht="40.049999999999997" customHeight="1" x14ac:dyDescent="0.25">
      <c r="A1217" s="11" t="s">
        <v>2936</v>
      </c>
      <c r="B1217" s="11" t="s">
        <v>2937</v>
      </c>
      <c r="C1217" s="11" t="s">
        <v>17</v>
      </c>
      <c r="D1217" s="11" t="s">
        <v>18</v>
      </c>
      <c r="E1217" s="12" t="s">
        <v>236</v>
      </c>
      <c r="F1217" s="12" t="s">
        <v>237</v>
      </c>
      <c r="G1217" s="12" t="s">
        <v>40</v>
      </c>
      <c r="H1217" s="11" t="s">
        <v>22</v>
      </c>
      <c r="I1217" s="13" t="s">
        <v>2938</v>
      </c>
      <c r="J1217" s="14" t="str">
        <f>HYPERLINK("https://www.boe.es/gazeta/dias/1839/09/18/pdfs/GMD-1839-1771.pdf#page=2","Abrir facsímil")</f>
        <v>Abrir facsímil</v>
      </c>
      <c r="K1217" s="12" t="s">
        <v>24</v>
      </c>
    </row>
    <row r="1218" spans="1:11" ht="40.049999999999997" customHeight="1" x14ac:dyDescent="0.25">
      <c r="A1218" s="11" t="s">
        <v>2939</v>
      </c>
      <c r="B1218" s="11" t="s">
        <v>2940</v>
      </c>
      <c r="C1218" s="11" t="s">
        <v>17</v>
      </c>
      <c r="D1218" s="11" t="s">
        <v>18</v>
      </c>
      <c r="E1218" s="12" t="s">
        <v>160</v>
      </c>
      <c r="F1218" s="12" t="s">
        <v>161</v>
      </c>
      <c r="G1218" s="12" t="s">
        <v>29</v>
      </c>
      <c r="H1218" s="11" t="s">
        <v>22</v>
      </c>
      <c r="I1218" s="13" t="s">
        <v>2941</v>
      </c>
      <c r="J1218" s="14" t="str">
        <f>HYPERLINK("https://www.boe.es/gazeta/dias/1839/01/10/pdfs/GMD-1839-1517.pdf#page=1","Abrir facsímil")</f>
        <v>Abrir facsímil</v>
      </c>
      <c r="K1218" s="12" t="s">
        <v>24</v>
      </c>
    </row>
    <row r="1219" spans="1:11" ht="40.049999999999997" customHeight="1" x14ac:dyDescent="0.25">
      <c r="A1219" s="11" t="s">
        <v>2939</v>
      </c>
      <c r="B1219" s="11" t="s">
        <v>2940</v>
      </c>
      <c r="C1219" s="11" t="s">
        <v>101</v>
      </c>
      <c r="D1219" s="11" t="s">
        <v>43</v>
      </c>
      <c r="E1219" s="12" t="s">
        <v>926</v>
      </c>
      <c r="F1219" s="12" t="s">
        <v>927</v>
      </c>
      <c r="G1219" s="12" t="s">
        <v>40</v>
      </c>
      <c r="H1219" s="11" t="s">
        <v>22</v>
      </c>
      <c r="I1219" s="13" t="s">
        <v>2942</v>
      </c>
      <c r="J1219" s="14" t="str">
        <f>HYPERLINK("https://www.boe.es/gazeta/dias/1839/01/25/pdfs/GMD-1839-1532.pdf#page=2","Abrir facsímil")</f>
        <v>Abrir facsímil</v>
      </c>
      <c r="K1219" s="12" t="s">
        <v>24</v>
      </c>
    </row>
    <row r="1220" spans="1:11" ht="40.049999999999997" customHeight="1" x14ac:dyDescent="0.25">
      <c r="A1220" s="11" t="s">
        <v>2939</v>
      </c>
      <c r="B1220" s="11" t="s">
        <v>2940</v>
      </c>
      <c r="C1220" s="11" t="s">
        <v>101</v>
      </c>
      <c r="D1220" s="11" t="s">
        <v>43</v>
      </c>
      <c r="E1220" s="12" t="s">
        <v>1679</v>
      </c>
      <c r="F1220" s="12" t="s">
        <v>1680</v>
      </c>
      <c r="G1220" s="12" t="s">
        <v>40</v>
      </c>
      <c r="H1220" s="11" t="s">
        <v>22</v>
      </c>
      <c r="I1220" s="13" t="s">
        <v>2943</v>
      </c>
      <c r="J1220" s="14" t="str">
        <f>HYPERLINK("https://www.boe.es/gazeta/dias/1839/01/26/pdfs/GMD-1839-1533.pdf#page=2","Abrir facsímil")</f>
        <v>Abrir facsímil</v>
      </c>
      <c r="K1220" s="12" t="s">
        <v>24</v>
      </c>
    </row>
    <row r="1221" spans="1:11" ht="40.049999999999997" customHeight="1" x14ac:dyDescent="0.25">
      <c r="A1221" s="11" t="s">
        <v>2939</v>
      </c>
      <c r="B1221" s="11" t="s">
        <v>2940</v>
      </c>
      <c r="C1221" s="11" t="s">
        <v>17</v>
      </c>
      <c r="D1221" s="11" t="s">
        <v>18</v>
      </c>
      <c r="E1221" s="12" t="s">
        <v>1988</v>
      </c>
      <c r="F1221" s="12" t="s">
        <v>1989</v>
      </c>
      <c r="G1221" s="12" t="s">
        <v>40</v>
      </c>
      <c r="H1221" s="11" t="s">
        <v>22</v>
      </c>
      <c r="I1221" s="13" t="s">
        <v>2944</v>
      </c>
      <c r="J1221" s="14" t="str">
        <f>HYPERLINK("https://www.boe.es/gazeta/dias/1839/10/29/pdfs/GMD-1839-1815.pdf#page=2","Abrir facsímil")</f>
        <v>Abrir facsímil</v>
      </c>
      <c r="K1221" s="12" t="s">
        <v>24</v>
      </c>
    </row>
    <row r="1222" spans="1:11" ht="40.049999999999997" customHeight="1" x14ac:dyDescent="0.25">
      <c r="A1222" s="11" t="s">
        <v>2945</v>
      </c>
      <c r="B1222" s="11" t="s">
        <v>2946</v>
      </c>
      <c r="C1222" s="11" t="s">
        <v>137</v>
      </c>
      <c r="D1222" s="11" t="s">
        <v>18</v>
      </c>
      <c r="E1222" s="12" t="s">
        <v>160</v>
      </c>
      <c r="F1222" s="12" t="s">
        <v>161</v>
      </c>
      <c r="G1222" s="12" t="s">
        <v>40</v>
      </c>
      <c r="H1222" s="11" t="s">
        <v>63</v>
      </c>
      <c r="I1222" s="13" t="s">
        <v>2947</v>
      </c>
      <c r="J1222" s="14" t="str">
        <f>HYPERLINK("https://www.boe.es/gazeta/dias/1839/01/10/pdfs/GMD-1839-1517.pdf#page=2","Abrir facsímil")</f>
        <v>Abrir facsímil</v>
      </c>
      <c r="K1222" s="12" t="s">
        <v>65</v>
      </c>
    </row>
    <row r="1223" spans="1:11" ht="40.049999999999997" customHeight="1" x14ac:dyDescent="0.25">
      <c r="A1223" s="11" t="s">
        <v>2945</v>
      </c>
      <c r="B1223" s="11" t="s">
        <v>2946</v>
      </c>
      <c r="C1223" s="11" t="s">
        <v>17</v>
      </c>
      <c r="D1223" s="11" t="s">
        <v>18</v>
      </c>
      <c r="E1223" s="12" t="s">
        <v>1108</v>
      </c>
      <c r="F1223" s="12" t="s">
        <v>1109</v>
      </c>
      <c r="G1223" s="12" t="s">
        <v>46</v>
      </c>
      <c r="H1223" s="11" t="s">
        <v>63</v>
      </c>
      <c r="I1223" s="13" t="s">
        <v>2948</v>
      </c>
      <c r="J1223" s="14" t="str">
        <f>HYPERLINK("https://www.boe.es/gazeta/dias/1839/09/21/pdfs/GMD-1839-1776.pdf#page=3","Abrir facsímil")</f>
        <v>Abrir facsímil</v>
      </c>
      <c r="K1223" s="12" t="s">
        <v>65</v>
      </c>
    </row>
    <row r="1224" spans="1:11" ht="40.049999999999997" customHeight="1" x14ac:dyDescent="0.25">
      <c r="A1224" s="11" t="s">
        <v>2945</v>
      </c>
      <c r="B1224" s="11" t="s">
        <v>2946</v>
      </c>
      <c r="C1224" s="11" t="s">
        <v>17</v>
      </c>
      <c r="D1224" s="11" t="s">
        <v>18</v>
      </c>
      <c r="E1224" s="12" t="s">
        <v>2949</v>
      </c>
      <c r="F1224" s="12" t="s">
        <v>2950</v>
      </c>
      <c r="G1224" s="12" t="s">
        <v>29</v>
      </c>
      <c r="H1224" s="11" t="s">
        <v>63</v>
      </c>
      <c r="I1224" s="13" t="s">
        <v>2951</v>
      </c>
      <c r="J1224" s="14" t="str">
        <f>HYPERLINK("https://www.boe.es/gazeta/dias/1839/10/21/pdfs/GMD-1839-1807.pdf#page=1","Abrir facsímil")</f>
        <v>Abrir facsímil</v>
      </c>
      <c r="K1224" s="12" t="s">
        <v>65</v>
      </c>
    </row>
    <row r="1225" spans="1:11" ht="40.049999999999997" customHeight="1" x14ac:dyDescent="0.25">
      <c r="A1225" s="11" t="s">
        <v>2945</v>
      </c>
      <c r="B1225" s="11" t="s">
        <v>2946</v>
      </c>
      <c r="C1225" s="11" t="s">
        <v>101</v>
      </c>
      <c r="D1225" s="11" t="s">
        <v>43</v>
      </c>
      <c r="E1225" s="12" t="s">
        <v>239</v>
      </c>
      <c r="F1225" s="12" t="s">
        <v>240</v>
      </c>
      <c r="G1225" s="12" t="s">
        <v>40</v>
      </c>
      <c r="H1225" s="11" t="s">
        <v>63</v>
      </c>
      <c r="I1225" s="13" t="s">
        <v>2952</v>
      </c>
      <c r="J1225" s="14" t="str">
        <f>HYPERLINK("https://www.boe.es/gazeta/dias/1839/09/22/pdfs/GMD-1839-1777.pdf#page=2","Abrir facsímil")</f>
        <v>Abrir facsímil</v>
      </c>
      <c r="K1225" s="12" t="s">
        <v>65</v>
      </c>
    </row>
    <row r="1226" spans="1:11" ht="40.049999999999997" customHeight="1" x14ac:dyDescent="0.25">
      <c r="A1226" s="11" t="s">
        <v>2953</v>
      </c>
      <c r="B1226" s="11" t="s">
        <v>2954</v>
      </c>
      <c r="C1226" s="11" t="s">
        <v>17</v>
      </c>
      <c r="D1226" s="11" t="s">
        <v>18</v>
      </c>
      <c r="E1226" s="12" t="s">
        <v>496</v>
      </c>
      <c r="F1226" s="12" t="s">
        <v>497</v>
      </c>
      <c r="G1226" s="12" t="s">
        <v>46</v>
      </c>
      <c r="H1226" s="11" t="s">
        <v>63</v>
      </c>
      <c r="I1226" s="13" t="s">
        <v>2955</v>
      </c>
      <c r="J1226" s="14" t="str">
        <f>HYPERLINK("https://www.boe.es/gazeta/dias/1839/11/23/pdfs/GMD-1839-1840.pdf#page=3","Abrir facsímil")</f>
        <v>Abrir facsímil</v>
      </c>
      <c r="K1226" s="12" t="s">
        <v>65</v>
      </c>
    </row>
    <row r="1227" spans="1:11" ht="40.049999999999997" customHeight="1" x14ac:dyDescent="0.25">
      <c r="A1227" s="11" t="s">
        <v>2956</v>
      </c>
      <c r="B1227" s="11" t="s">
        <v>2957</v>
      </c>
      <c r="C1227" s="11" t="s">
        <v>17</v>
      </c>
      <c r="D1227" s="11" t="s">
        <v>18</v>
      </c>
      <c r="E1227" s="12" t="s">
        <v>2374</v>
      </c>
      <c r="F1227" s="12" t="s">
        <v>2375</v>
      </c>
      <c r="G1227" s="12" t="s">
        <v>46</v>
      </c>
      <c r="H1227" s="11" t="s">
        <v>63</v>
      </c>
      <c r="I1227" s="13" t="s">
        <v>2958</v>
      </c>
      <c r="J1227" s="14" t="str">
        <f>HYPERLINK("https://www.boe.es/gazeta/dias/1839/06/14/pdfs/GMD-1839-1672.pdf#page=3","Abrir facsímil")</f>
        <v>Abrir facsímil</v>
      </c>
      <c r="K1227" s="12" t="s">
        <v>65</v>
      </c>
    </row>
    <row r="1228" spans="1:11" ht="40.049999999999997" customHeight="1" x14ac:dyDescent="0.25">
      <c r="A1228" s="11" t="s">
        <v>2959</v>
      </c>
      <c r="B1228" s="11" t="s">
        <v>2959</v>
      </c>
      <c r="C1228" s="11" t="s">
        <v>137</v>
      </c>
      <c r="D1228" s="11" t="s">
        <v>18</v>
      </c>
      <c r="E1228" s="12" t="s">
        <v>2443</v>
      </c>
      <c r="F1228" s="12" t="s">
        <v>2444</v>
      </c>
      <c r="G1228" s="12" t="s">
        <v>40</v>
      </c>
      <c r="H1228" s="11" t="s">
        <v>63</v>
      </c>
      <c r="I1228" s="13" t="s">
        <v>2960</v>
      </c>
      <c r="J1228" s="14" t="str">
        <f>HYPERLINK("https://www.boe.es/gazeta/dias/1839/11/02/pdfs/GMD-1839-1819.pdf#page=2","Abrir facsímil")</f>
        <v>Abrir facsímil</v>
      </c>
      <c r="K1228" s="12" t="s">
        <v>65</v>
      </c>
    </row>
    <row r="1229" spans="1:11" ht="40.049999999999997" customHeight="1" x14ac:dyDescent="0.25">
      <c r="A1229" s="11" t="s">
        <v>2961</v>
      </c>
      <c r="B1229" s="11" t="s">
        <v>2961</v>
      </c>
      <c r="C1229" s="11" t="s">
        <v>17</v>
      </c>
      <c r="D1229" s="11" t="s">
        <v>18</v>
      </c>
      <c r="E1229" s="12" t="s">
        <v>2962</v>
      </c>
      <c r="F1229" s="12" t="s">
        <v>2963</v>
      </c>
      <c r="G1229" s="12" t="s">
        <v>40</v>
      </c>
      <c r="H1229" s="11" t="s">
        <v>63</v>
      </c>
      <c r="I1229" s="13" t="s">
        <v>2964</v>
      </c>
      <c r="J1229" s="14" t="str">
        <f>HYPERLINK("https://www.boe.es/gazeta/dias/1839/12/21/pdfs/GMD-1839-1868.pdf#page=2","Abrir facsímil")</f>
        <v>Abrir facsímil</v>
      </c>
      <c r="K1229" s="12" t="s">
        <v>65</v>
      </c>
    </row>
    <row r="1230" spans="1:11" ht="40.049999999999997" customHeight="1" x14ac:dyDescent="0.25">
      <c r="A1230" s="11" t="s">
        <v>2965</v>
      </c>
      <c r="B1230" s="11" t="s">
        <v>2965</v>
      </c>
      <c r="C1230" s="11" t="s">
        <v>59</v>
      </c>
      <c r="D1230" s="11" t="s">
        <v>60</v>
      </c>
      <c r="E1230" s="12" t="s">
        <v>2443</v>
      </c>
      <c r="F1230" s="12" t="s">
        <v>2444</v>
      </c>
      <c r="G1230" s="12" t="s">
        <v>40</v>
      </c>
      <c r="H1230" s="11" t="s">
        <v>63</v>
      </c>
      <c r="I1230" s="13" t="s">
        <v>2966</v>
      </c>
      <c r="J1230" s="14" t="str">
        <f>HYPERLINK("https://www.boe.es/gazeta/dias/1839/11/02/pdfs/GMD-1839-1819.pdf#page=2","Abrir facsímil")</f>
        <v>Abrir facsímil</v>
      </c>
      <c r="K1230" s="12" t="s">
        <v>65</v>
      </c>
    </row>
    <row r="1231" spans="1:11" ht="40.049999999999997" customHeight="1" x14ac:dyDescent="0.25">
      <c r="A1231" s="11" t="s">
        <v>2965</v>
      </c>
      <c r="B1231" s="11" t="s">
        <v>2965</v>
      </c>
      <c r="C1231" s="11" t="s">
        <v>137</v>
      </c>
      <c r="D1231" s="11" t="s">
        <v>18</v>
      </c>
      <c r="E1231" s="12" t="s">
        <v>365</v>
      </c>
      <c r="F1231" s="12" t="s">
        <v>366</v>
      </c>
      <c r="G1231" s="12" t="s">
        <v>46</v>
      </c>
      <c r="H1231" s="11" t="s">
        <v>63</v>
      </c>
      <c r="I1231" s="13" t="s">
        <v>2967</v>
      </c>
      <c r="J1231" s="14" t="str">
        <f>HYPERLINK("https://www.boe.es/gazeta/dias/1839/08/14/pdfs/GMD-1839-1734.pdf#page=3","Abrir facsímil")</f>
        <v>Abrir facsímil</v>
      </c>
      <c r="K1231" s="12" t="s">
        <v>65</v>
      </c>
    </row>
    <row r="1232" spans="1:11" ht="40.049999999999997" customHeight="1" x14ac:dyDescent="0.25">
      <c r="A1232" s="11" t="s">
        <v>2968</v>
      </c>
      <c r="B1232" s="11" t="s">
        <v>2968</v>
      </c>
      <c r="C1232" s="11" t="s">
        <v>17</v>
      </c>
      <c r="D1232" s="11" t="s">
        <v>18</v>
      </c>
      <c r="E1232" s="12" t="s">
        <v>544</v>
      </c>
      <c r="F1232" s="12" t="s">
        <v>545</v>
      </c>
      <c r="G1232" s="12" t="s">
        <v>40</v>
      </c>
      <c r="H1232" s="11" t="s">
        <v>63</v>
      </c>
      <c r="I1232" s="13" t="s">
        <v>2969</v>
      </c>
      <c r="J1232" s="14" t="str">
        <f>HYPERLINK("https://www.boe.es/gazeta/dias/1839/11/11/pdfs/GMD-1839-1828.pdf#page=2","Abrir facsímil")</f>
        <v>Abrir facsímil</v>
      </c>
      <c r="K1232" s="12" t="s">
        <v>65</v>
      </c>
    </row>
    <row r="1233" spans="1:11" ht="40.049999999999997" customHeight="1" x14ac:dyDescent="0.25">
      <c r="A1233" s="11" t="s">
        <v>2970</v>
      </c>
      <c r="B1233" s="11" t="s">
        <v>2970</v>
      </c>
      <c r="C1233" s="11" t="s">
        <v>59</v>
      </c>
      <c r="D1233" s="11" t="s">
        <v>60</v>
      </c>
      <c r="E1233" s="12" t="s">
        <v>2482</v>
      </c>
      <c r="F1233" s="12" t="s">
        <v>2483</v>
      </c>
      <c r="G1233" s="12" t="s">
        <v>40</v>
      </c>
      <c r="H1233" s="11" t="s">
        <v>63</v>
      </c>
      <c r="I1233" s="13" t="s">
        <v>2971</v>
      </c>
      <c r="J1233" s="14" t="str">
        <f>HYPERLINK("https://www.boe.es/gazeta/dias/1839/07/07/pdfs/GMD-1839-1695.pdf#page=2","Abrir facsímil")</f>
        <v>Abrir facsímil</v>
      </c>
      <c r="K1233" s="12" t="s">
        <v>65</v>
      </c>
    </row>
    <row r="1234" spans="1:11" ht="40.049999999999997" customHeight="1" x14ac:dyDescent="0.25">
      <c r="A1234" s="11" t="s">
        <v>2972</v>
      </c>
      <c r="B1234" s="11" t="s">
        <v>2973</v>
      </c>
      <c r="C1234" s="11" t="s">
        <v>17</v>
      </c>
      <c r="D1234" s="11" t="s">
        <v>18</v>
      </c>
      <c r="E1234" s="12" t="s">
        <v>1628</v>
      </c>
      <c r="F1234" s="12" t="s">
        <v>1629</v>
      </c>
      <c r="G1234" s="12" t="s">
        <v>29</v>
      </c>
      <c r="H1234" s="11" t="s">
        <v>63</v>
      </c>
      <c r="I1234" s="13" t="s">
        <v>2974</v>
      </c>
      <c r="J1234" s="14" t="str">
        <f>HYPERLINK("https://www.boe.es/gazeta/dias/1839/03/10/pdfs/GMD-1839-1576.pdf#page=1","Abrir facsímil")</f>
        <v>Abrir facsímil</v>
      </c>
      <c r="K1234" s="12" t="s">
        <v>65</v>
      </c>
    </row>
    <row r="1235" spans="1:11" ht="40.049999999999997" customHeight="1" x14ac:dyDescent="0.25">
      <c r="A1235" s="11" t="s">
        <v>2975</v>
      </c>
      <c r="B1235" s="11" t="s">
        <v>2975</v>
      </c>
      <c r="C1235" s="11" t="s">
        <v>17</v>
      </c>
      <c r="D1235" s="11" t="s">
        <v>18</v>
      </c>
      <c r="E1235" s="12" t="s">
        <v>233</v>
      </c>
      <c r="F1235" s="12" t="s">
        <v>234</v>
      </c>
      <c r="G1235" s="12" t="s">
        <v>29</v>
      </c>
      <c r="H1235" s="11" t="s">
        <v>63</v>
      </c>
      <c r="I1235" s="13" t="s">
        <v>2976</v>
      </c>
      <c r="J1235" s="14" t="str">
        <f>HYPERLINK("https://www.boe.es/gazeta/dias/1839/09/17/pdfs/GMD-1839-1770.pdf#page=1","Abrir facsímil")</f>
        <v>Abrir facsímil</v>
      </c>
      <c r="K1235" s="12" t="s">
        <v>65</v>
      </c>
    </row>
    <row r="1236" spans="1:11" ht="40.049999999999997" customHeight="1" x14ac:dyDescent="0.25">
      <c r="A1236" s="11" t="s">
        <v>2977</v>
      </c>
      <c r="B1236" s="11" t="s">
        <v>2978</v>
      </c>
      <c r="C1236" s="11" t="s">
        <v>59</v>
      </c>
      <c r="D1236" s="11" t="s">
        <v>60</v>
      </c>
      <c r="E1236" s="12" t="s">
        <v>1528</v>
      </c>
      <c r="F1236" s="12" t="s">
        <v>1529</v>
      </c>
      <c r="G1236" s="12" t="s">
        <v>40</v>
      </c>
      <c r="H1236" s="11" t="s">
        <v>63</v>
      </c>
      <c r="I1236" s="13" t="s">
        <v>2979</v>
      </c>
      <c r="J1236" s="14" t="str">
        <f>HYPERLINK("https://www.boe.es/gazeta/dias/1839/12/15/pdfs/GMD-1839-1862.pdf#page=2","Abrir facsímil")</f>
        <v>Abrir facsímil</v>
      </c>
      <c r="K1236" s="12" t="s">
        <v>65</v>
      </c>
    </row>
    <row r="1237" spans="1:11" ht="40.049999999999997" customHeight="1" x14ac:dyDescent="0.25">
      <c r="A1237" s="11" t="s">
        <v>2980</v>
      </c>
      <c r="B1237" s="11" t="s">
        <v>2980</v>
      </c>
      <c r="C1237" s="11" t="s">
        <v>101</v>
      </c>
      <c r="D1237" s="11" t="s">
        <v>102</v>
      </c>
      <c r="E1237" s="12" t="s">
        <v>1072</v>
      </c>
      <c r="F1237" s="12" t="s">
        <v>1073</v>
      </c>
      <c r="G1237" s="12" t="s">
        <v>46</v>
      </c>
      <c r="H1237" s="11" t="s">
        <v>63</v>
      </c>
      <c r="I1237" s="13" t="s">
        <v>2981</v>
      </c>
      <c r="J1237" s="14" t="str">
        <f>HYPERLINK("https://www.boe.es/gazeta/dias/1839/01/18/pdfs/GMD-1839-1525.pdf#page=3","Abrir facsímil")</f>
        <v>Abrir facsímil</v>
      </c>
      <c r="K1237" s="12" t="s">
        <v>65</v>
      </c>
    </row>
    <row r="1238" spans="1:11" ht="40.049999999999997" customHeight="1" x14ac:dyDescent="0.25">
      <c r="A1238" s="11" t="s">
        <v>2982</v>
      </c>
      <c r="B1238" s="11" t="s">
        <v>2983</v>
      </c>
      <c r="C1238" s="11" t="s">
        <v>17</v>
      </c>
      <c r="D1238" s="11" t="s">
        <v>18</v>
      </c>
      <c r="E1238" s="12" t="s">
        <v>690</v>
      </c>
      <c r="F1238" s="12" t="s">
        <v>691</v>
      </c>
      <c r="G1238" s="12" t="s">
        <v>46</v>
      </c>
      <c r="H1238" s="11" t="s">
        <v>63</v>
      </c>
      <c r="I1238" s="13" t="s">
        <v>2984</v>
      </c>
      <c r="J1238" s="14" t="str">
        <f>HYPERLINK("https://www.boe.es/gazeta/dias/1839/12/08/pdfs/GMD-1839-1855.pdf#page=3","Abrir facsímil")</f>
        <v>Abrir facsímil</v>
      </c>
      <c r="K1238" s="12" t="s">
        <v>65</v>
      </c>
    </row>
    <row r="1239" spans="1:11" ht="40.049999999999997" customHeight="1" x14ac:dyDescent="0.25">
      <c r="A1239" s="11" t="s">
        <v>2985</v>
      </c>
      <c r="B1239" s="11" t="s">
        <v>2985</v>
      </c>
      <c r="C1239" s="11" t="s">
        <v>101</v>
      </c>
      <c r="D1239" s="11" t="s">
        <v>102</v>
      </c>
      <c r="E1239" s="12" t="s">
        <v>295</v>
      </c>
      <c r="F1239" s="12" t="s">
        <v>296</v>
      </c>
      <c r="G1239" s="12" t="s">
        <v>21</v>
      </c>
      <c r="H1239" s="11" t="s">
        <v>63</v>
      </c>
      <c r="I1239" s="13" t="s">
        <v>2986</v>
      </c>
      <c r="J1239" s="14" t="str">
        <f>HYPERLINK("https://www.boe.es/gazeta/dias/1839/08/19/pdfs/GMD-1839-1740.pdf#page=4","Abrir facsímil")</f>
        <v>Abrir facsímil</v>
      </c>
      <c r="K1239" s="12" t="s">
        <v>65</v>
      </c>
    </row>
    <row r="1240" spans="1:11" ht="40.049999999999997" customHeight="1" x14ac:dyDescent="0.25">
      <c r="A1240" s="11" t="s">
        <v>2987</v>
      </c>
      <c r="B1240" s="11" t="s">
        <v>2987</v>
      </c>
      <c r="C1240" s="11" t="s">
        <v>59</v>
      </c>
      <c r="D1240" s="11" t="s">
        <v>60</v>
      </c>
      <c r="E1240" s="12" t="s">
        <v>522</v>
      </c>
      <c r="F1240" s="12" t="s">
        <v>523</v>
      </c>
      <c r="G1240" s="12" t="s">
        <v>305</v>
      </c>
      <c r="H1240" s="11" t="s">
        <v>63</v>
      </c>
      <c r="I1240" s="13" t="s">
        <v>2988</v>
      </c>
      <c r="J1240" s="14" t="str">
        <f>HYPERLINK("https://www.boe.es/gazeta/dias/1839/08/27/pdfs/GMD-1839-1748.pdf#page=6","Abrir facsímil")</f>
        <v>Abrir facsímil</v>
      </c>
      <c r="K1240" s="12" t="s">
        <v>65</v>
      </c>
    </row>
    <row r="1241" spans="1:11" ht="40.049999999999997" customHeight="1" x14ac:dyDescent="0.25">
      <c r="A1241" s="11" t="s">
        <v>2989</v>
      </c>
      <c r="B1241" s="11" t="s">
        <v>2989</v>
      </c>
      <c r="C1241" s="11" t="s">
        <v>17</v>
      </c>
      <c r="D1241" s="11" t="s">
        <v>18</v>
      </c>
      <c r="E1241" s="12" t="s">
        <v>1606</v>
      </c>
      <c r="F1241" s="12" t="s">
        <v>1607</v>
      </c>
      <c r="G1241" s="12" t="s">
        <v>21</v>
      </c>
      <c r="H1241" s="11" t="s">
        <v>63</v>
      </c>
      <c r="I1241" s="13" t="s">
        <v>2990</v>
      </c>
      <c r="J1241" s="14" t="str">
        <f>HYPERLINK("https://www.boe.es/gazeta/dias/1839/07/02/pdfs/GMD-1839-1690.pdf#page=4","Abrir facsímil")</f>
        <v>Abrir facsímil</v>
      </c>
      <c r="K1241" s="12" t="s">
        <v>65</v>
      </c>
    </row>
    <row r="1242" spans="1:11" ht="40.049999999999997" customHeight="1" x14ac:dyDescent="0.25">
      <c r="A1242" s="11" t="s">
        <v>2989</v>
      </c>
      <c r="B1242" s="11" t="s">
        <v>2989</v>
      </c>
      <c r="C1242" s="11" t="s">
        <v>80</v>
      </c>
      <c r="D1242" s="11" t="s">
        <v>18</v>
      </c>
      <c r="E1242" s="12" t="s">
        <v>798</v>
      </c>
      <c r="F1242" s="12" t="s">
        <v>799</v>
      </c>
      <c r="G1242" s="12" t="s">
        <v>21</v>
      </c>
      <c r="H1242" s="11" t="s">
        <v>63</v>
      </c>
      <c r="I1242" s="13" t="s">
        <v>2991</v>
      </c>
      <c r="J1242" s="14" t="str">
        <f>HYPERLINK("https://www.boe.es/gazeta/dias/1839/09/03/pdfs/GMD-1839-1755.pdf#page=4","Abrir facsímil")</f>
        <v>Abrir facsímil</v>
      </c>
      <c r="K1242" s="12" t="s">
        <v>65</v>
      </c>
    </row>
    <row r="1243" spans="1:11" ht="40.049999999999997" customHeight="1" x14ac:dyDescent="0.25">
      <c r="A1243" s="11" t="s">
        <v>2989</v>
      </c>
      <c r="B1243" s="11" t="s">
        <v>2989</v>
      </c>
      <c r="C1243" s="11" t="s">
        <v>80</v>
      </c>
      <c r="D1243" s="11" t="s">
        <v>18</v>
      </c>
      <c r="E1243" s="12" t="s">
        <v>121</v>
      </c>
      <c r="F1243" s="12" t="s">
        <v>122</v>
      </c>
      <c r="G1243" s="12" t="s">
        <v>29</v>
      </c>
      <c r="H1243" s="11" t="s">
        <v>63</v>
      </c>
      <c r="I1243" s="13" t="s">
        <v>2992</v>
      </c>
      <c r="J1243" s="14" t="str">
        <f>HYPERLINK("https://www.boe.es/gazeta/dias/1839/06/08/pdfs/GMD-1839-1666.pdf#page=1","Abrir facsímil")</f>
        <v>Abrir facsímil</v>
      </c>
      <c r="K1243" s="12" t="s">
        <v>65</v>
      </c>
    </row>
    <row r="1244" spans="1:11" ht="40.049999999999997" customHeight="1" x14ac:dyDescent="0.25">
      <c r="A1244" s="11" t="s">
        <v>2989</v>
      </c>
      <c r="B1244" s="11" t="s">
        <v>2989</v>
      </c>
      <c r="C1244" s="11" t="s">
        <v>59</v>
      </c>
      <c r="D1244" s="11" t="s">
        <v>60</v>
      </c>
      <c r="E1244" s="12" t="s">
        <v>1001</v>
      </c>
      <c r="F1244" s="12" t="s">
        <v>1002</v>
      </c>
      <c r="G1244" s="12" t="s">
        <v>29</v>
      </c>
      <c r="H1244" s="11" t="s">
        <v>63</v>
      </c>
      <c r="I1244" s="13" t="s">
        <v>2993</v>
      </c>
      <c r="J1244" s="14" t="str">
        <f>HYPERLINK("https://www.boe.es/gazeta/dias/1839/07/09/pdfs/GMD-1839-1697.pdf#page=1","Abrir facsímil")</f>
        <v>Abrir facsímil</v>
      </c>
      <c r="K1244" s="12" t="s">
        <v>65</v>
      </c>
    </row>
    <row r="1245" spans="1:11" ht="40.049999999999997" customHeight="1" x14ac:dyDescent="0.25">
      <c r="A1245" s="11" t="s">
        <v>2989</v>
      </c>
      <c r="B1245" s="11" t="s">
        <v>2989</v>
      </c>
      <c r="C1245" s="11" t="s">
        <v>59</v>
      </c>
      <c r="D1245" s="11" t="s">
        <v>60</v>
      </c>
      <c r="E1245" s="12" t="s">
        <v>103</v>
      </c>
      <c r="F1245" s="12" t="s">
        <v>104</v>
      </c>
      <c r="G1245" s="12" t="s">
        <v>40</v>
      </c>
      <c r="H1245" s="11" t="s">
        <v>63</v>
      </c>
      <c r="I1245" s="13" t="s">
        <v>2994</v>
      </c>
      <c r="J1245" s="14" t="str">
        <f>HYPERLINK("https://www.boe.es/gazeta/dias/1839/10/12/pdfs/GMD-1839-1798.pdf#page=2","Abrir facsímil")</f>
        <v>Abrir facsímil</v>
      </c>
      <c r="K1245" s="12" t="s">
        <v>65</v>
      </c>
    </row>
    <row r="1246" spans="1:11" ht="40.049999999999997" customHeight="1" x14ac:dyDescent="0.25">
      <c r="A1246" s="11" t="s">
        <v>2989</v>
      </c>
      <c r="B1246" s="11" t="s">
        <v>2989</v>
      </c>
      <c r="C1246" s="11" t="s">
        <v>59</v>
      </c>
      <c r="D1246" s="11" t="s">
        <v>60</v>
      </c>
      <c r="E1246" s="12" t="s">
        <v>2995</v>
      </c>
      <c r="F1246" s="12" t="s">
        <v>2996</v>
      </c>
      <c r="G1246" s="12" t="s">
        <v>40</v>
      </c>
      <c r="H1246" s="11" t="s">
        <v>63</v>
      </c>
      <c r="I1246" s="13" t="s">
        <v>2997</v>
      </c>
      <c r="J1246" s="14" t="str">
        <f>HYPERLINK("https://www.boe.es/gazeta/dias/1839/06/16/pdfs/GMD-1839-1674.pdf#page=2","Abrir facsímil")</f>
        <v>Abrir facsímil</v>
      </c>
      <c r="K1246" s="12" t="s">
        <v>65</v>
      </c>
    </row>
    <row r="1247" spans="1:11" ht="40.049999999999997" customHeight="1" x14ac:dyDescent="0.25">
      <c r="A1247" s="11" t="s">
        <v>2989</v>
      </c>
      <c r="B1247" s="11" t="s">
        <v>2989</v>
      </c>
      <c r="C1247" s="11" t="s">
        <v>59</v>
      </c>
      <c r="D1247" s="11" t="s">
        <v>60</v>
      </c>
      <c r="E1247" s="12" t="s">
        <v>233</v>
      </c>
      <c r="F1247" s="12" t="s">
        <v>234</v>
      </c>
      <c r="G1247" s="12" t="s">
        <v>21</v>
      </c>
      <c r="H1247" s="11" t="s">
        <v>63</v>
      </c>
      <c r="I1247" s="13" t="s">
        <v>2998</v>
      </c>
      <c r="J1247" s="14" t="str">
        <f>HYPERLINK("https://www.boe.es/gazeta/dias/1839/09/17/pdfs/GMD-1839-1770.pdf#page=4","Abrir facsímil")</f>
        <v>Abrir facsímil</v>
      </c>
      <c r="K1247" s="12" t="s">
        <v>65</v>
      </c>
    </row>
    <row r="1248" spans="1:11" ht="40.049999999999997" customHeight="1" x14ac:dyDescent="0.25">
      <c r="A1248" s="11" t="s">
        <v>2989</v>
      </c>
      <c r="B1248" s="11" t="s">
        <v>2989</v>
      </c>
      <c r="C1248" s="11" t="s">
        <v>17</v>
      </c>
      <c r="D1248" s="11" t="s">
        <v>18</v>
      </c>
      <c r="E1248" s="12" t="s">
        <v>555</v>
      </c>
      <c r="F1248" s="12" t="s">
        <v>556</v>
      </c>
      <c r="G1248" s="12" t="s">
        <v>29</v>
      </c>
      <c r="H1248" s="11" t="s">
        <v>63</v>
      </c>
      <c r="I1248" s="13" t="s">
        <v>2999</v>
      </c>
      <c r="J1248" s="14" t="str">
        <f>HYPERLINK("https://www.boe.es/gazeta/dias/1839/07/19/pdfs/GMD-1839-1707.pdf#page=1","Abrir facsímil")</f>
        <v>Abrir facsímil</v>
      </c>
      <c r="K1248" s="12" t="s">
        <v>65</v>
      </c>
    </row>
    <row r="1249" spans="1:11" ht="40.049999999999997" customHeight="1" x14ac:dyDescent="0.25">
      <c r="A1249" s="11" t="s">
        <v>2989</v>
      </c>
      <c r="B1249" s="11" t="s">
        <v>2989</v>
      </c>
      <c r="C1249" s="11" t="s">
        <v>59</v>
      </c>
      <c r="D1249" s="11" t="s">
        <v>60</v>
      </c>
      <c r="E1249" s="12" t="s">
        <v>239</v>
      </c>
      <c r="F1249" s="12" t="s">
        <v>1863</v>
      </c>
      <c r="G1249" s="12" t="s">
        <v>29</v>
      </c>
      <c r="H1249" s="11" t="s">
        <v>63</v>
      </c>
      <c r="I1249" s="13" t="s">
        <v>3000</v>
      </c>
      <c r="J1249" s="14" t="str">
        <f>HYPERLINK("https://www.boe.es/datos/pdfs/BOE//1839/1778/E00001-00001.pdf#page=1","Abrir facsímil")</f>
        <v>Abrir facsímil</v>
      </c>
      <c r="K1249" s="12" t="s">
        <v>65</v>
      </c>
    </row>
    <row r="1250" spans="1:11" ht="40.049999999999997" customHeight="1" x14ac:dyDescent="0.25">
      <c r="A1250" s="11" t="s">
        <v>2989</v>
      </c>
      <c r="B1250" s="11" t="s">
        <v>2989</v>
      </c>
      <c r="C1250" s="11" t="s">
        <v>17</v>
      </c>
      <c r="D1250" s="11" t="s">
        <v>18</v>
      </c>
      <c r="E1250" s="12" t="s">
        <v>243</v>
      </c>
      <c r="F1250" s="12" t="s">
        <v>244</v>
      </c>
      <c r="G1250" s="12" t="s">
        <v>40</v>
      </c>
      <c r="H1250" s="11" t="s">
        <v>63</v>
      </c>
      <c r="I1250" s="13" t="s">
        <v>3001</v>
      </c>
      <c r="J1250" s="14" t="str">
        <f>HYPERLINK("https://www.boe.es/gazeta/dias/1839/09/23/pdfs/GMD-1839-1779.pdf#page=2","Abrir facsímil")</f>
        <v>Abrir facsímil</v>
      </c>
      <c r="K1250" s="12" t="s">
        <v>65</v>
      </c>
    </row>
    <row r="1251" spans="1:11" ht="40.049999999999997" customHeight="1" x14ac:dyDescent="0.25">
      <c r="A1251" s="11" t="s">
        <v>2989</v>
      </c>
      <c r="B1251" s="11" t="s">
        <v>2989</v>
      </c>
      <c r="C1251" s="11" t="s">
        <v>59</v>
      </c>
      <c r="D1251" s="11" t="s">
        <v>60</v>
      </c>
      <c r="E1251" s="12" t="s">
        <v>522</v>
      </c>
      <c r="F1251" s="12" t="s">
        <v>523</v>
      </c>
      <c r="G1251" s="12" t="s">
        <v>566</v>
      </c>
      <c r="H1251" s="11" t="s">
        <v>63</v>
      </c>
      <c r="I1251" s="13" t="s">
        <v>3002</v>
      </c>
      <c r="J1251" s="14" t="str">
        <f>HYPERLINK("https://www.boe.es/gazeta/dias/1839/08/27/pdfs/GMD-1839-1748.pdf#page=5","Abrir facsímil")</f>
        <v>Abrir facsímil</v>
      </c>
      <c r="K1251" s="12" t="s">
        <v>65</v>
      </c>
    </row>
    <row r="1252" spans="1:11" ht="40.049999999999997" customHeight="1" x14ac:dyDescent="0.25">
      <c r="A1252" s="11" t="s">
        <v>2989</v>
      </c>
      <c r="B1252" s="11" t="s">
        <v>2989</v>
      </c>
      <c r="C1252" s="11" t="s">
        <v>17</v>
      </c>
      <c r="D1252" s="11" t="s">
        <v>18</v>
      </c>
      <c r="E1252" s="12" t="s">
        <v>1520</v>
      </c>
      <c r="F1252" s="12" t="s">
        <v>1521</v>
      </c>
      <c r="G1252" s="12" t="s">
        <v>40</v>
      </c>
      <c r="H1252" s="11" t="s">
        <v>63</v>
      </c>
      <c r="I1252" s="13" t="s">
        <v>3003</v>
      </c>
      <c r="J1252" s="14" t="str">
        <f>HYPERLINK("https://www.boe.es/gazeta/dias/1839/12/27/pdfs/GMD-1839-1874.pdf#page=2","Abrir facsímil")</f>
        <v>Abrir facsímil</v>
      </c>
      <c r="K1252" s="12" t="s">
        <v>65</v>
      </c>
    </row>
    <row r="1253" spans="1:11" ht="40.049999999999997" customHeight="1" x14ac:dyDescent="0.25">
      <c r="A1253" s="11" t="s">
        <v>2989</v>
      </c>
      <c r="B1253" s="11" t="s">
        <v>2989</v>
      </c>
      <c r="C1253" s="11" t="s">
        <v>80</v>
      </c>
      <c r="D1253" s="11" t="s">
        <v>18</v>
      </c>
      <c r="E1253" s="12" t="s">
        <v>308</v>
      </c>
      <c r="F1253" s="12" t="s">
        <v>309</v>
      </c>
      <c r="G1253" s="12" t="s">
        <v>29</v>
      </c>
      <c r="H1253" s="11" t="s">
        <v>63</v>
      </c>
      <c r="I1253" s="13" t="s">
        <v>3004</v>
      </c>
      <c r="J1253" s="14" t="str">
        <f>HYPERLINK("https://www.boe.es/gazeta/dias/1839/07/29/pdfs/GMD-1839-1718.pdf#page=1","Abrir facsímil")</f>
        <v>Abrir facsímil</v>
      </c>
      <c r="K1253" s="12" t="s">
        <v>65</v>
      </c>
    </row>
    <row r="1254" spans="1:11" ht="40.049999999999997" customHeight="1" x14ac:dyDescent="0.25">
      <c r="A1254" s="11" t="s">
        <v>3005</v>
      </c>
      <c r="B1254" s="11" t="s">
        <v>3005</v>
      </c>
      <c r="C1254" s="11" t="s">
        <v>59</v>
      </c>
      <c r="D1254" s="11" t="s">
        <v>60</v>
      </c>
      <c r="E1254" s="12" t="s">
        <v>2995</v>
      </c>
      <c r="F1254" s="12" t="s">
        <v>2996</v>
      </c>
      <c r="G1254" s="12" t="s">
        <v>40</v>
      </c>
      <c r="H1254" s="11" t="s">
        <v>63</v>
      </c>
      <c r="I1254" s="13" t="s">
        <v>3006</v>
      </c>
      <c r="J1254" s="14" t="str">
        <f>HYPERLINK("https://www.boe.es/gazeta/dias/1839/06/16/pdfs/GMD-1839-1674.pdf#page=2","Abrir facsímil")</f>
        <v>Abrir facsímil</v>
      </c>
      <c r="K1254" s="12" t="s">
        <v>65</v>
      </c>
    </row>
    <row r="1255" spans="1:11" ht="40.049999999999997" customHeight="1" x14ac:dyDescent="0.25">
      <c r="A1255" s="11" t="s">
        <v>3007</v>
      </c>
      <c r="B1255" s="11" t="s">
        <v>3008</v>
      </c>
      <c r="C1255" s="11" t="s">
        <v>17</v>
      </c>
      <c r="D1255" s="11" t="s">
        <v>18</v>
      </c>
      <c r="E1255" s="12" t="s">
        <v>3009</v>
      </c>
      <c r="F1255" s="12" t="s">
        <v>3010</v>
      </c>
      <c r="G1255" s="12" t="s">
        <v>40</v>
      </c>
      <c r="H1255" s="11" t="s">
        <v>63</v>
      </c>
      <c r="I1255" s="13" t="s">
        <v>3011</v>
      </c>
      <c r="J1255" s="14" t="str">
        <f>HYPERLINK("https://www.boe.es/gazeta/dias/1839/04/20/pdfs/GMD-1839-1617.pdf#page=2","Abrir facsímil")</f>
        <v>Abrir facsímil</v>
      </c>
      <c r="K1255" s="12" t="s">
        <v>65</v>
      </c>
    </row>
    <row r="1256" spans="1:11" ht="40.049999999999997" customHeight="1" x14ac:dyDescent="0.25">
      <c r="A1256" s="11" t="s">
        <v>3012</v>
      </c>
      <c r="B1256" s="11" t="s">
        <v>3013</v>
      </c>
      <c r="C1256" s="11" t="s">
        <v>17</v>
      </c>
      <c r="D1256" s="11" t="s">
        <v>18</v>
      </c>
      <c r="E1256" s="12" t="s">
        <v>1523</v>
      </c>
      <c r="F1256" s="12" t="s">
        <v>1524</v>
      </c>
      <c r="G1256" s="12" t="s">
        <v>29</v>
      </c>
      <c r="H1256" s="11" t="s">
        <v>63</v>
      </c>
      <c r="I1256" s="13" t="s">
        <v>3014</v>
      </c>
      <c r="J1256" s="14" t="str">
        <f>HYPERLINK("https://www.boe.es/gazeta/dias/1839/08/29/pdfs/GMD-1839-1750.pdf#page=1","Abrir facsímil")</f>
        <v>Abrir facsímil</v>
      </c>
      <c r="K1256" s="12" t="s">
        <v>65</v>
      </c>
    </row>
    <row r="1257" spans="1:11" ht="40.049999999999997" customHeight="1" x14ac:dyDescent="0.25">
      <c r="A1257" s="11" t="s">
        <v>3015</v>
      </c>
      <c r="B1257" s="11" t="s">
        <v>3015</v>
      </c>
      <c r="C1257" s="11" t="s">
        <v>17</v>
      </c>
      <c r="D1257" s="11" t="s">
        <v>18</v>
      </c>
      <c r="E1257" s="12" t="s">
        <v>365</v>
      </c>
      <c r="F1257" s="12" t="s">
        <v>366</v>
      </c>
      <c r="G1257" s="12" t="s">
        <v>46</v>
      </c>
      <c r="H1257" s="11" t="s">
        <v>63</v>
      </c>
      <c r="I1257" s="13" t="s">
        <v>3016</v>
      </c>
      <c r="J1257" s="14" t="str">
        <f>HYPERLINK("https://www.boe.es/gazeta/dias/1839/08/14/pdfs/GMD-1839-1734.pdf#page=3","Abrir facsímil")</f>
        <v>Abrir facsímil</v>
      </c>
      <c r="K1257" s="12" t="s">
        <v>65</v>
      </c>
    </row>
    <row r="1258" spans="1:11" ht="40.049999999999997" customHeight="1" x14ac:dyDescent="0.25">
      <c r="A1258" s="11" t="s">
        <v>3017</v>
      </c>
      <c r="B1258" s="11" t="s">
        <v>3018</v>
      </c>
      <c r="C1258" s="11" t="s">
        <v>137</v>
      </c>
      <c r="D1258" s="11" t="s">
        <v>18</v>
      </c>
      <c r="E1258" s="12" t="s">
        <v>1301</v>
      </c>
      <c r="F1258" s="12" t="s">
        <v>1302</v>
      </c>
      <c r="G1258" s="12" t="s">
        <v>29</v>
      </c>
      <c r="H1258" s="11" t="s">
        <v>63</v>
      </c>
      <c r="I1258" s="13" t="s">
        <v>3019</v>
      </c>
      <c r="J1258" s="14" t="str">
        <f>HYPERLINK("https://www.boe.es/gazeta/dias/1839/11/16/pdfs/GMD-1839-1833.pdf#page=1","Abrir facsímil")</f>
        <v>Abrir facsímil</v>
      </c>
      <c r="K1258" s="12" t="s">
        <v>65</v>
      </c>
    </row>
    <row r="1259" spans="1:11" ht="40.049999999999997" customHeight="1" x14ac:dyDescent="0.25">
      <c r="A1259" s="11" t="s">
        <v>3020</v>
      </c>
      <c r="B1259" s="11" t="s">
        <v>3020</v>
      </c>
      <c r="C1259" s="11" t="s">
        <v>101</v>
      </c>
      <c r="D1259" s="11" t="s">
        <v>102</v>
      </c>
      <c r="E1259" s="12" t="s">
        <v>601</v>
      </c>
      <c r="F1259" s="12" t="s">
        <v>602</v>
      </c>
      <c r="G1259" s="12" t="s">
        <v>40</v>
      </c>
      <c r="H1259" s="11" t="s">
        <v>63</v>
      </c>
      <c r="I1259" s="13" t="s">
        <v>3021</v>
      </c>
      <c r="J1259" s="14" t="str">
        <f>HYPERLINK("https://www.boe.es/gazeta/dias/1839/04/21/pdfs/GMD-1839-1618.pdf#page=2","Abrir facsímil")</f>
        <v>Abrir facsímil</v>
      </c>
      <c r="K1259" s="12" t="s">
        <v>65</v>
      </c>
    </row>
    <row r="1260" spans="1:11" ht="40.049999999999997" customHeight="1" x14ac:dyDescent="0.25">
      <c r="A1260" s="11" t="s">
        <v>3022</v>
      </c>
      <c r="B1260" s="11" t="s">
        <v>3023</v>
      </c>
      <c r="C1260" s="11" t="s">
        <v>17</v>
      </c>
      <c r="D1260" s="11" t="s">
        <v>18</v>
      </c>
      <c r="E1260" s="12" t="s">
        <v>474</v>
      </c>
      <c r="F1260" s="12" t="s">
        <v>475</v>
      </c>
      <c r="G1260" s="12" t="s">
        <v>21</v>
      </c>
      <c r="H1260" s="11" t="s">
        <v>63</v>
      </c>
      <c r="I1260" s="13" t="s">
        <v>3024</v>
      </c>
      <c r="J1260" s="14" t="str">
        <f>HYPERLINK("https://www.boe.es/gazeta/dias/1839/03/31/pdfs/GMD-1839-1597.pdf#page=4","Abrir facsímil")</f>
        <v>Abrir facsímil</v>
      </c>
      <c r="K1260" s="12" t="s">
        <v>65</v>
      </c>
    </row>
    <row r="1261" spans="1:11" ht="40.049999999999997" customHeight="1" x14ac:dyDescent="0.25">
      <c r="A1261" s="11" t="s">
        <v>3025</v>
      </c>
      <c r="B1261" s="11" t="s">
        <v>3026</v>
      </c>
      <c r="C1261" s="11" t="s">
        <v>59</v>
      </c>
      <c r="D1261" s="11" t="s">
        <v>60</v>
      </c>
      <c r="E1261" s="12" t="s">
        <v>2227</v>
      </c>
      <c r="F1261" s="12" t="s">
        <v>2228</v>
      </c>
      <c r="G1261" s="12" t="s">
        <v>40</v>
      </c>
      <c r="H1261" s="11" t="s">
        <v>63</v>
      </c>
      <c r="I1261" s="13" t="s">
        <v>3027</v>
      </c>
      <c r="J1261" s="14" t="str">
        <f>HYPERLINK("https://www.boe.es/gazeta/dias/1839/12/04/pdfs/GMD-1839-1851.pdf#page=2","Abrir facsímil")</f>
        <v>Abrir facsímil</v>
      </c>
      <c r="K1261" s="12" t="s">
        <v>65</v>
      </c>
    </row>
    <row r="1262" spans="1:11" ht="40.049999999999997" customHeight="1" x14ac:dyDescent="0.25">
      <c r="A1262" s="11" t="s">
        <v>3028</v>
      </c>
      <c r="B1262" s="11" t="s">
        <v>3028</v>
      </c>
      <c r="C1262" s="11" t="s">
        <v>17</v>
      </c>
      <c r="D1262" s="11" t="s">
        <v>43</v>
      </c>
      <c r="E1262" s="12" t="s">
        <v>2658</v>
      </c>
      <c r="F1262" s="12" t="s">
        <v>2659</v>
      </c>
      <c r="G1262" s="12" t="s">
        <v>21</v>
      </c>
      <c r="H1262" s="11" t="s">
        <v>63</v>
      </c>
      <c r="I1262" s="13" t="s">
        <v>3029</v>
      </c>
      <c r="J1262" s="14" t="str">
        <f>HYPERLINK("https://www.boe.es/gazeta/dias/1839/06/27/pdfs/GMD-1839-1685.pdf#page=4","Abrir facsímil")</f>
        <v>Abrir facsímil</v>
      </c>
      <c r="K1262" s="12" t="s">
        <v>65</v>
      </c>
    </row>
    <row r="1263" spans="1:11" ht="40.049999999999997" customHeight="1" x14ac:dyDescent="0.25">
      <c r="A1263" s="11" t="s">
        <v>3030</v>
      </c>
      <c r="B1263" s="11" t="s">
        <v>3030</v>
      </c>
      <c r="C1263" s="11" t="s">
        <v>17</v>
      </c>
      <c r="D1263" s="11" t="s">
        <v>18</v>
      </c>
      <c r="E1263" s="12" t="s">
        <v>2050</v>
      </c>
      <c r="F1263" s="12" t="s">
        <v>2051</v>
      </c>
      <c r="G1263" s="12" t="s">
        <v>40</v>
      </c>
      <c r="H1263" s="11" t="s">
        <v>22</v>
      </c>
      <c r="I1263" s="13" t="s">
        <v>3031</v>
      </c>
      <c r="J1263" s="14" t="str">
        <f>HYPERLINK("https://www.boe.es/gazeta/dias/1839/01/09/pdfs/GMD-1839-1516.pdf#page=2","Abrir facsímil")</f>
        <v>Abrir facsímil</v>
      </c>
      <c r="K1263" s="12" t="s">
        <v>24</v>
      </c>
    </row>
    <row r="1264" spans="1:11" ht="40.049999999999997" customHeight="1" x14ac:dyDescent="0.25">
      <c r="A1264" s="11" t="s">
        <v>3030</v>
      </c>
      <c r="B1264" s="11" t="s">
        <v>3030</v>
      </c>
      <c r="C1264" s="11" t="s">
        <v>17</v>
      </c>
      <c r="D1264" s="11" t="s">
        <v>18</v>
      </c>
      <c r="E1264" s="12" t="s">
        <v>596</v>
      </c>
      <c r="F1264" s="12" t="s">
        <v>597</v>
      </c>
      <c r="G1264" s="12" t="s">
        <v>21</v>
      </c>
      <c r="H1264" s="11" t="s">
        <v>22</v>
      </c>
      <c r="I1264" s="13" t="s">
        <v>3032</v>
      </c>
      <c r="J1264" s="14" t="str">
        <f>HYPERLINK("https://www.boe.es/gazeta/dias/1839/01/23/pdfs/GMD-1839-1530.pdf#page=4","Abrir facsímil")</f>
        <v>Abrir facsímil</v>
      </c>
      <c r="K1264" s="12" t="s">
        <v>24</v>
      </c>
    </row>
    <row r="1265" spans="1:11" ht="40.049999999999997" customHeight="1" x14ac:dyDescent="0.25">
      <c r="A1265" s="11" t="s">
        <v>3033</v>
      </c>
      <c r="B1265" s="11" t="s">
        <v>3033</v>
      </c>
      <c r="C1265" s="11" t="s">
        <v>101</v>
      </c>
      <c r="D1265" s="11" t="s">
        <v>102</v>
      </c>
      <c r="E1265" s="12" t="s">
        <v>1252</v>
      </c>
      <c r="F1265" s="12" t="s">
        <v>1253</v>
      </c>
      <c r="G1265" s="12" t="s">
        <v>46</v>
      </c>
      <c r="H1265" s="11" t="s">
        <v>63</v>
      </c>
      <c r="I1265" s="13" t="s">
        <v>3034</v>
      </c>
      <c r="J1265" s="14" t="str">
        <f>HYPERLINK("https://www.boe.es/gazeta/dias/1839/06/15/pdfs/GMD-1839-1673.pdf#page=3","Abrir facsímil")</f>
        <v>Abrir facsímil</v>
      </c>
      <c r="K1265" s="12" t="s">
        <v>65</v>
      </c>
    </row>
    <row r="1266" spans="1:11" ht="40.049999999999997" customHeight="1" x14ac:dyDescent="0.25">
      <c r="A1266" s="11" t="s">
        <v>3035</v>
      </c>
      <c r="B1266" s="11" t="s">
        <v>3035</v>
      </c>
      <c r="C1266" s="11" t="s">
        <v>137</v>
      </c>
      <c r="D1266" s="11" t="s">
        <v>18</v>
      </c>
      <c r="E1266" s="12" t="s">
        <v>1100</v>
      </c>
      <c r="F1266" s="12" t="s">
        <v>1101</v>
      </c>
      <c r="G1266" s="12" t="s">
        <v>46</v>
      </c>
      <c r="H1266" s="11" t="s">
        <v>63</v>
      </c>
      <c r="I1266" s="13" t="s">
        <v>3036</v>
      </c>
      <c r="J1266" s="14" t="str">
        <f>HYPERLINK("https://www.boe.es/gazeta/dias/1839/09/13/pdfs/GMD-1839-1766.pdf#page=3","Abrir facsímil")</f>
        <v>Abrir facsímil</v>
      </c>
      <c r="K1266" s="12" t="s">
        <v>65</v>
      </c>
    </row>
    <row r="1267" spans="1:11" ht="40.049999999999997" customHeight="1" x14ac:dyDescent="0.25">
      <c r="A1267" s="11" t="s">
        <v>3037</v>
      </c>
      <c r="B1267" s="11" t="s">
        <v>3037</v>
      </c>
      <c r="C1267" s="11" t="s">
        <v>17</v>
      </c>
      <c r="D1267" s="11" t="s">
        <v>18</v>
      </c>
      <c r="E1267" s="12" t="s">
        <v>577</v>
      </c>
      <c r="F1267" s="12" t="s">
        <v>578</v>
      </c>
      <c r="G1267" s="12" t="s">
        <v>40</v>
      </c>
      <c r="H1267" s="11" t="s">
        <v>22</v>
      </c>
      <c r="I1267" s="13" t="s">
        <v>3038</v>
      </c>
      <c r="J1267" s="14" t="str">
        <f>HYPERLINK("https://www.boe.es/gazeta/dias/1839/09/30/pdfs/GMD-1839-1786.pdf#page=2","Abrir facsímil")</f>
        <v>Abrir facsímil</v>
      </c>
      <c r="K1267" s="12" t="s">
        <v>24</v>
      </c>
    </row>
    <row r="1268" spans="1:11" ht="40.049999999999997" customHeight="1" x14ac:dyDescent="0.25">
      <c r="A1268" s="11" t="s">
        <v>3039</v>
      </c>
      <c r="B1268" s="11" t="s">
        <v>3039</v>
      </c>
      <c r="C1268" s="11" t="s">
        <v>137</v>
      </c>
      <c r="D1268" s="11" t="s">
        <v>18</v>
      </c>
      <c r="E1268" s="12" t="s">
        <v>212</v>
      </c>
      <c r="F1268" s="12" t="s">
        <v>213</v>
      </c>
      <c r="G1268" s="12" t="s">
        <v>40</v>
      </c>
      <c r="H1268" s="11" t="s">
        <v>22</v>
      </c>
      <c r="I1268" s="13" t="s">
        <v>3040</v>
      </c>
      <c r="J1268" s="14" t="str">
        <f>HYPERLINK("https://www.boe.es/gazeta/dias/1839/10/03/pdfs/GMD-1839-1789.pdf#page=2","Abrir facsímil")</f>
        <v>Abrir facsímil</v>
      </c>
      <c r="K1268" s="12" t="s">
        <v>24</v>
      </c>
    </row>
    <row r="1269" spans="1:11" ht="40.049999999999997" customHeight="1" x14ac:dyDescent="0.25">
      <c r="A1269" s="11" t="s">
        <v>3039</v>
      </c>
      <c r="B1269" s="11" t="s">
        <v>3039</v>
      </c>
      <c r="C1269" s="11" t="s">
        <v>17</v>
      </c>
      <c r="D1269" s="11" t="s">
        <v>18</v>
      </c>
      <c r="E1269" s="12" t="s">
        <v>108</v>
      </c>
      <c r="F1269" s="12" t="s">
        <v>109</v>
      </c>
      <c r="G1269" s="12" t="s">
        <v>40</v>
      </c>
      <c r="H1269" s="11" t="s">
        <v>22</v>
      </c>
      <c r="I1269" s="13" t="s">
        <v>3041</v>
      </c>
      <c r="J1269" s="14" t="str">
        <f>HYPERLINK("https://www.boe.es/gazeta/dias/1839/01/04/pdfs/GMD-1839-1511.pdf#page=2","Abrir facsímil")</f>
        <v>Abrir facsímil</v>
      </c>
      <c r="K1269" s="12" t="s">
        <v>24</v>
      </c>
    </row>
    <row r="1270" spans="1:11" ht="40.049999999999997" customHeight="1" x14ac:dyDescent="0.25">
      <c r="A1270" s="11" t="s">
        <v>3039</v>
      </c>
      <c r="B1270" s="11" t="s">
        <v>3039</v>
      </c>
      <c r="C1270" s="11" t="s">
        <v>17</v>
      </c>
      <c r="D1270" s="11" t="s">
        <v>18</v>
      </c>
      <c r="E1270" s="12" t="s">
        <v>291</v>
      </c>
      <c r="F1270" s="12" t="s">
        <v>292</v>
      </c>
      <c r="G1270" s="12" t="s">
        <v>40</v>
      </c>
      <c r="H1270" s="11" t="s">
        <v>22</v>
      </c>
      <c r="I1270" s="13" t="s">
        <v>3042</v>
      </c>
      <c r="J1270" s="14" t="str">
        <f>HYPERLINK("https://www.boe.es/gazeta/dias/1839/09/04/pdfs/GMD-1839-1757.pdf#page=2","Abrir facsímil")</f>
        <v>Abrir facsímil</v>
      </c>
      <c r="K1270" s="12" t="s">
        <v>24</v>
      </c>
    </row>
    <row r="1271" spans="1:11" ht="40.049999999999997" customHeight="1" x14ac:dyDescent="0.25">
      <c r="A1271" s="11" t="s">
        <v>3039</v>
      </c>
      <c r="B1271" s="11" t="s">
        <v>3039</v>
      </c>
      <c r="C1271" s="11" t="s">
        <v>59</v>
      </c>
      <c r="D1271" s="11" t="s">
        <v>60</v>
      </c>
      <c r="E1271" s="12" t="s">
        <v>2210</v>
      </c>
      <c r="F1271" s="12" t="s">
        <v>2211</v>
      </c>
      <c r="G1271" s="12" t="s">
        <v>46</v>
      </c>
      <c r="H1271" s="11" t="s">
        <v>22</v>
      </c>
      <c r="I1271" s="13" t="s">
        <v>3043</v>
      </c>
      <c r="J1271" s="14" t="str">
        <f>HYPERLINK("https://www.boe.es/gazeta/dias/1839/09/05/pdfs/GMD-1839-1758.pdf#page=3","Abrir facsímil")</f>
        <v>Abrir facsímil</v>
      </c>
      <c r="K1271" s="12" t="s">
        <v>24</v>
      </c>
    </row>
    <row r="1272" spans="1:11" ht="40.049999999999997" customHeight="1" x14ac:dyDescent="0.25">
      <c r="A1272" s="11" t="s">
        <v>3039</v>
      </c>
      <c r="B1272" s="11" t="s">
        <v>3039</v>
      </c>
      <c r="C1272" s="11" t="s">
        <v>17</v>
      </c>
      <c r="D1272" s="11" t="s">
        <v>18</v>
      </c>
      <c r="E1272" s="12" t="s">
        <v>303</v>
      </c>
      <c r="F1272" s="12" t="s">
        <v>304</v>
      </c>
      <c r="G1272" s="12" t="s">
        <v>40</v>
      </c>
      <c r="H1272" s="11" t="s">
        <v>22</v>
      </c>
      <c r="I1272" s="13" t="s">
        <v>3044</v>
      </c>
      <c r="J1272" s="14" t="str">
        <f>HYPERLINK("https://www.boe.es/gazeta/dias/1839/10/06/pdfs/GMD-1839-1792.pdf#page=2","Abrir facsímil")</f>
        <v>Abrir facsímil</v>
      </c>
      <c r="K1272" s="12" t="s">
        <v>24</v>
      </c>
    </row>
    <row r="1273" spans="1:11" ht="40.049999999999997" customHeight="1" x14ac:dyDescent="0.25">
      <c r="A1273" s="11" t="s">
        <v>3039</v>
      </c>
      <c r="B1273" s="11" t="s">
        <v>3039</v>
      </c>
      <c r="C1273" s="11" t="s">
        <v>17</v>
      </c>
      <c r="D1273" s="11" t="s">
        <v>18</v>
      </c>
      <c r="E1273" s="12" t="s">
        <v>1008</v>
      </c>
      <c r="F1273" s="12" t="s">
        <v>1009</v>
      </c>
      <c r="G1273" s="12" t="s">
        <v>40</v>
      </c>
      <c r="H1273" s="11" t="s">
        <v>22</v>
      </c>
      <c r="I1273" s="13" t="s">
        <v>3045</v>
      </c>
      <c r="J1273" s="14" t="str">
        <f>HYPERLINK("https://www.boe.es/gazeta/dias/1839/09/07/pdfs/GMD-1839-1760.pdf#page=2","Abrir facsímil")</f>
        <v>Abrir facsímil</v>
      </c>
      <c r="K1273" s="12" t="s">
        <v>24</v>
      </c>
    </row>
    <row r="1274" spans="1:11" ht="40.049999999999997" customHeight="1" x14ac:dyDescent="0.25">
      <c r="A1274" s="11" t="s">
        <v>3039</v>
      </c>
      <c r="B1274" s="11" t="s">
        <v>3039</v>
      </c>
      <c r="C1274" s="11" t="s">
        <v>101</v>
      </c>
      <c r="D1274" s="11" t="s">
        <v>43</v>
      </c>
      <c r="E1274" s="12" t="s">
        <v>61</v>
      </c>
      <c r="F1274" s="12" t="s">
        <v>62</v>
      </c>
      <c r="G1274" s="12" t="s">
        <v>40</v>
      </c>
      <c r="H1274" s="11" t="s">
        <v>22</v>
      </c>
      <c r="I1274" s="13" t="s">
        <v>3046</v>
      </c>
      <c r="J1274" s="14" t="str">
        <f>HYPERLINK("https://www.boe.es/gazeta/dias/1839/09/10/pdfs/GMD-1839-1763.pdf#page=2","Abrir facsímil")</f>
        <v>Abrir facsímil</v>
      </c>
      <c r="K1274" s="12" t="s">
        <v>24</v>
      </c>
    </row>
    <row r="1275" spans="1:11" ht="40.049999999999997" customHeight="1" x14ac:dyDescent="0.25">
      <c r="A1275" s="11" t="s">
        <v>3039</v>
      </c>
      <c r="B1275" s="11" t="s">
        <v>3039</v>
      </c>
      <c r="C1275" s="11" t="s">
        <v>80</v>
      </c>
      <c r="D1275" s="11" t="s">
        <v>18</v>
      </c>
      <c r="E1275" s="12" t="s">
        <v>592</v>
      </c>
      <c r="F1275" s="12" t="s">
        <v>593</v>
      </c>
      <c r="G1275" s="12" t="s">
        <v>40</v>
      </c>
      <c r="H1275" s="11" t="s">
        <v>22</v>
      </c>
      <c r="I1275" s="13" t="s">
        <v>3047</v>
      </c>
      <c r="J1275" s="14" t="str">
        <f>HYPERLINK("https://www.boe.es/gazeta/dias/1839/09/14/pdfs/GMD-1839-1767.pdf#page=2","Abrir facsímil")</f>
        <v>Abrir facsímil</v>
      </c>
      <c r="K1275" s="12" t="s">
        <v>24</v>
      </c>
    </row>
    <row r="1276" spans="1:11" ht="40.049999999999997" customHeight="1" x14ac:dyDescent="0.25">
      <c r="A1276" s="11" t="s">
        <v>3039</v>
      </c>
      <c r="B1276" s="11" t="s">
        <v>3039</v>
      </c>
      <c r="C1276" s="11" t="s">
        <v>101</v>
      </c>
      <c r="D1276" s="11" t="s">
        <v>43</v>
      </c>
      <c r="E1276" s="12" t="s">
        <v>1236</v>
      </c>
      <c r="F1276" s="12" t="s">
        <v>1237</v>
      </c>
      <c r="G1276" s="12" t="s">
        <v>40</v>
      </c>
      <c r="H1276" s="11" t="s">
        <v>22</v>
      </c>
      <c r="I1276" s="13" t="s">
        <v>3048</v>
      </c>
      <c r="J1276" s="14" t="str">
        <f>HYPERLINK("https://www.boe.es/gazeta/dias/1839/10/16/pdfs/GMD-1839-1802.pdf#page=2","Abrir facsímil")</f>
        <v>Abrir facsímil</v>
      </c>
      <c r="K1276" s="12" t="s">
        <v>24</v>
      </c>
    </row>
    <row r="1277" spans="1:11" ht="40.049999999999997" customHeight="1" x14ac:dyDescent="0.25">
      <c r="A1277" s="11" t="s">
        <v>3039</v>
      </c>
      <c r="B1277" s="11" t="s">
        <v>3039</v>
      </c>
      <c r="C1277" s="11" t="s">
        <v>137</v>
      </c>
      <c r="D1277" s="11" t="s">
        <v>18</v>
      </c>
      <c r="E1277" s="12" t="s">
        <v>564</v>
      </c>
      <c r="F1277" s="12" t="s">
        <v>565</v>
      </c>
      <c r="G1277" s="12" t="s">
        <v>46</v>
      </c>
      <c r="H1277" s="11" t="s">
        <v>22</v>
      </c>
      <c r="I1277" s="13" t="s">
        <v>3049</v>
      </c>
      <c r="J1277" s="14" t="str">
        <f>HYPERLINK("https://www.boe.es/gazeta/dias/1839/10/17/pdfs/GMD-1839-1803.pdf#page=3","Abrir facsímil")</f>
        <v>Abrir facsímil</v>
      </c>
      <c r="K1277" s="12" t="s">
        <v>24</v>
      </c>
    </row>
    <row r="1278" spans="1:11" ht="40.049999999999997" customHeight="1" x14ac:dyDescent="0.25">
      <c r="A1278" s="11" t="s">
        <v>3050</v>
      </c>
      <c r="B1278" s="11" t="s">
        <v>3050</v>
      </c>
      <c r="C1278" s="11" t="s">
        <v>17</v>
      </c>
      <c r="D1278" s="11" t="s">
        <v>18</v>
      </c>
      <c r="E1278" s="12" t="s">
        <v>564</v>
      </c>
      <c r="F1278" s="12" t="s">
        <v>565</v>
      </c>
      <c r="G1278" s="12" t="s">
        <v>566</v>
      </c>
      <c r="H1278" s="11" t="s">
        <v>63</v>
      </c>
      <c r="I1278" s="13" t="s">
        <v>3051</v>
      </c>
      <c r="J1278" s="14" t="str">
        <f>HYPERLINK("https://www.boe.es/gazeta/dias/1839/10/17/pdfs/GMD-1839-1803.pdf#page=5","Abrir facsímil")</f>
        <v>Abrir facsímil</v>
      </c>
      <c r="K1278" s="12" t="s">
        <v>65</v>
      </c>
    </row>
    <row r="1279" spans="1:11" ht="40.049999999999997" customHeight="1" x14ac:dyDescent="0.25">
      <c r="A1279" s="11" t="s">
        <v>3039</v>
      </c>
      <c r="B1279" s="11" t="s">
        <v>3039</v>
      </c>
      <c r="C1279" s="11" t="s">
        <v>17</v>
      </c>
      <c r="D1279" s="11" t="s">
        <v>18</v>
      </c>
      <c r="E1279" s="12" t="s">
        <v>1076</v>
      </c>
      <c r="F1279" s="12" t="s">
        <v>1077</v>
      </c>
      <c r="G1279" s="12" t="s">
        <v>21</v>
      </c>
      <c r="H1279" s="11" t="s">
        <v>22</v>
      </c>
      <c r="I1279" s="13" t="s">
        <v>3052</v>
      </c>
      <c r="J1279" s="14" t="str">
        <f>HYPERLINK("https://www.boe.es/gazeta/dias/1839/10/19/pdfs/GMD-1839-1805.pdf#page=4","Abrir facsímil")</f>
        <v>Abrir facsímil</v>
      </c>
      <c r="K1279" s="12" t="s">
        <v>24</v>
      </c>
    </row>
    <row r="1280" spans="1:11" ht="40.049999999999997" customHeight="1" x14ac:dyDescent="0.25">
      <c r="A1280" s="11" t="s">
        <v>3050</v>
      </c>
      <c r="B1280" s="11" t="s">
        <v>3050</v>
      </c>
      <c r="C1280" s="11" t="s">
        <v>17</v>
      </c>
      <c r="D1280" s="11" t="s">
        <v>18</v>
      </c>
      <c r="E1280" s="12" t="s">
        <v>1108</v>
      </c>
      <c r="F1280" s="12" t="s">
        <v>1109</v>
      </c>
      <c r="G1280" s="12" t="s">
        <v>21</v>
      </c>
      <c r="H1280" s="11" t="s">
        <v>63</v>
      </c>
      <c r="I1280" s="13" t="s">
        <v>3053</v>
      </c>
      <c r="J1280" s="14" t="str">
        <f>HYPERLINK("https://www.boe.es/gazeta/dias/1839/09/21/pdfs/GMD-1839-1776.pdf#page=4","Abrir facsímil")</f>
        <v>Abrir facsímil</v>
      </c>
      <c r="K1280" s="12" t="s">
        <v>65</v>
      </c>
    </row>
    <row r="1281" spans="1:11" ht="40.049999999999997" customHeight="1" x14ac:dyDescent="0.25">
      <c r="A1281" s="11" t="s">
        <v>3039</v>
      </c>
      <c r="B1281" s="11" t="s">
        <v>3039</v>
      </c>
      <c r="C1281" s="11" t="s">
        <v>17</v>
      </c>
      <c r="D1281" s="11" t="s">
        <v>18</v>
      </c>
      <c r="E1281" s="12" t="s">
        <v>577</v>
      </c>
      <c r="F1281" s="12" t="s">
        <v>578</v>
      </c>
      <c r="G1281" s="12" t="s">
        <v>40</v>
      </c>
      <c r="H1281" s="11" t="s">
        <v>22</v>
      </c>
      <c r="I1281" s="13" t="s">
        <v>3054</v>
      </c>
      <c r="J1281" s="14" t="str">
        <f>HYPERLINK("https://www.boe.es/gazeta/dias/1839/09/30/pdfs/GMD-1839-1786.pdf#page=2","Abrir facsímil")</f>
        <v>Abrir facsímil</v>
      </c>
      <c r="K1281" s="12" t="s">
        <v>24</v>
      </c>
    </row>
    <row r="1282" spans="1:11" ht="40.049999999999997" customHeight="1" x14ac:dyDescent="0.25">
      <c r="A1282" s="11" t="s">
        <v>3055</v>
      </c>
      <c r="B1282" s="11" t="s">
        <v>3055</v>
      </c>
      <c r="C1282" s="11" t="s">
        <v>101</v>
      </c>
      <c r="D1282" s="11" t="s">
        <v>43</v>
      </c>
      <c r="E1282" s="12" t="s">
        <v>2222</v>
      </c>
      <c r="F1282" s="12" t="s">
        <v>2223</v>
      </c>
      <c r="G1282" s="12" t="s">
        <v>46</v>
      </c>
      <c r="H1282" s="11" t="s">
        <v>22</v>
      </c>
      <c r="I1282" s="13" t="s">
        <v>3056</v>
      </c>
      <c r="J1282" s="14" t="str">
        <f>HYPERLINK("https://www.boe.es/gazeta/dias/1839/09/19/pdfs/GMD-1839-1773.pdf#page=3","Abrir facsímil")</f>
        <v>Abrir facsímil</v>
      </c>
      <c r="K1282" s="12" t="s">
        <v>24</v>
      </c>
    </row>
    <row r="1283" spans="1:11" ht="40.049999999999997" customHeight="1" x14ac:dyDescent="0.25">
      <c r="A1283" s="11" t="s">
        <v>3057</v>
      </c>
      <c r="B1283" s="11" t="s">
        <v>3057</v>
      </c>
      <c r="C1283" s="11" t="s">
        <v>17</v>
      </c>
      <c r="D1283" s="11" t="s">
        <v>43</v>
      </c>
      <c r="E1283" s="12" t="s">
        <v>258</v>
      </c>
      <c r="F1283" s="12" t="s">
        <v>259</v>
      </c>
      <c r="G1283" s="12" t="s">
        <v>21</v>
      </c>
      <c r="H1283" s="11" t="s">
        <v>63</v>
      </c>
      <c r="I1283" s="13" t="s">
        <v>3058</v>
      </c>
      <c r="J1283" s="14" t="str">
        <f>HYPERLINK("https://www.boe.es/gazeta/dias/1839/01/02/pdfs/GMD-1839-1509.pdf#page=4","Abrir facsímil")</f>
        <v>Abrir facsímil</v>
      </c>
      <c r="K1283" s="12" t="s">
        <v>65</v>
      </c>
    </row>
    <row r="1284" spans="1:11" ht="40.049999999999997" customHeight="1" x14ac:dyDescent="0.25">
      <c r="A1284" s="11" t="s">
        <v>3057</v>
      </c>
      <c r="B1284" s="11" t="s">
        <v>3057</v>
      </c>
      <c r="C1284" s="11" t="s">
        <v>137</v>
      </c>
      <c r="D1284" s="11" t="s">
        <v>18</v>
      </c>
      <c r="E1284" s="12" t="s">
        <v>798</v>
      </c>
      <c r="F1284" s="12" t="s">
        <v>799</v>
      </c>
      <c r="G1284" s="12" t="s">
        <v>40</v>
      </c>
      <c r="H1284" s="11" t="s">
        <v>63</v>
      </c>
      <c r="I1284" s="13" t="s">
        <v>3059</v>
      </c>
      <c r="J1284" s="14" t="str">
        <f>HYPERLINK("https://www.boe.es/gazeta/dias/1839/09/03/pdfs/GMD-1839-1755.pdf#page=2","Abrir facsímil")</f>
        <v>Abrir facsímil</v>
      </c>
      <c r="K1284" s="12" t="s">
        <v>65</v>
      </c>
    </row>
    <row r="1285" spans="1:11" ht="40.049999999999997" customHeight="1" x14ac:dyDescent="0.25">
      <c r="A1285" s="11" t="s">
        <v>3057</v>
      </c>
      <c r="B1285" s="11" t="s">
        <v>3057</v>
      </c>
      <c r="C1285" s="11" t="s">
        <v>101</v>
      </c>
      <c r="D1285" s="11" t="s">
        <v>43</v>
      </c>
      <c r="E1285" s="12" t="s">
        <v>108</v>
      </c>
      <c r="F1285" s="12" t="s">
        <v>109</v>
      </c>
      <c r="G1285" s="12" t="s">
        <v>46</v>
      </c>
      <c r="H1285" s="11" t="s">
        <v>63</v>
      </c>
      <c r="I1285" s="13" t="s">
        <v>3060</v>
      </c>
      <c r="J1285" s="14" t="str">
        <f>HYPERLINK("https://www.boe.es/gazeta/dias/1839/01/04/pdfs/GMD-1839-1511.pdf#page=3","Abrir facsímil")</f>
        <v>Abrir facsímil</v>
      </c>
      <c r="K1285" s="12" t="s">
        <v>65</v>
      </c>
    </row>
    <row r="1286" spans="1:11" ht="40.049999999999997" customHeight="1" x14ac:dyDescent="0.25">
      <c r="A1286" s="11" t="s">
        <v>3057</v>
      </c>
      <c r="B1286" s="11" t="s">
        <v>3057</v>
      </c>
      <c r="C1286" s="11" t="s">
        <v>101</v>
      </c>
      <c r="D1286" s="11" t="s">
        <v>43</v>
      </c>
      <c r="E1286" s="12" t="s">
        <v>2210</v>
      </c>
      <c r="F1286" s="12" t="s">
        <v>2211</v>
      </c>
      <c r="G1286" s="12" t="s">
        <v>46</v>
      </c>
      <c r="H1286" s="11" t="s">
        <v>63</v>
      </c>
      <c r="I1286" s="13" t="s">
        <v>3061</v>
      </c>
      <c r="J1286" s="14" t="str">
        <f>HYPERLINK("https://www.boe.es/gazeta/dias/1839/09/05/pdfs/GMD-1839-1758.pdf#page=3","Abrir facsímil")</f>
        <v>Abrir facsímil</v>
      </c>
      <c r="K1286" s="12" t="s">
        <v>65</v>
      </c>
    </row>
    <row r="1287" spans="1:11" ht="40.049999999999997" customHeight="1" x14ac:dyDescent="0.25">
      <c r="A1287" s="11" t="s">
        <v>3062</v>
      </c>
      <c r="B1287" s="11" t="s">
        <v>3062</v>
      </c>
      <c r="C1287" s="11" t="s">
        <v>17</v>
      </c>
      <c r="D1287" s="11" t="s">
        <v>18</v>
      </c>
      <c r="E1287" s="12" t="s">
        <v>54</v>
      </c>
      <c r="F1287" s="12" t="s">
        <v>55</v>
      </c>
      <c r="G1287" s="12" t="s">
        <v>566</v>
      </c>
      <c r="H1287" s="11" t="s">
        <v>22</v>
      </c>
      <c r="I1287" s="13" t="s">
        <v>3063</v>
      </c>
      <c r="J1287" s="14" t="str">
        <f>HYPERLINK("https://www.boe.es/gazeta/dias/1839/10/05/pdfs/GMD-1839-1791.pdf#page=5","Abrir facsímil")</f>
        <v>Abrir facsímil</v>
      </c>
      <c r="K1287" s="12" t="s">
        <v>24</v>
      </c>
    </row>
    <row r="1288" spans="1:11" ht="40.049999999999997" customHeight="1" x14ac:dyDescent="0.25">
      <c r="A1288" s="11" t="s">
        <v>3057</v>
      </c>
      <c r="B1288" s="11" t="s">
        <v>3057</v>
      </c>
      <c r="C1288" s="11" t="s">
        <v>80</v>
      </c>
      <c r="D1288" s="11" t="s">
        <v>18</v>
      </c>
      <c r="E1288" s="12" t="s">
        <v>54</v>
      </c>
      <c r="F1288" s="12" t="s">
        <v>55</v>
      </c>
      <c r="G1288" s="12" t="s">
        <v>305</v>
      </c>
      <c r="H1288" s="11" t="s">
        <v>63</v>
      </c>
      <c r="I1288" s="13" t="s">
        <v>3064</v>
      </c>
      <c r="J1288" s="14" t="str">
        <f>HYPERLINK("https://www.boe.es/gazeta/dias/1839/10/05/pdfs/GMD-1839-1791.pdf#page=6","Abrir facsímil")</f>
        <v>Abrir facsímil</v>
      </c>
      <c r="K1288" s="12" t="s">
        <v>65</v>
      </c>
    </row>
    <row r="1289" spans="1:11" ht="40.049999999999997" customHeight="1" x14ac:dyDescent="0.25">
      <c r="A1289" s="11" t="s">
        <v>3057</v>
      </c>
      <c r="B1289" s="11" t="s">
        <v>3057</v>
      </c>
      <c r="C1289" s="11" t="s">
        <v>17</v>
      </c>
      <c r="D1289" s="11" t="s">
        <v>18</v>
      </c>
      <c r="E1289" s="12" t="s">
        <v>1008</v>
      </c>
      <c r="F1289" s="12" t="s">
        <v>1009</v>
      </c>
      <c r="G1289" s="12" t="s">
        <v>46</v>
      </c>
      <c r="H1289" s="11" t="s">
        <v>63</v>
      </c>
      <c r="I1289" s="13" t="s">
        <v>3065</v>
      </c>
      <c r="J1289" s="14" t="str">
        <f>HYPERLINK("https://www.boe.es/gazeta/dias/1839/09/07/pdfs/GMD-1839-1760.pdf#page=3","Abrir facsímil")</f>
        <v>Abrir facsímil</v>
      </c>
      <c r="K1289" s="12" t="s">
        <v>65</v>
      </c>
    </row>
    <row r="1290" spans="1:11" ht="40.049999999999997" customHeight="1" x14ac:dyDescent="0.25">
      <c r="A1290" s="11" t="s">
        <v>3057</v>
      </c>
      <c r="B1290" s="11" t="s">
        <v>3057</v>
      </c>
      <c r="C1290" s="11" t="s">
        <v>80</v>
      </c>
      <c r="D1290" s="11" t="s">
        <v>18</v>
      </c>
      <c r="E1290" s="12" t="s">
        <v>2301</v>
      </c>
      <c r="F1290" s="12" t="s">
        <v>2302</v>
      </c>
      <c r="G1290" s="12" t="s">
        <v>46</v>
      </c>
      <c r="H1290" s="11" t="s">
        <v>63</v>
      </c>
      <c r="I1290" s="13" t="s">
        <v>3066</v>
      </c>
      <c r="J1290" s="14" t="str">
        <f>HYPERLINK("https://www.boe.es/gazeta/dias/1839/09/08/pdfs/GMD-1839-1761.pdf#page=3","Abrir facsímil")</f>
        <v>Abrir facsímil</v>
      </c>
      <c r="K1290" s="12" t="s">
        <v>65</v>
      </c>
    </row>
    <row r="1291" spans="1:11" ht="40.049999999999997" customHeight="1" x14ac:dyDescent="0.25">
      <c r="A1291" s="11" t="s">
        <v>3057</v>
      </c>
      <c r="B1291" s="11" t="s">
        <v>3057</v>
      </c>
      <c r="C1291" s="11" t="s">
        <v>17</v>
      </c>
      <c r="D1291" s="11" t="s">
        <v>18</v>
      </c>
      <c r="E1291" s="12" t="s">
        <v>647</v>
      </c>
      <c r="F1291" s="12" t="s">
        <v>648</v>
      </c>
      <c r="G1291" s="12" t="s">
        <v>21</v>
      </c>
      <c r="H1291" s="11" t="s">
        <v>63</v>
      </c>
      <c r="I1291" s="13" t="s">
        <v>3067</v>
      </c>
      <c r="J1291" s="14" t="str">
        <f>HYPERLINK("https://www.boe.es/gazeta/dias/1839/10/08/pdfs/GMD-1839-1794.pdf#page=4","Abrir facsímil")</f>
        <v>Abrir facsímil</v>
      </c>
      <c r="K1291" s="12" t="s">
        <v>65</v>
      </c>
    </row>
    <row r="1292" spans="1:11" ht="40.049999999999997" customHeight="1" x14ac:dyDescent="0.25">
      <c r="A1292" s="11" t="s">
        <v>3057</v>
      </c>
      <c r="B1292" s="11" t="s">
        <v>3057</v>
      </c>
      <c r="C1292" s="11" t="s">
        <v>17</v>
      </c>
      <c r="D1292" s="11" t="s">
        <v>18</v>
      </c>
      <c r="E1292" s="12" t="s">
        <v>2050</v>
      </c>
      <c r="F1292" s="12" t="s">
        <v>2051</v>
      </c>
      <c r="G1292" s="12" t="s">
        <v>46</v>
      </c>
      <c r="H1292" s="11" t="s">
        <v>63</v>
      </c>
      <c r="I1292" s="13" t="s">
        <v>3068</v>
      </c>
      <c r="J1292" s="14" t="str">
        <f>HYPERLINK("https://www.boe.es/gazeta/dias/1839/01/09/pdfs/GMD-1839-1516.pdf#page=3","Abrir facsímil")</f>
        <v>Abrir facsímil</v>
      </c>
      <c r="K1292" s="12" t="s">
        <v>65</v>
      </c>
    </row>
    <row r="1293" spans="1:11" ht="40.049999999999997" customHeight="1" x14ac:dyDescent="0.25">
      <c r="A1293" s="11" t="s">
        <v>3057</v>
      </c>
      <c r="B1293" s="11" t="s">
        <v>3057</v>
      </c>
      <c r="C1293" s="11" t="s">
        <v>101</v>
      </c>
      <c r="D1293" s="11" t="s">
        <v>43</v>
      </c>
      <c r="E1293" s="12" t="s">
        <v>1100</v>
      </c>
      <c r="F1293" s="12" t="s">
        <v>1101</v>
      </c>
      <c r="G1293" s="12" t="s">
        <v>46</v>
      </c>
      <c r="H1293" s="11" t="s">
        <v>63</v>
      </c>
      <c r="I1293" s="13" t="s">
        <v>3069</v>
      </c>
      <c r="J1293" s="14" t="str">
        <f>HYPERLINK("https://www.boe.es/gazeta/dias/1839/09/13/pdfs/GMD-1839-1766.pdf#page=3","Abrir facsímil")</f>
        <v>Abrir facsímil</v>
      </c>
      <c r="K1293" s="12" t="s">
        <v>65</v>
      </c>
    </row>
    <row r="1294" spans="1:11" ht="40.049999999999997" customHeight="1" x14ac:dyDescent="0.25">
      <c r="A1294" s="11" t="s">
        <v>3057</v>
      </c>
      <c r="B1294" s="11" t="s">
        <v>3057</v>
      </c>
      <c r="C1294" s="11" t="s">
        <v>17</v>
      </c>
      <c r="D1294" s="11" t="s">
        <v>18</v>
      </c>
      <c r="E1294" s="12" t="s">
        <v>1100</v>
      </c>
      <c r="F1294" s="12" t="s">
        <v>1101</v>
      </c>
      <c r="G1294" s="12" t="s">
        <v>21</v>
      </c>
      <c r="H1294" s="11" t="s">
        <v>63</v>
      </c>
      <c r="I1294" s="13" t="s">
        <v>3070</v>
      </c>
      <c r="J1294" s="14" t="str">
        <f>HYPERLINK("https://www.boe.es/gazeta/dias/1839/09/13/pdfs/GMD-1839-1766.pdf#page=4","Abrir facsímil")</f>
        <v>Abrir facsímil</v>
      </c>
      <c r="K1294" s="12" t="s">
        <v>65</v>
      </c>
    </row>
    <row r="1295" spans="1:11" ht="40.049999999999997" customHeight="1" x14ac:dyDescent="0.25">
      <c r="A1295" s="11" t="s">
        <v>3057</v>
      </c>
      <c r="B1295" s="11" t="s">
        <v>3057</v>
      </c>
      <c r="C1295" s="11" t="s">
        <v>80</v>
      </c>
      <c r="D1295" s="11" t="s">
        <v>18</v>
      </c>
      <c r="E1295" s="12" t="s">
        <v>592</v>
      </c>
      <c r="F1295" s="12" t="s">
        <v>593</v>
      </c>
      <c r="G1295" s="12" t="s">
        <v>40</v>
      </c>
      <c r="H1295" s="11" t="s">
        <v>63</v>
      </c>
      <c r="I1295" s="13" t="s">
        <v>3071</v>
      </c>
      <c r="J1295" s="14" t="str">
        <f>HYPERLINK("https://www.boe.es/gazeta/dias/1839/09/14/pdfs/GMD-1839-1767.pdf#page=2","Abrir facsímil")</f>
        <v>Abrir facsímil</v>
      </c>
      <c r="K1295" s="12" t="s">
        <v>65</v>
      </c>
    </row>
    <row r="1296" spans="1:11" ht="40.049999999999997" customHeight="1" x14ac:dyDescent="0.25">
      <c r="A1296" s="11" t="s">
        <v>3057</v>
      </c>
      <c r="B1296" s="11" t="s">
        <v>3057</v>
      </c>
      <c r="C1296" s="11" t="s">
        <v>17</v>
      </c>
      <c r="D1296" s="11" t="s">
        <v>18</v>
      </c>
      <c r="E1296" s="12" t="s">
        <v>592</v>
      </c>
      <c r="F1296" s="12" t="s">
        <v>593</v>
      </c>
      <c r="G1296" s="12" t="s">
        <v>46</v>
      </c>
      <c r="H1296" s="11" t="s">
        <v>63</v>
      </c>
      <c r="I1296" s="13" t="s">
        <v>3072</v>
      </c>
      <c r="J1296" s="14" t="str">
        <f>HYPERLINK("https://www.boe.es/gazeta/dias/1839/09/14/pdfs/GMD-1839-1767.pdf#page=3","Abrir facsímil")</f>
        <v>Abrir facsímil</v>
      </c>
      <c r="K1296" s="12" t="s">
        <v>65</v>
      </c>
    </row>
    <row r="1297" spans="1:11" ht="40.049999999999997" customHeight="1" x14ac:dyDescent="0.25">
      <c r="A1297" s="11" t="s">
        <v>3062</v>
      </c>
      <c r="B1297" s="11" t="s">
        <v>3062</v>
      </c>
      <c r="C1297" s="11" t="s">
        <v>17</v>
      </c>
      <c r="D1297" s="11" t="s">
        <v>18</v>
      </c>
      <c r="E1297" s="12" t="s">
        <v>592</v>
      </c>
      <c r="F1297" s="12" t="s">
        <v>593</v>
      </c>
      <c r="G1297" s="12" t="s">
        <v>21</v>
      </c>
      <c r="H1297" s="11" t="s">
        <v>22</v>
      </c>
      <c r="I1297" s="13" t="s">
        <v>3073</v>
      </c>
      <c r="J1297" s="14" t="str">
        <f>HYPERLINK("https://www.boe.es/gazeta/dias/1839/09/14/pdfs/GMD-1839-1767.pdf#page=4","Abrir facsímil")</f>
        <v>Abrir facsímil</v>
      </c>
      <c r="K1297" s="12" t="s">
        <v>24</v>
      </c>
    </row>
    <row r="1298" spans="1:11" ht="40.049999999999997" customHeight="1" x14ac:dyDescent="0.25">
      <c r="A1298" s="11" t="s">
        <v>3057</v>
      </c>
      <c r="B1298" s="11" t="s">
        <v>3057</v>
      </c>
      <c r="C1298" s="11" t="s">
        <v>59</v>
      </c>
      <c r="D1298" s="11" t="s">
        <v>60</v>
      </c>
      <c r="E1298" s="12" t="s">
        <v>2650</v>
      </c>
      <c r="F1298" s="12" t="s">
        <v>2651</v>
      </c>
      <c r="G1298" s="12" t="s">
        <v>40</v>
      </c>
      <c r="H1298" s="11" t="s">
        <v>63</v>
      </c>
      <c r="I1298" s="13" t="s">
        <v>3074</v>
      </c>
      <c r="J1298" s="14" t="str">
        <f>HYPERLINK("https://www.boe.es/gazeta/dias/1839/09/15/pdfs/GMD-1839-1768.pdf#page=2","Abrir facsímil")</f>
        <v>Abrir facsímil</v>
      </c>
      <c r="K1298" s="12" t="s">
        <v>65</v>
      </c>
    </row>
    <row r="1299" spans="1:11" ht="40.049999999999997" customHeight="1" x14ac:dyDescent="0.25">
      <c r="A1299" s="11" t="s">
        <v>3057</v>
      </c>
      <c r="B1299" s="11" t="s">
        <v>3057</v>
      </c>
      <c r="C1299" s="11" t="s">
        <v>137</v>
      </c>
      <c r="D1299" s="11" t="s">
        <v>18</v>
      </c>
      <c r="E1299" s="12" t="s">
        <v>1236</v>
      </c>
      <c r="F1299" s="12" t="s">
        <v>1237</v>
      </c>
      <c r="G1299" s="12" t="s">
        <v>40</v>
      </c>
      <c r="H1299" s="11" t="s">
        <v>63</v>
      </c>
      <c r="I1299" s="13" t="s">
        <v>3075</v>
      </c>
      <c r="J1299" s="14" t="str">
        <f>HYPERLINK("https://www.boe.es/gazeta/dias/1839/10/16/pdfs/GMD-1839-1802.pdf#page=2","Abrir facsímil")</f>
        <v>Abrir facsímil</v>
      </c>
      <c r="K1299" s="12" t="s">
        <v>65</v>
      </c>
    </row>
    <row r="1300" spans="1:11" ht="40.049999999999997" customHeight="1" x14ac:dyDescent="0.25">
      <c r="A1300" s="11" t="s">
        <v>3057</v>
      </c>
      <c r="B1300" s="11" t="s">
        <v>3057</v>
      </c>
      <c r="C1300" s="11" t="s">
        <v>59</v>
      </c>
      <c r="D1300" s="11" t="s">
        <v>60</v>
      </c>
      <c r="E1300" s="12" t="s">
        <v>233</v>
      </c>
      <c r="F1300" s="12" t="s">
        <v>234</v>
      </c>
      <c r="G1300" s="12" t="s">
        <v>21</v>
      </c>
      <c r="H1300" s="11" t="s">
        <v>63</v>
      </c>
      <c r="I1300" s="13" t="s">
        <v>3076</v>
      </c>
      <c r="J1300" s="14" t="str">
        <f>HYPERLINK("https://www.boe.es/gazeta/dias/1839/09/17/pdfs/GMD-1839-1770.pdf#page=4","Abrir facsímil")</f>
        <v>Abrir facsímil</v>
      </c>
      <c r="K1300" s="12" t="s">
        <v>65</v>
      </c>
    </row>
    <row r="1301" spans="1:11" ht="40.049999999999997" customHeight="1" x14ac:dyDescent="0.25">
      <c r="A1301" s="11" t="s">
        <v>3057</v>
      </c>
      <c r="B1301" s="11" t="s">
        <v>3057</v>
      </c>
      <c r="C1301" s="11" t="s">
        <v>101</v>
      </c>
      <c r="D1301" s="11" t="s">
        <v>43</v>
      </c>
      <c r="E1301" s="12" t="s">
        <v>564</v>
      </c>
      <c r="F1301" s="12" t="s">
        <v>565</v>
      </c>
      <c r="G1301" s="12" t="s">
        <v>46</v>
      </c>
      <c r="H1301" s="11" t="s">
        <v>63</v>
      </c>
      <c r="I1301" s="13" t="s">
        <v>3077</v>
      </c>
      <c r="J1301" s="14" t="str">
        <f>HYPERLINK("https://www.boe.es/gazeta/dias/1839/10/17/pdfs/GMD-1839-1803.pdf#page=3","Abrir facsímil")</f>
        <v>Abrir facsímil</v>
      </c>
      <c r="K1301" s="12" t="s">
        <v>65</v>
      </c>
    </row>
    <row r="1302" spans="1:11" ht="40.049999999999997" customHeight="1" x14ac:dyDescent="0.25">
      <c r="A1302" s="11" t="s">
        <v>3057</v>
      </c>
      <c r="B1302" s="11" t="s">
        <v>3057</v>
      </c>
      <c r="C1302" s="11" t="s">
        <v>17</v>
      </c>
      <c r="D1302" s="11" t="s">
        <v>18</v>
      </c>
      <c r="E1302" s="12" t="s">
        <v>564</v>
      </c>
      <c r="F1302" s="12" t="s">
        <v>565</v>
      </c>
      <c r="G1302" s="12" t="s">
        <v>21</v>
      </c>
      <c r="H1302" s="11" t="s">
        <v>63</v>
      </c>
      <c r="I1302" s="13" t="s">
        <v>3078</v>
      </c>
      <c r="J1302" s="14" t="str">
        <f>HYPERLINK("https://www.boe.es/gazeta/dias/1839/10/17/pdfs/GMD-1839-1803.pdf#page=4","Abrir facsímil")</f>
        <v>Abrir facsímil</v>
      </c>
      <c r="K1302" s="12" t="s">
        <v>65</v>
      </c>
    </row>
    <row r="1303" spans="1:11" ht="40.049999999999997" customHeight="1" x14ac:dyDescent="0.25">
      <c r="A1303" s="11" t="s">
        <v>3057</v>
      </c>
      <c r="B1303" s="11" t="s">
        <v>3057</v>
      </c>
      <c r="C1303" s="11" t="s">
        <v>101</v>
      </c>
      <c r="D1303" s="11" t="s">
        <v>43</v>
      </c>
      <c r="E1303" s="12" t="s">
        <v>564</v>
      </c>
      <c r="F1303" s="12" t="s">
        <v>565</v>
      </c>
      <c r="G1303" s="12" t="s">
        <v>566</v>
      </c>
      <c r="H1303" s="11" t="s">
        <v>63</v>
      </c>
      <c r="I1303" s="13" t="s">
        <v>3079</v>
      </c>
      <c r="J1303" s="14" t="str">
        <f>HYPERLINK("https://www.boe.es/gazeta/dias/1839/10/17/pdfs/GMD-1839-1803.pdf#page=5","Abrir facsímil")</f>
        <v>Abrir facsímil</v>
      </c>
      <c r="K1303" s="12" t="s">
        <v>65</v>
      </c>
    </row>
    <row r="1304" spans="1:11" ht="40.049999999999997" customHeight="1" x14ac:dyDescent="0.25">
      <c r="A1304" s="11" t="s">
        <v>3062</v>
      </c>
      <c r="B1304" s="11" t="s">
        <v>3062</v>
      </c>
      <c r="C1304" s="11" t="s">
        <v>17</v>
      </c>
      <c r="D1304" s="11" t="s">
        <v>18</v>
      </c>
      <c r="E1304" s="12" t="s">
        <v>2222</v>
      </c>
      <c r="F1304" s="12" t="s">
        <v>2223</v>
      </c>
      <c r="G1304" s="12" t="s">
        <v>46</v>
      </c>
      <c r="H1304" s="11" t="s">
        <v>22</v>
      </c>
      <c r="I1304" s="13" t="s">
        <v>3080</v>
      </c>
      <c r="J1304" s="14" t="str">
        <f>HYPERLINK("https://www.boe.es/gazeta/dias/1839/09/19/pdfs/GMD-1839-1773.pdf#page=3","Abrir facsímil")</f>
        <v>Abrir facsímil</v>
      </c>
      <c r="K1304" s="12" t="s">
        <v>24</v>
      </c>
    </row>
    <row r="1305" spans="1:11" ht="40.049999999999997" customHeight="1" x14ac:dyDescent="0.25">
      <c r="A1305" s="11" t="s">
        <v>3057</v>
      </c>
      <c r="B1305" s="11" t="s">
        <v>3057</v>
      </c>
      <c r="C1305" s="11" t="s">
        <v>17</v>
      </c>
      <c r="D1305" s="11" t="s">
        <v>18</v>
      </c>
      <c r="E1305" s="12" t="s">
        <v>821</v>
      </c>
      <c r="F1305" s="12" t="s">
        <v>822</v>
      </c>
      <c r="G1305" s="12" t="s">
        <v>21</v>
      </c>
      <c r="H1305" s="11" t="s">
        <v>63</v>
      </c>
      <c r="I1305" s="13" t="s">
        <v>3081</v>
      </c>
      <c r="J1305" s="14" t="str">
        <f>HYPERLINK("https://www.boe.es/gazeta/dias/1839/09/20/pdfs/GMD-1839-1775.pdf#page=4","Abrir facsímil")</f>
        <v>Abrir facsímil</v>
      </c>
      <c r="K1305" s="12" t="s">
        <v>65</v>
      </c>
    </row>
    <row r="1306" spans="1:11" ht="40.049999999999997" customHeight="1" x14ac:dyDescent="0.25">
      <c r="A1306" s="11" t="s">
        <v>3057</v>
      </c>
      <c r="B1306" s="11" t="s">
        <v>3057</v>
      </c>
      <c r="C1306" s="11" t="s">
        <v>101</v>
      </c>
      <c r="D1306" s="11" t="s">
        <v>43</v>
      </c>
      <c r="E1306" s="12" t="s">
        <v>1108</v>
      </c>
      <c r="F1306" s="12" t="s">
        <v>1109</v>
      </c>
      <c r="G1306" s="12" t="s">
        <v>46</v>
      </c>
      <c r="H1306" s="11" t="s">
        <v>63</v>
      </c>
      <c r="I1306" s="13" t="s">
        <v>3082</v>
      </c>
      <c r="J1306" s="14" t="str">
        <f>HYPERLINK("https://www.boe.es/gazeta/dias/1839/09/21/pdfs/GMD-1839-1776.pdf#page=3","Abrir facsímil")</f>
        <v>Abrir facsímil</v>
      </c>
      <c r="K1306" s="12" t="s">
        <v>65</v>
      </c>
    </row>
    <row r="1307" spans="1:11" ht="40.049999999999997" customHeight="1" x14ac:dyDescent="0.25">
      <c r="A1307" s="11" t="s">
        <v>3057</v>
      </c>
      <c r="B1307" s="11" t="s">
        <v>3057</v>
      </c>
      <c r="C1307" s="11" t="s">
        <v>17</v>
      </c>
      <c r="D1307" s="11" t="s">
        <v>18</v>
      </c>
      <c r="E1307" s="12" t="s">
        <v>1108</v>
      </c>
      <c r="F1307" s="12" t="s">
        <v>1109</v>
      </c>
      <c r="G1307" s="12" t="s">
        <v>21</v>
      </c>
      <c r="H1307" s="11" t="s">
        <v>63</v>
      </c>
      <c r="I1307" s="13" t="s">
        <v>3083</v>
      </c>
      <c r="J1307" s="14" t="str">
        <f>HYPERLINK("https://www.boe.es/gazeta/dias/1839/09/21/pdfs/GMD-1839-1776.pdf#page=4","Abrir facsímil")</f>
        <v>Abrir facsímil</v>
      </c>
      <c r="K1307" s="12" t="s">
        <v>65</v>
      </c>
    </row>
    <row r="1308" spans="1:11" ht="40.049999999999997" customHeight="1" x14ac:dyDescent="0.25">
      <c r="A1308" s="11" t="s">
        <v>3062</v>
      </c>
      <c r="B1308" s="11" t="s">
        <v>3062</v>
      </c>
      <c r="C1308" s="11" t="s">
        <v>137</v>
      </c>
      <c r="D1308" s="11" t="s">
        <v>18</v>
      </c>
      <c r="E1308" s="12" t="s">
        <v>596</v>
      </c>
      <c r="F1308" s="12" t="s">
        <v>597</v>
      </c>
      <c r="G1308" s="12" t="s">
        <v>21</v>
      </c>
      <c r="H1308" s="11" t="s">
        <v>22</v>
      </c>
      <c r="I1308" s="13" t="s">
        <v>3084</v>
      </c>
      <c r="J1308" s="14" t="str">
        <f>HYPERLINK("https://www.boe.es/gazeta/dias/1839/01/23/pdfs/GMD-1839-1530.pdf#page=4","Abrir facsímil")</f>
        <v>Abrir facsímil</v>
      </c>
      <c r="K1308" s="12" t="s">
        <v>24</v>
      </c>
    </row>
    <row r="1309" spans="1:11" ht="40.049999999999997" customHeight="1" x14ac:dyDescent="0.25">
      <c r="A1309" s="11" t="s">
        <v>3062</v>
      </c>
      <c r="B1309" s="11" t="s">
        <v>3062</v>
      </c>
      <c r="C1309" s="11" t="s">
        <v>101</v>
      </c>
      <c r="D1309" s="11" t="s">
        <v>43</v>
      </c>
      <c r="E1309" s="12" t="s">
        <v>826</v>
      </c>
      <c r="F1309" s="12" t="s">
        <v>827</v>
      </c>
      <c r="G1309" s="12" t="s">
        <v>46</v>
      </c>
      <c r="H1309" s="11" t="s">
        <v>22</v>
      </c>
      <c r="I1309" s="13" t="s">
        <v>3085</v>
      </c>
      <c r="J1309" s="14" t="str">
        <f>HYPERLINK("https://www.boe.es/gazeta/dias/1839/09/25/pdfs/GMD-1839-1781.pdf#page=3","Abrir facsímil")</f>
        <v>Abrir facsímil</v>
      </c>
      <c r="K1309" s="12" t="s">
        <v>24</v>
      </c>
    </row>
    <row r="1310" spans="1:11" ht="40.049999999999997" customHeight="1" x14ac:dyDescent="0.25">
      <c r="A1310" s="11" t="s">
        <v>3057</v>
      </c>
      <c r="B1310" s="11" t="s">
        <v>3057</v>
      </c>
      <c r="C1310" s="11" t="s">
        <v>101</v>
      </c>
      <c r="D1310" s="11" t="s">
        <v>43</v>
      </c>
      <c r="E1310" s="12" t="s">
        <v>723</v>
      </c>
      <c r="F1310" s="12" t="s">
        <v>724</v>
      </c>
      <c r="G1310" s="12" t="s">
        <v>46</v>
      </c>
      <c r="H1310" s="11" t="s">
        <v>63</v>
      </c>
      <c r="I1310" s="13" t="s">
        <v>3086</v>
      </c>
      <c r="J1310" s="14" t="str">
        <f>HYPERLINK("https://www.boe.es/gazeta/dias/1839/09/26/pdfs/GMD-1839-1782.pdf#page=3","Abrir facsímil")</f>
        <v>Abrir facsímil</v>
      </c>
      <c r="K1310" s="12" t="s">
        <v>65</v>
      </c>
    </row>
    <row r="1311" spans="1:11" ht="40.049999999999997" customHeight="1" x14ac:dyDescent="0.25">
      <c r="A1311" s="11" t="s">
        <v>3057</v>
      </c>
      <c r="B1311" s="11" t="s">
        <v>3057</v>
      </c>
      <c r="C1311" s="11" t="s">
        <v>17</v>
      </c>
      <c r="D1311" s="11" t="s">
        <v>18</v>
      </c>
      <c r="E1311" s="12" t="s">
        <v>571</v>
      </c>
      <c r="F1311" s="12" t="s">
        <v>572</v>
      </c>
      <c r="G1311" s="12" t="s">
        <v>46</v>
      </c>
      <c r="H1311" s="11" t="s">
        <v>63</v>
      </c>
      <c r="I1311" s="13" t="s">
        <v>3087</v>
      </c>
      <c r="J1311" s="14" t="str">
        <f>HYPERLINK("https://www.boe.es/gazeta/dias/1839/09/27/pdfs/GMD-1839-1783.pdf#page=3","Abrir facsímil")</f>
        <v>Abrir facsímil</v>
      </c>
      <c r="K1311" s="12" t="s">
        <v>65</v>
      </c>
    </row>
    <row r="1312" spans="1:11" ht="40.049999999999997" customHeight="1" x14ac:dyDescent="0.25">
      <c r="A1312" s="11" t="s">
        <v>3057</v>
      </c>
      <c r="B1312" s="11" t="s">
        <v>3057</v>
      </c>
      <c r="C1312" s="11" t="s">
        <v>101</v>
      </c>
      <c r="D1312" s="11" t="s">
        <v>43</v>
      </c>
      <c r="E1312" s="12" t="s">
        <v>571</v>
      </c>
      <c r="F1312" s="12" t="s">
        <v>572</v>
      </c>
      <c r="G1312" s="12" t="s">
        <v>21</v>
      </c>
      <c r="H1312" s="11" t="s">
        <v>63</v>
      </c>
      <c r="I1312" s="13" t="s">
        <v>3088</v>
      </c>
      <c r="J1312" s="14" t="str">
        <f>HYPERLINK("https://www.boe.es/gazeta/dias/1839/09/27/pdfs/GMD-1839-1783.pdf#page=4","Abrir facsímil")</f>
        <v>Abrir facsímil</v>
      </c>
      <c r="K1312" s="12" t="s">
        <v>65</v>
      </c>
    </row>
    <row r="1313" spans="1:11" ht="40.049999999999997" customHeight="1" x14ac:dyDescent="0.25">
      <c r="A1313" s="11" t="s">
        <v>3057</v>
      </c>
      <c r="B1313" s="11" t="s">
        <v>3057</v>
      </c>
      <c r="C1313" s="11" t="s">
        <v>137</v>
      </c>
      <c r="D1313" s="11" t="s">
        <v>18</v>
      </c>
      <c r="E1313" s="12" t="s">
        <v>574</v>
      </c>
      <c r="F1313" s="12" t="s">
        <v>575</v>
      </c>
      <c r="G1313" s="12" t="s">
        <v>40</v>
      </c>
      <c r="H1313" s="11" t="s">
        <v>63</v>
      </c>
      <c r="I1313" s="13" t="s">
        <v>3089</v>
      </c>
      <c r="J1313" s="14" t="str">
        <f>HYPERLINK("https://www.boe.es/gazeta/dias/1839/09/28/pdfs/GMD-1839-1784.pdf#page=2","Abrir facsímil")</f>
        <v>Abrir facsímil</v>
      </c>
      <c r="K1313" s="12" t="s">
        <v>65</v>
      </c>
    </row>
    <row r="1314" spans="1:11" ht="40.049999999999997" customHeight="1" x14ac:dyDescent="0.25">
      <c r="A1314" s="11" t="s">
        <v>3062</v>
      </c>
      <c r="B1314" s="11" t="s">
        <v>3062</v>
      </c>
      <c r="C1314" s="11" t="s">
        <v>17</v>
      </c>
      <c r="D1314" s="11" t="s">
        <v>18</v>
      </c>
      <c r="E1314" s="12" t="s">
        <v>2349</v>
      </c>
      <c r="F1314" s="12" t="s">
        <v>2350</v>
      </c>
      <c r="G1314" s="12" t="s">
        <v>46</v>
      </c>
      <c r="H1314" s="11" t="s">
        <v>22</v>
      </c>
      <c r="I1314" s="13" t="s">
        <v>3090</v>
      </c>
      <c r="J1314" s="14" t="str">
        <f>HYPERLINK("https://www.boe.es/gazeta/dias/1839/09/29/pdfs/GMD-1839-1785.pdf#page=3","Abrir facsímil")</f>
        <v>Abrir facsímil</v>
      </c>
      <c r="K1314" s="12" t="s">
        <v>24</v>
      </c>
    </row>
    <row r="1315" spans="1:11" ht="40.049999999999997" customHeight="1" x14ac:dyDescent="0.25">
      <c r="A1315" s="11" t="s">
        <v>3091</v>
      </c>
      <c r="B1315" s="11" t="s">
        <v>3092</v>
      </c>
      <c r="C1315" s="11" t="s">
        <v>17</v>
      </c>
      <c r="D1315" s="11" t="s">
        <v>43</v>
      </c>
      <c r="E1315" s="12" t="s">
        <v>303</v>
      </c>
      <c r="F1315" s="12" t="s">
        <v>304</v>
      </c>
      <c r="G1315" s="12" t="s">
        <v>305</v>
      </c>
      <c r="H1315" s="11" t="s">
        <v>63</v>
      </c>
      <c r="I1315" s="13" t="s">
        <v>3093</v>
      </c>
      <c r="J1315" s="14" t="str">
        <f>HYPERLINK("https://www.boe.es/gazeta/dias/1839/10/06/pdfs/GMD-1839-1792.pdf#page=6","Abrir facsímil")</f>
        <v>Abrir facsímil</v>
      </c>
      <c r="K1315" s="12" t="s">
        <v>65</v>
      </c>
    </row>
    <row r="1316" spans="1:11" ht="40.049999999999997" customHeight="1" x14ac:dyDescent="0.25">
      <c r="A1316" s="11" t="s">
        <v>3091</v>
      </c>
      <c r="B1316" s="11" t="s">
        <v>3092</v>
      </c>
      <c r="C1316" s="11" t="s">
        <v>17</v>
      </c>
      <c r="D1316" s="11" t="s">
        <v>43</v>
      </c>
      <c r="E1316" s="12" t="s">
        <v>272</v>
      </c>
      <c r="F1316" s="12" t="s">
        <v>273</v>
      </c>
      <c r="G1316" s="12" t="s">
        <v>21</v>
      </c>
      <c r="H1316" s="11" t="s">
        <v>63</v>
      </c>
      <c r="I1316" s="13" t="s">
        <v>3094</v>
      </c>
      <c r="J1316" s="14" t="str">
        <f>HYPERLINK("https://www.boe.es/gazeta/dias/1839/02/12/pdfs/GMD-1839-1550.pdf#page=4","Abrir facsímil")</f>
        <v>Abrir facsímil</v>
      </c>
      <c r="K1316" s="12" t="s">
        <v>65</v>
      </c>
    </row>
    <row r="1317" spans="1:11" ht="40.049999999999997" customHeight="1" x14ac:dyDescent="0.25">
      <c r="A1317" s="11" t="s">
        <v>3091</v>
      </c>
      <c r="B1317" s="11" t="s">
        <v>3092</v>
      </c>
      <c r="C1317" s="11" t="s">
        <v>101</v>
      </c>
      <c r="D1317" s="11" t="s">
        <v>43</v>
      </c>
      <c r="E1317" s="12" t="s">
        <v>568</v>
      </c>
      <c r="F1317" s="12" t="s">
        <v>569</v>
      </c>
      <c r="G1317" s="12" t="s">
        <v>21</v>
      </c>
      <c r="H1317" s="11" t="s">
        <v>63</v>
      </c>
      <c r="I1317" s="13" t="s">
        <v>3095</v>
      </c>
      <c r="J1317" s="14" t="str">
        <f>HYPERLINK("https://www.boe.es/gazeta/dias/1839/10/23/pdfs/GMD-1839-1809.pdf#page=4","Abrir facsímil")</f>
        <v>Abrir facsímil</v>
      </c>
      <c r="K1317" s="12" t="s">
        <v>65</v>
      </c>
    </row>
    <row r="1318" spans="1:11" ht="40.049999999999997" customHeight="1" x14ac:dyDescent="0.25">
      <c r="A1318" s="11" t="s">
        <v>3096</v>
      </c>
      <c r="B1318" s="11" t="s">
        <v>3097</v>
      </c>
      <c r="C1318" s="11" t="s">
        <v>59</v>
      </c>
      <c r="D1318" s="11" t="s">
        <v>60</v>
      </c>
      <c r="E1318" s="12" t="s">
        <v>369</v>
      </c>
      <c r="F1318" s="12" t="s">
        <v>370</v>
      </c>
      <c r="G1318" s="12" t="s">
        <v>46</v>
      </c>
      <c r="H1318" s="11" t="s">
        <v>63</v>
      </c>
      <c r="I1318" s="13" t="s">
        <v>3098</v>
      </c>
      <c r="J1318" s="14" t="str">
        <f>HYPERLINK("https://www.boe.es/gazeta/dias/1839/11/01/pdfs/GMD-1839-1818.pdf#page=3","Abrir facsímil")</f>
        <v>Abrir facsímil</v>
      </c>
      <c r="K1318" s="12" t="s">
        <v>65</v>
      </c>
    </row>
    <row r="1319" spans="1:11" ht="40.049999999999997" customHeight="1" x14ac:dyDescent="0.25">
      <c r="A1319" s="11" t="s">
        <v>3099</v>
      </c>
      <c r="B1319" s="11" t="s">
        <v>3100</v>
      </c>
      <c r="C1319" s="11" t="s">
        <v>17</v>
      </c>
      <c r="D1319" s="11" t="s">
        <v>18</v>
      </c>
      <c r="E1319" s="12" t="s">
        <v>1108</v>
      </c>
      <c r="F1319" s="12" t="s">
        <v>1109</v>
      </c>
      <c r="G1319" s="12" t="s">
        <v>21</v>
      </c>
      <c r="H1319" s="11" t="s">
        <v>63</v>
      </c>
      <c r="I1319" s="13" t="s">
        <v>3101</v>
      </c>
      <c r="J1319" s="14" t="str">
        <f>HYPERLINK("https://www.boe.es/gazeta/dias/1839/09/21/pdfs/GMD-1839-1776.pdf#page=4","Abrir facsímil")</f>
        <v>Abrir facsímil</v>
      </c>
      <c r="K1319" s="12" t="s">
        <v>65</v>
      </c>
    </row>
    <row r="1320" spans="1:11" ht="40.049999999999997" customHeight="1" x14ac:dyDescent="0.25">
      <c r="A1320" s="11" t="s">
        <v>3102</v>
      </c>
      <c r="B1320" s="11" t="s">
        <v>3102</v>
      </c>
      <c r="C1320" s="11" t="s">
        <v>137</v>
      </c>
      <c r="D1320" s="11" t="s">
        <v>18</v>
      </c>
      <c r="E1320" s="12" t="s">
        <v>61</v>
      </c>
      <c r="F1320" s="12" t="s">
        <v>62</v>
      </c>
      <c r="G1320" s="12" t="s">
        <v>40</v>
      </c>
      <c r="H1320" s="11" t="s">
        <v>63</v>
      </c>
      <c r="I1320" s="13" t="s">
        <v>3103</v>
      </c>
      <c r="J1320" s="14" t="str">
        <f>HYPERLINK("https://www.boe.es/gazeta/dias/1839/09/10/pdfs/GMD-1839-1763.pdf#page=2","Abrir facsímil")</f>
        <v>Abrir facsímil</v>
      </c>
      <c r="K1320" s="12" t="s">
        <v>65</v>
      </c>
    </row>
    <row r="1321" spans="1:11" ht="40.049999999999997" customHeight="1" x14ac:dyDescent="0.25">
      <c r="A1321" s="11" t="s">
        <v>3104</v>
      </c>
      <c r="B1321" s="11" t="s">
        <v>3104</v>
      </c>
      <c r="C1321" s="11" t="s">
        <v>17</v>
      </c>
      <c r="D1321" s="11" t="s">
        <v>18</v>
      </c>
      <c r="E1321" s="12" t="s">
        <v>1008</v>
      </c>
      <c r="F1321" s="12" t="s">
        <v>1009</v>
      </c>
      <c r="G1321" s="12" t="s">
        <v>46</v>
      </c>
      <c r="H1321" s="11" t="s">
        <v>22</v>
      </c>
      <c r="I1321" s="13" t="s">
        <v>3105</v>
      </c>
      <c r="J1321" s="14" t="str">
        <f>HYPERLINK("https://www.boe.es/gazeta/dias/1839/09/07/pdfs/GMD-1839-1760.pdf#page=3","Abrir facsímil")</f>
        <v>Abrir facsímil</v>
      </c>
      <c r="K1321" s="12" t="s">
        <v>24</v>
      </c>
    </row>
    <row r="1322" spans="1:11" ht="40.049999999999997" customHeight="1" x14ac:dyDescent="0.25">
      <c r="A1322" s="11" t="s">
        <v>3106</v>
      </c>
      <c r="B1322" s="11" t="s">
        <v>3106</v>
      </c>
      <c r="C1322" s="11" t="s">
        <v>17</v>
      </c>
      <c r="D1322" s="11" t="s">
        <v>18</v>
      </c>
      <c r="E1322" s="12" t="s">
        <v>1100</v>
      </c>
      <c r="F1322" s="12" t="s">
        <v>1101</v>
      </c>
      <c r="G1322" s="12" t="s">
        <v>40</v>
      </c>
      <c r="H1322" s="11" t="s">
        <v>22</v>
      </c>
      <c r="I1322" s="13" t="s">
        <v>3107</v>
      </c>
      <c r="J1322" s="14" t="str">
        <f>HYPERLINK("https://www.boe.es/gazeta/dias/1839/09/13/pdfs/GMD-1839-1766.pdf#page=2","Abrir facsímil")</f>
        <v>Abrir facsímil</v>
      </c>
      <c r="K1322" s="12" t="s">
        <v>24</v>
      </c>
    </row>
    <row r="1323" spans="1:11" ht="40.049999999999997" customHeight="1" x14ac:dyDescent="0.25">
      <c r="A1323" s="11" t="s">
        <v>3106</v>
      </c>
      <c r="B1323" s="11" t="s">
        <v>3106</v>
      </c>
      <c r="C1323" s="11" t="s">
        <v>101</v>
      </c>
      <c r="D1323" s="11" t="s">
        <v>43</v>
      </c>
      <c r="E1323" s="12" t="s">
        <v>723</v>
      </c>
      <c r="F1323" s="12" t="s">
        <v>724</v>
      </c>
      <c r="G1323" s="12" t="s">
        <v>40</v>
      </c>
      <c r="H1323" s="11" t="s">
        <v>22</v>
      </c>
      <c r="I1323" s="13" t="s">
        <v>3108</v>
      </c>
      <c r="J1323" s="14" t="str">
        <f>HYPERLINK("https://www.boe.es/gazeta/dias/1839/09/26/pdfs/GMD-1839-1782.pdf#page=2","Abrir facsímil")</f>
        <v>Abrir facsímil</v>
      </c>
      <c r="K1323" s="12" t="s">
        <v>24</v>
      </c>
    </row>
    <row r="1324" spans="1:11" ht="40.049999999999997" customHeight="1" x14ac:dyDescent="0.25">
      <c r="A1324" s="11" t="s">
        <v>3106</v>
      </c>
      <c r="B1324" s="11" t="s">
        <v>3106</v>
      </c>
      <c r="C1324" s="11" t="s">
        <v>101</v>
      </c>
      <c r="D1324" s="11" t="s">
        <v>43</v>
      </c>
      <c r="E1324" s="12" t="s">
        <v>571</v>
      </c>
      <c r="F1324" s="12" t="s">
        <v>572</v>
      </c>
      <c r="G1324" s="12" t="s">
        <v>46</v>
      </c>
      <c r="H1324" s="11" t="s">
        <v>22</v>
      </c>
      <c r="I1324" s="13" t="s">
        <v>3109</v>
      </c>
      <c r="J1324" s="14" t="str">
        <f>HYPERLINK("https://www.boe.es/gazeta/dias/1839/09/27/pdfs/GMD-1839-1783.pdf#page=3","Abrir facsímil")</f>
        <v>Abrir facsímil</v>
      </c>
      <c r="K1324" s="12" t="s">
        <v>24</v>
      </c>
    </row>
    <row r="1325" spans="1:11" ht="40.049999999999997" customHeight="1" x14ac:dyDescent="0.25">
      <c r="A1325" s="11" t="s">
        <v>3110</v>
      </c>
      <c r="B1325" s="11" t="s">
        <v>3111</v>
      </c>
      <c r="C1325" s="11" t="s">
        <v>101</v>
      </c>
      <c r="D1325" s="11" t="s">
        <v>102</v>
      </c>
      <c r="E1325" s="12" t="s">
        <v>817</v>
      </c>
      <c r="F1325" s="12" t="s">
        <v>818</v>
      </c>
      <c r="G1325" s="12" t="s">
        <v>21</v>
      </c>
      <c r="H1325" s="11" t="s">
        <v>63</v>
      </c>
      <c r="I1325" s="13" t="s">
        <v>3112</v>
      </c>
      <c r="J1325" s="14" t="str">
        <f>HYPERLINK("https://www.boe.es/gazeta/dias/1839/05/28/pdfs/GMD-1839-1655.pdf#page=4","Abrir facsímil")</f>
        <v>Abrir facsímil</v>
      </c>
      <c r="K1325" s="12" t="s">
        <v>65</v>
      </c>
    </row>
    <row r="1326" spans="1:11" ht="40.049999999999997" customHeight="1" x14ac:dyDescent="0.25">
      <c r="A1326" s="11" t="s">
        <v>3113</v>
      </c>
      <c r="B1326" s="11" t="s">
        <v>3113</v>
      </c>
      <c r="C1326" s="11" t="s">
        <v>17</v>
      </c>
      <c r="D1326" s="11" t="s">
        <v>18</v>
      </c>
      <c r="E1326" s="12" t="s">
        <v>3114</v>
      </c>
      <c r="F1326" s="12" t="s">
        <v>3115</v>
      </c>
      <c r="G1326" s="12" t="s">
        <v>40</v>
      </c>
      <c r="H1326" s="11" t="s">
        <v>63</v>
      </c>
      <c r="I1326" s="13" t="s">
        <v>3116</v>
      </c>
      <c r="J1326" s="14" t="str">
        <f>HYPERLINK("https://www.boe.es/gazeta/dias/1839/05/15/pdfs/GMD-1839-1642.pdf#page=2","Abrir facsímil")</f>
        <v>Abrir facsímil</v>
      </c>
      <c r="K1326" s="12" t="s">
        <v>65</v>
      </c>
    </row>
    <row r="1327" spans="1:11" ht="40.049999999999997" customHeight="1" x14ac:dyDescent="0.25">
      <c r="A1327" s="11" t="s">
        <v>3117</v>
      </c>
      <c r="B1327" s="11" t="s">
        <v>3118</v>
      </c>
      <c r="C1327" s="11" t="s">
        <v>17</v>
      </c>
      <c r="D1327" s="11" t="s">
        <v>18</v>
      </c>
      <c r="E1327" s="12" t="s">
        <v>1672</v>
      </c>
      <c r="F1327" s="12" t="s">
        <v>1673</v>
      </c>
      <c r="G1327" s="12" t="s">
        <v>21</v>
      </c>
      <c r="H1327" s="11" t="s">
        <v>63</v>
      </c>
      <c r="I1327" s="13" t="s">
        <v>3119</v>
      </c>
      <c r="J1327" s="14" t="str">
        <f>HYPERLINK("https://www.boe.es/gazeta/dias/1839/08/24/pdfs/GMD-1839-1745.pdf#page=4","Abrir facsímil")</f>
        <v>Abrir facsímil</v>
      </c>
      <c r="K1327" s="12" t="s">
        <v>65</v>
      </c>
    </row>
    <row r="1328" spans="1:11" ht="40.049999999999997" customHeight="1" x14ac:dyDescent="0.25">
      <c r="A1328" s="11" t="s">
        <v>3120</v>
      </c>
      <c r="B1328" s="11" t="s">
        <v>3121</v>
      </c>
      <c r="C1328" s="11" t="s">
        <v>17</v>
      </c>
      <c r="D1328" s="11" t="s">
        <v>18</v>
      </c>
      <c r="E1328" s="12" t="s">
        <v>2138</v>
      </c>
      <c r="F1328" s="12" t="s">
        <v>2139</v>
      </c>
      <c r="G1328" s="12" t="s">
        <v>305</v>
      </c>
      <c r="H1328" s="11" t="s">
        <v>63</v>
      </c>
      <c r="I1328" s="13" t="s">
        <v>3122</v>
      </c>
      <c r="J1328" s="14" t="str">
        <f>HYPERLINK("https://www.boe.es/gazeta/dias/1839/10/02/pdfs/GMD-1839-1788.pdf#page=6","Abrir facsímil")</f>
        <v>Abrir facsímil</v>
      </c>
      <c r="K1328" s="12" t="s">
        <v>65</v>
      </c>
    </row>
    <row r="1329" spans="1:11" ht="40.049999999999997" customHeight="1" x14ac:dyDescent="0.25">
      <c r="A1329" s="11" t="s">
        <v>3123</v>
      </c>
      <c r="B1329" s="11" t="s">
        <v>3123</v>
      </c>
      <c r="C1329" s="11" t="s">
        <v>59</v>
      </c>
      <c r="D1329" s="11" t="s">
        <v>60</v>
      </c>
      <c r="E1329" s="12" t="s">
        <v>848</v>
      </c>
      <c r="F1329" s="12" t="s">
        <v>849</v>
      </c>
      <c r="G1329" s="12" t="s">
        <v>46</v>
      </c>
      <c r="H1329" s="11" t="s">
        <v>63</v>
      </c>
      <c r="I1329" s="13" t="s">
        <v>3124</v>
      </c>
      <c r="J1329" s="14" t="str">
        <f>HYPERLINK("https://www.boe.es/gazeta/dias/1839/08/04/pdfs/GMD-1839-1724.pdf#page=3","Abrir facsímil")</f>
        <v>Abrir facsímil</v>
      </c>
      <c r="K1329" s="12" t="s">
        <v>65</v>
      </c>
    </row>
    <row r="1330" spans="1:11" ht="40.049999999999997" customHeight="1" x14ac:dyDescent="0.25">
      <c r="A1330" s="11" t="s">
        <v>3125</v>
      </c>
      <c r="B1330" s="11" t="s">
        <v>3125</v>
      </c>
      <c r="C1330" s="11" t="s">
        <v>80</v>
      </c>
      <c r="D1330" s="11" t="s">
        <v>18</v>
      </c>
      <c r="E1330" s="12" t="s">
        <v>677</v>
      </c>
      <c r="F1330" s="12" t="s">
        <v>678</v>
      </c>
      <c r="G1330" s="12" t="s">
        <v>21</v>
      </c>
      <c r="H1330" s="11" t="s">
        <v>63</v>
      </c>
      <c r="I1330" s="13" t="s">
        <v>3126</v>
      </c>
      <c r="J1330" s="14" t="str">
        <f>HYPERLINK("https://www.boe.es/gazeta/dias/1839/04/28/pdfs/GMD-1839-1625.pdf#page=4","Abrir facsímil")</f>
        <v>Abrir facsímil</v>
      </c>
      <c r="K1330" s="12" t="s">
        <v>65</v>
      </c>
    </row>
    <row r="1331" spans="1:11" ht="40.049999999999997" customHeight="1" x14ac:dyDescent="0.25">
      <c r="A1331" s="11" t="s">
        <v>3127</v>
      </c>
      <c r="B1331" s="11" t="s">
        <v>3128</v>
      </c>
      <c r="C1331" s="11" t="s">
        <v>17</v>
      </c>
      <c r="D1331" s="11" t="s">
        <v>18</v>
      </c>
      <c r="E1331" s="12" t="s">
        <v>1628</v>
      </c>
      <c r="F1331" s="12" t="s">
        <v>1629</v>
      </c>
      <c r="G1331" s="12" t="s">
        <v>29</v>
      </c>
      <c r="H1331" s="11" t="s">
        <v>22</v>
      </c>
      <c r="I1331" s="13" t="s">
        <v>3129</v>
      </c>
      <c r="J1331" s="14" t="str">
        <f>HYPERLINK("https://www.boe.es/gazeta/dias/1839/03/10/pdfs/GMD-1839-1576.pdf#page=1","Abrir facsímil")</f>
        <v>Abrir facsímil</v>
      </c>
      <c r="K1331" s="12" t="s">
        <v>24</v>
      </c>
    </row>
    <row r="1332" spans="1:11" ht="40.049999999999997" customHeight="1" x14ac:dyDescent="0.25">
      <c r="A1332" s="11" t="s">
        <v>3130</v>
      </c>
      <c r="B1332" s="11" t="s">
        <v>3131</v>
      </c>
      <c r="C1332" s="11" t="s">
        <v>17</v>
      </c>
      <c r="D1332" s="11" t="s">
        <v>18</v>
      </c>
      <c r="E1332" s="12" t="s">
        <v>360</v>
      </c>
      <c r="F1332" s="12" t="s">
        <v>361</v>
      </c>
      <c r="G1332" s="12" t="s">
        <v>29</v>
      </c>
      <c r="H1332" s="11" t="s">
        <v>22</v>
      </c>
      <c r="I1332" s="13" t="s">
        <v>3132</v>
      </c>
      <c r="J1332" s="14" t="str">
        <f>HYPERLINK("https://www.boe.es/gazeta/dias/1839/08/22/pdfs/GMD-1839-1743.pdf#page=1","Abrir facsímil")</f>
        <v>Abrir facsímil</v>
      </c>
      <c r="K1332" s="12" t="s">
        <v>24</v>
      </c>
    </row>
    <row r="1333" spans="1:11" ht="40.049999999999997" customHeight="1" x14ac:dyDescent="0.25">
      <c r="A1333" s="11" t="s">
        <v>3133</v>
      </c>
      <c r="B1333" s="11" t="s">
        <v>3133</v>
      </c>
      <c r="C1333" s="11" t="s">
        <v>59</v>
      </c>
      <c r="D1333" s="11" t="s">
        <v>60</v>
      </c>
      <c r="E1333" s="12" t="s">
        <v>3134</v>
      </c>
      <c r="F1333" s="12" t="s">
        <v>3135</v>
      </c>
      <c r="G1333" s="12" t="s">
        <v>29</v>
      </c>
      <c r="H1333" s="11" t="s">
        <v>63</v>
      </c>
      <c r="I1333" s="13" t="s">
        <v>3136</v>
      </c>
      <c r="J1333" s="14" t="str">
        <f>HYPERLINK("https://www.boe.es/gazeta/dias/1839/08/09/pdfs/GMD-1839-1729.pdf#page=1","Abrir facsímil")</f>
        <v>Abrir facsímil</v>
      </c>
      <c r="K1333" s="12" t="s">
        <v>65</v>
      </c>
    </row>
    <row r="1334" spans="1:11" ht="40.049999999999997" customHeight="1" x14ac:dyDescent="0.25">
      <c r="A1334" s="11" t="s">
        <v>3137</v>
      </c>
      <c r="B1334" s="11" t="s">
        <v>3137</v>
      </c>
      <c r="C1334" s="11" t="s">
        <v>17</v>
      </c>
      <c r="D1334" s="11" t="s">
        <v>18</v>
      </c>
      <c r="E1334" s="12" t="s">
        <v>606</v>
      </c>
      <c r="F1334" s="12" t="s">
        <v>607</v>
      </c>
      <c r="G1334" s="12" t="s">
        <v>21</v>
      </c>
      <c r="H1334" s="11" t="s">
        <v>63</v>
      </c>
      <c r="I1334" s="13" t="s">
        <v>3138</v>
      </c>
      <c r="J1334" s="14" t="str">
        <f>HYPERLINK("https://www.boe.es/gazeta/dias/1839/04/02/pdfs/GMD-1839-1599.pdf#page=4","Abrir facsímil")</f>
        <v>Abrir facsímil</v>
      </c>
      <c r="K1334" s="12" t="s">
        <v>65</v>
      </c>
    </row>
    <row r="1335" spans="1:11" ht="40.049999999999997" customHeight="1" x14ac:dyDescent="0.25">
      <c r="A1335" s="11" t="s">
        <v>3137</v>
      </c>
      <c r="B1335" s="11" t="s">
        <v>3137</v>
      </c>
      <c r="C1335" s="11" t="s">
        <v>80</v>
      </c>
      <c r="D1335" s="11" t="s">
        <v>18</v>
      </c>
      <c r="E1335" s="12" t="s">
        <v>266</v>
      </c>
      <c r="F1335" s="12" t="s">
        <v>267</v>
      </c>
      <c r="G1335" s="12" t="s">
        <v>40</v>
      </c>
      <c r="H1335" s="11" t="s">
        <v>63</v>
      </c>
      <c r="I1335" s="13" t="s">
        <v>3139</v>
      </c>
      <c r="J1335" s="14" t="str">
        <f>HYPERLINK("https://www.boe.es/gazeta/dias/1839/01/03/pdfs/GMD-1839-1510.pdf#page=2","Abrir facsímil")</f>
        <v>Abrir facsímil</v>
      </c>
      <c r="K1335" s="12" t="s">
        <v>65</v>
      </c>
    </row>
    <row r="1336" spans="1:11" ht="40.049999999999997" customHeight="1" x14ac:dyDescent="0.25">
      <c r="A1336" s="11" t="s">
        <v>3137</v>
      </c>
      <c r="B1336" s="11" t="s">
        <v>3137</v>
      </c>
      <c r="C1336" s="11" t="s">
        <v>137</v>
      </c>
      <c r="D1336" s="11" t="s">
        <v>18</v>
      </c>
      <c r="E1336" s="12" t="s">
        <v>212</v>
      </c>
      <c r="F1336" s="12" t="s">
        <v>213</v>
      </c>
      <c r="G1336" s="12" t="s">
        <v>46</v>
      </c>
      <c r="H1336" s="11" t="s">
        <v>63</v>
      </c>
      <c r="I1336" s="13" t="s">
        <v>3140</v>
      </c>
      <c r="J1336" s="14" t="str">
        <f>HYPERLINK("https://www.boe.es/gazeta/dias/1839/10/03/pdfs/GMD-1839-1789.pdf#page=3","Abrir facsímil")</f>
        <v>Abrir facsímil</v>
      </c>
      <c r="K1336" s="12" t="s">
        <v>65</v>
      </c>
    </row>
    <row r="1337" spans="1:11" ht="40.049999999999997" customHeight="1" x14ac:dyDescent="0.25">
      <c r="A1337" s="11" t="s">
        <v>3137</v>
      </c>
      <c r="B1337" s="11" t="s">
        <v>3137</v>
      </c>
      <c r="C1337" s="11" t="s">
        <v>59</v>
      </c>
      <c r="D1337" s="11" t="s">
        <v>60</v>
      </c>
      <c r="E1337" s="12" t="s">
        <v>1388</v>
      </c>
      <c r="F1337" s="12" t="s">
        <v>1389</v>
      </c>
      <c r="G1337" s="12" t="s">
        <v>29</v>
      </c>
      <c r="H1337" s="11" t="s">
        <v>63</v>
      </c>
      <c r="I1337" s="13" t="s">
        <v>3141</v>
      </c>
      <c r="J1337" s="14" t="str">
        <f>HYPERLINK("https://www.boe.es/gazeta/dias/1839/06/04/pdfs/GMD-1839-1662.pdf#page=1","Abrir facsímil")</f>
        <v>Abrir facsímil</v>
      </c>
      <c r="K1337" s="12" t="s">
        <v>65</v>
      </c>
    </row>
    <row r="1338" spans="1:11" ht="40.049999999999997" customHeight="1" x14ac:dyDescent="0.25">
      <c r="A1338" s="11" t="s">
        <v>3137</v>
      </c>
      <c r="B1338" s="11" t="s">
        <v>3137</v>
      </c>
      <c r="C1338" s="11" t="s">
        <v>17</v>
      </c>
      <c r="D1338" s="11" t="s">
        <v>18</v>
      </c>
      <c r="E1338" s="12" t="s">
        <v>181</v>
      </c>
      <c r="F1338" s="12" t="s">
        <v>182</v>
      </c>
      <c r="G1338" s="12" t="s">
        <v>29</v>
      </c>
      <c r="H1338" s="11" t="s">
        <v>63</v>
      </c>
      <c r="I1338" s="13" t="s">
        <v>3142</v>
      </c>
      <c r="J1338" s="14" t="str">
        <f>HYPERLINK("https://www.boe.es/gazeta/dias/1839/01/11/pdfs/GMD-1839-1518.pdf#page=1","Abrir facsímil")</f>
        <v>Abrir facsímil</v>
      </c>
      <c r="K1338" s="12" t="s">
        <v>65</v>
      </c>
    </row>
    <row r="1339" spans="1:11" ht="40.049999999999997" customHeight="1" x14ac:dyDescent="0.25">
      <c r="A1339" s="11" t="s">
        <v>3137</v>
      </c>
      <c r="B1339" s="11" t="s">
        <v>3137</v>
      </c>
      <c r="C1339" s="11" t="s">
        <v>17</v>
      </c>
      <c r="D1339" s="11" t="s">
        <v>18</v>
      </c>
      <c r="E1339" s="12" t="s">
        <v>2107</v>
      </c>
      <c r="F1339" s="12" t="s">
        <v>2108</v>
      </c>
      <c r="G1339" s="12" t="s">
        <v>21</v>
      </c>
      <c r="H1339" s="11" t="s">
        <v>63</v>
      </c>
      <c r="I1339" s="13" t="s">
        <v>3143</v>
      </c>
      <c r="J1339" s="14" t="str">
        <f>HYPERLINK("https://www.boe.es/gazeta/dias/1839/10/11/pdfs/GMD-1839-1797.pdf#page=4","Abrir facsímil")</f>
        <v>Abrir facsímil</v>
      </c>
      <c r="K1339" s="12" t="s">
        <v>65</v>
      </c>
    </row>
    <row r="1340" spans="1:11" ht="40.049999999999997" customHeight="1" x14ac:dyDescent="0.25">
      <c r="A1340" s="11" t="s">
        <v>3137</v>
      </c>
      <c r="B1340" s="11" t="s">
        <v>3137</v>
      </c>
      <c r="C1340" s="11" t="s">
        <v>17</v>
      </c>
      <c r="D1340" s="11" t="s">
        <v>18</v>
      </c>
      <c r="E1340" s="12" t="s">
        <v>1069</v>
      </c>
      <c r="F1340" s="12" t="s">
        <v>1070</v>
      </c>
      <c r="G1340" s="12" t="s">
        <v>29</v>
      </c>
      <c r="H1340" s="11" t="s">
        <v>63</v>
      </c>
      <c r="I1340" s="13" t="s">
        <v>3144</v>
      </c>
      <c r="J1340" s="14" t="str">
        <f>HYPERLINK("https://www.boe.es/gazeta/dias/1839/10/15/pdfs/GMD-1839-1801.pdf#page=1","Abrir facsímil")</f>
        <v>Abrir facsímil</v>
      </c>
      <c r="K1340" s="12" t="s">
        <v>65</v>
      </c>
    </row>
    <row r="1341" spans="1:11" ht="40.049999999999997" customHeight="1" x14ac:dyDescent="0.25">
      <c r="A1341" s="11" t="s">
        <v>3137</v>
      </c>
      <c r="B1341" s="11" t="s">
        <v>3137</v>
      </c>
      <c r="C1341" s="11" t="s">
        <v>101</v>
      </c>
      <c r="D1341" s="11" t="s">
        <v>43</v>
      </c>
      <c r="E1341" s="12" t="s">
        <v>892</v>
      </c>
      <c r="F1341" s="12" t="s">
        <v>893</v>
      </c>
      <c r="G1341" s="12" t="s">
        <v>29</v>
      </c>
      <c r="H1341" s="11" t="s">
        <v>63</v>
      </c>
      <c r="I1341" s="13" t="s">
        <v>3145</v>
      </c>
      <c r="J1341" s="14" t="str">
        <f>HYPERLINK("https://www.boe.es/gazeta/dias/1839/12/28/pdfs/GMD-1839-1875.pdf#page=1","Abrir facsímil")</f>
        <v>Abrir facsímil</v>
      </c>
      <c r="K1341" s="12" t="s">
        <v>65</v>
      </c>
    </row>
    <row r="1342" spans="1:11" ht="40.049999999999997" customHeight="1" x14ac:dyDescent="0.25">
      <c r="A1342" s="11" t="s">
        <v>3146</v>
      </c>
      <c r="B1342" s="11" t="s">
        <v>3147</v>
      </c>
      <c r="C1342" s="11" t="s">
        <v>17</v>
      </c>
      <c r="D1342" s="11" t="s">
        <v>18</v>
      </c>
      <c r="E1342" s="12" t="s">
        <v>246</v>
      </c>
      <c r="F1342" s="12" t="s">
        <v>247</v>
      </c>
      <c r="G1342" s="12" t="s">
        <v>21</v>
      </c>
      <c r="H1342" s="11" t="s">
        <v>22</v>
      </c>
      <c r="I1342" s="13" t="s">
        <v>3148</v>
      </c>
      <c r="J1342" s="14" t="str">
        <f>HYPERLINK("https://www.boe.es/gazeta/dias/1839/11/24/pdfs/GMD-1839-1841.pdf#page=4","Abrir facsímil")</f>
        <v>Abrir facsímil</v>
      </c>
      <c r="K1342" s="12" t="s">
        <v>24</v>
      </c>
    </row>
    <row r="1343" spans="1:11" ht="40.049999999999997" customHeight="1" x14ac:dyDescent="0.25">
      <c r="A1343" s="11" t="s">
        <v>3149</v>
      </c>
      <c r="B1343" s="11" t="s">
        <v>3150</v>
      </c>
      <c r="C1343" s="11" t="s">
        <v>80</v>
      </c>
      <c r="D1343" s="11" t="s">
        <v>18</v>
      </c>
      <c r="E1343" s="12" t="s">
        <v>883</v>
      </c>
      <c r="F1343" s="12" t="s">
        <v>884</v>
      </c>
      <c r="G1343" s="12" t="s">
        <v>21</v>
      </c>
      <c r="H1343" s="11" t="s">
        <v>22</v>
      </c>
      <c r="I1343" s="13" t="s">
        <v>3151</v>
      </c>
      <c r="J1343" s="14" t="str">
        <f>HYPERLINK("https://www.boe.es/gazeta/dias/1839/11/03/pdfs/GMD-1839-1820.pdf#page=4","Abrir facsímil")</f>
        <v>Abrir facsímil</v>
      </c>
      <c r="K1343" s="12" t="s">
        <v>24</v>
      </c>
    </row>
    <row r="1344" spans="1:11" ht="40.049999999999997" customHeight="1" x14ac:dyDescent="0.25">
      <c r="A1344" s="11" t="s">
        <v>3149</v>
      </c>
      <c r="B1344" s="11" t="s">
        <v>3150</v>
      </c>
      <c r="C1344" s="11" t="s">
        <v>17</v>
      </c>
      <c r="D1344" s="11" t="s">
        <v>18</v>
      </c>
      <c r="E1344" s="12" t="s">
        <v>685</v>
      </c>
      <c r="F1344" s="12" t="s">
        <v>686</v>
      </c>
      <c r="G1344" s="12" t="s">
        <v>21</v>
      </c>
      <c r="H1344" s="11" t="s">
        <v>22</v>
      </c>
      <c r="I1344" s="13" t="s">
        <v>3152</v>
      </c>
      <c r="J1344" s="14" t="str">
        <f>HYPERLINK("https://www.boe.es/gazeta/dias/1839/06/18/pdfs/GMD-1839-1676.pdf#page=4","Abrir facsímil")</f>
        <v>Abrir facsímil</v>
      </c>
      <c r="K1344" s="12" t="s">
        <v>24</v>
      </c>
    </row>
    <row r="1345" spans="1:11" ht="40.049999999999997" customHeight="1" x14ac:dyDescent="0.25">
      <c r="A1345" s="11" t="s">
        <v>3153</v>
      </c>
      <c r="B1345" s="11" t="s">
        <v>3154</v>
      </c>
      <c r="C1345" s="11" t="s">
        <v>17</v>
      </c>
      <c r="D1345" s="11" t="s">
        <v>18</v>
      </c>
      <c r="E1345" s="12" t="s">
        <v>834</v>
      </c>
      <c r="F1345" s="12" t="s">
        <v>835</v>
      </c>
      <c r="G1345" s="12" t="s">
        <v>21</v>
      </c>
      <c r="H1345" s="11" t="s">
        <v>63</v>
      </c>
      <c r="I1345" s="13" t="s">
        <v>3155</v>
      </c>
      <c r="J1345" s="14" t="str">
        <f>HYPERLINK("https://www.boe.es/gazeta/dias/1839/08/17/pdfs/GMD-1839-1737.pdf#page=4","Abrir facsímil")</f>
        <v>Abrir facsímil</v>
      </c>
      <c r="K1345" s="12" t="s">
        <v>65</v>
      </c>
    </row>
    <row r="1346" spans="1:11" ht="40.049999999999997" customHeight="1" x14ac:dyDescent="0.25">
      <c r="A1346" s="11" t="s">
        <v>3156</v>
      </c>
      <c r="B1346" s="11" t="s">
        <v>3157</v>
      </c>
      <c r="C1346" s="11" t="s">
        <v>17</v>
      </c>
      <c r="D1346" s="11" t="s">
        <v>18</v>
      </c>
      <c r="E1346" s="12" t="s">
        <v>668</v>
      </c>
      <c r="F1346" s="12" t="s">
        <v>669</v>
      </c>
      <c r="G1346" s="12" t="s">
        <v>29</v>
      </c>
      <c r="H1346" s="11" t="s">
        <v>63</v>
      </c>
      <c r="I1346" s="13" t="s">
        <v>3158</v>
      </c>
      <c r="J1346" s="14" t="str">
        <f>HYPERLINK("https://www.boe.es/gazeta/dias/1839/03/28/pdfs/GMD-1839-1594.pdf#page=1","Abrir facsímil")</f>
        <v>Abrir facsímil</v>
      </c>
      <c r="K1346" s="12" t="s">
        <v>65</v>
      </c>
    </row>
    <row r="1347" spans="1:11" ht="40.049999999999997" customHeight="1" x14ac:dyDescent="0.25">
      <c r="A1347" s="11" t="s">
        <v>3159</v>
      </c>
      <c r="B1347" s="11" t="s">
        <v>3159</v>
      </c>
      <c r="C1347" s="11" t="s">
        <v>80</v>
      </c>
      <c r="D1347" s="11" t="s">
        <v>18</v>
      </c>
      <c r="E1347" s="12" t="s">
        <v>89</v>
      </c>
      <c r="F1347" s="12" t="s">
        <v>90</v>
      </c>
      <c r="G1347" s="12" t="s">
        <v>29</v>
      </c>
      <c r="H1347" s="11" t="s">
        <v>63</v>
      </c>
      <c r="I1347" s="13" t="s">
        <v>3160</v>
      </c>
      <c r="J1347" s="14" t="str">
        <f>HYPERLINK("https://www.boe.es/gazeta/dias/1839/11/28/pdfs/GMD-1839-1845.pdf#page=1","Abrir facsímil")</f>
        <v>Abrir facsímil</v>
      </c>
      <c r="K1347" s="12" t="s">
        <v>65</v>
      </c>
    </row>
    <row r="1348" spans="1:11" ht="40.049999999999997" customHeight="1" x14ac:dyDescent="0.25">
      <c r="A1348" s="11" t="s">
        <v>3161</v>
      </c>
      <c r="B1348" s="11" t="s">
        <v>3161</v>
      </c>
      <c r="C1348" s="11" t="s">
        <v>17</v>
      </c>
      <c r="D1348" s="11" t="s">
        <v>18</v>
      </c>
      <c r="E1348" s="12" t="s">
        <v>1284</v>
      </c>
      <c r="F1348" s="12" t="s">
        <v>1285</v>
      </c>
      <c r="G1348" s="12" t="s">
        <v>40</v>
      </c>
      <c r="H1348" s="11" t="s">
        <v>63</v>
      </c>
      <c r="I1348" s="13" t="s">
        <v>3162</v>
      </c>
      <c r="J1348" s="14" t="str">
        <f>HYPERLINK("https://www.boe.es/gazeta/dias/1839/03/27/pdfs/GMD-1839-1593.pdf#page=2","Abrir facsímil")</f>
        <v>Abrir facsímil</v>
      </c>
      <c r="K1348" s="12" t="s">
        <v>65</v>
      </c>
    </row>
    <row r="1349" spans="1:11" ht="40.049999999999997" customHeight="1" x14ac:dyDescent="0.25">
      <c r="A1349" s="11" t="s">
        <v>3163</v>
      </c>
      <c r="B1349" s="11" t="s">
        <v>3163</v>
      </c>
      <c r="C1349" s="11" t="s">
        <v>17</v>
      </c>
      <c r="D1349" s="11" t="s">
        <v>18</v>
      </c>
      <c r="E1349" s="12" t="s">
        <v>2117</v>
      </c>
      <c r="F1349" s="12" t="s">
        <v>2118</v>
      </c>
      <c r="G1349" s="12" t="s">
        <v>46</v>
      </c>
      <c r="H1349" s="11" t="s">
        <v>63</v>
      </c>
      <c r="I1349" s="13" t="s">
        <v>3164</v>
      </c>
      <c r="J1349" s="14" t="str">
        <f>HYPERLINK("https://www.boe.es/gazeta/dias/1839/06/23/pdfs/GMD-1839-1681.pdf#page=3","Abrir facsímil")</f>
        <v>Abrir facsímil</v>
      </c>
      <c r="K1349" s="12" t="s">
        <v>65</v>
      </c>
    </row>
    <row r="1350" spans="1:11" ht="40.049999999999997" customHeight="1" x14ac:dyDescent="0.25">
      <c r="A1350" s="11" t="s">
        <v>3165</v>
      </c>
      <c r="B1350" s="11" t="s">
        <v>3165</v>
      </c>
      <c r="C1350" s="11" t="s">
        <v>17</v>
      </c>
      <c r="D1350" s="11" t="s">
        <v>18</v>
      </c>
      <c r="E1350" s="12" t="s">
        <v>577</v>
      </c>
      <c r="F1350" s="12" t="s">
        <v>578</v>
      </c>
      <c r="G1350" s="12" t="s">
        <v>40</v>
      </c>
      <c r="H1350" s="11" t="s">
        <v>63</v>
      </c>
      <c r="I1350" s="13" t="s">
        <v>3166</v>
      </c>
      <c r="J1350" s="14" t="str">
        <f>HYPERLINK("https://www.boe.es/gazeta/dias/1839/09/30/pdfs/GMD-1839-1786.pdf#page=2","Abrir facsímil")</f>
        <v>Abrir facsímil</v>
      </c>
      <c r="K1350" s="12" t="s">
        <v>65</v>
      </c>
    </row>
    <row r="1351" spans="1:11" ht="40.049999999999997" customHeight="1" x14ac:dyDescent="0.25">
      <c r="A1351" s="11" t="s">
        <v>3167</v>
      </c>
      <c r="B1351" s="11" t="s">
        <v>3168</v>
      </c>
      <c r="C1351" s="11" t="s">
        <v>101</v>
      </c>
      <c r="D1351" s="11" t="s">
        <v>43</v>
      </c>
      <c r="E1351" s="12" t="s">
        <v>1988</v>
      </c>
      <c r="F1351" s="12" t="s">
        <v>1989</v>
      </c>
      <c r="G1351" s="12" t="s">
        <v>46</v>
      </c>
      <c r="H1351" s="11" t="s">
        <v>63</v>
      </c>
      <c r="I1351" s="13" t="s">
        <v>3169</v>
      </c>
      <c r="J1351" s="14" t="str">
        <f>HYPERLINK("https://www.boe.es/gazeta/dias/1839/10/29/pdfs/GMD-1839-1815.pdf#page=3","Abrir facsímil")</f>
        <v>Abrir facsímil</v>
      </c>
      <c r="K1351" s="12" t="s">
        <v>65</v>
      </c>
    </row>
    <row r="1352" spans="1:11" ht="40.049999999999997" customHeight="1" x14ac:dyDescent="0.25">
      <c r="A1352" s="11" t="s">
        <v>3170</v>
      </c>
      <c r="B1352" s="11" t="s">
        <v>3171</v>
      </c>
      <c r="C1352" s="11" t="s">
        <v>17</v>
      </c>
      <c r="D1352" s="11" t="s">
        <v>43</v>
      </c>
      <c r="E1352" s="12" t="s">
        <v>862</v>
      </c>
      <c r="F1352" s="12" t="s">
        <v>863</v>
      </c>
      <c r="G1352" s="12" t="s">
        <v>46</v>
      </c>
      <c r="H1352" s="11" t="s">
        <v>63</v>
      </c>
      <c r="I1352" s="13" t="s">
        <v>3172</v>
      </c>
      <c r="J1352" s="14" t="str">
        <f>HYPERLINK("https://www.boe.es/gazeta/dias/1839/10/28/pdfs/GMD-1839-1814.pdf#page=3","Abrir facsímil")</f>
        <v>Abrir facsímil</v>
      </c>
      <c r="K1352" s="12" t="s">
        <v>65</v>
      </c>
    </row>
    <row r="1353" spans="1:11" ht="40.049999999999997" customHeight="1" x14ac:dyDescent="0.25">
      <c r="A1353" s="11" t="s">
        <v>3173</v>
      </c>
      <c r="B1353" s="11" t="s">
        <v>3174</v>
      </c>
      <c r="C1353" s="11" t="s">
        <v>80</v>
      </c>
      <c r="D1353" s="11" t="s">
        <v>18</v>
      </c>
      <c r="E1353" s="12" t="s">
        <v>817</v>
      </c>
      <c r="F1353" s="12" t="s">
        <v>818</v>
      </c>
      <c r="G1353" s="12" t="s">
        <v>21</v>
      </c>
      <c r="H1353" s="11" t="s">
        <v>63</v>
      </c>
      <c r="I1353" s="13" t="s">
        <v>3175</v>
      </c>
      <c r="J1353" s="14" t="str">
        <f>HYPERLINK("https://www.boe.es/gazeta/dias/1839/05/28/pdfs/GMD-1839-1655.pdf#page=4","Abrir facsímil")</f>
        <v>Abrir facsímil</v>
      </c>
      <c r="K1353" s="12" t="s">
        <v>65</v>
      </c>
    </row>
    <row r="1354" spans="1:11" ht="40.049999999999997" customHeight="1" x14ac:dyDescent="0.25">
      <c r="A1354" s="11" t="s">
        <v>3176</v>
      </c>
      <c r="B1354" s="11" t="s">
        <v>3176</v>
      </c>
      <c r="C1354" s="11" t="s">
        <v>17</v>
      </c>
      <c r="D1354" s="11" t="s">
        <v>18</v>
      </c>
      <c r="E1354" s="12" t="s">
        <v>616</v>
      </c>
      <c r="F1354" s="12" t="s">
        <v>617</v>
      </c>
      <c r="G1354" s="12" t="s">
        <v>40</v>
      </c>
      <c r="H1354" s="11" t="s">
        <v>63</v>
      </c>
      <c r="I1354" s="13" t="s">
        <v>3177</v>
      </c>
      <c r="J1354" s="14" t="str">
        <f>HYPERLINK("https://www.boe.es/gazeta/dias/1839/05/29/pdfs/GMD-1839-1656.pdf#page=2","Abrir facsímil")</f>
        <v>Abrir facsímil</v>
      </c>
      <c r="K1354" s="12" t="s">
        <v>65</v>
      </c>
    </row>
    <row r="1355" spans="1:11" ht="40.049999999999997" customHeight="1" x14ac:dyDescent="0.25">
      <c r="A1355" s="11" t="s">
        <v>3178</v>
      </c>
      <c r="B1355" s="11" t="s">
        <v>3179</v>
      </c>
      <c r="C1355" s="11" t="s">
        <v>59</v>
      </c>
      <c r="D1355" s="11" t="s">
        <v>60</v>
      </c>
      <c r="E1355" s="12" t="s">
        <v>192</v>
      </c>
      <c r="F1355" s="12" t="s">
        <v>193</v>
      </c>
      <c r="G1355" s="12" t="s">
        <v>46</v>
      </c>
      <c r="H1355" s="11" t="s">
        <v>63</v>
      </c>
      <c r="I1355" s="13" t="s">
        <v>3180</v>
      </c>
      <c r="J1355" s="14" t="str">
        <f>HYPERLINK("https://www.boe.es/gazeta/dias/1839/01/12/pdfs/GMD-1839-1519.pdf#page=3","Abrir facsímil")</f>
        <v>Abrir facsímil</v>
      </c>
      <c r="K1355" s="12" t="s">
        <v>65</v>
      </c>
    </row>
    <row r="1356" spans="1:11" ht="40.049999999999997" customHeight="1" x14ac:dyDescent="0.25">
      <c r="A1356" s="11" t="s">
        <v>3181</v>
      </c>
      <c r="B1356" s="11" t="s">
        <v>3181</v>
      </c>
      <c r="C1356" s="11" t="s">
        <v>80</v>
      </c>
      <c r="D1356" s="11" t="s">
        <v>18</v>
      </c>
      <c r="E1356" s="12" t="s">
        <v>121</v>
      </c>
      <c r="F1356" s="12" t="s">
        <v>122</v>
      </c>
      <c r="G1356" s="12" t="s">
        <v>46</v>
      </c>
      <c r="H1356" s="11" t="s">
        <v>63</v>
      </c>
      <c r="I1356" s="13" t="s">
        <v>3182</v>
      </c>
      <c r="J1356" s="14" t="str">
        <f>HYPERLINK("https://www.boe.es/gazeta/dias/1839/06/08/pdfs/GMD-1839-1666.pdf#page=3","Abrir facsímil")</f>
        <v>Abrir facsímil</v>
      </c>
      <c r="K1356" s="12" t="s">
        <v>65</v>
      </c>
    </row>
    <row r="1357" spans="1:11" ht="40.049999999999997" customHeight="1" x14ac:dyDescent="0.25">
      <c r="A1357" s="11" t="s">
        <v>3181</v>
      </c>
      <c r="B1357" s="11" t="s">
        <v>3181</v>
      </c>
      <c r="C1357" s="11" t="s">
        <v>17</v>
      </c>
      <c r="D1357" s="11" t="s">
        <v>18</v>
      </c>
      <c r="E1357" s="12" t="s">
        <v>483</v>
      </c>
      <c r="F1357" s="12" t="s">
        <v>484</v>
      </c>
      <c r="G1357" s="12" t="s">
        <v>21</v>
      </c>
      <c r="H1357" s="11" t="s">
        <v>63</v>
      </c>
      <c r="I1357" s="13" t="s">
        <v>3183</v>
      </c>
      <c r="J1357" s="14" t="str">
        <f>HYPERLINK("https://www.boe.es/gazeta/dias/1839/11/18/pdfs/GMD-1839-1835.pdf#page=4","Abrir facsímil")</f>
        <v>Abrir facsímil</v>
      </c>
      <c r="K1357" s="12" t="s">
        <v>65</v>
      </c>
    </row>
    <row r="1358" spans="1:11" ht="40.049999999999997" customHeight="1" x14ac:dyDescent="0.25">
      <c r="A1358" s="11" t="s">
        <v>3184</v>
      </c>
      <c r="B1358" s="11" t="s">
        <v>3184</v>
      </c>
      <c r="C1358" s="11" t="s">
        <v>137</v>
      </c>
      <c r="D1358" s="11" t="s">
        <v>18</v>
      </c>
      <c r="E1358" s="12" t="s">
        <v>3114</v>
      </c>
      <c r="F1358" s="12" t="s">
        <v>3115</v>
      </c>
      <c r="G1358" s="12" t="s">
        <v>40</v>
      </c>
      <c r="H1358" s="11" t="s">
        <v>63</v>
      </c>
      <c r="I1358" s="13" t="s">
        <v>3185</v>
      </c>
      <c r="J1358" s="14" t="str">
        <f>HYPERLINK("https://www.boe.es/gazeta/dias/1839/05/15/pdfs/GMD-1839-1642.pdf#page=2","Abrir facsímil")</f>
        <v>Abrir facsímil</v>
      </c>
      <c r="K1358" s="12" t="s">
        <v>65</v>
      </c>
    </row>
    <row r="1359" spans="1:11" ht="40.049999999999997" customHeight="1" x14ac:dyDescent="0.25">
      <c r="A1359" s="11" t="s">
        <v>3186</v>
      </c>
      <c r="B1359" s="11" t="s">
        <v>3187</v>
      </c>
      <c r="C1359" s="11" t="s">
        <v>17</v>
      </c>
      <c r="D1359" s="11" t="s">
        <v>18</v>
      </c>
      <c r="E1359" s="12" t="s">
        <v>369</v>
      </c>
      <c r="F1359" s="12" t="s">
        <v>370</v>
      </c>
      <c r="G1359" s="12" t="s">
        <v>40</v>
      </c>
      <c r="H1359" s="11" t="s">
        <v>63</v>
      </c>
      <c r="I1359" s="13" t="s">
        <v>3188</v>
      </c>
      <c r="J1359" s="14" t="str">
        <f>HYPERLINK("https://www.boe.es/gazeta/dias/1839/11/01/pdfs/GMD-1839-1818.pdf#page=2","Abrir facsímil")</f>
        <v>Abrir facsímil</v>
      </c>
      <c r="K1359" s="12" t="s">
        <v>65</v>
      </c>
    </row>
    <row r="1360" spans="1:11" ht="40.049999999999997" customHeight="1" x14ac:dyDescent="0.25">
      <c r="A1360" s="11" t="s">
        <v>3189</v>
      </c>
      <c r="B1360" s="11" t="s">
        <v>3189</v>
      </c>
      <c r="C1360" s="11" t="s">
        <v>17</v>
      </c>
      <c r="D1360" s="11" t="s">
        <v>18</v>
      </c>
      <c r="E1360" s="12" t="s">
        <v>2449</v>
      </c>
      <c r="F1360" s="12" t="s">
        <v>2450</v>
      </c>
      <c r="G1360" s="12" t="s">
        <v>40</v>
      </c>
      <c r="H1360" s="11" t="s">
        <v>63</v>
      </c>
      <c r="I1360" s="13" t="s">
        <v>3190</v>
      </c>
      <c r="J1360" s="14" t="str">
        <f>HYPERLINK("https://www.boe.es/gazeta/dias/1839/12/11/pdfs/GMD-1839-1858.pdf#page=2","Abrir facsímil")</f>
        <v>Abrir facsímil</v>
      </c>
      <c r="K1360" s="12" t="s">
        <v>65</v>
      </c>
    </row>
    <row r="1361" spans="1:11" ht="40.049999999999997" customHeight="1" x14ac:dyDescent="0.25">
      <c r="A1361" s="11" t="s">
        <v>3191</v>
      </c>
      <c r="B1361" s="11" t="s">
        <v>3192</v>
      </c>
      <c r="C1361" s="11" t="s">
        <v>80</v>
      </c>
      <c r="D1361" s="11" t="s">
        <v>18</v>
      </c>
      <c r="E1361" s="12" t="s">
        <v>1012</v>
      </c>
      <c r="F1361" s="12" t="s">
        <v>1013</v>
      </c>
      <c r="G1361" s="12" t="s">
        <v>46</v>
      </c>
      <c r="H1361" s="11" t="s">
        <v>63</v>
      </c>
      <c r="I1361" s="13" t="s">
        <v>3193</v>
      </c>
      <c r="J1361" s="14" t="str">
        <f>HYPERLINK("https://www.boe.es/gazeta/dias/1839/11/22/pdfs/GMD-1839-1839.pdf#page=3","Abrir facsímil")</f>
        <v>Abrir facsímil</v>
      </c>
      <c r="K1361" s="12" t="s">
        <v>65</v>
      </c>
    </row>
    <row r="1362" spans="1:11" ht="40.049999999999997" customHeight="1" x14ac:dyDescent="0.25">
      <c r="A1362" s="11" t="s">
        <v>3194</v>
      </c>
      <c r="B1362" s="11" t="s">
        <v>3195</v>
      </c>
      <c r="C1362" s="11" t="s">
        <v>80</v>
      </c>
      <c r="D1362" s="11" t="s">
        <v>18</v>
      </c>
      <c r="E1362" s="12" t="s">
        <v>1520</v>
      </c>
      <c r="F1362" s="12" t="s">
        <v>1521</v>
      </c>
      <c r="G1362" s="12" t="s">
        <v>21</v>
      </c>
      <c r="H1362" s="11" t="s">
        <v>63</v>
      </c>
      <c r="I1362" s="13" t="s">
        <v>3196</v>
      </c>
      <c r="J1362" s="14" t="str">
        <f>HYPERLINK("https://www.boe.es/gazeta/dias/1839/12/27/pdfs/GMD-1839-1874.pdf#page=4","Abrir facsímil")</f>
        <v>Abrir facsímil</v>
      </c>
      <c r="K1362" s="12" t="s">
        <v>65</v>
      </c>
    </row>
    <row r="1363" spans="1:11" ht="40.049999999999997" customHeight="1" x14ac:dyDescent="0.25">
      <c r="A1363" s="11" t="s">
        <v>3197</v>
      </c>
      <c r="B1363" s="11" t="s">
        <v>3197</v>
      </c>
      <c r="C1363" s="11" t="s">
        <v>17</v>
      </c>
      <c r="D1363" s="11" t="s">
        <v>18</v>
      </c>
      <c r="E1363" s="12" t="s">
        <v>258</v>
      </c>
      <c r="F1363" s="12" t="s">
        <v>259</v>
      </c>
      <c r="G1363" s="12" t="s">
        <v>21</v>
      </c>
      <c r="H1363" s="11" t="s">
        <v>63</v>
      </c>
      <c r="I1363" s="13" t="s">
        <v>3198</v>
      </c>
      <c r="J1363" s="14" t="str">
        <f>HYPERLINK("https://www.boe.es/gazeta/dias/1839/01/02/pdfs/GMD-1839-1509.pdf#page=4","Abrir facsímil")</f>
        <v>Abrir facsímil</v>
      </c>
      <c r="K1363" s="12" t="s">
        <v>65</v>
      </c>
    </row>
    <row r="1364" spans="1:11" ht="40.049999999999997" customHeight="1" x14ac:dyDescent="0.25">
      <c r="A1364" s="11" t="s">
        <v>3199</v>
      </c>
      <c r="B1364" s="11" t="s">
        <v>3200</v>
      </c>
      <c r="C1364" s="11" t="s">
        <v>17</v>
      </c>
      <c r="D1364" s="11" t="s">
        <v>18</v>
      </c>
      <c r="E1364" s="12" t="s">
        <v>779</v>
      </c>
      <c r="F1364" s="12" t="s">
        <v>780</v>
      </c>
      <c r="G1364" s="12" t="s">
        <v>29</v>
      </c>
      <c r="H1364" s="11" t="s">
        <v>63</v>
      </c>
      <c r="I1364" s="13" t="s">
        <v>3201</v>
      </c>
      <c r="J1364" s="14" t="str">
        <f>HYPERLINK("https://www.boe.es/gazeta/dias/1839/02/03/pdfs/GMD-1839-1541.pdf#page=1","Abrir facsímil")</f>
        <v>Abrir facsímil</v>
      </c>
      <c r="K1364" s="12" t="s">
        <v>65</v>
      </c>
    </row>
    <row r="1365" spans="1:11" ht="40.049999999999997" customHeight="1" x14ac:dyDescent="0.25">
      <c r="A1365" s="11" t="s">
        <v>3202</v>
      </c>
      <c r="B1365" s="11" t="s">
        <v>3203</v>
      </c>
      <c r="C1365" s="11" t="s">
        <v>101</v>
      </c>
      <c r="D1365" s="11" t="s">
        <v>43</v>
      </c>
      <c r="E1365" s="12" t="s">
        <v>862</v>
      </c>
      <c r="F1365" s="12" t="s">
        <v>863</v>
      </c>
      <c r="G1365" s="12" t="s">
        <v>46</v>
      </c>
      <c r="H1365" s="11" t="s">
        <v>63</v>
      </c>
      <c r="I1365" s="13" t="s">
        <v>3204</v>
      </c>
      <c r="J1365" s="14" t="str">
        <f>HYPERLINK("https://www.boe.es/gazeta/dias/1839/10/28/pdfs/GMD-1839-1814.pdf#page=3","Abrir facsímil")</f>
        <v>Abrir facsímil</v>
      </c>
      <c r="K1365" s="12" t="s">
        <v>65</v>
      </c>
    </row>
    <row r="1366" spans="1:11" ht="40.049999999999997" customHeight="1" x14ac:dyDescent="0.25">
      <c r="A1366" s="11" t="s">
        <v>3205</v>
      </c>
      <c r="B1366" s="11" t="s">
        <v>3205</v>
      </c>
      <c r="C1366" s="11" t="s">
        <v>17</v>
      </c>
      <c r="D1366" s="11" t="s">
        <v>18</v>
      </c>
      <c r="E1366" s="12" t="s">
        <v>700</v>
      </c>
      <c r="F1366" s="12" t="s">
        <v>701</v>
      </c>
      <c r="G1366" s="12" t="s">
        <v>40</v>
      </c>
      <c r="H1366" s="11" t="s">
        <v>63</v>
      </c>
      <c r="I1366" s="13" t="s">
        <v>3206</v>
      </c>
      <c r="J1366" s="14" t="str">
        <f>HYPERLINK("https://www.boe.es/gazeta/dias/1839/09/01/pdfs/GMD-1839-1753.pdf#page=2","Abrir facsímil")</f>
        <v>Abrir facsímil</v>
      </c>
      <c r="K1366" s="12" t="s">
        <v>65</v>
      </c>
    </row>
    <row r="1367" spans="1:11" ht="40.049999999999997" customHeight="1" x14ac:dyDescent="0.25">
      <c r="A1367" s="11" t="s">
        <v>3207</v>
      </c>
      <c r="B1367" s="11" t="s">
        <v>3208</v>
      </c>
      <c r="C1367" s="11" t="s">
        <v>17</v>
      </c>
      <c r="D1367" s="11" t="s">
        <v>18</v>
      </c>
      <c r="E1367" s="12" t="s">
        <v>103</v>
      </c>
      <c r="F1367" s="12" t="s">
        <v>104</v>
      </c>
      <c r="G1367" s="12" t="s">
        <v>29</v>
      </c>
      <c r="H1367" s="11" t="s">
        <v>63</v>
      </c>
      <c r="I1367" s="13" t="s">
        <v>3209</v>
      </c>
      <c r="J1367" s="14" t="str">
        <f>HYPERLINK("https://www.boe.es/gazeta/dias/1839/10/12/pdfs/GMD-1839-1798.pdf#page=1","Abrir facsímil")</f>
        <v>Abrir facsímil</v>
      </c>
      <c r="K1367" s="12" t="s">
        <v>65</v>
      </c>
    </row>
    <row r="1368" spans="1:11" ht="40.049999999999997" customHeight="1" x14ac:dyDescent="0.25">
      <c r="A1368" s="11" t="s">
        <v>3210</v>
      </c>
      <c r="B1368" s="11" t="s">
        <v>3211</v>
      </c>
      <c r="C1368" s="11" t="s">
        <v>17</v>
      </c>
      <c r="D1368" s="11" t="s">
        <v>18</v>
      </c>
      <c r="E1368" s="12" t="s">
        <v>108</v>
      </c>
      <c r="F1368" s="12" t="s">
        <v>109</v>
      </c>
      <c r="G1368" s="12" t="s">
        <v>29</v>
      </c>
      <c r="H1368" s="11" t="s">
        <v>63</v>
      </c>
      <c r="I1368" s="13" t="s">
        <v>3212</v>
      </c>
      <c r="J1368" s="14" t="str">
        <f>HYPERLINK("https://www.boe.es/gazeta/dias/1839/01/04/pdfs/GMD-1839-1511.pdf#page=1","Abrir facsímil")</f>
        <v>Abrir facsímil</v>
      </c>
      <c r="K1368" s="12" t="s">
        <v>65</v>
      </c>
    </row>
    <row r="1369" spans="1:11" ht="40.049999999999997" customHeight="1" x14ac:dyDescent="0.25">
      <c r="A1369" s="11" t="s">
        <v>3213</v>
      </c>
      <c r="B1369" s="11" t="s">
        <v>3214</v>
      </c>
      <c r="C1369" s="11" t="s">
        <v>17</v>
      </c>
      <c r="D1369" s="11" t="s">
        <v>18</v>
      </c>
      <c r="E1369" s="12" t="s">
        <v>2374</v>
      </c>
      <c r="F1369" s="12" t="s">
        <v>2375</v>
      </c>
      <c r="G1369" s="12" t="s">
        <v>21</v>
      </c>
      <c r="H1369" s="11" t="s">
        <v>63</v>
      </c>
      <c r="I1369" s="13" t="s">
        <v>3215</v>
      </c>
      <c r="J1369" s="14" t="str">
        <f>HYPERLINK("https://www.boe.es/gazeta/dias/1839/06/14/pdfs/GMD-1839-1672.pdf#page=4","Abrir facsímil")</f>
        <v>Abrir facsímil</v>
      </c>
      <c r="K1369" s="12" t="s">
        <v>65</v>
      </c>
    </row>
    <row r="1370" spans="1:11" ht="40.049999999999997" customHeight="1" x14ac:dyDescent="0.25">
      <c r="A1370" s="11" t="s">
        <v>3213</v>
      </c>
      <c r="B1370" s="11" t="s">
        <v>3214</v>
      </c>
      <c r="C1370" s="11" t="s">
        <v>101</v>
      </c>
      <c r="D1370" s="11" t="s">
        <v>43</v>
      </c>
      <c r="E1370" s="12" t="s">
        <v>1909</v>
      </c>
      <c r="F1370" s="12" t="s">
        <v>1910</v>
      </c>
      <c r="G1370" s="12" t="s">
        <v>46</v>
      </c>
      <c r="H1370" s="11" t="s">
        <v>63</v>
      </c>
      <c r="I1370" s="13" t="s">
        <v>3216</v>
      </c>
      <c r="J1370" s="14" t="str">
        <f>HYPERLINK("https://www.boe.es/gazeta/dias/1839/10/27/pdfs/GMD-1839-1813.pdf#page=3","Abrir facsímil")</f>
        <v>Abrir facsímil</v>
      </c>
      <c r="K1370" s="12" t="s">
        <v>65</v>
      </c>
    </row>
    <row r="1371" spans="1:11" ht="40.049999999999997" customHeight="1" x14ac:dyDescent="0.25">
      <c r="A1371" s="11" t="s">
        <v>3217</v>
      </c>
      <c r="B1371" s="11" t="s">
        <v>3218</v>
      </c>
      <c r="C1371" s="11" t="s">
        <v>17</v>
      </c>
      <c r="D1371" s="11" t="s">
        <v>43</v>
      </c>
      <c r="E1371" s="12" t="s">
        <v>212</v>
      </c>
      <c r="F1371" s="12" t="s">
        <v>213</v>
      </c>
      <c r="G1371" s="12" t="s">
        <v>40</v>
      </c>
      <c r="H1371" s="11" t="s">
        <v>63</v>
      </c>
      <c r="I1371" s="13" t="s">
        <v>3219</v>
      </c>
      <c r="J1371" s="14" t="str">
        <f>HYPERLINK("https://www.boe.es/gazeta/dias/1839/10/03/pdfs/GMD-1839-1789.pdf#page=2","Abrir facsímil")</f>
        <v>Abrir facsímil</v>
      </c>
      <c r="K1371" s="12" t="s">
        <v>65</v>
      </c>
    </row>
    <row r="1372" spans="1:11" ht="40.049999999999997" customHeight="1" x14ac:dyDescent="0.25">
      <c r="A1372" s="11" t="s">
        <v>3217</v>
      </c>
      <c r="B1372" s="11" t="s">
        <v>3218</v>
      </c>
      <c r="C1372" s="11" t="s">
        <v>101</v>
      </c>
      <c r="D1372" s="11" t="s">
        <v>43</v>
      </c>
      <c r="E1372" s="12" t="s">
        <v>1909</v>
      </c>
      <c r="F1372" s="12" t="s">
        <v>1910</v>
      </c>
      <c r="G1372" s="12" t="s">
        <v>46</v>
      </c>
      <c r="H1372" s="11" t="s">
        <v>63</v>
      </c>
      <c r="I1372" s="13" t="s">
        <v>3220</v>
      </c>
      <c r="J1372" s="14" t="str">
        <f>HYPERLINK("https://www.boe.es/gazeta/dias/1839/10/27/pdfs/GMD-1839-1813.pdf#page=3","Abrir facsímil")</f>
        <v>Abrir facsímil</v>
      </c>
      <c r="K1372" s="12" t="s">
        <v>65</v>
      </c>
    </row>
    <row r="1373" spans="1:11" ht="40.049999999999997" customHeight="1" x14ac:dyDescent="0.25">
      <c r="A1373" s="11" t="s">
        <v>3217</v>
      </c>
      <c r="B1373" s="11" t="s">
        <v>3218</v>
      </c>
      <c r="C1373" s="11" t="s">
        <v>137</v>
      </c>
      <c r="D1373" s="11" t="s">
        <v>18</v>
      </c>
      <c r="E1373" s="12" t="s">
        <v>862</v>
      </c>
      <c r="F1373" s="12" t="s">
        <v>863</v>
      </c>
      <c r="G1373" s="12" t="s">
        <v>46</v>
      </c>
      <c r="H1373" s="11" t="s">
        <v>63</v>
      </c>
      <c r="I1373" s="13" t="s">
        <v>3221</v>
      </c>
      <c r="J1373" s="14" t="str">
        <f>HYPERLINK("https://www.boe.es/gazeta/dias/1839/10/28/pdfs/GMD-1839-1814.pdf#page=3","Abrir facsímil")</f>
        <v>Abrir facsímil</v>
      </c>
      <c r="K1373" s="12" t="s">
        <v>65</v>
      </c>
    </row>
    <row r="1374" spans="1:11" ht="40.049999999999997" customHeight="1" x14ac:dyDescent="0.25">
      <c r="A1374" s="11" t="s">
        <v>3217</v>
      </c>
      <c r="B1374" s="11" t="s">
        <v>3218</v>
      </c>
      <c r="C1374" s="11" t="s">
        <v>17</v>
      </c>
      <c r="D1374" s="11" t="s">
        <v>18</v>
      </c>
      <c r="E1374" s="12" t="s">
        <v>1988</v>
      </c>
      <c r="F1374" s="12" t="s">
        <v>1989</v>
      </c>
      <c r="G1374" s="12" t="s">
        <v>46</v>
      </c>
      <c r="H1374" s="11" t="s">
        <v>63</v>
      </c>
      <c r="I1374" s="13" t="s">
        <v>3222</v>
      </c>
      <c r="J1374" s="14" t="str">
        <f>HYPERLINK("https://www.boe.es/gazeta/dias/1839/10/29/pdfs/GMD-1839-1815.pdf#page=3","Abrir facsímil")</f>
        <v>Abrir facsímil</v>
      </c>
      <c r="K1374" s="12" t="s">
        <v>65</v>
      </c>
    </row>
    <row r="1375" spans="1:11" ht="40.049999999999997" customHeight="1" x14ac:dyDescent="0.25">
      <c r="A1375" s="11" t="s">
        <v>3223</v>
      </c>
      <c r="B1375" s="11" t="s">
        <v>3223</v>
      </c>
      <c r="C1375" s="11" t="s">
        <v>17</v>
      </c>
      <c r="D1375" s="11" t="s">
        <v>18</v>
      </c>
      <c r="E1375" s="12" t="s">
        <v>3224</v>
      </c>
      <c r="F1375" s="12" t="s">
        <v>3225</v>
      </c>
      <c r="G1375" s="12" t="s">
        <v>46</v>
      </c>
      <c r="H1375" s="11" t="s">
        <v>63</v>
      </c>
      <c r="I1375" s="13" t="s">
        <v>3226</v>
      </c>
      <c r="J1375" s="14" t="str">
        <f>HYPERLINK("https://www.boe.es/gazeta/dias/1839/06/03/pdfs/GMD-1839-1661.pdf#page=3","Abrir facsímil")</f>
        <v>Abrir facsímil</v>
      </c>
      <c r="K1375" s="12" t="s">
        <v>65</v>
      </c>
    </row>
    <row r="1376" spans="1:11" ht="40.049999999999997" customHeight="1" x14ac:dyDescent="0.25">
      <c r="A1376" s="11" t="s">
        <v>3227</v>
      </c>
      <c r="B1376" s="11" t="s">
        <v>3228</v>
      </c>
      <c r="C1376" s="11" t="s">
        <v>137</v>
      </c>
      <c r="D1376" s="11" t="s">
        <v>18</v>
      </c>
      <c r="E1376" s="12" t="s">
        <v>2658</v>
      </c>
      <c r="F1376" s="12" t="s">
        <v>2659</v>
      </c>
      <c r="G1376" s="12" t="s">
        <v>40</v>
      </c>
      <c r="H1376" s="11" t="s">
        <v>63</v>
      </c>
      <c r="I1376" s="13" t="s">
        <v>3229</v>
      </c>
      <c r="J1376" s="14" t="str">
        <f>HYPERLINK("https://www.boe.es/gazeta/dias/1839/06/27/pdfs/GMD-1839-1685.pdf#page=2","Abrir facsímil")</f>
        <v>Abrir facsímil</v>
      </c>
      <c r="K1376" s="12" t="s">
        <v>65</v>
      </c>
    </row>
    <row r="1377" spans="1:11" ht="40.049999999999997" customHeight="1" x14ac:dyDescent="0.25">
      <c r="A1377" s="11" t="s">
        <v>3230</v>
      </c>
      <c r="B1377" s="11" t="s">
        <v>3231</v>
      </c>
      <c r="C1377" s="11" t="s">
        <v>80</v>
      </c>
      <c r="D1377" s="11" t="s">
        <v>18</v>
      </c>
      <c r="E1377" s="12" t="s">
        <v>1179</v>
      </c>
      <c r="F1377" s="12" t="s">
        <v>1180</v>
      </c>
      <c r="G1377" s="12" t="s">
        <v>305</v>
      </c>
      <c r="H1377" s="11" t="s">
        <v>63</v>
      </c>
      <c r="I1377" s="13" t="s">
        <v>3232</v>
      </c>
      <c r="J1377" s="14" t="str">
        <f>HYPERLINK("https://www.boe.es/gazeta/dias/1839/10/18/pdfs/GMD-1839-1804.pdf#page=6","Abrir facsímil")</f>
        <v>Abrir facsímil</v>
      </c>
      <c r="K1377" s="12" t="s">
        <v>65</v>
      </c>
    </row>
    <row r="1378" spans="1:11" ht="40.049999999999997" customHeight="1" x14ac:dyDescent="0.25">
      <c r="A1378" s="11" t="s">
        <v>3233</v>
      </c>
      <c r="B1378" s="11" t="s">
        <v>3233</v>
      </c>
      <c r="C1378" s="11" t="s">
        <v>17</v>
      </c>
      <c r="D1378" s="11" t="s">
        <v>18</v>
      </c>
      <c r="E1378" s="12" t="s">
        <v>27</v>
      </c>
      <c r="F1378" s="12" t="s">
        <v>28</v>
      </c>
      <c r="G1378" s="12" t="s">
        <v>21</v>
      </c>
      <c r="H1378" s="11" t="s">
        <v>63</v>
      </c>
      <c r="I1378" s="13" t="s">
        <v>3234</v>
      </c>
      <c r="J1378" s="14" t="str">
        <f>HYPERLINK("https://www.boe.es/gazeta/dias/1839/07/28/pdfs/GMD-1839-1717.pdf#page=4","Abrir facsímil")</f>
        <v>Abrir facsímil</v>
      </c>
      <c r="K1378" s="12" t="s">
        <v>65</v>
      </c>
    </row>
    <row r="1379" spans="1:11" ht="40.049999999999997" customHeight="1" x14ac:dyDescent="0.25">
      <c r="A1379" s="11" t="s">
        <v>3235</v>
      </c>
      <c r="B1379" s="11" t="s">
        <v>3235</v>
      </c>
      <c r="C1379" s="11" t="s">
        <v>17</v>
      </c>
      <c r="D1379" s="11" t="s">
        <v>18</v>
      </c>
      <c r="E1379" s="12" t="s">
        <v>3236</v>
      </c>
      <c r="F1379" s="12" t="s">
        <v>3237</v>
      </c>
      <c r="G1379" s="12" t="s">
        <v>29</v>
      </c>
      <c r="H1379" s="11" t="s">
        <v>63</v>
      </c>
      <c r="I1379" s="13" t="s">
        <v>3238</v>
      </c>
      <c r="J1379" s="14" t="str">
        <f>HYPERLINK("https://www.boe.es/gazeta/dias/1839/12/03/pdfs/GMD-1839-1850.pdf#page=1","Abrir facsímil")</f>
        <v>Abrir facsímil</v>
      </c>
      <c r="K1379" s="12" t="s">
        <v>65</v>
      </c>
    </row>
    <row r="1380" spans="1:11" ht="40.049999999999997" customHeight="1" x14ac:dyDescent="0.25">
      <c r="A1380" s="11" t="s">
        <v>3239</v>
      </c>
      <c r="B1380" s="11" t="s">
        <v>3239</v>
      </c>
      <c r="C1380" s="11" t="s">
        <v>137</v>
      </c>
      <c r="D1380" s="11" t="s">
        <v>18</v>
      </c>
      <c r="E1380" s="12" t="s">
        <v>448</v>
      </c>
      <c r="F1380" s="12" t="s">
        <v>449</v>
      </c>
      <c r="G1380" s="12" t="s">
        <v>29</v>
      </c>
      <c r="H1380" s="11" t="s">
        <v>63</v>
      </c>
      <c r="I1380" s="13" t="s">
        <v>3240</v>
      </c>
      <c r="J1380" s="14" t="str">
        <f>HYPERLINK("https://www.boe.es/gazeta/dias/1839/02/06/pdfs/GMD-1839-1544.pdf#page=1","Abrir facsímil")</f>
        <v>Abrir facsímil</v>
      </c>
      <c r="K1380" s="12" t="s">
        <v>65</v>
      </c>
    </row>
    <row r="1381" spans="1:11" ht="40.049999999999997" customHeight="1" x14ac:dyDescent="0.25">
      <c r="A1381" s="11" t="s">
        <v>3239</v>
      </c>
      <c r="B1381" s="11" t="s">
        <v>3239</v>
      </c>
      <c r="C1381" s="11" t="s">
        <v>80</v>
      </c>
      <c r="D1381" s="11" t="s">
        <v>18</v>
      </c>
      <c r="E1381" s="12" t="s">
        <v>121</v>
      </c>
      <c r="F1381" s="12" t="s">
        <v>122</v>
      </c>
      <c r="G1381" s="12" t="s">
        <v>46</v>
      </c>
      <c r="H1381" s="11" t="s">
        <v>63</v>
      </c>
      <c r="I1381" s="13" t="s">
        <v>3241</v>
      </c>
      <c r="J1381" s="14" t="str">
        <f>HYPERLINK("https://www.boe.es/gazeta/dias/1839/06/08/pdfs/GMD-1839-1666.pdf#page=3","Abrir facsímil")</f>
        <v>Abrir facsímil</v>
      </c>
      <c r="K1381" s="12" t="s">
        <v>65</v>
      </c>
    </row>
    <row r="1382" spans="1:11" ht="40.049999999999997" customHeight="1" x14ac:dyDescent="0.25">
      <c r="A1382" s="11" t="s">
        <v>3239</v>
      </c>
      <c r="B1382" s="11" t="s">
        <v>3239</v>
      </c>
      <c r="C1382" s="11" t="s">
        <v>17</v>
      </c>
      <c r="D1382" s="11" t="s">
        <v>18</v>
      </c>
      <c r="E1382" s="12" t="s">
        <v>38</v>
      </c>
      <c r="F1382" s="12" t="s">
        <v>39</v>
      </c>
      <c r="G1382" s="12" t="s">
        <v>40</v>
      </c>
      <c r="H1382" s="11" t="s">
        <v>63</v>
      </c>
      <c r="I1382" s="13" t="s">
        <v>3242</v>
      </c>
      <c r="J1382" s="14" t="str">
        <f>HYPERLINK("https://www.boe.es/gazeta/dias/1839/08/08/pdfs/GMD-1839-1728.pdf#page=2","Abrir facsímil")</f>
        <v>Abrir facsímil</v>
      </c>
      <c r="K1382" s="12" t="s">
        <v>65</v>
      </c>
    </row>
    <row r="1383" spans="1:11" ht="40.049999999999997" customHeight="1" x14ac:dyDescent="0.25">
      <c r="A1383" s="11" t="s">
        <v>3239</v>
      </c>
      <c r="B1383" s="11" t="s">
        <v>3239</v>
      </c>
      <c r="C1383" s="11" t="s">
        <v>17</v>
      </c>
      <c r="D1383" s="11" t="s">
        <v>18</v>
      </c>
      <c r="E1383" s="12" t="s">
        <v>3114</v>
      </c>
      <c r="F1383" s="12" t="s">
        <v>3115</v>
      </c>
      <c r="G1383" s="12" t="s">
        <v>40</v>
      </c>
      <c r="H1383" s="11" t="s">
        <v>63</v>
      </c>
      <c r="I1383" s="13" t="s">
        <v>3243</v>
      </c>
      <c r="J1383" s="14" t="str">
        <f>HYPERLINK("https://www.boe.es/gazeta/dias/1839/05/15/pdfs/GMD-1839-1642.pdf#page=2","Abrir facsímil")</f>
        <v>Abrir facsímil</v>
      </c>
      <c r="K1383" s="12" t="s">
        <v>65</v>
      </c>
    </row>
    <row r="1384" spans="1:11" ht="40.049999999999997" customHeight="1" x14ac:dyDescent="0.25">
      <c r="A1384" s="11" t="s">
        <v>3244</v>
      </c>
      <c r="B1384" s="11" t="s">
        <v>3245</v>
      </c>
      <c r="C1384" s="11" t="s">
        <v>137</v>
      </c>
      <c r="D1384" s="11" t="s">
        <v>18</v>
      </c>
      <c r="E1384" s="12" t="s">
        <v>138</v>
      </c>
      <c r="F1384" s="12" t="s">
        <v>139</v>
      </c>
      <c r="G1384" s="12" t="s">
        <v>21</v>
      </c>
      <c r="H1384" s="11" t="s">
        <v>63</v>
      </c>
      <c r="I1384" s="13" t="s">
        <v>3246</v>
      </c>
      <c r="J1384" s="14" t="str">
        <f>HYPERLINK("https://www.boe.es/gazeta/dias/1839/10/09/pdfs/GMD-1839-1795.pdf#page=4","Abrir facsímil")</f>
        <v>Abrir facsímil</v>
      </c>
      <c r="K1384" s="12" t="s">
        <v>65</v>
      </c>
    </row>
    <row r="1385" spans="1:11" ht="40.049999999999997" customHeight="1" x14ac:dyDescent="0.25">
      <c r="A1385" s="11" t="s">
        <v>3247</v>
      </c>
      <c r="B1385" s="11" t="s">
        <v>3248</v>
      </c>
      <c r="C1385" s="11" t="s">
        <v>59</v>
      </c>
      <c r="D1385" s="11" t="s">
        <v>60</v>
      </c>
      <c r="E1385" s="12" t="s">
        <v>2021</v>
      </c>
      <c r="F1385" s="12" t="s">
        <v>2022</v>
      </c>
      <c r="G1385" s="12" t="s">
        <v>46</v>
      </c>
      <c r="H1385" s="11" t="s">
        <v>63</v>
      </c>
      <c r="I1385" s="13" t="s">
        <v>3249</v>
      </c>
      <c r="J1385" s="14" t="str">
        <f>HYPERLINK("https://www.boe.es/gazeta/dias/1839/02/17/pdfs/GMD-1839-1555.pdf#page=3","Abrir facsímil")</f>
        <v>Abrir facsímil</v>
      </c>
      <c r="K1385" s="12" t="s">
        <v>65</v>
      </c>
    </row>
    <row r="1386" spans="1:11" ht="40.049999999999997" customHeight="1" x14ac:dyDescent="0.25">
      <c r="A1386" s="11" t="s">
        <v>3250</v>
      </c>
      <c r="B1386" s="11" t="s">
        <v>3251</v>
      </c>
      <c r="C1386" s="11" t="s">
        <v>137</v>
      </c>
      <c r="D1386" s="11" t="s">
        <v>18</v>
      </c>
      <c r="E1386" s="12" t="s">
        <v>202</v>
      </c>
      <c r="F1386" s="12" t="s">
        <v>203</v>
      </c>
      <c r="G1386" s="12" t="s">
        <v>46</v>
      </c>
      <c r="H1386" s="11" t="s">
        <v>63</v>
      </c>
      <c r="I1386" s="13" t="s">
        <v>3252</v>
      </c>
      <c r="J1386" s="14" t="str">
        <f>HYPERLINK("https://www.boe.es/gazeta/dias/1839/04/05/pdfs/GMD-1839-1602.pdf#page=3","Abrir facsímil")</f>
        <v>Abrir facsímil</v>
      </c>
      <c r="K1386" s="12" t="s">
        <v>65</v>
      </c>
    </row>
    <row r="1387" spans="1:11" ht="40.049999999999997" customHeight="1" x14ac:dyDescent="0.25">
      <c r="A1387" s="11" t="s">
        <v>3253</v>
      </c>
      <c r="B1387" s="11" t="s">
        <v>3254</v>
      </c>
      <c r="C1387" s="11" t="s">
        <v>17</v>
      </c>
      <c r="D1387" s="11" t="s">
        <v>18</v>
      </c>
      <c r="E1387" s="12" t="s">
        <v>462</v>
      </c>
      <c r="F1387" s="12" t="s">
        <v>463</v>
      </c>
      <c r="G1387" s="12" t="s">
        <v>46</v>
      </c>
      <c r="H1387" s="11" t="s">
        <v>22</v>
      </c>
      <c r="I1387" s="13" t="s">
        <v>3255</v>
      </c>
      <c r="J1387" s="14" t="str">
        <f>HYPERLINK("https://www.boe.es/gazeta/dias/1839/06/19/pdfs/GMD-1839-1677.pdf#page=3","Abrir facsímil")</f>
        <v>Abrir facsímil</v>
      </c>
      <c r="K1387" s="12" t="s">
        <v>24</v>
      </c>
    </row>
    <row r="1388" spans="1:11" ht="40.049999999999997" customHeight="1" x14ac:dyDescent="0.25">
      <c r="A1388" s="11" t="s">
        <v>3256</v>
      </c>
      <c r="B1388" s="11" t="s">
        <v>3257</v>
      </c>
      <c r="C1388" s="11" t="s">
        <v>137</v>
      </c>
      <c r="D1388" s="11" t="s">
        <v>18</v>
      </c>
      <c r="E1388" s="12" t="s">
        <v>375</v>
      </c>
      <c r="F1388" s="12" t="s">
        <v>376</v>
      </c>
      <c r="G1388" s="12" t="s">
        <v>21</v>
      </c>
      <c r="H1388" s="11" t="s">
        <v>22</v>
      </c>
      <c r="I1388" s="13" t="s">
        <v>3258</v>
      </c>
      <c r="J1388" s="14" t="str">
        <f>HYPERLINK("https://www.boe.es/gazeta/dias/1839/11/25/pdfs/GMD-1839-1842.pdf#page=4","Abrir facsímil")</f>
        <v>Abrir facsímil</v>
      </c>
      <c r="K1388" s="12" t="s">
        <v>24</v>
      </c>
    </row>
    <row r="1389" spans="1:11" ht="40.049999999999997" customHeight="1" x14ac:dyDescent="0.25">
      <c r="A1389" s="11" t="s">
        <v>3259</v>
      </c>
      <c r="B1389" s="11" t="s">
        <v>3259</v>
      </c>
      <c r="C1389" s="11" t="s">
        <v>17</v>
      </c>
      <c r="D1389" s="11" t="s">
        <v>18</v>
      </c>
      <c r="E1389" s="12" t="s">
        <v>1813</v>
      </c>
      <c r="F1389" s="12" t="s">
        <v>1814</v>
      </c>
      <c r="G1389" s="12" t="s">
        <v>40</v>
      </c>
      <c r="H1389" s="11" t="s">
        <v>63</v>
      </c>
      <c r="I1389" s="13" t="s">
        <v>3260</v>
      </c>
      <c r="J1389" s="14" t="str">
        <f>HYPERLINK("https://www.boe.es/gazeta/dias/1839/09/02/pdfs/GMD-1839-1754.pdf#page=2","Abrir facsímil")</f>
        <v>Abrir facsímil</v>
      </c>
      <c r="K1389" s="12" t="s">
        <v>65</v>
      </c>
    </row>
    <row r="1390" spans="1:11" ht="40.049999999999997" customHeight="1" x14ac:dyDescent="0.25">
      <c r="A1390" s="11" t="s">
        <v>3259</v>
      </c>
      <c r="B1390" s="11" t="s">
        <v>3259</v>
      </c>
      <c r="C1390" s="11" t="s">
        <v>17</v>
      </c>
      <c r="D1390" s="11" t="s">
        <v>18</v>
      </c>
      <c r="E1390" s="12" t="s">
        <v>2738</v>
      </c>
      <c r="F1390" s="12" t="s">
        <v>2739</v>
      </c>
      <c r="G1390" s="12" t="s">
        <v>40</v>
      </c>
      <c r="H1390" s="11" t="s">
        <v>63</v>
      </c>
      <c r="I1390" s="13" t="s">
        <v>3261</v>
      </c>
      <c r="J1390" s="14" t="str">
        <f>HYPERLINK("https://www.boe.es/gazeta/dias/1839/09/06/pdfs/GMD-1839-1759.pdf#page=2","Abrir facsímil")</f>
        <v>Abrir facsímil</v>
      </c>
      <c r="K1390" s="12" t="s">
        <v>65</v>
      </c>
    </row>
    <row r="1391" spans="1:11" ht="40.049999999999997" customHeight="1" x14ac:dyDescent="0.25">
      <c r="A1391" s="11" t="s">
        <v>3262</v>
      </c>
      <c r="B1391" s="11" t="s">
        <v>3263</v>
      </c>
      <c r="C1391" s="11" t="s">
        <v>17</v>
      </c>
      <c r="D1391" s="11" t="s">
        <v>18</v>
      </c>
      <c r="E1391" s="12" t="s">
        <v>1988</v>
      </c>
      <c r="F1391" s="12" t="s">
        <v>1989</v>
      </c>
      <c r="G1391" s="12" t="s">
        <v>566</v>
      </c>
      <c r="H1391" s="11" t="s">
        <v>63</v>
      </c>
      <c r="I1391" s="13" t="s">
        <v>3264</v>
      </c>
      <c r="J1391" s="14" t="str">
        <f>HYPERLINK("https://www.boe.es/gazeta/dias/1839/10/29/pdfs/GMD-1839-1815.pdf#page=5","Abrir facsímil")</f>
        <v>Abrir facsímil</v>
      </c>
      <c r="K1391" s="12" t="s">
        <v>65</v>
      </c>
    </row>
    <row r="1392" spans="1:11" ht="40.049999999999997" customHeight="1" x14ac:dyDescent="0.25">
      <c r="A1392" s="11" t="s">
        <v>3265</v>
      </c>
      <c r="B1392" s="11" t="s">
        <v>3265</v>
      </c>
      <c r="C1392" s="11" t="s">
        <v>17</v>
      </c>
      <c r="D1392" s="11" t="s">
        <v>18</v>
      </c>
      <c r="E1392" s="12" t="s">
        <v>577</v>
      </c>
      <c r="F1392" s="12" t="s">
        <v>578</v>
      </c>
      <c r="G1392" s="12" t="s">
        <v>40</v>
      </c>
      <c r="H1392" s="11" t="s">
        <v>63</v>
      </c>
      <c r="I1392" s="13" t="s">
        <v>3266</v>
      </c>
      <c r="J1392" s="14" t="str">
        <f>HYPERLINK("https://www.boe.es/gazeta/dias/1839/09/30/pdfs/GMD-1839-1786.pdf#page=2","Abrir facsímil")</f>
        <v>Abrir facsímil</v>
      </c>
      <c r="K1392" s="12" t="s">
        <v>65</v>
      </c>
    </row>
    <row r="1393" spans="1:11" ht="40.049999999999997" customHeight="1" x14ac:dyDescent="0.25">
      <c r="A1393" s="11" t="s">
        <v>3267</v>
      </c>
      <c r="B1393" s="11" t="s">
        <v>3267</v>
      </c>
      <c r="C1393" s="11" t="s">
        <v>80</v>
      </c>
      <c r="D1393" s="11" t="s">
        <v>18</v>
      </c>
      <c r="E1393" s="12" t="s">
        <v>222</v>
      </c>
      <c r="F1393" s="12" t="s">
        <v>223</v>
      </c>
      <c r="G1393" s="12" t="s">
        <v>29</v>
      </c>
      <c r="H1393" s="11" t="s">
        <v>63</v>
      </c>
      <c r="I1393" s="13" t="s">
        <v>3268</v>
      </c>
      <c r="J1393" s="14" t="str">
        <f>HYPERLINK("https://www.boe.es/gazeta/dias/1839/06/22/pdfs/GMD-1839-1680.pdf#page=1","Abrir facsímil")</f>
        <v>Abrir facsímil</v>
      </c>
      <c r="K1393" s="12" t="s">
        <v>65</v>
      </c>
    </row>
    <row r="1394" spans="1:11" ht="40.049999999999997" customHeight="1" x14ac:dyDescent="0.25">
      <c r="A1394" s="11" t="s">
        <v>3269</v>
      </c>
      <c r="B1394" s="11" t="s">
        <v>3269</v>
      </c>
      <c r="C1394" s="11" t="s">
        <v>17</v>
      </c>
      <c r="D1394" s="11" t="s">
        <v>18</v>
      </c>
      <c r="E1394" s="12" t="s">
        <v>522</v>
      </c>
      <c r="F1394" s="12" t="s">
        <v>523</v>
      </c>
      <c r="G1394" s="12" t="s">
        <v>40</v>
      </c>
      <c r="H1394" s="11" t="s">
        <v>63</v>
      </c>
      <c r="I1394" s="13" t="s">
        <v>3270</v>
      </c>
      <c r="J1394" s="14" t="str">
        <f>HYPERLINK("https://www.boe.es/gazeta/dias/1839/08/27/pdfs/GMD-1839-1748.pdf#page=2","Abrir facsímil")</f>
        <v>Abrir facsímil</v>
      </c>
      <c r="K1394" s="12" t="s">
        <v>65</v>
      </c>
    </row>
    <row r="1395" spans="1:11" ht="40.049999999999997" customHeight="1" x14ac:dyDescent="0.25">
      <c r="A1395" s="11" t="s">
        <v>3271</v>
      </c>
      <c r="B1395" s="11" t="s">
        <v>3272</v>
      </c>
      <c r="C1395" s="11" t="s">
        <v>17</v>
      </c>
      <c r="D1395" s="11" t="s">
        <v>18</v>
      </c>
      <c r="E1395" s="12" t="s">
        <v>548</v>
      </c>
      <c r="F1395" s="12" t="s">
        <v>549</v>
      </c>
      <c r="G1395" s="12" t="s">
        <v>21</v>
      </c>
      <c r="H1395" s="11" t="s">
        <v>63</v>
      </c>
      <c r="I1395" s="13" t="s">
        <v>3273</v>
      </c>
      <c r="J1395" s="14" t="str">
        <f>HYPERLINK("https://www.boe.es/gazeta/dias/1839/06/06/pdfs/GMD-1839-1664.pdf#page=4","Abrir facsímil")</f>
        <v>Abrir facsímil</v>
      </c>
      <c r="K1395" s="12" t="s">
        <v>65</v>
      </c>
    </row>
    <row r="1396" spans="1:11" ht="40.049999999999997" customHeight="1" x14ac:dyDescent="0.25">
      <c r="A1396" s="11" t="s">
        <v>3274</v>
      </c>
      <c r="B1396" s="11" t="s">
        <v>3275</v>
      </c>
      <c r="C1396" s="11" t="s">
        <v>137</v>
      </c>
      <c r="D1396" s="11" t="s">
        <v>18</v>
      </c>
      <c r="E1396" s="12" t="s">
        <v>197</v>
      </c>
      <c r="F1396" s="12" t="s">
        <v>198</v>
      </c>
      <c r="G1396" s="12" t="s">
        <v>46</v>
      </c>
      <c r="H1396" s="11" t="s">
        <v>63</v>
      </c>
      <c r="I1396" s="13" t="s">
        <v>3276</v>
      </c>
      <c r="J1396" s="14" t="str">
        <f>HYPERLINK("https://www.boe.es/gazeta/dias/1839/10/04/pdfs/GMD-1839-1790.pdf#page=3","Abrir facsímil")</f>
        <v>Abrir facsímil</v>
      </c>
      <c r="K1396" s="12" t="s">
        <v>65</v>
      </c>
    </row>
    <row r="1397" spans="1:11" ht="40.049999999999997" customHeight="1" x14ac:dyDescent="0.25">
      <c r="A1397" s="11" t="s">
        <v>3277</v>
      </c>
      <c r="B1397" s="11" t="s">
        <v>3278</v>
      </c>
      <c r="C1397" s="11" t="s">
        <v>17</v>
      </c>
      <c r="D1397" s="11" t="s">
        <v>18</v>
      </c>
      <c r="E1397" s="12" t="s">
        <v>1027</v>
      </c>
      <c r="F1397" s="12" t="s">
        <v>1028</v>
      </c>
      <c r="G1397" s="12" t="s">
        <v>21</v>
      </c>
      <c r="H1397" s="11" t="s">
        <v>63</v>
      </c>
      <c r="I1397" s="13" t="s">
        <v>3279</v>
      </c>
      <c r="J1397" s="14" t="str">
        <f>HYPERLINK("https://www.boe.es/gazeta/dias/1839/08/16/pdfs/GMD-1839-1736.pdf#page=4","Abrir facsímil")</f>
        <v>Abrir facsímil</v>
      </c>
      <c r="K1397" s="12" t="s">
        <v>65</v>
      </c>
    </row>
    <row r="1398" spans="1:11" ht="40.049999999999997" customHeight="1" x14ac:dyDescent="0.25">
      <c r="A1398" s="11" t="s">
        <v>3280</v>
      </c>
      <c r="B1398" s="11" t="s">
        <v>3281</v>
      </c>
      <c r="C1398" s="11" t="s">
        <v>59</v>
      </c>
      <c r="D1398" s="11" t="s">
        <v>60</v>
      </c>
      <c r="E1398" s="12" t="s">
        <v>385</v>
      </c>
      <c r="F1398" s="12" t="s">
        <v>386</v>
      </c>
      <c r="G1398" s="12" t="s">
        <v>40</v>
      </c>
      <c r="H1398" s="11" t="s">
        <v>63</v>
      </c>
      <c r="I1398" s="13" t="s">
        <v>3282</v>
      </c>
      <c r="J1398" s="14" t="str">
        <f>HYPERLINK("https://www.boe.es/gazeta/dias/1839/08/01/pdfs/GMD-1839-1721.pdf#page=2","Abrir facsímil")</f>
        <v>Abrir facsímil</v>
      </c>
      <c r="K1398" s="12" t="s">
        <v>65</v>
      </c>
    </row>
    <row r="1399" spans="1:11" ht="40.049999999999997" customHeight="1" x14ac:dyDescent="0.25">
      <c r="A1399" s="11" t="s">
        <v>3283</v>
      </c>
      <c r="B1399" s="11" t="s">
        <v>3284</v>
      </c>
      <c r="C1399" s="11" t="s">
        <v>101</v>
      </c>
      <c r="D1399" s="11" t="s">
        <v>43</v>
      </c>
      <c r="E1399" s="12" t="s">
        <v>49</v>
      </c>
      <c r="F1399" s="12" t="s">
        <v>50</v>
      </c>
      <c r="G1399" s="12" t="s">
        <v>46</v>
      </c>
      <c r="H1399" s="11" t="s">
        <v>63</v>
      </c>
      <c r="I1399" s="13" t="s">
        <v>3285</v>
      </c>
      <c r="J1399" s="14" t="str">
        <f>HYPERLINK("https://www.boe.es/gazeta/dias/1839/01/05/pdfs/GMD-1839-1512.pdf#page=3","Abrir facsímil")</f>
        <v>Abrir facsímil</v>
      </c>
      <c r="K1399" s="12" t="s">
        <v>65</v>
      </c>
    </row>
    <row r="1400" spans="1:11" ht="40.049999999999997" customHeight="1" x14ac:dyDescent="0.25">
      <c r="A1400" s="11" t="s">
        <v>3286</v>
      </c>
      <c r="B1400" s="11" t="s">
        <v>3286</v>
      </c>
      <c r="C1400" s="11" t="s">
        <v>17</v>
      </c>
      <c r="D1400" s="11" t="s">
        <v>18</v>
      </c>
      <c r="E1400" s="12" t="s">
        <v>2415</v>
      </c>
      <c r="F1400" s="12" t="s">
        <v>2416</v>
      </c>
      <c r="G1400" s="12" t="s">
        <v>46</v>
      </c>
      <c r="H1400" s="11" t="s">
        <v>63</v>
      </c>
      <c r="I1400" s="13" t="s">
        <v>3287</v>
      </c>
      <c r="J1400" s="14" t="str">
        <f>HYPERLINK("https://www.boe.es/gazeta/dias/1839/12/22/pdfs/GMD-1839-1869.pdf#page=3","Abrir facsímil")</f>
        <v>Abrir facsímil</v>
      </c>
      <c r="K1400" s="12" t="s">
        <v>65</v>
      </c>
    </row>
    <row r="1401" spans="1:11" ht="40.049999999999997" customHeight="1" x14ac:dyDescent="0.25">
      <c r="A1401" s="11" t="s">
        <v>3288</v>
      </c>
      <c r="B1401" s="11" t="s">
        <v>3288</v>
      </c>
      <c r="C1401" s="11" t="s">
        <v>80</v>
      </c>
      <c r="D1401" s="11" t="s">
        <v>18</v>
      </c>
      <c r="E1401" s="12" t="s">
        <v>3289</v>
      </c>
      <c r="F1401" s="12" t="s">
        <v>3290</v>
      </c>
      <c r="G1401" s="12" t="s">
        <v>21</v>
      </c>
      <c r="H1401" s="11" t="s">
        <v>63</v>
      </c>
      <c r="I1401" s="13" t="s">
        <v>3291</v>
      </c>
      <c r="J1401" s="14" t="str">
        <f>HYPERLINK("https://www.boe.es/gazeta/dias/1839/12/10/pdfs/GMD-1839-1857.pdf#page=4","Abrir facsímil")</f>
        <v>Abrir facsímil</v>
      </c>
      <c r="K1401" s="12" t="s">
        <v>65</v>
      </c>
    </row>
    <row r="1402" spans="1:11" ht="40.049999999999997" customHeight="1" x14ac:dyDescent="0.25">
      <c r="A1402" s="11" t="s">
        <v>3292</v>
      </c>
      <c r="B1402" s="11" t="s">
        <v>3292</v>
      </c>
      <c r="C1402" s="11" t="s">
        <v>17</v>
      </c>
      <c r="D1402" s="11" t="s">
        <v>18</v>
      </c>
      <c r="E1402" s="12" t="s">
        <v>246</v>
      </c>
      <c r="F1402" s="12" t="s">
        <v>247</v>
      </c>
      <c r="G1402" s="12" t="s">
        <v>46</v>
      </c>
      <c r="H1402" s="11" t="s">
        <v>63</v>
      </c>
      <c r="I1402" s="13" t="s">
        <v>3293</v>
      </c>
      <c r="J1402" s="14" t="str">
        <f>HYPERLINK("https://www.boe.es/gazeta/dias/1839/11/24/pdfs/GMD-1839-1841.pdf#page=3","Abrir facsímil")</f>
        <v>Abrir facsímil</v>
      </c>
      <c r="K1402" s="12" t="s">
        <v>65</v>
      </c>
    </row>
    <row r="1403" spans="1:11" ht="40.049999999999997" customHeight="1" x14ac:dyDescent="0.25">
      <c r="A1403" s="11" t="s">
        <v>3294</v>
      </c>
      <c r="B1403" s="11" t="s">
        <v>3295</v>
      </c>
      <c r="C1403" s="11" t="s">
        <v>17</v>
      </c>
      <c r="D1403" s="11" t="s">
        <v>18</v>
      </c>
      <c r="E1403" s="12" t="s">
        <v>826</v>
      </c>
      <c r="F1403" s="12" t="s">
        <v>827</v>
      </c>
      <c r="G1403" s="12" t="s">
        <v>21</v>
      </c>
      <c r="H1403" s="11" t="s">
        <v>63</v>
      </c>
      <c r="I1403" s="13" t="s">
        <v>3296</v>
      </c>
      <c r="J1403" s="14" t="str">
        <f>HYPERLINK("https://www.boe.es/gazeta/dias/1839/09/25/pdfs/GMD-1839-1781.pdf#page=4","Abrir facsímil")</f>
        <v>Abrir facsímil</v>
      </c>
      <c r="K1403" s="12" t="s">
        <v>65</v>
      </c>
    </row>
    <row r="1404" spans="1:11" ht="40.049999999999997" customHeight="1" x14ac:dyDescent="0.25">
      <c r="A1404" s="11" t="s">
        <v>3297</v>
      </c>
      <c r="B1404" s="11" t="s">
        <v>3297</v>
      </c>
      <c r="C1404" s="11" t="s">
        <v>17</v>
      </c>
      <c r="D1404" s="11" t="s">
        <v>18</v>
      </c>
      <c r="E1404" s="12" t="s">
        <v>918</v>
      </c>
      <c r="F1404" s="12" t="s">
        <v>919</v>
      </c>
      <c r="G1404" s="12" t="s">
        <v>29</v>
      </c>
      <c r="H1404" s="11" t="s">
        <v>63</v>
      </c>
      <c r="I1404" s="13" t="s">
        <v>3298</v>
      </c>
      <c r="J1404" s="14" t="str">
        <f>HYPERLINK("https://www.boe.es/gazeta/dias/1839/12/07/pdfs/GMD-1839-1854.pdf#page=1","Abrir facsímil")</f>
        <v>Abrir facsímil</v>
      </c>
      <c r="K1404" s="12" t="s">
        <v>65</v>
      </c>
    </row>
    <row r="1405" spans="1:11" ht="40.049999999999997" customHeight="1" x14ac:dyDescent="0.25">
      <c r="A1405" s="11" t="s">
        <v>3297</v>
      </c>
      <c r="B1405" s="11" t="s">
        <v>3297</v>
      </c>
      <c r="C1405" s="11" t="s">
        <v>17</v>
      </c>
      <c r="D1405" s="11" t="s">
        <v>18</v>
      </c>
      <c r="E1405" s="12" t="s">
        <v>1012</v>
      </c>
      <c r="F1405" s="12" t="s">
        <v>1013</v>
      </c>
      <c r="G1405" s="12" t="s">
        <v>40</v>
      </c>
      <c r="H1405" s="11" t="s">
        <v>63</v>
      </c>
      <c r="I1405" s="13" t="s">
        <v>3299</v>
      </c>
      <c r="J1405" s="14" t="str">
        <f>HYPERLINK("https://www.boe.es/gazeta/dias/1839/11/22/pdfs/GMD-1839-1839.pdf#page=2","Abrir facsímil")</f>
        <v>Abrir facsímil</v>
      </c>
      <c r="K1405" s="12" t="s">
        <v>65</v>
      </c>
    </row>
    <row r="1406" spans="1:11" ht="40.049999999999997" customHeight="1" x14ac:dyDescent="0.25">
      <c r="A1406" s="11" t="s">
        <v>3300</v>
      </c>
      <c r="B1406" s="11" t="s">
        <v>3300</v>
      </c>
      <c r="C1406" s="11" t="s">
        <v>17</v>
      </c>
      <c r="D1406" s="11" t="s">
        <v>18</v>
      </c>
      <c r="E1406" s="12" t="s">
        <v>3224</v>
      </c>
      <c r="F1406" s="12" t="s">
        <v>3225</v>
      </c>
      <c r="G1406" s="12" t="s">
        <v>46</v>
      </c>
      <c r="H1406" s="11" t="s">
        <v>63</v>
      </c>
      <c r="I1406" s="13" t="s">
        <v>3301</v>
      </c>
      <c r="J1406" s="14" t="str">
        <f>HYPERLINK("https://www.boe.es/gazeta/dias/1839/06/03/pdfs/GMD-1839-1661.pdf#page=3","Abrir facsímil")</f>
        <v>Abrir facsímil</v>
      </c>
      <c r="K1406" s="12" t="s">
        <v>65</v>
      </c>
    </row>
    <row r="1407" spans="1:11" ht="40.049999999999997" customHeight="1" x14ac:dyDescent="0.25">
      <c r="A1407" s="11" t="s">
        <v>3300</v>
      </c>
      <c r="B1407" s="11" t="s">
        <v>3300</v>
      </c>
      <c r="C1407" s="11" t="s">
        <v>17</v>
      </c>
      <c r="D1407" s="11" t="s">
        <v>18</v>
      </c>
      <c r="E1407" s="12" t="s">
        <v>500</v>
      </c>
      <c r="F1407" s="12" t="s">
        <v>501</v>
      </c>
      <c r="G1407" s="12" t="s">
        <v>46</v>
      </c>
      <c r="H1407" s="11" t="s">
        <v>63</v>
      </c>
      <c r="I1407" s="13" t="s">
        <v>3302</v>
      </c>
      <c r="J1407" s="14" t="str">
        <f>HYPERLINK("https://www.boe.es/gazeta/dias/1839/11/06/pdfs/GMD-1839-1823.pdf#page=3","Abrir facsímil")</f>
        <v>Abrir facsímil</v>
      </c>
      <c r="K1407" s="12" t="s">
        <v>65</v>
      </c>
    </row>
    <row r="1408" spans="1:11" ht="40.049999999999997" customHeight="1" x14ac:dyDescent="0.25">
      <c r="A1408" s="11" t="s">
        <v>3303</v>
      </c>
      <c r="B1408" s="11" t="s">
        <v>3303</v>
      </c>
      <c r="C1408" s="11" t="s">
        <v>17</v>
      </c>
      <c r="D1408" s="11" t="s">
        <v>18</v>
      </c>
      <c r="E1408" s="12" t="s">
        <v>2449</v>
      </c>
      <c r="F1408" s="12" t="s">
        <v>2450</v>
      </c>
      <c r="G1408" s="12" t="s">
        <v>46</v>
      </c>
      <c r="H1408" s="11" t="s">
        <v>63</v>
      </c>
      <c r="I1408" s="13" t="s">
        <v>3304</v>
      </c>
      <c r="J1408" s="14" t="str">
        <f>HYPERLINK("https://www.boe.es/gazeta/dias/1839/12/11/pdfs/GMD-1839-1858.pdf#page=3","Abrir facsímil")</f>
        <v>Abrir facsímil</v>
      </c>
      <c r="K1408" s="12" t="s">
        <v>65</v>
      </c>
    </row>
    <row r="1409" spans="1:11" ht="40.049999999999997" customHeight="1" x14ac:dyDescent="0.25">
      <c r="A1409" s="11" t="s">
        <v>3305</v>
      </c>
      <c r="B1409" s="11" t="s">
        <v>3306</v>
      </c>
      <c r="C1409" s="11" t="s">
        <v>137</v>
      </c>
      <c r="D1409" s="11" t="s">
        <v>18</v>
      </c>
      <c r="E1409" s="12" t="s">
        <v>168</v>
      </c>
      <c r="F1409" s="12" t="s">
        <v>169</v>
      </c>
      <c r="G1409" s="12" t="s">
        <v>21</v>
      </c>
      <c r="H1409" s="11" t="s">
        <v>63</v>
      </c>
      <c r="I1409" s="13" t="s">
        <v>3307</v>
      </c>
      <c r="J1409" s="14" t="str">
        <f>HYPERLINK("https://www.boe.es/gazeta/dias/1839/07/12/pdfs/GMD-1839-1700.pdf#page=4","Abrir facsímil")</f>
        <v>Abrir facsímil</v>
      </c>
      <c r="K1409" s="12" t="s">
        <v>65</v>
      </c>
    </row>
    <row r="1410" spans="1:11" ht="40.049999999999997" customHeight="1" x14ac:dyDescent="0.25">
      <c r="A1410" s="11" t="s">
        <v>3308</v>
      </c>
      <c r="B1410" s="11" t="s">
        <v>3309</v>
      </c>
      <c r="C1410" s="11" t="s">
        <v>59</v>
      </c>
      <c r="D1410" s="11" t="s">
        <v>60</v>
      </c>
      <c r="E1410" s="12" t="s">
        <v>474</v>
      </c>
      <c r="F1410" s="12" t="s">
        <v>475</v>
      </c>
      <c r="G1410" s="12" t="s">
        <v>21</v>
      </c>
      <c r="H1410" s="11" t="s">
        <v>63</v>
      </c>
      <c r="I1410" s="13" t="s">
        <v>3310</v>
      </c>
      <c r="J1410" s="14" t="str">
        <f>HYPERLINK("https://www.boe.es/gazeta/dias/1839/03/31/pdfs/GMD-1839-1597.pdf#page=4","Abrir facsímil")</f>
        <v>Abrir facsímil</v>
      </c>
      <c r="K1410" s="12" t="s">
        <v>65</v>
      </c>
    </row>
    <row r="1411" spans="1:11" ht="40.049999999999997" customHeight="1" x14ac:dyDescent="0.25">
      <c r="A1411" s="11" t="s">
        <v>3311</v>
      </c>
      <c r="B1411" s="11" t="s">
        <v>3312</v>
      </c>
      <c r="C1411" s="11" t="s">
        <v>80</v>
      </c>
      <c r="D1411" s="11" t="s">
        <v>18</v>
      </c>
      <c r="E1411" s="12" t="s">
        <v>695</v>
      </c>
      <c r="F1411" s="12" t="s">
        <v>696</v>
      </c>
      <c r="G1411" s="12" t="s">
        <v>21</v>
      </c>
      <c r="H1411" s="11" t="s">
        <v>63</v>
      </c>
      <c r="I1411" s="13" t="s">
        <v>3313</v>
      </c>
      <c r="J1411" s="14" t="str">
        <f>HYPERLINK("https://www.boe.es/gazeta/dias/1839/12/19/pdfs/GMD-1839-1866.pdf#page=4","Abrir facsímil")</f>
        <v>Abrir facsímil</v>
      </c>
      <c r="K1411" s="12" t="s">
        <v>65</v>
      </c>
    </row>
    <row r="1412" spans="1:11" ht="40.049999999999997" customHeight="1" x14ac:dyDescent="0.25">
      <c r="A1412" s="11" t="s">
        <v>3311</v>
      </c>
      <c r="B1412" s="11" t="s">
        <v>3312</v>
      </c>
      <c r="C1412" s="11" t="s">
        <v>101</v>
      </c>
      <c r="D1412" s="11" t="s">
        <v>102</v>
      </c>
      <c r="E1412" s="12" t="s">
        <v>817</v>
      </c>
      <c r="F1412" s="12" t="s">
        <v>818</v>
      </c>
      <c r="G1412" s="12" t="s">
        <v>21</v>
      </c>
      <c r="H1412" s="11" t="s">
        <v>63</v>
      </c>
      <c r="I1412" s="13" t="s">
        <v>3314</v>
      </c>
      <c r="J1412" s="14" t="str">
        <f>HYPERLINK("https://www.boe.es/gazeta/dias/1839/05/28/pdfs/GMD-1839-1655.pdf#page=4","Abrir facsímil")</f>
        <v>Abrir facsímil</v>
      </c>
      <c r="K1412" s="12" t="s">
        <v>65</v>
      </c>
    </row>
    <row r="1413" spans="1:11" ht="40.049999999999997" customHeight="1" x14ac:dyDescent="0.25">
      <c r="A1413" s="11" t="s">
        <v>3315</v>
      </c>
      <c r="B1413" s="11" t="s">
        <v>3315</v>
      </c>
      <c r="C1413" s="11" t="s">
        <v>101</v>
      </c>
      <c r="D1413" s="11" t="s">
        <v>102</v>
      </c>
      <c r="E1413" s="12" t="s">
        <v>1019</v>
      </c>
      <c r="F1413" s="12" t="s">
        <v>1020</v>
      </c>
      <c r="G1413" s="12" t="s">
        <v>21</v>
      </c>
      <c r="H1413" s="11" t="s">
        <v>63</v>
      </c>
      <c r="I1413" s="13" t="s">
        <v>3316</v>
      </c>
      <c r="J1413" s="14" t="str">
        <f>HYPERLINK("https://www.boe.es/gazeta/dias/1839/07/15/pdfs/GMD-1839-1703.pdf#page=4","Abrir facsímil")</f>
        <v>Abrir facsímil</v>
      </c>
      <c r="K1413" s="12" t="s">
        <v>65</v>
      </c>
    </row>
    <row r="1414" spans="1:11" ht="40.049999999999997" customHeight="1" x14ac:dyDescent="0.25">
      <c r="A1414" s="11" t="s">
        <v>3315</v>
      </c>
      <c r="B1414" s="11" t="s">
        <v>3315</v>
      </c>
      <c r="C1414" s="11" t="s">
        <v>137</v>
      </c>
      <c r="D1414" s="11" t="s">
        <v>18</v>
      </c>
      <c r="E1414" s="12" t="s">
        <v>125</v>
      </c>
      <c r="F1414" s="12" t="s">
        <v>126</v>
      </c>
      <c r="G1414" s="12" t="s">
        <v>46</v>
      </c>
      <c r="H1414" s="11" t="s">
        <v>63</v>
      </c>
      <c r="I1414" s="13" t="s">
        <v>3317</v>
      </c>
      <c r="J1414" s="14" t="str">
        <f>HYPERLINK("https://www.boe.es/gazeta/dias/1839/05/23/pdfs/GMD-1839-1650.pdf#page=3","Abrir facsímil")</f>
        <v>Abrir facsímil</v>
      </c>
      <c r="K1414" s="12" t="s">
        <v>65</v>
      </c>
    </row>
    <row r="1415" spans="1:11" ht="40.049999999999997" customHeight="1" x14ac:dyDescent="0.25">
      <c r="A1415" s="11" t="s">
        <v>3315</v>
      </c>
      <c r="B1415" s="11" t="s">
        <v>3315</v>
      </c>
      <c r="C1415" s="11" t="s">
        <v>80</v>
      </c>
      <c r="D1415" s="11" t="s">
        <v>18</v>
      </c>
      <c r="E1415" s="12" t="s">
        <v>723</v>
      </c>
      <c r="F1415" s="12" t="s">
        <v>724</v>
      </c>
      <c r="G1415" s="12" t="s">
        <v>21</v>
      </c>
      <c r="H1415" s="11" t="s">
        <v>63</v>
      </c>
      <c r="I1415" s="13" t="s">
        <v>3318</v>
      </c>
      <c r="J1415" s="14" t="str">
        <f>HYPERLINK("https://www.boe.es/gazeta/dias/1839/09/26/pdfs/GMD-1839-1782.pdf#page=4","Abrir facsímil")</f>
        <v>Abrir facsímil</v>
      </c>
      <c r="K1415" s="12" t="s">
        <v>65</v>
      </c>
    </row>
    <row r="1416" spans="1:11" ht="40.049999999999997" customHeight="1" x14ac:dyDescent="0.25">
      <c r="A1416" s="11" t="s">
        <v>3315</v>
      </c>
      <c r="B1416" s="11" t="s">
        <v>3315</v>
      </c>
      <c r="C1416" s="11" t="s">
        <v>80</v>
      </c>
      <c r="D1416" s="11" t="s">
        <v>18</v>
      </c>
      <c r="E1416" s="12" t="s">
        <v>716</v>
      </c>
      <c r="F1416" s="12" t="s">
        <v>717</v>
      </c>
      <c r="G1416" s="12" t="s">
        <v>46</v>
      </c>
      <c r="H1416" s="11" t="s">
        <v>63</v>
      </c>
      <c r="I1416" s="13" t="s">
        <v>3319</v>
      </c>
      <c r="J1416" s="14" t="str">
        <f>HYPERLINK("https://www.boe.es/gazeta/dias/1839/07/30/pdfs/GMD-1839-1719.pdf#page=3","Abrir facsímil")</f>
        <v>Abrir facsímil</v>
      </c>
      <c r="K1416" s="12" t="s">
        <v>65</v>
      </c>
    </row>
    <row r="1417" spans="1:11" ht="40.049999999999997" customHeight="1" x14ac:dyDescent="0.25">
      <c r="A1417" s="11" t="s">
        <v>3320</v>
      </c>
      <c r="B1417" s="11" t="s">
        <v>3321</v>
      </c>
      <c r="C1417" s="11" t="s">
        <v>17</v>
      </c>
      <c r="D1417" s="11" t="s">
        <v>18</v>
      </c>
      <c r="E1417" s="12" t="s">
        <v>272</v>
      </c>
      <c r="F1417" s="12" t="s">
        <v>273</v>
      </c>
      <c r="G1417" s="12" t="s">
        <v>29</v>
      </c>
      <c r="H1417" s="11" t="s">
        <v>22</v>
      </c>
      <c r="I1417" s="13" t="s">
        <v>3322</v>
      </c>
      <c r="J1417" s="14" t="str">
        <f>HYPERLINK("https://www.boe.es/gazeta/dias/1839/02/12/pdfs/GMD-1839-1550.pdf#page=1","Abrir facsímil")</f>
        <v>Abrir facsímil</v>
      </c>
      <c r="K1417" s="12" t="s">
        <v>24</v>
      </c>
    </row>
    <row r="1418" spans="1:11" ht="40.049999999999997" customHeight="1" x14ac:dyDescent="0.25">
      <c r="A1418" s="11" t="s">
        <v>3323</v>
      </c>
      <c r="B1418" s="11" t="s">
        <v>3324</v>
      </c>
      <c r="C1418" s="11" t="s">
        <v>17</v>
      </c>
      <c r="D1418" s="11" t="s">
        <v>18</v>
      </c>
      <c r="E1418" s="12" t="s">
        <v>258</v>
      </c>
      <c r="F1418" s="12" t="s">
        <v>259</v>
      </c>
      <c r="G1418" s="12" t="s">
        <v>46</v>
      </c>
      <c r="H1418" s="11" t="s">
        <v>22</v>
      </c>
      <c r="I1418" s="13" t="s">
        <v>3325</v>
      </c>
      <c r="J1418" s="14" t="str">
        <f>HYPERLINK("https://www.boe.es/gazeta/dias/1839/01/02/pdfs/GMD-1839-1509.pdf#page=3","Abrir facsímil")</f>
        <v>Abrir facsímil</v>
      </c>
      <c r="K1418" s="12" t="s">
        <v>24</v>
      </c>
    </row>
    <row r="1419" spans="1:11" ht="40.049999999999997" customHeight="1" x14ac:dyDescent="0.25">
      <c r="A1419" s="11" t="s">
        <v>3326</v>
      </c>
      <c r="B1419" s="11" t="s">
        <v>3327</v>
      </c>
      <c r="C1419" s="11" t="s">
        <v>101</v>
      </c>
      <c r="D1419" s="11" t="s">
        <v>102</v>
      </c>
      <c r="E1419" s="12" t="s">
        <v>785</v>
      </c>
      <c r="F1419" s="12" t="s">
        <v>786</v>
      </c>
      <c r="G1419" s="12" t="s">
        <v>40</v>
      </c>
      <c r="H1419" s="11" t="s">
        <v>63</v>
      </c>
      <c r="I1419" s="13" t="s">
        <v>3328</v>
      </c>
      <c r="J1419" s="14" t="str">
        <f>HYPERLINK("https://www.boe.es/gazeta/dias/1839/07/13/pdfs/GMD-1839-1701.pdf#page=2","Abrir facsímil")</f>
        <v>Abrir facsímil</v>
      </c>
      <c r="K1419" s="12" t="s">
        <v>65</v>
      </c>
    </row>
    <row r="1420" spans="1:11" ht="40.049999999999997" customHeight="1" x14ac:dyDescent="0.25">
      <c r="A1420" s="11" t="s">
        <v>3329</v>
      </c>
      <c r="B1420" s="11" t="s">
        <v>3330</v>
      </c>
      <c r="C1420" s="11" t="s">
        <v>137</v>
      </c>
      <c r="D1420" s="11" t="s">
        <v>18</v>
      </c>
      <c r="E1420" s="12" t="s">
        <v>76</v>
      </c>
      <c r="F1420" s="12" t="s">
        <v>77</v>
      </c>
      <c r="G1420" s="12" t="s">
        <v>40</v>
      </c>
      <c r="H1420" s="11" t="s">
        <v>63</v>
      </c>
      <c r="I1420" s="13" t="s">
        <v>3331</v>
      </c>
      <c r="J1420" s="14" t="str">
        <f>HYPERLINK("https://www.boe.es/gazeta/dias/1839/03/13/pdfs/GMD-1839-1579.pdf#page=2","Abrir facsímil")</f>
        <v>Abrir facsímil</v>
      </c>
      <c r="K1420" s="12" t="s">
        <v>65</v>
      </c>
    </row>
    <row r="1421" spans="1:11" ht="40.049999999999997" customHeight="1" x14ac:dyDescent="0.25">
      <c r="A1421" s="11" t="s">
        <v>3332</v>
      </c>
      <c r="B1421" s="11" t="s">
        <v>3332</v>
      </c>
      <c r="C1421" s="11" t="s">
        <v>17</v>
      </c>
      <c r="D1421" s="11" t="s">
        <v>18</v>
      </c>
      <c r="E1421" s="12" t="s">
        <v>243</v>
      </c>
      <c r="F1421" s="12" t="s">
        <v>244</v>
      </c>
      <c r="G1421" s="12" t="s">
        <v>21</v>
      </c>
      <c r="H1421" s="11" t="s">
        <v>22</v>
      </c>
      <c r="I1421" s="13" t="s">
        <v>3333</v>
      </c>
      <c r="J1421" s="14" t="str">
        <f>HYPERLINK("https://www.boe.es/gazeta/dias/1839/09/23/pdfs/GMD-1839-1779.pdf#page=4","Abrir facsímil")</f>
        <v>Abrir facsímil</v>
      </c>
      <c r="K1421" s="12" t="s">
        <v>24</v>
      </c>
    </row>
    <row r="1422" spans="1:11" ht="40.049999999999997" customHeight="1" x14ac:dyDescent="0.25">
      <c r="A1422" s="11" t="s">
        <v>3334</v>
      </c>
      <c r="B1422" s="11" t="s">
        <v>3334</v>
      </c>
      <c r="C1422" s="11" t="s">
        <v>101</v>
      </c>
      <c r="D1422" s="11" t="s">
        <v>102</v>
      </c>
      <c r="E1422" s="12" t="s">
        <v>474</v>
      </c>
      <c r="F1422" s="12" t="s">
        <v>475</v>
      </c>
      <c r="G1422" s="12" t="s">
        <v>46</v>
      </c>
      <c r="H1422" s="11" t="s">
        <v>63</v>
      </c>
      <c r="I1422" s="13" t="s">
        <v>3335</v>
      </c>
      <c r="J1422" s="14" t="str">
        <f>HYPERLINK("https://www.boe.es/gazeta/dias/1839/03/31/pdfs/GMD-1839-1597.pdf#page=3","Abrir facsímil")</f>
        <v>Abrir facsímil</v>
      </c>
      <c r="K1422" s="12" t="s">
        <v>65</v>
      </c>
    </row>
    <row r="1423" spans="1:11" ht="40.049999999999997" customHeight="1" x14ac:dyDescent="0.25">
      <c r="A1423" s="11" t="s">
        <v>3336</v>
      </c>
      <c r="B1423" s="11" t="s">
        <v>3336</v>
      </c>
      <c r="C1423" s="11" t="s">
        <v>80</v>
      </c>
      <c r="D1423" s="11" t="s">
        <v>18</v>
      </c>
      <c r="E1423" s="12" t="s">
        <v>375</v>
      </c>
      <c r="F1423" s="12" t="s">
        <v>376</v>
      </c>
      <c r="G1423" s="12" t="s">
        <v>46</v>
      </c>
      <c r="H1423" s="11" t="s">
        <v>63</v>
      </c>
      <c r="I1423" s="13" t="s">
        <v>3337</v>
      </c>
      <c r="J1423" s="14" t="str">
        <f>HYPERLINK("https://www.boe.es/gazeta/dias/1839/11/25/pdfs/GMD-1839-1842.pdf#page=3","Abrir facsímil")</f>
        <v>Abrir facsímil</v>
      </c>
      <c r="K1423" s="12" t="s">
        <v>65</v>
      </c>
    </row>
    <row r="1424" spans="1:11" ht="40.049999999999997" customHeight="1" x14ac:dyDescent="0.25">
      <c r="A1424" s="11" t="s">
        <v>3338</v>
      </c>
      <c r="B1424" s="11" t="s">
        <v>3339</v>
      </c>
      <c r="C1424" s="11" t="s">
        <v>80</v>
      </c>
      <c r="D1424" s="11" t="s">
        <v>18</v>
      </c>
      <c r="E1424" s="12" t="s">
        <v>1460</v>
      </c>
      <c r="F1424" s="12" t="s">
        <v>1461</v>
      </c>
      <c r="G1424" s="12" t="s">
        <v>46</v>
      </c>
      <c r="H1424" s="11" t="s">
        <v>63</v>
      </c>
      <c r="I1424" s="13" t="s">
        <v>3340</v>
      </c>
      <c r="J1424" s="14" t="str">
        <f>HYPERLINK("https://www.boe.es/gazeta/dias/1839/03/01/pdfs/GMD-1839-1567.pdf#page=3","Abrir facsímil")</f>
        <v>Abrir facsímil</v>
      </c>
      <c r="K1424" s="12" t="s">
        <v>65</v>
      </c>
    </row>
    <row r="1425" spans="1:11" ht="40.049999999999997" customHeight="1" x14ac:dyDescent="0.25">
      <c r="A1425" s="11" t="s">
        <v>3341</v>
      </c>
      <c r="B1425" s="11" t="s">
        <v>3342</v>
      </c>
      <c r="C1425" s="11" t="s">
        <v>59</v>
      </c>
      <c r="D1425" s="11" t="s">
        <v>60</v>
      </c>
      <c r="E1425" s="12" t="s">
        <v>496</v>
      </c>
      <c r="F1425" s="12" t="s">
        <v>497</v>
      </c>
      <c r="G1425" s="12" t="s">
        <v>46</v>
      </c>
      <c r="H1425" s="11" t="s">
        <v>63</v>
      </c>
      <c r="I1425" s="13" t="s">
        <v>3343</v>
      </c>
      <c r="J1425" s="14" t="str">
        <f>HYPERLINK("https://www.boe.es/gazeta/dias/1839/11/23/pdfs/GMD-1839-1840.pdf#page=3","Abrir facsímil")</f>
        <v>Abrir facsímil</v>
      </c>
      <c r="K1425" s="12" t="s">
        <v>65</v>
      </c>
    </row>
    <row r="1426" spans="1:11" ht="40.049999999999997" customHeight="1" x14ac:dyDescent="0.25">
      <c r="A1426" s="11" t="s">
        <v>3344</v>
      </c>
      <c r="B1426" s="11" t="s">
        <v>3345</v>
      </c>
      <c r="C1426" s="11" t="s">
        <v>59</v>
      </c>
      <c r="D1426" s="11" t="s">
        <v>60</v>
      </c>
      <c r="E1426" s="12" t="s">
        <v>89</v>
      </c>
      <c r="F1426" s="12" t="s">
        <v>90</v>
      </c>
      <c r="G1426" s="12" t="s">
        <v>40</v>
      </c>
      <c r="H1426" s="11" t="s">
        <v>63</v>
      </c>
      <c r="I1426" s="13" t="s">
        <v>3346</v>
      </c>
      <c r="J1426" s="14" t="str">
        <f>HYPERLINK("https://www.boe.es/gazeta/dias/1839/11/28/pdfs/GMD-1839-1845.pdf#page=2","Abrir facsímil")</f>
        <v>Abrir facsímil</v>
      </c>
      <c r="K1426" s="12" t="s">
        <v>65</v>
      </c>
    </row>
    <row r="1427" spans="1:11" ht="40.049999999999997" customHeight="1" x14ac:dyDescent="0.25">
      <c r="A1427" s="11" t="s">
        <v>3347</v>
      </c>
      <c r="B1427" s="11" t="s">
        <v>3348</v>
      </c>
      <c r="C1427" s="11" t="s">
        <v>101</v>
      </c>
      <c r="D1427" s="11" t="s">
        <v>102</v>
      </c>
      <c r="E1427" s="12" t="s">
        <v>94</v>
      </c>
      <c r="F1427" s="12" t="s">
        <v>95</v>
      </c>
      <c r="G1427" s="12" t="s">
        <v>40</v>
      </c>
      <c r="H1427" s="11" t="s">
        <v>63</v>
      </c>
      <c r="I1427" s="13" t="s">
        <v>3349</v>
      </c>
      <c r="J1427" s="14" t="str">
        <f>HYPERLINK("https://www.boe.es/gazeta/dias/1839/02/24/pdfs/GMD-1839-1562.pdf#page=2","Abrir facsímil")</f>
        <v>Abrir facsímil</v>
      </c>
      <c r="K1427" s="12" t="s">
        <v>65</v>
      </c>
    </row>
    <row r="1428" spans="1:11" ht="40.049999999999997" customHeight="1" x14ac:dyDescent="0.25">
      <c r="A1428" s="11" t="s">
        <v>3350</v>
      </c>
      <c r="B1428" s="11" t="s">
        <v>3351</v>
      </c>
      <c r="C1428" s="11" t="s">
        <v>17</v>
      </c>
      <c r="D1428" s="11" t="s">
        <v>18</v>
      </c>
      <c r="E1428" s="12" t="s">
        <v>239</v>
      </c>
      <c r="F1428" s="12" t="s">
        <v>240</v>
      </c>
      <c r="G1428" s="12" t="s">
        <v>21</v>
      </c>
      <c r="H1428" s="11" t="s">
        <v>22</v>
      </c>
      <c r="I1428" s="13" t="s">
        <v>3352</v>
      </c>
      <c r="J1428" s="14" t="str">
        <f>HYPERLINK("https://www.boe.es/gazeta/dias/1839/09/22/pdfs/GMD-1839-1777.pdf#page=4","Abrir facsímil")</f>
        <v>Abrir facsímil</v>
      </c>
      <c r="K1428" s="12" t="s">
        <v>24</v>
      </c>
    </row>
    <row r="1429" spans="1:11" ht="40.049999999999997" customHeight="1" x14ac:dyDescent="0.25">
      <c r="A1429" s="11" t="s">
        <v>3353</v>
      </c>
      <c r="B1429" s="11" t="s">
        <v>3353</v>
      </c>
      <c r="C1429" s="11" t="s">
        <v>80</v>
      </c>
      <c r="D1429" s="11" t="s">
        <v>18</v>
      </c>
      <c r="E1429" s="12" t="s">
        <v>1446</v>
      </c>
      <c r="F1429" s="12" t="s">
        <v>1447</v>
      </c>
      <c r="G1429" s="12" t="s">
        <v>21</v>
      </c>
      <c r="H1429" s="11" t="s">
        <v>63</v>
      </c>
      <c r="I1429" s="13" t="s">
        <v>3354</v>
      </c>
      <c r="J1429" s="14" t="str">
        <f>HYPERLINK("https://www.boe.es/gazeta/dias/1839/08/25/pdfs/GMD-1839-1746.pdf#page=4","Abrir facsímil")</f>
        <v>Abrir facsímil</v>
      </c>
      <c r="K1429" s="12" t="s">
        <v>65</v>
      </c>
    </row>
    <row r="1430" spans="1:11" ht="40.049999999999997" customHeight="1" x14ac:dyDescent="0.25">
      <c r="A1430" s="11" t="s">
        <v>3355</v>
      </c>
      <c r="B1430" s="11" t="s">
        <v>3355</v>
      </c>
      <c r="C1430" s="11" t="s">
        <v>17</v>
      </c>
      <c r="D1430" s="11" t="s">
        <v>18</v>
      </c>
      <c r="E1430" s="12" t="s">
        <v>121</v>
      </c>
      <c r="F1430" s="12" t="s">
        <v>122</v>
      </c>
      <c r="G1430" s="12" t="s">
        <v>46</v>
      </c>
      <c r="H1430" s="11" t="s">
        <v>63</v>
      </c>
      <c r="I1430" s="13" t="s">
        <v>3356</v>
      </c>
      <c r="J1430" s="14" t="str">
        <f>HYPERLINK("https://www.boe.es/gazeta/dias/1839/06/08/pdfs/GMD-1839-1666.pdf#page=3","Abrir facsímil")</f>
        <v>Abrir facsímil</v>
      </c>
      <c r="K1430" s="12" t="s">
        <v>65</v>
      </c>
    </row>
    <row r="1431" spans="1:11" ht="40.049999999999997" customHeight="1" x14ac:dyDescent="0.25">
      <c r="A1431" s="11" t="s">
        <v>3357</v>
      </c>
      <c r="B1431" s="11" t="s">
        <v>3357</v>
      </c>
      <c r="C1431" s="11" t="s">
        <v>137</v>
      </c>
      <c r="D1431" s="11" t="s">
        <v>18</v>
      </c>
      <c r="E1431" s="12" t="s">
        <v>548</v>
      </c>
      <c r="F1431" s="12" t="s">
        <v>549</v>
      </c>
      <c r="G1431" s="12" t="s">
        <v>40</v>
      </c>
      <c r="H1431" s="11" t="s">
        <v>63</v>
      </c>
      <c r="I1431" s="13" t="s">
        <v>3358</v>
      </c>
      <c r="J1431" s="14" t="str">
        <f>HYPERLINK("https://www.boe.es/gazeta/dias/1839/06/06/pdfs/GMD-1839-1664.pdf#page=2","Abrir facsímil")</f>
        <v>Abrir facsímil</v>
      </c>
      <c r="K1431" s="12" t="s">
        <v>65</v>
      </c>
    </row>
    <row r="1432" spans="1:11" ht="40.049999999999997" customHeight="1" x14ac:dyDescent="0.25">
      <c r="A1432" s="11" t="s">
        <v>3357</v>
      </c>
      <c r="B1432" s="11" t="s">
        <v>3357</v>
      </c>
      <c r="C1432" s="11" t="s">
        <v>17</v>
      </c>
      <c r="D1432" s="11" t="s">
        <v>18</v>
      </c>
      <c r="E1432" s="12" t="s">
        <v>121</v>
      </c>
      <c r="F1432" s="12" t="s">
        <v>122</v>
      </c>
      <c r="G1432" s="12" t="s">
        <v>46</v>
      </c>
      <c r="H1432" s="11" t="s">
        <v>63</v>
      </c>
      <c r="I1432" s="13" t="s">
        <v>3359</v>
      </c>
      <c r="J1432" s="14" t="str">
        <f>HYPERLINK("https://www.boe.es/gazeta/dias/1839/06/08/pdfs/GMD-1839-1666.pdf#page=3","Abrir facsímil")</f>
        <v>Abrir facsímil</v>
      </c>
      <c r="K1432" s="12" t="s">
        <v>65</v>
      </c>
    </row>
    <row r="1433" spans="1:11" ht="40.049999999999997" customHeight="1" x14ac:dyDescent="0.25">
      <c r="A1433" s="11" t="s">
        <v>3360</v>
      </c>
      <c r="B1433" s="11" t="s">
        <v>3361</v>
      </c>
      <c r="C1433" s="11" t="s">
        <v>17</v>
      </c>
      <c r="D1433" s="11" t="s">
        <v>18</v>
      </c>
      <c r="E1433" s="12" t="s">
        <v>303</v>
      </c>
      <c r="F1433" s="12" t="s">
        <v>304</v>
      </c>
      <c r="G1433" s="12" t="s">
        <v>305</v>
      </c>
      <c r="H1433" s="11" t="s">
        <v>63</v>
      </c>
      <c r="I1433" s="13" t="s">
        <v>3362</v>
      </c>
      <c r="J1433" s="14" t="str">
        <f>HYPERLINK("https://www.boe.es/gazeta/dias/1839/10/06/pdfs/GMD-1839-1792.pdf#page=6","Abrir facsímil")</f>
        <v>Abrir facsímil</v>
      </c>
      <c r="K1433" s="12" t="s">
        <v>65</v>
      </c>
    </row>
    <row r="1434" spans="1:11" ht="40.049999999999997" customHeight="1" x14ac:dyDescent="0.25">
      <c r="A1434" s="11" t="s">
        <v>3363</v>
      </c>
      <c r="B1434" s="11" t="s">
        <v>3364</v>
      </c>
      <c r="C1434" s="11" t="s">
        <v>17</v>
      </c>
      <c r="D1434" s="11" t="s">
        <v>18</v>
      </c>
      <c r="E1434" s="12" t="s">
        <v>303</v>
      </c>
      <c r="F1434" s="12" t="s">
        <v>304</v>
      </c>
      <c r="G1434" s="12" t="s">
        <v>305</v>
      </c>
      <c r="H1434" s="11" t="s">
        <v>63</v>
      </c>
      <c r="I1434" s="13" t="s">
        <v>3365</v>
      </c>
      <c r="J1434" s="14" t="str">
        <f>HYPERLINK("https://www.boe.es/gazeta/dias/1839/10/06/pdfs/GMD-1839-1792.pdf#page=6","Abrir facsímil")</f>
        <v>Abrir facsímil</v>
      </c>
      <c r="K1434" s="12" t="s">
        <v>65</v>
      </c>
    </row>
    <row r="1435" spans="1:11" ht="40.049999999999997" customHeight="1" x14ac:dyDescent="0.25">
      <c r="A1435" s="11" t="s">
        <v>3366</v>
      </c>
      <c r="B1435" s="11" t="s">
        <v>3367</v>
      </c>
      <c r="C1435" s="11" t="s">
        <v>17</v>
      </c>
      <c r="D1435" s="11" t="s">
        <v>18</v>
      </c>
      <c r="E1435" s="12" t="s">
        <v>303</v>
      </c>
      <c r="F1435" s="12" t="s">
        <v>304</v>
      </c>
      <c r="G1435" s="12" t="s">
        <v>305</v>
      </c>
      <c r="H1435" s="11" t="s">
        <v>63</v>
      </c>
      <c r="I1435" s="13" t="s">
        <v>3368</v>
      </c>
      <c r="J1435" s="14" t="str">
        <f>HYPERLINK("https://www.boe.es/gazeta/dias/1839/10/06/pdfs/GMD-1839-1792.pdf#page=6","Abrir facsímil")</f>
        <v>Abrir facsímil</v>
      </c>
      <c r="K1435" s="12" t="s">
        <v>65</v>
      </c>
    </row>
    <row r="1436" spans="1:11" ht="40.049999999999997" customHeight="1" x14ac:dyDescent="0.25">
      <c r="A1436" s="11" t="s">
        <v>3369</v>
      </c>
      <c r="B1436" s="11" t="s">
        <v>3370</v>
      </c>
      <c r="C1436" s="11" t="s">
        <v>101</v>
      </c>
      <c r="D1436" s="11" t="s">
        <v>102</v>
      </c>
      <c r="E1436" s="12" t="s">
        <v>303</v>
      </c>
      <c r="F1436" s="12" t="s">
        <v>304</v>
      </c>
      <c r="G1436" s="12" t="s">
        <v>305</v>
      </c>
      <c r="H1436" s="11" t="s">
        <v>63</v>
      </c>
      <c r="I1436" s="13" t="s">
        <v>3371</v>
      </c>
      <c r="J1436" s="14" t="str">
        <f>HYPERLINK("https://www.boe.es/gazeta/dias/1839/10/06/pdfs/GMD-1839-1792.pdf#page=6","Abrir facsímil")</f>
        <v>Abrir facsímil</v>
      </c>
      <c r="K1436" s="12" t="s">
        <v>65</v>
      </c>
    </row>
    <row r="1437" spans="1:11" ht="40.049999999999997" customHeight="1" x14ac:dyDescent="0.25">
      <c r="A1437" s="11" t="s">
        <v>3372</v>
      </c>
      <c r="B1437" s="11" t="s">
        <v>3372</v>
      </c>
      <c r="C1437" s="11" t="s">
        <v>17</v>
      </c>
      <c r="D1437" s="11" t="s">
        <v>18</v>
      </c>
      <c r="E1437" s="12" t="s">
        <v>469</v>
      </c>
      <c r="F1437" s="12" t="s">
        <v>470</v>
      </c>
      <c r="G1437" s="12" t="s">
        <v>21</v>
      </c>
      <c r="H1437" s="11" t="s">
        <v>63</v>
      </c>
      <c r="I1437" s="13" t="s">
        <v>3373</v>
      </c>
      <c r="J1437" s="14" t="str">
        <f>HYPERLINK("https://www.boe.es/gazeta/dias/1839/08/20/pdfs/GMD-1839-1741.pdf#page=4","Abrir facsímil")</f>
        <v>Abrir facsímil</v>
      </c>
      <c r="K1437" s="12" t="s">
        <v>65</v>
      </c>
    </row>
    <row r="1438" spans="1:11" ht="40.049999999999997" customHeight="1" x14ac:dyDescent="0.25">
      <c r="A1438" s="11" t="s">
        <v>3374</v>
      </c>
      <c r="B1438" s="11" t="s">
        <v>3374</v>
      </c>
      <c r="C1438" s="11" t="s">
        <v>17</v>
      </c>
      <c r="D1438" s="11" t="s">
        <v>18</v>
      </c>
      <c r="E1438" s="12" t="s">
        <v>81</v>
      </c>
      <c r="F1438" s="12" t="s">
        <v>82</v>
      </c>
      <c r="G1438" s="12" t="s">
        <v>40</v>
      </c>
      <c r="H1438" s="11" t="s">
        <v>63</v>
      </c>
      <c r="I1438" s="13" t="s">
        <v>3375</v>
      </c>
      <c r="J1438" s="14" t="str">
        <f>HYPERLINK("https://www.boe.es/gazeta/dias/1839/03/03/pdfs/GMD-1839-1569.pdf#page=2","Abrir facsímil")</f>
        <v>Abrir facsímil</v>
      </c>
      <c r="K1438" s="12" t="s">
        <v>65</v>
      </c>
    </row>
    <row r="1439" spans="1:11" ht="40.049999999999997" customHeight="1" x14ac:dyDescent="0.25">
      <c r="A1439" s="11" t="s">
        <v>3376</v>
      </c>
      <c r="B1439" s="11" t="s">
        <v>3376</v>
      </c>
      <c r="C1439" s="11" t="s">
        <v>17</v>
      </c>
      <c r="D1439" s="11" t="s">
        <v>18</v>
      </c>
      <c r="E1439" s="12" t="s">
        <v>2491</v>
      </c>
      <c r="F1439" s="12" t="s">
        <v>2492</v>
      </c>
      <c r="G1439" s="12" t="s">
        <v>21</v>
      </c>
      <c r="H1439" s="11" t="s">
        <v>63</v>
      </c>
      <c r="I1439" s="13" t="s">
        <v>3377</v>
      </c>
      <c r="J1439" s="14" t="str">
        <f>HYPERLINK("https://www.boe.es/gazeta/dias/1839/05/01/pdfs/GMD-1839-1628.pdf#page=4","Abrir facsímil")</f>
        <v>Abrir facsímil</v>
      </c>
      <c r="K1439" s="12" t="s">
        <v>65</v>
      </c>
    </row>
    <row r="1440" spans="1:11" ht="40.049999999999997" customHeight="1" x14ac:dyDescent="0.25">
      <c r="A1440" s="11" t="s">
        <v>3376</v>
      </c>
      <c r="B1440" s="11" t="s">
        <v>3376</v>
      </c>
      <c r="C1440" s="11" t="s">
        <v>80</v>
      </c>
      <c r="D1440" s="11" t="s">
        <v>18</v>
      </c>
      <c r="E1440" s="12" t="s">
        <v>1310</v>
      </c>
      <c r="F1440" s="12" t="s">
        <v>1311</v>
      </c>
      <c r="G1440" s="12" t="s">
        <v>46</v>
      </c>
      <c r="H1440" s="11" t="s">
        <v>63</v>
      </c>
      <c r="I1440" s="13" t="s">
        <v>3378</v>
      </c>
      <c r="J1440" s="14" t="str">
        <f>HYPERLINK("https://www.boe.es/gazeta/dias/1839/04/23/pdfs/GMD-1839-1620.pdf#page=3","Abrir facsímil")</f>
        <v>Abrir facsímil</v>
      </c>
      <c r="K1440" s="12" t="s">
        <v>65</v>
      </c>
    </row>
    <row r="1441" spans="1:11" ht="40.049999999999997" customHeight="1" x14ac:dyDescent="0.25">
      <c r="A1441" s="11" t="s">
        <v>3379</v>
      </c>
      <c r="B1441" s="11" t="s">
        <v>3380</v>
      </c>
      <c r="C1441" s="11" t="s">
        <v>80</v>
      </c>
      <c r="D1441" s="11" t="s">
        <v>18</v>
      </c>
      <c r="E1441" s="12" t="s">
        <v>1374</v>
      </c>
      <c r="F1441" s="12" t="s">
        <v>1375</v>
      </c>
      <c r="G1441" s="12" t="s">
        <v>21</v>
      </c>
      <c r="H1441" s="11" t="s">
        <v>63</v>
      </c>
      <c r="I1441" s="13" t="s">
        <v>3381</v>
      </c>
      <c r="J1441" s="14" t="str">
        <f>HYPERLINK("https://www.boe.es/gazeta/dias/1839/07/20/pdfs/GMD-1839-1708.pdf#page=4","Abrir facsímil")</f>
        <v>Abrir facsímil</v>
      </c>
      <c r="K1441" s="12" t="s">
        <v>65</v>
      </c>
    </row>
    <row r="1442" spans="1:11" ht="40.049999999999997" customHeight="1" x14ac:dyDescent="0.25">
      <c r="A1442" s="11" t="s">
        <v>3382</v>
      </c>
      <c r="B1442" s="11" t="s">
        <v>3383</v>
      </c>
      <c r="C1442" s="11" t="s">
        <v>80</v>
      </c>
      <c r="D1442" s="11" t="s">
        <v>18</v>
      </c>
      <c r="E1442" s="12" t="s">
        <v>2491</v>
      </c>
      <c r="F1442" s="12" t="s">
        <v>2492</v>
      </c>
      <c r="G1442" s="12" t="s">
        <v>21</v>
      </c>
      <c r="H1442" s="11" t="s">
        <v>63</v>
      </c>
      <c r="I1442" s="13" t="s">
        <v>3384</v>
      </c>
      <c r="J1442" s="14" t="str">
        <f>HYPERLINK("https://www.boe.es/gazeta/dias/1839/05/01/pdfs/GMD-1839-1628.pdf#page=4","Abrir facsímil")</f>
        <v>Abrir facsímil</v>
      </c>
      <c r="K1442" s="12" t="s">
        <v>65</v>
      </c>
    </row>
    <row r="1443" spans="1:11" ht="40.049999999999997" customHeight="1" x14ac:dyDescent="0.25">
      <c r="A1443" s="11" t="s">
        <v>3382</v>
      </c>
      <c r="B1443" s="11" t="s">
        <v>3383</v>
      </c>
      <c r="C1443" s="11" t="s">
        <v>80</v>
      </c>
      <c r="D1443" s="11" t="s">
        <v>18</v>
      </c>
      <c r="E1443" s="12" t="s">
        <v>327</v>
      </c>
      <c r="F1443" s="12" t="s">
        <v>328</v>
      </c>
      <c r="G1443" s="12" t="s">
        <v>21</v>
      </c>
      <c r="H1443" s="11" t="s">
        <v>63</v>
      </c>
      <c r="I1443" s="13" t="s">
        <v>3385</v>
      </c>
      <c r="J1443" s="14" t="str">
        <f>HYPERLINK("https://www.boe.es/gazeta/dias/1839/08/05/pdfs/GMD-1839-1725.pdf#page=4","Abrir facsímil")</f>
        <v>Abrir facsímil</v>
      </c>
      <c r="K1443" s="12" t="s">
        <v>65</v>
      </c>
    </row>
    <row r="1444" spans="1:11" ht="40.049999999999997" customHeight="1" x14ac:dyDescent="0.25">
      <c r="A1444" s="11" t="s">
        <v>3382</v>
      </c>
      <c r="B1444" s="11" t="s">
        <v>3383</v>
      </c>
      <c r="C1444" s="11" t="s">
        <v>17</v>
      </c>
      <c r="D1444" s="11" t="s">
        <v>18</v>
      </c>
      <c r="E1444" s="12" t="s">
        <v>2507</v>
      </c>
      <c r="F1444" s="12" t="s">
        <v>2508</v>
      </c>
      <c r="G1444" s="12" t="s">
        <v>21</v>
      </c>
      <c r="H1444" s="11" t="s">
        <v>63</v>
      </c>
      <c r="I1444" s="13" t="s">
        <v>3386</v>
      </c>
      <c r="J1444" s="14" t="str">
        <f>HYPERLINK("https://www.boe.es/gazeta/dias/1839/03/08/pdfs/GMD-1839-1574.pdf#page=4","Abrir facsímil")</f>
        <v>Abrir facsímil</v>
      </c>
      <c r="K1444" s="12" t="s">
        <v>65</v>
      </c>
    </row>
    <row r="1445" spans="1:11" ht="40.049999999999997" customHeight="1" x14ac:dyDescent="0.25">
      <c r="A1445" s="11" t="s">
        <v>3382</v>
      </c>
      <c r="B1445" s="11" t="s">
        <v>3383</v>
      </c>
      <c r="C1445" s="11" t="s">
        <v>80</v>
      </c>
      <c r="D1445" s="11" t="s">
        <v>18</v>
      </c>
      <c r="E1445" s="12" t="s">
        <v>2452</v>
      </c>
      <c r="F1445" s="12" t="s">
        <v>2453</v>
      </c>
      <c r="G1445" s="12" t="s">
        <v>21</v>
      </c>
      <c r="H1445" s="11" t="s">
        <v>63</v>
      </c>
      <c r="I1445" s="13" t="s">
        <v>3387</v>
      </c>
      <c r="J1445" s="14" t="str">
        <f>HYPERLINK("https://www.boe.es/gazeta/dias/1839/11/14/pdfs/GMD-1839-1831.pdf#page=4","Abrir facsímil")</f>
        <v>Abrir facsímil</v>
      </c>
      <c r="K1445" s="12" t="s">
        <v>65</v>
      </c>
    </row>
    <row r="1446" spans="1:11" ht="40.049999999999997" customHeight="1" x14ac:dyDescent="0.25">
      <c r="A1446" s="11" t="s">
        <v>3382</v>
      </c>
      <c r="B1446" s="11" t="s">
        <v>3383</v>
      </c>
      <c r="C1446" s="11" t="s">
        <v>137</v>
      </c>
      <c r="D1446" s="11" t="s">
        <v>18</v>
      </c>
      <c r="E1446" s="12" t="s">
        <v>1310</v>
      </c>
      <c r="F1446" s="12" t="s">
        <v>1311</v>
      </c>
      <c r="G1446" s="12" t="s">
        <v>21</v>
      </c>
      <c r="H1446" s="11" t="s">
        <v>63</v>
      </c>
      <c r="I1446" s="13" t="s">
        <v>3388</v>
      </c>
      <c r="J1446" s="14" t="str">
        <f>HYPERLINK("https://www.boe.es/gazeta/dias/1839/04/23/pdfs/GMD-1839-1620.pdf#page=4","Abrir facsímil")</f>
        <v>Abrir facsímil</v>
      </c>
      <c r="K1446" s="12" t="s">
        <v>65</v>
      </c>
    </row>
    <row r="1447" spans="1:11" ht="40.049999999999997" customHeight="1" x14ac:dyDescent="0.25">
      <c r="A1447" s="11" t="s">
        <v>3382</v>
      </c>
      <c r="B1447" s="11" t="s">
        <v>3383</v>
      </c>
      <c r="C1447" s="11" t="s">
        <v>80</v>
      </c>
      <c r="D1447" s="11" t="s">
        <v>18</v>
      </c>
      <c r="E1447" s="12" t="s">
        <v>401</v>
      </c>
      <c r="F1447" s="12" t="s">
        <v>402</v>
      </c>
      <c r="G1447" s="12" t="s">
        <v>46</v>
      </c>
      <c r="H1447" s="11" t="s">
        <v>63</v>
      </c>
      <c r="I1447" s="13" t="s">
        <v>3389</v>
      </c>
      <c r="J1447" s="14" t="str">
        <f>HYPERLINK("https://www.boe.es/gazeta/dias/1839/03/29/pdfs/GMD-1839-1595.pdf#page=3","Abrir facsímil")</f>
        <v>Abrir facsímil</v>
      </c>
      <c r="K1447" s="12" t="s">
        <v>65</v>
      </c>
    </row>
    <row r="1448" spans="1:11" ht="40.049999999999997" customHeight="1" x14ac:dyDescent="0.25">
      <c r="A1448" s="11" t="s">
        <v>3382</v>
      </c>
      <c r="B1448" s="11" t="s">
        <v>3383</v>
      </c>
      <c r="C1448" s="11" t="s">
        <v>80</v>
      </c>
      <c r="D1448" s="11" t="s">
        <v>18</v>
      </c>
      <c r="E1448" s="12" t="s">
        <v>401</v>
      </c>
      <c r="F1448" s="12" t="s">
        <v>402</v>
      </c>
      <c r="G1448" s="12" t="s">
        <v>21</v>
      </c>
      <c r="H1448" s="11" t="s">
        <v>63</v>
      </c>
      <c r="I1448" s="13" t="s">
        <v>3390</v>
      </c>
      <c r="J1448" s="14" t="str">
        <f>HYPERLINK("https://www.boe.es/gazeta/dias/1839/03/29/pdfs/GMD-1839-1595.pdf#page=4","Abrir facsímil")</f>
        <v>Abrir facsímil</v>
      </c>
      <c r="K1448" s="12" t="s">
        <v>65</v>
      </c>
    </row>
    <row r="1449" spans="1:11" ht="40.049999999999997" customHeight="1" x14ac:dyDescent="0.25">
      <c r="A1449" s="11" t="s">
        <v>3382</v>
      </c>
      <c r="B1449" s="11" t="s">
        <v>3383</v>
      </c>
      <c r="C1449" s="11" t="s">
        <v>80</v>
      </c>
      <c r="D1449" s="11" t="s">
        <v>18</v>
      </c>
      <c r="E1449" s="12" t="s">
        <v>3391</v>
      </c>
      <c r="F1449" s="12" t="s">
        <v>3392</v>
      </c>
      <c r="G1449" s="12" t="s">
        <v>21</v>
      </c>
      <c r="H1449" s="11" t="s">
        <v>63</v>
      </c>
      <c r="I1449" s="13" t="s">
        <v>3393</v>
      </c>
      <c r="J1449" s="14" t="str">
        <f>HYPERLINK("https://www.boe.es/gazeta/dias/1839/12/31/pdfs/GMD-1839-1878.pdf#page=4","Abrir facsímil")</f>
        <v>Abrir facsímil</v>
      </c>
      <c r="K1449" s="12" t="s">
        <v>65</v>
      </c>
    </row>
    <row r="1450" spans="1:11" ht="40.049999999999997" customHeight="1" x14ac:dyDescent="0.25">
      <c r="A1450" s="11" t="s">
        <v>3394</v>
      </c>
      <c r="B1450" s="11" t="s">
        <v>3395</v>
      </c>
      <c r="C1450" s="11" t="s">
        <v>80</v>
      </c>
      <c r="D1450" s="11" t="s">
        <v>18</v>
      </c>
      <c r="E1450" s="12" t="s">
        <v>2452</v>
      </c>
      <c r="F1450" s="12" t="s">
        <v>2453</v>
      </c>
      <c r="G1450" s="12" t="s">
        <v>21</v>
      </c>
      <c r="H1450" s="11" t="s">
        <v>63</v>
      </c>
      <c r="I1450" s="13" t="s">
        <v>3396</v>
      </c>
      <c r="J1450" s="14" t="str">
        <f>HYPERLINK("https://www.boe.es/gazeta/dias/1839/11/14/pdfs/GMD-1839-1831.pdf#page=4","Abrir facsímil")</f>
        <v>Abrir facsímil</v>
      </c>
      <c r="K1450" s="12" t="s">
        <v>65</v>
      </c>
    </row>
    <row r="1451" spans="1:11" ht="40.049999999999997" customHeight="1" x14ac:dyDescent="0.25">
      <c r="A1451" s="11" t="s">
        <v>3394</v>
      </c>
      <c r="B1451" s="11" t="s">
        <v>3395</v>
      </c>
      <c r="C1451" s="11" t="s">
        <v>80</v>
      </c>
      <c r="D1451" s="11" t="s">
        <v>18</v>
      </c>
      <c r="E1451" s="12" t="s">
        <v>401</v>
      </c>
      <c r="F1451" s="12" t="s">
        <v>402</v>
      </c>
      <c r="G1451" s="12" t="s">
        <v>21</v>
      </c>
      <c r="H1451" s="11" t="s">
        <v>63</v>
      </c>
      <c r="I1451" s="13" t="s">
        <v>3397</v>
      </c>
      <c r="J1451" s="14" t="str">
        <f>HYPERLINK("https://www.boe.es/gazeta/dias/1839/03/29/pdfs/GMD-1839-1595.pdf#page=4","Abrir facsímil")</f>
        <v>Abrir facsímil</v>
      </c>
      <c r="K1451" s="12" t="s">
        <v>65</v>
      </c>
    </row>
    <row r="1452" spans="1:11" ht="40.049999999999997" customHeight="1" x14ac:dyDescent="0.25">
      <c r="A1452" s="11" t="s">
        <v>3398</v>
      </c>
      <c r="B1452" s="11" t="s">
        <v>3398</v>
      </c>
      <c r="C1452" s="11" t="s">
        <v>17</v>
      </c>
      <c r="D1452" s="11" t="s">
        <v>18</v>
      </c>
      <c r="E1452" s="12" t="s">
        <v>2507</v>
      </c>
      <c r="F1452" s="12" t="s">
        <v>2508</v>
      </c>
      <c r="G1452" s="12" t="s">
        <v>29</v>
      </c>
      <c r="H1452" s="11" t="s">
        <v>63</v>
      </c>
      <c r="I1452" s="13" t="s">
        <v>3399</v>
      </c>
      <c r="J1452" s="14" t="str">
        <f>HYPERLINK("https://www.boe.es/gazeta/dias/1839/03/08/pdfs/GMD-1839-1574.pdf#page=1","Abrir facsímil")</f>
        <v>Abrir facsímil</v>
      </c>
      <c r="K1452" s="12" t="s">
        <v>65</v>
      </c>
    </row>
    <row r="1453" spans="1:11" ht="40.049999999999997" customHeight="1" x14ac:dyDescent="0.25">
      <c r="A1453" s="11" t="s">
        <v>3400</v>
      </c>
      <c r="B1453" s="11" t="s">
        <v>3401</v>
      </c>
      <c r="C1453" s="11" t="s">
        <v>80</v>
      </c>
      <c r="D1453" s="11" t="s">
        <v>18</v>
      </c>
      <c r="E1453" s="12" t="s">
        <v>1614</v>
      </c>
      <c r="F1453" s="12" t="s">
        <v>1615</v>
      </c>
      <c r="G1453" s="12" t="s">
        <v>21</v>
      </c>
      <c r="H1453" s="11" t="s">
        <v>63</v>
      </c>
      <c r="I1453" s="13" t="s">
        <v>3402</v>
      </c>
      <c r="J1453" s="14" t="str">
        <f>HYPERLINK("https://www.boe.es/gazeta/dias/1839/07/03/pdfs/GMD-1839-1691.pdf#page=4","Abrir facsímil")</f>
        <v>Abrir facsímil</v>
      </c>
      <c r="K1453" s="12" t="s">
        <v>65</v>
      </c>
    </row>
    <row r="1454" spans="1:11" ht="40.049999999999997" customHeight="1" x14ac:dyDescent="0.25">
      <c r="A1454" s="11" t="s">
        <v>3403</v>
      </c>
      <c r="B1454" s="11" t="s">
        <v>3403</v>
      </c>
      <c r="C1454" s="11" t="s">
        <v>17</v>
      </c>
      <c r="D1454" s="11" t="s">
        <v>18</v>
      </c>
      <c r="E1454" s="12" t="s">
        <v>3134</v>
      </c>
      <c r="F1454" s="12" t="s">
        <v>3135</v>
      </c>
      <c r="G1454" s="12" t="s">
        <v>29</v>
      </c>
      <c r="H1454" s="11" t="s">
        <v>63</v>
      </c>
      <c r="I1454" s="13" t="s">
        <v>3404</v>
      </c>
      <c r="J1454" s="14" t="str">
        <f>HYPERLINK("https://www.boe.es/gazeta/dias/1839/08/09/pdfs/GMD-1839-1729.pdf#page=1","Abrir facsímil")</f>
        <v>Abrir facsímil</v>
      </c>
      <c r="K1454" s="12" t="s">
        <v>65</v>
      </c>
    </row>
    <row r="1455" spans="1:11" ht="40.049999999999997" customHeight="1" x14ac:dyDescent="0.25">
      <c r="A1455" s="11" t="s">
        <v>3405</v>
      </c>
      <c r="B1455" s="11" t="s">
        <v>3405</v>
      </c>
      <c r="C1455" s="11" t="s">
        <v>80</v>
      </c>
      <c r="D1455" s="11" t="s">
        <v>18</v>
      </c>
      <c r="E1455" s="12" t="s">
        <v>1252</v>
      </c>
      <c r="F1455" s="12" t="s">
        <v>1253</v>
      </c>
      <c r="G1455" s="12" t="s">
        <v>21</v>
      </c>
      <c r="H1455" s="11" t="s">
        <v>22</v>
      </c>
      <c r="I1455" s="13" t="s">
        <v>3406</v>
      </c>
      <c r="J1455" s="14" t="str">
        <f>HYPERLINK("https://www.boe.es/gazeta/dias/1839/06/15/pdfs/GMD-1839-1673.pdf#page=4","Abrir facsímil")</f>
        <v>Abrir facsímil</v>
      </c>
      <c r="K1455" s="12" t="s">
        <v>24</v>
      </c>
    </row>
    <row r="1456" spans="1:11" ht="40.049999999999997" customHeight="1" x14ac:dyDescent="0.25">
      <c r="A1456" s="11" t="s">
        <v>3407</v>
      </c>
      <c r="B1456" s="11" t="s">
        <v>3408</v>
      </c>
      <c r="C1456" s="11" t="s">
        <v>80</v>
      </c>
      <c r="D1456" s="11" t="s">
        <v>18</v>
      </c>
      <c r="E1456" s="12" t="s">
        <v>1528</v>
      </c>
      <c r="F1456" s="12" t="s">
        <v>1529</v>
      </c>
      <c r="G1456" s="12" t="s">
        <v>21</v>
      </c>
      <c r="H1456" s="11" t="s">
        <v>63</v>
      </c>
      <c r="I1456" s="13" t="s">
        <v>3409</v>
      </c>
      <c r="J1456" s="14" t="str">
        <f>HYPERLINK("https://www.boe.es/gazeta/dias/1839/12/15/pdfs/GMD-1839-1862.pdf#page=4","Abrir facsímil")</f>
        <v>Abrir facsímil</v>
      </c>
      <c r="K1456" s="12" t="s">
        <v>65</v>
      </c>
    </row>
    <row r="1457" spans="1:11" ht="40.049999999999997" customHeight="1" x14ac:dyDescent="0.25">
      <c r="A1457" s="11" t="s">
        <v>3410</v>
      </c>
      <c r="B1457" s="11" t="s">
        <v>3410</v>
      </c>
      <c r="C1457" s="11" t="s">
        <v>101</v>
      </c>
      <c r="D1457" s="11" t="s">
        <v>102</v>
      </c>
      <c r="E1457" s="12" t="s">
        <v>2227</v>
      </c>
      <c r="F1457" s="12" t="s">
        <v>2228</v>
      </c>
      <c r="G1457" s="12" t="s">
        <v>40</v>
      </c>
      <c r="H1457" s="11" t="s">
        <v>63</v>
      </c>
      <c r="I1457" s="13" t="s">
        <v>3411</v>
      </c>
      <c r="J1457" s="14" t="str">
        <f>HYPERLINK("https://www.boe.es/gazeta/dias/1839/12/04/pdfs/GMD-1839-1851.pdf#page=2","Abrir facsímil")</f>
        <v>Abrir facsímil</v>
      </c>
      <c r="K1457" s="12" t="s">
        <v>65</v>
      </c>
    </row>
    <row r="1458" spans="1:11" ht="40.049999999999997" customHeight="1" x14ac:dyDescent="0.25">
      <c r="A1458" s="11" t="s">
        <v>3412</v>
      </c>
      <c r="B1458" s="11" t="s">
        <v>3413</v>
      </c>
      <c r="C1458" s="11" t="s">
        <v>17</v>
      </c>
      <c r="D1458" s="11" t="s">
        <v>18</v>
      </c>
      <c r="E1458" s="12" t="s">
        <v>3114</v>
      </c>
      <c r="F1458" s="12" t="s">
        <v>3115</v>
      </c>
      <c r="G1458" s="12" t="s">
        <v>21</v>
      </c>
      <c r="H1458" s="11" t="s">
        <v>63</v>
      </c>
      <c r="I1458" s="13" t="s">
        <v>3414</v>
      </c>
      <c r="J1458" s="14" t="str">
        <f>HYPERLINK("https://www.boe.es/gazeta/dias/1839/05/15/pdfs/GMD-1839-1642.pdf#page=4","Abrir facsímil")</f>
        <v>Abrir facsímil</v>
      </c>
      <c r="K1458" s="12" t="s">
        <v>65</v>
      </c>
    </row>
    <row r="1459" spans="1:11" ht="40.049999999999997" customHeight="1" x14ac:dyDescent="0.25">
      <c r="A1459" s="11" t="s">
        <v>3415</v>
      </c>
      <c r="B1459" s="11" t="s">
        <v>3416</v>
      </c>
      <c r="C1459" s="11" t="s">
        <v>17</v>
      </c>
      <c r="D1459" s="11" t="s">
        <v>18</v>
      </c>
      <c r="E1459" s="12" t="s">
        <v>716</v>
      </c>
      <c r="F1459" s="12" t="s">
        <v>717</v>
      </c>
      <c r="G1459" s="12" t="s">
        <v>29</v>
      </c>
      <c r="H1459" s="11" t="s">
        <v>63</v>
      </c>
      <c r="I1459" s="13" t="s">
        <v>3417</v>
      </c>
      <c r="J1459" s="14" t="str">
        <f>HYPERLINK("https://www.boe.es/gazeta/dias/1839/07/30/pdfs/GMD-1839-1719.pdf#page=1","Abrir facsímil")</f>
        <v>Abrir facsímil</v>
      </c>
      <c r="K1459" s="12" t="s">
        <v>65</v>
      </c>
    </row>
    <row r="1460" spans="1:11" ht="40.049999999999997" customHeight="1" x14ac:dyDescent="0.25">
      <c r="A1460" s="11" t="s">
        <v>3418</v>
      </c>
      <c r="B1460" s="11" t="s">
        <v>3418</v>
      </c>
      <c r="C1460" s="11" t="s">
        <v>17</v>
      </c>
      <c r="D1460" s="11" t="s">
        <v>18</v>
      </c>
      <c r="E1460" s="12" t="s">
        <v>1648</v>
      </c>
      <c r="F1460" s="12" t="s">
        <v>1649</v>
      </c>
      <c r="G1460" s="12" t="s">
        <v>29</v>
      </c>
      <c r="H1460" s="11" t="s">
        <v>63</v>
      </c>
      <c r="I1460" s="13" t="s">
        <v>3419</v>
      </c>
      <c r="J1460" s="14" t="str">
        <f>HYPERLINK("https://www.boe.es/gazeta/dias/1839/08/18/pdfs/GMD-1839-1738.pdf#page=1","Abrir facsímil")</f>
        <v>Abrir facsímil</v>
      </c>
      <c r="K1460" s="12" t="s">
        <v>65</v>
      </c>
    </row>
    <row r="1461" spans="1:11" ht="40.049999999999997" customHeight="1" x14ac:dyDescent="0.25">
      <c r="A1461" s="11" t="s">
        <v>3420</v>
      </c>
      <c r="B1461" s="11" t="s">
        <v>3420</v>
      </c>
      <c r="C1461" s="11" t="s">
        <v>101</v>
      </c>
      <c r="D1461" s="11" t="s">
        <v>43</v>
      </c>
      <c r="E1461" s="12" t="s">
        <v>582</v>
      </c>
      <c r="F1461" s="12" t="s">
        <v>583</v>
      </c>
      <c r="G1461" s="12" t="s">
        <v>40</v>
      </c>
      <c r="H1461" s="11" t="s">
        <v>63</v>
      </c>
      <c r="I1461" s="13" t="s">
        <v>3421</v>
      </c>
      <c r="J1461" s="14" t="str">
        <f>HYPERLINK("https://www.boe.es/gazeta/dias/1839/11/09/pdfs/GMD-1839-1826.pdf#page=2","Abrir facsímil")</f>
        <v>Abrir facsímil</v>
      </c>
      <c r="K1461" s="12" t="s">
        <v>65</v>
      </c>
    </row>
    <row r="1462" spans="1:11" ht="40.049999999999997" customHeight="1" x14ac:dyDescent="0.25">
      <c r="A1462" s="11" t="s">
        <v>3422</v>
      </c>
      <c r="B1462" s="11" t="s">
        <v>3422</v>
      </c>
      <c r="C1462" s="11" t="s">
        <v>101</v>
      </c>
      <c r="D1462" s="11" t="s">
        <v>43</v>
      </c>
      <c r="E1462" s="12" t="s">
        <v>544</v>
      </c>
      <c r="F1462" s="12" t="s">
        <v>545</v>
      </c>
      <c r="G1462" s="12" t="s">
        <v>40</v>
      </c>
      <c r="H1462" s="11" t="s">
        <v>63</v>
      </c>
      <c r="I1462" s="13" t="s">
        <v>3423</v>
      </c>
      <c r="J1462" s="14" t="str">
        <f>HYPERLINK("https://www.boe.es/gazeta/dias/1839/11/11/pdfs/GMD-1839-1828.pdf#page=2","Abrir facsímil")</f>
        <v>Abrir facsímil</v>
      </c>
      <c r="K1462" s="12" t="s">
        <v>65</v>
      </c>
    </row>
    <row r="1463" spans="1:11" ht="40.049999999999997" customHeight="1" x14ac:dyDescent="0.25">
      <c r="A1463" s="11" t="s">
        <v>3424</v>
      </c>
      <c r="B1463" s="11" t="s">
        <v>3425</v>
      </c>
      <c r="C1463" s="11" t="s">
        <v>80</v>
      </c>
      <c r="D1463" s="11" t="s">
        <v>18</v>
      </c>
      <c r="E1463" s="12" t="s">
        <v>700</v>
      </c>
      <c r="F1463" s="12" t="s">
        <v>701</v>
      </c>
      <c r="G1463" s="12" t="s">
        <v>21</v>
      </c>
      <c r="H1463" s="11" t="s">
        <v>63</v>
      </c>
      <c r="I1463" s="13" t="s">
        <v>3426</v>
      </c>
      <c r="J1463" s="14" t="str">
        <f>HYPERLINK("https://www.boe.es/gazeta/dias/1839/09/01/pdfs/GMD-1839-1753.pdf#page=4","Abrir facsímil")</f>
        <v>Abrir facsímil</v>
      </c>
      <c r="K1463" s="12" t="s">
        <v>65</v>
      </c>
    </row>
    <row r="1464" spans="1:11" ht="40.049999999999997" customHeight="1" x14ac:dyDescent="0.25">
      <c r="A1464" s="11" t="s">
        <v>3424</v>
      </c>
      <c r="B1464" s="11" t="s">
        <v>3425</v>
      </c>
      <c r="C1464" s="11" t="s">
        <v>101</v>
      </c>
      <c r="D1464" s="11" t="s">
        <v>102</v>
      </c>
      <c r="E1464" s="12" t="s">
        <v>2165</v>
      </c>
      <c r="F1464" s="12" t="s">
        <v>2166</v>
      </c>
      <c r="G1464" s="12" t="s">
        <v>40</v>
      </c>
      <c r="H1464" s="11" t="s">
        <v>63</v>
      </c>
      <c r="I1464" s="13" t="s">
        <v>3427</v>
      </c>
      <c r="J1464" s="14" t="str">
        <f>HYPERLINK("https://www.boe.es/gazeta/dias/1839/01/06/pdfs/GMD-1839-1513.pdf#page=2","Abrir facsímil")</f>
        <v>Abrir facsímil</v>
      </c>
      <c r="K1464" s="12" t="s">
        <v>65</v>
      </c>
    </row>
    <row r="1465" spans="1:11" ht="40.049999999999997" customHeight="1" x14ac:dyDescent="0.25">
      <c r="A1465" s="11" t="s">
        <v>3424</v>
      </c>
      <c r="B1465" s="11" t="s">
        <v>3425</v>
      </c>
      <c r="C1465" s="11" t="s">
        <v>17</v>
      </c>
      <c r="D1465" s="11" t="s">
        <v>18</v>
      </c>
      <c r="E1465" s="12" t="s">
        <v>295</v>
      </c>
      <c r="F1465" s="12" t="s">
        <v>296</v>
      </c>
      <c r="G1465" s="12" t="s">
        <v>40</v>
      </c>
      <c r="H1465" s="11" t="s">
        <v>63</v>
      </c>
      <c r="I1465" s="13" t="s">
        <v>3428</v>
      </c>
      <c r="J1465" s="14" t="str">
        <f>HYPERLINK("https://www.boe.es/gazeta/dias/1839/08/19/pdfs/GMD-1839-1740.pdf#page=2","Abrir facsímil")</f>
        <v>Abrir facsímil</v>
      </c>
      <c r="K1465" s="12" t="s">
        <v>65</v>
      </c>
    </row>
    <row r="1466" spans="1:11" ht="40.049999999999997" customHeight="1" x14ac:dyDescent="0.25">
      <c r="A1466" s="11" t="s">
        <v>3429</v>
      </c>
      <c r="B1466" s="11" t="s">
        <v>3429</v>
      </c>
      <c r="C1466" s="11" t="s">
        <v>17</v>
      </c>
      <c r="D1466" s="11" t="s">
        <v>18</v>
      </c>
      <c r="E1466" s="12" t="s">
        <v>1027</v>
      </c>
      <c r="F1466" s="12" t="s">
        <v>1028</v>
      </c>
      <c r="G1466" s="12" t="s">
        <v>21</v>
      </c>
      <c r="H1466" s="11" t="s">
        <v>63</v>
      </c>
      <c r="I1466" s="13" t="s">
        <v>3430</v>
      </c>
      <c r="J1466" s="14" t="str">
        <f>HYPERLINK("https://www.boe.es/gazeta/dias/1839/08/16/pdfs/GMD-1839-1736.pdf#page=4","Abrir facsímil")</f>
        <v>Abrir facsímil</v>
      </c>
      <c r="K1466" s="12" t="s">
        <v>65</v>
      </c>
    </row>
    <row r="1467" spans="1:11" ht="40.049999999999997" customHeight="1" x14ac:dyDescent="0.25">
      <c r="A1467" s="11" t="s">
        <v>3429</v>
      </c>
      <c r="B1467" s="11" t="s">
        <v>3429</v>
      </c>
      <c r="C1467" s="11" t="s">
        <v>17</v>
      </c>
      <c r="D1467" s="11" t="s">
        <v>43</v>
      </c>
      <c r="E1467" s="12" t="s">
        <v>1086</v>
      </c>
      <c r="F1467" s="12" t="s">
        <v>1087</v>
      </c>
      <c r="G1467" s="12" t="s">
        <v>21</v>
      </c>
      <c r="H1467" s="11" t="s">
        <v>63</v>
      </c>
      <c r="I1467" s="13" t="s">
        <v>3431</v>
      </c>
      <c r="J1467" s="14" t="str">
        <f>HYPERLINK("https://www.boe.es/gazeta/dias/1839/10/26/pdfs/GMD-1839-1812.pdf#page=4","Abrir facsímil")</f>
        <v>Abrir facsímil</v>
      </c>
      <c r="K1467" s="12" t="s">
        <v>65</v>
      </c>
    </row>
    <row r="1468" spans="1:11" ht="40.049999999999997" customHeight="1" x14ac:dyDescent="0.25">
      <c r="A1468" s="11" t="s">
        <v>3429</v>
      </c>
      <c r="B1468" s="11" t="s">
        <v>3429</v>
      </c>
      <c r="C1468" s="11" t="s">
        <v>17</v>
      </c>
      <c r="D1468" s="11" t="s">
        <v>43</v>
      </c>
      <c r="E1468" s="12" t="s">
        <v>1909</v>
      </c>
      <c r="F1468" s="12" t="s">
        <v>1910</v>
      </c>
      <c r="G1468" s="12" t="s">
        <v>40</v>
      </c>
      <c r="H1468" s="11" t="s">
        <v>63</v>
      </c>
      <c r="I1468" s="13" t="s">
        <v>3432</v>
      </c>
      <c r="J1468" s="14" t="str">
        <f>HYPERLINK("https://www.boe.es/gazeta/dias/1839/10/27/pdfs/GMD-1839-1813.pdf#page=2","Abrir facsímil")</f>
        <v>Abrir facsímil</v>
      </c>
      <c r="K1468" s="12" t="s">
        <v>65</v>
      </c>
    </row>
    <row r="1469" spans="1:11" ht="40.049999999999997" customHeight="1" x14ac:dyDescent="0.25">
      <c r="A1469" s="11" t="s">
        <v>3433</v>
      </c>
      <c r="B1469" s="11" t="s">
        <v>3434</v>
      </c>
      <c r="C1469" s="11" t="s">
        <v>101</v>
      </c>
      <c r="D1469" s="11" t="s">
        <v>43</v>
      </c>
      <c r="E1469" s="12" t="s">
        <v>1654</v>
      </c>
      <c r="F1469" s="12" t="s">
        <v>1655</v>
      </c>
      <c r="G1469" s="12" t="s">
        <v>21</v>
      </c>
      <c r="H1469" s="11" t="s">
        <v>22</v>
      </c>
      <c r="I1469" s="13" t="s">
        <v>3435</v>
      </c>
      <c r="J1469" s="14" t="str">
        <f>HYPERLINK("https://www.boe.es/gazeta/dias/1839/11/19/pdfs/GMD-1839-1836.pdf#page=4","Abrir facsímil")</f>
        <v>Abrir facsímil</v>
      </c>
      <c r="K1469" s="12" t="s">
        <v>24</v>
      </c>
    </row>
    <row r="1470" spans="1:11" ht="40.049999999999997" customHeight="1" x14ac:dyDescent="0.25">
      <c r="A1470" s="11" t="s">
        <v>3436</v>
      </c>
      <c r="B1470" s="11" t="s">
        <v>3437</v>
      </c>
      <c r="C1470" s="11" t="s">
        <v>59</v>
      </c>
      <c r="D1470" s="11" t="s">
        <v>60</v>
      </c>
      <c r="E1470" s="12" t="s">
        <v>197</v>
      </c>
      <c r="F1470" s="12" t="s">
        <v>198</v>
      </c>
      <c r="G1470" s="12" t="s">
        <v>46</v>
      </c>
      <c r="H1470" s="11" t="s">
        <v>63</v>
      </c>
      <c r="I1470" s="13" t="s">
        <v>3438</v>
      </c>
      <c r="J1470" s="14" t="str">
        <f>HYPERLINK("https://www.boe.es/gazeta/dias/1839/10/04/pdfs/GMD-1839-1790.pdf#page=3","Abrir facsímil")</f>
        <v>Abrir facsímil</v>
      </c>
      <c r="K1470" s="12" t="s">
        <v>65</v>
      </c>
    </row>
    <row r="1471" spans="1:11" ht="40.049999999999997" customHeight="1" x14ac:dyDescent="0.25">
      <c r="A1471" s="11" t="s">
        <v>3439</v>
      </c>
      <c r="B1471" s="11" t="s">
        <v>3440</v>
      </c>
      <c r="C1471" s="11" t="s">
        <v>59</v>
      </c>
      <c r="D1471" s="11" t="s">
        <v>60</v>
      </c>
      <c r="E1471" s="12" t="s">
        <v>258</v>
      </c>
      <c r="F1471" s="12" t="s">
        <v>259</v>
      </c>
      <c r="G1471" s="12" t="s">
        <v>29</v>
      </c>
      <c r="H1471" s="11" t="s">
        <v>63</v>
      </c>
      <c r="I1471" s="13" t="s">
        <v>3441</v>
      </c>
      <c r="J1471" s="14" t="str">
        <f>HYPERLINK("https://www.boe.es/gazeta/dias/1839/01/02/pdfs/GMD-1839-1509.pdf#page=1","Abrir facsímil")</f>
        <v>Abrir facsímil</v>
      </c>
      <c r="K1471" s="12" t="s">
        <v>65</v>
      </c>
    </row>
    <row r="1472" spans="1:11" ht="40.049999999999997" customHeight="1" x14ac:dyDescent="0.25">
      <c r="A1472" s="11" t="s">
        <v>3442</v>
      </c>
      <c r="B1472" s="11" t="s">
        <v>3443</v>
      </c>
      <c r="C1472" s="11" t="s">
        <v>137</v>
      </c>
      <c r="D1472" s="11" t="s">
        <v>18</v>
      </c>
      <c r="E1472" s="12" t="s">
        <v>1159</v>
      </c>
      <c r="F1472" s="12" t="s">
        <v>1160</v>
      </c>
      <c r="G1472" s="12" t="s">
        <v>21</v>
      </c>
      <c r="H1472" s="11" t="s">
        <v>63</v>
      </c>
      <c r="I1472" s="13" t="s">
        <v>3444</v>
      </c>
      <c r="J1472" s="14" t="str">
        <f>HYPERLINK("https://www.boe.es/gazeta/dias/1839/11/26/pdfs/GMD-1839-1843.pdf#page=4","Abrir facsímil")</f>
        <v>Abrir facsímil</v>
      </c>
      <c r="K1472" s="12" t="s">
        <v>65</v>
      </c>
    </row>
    <row r="1473" spans="1:11" ht="40.049999999999997" customHeight="1" x14ac:dyDescent="0.25">
      <c r="A1473" s="11" t="s">
        <v>3445</v>
      </c>
      <c r="B1473" s="11" t="s">
        <v>3445</v>
      </c>
      <c r="C1473" s="11" t="s">
        <v>17</v>
      </c>
      <c r="D1473" s="11" t="s">
        <v>18</v>
      </c>
      <c r="E1473" s="12" t="s">
        <v>1551</v>
      </c>
      <c r="F1473" s="12" t="s">
        <v>1552</v>
      </c>
      <c r="G1473" s="12" t="s">
        <v>21</v>
      </c>
      <c r="H1473" s="11" t="s">
        <v>63</v>
      </c>
      <c r="I1473" s="13" t="s">
        <v>3446</v>
      </c>
      <c r="J1473" s="14" t="str">
        <f>HYPERLINK("https://www.boe.es/gazeta/dias/1839/06/30/pdfs/GMD-1839-1688.pdf#page=4","Abrir facsímil")</f>
        <v>Abrir facsímil</v>
      </c>
      <c r="K1473" s="12" t="s">
        <v>65</v>
      </c>
    </row>
    <row r="1474" spans="1:11" ht="40.049999999999997" customHeight="1" x14ac:dyDescent="0.25">
      <c r="A1474" s="11" t="s">
        <v>3447</v>
      </c>
      <c r="B1474" s="11" t="s">
        <v>3448</v>
      </c>
      <c r="C1474" s="11" t="s">
        <v>80</v>
      </c>
      <c r="D1474" s="11" t="s">
        <v>173</v>
      </c>
      <c r="E1474" s="12" t="s">
        <v>462</v>
      </c>
      <c r="F1474" s="12" t="s">
        <v>463</v>
      </c>
      <c r="G1474" s="12" t="s">
        <v>21</v>
      </c>
      <c r="H1474" s="11" t="s">
        <v>63</v>
      </c>
      <c r="I1474" s="13" t="s">
        <v>3449</v>
      </c>
      <c r="J1474" s="14" t="str">
        <f>HYPERLINK("https://www.boe.es/gazeta/dias/1839/06/19/pdfs/GMD-1839-1677.pdf#page=4","Abrir facsímil")</f>
        <v>Abrir facsímil</v>
      </c>
      <c r="K1474" s="12" t="s">
        <v>65</v>
      </c>
    </row>
    <row r="1475" spans="1:11" ht="40.049999999999997" customHeight="1" x14ac:dyDescent="0.25">
      <c r="A1475" s="11" t="s">
        <v>3450</v>
      </c>
      <c r="B1475" s="11" t="s">
        <v>3450</v>
      </c>
      <c r="C1475" s="11" t="s">
        <v>59</v>
      </c>
      <c r="D1475" s="11" t="s">
        <v>60</v>
      </c>
      <c r="E1475" s="12" t="s">
        <v>27</v>
      </c>
      <c r="F1475" s="12" t="s">
        <v>28</v>
      </c>
      <c r="G1475" s="12" t="s">
        <v>40</v>
      </c>
      <c r="H1475" s="11" t="s">
        <v>63</v>
      </c>
      <c r="I1475" s="13" t="s">
        <v>3451</v>
      </c>
      <c r="J1475" s="14" t="str">
        <f>HYPERLINK("https://www.boe.es/gazeta/dias/1839/07/28/pdfs/GMD-1839-1717.pdf#page=2","Abrir facsímil")</f>
        <v>Abrir facsímil</v>
      </c>
      <c r="K1475" s="12" t="s">
        <v>65</v>
      </c>
    </row>
    <row r="1476" spans="1:11" ht="40.049999999999997" customHeight="1" x14ac:dyDescent="0.25">
      <c r="A1476" s="11" t="s">
        <v>3452</v>
      </c>
      <c r="B1476" s="11" t="s">
        <v>3453</v>
      </c>
      <c r="C1476" s="11" t="s">
        <v>59</v>
      </c>
      <c r="D1476" s="11" t="s">
        <v>60</v>
      </c>
      <c r="E1476" s="12" t="s">
        <v>369</v>
      </c>
      <c r="F1476" s="12" t="s">
        <v>370</v>
      </c>
      <c r="G1476" s="12" t="s">
        <v>40</v>
      </c>
      <c r="H1476" s="11" t="s">
        <v>63</v>
      </c>
      <c r="I1476" s="13" t="s">
        <v>3454</v>
      </c>
      <c r="J1476" s="14" t="str">
        <f>HYPERLINK("https://www.boe.es/gazeta/dias/1839/11/01/pdfs/GMD-1839-1818.pdf#page=2","Abrir facsímil")</f>
        <v>Abrir facsímil</v>
      </c>
      <c r="K1476" s="12" t="s">
        <v>65</v>
      </c>
    </row>
    <row r="1477" spans="1:11" ht="40.049999999999997" customHeight="1" x14ac:dyDescent="0.25">
      <c r="A1477" s="11" t="s">
        <v>3455</v>
      </c>
      <c r="B1477" s="11" t="s">
        <v>3456</v>
      </c>
      <c r="C1477" s="11" t="s">
        <v>17</v>
      </c>
      <c r="D1477" s="11" t="s">
        <v>18</v>
      </c>
      <c r="E1477" s="12" t="s">
        <v>1123</v>
      </c>
      <c r="F1477" s="12" t="s">
        <v>1124</v>
      </c>
      <c r="G1477" s="12" t="s">
        <v>46</v>
      </c>
      <c r="H1477" s="11" t="s">
        <v>63</v>
      </c>
      <c r="I1477" s="13" t="s">
        <v>3457</v>
      </c>
      <c r="J1477" s="14" t="str">
        <f>HYPERLINK("https://www.boe.es/gazeta/dias/1839/08/10/pdfs/GMD-1839-1730.pdf#page=3","Abrir facsímil")</f>
        <v>Abrir facsímil</v>
      </c>
      <c r="K1477" s="12" t="s">
        <v>65</v>
      </c>
    </row>
    <row r="1478" spans="1:11" ht="40.049999999999997" customHeight="1" x14ac:dyDescent="0.25">
      <c r="A1478" s="11" t="s">
        <v>3458</v>
      </c>
      <c r="B1478" s="11" t="s">
        <v>3459</v>
      </c>
      <c r="C1478" s="11" t="s">
        <v>59</v>
      </c>
      <c r="D1478" s="11" t="s">
        <v>60</v>
      </c>
      <c r="E1478" s="12" t="s">
        <v>1252</v>
      </c>
      <c r="F1478" s="12" t="s">
        <v>1253</v>
      </c>
      <c r="G1478" s="12" t="s">
        <v>21</v>
      </c>
      <c r="H1478" s="11" t="s">
        <v>63</v>
      </c>
      <c r="I1478" s="13" t="s">
        <v>3460</v>
      </c>
      <c r="J1478" s="14" t="str">
        <f>HYPERLINK("https://www.boe.es/gazeta/dias/1839/06/15/pdfs/GMD-1839-1673.pdf#page=4","Abrir facsímil")</f>
        <v>Abrir facsímil</v>
      </c>
      <c r="K1478" s="12" t="s">
        <v>65</v>
      </c>
    </row>
    <row r="1479" spans="1:11" ht="40.049999999999997" customHeight="1" x14ac:dyDescent="0.25">
      <c r="A1479" s="11" t="s">
        <v>3461</v>
      </c>
      <c r="B1479" s="11" t="s">
        <v>3461</v>
      </c>
      <c r="C1479" s="11" t="s">
        <v>101</v>
      </c>
      <c r="D1479" s="11" t="s">
        <v>102</v>
      </c>
      <c r="E1479" s="12" t="s">
        <v>544</v>
      </c>
      <c r="F1479" s="12" t="s">
        <v>545</v>
      </c>
      <c r="G1479" s="12" t="s">
        <v>46</v>
      </c>
      <c r="H1479" s="11" t="s">
        <v>63</v>
      </c>
      <c r="I1479" s="13" t="s">
        <v>3462</v>
      </c>
      <c r="J1479" s="14" t="str">
        <f>HYPERLINK("https://www.boe.es/gazeta/dias/1839/11/11/pdfs/GMD-1839-1828.pdf#page=3","Abrir facsímil")</f>
        <v>Abrir facsímil</v>
      </c>
      <c r="K1479" s="12" t="s">
        <v>65</v>
      </c>
    </row>
    <row r="1480" spans="1:11" ht="40.049999999999997" customHeight="1" x14ac:dyDescent="0.25">
      <c r="A1480" s="11" t="s">
        <v>3463</v>
      </c>
      <c r="B1480" s="11" t="s">
        <v>3464</v>
      </c>
      <c r="C1480" s="11" t="s">
        <v>137</v>
      </c>
      <c r="D1480" s="11" t="s">
        <v>18</v>
      </c>
      <c r="E1480" s="12" t="s">
        <v>479</v>
      </c>
      <c r="F1480" s="12" t="s">
        <v>480</v>
      </c>
      <c r="G1480" s="12" t="s">
        <v>40</v>
      </c>
      <c r="H1480" s="11" t="s">
        <v>63</v>
      </c>
      <c r="I1480" s="13" t="s">
        <v>3465</v>
      </c>
      <c r="J1480" s="14" t="str">
        <f>HYPERLINK("https://www.boe.es/gazeta/dias/1839/06/24/pdfs/GMD-1839-1682.pdf#page=2","Abrir facsímil")</f>
        <v>Abrir facsímil</v>
      </c>
      <c r="K1480" s="12" t="s">
        <v>65</v>
      </c>
    </row>
    <row r="1481" spans="1:11" ht="40.049999999999997" customHeight="1" x14ac:dyDescent="0.25">
      <c r="A1481" s="11" t="s">
        <v>3466</v>
      </c>
      <c r="B1481" s="11" t="s">
        <v>3466</v>
      </c>
      <c r="C1481" s="11" t="s">
        <v>59</v>
      </c>
      <c r="D1481" s="11" t="s">
        <v>60</v>
      </c>
      <c r="E1481" s="12" t="s">
        <v>3236</v>
      </c>
      <c r="F1481" s="12" t="s">
        <v>3237</v>
      </c>
      <c r="G1481" s="12" t="s">
        <v>40</v>
      </c>
      <c r="H1481" s="11" t="s">
        <v>63</v>
      </c>
      <c r="I1481" s="13" t="s">
        <v>3467</v>
      </c>
      <c r="J1481" s="14" t="str">
        <f>HYPERLINK("https://www.boe.es/gazeta/dias/1839/12/03/pdfs/GMD-1839-1850.pdf#page=2","Abrir facsímil")</f>
        <v>Abrir facsímil</v>
      </c>
      <c r="K1481" s="12" t="s">
        <v>65</v>
      </c>
    </row>
    <row r="1482" spans="1:11" ht="40.049999999999997" customHeight="1" x14ac:dyDescent="0.25">
      <c r="A1482" s="11" t="s">
        <v>3468</v>
      </c>
      <c r="B1482" s="11" t="s">
        <v>3469</v>
      </c>
      <c r="C1482" s="11" t="s">
        <v>17</v>
      </c>
      <c r="D1482" s="11" t="s">
        <v>18</v>
      </c>
      <c r="E1482" s="12" t="s">
        <v>2452</v>
      </c>
      <c r="F1482" s="12" t="s">
        <v>2453</v>
      </c>
      <c r="G1482" s="12" t="s">
        <v>46</v>
      </c>
      <c r="H1482" s="11" t="s">
        <v>63</v>
      </c>
      <c r="I1482" s="13" t="s">
        <v>3470</v>
      </c>
      <c r="J1482" s="14" t="str">
        <f>HYPERLINK("https://www.boe.es/gazeta/dias/1839/11/14/pdfs/GMD-1839-1831.pdf#page=3","Abrir facsímil")</f>
        <v>Abrir facsímil</v>
      </c>
      <c r="K1482" s="12" t="s">
        <v>65</v>
      </c>
    </row>
    <row r="1483" spans="1:11" ht="40.049999999999997" customHeight="1" x14ac:dyDescent="0.25">
      <c r="A1483" s="11" t="s">
        <v>3471</v>
      </c>
      <c r="B1483" s="11" t="s">
        <v>3472</v>
      </c>
      <c r="C1483" s="11" t="s">
        <v>17</v>
      </c>
      <c r="D1483" s="11" t="s">
        <v>18</v>
      </c>
      <c r="E1483" s="12" t="s">
        <v>756</v>
      </c>
      <c r="F1483" s="12" t="s">
        <v>757</v>
      </c>
      <c r="G1483" s="12" t="s">
        <v>21</v>
      </c>
      <c r="H1483" s="11" t="s">
        <v>63</v>
      </c>
      <c r="I1483" s="13" t="s">
        <v>3473</v>
      </c>
      <c r="J1483" s="14" t="str">
        <f>HYPERLINK("https://www.boe.es/gazeta/dias/1839/12/17/pdfs/GMD-1839-1864.pdf#page=4","Abrir facsímil")</f>
        <v>Abrir facsímil</v>
      </c>
      <c r="K1483" s="12" t="s">
        <v>65</v>
      </c>
    </row>
    <row r="1484" spans="1:11" ht="40.049999999999997" customHeight="1" x14ac:dyDescent="0.25">
      <c r="A1484" s="11" t="s">
        <v>3474</v>
      </c>
      <c r="B1484" s="11" t="s">
        <v>3474</v>
      </c>
      <c r="C1484" s="11" t="s">
        <v>17</v>
      </c>
      <c r="D1484" s="11" t="s">
        <v>18</v>
      </c>
      <c r="E1484" s="12" t="s">
        <v>168</v>
      </c>
      <c r="F1484" s="12" t="s">
        <v>169</v>
      </c>
      <c r="G1484" s="12" t="s">
        <v>46</v>
      </c>
      <c r="H1484" s="11" t="s">
        <v>63</v>
      </c>
      <c r="I1484" s="13" t="s">
        <v>3475</v>
      </c>
      <c r="J1484" s="14" t="str">
        <f>HYPERLINK("https://www.boe.es/gazeta/dias/1839/07/12/pdfs/GMD-1839-1700.pdf#page=3","Abrir facsímil")</f>
        <v>Abrir facsímil</v>
      </c>
      <c r="K1484" s="12" t="s">
        <v>65</v>
      </c>
    </row>
    <row r="1485" spans="1:11" ht="40.049999999999997" customHeight="1" x14ac:dyDescent="0.25">
      <c r="A1485" s="11" t="s">
        <v>3476</v>
      </c>
      <c r="B1485" s="11" t="s">
        <v>3476</v>
      </c>
      <c r="C1485" s="11" t="s">
        <v>17</v>
      </c>
      <c r="D1485" s="11" t="s">
        <v>18</v>
      </c>
      <c r="E1485" s="12" t="s">
        <v>160</v>
      </c>
      <c r="F1485" s="12" t="s">
        <v>161</v>
      </c>
      <c r="G1485" s="12" t="s">
        <v>46</v>
      </c>
      <c r="H1485" s="11" t="s">
        <v>63</v>
      </c>
      <c r="I1485" s="13" t="s">
        <v>3477</v>
      </c>
      <c r="J1485" s="14" t="str">
        <f>HYPERLINK("https://www.boe.es/gazeta/dias/1839/01/10/pdfs/GMD-1839-1517.pdf#page=3","Abrir facsímil")</f>
        <v>Abrir facsímil</v>
      </c>
      <c r="K1485" s="12" t="s">
        <v>65</v>
      </c>
    </row>
    <row r="1486" spans="1:11" ht="40.049999999999997" customHeight="1" x14ac:dyDescent="0.25">
      <c r="A1486" s="11" t="s">
        <v>3478</v>
      </c>
      <c r="B1486" s="11" t="s">
        <v>3478</v>
      </c>
      <c r="C1486" s="11" t="s">
        <v>101</v>
      </c>
      <c r="D1486" s="11" t="s">
        <v>43</v>
      </c>
      <c r="E1486" s="12" t="s">
        <v>175</v>
      </c>
      <c r="F1486" s="12" t="s">
        <v>176</v>
      </c>
      <c r="G1486" s="12" t="s">
        <v>46</v>
      </c>
      <c r="H1486" s="11" t="s">
        <v>22</v>
      </c>
      <c r="I1486" s="13" t="s">
        <v>3479</v>
      </c>
      <c r="J1486" s="14" t="str">
        <f>HYPERLINK("https://www.boe.es/gazeta/dias/1839/01/16/pdfs/GMD-1839-1523.pdf#page=3","Abrir facsímil")</f>
        <v>Abrir facsímil</v>
      </c>
      <c r="K1486" s="12" t="s">
        <v>24</v>
      </c>
    </row>
    <row r="1487" spans="1:11" ht="40.049999999999997" customHeight="1" x14ac:dyDescent="0.25">
      <c r="A1487" s="11" t="s">
        <v>3480</v>
      </c>
      <c r="B1487" s="11" t="s">
        <v>3481</v>
      </c>
      <c r="C1487" s="11" t="s">
        <v>17</v>
      </c>
      <c r="D1487" s="11" t="s">
        <v>18</v>
      </c>
      <c r="E1487" s="12" t="s">
        <v>258</v>
      </c>
      <c r="F1487" s="12" t="s">
        <v>259</v>
      </c>
      <c r="G1487" s="12" t="s">
        <v>46</v>
      </c>
      <c r="H1487" s="11" t="s">
        <v>22</v>
      </c>
      <c r="I1487" s="13" t="s">
        <v>3482</v>
      </c>
      <c r="J1487" s="14" t="str">
        <f>HYPERLINK("https://www.boe.es/gazeta/dias/1839/01/02/pdfs/GMD-1839-1509.pdf#page=3","Abrir facsímil")</f>
        <v>Abrir facsímil</v>
      </c>
      <c r="K1487" s="12" t="s">
        <v>24</v>
      </c>
    </row>
    <row r="1488" spans="1:11" ht="40.049999999999997" customHeight="1" x14ac:dyDescent="0.25">
      <c r="A1488" s="11" t="s">
        <v>3483</v>
      </c>
      <c r="B1488" s="11" t="s">
        <v>3483</v>
      </c>
      <c r="C1488" s="11" t="s">
        <v>17</v>
      </c>
      <c r="D1488" s="11" t="s">
        <v>18</v>
      </c>
      <c r="E1488" s="12" t="s">
        <v>121</v>
      </c>
      <c r="F1488" s="12" t="s">
        <v>122</v>
      </c>
      <c r="G1488" s="12" t="s">
        <v>46</v>
      </c>
      <c r="H1488" s="11" t="s">
        <v>63</v>
      </c>
      <c r="I1488" s="13" t="s">
        <v>3484</v>
      </c>
      <c r="J1488" s="14" t="str">
        <f>HYPERLINK("https://www.boe.es/gazeta/dias/1839/06/08/pdfs/GMD-1839-1666.pdf#page=3","Abrir facsímil")</f>
        <v>Abrir facsímil</v>
      </c>
      <c r="K1488" s="12" t="s">
        <v>65</v>
      </c>
    </row>
    <row r="1489" spans="1:11" ht="40.049999999999997" customHeight="1" x14ac:dyDescent="0.25">
      <c r="A1489" s="11" t="s">
        <v>3485</v>
      </c>
      <c r="B1489" s="11" t="s">
        <v>3485</v>
      </c>
      <c r="C1489" s="11" t="s">
        <v>17</v>
      </c>
      <c r="D1489" s="11" t="s">
        <v>18</v>
      </c>
      <c r="E1489" s="12" t="s">
        <v>794</v>
      </c>
      <c r="F1489" s="12" t="s">
        <v>795</v>
      </c>
      <c r="G1489" s="12" t="s">
        <v>29</v>
      </c>
      <c r="H1489" s="11" t="s">
        <v>63</v>
      </c>
      <c r="I1489" s="13" t="s">
        <v>3486</v>
      </c>
      <c r="J1489" s="14" t="str">
        <f>HYPERLINK("https://www.boe.es/gazeta/dias/1839/01/22/pdfs/GMD-1839-1529.pdf#page=1","Abrir facsímil")</f>
        <v>Abrir facsímil</v>
      </c>
      <c r="K1489" s="12" t="s">
        <v>65</v>
      </c>
    </row>
    <row r="1490" spans="1:11" ht="40.049999999999997" customHeight="1" x14ac:dyDescent="0.25">
      <c r="A1490" s="11" t="s">
        <v>3485</v>
      </c>
      <c r="B1490" s="11" t="s">
        <v>3485</v>
      </c>
      <c r="C1490" s="11" t="s">
        <v>137</v>
      </c>
      <c r="D1490" s="11" t="s">
        <v>18</v>
      </c>
      <c r="E1490" s="12" t="s">
        <v>375</v>
      </c>
      <c r="F1490" s="12" t="s">
        <v>376</v>
      </c>
      <c r="G1490" s="12" t="s">
        <v>21</v>
      </c>
      <c r="H1490" s="11" t="s">
        <v>63</v>
      </c>
      <c r="I1490" s="13" t="s">
        <v>3487</v>
      </c>
      <c r="J1490" s="14" t="str">
        <f>HYPERLINK("https://www.boe.es/gazeta/dias/1839/11/25/pdfs/GMD-1839-1842.pdf#page=4","Abrir facsímil")</f>
        <v>Abrir facsímil</v>
      </c>
      <c r="K1490" s="12" t="s">
        <v>65</v>
      </c>
    </row>
    <row r="1491" spans="1:11" ht="40.049999999999997" customHeight="1" x14ac:dyDescent="0.25">
      <c r="A1491" s="11" t="s">
        <v>3488</v>
      </c>
      <c r="B1491" s="11" t="s">
        <v>3488</v>
      </c>
      <c r="C1491" s="11" t="s">
        <v>59</v>
      </c>
      <c r="D1491" s="11" t="s">
        <v>60</v>
      </c>
      <c r="E1491" s="12" t="s">
        <v>1628</v>
      </c>
      <c r="F1491" s="12" t="s">
        <v>1629</v>
      </c>
      <c r="G1491" s="12" t="s">
        <v>40</v>
      </c>
      <c r="H1491" s="11" t="s">
        <v>63</v>
      </c>
      <c r="I1491" s="13" t="s">
        <v>3489</v>
      </c>
      <c r="J1491" s="14" t="str">
        <f>HYPERLINK("https://www.boe.es/gazeta/dias/1839/03/10/pdfs/GMD-1839-1576.pdf#page=2","Abrir facsímil")</f>
        <v>Abrir facsímil</v>
      </c>
      <c r="K1491" s="12" t="s">
        <v>65</v>
      </c>
    </row>
    <row r="1492" spans="1:11" ht="40.049999999999997" customHeight="1" x14ac:dyDescent="0.25">
      <c r="A1492" s="11" t="s">
        <v>3490</v>
      </c>
      <c r="B1492" s="11" t="s">
        <v>3491</v>
      </c>
      <c r="C1492" s="11" t="s">
        <v>80</v>
      </c>
      <c r="D1492" s="11" t="s">
        <v>18</v>
      </c>
      <c r="E1492" s="12" t="s">
        <v>611</v>
      </c>
      <c r="F1492" s="12" t="s">
        <v>612</v>
      </c>
      <c r="G1492" s="12" t="s">
        <v>40</v>
      </c>
      <c r="H1492" s="11" t="s">
        <v>63</v>
      </c>
      <c r="I1492" s="13" t="s">
        <v>3492</v>
      </c>
      <c r="J1492" s="14" t="str">
        <f>HYPERLINK("https://www.boe.es/gazeta/dias/1839/07/22/pdfs/GMD-1839-1710.pdf#page=2","Abrir facsímil")</f>
        <v>Abrir facsímil</v>
      </c>
      <c r="K1492" s="12" t="s">
        <v>65</v>
      </c>
    </row>
    <row r="1493" spans="1:11" ht="40.049999999999997" customHeight="1" x14ac:dyDescent="0.25">
      <c r="A1493" s="11" t="s">
        <v>3493</v>
      </c>
      <c r="B1493" s="11" t="s">
        <v>3493</v>
      </c>
      <c r="C1493" s="11" t="s">
        <v>59</v>
      </c>
      <c r="D1493" s="11" t="s">
        <v>60</v>
      </c>
      <c r="E1493" s="12" t="s">
        <v>405</v>
      </c>
      <c r="F1493" s="12" t="s">
        <v>406</v>
      </c>
      <c r="G1493" s="12" t="s">
        <v>29</v>
      </c>
      <c r="H1493" s="11" t="s">
        <v>63</v>
      </c>
      <c r="I1493" s="13" t="s">
        <v>3494</v>
      </c>
      <c r="J1493" s="14" t="str">
        <f>HYPERLINK("https://www.boe.es/gazeta/dias/1839/03/25/pdfs/GMD-1839-1591.pdf#page=1","Abrir facsímil")</f>
        <v>Abrir facsímil</v>
      </c>
      <c r="K1493" s="12" t="s">
        <v>65</v>
      </c>
    </row>
    <row r="1494" spans="1:11" ht="40.049999999999997" customHeight="1" x14ac:dyDescent="0.25">
      <c r="A1494" s="11" t="s">
        <v>3495</v>
      </c>
      <c r="B1494" s="11" t="s">
        <v>3495</v>
      </c>
      <c r="C1494" s="11" t="s">
        <v>17</v>
      </c>
      <c r="D1494" s="11" t="s">
        <v>18</v>
      </c>
      <c r="E1494" s="12" t="s">
        <v>295</v>
      </c>
      <c r="F1494" s="12" t="s">
        <v>296</v>
      </c>
      <c r="G1494" s="12" t="s">
        <v>46</v>
      </c>
      <c r="H1494" s="11" t="s">
        <v>63</v>
      </c>
      <c r="I1494" s="13" t="s">
        <v>3496</v>
      </c>
      <c r="J1494" s="14" t="str">
        <f>HYPERLINK("https://www.boe.es/gazeta/dias/1839/08/19/pdfs/GMD-1839-1740.pdf#page=3","Abrir facsímil")</f>
        <v>Abrir facsímil</v>
      </c>
      <c r="K1494" s="12" t="s">
        <v>65</v>
      </c>
    </row>
    <row r="1495" spans="1:11" ht="40.049999999999997" customHeight="1" x14ac:dyDescent="0.25">
      <c r="A1495" s="11" t="s">
        <v>3497</v>
      </c>
      <c r="B1495" s="11" t="s">
        <v>3498</v>
      </c>
      <c r="C1495" s="11" t="s">
        <v>59</v>
      </c>
      <c r="D1495" s="11" t="s">
        <v>60</v>
      </c>
      <c r="E1495" s="12" t="s">
        <v>984</v>
      </c>
      <c r="F1495" s="12" t="s">
        <v>985</v>
      </c>
      <c r="G1495" s="12" t="s">
        <v>21</v>
      </c>
      <c r="H1495" s="11" t="s">
        <v>63</v>
      </c>
      <c r="I1495" s="13" t="s">
        <v>3499</v>
      </c>
      <c r="J1495" s="14" t="str">
        <f>HYPERLINK("https://www.boe.es/gazeta/dias/1839/04/10/pdfs/GMD-1839-1607.pdf#page=4","Abrir facsímil")</f>
        <v>Abrir facsímil</v>
      </c>
      <c r="K1495" s="12" t="s">
        <v>65</v>
      </c>
    </row>
    <row r="1496" spans="1:11" ht="40.049999999999997" customHeight="1" x14ac:dyDescent="0.25">
      <c r="A1496" s="11" t="s">
        <v>3500</v>
      </c>
      <c r="B1496" s="11" t="s">
        <v>3500</v>
      </c>
      <c r="C1496" s="11" t="s">
        <v>137</v>
      </c>
      <c r="D1496" s="11" t="s">
        <v>18</v>
      </c>
      <c r="E1496" s="12" t="s">
        <v>700</v>
      </c>
      <c r="F1496" s="12" t="s">
        <v>701</v>
      </c>
      <c r="G1496" s="12" t="s">
        <v>40</v>
      </c>
      <c r="H1496" s="11" t="s">
        <v>63</v>
      </c>
      <c r="I1496" s="13" t="s">
        <v>3501</v>
      </c>
      <c r="J1496" s="14" t="str">
        <f>HYPERLINK("https://www.boe.es/gazeta/dias/1839/09/01/pdfs/GMD-1839-1753.pdf#page=2","Abrir facsímil")</f>
        <v>Abrir facsímil</v>
      </c>
      <c r="K1496" s="12" t="s">
        <v>65</v>
      </c>
    </row>
    <row r="1497" spans="1:11" ht="40.049999999999997" customHeight="1" x14ac:dyDescent="0.25">
      <c r="A1497" s="11" t="s">
        <v>3502</v>
      </c>
      <c r="B1497" s="11" t="s">
        <v>3503</v>
      </c>
      <c r="C1497" s="11" t="s">
        <v>137</v>
      </c>
      <c r="D1497" s="11" t="s">
        <v>18</v>
      </c>
      <c r="E1497" s="12" t="s">
        <v>462</v>
      </c>
      <c r="F1497" s="12" t="s">
        <v>463</v>
      </c>
      <c r="G1497" s="12" t="s">
        <v>46</v>
      </c>
      <c r="H1497" s="11" t="s">
        <v>63</v>
      </c>
      <c r="I1497" s="13" t="s">
        <v>3504</v>
      </c>
      <c r="J1497" s="14" t="str">
        <f>HYPERLINK("https://www.boe.es/gazeta/dias/1839/06/19/pdfs/GMD-1839-1677.pdf#page=3","Abrir facsímil")</f>
        <v>Abrir facsímil</v>
      </c>
      <c r="K1497" s="12" t="s">
        <v>65</v>
      </c>
    </row>
    <row r="1498" spans="1:11" ht="40.049999999999997" customHeight="1" x14ac:dyDescent="0.25">
      <c r="A1498" s="11" t="s">
        <v>3505</v>
      </c>
      <c r="B1498" s="11" t="s">
        <v>3505</v>
      </c>
      <c r="C1498" s="11" t="s">
        <v>80</v>
      </c>
      <c r="D1498" s="11" t="s">
        <v>18</v>
      </c>
      <c r="E1498" s="12" t="s">
        <v>2117</v>
      </c>
      <c r="F1498" s="12" t="s">
        <v>2118</v>
      </c>
      <c r="G1498" s="12" t="s">
        <v>46</v>
      </c>
      <c r="H1498" s="11" t="s">
        <v>63</v>
      </c>
      <c r="I1498" s="13" t="s">
        <v>3506</v>
      </c>
      <c r="J1498" s="14" t="str">
        <f>HYPERLINK("https://www.boe.es/gazeta/dias/1839/06/23/pdfs/GMD-1839-1681.pdf#page=3","Abrir facsímil")</f>
        <v>Abrir facsímil</v>
      </c>
      <c r="K1498" s="12" t="s">
        <v>65</v>
      </c>
    </row>
    <row r="1499" spans="1:11" ht="40.049999999999997" customHeight="1" x14ac:dyDescent="0.25">
      <c r="A1499" s="11" t="s">
        <v>3507</v>
      </c>
      <c r="B1499" s="11" t="s">
        <v>3507</v>
      </c>
      <c r="C1499" s="11" t="s">
        <v>17</v>
      </c>
      <c r="D1499" s="11" t="s">
        <v>18</v>
      </c>
      <c r="E1499" s="12" t="s">
        <v>1252</v>
      </c>
      <c r="F1499" s="12" t="s">
        <v>1253</v>
      </c>
      <c r="G1499" s="12" t="s">
        <v>46</v>
      </c>
      <c r="H1499" s="11" t="s">
        <v>63</v>
      </c>
      <c r="I1499" s="13" t="s">
        <v>3508</v>
      </c>
      <c r="J1499" s="14" t="str">
        <f>HYPERLINK("https://www.boe.es/gazeta/dias/1839/06/15/pdfs/GMD-1839-1673.pdf#page=3","Abrir facsímil")</f>
        <v>Abrir facsímil</v>
      </c>
      <c r="K1499" s="12" t="s">
        <v>65</v>
      </c>
    </row>
    <row r="1500" spans="1:11" ht="40.049999999999997" customHeight="1" x14ac:dyDescent="0.25">
      <c r="A1500" s="11" t="s">
        <v>3509</v>
      </c>
      <c r="B1500" s="11" t="s">
        <v>3509</v>
      </c>
      <c r="C1500" s="11" t="s">
        <v>17</v>
      </c>
      <c r="D1500" s="11" t="s">
        <v>18</v>
      </c>
      <c r="E1500" s="12" t="s">
        <v>510</v>
      </c>
      <c r="F1500" s="12" t="s">
        <v>511</v>
      </c>
      <c r="G1500" s="12" t="s">
        <v>40</v>
      </c>
      <c r="H1500" s="11" t="s">
        <v>63</v>
      </c>
      <c r="I1500" s="13" t="s">
        <v>3510</v>
      </c>
      <c r="J1500" s="14" t="str">
        <f>HYPERLINK("https://www.boe.es/gazeta/dias/1839/05/13/pdfs/GMD-1839-1640.pdf#page=2","Abrir facsímil")</f>
        <v>Abrir facsímil</v>
      </c>
      <c r="K1500" s="12" t="s">
        <v>65</v>
      </c>
    </row>
    <row r="1501" spans="1:11" ht="40.049999999999997" customHeight="1" x14ac:dyDescent="0.25">
      <c r="A1501" s="11" t="s">
        <v>3511</v>
      </c>
      <c r="B1501" s="11" t="s">
        <v>3512</v>
      </c>
      <c r="C1501" s="11" t="s">
        <v>17</v>
      </c>
      <c r="D1501" s="11" t="s">
        <v>18</v>
      </c>
      <c r="E1501" s="12" t="s">
        <v>462</v>
      </c>
      <c r="F1501" s="12" t="s">
        <v>463</v>
      </c>
      <c r="G1501" s="12" t="s">
        <v>21</v>
      </c>
      <c r="H1501" s="11" t="s">
        <v>63</v>
      </c>
      <c r="I1501" s="13" t="s">
        <v>3513</v>
      </c>
      <c r="J1501" s="14" t="str">
        <f>HYPERLINK("https://www.boe.es/gazeta/dias/1839/06/19/pdfs/GMD-1839-1677.pdf#page=4","Abrir facsímil")</f>
        <v>Abrir facsímil</v>
      </c>
      <c r="K1501" s="12" t="s">
        <v>65</v>
      </c>
    </row>
    <row r="1502" spans="1:11" ht="40.049999999999997" customHeight="1" x14ac:dyDescent="0.25">
      <c r="A1502" s="11" t="s">
        <v>3514</v>
      </c>
      <c r="B1502" s="11" t="s">
        <v>3514</v>
      </c>
      <c r="C1502" s="11" t="s">
        <v>80</v>
      </c>
      <c r="D1502" s="11" t="s">
        <v>18</v>
      </c>
      <c r="E1502" s="12" t="s">
        <v>582</v>
      </c>
      <c r="F1502" s="12" t="s">
        <v>583</v>
      </c>
      <c r="G1502" s="12" t="s">
        <v>40</v>
      </c>
      <c r="H1502" s="11" t="s">
        <v>63</v>
      </c>
      <c r="I1502" s="13" t="s">
        <v>3515</v>
      </c>
      <c r="J1502" s="14" t="str">
        <f>HYPERLINK("https://www.boe.es/gazeta/dias/1839/11/09/pdfs/GMD-1839-1826.pdf#page=2","Abrir facsímil")</f>
        <v>Abrir facsímil</v>
      </c>
      <c r="K1502" s="12" t="s">
        <v>65</v>
      </c>
    </row>
    <row r="1503" spans="1:11" ht="40.049999999999997" customHeight="1" x14ac:dyDescent="0.25">
      <c r="A1503" s="11" t="s">
        <v>3514</v>
      </c>
      <c r="B1503" s="11" t="s">
        <v>3514</v>
      </c>
      <c r="C1503" s="11" t="s">
        <v>137</v>
      </c>
      <c r="D1503" s="11" t="s">
        <v>18</v>
      </c>
      <c r="E1503" s="12" t="s">
        <v>207</v>
      </c>
      <c r="F1503" s="12" t="s">
        <v>208</v>
      </c>
      <c r="G1503" s="12" t="s">
        <v>29</v>
      </c>
      <c r="H1503" s="11" t="s">
        <v>63</v>
      </c>
      <c r="I1503" s="13" t="s">
        <v>3516</v>
      </c>
      <c r="J1503" s="14" t="str">
        <f>HYPERLINK("https://www.boe.es/gazeta/dias/1839/02/19/pdfs/GMD-1839-1557.pdf#page=1","Abrir facsímil")</f>
        <v>Abrir facsímil</v>
      </c>
      <c r="K1503" s="12" t="s">
        <v>65</v>
      </c>
    </row>
    <row r="1504" spans="1:11" ht="40.049999999999997" customHeight="1" x14ac:dyDescent="0.25">
      <c r="A1504" s="11" t="s">
        <v>3517</v>
      </c>
      <c r="B1504" s="11" t="s">
        <v>3517</v>
      </c>
      <c r="C1504" s="11" t="s">
        <v>17</v>
      </c>
      <c r="D1504" s="11" t="s">
        <v>18</v>
      </c>
      <c r="E1504" s="12" t="s">
        <v>438</v>
      </c>
      <c r="F1504" s="12" t="s">
        <v>439</v>
      </c>
      <c r="G1504" s="12" t="s">
        <v>29</v>
      </c>
      <c r="H1504" s="11" t="s">
        <v>63</v>
      </c>
      <c r="I1504" s="13" t="s">
        <v>3518</v>
      </c>
      <c r="J1504" s="14" t="str">
        <f>HYPERLINK("https://www.boe.es/gazeta/dias/1839/07/17/pdfs/GMD-1839-1705.pdf#page=1","Abrir facsímil")</f>
        <v>Abrir facsímil</v>
      </c>
      <c r="K1504" s="12" t="s">
        <v>65</v>
      </c>
    </row>
    <row r="1505" spans="1:11" ht="40.049999999999997" customHeight="1" x14ac:dyDescent="0.25">
      <c r="A1505" s="11" t="s">
        <v>3519</v>
      </c>
      <c r="B1505" s="11" t="s">
        <v>3520</v>
      </c>
      <c r="C1505" s="11" t="s">
        <v>59</v>
      </c>
      <c r="D1505" s="11" t="s">
        <v>60</v>
      </c>
      <c r="E1505" s="12" t="s">
        <v>716</v>
      </c>
      <c r="F1505" s="12" t="s">
        <v>717</v>
      </c>
      <c r="G1505" s="12" t="s">
        <v>40</v>
      </c>
      <c r="H1505" s="11" t="s">
        <v>63</v>
      </c>
      <c r="I1505" s="13" t="s">
        <v>3521</v>
      </c>
      <c r="J1505" s="14" t="str">
        <f>HYPERLINK("https://www.boe.es/gazeta/dias/1839/07/30/pdfs/GMD-1839-1719.pdf#page=2","Abrir facsímil")</f>
        <v>Abrir facsímil</v>
      </c>
      <c r="K1505" s="12" t="s">
        <v>65</v>
      </c>
    </row>
    <row r="1506" spans="1:11" ht="40.049999999999997" customHeight="1" x14ac:dyDescent="0.25">
      <c r="A1506" s="11" t="s">
        <v>3522</v>
      </c>
      <c r="B1506" s="11" t="s">
        <v>3522</v>
      </c>
      <c r="C1506" s="11" t="s">
        <v>101</v>
      </c>
      <c r="D1506" s="11" t="s">
        <v>43</v>
      </c>
      <c r="E1506" s="12" t="s">
        <v>1159</v>
      </c>
      <c r="F1506" s="12" t="s">
        <v>1160</v>
      </c>
      <c r="G1506" s="12" t="s">
        <v>21</v>
      </c>
      <c r="H1506" s="11" t="s">
        <v>63</v>
      </c>
      <c r="I1506" s="13" t="s">
        <v>3523</v>
      </c>
      <c r="J1506" s="14" t="str">
        <f>HYPERLINK("https://www.boe.es/gazeta/dias/1839/11/26/pdfs/GMD-1839-1843.pdf#page=4","Abrir facsímil")</f>
        <v>Abrir facsímil</v>
      </c>
      <c r="K1506" s="12" t="s">
        <v>65</v>
      </c>
    </row>
    <row r="1507" spans="1:11" ht="40.049999999999997" customHeight="1" x14ac:dyDescent="0.25">
      <c r="A1507" s="11" t="s">
        <v>3524</v>
      </c>
      <c r="B1507" s="11" t="s">
        <v>3524</v>
      </c>
      <c r="C1507" s="11" t="s">
        <v>17</v>
      </c>
      <c r="D1507" s="11" t="s">
        <v>18</v>
      </c>
      <c r="E1507" s="12" t="s">
        <v>375</v>
      </c>
      <c r="F1507" s="12" t="s">
        <v>376</v>
      </c>
      <c r="G1507" s="12" t="s">
        <v>21</v>
      </c>
      <c r="H1507" s="11" t="s">
        <v>63</v>
      </c>
      <c r="I1507" s="13" t="s">
        <v>3525</v>
      </c>
      <c r="J1507" s="14" t="str">
        <f>HYPERLINK("https://www.boe.es/gazeta/dias/1839/11/25/pdfs/GMD-1839-1842.pdf#page=4","Abrir facsímil")</f>
        <v>Abrir facsímil</v>
      </c>
      <c r="K1507" s="12" t="s">
        <v>65</v>
      </c>
    </row>
    <row r="1508" spans="1:11" ht="40.049999999999997" customHeight="1" x14ac:dyDescent="0.25">
      <c r="A1508" s="11" t="s">
        <v>3526</v>
      </c>
      <c r="B1508" s="11" t="s">
        <v>3526</v>
      </c>
      <c r="C1508" s="11" t="s">
        <v>101</v>
      </c>
      <c r="D1508" s="11" t="s">
        <v>102</v>
      </c>
      <c r="E1508" s="12" t="s">
        <v>132</v>
      </c>
      <c r="F1508" s="12" t="s">
        <v>133</v>
      </c>
      <c r="G1508" s="12" t="s">
        <v>46</v>
      </c>
      <c r="H1508" s="11" t="s">
        <v>63</v>
      </c>
      <c r="I1508" s="13" t="s">
        <v>3527</v>
      </c>
      <c r="J1508" s="14" t="str">
        <f>HYPERLINK("https://www.boe.es/gazeta/dias/1839/08/02/pdfs/GMD-1839-1722.pdf#page=3","Abrir facsímil")</f>
        <v>Abrir facsímil</v>
      </c>
      <c r="K1508" s="12" t="s">
        <v>65</v>
      </c>
    </row>
    <row r="1509" spans="1:11" ht="40.049999999999997" customHeight="1" x14ac:dyDescent="0.25">
      <c r="A1509" s="11" t="s">
        <v>3526</v>
      </c>
      <c r="B1509" s="11" t="s">
        <v>3526</v>
      </c>
      <c r="C1509" s="11" t="s">
        <v>59</v>
      </c>
      <c r="D1509" s="11" t="s">
        <v>60</v>
      </c>
      <c r="E1509" s="12" t="s">
        <v>3236</v>
      </c>
      <c r="F1509" s="12" t="s">
        <v>3237</v>
      </c>
      <c r="G1509" s="12" t="s">
        <v>46</v>
      </c>
      <c r="H1509" s="11" t="s">
        <v>63</v>
      </c>
      <c r="I1509" s="13" t="s">
        <v>3528</v>
      </c>
      <c r="J1509" s="14" t="str">
        <f>HYPERLINK("https://www.boe.es/gazeta/dias/1839/12/03/pdfs/GMD-1839-1850.pdf#page=3","Abrir facsímil")</f>
        <v>Abrir facsímil</v>
      </c>
      <c r="K1509" s="12" t="s">
        <v>65</v>
      </c>
    </row>
    <row r="1510" spans="1:11" ht="40.049999999999997" customHeight="1" x14ac:dyDescent="0.25">
      <c r="A1510" s="11" t="s">
        <v>3529</v>
      </c>
      <c r="B1510" s="11" t="s">
        <v>3530</v>
      </c>
      <c r="C1510" s="11" t="s">
        <v>101</v>
      </c>
      <c r="D1510" s="11" t="s">
        <v>102</v>
      </c>
      <c r="E1510" s="12" t="s">
        <v>3236</v>
      </c>
      <c r="F1510" s="12" t="s">
        <v>3237</v>
      </c>
      <c r="G1510" s="12" t="s">
        <v>46</v>
      </c>
      <c r="H1510" s="11" t="s">
        <v>63</v>
      </c>
      <c r="I1510" s="13" t="s">
        <v>3531</v>
      </c>
      <c r="J1510" s="14" t="str">
        <f>HYPERLINK("https://www.boe.es/gazeta/dias/1839/12/03/pdfs/GMD-1839-1850.pdf#page=3","Abrir facsímil")</f>
        <v>Abrir facsímil</v>
      </c>
      <c r="K1510" s="12" t="s">
        <v>65</v>
      </c>
    </row>
    <row r="1511" spans="1:11" ht="40.049999999999997" customHeight="1" x14ac:dyDescent="0.25">
      <c r="A1511" s="11" t="s">
        <v>3532</v>
      </c>
      <c r="B1511" s="11" t="s">
        <v>3533</v>
      </c>
      <c r="C1511" s="11" t="s">
        <v>17</v>
      </c>
      <c r="D1511" s="11" t="s">
        <v>18</v>
      </c>
      <c r="E1511" s="12" t="s">
        <v>1340</v>
      </c>
      <c r="F1511" s="12" t="s">
        <v>1341</v>
      </c>
      <c r="G1511" s="12" t="s">
        <v>40</v>
      </c>
      <c r="H1511" s="11" t="s">
        <v>63</v>
      </c>
      <c r="I1511" s="13" t="s">
        <v>3534</v>
      </c>
      <c r="J1511" s="14" t="str">
        <f>HYPERLINK("https://www.boe.es/gazeta/dias/1839/05/05/pdfs/GMD-1839-1632.pdf#page=2","Abrir facsímil")</f>
        <v>Abrir facsímil</v>
      </c>
      <c r="K1511" s="12" t="s">
        <v>65</v>
      </c>
    </row>
    <row r="1512" spans="1:11" ht="40.049999999999997" customHeight="1" x14ac:dyDescent="0.25">
      <c r="A1512" s="11" t="s">
        <v>3535</v>
      </c>
      <c r="B1512" s="11" t="s">
        <v>3536</v>
      </c>
      <c r="C1512" s="11" t="s">
        <v>17</v>
      </c>
      <c r="D1512" s="11" t="s">
        <v>18</v>
      </c>
      <c r="E1512" s="12" t="s">
        <v>1666</v>
      </c>
      <c r="F1512" s="12" t="s">
        <v>1667</v>
      </c>
      <c r="G1512" s="12" t="s">
        <v>29</v>
      </c>
      <c r="H1512" s="11" t="s">
        <v>63</v>
      </c>
      <c r="I1512" s="13" t="s">
        <v>3537</v>
      </c>
      <c r="J1512" s="14" t="str">
        <f>HYPERLINK("https://www.boe.es/gazeta/dias/1839/04/22/pdfs/GMD-1839-1619.pdf#page=1","Abrir facsímil")</f>
        <v>Abrir facsímil</v>
      </c>
      <c r="K1512" s="12" t="s">
        <v>65</v>
      </c>
    </row>
    <row r="1513" spans="1:11" ht="40.049999999999997" customHeight="1" x14ac:dyDescent="0.25">
      <c r="A1513" s="11" t="s">
        <v>3538</v>
      </c>
      <c r="B1513" s="11" t="s">
        <v>3538</v>
      </c>
      <c r="C1513" s="11" t="s">
        <v>101</v>
      </c>
      <c r="D1513" s="11" t="s">
        <v>43</v>
      </c>
      <c r="E1513" s="12" t="s">
        <v>1366</v>
      </c>
      <c r="F1513" s="12" t="s">
        <v>1367</v>
      </c>
      <c r="G1513" s="12" t="s">
        <v>46</v>
      </c>
      <c r="H1513" s="11" t="s">
        <v>63</v>
      </c>
      <c r="I1513" s="13" t="s">
        <v>3539</v>
      </c>
      <c r="J1513" s="14" t="str">
        <f>HYPERLINK("https://www.boe.es/gazeta/dias/1839/09/09/pdfs/GMD-1839-1762.pdf#page=3","Abrir facsímil")</f>
        <v>Abrir facsímil</v>
      </c>
      <c r="K1513" s="12" t="s">
        <v>65</v>
      </c>
    </row>
    <row r="1514" spans="1:11" ht="40.049999999999997" customHeight="1" x14ac:dyDescent="0.25">
      <c r="A1514" s="11" t="s">
        <v>3538</v>
      </c>
      <c r="B1514" s="11" t="s">
        <v>3538</v>
      </c>
      <c r="C1514" s="11" t="s">
        <v>17</v>
      </c>
      <c r="D1514" s="11" t="s">
        <v>18</v>
      </c>
      <c r="E1514" s="12" t="s">
        <v>522</v>
      </c>
      <c r="F1514" s="12" t="s">
        <v>523</v>
      </c>
      <c r="G1514" s="12" t="s">
        <v>40</v>
      </c>
      <c r="H1514" s="11" t="s">
        <v>63</v>
      </c>
      <c r="I1514" s="13" t="s">
        <v>3540</v>
      </c>
      <c r="J1514" s="14" t="str">
        <f>HYPERLINK("https://www.boe.es/gazeta/dias/1839/08/27/pdfs/GMD-1839-1748.pdf#page=2","Abrir facsímil")</f>
        <v>Abrir facsímil</v>
      </c>
      <c r="K1514" s="12" t="s">
        <v>65</v>
      </c>
    </row>
    <row r="1515" spans="1:11" ht="40.049999999999997" customHeight="1" x14ac:dyDescent="0.25">
      <c r="A1515" s="11" t="s">
        <v>3541</v>
      </c>
      <c r="B1515" s="11" t="s">
        <v>3541</v>
      </c>
      <c r="C1515" s="11" t="s">
        <v>17</v>
      </c>
      <c r="D1515" s="11" t="s">
        <v>18</v>
      </c>
      <c r="E1515" s="12" t="s">
        <v>266</v>
      </c>
      <c r="F1515" s="12" t="s">
        <v>267</v>
      </c>
      <c r="G1515" s="12" t="s">
        <v>21</v>
      </c>
      <c r="H1515" s="11" t="s">
        <v>63</v>
      </c>
      <c r="I1515" s="13" t="s">
        <v>3542</v>
      </c>
      <c r="J1515" s="14" t="str">
        <f>HYPERLINK("https://www.boe.es/gazeta/dias/1839/01/03/pdfs/GMD-1839-1510.pdf#page=4","Abrir facsímil")</f>
        <v>Abrir facsímil</v>
      </c>
      <c r="K1515" s="12" t="s">
        <v>65</v>
      </c>
    </row>
    <row r="1516" spans="1:11" ht="40.049999999999997" customHeight="1" x14ac:dyDescent="0.25">
      <c r="A1516" s="11" t="s">
        <v>3541</v>
      </c>
      <c r="B1516" s="11" t="s">
        <v>3541</v>
      </c>
      <c r="C1516" s="11" t="s">
        <v>59</v>
      </c>
      <c r="D1516" s="11" t="s">
        <v>60</v>
      </c>
      <c r="E1516" s="12" t="s">
        <v>61</v>
      </c>
      <c r="F1516" s="12" t="s">
        <v>62</v>
      </c>
      <c r="G1516" s="12" t="s">
        <v>21</v>
      </c>
      <c r="H1516" s="11" t="s">
        <v>63</v>
      </c>
      <c r="I1516" s="13" t="s">
        <v>3543</v>
      </c>
      <c r="J1516" s="14" t="str">
        <f>HYPERLINK("https://www.boe.es/gazeta/dias/1839/09/10/pdfs/GMD-1839-1763.pdf#page=4","Abrir facsímil")</f>
        <v>Abrir facsímil</v>
      </c>
      <c r="K1516" s="12" t="s">
        <v>65</v>
      </c>
    </row>
    <row r="1517" spans="1:11" ht="40.049999999999997" customHeight="1" x14ac:dyDescent="0.25">
      <c r="A1517" s="11" t="s">
        <v>3541</v>
      </c>
      <c r="B1517" s="11" t="s">
        <v>3541</v>
      </c>
      <c r="C1517" s="11" t="s">
        <v>137</v>
      </c>
      <c r="D1517" s="11" t="s">
        <v>18</v>
      </c>
      <c r="E1517" s="12" t="s">
        <v>513</v>
      </c>
      <c r="F1517" s="12" t="s">
        <v>514</v>
      </c>
      <c r="G1517" s="12" t="s">
        <v>21</v>
      </c>
      <c r="H1517" s="11" t="s">
        <v>63</v>
      </c>
      <c r="I1517" s="13" t="s">
        <v>3544</v>
      </c>
      <c r="J1517" s="14" t="str">
        <f>HYPERLINK("https://www.boe.es/gazeta/dias/1839/03/17/pdfs/GMD-1839-1583.pdf#page=4","Abrir facsímil")</f>
        <v>Abrir facsímil</v>
      </c>
      <c r="K1517" s="12" t="s">
        <v>65</v>
      </c>
    </row>
    <row r="1518" spans="1:11" ht="40.049999999999997" customHeight="1" x14ac:dyDescent="0.25">
      <c r="A1518" s="11" t="s">
        <v>3541</v>
      </c>
      <c r="B1518" s="11" t="s">
        <v>3541</v>
      </c>
      <c r="C1518" s="11" t="s">
        <v>59</v>
      </c>
      <c r="D1518" s="11" t="s">
        <v>60</v>
      </c>
      <c r="E1518" s="12" t="s">
        <v>522</v>
      </c>
      <c r="F1518" s="12" t="s">
        <v>523</v>
      </c>
      <c r="G1518" s="12" t="s">
        <v>29</v>
      </c>
      <c r="H1518" s="11" t="s">
        <v>63</v>
      </c>
      <c r="I1518" s="13" t="s">
        <v>3545</v>
      </c>
      <c r="J1518" s="14" t="str">
        <f>HYPERLINK("https://www.boe.es/gazeta/dias/1839/08/27/pdfs/GMD-1839-1748.pdf#page=1","Abrir facsímil")</f>
        <v>Abrir facsímil</v>
      </c>
      <c r="K1518" s="12" t="s">
        <v>65</v>
      </c>
    </row>
    <row r="1519" spans="1:11" ht="40.049999999999997" customHeight="1" x14ac:dyDescent="0.25">
      <c r="A1519" s="11" t="s">
        <v>3546</v>
      </c>
      <c r="B1519" s="11" t="s">
        <v>3547</v>
      </c>
      <c r="C1519" s="11" t="s">
        <v>137</v>
      </c>
      <c r="D1519" s="11" t="s">
        <v>18</v>
      </c>
      <c r="E1519" s="12" t="s">
        <v>108</v>
      </c>
      <c r="F1519" s="12" t="s">
        <v>109</v>
      </c>
      <c r="G1519" s="12" t="s">
        <v>21</v>
      </c>
      <c r="H1519" s="11" t="s">
        <v>63</v>
      </c>
      <c r="I1519" s="13" t="s">
        <v>3548</v>
      </c>
      <c r="J1519" s="14" t="str">
        <f>HYPERLINK("https://www.boe.es/gazeta/dias/1839/01/04/pdfs/GMD-1839-1511.pdf#page=4","Abrir facsímil")</f>
        <v>Abrir facsímil</v>
      </c>
      <c r="K1519" s="12" t="s">
        <v>65</v>
      </c>
    </row>
    <row r="1520" spans="1:11" ht="40.049999999999997" customHeight="1" x14ac:dyDescent="0.25">
      <c r="A1520" s="11" t="s">
        <v>3549</v>
      </c>
      <c r="B1520" s="11" t="s">
        <v>3550</v>
      </c>
      <c r="C1520" s="11" t="s">
        <v>17</v>
      </c>
      <c r="D1520" s="11" t="s">
        <v>18</v>
      </c>
      <c r="E1520" s="12" t="s">
        <v>1891</v>
      </c>
      <c r="F1520" s="12" t="s">
        <v>1892</v>
      </c>
      <c r="G1520" s="12" t="s">
        <v>21</v>
      </c>
      <c r="H1520" s="11" t="s">
        <v>22</v>
      </c>
      <c r="I1520" s="13" t="s">
        <v>3551</v>
      </c>
      <c r="J1520" s="14" t="str">
        <f>HYPERLINK("https://www.boe.es/gazeta/dias/1839/12/14/pdfs/GMD-1839-1861.pdf#page=4","Abrir facsímil")</f>
        <v>Abrir facsímil</v>
      </c>
      <c r="K1520" s="12" t="s">
        <v>24</v>
      </c>
    </row>
    <row r="1521" spans="1:11" ht="40.049999999999997" customHeight="1" x14ac:dyDescent="0.25">
      <c r="A1521" s="11" t="s">
        <v>3552</v>
      </c>
      <c r="B1521" s="11" t="s">
        <v>3553</v>
      </c>
      <c r="C1521" s="11" t="s">
        <v>17</v>
      </c>
      <c r="D1521" s="11" t="s">
        <v>18</v>
      </c>
      <c r="E1521" s="12" t="s">
        <v>736</v>
      </c>
      <c r="F1521" s="12" t="s">
        <v>737</v>
      </c>
      <c r="G1521" s="12" t="s">
        <v>21</v>
      </c>
      <c r="H1521" s="11" t="s">
        <v>63</v>
      </c>
      <c r="I1521" s="13" t="s">
        <v>3554</v>
      </c>
      <c r="J1521" s="14" t="str">
        <f>HYPERLINK("https://www.boe.es/gazeta/dias/1839/10/13/pdfs/GMD-1839-1799.pdf#page=4","Abrir facsímil")</f>
        <v>Abrir facsímil</v>
      </c>
      <c r="K1521" s="12" t="s">
        <v>65</v>
      </c>
    </row>
    <row r="1522" spans="1:11" ht="40.049999999999997" customHeight="1" x14ac:dyDescent="0.25">
      <c r="A1522" s="11" t="s">
        <v>3555</v>
      </c>
      <c r="B1522" s="11" t="s">
        <v>3555</v>
      </c>
      <c r="C1522" s="11" t="s">
        <v>17</v>
      </c>
      <c r="D1522" s="11" t="s">
        <v>18</v>
      </c>
      <c r="E1522" s="12" t="s">
        <v>266</v>
      </c>
      <c r="F1522" s="12" t="s">
        <v>267</v>
      </c>
      <c r="G1522" s="12" t="s">
        <v>21</v>
      </c>
      <c r="H1522" s="11" t="s">
        <v>22</v>
      </c>
      <c r="I1522" s="13" t="s">
        <v>3556</v>
      </c>
      <c r="J1522" s="14" t="str">
        <f>HYPERLINK("https://www.boe.es/gazeta/dias/1839/01/03/pdfs/GMD-1839-1510.pdf#page=4","Abrir facsímil")</f>
        <v>Abrir facsímil</v>
      </c>
      <c r="K1522" s="12" t="s">
        <v>24</v>
      </c>
    </row>
    <row r="1523" spans="1:11" ht="40.049999999999997" customHeight="1" x14ac:dyDescent="0.25">
      <c r="A1523" s="11" t="s">
        <v>3557</v>
      </c>
      <c r="B1523" s="11" t="s">
        <v>3558</v>
      </c>
      <c r="C1523" s="11" t="s">
        <v>17</v>
      </c>
      <c r="D1523" s="11" t="s">
        <v>18</v>
      </c>
      <c r="E1523" s="12" t="s">
        <v>138</v>
      </c>
      <c r="F1523" s="12" t="s">
        <v>139</v>
      </c>
      <c r="G1523" s="12" t="s">
        <v>21</v>
      </c>
      <c r="H1523" s="11" t="s">
        <v>63</v>
      </c>
      <c r="I1523" s="13" t="s">
        <v>3559</v>
      </c>
      <c r="J1523" s="14" t="str">
        <f>HYPERLINK("https://www.boe.es/gazeta/dias/1839/10/09/pdfs/GMD-1839-1795.pdf#page=4","Abrir facsímil")</f>
        <v>Abrir facsímil</v>
      </c>
      <c r="K1523" s="12" t="s">
        <v>65</v>
      </c>
    </row>
    <row r="1524" spans="1:11" ht="40.049999999999997" customHeight="1" x14ac:dyDescent="0.25">
      <c r="A1524" s="11" t="s">
        <v>3560</v>
      </c>
      <c r="B1524" s="11" t="s">
        <v>3561</v>
      </c>
      <c r="C1524" s="11" t="s">
        <v>80</v>
      </c>
      <c r="D1524" s="11" t="s">
        <v>18</v>
      </c>
      <c r="E1524" s="12" t="s">
        <v>3289</v>
      </c>
      <c r="F1524" s="12" t="s">
        <v>3290</v>
      </c>
      <c r="G1524" s="12" t="s">
        <v>40</v>
      </c>
      <c r="H1524" s="11" t="s">
        <v>22</v>
      </c>
      <c r="I1524" s="13" t="s">
        <v>3562</v>
      </c>
      <c r="J1524" s="14" t="str">
        <f>HYPERLINK("https://www.boe.es/gazeta/dias/1839/12/10/pdfs/GMD-1839-1857.pdf#page=2","Abrir facsímil")</f>
        <v>Abrir facsímil</v>
      </c>
      <c r="K1524" s="12" t="s">
        <v>24</v>
      </c>
    </row>
    <row r="1525" spans="1:11" ht="40.049999999999997" customHeight="1" x14ac:dyDescent="0.25">
      <c r="A1525" s="11" t="s">
        <v>3560</v>
      </c>
      <c r="B1525" s="11" t="s">
        <v>3561</v>
      </c>
      <c r="C1525" s="11" t="s">
        <v>17</v>
      </c>
      <c r="D1525" s="11" t="s">
        <v>18</v>
      </c>
      <c r="E1525" s="12" t="s">
        <v>695</v>
      </c>
      <c r="F1525" s="12" t="s">
        <v>696</v>
      </c>
      <c r="G1525" s="12" t="s">
        <v>46</v>
      </c>
      <c r="H1525" s="11" t="s">
        <v>22</v>
      </c>
      <c r="I1525" s="13" t="s">
        <v>3563</v>
      </c>
      <c r="J1525" s="14" t="str">
        <f>HYPERLINK("https://www.boe.es/gazeta/dias/1839/12/19/pdfs/GMD-1839-1866.pdf#page=3","Abrir facsímil")</f>
        <v>Abrir facsímil</v>
      </c>
      <c r="K1525" s="12" t="s">
        <v>24</v>
      </c>
    </row>
    <row r="1526" spans="1:11" ht="40.049999999999997" customHeight="1" x14ac:dyDescent="0.25">
      <c r="A1526" s="11" t="s">
        <v>3564</v>
      </c>
      <c r="B1526" s="11" t="s">
        <v>3565</v>
      </c>
      <c r="C1526" s="11" t="s">
        <v>80</v>
      </c>
      <c r="D1526" s="11" t="s">
        <v>18</v>
      </c>
      <c r="E1526" s="12" t="s">
        <v>3566</v>
      </c>
      <c r="F1526" s="12" t="s">
        <v>3567</v>
      </c>
      <c r="G1526" s="12" t="s">
        <v>21</v>
      </c>
      <c r="H1526" s="11" t="s">
        <v>22</v>
      </c>
      <c r="I1526" s="13" t="s">
        <v>3568</v>
      </c>
      <c r="J1526" s="14" t="str">
        <f>HYPERLINK("https://www.boe.es/gazeta/dias/1839/07/06/pdfs/GMD-1839-1694.pdf#page=4","Abrir facsímil")</f>
        <v>Abrir facsímil</v>
      </c>
      <c r="K1526" s="12" t="s">
        <v>24</v>
      </c>
    </row>
    <row r="1527" spans="1:11" ht="40.049999999999997" customHeight="1" x14ac:dyDescent="0.25">
      <c r="A1527" s="11" t="s">
        <v>3569</v>
      </c>
      <c r="B1527" s="11" t="s">
        <v>3570</v>
      </c>
      <c r="C1527" s="11" t="s">
        <v>80</v>
      </c>
      <c r="D1527" s="11" t="s">
        <v>18</v>
      </c>
      <c r="E1527" s="12" t="s">
        <v>1378</v>
      </c>
      <c r="F1527" s="12" t="s">
        <v>1379</v>
      </c>
      <c r="G1527" s="12" t="s">
        <v>21</v>
      </c>
      <c r="H1527" s="11" t="s">
        <v>63</v>
      </c>
      <c r="I1527" s="13" t="s">
        <v>3571</v>
      </c>
      <c r="J1527" s="14" t="str">
        <f>HYPERLINK("https://www.boe.es/gazeta/dias/1839/05/18/pdfs/GMD-1839-1645.pdf#page=4","Abrir facsímil")</f>
        <v>Abrir facsímil</v>
      </c>
      <c r="K1527" s="12" t="s">
        <v>65</v>
      </c>
    </row>
    <row r="1528" spans="1:11" ht="40.049999999999997" customHeight="1" x14ac:dyDescent="0.25">
      <c r="A1528" s="11" t="s">
        <v>3572</v>
      </c>
      <c r="B1528" s="11" t="s">
        <v>3573</v>
      </c>
      <c r="C1528" s="11" t="s">
        <v>137</v>
      </c>
      <c r="D1528" s="11" t="s">
        <v>18</v>
      </c>
      <c r="E1528" s="12" t="s">
        <v>236</v>
      </c>
      <c r="F1528" s="12" t="s">
        <v>237</v>
      </c>
      <c r="G1528" s="12" t="s">
        <v>46</v>
      </c>
      <c r="H1528" s="11" t="s">
        <v>63</v>
      </c>
      <c r="I1528" s="13" t="s">
        <v>3574</v>
      </c>
      <c r="J1528" s="14" t="str">
        <f>HYPERLINK("https://www.boe.es/gazeta/dias/1839/09/18/pdfs/GMD-1839-1771.pdf#page=3","Abrir facsímil")</f>
        <v>Abrir facsímil</v>
      </c>
      <c r="K1528" s="12" t="s">
        <v>65</v>
      </c>
    </row>
    <row r="1529" spans="1:11" ht="40.049999999999997" customHeight="1" x14ac:dyDescent="0.25">
      <c r="A1529" s="11" t="s">
        <v>3575</v>
      </c>
      <c r="B1529" s="11" t="s">
        <v>3575</v>
      </c>
      <c r="C1529" s="11" t="s">
        <v>17</v>
      </c>
      <c r="D1529" s="11" t="s">
        <v>18</v>
      </c>
      <c r="E1529" s="12" t="s">
        <v>809</v>
      </c>
      <c r="F1529" s="12" t="s">
        <v>810</v>
      </c>
      <c r="G1529" s="12" t="s">
        <v>46</v>
      </c>
      <c r="H1529" s="11" t="s">
        <v>63</v>
      </c>
      <c r="I1529" s="13" t="s">
        <v>3576</v>
      </c>
      <c r="J1529" s="14" t="str">
        <f>HYPERLINK("https://www.boe.es/gazeta/dias/1839/02/11/pdfs/GMD-1839-1549.pdf#page=3","Abrir facsímil")</f>
        <v>Abrir facsímil</v>
      </c>
      <c r="K1529" s="12" t="s">
        <v>65</v>
      </c>
    </row>
    <row r="1530" spans="1:11" ht="40.049999999999997" customHeight="1" x14ac:dyDescent="0.25">
      <c r="A1530" s="11" t="s">
        <v>3577</v>
      </c>
      <c r="B1530" s="11" t="s">
        <v>3577</v>
      </c>
      <c r="C1530" s="11" t="s">
        <v>17</v>
      </c>
      <c r="D1530" s="11" t="s">
        <v>18</v>
      </c>
      <c r="E1530" s="12" t="s">
        <v>751</v>
      </c>
      <c r="F1530" s="12" t="s">
        <v>752</v>
      </c>
      <c r="G1530" s="12" t="s">
        <v>29</v>
      </c>
      <c r="H1530" s="11" t="s">
        <v>63</v>
      </c>
      <c r="I1530" s="13" t="s">
        <v>3578</v>
      </c>
      <c r="J1530" s="14" t="str">
        <f>HYPERLINK("https://www.boe.es/gazeta/dias/1839/02/05/pdfs/GMD-1839-1543.pdf#page=1","Abrir facsímil")</f>
        <v>Abrir facsímil</v>
      </c>
      <c r="K1530" s="12" t="s">
        <v>65</v>
      </c>
    </row>
    <row r="1531" spans="1:11" ht="40.049999999999997" customHeight="1" x14ac:dyDescent="0.25">
      <c r="A1531" s="11" t="s">
        <v>3579</v>
      </c>
      <c r="B1531" s="11" t="s">
        <v>3580</v>
      </c>
      <c r="C1531" s="11" t="s">
        <v>59</v>
      </c>
      <c r="D1531" s="11" t="s">
        <v>60</v>
      </c>
      <c r="E1531" s="12" t="s">
        <v>1685</v>
      </c>
      <c r="F1531" s="12" t="s">
        <v>1686</v>
      </c>
      <c r="G1531" s="12" t="s">
        <v>29</v>
      </c>
      <c r="H1531" s="11" t="s">
        <v>22</v>
      </c>
      <c r="I1531" s="13" t="s">
        <v>3581</v>
      </c>
      <c r="J1531" s="14" t="str">
        <f>HYPERLINK("https://www.boe.es/gazeta/dias/1839/04/27/pdfs/GMD-1839-1624.pdf#page=1","Abrir facsímil")</f>
        <v>Abrir facsímil</v>
      </c>
      <c r="K1531" s="12" t="s">
        <v>24</v>
      </c>
    </row>
    <row r="1532" spans="1:11" ht="40.049999999999997" customHeight="1" x14ac:dyDescent="0.25">
      <c r="A1532" s="11" t="s">
        <v>3582</v>
      </c>
      <c r="B1532" s="11" t="s">
        <v>3583</v>
      </c>
      <c r="C1532" s="11" t="s">
        <v>17</v>
      </c>
      <c r="D1532" s="11" t="s">
        <v>18</v>
      </c>
      <c r="E1532" s="12" t="s">
        <v>94</v>
      </c>
      <c r="F1532" s="12" t="s">
        <v>95</v>
      </c>
      <c r="G1532" s="12" t="s">
        <v>40</v>
      </c>
      <c r="H1532" s="11" t="s">
        <v>63</v>
      </c>
      <c r="I1532" s="13" t="s">
        <v>3584</v>
      </c>
      <c r="J1532" s="14" t="str">
        <f>HYPERLINK("https://www.boe.es/gazeta/dias/1839/02/24/pdfs/GMD-1839-1562.pdf#page=2","Abrir facsímil")</f>
        <v>Abrir facsímil</v>
      </c>
      <c r="K1532" s="12" t="s">
        <v>65</v>
      </c>
    </row>
    <row r="1533" spans="1:11" ht="40.049999999999997" customHeight="1" x14ac:dyDescent="0.25">
      <c r="A1533" s="11" t="s">
        <v>3585</v>
      </c>
      <c r="B1533" s="11" t="s">
        <v>3585</v>
      </c>
      <c r="C1533" s="11" t="s">
        <v>59</v>
      </c>
      <c r="D1533" s="11" t="s">
        <v>60</v>
      </c>
      <c r="E1533" s="12" t="s">
        <v>2449</v>
      </c>
      <c r="F1533" s="12" t="s">
        <v>2450</v>
      </c>
      <c r="G1533" s="12" t="s">
        <v>40</v>
      </c>
      <c r="H1533" s="11" t="s">
        <v>63</v>
      </c>
      <c r="I1533" s="13" t="s">
        <v>3586</v>
      </c>
      <c r="J1533" s="14" t="str">
        <f>HYPERLINK("https://www.boe.es/gazeta/dias/1839/12/11/pdfs/GMD-1839-1858.pdf#page=2","Abrir facsímil")</f>
        <v>Abrir facsímil</v>
      </c>
      <c r="K1533" s="12" t="s">
        <v>65</v>
      </c>
    </row>
    <row r="1534" spans="1:11" ht="40.049999999999997" customHeight="1" x14ac:dyDescent="0.25">
      <c r="A1534" s="11" t="s">
        <v>3585</v>
      </c>
      <c r="B1534" s="11" t="s">
        <v>3585</v>
      </c>
      <c r="C1534" s="11" t="s">
        <v>17</v>
      </c>
      <c r="D1534" s="11" t="s">
        <v>18</v>
      </c>
      <c r="E1534" s="12" t="s">
        <v>2449</v>
      </c>
      <c r="F1534" s="12" t="s">
        <v>2450</v>
      </c>
      <c r="G1534" s="12" t="s">
        <v>46</v>
      </c>
      <c r="H1534" s="11" t="s">
        <v>63</v>
      </c>
      <c r="I1534" s="13" t="s">
        <v>3587</v>
      </c>
      <c r="J1534" s="14" t="str">
        <f>HYPERLINK("https://www.boe.es/gazeta/dias/1839/12/11/pdfs/GMD-1839-1858.pdf#page=3","Abrir facsímil")</f>
        <v>Abrir facsímil</v>
      </c>
      <c r="K1534" s="12" t="s">
        <v>65</v>
      </c>
    </row>
    <row r="1535" spans="1:11" ht="40.049999999999997" customHeight="1" x14ac:dyDescent="0.25">
      <c r="A1535" s="11" t="s">
        <v>3585</v>
      </c>
      <c r="B1535" s="11" t="s">
        <v>3585</v>
      </c>
      <c r="C1535" s="11" t="s">
        <v>17</v>
      </c>
      <c r="D1535" s="11" t="s">
        <v>18</v>
      </c>
      <c r="E1535" s="12" t="s">
        <v>513</v>
      </c>
      <c r="F1535" s="12" t="s">
        <v>514</v>
      </c>
      <c r="G1535" s="12" t="s">
        <v>21</v>
      </c>
      <c r="H1535" s="11" t="s">
        <v>63</v>
      </c>
      <c r="I1535" s="13" t="s">
        <v>3588</v>
      </c>
      <c r="J1535" s="14" t="str">
        <f>HYPERLINK("https://www.boe.es/gazeta/dias/1839/03/17/pdfs/GMD-1839-1583.pdf#page=4","Abrir facsímil")</f>
        <v>Abrir facsímil</v>
      </c>
      <c r="K1535" s="12" t="s">
        <v>65</v>
      </c>
    </row>
    <row r="1536" spans="1:11" ht="40.049999999999997" customHeight="1" x14ac:dyDescent="0.25">
      <c r="A1536" s="11" t="s">
        <v>3585</v>
      </c>
      <c r="B1536" s="11" t="s">
        <v>3585</v>
      </c>
      <c r="C1536" s="11" t="s">
        <v>80</v>
      </c>
      <c r="D1536" s="11" t="s">
        <v>18</v>
      </c>
      <c r="E1536" s="12" t="s">
        <v>2415</v>
      </c>
      <c r="F1536" s="12" t="s">
        <v>2416</v>
      </c>
      <c r="G1536" s="12" t="s">
        <v>46</v>
      </c>
      <c r="H1536" s="11" t="s">
        <v>63</v>
      </c>
      <c r="I1536" s="13" t="s">
        <v>3589</v>
      </c>
      <c r="J1536" s="14" t="str">
        <f>HYPERLINK("https://www.boe.es/gazeta/dias/1839/12/22/pdfs/GMD-1839-1869.pdf#page=3","Abrir facsímil")</f>
        <v>Abrir facsímil</v>
      </c>
      <c r="K1536" s="12" t="s">
        <v>65</v>
      </c>
    </row>
    <row r="1537" spans="1:11" ht="40.049999999999997" customHeight="1" x14ac:dyDescent="0.25">
      <c r="A1537" s="11" t="s">
        <v>3590</v>
      </c>
      <c r="B1537" s="11" t="s">
        <v>3591</v>
      </c>
      <c r="C1537" s="11" t="s">
        <v>59</v>
      </c>
      <c r="D1537" s="11" t="s">
        <v>60</v>
      </c>
      <c r="E1537" s="12" t="s">
        <v>1391</v>
      </c>
      <c r="F1537" s="12" t="s">
        <v>1392</v>
      </c>
      <c r="G1537" s="12" t="s">
        <v>29</v>
      </c>
      <c r="H1537" s="11" t="s">
        <v>63</v>
      </c>
      <c r="I1537" s="13" t="s">
        <v>3592</v>
      </c>
      <c r="J1537" s="14" t="str">
        <f>HYPERLINK("https://www.boe.es/gazeta/dias/1839/05/12/pdfs/GMD-1839-1639.pdf#page=1","Abrir facsímil")</f>
        <v>Abrir facsímil</v>
      </c>
      <c r="K1537" s="12" t="s">
        <v>65</v>
      </c>
    </row>
    <row r="1538" spans="1:11" ht="40.049999999999997" customHeight="1" x14ac:dyDescent="0.25">
      <c r="A1538" s="11" t="s">
        <v>3590</v>
      </c>
      <c r="B1538" s="11" t="s">
        <v>3591</v>
      </c>
      <c r="C1538" s="11" t="s">
        <v>17</v>
      </c>
      <c r="D1538" s="11" t="s">
        <v>18</v>
      </c>
      <c r="E1538" s="12" t="s">
        <v>111</v>
      </c>
      <c r="F1538" s="12" t="s">
        <v>112</v>
      </c>
      <c r="G1538" s="12" t="s">
        <v>21</v>
      </c>
      <c r="H1538" s="11" t="s">
        <v>63</v>
      </c>
      <c r="I1538" s="13" t="s">
        <v>3593</v>
      </c>
      <c r="J1538" s="14" t="str">
        <f>HYPERLINK("https://www.boe.es/gazeta/dias/1839/07/25/pdfs/GMD-1839-1714.pdf#page=4","Abrir facsímil")</f>
        <v>Abrir facsímil</v>
      </c>
      <c r="K1538" s="12" t="s">
        <v>65</v>
      </c>
    </row>
    <row r="1539" spans="1:11" ht="40.049999999999997" customHeight="1" x14ac:dyDescent="0.25">
      <c r="A1539" s="11" t="s">
        <v>3594</v>
      </c>
      <c r="B1539" s="11" t="s">
        <v>3594</v>
      </c>
      <c r="C1539" s="11" t="s">
        <v>80</v>
      </c>
      <c r="D1539" s="11" t="s">
        <v>18</v>
      </c>
      <c r="E1539" s="12" t="s">
        <v>3236</v>
      </c>
      <c r="F1539" s="12" t="s">
        <v>3237</v>
      </c>
      <c r="G1539" s="12" t="s">
        <v>29</v>
      </c>
      <c r="H1539" s="11" t="s">
        <v>63</v>
      </c>
      <c r="I1539" s="13" t="s">
        <v>3595</v>
      </c>
      <c r="J1539" s="14" t="str">
        <f>HYPERLINK("https://www.boe.es/gazeta/dias/1839/12/03/pdfs/GMD-1839-1850.pdf#page=1","Abrir facsímil")</f>
        <v>Abrir facsímil</v>
      </c>
      <c r="K1539" s="12" t="s">
        <v>65</v>
      </c>
    </row>
    <row r="1540" spans="1:11" ht="40.049999999999997" customHeight="1" x14ac:dyDescent="0.25">
      <c r="A1540" s="11" t="s">
        <v>3596</v>
      </c>
      <c r="B1540" s="11" t="s">
        <v>3597</v>
      </c>
      <c r="C1540" s="11" t="s">
        <v>80</v>
      </c>
      <c r="D1540" s="11" t="s">
        <v>18</v>
      </c>
      <c r="E1540" s="12" t="s">
        <v>1269</v>
      </c>
      <c r="F1540" s="12" t="s">
        <v>1270</v>
      </c>
      <c r="G1540" s="12" t="s">
        <v>21</v>
      </c>
      <c r="H1540" s="11" t="s">
        <v>63</v>
      </c>
      <c r="I1540" s="13" t="s">
        <v>3598</v>
      </c>
      <c r="J1540" s="14" t="str">
        <f>HYPERLINK("https://www.boe.es/gazeta/dias/1839/04/29/pdfs/GMD-1839-1626.pdf#page=4","Abrir facsímil")</f>
        <v>Abrir facsímil</v>
      </c>
      <c r="K1540" s="12" t="s">
        <v>65</v>
      </c>
    </row>
    <row r="1541" spans="1:11" ht="40.049999999999997" customHeight="1" x14ac:dyDescent="0.25">
      <c r="A1541" s="11" t="s">
        <v>3599</v>
      </c>
      <c r="B1541" s="11" t="s">
        <v>3600</v>
      </c>
      <c r="C1541" s="11" t="s">
        <v>80</v>
      </c>
      <c r="D1541" s="11" t="s">
        <v>18</v>
      </c>
      <c r="E1541" s="12" t="s">
        <v>3601</v>
      </c>
      <c r="F1541" s="12" t="s">
        <v>3602</v>
      </c>
      <c r="G1541" s="12" t="s">
        <v>21</v>
      </c>
      <c r="H1541" s="11" t="s">
        <v>63</v>
      </c>
      <c r="I1541" s="13" t="s">
        <v>3603</v>
      </c>
      <c r="J1541" s="14" t="str">
        <f>HYPERLINK("https://www.boe.es/gazeta/dias/1839/03/21/pdfs/GMD-1839-1587.pdf#page=4","Abrir facsímil")</f>
        <v>Abrir facsímil</v>
      </c>
      <c r="K1541" s="12" t="s">
        <v>65</v>
      </c>
    </row>
    <row r="1542" spans="1:11" ht="40.049999999999997" customHeight="1" x14ac:dyDescent="0.25">
      <c r="A1542" s="11" t="s">
        <v>3604</v>
      </c>
      <c r="B1542" s="11" t="s">
        <v>3604</v>
      </c>
      <c r="C1542" s="11" t="s">
        <v>59</v>
      </c>
      <c r="D1542" s="11" t="s">
        <v>60</v>
      </c>
      <c r="E1542" s="12" t="s">
        <v>132</v>
      </c>
      <c r="F1542" s="12" t="s">
        <v>133</v>
      </c>
      <c r="G1542" s="12" t="s">
        <v>46</v>
      </c>
      <c r="H1542" s="11" t="s">
        <v>63</v>
      </c>
      <c r="I1542" s="13" t="s">
        <v>3605</v>
      </c>
      <c r="J1542" s="14" t="str">
        <f>HYPERLINK("https://www.boe.es/gazeta/dias/1839/08/02/pdfs/GMD-1839-1722.pdf#page=3","Abrir facsímil")</f>
        <v>Abrir facsímil</v>
      </c>
      <c r="K1542" s="12" t="s">
        <v>65</v>
      </c>
    </row>
    <row r="1543" spans="1:11" ht="40.049999999999997" customHeight="1" x14ac:dyDescent="0.25">
      <c r="A1543" s="11" t="s">
        <v>3606</v>
      </c>
      <c r="B1543" s="11" t="s">
        <v>3606</v>
      </c>
      <c r="C1543" s="11" t="s">
        <v>101</v>
      </c>
      <c r="D1543" s="11" t="s">
        <v>43</v>
      </c>
      <c r="E1543" s="12" t="s">
        <v>888</v>
      </c>
      <c r="F1543" s="12" t="s">
        <v>889</v>
      </c>
      <c r="G1543" s="12" t="s">
        <v>40</v>
      </c>
      <c r="H1543" s="11" t="s">
        <v>63</v>
      </c>
      <c r="I1543" s="13" t="s">
        <v>3607</v>
      </c>
      <c r="J1543" s="14" t="str">
        <f>HYPERLINK("https://www.boe.es/gazeta/dias/1839/05/14/pdfs/GMD-1839-1641.pdf#page=2","Abrir facsímil")</f>
        <v>Abrir facsímil</v>
      </c>
      <c r="K1543" s="12" t="s">
        <v>65</v>
      </c>
    </row>
    <row r="1544" spans="1:11" ht="40.049999999999997" customHeight="1" x14ac:dyDescent="0.25">
      <c r="A1544" s="11" t="s">
        <v>3608</v>
      </c>
      <c r="B1544" s="11" t="s">
        <v>3608</v>
      </c>
      <c r="C1544" s="11" t="s">
        <v>17</v>
      </c>
      <c r="D1544" s="11" t="s">
        <v>18</v>
      </c>
      <c r="E1544" s="12" t="s">
        <v>1340</v>
      </c>
      <c r="F1544" s="12" t="s">
        <v>1341</v>
      </c>
      <c r="G1544" s="12" t="s">
        <v>46</v>
      </c>
      <c r="H1544" s="11" t="s">
        <v>63</v>
      </c>
      <c r="I1544" s="13" t="s">
        <v>3609</v>
      </c>
      <c r="J1544" s="14" t="str">
        <f>HYPERLINK("https://www.boe.es/gazeta/dias/1839/05/05/pdfs/GMD-1839-1632.pdf#page=3","Abrir facsímil")</f>
        <v>Abrir facsímil</v>
      </c>
      <c r="K1544" s="12" t="s">
        <v>65</v>
      </c>
    </row>
    <row r="1545" spans="1:11" ht="40.049999999999997" customHeight="1" x14ac:dyDescent="0.25">
      <c r="A1545" s="11" t="s">
        <v>3610</v>
      </c>
      <c r="B1545" s="11" t="s">
        <v>3611</v>
      </c>
      <c r="C1545" s="11" t="s">
        <v>17</v>
      </c>
      <c r="D1545" s="11" t="s">
        <v>18</v>
      </c>
      <c r="E1545" s="12" t="s">
        <v>1144</v>
      </c>
      <c r="F1545" s="12" t="s">
        <v>1145</v>
      </c>
      <c r="G1545" s="12" t="s">
        <v>40</v>
      </c>
      <c r="H1545" s="11" t="s">
        <v>63</v>
      </c>
      <c r="I1545" s="13" t="s">
        <v>3612</v>
      </c>
      <c r="J1545" s="14" t="str">
        <f>HYPERLINK("https://www.boe.es/gazeta/dias/1839/08/13/pdfs/GMD-1839-1733.pdf#page=2","Abrir facsímil")</f>
        <v>Abrir facsímil</v>
      </c>
      <c r="K1545" s="12" t="s">
        <v>65</v>
      </c>
    </row>
    <row r="1546" spans="1:11" ht="40.049999999999997" customHeight="1" x14ac:dyDescent="0.25">
      <c r="A1546" s="11" t="s">
        <v>3613</v>
      </c>
      <c r="B1546" s="11" t="s">
        <v>3613</v>
      </c>
      <c r="C1546" s="11" t="s">
        <v>17</v>
      </c>
      <c r="D1546" s="11" t="s">
        <v>18</v>
      </c>
      <c r="E1546" s="12" t="s">
        <v>3614</v>
      </c>
      <c r="F1546" s="12" t="s">
        <v>3615</v>
      </c>
      <c r="G1546" s="12" t="s">
        <v>40</v>
      </c>
      <c r="H1546" s="11" t="s">
        <v>63</v>
      </c>
      <c r="I1546" s="13" t="s">
        <v>3616</v>
      </c>
      <c r="J1546" s="14" t="str">
        <f>HYPERLINK("https://www.boe.es/gazeta/dias/1839/04/04/pdfs/GMD-1839-1601.pdf#page=2","Abrir facsímil")</f>
        <v>Abrir facsímil</v>
      </c>
      <c r="K1546" s="12" t="s">
        <v>65</v>
      </c>
    </row>
    <row r="1547" spans="1:11" ht="40.049999999999997" customHeight="1" x14ac:dyDescent="0.25">
      <c r="A1547" s="11" t="s">
        <v>3613</v>
      </c>
      <c r="B1547" s="11" t="s">
        <v>3613</v>
      </c>
      <c r="C1547" s="11" t="s">
        <v>101</v>
      </c>
      <c r="D1547" s="11" t="s">
        <v>43</v>
      </c>
      <c r="E1547" s="12" t="s">
        <v>632</v>
      </c>
      <c r="F1547" s="12" t="s">
        <v>633</v>
      </c>
      <c r="G1547" s="12" t="s">
        <v>29</v>
      </c>
      <c r="H1547" s="11" t="s">
        <v>63</v>
      </c>
      <c r="I1547" s="13" t="s">
        <v>3617</v>
      </c>
      <c r="J1547" s="14" t="str">
        <f>HYPERLINK("https://www.boe.es/gazeta/dias/1839/04/06/pdfs/GMD-1839-1603.pdf#page=1","Abrir facsímil")</f>
        <v>Abrir facsímil</v>
      </c>
      <c r="K1547" s="12" t="s">
        <v>65</v>
      </c>
    </row>
    <row r="1548" spans="1:11" ht="40.049999999999997" customHeight="1" x14ac:dyDescent="0.25">
      <c r="A1548" s="11" t="s">
        <v>3613</v>
      </c>
      <c r="B1548" s="11" t="s">
        <v>3613</v>
      </c>
      <c r="C1548" s="11" t="s">
        <v>101</v>
      </c>
      <c r="D1548" s="11" t="s">
        <v>43</v>
      </c>
      <c r="E1548" s="12" t="s">
        <v>888</v>
      </c>
      <c r="F1548" s="12" t="s">
        <v>889</v>
      </c>
      <c r="G1548" s="12" t="s">
        <v>40</v>
      </c>
      <c r="H1548" s="11" t="s">
        <v>63</v>
      </c>
      <c r="I1548" s="13" t="s">
        <v>3618</v>
      </c>
      <c r="J1548" s="14" t="str">
        <f>HYPERLINK("https://www.boe.es/gazeta/dias/1839/05/14/pdfs/GMD-1839-1641.pdf#page=2","Abrir facsímil")</f>
        <v>Abrir facsímil</v>
      </c>
      <c r="K1548" s="12" t="s">
        <v>65</v>
      </c>
    </row>
    <row r="1549" spans="1:11" ht="40.049999999999997" customHeight="1" x14ac:dyDescent="0.25">
      <c r="A1549" s="11" t="s">
        <v>3613</v>
      </c>
      <c r="B1549" s="11" t="s">
        <v>3613</v>
      </c>
      <c r="C1549" s="11" t="s">
        <v>17</v>
      </c>
      <c r="D1549" s="11" t="s">
        <v>18</v>
      </c>
      <c r="E1549" s="12" t="s">
        <v>2463</v>
      </c>
      <c r="F1549" s="12" t="s">
        <v>2464</v>
      </c>
      <c r="G1549" s="12" t="s">
        <v>40</v>
      </c>
      <c r="H1549" s="11" t="s">
        <v>63</v>
      </c>
      <c r="I1549" s="13" t="s">
        <v>3619</v>
      </c>
      <c r="J1549" s="14" t="str">
        <f>HYPERLINK("https://www.boe.es/gazeta/dias/1839/04/26/pdfs/GMD-1839-1623.pdf#page=2","Abrir facsímil")</f>
        <v>Abrir facsímil</v>
      </c>
      <c r="K1549" s="12" t="s">
        <v>65</v>
      </c>
    </row>
    <row r="1550" spans="1:11" ht="40.049999999999997" customHeight="1" x14ac:dyDescent="0.25">
      <c r="A1550" s="11" t="s">
        <v>3613</v>
      </c>
      <c r="B1550" s="11" t="s">
        <v>3613</v>
      </c>
      <c r="C1550" s="11" t="s">
        <v>17</v>
      </c>
      <c r="D1550" s="11" t="s">
        <v>18</v>
      </c>
      <c r="E1550" s="12" t="s">
        <v>1269</v>
      </c>
      <c r="F1550" s="12" t="s">
        <v>1270</v>
      </c>
      <c r="G1550" s="12" t="s">
        <v>46</v>
      </c>
      <c r="H1550" s="11" t="s">
        <v>63</v>
      </c>
      <c r="I1550" s="13" t="s">
        <v>3620</v>
      </c>
      <c r="J1550" s="14" t="str">
        <f>HYPERLINK("https://www.boe.es/gazeta/dias/1839/04/29/pdfs/GMD-1839-1626.pdf#page=3","Abrir facsímil")</f>
        <v>Abrir facsímil</v>
      </c>
      <c r="K1550" s="12" t="s">
        <v>65</v>
      </c>
    </row>
    <row r="1551" spans="1:11" ht="40.049999999999997" customHeight="1" x14ac:dyDescent="0.25">
      <c r="A1551" s="11" t="s">
        <v>3613</v>
      </c>
      <c r="B1551" s="11" t="s">
        <v>3613</v>
      </c>
      <c r="C1551" s="11" t="s">
        <v>80</v>
      </c>
      <c r="D1551" s="11" t="s">
        <v>18</v>
      </c>
      <c r="E1551" s="12" t="s">
        <v>2522</v>
      </c>
      <c r="F1551" s="12" t="s">
        <v>2523</v>
      </c>
      <c r="G1551" s="12" t="s">
        <v>29</v>
      </c>
      <c r="H1551" s="11" t="s">
        <v>63</v>
      </c>
      <c r="I1551" s="13" t="s">
        <v>3621</v>
      </c>
      <c r="J1551" s="14" t="str">
        <f>HYPERLINK("https://www.boe.es/gazeta/dias/1839/12/29/pdfs/GMD-1839-1876.pdf#page=1","Abrir facsímil")</f>
        <v>Abrir facsímil</v>
      </c>
      <c r="K1551" s="12" t="s">
        <v>65</v>
      </c>
    </row>
    <row r="1552" spans="1:11" ht="40.049999999999997" customHeight="1" x14ac:dyDescent="0.25">
      <c r="A1552" s="11" t="s">
        <v>3622</v>
      </c>
      <c r="B1552" s="11" t="s">
        <v>3622</v>
      </c>
      <c r="C1552" s="11" t="s">
        <v>17</v>
      </c>
      <c r="D1552" s="11" t="s">
        <v>18</v>
      </c>
      <c r="E1552" s="12" t="s">
        <v>1523</v>
      </c>
      <c r="F1552" s="12" t="s">
        <v>1524</v>
      </c>
      <c r="G1552" s="12" t="s">
        <v>46</v>
      </c>
      <c r="H1552" s="11" t="s">
        <v>63</v>
      </c>
      <c r="I1552" s="13" t="s">
        <v>3623</v>
      </c>
      <c r="J1552" s="14" t="str">
        <f>HYPERLINK("https://www.boe.es/gazeta/dias/1839/08/29/pdfs/GMD-1839-1750.pdf#page=3","Abrir facsímil")</f>
        <v>Abrir facsímil</v>
      </c>
      <c r="K1552" s="12" t="s">
        <v>65</v>
      </c>
    </row>
    <row r="1553" spans="1:11" ht="40.049999999999997" customHeight="1" x14ac:dyDescent="0.25">
      <c r="A1553" s="11" t="s">
        <v>3624</v>
      </c>
      <c r="B1553" s="11" t="s">
        <v>3624</v>
      </c>
      <c r="C1553" s="11" t="s">
        <v>59</v>
      </c>
      <c r="D1553" s="11" t="s">
        <v>60</v>
      </c>
      <c r="E1553" s="12" t="s">
        <v>1374</v>
      </c>
      <c r="F1553" s="12" t="s">
        <v>1375</v>
      </c>
      <c r="G1553" s="12" t="s">
        <v>40</v>
      </c>
      <c r="H1553" s="11" t="s">
        <v>63</v>
      </c>
      <c r="I1553" s="13" t="s">
        <v>3625</v>
      </c>
      <c r="J1553" s="14" t="str">
        <f>HYPERLINK("https://www.boe.es/gazeta/dias/1839/07/20/pdfs/GMD-1839-1708.pdf#page=2","Abrir facsímil")</f>
        <v>Abrir facsímil</v>
      </c>
      <c r="K1553" s="12" t="s">
        <v>65</v>
      </c>
    </row>
    <row r="1554" spans="1:11" ht="40.049999999999997" customHeight="1" x14ac:dyDescent="0.25">
      <c r="A1554" s="11" t="s">
        <v>3624</v>
      </c>
      <c r="B1554" s="11" t="s">
        <v>3624</v>
      </c>
      <c r="C1554" s="11" t="s">
        <v>80</v>
      </c>
      <c r="D1554" s="11" t="s">
        <v>18</v>
      </c>
      <c r="E1554" s="12" t="s">
        <v>1523</v>
      </c>
      <c r="F1554" s="12" t="s">
        <v>1524</v>
      </c>
      <c r="G1554" s="12" t="s">
        <v>46</v>
      </c>
      <c r="H1554" s="11" t="s">
        <v>63</v>
      </c>
      <c r="I1554" s="13" t="s">
        <v>3626</v>
      </c>
      <c r="J1554" s="14" t="str">
        <f>HYPERLINK("https://www.boe.es/gazeta/dias/1839/08/29/pdfs/GMD-1839-1750.pdf#page=3","Abrir facsímil")</f>
        <v>Abrir facsímil</v>
      </c>
      <c r="K1554" s="12" t="s">
        <v>65</v>
      </c>
    </row>
    <row r="1555" spans="1:11" ht="40.049999999999997" customHeight="1" x14ac:dyDescent="0.25">
      <c r="A1555" s="11" t="s">
        <v>3627</v>
      </c>
      <c r="B1555" s="11" t="s">
        <v>3627</v>
      </c>
      <c r="C1555" s="11" t="s">
        <v>17</v>
      </c>
      <c r="D1555" s="11" t="s">
        <v>18</v>
      </c>
      <c r="E1555" s="12" t="s">
        <v>998</v>
      </c>
      <c r="F1555" s="12" t="s">
        <v>999</v>
      </c>
      <c r="G1555" s="12" t="s">
        <v>46</v>
      </c>
      <c r="H1555" s="11" t="s">
        <v>63</v>
      </c>
      <c r="I1555" s="13" t="s">
        <v>3628</v>
      </c>
      <c r="J1555" s="14" t="str">
        <f>HYPERLINK("https://www.boe.es/gazeta/dias/1839/05/06/pdfs/GMD-1839-1633.pdf#page=3","Abrir facsímil")</f>
        <v>Abrir facsímil</v>
      </c>
      <c r="K1555" s="12" t="s">
        <v>65</v>
      </c>
    </row>
    <row r="1556" spans="1:11" ht="40.049999999999997" customHeight="1" x14ac:dyDescent="0.25">
      <c r="A1556" s="11" t="s">
        <v>3627</v>
      </c>
      <c r="B1556" s="11" t="s">
        <v>3627</v>
      </c>
      <c r="C1556" s="11" t="s">
        <v>17</v>
      </c>
      <c r="D1556" s="11" t="s">
        <v>18</v>
      </c>
      <c r="E1556" s="12" t="s">
        <v>1685</v>
      </c>
      <c r="F1556" s="12" t="s">
        <v>1686</v>
      </c>
      <c r="G1556" s="12" t="s">
        <v>29</v>
      </c>
      <c r="H1556" s="11" t="s">
        <v>63</v>
      </c>
      <c r="I1556" s="13" t="s">
        <v>3629</v>
      </c>
      <c r="J1556" s="14" t="str">
        <f>HYPERLINK("https://www.boe.es/gazeta/dias/1839/04/27/pdfs/GMD-1839-1624.pdf#page=1","Abrir facsímil")</f>
        <v>Abrir facsímil</v>
      </c>
      <c r="K1556" s="12" t="s">
        <v>65</v>
      </c>
    </row>
    <row r="1557" spans="1:11" ht="40.049999999999997" customHeight="1" x14ac:dyDescent="0.25">
      <c r="A1557" s="11" t="s">
        <v>3630</v>
      </c>
      <c r="B1557" s="11" t="s">
        <v>3630</v>
      </c>
      <c r="C1557" s="11" t="s">
        <v>101</v>
      </c>
      <c r="D1557" s="11" t="s">
        <v>102</v>
      </c>
      <c r="E1557" s="12" t="s">
        <v>601</v>
      </c>
      <c r="F1557" s="12" t="s">
        <v>602</v>
      </c>
      <c r="G1557" s="12" t="s">
        <v>46</v>
      </c>
      <c r="H1557" s="11" t="s">
        <v>63</v>
      </c>
      <c r="I1557" s="13" t="s">
        <v>3631</v>
      </c>
      <c r="J1557" s="14" t="str">
        <f>HYPERLINK("https://www.boe.es/gazeta/dias/1839/04/21/pdfs/GMD-1839-1618.pdf#page=3","Abrir facsímil")</f>
        <v>Abrir facsímil</v>
      </c>
      <c r="K1557" s="12" t="s">
        <v>65</v>
      </c>
    </row>
    <row r="1558" spans="1:11" ht="40.049999999999997" customHeight="1" x14ac:dyDescent="0.25">
      <c r="A1558" s="11" t="s">
        <v>3632</v>
      </c>
      <c r="B1558" s="11" t="s">
        <v>3632</v>
      </c>
      <c r="C1558" s="11" t="s">
        <v>80</v>
      </c>
      <c r="D1558" s="11" t="s">
        <v>18</v>
      </c>
      <c r="E1558" s="12" t="s">
        <v>3633</v>
      </c>
      <c r="F1558" s="12" t="s">
        <v>3634</v>
      </c>
      <c r="G1558" s="12" t="s">
        <v>40</v>
      </c>
      <c r="H1558" s="11" t="s">
        <v>63</v>
      </c>
      <c r="I1558" s="13" t="s">
        <v>3635</v>
      </c>
      <c r="J1558" s="14" t="str">
        <f>HYPERLINK("https://www.boe.es/gazeta/dias/1839/04/12/pdfs/GMD-1839-1609.pdf#page=2","Abrir facsímil")</f>
        <v>Abrir facsímil</v>
      </c>
      <c r="K1558" s="12" t="s">
        <v>65</v>
      </c>
    </row>
    <row r="1559" spans="1:11" ht="40.049999999999997" customHeight="1" x14ac:dyDescent="0.25">
      <c r="A1559" s="11" t="s">
        <v>3636</v>
      </c>
      <c r="B1559" s="11" t="s">
        <v>3636</v>
      </c>
      <c r="C1559" s="11" t="s">
        <v>101</v>
      </c>
      <c r="D1559" s="11" t="s">
        <v>102</v>
      </c>
      <c r="E1559" s="12" t="s">
        <v>883</v>
      </c>
      <c r="F1559" s="12" t="s">
        <v>884</v>
      </c>
      <c r="G1559" s="12" t="s">
        <v>40</v>
      </c>
      <c r="H1559" s="11" t="s">
        <v>63</v>
      </c>
      <c r="I1559" s="13" t="s">
        <v>3637</v>
      </c>
      <c r="J1559" s="14" t="str">
        <f>HYPERLINK("https://www.boe.es/gazeta/dias/1839/11/03/pdfs/GMD-1839-1820.pdf#page=2","Abrir facsímil")</f>
        <v>Abrir facsímil</v>
      </c>
      <c r="K1559" s="12" t="s">
        <v>65</v>
      </c>
    </row>
    <row r="1560" spans="1:11" ht="40.049999999999997" customHeight="1" x14ac:dyDescent="0.25">
      <c r="A1560" s="11" t="s">
        <v>3638</v>
      </c>
      <c r="B1560" s="11" t="s">
        <v>3639</v>
      </c>
      <c r="C1560" s="11" t="s">
        <v>137</v>
      </c>
      <c r="D1560" s="11" t="s">
        <v>18</v>
      </c>
      <c r="E1560" s="12" t="s">
        <v>287</v>
      </c>
      <c r="F1560" s="12" t="s">
        <v>288</v>
      </c>
      <c r="G1560" s="12" t="s">
        <v>46</v>
      </c>
      <c r="H1560" s="11" t="s">
        <v>63</v>
      </c>
      <c r="I1560" s="13" t="s">
        <v>3640</v>
      </c>
      <c r="J1560" s="14" t="str">
        <f>HYPERLINK("https://www.boe.es/gazeta/dias/1839/11/27/pdfs/GMD-1839-1844.pdf#page=3","Abrir facsímil")</f>
        <v>Abrir facsímil</v>
      </c>
      <c r="K1560" s="12" t="s">
        <v>65</v>
      </c>
    </row>
    <row r="1561" spans="1:11" ht="40.049999999999997" customHeight="1" x14ac:dyDescent="0.25">
      <c r="A1561" s="11" t="s">
        <v>3641</v>
      </c>
      <c r="B1561" s="11" t="s">
        <v>3641</v>
      </c>
      <c r="C1561" s="11" t="s">
        <v>17</v>
      </c>
      <c r="D1561" s="11" t="s">
        <v>18</v>
      </c>
      <c r="E1561" s="12" t="s">
        <v>222</v>
      </c>
      <c r="F1561" s="12" t="s">
        <v>223</v>
      </c>
      <c r="G1561" s="12" t="s">
        <v>40</v>
      </c>
      <c r="H1561" s="11" t="s">
        <v>63</v>
      </c>
      <c r="I1561" s="13" t="s">
        <v>3642</v>
      </c>
      <c r="J1561" s="14" t="str">
        <f>HYPERLINK("https://www.boe.es/gazeta/dias/1839/06/22/pdfs/GMD-1839-1680.pdf#page=2","Abrir facsímil")</f>
        <v>Abrir facsímil</v>
      </c>
      <c r="K1561" s="12" t="s">
        <v>65</v>
      </c>
    </row>
    <row r="1562" spans="1:11" ht="40.049999999999997" customHeight="1" x14ac:dyDescent="0.25">
      <c r="A1562" s="11" t="s">
        <v>3641</v>
      </c>
      <c r="B1562" s="11" t="s">
        <v>3641</v>
      </c>
      <c r="C1562" s="11" t="s">
        <v>101</v>
      </c>
      <c r="D1562" s="11" t="s">
        <v>43</v>
      </c>
      <c r="E1562" s="12" t="s">
        <v>1284</v>
      </c>
      <c r="F1562" s="12" t="s">
        <v>1285</v>
      </c>
      <c r="G1562" s="12" t="s">
        <v>40</v>
      </c>
      <c r="H1562" s="11" t="s">
        <v>63</v>
      </c>
      <c r="I1562" s="13" t="s">
        <v>3643</v>
      </c>
      <c r="J1562" s="14" t="str">
        <f>HYPERLINK("https://www.boe.es/gazeta/dias/1839/03/27/pdfs/GMD-1839-1593.pdf#page=2","Abrir facsímil")</f>
        <v>Abrir facsímil</v>
      </c>
      <c r="K1562" s="12" t="s">
        <v>65</v>
      </c>
    </row>
    <row r="1563" spans="1:11" ht="40.049999999999997" customHeight="1" x14ac:dyDescent="0.25">
      <c r="A1563" s="11" t="s">
        <v>3644</v>
      </c>
      <c r="B1563" s="11" t="s">
        <v>3644</v>
      </c>
      <c r="C1563" s="11" t="s">
        <v>80</v>
      </c>
      <c r="D1563" s="11" t="s">
        <v>18</v>
      </c>
      <c r="E1563" s="12" t="s">
        <v>1139</v>
      </c>
      <c r="F1563" s="12" t="s">
        <v>1140</v>
      </c>
      <c r="G1563" s="12" t="s">
        <v>40</v>
      </c>
      <c r="H1563" s="11" t="s">
        <v>63</v>
      </c>
      <c r="I1563" s="13" t="s">
        <v>3645</v>
      </c>
      <c r="J1563" s="14" t="str">
        <f>HYPERLINK("https://www.boe.es/gazeta/dias/1839/02/15/pdfs/GMD-1839-1553.pdf#page=2","Abrir facsímil")</f>
        <v>Abrir facsímil</v>
      </c>
      <c r="K1563" s="12" t="s">
        <v>65</v>
      </c>
    </row>
    <row r="1564" spans="1:11" ht="40.049999999999997" customHeight="1" x14ac:dyDescent="0.25">
      <c r="A1564" s="11" t="s">
        <v>3646</v>
      </c>
      <c r="B1564" s="11" t="s">
        <v>3647</v>
      </c>
      <c r="C1564" s="11" t="s">
        <v>17</v>
      </c>
      <c r="D1564" s="11" t="s">
        <v>18</v>
      </c>
      <c r="E1564" s="12" t="s">
        <v>299</v>
      </c>
      <c r="F1564" s="12" t="s">
        <v>300</v>
      </c>
      <c r="G1564" s="12" t="s">
        <v>21</v>
      </c>
      <c r="H1564" s="11" t="s">
        <v>22</v>
      </c>
      <c r="I1564" s="13" t="s">
        <v>3648</v>
      </c>
      <c r="J1564" s="14" t="str">
        <f>HYPERLINK("https://www.boe.es/gazeta/dias/1839/02/14/pdfs/GMD-1839-1552.pdf#page=4","Abrir facsímil")</f>
        <v>Abrir facsímil</v>
      </c>
      <c r="K1564" s="12" t="s">
        <v>24</v>
      </c>
    </row>
    <row r="1565" spans="1:11" ht="40.049999999999997" customHeight="1" x14ac:dyDescent="0.25">
      <c r="A1565" s="11" t="s">
        <v>3649</v>
      </c>
      <c r="B1565" s="11" t="s">
        <v>3649</v>
      </c>
      <c r="C1565" s="11" t="s">
        <v>17</v>
      </c>
      <c r="D1565" s="11" t="s">
        <v>18</v>
      </c>
      <c r="E1565" s="12" t="s">
        <v>433</v>
      </c>
      <c r="F1565" s="12" t="s">
        <v>434</v>
      </c>
      <c r="G1565" s="12" t="s">
        <v>40</v>
      </c>
      <c r="H1565" s="11" t="s">
        <v>63</v>
      </c>
      <c r="I1565" s="13" t="s">
        <v>3650</v>
      </c>
      <c r="J1565" s="14" t="str">
        <f>HYPERLINK("https://www.boe.es/gazeta/dias/1839/01/20/pdfs/GMD-1839-1527.pdf#page=2","Abrir facsímil")</f>
        <v>Abrir facsímil</v>
      </c>
      <c r="K1565" s="12" t="s">
        <v>65</v>
      </c>
    </row>
    <row r="1566" spans="1:11" ht="40.049999999999997" customHeight="1" x14ac:dyDescent="0.25">
      <c r="A1566" s="11" t="s">
        <v>3651</v>
      </c>
      <c r="B1566" s="11" t="s">
        <v>3652</v>
      </c>
      <c r="C1566" s="11" t="s">
        <v>17</v>
      </c>
      <c r="D1566" s="11" t="s">
        <v>18</v>
      </c>
      <c r="E1566" s="12" t="s">
        <v>108</v>
      </c>
      <c r="F1566" s="12" t="s">
        <v>109</v>
      </c>
      <c r="G1566" s="12" t="s">
        <v>29</v>
      </c>
      <c r="H1566" s="11" t="s">
        <v>63</v>
      </c>
      <c r="I1566" s="13" t="s">
        <v>3653</v>
      </c>
      <c r="J1566" s="14" t="str">
        <f>HYPERLINK("https://www.boe.es/gazeta/dias/1839/01/04/pdfs/GMD-1839-1511.pdf#page=1","Abrir facsímil")</f>
        <v>Abrir facsímil</v>
      </c>
      <c r="K1566" s="12" t="s">
        <v>65</v>
      </c>
    </row>
    <row r="1567" spans="1:11" ht="40.049999999999997" customHeight="1" x14ac:dyDescent="0.25">
      <c r="A1567" s="11" t="s">
        <v>3654</v>
      </c>
      <c r="B1567" s="11" t="s">
        <v>3655</v>
      </c>
      <c r="C1567" s="11" t="s">
        <v>17</v>
      </c>
      <c r="D1567" s="11" t="s">
        <v>18</v>
      </c>
      <c r="E1567" s="12" t="s">
        <v>438</v>
      </c>
      <c r="F1567" s="12" t="s">
        <v>439</v>
      </c>
      <c r="G1567" s="12" t="s">
        <v>21</v>
      </c>
      <c r="H1567" s="11" t="s">
        <v>63</v>
      </c>
      <c r="I1567" s="13" t="s">
        <v>3656</v>
      </c>
      <c r="J1567" s="14" t="str">
        <f>HYPERLINK("https://www.boe.es/gazeta/dias/1839/07/17/pdfs/GMD-1839-1705.pdf#page=4","Abrir facsímil")</f>
        <v>Abrir facsímil</v>
      </c>
      <c r="K1567" s="12" t="s">
        <v>65</v>
      </c>
    </row>
    <row r="1568" spans="1:11" ht="40.049999999999997" customHeight="1" x14ac:dyDescent="0.25">
      <c r="A1568" s="11" t="s">
        <v>3657</v>
      </c>
      <c r="B1568" s="11" t="s">
        <v>3658</v>
      </c>
      <c r="C1568" s="11" t="s">
        <v>17</v>
      </c>
      <c r="D1568" s="11" t="s">
        <v>18</v>
      </c>
      <c r="E1568" s="12" t="s">
        <v>690</v>
      </c>
      <c r="F1568" s="12" t="s">
        <v>691</v>
      </c>
      <c r="G1568" s="12" t="s">
        <v>21</v>
      </c>
      <c r="H1568" s="11" t="s">
        <v>63</v>
      </c>
      <c r="I1568" s="13" t="s">
        <v>3659</v>
      </c>
      <c r="J1568" s="14" t="str">
        <f>HYPERLINK("https://www.boe.es/gazeta/dias/1839/12/08/pdfs/GMD-1839-1855.pdf#page=4","Abrir facsímil")</f>
        <v>Abrir facsímil</v>
      </c>
      <c r="K1568" s="12" t="s">
        <v>65</v>
      </c>
    </row>
    <row r="1569" spans="1:11" ht="40.049999999999997" customHeight="1" x14ac:dyDescent="0.25">
      <c r="A1569" s="11" t="s">
        <v>3660</v>
      </c>
      <c r="B1569" s="11" t="s">
        <v>3661</v>
      </c>
      <c r="C1569" s="11" t="s">
        <v>59</v>
      </c>
      <c r="D1569" s="11" t="s">
        <v>60</v>
      </c>
      <c r="E1569" s="12" t="s">
        <v>330</v>
      </c>
      <c r="F1569" s="12" t="s">
        <v>331</v>
      </c>
      <c r="G1569" s="12" t="s">
        <v>46</v>
      </c>
      <c r="H1569" s="11" t="s">
        <v>63</v>
      </c>
      <c r="I1569" s="13" t="s">
        <v>3662</v>
      </c>
      <c r="J1569" s="14" t="str">
        <f>HYPERLINK("https://www.boe.es/gazeta/dias/1839/04/11/pdfs/GMD-1839-1608.pdf#page=3","Abrir facsímil")</f>
        <v>Abrir facsímil</v>
      </c>
      <c r="K1569" s="12" t="s">
        <v>65</v>
      </c>
    </row>
    <row r="1570" spans="1:11" ht="40.049999999999997" customHeight="1" x14ac:dyDescent="0.25">
      <c r="A1570" s="11" t="s">
        <v>3663</v>
      </c>
      <c r="B1570" s="11" t="s">
        <v>3663</v>
      </c>
      <c r="C1570" s="11" t="s">
        <v>17</v>
      </c>
      <c r="D1570" s="11" t="s">
        <v>18</v>
      </c>
      <c r="E1570" s="12" t="s">
        <v>2301</v>
      </c>
      <c r="F1570" s="12" t="s">
        <v>2302</v>
      </c>
      <c r="G1570" s="12" t="s">
        <v>21</v>
      </c>
      <c r="H1570" s="11" t="s">
        <v>63</v>
      </c>
      <c r="I1570" s="13" t="s">
        <v>3664</v>
      </c>
      <c r="J1570" s="14" t="str">
        <f>HYPERLINK("https://www.boe.es/gazeta/dias/1839/09/08/pdfs/GMD-1839-1761.pdf#page=4","Abrir facsímil")</f>
        <v>Abrir facsímil</v>
      </c>
      <c r="K1570" s="12" t="s">
        <v>65</v>
      </c>
    </row>
    <row r="1571" spans="1:11" ht="40.049999999999997" customHeight="1" x14ac:dyDescent="0.25">
      <c r="A1571" s="11" t="s">
        <v>3665</v>
      </c>
      <c r="B1571" s="11" t="s">
        <v>3665</v>
      </c>
      <c r="C1571" s="11" t="s">
        <v>17</v>
      </c>
      <c r="D1571" s="11" t="s">
        <v>18</v>
      </c>
      <c r="E1571" s="12" t="s">
        <v>2449</v>
      </c>
      <c r="F1571" s="12" t="s">
        <v>2450</v>
      </c>
      <c r="G1571" s="12" t="s">
        <v>40</v>
      </c>
      <c r="H1571" s="11" t="s">
        <v>63</v>
      </c>
      <c r="I1571" s="13" t="s">
        <v>3666</v>
      </c>
      <c r="J1571" s="14" t="str">
        <f>HYPERLINK("https://www.boe.es/gazeta/dias/1839/12/11/pdfs/GMD-1839-1858.pdf#page=2","Abrir facsímil")</f>
        <v>Abrir facsímil</v>
      </c>
      <c r="K1571" s="12" t="s">
        <v>65</v>
      </c>
    </row>
    <row r="1572" spans="1:11" ht="40.049999999999997" customHeight="1" x14ac:dyDescent="0.25">
      <c r="A1572" s="11" t="s">
        <v>3665</v>
      </c>
      <c r="B1572" s="11" t="s">
        <v>3665</v>
      </c>
      <c r="C1572" s="11" t="s">
        <v>17</v>
      </c>
      <c r="D1572" s="11" t="s">
        <v>18</v>
      </c>
      <c r="E1572" s="12" t="s">
        <v>398</v>
      </c>
      <c r="F1572" s="12" t="s">
        <v>399</v>
      </c>
      <c r="G1572" s="12" t="s">
        <v>40</v>
      </c>
      <c r="H1572" s="11" t="s">
        <v>63</v>
      </c>
      <c r="I1572" s="13" t="s">
        <v>3667</v>
      </c>
      <c r="J1572" s="14" t="str">
        <f>HYPERLINK("https://www.boe.es/gazeta/dias/1839/05/17/pdfs/GMD-1839-1644.pdf#page=2","Abrir facsímil")</f>
        <v>Abrir facsímil</v>
      </c>
      <c r="K1572" s="12" t="s">
        <v>65</v>
      </c>
    </row>
    <row r="1573" spans="1:11" ht="40.049999999999997" customHeight="1" x14ac:dyDescent="0.25">
      <c r="A1573" s="11" t="s">
        <v>3665</v>
      </c>
      <c r="B1573" s="11" t="s">
        <v>3665</v>
      </c>
      <c r="C1573" s="11" t="s">
        <v>59</v>
      </c>
      <c r="D1573" s="11" t="s">
        <v>60</v>
      </c>
      <c r="E1573" s="12" t="s">
        <v>3668</v>
      </c>
      <c r="F1573" s="12" t="s">
        <v>3669</v>
      </c>
      <c r="G1573" s="12" t="s">
        <v>21</v>
      </c>
      <c r="H1573" s="11" t="s">
        <v>63</v>
      </c>
      <c r="I1573" s="13" t="s">
        <v>3670</v>
      </c>
      <c r="J1573" s="14" t="str">
        <f>HYPERLINK("https://www.boe.es/gazeta/dias/1839/05/19/pdfs/GMD-1839-1646.pdf#page=4","Abrir facsímil")</f>
        <v>Abrir facsímil</v>
      </c>
      <c r="K1573" s="12" t="s">
        <v>65</v>
      </c>
    </row>
    <row r="1574" spans="1:11" ht="40.049999999999997" customHeight="1" x14ac:dyDescent="0.25">
      <c r="A1574" s="11" t="s">
        <v>3665</v>
      </c>
      <c r="B1574" s="11" t="s">
        <v>3665</v>
      </c>
      <c r="C1574" s="11" t="s">
        <v>137</v>
      </c>
      <c r="D1574" s="11" t="s">
        <v>18</v>
      </c>
      <c r="E1574" s="12" t="s">
        <v>343</v>
      </c>
      <c r="F1574" s="12" t="s">
        <v>344</v>
      </c>
      <c r="G1574" s="12" t="s">
        <v>46</v>
      </c>
      <c r="H1574" s="11" t="s">
        <v>63</v>
      </c>
      <c r="I1574" s="13" t="s">
        <v>3671</v>
      </c>
      <c r="J1574" s="14" t="str">
        <f>HYPERLINK("https://www.boe.es/gazeta/dias/1839/05/20/pdfs/GMD-1839-1647.pdf#page=3","Abrir facsímil")</f>
        <v>Abrir facsímil</v>
      </c>
      <c r="K1574" s="12" t="s">
        <v>65</v>
      </c>
    </row>
    <row r="1575" spans="1:11" ht="40.049999999999997" customHeight="1" x14ac:dyDescent="0.25">
      <c r="A1575" s="11" t="s">
        <v>3665</v>
      </c>
      <c r="B1575" s="11" t="s">
        <v>3665</v>
      </c>
      <c r="C1575" s="11" t="s">
        <v>59</v>
      </c>
      <c r="D1575" s="11" t="s">
        <v>60</v>
      </c>
      <c r="E1575" s="12" t="s">
        <v>951</v>
      </c>
      <c r="F1575" s="12" t="s">
        <v>952</v>
      </c>
      <c r="G1575" s="12" t="s">
        <v>40</v>
      </c>
      <c r="H1575" s="11" t="s">
        <v>63</v>
      </c>
      <c r="I1575" s="13" t="s">
        <v>3672</v>
      </c>
      <c r="J1575" s="14" t="str">
        <f>HYPERLINK("https://www.boe.es/gazeta/dias/1839/12/30/pdfs/GMD-1839-1877.pdf#page=2","Abrir facsímil")</f>
        <v>Abrir facsímil</v>
      </c>
      <c r="K1575" s="12" t="s">
        <v>65</v>
      </c>
    </row>
    <row r="1576" spans="1:11" ht="40.049999999999997" customHeight="1" x14ac:dyDescent="0.25">
      <c r="A1576" s="11" t="s">
        <v>3665</v>
      </c>
      <c r="B1576" s="11" t="s">
        <v>3665</v>
      </c>
      <c r="C1576" s="11" t="s">
        <v>17</v>
      </c>
      <c r="D1576" s="11" t="s">
        <v>18</v>
      </c>
      <c r="E1576" s="12" t="s">
        <v>355</v>
      </c>
      <c r="F1576" s="12" t="s">
        <v>356</v>
      </c>
      <c r="G1576" s="12" t="s">
        <v>40</v>
      </c>
      <c r="H1576" s="11" t="s">
        <v>63</v>
      </c>
      <c r="I1576" s="13" t="s">
        <v>3673</v>
      </c>
      <c r="J1576" s="14" t="str">
        <f>HYPERLINK("https://www.boe.es/gazeta/dias/1839/05/31/pdfs/GMD-1839-1658.pdf#page=2","Abrir facsímil")</f>
        <v>Abrir facsímil</v>
      </c>
      <c r="K1576" s="12" t="s">
        <v>65</v>
      </c>
    </row>
    <row r="1577" spans="1:11" ht="40.049999999999997" customHeight="1" x14ac:dyDescent="0.25">
      <c r="A1577" s="11" t="s">
        <v>3674</v>
      </c>
      <c r="B1577" s="11" t="s">
        <v>3675</v>
      </c>
      <c r="C1577" s="11" t="s">
        <v>17</v>
      </c>
      <c r="D1577" s="11" t="s">
        <v>18</v>
      </c>
      <c r="E1577" s="12" t="s">
        <v>125</v>
      </c>
      <c r="F1577" s="12" t="s">
        <v>126</v>
      </c>
      <c r="G1577" s="12" t="s">
        <v>29</v>
      </c>
      <c r="H1577" s="11" t="s">
        <v>63</v>
      </c>
      <c r="I1577" s="13" t="s">
        <v>3676</v>
      </c>
      <c r="J1577" s="14" t="str">
        <f>HYPERLINK("https://www.boe.es/gazeta/dias/1839/05/23/pdfs/GMD-1839-1650.pdf#page=1","Abrir facsímil")</f>
        <v>Abrir facsímil</v>
      </c>
      <c r="K1577" s="12" t="s">
        <v>65</v>
      </c>
    </row>
    <row r="1578" spans="1:11" ht="40.049999999999997" customHeight="1" x14ac:dyDescent="0.25">
      <c r="A1578" s="11" t="s">
        <v>3677</v>
      </c>
      <c r="B1578" s="11" t="s">
        <v>3678</v>
      </c>
      <c r="C1578" s="11" t="s">
        <v>80</v>
      </c>
      <c r="D1578" s="11" t="s">
        <v>18</v>
      </c>
      <c r="E1578" s="12" t="s">
        <v>1374</v>
      </c>
      <c r="F1578" s="12" t="s">
        <v>1375</v>
      </c>
      <c r="G1578" s="12" t="s">
        <v>29</v>
      </c>
      <c r="H1578" s="11" t="s">
        <v>63</v>
      </c>
      <c r="I1578" s="13" t="s">
        <v>3679</v>
      </c>
      <c r="J1578" s="14" t="str">
        <f>HYPERLINK("https://www.boe.es/gazeta/dias/1839/07/20/pdfs/GMD-1839-1708.pdf#page=1","Abrir facsímil")</f>
        <v>Abrir facsímil</v>
      </c>
      <c r="K1578" s="12" t="s">
        <v>65</v>
      </c>
    </row>
    <row r="1579" spans="1:11" ht="40.049999999999997" customHeight="1" x14ac:dyDescent="0.25">
      <c r="A1579" s="11" t="s">
        <v>3680</v>
      </c>
      <c r="B1579" s="11" t="s">
        <v>3680</v>
      </c>
      <c r="C1579" s="11" t="s">
        <v>17</v>
      </c>
      <c r="D1579" s="11" t="s">
        <v>18</v>
      </c>
      <c r="E1579" s="12" t="s">
        <v>3289</v>
      </c>
      <c r="F1579" s="12" t="s">
        <v>3290</v>
      </c>
      <c r="G1579" s="12" t="s">
        <v>29</v>
      </c>
      <c r="H1579" s="11" t="s">
        <v>63</v>
      </c>
      <c r="I1579" s="13" t="s">
        <v>3681</v>
      </c>
      <c r="J1579" s="14" t="str">
        <f>HYPERLINK("https://www.boe.es/gazeta/dias/1839/12/10/pdfs/GMD-1839-1857.pdf#page=1","Abrir facsímil")</f>
        <v>Abrir facsímil</v>
      </c>
      <c r="K1579" s="12" t="s">
        <v>65</v>
      </c>
    </row>
    <row r="1580" spans="1:11" ht="40.049999999999997" customHeight="1" x14ac:dyDescent="0.25">
      <c r="A1580" s="11" t="s">
        <v>3682</v>
      </c>
      <c r="B1580" s="11" t="s">
        <v>3682</v>
      </c>
      <c r="C1580" s="11" t="s">
        <v>17</v>
      </c>
      <c r="D1580" s="11" t="s">
        <v>18</v>
      </c>
      <c r="E1580" s="12" t="s">
        <v>49</v>
      </c>
      <c r="F1580" s="12" t="s">
        <v>50</v>
      </c>
      <c r="G1580" s="12" t="s">
        <v>21</v>
      </c>
      <c r="H1580" s="11" t="s">
        <v>63</v>
      </c>
      <c r="I1580" s="13" t="s">
        <v>3683</v>
      </c>
      <c r="J1580" s="14" t="str">
        <f>HYPERLINK("https://www.boe.es/gazeta/dias/1839/01/05/pdfs/GMD-1839-1512.pdf#page=4","Abrir facsímil")</f>
        <v>Abrir facsímil</v>
      </c>
      <c r="K1580" s="12" t="s">
        <v>65</v>
      </c>
    </row>
    <row r="1581" spans="1:11" ht="40.049999999999997" customHeight="1" x14ac:dyDescent="0.25">
      <c r="A1581" s="11" t="s">
        <v>3684</v>
      </c>
      <c r="B1581" s="11" t="s">
        <v>3684</v>
      </c>
      <c r="C1581" s="11" t="s">
        <v>17</v>
      </c>
      <c r="D1581" s="11" t="s">
        <v>18</v>
      </c>
      <c r="E1581" s="12" t="s">
        <v>3236</v>
      </c>
      <c r="F1581" s="12" t="s">
        <v>3237</v>
      </c>
      <c r="G1581" s="12" t="s">
        <v>29</v>
      </c>
      <c r="H1581" s="11" t="s">
        <v>63</v>
      </c>
      <c r="I1581" s="13" t="s">
        <v>3685</v>
      </c>
      <c r="J1581" s="14" t="str">
        <f>HYPERLINK("https://www.boe.es/gazeta/dias/1839/12/03/pdfs/GMD-1839-1850.pdf#page=1","Abrir facsímil")</f>
        <v>Abrir facsímil</v>
      </c>
      <c r="K1581" s="12" t="s">
        <v>65</v>
      </c>
    </row>
    <row r="1582" spans="1:11" ht="40.049999999999997" customHeight="1" x14ac:dyDescent="0.25">
      <c r="A1582" s="11" t="s">
        <v>3684</v>
      </c>
      <c r="B1582" s="11" t="s">
        <v>3684</v>
      </c>
      <c r="C1582" s="11" t="s">
        <v>59</v>
      </c>
      <c r="D1582" s="11" t="s">
        <v>60</v>
      </c>
      <c r="E1582" s="12" t="s">
        <v>2227</v>
      </c>
      <c r="F1582" s="12" t="s">
        <v>2228</v>
      </c>
      <c r="G1582" s="12" t="s">
        <v>40</v>
      </c>
      <c r="H1582" s="11" t="s">
        <v>63</v>
      </c>
      <c r="I1582" s="13" t="s">
        <v>3686</v>
      </c>
      <c r="J1582" s="14" t="str">
        <f>HYPERLINK("https://www.boe.es/gazeta/dias/1839/12/04/pdfs/GMD-1839-1851.pdf#page=2","Abrir facsímil")</f>
        <v>Abrir facsímil</v>
      </c>
      <c r="K1582" s="12" t="s">
        <v>65</v>
      </c>
    </row>
    <row r="1583" spans="1:11" ht="40.049999999999997" customHeight="1" x14ac:dyDescent="0.25">
      <c r="A1583" s="11" t="s">
        <v>3684</v>
      </c>
      <c r="B1583" s="11" t="s">
        <v>3684</v>
      </c>
      <c r="C1583" s="11" t="s">
        <v>17</v>
      </c>
      <c r="D1583" s="11" t="s">
        <v>18</v>
      </c>
      <c r="E1583" s="12" t="s">
        <v>3289</v>
      </c>
      <c r="F1583" s="12" t="s">
        <v>3290</v>
      </c>
      <c r="G1583" s="12" t="s">
        <v>29</v>
      </c>
      <c r="H1583" s="11" t="s">
        <v>63</v>
      </c>
      <c r="I1583" s="13" t="s">
        <v>3687</v>
      </c>
      <c r="J1583" s="14" t="str">
        <f>HYPERLINK("https://www.boe.es/gazeta/dias/1839/12/10/pdfs/GMD-1839-1857.pdf#page=1","Abrir facsímil")</f>
        <v>Abrir facsímil</v>
      </c>
      <c r="K1583" s="12" t="s">
        <v>65</v>
      </c>
    </row>
    <row r="1584" spans="1:11" ht="40.049999999999997" customHeight="1" x14ac:dyDescent="0.25">
      <c r="A1584" s="11" t="s">
        <v>3684</v>
      </c>
      <c r="B1584" s="11" t="s">
        <v>3684</v>
      </c>
      <c r="C1584" s="11" t="s">
        <v>80</v>
      </c>
      <c r="D1584" s="11" t="s">
        <v>18</v>
      </c>
      <c r="E1584" s="12" t="s">
        <v>1528</v>
      </c>
      <c r="F1584" s="12" t="s">
        <v>1529</v>
      </c>
      <c r="G1584" s="12" t="s">
        <v>40</v>
      </c>
      <c r="H1584" s="11" t="s">
        <v>63</v>
      </c>
      <c r="I1584" s="13" t="s">
        <v>3688</v>
      </c>
      <c r="J1584" s="14" t="str">
        <f>HYPERLINK("https://www.boe.es/gazeta/dias/1839/12/15/pdfs/GMD-1839-1862.pdf#page=2","Abrir facsímil")</f>
        <v>Abrir facsímil</v>
      </c>
      <c r="K1584" s="12" t="s">
        <v>65</v>
      </c>
    </row>
    <row r="1585" spans="1:11" ht="40.049999999999997" customHeight="1" x14ac:dyDescent="0.25">
      <c r="A1585" s="11" t="s">
        <v>3684</v>
      </c>
      <c r="B1585" s="11" t="s">
        <v>3684</v>
      </c>
      <c r="C1585" s="11" t="s">
        <v>17</v>
      </c>
      <c r="D1585" s="11" t="s">
        <v>18</v>
      </c>
      <c r="E1585" s="12" t="s">
        <v>1537</v>
      </c>
      <c r="F1585" s="12" t="s">
        <v>1538</v>
      </c>
      <c r="G1585" s="12" t="s">
        <v>29</v>
      </c>
      <c r="H1585" s="11" t="s">
        <v>63</v>
      </c>
      <c r="I1585" s="13" t="s">
        <v>3689</v>
      </c>
      <c r="J1585" s="14" t="str">
        <f>HYPERLINK("https://www.boe.es/gazeta/dias/1839/12/16/pdfs/GMD-1839-1863.pdf#page=1","Abrir facsímil")</f>
        <v>Abrir facsímil</v>
      </c>
      <c r="K1585" s="12" t="s">
        <v>65</v>
      </c>
    </row>
    <row r="1586" spans="1:11" ht="40.049999999999997" customHeight="1" x14ac:dyDescent="0.25">
      <c r="A1586" s="11" t="s">
        <v>3684</v>
      </c>
      <c r="B1586" s="11" t="s">
        <v>3684</v>
      </c>
      <c r="C1586" s="11" t="s">
        <v>59</v>
      </c>
      <c r="D1586" s="11" t="s">
        <v>60</v>
      </c>
      <c r="E1586" s="12" t="s">
        <v>1654</v>
      </c>
      <c r="F1586" s="12" t="s">
        <v>1655</v>
      </c>
      <c r="G1586" s="12" t="s">
        <v>29</v>
      </c>
      <c r="H1586" s="11" t="s">
        <v>63</v>
      </c>
      <c r="I1586" s="13" t="s">
        <v>3690</v>
      </c>
      <c r="J1586" s="14" t="str">
        <f>HYPERLINK("https://www.boe.es/gazeta/dias/1839/11/19/pdfs/GMD-1839-1836.pdf#page=1","Abrir facsímil")</f>
        <v>Abrir facsímil</v>
      </c>
      <c r="K1586" s="12" t="s">
        <v>65</v>
      </c>
    </row>
    <row r="1587" spans="1:11" ht="40.049999999999997" customHeight="1" x14ac:dyDescent="0.25">
      <c r="A1587" s="11" t="s">
        <v>3684</v>
      </c>
      <c r="B1587" s="11" t="s">
        <v>3684</v>
      </c>
      <c r="C1587" s="11" t="s">
        <v>101</v>
      </c>
      <c r="D1587" s="11" t="s">
        <v>43</v>
      </c>
      <c r="E1587" s="12" t="s">
        <v>469</v>
      </c>
      <c r="F1587" s="12" t="s">
        <v>470</v>
      </c>
      <c r="G1587" s="12" t="s">
        <v>29</v>
      </c>
      <c r="H1587" s="11" t="s">
        <v>63</v>
      </c>
      <c r="I1587" s="13" t="s">
        <v>3691</v>
      </c>
      <c r="J1587" s="14" t="str">
        <f>HYPERLINK("https://www.boe.es/gazeta/dias/1839/08/20/pdfs/GMD-1839-1741.pdf#page=1","Abrir facsímil")</f>
        <v>Abrir facsímil</v>
      </c>
      <c r="K1587" s="12" t="s">
        <v>65</v>
      </c>
    </row>
    <row r="1588" spans="1:11" ht="40.049999999999997" customHeight="1" x14ac:dyDescent="0.25">
      <c r="A1588" s="11" t="s">
        <v>3684</v>
      </c>
      <c r="B1588" s="11" t="s">
        <v>3684</v>
      </c>
      <c r="C1588" s="11" t="s">
        <v>17</v>
      </c>
      <c r="D1588" s="11" t="s">
        <v>18</v>
      </c>
      <c r="E1588" s="12" t="s">
        <v>1584</v>
      </c>
      <c r="F1588" s="12" t="s">
        <v>1585</v>
      </c>
      <c r="G1588" s="12" t="s">
        <v>21</v>
      </c>
      <c r="H1588" s="11" t="s">
        <v>63</v>
      </c>
      <c r="I1588" s="13" t="s">
        <v>3692</v>
      </c>
      <c r="J1588" s="14" t="str">
        <f>HYPERLINK("https://www.boe.es/gazeta/dias/1839/11/20/pdfs/GMD-1839-1837.pdf#page=4","Abrir facsímil")</f>
        <v>Abrir facsímil</v>
      </c>
      <c r="K1588" s="12" t="s">
        <v>65</v>
      </c>
    </row>
    <row r="1589" spans="1:11" ht="40.049999999999997" customHeight="1" x14ac:dyDescent="0.25">
      <c r="A1589" s="11" t="s">
        <v>3684</v>
      </c>
      <c r="B1589" s="11" t="s">
        <v>3684</v>
      </c>
      <c r="C1589" s="11" t="s">
        <v>101</v>
      </c>
      <c r="D1589" s="11" t="s">
        <v>43</v>
      </c>
      <c r="E1589" s="12" t="s">
        <v>1012</v>
      </c>
      <c r="F1589" s="12" t="s">
        <v>1013</v>
      </c>
      <c r="G1589" s="12" t="s">
        <v>40</v>
      </c>
      <c r="H1589" s="11" t="s">
        <v>63</v>
      </c>
      <c r="I1589" s="13" t="s">
        <v>3693</v>
      </c>
      <c r="J1589" s="14" t="str">
        <f>HYPERLINK("https://www.boe.es/gazeta/dias/1839/11/22/pdfs/GMD-1839-1839.pdf#page=2","Abrir facsímil")</f>
        <v>Abrir facsímil</v>
      </c>
      <c r="K1589" s="12" t="s">
        <v>65</v>
      </c>
    </row>
    <row r="1590" spans="1:11" ht="40.049999999999997" customHeight="1" x14ac:dyDescent="0.25">
      <c r="A1590" s="11" t="s">
        <v>3684</v>
      </c>
      <c r="B1590" s="11" t="s">
        <v>3684</v>
      </c>
      <c r="C1590" s="11" t="s">
        <v>17</v>
      </c>
      <c r="D1590" s="11" t="s">
        <v>18</v>
      </c>
      <c r="E1590" s="12" t="s">
        <v>568</v>
      </c>
      <c r="F1590" s="12" t="s">
        <v>569</v>
      </c>
      <c r="G1590" s="12" t="s">
        <v>40</v>
      </c>
      <c r="H1590" s="11" t="s">
        <v>63</v>
      </c>
      <c r="I1590" s="13" t="s">
        <v>3694</v>
      </c>
      <c r="J1590" s="14" t="str">
        <f>HYPERLINK("https://www.boe.es/gazeta/dias/1839/10/23/pdfs/GMD-1839-1809.pdf#page=2","Abrir facsímil")</f>
        <v>Abrir facsímil</v>
      </c>
      <c r="K1590" s="12" t="s">
        <v>65</v>
      </c>
    </row>
    <row r="1591" spans="1:11" ht="40.049999999999997" customHeight="1" x14ac:dyDescent="0.25">
      <c r="A1591" s="11" t="s">
        <v>3684</v>
      </c>
      <c r="B1591" s="11" t="s">
        <v>3684</v>
      </c>
      <c r="C1591" s="11" t="s">
        <v>17</v>
      </c>
      <c r="D1591" s="11" t="s">
        <v>18</v>
      </c>
      <c r="E1591" s="12" t="s">
        <v>1895</v>
      </c>
      <c r="F1591" s="12" t="s">
        <v>1896</v>
      </c>
      <c r="G1591" s="12" t="s">
        <v>29</v>
      </c>
      <c r="H1591" s="11" t="s">
        <v>63</v>
      </c>
      <c r="I1591" s="13" t="s">
        <v>3695</v>
      </c>
      <c r="J1591" s="14" t="str">
        <f>HYPERLINK("https://www.boe.es/gazeta/dias/1839/12/23/pdfs/GMD-1839-1870.pdf#page=1","Abrir facsímil")</f>
        <v>Abrir facsímil</v>
      </c>
      <c r="K1591" s="12" t="s">
        <v>65</v>
      </c>
    </row>
    <row r="1592" spans="1:11" ht="40.049999999999997" customHeight="1" x14ac:dyDescent="0.25">
      <c r="A1592" s="11" t="s">
        <v>3684</v>
      </c>
      <c r="B1592" s="11" t="s">
        <v>3684</v>
      </c>
      <c r="C1592" s="11" t="s">
        <v>17</v>
      </c>
      <c r="D1592" s="11" t="s">
        <v>18</v>
      </c>
      <c r="E1592" s="12" t="s">
        <v>246</v>
      </c>
      <c r="F1592" s="12" t="s">
        <v>247</v>
      </c>
      <c r="G1592" s="12" t="s">
        <v>29</v>
      </c>
      <c r="H1592" s="11" t="s">
        <v>63</v>
      </c>
      <c r="I1592" s="13" t="s">
        <v>3696</v>
      </c>
      <c r="J1592" s="14" t="str">
        <f>HYPERLINK("https://www.boe.es/gazeta/dias/1839/11/24/pdfs/GMD-1839-1841.pdf#page=1","Abrir facsímil")</f>
        <v>Abrir facsímil</v>
      </c>
      <c r="K1592" s="12" t="s">
        <v>65</v>
      </c>
    </row>
    <row r="1593" spans="1:11" ht="40.049999999999997" customHeight="1" x14ac:dyDescent="0.25">
      <c r="A1593" s="11" t="s">
        <v>3684</v>
      </c>
      <c r="B1593" s="11" t="s">
        <v>3684</v>
      </c>
      <c r="C1593" s="11" t="s">
        <v>80</v>
      </c>
      <c r="D1593" s="11" t="s">
        <v>18</v>
      </c>
      <c r="E1593" s="12" t="s">
        <v>1159</v>
      </c>
      <c r="F1593" s="12" t="s">
        <v>1160</v>
      </c>
      <c r="G1593" s="12" t="s">
        <v>29</v>
      </c>
      <c r="H1593" s="11" t="s">
        <v>63</v>
      </c>
      <c r="I1593" s="13" t="s">
        <v>3697</v>
      </c>
      <c r="J1593" s="14" t="str">
        <f>HYPERLINK("https://www.boe.es/gazeta/dias/1839/11/26/pdfs/GMD-1839-1843.pdf#page=1","Abrir facsímil")</f>
        <v>Abrir facsímil</v>
      </c>
      <c r="K1593" s="12" t="s">
        <v>65</v>
      </c>
    </row>
    <row r="1594" spans="1:11" ht="40.049999999999997" customHeight="1" x14ac:dyDescent="0.25">
      <c r="A1594" s="11" t="s">
        <v>3684</v>
      </c>
      <c r="B1594" s="11" t="s">
        <v>3684</v>
      </c>
      <c r="C1594" s="11" t="s">
        <v>17</v>
      </c>
      <c r="D1594" s="11" t="s">
        <v>18</v>
      </c>
      <c r="E1594" s="12" t="s">
        <v>287</v>
      </c>
      <c r="F1594" s="12" t="s">
        <v>288</v>
      </c>
      <c r="G1594" s="12" t="s">
        <v>29</v>
      </c>
      <c r="H1594" s="11" t="s">
        <v>63</v>
      </c>
      <c r="I1594" s="13" t="s">
        <v>3698</v>
      </c>
      <c r="J1594" s="14" t="str">
        <f>HYPERLINK("https://www.boe.es/gazeta/dias/1839/11/27/pdfs/GMD-1839-1844.pdf#page=1","Abrir facsímil")</f>
        <v>Abrir facsímil</v>
      </c>
      <c r="K1594" s="12" t="s">
        <v>65</v>
      </c>
    </row>
    <row r="1595" spans="1:11" ht="40.049999999999997" customHeight="1" x14ac:dyDescent="0.25">
      <c r="A1595" s="11" t="s">
        <v>3684</v>
      </c>
      <c r="B1595" s="11" t="s">
        <v>3684</v>
      </c>
      <c r="C1595" s="11" t="s">
        <v>59</v>
      </c>
      <c r="D1595" s="11" t="s">
        <v>60</v>
      </c>
      <c r="E1595" s="12" t="s">
        <v>89</v>
      </c>
      <c r="F1595" s="12" t="s">
        <v>90</v>
      </c>
      <c r="G1595" s="12" t="s">
        <v>29</v>
      </c>
      <c r="H1595" s="11" t="s">
        <v>63</v>
      </c>
      <c r="I1595" s="13" t="s">
        <v>3699</v>
      </c>
      <c r="J1595" s="14" t="str">
        <f>HYPERLINK("https://www.boe.es/gazeta/dias/1839/11/28/pdfs/GMD-1839-1845.pdf#page=1","Abrir facsímil")</f>
        <v>Abrir facsímil</v>
      </c>
      <c r="K1595" s="12" t="s">
        <v>65</v>
      </c>
    </row>
    <row r="1596" spans="1:11" ht="40.049999999999997" customHeight="1" x14ac:dyDescent="0.25">
      <c r="A1596" s="11" t="s">
        <v>3684</v>
      </c>
      <c r="B1596" s="11" t="s">
        <v>3684</v>
      </c>
      <c r="C1596" s="11" t="s">
        <v>137</v>
      </c>
      <c r="D1596" s="11" t="s">
        <v>18</v>
      </c>
      <c r="E1596" s="12" t="s">
        <v>892</v>
      </c>
      <c r="F1596" s="12" t="s">
        <v>893</v>
      </c>
      <c r="G1596" s="12" t="s">
        <v>40</v>
      </c>
      <c r="H1596" s="11" t="s">
        <v>63</v>
      </c>
      <c r="I1596" s="13" t="s">
        <v>3700</v>
      </c>
      <c r="J1596" s="14" t="str">
        <f>HYPERLINK("https://www.boe.es/gazeta/dias/1839/12/28/pdfs/GMD-1839-1875.pdf#page=2","Abrir facsímil")</f>
        <v>Abrir facsímil</v>
      </c>
      <c r="K1596" s="12" t="s">
        <v>65</v>
      </c>
    </row>
    <row r="1597" spans="1:11" ht="40.049999999999997" customHeight="1" x14ac:dyDescent="0.25">
      <c r="A1597" s="11" t="s">
        <v>3701</v>
      </c>
      <c r="B1597" s="11" t="s">
        <v>3701</v>
      </c>
      <c r="C1597" s="11" t="s">
        <v>17</v>
      </c>
      <c r="D1597" s="11" t="s">
        <v>18</v>
      </c>
      <c r="E1597" s="12" t="s">
        <v>496</v>
      </c>
      <c r="F1597" s="12" t="s">
        <v>497</v>
      </c>
      <c r="G1597" s="12" t="s">
        <v>40</v>
      </c>
      <c r="H1597" s="11" t="s">
        <v>63</v>
      </c>
      <c r="I1597" s="13" t="s">
        <v>3702</v>
      </c>
      <c r="J1597" s="14" t="str">
        <f>HYPERLINK("https://www.boe.es/gazeta/dias/1839/11/23/pdfs/GMD-1839-1840.pdf#page=2","Abrir facsímil")</f>
        <v>Abrir facsímil</v>
      </c>
      <c r="K1597" s="12" t="s">
        <v>65</v>
      </c>
    </row>
    <row r="1598" spans="1:11" ht="40.049999999999997" customHeight="1" x14ac:dyDescent="0.25">
      <c r="A1598" s="11" t="s">
        <v>3703</v>
      </c>
      <c r="B1598" s="11" t="s">
        <v>3703</v>
      </c>
      <c r="C1598" s="11" t="s">
        <v>80</v>
      </c>
      <c r="D1598" s="11" t="s">
        <v>18</v>
      </c>
      <c r="E1598" s="12" t="s">
        <v>121</v>
      </c>
      <c r="F1598" s="12" t="s">
        <v>122</v>
      </c>
      <c r="G1598" s="12" t="s">
        <v>29</v>
      </c>
      <c r="H1598" s="11" t="s">
        <v>63</v>
      </c>
      <c r="I1598" s="13" t="s">
        <v>3704</v>
      </c>
      <c r="J1598" s="14" t="str">
        <f>HYPERLINK("https://www.boe.es/gazeta/dias/1839/06/08/pdfs/GMD-1839-1666.pdf#page=1","Abrir facsímil")</f>
        <v>Abrir facsímil</v>
      </c>
      <c r="K1598" s="12" t="s">
        <v>65</v>
      </c>
    </row>
    <row r="1599" spans="1:11" ht="40.049999999999997" customHeight="1" x14ac:dyDescent="0.25">
      <c r="A1599" s="11" t="s">
        <v>3703</v>
      </c>
      <c r="B1599" s="11" t="s">
        <v>3703</v>
      </c>
      <c r="C1599" s="11" t="s">
        <v>17</v>
      </c>
      <c r="D1599" s="11" t="s">
        <v>18</v>
      </c>
      <c r="E1599" s="12" t="s">
        <v>3705</v>
      </c>
      <c r="F1599" s="12" t="s">
        <v>3706</v>
      </c>
      <c r="G1599" s="12" t="s">
        <v>29</v>
      </c>
      <c r="H1599" s="11" t="s">
        <v>63</v>
      </c>
      <c r="I1599" s="13" t="s">
        <v>3707</v>
      </c>
      <c r="J1599" s="14" t="str">
        <f>HYPERLINK("https://www.boe.es/gazeta/dias/1839/03/09/pdfs/GMD-1839-1575.pdf#page=1","Abrir facsímil")</f>
        <v>Abrir facsímil</v>
      </c>
      <c r="K1599" s="12" t="s">
        <v>65</v>
      </c>
    </row>
    <row r="1600" spans="1:11" ht="40.049999999999997" customHeight="1" x14ac:dyDescent="0.25">
      <c r="A1600" s="11" t="s">
        <v>3703</v>
      </c>
      <c r="B1600" s="11" t="s">
        <v>3703</v>
      </c>
      <c r="C1600" s="11" t="s">
        <v>101</v>
      </c>
      <c r="D1600" s="11" t="s">
        <v>43</v>
      </c>
      <c r="E1600" s="12" t="s">
        <v>1076</v>
      </c>
      <c r="F1600" s="12" t="s">
        <v>1077</v>
      </c>
      <c r="G1600" s="12" t="s">
        <v>21</v>
      </c>
      <c r="H1600" s="11" t="s">
        <v>63</v>
      </c>
      <c r="I1600" s="13" t="s">
        <v>3708</v>
      </c>
      <c r="J1600" s="14" t="str">
        <f>HYPERLINK("https://www.boe.es/gazeta/dias/1839/10/19/pdfs/GMD-1839-1805.pdf#page=4","Abrir facsímil")</f>
        <v>Abrir facsímil</v>
      </c>
      <c r="K1600" s="12" t="s">
        <v>65</v>
      </c>
    </row>
    <row r="1601" spans="1:11" ht="40.049999999999997" customHeight="1" x14ac:dyDescent="0.25">
      <c r="A1601" s="11" t="s">
        <v>3703</v>
      </c>
      <c r="B1601" s="11" t="s">
        <v>3703</v>
      </c>
      <c r="C1601" s="11" t="s">
        <v>17</v>
      </c>
      <c r="D1601" s="11" t="s">
        <v>18</v>
      </c>
      <c r="E1601" s="12" t="s">
        <v>643</v>
      </c>
      <c r="F1601" s="12" t="s">
        <v>644</v>
      </c>
      <c r="G1601" s="12" t="s">
        <v>29</v>
      </c>
      <c r="H1601" s="11" t="s">
        <v>63</v>
      </c>
      <c r="I1601" s="13" t="s">
        <v>3709</v>
      </c>
      <c r="J1601" s="14" t="str">
        <f>HYPERLINK("https://www.boe.es/gazeta/dias/1839/03/20/pdfs/GMD-1839-1586.pdf#page=1","Abrir facsímil")</f>
        <v>Abrir facsímil</v>
      </c>
      <c r="K1601" s="12" t="s">
        <v>65</v>
      </c>
    </row>
    <row r="1602" spans="1:11" ht="40.049999999999997" customHeight="1" x14ac:dyDescent="0.25">
      <c r="A1602" s="11" t="s">
        <v>3703</v>
      </c>
      <c r="B1602" s="11" t="s">
        <v>3703</v>
      </c>
      <c r="C1602" s="11" t="s">
        <v>17</v>
      </c>
      <c r="D1602" s="11" t="s">
        <v>18</v>
      </c>
      <c r="E1602" s="12" t="s">
        <v>3601</v>
      </c>
      <c r="F1602" s="12" t="s">
        <v>3602</v>
      </c>
      <c r="G1602" s="12" t="s">
        <v>29</v>
      </c>
      <c r="H1602" s="11" t="s">
        <v>63</v>
      </c>
      <c r="I1602" s="13" t="s">
        <v>3710</v>
      </c>
      <c r="J1602" s="14" t="str">
        <f>HYPERLINK("https://www.boe.es/gazeta/dias/1839/03/21/pdfs/GMD-1839-1587.pdf#page=1","Abrir facsímil")</f>
        <v>Abrir facsímil</v>
      </c>
      <c r="K1602" s="12" t="s">
        <v>65</v>
      </c>
    </row>
    <row r="1603" spans="1:11" ht="40.049999999999997" customHeight="1" x14ac:dyDescent="0.25">
      <c r="A1603" s="11" t="s">
        <v>3711</v>
      </c>
      <c r="B1603" s="11" t="s">
        <v>3712</v>
      </c>
      <c r="C1603" s="11" t="s">
        <v>17</v>
      </c>
      <c r="D1603" s="11" t="s">
        <v>18</v>
      </c>
      <c r="E1603" s="12" t="s">
        <v>258</v>
      </c>
      <c r="F1603" s="12" t="s">
        <v>259</v>
      </c>
      <c r="G1603" s="12" t="s">
        <v>46</v>
      </c>
      <c r="H1603" s="11" t="s">
        <v>22</v>
      </c>
      <c r="I1603" s="13" t="s">
        <v>3713</v>
      </c>
      <c r="J1603" s="14" t="str">
        <f>HYPERLINK("https://www.boe.es/gazeta/dias/1839/01/02/pdfs/GMD-1839-1509.pdf#page=3","Abrir facsímil")</f>
        <v>Abrir facsímil</v>
      </c>
      <c r="K1603" s="12" t="s">
        <v>24</v>
      </c>
    </row>
    <row r="1604" spans="1:11" ht="40.049999999999997" customHeight="1" x14ac:dyDescent="0.25">
      <c r="A1604" s="11" t="s">
        <v>3714</v>
      </c>
      <c r="B1604" s="11" t="s">
        <v>3714</v>
      </c>
      <c r="C1604" s="11" t="s">
        <v>17</v>
      </c>
      <c r="D1604" s="11" t="s">
        <v>18</v>
      </c>
      <c r="E1604" s="12" t="s">
        <v>1929</v>
      </c>
      <c r="F1604" s="12" t="s">
        <v>1930</v>
      </c>
      <c r="G1604" s="12" t="s">
        <v>46</v>
      </c>
      <c r="H1604" s="11" t="s">
        <v>22</v>
      </c>
      <c r="I1604" s="13" t="s">
        <v>3715</v>
      </c>
      <c r="J1604" s="14" t="str">
        <f>HYPERLINK("https://www.boe.es/gazeta/dias/1839/02/01/pdfs/GMD-1839-1539.pdf#page=3","Abrir facsímil")</f>
        <v>Abrir facsímil</v>
      </c>
      <c r="K1604" s="12" t="s">
        <v>24</v>
      </c>
    </row>
    <row r="1605" spans="1:11" ht="40.049999999999997" customHeight="1" x14ac:dyDescent="0.25">
      <c r="A1605" s="11" t="s">
        <v>3714</v>
      </c>
      <c r="B1605" s="11" t="s">
        <v>3714</v>
      </c>
      <c r="C1605" s="11" t="s">
        <v>17</v>
      </c>
      <c r="D1605" s="11" t="s">
        <v>18</v>
      </c>
      <c r="E1605" s="12" t="s">
        <v>2165</v>
      </c>
      <c r="F1605" s="12" t="s">
        <v>2166</v>
      </c>
      <c r="G1605" s="12" t="s">
        <v>46</v>
      </c>
      <c r="H1605" s="11" t="s">
        <v>22</v>
      </c>
      <c r="I1605" s="13" t="s">
        <v>3716</v>
      </c>
      <c r="J1605" s="14" t="str">
        <f>HYPERLINK("https://www.boe.es/gazeta/dias/1839/01/06/pdfs/GMD-1839-1513.pdf#page=3","Abrir facsímil")</f>
        <v>Abrir facsímil</v>
      </c>
      <c r="K1605" s="12" t="s">
        <v>24</v>
      </c>
    </row>
    <row r="1606" spans="1:11" ht="40.049999999999997" customHeight="1" x14ac:dyDescent="0.25">
      <c r="A1606" s="11" t="s">
        <v>3714</v>
      </c>
      <c r="B1606" s="11" t="s">
        <v>3714</v>
      </c>
      <c r="C1606" s="11" t="s">
        <v>17</v>
      </c>
      <c r="D1606" s="11" t="s">
        <v>18</v>
      </c>
      <c r="E1606" s="12" t="s">
        <v>453</v>
      </c>
      <c r="F1606" s="12" t="s">
        <v>454</v>
      </c>
      <c r="G1606" s="12" t="s">
        <v>46</v>
      </c>
      <c r="H1606" s="11" t="s">
        <v>22</v>
      </c>
      <c r="I1606" s="13" t="s">
        <v>3717</v>
      </c>
      <c r="J1606" s="14" t="str">
        <f>HYPERLINK("https://www.boe.es/gazeta/dias/1839/02/07/pdfs/GMD-1839-1545.pdf#page=3","Abrir facsímil")</f>
        <v>Abrir facsímil</v>
      </c>
      <c r="K1606" s="12" t="s">
        <v>24</v>
      </c>
    </row>
    <row r="1607" spans="1:11" ht="40.049999999999997" customHeight="1" x14ac:dyDescent="0.25">
      <c r="A1607" s="11" t="s">
        <v>3714</v>
      </c>
      <c r="B1607" s="11" t="s">
        <v>3714</v>
      </c>
      <c r="C1607" s="11" t="s">
        <v>137</v>
      </c>
      <c r="D1607" s="11" t="s">
        <v>18</v>
      </c>
      <c r="E1607" s="12" t="s">
        <v>804</v>
      </c>
      <c r="F1607" s="12" t="s">
        <v>805</v>
      </c>
      <c r="G1607" s="12" t="s">
        <v>40</v>
      </c>
      <c r="H1607" s="11" t="s">
        <v>22</v>
      </c>
      <c r="I1607" s="13" t="s">
        <v>3718</v>
      </c>
      <c r="J1607" s="14" t="str">
        <f>HYPERLINK("https://www.boe.es/gazeta/dias/1839/01/08/pdfs/GMD-1839-1515.pdf#page=2","Abrir facsímil")</f>
        <v>Abrir facsímil</v>
      </c>
      <c r="K1607" s="12" t="s">
        <v>24</v>
      </c>
    </row>
    <row r="1608" spans="1:11" ht="40.049999999999997" customHeight="1" x14ac:dyDescent="0.25">
      <c r="A1608" s="11" t="s">
        <v>3714</v>
      </c>
      <c r="B1608" s="11" t="s">
        <v>3714</v>
      </c>
      <c r="C1608" s="11" t="s">
        <v>17</v>
      </c>
      <c r="D1608" s="11" t="s">
        <v>18</v>
      </c>
      <c r="E1608" s="12" t="s">
        <v>2155</v>
      </c>
      <c r="F1608" s="12" t="s">
        <v>2156</v>
      </c>
      <c r="G1608" s="12" t="s">
        <v>46</v>
      </c>
      <c r="H1608" s="11" t="s">
        <v>22</v>
      </c>
      <c r="I1608" s="13" t="s">
        <v>3719</v>
      </c>
      <c r="J1608" s="14" t="str">
        <f>HYPERLINK("https://www.boe.es/gazeta/dias/1839/01/17/pdfs/GMD-1839-1524.pdf#page=3","Abrir facsímil")</f>
        <v>Abrir facsímil</v>
      </c>
      <c r="K1608" s="12" t="s">
        <v>24</v>
      </c>
    </row>
    <row r="1609" spans="1:11" ht="40.049999999999997" customHeight="1" x14ac:dyDescent="0.25">
      <c r="A1609" s="11" t="s">
        <v>3714</v>
      </c>
      <c r="B1609" s="11" t="s">
        <v>3714</v>
      </c>
      <c r="C1609" s="11" t="s">
        <v>17</v>
      </c>
      <c r="D1609" s="11" t="s">
        <v>18</v>
      </c>
      <c r="E1609" s="12" t="s">
        <v>1807</v>
      </c>
      <c r="F1609" s="12" t="s">
        <v>1808</v>
      </c>
      <c r="G1609" s="12" t="s">
        <v>40</v>
      </c>
      <c r="H1609" s="11" t="s">
        <v>22</v>
      </c>
      <c r="I1609" s="13" t="s">
        <v>3720</v>
      </c>
      <c r="J1609" s="14" t="str">
        <f>HYPERLINK("https://www.boe.es/gazeta/dias/1839/01/29/pdfs/GMD-1839-1536.pdf#page=2","Abrir facsímil")</f>
        <v>Abrir facsímil</v>
      </c>
      <c r="K1609" s="12" t="s">
        <v>24</v>
      </c>
    </row>
    <row r="1610" spans="1:11" ht="40.049999999999997" customHeight="1" x14ac:dyDescent="0.25">
      <c r="A1610" s="11" t="s">
        <v>3721</v>
      </c>
      <c r="B1610" s="11" t="s">
        <v>3722</v>
      </c>
      <c r="C1610" s="11" t="s">
        <v>17</v>
      </c>
      <c r="D1610" s="11" t="s">
        <v>18</v>
      </c>
      <c r="E1610" s="12" t="s">
        <v>258</v>
      </c>
      <c r="F1610" s="12" t="s">
        <v>259</v>
      </c>
      <c r="G1610" s="12" t="s">
        <v>46</v>
      </c>
      <c r="H1610" s="11" t="s">
        <v>22</v>
      </c>
      <c r="I1610" s="13" t="s">
        <v>3723</v>
      </c>
      <c r="J1610" s="14" t="str">
        <f>HYPERLINK("https://www.boe.es/gazeta/dias/1839/01/02/pdfs/GMD-1839-1509.pdf#page=3","Abrir facsímil")</f>
        <v>Abrir facsímil</v>
      </c>
      <c r="K1610" s="12" t="s">
        <v>24</v>
      </c>
    </row>
    <row r="1611" spans="1:11" ht="40.049999999999997" customHeight="1" x14ac:dyDescent="0.25">
      <c r="A1611" s="11" t="s">
        <v>3724</v>
      </c>
      <c r="B1611" s="11" t="s">
        <v>3724</v>
      </c>
      <c r="C1611" s="11" t="s">
        <v>17</v>
      </c>
      <c r="D1611" s="11" t="s">
        <v>18</v>
      </c>
      <c r="E1611" s="12" t="s">
        <v>2165</v>
      </c>
      <c r="F1611" s="12" t="s">
        <v>2166</v>
      </c>
      <c r="G1611" s="12" t="s">
        <v>46</v>
      </c>
      <c r="H1611" s="11" t="s">
        <v>22</v>
      </c>
      <c r="I1611" s="13" t="s">
        <v>3725</v>
      </c>
      <c r="J1611" s="14" t="str">
        <f>HYPERLINK("https://www.boe.es/gazeta/dias/1839/01/06/pdfs/GMD-1839-1513.pdf#page=3","Abrir facsímil")</f>
        <v>Abrir facsímil</v>
      </c>
      <c r="K1611" s="12" t="s">
        <v>24</v>
      </c>
    </row>
    <row r="1612" spans="1:11" ht="40.049999999999997" customHeight="1" x14ac:dyDescent="0.25">
      <c r="A1612" s="11" t="s">
        <v>3726</v>
      </c>
      <c r="B1612" s="11" t="s">
        <v>3726</v>
      </c>
      <c r="C1612" s="11" t="s">
        <v>17</v>
      </c>
      <c r="D1612" s="11" t="s">
        <v>18</v>
      </c>
      <c r="E1612" s="12" t="s">
        <v>157</v>
      </c>
      <c r="F1612" s="12" t="s">
        <v>158</v>
      </c>
      <c r="G1612" s="12" t="s">
        <v>21</v>
      </c>
      <c r="H1612" s="11" t="s">
        <v>63</v>
      </c>
      <c r="I1612" s="13" t="s">
        <v>3727</v>
      </c>
      <c r="J1612" s="14" t="str">
        <f>HYPERLINK("https://www.boe.es/gazeta/dias/1839/02/08/pdfs/GMD-1839-1546.pdf#page=4","Abrir facsímil")</f>
        <v>Abrir facsímil</v>
      </c>
      <c r="K1612" s="12" t="s">
        <v>65</v>
      </c>
    </row>
    <row r="1613" spans="1:11" ht="40.049999999999997" customHeight="1" x14ac:dyDescent="0.25">
      <c r="A1613" s="11" t="s">
        <v>3726</v>
      </c>
      <c r="B1613" s="11" t="s">
        <v>3726</v>
      </c>
      <c r="C1613" s="11" t="s">
        <v>17</v>
      </c>
      <c r="D1613" s="11" t="s">
        <v>18</v>
      </c>
      <c r="E1613" s="12" t="s">
        <v>2050</v>
      </c>
      <c r="F1613" s="12" t="s">
        <v>2051</v>
      </c>
      <c r="G1613" s="12" t="s">
        <v>46</v>
      </c>
      <c r="H1613" s="11" t="s">
        <v>63</v>
      </c>
      <c r="I1613" s="13" t="s">
        <v>3728</v>
      </c>
      <c r="J1613" s="14" t="str">
        <f>HYPERLINK("https://www.boe.es/gazeta/dias/1839/01/09/pdfs/GMD-1839-1516.pdf#page=3","Abrir facsímil")</f>
        <v>Abrir facsímil</v>
      </c>
      <c r="K1613" s="12" t="s">
        <v>65</v>
      </c>
    </row>
    <row r="1614" spans="1:11" ht="40.049999999999997" customHeight="1" x14ac:dyDescent="0.25">
      <c r="A1614" s="11" t="s">
        <v>3724</v>
      </c>
      <c r="B1614" s="11" t="s">
        <v>3724</v>
      </c>
      <c r="C1614" s="11" t="s">
        <v>101</v>
      </c>
      <c r="D1614" s="11" t="s">
        <v>43</v>
      </c>
      <c r="E1614" s="12" t="s">
        <v>68</v>
      </c>
      <c r="F1614" s="12" t="s">
        <v>69</v>
      </c>
      <c r="G1614" s="12" t="s">
        <v>46</v>
      </c>
      <c r="H1614" s="11" t="s">
        <v>22</v>
      </c>
      <c r="I1614" s="13" t="s">
        <v>3729</v>
      </c>
      <c r="J1614" s="14" t="str">
        <f>HYPERLINK("https://www.boe.es/gazeta/dias/1839/02/09/pdfs/GMD-1839-1547.pdf#page=3","Abrir facsímil")</f>
        <v>Abrir facsímil</v>
      </c>
      <c r="K1614" s="12" t="s">
        <v>24</v>
      </c>
    </row>
    <row r="1615" spans="1:11" ht="40.049999999999997" customHeight="1" x14ac:dyDescent="0.25">
      <c r="A1615" s="11" t="s">
        <v>3730</v>
      </c>
      <c r="B1615" s="11" t="s">
        <v>3730</v>
      </c>
      <c r="C1615" s="11" t="s">
        <v>59</v>
      </c>
      <c r="D1615" s="11" t="s">
        <v>60</v>
      </c>
      <c r="E1615" s="12" t="s">
        <v>1614</v>
      </c>
      <c r="F1615" s="12" t="s">
        <v>1615</v>
      </c>
      <c r="G1615" s="12" t="s">
        <v>46</v>
      </c>
      <c r="H1615" s="11" t="s">
        <v>63</v>
      </c>
      <c r="I1615" s="13" t="s">
        <v>3731</v>
      </c>
      <c r="J1615" s="14" t="str">
        <f>HYPERLINK("https://www.boe.es/gazeta/dias/1839/07/03/pdfs/GMD-1839-1691.pdf#page=3","Abrir facsímil")</f>
        <v>Abrir facsímil</v>
      </c>
      <c r="K1615" s="12" t="s">
        <v>65</v>
      </c>
    </row>
    <row r="1616" spans="1:11" ht="40.049999999999997" customHeight="1" x14ac:dyDescent="0.25">
      <c r="A1616" s="11" t="s">
        <v>3732</v>
      </c>
      <c r="B1616" s="11" t="s">
        <v>3732</v>
      </c>
      <c r="C1616" s="11" t="s">
        <v>101</v>
      </c>
      <c r="D1616" s="11" t="s">
        <v>102</v>
      </c>
      <c r="E1616" s="12" t="s">
        <v>992</v>
      </c>
      <c r="F1616" s="12" t="s">
        <v>993</v>
      </c>
      <c r="G1616" s="12" t="s">
        <v>29</v>
      </c>
      <c r="H1616" s="11" t="s">
        <v>63</v>
      </c>
      <c r="I1616" s="13" t="s">
        <v>3733</v>
      </c>
      <c r="J1616" s="14" t="str">
        <f>HYPERLINK("https://www.boe.es/gazeta/dias/1839/02/18/pdfs/GMD-1839-1556.pdf#page=1","Abrir facsímil")</f>
        <v>Abrir facsímil</v>
      </c>
      <c r="K1616" s="12" t="s">
        <v>65</v>
      </c>
    </row>
    <row r="1617" spans="1:11" ht="40.049999999999997" customHeight="1" x14ac:dyDescent="0.25">
      <c r="A1617" s="11" t="s">
        <v>3734</v>
      </c>
      <c r="B1617" s="11" t="s">
        <v>3734</v>
      </c>
      <c r="C1617" s="11" t="s">
        <v>17</v>
      </c>
      <c r="D1617" s="11" t="s">
        <v>18</v>
      </c>
      <c r="E1617" s="12" t="s">
        <v>713</v>
      </c>
      <c r="F1617" s="12" t="s">
        <v>714</v>
      </c>
      <c r="G1617" s="12" t="s">
        <v>40</v>
      </c>
      <c r="H1617" s="11" t="s">
        <v>63</v>
      </c>
      <c r="I1617" s="13" t="s">
        <v>3735</v>
      </c>
      <c r="J1617" s="14" t="str">
        <f>HYPERLINK("https://www.boe.es/gazeta/dias/1839/12/18/pdfs/GMD-1839-1865.pdf#page=2","Abrir facsímil")</f>
        <v>Abrir facsímil</v>
      </c>
      <c r="K1617" s="12" t="s">
        <v>65</v>
      </c>
    </row>
    <row r="1618" spans="1:11" ht="40.049999999999997" customHeight="1" x14ac:dyDescent="0.25">
      <c r="A1618" s="11" t="s">
        <v>3736</v>
      </c>
      <c r="B1618" s="11" t="s">
        <v>3737</v>
      </c>
      <c r="C1618" s="11" t="s">
        <v>17</v>
      </c>
      <c r="D1618" s="11" t="s">
        <v>18</v>
      </c>
      <c r="E1618" s="12" t="s">
        <v>84</v>
      </c>
      <c r="F1618" s="12" t="s">
        <v>85</v>
      </c>
      <c r="G1618" s="12" t="s">
        <v>29</v>
      </c>
      <c r="H1618" s="11" t="s">
        <v>22</v>
      </c>
      <c r="I1618" s="13" t="s">
        <v>3738</v>
      </c>
      <c r="J1618" s="14" t="str">
        <f>HYPERLINK("https://www.boe.es/gazeta/dias/1839/03/11/pdfs/GMD-1839-1577.pdf#page=1","Abrir facsímil")</f>
        <v>Abrir facsímil</v>
      </c>
      <c r="K1618" s="12" t="s">
        <v>24</v>
      </c>
    </row>
    <row r="1619" spans="1:11" ht="40.049999999999997" customHeight="1" x14ac:dyDescent="0.25">
      <c r="A1619" s="11" t="s">
        <v>3739</v>
      </c>
      <c r="B1619" s="11" t="s">
        <v>3740</v>
      </c>
      <c r="C1619" s="11" t="s">
        <v>17</v>
      </c>
      <c r="D1619" s="11" t="s">
        <v>18</v>
      </c>
      <c r="E1619" s="12" t="s">
        <v>1474</v>
      </c>
      <c r="F1619" s="12" t="s">
        <v>1475</v>
      </c>
      <c r="G1619" s="12" t="s">
        <v>40</v>
      </c>
      <c r="H1619" s="11" t="s">
        <v>63</v>
      </c>
      <c r="I1619" s="13" t="s">
        <v>3741</v>
      </c>
      <c r="J1619" s="14" t="str">
        <f>HYPERLINK("https://www.boe.es/gazeta/dias/1839/02/28/pdfs/GMD-1839-1566.pdf#page=2","Abrir facsímil")</f>
        <v>Abrir facsímil</v>
      </c>
      <c r="K1619" s="12" t="s">
        <v>65</v>
      </c>
    </row>
    <row r="1620" spans="1:11" ht="40.049999999999997" customHeight="1" x14ac:dyDescent="0.25">
      <c r="A1620" s="11" t="s">
        <v>3742</v>
      </c>
      <c r="B1620" s="11" t="s">
        <v>3743</v>
      </c>
      <c r="C1620" s="11" t="s">
        <v>17</v>
      </c>
      <c r="D1620" s="11" t="s">
        <v>18</v>
      </c>
      <c r="E1620" s="12" t="s">
        <v>1551</v>
      </c>
      <c r="F1620" s="12" t="s">
        <v>1552</v>
      </c>
      <c r="G1620" s="12" t="s">
        <v>29</v>
      </c>
      <c r="H1620" s="11" t="s">
        <v>22</v>
      </c>
      <c r="I1620" s="13" t="s">
        <v>3744</v>
      </c>
      <c r="J1620" s="14" t="str">
        <f>HYPERLINK("https://www.boe.es/gazeta/dias/1839/06/30/pdfs/GMD-1839-1688.pdf#page=1","Abrir facsímil")</f>
        <v>Abrir facsímil</v>
      </c>
      <c r="K1620" s="12" t="s">
        <v>24</v>
      </c>
    </row>
    <row r="1621" spans="1:11" ht="40.049999999999997" customHeight="1" x14ac:dyDescent="0.25">
      <c r="A1621" s="11" t="s">
        <v>3745</v>
      </c>
      <c r="B1621" s="11" t="s">
        <v>3746</v>
      </c>
      <c r="C1621" s="11" t="s">
        <v>17</v>
      </c>
      <c r="D1621" s="11" t="s">
        <v>18</v>
      </c>
      <c r="E1621" s="12" t="s">
        <v>84</v>
      </c>
      <c r="F1621" s="12" t="s">
        <v>85</v>
      </c>
      <c r="G1621" s="12" t="s">
        <v>29</v>
      </c>
      <c r="H1621" s="11" t="s">
        <v>63</v>
      </c>
      <c r="I1621" s="13" t="s">
        <v>3747</v>
      </c>
      <c r="J1621" s="14" t="str">
        <f>HYPERLINK("https://www.boe.es/gazeta/dias/1839/03/11/pdfs/GMD-1839-1577.pdf#page=1","Abrir facsímil")</f>
        <v>Abrir facsímil</v>
      </c>
      <c r="K1621" s="12" t="s">
        <v>65</v>
      </c>
    </row>
    <row r="1622" spans="1:11" ht="40.049999999999997" customHeight="1" x14ac:dyDescent="0.25">
      <c r="A1622" s="11" t="s">
        <v>3748</v>
      </c>
      <c r="B1622" s="11" t="s">
        <v>3749</v>
      </c>
      <c r="C1622" s="11" t="s">
        <v>59</v>
      </c>
      <c r="D1622" s="11" t="s">
        <v>60</v>
      </c>
      <c r="E1622" s="12" t="s">
        <v>217</v>
      </c>
      <c r="F1622" s="12" t="s">
        <v>218</v>
      </c>
      <c r="G1622" s="12" t="s">
        <v>29</v>
      </c>
      <c r="H1622" s="11" t="s">
        <v>63</v>
      </c>
      <c r="I1622" s="13" t="s">
        <v>3750</v>
      </c>
      <c r="J1622" s="14" t="str">
        <f>HYPERLINK("https://www.boe.es/gazeta/dias/1839/08/06/pdfs/GMD-1839-1726.pdf#page=1","Abrir facsímil")</f>
        <v>Abrir facsímil</v>
      </c>
      <c r="K1622" s="12" t="s">
        <v>65</v>
      </c>
    </row>
    <row r="1623" spans="1:11" ht="40.049999999999997" customHeight="1" x14ac:dyDescent="0.25">
      <c r="A1623" s="11" t="s">
        <v>3751</v>
      </c>
      <c r="B1623" s="11" t="s">
        <v>3751</v>
      </c>
      <c r="C1623" s="11" t="s">
        <v>59</v>
      </c>
      <c r="D1623" s="11" t="s">
        <v>60</v>
      </c>
      <c r="E1623" s="12" t="s">
        <v>555</v>
      </c>
      <c r="F1623" s="12" t="s">
        <v>556</v>
      </c>
      <c r="G1623" s="12" t="s">
        <v>29</v>
      </c>
      <c r="H1623" s="11" t="s">
        <v>63</v>
      </c>
      <c r="I1623" s="13" t="s">
        <v>3752</v>
      </c>
      <c r="J1623" s="14" t="str">
        <f>HYPERLINK("https://www.boe.es/gazeta/dias/1839/07/19/pdfs/GMD-1839-1707.pdf#page=1","Abrir facsímil")</f>
        <v>Abrir facsímil</v>
      </c>
      <c r="K1623" s="12" t="s">
        <v>65</v>
      </c>
    </row>
    <row r="1624" spans="1:11" ht="40.049999999999997" customHeight="1" x14ac:dyDescent="0.25">
      <c r="A1624" s="11" t="s">
        <v>3753</v>
      </c>
      <c r="B1624" s="11" t="s">
        <v>3753</v>
      </c>
      <c r="C1624" s="11" t="s">
        <v>59</v>
      </c>
      <c r="D1624" s="11" t="s">
        <v>60</v>
      </c>
      <c r="E1624" s="12" t="s">
        <v>2021</v>
      </c>
      <c r="F1624" s="12" t="s">
        <v>2022</v>
      </c>
      <c r="G1624" s="12" t="s">
        <v>40</v>
      </c>
      <c r="H1624" s="11" t="s">
        <v>63</v>
      </c>
      <c r="I1624" s="13" t="s">
        <v>3754</v>
      </c>
      <c r="J1624" s="14" t="str">
        <f>HYPERLINK("https://www.boe.es/gazeta/dias/1839/02/17/pdfs/GMD-1839-1555.pdf#page=2","Abrir facsímil")</f>
        <v>Abrir facsímil</v>
      </c>
      <c r="K1624" s="12" t="s">
        <v>65</v>
      </c>
    </row>
    <row r="1625" spans="1:11" ht="40.049999999999997" customHeight="1" x14ac:dyDescent="0.25">
      <c r="A1625" s="11" t="s">
        <v>3755</v>
      </c>
      <c r="B1625" s="11" t="s">
        <v>3755</v>
      </c>
      <c r="C1625" s="11" t="s">
        <v>101</v>
      </c>
      <c r="D1625" s="11" t="s">
        <v>43</v>
      </c>
      <c r="E1625" s="12" t="s">
        <v>2392</v>
      </c>
      <c r="F1625" s="12" t="s">
        <v>2393</v>
      </c>
      <c r="G1625" s="12" t="s">
        <v>40</v>
      </c>
      <c r="H1625" s="11" t="s">
        <v>63</v>
      </c>
      <c r="I1625" s="13" t="s">
        <v>3756</v>
      </c>
      <c r="J1625" s="14" t="str">
        <f>HYPERLINK("https://www.boe.es/gazeta/dias/1839/05/21/pdfs/GMD-1839-1648.pdf#page=2","Abrir facsímil")</f>
        <v>Abrir facsímil</v>
      </c>
      <c r="K1625" s="12" t="s">
        <v>65</v>
      </c>
    </row>
    <row r="1626" spans="1:11" ht="40.049999999999997" customHeight="1" x14ac:dyDescent="0.25">
      <c r="A1626" s="11" t="s">
        <v>3757</v>
      </c>
      <c r="B1626" s="11" t="s">
        <v>3758</v>
      </c>
      <c r="C1626" s="11" t="s">
        <v>17</v>
      </c>
      <c r="D1626" s="11" t="s">
        <v>18</v>
      </c>
      <c r="E1626" s="12" t="s">
        <v>1517</v>
      </c>
      <c r="F1626" s="12" t="s">
        <v>1518</v>
      </c>
      <c r="G1626" s="12" t="s">
        <v>46</v>
      </c>
      <c r="H1626" s="11" t="s">
        <v>63</v>
      </c>
      <c r="I1626" s="13" t="s">
        <v>3759</v>
      </c>
      <c r="J1626" s="14" t="str">
        <f>HYPERLINK("https://www.boe.es/gazeta/dias/1839/12/20/pdfs/GMD-1839-1867.pdf#page=3","Abrir facsímil")</f>
        <v>Abrir facsímil</v>
      </c>
      <c r="K1626" s="12" t="s">
        <v>65</v>
      </c>
    </row>
    <row r="1627" spans="1:11" ht="40.049999999999997" customHeight="1" x14ac:dyDescent="0.25">
      <c r="A1627" s="11" t="s">
        <v>3760</v>
      </c>
      <c r="B1627" s="11" t="s">
        <v>3760</v>
      </c>
      <c r="C1627" s="11" t="s">
        <v>17</v>
      </c>
      <c r="D1627" s="11" t="s">
        <v>18</v>
      </c>
      <c r="E1627" s="12" t="s">
        <v>291</v>
      </c>
      <c r="F1627" s="12" t="s">
        <v>292</v>
      </c>
      <c r="G1627" s="12" t="s">
        <v>40</v>
      </c>
      <c r="H1627" s="11" t="s">
        <v>63</v>
      </c>
      <c r="I1627" s="13" t="s">
        <v>3761</v>
      </c>
      <c r="J1627" s="14" t="str">
        <f>HYPERLINK("https://www.boe.es/gazeta/dias/1839/09/04/pdfs/GMD-1839-1757.pdf#page=2","Abrir facsímil")</f>
        <v>Abrir facsímil</v>
      </c>
      <c r="K1627" s="12" t="s">
        <v>65</v>
      </c>
    </row>
    <row r="1628" spans="1:11" ht="40.049999999999997" customHeight="1" x14ac:dyDescent="0.25">
      <c r="A1628" s="11" t="s">
        <v>3762</v>
      </c>
      <c r="B1628" s="11" t="s">
        <v>3763</v>
      </c>
      <c r="C1628" s="11" t="s">
        <v>80</v>
      </c>
      <c r="D1628" s="11" t="s">
        <v>18</v>
      </c>
      <c r="E1628" s="12" t="s">
        <v>785</v>
      </c>
      <c r="F1628" s="12" t="s">
        <v>786</v>
      </c>
      <c r="G1628" s="12" t="s">
        <v>21</v>
      </c>
      <c r="H1628" s="11" t="s">
        <v>63</v>
      </c>
      <c r="I1628" s="13" t="s">
        <v>3764</v>
      </c>
      <c r="J1628" s="14" t="str">
        <f>HYPERLINK("https://www.boe.es/gazeta/dias/1839/07/13/pdfs/GMD-1839-1701.pdf#page=4","Abrir facsímil")</f>
        <v>Abrir facsímil</v>
      </c>
      <c r="K1628" s="12" t="s">
        <v>65</v>
      </c>
    </row>
    <row r="1629" spans="1:11" ht="40.049999999999997" customHeight="1" x14ac:dyDescent="0.25">
      <c r="A1629" s="11" t="s">
        <v>3765</v>
      </c>
      <c r="B1629" s="11" t="s">
        <v>3765</v>
      </c>
      <c r="C1629" s="11" t="s">
        <v>80</v>
      </c>
      <c r="D1629" s="11" t="s">
        <v>18</v>
      </c>
      <c r="E1629" s="12" t="s">
        <v>3766</v>
      </c>
      <c r="F1629" s="12" t="s">
        <v>3767</v>
      </c>
      <c r="G1629" s="12" t="s">
        <v>21</v>
      </c>
      <c r="H1629" s="11" t="s">
        <v>63</v>
      </c>
      <c r="I1629" s="13" t="s">
        <v>3768</v>
      </c>
      <c r="J1629" s="14" t="str">
        <f>HYPERLINK("https://www.boe.es/gazeta/dias/1839/06/10/pdfs/GMD-1839-1668.pdf#page=4","Abrir facsímil")</f>
        <v>Abrir facsímil</v>
      </c>
      <c r="K1629" s="12" t="s">
        <v>65</v>
      </c>
    </row>
    <row r="1630" spans="1:11" ht="40.049999999999997" customHeight="1" x14ac:dyDescent="0.25">
      <c r="A1630" s="11" t="s">
        <v>3765</v>
      </c>
      <c r="B1630" s="11" t="s">
        <v>3765</v>
      </c>
      <c r="C1630" s="11" t="s">
        <v>17</v>
      </c>
      <c r="D1630" s="11" t="s">
        <v>18</v>
      </c>
      <c r="E1630" s="12" t="s">
        <v>1391</v>
      </c>
      <c r="F1630" s="12" t="s">
        <v>1392</v>
      </c>
      <c r="G1630" s="12" t="s">
        <v>21</v>
      </c>
      <c r="H1630" s="11" t="s">
        <v>63</v>
      </c>
      <c r="I1630" s="13" t="s">
        <v>3769</v>
      </c>
      <c r="J1630" s="14" t="str">
        <f>HYPERLINK("https://www.boe.es/gazeta/dias/1839/05/12/pdfs/GMD-1839-1639.pdf#page=4","Abrir facsímil")</f>
        <v>Abrir facsímil</v>
      </c>
      <c r="K1630" s="12" t="s">
        <v>65</v>
      </c>
    </row>
    <row r="1631" spans="1:11" ht="40.049999999999997" customHeight="1" x14ac:dyDescent="0.25">
      <c r="A1631" s="11" t="s">
        <v>3770</v>
      </c>
      <c r="B1631" s="11" t="s">
        <v>3770</v>
      </c>
      <c r="C1631" s="11" t="s">
        <v>17</v>
      </c>
      <c r="D1631" s="11" t="s">
        <v>18</v>
      </c>
      <c r="E1631" s="12" t="s">
        <v>779</v>
      </c>
      <c r="F1631" s="12" t="s">
        <v>780</v>
      </c>
      <c r="G1631" s="12" t="s">
        <v>29</v>
      </c>
      <c r="H1631" s="11" t="s">
        <v>63</v>
      </c>
      <c r="I1631" s="13" t="s">
        <v>3771</v>
      </c>
      <c r="J1631" s="14" t="str">
        <f>HYPERLINK("https://www.boe.es/gazeta/dias/1839/02/03/pdfs/GMD-1839-1541.pdf#page=1","Abrir facsímil")</f>
        <v>Abrir facsímil</v>
      </c>
      <c r="K1631" s="12" t="s">
        <v>65</v>
      </c>
    </row>
    <row r="1632" spans="1:11" ht="40.049999999999997" customHeight="1" x14ac:dyDescent="0.25">
      <c r="A1632" s="11" t="s">
        <v>3770</v>
      </c>
      <c r="B1632" s="11" t="s">
        <v>3770</v>
      </c>
      <c r="C1632" s="11" t="s">
        <v>59</v>
      </c>
      <c r="D1632" s="11" t="s">
        <v>60</v>
      </c>
      <c r="E1632" s="12" t="s">
        <v>912</v>
      </c>
      <c r="F1632" s="12" t="s">
        <v>913</v>
      </c>
      <c r="G1632" s="12" t="s">
        <v>21</v>
      </c>
      <c r="H1632" s="11" t="s">
        <v>63</v>
      </c>
      <c r="I1632" s="13" t="s">
        <v>3772</v>
      </c>
      <c r="J1632" s="14" t="str">
        <f>HYPERLINK("https://www.boe.es/gazeta/dias/1839/04/30/pdfs/GMD-1839-1627.pdf#page=4","Abrir facsímil")</f>
        <v>Abrir facsímil</v>
      </c>
      <c r="K1632" s="12" t="s">
        <v>65</v>
      </c>
    </row>
    <row r="1633" spans="1:11" ht="40.049999999999997" customHeight="1" x14ac:dyDescent="0.25">
      <c r="A1633" s="11" t="s">
        <v>3773</v>
      </c>
      <c r="B1633" s="11" t="s">
        <v>3773</v>
      </c>
      <c r="C1633" s="11" t="s">
        <v>101</v>
      </c>
      <c r="D1633" s="11" t="s">
        <v>43</v>
      </c>
      <c r="E1633" s="12" t="s">
        <v>108</v>
      </c>
      <c r="F1633" s="12" t="s">
        <v>109</v>
      </c>
      <c r="G1633" s="12" t="s">
        <v>40</v>
      </c>
      <c r="H1633" s="11" t="s">
        <v>22</v>
      </c>
      <c r="I1633" s="13" t="s">
        <v>3774</v>
      </c>
      <c r="J1633" s="14" t="str">
        <f>HYPERLINK("https://www.boe.es/gazeta/dias/1839/01/04/pdfs/GMD-1839-1511.pdf#page=2","Abrir facsímil")</f>
        <v>Abrir facsímil</v>
      </c>
      <c r="K1633" s="12" t="s">
        <v>24</v>
      </c>
    </row>
    <row r="1634" spans="1:11" ht="40.049999999999997" customHeight="1" x14ac:dyDescent="0.25">
      <c r="A1634" s="11" t="s">
        <v>3775</v>
      </c>
      <c r="B1634" s="11" t="s">
        <v>3776</v>
      </c>
      <c r="C1634" s="11" t="s">
        <v>137</v>
      </c>
      <c r="D1634" s="11" t="s">
        <v>18</v>
      </c>
      <c r="E1634" s="12" t="s">
        <v>3614</v>
      </c>
      <c r="F1634" s="12" t="s">
        <v>3615</v>
      </c>
      <c r="G1634" s="12" t="s">
        <v>46</v>
      </c>
      <c r="H1634" s="11" t="s">
        <v>22</v>
      </c>
      <c r="I1634" s="13" t="s">
        <v>3777</v>
      </c>
      <c r="J1634" s="14" t="str">
        <f>HYPERLINK("https://www.boe.es/gazeta/dias/1839/04/04/pdfs/GMD-1839-1601.pdf#page=3","Abrir facsímil")</f>
        <v>Abrir facsímil</v>
      </c>
      <c r="K1634" s="12" t="s">
        <v>24</v>
      </c>
    </row>
    <row r="1635" spans="1:11" ht="40.049999999999997" customHeight="1" x14ac:dyDescent="0.25">
      <c r="A1635" s="11" t="s">
        <v>3778</v>
      </c>
      <c r="B1635" s="11" t="s">
        <v>3779</v>
      </c>
      <c r="C1635" s="11" t="s">
        <v>17</v>
      </c>
      <c r="D1635" s="11" t="s">
        <v>18</v>
      </c>
      <c r="E1635" s="12" t="s">
        <v>561</v>
      </c>
      <c r="F1635" s="12" t="s">
        <v>562</v>
      </c>
      <c r="G1635" s="12" t="s">
        <v>46</v>
      </c>
      <c r="H1635" s="11" t="s">
        <v>22</v>
      </c>
      <c r="I1635" s="13" t="s">
        <v>3780</v>
      </c>
      <c r="J1635" s="14" t="str">
        <f>HYPERLINK("https://www.boe.es/gazeta/dias/1839/09/11/pdfs/GMD-1839-1764.pdf#page=3","Abrir facsímil")</f>
        <v>Abrir facsímil</v>
      </c>
      <c r="K1635" s="12" t="s">
        <v>24</v>
      </c>
    </row>
    <row r="1636" spans="1:11" ht="40.049999999999997" customHeight="1" x14ac:dyDescent="0.25">
      <c r="A1636" s="11" t="s">
        <v>3781</v>
      </c>
      <c r="B1636" s="11" t="s">
        <v>3782</v>
      </c>
      <c r="C1636" s="11" t="s">
        <v>17</v>
      </c>
      <c r="D1636" s="11" t="s">
        <v>18</v>
      </c>
      <c r="E1636" s="12" t="s">
        <v>207</v>
      </c>
      <c r="F1636" s="12" t="s">
        <v>208</v>
      </c>
      <c r="G1636" s="12" t="s">
        <v>40</v>
      </c>
      <c r="H1636" s="11" t="s">
        <v>63</v>
      </c>
      <c r="I1636" s="13" t="s">
        <v>3783</v>
      </c>
      <c r="J1636" s="14" t="str">
        <f>HYPERLINK("https://www.boe.es/gazeta/dias/1839/02/19/pdfs/GMD-1839-1557.pdf#page=2","Abrir facsímil")</f>
        <v>Abrir facsímil</v>
      </c>
      <c r="K1636" s="12" t="s">
        <v>65</v>
      </c>
    </row>
    <row r="1637" spans="1:11" ht="40.049999999999997" customHeight="1" x14ac:dyDescent="0.25">
      <c r="A1637" s="11" t="s">
        <v>3784</v>
      </c>
      <c r="B1637" s="11" t="s">
        <v>3785</v>
      </c>
      <c r="C1637" s="11" t="s">
        <v>17</v>
      </c>
      <c r="D1637" s="11" t="s">
        <v>18</v>
      </c>
      <c r="E1637" s="12" t="s">
        <v>1654</v>
      </c>
      <c r="F1637" s="12" t="s">
        <v>1655</v>
      </c>
      <c r="G1637" s="12" t="s">
        <v>46</v>
      </c>
      <c r="H1637" s="11" t="s">
        <v>63</v>
      </c>
      <c r="I1637" s="13" t="s">
        <v>3786</v>
      </c>
      <c r="J1637" s="14" t="str">
        <f>HYPERLINK("https://www.boe.es/gazeta/dias/1839/11/19/pdfs/GMD-1839-1836.pdf#page=3","Abrir facsímil")</f>
        <v>Abrir facsímil</v>
      </c>
      <c r="K1637" s="12" t="s">
        <v>65</v>
      </c>
    </row>
    <row r="1638" spans="1:11" ht="40.049999999999997" customHeight="1" x14ac:dyDescent="0.25">
      <c r="A1638" s="11" t="s">
        <v>3787</v>
      </c>
      <c r="B1638" s="11" t="s">
        <v>3788</v>
      </c>
      <c r="C1638" s="11" t="s">
        <v>17</v>
      </c>
      <c r="D1638" s="11" t="s">
        <v>18</v>
      </c>
      <c r="E1638" s="12" t="s">
        <v>1123</v>
      </c>
      <c r="F1638" s="12" t="s">
        <v>1124</v>
      </c>
      <c r="G1638" s="12" t="s">
        <v>40</v>
      </c>
      <c r="H1638" s="11" t="s">
        <v>63</v>
      </c>
      <c r="I1638" s="13" t="s">
        <v>3789</v>
      </c>
      <c r="J1638" s="14" t="str">
        <f>HYPERLINK("https://www.boe.es/gazeta/dias/1839/08/10/pdfs/GMD-1839-1730.pdf#page=2","Abrir facsímil")</f>
        <v>Abrir facsímil</v>
      </c>
      <c r="K1638" s="12" t="s">
        <v>65</v>
      </c>
    </row>
    <row r="1639" spans="1:11" ht="40.049999999999997" customHeight="1" x14ac:dyDescent="0.25">
      <c r="A1639" s="11" t="s">
        <v>3790</v>
      </c>
      <c r="B1639" s="11" t="s">
        <v>3790</v>
      </c>
      <c r="C1639" s="11" t="s">
        <v>17</v>
      </c>
      <c r="D1639" s="11" t="s">
        <v>18</v>
      </c>
      <c r="E1639" s="12" t="s">
        <v>192</v>
      </c>
      <c r="F1639" s="12" t="s">
        <v>193</v>
      </c>
      <c r="G1639" s="12" t="s">
        <v>46</v>
      </c>
      <c r="H1639" s="11" t="s">
        <v>63</v>
      </c>
      <c r="I1639" s="13" t="s">
        <v>3791</v>
      </c>
      <c r="J1639" s="14" t="str">
        <f>HYPERLINK("https://www.boe.es/gazeta/dias/1839/01/12/pdfs/GMD-1839-1519.pdf#page=3","Abrir facsímil")</f>
        <v>Abrir facsímil</v>
      </c>
      <c r="K1639" s="12" t="s">
        <v>65</v>
      </c>
    </row>
    <row r="1640" spans="1:11" ht="40.049999999999997" customHeight="1" x14ac:dyDescent="0.25">
      <c r="A1640" s="11" t="s">
        <v>3792</v>
      </c>
      <c r="B1640" s="11" t="s">
        <v>3793</v>
      </c>
      <c r="C1640" s="11" t="s">
        <v>17</v>
      </c>
      <c r="D1640" s="11" t="s">
        <v>18</v>
      </c>
      <c r="E1640" s="12" t="s">
        <v>192</v>
      </c>
      <c r="F1640" s="12" t="s">
        <v>193</v>
      </c>
      <c r="G1640" s="12" t="s">
        <v>46</v>
      </c>
      <c r="H1640" s="11" t="s">
        <v>63</v>
      </c>
      <c r="I1640" s="13" t="s">
        <v>3794</v>
      </c>
      <c r="J1640" s="14" t="str">
        <f>HYPERLINK("https://www.boe.es/gazeta/dias/1839/01/12/pdfs/GMD-1839-1519.pdf#page=3","Abrir facsímil")</f>
        <v>Abrir facsímil</v>
      </c>
      <c r="K1640" s="12" t="s">
        <v>65</v>
      </c>
    </row>
    <row r="1641" spans="1:11" ht="40.049999999999997" customHeight="1" x14ac:dyDescent="0.25">
      <c r="A1641" s="11" t="s">
        <v>3795</v>
      </c>
      <c r="B1641" s="11" t="s">
        <v>3795</v>
      </c>
      <c r="C1641" s="11" t="s">
        <v>17</v>
      </c>
      <c r="D1641" s="11" t="s">
        <v>18</v>
      </c>
      <c r="E1641" s="12" t="s">
        <v>1287</v>
      </c>
      <c r="F1641" s="12" t="s">
        <v>1288</v>
      </c>
      <c r="G1641" s="12" t="s">
        <v>40</v>
      </c>
      <c r="H1641" s="11" t="s">
        <v>22</v>
      </c>
      <c r="I1641" s="13" t="s">
        <v>3796</v>
      </c>
      <c r="J1641" s="14" t="str">
        <f>HYPERLINK("https://www.boe.es/gazeta/dias/1839/10/30/pdfs/GMD-1839-1816.pdf#page=2","Abrir facsímil")</f>
        <v>Abrir facsímil</v>
      </c>
      <c r="K1641" s="12" t="s">
        <v>24</v>
      </c>
    </row>
    <row r="1642" spans="1:11" ht="40.049999999999997" customHeight="1" x14ac:dyDescent="0.25">
      <c r="A1642" s="11" t="s">
        <v>3797</v>
      </c>
      <c r="B1642" s="11" t="s">
        <v>3797</v>
      </c>
      <c r="C1642" s="11" t="s">
        <v>17</v>
      </c>
      <c r="D1642" s="11" t="s">
        <v>18</v>
      </c>
      <c r="E1642" s="12" t="s">
        <v>2050</v>
      </c>
      <c r="F1642" s="12" t="s">
        <v>2051</v>
      </c>
      <c r="G1642" s="12" t="s">
        <v>40</v>
      </c>
      <c r="H1642" s="11" t="s">
        <v>63</v>
      </c>
      <c r="I1642" s="13" t="s">
        <v>3798</v>
      </c>
      <c r="J1642" s="14" t="str">
        <f>HYPERLINK("https://www.boe.es/gazeta/dias/1839/01/09/pdfs/GMD-1839-1516.pdf#page=2","Abrir facsímil")</f>
        <v>Abrir facsímil</v>
      </c>
      <c r="K1642" s="12" t="s">
        <v>65</v>
      </c>
    </row>
    <row r="1643" spans="1:11" ht="40.049999999999997" customHeight="1" x14ac:dyDescent="0.25">
      <c r="A1643" s="11" t="s">
        <v>3799</v>
      </c>
      <c r="B1643" s="11" t="s">
        <v>3800</v>
      </c>
      <c r="C1643" s="11" t="s">
        <v>17</v>
      </c>
      <c r="D1643" s="11" t="s">
        <v>18</v>
      </c>
      <c r="E1643" s="12" t="s">
        <v>2050</v>
      </c>
      <c r="F1643" s="12" t="s">
        <v>2051</v>
      </c>
      <c r="G1643" s="12" t="s">
        <v>40</v>
      </c>
      <c r="H1643" s="11" t="s">
        <v>22</v>
      </c>
      <c r="I1643" s="13" t="s">
        <v>3801</v>
      </c>
      <c r="J1643" s="14" t="str">
        <f>HYPERLINK("https://www.boe.es/gazeta/dias/1839/01/09/pdfs/GMD-1839-1516.pdf#page=2","Abrir facsímil")</f>
        <v>Abrir facsímil</v>
      </c>
      <c r="K1643" s="12" t="s">
        <v>24</v>
      </c>
    </row>
    <row r="1644" spans="1:11" ht="40.049999999999997" customHeight="1" x14ac:dyDescent="0.25">
      <c r="A1644" s="11" t="s">
        <v>3802</v>
      </c>
      <c r="B1644" s="11" t="s">
        <v>3803</v>
      </c>
      <c r="C1644" s="11" t="s">
        <v>59</v>
      </c>
      <c r="D1644" s="11" t="s">
        <v>60</v>
      </c>
      <c r="E1644" s="12" t="s">
        <v>1012</v>
      </c>
      <c r="F1644" s="12" t="s">
        <v>1013</v>
      </c>
      <c r="G1644" s="12" t="s">
        <v>46</v>
      </c>
      <c r="H1644" s="11" t="s">
        <v>63</v>
      </c>
      <c r="I1644" s="13" t="s">
        <v>3804</v>
      </c>
      <c r="J1644" s="14" t="str">
        <f>HYPERLINK("https://www.boe.es/gazeta/dias/1839/11/22/pdfs/GMD-1839-1839.pdf#page=3","Abrir facsímil")</f>
        <v>Abrir facsímil</v>
      </c>
      <c r="K1644" s="12" t="s">
        <v>65</v>
      </c>
    </row>
    <row r="1645" spans="1:11" ht="40.049999999999997" customHeight="1" x14ac:dyDescent="0.25">
      <c r="A1645" s="11" t="s">
        <v>3805</v>
      </c>
      <c r="B1645" s="11" t="s">
        <v>3805</v>
      </c>
      <c r="C1645" s="11" t="s">
        <v>59</v>
      </c>
      <c r="D1645" s="11" t="s">
        <v>60</v>
      </c>
      <c r="E1645" s="12" t="s">
        <v>230</v>
      </c>
      <c r="F1645" s="12" t="s">
        <v>231</v>
      </c>
      <c r="G1645" s="12" t="s">
        <v>29</v>
      </c>
      <c r="H1645" s="11" t="s">
        <v>22</v>
      </c>
      <c r="I1645" s="13" t="s">
        <v>3806</v>
      </c>
      <c r="J1645" s="14" t="str">
        <f>HYPERLINK("https://www.boe.es/gazeta/dias/1839/09/16/pdfs/GMD-1839-1769.pdf#page=1","Abrir facsímil")</f>
        <v>Abrir facsímil</v>
      </c>
      <c r="K1645" s="12" t="s">
        <v>24</v>
      </c>
    </row>
    <row r="1646" spans="1:11" ht="40.049999999999997" customHeight="1" x14ac:dyDescent="0.25">
      <c r="A1646" s="11" t="s">
        <v>3807</v>
      </c>
      <c r="B1646" s="11" t="s">
        <v>3807</v>
      </c>
      <c r="C1646" s="11" t="s">
        <v>137</v>
      </c>
      <c r="D1646" s="11" t="s">
        <v>18</v>
      </c>
      <c r="E1646" s="12" t="s">
        <v>647</v>
      </c>
      <c r="F1646" s="12" t="s">
        <v>648</v>
      </c>
      <c r="G1646" s="12" t="s">
        <v>566</v>
      </c>
      <c r="H1646" s="11" t="s">
        <v>22</v>
      </c>
      <c r="I1646" s="13" t="s">
        <v>3808</v>
      </c>
      <c r="J1646" s="14" t="str">
        <f>HYPERLINK("https://www.boe.es/gazeta/dias/1839/10/08/pdfs/GMD-1839-1794.pdf#page=5","Abrir facsímil")</f>
        <v>Abrir facsímil</v>
      </c>
      <c r="K1646" s="12" t="s">
        <v>24</v>
      </c>
    </row>
    <row r="1647" spans="1:11" ht="40.049999999999997" customHeight="1" x14ac:dyDescent="0.25">
      <c r="A1647" s="11" t="s">
        <v>3807</v>
      </c>
      <c r="B1647" s="11" t="s">
        <v>3807</v>
      </c>
      <c r="C1647" s="11" t="s">
        <v>101</v>
      </c>
      <c r="D1647" s="11" t="s">
        <v>43</v>
      </c>
      <c r="E1647" s="12" t="s">
        <v>103</v>
      </c>
      <c r="F1647" s="12" t="s">
        <v>104</v>
      </c>
      <c r="G1647" s="12" t="s">
        <v>46</v>
      </c>
      <c r="H1647" s="11" t="s">
        <v>22</v>
      </c>
      <c r="I1647" s="13" t="s">
        <v>3809</v>
      </c>
      <c r="J1647" s="14" t="str">
        <f>HYPERLINK("https://www.boe.es/gazeta/dias/1839/10/12/pdfs/GMD-1839-1798.pdf#page=3","Abrir facsímil")</f>
        <v>Abrir facsímil</v>
      </c>
      <c r="K1647" s="12" t="s">
        <v>24</v>
      </c>
    </row>
    <row r="1648" spans="1:11" ht="40.049999999999997" customHeight="1" x14ac:dyDescent="0.25">
      <c r="A1648" s="11" t="s">
        <v>3810</v>
      </c>
      <c r="B1648" s="11" t="s">
        <v>3810</v>
      </c>
      <c r="C1648" s="11" t="s">
        <v>137</v>
      </c>
      <c r="D1648" s="11" t="s">
        <v>18</v>
      </c>
      <c r="E1648" s="12" t="s">
        <v>862</v>
      </c>
      <c r="F1648" s="12" t="s">
        <v>863</v>
      </c>
      <c r="G1648" s="12" t="s">
        <v>21</v>
      </c>
      <c r="H1648" s="11" t="s">
        <v>63</v>
      </c>
      <c r="I1648" s="13" t="s">
        <v>3811</v>
      </c>
      <c r="J1648" s="14" t="str">
        <f>HYPERLINK("https://www.boe.es/gazeta/dias/1839/10/28/pdfs/GMD-1839-1814.pdf#page=4","Abrir facsímil")</f>
        <v>Abrir facsímil</v>
      </c>
      <c r="K1648" s="12" t="s">
        <v>65</v>
      </c>
    </row>
    <row r="1649" spans="1:11" ht="40.049999999999997" customHeight="1" x14ac:dyDescent="0.25">
      <c r="A1649" s="11" t="s">
        <v>3812</v>
      </c>
      <c r="B1649" s="11" t="s">
        <v>3812</v>
      </c>
      <c r="C1649" s="11" t="s">
        <v>17</v>
      </c>
      <c r="D1649" s="11" t="s">
        <v>18</v>
      </c>
      <c r="E1649" s="12" t="s">
        <v>779</v>
      </c>
      <c r="F1649" s="12" t="s">
        <v>780</v>
      </c>
      <c r="G1649" s="12" t="s">
        <v>40</v>
      </c>
      <c r="H1649" s="11" t="s">
        <v>63</v>
      </c>
      <c r="I1649" s="13" t="s">
        <v>3813</v>
      </c>
      <c r="J1649" s="14" t="str">
        <f>HYPERLINK("https://www.boe.es/gazeta/dias/1839/02/03/pdfs/GMD-1839-1541.pdf#page=2","Abrir facsímil")</f>
        <v>Abrir facsímil</v>
      </c>
      <c r="K1649" s="12" t="s">
        <v>65</v>
      </c>
    </row>
    <row r="1650" spans="1:11" ht="40.049999999999997" customHeight="1" x14ac:dyDescent="0.25">
      <c r="A1650" s="11" t="s">
        <v>3814</v>
      </c>
      <c r="B1650" s="11" t="s">
        <v>3814</v>
      </c>
      <c r="C1650" s="11" t="s">
        <v>17</v>
      </c>
      <c r="D1650" s="11" t="s">
        <v>18</v>
      </c>
      <c r="E1650" s="12" t="s">
        <v>212</v>
      </c>
      <c r="F1650" s="12" t="s">
        <v>213</v>
      </c>
      <c r="G1650" s="12" t="s">
        <v>40</v>
      </c>
      <c r="H1650" s="11" t="s">
        <v>22</v>
      </c>
      <c r="I1650" s="13" t="s">
        <v>3815</v>
      </c>
      <c r="J1650" s="14" t="str">
        <f>HYPERLINK("https://www.boe.es/gazeta/dias/1839/10/03/pdfs/GMD-1839-1789.pdf#page=2","Abrir facsímil")</f>
        <v>Abrir facsímil</v>
      </c>
      <c r="K1650" s="12" t="s">
        <v>24</v>
      </c>
    </row>
    <row r="1651" spans="1:11" ht="40.049999999999997" customHeight="1" x14ac:dyDescent="0.25">
      <c r="A1651" s="11" t="s">
        <v>3812</v>
      </c>
      <c r="B1651" s="11" t="s">
        <v>3812</v>
      </c>
      <c r="C1651" s="11" t="s">
        <v>17</v>
      </c>
      <c r="D1651" s="11" t="s">
        <v>18</v>
      </c>
      <c r="E1651" s="12" t="s">
        <v>197</v>
      </c>
      <c r="F1651" s="12" t="s">
        <v>198</v>
      </c>
      <c r="G1651" s="12" t="s">
        <v>40</v>
      </c>
      <c r="H1651" s="11" t="s">
        <v>63</v>
      </c>
      <c r="I1651" s="13" t="s">
        <v>3816</v>
      </c>
      <c r="J1651" s="14" t="str">
        <f>HYPERLINK("https://www.boe.es/gazeta/dias/1839/10/04/pdfs/GMD-1839-1790.pdf#page=2","Abrir facsímil")</f>
        <v>Abrir facsímil</v>
      </c>
      <c r="K1651" s="12" t="s">
        <v>65</v>
      </c>
    </row>
    <row r="1652" spans="1:11" ht="40.049999999999997" customHeight="1" x14ac:dyDescent="0.25">
      <c r="A1652" s="11" t="s">
        <v>3814</v>
      </c>
      <c r="B1652" s="11" t="s">
        <v>3814</v>
      </c>
      <c r="C1652" s="11" t="s">
        <v>80</v>
      </c>
      <c r="D1652" s="11" t="s">
        <v>18</v>
      </c>
      <c r="E1652" s="12" t="s">
        <v>54</v>
      </c>
      <c r="F1652" s="12" t="s">
        <v>55</v>
      </c>
      <c r="G1652" s="12" t="s">
        <v>40</v>
      </c>
      <c r="H1652" s="11" t="s">
        <v>22</v>
      </c>
      <c r="I1652" s="13" t="s">
        <v>3817</v>
      </c>
      <c r="J1652" s="14" t="str">
        <f>HYPERLINK("https://www.boe.es/gazeta/dias/1839/10/05/pdfs/GMD-1839-1791.pdf#page=2","Abrir facsímil")</f>
        <v>Abrir facsímil</v>
      </c>
      <c r="K1652" s="12" t="s">
        <v>24</v>
      </c>
    </row>
    <row r="1653" spans="1:11" ht="40.049999999999997" customHeight="1" x14ac:dyDescent="0.25">
      <c r="A1653" s="11" t="s">
        <v>3814</v>
      </c>
      <c r="B1653" s="11" t="s">
        <v>3814</v>
      </c>
      <c r="C1653" s="11" t="s">
        <v>17</v>
      </c>
      <c r="D1653" s="11" t="s">
        <v>18</v>
      </c>
      <c r="E1653" s="12" t="s">
        <v>303</v>
      </c>
      <c r="F1653" s="12" t="s">
        <v>304</v>
      </c>
      <c r="G1653" s="12" t="s">
        <v>40</v>
      </c>
      <c r="H1653" s="11" t="s">
        <v>22</v>
      </c>
      <c r="I1653" s="13" t="s">
        <v>3818</v>
      </c>
      <c r="J1653" s="14" t="str">
        <f>HYPERLINK("https://www.boe.es/gazeta/dias/1839/10/06/pdfs/GMD-1839-1792.pdf#page=2","Abrir facsímil")</f>
        <v>Abrir facsímil</v>
      </c>
      <c r="K1653" s="12" t="s">
        <v>24</v>
      </c>
    </row>
    <row r="1654" spans="1:11" ht="40.049999999999997" customHeight="1" x14ac:dyDescent="0.25">
      <c r="A1654" s="11" t="s">
        <v>3814</v>
      </c>
      <c r="B1654" s="11" t="s">
        <v>3814</v>
      </c>
      <c r="C1654" s="11" t="s">
        <v>101</v>
      </c>
      <c r="D1654" s="11" t="s">
        <v>43</v>
      </c>
      <c r="E1654" s="12" t="s">
        <v>2301</v>
      </c>
      <c r="F1654" s="12" t="s">
        <v>2302</v>
      </c>
      <c r="G1654" s="12" t="s">
        <v>46</v>
      </c>
      <c r="H1654" s="11" t="s">
        <v>22</v>
      </c>
      <c r="I1654" s="13" t="s">
        <v>3819</v>
      </c>
      <c r="J1654" s="14" t="str">
        <f>HYPERLINK("https://www.boe.es/gazeta/dias/1839/09/08/pdfs/GMD-1839-1761.pdf#page=3","Abrir facsímil")</f>
        <v>Abrir facsímil</v>
      </c>
      <c r="K1654" s="12" t="s">
        <v>24</v>
      </c>
    </row>
    <row r="1655" spans="1:11" ht="40.049999999999997" customHeight="1" x14ac:dyDescent="0.25">
      <c r="A1655" s="11" t="s">
        <v>3814</v>
      </c>
      <c r="B1655" s="11" t="s">
        <v>3814</v>
      </c>
      <c r="C1655" s="11" t="s">
        <v>17</v>
      </c>
      <c r="D1655" s="11" t="s">
        <v>18</v>
      </c>
      <c r="E1655" s="12" t="s">
        <v>647</v>
      </c>
      <c r="F1655" s="12" t="s">
        <v>648</v>
      </c>
      <c r="G1655" s="12" t="s">
        <v>29</v>
      </c>
      <c r="H1655" s="11" t="s">
        <v>22</v>
      </c>
      <c r="I1655" s="13" t="s">
        <v>3820</v>
      </c>
      <c r="J1655" s="14" t="str">
        <f>HYPERLINK("https://www.boe.es/gazeta/dias/1839/10/08/pdfs/GMD-1839-1794.pdf#page=1","Abrir facsímil")</f>
        <v>Abrir facsímil</v>
      </c>
      <c r="K1655" s="12" t="s">
        <v>24</v>
      </c>
    </row>
    <row r="1656" spans="1:11" ht="40.049999999999997" customHeight="1" x14ac:dyDescent="0.25">
      <c r="A1656" s="11" t="s">
        <v>3814</v>
      </c>
      <c r="B1656" s="11" t="s">
        <v>3814</v>
      </c>
      <c r="C1656" s="11" t="s">
        <v>17</v>
      </c>
      <c r="D1656" s="11" t="s">
        <v>18</v>
      </c>
      <c r="E1656" s="12" t="s">
        <v>1366</v>
      </c>
      <c r="F1656" s="12" t="s">
        <v>1367</v>
      </c>
      <c r="G1656" s="12" t="s">
        <v>46</v>
      </c>
      <c r="H1656" s="11" t="s">
        <v>22</v>
      </c>
      <c r="I1656" s="13" t="s">
        <v>3821</v>
      </c>
      <c r="J1656" s="14" t="str">
        <f>HYPERLINK("https://www.boe.es/gazeta/dias/1839/09/09/pdfs/GMD-1839-1762.pdf#page=3","Abrir facsímil")</f>
        <v>Abrir facsímil</v>
      </c>
      <c r="K1656" s="12" t="s">
        <v>24</v>
      </c>
    </row>
    <row r="1657" spans="1:11" ht="40.049999999999997" customHeight="1" x14ac:dyDescent="0.25">
      <c r="A1657" s="11" t="s">
        <v>3812</v>
      </c>
      <c r="B1657" s="11" t="s">
        <v>3812</v>
      </c>
      <c r="C1657" s="11" t="s">
        <v>17</v>
      </c>
      <c r="D1657" s="11" t="s">
        <v>18</v>
      </c>
      <c r="E1657" s="12" t="s">
        <v>426</v>
      </c>
      <c r="F1657" s="12" t="s">
        <v>427</v>
      </c>
      <c r="G1657" s="12" t="s">
        <v>21</v>
      </c>
      <c r="H1657" s="11" t="s">
        <v>63</v>
      </c>
      <c r="I1657" s="13" t="s">
        <v>3822</v>
      </c>
      <c r="J1657" s="14" t="str">
        <f>HYPERLINK("https://www.boe.es/gazeta/dias/1839/08/11/pdfs/GMD-1839-1731.pdf#page=4","Abrir facsímil")</f>
        <v>Abrir facsímil</v>
      </c>
      <c r="K1657" s="12" t="s">
        <v>65</v>
      </c>
    </row>
    <row r="1658" spans="1:11" ht="40.049999999999997" customHeight="1" x14ac:dyDescent="0.25">
      <c r="A1658" s="11" t="s">
        <v>3812</v>
      </c>
      <c r="B1658" s="11" t="s">
        <v>3812</v>
      </c>
      <c r="C1658" s="11" t="s">
        <v>17</v>
      </c>
      <c r="D1658" s="11" t="s">
        <v>18</v>
      </c>
      <c r="E1658" s="12" t="s">
        <v>561</v>
      </c>
      <c r="F1658" s="12" t="s">
        <v>562</v>
      </c>
      <c r="G1658" s="12" t="s">
        <v>40</v>
      </c>
      <c r="H1658" s="11" t="s">
        <v>63</v>
      </c>
      <c r="I1658" s="13" t="s">
        <v>3823</v>
      </c>
      <c r="J1658" s="14" t="str">
        <f>HYPERLINK("https://www.boe.es/gazeta/dias/1839/09/11/pdfs/GMD-1839-1764.pdf#page=2","Abrir facsímil")</f>
        <v>Abrir facsímil</v>
      </c>
      <c r="K1658" s="12" t="s">
        <v>65</v>
      </c>
    </row>
    <row r="1659" spans="1:11" ht="40.049999999999997" customHeight="1" x14ac:dyDescent="0.25">
      <c r="A1659" s="11" t="s">
        <v>3814</v>
      </c>
      <c r="B1659" s="11" t="s">
        <v>3814</v>
      </c>
      <c r="C1659" s="11" t="s">
        <v>101</v>
      </c>
      <c r="D1659" s="11" t="s">
        <v>43</v>
      </c>
      <c r="E1659" s="12" t="s">
        <v>561</v>
      </c>
      <c r="F1659" s="12" t="s">
        <v>562</v>
      </c>
      <c r="G1659" s="12" t="s">
        <v>46</v>
      </c>
      <c r="H1659" s="11" t="s">
        <v>22</v>
      </c>
      <c r="I1659" s="13" t="s">
        <v>3824</v>
      </c>
      <c r="J1659" s="14" t="str">
        <f>HYPERLINK("https://www.boe.es/gazeta/dias/1839/09/11/pdfs/GMD-1839-1764.pdf#page=3","Abrir facsímil")</f>
        <v>Abrir facsímil</v>
      </c>
      <c r="K1659" s="12" t="s">
        <v>24</v>
      </c>
    </row>
    <row r="1660" spans="1:11" ht="40.049999999999997" customHeight="1" x14ac:dyDescent="0.25">
      <c r="A1660" s="11" t="s">
        <v>3814</v>
      </c>
      <c r="B1660" s="11" t="s">
        <v>3814</v>
      </c>
      <c r="C1660" s="11" t="s">
        <v>80</v>
      </c>
      <c r="D1660" s="11" t="s">
        <v>18</v>
      </c>
      <c r="E1660" s="12" t="s">
        <v>103</v>
      </c>
      <c r="F1660" s="12" t="s">
        <v>104</v>
      </c>
      <c r="G1660" s="12" t="s">
        <v>21</v>
      </c>
      <c r="H1660" s="11" t="s">
        <v>22</v>
      </c>
      <c r="I1660" s="13" t="s">
        <v>3825</v>
      </c>
      <c r="J1660" s="14" t="str">
        <f>HYPERLINK("https://www.boe.es/gazeta/dias/1839/10/12/pdfs/GMD-1839-1798.pdf#page=4","Abrir facsímil")</f>
        <v>Abrir facsímil</v>
      </c>
      <c r="K1660" s="12" t="s">
        <v>24</v>
      </c>
    </row>
    <row r="1661" spans="1:11" ht="40.049999999999997" customHeight="1" x14ac:dyDescent="0.25">
      <c r="A1661" s="11" t="s">
        <v>3812</v>
      </c>
      <c r="B1661" s="11" t="s">
        <v>3812</v>
      </c>
      <c r="C1661" s="11" t="s">
        <v>80</v>
      </c>
      <c r="D1661" s="11" t="s">
        <v>18</v>
      </c>
      <c r="E1661" s="12" t="s">
        <v>592</v>
      </c>
      <c r="F1661" s="12" t="s">
        <v>593</v>
      </c>
      <c r="G1661" s="12" t="s">
        <v>40</v>
      </c>
      <c r="H1661" s="11" t="s">
        <v>63</v>
      </c>
      <c r="I1661" s="13" t="s">
        <v>3826</v>
      </c>
      <c r="J1661" s="14" t="str">
        <f>HYPERLINK("https://www.boe.es/gazeta/dias/1839/09/14/pdfs/GMD-1839-1767.pdf#page=2","Abrir facsímil")</f>
        <v>Abrir facsímil</v>
      </c>
      <c r="K1661" s="12" t="s">
        <v>65</v>
      </c>
    </row>
    <row r="1662" spans="1:11" ht="40.049999999999997" customHeight="1" x14ac:dyDescent="0.25">
      <c r="A1662" s="11" t="s">
        <v>3812</v>
      </c>
      <c r="B1662" s="11" t="s">
        <v>3812</v>
      </c>
      <c r="C1662" s="11" t="s">
        <v>101</v>
      </c>
      <c r="D1662" s="11" t="s">
        <v>43</v>
      </c>
      <c r="E1662" s="12" t="s">
        <v>592</v>
      </c>
      <c r="F1662" s="12" t="s">
        <v>593</v>
      </c>
      <c r="G1662" s="12" t="s">
        <v>46</v>
      </c>
      <c r="H1662" s="11" t="s">
        <v>63</v>
      </c>
      <c r="I1662" s="13" t="s">
        <v>3827</v>
      </c>
      <c r="J1662" s="14" t="str">
        <f>HYPERLINK("https://www.boe.es/gazeta/dias/1839/09/14/pdfs/GMD-1839-1767.pdf#page=3","Abrir facsímil")</f>
        <v>Abrir facsímil</v>
      </c>
      <c r="K1662" s="12" t="s">
        <v>65</v>
      </c>
    </row>
    <row r="1663" spans="1:11" ht="40.049999999999997" customHeight="1" x14ac:dyDescent="0.25">
      <c r="A1663" s="11" t="s">
        <v>3814</v>
      </c>
      <c r="B1663" s="11" t="s">
        <v>3814</v>
      </c>
      <c r="C1663" s="11" t="s">
        <v>17</v>
      </c>
      <c r="D1663" s="11" t="s">
        <v>18</v>
      </c>
      <c r="E1663" s="12" t="s">
        <v>2650</v>
      </c>
      <c r="F1663" s="12" t="s">
        <v>2651</v>
      </c>
      <c r="G1663" s="12" t="s">
        <v>29</v>
      </c>
      <c r="H1663" s="11" t="s">
        <v>22</v>
      </c>
      <c r="I1663" s="13" t="s">
        <v>3828</v>
      </c>
      <c r="J1663" s="14" t="str">
        <f>HYPERLINK("https://www.boe.es/gazeta/dias/1839/09/15/pdfs/GMD-1839-1768.pdf#page=1","Abrir facsímil")</f>
        <v>Abrir facsímil</v>
      </c>
      <c r="K1663" s="12" t="s">
        <v>24</v>
      </c>
    </row>
    <row r="1664" spans="1:11" ht="40.049999999999997" customHeight="1" x14ac:dyDescent="0.25">
      <c r="A1664" s="11" t="s">
        <v>3812</v>
      </c>
      <c r="B1664" s="11" t="s">
        <v>3812</v>
      </c>
      <c r="C1664" s="11" t="s">
        <v>17</v>
      </c>
      <c r="D1664" s="11" t="s">
        <v>18</v>
      </c>
      <c r="E1664" s="12" t="s">
        <v>230</v>
      </c>
      <c r="F1664" s="12" t="s">
        <v>231</v>
      </c>
      <c r="G1664" s="12" t="s">
        <v>29</v>
      </c>
      <c r="H1664" s="11" t="s">
        <v>63</v>
      </c>
      <c r="I1664" s="13" t="s">
        <v>3829</v>
      </c>
      <c r="J1664" s="14" t="str">
        <f>HYPERLINK("https://www.boe.es/gazeta/dias/1839/09/16/pdfs/GMD-1839-1769.pdf#page=1","Abrir facsímil")</f>
        <v>Abrir facsímil</v>
      </c>
      <c r="K1664" s="12" t="s">
        <v>65</v>
      </c>
    </row>
    <row r="1665" spans="1:11" ht="40.049999999999997" customHeight="1" x14ac:dyDescent="0.25">
      <c r="A1665" s="11" t="s">
        <v>3814</v>
      </c>
      <c r="B1665" s="11" t="s">
        <v>3814</v>
      </c>
      <c r="C1665" s="11" t="s">
        <v>17</v>
      </c>
      <c r="D1665" s="11" t="s">
        <v>18</v>
      </c>
      <c r="E1665" s="12" t="s">
        <v>230</v>
      </c>
      <c r="F1665" s="12" t="s">
        <v>231</v>
      </c>
      <c r="G1665" s="12" t="s">
        <v>40</v>
      </c>
      <c r="H1665" s="11" t="s">
        <v>22</v>
      </c>
      <c r="I1665" s="13" t="s">
        <v>3830</v>
      </c>
      <c r="J1665" s="14" t="str">
        <f>HYPERLINK("https://www.boe.es/gazeta/dias/1839/09/16/pdfs/GMD-1839-1769.pdf#page=2","Abrir facsímil")</f>
        <v>Abrir facsímil</v>
      </c>
      <c r="K1665" s="12" t="s">
        <v>24</v>
      </c>
    </row>
    <row r="1666" spans="1:11" ht="40.049999999999997" customHeight="1" x14ac:dyDescent="0.25">
      <c r="A1666" s="11" t="s">
        <v>3812</v>
      </c>
      <c r="B1666" s="11" t="s">
        <v>3812</v>
      </c>
      <c r="C1666" s="11" t="s">
        <v>17</v>
      </c>
      <c r="D1666" s="11" t="s">
        <v>18</v>
      </c>
      <c r="E1666" s="12" t="s">
        <v>1236</v>
      </c>
      <c r="F1666" s="12" t="s">
        <v>1237</v>
      </c>
      <c r="G1666" s="12" t="s">
        <v>40</v>
      </c>
      <c r="H1666" s="11" t="s">
        <v>63</v>
      </c>
      <c r="I1666" s="13" t="s">
        <v>3831</v>
      </c>
      <c r="J1666" s="14" t="str">
        <f>HYPERLINK("https://www.boe.es/gazeta/dias/1839/10/16/pdfs/GMD-1839-1802.pdf#page=2","Abrir facsímil")</f>
        <v>Abrir facsímil</v>
      </c>
      <c r="K1666" s="12" t="s">
        <v>65</v>
      </c>
    </row>
    <row r="1667" spans="1:11" ht="40.049999999999997" customHeight="1" x14ac:dyDescent="0.25">
      <c r="A1667" s="11" t="s">
        <v>3814</v>
      </c>
      <c r="B1667" s="11" t="s">
        <v>3814</v>
      </c>
      <c r="C1667" s="11" t="s">
        <v>17</v>
      </c>
      <c r="D1667" s="11" t="s">
        <v>18</v>
      </c>
      <c r="E1667" s="12" t="s">
        <v>1236</v>
      </c>
      <c r="F1667" s="12" t="s">
        <v>1237</v>
      </c>
      <c r="G1667" s="12" t="s">
        <v>46</v>
      </c>
      <c r="H1667" s="11" t="s">
        <v>22</v>
      </c>
      <c r="I1667" s="13" t="s">
        <v>3832</v>
      </c>
      <c r="J1667" s="14" t="str">
        <f>HYPERLINK("https://www.boe.es/gazeta/dias/1839/10/16/pdfs/GMD-1839-1802.pdf#page=3","Abrir facsímil")</f>
        <v>Abrir facsímil</v>
      </c>
      <c r="K1667" s="12" t="s">
        <v>24</v>
      </c>
    </row>
    <row r="1668" spans="1:11" ht="40.049999999999997" customHeight="1" x14ac:dyDescent="0.25">
      <c r="A1668" s="11" t="s">
        <v>3814</v>
      </c>
      <c r="B1668" s="11" t="s">
        <v>3814</v>
      </c>
      <c r="C1668" s="11" t="s">
        <v>17</v>
      </c>
      <c r="D1668" s="11" t="s">
        <v>18</v>
      </c>
      <c r="E1668" s="12" t="s">
        <v>233</v>
      </c>
      <c r="F1668" s="12" t="s">
        <v>234</v>
      </c>
      <c r="G1668" s="12" t="s">
        <v>21</v>
      </c>
      <c r="H1668" s="11" t="s">
        <v>22</v>
      </c>
      <c r="I1668" s="13" t="s">
        <v>3833</v>
      </c>
      <c r="J1668" s="14" t="str">
        <f>HYPERLINK("https://www.boe.es/gazeta/dias/1839/09/17/pdfs/GMD-1839-1770.pdf#page=4","Abrir facsímil")</f>
        <v>Abrir facsímil</v>
      </c>
      <c r="K1668" s="12" t="s">
        <v>24</v>
      </c>
    </row>
    <row r="1669" spans="1:11" ht="40.049999999999997" customHeight="1" x14ac:dyDescent="0.25">
      <c r="A1669" s="11" t="s">
        <v>3812</v>
      </c>
      <c r="B1669" s="11" t="s">
        <v>3812</v>
      </c>
      <c r="C1669" s="11" t="s">
        <v>17</v>
      </c>
      <c r="D1669" s="11" t="s">
        <v>18</v>
      </c>
      <c r="E1669" s="12" t="s">
        <v>2222</v>
      </c>
      <c r="F1669" s="12" t="s">
        <v>2223</v>
      </c>
      <c r="G1669" s="12" t="s">
        <v>46</v>
      </c>
      <c r="H1669" s="11" t="s">
        <v>63</v>
      </c>
      <c r="I1669" s="13" t="s">
        <v>3834</v>
      </c>
      <c r="J1669" s="14" t="str">
        <f>HYPERLINK("https://www.boe.es/gazeta/dias/1839/09/19/pdfs/GMD-1839-1773.pdf#page=3","Abrir facsímil")</f>
        <v>Abrir facsímil</v>
      </c>
      <c r="K1669" s="12" t="s">
        <v>65</v>
      </c>
    </row>
    <row r="1670" spans="1:11" ht="40.049999999999997" customHeight="1" x14ac:dyDescent="0.25">
      <c r="A1670" s="11" t="s">
        <v>3814</v>
      </c>
      <c r="B1670" s="11" t="s">
        <v>3814</v>
      </c>
      <c r="C1670" s="11" t="s">
        <v>101</v>
      </c>
      <c r="D1670" s="11" t="s">
        <v>43</v>
      </c>
      <c r="E1670" s="12" t="s">
        <v>1076</v>
      </c>
      <c r="F1670" s="12" t="s">
        <v>1077</v>
      </c>
      <c r="G1670" s="12" t="s">
        <v>21</v>
      </c>
      <c r="H1670" s="11" t="s">
        <v>22</v>
      </c>
      <c r="I1670" s="13" t="s">
        <v>3835</v>
      </c>
      <c r="J1670" s="14" t="str">
        <f>HYPERLINK("https://www.boe.es/gazeta/dias/1839/10/19/pdfs/GMD-1839-1805.pdf#page=4","Abrir facsímil")</f>
        <v>Abrir facsímil</v>
      </c>
      <c r="K1670" s="12" t="s">
        <v>24</v>
      </c>
    </row>
    <row r="1671" spans="1:11" ht="40.049999999999997" customHeight="1" x14ac:dyDescent="0.25">
      <c r="A1671" s="11" t="s">
        <v>3814</v>
      </c>
      <c r="B1671" s="11" t="s">
        <v>3814</v>
      </c>
      <c r="C1671" s="11" t="s">
        <v>101</v>
      </c>
      <c r="D1671" s="11" t="s">
        <v>43</v>
      </c>
      <c r="E1671" s="12" t="s">
        <v>1108</v>
      </c>
      <c r="F1671" s="12" t="s">
        <v>1109</v>
      </c>
      <c r="G1671" s="12" t="s">
        <v>46</v>
      </c>
      <c r="H1671" s="11" t="s">
        <v>22</v>
      </c>
      <c r="I1671" s="13" t="s">
        <v>3836</v>
      </c>
      <c r="J1671" s="14" t="str">
        <f>HYPERLINK("https://www.boe.es/gazeta/dias/1839/09/21/pdfs/GMD-1839-1776.pdf#page=3","Abrir facsímil")</f>
        <v>Abrir facsímil</v>
      </c>
      <c r="K1671" s="12" t="s">
        <v>24</v>
      </c>
    </row>
    <row r="1672" spans="1:11" ht="40.049999999999997" customHeight="1" x14ac:dyDescent="0.25">
      <c r="A1672" s="11" t="s">
        <v>3812</v>
      </c>
      <c r="B1672" s="11" t="s">
        <v>3812</v>
      </c>
      <c r="C1672" s="11" t="s">
        <v>17</v>
      </c>
      <c r="D1672" s="11" t="s">
        <v>18</v>
      </c>
      <c r="E1672" s="12" t="s">
        <v>596</v>
      </c>
      <c r="F1672" s="12" t="s">
        <v>597</v>
      </c>
      <c r="G1672" s="12" t="s">
        <v>21</v>
      </c>
      <c r="H1672" s="11" t="s">
        <v>63</v>
      </c>
      <c r="I1672" s="13" t="s">
        <v>3837</v>
      </c>
      <c r="J1672" s="14" t="str">
        <f>HYPERLINK("https://www.boe.es/gazeta/dias/1839/01/23/pdfs/GMD-1839-1530.pdf#page=4","Abrir facsímil")</f>
        <v>Abrir facsímil</v>
      </c>
      <c r="K1672" s="12" t="s">
        <v>65</v>
      </c>
    </row>
    <row r="1673" spans="1:11" ht="40.049999999999997" customHeight="1" x14ac:dyDescent="0.25">
      <c r="A1673" s="11" t="s">
        <v>3814</v>
      </c>
      <c r="B1673" s="11" t="s">
        <v>3814</v>
      </c>
      <c r="C1673" s="11" t="s">
        <v>80</v>
      </c>
      <c r="D1673" s="11" t="s">
        <v>18</v>
      </c>
      <c r="E1673" s="12" t="s">
        <v>568</v>
      </c>
      <c r="F1673" s="12" t="s">
        <v>569</v>
      </c>
      <c r="G1673" s="12" t="s">
        <v>21</v>
      </c>
      <c r="H1673" s="11" t="s">
        <v>22</v>
      </c>
      <c r="I1673" s="13" t="s">
        <v>3838</v>
      </c>
      <c r="J1673" s="14" t="str">
        <f>HYPERLINK("https://www.boe.es/gazeta/dias/1839/10/23/pdfs/GMD-1839-1809.pdf#page=4","Abrir facsímil")</f>
        <v>Abrir facsímil</v>
      </c>
      <c r="K1673" s="12" t="s">
        <v>24</v>
      </c>
    </row>
    <row r="1674" spans="1:11" ht="40.049999999999997" customHeight="1" x14ac:dyDescent="0.25">
      <c r="A1674" s="11" t="s">
        <v>3814</v>
      </c>
      <c r="B1674" s="11" t="s">
        <v>3814</v>
      </c>
      <c r="C1674" s="11" t="s">
        <v>101</v>
      </c>
      <c r="D1674" s="11" t="s">
        <v>43</v>
      </c>
      <c r="E1674" s="12" t="s">
        <v>723</v>
      </c>
      <c r="F1674" s="12" t="s">
        <v>724</v>
      </c>
      <c r="G1674" s="12" t="s">
        <v>40</v>
      </c>
      <c r="H1674" s="11" t="s">
        <v>22</v>
      </c>
      <c r="I1674" s="13" t="s">
        <v>3839</v>
      </c>
      <c r="J1674" s="14" t="str">
        <f>HYPERLINK("https://www.boe.es/gazeta/dias/1839/09/26/pdfs/GMD-1839-1782.pdf#page=2","Abrir facsímil")</f>
        <v>Abrir facsímil</v>
      </c>
      <c r="K1674" s="12" t="s">
        <v>24</v>
      </c>
    </row>
    <row r="1675" spans="1:11" ht="40.049999999999997" customHeight="1" x14ac:dyDescent="0.25">
      <c r="A1675" s="11" t="s">
        <v>3814</v>
      </c>
      <c r="B1675" s="11" t="s">
        <v>3814</v>
      </c>
      <c r="C1675" s="11" t="s">
        <v>17</v>
      </c>
      <c r="D1675" s="11" t="s">
        <v>18</v>
      </c>
      <c r="E1675" s="12" t="s">
        <v>723</v>
      </c>
      <c r="F1675" s="12" t="s">
        <v>724</v>
      </c>
      <c r="G1675" s="12" t="s">
        <v>46</v>
      </c>
      <c r="H1675" s="11" t="s">
        <v>22</v>
      </c>
      <c r="I1675" s="13" t="s">
        <v>3840</v>
      </c>
      <c r="J1675" s="14" t="str">
        <f>HYPERLINK("https://www.boe.es/gazeta/dias/1839/09/26/pdfs/GMD-1839-1782.pdf#page=3","Abrir facsímil")</f>
        <v>Abrir facsímil</v>
      </c>
      <c r="K1675" s="12" t="s">
        <v>24</v>
      </c>
    </row>
    <row r="1676" spans="1:11" ht="40.049999999999997" customHeight="1" x14ac:dyDescent="0.25">
      <c r="A1676" s="11" t="s">
        <v>3814</v>
      </c>
      <c r="B1676" s="11" t="s">
        <v>3814</v>
      </c>
      <c r="C1676" s="11" t="s">
        <v>17</v>
      </c>
      <c r="D1676" s="11" t="s">
        <v>18</v>
      </c>
      <c r="E1676" s="12" t="s">
        <v>574</v>
      </c>
      <c r="F1676" s="12" t="s">
        <v>575</v>
      </c>
      <c r="G1676" s="12" t="s">
        <v>40</v>
      </c>
      <c r="H1676" s="11" t="s">
        <v>22</v>
      </c>
      <c r="I1676" s="13" t="s">
        <v>3841</v>
      </c>
      <c r="J1676" s="14" t="str">
        <f>HYPERLINK("https://www.boe.es/gazeta/dias/1839/09/28/pdfs/GMD-1839-1784.pdf#page=2","Abrir facsímil")</f>
        <v>Abrir facsímil</v>
      </c>
      <c r="K1676" s="12" t="s">
        <v>24</v>
      </c>
    </row>
    <row r="1677" spans="1:11" ht="40.049999999999997" customHeight="1" x14ac:dyDescent="0.25">
      <c r="A1677" s="11" t="s">
        <v>3814</v>
      </c>
      <c r="B1677" s="11" t="s">
        <v>3814</v>
      </c>
      <c r="C1677" s="11" t="s">
        <v>101</v>
      </c>
      <c r="D1677" s="11" t="s">
        <v>43</v>
      </c>
      <c r="E1677" s="12" t="s">
        <v>862</v>
      </c>
      <c r="F1677" s="12" t="s">
        <v>863</v>
      </c>
      <c r="G1677" s="12" t="s">
        <v>40</v>
      </c>
      <c r="H1677" s="11" t="s">
        <v>22</v>
      </c>
      <c r="I1677" s="13" t="s">
        <v>3842</v>
      </c>
      <c r="J1677" s="14" t="str">
        <f>HYPERLINK("https://www.boe.es/gazeta/dias/1839/10/28/pdfs/GMD-1839-1814.pdf#page=2","Abrir facsímil")</f>
        <v>Abrir facsímil</v>
      </c>
      <c r="K1677" s="12" t="s">
        <v>24</v>
      </c>
    </row>
    <row r="1678" spans="1:11" ht="40.049999999999997" customHeight="1" x14ac:dyDescent="0.25">
      <c r="A1678" s="11" t="s">
        <v>3812</v>
      </c>
      <c r="B1678" s="11" t="s">
        <v>3812</v>
      </c>
      <c r="C1678" s="11" t="s">
        <v>137</v>
      </c>
      <c r="D1678" s="11" t="s">
        <v>18</v>
      </c>
      <c r="E1678" s="12" t="s">
        <v>862</v>
      </c>
      <c r="F1678" s="12" t="s">
        <v>863</v>
      </c>
      <c r="G1678" s="12" t="s">
        <v>46</v>
      </c>
      <c r="H1678" s="11" t="s">
        <v>63</v>
      </c>
      <c r="I1678" s="13" t="s">
        <v>3843</v>
      </c>
      <c r="J1678" s="14" t="str">
        <f>HYPERLINK("https://www.boe.es/gazeta/dias/1839/10/28/pdfs/GMD-1839-1814.pdf#page=3","Abrir facsímil")</f>
        <v>Abrir facsímil</v>
      </c>
      <c r="K1678" s="12" t="s">
        <v>65</v>
      </c>
    </row>
    <row r="1679" spans="1:11" ht="40.049999999999997" customHeight="1" x14ac:dyDescent="0.25">
      <c r="A1679" s="11" t="s">
        <v>3812</v>
      </c>
      <c r="B1679" s="11" t="s">
        <v>3812</v>
      </c>
      <c r="C1679" s="11" t="s">
        <v>17</v>
      </c>
      <c r="D1679" s="11" t="s">
        <v>18</v>
      </c>
      <c r="E1679" s="12" t="s">
        <v>862</v>
      </c>
      <c r="F1679" s="12" t="s">
        <v>863</v>
      </c>
      <c r="G1679" s="12" t="s">
        <v>21</v>
      </c>
      <c r="H1679" s="11" t="s">
        <v>63</v>
      </c>
      <c r="I1679" s="13" t="s">
        <v>3844</v>
      </c>
      <c r="J1679" s="14" t="str">
        <f>HYPERLINK("https://www.boe.es/gazeta/dias/1839/10/28/pdfs/GMD-1839-1814.pdf#page=4","Abrir facsímil")</f>
        <v>Abrir facsímil</v>
      </c>
      <c r="K1679" s="12" t="s">
        <v>65</v>
      </c>
    </row>
    <row r="1680" spans="1:11" ht="40.049999999999997" customHeight="1" x14ac:dyDescent="0.25">
      <c r="A1680" s="11" t="s">
        <v>3814</v>
      </c>
      <c r="B1680" s="11" t="s">
        <v>3814</v>
      </c>
      <c r="C1680" s="11" t="s">
        <v>17</v>
      </c>
      <c r="D1680" s="11" t="s">
        <v>18</v>
      </c>
      <c r="E1680" s="12" t="s">
        <v>862</v>
      </c>
      <c r="F1680" s="12" t="s">
        <v>863</v>
      </c>
      <c r="G1680" s="12" t="s">
        <v>566</v>
      </c>
      <c r="H1680" s="11" t="s">
        <v>22</v>
      </c>
      <c r="I1680" s="13" t="s">
        <v>3845</v>
      </c>
      <c r="J1680" s="14" t="str">
        <f>HYPERLINK("https://www.boe.es/gazeta/dias/1839/10/28/pdfs/GMD-1839-1814.pdf#page=5","Abrir facsímil")</f>
        <v>Abrir facsímil</v>
      </c>
      <c r="K1680" s="12" t="s">
        <v>24</v>
      </c>
    </row>
    <row r="1681" spans="1:11" ht="40.049999999999997" customHeight="1" x14ac:dyDescent="0.25">
      <c r="A1681" s="11" t="s">
        <v>3812</v>
      </c>
      <c r="B1681" s="11" t="s">
        <v>3812</v>
      </c>
      <c r="C1681" s="11" t="s">
        <v>17</v>
      </c>
      <c r="D1681" s="11" t="s">
        <v>18</v>
      </c>
      <c r="E1681" s="12" t="s">
        <v>1988</v>
      </c>
      <c r="F1681" s="12" t="s">
        <v>1989</v>
      </c>
      <c r="G1681" s="12" t="s">
        <v>46</v>
      </c>
      <c r="H1681" s="11" t="s">
        <v>63</v>
      </c>
      <c r="I1681" s="13" t="s">
        <v>3846</v>
      </c>
      <c r="J1681" s="14" t="str">
        <f>HYPERLINK("https://www.boe.es/gazeta/dias/1839/10/29/pdfs/GMD-1839-1815.pdf#page=3","Abrir facsímil")</f>
        <v>Abrir facsímil</v>
      </c>
      <c r="K1681" s="12" t="s">
        <v>65</v>
      </c>
    </row>
    <row r="1682" spans="1:11" ht="40.049999999999997" customHeight="1" x14ac:dyDescent="0.25">
      <c r="A1682" s="11" t="s">
        <v>3847</v>
      </c>
      <c r="B1682" s="11" t="s">
        <v>3848</v>
      </c>
      <c r="C1682" s="11" t="s">
        <v>17</v>
      </c>
      <c r="D1682" s="11" t="s">
        <v>18</v>
      </c>
      <c r="E1682" s="12" t="s">
        <v>592</v>
      </c>
      <c r="F1682" s="12" t="s">
        <v>593</v>
      </c>
      <c r="G1682" s="12" t="s">
        <v>29</v>
      </c>
      <c r="H1682" s="11" t="s">
        <v>63</v>
      </c>
      <c r="I1682" s="13" t="s">
        <v>3849</v>
      </c>
      <c r="J1682" s="14" t="str">
        <f>HYPERLINK("https://www.boe.es/gazeta/dias/1839/09/14/pdfs/GMD-1839-1767.pdf#page=1","Abrir facsímil")</f>
        <v>Abrir facsímil</v>
      </c>
      <c r="K1682" s="12" t="s">
        <v>65</v>
      </c>
    </row>
    <row r="1683" spans="1:11" ht="40.049999999999997" customHeight="1" x14ac:dyDescent="0.25">
      <c r="A1683" s="11" t="s">
        <v>3850</v>
      </c>
      <c r="B1683" s="11" t="s">
        <v>3851</v>
      </c>
      <c r="C1683" s="11" t="s">
        <v>17</v>
      </c>
      <c r="D1683" s="11" t="s">
        <v>18</v>
      </c>
      <c r="E1683" s="12" t="s">
        <v>1072</v>
      </c>
      <c r="F1683" s="12" t="s">
        <v>1073</v>
      </c>
      <c r="G1683" s="12" t="s">
        <v>46</v>
      </c>
      <c r="H1683" s="11" t="s">
        <v>63</v>
      </c>
      <c r="I1683" s="13" t="s">
        <v>3852</v>
      </c>
      <c r="J1683" s="14" t="str">
        <f>HYPERLINK("https://www.boe.es/gazeta/dias/1839/01/18/pdfs/GMD-1839-1525.pdf#page=3","Abrir facsímil")</f>
        <v>Abrir facsímil</v>
      </c>
      <c r="K1683" s="12" t="s">
        <v>65</v>
      </c>
    </row>
    <row r="1684" spans="1:11" ht="40.049999999999997" customHeight="1" x14ac:dyDescent="0.25">
      <c r="A1684" s="11" t="s">
        <v>3853</v>
      </c>
      <c r="B1684" s="11" t="s">
        <v>3854</v>
      </c>
      <c r="C1684" s="11" t="s">
        <v>17</v>
      </c>
      <c r="D1684" s="11" t="s">
        <v>18</v>
      </c>
      <c r="E1684" s="12" t="s">
        <v>44</v>
      </c>
      <c r="F1684" s="12" t="s">
        <v>45</v>
      </c>
      <c r="G1684" s="12" t="s">
        <v>46</v>
      </c>
      <c r="H1684" s="11" t="s">
        <v>63</v>
      </c>
      <c r="I1684" s="13" t="s">
        <v>3855</v>
      </c>
      <c r="J1684" s="14" t="str">
        <f>HYPERLINK("https://www.boe.es/gazeta/dias/1839/11/15/pdfs/GMD-1839-1832.pdf#page=3","Abrir facsímil")</f>
        <v>Abrir facsímil</v>
      </c>
      <c r="K1684" s="12" t="s">
        <v>65</v>
      </c>
    </row>
    <row r="1685" spans="1:11" ht="40.049999999999997" customHeight="1" x14ac:dyDescent="0.25">
      <c r="A1685" s="11" t="s">
        <v>3856</v>
      </c>
      <c r="B1685" s="11" t="s">
        <v>3857</v>
      </c>
      <c r="C1685" s="11" t="s">
        <v>17</v>
      </c>
      <c r="D1685" s="11" t="s">
        <v>18</v>
      </c>
      <c r="E1685" s="12" t="s">
        <v>19</v>
      </c>
      <c r="F1685" s="12" t="s">
        <v>20</v>
      </c>
      <c r="G1685" s="12" t="s">
        <v>29</v>
      </c>
      <c r="H1685" s="11" t="s">
        <v>63</v>
      </c>
      <c r="I1685" s="13" t="s">
        <v>3858</v>
      </c>
      <c r="J1685" s="14" t="str">
        <f>HYPERLINK("https://www.boe.es/gazeta/dias/1839/01/19/pdfs/GMD-1839-1526.pdf#page=1","Abrir facsímil")</f>
        <v>Abrir facsímil</v>
      </c>
      <c r="K1685" s="12" t="s">
        <v>65</v>
      </c>
    </row>
    <row r="1686" spans="1:11" ht="40.049999999999997" customHeight="1" x14ac:dyDescent="0.25">
      <c r="A1686" s="11" t="s">
        <v>3859</v>
      </c>
      <c r="B1686" s="11" t="s">
        <v>3860</v>
      </c>
      <c r="C1686" s="11" t="s">
        <v>80</v>
      </c>
      <c r="D1686" s="11" t="s">
        <v>18</v>
      </c>
      <c r="E1686" s="12" t="s">
        <v>2650</v>
      </c>
      <c r="F1686" s="12" t="s">
        <v>2651</v>
      </c>
      <c r="G1686" s="12" t="s">
        <v>21</v>
      </c>
      <c r="H1686" s="11" t="s">
        <v>63</v>
      </c>
      <c r="I1686" s="13" t="s">
        <v>3861</v>
      </c>
      <c r="J1686" s="14" t="str">
        <f>HYPERLINK("https://www.boe.es/gazeta/dias/1839/09/15/pdfs/GMD-1839-1768.pdf#page=4","Abrir facsímil")</f>
        <v>Abrir facsímil</v>
      </c>
      <c r="K1686" s="12" t="s">
        <v>65</v>
      </c>
    </row>
    <row r="1687" spans="1:11" ht="40.049999999999997" customHeight="1" x14ac:dyDescent="0.25">
      <c r="A1687" s="11" t="s">
        <v>3862</v>
      </c>
      <c r="B1687" s="11" t="s">
        <v>3863</v>
      </c>
      <c r="C1687" s="11" t="s">
        <v>17</v>
      </c>
      <c r="D1687" s="11" t="s">
        <v>18</v>
      </c>
      <c r="E1687" s="12" t="s">
        <v>592</v>
      </c>
      <c r="F1687" s="12" t="s">
        <v>593</v>
      </c>
      <c r="G1687" s="12" t="s">
        <v>40</v>
      </c>
      <c r="H1687" s="11" t="s">
        <v>63</v>
      </c>
      <c r="I1687" s="13" t="s">
        <v>3864</v>
      </c>
      <c r="J1687" s="14" t="str">
        <f>HYPERLINK("https://www.boe.es/gazeta/dias/1839/09/14/pdfs/GMD-1839-1767.pdf#page=2","Abrir facsímil")</f>
        <v>Abrir facsímil</v>
      </c>
      <c r="K1687" s="12" t="s">
        <v>65</v>
      </c>
    </row>
    <row r="1688" spans="1:11" ht="40.049999999999997" customHeight="1" x14ac:dyDescent="0.25">
      <c r="A1688" s="11" t="s">
        <v>3862</v>
      </c>
      <c r="B1688" s="11" t="s">
        <v>3863</v>
      </c>
      <c r="C1688" s="11" t="s">
        <v>17</v>
      </c>
      <c r="D1688" s="11" t="s">
        <v>18</v>
      </c>
      <c r="E1688" s="12" t="s">
        <v>230</v>
      </c>
      <c r="F1688" s="12" t="s">
        <v>231</v>
      </c>
      <c r="G1688" s="12" t="s">
        <v>29</v>
      </c>
      <c r="H1688" s="11" t="s">
        <v>63</v>
      </c>
      <c r="I1688" s="13" t="s">
        <v>3865</v>
      </c>
      <c r="J1688" s="14" t="str">
        <f>HYPERLINK("https://www.boe.es/gazeta/dias/1839/09/16/pdfs/GMD-1839-1769.pdf#page=1","Abrir facsímil")</f>
        <v>Abrir facsímil</v>
      </c>
      <c r="K1688" s="12" t="s">
        <v>65</v>
      </c>
    </row>
    <row r="1689" spans="1:11" ht="40.049999999999997" customHeight="1" x14ac:dyDescent="0.25">
      <c r="A1689" s="11" t="s">
        <v>3866</v>
      </c>
      <c r="B1689" s="11" t="s">
        <v>3867</v>
      </c>
      <c r="C1689" s="11" t="s">
        <v>17</v>
      </c>
      <c r="D1689" s="11" t="s">
        <v>18</v>
      </c>
      <c r="E1689" s="12" t="s">
        <v>723</v>
      </c>
      <c r="F1689" s="12" t="s">
        <v>724</v>
      </c>
      <c r="G1689" s="12" t="s">
        <v>46</v>
      </c>
      <c r="H1689" s="11" t="s">
        <v>63</v>
      </c>
      <c r="I1689" s="13" t="s">
        <v>3868</v>
      </c>
      <c r="J1689" s="14" t="str">
        <f>HYPERLINK("https://www.boe.es/gazeta/dias/1839/09/26/pdfs/GMD-1839-1782.pdf#page=3","Abrir facsímil")</f>
        <v>Abrir facsímil</v>
      </c>
      <c r="K1689" s="12" t="s">
        <v>65</v>
      </c>
    </row>
    <row r="1690" spans="1:11" ht="40.049999999999997" customHeight="1" x14ac:dyDescent="0.25">
      <c r="A1690" s="11" t="s">
        <v>3862</v>
      </c>
      <c r="B1690" s="11" t="s">
        <v>3863</v>
      </c>
      <c r="C1690" s="11" t="s">
        <v>101</v>
      </c>
      <c r="D1690" s="11" t="s">
        <v>43</v>
      </c>
      <c r="E1690" s="12" t="s">
        <v>862</v>
      </c>
      <c r="F1690" s="12" t="s">
        <v>863</v>
      </c>
      <c r="G1690" s="12" t="s">
        <v>566</v>
      </c>
      <c r="H1690" s="11" t="s">
        <v>63</v>
      </c>
      <c r="I1690" s="13" t="s">
        <v>3869</v>
      </c>
      <c r="J1690" s="14" t="str">
        <f>HYPERLINK("https://www.boe.es/gazeta/dias/1839/10/28/pdfs/GMD-1839-1814.pdf#page=5","Abrir facsímil")</f>
        <v>Abrir facsímil</v>
      </c>
      <c r="K1690" s="12" t="s">
        <v>65</v>
      </c>
    </row>
    <row r="1691" spans="1:11" ht="40.049999999999997" customHeight="1" x14ac:dyDescent="0.25">
      <c r="A1691" s="11" t="s">
        <v>3870</v>
      </c>
      <c r="B1691" s="11" t="s">
        <v>3871</v>
      </c>
      <c r="C1691" s="11" t="s">
        <v>17</v>
      </c>
      <c r="D1691" s="11" t="s">
        <v>18</v>
      </c>
      <c r="E1691" s="12" t="s">
        <v>779</v>
      </c>
      <c r="F1691" s="12" t="s">
        <v>780</v>
      </c>
      <c r="G1691" s="12" t="s">
        <v>40</v>
      </c>
      <c r="H1691" s="11" t="s">
        <v>63</v>
      </c>
      <c r="I1691" s="13" t="s">
        <v>3872</v>
      </c>
      <c r="J1691" s="14" t="str">
        <f>HYPERLINK("https://www.boe.es/gazeta/dias/1839/02/03/pdfs/GMD-1839-1541.pdf#page=2","Abrir facsímil")</f>
        <v>Abrir facsímil</v>
      </c>
      <c r="K1691" s="12" t="s">
        <v>65</v>
      </c>
    </row>
    <row r="1692" spans="1:11" ht="40.049999999999997" customHeight="1" x14ac:dyDescent="0.25">
      <c r="A1692" s="11" t="s">
        <v>3873</v>
      </c>
      <c r="B1692" s="11" t="s">
        <v>3873</v>
      </c>
      <c r="C1692" s="11" t="s">
        <v>17</v>
      </c>
      <c r="D1692" s="11" t="s">
        <v>18</v>
      </c>
      <c r="E1692" s="12" t="s">
        <v>1813</v>
      </c>
      <c r="F1692" s="12" t="s">
        <v>1814</v>
      </c>
      <c r="G1692" s="12" t="s">
        <v>46</v>
      </c>
      <c r="H1692" s="11" t="s">
        <v>63</v>
      </c>
      <c r="I1692" s="13" t="s">
        <v>3874</v>
      </c>
      <c r="J1692" s="14" t="str">
        <f>HYPERLINK("https://www.boe.es/gazeta/dias/1839/09/02/pdfs/GMD-1839-1754.pdf#page=3","Abrir facsímil")</f>
        <v>Abrir facsímil</v>
      </c>
      <c r="K1692" s="12" t="s">
        <v>65</v>
      </c>
    </row>
    <row r="1693" spans="1:11" ht="40.049999999999997" customHeight="1" x14ac:dyDescent="0.25">
      <c r="A1693" s="11" t="s">
        <v>3873</v>
      </c>
      <c r="B1693" s="11" t="s">
        <v>3873</v>
      </c>
      <c r="C1693" s="11" t="s">
        <v>80</v>
      </c>
      <c r="D1693" s="11" t="s">
        <v>18</v>
      </c>
      <c r="E1693" s="12" t="s">
        <v>1813</v>
      </c>
      <c r="F1693" s="12" t="s">
        <v>1814</v>
      </c>
      <c r="G1693" s="12" t="s">
        <v>21</v>
      </c>
      <c r="H1693" s="11" t="s">
        <v>63</v>
      </c>
      <c r="I1693" s="13" t="s">
        <v>3875</v>
      </c>
      <c r="J1693" s="14" t="str">
        <f>HYPERLINK("https://www.boe.es/gazeta/dias/1839/09/02/pdfs/GMD-1839-1754.pdf#page=4","Abrir facsímil")</f>
        <v>Abrir facsímil</v>
      </c>
      <c r="K1693" s="12" t="s">
        <v>65</v>
      </c>
    </row>
    <row r="1694" spans="1:11" ht="40.049999999999997" customHeight="1" x14ac:dyDescent="0.25">
      <c r="A1694" s="11" t="s">
        <v>3876</v>
      </c>
      <c r="B1694" s="11" t="s">
        <v>3877</v>
      </c>
      <c r="C1694" s="11" t="s">
        <v>17</v>
      </c>
      <c r="D1694" s="11" t="s">
        <v>18</v>
      </c>
      <c r="E1694" s="12" t="s">
        <v>360</v>
      </c>
      <c r="F1694" s="12" t="s">
        <v>361</v>
      </c>
      <c r="G1694" s="12" t="s">
        <v>21</v>
      </c>
      <c r="H1694" s="11" t="s">
        <v>63</v>
      </c>
      <c r="I1694" s="13" t="s">
        <v>3878</v>
      </c>
      <c r="J1694" s="14" t="str">
        <f>HYPERLINK("https://www.boe.es/gazeta/dias/1839/08/22/pdfs/GMD-1839-1743.pdf#page=4","Abrir facsímil")</f>
        <v>Abrir facsímil</v>
      </c>
      <c r="K1694" s="12" t="s">
        <v>65</v>
      </c>
    </row>
    <row r="1695" spans="1:11" ht="40.049999999999997" customHeight="1" x14ac:dyDescent="0.25">
      <c r="A1695" s="11" t="s">
        <v>3879</v>
      </c>
      <c r="B1695" s="11" t="s">
        <v>3879</v>
      </c>
      <c r="C1695" s="11" t="s">
        <v>80</v>
      </c>
      <c r="D1695" s="11" t="s">
        <v>18</v>
      </c>
      <c r="E1695" s="12" t="s">
        <v>1008</v>
      </c>
      <c r="F1695" s="12" t="s">
        <v>1009</v>
      </c>
      <c r="G1695" s="12" t="s">
        <v>29</v>
      </c>
      <c r="H1695" s="11" t="s">
        <v>63</v>
      </c>
      <c r="I1695" s="13" t="s">
        <v>3880</v>
      </c>
      <c r="J1695" s="14" t="str">
        <f>HYPERLINK("https://www.boe.es/gazeta/dias/1839/09/07/pdfs/GMD-1839-1760.pdf#page=1","Abrir facsímil")</f>
        <v>Abrir facsímil</v>
      </c>
      <c r="K1695" s="12" t="s">
        <v>65</v>
      </c>
    </row>
    <row r="1696" spans="1:11" ht="40.049999999999997" customHeight="1" x14ac:dyDescent="0.25">
      <c r="A1696" s="11" t="s">
        <v>3881</v>
      </c>
      <c r="B1696" s="11" t="s">
        <v>3882</v>
      </c>
      <c r="C1696" s="11" t="s">
        <v>137</v>
      </c>
      <c r="D1696" s="11" t="s">
        <v>18</v>
      </c>
      <c r="E1696" s="12" t="s">
        <v>519</v>
      </c>
      <c r="F1696" s="12" t="s">
        <v>520</v>
      </c>
      <c r="G1696" s="12" t="s">
        <v>29</v>
      </c>
      <c r="H1696" s="11" t="s">
        <v>63</v>
      </c>
      <c r="I1696" s="13" t="s">
        <v>3883</v>
      </c>
      <c r="J1696" s="14" t="str">
        <f>HYPERLINK("https://www.boe.es/gazeta/dias/1839/02/23/pdfs/GMD-1839-1561.pdf#page=1","Abrir facsímil")</f>
        <v>Abrir facsímil</v>
      </c>
      <c r="K1696" s="12" t="s">
        <v>65</v>
      </c>
    </row>
    <row r="1697" spans="1:11" ht="40.049999999999997" customHeight="1" x14ac:dyDescent="0.25">
      <c r="A1697" s="11" t="s">
        <v>3884</v>
      </c>
      <c r="B1697" s="11" t="s">
        <v>3885</v>
      </c>
      <c r="C1697" s="11" t="s">
        <v>17</v>
      </c>
      <c r="D1697" s="11" t="s">
        <v>18</v>
      </c>
      <c r="E1697" s="12" t="s">
        <v>1663</v>
      </c>
      <c r="F1697" s="12" t="s">
        <v>1664</v>
      </c>
      <c r="G1697" s="12" t="s">
        <v>29</v>
      </c>
      <c r="H1697" s="11" t="s">
        <v>63</v>
      </c>
      <c r="I1697" s="13" t="s">
        <v>3886</v>
      </c>
      <c r="J1697" s="14" t="str">
        <f>HYPERLINK("https://www.boe.es/gazeta/dias/1839/03/22/pdfs/GMD-1839-1588.pdf#page=1","Abrir facsímil")</f>
        <v>Abrir facsímil</v>
      </c>
      <c r="K1697" s="12" t="s">
        <v>65</v>
      </c>
    </row>
    <row r="1698" spans="1:11" ht="40.049999999999997" customHeight="1" x14ac:dyDescent="0.25">
      <c r="A1698" s="11" t="s">
        <v>3887</v>
      </c>
      <c r="B1698" s="11" t="s">
        <v>3888</v>
      </c>
      <c r="C1698" s="11" t="s">
        <v>17</v>
      </c>
      <c r="D1698" s="11" t="s">
        <v>18</v>
      </c>
      <c r="E1698" s="12" t="s">
        <v>291</v>
      </c>
      <c r="F1698" s="12" t="s">
        <v>292</v>
      </c>
      <c r="G1698" s="12" t="s">
        <v>46</v>
      </c>
      <c r="H1698" s="11" t="s">
        <v>63</v>
      </c>
      <c r="I1698" s="13" t="s">
        <v>3889</v>
      </c>
      <c r="J1698" s="14" t="str">
        <f>HYPERLINK("https://www.boe.es/gazeta/dias/1839/09/04/pdfs/GMD-1839-1757.pdf#page=3","Abrir facsímil")</f>
        <v>Abrir facsímil</v>
      </c>
      <c r="K1698" s="12" t="s">
        <v>65</v>
      </c>
    </row>
    <row r="1699" spans="1:11" ht="40.049999999999997" customHeight="1" x14ac:dyDescent="0.25">
      <c r="A1699" s="11" t="s">
        <v>3890</v>
      </c>
      <c r="B1699" s="11" t="s">
        <v>3891</v>
      </c>
      <c r="C1699" s="11" t="s">
        <v>137</v>
      </c>
      <c r="D1699" s="11" t="s">
        <v>18</v>
      </c>
      <c r="E1699" s="12" t="s">
        <v>1663</v>
      </c>
      <c r="F1699" s="12" t="s">
        <v>1664</v>
      </c>
      <c r="G1699" s="12" t="s">
        <v>29</v>
      </c>
      <c r="H1699" s="11" t="s">
        <v>63</v>
      </c>
      <c r="I1699" s="13" t="s">
        <v>3892</v>
      </c>
      <c r="J1699" s="14" t="str">
        <f>HYPERLINK("https://www.boe.es/gazeta/dias/1839/03/22/pdfs/GMD-1839-1588.pdf#page=1","Abrir facsímil")</f>
        <v>Abrir facsímil</v>
      </c>
      <c r="K1699" s="12" t="s">
        <v>65</v>
      </c>
    </row>
    <row r="1700" spans="1:11" ht="40.049999999999997" customHeight="1" x14ac:dyDescent="0.25">
      <c r="A1700" s="11" t="s">
        <v>3893</v>
      </c>
      <c r="B1700" s="11" t="s">
        <v>3894</v>
      </c>
      <c r="C1700" s="11" t="s">
        <v>17</v>
      </c>
      <c r="D1700" s="11" t="s">
        <v>18</v>
      </c>
      <c r="E1700" s="12" t="s">
        <v>621</v>
      </c>
      <c r="F1700" s="12" t="s">
        <v>622</v>
      </c>
      <c r="G1700" s="12" t="s">
        <v>29</v>
      </c>
      <c r="H1700" s="11" t="s">
        <v>63</v>
      </c>
      <c r="I1700" s="13" t="s">
        <v>3895</v>
      </c>
      <c r="J1700" s="14" t="str">
        <f>HYPERLINK("https://www.boe.es/gazeta/dias/1839/04/14/pdfs/GMD-1839-1611.pdf#page=1","Abrir facsímil")</f>
        <v>Abrir facsímil</v>
      </c>
      <c r="K1700" s="12" t="s">
        <v>65</v>
      </c>
    </row>
    <row r="1701" spans="1:11" ht="40.049999999999997" customHeight="1" x14ac:dyDescent="0.25">
      <c r="A1701" s="11" t="s">
        <v>3896</v>
      </c>
      <c r="B1701" s="11" t="s">
        <v>3897</v>
      </c>
      <c r="C1701" s="11" t="s">
        <v>80</v>
      </c>
      <c r="D1701" s="11" t="s">
        <v>18</v>
      </c>
      <c r="E1701" s="12" t="s">
        <v>2881</v>
      </c>
      <c r="F1701" s="12" t="s">
        <v>2882</v>
      </c>
      <c r="G1701" s="12" t="s">
        <v>21</v>
      </c>
      <c r="H1701" s="11" t="s">
        <v>63</v>
      </c>
      <c r="I1701" s="13" t="s">
        <v>3898</v>
      </c>
      <c r="J1701" s="14" t="str">
        <f>HYPERLINK("https://www.boe.es/gazeta/dias/1839/05/08/pdfs/GMD-1839-1635.pdf#page=4","Abrir facsímil")</f>
        <v>Abrir facsímil</v>
      </c>
      <c r="K1701" s="12" t="s">
        <v>65</v>
      </c>
    </row>
    <row r="1702" spans="1:11" ht="40.049999999999997" customHeight="1" x14ac:dyDescent="0.25">
      <c r="A1702" s="11" t="s">
        <v>3899</v>
      </c>
      <c r="B1702" s="11" t="s">
        <v>3899</v>
      </c>
      <c r="C1702" s="11" t="s">
        <v>101</v>
      </c>
      <c r="D1702" s="11" t="s">
        <v>102</v>
      </c>
      <c r="E1702" s="12" t="s">
        <v>677</v>
      </c>
      <c r="F1702" s="12" t="s">
        <v>678</v>
      </c>
      <c r="G1702" s="12" t="s">
        <v>40</v>
      </c>
      <c r="H1702" s="11" t="s">
        <v>63</v>
      </c>
      <c r="I1702" s="13" t="s">
        <v>3900</v>
      </c>
      <c r="J1702" s="14" t="str">
        <f>HYPERLINK("https://www.boe.es/gazeta/dias/1839/04/28/pdfs/GMD-1839-1625.pdf#page=2","Abrir facsímil")</f>
        <v>Abrir facsímil</v>
      </c>
      <c r="K1702" s="12" t="s">
        <v>65</v>
      </c>
    </row>
    <row r="1703" spans="1:11" ht="40.049999999999997" customHeight="1" x14ac:dyDescent="0.25">
      <c r="A1703" s="11" t="s">
        <v>3901</v>
      </c>
      <c r="B1703" s="11" t="s">
        <v>3902</v>
      </c>
      <c r="C1703" s="11" t="s">
        <v>59</v>
      </c>
      <c r="D1703" s="11" t="s">
        <v>60</v>
      </c>
      <c r="E1703" s="12" t="s">
        <v>1460</v>
      </c>
      <c r="F1703" s="12" t="s">
        <v>1461</v>
      </c>
      <c r="G1703" s="12" t="s">
        <v>46</v>
      </c>
      <c r="H1703" s="11" t="s">
        <v>63</v>
      </c>
      <c r="I1703" s="13" t="s">
        <v>3903</v>
      </c>
      <c r="J1703" s="14" t="str">
        <f>HYPERLINK("https://www.boe.es/gazeta/dias/1839/03/01/pdfs/GMD-1839-1567.pdf#page=3","Abrir facsímil")</f>
        <v>Abrir facsímil</v>
      </c>
      <c r="K1703" s="12" t="s">
        <v>65</v>
      </c>
    </row>
    <row r="1704" spans="1:11" ht="40.049999999999997" customHeight="1" x14ac:dyDescent="0.25">
      <c r="A1704" s="11" t="s">
        <v>3904</v>
      </c>
      <c r="B1704" s="11" t="s">
        <v>3905</v>
      </c>
      <c r="C1704" s="11" t="s">
        <v>17</v>
      </c>
      <c r="D1704" s="11" t="s">
        <v>18</v>
      </c>
      <c r="E1704" s="12" t="s">
        <v>1057</v>
      </c>
      <c r="F1704" s="12" t="s">
        <v>1058</v>
      </c>
      <c r="G1704" s="12" t="s">
        <v>29</v>
      </c>
      <c r="H1704" s="11" t="s">
        <v>63</v>
      </c>
      <c r="I1704" s="13" t="s">
        <v>3906</v>
      </c>
      <c r="J1704" s="14" t="str">
        <f>HYPERLINK("https://www.boe.es/gazeta/dias/1839/10/01/pdfs/GMD-1839-1787.pdf#page=1","Abrir facsímil")</f>
        <v>Abrir facsímil</v>
      </c>
      <c r="K1704" s="12" t="s">
        <v>65</v>
      </c>
    </row>
    <row r="1705" spans="1:11" ht="40.049999999999997" customHeight="1" x14ac:dyDescent="0.25">
      <c r="A1705" s="11" t="s">
        <v>3907</v>
      </c>
      <c r="B1705" s="11" t="s">
        <v>3908</v>
      </c>
      <c r="C1705" s="11" t="s">
        <v>59</v>
      </c>
      <c r="D1705" s="11" t="s">
        <v>60</v>
      </c>
      <c r="E1705" s="12" t="s">
        <v>375</v>
      </c>
      <c r="F1705" s="12" t="s">
        <v>376</v>
      </c>
      <c r="G1705" s="12" t="s">
        <v>21</v>
      </c>
      <c r="H1705" s="11" t="s">
        <v>22</v>
      </c>
      <c r="I1705" s="13" t="s">
        <v>3909</v>
      </c>
      <c r="J1705" s="14" t="str">
        <f>HYPERLINK("https://www.boe.es/gazeta/dias/1839/11/25/pdfs/GMD-1839-1842.pdf#page=4","Abrir facsímil")</f>
        <v>Abrir facsímil</v>
      </c>
      <c r="K1705" s="12" t="s">
        <v>24</v>
      </c>
    </row>
    <row r="1706" spans="1:11" ht="40.049999999999997" customHeight="1" x14ac:dyDescent="0.25">
      <c r="A1706" s="11" t="s">
        <v>3910</v>
      </c>
      <c r="B1706" s="11" t="s">
        <v>3911</v>
      </c>
      <c r="C1706" s="11" t="s">
        <v>17</v>
      </c>
      <c r="D1706" s="11" t="s">
        <v>18</v>
      </c>
      <c r="E1706" s="12" t="s">
        <v>486</v>
      </c>
      <c r="F1706" s="12" t="s">
        <v>487</v>
      </c>
      <c r="G1706" s="12" t="s">
        <v>40</v>
      </c>
      <c r="H1706" s="11" t="s">
        <v>63</v>
      </c>
      <c r="I1706" s="13" t="s">
        <v>3912</v>
      </c>
      <c r="J1706" s="14" t="str">
        <f>HYPERLINK("https://www.boe.es/gazeta/dias/1839/04/19/pdfs/GMD-1839-1616.pdf#page=2","Abrir facsímil")</f>
        <v>Abrir facsímil</v>
      </c>
      <c r="K1706" s="12" t="s">
        <v>65</v>
      </c>
    </row>
    <row r="1707" spans="1:11" ht="40.049999999999997" customHeight="1" x14ac:dyDescent="0.25">
      <c r="A1707" s="11" t="s">
        <v>3913</v>
      </c>
      <c r="B1707" s="11" t="s">
        <v>3914</v>
      </c>
      <c r="C1707" s="11" t="s">
        <v>17</v>
      </c>
      <c r="D1707" s="11" t="s">
        <v>18</v>
      </c>
      <c r="E1707" s="12" t="s">
        <v>756</v>
      </c>
      <c r="F1707" s="12" t="s">
        <v>757</v>
      </c>
      <c r="G1707" s="12" t="s">
        <v>21</v>
      </c>
      <c r="H1707" s="11" t="s">
        <v>63</v>
      </c>
      <c r="I1707" s="13" t="s">
        <v>3915</v>
      </c>
      <c r="J1707" s="14" t="str">
        <f>HYPERLINK("https://www.boe.es/gazeta/dias/1839/12/17/pdfs/GMD-1839-1864.pdf#page=4","Abrir facsímil")</f>
        <v>Abrir facsímil</v>
      </c>
      <c r="K1707" s="12" t="s">
        <v>65</v>
      </c>
    </row>
    <row r="1708" spans="1:11" ht="40.049999999999997" customHeight="1" x14ac:dyDescent="0.25">
      <c r="A1708" s="11" t="s">
        <v>3916</v>
      </c>
      <c r="B1708" s="11" t="s">
        <v>3917</v>
      </c>
      <c r="C1708" s="11" t="s">
        <v>17</v>
      </c>
      <c r="D1708" s="11" t="s">
        <v>18</v>
      </c>
      <c r="E1708" s="12" t="s">
        <v>474</v>
      </c>
      <c r="F1708" s="12" t="s">
        <v>475</v>
      </c>
      <c r="G1708" s="12" t="s">
        <v>21</v>
      </c>
      <c r="H1708" s="11" t="s">
        <v>63</v>
      </c>
      <c r="I1708" s="13" t="s">
        <v>3918</v>
      </c>
      <c r="J1708" s="14" t="str">
        <f>HYPERLINK("https://www.boe.es/gazeta/dias/1839/03/31/pdfs/GMD-1839-1597.pdf#page=4","Abrir facsímil")</f>
        <v>Abrir facsímil</v>
      </c>
      <c r="K1708" s="12" t="s">
        <v>65</v>
      </c>
    </row>
    <row r="1709" spans="1:11" ht="40.049999999999997" customHeight="1" x14ac:dyDescent="0.25">
      <c r="A1709" s="11" t="s">
        <v>3919</v>
      </c>
      <c r="B1709" s="11" t="s">
        <v>3920</v>
      </c>
      <c r="C1709" s="11" t="s">
        <v>17</v>
      </c>
      <c r="D1709" s="11" t="s">
        <v>18</v>
      </c>
      <c r="E1709" s="12" t="s">
        <v>756</v>
      </c>
      <c r="F1709" s="12" t="s">
        <v>757</v>
      </c>
      <c r="G1709" s="12" t="s">
        <v>21</v>
      </c>
      <c r="H1709" s="11" t="s">
        <v>22</v>
      </c>
      <c r="I1709" s="13" t="s">
        <v>3921</v>
      </c>
      <c r="J1709" s="14" t="str">
        <f>HYPERLINK("https://www.boe.es/gazeta/dias/1839/12/17/pdfs/GMD-1839-1864.pdf#page=4","Abrir facsímil")</f>
        <v>Abrir facsímil</v>
      </c>
      <c r="K1709" s="12" t="s">
        <v>24</v>
      </c>
    </row>
    <row r="1710" spans="1:11" ht="40.049999999999997" customHeight="1" x14ac:dyDescent="0.25">
      <c r="A1710" s="11" t="s">
        <v>3922</v>
      </c>
      <c r="B1710" s="11" t="s">
        <v>3923</v>
      </c>
      <c r="C1710" s="11" t="s">
        <v>80</v>
      </c>
      <c r="D1710" s="11" t="s">
        <v>18</v>
      </c>
      <c r="E1710" s="12" t="s">
        <v>1012</v>
      </c>
      <c r="F1710" s="12" t="s">
        <v>1013</v>
      </c>
      <c r="G1710" s="12" t="s">
        <v>46</v>
      </c>
      <c r="H1710" s="11" t="s">
        <v>63</v>
      </c>
      <c r="I1710" s="13" t="s">
        <v>3924</v>
      </c>
      <c r="J1710" s="14" t="str">
        <f>HYPERLINK("https://www.boe.es/gazeta/dias/1839/11/22/pdfs/GMD-1839-1839.pdf#page=3","Abrir facsímil")</f>
        <v>Abrir facsímil</v>
      </c>
      <c r="K1710" s="12" t="s">
        <v>65</v>
      </c>
    </row>
    <row r="1711" spans="1:11" ht="40.049999999999997" customHeight="1" x14ac:dyDescent="0.25">
      <c r="A1711" s="11" t="s">
        <v>3925</v>
      </c>
      <c r="B1711" s="11" t="s">
        <v>3925</v>
      </c>
      <c r="C1711" s="11" t="s">
        <v>17</v>
      </c>
      <c r="D1711" s="11" t="s">
        <v>18</v>
      </c>
      <c r="E1711" s="12" t="s">
        <v>601</v>
      </c>
      <c r="F1711" s="12" t="s">
        <v>602</v>
      </c>
      <c r="G1711" s="12" t="s">
        <v>40</v>
      </c>
      <c r="H1711" s="11" t="s">
        <v>63</v>
      </c>
      <c r="I1711" s="13" t="s">
        <v>3926</v>
      </c>
      <c r="J1711" s="14" t="str">
        <f>HYPERLINK("https://www.boe.es/gazeta/dias/1839/04/21/pdfs/GMD-1839-1618.pdf#page=2","Abrir facsímil")</f>
        <v>Abrir facsímil</v>
      </c>
      <c r="K1711" s="12" t="s">
        <v>65</v>
      </c>
    </row>
    <row r="1712" spans="1:11" ht="40.049999999999997" customHeight="1" x14ac:dyDescent="0.25">
      <c r="A1712" s="11" t="s">
        <v>3927</v>
      </c>
      <c r="B1712" s="11" t="s">
        <v>3927</v>
      </c>
      <c r="C1712" s="11" t="s">
        <v>17</v>
      </c>
      <c r="D1712" s="11" t="s">
        <v>18</v>
      </c>
      <c r="E1712" s="12" t="s">
        <v>638</v>
      </c>
      <c r="F1712" s="12" t="s">
        <v>639</v>
      </c>
      <c r="G1712" s="12" t="s">
        <v>40</v>
      </c>
      <c r="H1712" s="11" t="s">
        <v>63</v>
      </c>
      <c r="I1712" s="13" t="s">
        <v>3928</v>
      </c>
      <c r="J1712" s="14" t="str">
        <f>HYPERLINK("https://www.boe.es/gazeta/dias/1839/08/26/pdfs/GMD-1839-1747.pdf#page=2","Abrir facsímil")</f>
        <v>Abrir facsímil</v>
      </c>
      <c r="K1712" s="12" t="s">
        <v>65</v>
      </c>
    </row>
    <row r="1713" spans="1:11" ht="40.049999999999997" customHeight="1" x14ac:dyDescent="0.25">
      <c r="A1713" s="11" t="s">
        <v>3927</v>
      </c>
      <c r="B1713" s="11" t="s">
        <v>3927</v>
      </c>
      <c r="C1713" s="11" t="s">
        <v>80</v>
      </c>
      <c r="D1713" s="11" t="s">
        <v>18</v>
      </c>
      <c r="E1713" s="12" t="s">
        <v>2349</v>
      </c>
      <c r="F1713" s="12" t="s">
        <v>2350</v>
      </c>
      <c r="G1713" s="12" t="s">
        <v>40</v>
      </c>
      <c r="H1713" s="11" t="s">
        <v>63</v>
      </c>
      <c r="I1713" s="13" t="s">
        <v>3929</v>
      </c>
      <c r="J1713" s="14" t="str">
        <f>HYPERLINK("https://www.boe.es/gazeta/dias/1839/09/29/pdfs/GMD-1839-1785.pdf#page=2","Abrir facsímil")</f>
        <v>Abrir facsímil</v>
      </c>
      <c r="K1713" s="12" t="s">
        <v>65</v>
      </c>
    </row>
    <row r="1714" spans="1:11" ht="40.049999999999997" customHeight="1" x14ac:dyDescent="0.25">
      <c r="A1714" s="11" t="s">
        <v>3930</v>
      </c>
      <c r="B1714" s="11" t="s">
        <v>3930</v>
      </c>
      <c r="C1714" s="11" t="s">
        <v>80</v>
      </c>
      <c r="D1714" s="11" t="s">
        <v>18</v>
      </c>
      <c r="E1714" s="12" t="s">
        <v>327</v>
      </c>
      <c r="F1714" s="12" t="s">
        <v>328</v>
      </c>
      <c r="G1714" s="12" t="s">
        <v>40</v>
      </c>
      <c r="H1714" s="11" t="s">
        <v>63</v>
      </c>
      <c r="I1714" s="13" t="s">
        <v>3931</v>
      </c>
      <c r="J1714" s="14" t="str">
        <f>HYPERLINK("https://www.boe.es/gazeta/dias/1839/08/05/pdfs/GMD-1839-1725.pdf#page=2","Abrir facsímil")</f>
        <v>Abrir facsímil</v>
      </c>
      <c r="K1714" s="12" t="s">
        <v>65</v>
      </c>
    </row>
    <row r="1715" spans="1:11" ht="40.049999999999997" customHeight="1" x14ac:dyDescent="0.25">
      <c r="A1715" s="11" t="s">
        <v>3932</v>
      </c>
      <c r="B1715" s="11" t="s">
        <v>3933</v>
      </c>
      <c r="C1715" s="11" t="s">
        <v>59</v>
      </c>
      <c r="D1715" s="11" t="s">
        <v>60</v>
      </c>
      <c r="E1715" s="12" t="s">
        <v>230</v>
      </c>
      <c r="F1715" s="12" t="s">
        <v>231</v>
      </c>
      <c r="G1715" s="12" t="s">
        <v>29</v>
      </c>
      <c r="H1715" s="11" t="s">
        <v>22</v>
      </c>
      <c r="I1715" s="13" t="s">
        <v>3934</v>
      </c>
      <c r="J1715" s="14" t="str">
        <f>HYPERLINK("https://www.boe.es/gazeta/dias/1839/09/16/pdfs/GMD-1839-1769.pdf#page=1","Abrir facsímil")</f>
        <v>Abrir facsímil</v>
      </c>
      <c r="K1715" s="12" t="s">
        <v>24</v>
      </c>
    </row>
    <row r="1716" spans="1:11" ht="40.049999999999997" customHeight="1" x14ac:dyDescent="0.25">
      <c r="A1716" s="11" t="s">
        <v>3935</v>
      </c>
      <c r="B1716" s="11" t="s">
        <v>3935</v>
      </c>
      <c r="C1716" s="11" t="s">
        <v>17</v>
      </c>
      <c r="D1716" s="11" t="s">
        <v>18</v>
      </c>
      <c r="E1716" s="12" t="s">
        <v>49</v>
      </c>
      <c r="F1716" s="12" t="s">
        <v>50</v>
      </c>
      <c r="G1716" s="12" t="s">
        <v>40</v>
      </c>
      <c r="H1716" s="11" t="s">
        <v>63</v>
      </c>
      <c r="I1716" s="13" t="s">
        <v>3936</v>
      </c>
      <c r="J1716" s="14" t="str">
        <f>HYPERLINK("https://www.boe.es/gazeta/dias/1839/01/05/pdfs/GMD-1839-1512.pdf#page=2","Abrir facsímil")</f>
        <v>Abrir facsímil</v>
      </c>
      <c r="K1716" s="12" t="s">
        <v>65</v>
      </c>
    </row>
    <row r="1717" spans="1:11" ht="40.049999999999997" customHeight="1" x14ac:dyDescent="0.25">
      <c r="A1717" s="11" t="s">
        <v>3935</v>
      </c>
      <c r="B1717" s="11" t="s">
        <v>3935</v>
      </c>
      <c r="C1717" s="11" t="s">
        <v>17</v>
      </c>
      <c r="D1717" s="11" t="s">
        <v>18</v>
      </c>
      <c r="E1717" s="12" t="s">
        <v>561</v>
      </c>
      <c r="F1717" s="12" t="s">
        <v>562</v>
      </c>
      <c r="G1717" s="12" t="s">
        <v>46</v>
      </c>
      <c r="H1717" s="11" t="s">
        <v>63</v>
      </c>
      <c r="I1717" s="13" t="s">
        <v>3937</v>
      </c>
      <c r="J1717" s="14" t="str">
        <f>HYPERLINK("https://www.boe.es/gazeta/dias/1839/09/11/pdfs/GMD-1839-1764.pdf#page=3","Abrir facsímil")</f>
        <v>Abrir facsímil</v>
      </c>
      <c r="K1717" s="12" t="s">
        <v>65</v>
      </c>
    </row>
    <row r="1718" spans="1:11" ht="40.049999999999997" customHeight="1" x14ac:dyDescent="0.25">
      <c r="A1718" s="11" t="s">
        <v>3938</v>
      </c>
      <c r="B1718" s="11" t="s">
        <v>3938</v>
      </c>
      <c r="C1718" s="11" t="s">
        <v>17</v>
      </c>
      <c r="D1718" s="11" t="s">
        <v>18</v>
      </c>
      <c r="E1718" s="12" t="s">
        <v>1179</v>
      </c>
      <c r="F1718" s="12" t="s">
        <v>1180</v>
      </c>
      <c r="G1718" s="12" t="s">
        <v>40</v>
      </c>
      <c r="H1718" s="11" t="s">
        <v>22</v>
      </c>
      <c r="I1718" s="13" t="s">
        <v>3939</v>
      </c>
      <c r="J1718" s="14" t="str">
        <f>HYPERLINK("https://www.boe.es/gazeta/dias/1839/10/18/pdfs/GMD-1839-1804.pdf#page=2","Abrir facsímil")</f>
        <v>Abrir facsímil</v>
      </c>
      <c r="K1718" s="12" t="s">
        <v>24</v>
      </c>
    </row>
    <row r="1719" spans="1:11" ht="40.049999999999997" customHeight="1" x14ac:dyDescent="0.25">
      <c r="A1719" s="11" t="s">
        <v>3940</v>
      </c>
      <c r="B1719" s="11" t="s">
        <v>3941</v>
      </c>
      <c r="C1719" s="11" t="s">
        <v>80</v>
      </c>
      <c r="D1719" s="11" t="s">
        <v>173</v>
      </c>
      <c r="E1719" s="12" t="s">
        <v>695</v>
      </c>
      <c r="F1719" s="12" t="s">
        <v>696</v>
      </c>
      <c r="G1719" s="12" t="s">
        <v>46</v>
      </c>
      <c r="H1719" s="11" t="s">
        <v>63</v>
      </c>
      <c r="I1719" s="13" t="s">
        <v>3942</v>
      </c>
      <c r="J1719" s="14" t="str">
        <f>HYPERLINK("https://www.boe.es/gazeta/dias/1839/12/19/pdfs/GMD-1839-1866.pdf#page=3","Abrir facsímil")</f>
        <v>Abrir facsímil</v>
      </c>
      <c r="K1719" s="12" t="s">
        <v>65</v>
      </c>
    </row>
    <row r="1720" spans="1:11" ht="40.049999999999997" customHeight="1" x14ac:dyDescent="0.25">
      <c r="A1720" s="11" t="s">
        <v>3943</v>
      </c>
      <c r="B1720" s="11" t="s">
        <v>3944</v>
      </c>
      <c r="C1720" s="11" t="s">
        <v>80</v>
      </c>
      <c r="D1720" s="11" t="s">
        <v>18</v>
      </c>
      <c r="E1720" s="12" t="s">
        <v>716</v>
      </c>
      <c r="F1720" s="12" t="s">
        <v>717</v>
      </c>
      <c r="G1720" s="12" t="s">
        <v>46</v>
      </c>
      <c r="H1720" s="11" t="s">
        <v>63</v>
      </c>
      <c r="I1720" s="13" t="s">
        <v>3945</v>
      </c>
      <c r="J1720" s="14" t="str">
        <f>HYPERLINK("https://www.boe.es/gazeta/dias/1839/07/30/pdfs/GMD-1839-1719.pdf#page=3","Abrir facsímil")</f>
        <v>Abrir facsímil</v>
      </c>
      <c r="K1720" s="12" t="s">
        <v>65</v>
      </c>
    </row>
    <row r="1721" spans="1:11" ht="40.049999999999997" customHeight="1" x14ac:dyDescent="0.25">
      <c r="A1721" s="11" t="s">
        <v>3946</v>
      </c>
      <c r="B1721" s="11" t="s">
        <v>3947</v>
      </c>
      <c r="C1721" s="11" t="s">
        <v>80</v>
      </c>
      <c r="D1721" s="11" t="s">
        <v>18</v>
      </c>
      <c r="E1721" s="12" t="s">
        <v>375</v>
      </c>
      <c r="F1721" s="12" t="s">
        <v>376</v>
      </c>
      <c r="G1721" s="12" t="s">
        <v>21</v>
      </c>
      <c r="H1721" s="11" t="s">
        <v>63</v>
      </c>
      <c r="I1721" s="13" t="s">
        <v>3948</v>
      </c>
      <c r="J1721" s="14" t="str">
        <f>HYPERLINK("https://www.boe.es/gazeta/dias/1839/11/25/pdfs/GMD-1839-1842.pdf#page=4","Abrir facsímil")</f>
        <v>Abrir facsímil</v>
      </c>
      <c r="K1721" s="12" t="s">
        <v>65</v>
      </c>
    </row>
    <row r="1722" spans="1:11" ht="40.049999999999997" customHeight="1" x14ac:dyDescent="0.25">
      <c r="A1722" s="11" t="s">
        <v>3949</v>
      </c>
      <c r="B1722" s="11" t="s">
        <v>3949</v>
      </c>
      <c r="C1722" s="11" t="s">
        <v>101</v>
      </c>
      <c r="D1722" s="11" t="s">
        <v>43</v>
      </c>
      <c r="E1722" s="12" t="s">
        <v>284</v>
      </c>
      <c r="F1722" s="12" t="s">
        <v>285</v>
      </c>
      <c r="G1722" s="12" t="s">
        <v>40</v>
      </c>
      <c r="H1722" s="11" t="s">
        <v>63</v>
      </c>
      <c r="I1722" s="13" t="s">
        <v>3950</v>
      </c>
      <c r="J1722" s="14" t="str">
        <f>HYPERLINK("https://www.boe.es/gazeta/dias/1839/01/27/pdfs/GMD-1839-1534.pdf#page=2","Abrir facsímil")</f>
        <v>Abrir facsímil</v>
      </c>
      <c r="K1722" s="12" t="s">
        <v>65</v>
      </c>
    </row>
    <row r="1723" spans="1:11" ht="40.049999999999997" customHeight="1" x14ac:dyDescent="0.25">
      <c r="A1723" s="11" t="s">
        <v>3951</v>
      </c>
      <c r="B1723" s="11" t="s">
        <v>3952</v>
      </c>
      <c r="C1723" s="11" t="s">
        <v>101</v>
      </c>
      <c r="D1723" s="11" t="s">
        <v>43</v>
      </c>
      <c r="E1723" s="12" t="s">
        <v>782</v>
      </c>
      <c r="F1723" s="12" t="s">
        <v>783</v>
      </c>
      <c r="G1723" s="12" t="s">
        <v>21</v>
      </c>
      <c r="H1723" s="11" t="s">
        <v>63</v>
      </c>
      <c r="I1723" s="13" t="s">
        <v>3953</v>
      </c>
      <c r="J1723" s="14" t="str">
        <f>HYPERLINK("https://www.boe.es/gazeta/dias/1839/05/09/pdfs/GMD-1839-1636.pdf#page=4","Abrir facsímil")</f>
        <v>Abrir facsímil</v>
      </c>
      <c r="K1723" s="12" t="s">
        <v>65</v>
      </c>
    </row>
    <row r="1724" spans="1:11" ht="40.049999999999997" customHeight="1" x14ac:dyDescent="0.25">
      <c r="A1724" s="11" t="s">
        <v>3954</v>
      </c>
      <c r="B1724" s="11" t="s">
        <v>3955</v>
      </c>
      <c r="C1724" s="11" t="s">
        <v>59</v>
      </c>
      <c r="D1724" s="11" t="s">
        <v>60</v>
      </c>
      <c r="E1724" s="12" t="s">
        <v>1588</v>
      </c>
      <c r="F1724" s="12" t="s">
        <v>1589</v>
      </c>
      <c r="G1724" s="12" t="s">
        <v>29</v>
      </c>
      <c r="H1724" s="11" t="s">
        <v>63</v>
      </c>
      <c r="I1724" s="13" t="s">
        <v>3956</v>
      </c>
      <c r="J1724" s="14" t="str">
        <f>HYPERLINK("https://www.boe.es/gazeta/dias/1839/07/27/pdfs/GMD-1839-1716.pdf#page=1","Abrir facsímil")</f>
        <v>Abrir facsímil</v>
      </c>
      <c r="K1724" s="12" t="s">
        <v>65</v>
      </c>
    </row>
    <row r="1725" spans="1:11" ht="40.049999999999997" customHeight="1" x14ac:dyDescent="0.25">
      <c r="A1725" s="11" t="s">
        <v>3957</v>
      </c>
      <c r="B1725" s="11" t="s">
        <v>3957</v>
      </c>
      <c r="C1725" s="11" t="s">
        <v>17</v>
      </c>
      <c r="D1725" s="11" t="s">
        <v>18</v>
      </c>
      <c r="E1725" s="12" t="s">
        <v>453</v>
      </c>
      <c r="F1725" s="12" t="s">
        <v>454</v>
      </c>
      <c r="G1725" s="12" t="s">
        <v>40</v>
      </c>
      <c r="H1725" s="11" t="s">
        <v>63</v>
      </c>
      <c r="I1725" s="13" t="s">
        <v>3958</v>
      </c>
      <c r="J1725" s="14" t="str">
        <f>HYPERLINK("https://www.boe.es/gazeta/dias/1839/02/07/pdfs/GMD-1839-1545.pdf#page=2","Abrir facsímil")</f>
        <v>Abrir facsímil</v>
      </c>
      <c r="K1725" s="12" t="s">
        <v>65</v>
      </c>
    </row>
    <row r="1726" spans="1:11" ht="40.049999999999997" customHeight="1" x14ac:dyDescent="0.25">
      <c r="A1726" s="11" t="s">
        <v>3959</v>
      </c>
      <c r="B1726" s="11" t="s">
        <v>3959</v>
      </c>
      <c r="C1726" s="11" t="s">
        <v>59</v>
      </c>
      <c r="D1726" s="11" t="s">
        <v>60</v>
      </c>
      <c r="E1726" s="12" t="s">
        <v>596</v>
      </c>
      <c r="F1726" s="12" t="s">
        <v>597</v>
      </c>
      <c r="G1726" s="12" t="s">
        <v>46</v>
      </c>
      <c r="H1726" s="11" t="s">
        <v>63</v>
      </c>
      <c r="I1726" s="13" t="s">
        <v>3960</v>
      </c>
      <c r="J1726" s="14" t="str">
        <f>HYPERLINK("https://www.boe.es/gazeta/dias/1839/01/23/pdfs/GMD-1839-1530.pdf#page=3","Abrir facsímil")</f>
        <v>Abrir facsímil</v>
      </c>
      <c r="K1726" s="12" t="s">
        <v>65</v>
      </c>
    </row>
    <row r="1727" spans="1:11" ht="40.049999999999997" customHeight="1" x14ac:dyDescent="0.25">
      <c r="A1727" s="11" t="s">
        <v>3961</v>
      </c>
      <c r="B1727" s="11" t="s">
        <v>3961</v>
      </c>
      <c r="C1727" s="11" t="s">
        <v>17</v>
      </c>
      <c r="D1727" s="11" t="s">
        <v>18</v>
      </c>
      <c r="E1727" s="12" t="s">
        <v>2050</v>
      </c>
      <c r="F1727" s="12" t="s">
        <v>2051</v>
      </c>
      <c r="G1727" s="12" t="s">
        <v>29</v>
      </c>
      <c r="H1727" s="11" t="s">
        <v>22</v>
      </c>
      <c r="I1727" s="13" t="s">
        <v>3962</v>
      </c>
      <c r="J1727" s="14" t="str">
        <f>HYPERLINK("https://www.boe.es/gazeta/dias/1839/01/09/pdfs/GMD-1839-1516.pdf#page=1","Abrir facsímil")</f>
        <v>Abrir facsímil</v>
      </c>
      <c r="K1727" s="12" t="s">
        <v>24</v>
      </c>
    </row>
    <row r="1728" spans="1:11" ht="40.049999999999997" customHeight="1" x14ac:dyDescent="0.25">
      <c r="A1728" s="11" t="s">
        <v>3963</v>
      </c>
      <c r="B1728" s="11" t="s">
        <v>3963</v>
      </c>
      <c r="C1728" s="11" t="s">
        <v>101</v>
      </c>
      <c r="D1728" s="11" t="s">
        <v>43</v>
      </c>
      <c r="E1728" s="12" t="s">
        <v>2050</v>
      </c>
      <c r="F1728" s="12" t="s">
        <v>2051</v>
      </c>
      <c r="G1728" s="12" t="s">
        <v>40</v>
      </c>
      <c r="H1728" s="11" t="s">
        <v>63</v>
      </c>
      <c r="I1728" s="13" t="s">
        <v>3964</v>
      </c>
      <c r="J1728" s="14" t="str">
        <f>HYPERLINK("https://www.boe.es/gazeta/dias/1839/01/09/pdfs/GMD-1839-1516.pdf#page=2","Abrir facsímil")</f>
        <v>Abrir facsímil</v>
      </c>
      <c r="K1728" s="12" t="s">
        <v>65</v>
      </c>
    </row>
    <row r="1729" spans="1:11" ht="40.049999999999997" customHeight="1" x14ac:dyDescent="0.25">
      <c r="A1729" s="11" t="s">
        <v>3963</v>
      </c>
      <c r="B1729" s="11" t="s">
        <v>3963</v>
      </c>
      <c r="C1729" s="11" t="s">
        <v>17</v>
      </c>
      <c r="D1729" s="11" t="s">
        <v>18</v>
      </c>
      <c r="E1729" s="12" t="s">
        <v>269</v>
      </c>
      <c r="F1729" s="12" t="s">
        <v>270</v>
      </c>
      <c r="G1729" s="12" t="s">
        <v>46</v>
      </c>
      <c r="H1729" s="11" t="s">
        <v>63</v>
      </c>
      <c r="I1729" s="13" t="s">
        <v>3965</v>
      </c>
      <c r="J1729" s="14" t="str">
        <f>HYPERLINK("https://www.boe.es/gazeta/dias/1839/02/10/pdfs/GMD-1839-1548.pdf#page=3","Abrir facsímil")</f>
        <v>Abrir facsímil</v>
      </c>
      <c r="K1729" s="12" t="s">
        <v>65</v>
      </c>
    </row>
    <row r="1730" spans="1:11" ht="40.049999999999997" customHeight="1" x14ac:dyDescent="0.25">
      <c r="A1730" s="11" t="s">
        <v>3963</v>
      </c>
      <c r="B1730" s="11" t="s">
        <v>3963</v>
      </c>
      <c r="C1730" s="11" t="s">
        <v>101</v>
      </c>
      <c r="D1730" s="11" t="s">
        <v>43</v>
      </c>
      <c r="E1730" s="12" t="s">
        <v>561</v>
      </c>
      <c r="F1730" s="12" t="s">
        <v>562</v>
      </c>
      <c r="G1730" s="12" t="s">
        <v>46</v>
      </c>
      <c r="H1730" s="11" t="s">
        <v>63</v>
      </c>
      <c r="I1730" s="13" t="s">
        <v>3966</v>
      </c>
      <c r="J1730" s="14" t="str">
        <f>HYPERLINK("https://www.boe.es/gazeta/dias/1839/09/11/pdfs/GMD-1839-1764.pdf#page=3","Abrir facsímil")</f>
        <v>Abrir facsímil</v>
      </c>
      <c r="K1730" s="12" t="s">
        <v>65</v>
      </c>
    </row>
    <row r="1731" spans="1:11" ht="40.049999999999997" customHeight="1" x14ac:dyDescent="0.25">
      <c r="A1731" s="11" t="s">
        <v>3963</v>
      </c>
      <c r="B1731" s="11" t="s">
        <v>3963</v>
      </c>
      <c r="C1731" s="11" t="s">
        <v>17</v>
      </c>
      <c r="D1731" s="11" t="s">
        <v>18</v>
      </c>
      <c r="E1731" s="12" t="s">
        <v>1100</v>
      </c>
      <c r="F1731" s="12" t="s">
        <v>1101</v>
      </c>
      <c r="G1731" s="12" t="s">
        <v>29</v>
      </c>
      <c r="H1731" s="11" t="s">
        <v>63</v>
      </c>
      <c r="I1731" s="13" t="s">
        <v>3967</v>
      </c>
      <c r="J1731" s="14" t="str">
        <f>HYPERLINK("https://www.boe.es/gazeta/dias/1839/09/13/pdfs/GMD-1839-1766.pdf#page=1","Abrir facsímil")</f>
        <v>Abrir facsímil</v>
      </c>
      <c r="K1731" s="12" t="s">
        <v>65</v>
      </c>
    </row>
    <row r="1732" spans="1:11" ht="40.049999999999997" customHeight="1" x14ac:dyDescent="0.25">
      <c r="A1732" s="11" t="s">
        <v>3961</v>
      </c>
      <c r="B1732" s="11" t="s">
        <v>3961</v>
      </c>
      <c r="C1732" s="11" t="s">
        <v>101</v>
      </c>
      <c r="D1732" s="11" t="s">
        <v>43</v>
      </c>
      <c r="E1732" s="12" t="s">
        <v>592</v>
      </c>
      <c r="F1732" s="12" t="s">
        <v>593</v>
      </c>
      <c r="G1732" s="12" t="s">
        <v>40</v>
      </c>
      <c r="H1732" s="11" t="s">
        <v>22</v>
      </c>
      <c r="I1732" s="13" t="s">
        <v>3968</v>
      </c>
      <c r="J1732" s="14" t="str">
        <f>HYPERLINK("https://www.boe.es/gazeta/dias/1839/09/14/pdfs/GMD-1839-1767.pdf#page=2","Abrir facsímil")</f>
        <v>Abrir facsímil</v>
      </c>
      <c r="K1732" s="12" t="s">
        <v>24</v>
      </c>
    </row>
    <row r="1733" spans="1:11" ht="40.049999999999997" customHeight="1" x14ac:dyDescent="0.25">
      <c r="A1733" s="11" t="s">
        <v>3961</v>
      </c>
      <c r="B1733" s="11" t="s">
        <v>3961</v>
      </c>
      <c r="C1733" s="11" t="s">
        <v>17</v>
      </c>
      <c r="D1733" s="11" t="s">
        <v>18</v>
      </c>
      <c r="E1733" s="12" t="s">
        <v>2650</v>
      </c>
      <c r="F1733" s="12" t="s">
        <v>2651</v>
      </c>
      <c r="G1733" s="12" t="s">
        <v>40</v>
      </c>
      <c r="H1733" s="11" t="s">
        <v>22</v>
      </c>
      <c r="I1733" s="13" t="s">
        <v>3969</v>
      </c>
      <c r="J1733" s="14" t="str">
        <f>HYPERLINK("https://www.boe.es/gazeta/dias/1839/09/15/pdfs/GMD-1839-1768.pdf#page=2","Abrir facsímil")</f>
        <v>Abrir facsímil</v>
      </c>
      <c r="K1733" s="12" t="s">
        <v>24</v>
      </c>
    </row>
    <row r="1734" spans="1:11" ht="40.049999999999997" customHeight="1" x14ac:dyDescent="0.25">
      <c r="A1734" s="11" t="s">
        <v>3961</v>
      </c>
      <c r="B1734" s="11" t="s">
        <v>3961</v>
      </c>
      <c r="C1734" s="11" t="s">
        <v>137</v>
      </c>
      <c r="D1734" s="11" t="s">
        <v>18</v>
      </c>
      <c r="E1734" s="12" t="s">
        <v>2069</v>
      </c>
      <c r="F1734" s="12" t="s">
        <v>2070</v>
      </c>
      <c r="G1734" s="12" t="s">
        <v>566</v>
      </c>
      <c r="H1734" s="11" t="s">
        <v>22</v>
      </c>
      <c r="I1734" s="13" t="s">
        <v>3970</v>
      </c>
      <c r="J1734" s="14" t="str">
        <f>HYPERLINK("https://www.boe.es/gazeta/dias/1839/10/20/pdfs/GMD-1839-1806.pdf#page=5","Abrir facsímil")</f>
        <v>Abrir facsímil</v>
      </c>
      <c r="K1734" s="12" t="s">
        <v>24</v>
      </c>
    </row>
    <row r="1735" spans="1:11" ht="40.049999999999997" customHeight="1" x14ac:dyDescent="0.25">
      <c r="A1735" s="11" t="s">
        <v>3963</v>
      </c>
      <c r="B1735" s="11" t="s">
        <v>3963</v>
      </c>
      <c r="C1735" s="11" t="s">
        <v>17</v>
      </c>
      <c r="D1735" s="11" t="s">
        <v>18</v>
      </c>
      <c r="E1735" s="12" t="s">
        <v>794</v>
      </c>
      <c r="F1735" s="12" t="s">
        <v>795</v>
      </c>
      <c r="G1735" s="12" t="s">
        <v>46</v>
      </c>
      <c r="H1735" s="11" t="s">
        <v>63</v>
      </c>
      <c r="I1735" s="13" t="s">
        <v>3971</v>
      </c>
      <c r="J1735" s="14" t="str">
        <f>HYPERLINK("https://www.boe.es/gazeta/dias/1839/01/22/pdfs/GMD-1839-1529.pdf#page=3","Abrir facsímil")</f>
        <v>Abrir facsímil</v>
      </c>
      <c r="K1735" s="12" t="s">
        <v>65</v>
      </c>
    </row>
    <row r="1736" spans="1:11" ht="40.049999999999997" customHeight="1" x14ac:dyDescent="0.25">
      <c r="A1736" s="11" t="s">
        <v>3961</v>
      </c>
      <c r="B1736" s="11" t="s">
        <v>3961</v>
      </c>
      <c r="C1736" s="11" t="s">
        <v>17</v>
      </c>
      <c r="D1736" s="11" t="s">
        <v>18</v>
      </c>
      <c r="E1736" s="12" t="s">
        <v>596</v>
      </c>
      <c r="F1736" s="12" t="s">
        <v>597</v>
      </c>
      <c r="G1736" s="12" t="s">
        <v>46</v>
      </c>
      <c r="H1736" s="11" t="s">
        <v>22</v>
      </c>
      <c r="I1736" s="13" t="s">
        <v>3972</v>
      </c>
      <c r="J1736" s="14" t="str">
        <f>HYPERLINK("https://www.boe.es/gazeta/dias/1839/01/23/pdfs/GMD-1839-1530.pdf#page=3","Abrir facsímil")</f>
        <v>Abrir facsímil</v>
      </c>
      <c r="K1736" s="12" t="s">
        <v>24</v>
      </c>
    </row>
    <row r="1737" spans="1:11" ht="40.049999999999997" customHeight="1" x14ac:dyDescent="0.25">
      <c r="A1737" s="11" t="s">
        <v>3963</v>
      </c>
      <c r="B1737" s="11" t="s">
        <v>3963</v>
      </c>
      <c r="C1737" s="11" t="s">
        <v>101</v>
      </c>
      <c r="D1737" s="11" t="s">
        <v>102</v>
      </c>
      <c r="E1737" s="12" t="s">
        <v>276</v>
      </c>
      <c r="F1737" s="12" t="s">
        <v>277</v>
      </c>
      <c r="G1737" s="12" t="s">
        <v>46</v>
      </c>
      <c r="H1737" s="11" t="s">
        <v>63</v>
      </c>
      <c r="I1737" s="13" t="s">
        <v>3973</v>
      </c>
      <c r="J1737" s="14" t="str">
        <f>HYPERLINK("https://www.boe.es/gazeta/dias/1839/09/24/pdfs/GMD-1839-1780.pdf#page=3","Abrir facsímil")</f>
        <v>Abrir facsímil</v>
      </c>
      <c r="K1737" s="12" t="s">
        <v>65</v>
      </c>
    </row>
    <row r="1738" spans="1:11" ht="40.049999999999997" customHeight="1" x14ac:dyDescent="0.25">
      <c r="A1738" s="11" t="s">
        <v>3963</v>
      </c>
      <c r="B1738" s="11" t="s">
        <v>3963</v>
      </c>
      <c r="C1738" s="11" t="s">
        <v>17</v>
      </c>
      <c r="D1738" s="11" t="s">
        <v>18</v>
      </c>
      <c r="E1738" s="12" t="s">
        <v>1909</v>
      </c>
      <c r="F1738" s="12" t="s">
        <v>1910</v>
      </c>
      <c r="G1738" s="12" t="s">
        <v>46</v>
      </c>
      <c r="H1738" s="11" t="s">
        <v>63</v>
      </c>
      <c r="I1738" s="13" t="s">
        <v>3974</v>
      </c>
      <c r="J1738" s="14" t="str">
        <f>HYPERLINK("https://www.boe.es/gazeta/dias/1839/10/27/pdfs/GMD-1839-1813.pdf#page=3","Abrir facsímil")</f>
        <v>Abrir facsímil</v>
      </c>
      <c r="K1738" s="12" t="s">
        <v>65</v>
      </c>
    </row>
    <row r="1739" spans="1:11" ht="40.049999999999997" customHeight="1" x14ac:dyDescent="0.25">
      <c r="A1739" s="11" t="s">
        <v>3961</v>
      </c>
      <c r="B1739" s="11" t="s">
        <v>3961</v>
      </c>
      <c r="C1739" s="11" t="s">
        <v>101</v>
      </c>
      <c r="D1739" s="11" t="s">
        <v>43</v>
      </c>
      <c r="E1739" s="12" t="s">
        <v>862</v>
      </c>
      <c r="F1739" s="12" t="s">
        <v>863</v>
      </c>
      <c r="G1739" s="12" t="s">
        <v>21</v>
      </c>
      <c r="H1739" s="11" t="s">
        <v>22</v>
      </c>
      <c r="I1739" s="13" t="s">
        <v>3975</v>
      </c>
      <c r="J1739" s="14" t="str">
        <f>HYPERLINK("https://www.boe.es/gazeta/dias/1839/10/28/pdfs/GMD-1839-1814.pdf#page=4","Abrir facsímil")</f>
        <v>Abrir facsímil</v>
      </c>
      <c r="K1739" s="12" t="s">
        <v>24</v>
      </c>
    </row>
    <row r="1740" spans="1:11" ht="40.049999999999997" customHeight="1" x14ac:dyDescent="0.25">
      <c r="A1740" s="11" t="s">
        <v>3963</v>
      </c>
      <c r="B1740" s="11" t="s">
        <v>3963</v>
      </c>
      <c r="C1740" s="11" t="s">
        <v>17</v>
      </c>
      <c r="D1740" s="11" t="s">
        <v>18</v>
      </c>
      <c r="E1740" s="12" t="s">
        <v>862</v>
      </c>
      <c r="F1740" s="12" t="s">
        <v>863</v>
      </c>
      <c r="G1740" s="12" t="s">
        <v>566</v>
      </c>
      <c r="H1740" s="11" t="s">
        <v>63</v>
      </c>
      <c r="I1740" s="13" t="s">
        <v>3976</v>
      </c>
      <c r="J1740" s="14" t="str">
        <f>HYPERLINK("https://www.boe.es/gazeta/dias/1839/10/28/pdfs/GMD-1839-1814.pdf#page=5","Abrir facsímil")</f>
        <v>Abrir facsímil</v>
      </c>
      <c r="K1740" s="12" t="s">
        <v>65</v>
      </c>
    </row>
    <row r="1741" spans="1:11" ht="40.049999999999997" customHeight="1" x14ac:dyDescent="0.25">
      <c r="A1741" s="11" t="s">
        <v>3963</v>
      </c>
      <c r="B1741" s="11" t="s">
        <v>3963</v>
      </c>
      <c r="C1741" s="11" t="s">
        <v>17</v>
      </c>
      <c r="D1741" s="11" t="s">
        <v>18</v>
      </c>
      <c r="E1741" s="12" t="s">
        <v>1988</v>
      </c>
      <c r="F1741" s="12" t="s">
        <v>1989</v>
      </c>
      <c r="G1741" s="12" t="s">
        <v>46</v>
      </c>
      <c r="H1741" s="11" t="s">
        <v>63</v>
      </c>
      <c r="I1741" s="13" t="s">
        <v>3977</v>
      </c>
      <c r="J1741" s="14" t="str">
        <f>HYPERLINK("https://www.boe.es/gazeta/dias/1839/10/29/pdfs/GMD-1839-1815.pdf#page=3","Abrir facsímil")</f>
        <v>Abrir facsímil</v>
      </c>
      <c r="K1741" s="12" t="s">
        <v>65</v>
      </c>
    </row>
    <row r="1742" spans="1:11" ht="40.049999999999997" customHeight="1" x14ac:dyDescent="0.25">
      <c r="A1742" s="11" t="s">
        <v>3978</v>
      </c>
      <c r="B1742" s="11" t="s">
        <v>3979</v>
      </c>
      <c r="C1742" s="11" t="s">
        <v>17</v>
      </c>
      <c r="D1742" s="11" t="s">
        <v>18</v>
      </c>
      <c r="E1742" s="12" t="s">
        <v>1108</v>
      </c>
      <c r="F1742" s="12" t="s">
        <v>1109</v>
      </c>
      <c r="G1742" s="12" t="s">
        <v>40</v>
      </c>
      <c r="H1742" s="11" t="s">
        <v>63</v>
      </c>
      <c r="I1742" s="13" t="s">
        <v>3980</v>
      </c>
      <c r="J1742" s="14" t="str">
        <f>HYPERLINK("https://www.boe.es/gazeta/dias/1839/09/21/pdfs/GMD-1839-1776.pdf#page=2","Abrir facsímil")</f>
        <v>Abrir facsímil</v>
      </c>
      <c r="K1742" s="12" t="s">
        <v>65</v>
      </c>
    </row>
    <row r="1743" spans="1:11" ht="40.049999999999997" customHeight="1" x14ac:dyDescent="0.25">
      <c r="A1743" s="11" t="s">
        <v>3981</v>
      </c>
      <c r="B1743" s="11" t="s">
        <v>3982</v>
      </c>
      <c r="C1743" s="11" t="s">
        <v>80</v>
      </c>
      <c r="D1743" s="11" t="s">
        <v>18</v>
      </c>
      <c r="E1743" s="12" t="s">
        <v>1807</v>
      </c>
      <c r="F1743" s="12" t="s">
        <v>1808</v>
      </c>
      <c r="G1743" s="12" t="s">
        <v>40</v>
      </c>
      <c r="H1743" s="11" t="s">
        <v>63</v>
      </c>
      <c r="I1743" s="13" t="s">
        <v>3983</v>
      </c>
      <c r="J1743" s="14" t="str">
        <f>HYPERLINK("https://www.boe.es/gazeta/dias/1839/01/29/pdfs/GMD-1839-1536.pdf#page=2","Abrir facsímil")</f>
        <v>Abrir facsímil</v>
      </c>
      <c r="K1743" s="12" t="s">
        <v>65</v>
      </c>
    </row>
    <row r="1744" spans="1:11" ht="40.049999999999997" customHeight="1" x14ac:dyDescent="0.25">
      <c r="A1744" s="11" t="s">
        <v>3984</v>
      </c>
      <c r="B1744" s="11" t="s">
        <v>3984</v>
      </c>
      <c r="C1744" s="11" t="s">
        <v>137</v>
      </c>
      <c r="D1744" s="11" t="s">
        <v>18</v>
      </c>
      <c r="E1744" s="12" t="s">
        <v>160</v>
      </c>
      <c r="F1744" s="12" t="s">
        <v>161</v>
      </c>
      <c r="G1744" s="12" t="s">
        <v>40</v>
      </c>
      <c r="H1744" s="11" t="s">
        <v>22</v>
      </c>
      <c r="I1744" s="13" t="s">
        <v>3985</v>
      </c>
      <c r="J1744" s="14" t="str">
        <f>HYPERLINK("https://www.boe.es/gazeta/dias/1839/01/10/pdfs/GMD-1839-1517.pdf#page=2","Abrir facsímil")</f>
        <v>Abrir facsímil</v>
      </c>
      <c r="K1744" s="12" t="s">
        <v>24</v>
      </c>
    </row>
    <row r="1745" spans="1:11" ht="40.049999999999997" customHeight="1" x14ac:dyDescent="0.25">
      <c r="A1745" s="11" t="s">
        <v>3984</v>
      </c>
      <c r="B1745" s="11" t="s">
        <v>3984</v>
      </c>
      <c r="C1745" s="11" t="s">
        <v>17</v>
      </c>
      <c r="D1745" s="11" t="s">
        <v>18</v>
      </c>
      <c r="E1745" s="12" t="s">
        <v>269</v>
      </c>
      <c r="F1745" s="12" t="s">
        <v>270</v>
      </c>
      <c r="G1745" s="12" t="s">
        <v>40</v>
      </c>
      <c r="H1745" s="11" t="s">
        <v>22</v>
      </c>
      <c r="I1745" s="13" t="s">
        <v>3986</v>
      </c>
      <c r="J1745" s="14" t="str">
        <f>HYPERLINK("https://www.boe.es/gazeta/dias/1839/02/10/pdfs/GMD-1839-1548.pdf#page=2","Abrir facsímil")</f>
        <v>Abrir facsímil</v>
      </c>
      <c r="K1745" s="12" t="s">
        <v>24</v>
      </c>
    </row>
    <row r="1746" spans="1:11" ht="40.049999999999997" customHeight="1" x14ac:dyDescent="0.25">
      <c r="A1746" s="11" t="s">
        <v>3984</v>
      </c>
      <c r="B1746" s="11" t="s">
        <v>3984</v>
      </c>
      <c r="C1746" s="11" t="s">
        <v>17</v>
      </c>
      <c r="D1746" s="11" t="s">
        <v>18</v>
      </c>
      <c r="E1746" s="12" t="s">
        <v>2650</v>
      </c>
      <c r="F1746" s="12" t="s">
        <v>2651</v>
      </c>
      <c r="G1746" s="12" t="s">
        <v>40</v>
      </c>
      <c r="H1746" s="11" t="s">
        <v>22</v>
      </c>
      <c r="I1746" s="13" t="s">
        <v>3987</v>
      </c>
      <c r="J1746" s="14" t="str">
        <f>HYPERLINK("https://www.boe.es/gazeta/dias/1839/09/15/pdfs/GMD-1839-1768.pdf#page=2","Abrir facsímil")</f>
        <v>Abrir facsímil</v>
      </c>
      <c r="K1746" s="12" t="s">
        <v>24</v>
      </c>
    </row>
    <row r="1747" spans="1:11" ht="40.049999999999997" customHeight="1" x14ac:dyDescent="0.25">
      <c r="A1747" s="11" t="s">
        <v>3984</v>
      </c>
      <c r="B1747" s="11" t="s">
        <v>3984</v>
      </c>
      <c r="C1747" s="11" t="s">
        <v>101</v>
      </c>
      <c r="D1747" s="11" t="s">
        <v>43</v>
      </c>
      <c r="E1747" s="12" t="s">
        <v>794</v>
      </c>
      <c r="F1747" s="12" t="s">
        <v>795</v>
      </c>
      <c r="G1747" s="12" t="s">
        <v>40</v>
      </c>
      <c r="H1747" s="11" t="s">
        <v>22</v>
      </c>
      <c r="I1747" s="13" t="s">
        <v>3988</v>
      </c>
      <c r="J1747" s="14" t="str">
        <f>HYPERLINK("https://www.boe.es/gazeta/dias/1839/01/22/pdfs/GMD-1839-1529.pdf#page=2","Abrir facsímil")</f>
        <v>Abrir facsímil</v>
      </c>
      <c r="K1747" s="12" t="s">
        <v>24</v>
      </c>
    </row>
    <row r="1748" spans="1:11" ht="40.049999999999997" customHeight="1" x14ac:dyDescent="0.25">
      <c r="A1748" s="11" t="s">
        <v>3984</v>
      </c>
      <c r="B1748" s="11" t="s">
        <v>3984</v>
      </c>
      <c r="C1748" s="11" t="s">
        <v>101</v>
      </c>
      <c r="D1748" s="11" t="s">
        <v>43</v>
      </c>
      <c r="E1748" s="12" t="s">
        <v>1086</v>
      </c>
      <c r="F1748" s="12" t="s">
        <v>1087</v>
      </c>
      <c r="G1748" s="12" t="s">
        <v>21</v>
      </c>
      <c r="H1748" s="11" t="s">
        <v>22</v>
      </c>
      <c r="I1748" s="13" t="s">
        <v>3989</v>
      </c>
      <c r="J1748" s="14" t="str">
        <f>HYPERLINK("https://www.boe.es/gazeta/dias/1839/10/26/pdfs/GMD-1839-1812.pdf#page=4","Abrir facsímil")</f>
        <v>Abrir facsímil</v>
      </c>
      <c r="K1748" s="12" t="s">
        <v>24</v>
      </c>
    </row>
    <row r="1749" spans="1:11" ht="40.049999999999997" customHeight="1" x14ac:dyDescent="0.25">
      <c r="A1749" s="11" t="s">
        <v>3990</v>
      </c>
      <c r="B1749" s="11" t="s">
        <v>3991</v>
      </c>
      <c r="C1749" s="11" t="s">
        <v>17</v>
      </c>
      <c r="D1749" s="11" t="s">
        <v>18</v>
      </c>
      <c r="E1749" s="12" t="s">
        <v>1672</v>
      </c>
      <c r="F1749" s="12" t="s">
        <v>1673</v>
      </c>
      <c r="G1749" s="12" t="s">
        <v>46</v>
      </c>
      <c r="H1749" s="11" t="s">
        <v>63</v>
      </c>
      <c r="I1749" s="13" t="s">
        <v>3992</v>
      </c>
      <c r="J1749" s="14" t="str">
        <f>HYPERLINK("https://www.boe.es/gazeta/dias/1839/08/24/pdfs/GMD-1839-1745.pdf#page=3","Abrir facsímil")</f>
        <v>Abrir facsímil</v>
      </c>
      <c r="K1749" s="12" t="s">
        <v>65</v>
      </c>
    </row>
    <row r="1750" spans="1:11" ht="40.049999999999997" customHeight="1" x14ac:dyDescent="0.25">
      <c r="A1750" s="11" t="s">
        <v>3993</v>
      </c>
      <c r="B1750" s="11" t="s">
        <v>3993</v>
      </c>
      <c r="C1750" s="11" t="s">
        <v>101</v>
      </c>
      <c r="D1750" s="11" t="s">
        <v>43</v>
      </c>
      <c r="E1750" s="12" t="s">
        <v>1179</v>
      </c>
      <c r="F1750" s="12" t="s">
        <v>1180</v>
      </c>
      <c r="G1750" s="12" t="s">
        <v>46</v>
      </c>
      <c r="H1750" s="11" t="s">
        <v>63</v>
      </c>
      <c r="I1750" s="13" t="s">
        <v>3994</v>
      </c>
      <c r="J1750" s="14" t="str">
        <f>HYPERLINK("https://www.boe.es/gazeta/dias/1839/10/18/pdfs/GMD-1839-1804.pdf#page=3","Abrir facsímil")</f>
        <v>Abrir facsímil</v>
      </c>
      <c r="K1750" s="12" t="s">
        <v>65</v>
      </c>
    </row>
    <row r="1751" spans="1:11" ht="40.049999999999997" customHeight="1" x14ac:dyDescent="0.25">
      <c r="A1751" s="11" t="s">
        <v>3993</v>
      </c>
      <c r="B1751" s="11" t="s">
        <v>3993</v>
      </c>
      <c r="C1751" s="11" t="s">
        <v>17</v>
      </c>
      <c r="D1751" s="11" t="s">
        <v>18</v>
      </c>
      <c r="E1751" s="12" t="s">
        <v>1179</v>
      </c>
      <c r="F1751" s="12" t="s">
        <v>1180</v>
      </c>
      <c r="G1751" s="12" t="s">
        <v>566</v>
      </c>
      <c r="H1751" s="11" t="s">
        <v>63</v>
      </c>
      <c r="I1751" s="13" t="s">
        <v>3995</v>
      </c>
      <c r="J1751" s="14" t="str">
        <f>HYPERLINK("https://www.boe.es/gazeta/dias/1839/10/18/pdfs/GMD-1839-1804.pdf#page=5","Abrir facsímil")</f>
        <v>Abrir facsímil</v>
      </c>
      <c r="K1751" s="12" t="s">
        <v>65</v>
      </c>
    </row>
    <row r="1752" spans="1:11" ht="40.049999999999997" customHeight="1" x14ac:dyDescent="0.25">
      <c r="A1752" s="11" t="s">
        <v>3996</v>
      </c>
      <c r="B1752" s="11" t="s">
        <v>3996</v>
      </c>
      <c r="C1752" s="11" t="s">
        <v>137</v>
      </c>
      <c r="D1752" s="11" t="s">
        <v>18</v>
      </c>
      <c r="E1752" s="12" t="s">
        <v>2069</v>
      </c>
      <c r="F1752" s="12" t="s">
        <v>2070</v>
      </c>
      <c r="G1752" s="12" t="s">
        <v>305</v>
      </c>
      <c r="H1752" s="11" t="s">
        <v>22</v>
      </c>
      <c r="I1752" s="13" t="s">
        <v>3997</v>
      </c>
      <c r="J1752" s="14" t="str">
        <f>HYPERLINK("https://www.boe.es/gazeta/dias/1839/10/20/pdfs/GMD-1839-1806.pdf#page=6","Abrir facsímil")</f>
        <v>Abrir facsímil</v>
      </c>
      <c r="K1752" s="12" t="s">
        <v>24</v>
      </c>
    </row>
    <row r="1753" spans="1:11" ht="40.049999999999997" customHeight="1" x14ac:dyDescent="0.25">
      <c r="A1753" s="11" t="s">
        <v>3998</v>
      </c>
      <c r="B1753" s="11" t="s">
        <v>3999</v>
      </c>
      <c r="C1753" s="11" t="s">
        <v>17</v>
      </c>
      <c r="D1753" s="11" t="s">
        <v>18</v>
      </c>
      <c r="E1753" s="12" t="s">
        <v>258</v>
      </c>
      <c r="F1753" s="12" t="s">
        <v>259</v>
      </c>
      <c r="G1753" s="12" t="s">
        <v>46</v>
      </c>
      <c r="H1753" s="11" t="s">
        <v>22</v>
      </c>
      <c r="I1753" s="13" t="s">
        <v>4000</v>
      </c>
      <c r="J1753" s="14" t="str">
        <f>HYPERLINK("https://www.boe.es/gazeta/dias/1839/01/02/pdfs/GMD-1839-1509.pdf#page=3","Abrir facsímil")</f>
        <v>Abrir facsímil</v>
      </c>
      <c r="K1753" s="12" t="s">
        <v>24</v>
      </c>
    </row>
    <row r="1754" spans="1:11" ht="40.049999999999997" customHeight="1" x14ac:dyDescent="0.25">
      <c r="A1754" s="11" t="s">
        <v>4001</v>
      </c>
      <c r="B1754" s="11" t="s">
        <v>4002</v>
      </c>
      <c r="C1754" s="11" t="s">
        <v>17</v>
      </c>
      <c r="D1754" s="11" t="s">
        <v>18</v>
      </c>
      <c r="E1754" s="12" t="s">
        <v>258</v>
      </c>
      <c r="F1754" s="12" t="s">
        <v>259</v>
      </c>
      <c r="G1754" s="12" t="s">
        <v>46</v>
      </c>
      <c r="H1754" s="11" t="s">
        <v>22</v>
      </c>
      <c r="I1754" s="13" t="s">
        <v>4003</v>
      </c>
      <c r="J1754" s="14" t="str">
        <f>HYPERLINK("https://www.boe.es/gazeta/dias/1839/01/02/pdfs/GMD-1839-1509.pdf#page=3","Abrir facsímil")</f>
        <v>Abrir facsímil</v>
      </c>
      <c r="K1754" s="12" t="s">
        <v>24</v>
      </c>
    </row>
    <row r="1755" spans="1:11" ht="40.049999999999997" customHeight="1" x14ac:dyDescent="0.25">
      <c r="A1755" s="11" t="s">
        <v>4004</v>
      </c>
      <c r="B1755" s="11" t="s">
        <v>4004</v>
      </c>
      <c r="C1755" s="11" t="s">
        <v>17</v>
      </c>
      <c r="D1755" s="11" t="s">
        <v>18</v>
      </c>
      <c r="E1755" s="12" t="s">
        <v>54</v>
      </c>
      <c r="F1755" s="12" t="s">
        <v>55</v>
      </c>
      <c r="G1755" s="12" t="s">
        <v>21</v>
      </c>
      <c r="H1755" s="11" t="s">
        <v>22</v>
      </c>
      <c r="I1755" s="13" t="s">
        <v>4005</v>
      </c>
      <c r="J1755" s="14" t="str">
        <f>HYPERLINK("https://www.boe.es/gazeta/dias/1839/10/05/pdfs/GMD-1839-1791.pdf#page=4","Abrir facsímil")</f>
        <v>Abrir facsímil</v>
      </c>
      <c r="K1755" s="12" t="s">
        <v>24</v>
      </c>
    </row>
    <row r="1756" spans="1:11" ht="40.049999999999997" customHeight="1" x14ac:dyDescent="0.25">
      <c r="A1756" s="11" t="s">
        <v>4006</v>
      </c>
      <c r="B1756" s="11" t="s">
        <v>4006</v>
      </c>
      <c r="C1756" s="11" t="s">
        <v>17</v>
      </c>
      <c r="D1756" s="11" t="s">
        <v>18</v>
      </c>
      <c r="E1756" s="12" t="s">
        <v>1057</v>
      </c>
      <c r="F1756" s="12" t="s">
        <v>1058</v>
      </c>
      <c r="G1756" s="12" t="s">
        <v>40</v>
      </c>
      <c r="H1756" s="11" t="s">
        <v>22</v>
      </c>
      <c r="I1756" s="13" t="s">
        <v>4007</v>
      </c>
      <c r="J1756" s="14" t="str">
        <f>HYPERLINK("https://www.boe.es/gazeta/dias/1839/10/01/pdfs/GMD-1839-1787.pdf#page=2","Abrir facsímil")</f>
        <v>Abrir facsímil</v>
      </c>
      <c r="K1756" s="12" t="s">
        <v>24</v>
      </c>
    </row>
    <row r="1757" spans="1:11" ht="40.049999999999997" customHeight="1" x14ac:dyDescent="0.25">
      <c r="A1757" s="11" t="s">
        <v>4006</v>
      </c>
      <c r="B1757" s="11" t="s">
        <v>4006</v>
      </c>
      <c r="C1757" s="11" t="s">
        <v>17</v>
      </c>
      <c r="D1757" s="11" t="s">
        <v>18</v>
      </c>
      <c r="E1757" s="12" t="s">
        <v>212</v>
      </c>
      <c r="F1757" s="12" t="s">
        <v>213</v>
      </c>
      <c r="G1757" s="12" t="s">
        <v>40</v>
      </c>
      <c r="H1757" s="11" t="s">
        <v>22</v>
      </c>
      <c r="I1757" s="13" t="s">
        <v>4008</v>
      </c>
      <c r="J1757" s="14" t="str">
        <f>HYPERLINK("https://www.boe.es/gazeta/dias/1839/10/03/pdfs/GMD-1839-1789.pdf#page=2","Abrir facsímil")</f>
        <v>Abrir facsímil</v>
      </c>
      <c r="K1757" s="12" t="s">
        <v>24</v>
      </c>
    </row>
    <row r="1758" spans="1:11" ht="40.049999999999997" customHeight="1" x14ac:dyDescent="0.25">
      <c r="A1758" s="11" t="s">
        <v>4006</v>
      </c>
      <c r="B1758" s="11" t="s">
        <v>4006</v>
      </c>
      <c r="C1758" s="11" t="s">
        <v>17</v>
      </c>
      <c r="D1758" s="11" t="s">
        <v>18</v>
      </c>
      <c r="E1758" s="12" t="s">
        <v>212</v>
      </c>
      <c r="F1758" s="12" t="s">
        <v>213</v>
      </c>
      <c r="G1758" s="12" t="s">
        <v>46</v>
      </c>
      <c r="H1758" s="11" t="s">
        <v>22</v>
      </c>
      <c r="I1758" s="13" t="s">
        <v>4009</v>
      </c>
      <c r="J1758" s="14" t="str">
        <f>HYPERLINK("https://www.boe.es/gazeta/dias/1839/10/03/pdfs/GMD-1839-1789.pdf#page=3","Abrir facsímil")</f>
        <v>Abrir facsímil</v>
      </c>
      <c r="K1758" s="12" t="s">
        <v>24</v>
      </c>
    </row>
    <row r="1759" spans="1:11" ht="40.049999999999997" customHeight="1" x14ac:dyDescent="0.25">
      <c r="A1759" s="11" t="s">
        <v>4006</v>
      </c>
      <c r="B1759" s="11" t="s">
        <v>4006</v>
      </c>
      <c r="C1759" s="11" t="s">
        <v>59</v>
      </c>
      <c r="D1759" s="11" t="s">
        <v>60</v>
      </c>
      <c r="E1759" s="12" t="s">
        <v>1008</v>
      </c>
      <c r="F1759" s="12" t="s">
        <v>1009</v>
      </c>
      <c r="G1759" s="12" t="s">
        <v>40</v>
      </c>
      <c r="H1759" s="11" t="s">
        <v>22</v>
      </c>
      <c r="I1759" s="13" t="s">
        <v>4010</v>
      </c>
      <c r="J1759" s="14" t="str">
        <f>HYPERLINK("https://www.boe.es/gazeta/dias/1839/09/07/pdfs/GMD-1839-1760.pdf#page=2","Abrir facsímil")</f>
        <v>Abrir facsímil</v>
      </c>
      <c r="K1759" s="12" t="s">
        <v>24</v>
      </c>
    </row>
    <row r="1760" spans="1:11" ht="40.049999999999997" customHeight="1" x14ac:dyDescent="0.25">
      <c r="A1760" s="11" t="s">
        <v>4006</v>
      </c>
      <c r="B1760" s="11" t="s">
        <v>4006</v>
      </c>
      <c r="C1760" s="11" t="s">
        <v>17</v>
      </c>
      <c r="D1760" s="11" t="s">
        <v>18</v>
      </c>
      <c r="E1760" s="12" t="s">
        <v>1008</v>
      </c>
      <c r="F1760" s="12" t="s">
        <v>1009</v>
      </c>
      <c r="G1760" s="12" t="s">
        <v>46</v>
      </c>
      <c r="H1760" s="11" t="s">
        <v>22</v>
      </c>
      <c r="I1760" s="13" t="s">
        <v>4011</v>
      </c>
      <c r="J1760" s="14" t="str">
        <f>HYPERLINK("https://www.boe.es/gazeta/dias/1839/09/07/pdfs/GMD-1839-1760.pdf#page=3","Abrir facsímil")</f>
        <v>Abrir facsímil</v>
      </c>
      <c r="K1760" s="12" t="s">
        <v>24</v>
      </c>
    </row>
    <row r="1761" spans="1:11" ht="40.049999999999997" customHeight="1" x14ac:dyDescent="0.25">
      <c r="A1761" s="11" t="s">
        <v>4006</v>
      </c>
      <c r="B1761" s="11" t="s">
        <v>4006</v>
      </c>
      <c r="C1761" s="11" t="s">
        <v>17</v>
      </c>
      <c r="D1761" s="11" t="s">
        <v>18</v>
      </c>
      <c r="E1761" s="12" t="s">
        <v>61</v>
      </c>
      <c r="F1761" s="12" t="s">
        <v>62</v>
      </c>
      <c r="G1761" s="12" t="s">
        <v>40</v>
      </c>
      <c r="H1761" s="11" t="s">
        <v>22</v>
      </c>
      <c r="I1761" s="13" t="s">
        <v>4012</v>
      </c>
      <c r="J1761" s="14" t="str">
        <f>HYPERLINK("https://www.boe.es/gazeta/dias/1839/09/10/pdfs/GMD-1839-1763.pdf#page=2","Abrir facsímil")</f>
        <v>Abrir facsímil</v>
      </c>
      <c r="K1761" s="12" t="s">
        <v>24</v>
      </c>
    </row>
    <row r="1762" spans="1:11" ht="40.049999999999997" customHeight="1" x14ac:dyDescent="0.25">
      <c r="A1762" s="11" t="s">
        <v>4006</v>
      </c>
      <c r="B1762" s="11" t="s">
        <v>4006</v>
      </c>
      <c r="C1762" s="11" t="s">
        <v>17</v>
      </c>
      <c r="D1762" s="11" t="s">
        <v>18</v>
      </c>
      <c r="E1762" s="12" t="s">
        <v>561</v>
      </c>
      <c r="F1762" s="12" t="s">
        <v>562</v>
      </c>
      <c r="G1762" s="12" t="s">
        <v>40</v>
      </c>
      <c r="H1762" s="11" t="s">
        <v>22</v>
      </c>
      <c r="I1762" s="13" t="s">
        <v>4013</v>
      </c>
      <c r="J1762" s="14" t="str">
        <f>HYPERLINK("https://www.boe.es/gazeta/dias/1839/09/11/pdfs/GMD-1839-1764.pdf#page=2","Abrir facsímil")</f>
        <v>Abrir facsímil</v>
      </c>
      <c r="K1762" s="12" t="s">
        <v>24</v>
      </c>
    </row>
    <row r="1763" spans="1:11" ht="40.049999999999997" customHeight="1" x14ac:dyDescent="0.25">
      <c r="A1763" s="11" t="s">
        <v>4006</v>
      </c>
      <c r="B1763" s="11" t="s">
        <v>4006</v>
      </c>
      <c r="C1763" s="11" t="s">
        <v>101</v>
      </c>
      <c r="D1763" s="11" t="s">
        <v>43</v>
      </c>
      <c r="E1763" s="12" t="s">
        <v>561</v>
      </c>
      <c r="F1763" s="12" t="s">
        <v>562</v>
      </c>
      <c r="G1763" s="12" t="s">
        <v>46</v>
      </c>
      <c r="H1763" s="11" t="s">
        <v>22</v>
      </c>
      <c r="I1763" s="13" t="s">
        <v>4014</v>
      </c>
      <c r="J1763" s="14" t="str">
        <f>HYPERLINK("https://www.boe.es/gazeta/dias/1839/09/11/pdfs/GMD-1839-1764.pdf#page=3","Abrir facsímil")</f>
        <v>Abrir facsímil</v>
      </c>
      <c r="K1763" s="12" t="s">
        <v>24</v>
      </c>
    </row>
    <row r="1764" spans="1:11" ht="40.049999999999997" customHeight="1" x14ac:dyDescent="0.25">
      <c r="A1764" s="11" t="s">
        <v>4006</v>
      </c>
      <c r="B1764" s="11" t="s">
        <v>4006</v>
      </c>
      <c r="C1764" s="11" t="s">
        <v>17</v>
      </c>
      <c r="D1764" s="11" t="s">
        <v>18</v>
      </c>
      <c r="E1764" s="12" t="s">
        <v>1179</v>
      </c>
      <c r="F1764" s="12" t="s">
        <v>1180</v>
      </c>
      <c r="G1764" s="12" t="s">
        <v>46</v>
      </c>
      <c r="H1764" s="11" t="s">
        <v>22</v>
      </c>
      <c r="I1764" s="13" t="s">
        <v>4015</v>
      </c>
      <c r="J1764" s="14" t="str">
        <f>HYPERLINK("https://www.boe.es/gazeta/dias/1839/10/18/pdfs/GMD-1839-1804.pdf#page=3","Abrir facsímil")</f>
        <v>Abrir facsímil</v>
      </c>
      <c r="K1764" s="12" t="s">
        <v>24</v>
      </c>
    </row>
    <row r="1765" spans="1:11" ht="40.049999999999997" customHeight="1" x14ac:dyDescent="0.25">
      <c r="A1765" s="11" t="s">
        <v>4006</v>
      </c>
      <c r="B1765" s="11" t="s">
        <v>4006</v>
      </c>
      <c r="C1765" s="11" t="s">
        <v>17</v>
      </c>
      <c r="D1765" s="11" t="s">
        <v>18</v>
      </c>
      <c r="E1765" s="12" t="s">
        <v>1807</v>
      </c>
      <c r="F1765" s="12" t="s">
        <v>1808</v>
      </c>
      <c r="G1765" s="12" t="s">
        <v>46</v>
      </c>
      <c r="H1765" s="11" t="s">
        <v>22</v>
      </c>
      <c r="I1765" s="13" t="s">
        <v>4016</v>
      </c>
      <c r="J1765" s="14" t="str">
        <f>HYPERLINK("https://www.boe.es/gazeta/dias/1839/01/29/pdfs/GMD-1839-1536.pdf#page=3","Abrir facsímil")</f>
        <v>Abrir facsímil</v>
      </c>
      <c r="K1765" s="12" t="s">
        <v>24</v>
      </c>
    </row>
    <row r="1766" spans="1:11" ht="40.049999999999997" customHeight="1" x14ac:dyDescent="0.25">
      <c r="A1766" s="11" t="s">
        <v>4017</v>
      </c>
      <c r="B1766" s="11" t="s">
        <v>4017</v>
      </c>
      <c r="C1766" s="11" t="s">
        <v>17</v>
      </c>
      <c r="D1766" s="11" t="s">
        <v>18</v>
      </c>
      <c r="E1766" s="12" t="s">
        <v>2107</v>
      </c>
      <c r="F1766" s="12" t="s">
        <v>2108</v>
      </c>
      <c r="G1766" s="12" t="s">
        <v>46</v>
      </c>
      <c r="H1766" s="11" t="s">
        <v>22</v>
      </c>
      <c r="I1766" s="13" t="s">
        <v>4018</v>
      </c>
      <c r="J1766" s="14" t="str">
        <f>HYPERLINK("https://www.boe.es/gazeta/dias/1839/10/11/pdfs/GMD-1839-1797.pdf#page=3","Abrir facsímil")</f>
        <v>Abrir facsímil</v>
      </c>
      <c r="K1766" s="12" t="s">
        <v>24</v>
      </c>
    </row>
    <row r="1767" spans="1:11" ht="40.049999999999997" customHeight="1" x14ac:dyDescent="0.25">
      <c r="A1767" s="11" t="s">
        <v>4019</v>
      </c>
      <c r="B1767" s="11" t="s">
        <v>4019</v>
      </c>
      <c r="C1767" s="11" t="s">
        <v>17</v>
      </c>
      <c r="D1767" s="11" t="s">
        <v>18</v>
      </c>
      <c r="E1767" s="12" t="s">
        <v>804</v>
      </c>
      <c r="F1767" s="12" t="s">
        <v>805</v>
      </c>
      <c r="G1767" s="12" t="s">
        <v>46</v>
      </c>
      <c r="H1767" s="11" t="s">
        <v>22</v>
      </c>
      <c r="I1767" s="13" t="s">
        <v>4020</v>
      </c>
      <c r="J1767" s="14" t="str">
        <f>HYPERLINK("https://www.boe.es/gazeta/dias/1839/01/08/pdfs/GMD-1839-1515.pdf#page=3","Abrir facsímil")</f>
        <v>Abrir facsímil</v>
      </c>
      <c r="K1767" s="12" t="s">
        <v>24</v>
      </c>
    </row>
    <row r="1768" spans="1:11" ht="40.049999999999997" customHeight="1" x14ac:dyDescent="0.25">
      <c r="A1768" s="11" t="s">
        <v>4021</v>
      </c>
      <c r="B1768" s="11" t="s">
        <v>4021</v>
      </c>
      <c r="C1768" s="11" t="s">
        <v>17</v>
      </c>
      <c r="D1768" s="11" t="s">
        <v>18</v>
      </c>
      <c r="E1768" s="12" t="s">
        <v>1179</v>
      </c>
      <c r="F1768" s="12" t="s">
        <v>1180</v>
      </c>
      <c r="G1768" s="12" t="s">
        <v>566</v>
      </c>
      <c r="H1768" s="11" t="s">
        <v>22</v>
      </c>
      <c r="I1768" s="13" t="s">
        <v>4022</v>
      </c>
      <c r="J1768" s="14" t="str">
        <f>HYPERLINK("https://www.boe.es/gazeta/dias/1839/10/18/pdfs/GMD-1839-1804.pdf#page=5","Abrir facsímil")</f>
        <v>Abrir facsímil</v>
      </c>
      <c r="K1768" s="12" t="s">
        <v>24</v>
      </c>
    </row>
    <row r="1769" spans="1:11" ht="40.049999999999997" customHeight="1" x14ac:dyDescent="0.25">
      <c r="A1769" s="11" t="s">
        <v>4023</v>
      </c>
      <c r="B1769" s="11" t="s">
        <v>4023</v>
      </c>
      <c r="C1769" s="11" t="s">
        <v>101</v>
      </c>
      <c r="D1769" s="11" t="s">
        <v>43</v>
      </c>
      <c r="E1769" s="12" t="s">
        <v>212</v>
      </c>
      <c r="F1769" s="12" t="s">
        <v>213</v>
      </c>
      <c r="G1769" s="12" t="s">
        <v>40</v>
      </c>
      <c r="H1769" s="11" t="s">
        <v>63</v>
      </c>
      <c r="I1769" s="13" t="s">
        <v>4024</v>
      </c>
      <c r="J1769" s="14" t="str">
        <f>HYPERLINK("https://www.boe.es/gazeta/dias/1839/10/03/pdfs/GMD-1839-1789.pdf#page=2","Abrir facsímil")</f>
        <v>Abrir facsímil</v>
      </c>
      <c r="K1769" s="12" t="s">
        <v>65</v>
      </c>
    </row>
    <row r="1770" spans="1:11" ht="40.049999999999997" customHeight="1" x14ac:dyDescent="0.25">
      <c r="A1770" s="11" t="s">
        <v>4023</v>
      </c>
      <c r="B1770" s="11" t="s">
        <v>4023</v>
      </c>
      <c r="C1770" s="11" t="s">
        <v>17</v>
      </c>
      <c r="D1770" s="11" t="s">
        <v>18</v>
      </c>
      <c r="E1770" s="12" t="s">
        <v>197</v>
      </c>
      <c r="F1770" s="12" t="s">
        <v>198</v>
      </c>
      <c r="G1770" s="12" t="s">
        <v>40</v>
      </c>
      <c r="H1770" s="11" t="s">
        <v>63</v>
      </c>
      <c r="I1770" s="13" t="s">
        <v>4025</v>
      </c>
      <c r="J1770" s="14" t="str">
        <f>HYPERLINK("https://www.boe.es/gazeta/dias/1839/10/04/pdfs/GMD-1839-1790.pdf#page=2","Abrir facsímil")</f>
        <v>Abrir facsímil</v>
      </c>
      <c r="K1770" s="12" t="s">
        <v>65</v>
      </c>
    </row>
    <row r="1771" spans="1:11" ht="40.049999999999997" customHeight="1" x14ac:dyDescent="0.25">
      <c r="A1771" s="11" t="s">
        <v>4023</v>
      </c>
      <c r="B1771" s="11" t="s">
        <v>4023</v>
      </c>
      <c r="C1771" s="11" t="s">
        <v>17</v>
      </c>
      <c r="D1771" s="11" t="s">
        <v>18</v>
      </c>
      <c r="E1771" s="12" t="s">
        <v>804</v>
      </c>
      <c r="F1771" s="12" t="s">
        <v>805</v>
      </c>
      <c r="G1771" s="12" t="s">
        <v>40</v>
      </c>
      <c r="H1771" s="11" t="s">
        <v>63</v>
      </c>
      <c r="I1771" s="13" t="s">
        <v>4026</v>
      </c>
      <c r="J1771" s="14" t="str">
        <f>HYPERLINK("https://www.boe.es/gazeta/dias/1839/01/08/pdfs/GMD-1839-1515.pdf#page=2","Abrir facsímil")</f>
        <v>Abrir facsímil</v>
      </c>
      <c r="K1771" s="12" t="s">
        <v>65</v>
      </c>
    </row>
    <row r="1772" spans="1:11" ht="40.049999999999997" customHeight="1" x14ac:dyDescent="0.25">
      <c r="A1772" s="11" t="s">
        <v>4023</v>
      </c>
      <c r="B1772" s="11" t="s">
        <v>4023</v>
      </c>
      <c r="C1772" s="11" t="s">
        <v>17</v>
      </c>
      <c r="D1772" s="11" t="s">
        <v>18</v>
      </c>
      <c r="E1772" s="12" t="s">
        <v>2050</v>
      </c>
      <c r="F1772" s="12" t="s">
        <v>2051</v>
      </c>
      <c r="G1772" s="12" t="s">
        <v>46</v>
      </c>
      <c r="H1772" s="11" t="s">
        <v>63</v>
      </c>
      <c r="I1772" s="13" t="s">
        <v>4027</v>
      </c>
      <c r="J1772" s="14" t="str">
        <f>HYPERLINK("https://www.boe.es/gazeta/dias/1839/01/09/pdfs/GMD-1839-1516.pdf#page=3","Abrir facsímil")</f>
        <v>Abrir facsímil</v>
      </c>
      <c r="K1772" s="12" t="s">
        <v>65</v>
      </c>
    </row>
    <row r="1773" spans="1:11" ht="40.049999999999997" customHeight="1" x14ac:dyDescent="0.25">
      <c r="A1773" s="11" t="s">
        <v>4023</v>
      </c>
      <c r="B1773" s="11" t="s">
        <v>4023</v>
      </c>
      <c r="C1773" s="11" t="s">
        <v>17</v>
      </c>
      <c r="D1773" s="11" t="s">
        <v>18</v>
      </c>
      <c r="E1773" s="12" t="s">
        <v>561</v>
      </c>
      <c r="F1773" s="12" t="s">
        <v>562</v>
      </c>
      <c r="G1773" s="12" t="s">
        <v>40</v>
      </c>
      <c r="H1773" s="11" t="s">
        <v>63</v>
      </c>
      <c r="I1773" s="13" t="s">
        <v>4028</v>
      </c>
      <c r="J1773" s="14" t="str">
        <f>HYPERLINK("https://www.boe.es/gazeta/dias/1839/09/11/pdfs/GMD-1839-1764.pdf#page=2","Abrir facsímil")</f>
        <v>Abrir facsímil</v>
      </c>
      <c r="K1773" s="12" t="s">
        <v>65</v>
      </c>
    </row>
    <row r="1774" spans="1:11" ht="40.049999999999997" customHeight="1" x14ac:dyDescent="0.25">
      <c r="A1774" s="11" t="s">
        <v>4023</v>
      </c>
      <c r="B1774" s="11" t="s">
        <v>4023</v>
      </c>
      <c r="C1774" s="11" t="s">
        <v>137</v>
      </c>
      <c r="D1774" s="11" t="s">
        <v>18</v>
      </c>
      <c r="E1774" s="12" t="s">
        <v>1179</v>
      </c>
      <c r="F1774" s="12" t="s">
        <v>1180</v>
      </c>
      <c r="G1774" s="12" t="s">
        <v>46</v>
      </c>
      <c r="H1774" s="11" t="s">
        <v>63</v>
      </c>
      <c r="I1774" s="13" t="s">
        <v>4029</v>
      </c>
      <c r="J1774" s="14" t="str">
        <f>HYPERLINK("https://www.boe.es/gazeta/dias/1839/10/18/pdfs/GMD-1839-1804.pdf#page=3","Abrir facsímil")</f>
        <v>Abrir facsímil</v>
      </c>
      <c r="K1774" s="12" t="s">
        <v>65</v>
      </c>
    </row>
    <row r="1775" spans="1:11" ht="40.049999999999997" customHeight="1" x14ac:dyDescent="0.25">
      <c r="A1775" s="11" t="s">
        <v>4023</v>
      </c>
      <c r="B1775" s="11" t="s">
        <v>4023</v>
      </c>
      <c r="C1775" s="11" t="s">
        <v>101</v>
      </c>
      <c r="D1775" s="11" t="s">
        <v>102</v>
      </c>
      <c r="E1775" s="12" t="s">
        <v>1179</v>
      </c>
      <c r="F1775" s="12" t="s">
        <v>1180</v>
      </c>
      <c r="G1775" s="12" t="s">
        <v>566</v>
      </c>
      <c r="H1775" s="11" t="s">
        <v>63</v>
      </c>
      <c r="I1775" s="13" t="s">
        <v>4030</v>
      </c>
      <c r="J1775" s="14" t="str">
        <f>HYPERLINK("https://www.boe.es/gazeta/dias/1839/10/18/pdfs/GMD-1839-1804.pdf#page=5","Abrir facsímil")</f>
        <v>Abrir facsímil</v>
      </c>
      <c r="K1775" s="12" t="s">
        <v>65</v>
      </c>
    </row>
    <row r="1776" spans="1:11" ht="40.049999999999997" customHeight="1" x14ac:dyDescent="0.25">
      <c r="A1776" s="11" t="s">
        <v>4031</v>
      </c>
      <c r="B1776" s="11" t="s">
        <v>4032</v>
      </c>
      <c r="C1776" s="11" t="s">
        <v>80</v>
      </c>
      <c r="D1776" s="11" t="s">
        <v>18</v>
      </c>
      <c r="E1776" s="12" t="s">
        <v>638</v>
      </c>
      <c r="F1776" s="12" t="s">
        <v>639</v>
      </c>
      <c r="G1776" s="12" t="s">
        <v>21</v>
      </c>
      <c r="H1776" s="11" t="s">
        <v>22</v>
      </c>
      <c r="I1776" s="13" t="s">
        <v>4033</v>
      </c>
      <c r="J1776" s="14" t="str">
        <f>HYPERLINK("https://www.boe.es/gazeta/dias/1839/08/26/pdfs/GMD-1839-1747.pdf#page=4","Abrir facsímil")</f>
        <v>Abrir facsímil</v>
      </c>
      <c r="K1776" s="12" t="s">
        <v>24</v>
      </c>
    </row>
    <row r="1777" spans="1:11" ht="40.049999999999997" customHeight="1" x14ac:dyDescent="0.25">
      <c r="A1777" s="11" t="s">
        <v>4034</v>
      </c>
      <c r="B1777" s="11" t="s">
        <v>4035</v>
      </c>
      <c r="C1777" s="11" t="s">
        <v>17</v>
      </c>
      <c r="D1777" s="11" t="s">
        <v>18</v>
      </c>
      <c r="E1777" s="12" t="s">
        <v>197</v>
      </c>
      <c r="F1777" s="12" t="s">
        <v>198</v>
      </c>
      <c r="G1777" s="12" t="s">
        <v>46</v>
      </c>
      <c r="H1777" s="11" t="s">
        <v>63</v>
      </c>
      <c r="I1777" s="13" t="s">
        <v>4036</v>
      </c>
      <c r="J1777" s="14" t="str">
        <f>HYPERLINK("https://www.boe.es/gazeta/dias/1839/10/04/pdfs/GMD-1839-1790.pdf#page=3","Abrir facsímil")</f>
        <v>Abrir facsímil</v>
      </c>
      <c r="K1777" s="12" t="s">
        <v>65</v>
      </c>
    </row>
    <row r="1778" spans="1:11" ht="40.049999999999997" customHeight="1" x14ac:dyDescent="0.25">
      <c r="A1778" s="11" t="s">
        <v>4037</v>
      </c>
      <c r="B1778" s="11" t="s">
        <v>4038</v>
      </c>
      <c r="C1778" s="11" t="s">
        <v>17</v>
      </c>
      <c r="D1778" s="11" t="s">
        <v>18</v>
      </c>
      <c r="E1778" s="12" t="s">
        <v>1509</v>
      </c>
      <c r="F1778" s="12" t="s">
        <v>1510</v>
      </c>
      <c r="G1778" s="12" t="s">
        <v>566</v>
      </c>
      <c r="H1778" s="11" t="s">
        <v>63</v>
      </c>
      <c r="I1778" s="13" t="s">
        <v>4039</v>
      </c>
      <c r="J1778" s="14" t="str">
        <f>HYPERLINK("https://www.boe.es/gazeta/dias/1839/10/07/pdfs/GMD-1839-1793.pdf#page=5","Abrir facsímil")</f>
        <v>Abrir facsímil</v>
      </c>
      <c r="K1778" s="12" t="s">
        <v>65</v>
      </c>
    </row>
    <row r="1779" spans="1:11" ht="40.049999999999997" customHeight="1" x14ac:dyDescent="0.25">
      <c r="A1779" s="11" t="s">
        <v>4040</v>
      </c>
      <c r="B1779" s="11" t="s">
        <v>4040</v>
      </c>
      <c r="C1779" s="11" t="s">
        <v>101</v>
      </c>
      <c r="D1779" s="11" t="s">
        <v>102</v>
      </c>
      <c r="E1779" s="12" t="s">
        <v>272</v>
      </c>
      <c r="F1779" s="12" t="s">
        <v>273</v>
      </c>
      <c r="G1779" s="12" t="s">
        <v>21</v>
      </c>
      <c r="H1779" s="11" t="s">
        <v>63</v>
      </c>
      <c r="I1779" s="13" t="s">
        <v>4041</v>
      </c>
      <c r="J1779" s="14" t="str">
        <f>HYPERLINK("https://www.boe.es/gazeta/dias/1839/02/12/pdfs/GMD-1839-1550.pdf#page=4","Abrir facsímil")</f>
        <v>Abrir facsímil</v>
      </c>
      <c r="K1779" s="12" t="s">
        <v>65</v>
      </c>
    </row>
    <row r="1780" spans="1:11" ht="40.049999999999997" customHeight="1" x14ac:dyDescent="0.25">
      <c r="A1780" s="11" t="s">
        <v>4042</v>
      </c>
      <c r="B1780" s="11" t="s">
        <v>4043</v>
      </c>
      <c r="C1780" s="11" t="s">
        <v>17</v>
      </c>
      <c r="D1780" s="11" t="s">
        <v>18</v>
      </c>
      <c r="E1780" s="12" t="s">
        <v>4044</v>
      </c>
      <c r="F1780" s="12" t="s">
        <v>4045</v>
      </c>
      <c r="G1780" s="12" t="s">
        <v>21</v>
      </c>
      <c r="H1780" s="11" t="s">
        <v>22</v>
      </c>
      <c r="I1780" s="13" t="s">
        <v>4046</v>
      </c>
      <c r="J1780" s="14" t="str">
        <f>HYPERLINK("https://www.boe.es/gazeta/dias/1839/01/07/pdfs/GMD-1839-1514.pdf#page=4","Abrir facsímil")</f>
        <v>Abrir facsímil</v>
      </c>
      <c r="K1780" s="12" t="s">
        <v>24</v>
      </c>
    </row>
    <row r="1781" spans="1:11" ht="40.049999999999997" customHeight="1" x14ac:dyDescent="0.25">
      <c r="A1781" s="11" t="s">
        <v>4042</v>
      </c>
      <c r="B1781" s="11" t="s">
        <v>4043</v>
      </c>
      <c r="C1781" s="11" t="s">
        <v>17</v>
      </c>
      <c r="D1781" s="11" t="s">
        <v>18</v>
      </c>
      <c r="E1781" s="12" t="s">
        <v>4047</v>
      </c>
      <c r="F1781" s="12" t="s">
        <v>4048</v>
      </c>
      <c r="G1781" s="12" t="s">
        <v>21</v>
      </c>
      <c r="H1781" s="11" t="s">
        <v>22</v>
      </c>
      <c r="I1781" s="13" t="s">
        <v>4049</v>
      </c>
      <c r="J1781" s="14" t="str">
        <f>HYPERLINK("https://www.boe.es/gazeta/dias/1839/03/26/pdfs/GMD-1839-1592.pdf#page=4","Abrir facsímil")</f>
        <v>Abrir facsímil</v>
      </c>
      <c r="K1781" s="12" t="s">
        <v>24</v>
      </c>
    </row>
    <row r="1782" spans="1:11" ht="40.049999999999997" customHeight="1" x14ac:dyDescent="0.25">
      <c r="A1782" s="11" t="s">
        <v>4050</v>
      </c>
      <c r="B1782" s="11" t="s">
        <v>4050</v>
      </c>
      <c r="C1782" s="11" t="s">
        <v>17</v>
      </c>
      <c r="D1782" s="11" t="s">
        <v>18</v>
      </c>
      <c r="E1782" s="12" t="s">
        <v>1509</v>
      </c>
      <c r="F1782" s="12" t="s">
        <v>1510</v>
      </c>
      <c r="G1782" s="12" t="s">
        <v>305</v>
      </c>
      <c r="H1782" s="11" t="s">
        <v>63</v>
      </c>
      <c r="I1782" s="13" t="s">
        <v>4051</v>
      </c>
      <c r="J1782" s="14" t="str">
        <f>HYPERLINK("https://www.boe.es/gazeta/dias/1839/10/07/pdfs/GMD-1839-1793.pdf#page=6","Abrir facsímil")</f>
        <v>Abrir facsímil</v>
      </c>
      <c r="K1782" s="12" t="s">
        <v>65</v>
      </c>
    </row>
    <row r="1783" spans="1:11" ht="40.049999999999997" customHeight="1" x14ac:dyDescent="0.25">
      <c r="A1783" s="11" t="s">
        <v>4052</v>
      </c>
      <c r="B1783" s="11" t="s">
        <v>4053</v>
      </c>
      <c r="C1783" s="11" t="s">
        <v>17</v>
      </c>
      <c r="D1783" s="11" t="s">
        <v>18</v>
      </c>
      <c r="E1783" s="12" t="s">
        <v>1340</v>
      </c>
      <c r="F1783" s="12" t="s">
        <v>1341</v>
      </c>
      <c r="G1783" s="12" t="s">
        <v>40</v>
      </c>
      <c r="H1783" s="11" t="s">
        <v>63</v>
      </c>
      <c r="I1783" s="13" t="s">
        <v>4054</v>
      </c>
      <c r="J1783" s="14" t="str">
        <f>HYPERLINK("https://www.boe.es/gazeta/dias/1839/05/05/pdfs/GMD-1839-1632.pdf#page=2","Abrir facsímil")</f>
        <v>Abrir facsímil</v>
      </c>
      <c r="K1783" s="12" t="s">
        <v>65</v>
      </c>
    </row>
    <row r="1784" spans="1:11" ht="40.049999999999997" customHeight="1" x14ac:dyDescent="0.25">
      <c r="A1784" s="11" t="s">
        <v>4052</v>
      </c>
      <c r="B1784" s="11" t="s">
        <v>4053</v>
      </c>
      <c r="C1784" s="11" t="s">
        <v>17</v>
      </c>
      <c r="D1784" s="11" t="s">
        <v>18</v>
      </c>
      <c r="E1784" s="12" t="s">
        <v>4055</v>
      </c>
      <c r="F1784" s="12" t="s">
        <v>4056</v>
      </c>
      <c r="G1784" s="12" t="s">
        <v>29</v>
      </c>
      <c r="H1784" s="11" t="s">
        <v>63</v>
      </c>
      <c r="I1784" s="13" t="s">
        <v>4057</v>
      </c>
      <c r="J1784" s="14" t="str">
        <f>HYPERLINK("https://www.boe.es/gazeta/dias/1839/03/07/pdfs/GMD-1839-1573.pdf#page=1","Abrir facsímil")</f>
        <v>Abrir facsímil</v>
      </c>
      <c r="K1784" s="12" t="s">
        <v>65</v>
      </c>
    </row>
    <row r="1785" spans="1:11" ht="40.049999999999997" customHeight="1" x14ac:dyDescent="0.25">
      <c r="A1785" s="11" t="s">
        <v>4058</v>
      </c>
      <c r="B1785" s="11" t="s">
        <v>4059</v>
      </c>
      <c r="C1785" s="11" t="s">
        <v>17</v>
      </c>
      <c r="D1785" s="11" t="s">
        <v>18</v>
      </c>
      <c r="E1785" s="12" t="s">
        <v>68</v>
      </c>
      <c r="F1785" s="12" t="s">
        <v>69</v>
      </c>
      <c r="G1785" s="12" t="s">
        <v>21</v>
      </c>
      <c r="H1785" s="11" t="s">
        <v>63</v>
      </c>
      <c r="I1785" s="13" t="s">
        <v>4060</v>
      </c>
      <c r="J1785" s="14" t="str">
        <f>HYPERLINK("https://www.boe.es/gazeta/dias/1839/02/09/pdfs/GMD-1839-1547.pdf#page=4","Abrir facsímil")</f>
        <v>Abrir facsímil</v>
      </c>
      <c r="K1785" s="12" t="s">
        <v>65</v>
      </c>
    </row>
    <row r="1786" spans="1:11" ht="40.049999999999997" customHeight="1" x14ac:dyDescent="0.25">
      <c r="A1786" s="11" t="s">
        <v>4061</v>
      </c>
      <c r="B1786" s="11" t="s">
        <v>4061</v>
      </c>
      <c r="C1786" s="11" t="s">
        <v>17</v>
      </c>
      <c r="D1786" s="11" t="s">
        <v>18</v>
      </c>
      <c r="E1786" s="12" t="s">
        <v>336</v>
      </c>
      <c r="F1786" s="12" t="s">
        <v>337</v>
      </c>
      <c r="G1786" s="12" t="s">
        <v>40</v>
      </c>
      <c r="H1786" s="11" t="s">
        <v>63</v>
      </c>
      <c r="I1786" s="13" t="s">
        <v>4062</v>
      </c>
      <c r="J1786" s="14" t="str">
        <f>HYPERLINK("https://www.boe.es/gazeta/dias/1839/07/14/pdfs/GMD-1839-1702.pdf#page=2","Abrir facsímil")</f>
        <v>Abrir facsímil</v>
      </c>
      <c r="K1786" s="12" t="s">
        <v>65</v>
      </c>
    </row>
    <row r="1787" spans="1:11" ht="40.049999999999997" customHeight="1" x14ac:dyDescent="0.25">
      <c r="A1787" s="11" t="s">
        <v>4061</v>
      </c>
      <c r="B1787" s="11" t="s">
        <v>4061</v>
      </c>
      <c r="C1787" s="11" t="s">
        <v>101</v>
      </c>
      <c r="D1787" s="11" t="s">
        <v>102</v>
      </c>
      <c r="E1787" s="12" t="s">
        <v>365</v>
      </c>
      <c r="F1787" s="12" t="s">
        <v>366</v>
      </c>
      <c r="G1787" s="12" t="s">
        <v>29</v>
      </c>
      <c r="H1787" s="11" t="s">
        <v>63</v>
      </c>
      <c r="I1787" s="13" t="s">
        <v>4063</v>
      </c>
      <c r="J1787" s="14" t="str">
        <f>HYPERLINK("https://www.boe.es/gazeta/dias/1839/08/14/pdfs/GMD-1839-1734.pdf#page=1","Abrir facsímil")</f>
        <v>Abrir facsímil</v>
      </c>
      <c r="K1787" s="12" t="s">
        <v>65</v>
      </c>
    </row>
    <row r="1788" spans="1:11" ht="40.049999999999997" customHeight="1" x14ac:dyDescent="0.25">
      <c r="A1788" s="11" t="s">
        <v>4064</v>
      </c>
      <c r="B1788" s="11" t="s">
        <v>4064</v>
      </c>
      <c r="C1788" s="11" t="s">
        <v>17</v>
      </c>
      <c r="D1788" s="11" t="s">
        <v>18</v>
      </c>
      <c r="E1788" s="12" t="s">
        <v>336</v>
      </c>
      <c r="F1788" s="12" t="s">
        <v>337</v>
      </c>
      <c r="G1788" s="12" t="s">
        <v>40</v>
      </c>
      <c r="H1788" s="11" t="s">
        <v>63</v>
      </c>
      <c r="I1788" s="13" t="s">
        <v>4065</v>
      </c>
      <c r="J1788" s="14" t="str">
        <f>HYPERLINK("https://www.boe.es/gazeta/dias/1839/07/14/pdfs/GMD-1839-1702.pdf#page=2","Abrir facsímil")</f>
        <v>Abrir facsímil</v>
      </c>
      <c r="K1788" s="12" t="s">
        <v>65</v>
      </c>
    </row>
    <row r="1789" spans="1:11" ht="40.049999999999997" customHeight="1" x14ac:dyDescent="0.25">
      <c r="A1789" s="11" t="s">
        <v>4066</v>
      </c>
      <c r="B1789" s="11" t="s">
        <v>4066</v>
      </c>
      <c r="C1789" s="11" t="s">
        <v>17</v>
      </c>
      <c r="D1789" s="11" t="s">
        <v>18</v>
      </c>
      <c r="E1789" s="12" t="s">
        <v>44</v>
      </c>
      <c r="F1789" s="12" t="s">
        <v>45</v>
      </c>
      <c r="G1789" s="12" t="s">
        <v>46</v>
      </c>
      <c r="H1789" s="11" t="s">
        <v>63</v>
      </c>
      <c r="I1789" s="13" t="s">
        <v>4067</v>
      </c>
      <c r="J1789" s="14" t="str">
        <f>HYPERLINK("https://www.boe.es/gazeta/dias/1839/11/15/pdfs/GMD-1839-1832.pdf#page=3","Abrir facsímil")</f>
        <v>Abrir facsímil</v>
      </c>
      <c r="K1789" s="12" t="s">
        <v>65</v>
      </c>
    </row>
    <row r="1790" spans="1:11" ht="40.049999999999997" customHeight="1" x14ac:dyDescent="0.25">
      <c r="A1790" s="11" t="s">
        <v>4068</v>
      </c>
      <c r="B1790" s="11" t="s">
        <v>4069</v>
      </c>
      <c r="C1790" s="11" t="s">
        <v>80</v>
      </c>
      <c r="D1790" s="11" t="s">
        <v>18</v>
      </c>
      <c r="E1790" s="12" t="s">
        <v>287</v>
      </c>
      <c r="F1790" s="12" t="s">
        <v>288</v>
      </c>
      <c r="G1790" s="12" t="s">
        <v>46</v>
      </c>
      <c r="H1790" s="11" t="s">
        <v>63</v>
      </c>
      <c r="I1790" s="13" t="s">
        <v>4070</v>
      </c>
      <c r="J1790" s="14" t="str">
        <f>HYPERLINK("https://www.boe.es/gazeta/dias/1839/11/27/pdfs/GMD-1839-1844.pdf#page=3","Abrir facsímil")</f>
        <v>Abrir facsímil</v>
      </c>
      <c r="K1790" s="12" t="s">
        <v>65</v>
      </c>
    </row>
    <row r="1791" spans="1:11" ht="40.049999999999997" customHeight="1" x14ac:dyDescent="0.25">
      <c r="A1791" s="11" t="s">
        <v>4071</v>
      </c>
      <c r="B1791" s="11" t="s">
        <v>4072</v>
      </c>
      <c r="C1791" s="11" t="s">
        <v>17</v>
      </c>
      <c r="D1791" s="11" t="s">
        <v>18</v>
      </c>
      <c r="E1791" s="12" t="s">
        <v>1672</v>
      </c>
      <c r="F1791" s="12" t="s">
        <v>1673</v>
      </c>
      <c r="G1791" s="12" t="s">
        <v>46</v>
      </c>
      <c r="H1791" s="11" t="s">
        <v>63</v>
      </c>
      <c r="I1791" s="13" t="s">
        <v>4073</v>
      </c>
      <c r="J1791" s="14" t="str">
        <f>HYPERLINK("https://www.boe.es/gazeta/dias/1839/08/24/pdfs/GMD-1839-1745.pdf#page=3","Abrir facsímil")</f>
        <v>Abrir facsímil</v>
      </c>
      <c r="K1791" s="12" t="s">
        <v>65</v>
      </c>
    </row>
    <row r="1792" spans="1:11" ht="40.049999999999997" customHeight="1" x14ac:dyDescent="0.25">
      <c r="A1792" s="11" t="s">
        <v>4074</v>
      </c>
      <c r="B1792" s="11" t="s">
        <v>4075</v>
      </c>
      <c r="C1792" s="11" t="s">
        <v>80</v>
      </c>
      <c r="D1792" s="11" t="s">
        <v>18</v>
      </c>
      <c r="E1792" s="12" t="s">
        <v>695</v>
      </c>
      <c r="F1792" s="12" t="s">
        <v>696</v>
      </c>
      <c r="G1792" s="12" t="s">
        <v>21</v>
      </c>
      <c r="H1792" s="11" t="s">
        <v>63</v>
      </c>
      <c r="I1792" s="13" t="s">
        <v>4076</v>
      </c>
      <c r="J1792" s="14" t="str">
        <f>HYPERLINK("https://www.boe.es/gazeta/dias/1839/12/19/pdfs/GMD-1839-1866.pdf#page=4","Abrir facsímil")</f>
        <v>Abrir facsímil</v>
      </c>
      <c r="K1792" s="12" t="s">
        <v>65</v>
      </c>
    </row>
    <row r="1793" spans="1:11" ht="40.049999999999997" customHeight="1" x14ac:dyDescent="0.25">
      <c r="A1793" s="11" t="s">
        <v>4077</v>
      </c>
      <c r="B1793" s="11" t="s">
        <v>4077</v>
      </c>
      <c r="C1793" s="11" t="s">
        <v>17</v>
      </c>
      <c r="D1793" s="11" t="s">
        <v>18</v>
      </c>
      <c r="E1793" s="12" t="s">
        <v>1623</v>
      </c>
      <c r="F1793" s="12" t="s">
        <v>1624</v>
      </c>
      <c r="G1793" s="12" t="s">
        <v>46</v>
      </c>
      <c r="H1793" s="11" t="s">
        <v>63</v>
      </c>
      <c r="I1793" s="13" t="s">
        <v>4078</v>
      </c>
      <c r="J1793" s="14" t="str">
        <f>HYPERLINK("https://www.boe.es/gazeta/dias/1839/04/07/pdfs/GMD-1839-1604.pdf#page=3","Abrir facsímil")</f>
        <v>Abrir facsímil</v>
      </c>
      <c r="K1793" s="12" t="s">
        <v>65</v>
      </c>
    </row>
    <row r="1794" spans="1:11" ht="40.049999999999997" customHeight="1" x14ac:dyDescent="0.25">
      <c r="A1794" s="11" t="s">
        <v>4079</v>
      </c>
      <c r="B1794" s="11" t="s">
        <v>4080</v>
      </c>
      <c r="C1794" s="11" t="s">
        <v>137</v>
      </c>
      <c r="D1794" s="11" t="s">
        <v>18</v>
      </c>
      <c r="E1794" s="12" t="s">
        <v>1123</v>
      </c>
      <c r="F1794" s="12" t="s">
        <v>1124</v>
      </c>
      <c r="G1794" s="12" t="s">
        <v>21</v>
      </c>
      <c r="H1794" s="11" t="s">
        <v>63</v>
      </c>
      <c r="I1794" s="13" t="s">
        <v>4081</v>
      </c>
      <c r="J1794" s="14" t="str">
        <f>HYPERLINK("https://www.boe.es/gazeta/dias/1839/08/10/pdfs/GMD-1839-1730.pdf#page=4","Abrir facsímil")</f>
        <v>Abrir facsímil</v>
      </c>
      <c r="K1794" s="12" t="s">
        <v>65</v>
      </c>
    </row>
    <row r="1795" spans="1:11" ht="40.049999999999997" customHeight="1" x14ac:dyDescent="0.25">
      <c r="A1795" s="11" t="s">
        <v>4082</v>
      </c>
      <c r="B1795" s="11" t="s">
        <v>4083</v>
      </c>
      <c r="C1795" s="11" t="s">
        <v>80</v>
      </c>
      <c r="D1795" s="11" t="s">
        <v>18</v>
      </c>
      <c r="E1795" s="12" t="s">
        <v>1123</v>
      </c>
      <c r="F1795" s="12" t="s">
        <v>1124</v>
      </c>
      <c r="G1795" s="12" t="s">
        <v>21</v>
      </c>
      <c r="H1795" s="11" t="s">
        <v>63</v>
      </c>
      <c r="I1795" s="13" t="s">
        <v>4084</v>
      </c>
      <c r="J1795" s="14" t="str">
        <f>HYPERLINK("https://www.boe.es/gazeta/dias/1839/08/10/pdfs/GMD-1839-1730.pdf#page=4","Abrir facsímil")</f>
        <v>Abrir facsímil</v>
      </c>
      <c r="K1795" s="12" t="s">
        <v>65</v>
      </c>
    </row>
    <row r="1796" spans="1:11" ht="40.049999999999997" customHeight="1" x14ac:dyDescent="0.25">
      <c r="A1796" s="11" t="s">
        <v>4085</v>
      </c>
      <c r="B1796" s="11" t="s">
        <v>4086</v>
      </c>
      <c r="C1796" s="11" t="s">
        <v>59</v>
      </c>
      <c r="D1796" s="11" t="s">
        <v>60</v>
      </c>
      <c r="E1796" s="12" t="s">
        <v>111</v>
      </c>
      <c r="F1796" s="12" t="s">
        <v>112</v>
      </c>
      <c r="G1796" s="12" t="s">
        <v>21</v>
      </c>
      <c r="H1796" s="11" t="s">
        <v>63</v>
      </c>
      <c r="I1796" s="13" t="s">
        <v>4087</v>
      </c>
      <c r="J1796" s="14" t="str">
        <f>HYPERLINK("https://www.boe.es/gazeta/dias/1839/07/25/pdfs/GMD-1839-1714.pdf#page=4","Abrir facsímil")</f>
        <v>Abrir facsímil</v>
      </c>
      <c r="K1796" s="12" t="s">
        <v>65</v>
      </c>
    </row>
    <row r="1797" spans="1:11" ht="40.049999999999997" customHeight="1" x14ac:dyDescent="0.25">
      <c r="A1797" s="11" t="s">
        <v>4088</v>
      </c>
      <c r="B1797" s="11" t="s">
        <v>4088</v>
      </c>
      <c r="C1797" s="11" t="s">
        <v>80</v>
      </c>
      <c r="D1797" s="11" t="s">
        <v>18</v>
      </c>
      <c r="E1797" s="12" t="s">
        <v>2491</v>
      </c>
      <c r="F1797" s="12" t="s">
        <v>2492</v>
      </c>
      <c r="G1797" s="12" t="s">
        <v>21</v>
      </c>
      <c r="H1797" s="11" t="s">
        <v>63</v>
      </c>
      <c r="I1797" s="13" t="s">
        <v>4089</v>
      </c>
      <c r="J1797" s="14" t="str">
        <f>HYPERLINK("https://www.boe.es/gazeta/dias/1839/05/01/pdfs/GMD-1839-1628.pdf#page=4","Abrir facsímil")</f>
        <v>Abrir facsímil</v>
      </c>
      <c r="K1797" s="12" t="s">
        <v>65</v>
      </c>
    </row>
    <row r="1798" spans="1:11" ht="40.049999999999997" customHeight="1" x14ac:dyDescent="0.25">
      <c r="A1798" s="11" t="s">
        <v>4090</v>
      </c>
      <c r="B1798" s="11" t="s">
        <v>4091</v>
      </c>
      <c r="C1798" s="11" t="s">
        <v>17</v>
      </c>
      <c r="D1798" s="11" t="s">
        <v>18</v>
      </c>
      <c r="E1798" s="12" t="s">
        <v>1623</v>
      </c>
      <c r="F1798" s="12" t="s">
        <v>1624</v>
      </c>
      <c r="G1798" s="12" t="s">
        <v>40</v>
      </c>
      <c r="H1798" s="11" t="s">
        <v>63</v>
      </c>
      <c r="I1798" s="13" t="s">
        <v>4092</v>
      </c>
      <c r="J1798" s="14" t="str">
        <f>HYPERLINK("https://www.boe.es/gazeta/dias/1839/04/07/pdfs/GMD-1839-1604.pdf#page=2","Abrir facsímil")</f>
        <v>Abrir facsímil</v>
      </c>
      <c r="K1798" s="12" t="s">
        <v>65</v>
      </c>
    </row>
    <row r="1799" spans="1:11" ht="40.049999999999997" customHeight="1" x14ac:dyDescent="0.25">
      <c r="A1799" s="11" t="s">
        <v>4093</v>
      </c>
      <c r="B1799" s="11" t="s">
        <v>4093</v>
      </c>
      <c r="C1799" s="11" t="s">
        <v>17</v>
      </c>
      <c r="D1799" s="11" t="s">
        <v>18</v>
      </c>
      <c r="E1799" s="12" t="s">
        <v>116</v>
      </c>
      <c r="F1799" s="12" t="s">
        <v>117</v>
      </c>
      <c r="G1799" s="12" t="s">
        <v>40</v>
      </c>
      <c r="H1799" s="11" t="s">
        <v>63</v>
      </c>
      <c r="I1799" s="13" t="s">
        <v>4094</v>
      </c>
      <c r="J1799" s="14" t="str">
        <f>HYPERLINK("https://www.boe.es/gazeta/dias/1839/10/10/pdfs/GMD-1839-1796.pdf#page=2","Abrir facsímil")</f>
        <v>Abrir facsímil</v>
      </c>
      <c r="K1799" s="12" t="s">
        <v>65</v>
      </c>
    </row>
    <row r="1800" spans="1:11" ht="40.049999999999997" customHeight="1" x14ac:dyDescent="0.25">
      <c r="A1800" s="11" t="s">
        <v>4095</v>
      </c>
      <c r="B1800" s="11" t="s">
        <v>4096</v>
      </c>
      <c r="C1800" s="11" t="s">
        <v>17</v>
      </c>
      <c r="D1800" s="11" t="s">
        <v>18</v>
      </c>
      <c r="E1800" s="12" t="s">
        <v>258</v>
      </c>
      <c r="F1800" s="12" t="s">
        <v>259</v>
      </c>
      <c r="G1800" s="12" t="s">
        <v>46</v>
      </c>
      <c r="H1800" s="11" t="s">
        <v>22</v>
      </c>
      <c r="I1800" s="13" t="s">
        <v>4097</v>
      </c>
      <c r="J1800" s="14" t="str">
        <f>HYPERLINK("https://www.boe.es/gazeta/dias/1839/01/02/pdfs/GMD-1839-1509.pdf#page=3","Abrir facsímil")</f>
        <v>Abrir facsímil</v>
      </c>
      <c r="K1800" s="12" t="s">
        <v>24</v>
      </c>
    </row>
    <row r="1801" spans="1:11" ht="40.049999999999997" customHeight="1" x14ac:dyDescent="0.25">
      <c r="A1801" s="11" t="s">
        <v>4098</v>
      </c>
      <c r="B1801" s="11" t="s">
        <v>4099</v>
      </c>
      <c r="C1801" s="11" t="s">
        <v>17</v>
      </c>
      <c r="D1801" s="11" t="s">
        <v>18</v>
      </c>
      <c r="E1801" s="12" t="s">
        <v>116</v>
      </c>
      <c r="F1801" s="12" t="s">
        <v>117</v>
      </c>
      <c r="G1801" s="12" t="s">
        <v>21</v>
      </c>
      <c r="H1801" s="11" t="s">
        <v>63</v>
      </c>
      <c r="I1801" s="13" t="s">
        <v>4100</v>
      </c>
      <c r="J1801" s="14" t="str">
        <f>HYPERLINK("https://www.boe.es/gazeta/dias/1839/10/10/pdfs/GMD-1839-1796.pdf#page=4","Abrir facsímil")</f>
        <v>Abrir facsímil</v>
      </c>
      <c r="K1801" s="12" t="s">
        <v>65</v>
      </c>
    </row>
    <row r="1802" spans="1:11" ht="40.049999999999997" customHeight="1" x14ac:dyDescent="0.25">
      <c r="A1802" s="11" t="s">
        <v>4101</v>
      </c>
      <c r="B1802" s="11" t="s">
        <v>4101</v>
      </c>
      <c r="C1802" s="11" t="s">
        <v>17</v>
      </c>
      <c r="D1802" s="11" t="s">
        <v>18</v>
      </c>
      <c r="E1802" s="12" t="s">
        <v>1562</v>
      </c>
      <c r="F1802" s="12" t="s">
        <v>1563</v>
      </c>
      <c r="G1802" s="12" t="s">
        <v>29</v>
      </c>
      <c r="H1802" s="11" t="s">
        <v>63</v>
      </c>
      <c r="I1802" s="13" t="s">
        <v>4102</v>
      </c>
      <c r="J1802" s="14" t="str">
        <f>HYPERLINK("https://www.boe.es/gazeta/dias/1839/04/08/pdfs/GMD-1839-1605.pdf#page=1","Abrir facsímil")</f>
        <v>Abrir facsímil</v>
      </c>
      <c r="K1802" s="12" t="s">
        <v>65</v>
      </c>
    </row>
    <row r="1803" spans="1:11" ht="40.049999999999997" customHeight="1" x14ac:dyDescent="0.25">
      <c r="A1803" s="11" t="s">
        <v>4101</v>
      </c>
      <c r="B1803" s="11" t="s">
        <v>4101</v>
      </c>
      <c r="C1803" s="11" t="s">
        <v>17</v>
      </c>
      <c r="D1803" s="11" t="s">
        <v>18</v>
      </c>
      <c r="E1803" s="12" t="s">
        <v>1666</v>
      </c>
      <c r="F1803" s="12" t="s">
        <v>1667</v>
      </c>
      <c r="G1803" s="12" t="s">
        <v>29</v>
      </c>
      <c r="H1803" s="11" t="s">
        <v>63</v>
      </c>
      <c r="I1803" s="13" t="s">
        <v>4103</v>
      </c>
      <c r="J1803" s="14" t="str">
        <f>HYPERLINK("https://www.boe.es/gazeta/dias/1839/04/22/pdfs/GMD-1839-1619.pdf#page=1","Abrir facsímil")</f>
        <v>Abrir facsímil</v>
      </c>
      <c r="K1803" s="12" t="s">
        <v>65</v>
      </c>
    </row>
    <row r="1804" spans="1:11" ht="40.049999999999997" customHeight="1" x14ac:dyDescent="0.25">
      <c r="A1804" s="11" t="s">
        <v>4104</v>
      </c>
      <c r="B1804" s="11" t="s">
        <v>4104</v>
      </c>
      <c r="C1804" s="11" t="s">
        <v>17</v>
      </c>
      <c r="D1804" s="11" t="s">
        <v>18</v>
      </c>
      <c r="E1804" s="12" t="s">
        <v>929</v>
      </c>
      <c r="F1804" s="12" t="s">
        <v>930</v>
      </c>
      <c r="G1804" s="12" t="s">
        <v>40</v>
      </c>
      <c r="H1804" s="11" t="s">
        <v>22</v>
      </c>
      <c r="I1804" s="13" t="s">
        <v>4105</v>
      </c>
      <c r="J1804" s="14" t="str">
        <f>HYPERLINK("https://www.boe.es/gazeta/dias/1839/01/31/pdfs/GMD-1839-1538.pdf#page=2","Abrir facsímil")</f>
        <v>Abrir facsímil</v>
      </c>
      <c r="K1804" s="12" t="s">
        <v>24</v>
      </c>
    </row>
    <row r="1805" spans="1:11" ht="40.049999999999997" customHeight="1" x14ac:dyDescent="0.25">
      <c r="A1805" s="11" t="s">
        <v>4106</v>
      </c>
      <c r="B1805" s="11" t="s">
        <v>4107</v>
      </c>
      <c r="C1805" s="11" t="s">
        <v>17</v>
      </c>
      <c r="D1805" s="11" t="s">
        <v>18</v>
      </c>
      <c r="E1805" s="12" t="s">
        <v>4108</v>
      </c>
      <c r="F1805" s="12" t="s">
        <v>4109</v>
      </c>
      <c r="G1805" s="12" t="s">
        <v>46</v>
      </c>
      <c r="H1805" s="11" t="s">
        <v>63</v>
      </c>
      <c r="I1805" s="13" t="s">
        <v>4110</v>
      </c>
      <c r="J1805" s="14" t="str">
        <f>HYPERLINK("https://www.boe.es/gazeta/dias/1839/03/23/pdfs/GMD-1839-1589.pdf#page=3","Abrir facsímil")</f>
        <v>Abrir facsímil</v>
      </c>
      <c r="K1805" s="12" t="s">
        <v>65</v>
      </c>
    </row>
    <row r="1806" spans="1:11" ht="40.049999999999997" customHeight="1" x14ac:dyDescent="0.25">
      <c r="A1806" s="11" t="s">
        <v>4111</v>
      </c>
      <c r="B1806" s="11" t="s">
        <v>4112</v>
      </c>
      <c r="C1806" s="11" t="s">
        <v>17</v>
      </c>
      <c r="D1806" s="11" t="s">
        <v>18</v>
      </c>
      <c r="E1806" s="12" t="s">
        <v>222</v>
      </c>
      <c r="F1806" s="12" t="s">
        <v>223</v>
      </c>
      <c r="G1806" s="12" t="s">
        <v>21</v>
      </c>
      <c r="H1806" s="11" t="s">
        <v>63</v>
      </c>
      <c r="I1806" s="13" t="s">
        <v>4113</v>
      </c>
      <c r="J1806" s="14" t="str">
        <f>HYPERLINK("https://www.boe.es/gazeta/dias/1839/06/22/pdfs/GMD-1839-1680.pdf#page=4","Abrir facsímil")</f>
        <v>Abrir facsímil</v>
      </c>
      <c r="K1806" s="12" t="s">
        <v>65</v>
      </c>
    </row>
    <row r="1807" spans="1:11" ht="40.049999999999997" customHeight="1" x14ac:dyDescent="0.25">
      <c r="A1807" s="11" t="s">
        <v>4114</v>
      </c>
      <c r="B1807" s="11" t="s">
        <v>4115</v>
      </c>
      <c r="C1807" s="11" t="s">
        <v>17</v>
      </c>
      <c r="D1807" s="11" t="s">
        <v>18</v>
      </c>
      <c r="E1807" s="12" t="s">
        <v>1086</v>
      </c>
      <c r="F1807" s="12" t="s">
        <v>1087</v>
      </c>
      <c r="G1807" s="12" t="s">
        <v>40</v>
      </c>
      <c r="H1807" s="11" t="s">
        <v>22</v>
      </c>
      <c r="I1807" s="13" t="s">
        <v>4116</v>
      </c>
      <c r="J1807" s="14" t="str">
        <f>HYPERLINK("https://www.boe.es/gazeta/dias/1839/10/26/pdfs/GMD-1839-1812.pdf#page=2","Abrir facsímil")</f>
        <v>Abrir facsímil</v>
      </c>
      <c r="K1807" s="12" t="s">
        <v>24</v>
      </c>
    </row>
    <row r="1808" spans="1:11" ht="40.049999999999997" customHeight="1" x14ac:dyDescent="0.25">
      <c r="A1808" s="11" t="s">
        <v>4114</v>
      </c>
      <c r="B1808" s="11" t="s">
        <v>4115</v>
      </c>
      <c r="C1808" s="11" t="s">
        <v>17</v>
      </c>
      <c r="D1808" s="11" t="s">
        <v>18</v>
      </c>
      <c r="E1808" s="12" t="s">
        <v>1867</v>
      </c>
      <c r="F1808" s="12" t="s">
        <v>1868</v>
      </c>
      <c r="G1808" s="12" t="s">
        <v>29</v>
      </c>
      <c r="H1808" s="11" t="s">
        <v>22</v>
      </c>
      <c r="I1808" s="13" t="s">
        <v>4117</v>
      </c>
      <c r="J1808" s="14" t="str">
        <f>HYPERLINK("https://www.boe.es/gazeta/dias/1839/01/30/pdfs/GMD-1839-1537.pdf#page=1","Abrir facsímil")</f>
        <v>Abrir facsímil</v>
      </c>
      <c r="K1808" s="12" t="s">
        <v>24</v>
      </c>
    </row>
    <row r="1809" spans="1:11" ht="40.049999999999997" customHeight="1" x14ac:dyDescent="0.25">
      <c r="A1809" s="11" t="s">
        <v>4118</v>
      </c>
      <c r="B1809" s="11" t="s">
        <v>4119</v>
      </c>
      <c r="C1809" s="11" t="s">
        <v>17</v>
      </c>
      <c r="D1809" s="11" t="s">
        <v>18</v>
      </c>
      <c r="E1809" s="12" t="s">
        <v>1027</v>
      </c>
      <c r="F1809" s="12" t="s">
        <v>1028</v>
      </c>
      <c r="G1809" s="12" t="s">
        <v>21</v>
      </c>
      <c r="H1809" s="11" t="s">
        <v>63</v>
      </c>
      <c r="I1809" s="13" t="s">
        <v>4120</v>
      </c>
      <c r="J1809" s="14" t="str">
        <f>HYPERLINK("https://www.boe.es/gazeta/dias/1839/08/16/pdfs/GMD-1839-1736.pdf#page=4","Abrir facsímil")</f>
        <v>Abrir facsímil</v>
      </c>
      <c r="K1809" s="12" t="s">
        <v>65</v>
      </c>
    </row>
    <row r="1810" spans="1:11" ht="40.049999999999997" customHeight="1" x14ac:dyDescent="0.25">
      <c r="A1810" s="11" t="s">
        <v>4121</v>
      </c>
      <c r="B1810" s="11" t="s">
        <v>4122</v>
      </c>
      <c r="C1810" s="11" t="s">
        <v>17</v>
      </c>
      <c r="D1810" s="11" t="s">
        <v>18</v>
      </c>
      <c r="E1810" s="12" t="s">
        <v>903</v>
      </c>
      <c r="F1810" s="12" t="s">
        <v>904</v>
      </c>
      <c r="G1810" s="12" t="s">
        <v>40</v>
      </c>
      <c r="H1810" s="11" t="s">
        <v>63</v>
      </c>
      <c r="I1810" s="13" t="s">
        <v>4123</v>
      </c>
      <c r="J1810" s="14" t="str">
        <f>HYPERLINK("https://www.boe.es/gazeta/dias/1839/03/14/pdfs/GMD-1839-1580.pdf#page=2","Abrir facsímil")</f>
        <v>Abrir facsímil</v>
      </c>
      <c r="K1810" s="12" t="s">
        <v>65</v>
      </c>
    </row>
    <row r="1811" spans="1:11" ht="40.049999999999997" customHeight="1" x14ac:dyDescent="0.25">
      <c r="A1811" s="11" t="s">
        <v>4124</v>
      </c>
      <c r="B1811" s="11" t="s">
        <v>4125</v>
      </c>
      <c r="C1811" s="11" t="s">
        <v>17</v>
      </c>
      <c r="D1811" s="11" t="s">
        <v>18</v>
      </c>
      <c r="E1811" s="12" t="s">
        <v>516</v>
      </c>
      <c r="F1811" s="12" t="s">
        <v>517</v>
      </c>
      <c r="G1811" s="12" t="s">
        <v>21</v>
      </c>
      <c r="H1811" s="11" t="s">
        <v>63</v>
      </c>
      <c r="I1811" s="13" t="s">
        <v>4126</v>
      </c>
      <c r="J1811" s="14" t="str">
        <f>HYPERLINK("https://www.boe.es/gazeta/dias/1839/06/21/pdfs/GMD-1839-1679.pdf#page=4","Abrir facsímil")</f>
        <v>Abrir facsímil</v>
      </c>
      <c r="K1811" s="12" t="s">
        <v>65</v>
      </c>
    </row>
    <row r="1812" spans="1:11" ht="40.049999999999997" customHeight="1" x14ac:dyDescent="0.25">
      <c r="A1812" s="11" t="s">
        <v>4127</v>
      </c>
      <c r="B1812" s="11" t="s">
        <v>4128</v>
      </c>
      <c r="C1812" s="11" t="s">
        <v>101</v>
      </c>
      <c r="D1812" s="11" t="s">
        <v>43</v>
      </c>
      <c r="E1812" s="12" t="s">
        <v>834</v>
      </c>
      <c r="F1812" s="12" t="s">
        <v>835</v>
      </c>
      <c r="G1812" s="12" t="s">
        <v>40</v>
      </c>
      <c r="H1812" s="11" t="s">
        <v>63</v>
      </c>
      <c r="I1812" s="13" t="s">
        <v>4129</v>
      </c>
      <c r="J1812" s="14" t="str">
        <f>HYPERLINK("https://www.boe.es/gazeta/dias/1839/08/17/pdfs/GMD-1839-1737.pdf#page=2","Abrir facsímil")</f>
        <v>Abrir facsímil</v>
      </c>
      <c r="K1812" s="12" t="s">
        <v>65</v>
      </c>
    </row>
    <row r="1813" spans="1:11" ht="40.049999999999997" customHeight="1" x14ac:dyDescent="0.25">
      <c r="A1813" s="11" t="s">
        <v>4130</v>
      </c>
      <c r="B1813" s="11" t="s">
        <v>4130</v>
      </c>
      <c r="C1813" s="11" t="s">
        <v>17</v>
      </c>
      <c r="D1813" s="11" t="s">
        <v>18</v>
      </c>
      <c r="E1813" s="12" t="s">
        <v>154</v>
      </c>
      <c r="F1813" s="12" t="s">
        <v>155</v>
      </c>
      <c r="G1813" s="12" t="s">
        <v>46</v>
      </c>
      <c r="H1813" s="11" t="s">
        <v>22</v>
      </c>
      <c r="I1813" s="13" t="s">
        <v>4131</v>
      </c>
      <c r="J1813" s="14" t="str">
        <f>HYPERLINK("https://www.boe.es/gazeta/dias/1839/02/02/pdfs/GMD-1839-1540.pdf#page=3","Abrir facsímil")</f>
        <v>Abrir facsímil</v>
      </c>
      <c r="K1813" s="12" t="s">
        <v>24</v>
      </c>
    </row>
    <row r="1814" spans="1:11" ht="40.049999999999997" customHeight="1" x14ac:dyDescent="0.25">
      <c r="A1814" s="11" t="s">
        <v>4132</v>
      </c>
      <c r="B1814" s="11" t="s">
        <v>4132</v>
      </c>
      <c r="C1814" s="11" t="s">
        <v>17</v>
      </c>
      <c r="D1814" s="11" t="s">
        <v>18</v>
      </c>
      <c r="E1814" s="12" t="s">
        <v>1929</v>
      </c>
      <c r="F1814" s="12" t="s">
        <v>1930</v>
      </c>
      <c r="G1814" s="12" t="s">
        <v>46</v>
      </c>
      <c r="H1814" s="11" t="s">
        <v>22</v>
      </c>
      <c r="I1814" s="13" t="s">
        <v>4133</v>
      </c>
      <c r="J1814" s="14" t="str">
        <f>HYPERLINK("https://www.boe.es/gazeta/dias/1839/02/01/pdfs/GMD-1839-1539.pdf#page=3","Abrir facsímil")</f>
        <v>Abrir facsímil</v>
      </c>
      <c r="K1814" s="12" t="s">
        <v>24</v>
      </c>
    </row>
    <row r="1815" spans="1:11" ht="40.049999999999997" customHeight="1" x14ac:dyDescent="0.25">
      <c r="A1815" s="11" t="s">
        <v>4134</v>
      </c>
      <c r="B1815" s="11" t="s">
        <v>4134</v>
      </c>
      <c r="C1815" s="11" t="s">
        <v>17</v>
      </c>
      <c r="D1815" s="11" t="s">
        <v>18</v>
      </c>
      <c r="E1815" s="12" t="s">
        <v>1929</v>
      </c>
      <c r="F1815" s="12" t="s">
        <v>1930</v>
      </c>
      <c r="G1815" s="12" t="s">
        <v>46</v>
      </c>
      <c r="H1815" s="11" t="s">
        <v>22</v>
      </c>
      <c r="I1815" s="13" t="s">
        <v>4135</v>
      </c>
      <c r="J1815" s="14" t="str">
        <f>HYPERLINK("https://www.boe.es/gazeta/dias/1839/02/01/pdfs/GMD-1839-1539.pdf#page=3","Abrir facsímil")</f>
        <v>Abrir facsímil</v>
      </c>
      <c r="K1815" s="12" t="s">
        <v>24</v>
      </c>
    </row>
    <row r="1816" spans="1:11" ht="40.049999999999997" customHeight="1" x14ac:dyDescent="0.25">
      <c r="A1816" s="11" t="s">
        <v>4134</v>
      </c>
      <c r="B1816" s="11" t="s">
        <v>4134</v>
      </c>
      <c r="C1816" s="11" t="s">
        <v>101</v>
      </c>
      <c r="D1816" s="11" t="s">
        <v>43</v>
      </c>
      <c r="E1816" s="12" t="s">
        <v>154</v>
      </c>
      <c r="F1816" s="12" t="s">
        <v>155</v>
      </c>
      <c r="G1816" s="12" t="s">
        <v>40</v>
      </c>
      <c r="H1816" s="11" t="s">
        <v>22</v>
      </c>
      <c r="I1816" s="13" t="s">
        <v>4136</v>
      </c>
      <c r="J1816" s="14" t="str">
        <f>HYPERLINK("https://www.boe.es/gazeta/dias/1839/02/02/pdfs/GMD-1839-1540.pdf#page=2","Abrir facsímil")</f>
        <v>Abrir facsímil</v>
      </c>
      <c r="K1816" s="12" t="s">
        <v>24</v>
      </c>
    </row>
    <row r="1817" spans="1:11" ht="40.049999999999997" customHeight="1" x14ac:dyDescent="0.25">
      <c r="A1817" s="11" t="s">
        <v>4134</v>
      </c>
      <c r="B1817" s="11" t="s">
        <v>4134</v>
      </c>
      <c r="C1817" s="11" t="s">
        <v>59</v>
      </c>
      <c r="D1817" s="11" t="s">
        <v>60</v>
      </c>
      <c r="E1817" s="12" t="s">
        <v>154</v>
      </c>
      <c r="F1817" s="12" t="s">
        <v>155</v>
      </c>
      <c r="G1817" s="12" t="s">
        <v>46</v>
      </c>
      <c r="H1817" s="11" t="s">
        <v>22</v>
      </c>
      <c r="I1817" s="13" t="s">
        <v>4137</v>
      </c>
      <c r="J1817" s="14" t="str">
        <f>HYPERLINK("https://www.boe.es/gazeta/dias/1839/02/02/pdfs/GMD-1839-1540.pdf#page=3","Abrir facsímil")</f>
        <v>Abrir facsímil</v>
      </c>
      <c r="K1817" s="12" t="s">
        <v>24</v>
      </c>
    </row>
    <row r="1818" spans="1:11" ht="40.049999999999997" customHeight="1" x14ac:dyDescent="0.25">
      <c r="A1818" s="11" t="s">
        <v>4134</v>
      </c>
      <c r="B1818" s="11" t="s">
        <v>4134</v>
      </c>
      <c r="C1818" s="11" t="s">
        <v>17</v>
      </c>
      <c r="D1818" s="11" t="s">
        <v>18</v>
      </c>
      <c r="E1818" s="12" t="s">
        <v>19</v>
      </c>
      <c r="F1818" s="12" t="s">
        <v>20</v>
      </c>
      <c r="G1818" s="12" t="s">
        <v>40</v>
      </c>
      <c r="H1818" s="11" t="s">
        <v>22</v>
      </c>
      <c r="I1818" s="13" t="s">
        <v>4138</v>
      </c>
      <c r="J1818" s="14" t="str">
        <f>HYPERLINK("https://www.boe.es/gazeta/dias/1839/01/19/pdfs/GMD-1839-1526.pdf#page=2","Abrir facsímil")</f>
        <v>Abrir facsímil</v>
      </c>
      <c r="K1818" s="12" t="s">
        <v>24</v>
      </c>
    </row>
    <row r="1819" spans="1:11" ht="40.049999999999997" customHeight="1" x14ac:dyDescent="0.25">
      <c r="A1819" s="11" t="s">
        <v>4139</v>
      </c>
      <c r="B1819" s="11" t="s">
        <v>4139</v>
      </c>
      <c r="C1819" s="11" t="s">
        <v>137</v>
      </c>
      <c r="D1819" s="11" t="s">
        <v>18</v>
      </c>
      <c r="E1819" s="12" t="s">
        <v>19</v>
      </c>
      <c r="F1819" s="12" t="s">
        <v>20</v>
      </c>
      <c r="G1819" s="12" t="s">
        <v>46</v>
      </c>
      <c r="H1819" s="11" t="s">
        <v>63</v>
      </c>
      <c r="I1819" s="13" t="s">
        <v>4140</v>
      </c>
      <c r="J1819" s="14" t="str">
        <f>HYPERLINK("https://www.boe.es/gazeta/dias/1839/01/19/pdfs/GMD-1839-1526.pdf#page=3","Abrir facsímil")</f>
        <v>Abrir facsímil</v>
      </c>
      <c r="K1819" s="12" t="s">
        <v>65</v>
      </c>
    </row>
    <row r="1820" spans="1:11" ht="40.049999999999997" customHeight="1" x14ac:dyDescent="0.25">
      <c r="A1820" s="11" t="s">
        <v>4139</v>
      </c>
      <c r="B1820" s="11" t="s">
        <v>4139</v>
      </c>
      <c r="C1820" s="11" t="s">
        <v>101</v>
      </c>
      <c r="D1820" s="11" t="s">
        <v>102</v>
      </c>
      <c r="E1820" s="12" t="s">
        <v>1679</v>
      </c>
      <c r="F1820" s="12" t="s">
        <v>1680</v>
      </c>
      <c r="G1820" s="12" t="s">
        <v>46</v>
      </c>
      <c r="H1820" s="11" t="s">
        <v>63</v>
      </c>
      <c r="I1820" s="13" t="s">
        <v>4141</v>
      </c>
      <c r="J1820" s="14" t="str">
        <f>HYPERLINK("https://www.boe.es/gazeta/dias/1839/01/26/pdfs/GMD-1839-1533.pdf#page=3","Abrir facsímil")</f>
        <v>Abrir facsímil</v>
      </c>
      <c r="K1820" s="12" t="s">
        <v>65</v>
      </c>
    </row>
    <row r="1821" spans="1:11" ht="40.049999999999997" customHeight="1" x14ac:dyDescent="0.25">
      <c r="A1821" s="11" t="s">
        <v>4134</v>
      </c>
      <c r="B1821" s="11" t="s">
        <v>4134</v>
      </c>
      <c r="C1821" s="11" t="s">
        <v>17</v>
      </c>
      <c r="D1821" s="11" t="s">
        <v>18</v>
      </c>
      <c r="E1821" s="12" t="s">
        <v>929</v>
      </c>
      <c r="F1821" s="12" t="s">
        <v>930</v>
      </c>
      <c r="G1821" s="12" t="s">
        <v>46</v>
      </c>
      <c r="H1821" s="11" t="s">
        <v>22</v>
      </c>
      <c r="I1821" s="13" t="s">
        <v>4142</v>
      </c>
      <c r="J1821" s="14" t="str">
        <f>HYPERLINK("https://www.boe.es/gazeta/dias/1839/01/31/pdfs/GMD-1839-1538.pdf#page=3","Abrir facsímil")</f>
        <v>Abrir facsímil</v>
      </c>
      <c r="K1821" s="12" t="s">
        <v>24</v>
      </c>
    </row>
    <row r="1822" spans="1:11" ht="40.049999999999997" customHeight="1" x14ac:dyDescent="0.25">
      <c r="A1822" s="11" t="s">
        <v>4143</v>
      </c>
      <c r="B1822" s="11" t="s">
        <v>4144</v>
      </c>
      <c r="C1822" s="11" t="s">
        <v>101</v>
      </c>
      <c r="D1822" s="11" t="s">
        <v>102</v>
      </c>
      <c r="E1822" s="12" t="s">
        <v>280</v>
      </c>
      <c r="F1822" s="12" t="s">
        <v>281</v>
      </c>
      <c r="G1822" s="12" t="s">
        <v>29</v>
      </c>
      <c r="H1822" s="11" t="s">
        <v>63</v>
      </c>
      <c r="I1822" s="13" t="s">
        <v>4145</v>
      </c>
      <c r="J1822" s="14" t="str">
        <f>HYPERLINK("https://www.boe.es/gazeta/dias/1839/08/21/pdfs/GMD-1839-1742.pdf#page=1","Abrir facsímil")</f>
        <v>Abrir facsímil</v>
      </c>
      <c r="K1822" s="12" t="s">
        <v>65</v>
      </c>
    </row>
    <row r="1823" spans="1:11" ht="40.049999999999997" customHeight="1" x14ac:dyDescent="0.25">
      <c r="A1823" s="11" t="s">
        <v>4146</v>
      </c>
      <c r="B1823" s="11" t="s">
        <v>4147</v>
      </c>
      <c r="C1823" s="11" t="s">
        <v>17</v>
      </c>
      <c r="D1823" s="11" t="s">
        <v>18</v>
      </c>
      <c r="E1823" s="12" t="s">
        <v>116</v>
      </c>
      <c r="F1823" s="12" t="s">
        <v>117</v>
      </c>
      <c r="G1823" s="12" t="s">
        <v>40</v>
      </c>
      <c r="H1823" s="11" t="s">
        <v>63</v>
      </c>
      <c r="I1823" s="13" t="s">
        <v>4148</v>
      </c>
      <c r="J1823" s="14" t="str">
        <f>HYPERLINK("https://www.boe.es/gazeta/dias/1839/10/10/pdfs/GMD-1839-1796.pdf#page=2","Abrir facsímil")</f>
        <v>Abrir facsímil</v>
      </c>
      <c r="K1823" s="12" t="s">
        <v>65</v>
      </c>
    </row>
    <row r="1824" spans="1:11" ht="40.049999999999997" customHeight="1" x14ac:dyDescent="0.25">
      <c r="A1824" s="11" t="s">
        <v>4149</v>
      </c>
      <c r="B1824" s="11" t="s">
        <v>4150</v>
      </c>
      <c r="C1824" s="11" t="s">
        <v>17</v>
      </c>
      <c r="D1824" s="11" t="s">
        <v>18</v>
      </c>
      <c r="E1824" s="12" t="s">
        <v>138</v>
      </c>
      <c r="F1824" s="12" t="s">
        <v>139</v>
      </c>
      <c r="G1824" s="12" t="s">
        <v>29</v>
      </c>
      <c r="H1824" s="11" t="s">
        <v>63</v>
      </c>
      <c r="I1824" s="13" t="s">
        <v>4151</v>
      </c>
      <c r="J1824" s="14" t="str">
        <f>HYPERLINK("https://www.boe.es/gazeta/dias/1839/10/09/pdfs/GMD-1839-1795.pdf#page=1","Abrir facsímil")</f>
        <v>Abrir facsímil</v>
      </c>
      <c r="K1824" s="12" t="s">
        <v>65</v>
      </c>
    </row>
    <row r="1825" spans="1:11" ht="40.049999999999997" customHeight="1" x14ac:dyDescent="0.25">
      <c r="A1825" s="11" t="s">
        <v>4152</v>
      </c>
      <c r="B1825" s="11" t="s">
        <v>4152</v>
      </c>
      <c r="C1825" s="11" t="s">
        <v>17</v>
      </c>
      <c r="D1825" s="11" t="s">
        <v>18</v>
      </c>
      <c r="E1825" s="12" t="s">
        <v>1287</v>
      </c>
      <c r="F1825" s="12" t="s">
        <v>1288</v>
      </c>
      <c r="G1825" s="12" t="s">
        <v>46</v>
      </c>
      <c r="H1825" s="11" t="s">
        <v>63</v>
      </c>
      <c r="I1825" s="13" t="s">
        <v>4153</v>
      </c>
      <c r="J1825" s="14" t="str">
        <f>HYPERLINK("https://www.boe.es/gazeta/dias/1839/10/30/pdfs/GMD-1839-1816.pdf#page=3","Abrir facsímil")</f>
        <v>Abrir facsímil</v>
      </c>
      <c r="K1825" s="12" t="s">
        <v>65</v>
      </c>
    </row>
    <row r="1826" spans="1:11" ht="40.049999999999997" customHeight="1" x14ac:dyDescent="0.25">
      <c r="A1826" s="11" t="s">
        <v>4154</v>
      </c>
      <c r="B1826" s="11" t="s">
        <v>4154</v>
      </c>
      <c r="C1826" s="11" t="s">
        <v>17</v>
      </c>
      <c r="D1826" s="11" t="s">
        <v>18</v>
      </c>
      <c r="E1826" s="12" t="s">
        <v>870</v>
      </c>
      <c r="F1826" s="12" t="s">
        <v>871</v>
      </c>
      <c r="G1826" s="12" t="s">
        <v>46</v>
      </c>
      <c r="H1826" s="11" t="s">
        <v>63</v>
      </c>
      <c r="I1826" s="13" t="s">
        <v>4155</v>
      </c>
      <c r="J1826" s="14" t="str">
        <f>HYPERLINK("https://www.boe.es/gazeta/dias/1839/04/18/pdfs/GMD-1839-1615.pdf#page=3","Abrir facsímil")</f>
        <v>Abrir facsímil</v>
      </c>
      <c r="K1826" s="12" t="s">
        <v>65</v>
      </c>
    </row>
    <row r="1827" spans="1:11" ht="40.049999999999997" customHeight="1" x14ac:dyDescent="0.25">
      <c r="A1827" s="11" t="s">
        <v>4156</v>
      </c>
      <c r="B1827" s="11" t="s">
        <v>4156</v>
      </c>
      <c r="C1827" s="11" t="s">
        <v>80</v>
      </c>
      <c r="D1827" s="11" t="s">
        <v>173</v>
      </c>
      <c r="E1827" s="12" t="s">
        <v>3224</v>
      </c>
      <c r="F1827" s="12" t="s">
        <v>3225</v>
      </c>
      <c r="G1827" s="12" t="s">
        <v>29</v>
      </c>
      <c r="H1827" s="11" t="s">
        <v>63</v>
      </c>
      <c r="I1827" s="13" t="s">
        <v>4157</v>
      </c>
      <c r="J1827" s="14" t="str">
        <f>HYPERLINK("https://www.boe.es/gazeta/dias/1839/06/03/pdfs/GMD-1839-1661.pdf#page=1","Abrir facsímil")</f>
        <v>Abrir facsímil</v>
      </c>
      <c r="K1827" s="12" t="s">
        <v>65</v>
      </c>
    </row>
    <row r="1828" spans="1:11" ht="40.049999999999997" customHeight="1" x14ac:dyDescent="0.25">
      <c r="A1828" s="11" t="s">
        <v>4156</v>
      </c>
      <c r="B1828" s="11" t="s">
        <v>4156</v>
      </c>
      <c r="C1828" s="11" t="s">
        <v>101</v>
      </c>
      <c r="D1828" s="11" t="s">
        <v>43</v>
      </c>
      <c r="E1828" s="12" t="s">
        <v>959</v>
      </c>
      <c r="F1828" s="12" t="s">
        <v>960</v>
      </c>
      <c r="G1828" s="12" t="s">
        <v>40</v>
      </c>
      <c r="H1828" s="11" t="s">
        <v>63</v>
      </c>
      <c r="I1828" s="13" t="s">
        <v>4158</v>
      </c>
      <c r="J1828" s="14" t="str">
        <f>HYPERLINK("https://www.boe.es/gazeta/dias/1839/12/06/pdfs/GMD-1839-1853.pdf#page=2","Abrir facsímil")</f>
        <v>Abrir facsímil</v>
      </c>
      <c r="K1828" s="12" t="s">
        <v>65</v>
      </c>
    </row>
    <row r="1829" spans="1:11" ht="40.049999999999997" customHeight="1" x14ac:dyDescent="0.25">
      <c r="A1829" s="11" t="s">
        <v>4156</v>
      </c>
      <c r="B1829" s="11" t="s">
        <v>4156</v>
      </c>
      <c r="C1829" s="11" t="s">
        <v>17</v>
      </c>
      <c r="D1829" s="11" t="s">
        <v>18</v>
      </c>
      <c r="E1829" s="12" t="s">
        <v>1301</v>
      </c>
      <c r="F1829" s="12" t="s">
        <v>1302</v>
      </c>
      <c r="G1829" s="12" t="s">
        <v>40</v>
      </c>
      <c r="H1829" s="11" t="s">
        <v>63</v>
      </c>
      <c r="I1829" s="13" t="s">
        <v>4159</v>
      </c>
      <c r="J1829" s="14" t="str">
        <f>HYPERLINK("https://www.boe.es/gazeta/dias/1839/11/16/pdfs/GMD-1839-1833.pdf#page=2","Abrir facsímil")</f>
        <v>Abrir facsímil</v>
      </c>
      <c r="K1829" s="12" t="s">
        <v>65</v>
      </c>
    </row>
    <row r="1830" spans="1:11" ht="40.049999999999997" customHeight="1" x14ac:dyDescent="0.25">
      <c r="A1830" s="11" t="s">
        <v>4160</v>
      </c>
      <c r="B1830" s="11" t="s">
        <v>4160</v>
      </c>
      <c r="C1830" s="11" t="s">
        <v>17</v>
      </c>
      <c r="D1830" s="11" t="s">
        <v>18</v>
      </c>
      <c r="E1830" s="12" t="s">
        <v>690</v>
      </c>
      <c r="F1830" s="12" t="s">
        <v>691</v>
      </c>
      <c r="G1830" s="12" t="s">
        <v>40</v>
      </c>
      <c r="H1830" s="11" t="s">
        <v>63</v>
      </c>
      <c r="I1830" s="13" t="s">
        <v>4161</v>
      </c>
      <c r="J1830" s="14" t="str">
        <f>HYPERLINK("https://www.boe.es/gazeta/dias/1839/12/08/pdfs/GMD-1839-1855.pdf#page=2","Abrir facsímil")</f>
        <v>Abrir facsímil</v>
      </c>
      <c r="K1830" s="12" t="s">
        <v>65</v>
      </c>
    </row>
    <row r="1831" spans="1:11" ht="40.049999999999997" customHeight="1" x14ac:dyDescent="0.25">
      <c r="A1831" s="11" t="s">
        <v>4160</v>
      </c>
      <c r="B1831" s="11" t="s">
        <v>4160</v>
      </c>
      <c r="C1831" s="11" t="s">
        <v>17</v>
      </c>
      <c r="D1831" s="11" t="s">
        <v>18</v>
      </c>
      <c r="E1831" s="12" t="s">
        <v>68</v>
      </c>
      <c r="F1831" s="12" t="s">
        <v>69</v>
      </c>
      <c r="G1831" s="12" t="s">
        <v>46</v>
      </c>
      <c r="H1831" s="11" t="s">
        <v>63</v>
      </c>
      <c r="I1831" s="13" t="s">
        <v>4162</v>
      </c>
      <c r="J1831" s="14" t="str">
        <f>HYPERLINK("https://www.boe.es/gazeta/dias/1839/02/09/pdfs/GMD-1839-1547.pdf#page=3","Abrir facsímil")</f>
        <v>Abrir facsímil</v>
      </c>
      <c r="K1831" s="12" t="s">
        <v>65</v>
      </c>
    </row>
    <row r="1832" spans="1:11" ht="40.049999999999997" customHeight="1" x14ac:dyDescent="0.25">
      <c r="A1832" s="11" t="s">
        <v>4163</v>
      </c>
      <c r="B1832" s="11" t="s">
        <v>4163</v>
      </c>
      <c r="C1832" s="11" t="s">
        <v>17</v>
      </c>
      <c r="D1832" s="11" t="s">
        <v>18</v>
      </c>
      <c r="E1832" s="12" t="s">
        <v>2155</v>
      </c>
      <c r="F1832" s="12" t="s">
        <v>2156</v>
      </c>
      <c r="G1832" s="12" t="s">
        <v>46</v>
      </c>
      <c r="H1832" s="11" t="s">
        <v>22</v>
      </c>
      <c r="I1832" s="13" t="s">
        <v>4164</v>
      </c>
      <c r="J1832" s="14" t="str">
        <f>HYPERLINK("https://www.boe.es/gazeta/dias/1839/01/17/pdfs/GMD-1839-1524.pdf#page=3","Abrir facsímil")</f>
        <v>Abrir facsímil</v>
      </c>
      <c r="K1832" s="12" t="s">
        <v>24</v>
      </c>
    </row>
    <row r="1833" spans="1:11" ht="40.049999999999997" customHeight="1" x14ac:dyDescent="0.25">
      <c r="A1833" s="11" t="s">
        <v>4160</v>
      </c>
      <c r="B1833" s="11" t="s">
        <v>4160</v>
      </c>
      <c r="C1833" s="11" t="s">
        <v>17</v>
      </c>
      <c r="D1833" s="11" t="s">
        <v>18</v>
      </c>
      <c r="E1833" s="12" t="s">
        <v>433</v>
      </c>
      <c r="F1833" s="12" t="s">
        <v>434</v>
      </c>
      <c r="G1833" s="12" t="s">
        <v>46</v>
      </c>
      <c r="H1833" s="11" t="s">
        <v>63</v>
      </c>
      <c r="I1833" s="13" t="s">
        <v>4165</v>
      </c>
      <c r="J1833" s="14" t="str">
        <f>HYPERLINK("https://www.boe.es/gazeta/dias/1839/01/20/pdfs/GMD-1839-1527.pdf#page=3","Abrir facsímil")</f>
        <v>Abrir facsímil</v>
      </c>
      <c r="K1833" s="12" t="s">
        <v>65</v>
      </c>
    </row>
    <row r="1834" spans="1:11" ht="40.049999999999997" customHeight="1" x14ac:dyDescent="0.25">
      <c r="A1834" s="11" t="s">
        <v>4166</v>
      </c>
      <c r="B1834" s="11" t="s">
        <v>4167</v>
      </c>
      <c r="C1834" s="11" t="s">
        <v>17</v>
      </c>
      <c r="D1834" s="11" t="s">
        <v>18</v>
      </c>
      <c r="E1834" s="12" t="s">
        <v>54</v>
      </c>
      <c r="F1834" s="12" t="s">
        <v>55</v>
      </c>
      <c r="G1834" s="12" t="s">
        <v>29</v>
      </c>
      <c r="H1834" s="11" t="s">
        <v>63</v>
      </c>
      <c r="I1834" s="13" t="s">
        <v>4168</v>
      </c>
      <c r="J1834" s="14" t="str">
        <f>HYPERLINK("https://www.boe.es/gazeta/dias/1839/10/05/pdfs/GMD-1839-1791.pdf#page=1","Abrir facsímil")</f>
        <v>Abrir facsímil</v>
      </c>
      <c r="K1834" s="12" t="s">
        <v>65</v>
      </c>
    </row>
    <row r="1835" spans="1:11" ht="40.049999999999997" customHeight="1" x14ac:dyDescent="0.25">
      <c r="A1835" s="11" t="s">
        <v>4166</v>
      </c>
      <c r="B1835" s="11" t="s">
        <v>4167</v>
      </c>
      <c r="C1835" s="11" t="s">
        <v>80</v>
      </c>
      <c r="D1835" s="11" t="s">
        <v>18</v>
      </c>
      <c r="E1835" s="12" t="s">
        <v>138</v>
      </c>
      <c r="F1835" s="12" t="s">
        <v>139</v>
      </c>
      <c r="G1835" s="12" t="s">
        <v>29</v>
      </c>
      <c r="H1835" s="11" t="s">
        <v>63</v>
      </c>
      <c r="I1835" s="13" t="s">
        <v>4169</v>
      </c>
      <c r="J1835" s="14" t="str">
        <f>HYPERLINK("https://www.boe.es/gazeta/dias/1839/10/09/pdfs/GMD-1839-1795.pdf#page=1","Abrir facsímil")</f>
        <v>Abrir facsímil</v>
      </c>
      <c r="K1835" s="12" t="s">
        <v>65</v>
      </c>
    </row>
    <row r="1836" spans="1:11" ht="40.049999999999997" customHeight="1" x14ac:dyDescent="0.25">
      <c r="A1836" s="11" t="s">
        <v>4170</v>
      </c>
      <c r="B1836" s="11" t="s">
        <v>4171</v>
      </c>
      <c r="C1836" s="11" t="s">
        <v>17</v>
      </c>
      <c r="D1836" s="11" t="s">
        <v>18</v>
      </c>
      <c r="E1836" s="12" t="s">
        <v>258</v>
      </c>
      <c r="F1836" s="12" t="s">
        <v>259</v>
      </c>
      <c r="G1836" s="12" t="s">
        <v>46</v>
      </c>
      <c r="H1836" s="11" t="s">
        <v>22</v>
      </c>
      <c r="I1836" s="13" t="s">
        <v>4172</v>
      </c>
      <c r="J1836" s="14" t="str">
        <f>HYPERLINK("https://www.boe.es/gazeta/dias/1839/01/02/pdfs/GMD-1839-1509.pdf#page=3","Abrir facsímil")</f>
        <v>Abrir facsímil</v>
      </c>
      <c r="K1836" s="12" t="s">
        <v>24</v>
      </c>
    </row>
    <row r="1837" spans="1:11" ht="40.049999999999997" customHeight="1" x14ac:dyDescent="0.25">
      <c r="A1837" s="11" t="s">
        <v>4173</v>
      </c>
      <c r="B1837" s="11" t="s">
        <v>4173</v>
      </c>
      <c r="C1837" s="11" t="s">
        <v>80</v>
      </c>
      <c r="D1837" s="11" t="s">
        <v>18</v>
      </c>
      <c r="E1837" s="12" t="s">
        <v>1648</v>
      </c>
      <c r="F1837" s="12" t="s">
        <v>1649</v>
      </c>
      <c r="G1837" s="12" t="s">
        <v>21</v>
      </c>
      <c r="H1837" s="11" t="s">
        <v>63</v>
      </c>
      <c r="I1837" s="13" t="s">
        <v>4174</v>
      </c>
      <c r="J1837" s="14" t="str">
        <f>HYPERLINK("https://www.boe.es/gazeta/dias/1839/08/18/pdfs/GMD-1839-1738.pdf#page=4","Abrir facsímil")</f>
        <v>Abrir facsímil</v>
      </c>
      <c r="K1837" s="12" t="s">
        <v>65</v>
      </c>
    </row>
    <row r="1838" spans="1:11" ht="40.049999999999997" customHeight="1" x14ac:dyDescent="0.25">
      <c r="A1838" s="11" t="s">
        <v>4175</v>
      </c>
      <c r="B1838" s="11" t="s">
        <v>4175</v>
      </c>
      <c r="C1838" s="11" t="s">
        <v>80</v>
      </c>
      <c r="D1838" s="11" t="s">
        <v>18</v>
      </c>
      <c r="E1838" s="12" t="s">
        <v>369</v>
      </c>
      <c r="F1838" s="12" t="s">
        <v>370</v>
      </c>
      <c r="G1838" s="12" t="s">
        <v>21</v>
      </c>
      <c r="H1838" s="11" t="s">
        <v>63</v>
      </c>
      <c r="I1838" s="13" t="s">
        <v>4176</v>
      </c>
      <c r="J1838" s="14" t="str">
        <f>HYPERLINK("https://www.boe.es/gazeta/dias/1839/11/01/pdfs/GMD-1839-1818.pdf#page=4","Abrir facsímil")</f>
        <v>Abrir facsímil</v>
      </c>
      <c r="K1838" s="12" t="s">
        <v>65</v>
      </c>
    </row>
    <row r="1839" spans="1:11" ht="40.049999999999997" customHeight="1" x14ac:dyDescent="0.25">
      <c r="A1839" s="11" t="s">
        <v>4175</v>
      </c>
      <c r="B1839" s="11" t="s">
        <v>4175</v>
      </c>
      <c r="C1839" s="11" t="s">
        <v>17</v>
      </c>
      <c r="D1839" s="11" t="s">
        <v>18</v>
      </c>
      <c r="E1839" s="12" t="s">
        <v>154</v>
      </c>
      <c r="F1839" s="12" t="s">
        <v>155</v>
      </c>
      <c r="G1839" s="12" t="s">
        <v>29</v>
      </c>
      <c r="H1839" s="11" t="s">
        <v>63</v>
      </c>
      <c r="I1839" s="13" t="s">
        <v>4177</v>
      </c>
      <c r="J1839" s="14" t="str">
        <f>HYPERLINK("https://www.boe.es/gazeta/dias/1839/02/02/pdfs/GMD-1839-1540.pdf#page=1","Abrir facsímil")</f>
        <v>Abrir facsímil</v>
      </c>
      <c r="K1839" s="12" t="s">
        <v>65</v>
      </c>
    </row>
    <row r="1840" spans="1:11" ht="40.049999999999997" customHeight="1" x14ac:dyDescent="0.25">
      <c r="A1840" s="11" t="s">
        <v>4175</v>
      </c>
      <c r="B1840" s="11" t="s">
        <v>4175</v>
      </c>
      <c r="C1840" s="11" t="s">
        <v>17</v>
      </c>
      <c r="D1840" s="11" t="s">
        <v>18</v>
      </c>
      <c r="E1840" s="12" t="s">
        <v>1136</v>
      </c>
      <c r="F1840" s="12" t="s">
        <v>1137</v>
      </c>
      <c r="G1840" s="12" t="s">
        <v>29</v>
      </c>
      <c r="H1840" s="11" t="s">
        <v>63</v>
      </c>
      <c r="I1840" s="13" t="s">
        <v>4178</v>
      </c>
      <c r="J1840" s="14" t="str">
        <f>HYPERLINK("https://www.boe.es/gazeta/dias/1839/04/03/pdfs/GMD-1839-1600.pdf#page=1","Abrir facsímil")</f>
        <v>Abrir facsímil</v>
      </c>
      <c r="K1840" s="12" t="s">
        <v>65</v>
      </c>
    </row>
    <row r="1841" spans="1:11" ht="40.049999999999997" customHeight="1" x14ac:dyDescent="0.25">
      <c r="A1841" s="11" t="s">
        <v>4175</v>
      </c>
      <c r="B1841" s="11" t="s">
        <v>4175</v>
      </c>
      <c r="C1841" s="11" t="s">
        <v>17</v>
      </c>
      <c r="D1841" s="11" t="s">
        <v>18</v>
      </c>
      <c r="E1841" s="12" t="s">
        <v>1614</v>
      </c>
      <c r="F1841" s="12" t="s">
        <v>1615</v>
      </c>
      <c r="G1841" s="12" t="s">
        <v>29</v>
      </c>
      <c r="H1841" s="11" t="s">
        <v>63</v>
      </c>
      <c r="I1841" s="13" t="s">
        <v>4179</v>
      </c>
      <c r="J1841" s="14" t="str">
        <f>HYPERLINK("https://www.boe.es/gazeta/dias/1839/07/03/pdfs/GMD-1839-1691.pdf#page=1","Abrir facsímil")</f>
        <v>Abrir facsímil</v>
      </c>
      <c r="K1841" s="12" t="s">
        <v>65</v>
      </c>
    </row>
    <row r="1842" spans="1:11" ht="40.049999999999997" customHeight="1" x14ac:dyDescent="0.25">
      <c r="A1842" s="11" t="s">
        <v>4175</v>
      </c>
      <c r="B1842" s="11" t="s">
        <v>4175</v>
      </c>
      <c r="C1842" s="11" t="s">
        <v>17</v>
      </c>
      <c r="D1842" s="11" t="s">
        <v>18</v>
      </c>
      <c r="E1842" s="12" t="s">
        <v>202</v>
      </c>
      <c r="F1842" s="12" t="s">
        <v>203</v>
      </c>
      <c r="G1842" s="12" t="s">
        <v>46</v>
      </c>
      <c r="H1842" s="11" t="s">
        <v>63</v>
      </c>
      <c r="I1842" s="13" t="s">
        <v>4180</v>
      </c>
      <c r="J1842" s="14" t="str">
        <f>HYPERLINK("https://www.boe.es/gazeta/dias/1839/04/05/pdfs/GMD-1839-1602.pdf#page=3","Abrir facsímil")</f>
        <v>Abrir facsímil</v>
      </c>
      <c r="K1842" s="12" t="s">
        <v>65</v>
      </c>
    </row>
    <row r="1843" spans="1:11" ht="40.049999999999997" customHeight="1" x14ac:dyDescent="0.25">
      <c r="A1843" s="11" t="s">
        <v>4175</v>
      </c>
      <c r="B1843" s="11" t="s">
        <v>4175</v>
      </c>
      <c r="C1843" s="11" t="s">
        <v>80</v>
      </c>
      <c r="D1843" s="11" t="s">
        <v>18</v>
      </c>
      <c r="E1843" s="12" t="s">
        <v>2482</v>
      </c>
      <c r="F1843" s="12" t="s">
        <v>2483</v>
      </c>
      <c r="G1843" s="12" t="s">
        <v>21</v>
      </c>
      <c r="H1843" s="11" t="s">
        <v>63</v>
      </c>
      <c r="I1843" s="13" t="s">
        <v>4181</v>
      </c>
      <c r="J1843" s="14" t="str">
        <f>HYPERLINK("https://www.boe.es/gazeta/dias/1839/07/07/pdfs/GMD-1839-1695.pdf#page=4","Abrir facsímil")</f>
        <v>Abrir facsímil</v>
      </c>
      <c r="K1843" s="12" t="s">
        <v>65</v>
      </c>
    </row>
    <row r="1844" spans="1:11" ht="40.049999999999997" customHeight="1" x14ac:dyDescent="0.25">
      <c r="A1844" s="11" t="s">
        <v>4175</v>
      </c>
      <c r="B1844" s="11" t="s">
        <v>4175</v>
      </c>
      <c r="C1844" s="11" t="s">
        <v>80</v>
      </c>
      <c r="D1844" s="11" t="s">
        <v>18</v>
      </c>
      <c r="E1844" s="12" t="s">
        <v>388</v>
      </c>
      <c r="F1844" s="12" t="s">
        <v>389</v>
      </c>
      <c r="G1844" s="12" t="s">
        <v>21</v>
      </c>
      <c r="H1844" s="11" t="s">
        <v>63</v>
      </c>
      <c r="I1844" s="13" t="s">
        <v>4182</v>
      </c>
      <c r="J1844" s="14" t="str">
        <f>HYPERLINK("https://www.boe.es/gazeta/dias/1839/08/07/pdfs/GMD-1839-1727.pdf#page=4","Abrir facsímil")</f>
        <v>Abrir facsímil</v>
      </c>
      <c r="K1844" s="12" t="s">
        <v>65</v>
      </c>
    </row>
    <row r="1845" spans="1:11" ht="40.049999999999997" customHeight="1" x14ac:dyDescent="0.25">
      <c r="A1845" s="11" t="s">
        <v>4175</v>
      </c>
      <c r="B1845" s="11" t="s">
        <v>4175</v>
      </c>
      <c r="C1845" s="11" t="s">
        <v>80</v>
      </c>
      <c r="D1845" s="11" t="s">
        <v>18</v>
      </c>
      <c r="E1845" s="12" t="s">
        <v>1562</v>
      </c>
      <c r="F1845" s="12" t="s">
        <v>1563</v>
      </c>
      <c r="G1845" s="12" t="s">
        <v>21</v>
      </c>
      <c r="H1845" s="11" t="s">
        <v>63</v>
      </c>
      <c r="I1845" s="13" t="s">
        <v>4183</v>
      </c>
      <c r="J1845" s="14" t="str">
        <f>HYPERLINK("https://www.boe.es/gazeta/dias/1839/04/08/pdfs/GMD-1839-1605.pdf#page=4","Abrir facsímil")</f>
        <v>Abrir facsímil</v>
      </c>
      <c r="K1845" s="12" t="s">
        <v>65</v>
      </c>
    </row>
    <row r="1846" spans="1:11" ht="40.049999999999997" customHeight="1" x14ac:dyDescent="0.25">
      <c r="A1846" s="11" t="s">
        <v>4175</v>
      </c>
      <c r="B1846" s="11" t="s">
        <v>4175</v>
      </c>
      <c r="C1846" s="11" t="s">
        <v>80</v>
      </c>
      <c r="D1846" s="11" t="s">
        <v>18</v>
      </c>
      <c r="E1846" s="12" t="s">
        <v>2205</v>
      </c>
      <c r="F1846" s="12" t="s">
        <v>2206</v>
      </c>
      <c r="G1846" s="12" t="s">
        <v>21</v>
      </c>
      <c r="H1846" s="11" t="s">
        <v>63</v>
      </c>
      <c r="I1846" s="13" t="s">
        <v>4184</v>
      </c>
      <c r="J1846" s="14" t="str">
        <f>HYPERLINK("https://www.boe.es/gazeta/dias/1839/07/11/pdfs/GMD-1839-1699.pdf#page=4","Abrir facsímil")</f>
        <v>Abrir facsímil</v>
      </c>
      <c r="K1846" s="12" t="s">
        <v>65</v>
      </c>
    </row>
    <row r="1847" spans="1:11" ht="40.049999999999997" customHeight="1" x14ac:dyDescent="0.25">
      <c r="A1847" s="11" t="s">
        <v>4175</v>
      </c>
      <c r="B1847" s="11" t="s">
        <v>4175</v>
      </c>
      <c r="C1847" s="11" t="s">
        <v>17</v>
      </c>
      <c r="D1847" s="11" t="s">
        <v>18</v>
      </c>
      <c r="E1847" s="12" t="s">
        <v>420</v>
      </c>
      <c r="F1847" s="12" t="s">
        <v>421</v>
      </c>
      <c r="G1847" s="12" t="s">
        <v>40</v>
      </c>
      <c r="H1847" s="11" t="s">
        <v>63</v>
      </c>
      <c r="I1847" s="13" t="s">
        <v>4185</v>
      </c>
      <c r="J1847" s="14" t="str">
        <f>HYPERLINK("https://www.boe.es/gazeta/dias/1839/03/12/pdfs/GMD-1839-1578.pdf#page=2","Abrir facsímil")</f>
        <v>Abrir facsímil</v>
      </c>
      <c r="K1847" s="12" t="s">
        <v>65</v>
      </c>
    </row>
    <row r="1848" spans="1:11" ht="40.049999999999997" customHeight="1" x14ac:dyDescent="0.25">
      <c r="A1848" s="11" t="s">
        <v>4175</v>
      </c>
      <c r="B1848" s="11" t="s">
        <v>4175</v>
      </c>
      <c r="C1848" s="11" t="s">
        <v>80</v>
      </c>
      <c r="D1848" s="11" t="s">
        <v>18</v>
      </c>
      <c r="E1848" s="12" t="s">
        <v>4186</v>
      </c>
      <c r="F1848" s="12" t="s">
        <v>4187</v>
      </c>
      <c r="G1848" s="12" t="s">
        <v>40</v>
      </c>
      <c r="H1848" s="11" t="s">
        <v>63</v>
      </c>
      <c r="I1848" s="13" t="s">
        <v>4188</v>
      </c>
      <c r="J1848" s="14" t="str">
        <f>HYPERLINK("https://www.boe.es/gazeta/dias/1839/12/12/pdfs/GMD-1839-1859.pdf#page=2","Abrir facsímil")</f>
        <v>Abrir facsímil</v>
      </c>
      <c r="K1848" s="12" t="s">
        <v>65</v>
      </c>
    </row>
    <row r="1849" spans="1:11" ht="40.049999999999997" customHeight="1" x14ac:dyDescent="0.25">
      <c r="A1849" s="11" t="s">
        <v>4175</v>
      </c>
      <c r="B1849" s="11" t="s">
        <v>4175</v>
      </c>
      <c r="C1849" s="11" t="s">
        <v>80</v>
      </c>
      <c r="D1849" s="11" t="s">
        <v>18</v>
      </c>
      <c r="E1849" s="12" t="s">
        <v>4189</v>
      </c>
      <c r="F1849" s="12" t="s">
        <v>4190</v>
      </c>
      <c r="G1849" s="12" t="s">
        <v>29</v>
      </c>
      <c r="H1849" s="11" t="s">
        <v>63</v>
      </c>
      <c r="I1849" s="13" t="s">
        <v>4191</v>
      </c>
      <c r="J1849" s="14" t="str">
        <f>HYPERLINK("https://www.boe.es/gazeta/dias/1839/02/13/pdfs/GMD-1839-1551.pdf#page=1","Abrir facsímil")</f>
        <v>Abrir facsímil</v>
      </c>
      <c r="K1849" s="12" t="s">
        <v>65</v>
      </c>
    </row>
    <row r="1850" spans="1:11" ht="40.049999999999997" customHeight="1" x14ac:dyDescent="0.25">
      <c r="A1850" s="11" t="s">
        <v>4175</v>
      </c>
      <c r="B1850" s="11" t="s">
        <v>4175</v>
      </c>
      <c r="C1850" s="11" t="s">
        <v>17</v>
      </c>
      <c r="D1850" s="11" t="s">
        <v>18</v>
      </c>
      <c r="E1850" s="12" t="s">
        <v>621</v>
      </c>
      <c r="F1850" s="12" t="s">
        <v>622</v>
      </c>
      <c r="G1850" s="12" t="s">
        <v>29</v>
      </c>
      <c r="H1850" s="11" t="s">
        <v>63</v>
      </c>
      <c r="I1850" s="13" t="s">
        <v>4192</v>
      </c>
      <c r="J1850" s="14" t="str">
        <f>HYPERLINK("https://www.boe.es/gazeta/dias/1839/04/14/pdfs/GMD-1839-1611.pdf#page=1","Abrir facsímil")</f>
        <v>Abrir facsímil</v>
      </c>
      <c r="K1850" s="12" t="s">
        <v>65</v>
      </c>
    </row>
    <row r="1851" spans="1:11" ht="40.049999999999997" customHeight="1" x14ac:dyDescent="0.25">
      <c r="A1851" s="11" t="s">
        <v>4175</v>
      </c>
      <c r="B1851" s="11" t="s">
        <v>4175</v>
      </c>
      <c r="C1851" s="11" t="s">
        <v>80</v>
      </c>
      <c r="D1851" s="11" t="s">
        <v>18</v>
      </c>
      <c r="E1851" s="12" t="s">
        <v>1139</v>
      </c>
      <c r="F1851" s="12" t="s">
        <v>1140</v>
      </c>
      <c r="G1851" s="12" t="s">
        <v>29</v>
      </c>
      <c r="H1851" s="11" t="s">
        <v>63</v>
      </c>
      <c r="I1851" s="13" t="s">
        <v>4193</v>
      </c>
      <c r="J1851" s="14" t="str">
        <f>HYPERLINK("https://www.boe.es/gazeta/dias/1839/02/15/pdfs/GMD-1839-1553.pdf#page=1","Abrir facsímil")</f>
        <v>Abrir facsímil</v>
      </c>
      <c r="K1851" s="12" t="s">
        <v>65</v>
      </c>
    </row>
    <row r="1852" spans="1:11" ht="40.049999999999997" customHeight="1" x14ac:dyDescent="0.25">
      <c r="A1852" s="11" t="s">
        <v>4175</v>
      </c>
      <c r="B1852" s="11" t="s">
        <v>4175</v>
      </c>
      <c r="C1852" s="11" t="s">
        <v>17</v>
      </c>
      <c r="D1852" s="11" t="s">
        <v>18</v>
      </c>
      <c r="E1852" s="12" t="s">
        <v>513</v>
      </c>
      <c r="F1852" s="12" t="s">
        <v>514</v>
      </c>
      <c r="G1852" s="12" t="s">
        <v>29</v>
      </c>
      <c r="H1852" s="11" t="s">
        <v>63</v>
      </c>
      <c r="I1852" s="13" t="s">
        <v>4194</v>
      </c>
      <c r="J1852" s="14" t="str">
        <f>HYPERLINK("https://www.boe.es/gazeta/dias/1839/03/17/pdfs/GMD-1839-1583.pdf#page=1","Abrir facsímil")</f>
        <v>Abrir facsímil</v>
      </c>
      <c r="K1852" s="12" t="s">
        <v>65</v>
      </c>
    </row>
    <row r="1853" spans="1:11" ht="40.049999999999997" customHeight="1" x14ac:dyDescent="0.25">
      <c r="A1853" s="11" t="s">
        <v>4175</v>
      </c>
      <c r="B1853" s="11" t="s">
        <v>4175</v>
      </c>
      <c r="C1853" s="11" t="s">
        <v>80</v>
      </c>
      <c r="D1853" s="11" t="s">
        <v>18</v>
      </c>
      <c r="E1853" s="12" t="s">
        <v>438</v>
      </c>
      <c r="F1853" s="12" t="s">
        <v>439</v>
      </c>
      <c r="G1853" s="12" t="s">
        <v>21</v>
      </c>
      <c r="H1853" s="11" t="s">
        <v>63</v>
      </c>
      <c r="I1853" s="13" t="s">
        <v>4195</v>
      </c>
      <c r="J1853" s="14" t="str">
        <f>HYPERLINK("https://www.boe.es/gazeta/dias/1839/07/17/pdfs/GMD-1839-1705.pdf#page=4","Abrir facsímil")</f>
        <v>Abrir facsímil</v>
      </c>
      <c r="K1853" s="12" t="s">
        <v>65</v>
      </c>
    </row>
    <row r="1854" spans="1:11" ht="40.049999999999997" customHeight="1" x14ac:dyDescent="0.25">
      <c r="A1854" s="11" t="s">
        <v>4175</v>
      </c>
      <c r="B1854" s="11" t="s">
        <v>4175</v>
      </c>
      <c r="C1854" s="11" t="s">
        <v>80</v>
      </c>
      <c r="D1854" s="11" t="s">
        <v>18</v>
      </c>
      <c r="E1854" s="12" t="s">
        <v>1725</v>
      </c>
      <c r="F1854" s="12" t="s">
        <v>1726</v>
      </c>
      <c r="G1854" s="12" t="s">
        <v>29</v>
      </c>
      <c r="H1854" s="11" t="s">
        <v>63</v>
      </c>
      <c r="I1854" s="13" t="s">
        <v>4196</v>
      </c>
      <c r="J1854" s="14" t="str">
        <f>HYPERLINK("https://www.boe.es/gazeta/dias/1839/11/17/pdfs/GMD-1839-1834.pdf#page=1","Abrir facsímil")</f>
        <v>Abrir facsímil</v>
      </c>
      <c r="K1854" s="12" t="s">
        <v>65</v>
      </c>
    </row>
    <row r="1855" spans="1:11" ht="40.049999999999997" customHeight="1" x14ac:dyDescent="0.25">
      <c r="A1855" s="11" t="s">
        <v>4175</v>
      </c>
      <c r="B1855" s="11" t="s">
        <v>4175</v>
      </c>
      <c r="C1855" s="11" t="s">
        <v>17</v>
      </c>
      <c r="D1855" s="11" t="s">
        <v>18</v>
      </c>
      <c r="E1855" s="12" t="s">
        <v>870</v>
      </c>
      <c r="F1855" s="12" t="s">
        <v>871</v>
      </c>
      <c r="G1855" s="12" t="s">
        <v>29</v>
      </c>
      <c r="H1855" s="11" t="s">
        <v>63</v>
      </c>
      <c r="I1855" s="13" t="s">
        <v>4197</v>
      </c>
      <c r="J1855" s="14" t="str">
        <f>HYPERLINK("https://www.boe.es/gazeta/dias/1839/04/18/pdfs/GMD-1839-1615.pdf#page=1","Abrir facsímil")</f>
        <v>Abrir facsímil</v>
      </c>
      <c r="K1855" s="12" t="s">
        <v>65</v>
      </c>
    </row>
    <row r="1856" spans="1:11" ht="40.049999999999997" customHeight="1" x14ac:dyDescent="0.25">
      <c r="A1856" s="11" t="s">
        <v>4175</v>
      </c>
      <c r="B1856" s="11" t="s">
        <v>4175</v>
      </c>
      <c r="C1856" s="11" t="s">
        <v>80</v>
      </c>
      <c r="D1856" s="11" t="s">
        <v>18</v>
      </c>
      <c r="E1856" s="12" t="s">
        <v>1406</v>
      </c>
      <c r="F1856" s="12" t="s">
        <v>1407</v>
      </c>
      <c r="G1856" s="12" t="s">
        <v>21</v>
      </c>
      <c r="H1856" s="11" t="s">
        <v>63</v>
      </c>
      <c r="I1856" s="13" t="s">
        <v>4198</v>
      </c>
      <c r="J1856" s="14" t="str">
        <f>HYPERLINK("https://www.boe.es/gazeta/dias/1839/07/18/pdfs/GMD-1839-1706.pdf#page=4","Abrir facsímil")</f>
        <v>Abrir facsímil</v>
      </c>
      <c r="K1856" s="12" t="s">
        <v>65</v>
      </c>
    </row>
    <row r="1857" spans="1:11" ht="40.049999999999997" customHeight="1" x14ac:dyDescent="0.25">
      <c r="A1857" s="11" t="s">
        <v>4175</v>
      </c>
      <c r="B1857" s="11" t="s">
        <v>4175</v>
      </c>
      <c r="C1857" s="11" t="s">
        <v>17</v>
      </c>
      <c r="D1857" s="11" t="s">
        <v>18</v>
      </c>
      <c r="E1857" s="12" t="s">
        <v>486</v>
      </c>
      <c r="F1857" s="12" t="s">
        <v>487</v>
      </c>
      <c r="G1857" s="12" t="s">
        <v>29</v>
      </c>
      <c r="H1857" s="11" t="s">
        <v>63</v>
      </c>
      <c r="I1857" s="13" t="s">
        <v>4199</v>
      </c>
      <c r="J1857" s="14" t="str">
        <f>HYPERLINK("https://www.boe.es/gazeta/dias/1839/04/19/pdfs/GMD-1839-1616.pdf#page=1","Abrir facsímil")</f>
        <v>Abrir facsímil</v>
      </c>
      <c r="K1857" s="12" t="s">
        <v>65</v>
      </c>
    </row>
    <row r="1858" spans="1:11" ht="40.049999999999997" customHeight="1" x14ac:dyDescent="0.25">
      <c r="A1858" s="11" t="s">
        <v>4175</v>
      </c>
      <c r="B1858" s="11" t="s">
        <v>4175</v>
      </c>
      <c r="C1858" s="11" t="s">
        <v>80</v>
      </c>
      <c r="D1858" s="11" t="s">
        <v>18</v>
      </c>
      <c r="E1858" s="12" t="s">
        <v>2378</v>
      </c>
      <c r="F1858" s="12" t="s">
        <v>2379</v>
      </c>
      <c r="G1858" s="12" t="s">
        <v>21</v>
      </c>
      <c r="H1858" s="11" t="s">
        <v>63</v>
      </c>
      <c r="I1858" s="13" t="s">
        <v>4200</v>
      </c>
      <c r="J1858" s="14" t="str">
        <f>HYPERLINK("https://www.boe.es/gazeta/dias/1839/06/20/pdfs/GMD-1839-1678.pdf#page=4","Abrir facsímil")</f>
        <v>Abrir facsímil</v>
      </c>
      <c r="K1858" s="12" t="s">
        <v>65</v>
      </c>
    </row>
    <row r="1859" spans="1:11" ht="40.049999999999997" customHeight="1" x14ac:dyDescent="0.25">
      <c r="A1859" s="11" t="s">
        <v>4175</v>
      </c>
      <c r="B1859" s="11" t="s">
        <v>4175</v>
      </c>
      <c r="C1859" s="11" t="s">
        <v>80</v>
      </c>
      <c r="D1859" s="11" t="s">
        <v>18</v>
      </c>
      <c r="E1859" s="12" t="s">
        <v>1374</v>
      </c>
      <c r="F1859" s="12" t="s">
        <v>1375</v>
      </c>
      <c r="G1859" s="12" t="s">
        <v>21</v>
      </c>
      <c r="H1859" s="11" t="s">
        <v>63</v>
      </c>
      <c r="I1859" s="13" t="s">
        <v>4201</v>
      </c>
      <c r="J1859" s="14" t="str">
        <f>HYPERLINK("https://www.boe.es/gazeta/dias/1839/07/20/pdfs/GMD-1839-1708.pdf#page=4","Abrir facsímil")</f>
        <v>Abrir facsímil</v>
      </c>
      <c r="K1859" s="12" t="s">
        <v>65</v>
      </c>
    </row>
    <row r="1860" spans="1:11" ht="40.049999999999997" customHeight="1" x14ac:dyDescent="0.25">
      <c r="A1860" s="11" t="s">
        <v>4175</v>
      </c>
      <c r="B1860" s="11" t="s">
        <v>4175</v>
      </c>
      <c r="C1860" s="11" t="s">
        <v>17</v>
      </c>
      <c r="D1860" s="11" t="s">
        <v>18</v>
      </c>
      <c r="E1860" s="12" t="s">
        <v>3601</v>
      </c>
      <c r="F1860" s="12" t="s">
        <v>3602</v>
      </c>
      <c r="G1860" s="12" t="s">
        <v>29</v>
      </c>
      <c r="H1860" s="11" t="s">
        <v>63</v>
      </c>
      <c r="I1860" s="13" t="s">
        <v>4202</v>
      </c>
      <c r="J1860" s="14" t="str">
        <f>HYPERLINK("https://www.boe.es/gazeta/dias/1839/03/21/pdfs/GMD-1839-1587.pdf#page=1","Abrir facsímil")</f>
        <v>Abrir facsímil</v>
      </c>
      <c r="K1860" s="12" t="s">
        <v>65</v>
      </c>
    </row>
    <row r="1861" spans="1:11" ht="40.049999999999997" customHeight="1" x14ac:dyDescent="0.25">
      <c r="A1861" s="11" t="s">
        <v>4175</v>
      </c>
      <c r="B1861" s="11" t="s">
        <v>4175</v>
      </c>
      <c r="C1861" s="11" t="s">
        <v>137</v>
      </c>
      <c r="D1861" s="11" t="s">
        <v>18</v>
      </c>
      <c r="E1861" s="12" t="s">
        <v>1794</v>
      </c>
      <c r="F1861" s="12" t="s">
        <v>1795</v>
      </c>
      <c r="G1861" s="12" t="s">
        <v>29</v>
      </c>
      <c r="H1861" s="11" t="s">
        <v>63</v>
      </c>
      <c r="I1861" s="13" t="s">
        <v>4203</v>
      </c>
      <c r="J1861" s="14" t="str">
        <f>HYPERLINK("https://www.boe.es/gazeta/dias/1839/02/22/pdfs/GMD-1839-1560.pdf#page=1","Abrir facsímil")</f>
        <v>Abrir facsímil</v>
      </c>
      <c r="K1861" s="12" t="s">
        <v>65</v>
      </c>
    </row>
    <row r="1862" spans="1:11" ht="40.049999999999997" customHeight="1" x14ac:dyDescent="0.25">
      <c r="A1862" s="11" t="s">
        <v>4175</v>
      </c>
      <c r="B1862" s="11" t="s">
        <v>4175</v>
      </c>
      <c r="C1862" s="11" t="s">
        <v>80</v>
      </c>
      <c r="D1862" s="11" t="s">
        <v>18</v>
      </c>
      <c r="E1862" s="12" t="s">
        <v>405</v>
      </c>
      <c r="F1862" s="12" t="s">
        <v>406</v>
      </c>
      <c r="G1862" s="12" t="s">
        <v>29</v>
      </c>
      <c r="H1862" s="11" t="s">
        <v>63</v>
      </c>
      <c r="I1862" s="13" t="s">
        <v>4204</v>
      </c>
      <c r="J1862" s="14" t="str">
        <f>HYPERLINK("https://www.boe.es/gazeta/dias/1839/03/25/pdfs/GMD-1839-1591.pdf#page=1","Abrir facsímil")</f>
        <v>Abrir facsímil</v>
      </c>
      <c r="K1862" s="12" t="s">
        <v>65</v>
      </c>
    </row>
    <row r="1863" spans="1:11" ht="40.049999999999997" customHeight="1" x14ac:dyDescent="0.25">
      <c r="A1863" s="11" t="s">
        <v>4175</v>
      </c>
      <c r="B1863" s="11" t="s">
        <v>4175</v>
      </c>
      <c r="C1863" s="11" t="s">
        <v>17</v>
      </c>
      <c r="D1863" s="11" t="s">
        <v>18</v>
      </c>
      <c r="E1863" s="12" t="s">
        <v>111</v>
      </c>
      <c r="F1863" s="12" t="s">
        <v>112</v>
      </c>
      <c r="G1863" s="12" t="s">
        <v>21</v>
      </c>
      <c r="H1863" s="11" t="s">
        <v>63</v>
      </c>
      <c r="I1863" s="13" t="s">
        <v>4205</v>
      </c>
      <c r="J1863" s="14" t="str">
        <f>HYPERLINK("https://www.boe.es/gazeta/dias/1839/07/25/pdfs/GMD-1839-1714.pdf#page=4","Abrir facsímil")</f>
        <v>Abrir facsímil</v>
      </c>
      <c r="K1863" s="12" t="s">
        <v>65</v>
      </c>
    </row>
    <row r="1864" spans="1:11" ht="40.049999999999997" customHeight="1" x14ac:dyDescent="0.25">
      <c r="A1864" s="11" t="s">
        <v>4175</v>
      </c>
      <c r="B1864" s="11" t="s">
        <v>4175</v>
      </c>
      <c r="C1864" s="11" t="s">
        <v>17</v>
      </c>
      <c r="D1864" s="11" t="s">
        <v>18</v>
      </c>
      <c r="E1864" s="12" t="s">
        <v>1183</v>
      </c>
      <c r="F1864" s="12" t="s">
        <v>1184</v>
      </c>
      <c r="G1864" s="12" t="s">
        <v>29</v>
      </c>
      <c r="H1864" s="11" t="s">
        <v>63</v>
      </c>
      <c r="I1864" s="13" t="s">
        <v>4206</v>
      </c>
      <c r="J1864" s="14" t="str">
        <f>HYPERLINK("https://www.boe.es/gazeta/dias/1839/07/26/pdfs/GMD-1839-1715.pdf#page=1","Abrir facsímil")</f>
        <v>Abrir facsímil</v>
      </c>
      <c r="K1864" s="12" t="s">
        <v>65</v>
      </c>
    </row>
    <row r="1865" spans="1:11" ht="40.049999999999997" customHeight="1" x14ac:dyDescent="0.25">
      <c r="A1865" s="11" t="s">
        <v>4175</v>
      </c>
      <c r="B1865" s="11" t="s">
        <v>4175</v>
      </c>
      <c r="C1865" s="11" t="s">
        <v>17</v>
      </c>
      <c r="D1865" s="11" t="s">
        <v>18</v>
      </c>
      <c r="E1865" s="12" t="s">
        <v>638</v>
      </c>
      <c r="F1865" s="12" t="s">
        <v>639</v>
      </c>
      <c r="G1865" s="12" t="s">
        <v>21</v>
      </c>
      <c r="H1865" s="11" t="s">
        <v>63</v>
      </c>
      <c r="I1865" s="13" t="s">
        <v>4207</v>
      </c>
      <c r="J1865" s="14" t="str">
        <f>HYPERLINK("https://www.boe.es/gazeta/dias/1839/08/26/pdfs/GMD-1839-1747.pdf#page=4","Abrir facsímil")</f>
        <v>Abrir facsímil</v>
      </c>
      <c r="K1865" s="12" t="s">
        <v>65</v>
      </c>
    </row>
    <row r="1866" spans="1:11" ht="40.049999999999997" customHeight="1" x14ac:dyDescent="0.25">
      <c r="A1866" s="11" t="s">
        <v>4175</v>
      </c>
      <c r="B1866" s="11" t="s">
        <v>4175</v>
      </c>
      <c r="C1866" s="11" t="s">
        <v>80</v>
      </c>
      <c r="D1866" s="11" t="s">
        <v>18</v>
      </c>
      <c r="E1866" s="12" t="s">
        <v>1398</v>
      </c>
      <c r="F1866" s="12" t="s">
        <v>1399</v>
      </c>
      <c r="G1866" s="12" t="s">
        <v>46</v>
      </c>
      <c r="H1866" s="11" t="s">
        <v>63</v>
      </c>
      <c r="I1866" s="13" t="s">
        <v>4208</v>
      </c>
      <c r="J1866" s="14" t="str">
        <f>HYPERLINK("https://www.boe.es/gazeta/dias/1839/05/27/pdfs/GMD-1839-1654.pdf#page=3","Abrir facsímil")</f>
        <v>Abrir facsímil</v>
      </c>
      <c r="K1866" s="12" t="s">
        <v>65</v>
      </c>
    </row>
    <row r="1867" spans="1:11" ht="40.049999999999997" customHeight="1" x14ac:dyDescent="0.25">
      <c r="A1867" s="11" t="s">
        <v>4175</v>
      </c>
      <c r="B1867" s="11" t="s">
        <v>4175</v>
      </c>
      <c r="C1867" s="11" t="s">
        <v>59</v>
      </c>
      <c r="D1867" s="11" t="s">
        <v>60</v>
      </c>
      <c r="E1867" s="12" t="s">
        <v>1474</v>
      </c>
      <c r="F1867" s="12" t="s">
        <v>1475</v>
      </c>
      <c r="G1867" s="12" t="s">
        <v>29</v>
      </c>
      <c r="H1867" s="11" t="s">
        <v>63</v>
      </c>
      <c r="I1867" s="13" t="s">
        <v>4209</v>
      </c>
      <c r="J1867" s="14" t="str">
        <f>HYPERLINK("https://www.boe.es/gazeta/dias/1839/02/28/pdfs/GMD-1839-1566.pdf#page=1","Abrir facsímil")</f>
        <v>Abrir facsímil</v>
      </c>
      <c r="K1867" s="12" t="s">
        <v>65</v>
      </c>
    </row>
    <row r="1868" spans="1:11" ht="40.049999999999997" customHeight="1" x14ac:dyDescent="0.25">
      <c r="A1868" s="11" t="s">
        <v>4175</v>
      </c>
      <c r="B1868" s="11" t="s">
        <v>4175</v>
      </c>
      <c r="C1868" s="11" t="s">
        <v>80</v>
      </c>
      <c r="D1868" s="11" t="s">
        <v>18</v>
      </c>
      <c r="E1868" s="12" t="s">
        <v>27</v>
      </c>
      <c r="F1868" s="12" t="s">
        <v>28</v>
      </c>
      <c r="G1868" s="12" t="s">
        <v>21</v>
      </c>
      <c r="H1868" s="11" t="s">
        <v>63</v>
      </c>
      <c r="I1868" s="13" t="s">
        <v>4210</v>
      </c>
      <c r="J1868" s="14" t="str">
        <f>HYPERLINK("https://www.boe.es/gazeta/dias/1839/07/28/pdfs/GMD-1839-1717.pdf#page=4","Abrir facsímil")</f>
        <v>Abrir facsímil</v>
      </c>
      <c r="K1868" s="12" t="s">
        <v>65</v>
      </c>
    </row>
    <row r="1869" spans="1:11" ht="40.049999999999997" customHeight="1" x14ac:dyDescent="0.25">
      <c r="A1869" s="11" t="s">
        <v>4175</v>
      </c>
      <c r="B1869" s="11" t="s">
        <v>4175</v>
      </c>
      <c r="C1869" s="11" t="s">
        <v>80</v>
      </c>
      <c r="D1869" s="11" t="s">
        <v>18</v>
      </c>
      <c r="E1869" s="12" t="s">
        <v>89</v>
      </c>
      <c r="F1869" s="12" t="s">
        <v>90</v>
      </c>
      <c r="G1869" s="12" t="s">
        <v>40</v>
      </c>
      <c r="H1869" s="11" t="s">
        <v>63</v>
      </c>
      <c r="I1869" s="13" t="s">
        <v>4211</v>
      </c>
      <c r="J1869" s="14" t="str">
        <f>HYPERLINK("https://www.boe.es/gazeta/dias/1839/11/28/pdfs/GMD-1839-1845.pdf#page=2","Abrir facsímil")</f>
        <v>Abrir facsímil</v>
      </c>
      <c r="K1869" s="12" t="s">
        <v>65</v>
      </c>
    </row>
    <row r="1870" spans="1:11" ht="40.049999999999997" customHeight="1" x14ac:dyDescent="0.25">
      <c r="A1870" s="11" t="s">
        <v>4175</v>
      </c>
      <c r="B1870" s="11" t="s">
        <v>4175</v>
      </c>
      <c r="C1870" s="11" t="s">
        <v>80</v>
      </c>
      <c r="D1870" s="11" t="s">
        <v>18</v>
      </c>
      <c r="E1870" s="12" t="s">
        <v>2522</v>
      </c>
      <c r="F1870" s="12" t="s">
        <v>2523</v>
      </c>
      <c r="G1870" s="12" t="s">
        <v>46</v>
      </c>
      <c r="H1870" s="11" t="s">
        <v>63</v>
      </c>
      <c r="I1870" s="13" t="s">
        <v>4212</v>
      </c>
      <c r="J1870" s="14" t="str">
        <f>HYPERLINK("https://www.boe.es/gazeta/dias/1839/12/29/pdfs/GMD-1839-1876.pdf#page=3","Abrir facsímil")</f>
        <v>Abrir facsímil</v>
      </c>
      <c r="K1870" s="12" t="s">
        <v>65</v>
      </c>
    </row>
    <row r="1871" spans="1:11" ht="40.049999999999997" customHeight="1" x14ac:dyDescent="0.25">
      <c r="A1871" s="11" t="s">
        <v>4175</v>
      </c>
      <c r="B1871" s="11" t="s">
        <v>4175</v>
      </c>
      <c r="C1871" s="11" t="s">
        <v>80</v>
      </c>
      <c r="D1871" s="11" t="s">
        <v>18</v>
      </c>
      <c r="E1871" s="12" t="s">
        <v>312</v>
      </c>
      <c r="F1871" s="12" t="s">
        <v>313</v>
      </c>
      <c r="G1871" s="12" t="s">
        <v>21</v>
      </c>
      <c r="H1871" s="11" t="s">
        <v>63</v>
      </c>
      <c r="I1871" s="13" t="s">
        <v>4213</v>
      </c>
      <c r="J1871" s="14" t="str">
        <f>HYPERLINK("https://www.boe.es/gazeta/dias/1839/11/30/pdfs/GMD-1839-1847.pdf#page=4","Abrir facsímil")</f>
        <v>Abrir facsímil</v>
      </c>
      <c r="K1871" s="12" t="s">
        <v>65</v>
      </c>
    </row>
    <row r="1872" spans="1:11" ht="40.049999999999997" customHeight="1" x14ac:dyDescent="0.25">
      <c r="A1872" s="11" t="s">
        <v>4214</v>
      </c>
      <c r="B1872" s="11" t="s">
        <v>4214</v>
      </c>
      <c r="C1872" s="11" t="s">
        <v>59</v>
      </c>
      <c r="D1872" s="11" t="s">
        <v>60</v>
      </c>
      <c r="E1872" s="12" t="s">
        <v>1388</v>
      </c>
      <c r="F1872" s="12" t="s">
        <v>1389</v>
      </c>
      <c r="G1872" s="12" t="s">
        <v>40</v>
      </c>
      <c r="H1872" s="11" t="s">
        <v>63</v>
      </c>
      <c r="I1872" s="13" t="s">
        <v>4215</v>
      </c>
      <c r="J1872" s="14" t="str">
        <f>HYPERLINK("https://www.boe.es/gazeta/dias/1839/06/04/pdfs/GMD-1839-1662.pdf#page=2","Abrir facsímil")</f>
        <v>Abrir facsímil</v>
      </c>
      <c r="K1872" s="12" t="s">
        <v>65</v>
      </c>
    </row>
    <row r="1873" spans="1:11" ht="40.049999999999997" customHeight="1" x14ac:dyDescent="0.25">
      <c r="A1873" s="11" t="s">
        <v>4214</v>
      </c>
      <c r="B1873" s="11" t="s">
        <v>4214</v>
      </c>
      <c r="C1873" s="11" t="s">
        <v>80</v>
      </c>
      <c r="D1873" s="11" t="s">
        <v>18</v>
      </c>
      <c r="E1873" s="12" t="s">
        <v>2301</v>
      </c>
      <c r="F1873" s="12" t="s">
        <v>2302</v>
      </c>
      <c r="G1873" s="12" t="s">
        <v>40</v>
      </c>
      <c r="H1873" s="11" t="s">
        <v>63</v>
      </c>
      <c r="I1873" s="13" t="s">
        <v>4216</v>
      </c>
      <c r="J1873" s="14" t="str">
        <f>HYPERLINK("https://www.boe.es/gazeta/dias/1839/09/08/pdfs/GMD-1839-1761.pdf#page=2","Abrir facsímil")</f>
        <v>Abrir facsímil</v>
      </c>
      <c r="K1873" s="12" t="s">
        <v>65</v>
      </c>
    </row>
    <row r="1874" spans="1:11" ht="40.049999999999997" customHeight="1" x14ac:dyDescent="0.25">
      <c r="A1874" s="11" t="s">
        <v>4214</v>
      </c>
      <c r="B1874" s="11" t="s">
        <v>4214</v>
      </c>
      <c r="C1874" s="11" t="s">
        <v>59</v>
      </c>
      <c r="D1874" s="11" t="s">
        <v>60</v>
      </c>
      <c r="E1874" s="12" t="s">
        <v>1682</v>
      </c>
      <c r="F1874" s="12" t="s">
        <v>1683</v>
      </c>
      <c r="G1874" s="12" t="s">
        <v>29</v>
      </c>
      <c r="H1874" s="11" t="s">
        <v>63</v>
      </c>
      <c r="I1874" s="13" t="s">
        <v>4217</v>
      </c>
      <c r="J1874" s="14" t="str">
        <f>HYPERLINK("https://www.boe.es/gazeta/dias/1839/12/26/pdfs/GMD-1839-1873.pdf#page=1","Abrir facsímil")</f>
        <v>Abrir facsímil</v>
      </c>
      <c r="K1874" s="12" t="s">
        <v>65</v>
      </c>
    </row>
    <row r="1875" spans="1:11" ht="40.049999999999997" customHeight="1" x14ac:dyDescent="0.25">
      <c r="A1875" s="11" t="s">
        <v>4218</v>
      </c>
      <c r="B1875" s="11" t="s">
        <v>4219</v>
      </c>
      <c r="C1875" s="11" t="s">
        <v>101</v>
      </c>
      <c r="D1875" s="11" t="s">
        <v>43</v>
      </c>
      <c r="E1875" s="12" t="s">
        <v>2463</v>
      </c>
      <c r="F1875" s="12" t="s">
        <v>2464</v>
      </c>
      <c r="G1875" s="12" t="s">
        <v>21</v>
      </c>
      <c r="H1875" s="11" t="s">
        <v>63</v>
      </c>
      <c r="I1875" s="13" t="s">
        <v>4220</v>
      </c>
      <c r="J1875" s="14" t="str">
        <f>HYPERLINK("https://www.boe.es/gazeta/dias/1839/04/26/pdfs/GMD-1839-1623.pdf#page=4","Abrir facsímil")</f>
        <v>Abrir facsímil</v>
      </c>
      <c r="K1875" s="12" t="s">
        <v>65</v>
      </c>
    </row>
    <row r="1876" spans="1:11" ht="40.049999999999997" customHeight="1" x14ac:dyDescent="0.25">
      <c r="A1876" s="11" t="s">
        <v>4221</v>
      </c>
      <c r="B1876" s="11" t="s">
        <v>4222</v>
      </c>
      <c r="C1876" s="11" t="s">
        <v>80</v>
      </c>
      <c r="D1876" s="11" t="s">
        <v>18</v>
      </c>
      <c r="E1876" s="12" t="s">
        <v>2443</v>
      </c>
      <c r="F1876" s="12" t="s">
        <v>2444</v>
      </c>
      <c r="G1876" s="12" t="s">
        <v>46</v>
      </c>
      <c r="H1876" s="11" t="s">
        <v>63</v>
      </c>
      <c r="I1876" s="13" t="s">
        <v>4223</v>
      </c>
      <c r="J1876" s="14" t="str">
        <f>HYPERLINK("https://www.boe.es/gazeta/dias/1839/11/02/pdfs/GMD-1839-1819.pdf#page=3","Abrir facsímil")</f>
        <v>Abrir facsímil</v>
      </c>
      <c r="K1876" s="12" t="s">
        <v>65</v>
      </c>
    </row>
    <row r="1877" spans="1:11" ht="40.049999999999997" customHeight="1" x14ac:dyDescent="0.25">
      <c r="A1877" s="11" t="s">
        <v>4221</v>
      </c>
      <c r="B1877" s="11" t="s">
        <v>4222</v>
      </c>
      <c r="C1877" s="11" t="s">
        <v>59</v>
      </c>
      <c r="D1877" s="11" t="s">
        <v>60</v>
      </c>
      <c r="E1877" s="12" t="s">
        <v>246</v>
      </c>
      <c r="F1877" s="12" t="s">
        <v>247</v>
      </c>
      <c r="G1877" s="12" t="s">
        <v>46</v>
      </c>
      <c r="H1877" s="11" t="s">
        <v>63</v>
      </c>
      <c r="I1877" s="13" t="s">
        <v>4224</v>
      </c>
      <c r="J1877" s="14" t="str">
        <f>HYPERLINK("https://www.boe.es/gazeta/dias/1839/11/24/pdfs/GMD-1839-1841.pdf#page=3","Abrir facsímil")</f>
        <v>Abrir facsímil</v>
      </c>
      <c r="K1877" s="12" t="s">
        <v>65</v>
      </c>
    </row>
    <row r="1878" spans="1:11" ht="40.049999999999997" customHeight="1" x14ac:dyDescent="0.25">
      <c r="A1878" s="11" t="s">
        <v>4225</v>
      </c>
      <c r="B1878" s="11" t="s">
        <v>4226</v>
      </c>
      <c r="C1878" s="11" t="s">
        <v>17</v>
      </c>
      <c r="D1878" s="11" t="s">
        <v>18</v>
      </c>
      <c r="E1878" s="12" t="s">
        <v>258</v>
      </c>
      <c r="F1878" s="12" t="s">
        <v>259</v>
      </c>
      <c r="G1878" s="12" t="s">
        <v>40</v>
      </c>
      <c r="H1878" s="11" t="s">
        <v>63</v>
      </c>
      <c r="I1878" s="13" t="s">
        <v>4227</v>
      </c>
      <c r="J1878" s="14" t="str">
        <f>HYPERLINK("https://www.boe.es/gazeta/dias/1839/01/02/pdfs/GMD-1839-1509.pdf#page=2","Abrir facsímil")</f>
        <v>Abrir facsímil</v>
      </c>
      <c r="K1878" s="12" t="s">
        <v>65</v>
      </c>
    </row>
    <row r="1879" spans="1:11" ht="40.049999999999997" customHeight="1" x14ac:dyDescent="0.25">
      <c r="A1879" s="11" t="s">
        <v>4228</v>
      </c>
      <c r="B1879" s="11" t="s">
        <v>4228</v>
      </c>
      <c r="C1879" s="11" t="s">
        <v>17</v>
      </c>
      <c r="D1879" s="11" t="s">
        <v>18</v>
      </c>
      <c r="E1879" s="12" t="s">
        <v>862</v>
      </c>
      <c r="F1879" s="12" t="s">
        <v>863</v>
      </c>
      <c r="G1879" s="12" t="s">
        <v>40</v>
      </c>
      <c r="H1879" s="11" t="s">
        <v>63</v>
      </c>
      <c r="I1879" s="13" t="s">
        <v>4229</v>
      </c>
      <c r="J1879" s="14" t="str">
        <f>HYPERLINK("https://www.boe.es/gazeta/dias/1839/10/28/pdfs/GMD-1839-1814.pdf#page=2","Abrir facsímil")</f>
        <v>Abrir facsímil</v>
      </c>
      <c r="K1879" s="12" t="s">
        <v>65</v>
      </c>
    </row>
    <row r="1880" spans="1:11" ht="40.049999999999997" customHeight="1" x14ac:dyDescent="0.25">
      <c r="A1880" s="11" t="s">
        <v>4230</v>
      </c>
      <c r="B1880" s="11" t="s">
        <v>4230</v>
      </c>
      <c r="C1880" s="11" t="s">
        <v>17</v>
      </c>
      <c r="D1880" s="11" t="s">
        <v>18</v>
      </c>
      <c r="E1880" s="12" t="s">
        <v>163</v>
      </c>
      <c r="F1880" s="12" t="s">
        <v>164</v>
      </c>
      <c r="G1880" s="12" t="s">
        <v>29</v>
      </c>
      <c r="H1880" s="11" t="s">
        <v>63</v>
      </c>
      <c r="I1880" s="13" t="s">
        <v>4231</v>
      </c>
      <c r="J1880" s="14" t="str">
        <f>HYPERLINK("https://www.boe.es/gazeta/dias/1839/01/13/pdfs/GMD-1839-1520.pdf#page=1","Abrir facsímil")</f>
        <v>Abrir facsímil</v>
      </c>
      <c r="K1880" s="12" t="s">
        <v>65</v>
      </c>
    </row>
    <row r="1881" spans="1:11" ht="40.049999999999997" customHeight="1" x14ac:dyDescent="0.25">
      <c r="A1881" s="11" t="s">
        <v>4232</v>
      </c>
      <c r="B1881" s="11" t="s">
        <v>4232</v>
      </c>
      <c r="C1881" s="11" t="s">
        <v>80</v>
      </c>
      <c r="D1881" s="11" t="s">
        <v>18</v>
      </c>
      <c r="E1881" s="12" t="s">
        <v>462</v>
      </c>
      <c r="F1881" s="12" t="s">
        <v>463</v>
      </c>
      <c r="G1881" s="12" t="s">
        <v>21</v>
      </c>
      <c r="H1881" s="11" t="s">
        <v>63</v>
      </c>
      <c r="I1881" s="13" t="s">
        <v>4233</v>
      </c>
      <c r="J1881" s="14" t="str">
        <f>HYPERLINK("https://www.boe.es/gazeta/dias/1839/06/19/pdfs/GMD-1839-1677.pdf#page=4","Abrir facsímil")</f>
        <v>Abrir facsímil</v>
      </c>
      <c r="K1881" s="12" t="s">
        <v>65</v>
      </c>
    </row>
    <row r="1882" spans="1:11" ht="40.049999999999997" customHeight="1" x14ac:dyDescent="0.25">
      <c r="A1882" s="11" t="s">
        <v>4234</v>
      </c>
      <c r="B1882" s="11" t="s">
        <v>4234</v>
      </c>
      <c r="C1882" s="11" t="s">
        <v>17</v>
      </c>
      <c r="D1882" s="11" t="s">
        <v>18</v>
      </c>
      <c r="E1882" s="12" t="s">
        <v>496</v>
      </c>
      <c r="F1882" s="12" t="s">
        <v>497</v>
      </c>
      <c r="G1882" s="12" t="s">
        <v>21</v>
      </c>
      <c r="H1882" s="11" t="s">
        <v>63</v>
      </c>
      <c r="I1882" s="13" t="s">
        <v>4235</v>
      </c>
      <c r="J1882" s="14" t="str">
        <f>HYPERLINK("https://www.boe.es/gazeta/dias/1839/11/23/pdfs/GMD-1839-1840.pdf#page=4","Abrir facsímil")</f>
        <v>Abrir facsímil</v>
      </c>
      <c r="K1882" s="12" t="s">
        <v>65</v>
      </c>
    </row>
    <row r="1883" spans="1:11" ht="40.049999999999997" customHeight="1" x14ac:dyDescent="0.25">
      <c r="A1883" s="11" t="s">
        <v>4236</v>
      </c>
      <c r="B1883" s="11" t="s">
        <v>4236</v>
      </c>
      <c r="C1883" s="11" t="s">
        <v>17</v>
      </c>
      <c r="D1883" s="11" t="s">
        <v>18</v>
      </c>
      <c r="E1883" s="12" t="s">
        <v>775</v>
      </c>
      <c r="F1883" s="12" t="s">
        <v>776</v>
      </c>
      <c r="G1883" s="12" t="s">
        <v>46</v>
      </c>
      <c r="H1883" s="11" t="s">
        <v>63</v>
      </c>
      <c r="I1883" s="13" t="s">
        <v>4237</v>
      </c>
      <c r="J1883" s="14" t="str">
        <f>HYPERLINK("https://www.boe.es/gazeta/dias/1839/02/25/pdfs/GMD-1839-1563.pdf#page=3","Abrir facsímil")</f>
        <v>Abrir facsímil</v>
      </c>
      <c r="K1883" s="12" t="s">
        <v>65</v>
      </c>
    </row>
    <row r="1884" spans="1:11" ht="40.049999999999997" customHeight="1" x14ac:dyDescent="0.25">
      <c r="A1884" s="11" t="s">
        <v>4238</v>
      </c>
      <c r="B1884" s="11" t="s">
        <v>4238</v>
      </c>
      <c r="C1884" s="11" t="s">
        <v>17</v>
      </c>
      <c r="D1884" s="11" t="s">
        <v>18</v>
      </c>
      <c r="E1884" s="12" t="s">
        <v>262</v>
      </c>
      <c r="F1884" s="12" t="s">
        <v>263</v>
      </c>
      <c r="G1884" s="12" t="s">
        <v>21</v>
      </c>
      <c r="H1884" s="11" t="s">
        <v>63</v>
      </c>
      <c r="I1884" s="13" t="s">
        <v>4239</v>
      </c>
      <c r="J1884" s="14" t="str">
        <f>HYPERLINK("https://www.boe.es/gazeta/dias/1839/01/01/pdfs/GMD-1839-1508.pdf#page=4","Abrir facsímil")</f>
        <v>Abrir facsímil</v>
      </c>
      <c r="K1884" s="12" t="s">
        <v>65</v>
      </c>
    </row>
    <row r="1885" spans="1:11" ht="40.049999999999997" customHeight="1" x14ac:dyDescent="0.25">
      <c r="A1885" s="11" t="s">
        <v>4238</v>
      </c>
      <c r="B1885" s="11" t="s">
        <v>4238</v>
      </c>
      <c r="C1885" s="11" t="s">
        <v>80</v>
      </c>
      <c r="D1885" s="11" t="s">
        <v>18</v>
      </c>
      <c r="E1885" s="12" t="s">
        <v>291</v>
      </c>
      <c r="F1885" s="12" t="s">
        <v>292</v>
      </c>
      <c r="G1885" s="12" t="s">
        <v>40</v>
      </c>
      <c r="H1885" s="11" t="s">
        <v>63</v>
      </c>
      <c r="I1885" s="13" t="s">
        <v>4240</v>
      </c>
      <c r="J1885" s="14" t="str">
        <f>HYPERLINK("https://www.boe.es/gazeta/dias/1839/09/04/pdfs/GMD-1839-1757.pdf#page=2","Abrir facsímil")</f>
        <v>Abrir facsímil</v>
      </c>
      <c r="K1885" s="12" t="s">
        <v>65</v>
      </c>
    </row>
    <row r="1886" spans="1:11" ht="40.049999999999997" customHeight="1" x14ac:dyDescent="0.25">
      <c r="A1886" s="11" t="s">
        <v>4238</v>
      </c>
      <c r="B1886" s="11" t="s">
        <v>4238</v>
      </c>
      <c r="C1886" s="11" t="s">
        <v>17</v>
      </c>
      <c r="D1886" s="11" t="s">
        <v>18</v>
      </c>
      <c r="E1886" s="12" t="s">
        <v>770</v>
      </c>
      <c r="F1886" s="12" t="s">
        <v>771</v>
      </c>
      <c r="G1886" s="12" t="s">
        <v>46</v>
      </c>
      <c r="H1886" s="11" t="s">
        <v>63</v>
      </c>
      <c r="I1886" s="13" t="s">
        <v>4241</v>
      </c>
      <c r="J1886" s="14" t="str">
        <f>HYPERLINK("https://www.boe.es/gazeta/dias/1839/12/05/pdfs/GMD-1839-1852.pdf#page=3","Abrir facsímil")</f>
        <v>Abrir facsímil</v>
      </c>
      <c r="K1886" s="12" t="s">
        <v>65</v>
      </c>
    </row>
    <row r="1887" spans="1:11" ht="40.049999999999997" customHeight="1" x14ac:dyDescent="0.25">
      <c r="A1887" s="11" t="s">
        <v>4238</v>
      </c>
      <c r="B1887" s="11" t="s">
        <v>4238</v>
      </c>
      <c r="C1887" s="11" t="s">
        <v>59</v>
      </c>
      <c r="D1887" s="11" t="s">
        <v>60</v>
      </c>
      <c r="E1887" s="12" t="s">
        <v>61</v>
      </c>
      <c r="F1887" s="12" t="s">
        <v>62</v>
      </c>
      <c r="G1887" s="12" t="s">
        <v>21</v>
      </c>
      <c r="H1887" s="11" t="s">
        <v>63</v>
      </c>
      <c r="I1887" s="13" t="s">
        <v>4242</v>
      </c>
      <c r="J1887" s="14" t="str">
        <f>HYPERLINK("https://www.boe.es/gazeta/dias/1839/09/10/pdfs/GMD-1839-1763.pdf#page=4","Abrir facsímil")</f>
        <v>Abrir facsímil</v>
      </c>
      <c r="K1887" s="12" t="s">
        <v>65</v>
      </c>
    </row>
    <row r="1888" spans="1:11" ht="40.049999999999997" customHeight="1" x14ac:dyDescent="0.25">
      <c r="A1888" s="11" t="s">
        <v>4238</v>
      </c>
      <c r="B1888" s="11" t="s">
        <v>4238</v>
      </c>
      <c r="C1888" s="11" t="s">
        <v>17</v>
      </c>
      <c r="D1888" s="11" t="s">
        <v>18</v>
      </c>
      <c r="E1888" s="12" t="s">
        <v>103</v>
      </c>
      <c r="F1888" s="12" t="s">
        <v>104</v>
      </c>
      <c r="G1888" s="12" t="s">
        <v>21</v>
      </c>
      <c r="H1888" s="11" t="s">
        <v>63</v>
      </c>
      <c r="I1888" s="13" t="s">
        <v>4243</v>
      </c>
      <c r="J1888" s="14" t="str">
        <f>HYPERLINK("https://www.boe.es/gazeta/dias/1839/10/12/pdfs/GMD-1839-1798.pdf#page=4","Abrir facsímil")</f>
        <v>Abrir facsímil</v>
      </c>
      <c r="K1888" s="12" t="s">
        <v>65</v>
      </c>
    </row>
    <row r="1889" spans="1:11" ht="40.049999999999997" customHeight="1" x14ac:dyDescent="0.25">
      <c r="A1889" s="11" t="s">
        <v>4238</v>
      </c>
      <c r="B1889" s="11" t="s">
        <v>4238</v>
      </c>
      <c r="C1889" s="11" t="s">
        <v>17</v>
      </c>
      <c r="D1889" s="11" t="s">
        <v>18</v>
      </c>
      <c r="E1889" s="12" t="s">
        <v>1179</v>
      </c>
      <c r="F1889" s="12" t="s">
        <v>1180</v>
      </c>
      <c r="G1889" s="12" t="s">
        <v>566</v>
      </c>
      <c r="H1889" s="11" t="s">
        <v>63</v>
      </c>
      <c r="I1889" s="13" t="s">
        <v>4244</v>
      </c>
      <c r="J1889" s="14" t="str">
        <f>HYPERLINK("https://www.boe.es/gazeta/dias/1839/10/18/pdfs/GMD-1839-1804.pdf#page=5","Abrir facsímil")</f>
        <v>Abrir facsímil</v>
      </c>
      <c r="K1889" s="12" t="s">
        <v>65</v>
      </c>
    </row>
    <row r="1890" spans="1:11" ht="40.049999999999997" customHeight="1" x14ac:dyDescent="0.25">
      <c r="A1890" s="11" t="s">
        <v>4238</v>
      </c>
      <c r="B1890" s="11" t="s">
        <v>4238</v>
      </c>
      <c r="C1890" s="11" t="s">
        <v>17</v>
      </c>
      <c r="D1890" s="11" t="s">
        <v>18</v>
      </c>
      <c r="E1890" s="12" t="s">
        <v>695</v>
      </c>
      <c r="F1890" s="12" t="s">
        <v>696</v>
      </c>
      <c r="G1890" s="12" t="s">
        <v>21</v>
      </c>
      <c r="H1890" s="11" t="s">
        <v>63</v>
      </c>
      <c r="I1890" s="13" t="s">
        <v>4245</v>
      </c>
      <c r="J1890" s="14" t="str">
        <f>HYPERLINK("https://www.boe.es/gazeta/dias/1839/12/19/pdfs/GMD-1839-1866.pdf#page=4","Abrir facsímil")</f>
        <v>Abrir facsímil</v>
      </c>
      <c r="K1890" s="12" t="s">
        <v>65</v>
      </c>
    </row>
    <row r="1891" spans="1:11" ht="40.049999999999997" customHeight="1" x14ac:dyDescent="0.25">
      <c r="A1891" s="11" t="s">
        <v>4238</v>
      </c>
      <c r="B1891" s="11" t="s">
        <v>4238</v>
      </c>
      <c r="C1891" s="11" t="s">
        <v>137</v>
      </c>
      <c r="D1891" s="11" t="s">
        <v>18</v>
      </c>
      <c r="E1891" s="12" t="s">
        <v>2962</v>
      </c>
      <c r="F1891" s="12" t="s">
        <v>2963</v>
      </c>
      <c r="G1891" s="12" t="s">
        <v>21</v>
      </c>
      <c r="H1891" s="11" t="s">
        <v>63</v>
      </c>
      <c r="I1891" s="13" t="s">
        <v>4246</v>
      </c>
      <c r="J1891" s="14" t="str">
        <f>HYPERLINK("https://www.boe.es/gazeta/dias/1839/12/21/pdfs/GMD-1839-1868.pdf#page=4","Abrir facsímil")</f>
        <v>Abrir facsímil</v>
      </c>
      <c r="K1891" s="12" t="s">
        <v>65</v>
      </c>
    </row>
    <row r="1892" spans="1:11" ht="40.049999999999997" customHeight="1" x14ac:dyDescent="0.25">
      <c r="A1892" s="11" t="s">
        <v>4238</v>
      </c>
      <c r="B1892" s="11" t="s">
        <v>4238</v>
      </c>
      <c r="C1892" s="11" t="s">
        <v>17</v>
      </c>
      <c r="D1892" s="11" t="s">
        <v>18</v>
      </c>
      <c r="E1892" s="12" t="s">
        <v>2415</v>
      </c>
      <c r="F1892" s="12" t="s">
        <v>2416</v>
      </c>
      <c r="G1892" s="12" t="s">
        <v>21</v>
      </c>
      <c r="H1892" s="11" t="s">
        <v>63</v>
      </c>
      <c r="I1892" s="13" t="s">
        <v>4247</v>
      </c>
      <c r="J1892" s="14" t="str">
        <f>HYPERLINK("https://www.boe.es/gazeta/dias/1839/12/22/pdfs/GMD-1839-1869.pdf#page=4","Abrir facsímil")</f>
        <v>Abrir facsímil</v>
      </c>
      <c r="K1892" s="12" t="s">
        <v>65</v>
      </c>
    </row>
    <row r="1893" spans="1:11" ht="40.049999999999997" customHeight="1" x14ac:dyDescent="0.25">
      <c r="A1893" s="11" t="s">
        <v>4238</v>
      </c>
      <c r="B1893" s="11" t="s">
        <v>4238</v>
      </c>
      <c r="C1893" s="11" t="s">
        <v>80</v>
      </c>
      <c r="D1893" s="11" t="s">
        <v>18</v>
      </c>
      <c r="E1893" s="12" t="s">
        <v>1310</v>
      </c>
      <c r="F1893" s="12" t="s">
        <v>1311</v>
      </c>
      <c r="G1893" s="12" t="s">
        <v>40</v>
      </c>
      <c r="H1893" s="11" t="s">
        <v>63</v>
      </c>
      <c r="I1893" s="13" t="s">
        <v>4248</v>
      </c>
      <c r="J1893" s="14" t="str">
        <f>HYPERLINK("https://www.boe.es/gazeta/dias/1839/04/23/pdfs/GMD-1839-1620.pdf#page=2","Abrir facsímil")</f>
        <v>Abrir facsímil</v>
      </c>
      <c r="K1893" s="12" t="s">
        <v>65</v>
      </c>
    </row>
    <row r="1894" spans="1:11" ht="40.049999999999997" customHeight="1" x14ac:dyDescent="0.25">
      <c r="A1894" s="11" t="s">
        <v>4238</v>
      </c>
      <c r="B1894" s="11" t="s">
        <v>4238</v>
      </c>
      <c r="C1894" s="11" t="s">
        <v>17</v>
      </c>
      <c r="D1894" s="11" t="s">
        <v>18</v>
      </c>
      <c r="E1894" s="12" t="s">
        <v>1895</v>
      </c>
      <c r="F1894" s="12" t="s">
        <v>1896</v>
      </c>
      <c r="G1894" s="12" t="s">
        <v>21</v>
      </c>
      <c r="H1894" s="11" t="s">
        <v>63</v>
      </c>
      <c r="I1894" s="13" t="s">
        <v>4249</v>
      </c>
      <c r="J1894" s="14" t="str">
        <f>HYPERLINK("https://www.boe.es/gazeta/dias/1839/12/23/pdfs/GMD-1839-1870.pdf#page=4","Abrir facsímil")</f>
        <v>Abrir facsímil</v>
      </c>
      <c r="K1894" s="12" t="s">
        <v>65</v>
      </c>
    </row>
    <row r="1895" spans="1:11" ht="40.049999999999997" customHeight="1" x14ac:dyDescent="0.25">
      <c r="A1895" s="11" t="s">
        <v>4250</v>
      </c>
      <c r="B1895" s="11" t="s">
        <v>4251</v>
      </c>
      <c r="C1895" s="11" t="s">
        <v>137</v>
      </c>
      <c r="D1895" s="11" t="s">
        <v>18</v>
      </c>
      <c r="E1895" s="12" t="s">
        <v>103</v>
      </c>
      <c r="F1895" s="12" t="s">
        <v>104</v>
      </c>
      <c r="G1895" s="12" t="s">
        <v>21</v>
      </c>
      <c r="H1895" s="11" t="s">
        <v>63</v>
      </c>
      <c r="I1895" s="13" t="s">
        <v>4252</v>
      </c>
      <c r="J1895" s="14" t="str">
        <f>HYPERLINK("https://www.boe.es/gazeta/dias/1839/10/12/pdfs/GMD-1839-1798.pdf#page=4","Abrir facsímil")</f>
        <v>Abrir facsímil</v>
      </c>
      <c r="K1895" s="12" t="s">
        <v>65</v>
      </c>
    </row>
    <row r="1896" spans="1:11" ht="40.049999999999997" customHeight="1" x14ac:dyDescent="0.25">
      <c r="A1896" s="11" t="s">
        <v>4250</v>
      </c>
      <c r="B1896" s="11" t="s">
        <v>4251</v>
      </c>
      <c r="C1896" s="11" t="s">
        <v>17</v>
      </c>
      <c r="D1896" s="11" t="s">
        <v>18</v>
      </c>
      <c r="E1896" s="12" t="s">
        <v>1252</v>
      </c>
      <c r="F1896" s="12" t="s">
        <v>1253</v>
      </c>
      <c r="G1896" s="12" t="s">
        <v>21</v>
      </c>
      <c r="H1896" s="11" t="s">
        <v>63</v>
      </c>
      <c r="I1896" s="13" t="s">
        <v>4253</v>
      </c>
      <c r="J1896" s="14" t="str">
        <f>HYPERLINK("https://www.boe.es/gazeta/dias/1839/06/15/pdfs/GMD-1839-1673.pdf#page=4","Abrir facsímil")</f>
        <v>Abrir facsímil</v>
      </c>
      <c r="K1896" s="12" t="s">
        <v>65</v>
      </c>
    </row>
    <row r="1897" spans="1:11" ht="40.049999999999997" customHeight="1" x14ac:dyDescent="0.25">
      <c r="A1897" s="11" t="s">
        <v>4250</v>
      </c>
      <c r="B1897" s="11" t="s">
        <v>4251</v>
      </c>
      <c r="C1897" s="11" t="s">
        <v>17</v>
      </c>
      <c r="D1897" s="11" t="s">
        <v>18</v>
      </c>
      <c r="E1897" s="12" t="s">
        <v>2995</v>
      </c>
      <c r="F1897" s="12" t="s">
        <v>2996</v>
      </c>
      <c r="G1897" s="12" t="s">
        <v>21</v>
      </c>
      <c r="H1897" s="11" t="s">
        <v>63</v>
      </c>
      <c r="I1897" s="13" t="s">
        <v>4254</v>
      </c>
      <c r="J1897" s="14" t="str">
        <f>HYPERLINK("https://www.boe.es/gazeta/dias/1839/06/16/pdfs/GMD-1839-1674.pdf#page=4","Abrir facsímil")</f>
        <v>Abrir facsímil</v>
      </c>
      <c r="K1897" s="12" t="s">
        <v>65</v>
      </c>
    </row>
    <row r="1898" spans="1:11" ht="40.049999999999997" customHeight="1" x14ac:dyDescent="0.25">
      <c r="A1898" s="11" t="s">
        <v>4255</v>
      </c>
      <c r="B1898" s="11" t="s">
        <v>4256</v>
      </c>
      <c r="C1898" s="11" t="s">
        <v>17</v>
      </c>
      <c r="D1898" s="11" t="s">
        <v>18</v>
      </c>
      <c r="E1898" s="12" t="s">
        <v>1414</v>
      </c>
      <c r="F1898" s="12" t="s">
        <v>1415</v>
      </c>
      <c r="G1898" s="12" t="s">
        <v>21</v>
      </c>
      <c r="H1898" s="11" t="s">
        <v>63</v>
      </c>
      <c r="I1898" s="13" t="s">
        <v>4257</v>
      </c>
      <c r="J1898" s="14" t="str">
        <f>HYPERLINK("https://www.boe.es/gazeta/dias/1839/06/12/pdfs/GMD-1839-1670.pdf#page=4","Abrir facsímil")</f>
        <v>Abrir facsímil</v>
      </c>
      <c r="K1898" s="12" t="s">
        <v>65</v>
      </c>
    </row>
    <row r="1899" spans="1:11" ht="40.049999999999997" customHeight="1" x14ac:dyDescent="0.25">
      <c r="A1899" s="11" t="s">
        <v>4255</v>
      </c>
      <c r="B1899" s="11" t="s">
        <v>4256</v>
      </c>
      <c r="C1899" s="11" t="s">
        <v>80</v>
      </c>
      <c r="D1899" s="11" t="s">
        <v>18</v>
      </c>
      <c r="E1899" s="12" t="s">
        <v>1310</v>
      </c>
      <c r="F1899" s="12" t="s">
        <v>1311</v>
      </c>
      <c r="G1899" s="12" t="s">
        <v>40</v>
      </c>
      <c r="H1899" s="11" t="s">
        <v>63</v>
      </c>
      <c r="I1899" s="13" t="s">
        <v>4258</v>
      </c>
      <c r="J1899" s="14" t="str">
        <f>HYPERLINK("https://www.boe.es/gazeta/dias/1839/04/23/pdfs/GMD-1839-1620.pdf#page=2","Abrir facsímil")</f>
        <v>Abrir facsímil</v>
      </c>
      <c r="K1899" s="12" t="s">
        <v>65</v>
      </c>
    </row>
    <row r="1900" spans="1:11" ht="40.049999999999997" customHeight="1" x14ac:dyDescent="0.25">
      <c r="A1900" s="11" t="s">
        <v>4259</v>
      </c>
      <c r="B1900" s="11" t="s">
        <v>4260</v>
      </c>
      <c r="C1900" s="11" t="s">
        <v>17</v>
      </c>
      <c r="D1900" s="11" t="s">
        <v>18</v>
      </c>
      <c r="E1900" s="12" t="s">
        <v>291</v>
      </c>
      <c r="F1900" s="12" t="s">
        <v>292</v>
      </c>
      <c r="G1900" s="12" t="s">
        <v>46</v>
      </c>
      <c r="H1900" s="11" t="s">
        <v>63</v>
      </c>
      <c r="I1900" s="13" t="s">
        <v>4261</v>
      </c>
      <c r="J1900" s="14" t="str">
        <f>HYPERLINK("https://www.boe.es/gazeta/dias/1839/09/04/pdfs/GMD-1839-1757.pdf#page=3","Abrir facsímil")</f>
        <v>Abrir facsímil</v>
      </c>
      <c r="K1900" s="12" t="s">
        <v>65</v>
      </c>
    </row>
    <row r="1901" spans="1:11" ht="40.049999999999997" customHeight="1" x14ac:dyDescent="0.25">
      <c r="A1901" s="11" t="s">
        <v>4259</v>
      </c>
      <c r="B1901" s="11" t="s">
        <v>4260</v>
      </c>
      <c r="C1901" s="11" t="s">
        <v>80</v>
      </c>
      <c r="D1901" s="11" t="s">
        <v>18</v>
      </c>
      <c r="E1901" s="12" t="s">
        <v>1414</v>
      </c>
      <c r="F1901" s="12" t="s">
        <v>1415</v>
      </c>
      <c r="G1901" s="12" t="s">
        <v>21</v>
      </c>
      <c r="H1901" s="11" t="s">
        <v>63</v>
      </c>
      <c r="I1901" s="13" t="s">
        <v>4262</v>
      </c>
      <c r="J1901" s="14" t="str">
        <f>HYPERLINK("https://www.boe.es/gazeta/dias/1839/06/12/pdfs/GMD-1839-1670.pdf#page=4","Abrir facsímil")</f>
        <v>Abrir facsímil</v>
      </c>
      <c r="K1901" s="12" t="s">
        <v>65</v>
      </c>
    </row>
    <row r="1902" spans="1:11" ht="40.049999999999997" customHeight="1" x14ac:dyDescent="0.25">
      <c r="A1902" s="11" t="s">
        <v>4263</v>
      </c>
      <c r="B1902" s="11" t="s">
        <v>4264</v>
      </c>
      <c r="C1902" s="11" t="s">
        <v>59</v>
      </c>
      <c r="D1902" s="11" t="s">
        <v>60</v>
      </c>
      <c r="E1902" s="12" t="s">
        <v>984</v>
      </c>
      <c r="F1902" s="12" t="s">
        <v>985</v>
      </c>
      <c r="G1902" s="12" t="s">
        <v>46</v>
      </c>
      <c r="H1902" s="11" t="s">
        <v>63</v>
      </c>
      <c r="I1902" s="13" t="s">
        <v>4265</v>
      </c>
      <c r="J1902" s="14" t="str">
        <f>HYPERLINK("https://www.boe.es/gazeta/dias/1839/04/10/pdfs/GMD-1839-1607.pdf#page=3","Abrir facsímil")</f>
        <v>Abrir facsímil</v>
      </c>
      <c r="K1902" s="12" t="s">
        <v>65</v>
      </c>
    </row>
    <row r="1903" spans="1:11" ht="40.049999999999997" customHeight="1" x14ac:dyDescent="0.25">
      <c r="A1903" s="11" t="s">
        <v>4266</v>
      </c>
      <c r="B1903" s="11" t="s">
        <v>4267</v>
      </c>
      <c r="C1903" s="11" t="s">
        <v>17</v>
      </c>
      <c r="D1903" s="11" t="s">
        <v>18</v>
      </c>
      <c r="E1903" s="12" t="s">
        <v>246</v>
      </c>
      <c r="F1903" s="12" t="s">
        <v>247</v>
      </c>
      <c r="G1903" s="12" t="s">
        <v>46</v>
      </c>
      <c r="H1903" s="11" t="s">
        <v>63</v>
      </c>
      <c r="I1903" s="13" t="s">
        <v>4268</v>
      </c>
      <c r="J1903" s="14" t="str">
        <f>HYPERLINK("https://www.boe.es/gazeta/dias/1839/11/24/pdfs/GMD-1839-1841.pdf#page=3","Abrir facsímil")</f>
        <v>Abrir facsímil</v>
      </c>
      <c r="K1903" s="12" t="s">
        <v>65</v>
      </c>
    </row>
    <row r="1904" spans="1:11" ht="40.049999999999997" customHeight="1" x14ac:dyDescent="0.25">
      <c r="A1904" s="11" t="s">
        <v>4269</v>
      </c>
      <c r="B1904" s="11" t="s">
        <v>4269</v>
      </c>
      <c r="C1904" s="11" t="s">
        <v>17</v>
      </c>
      <c r="D1904" s="11" t="s">
        <v>18</v>
      </c>
      <c r="E1904" s="12" t="s">
        <v>1509</v>
      </c>
      <c r="F1904" s="12" t="s">
        <v>1510</v>
      </c>
      <c r="G1904" s="12" t="s">
        <v>29</v>
      </c>
      <c r="H1904" s="11" t="s">
        <v>63</v>
      </c>
      <c r="I1904" s="13" t="s">
        <v>4270</v>
      </c>
      <c r="J1904" s="14" t="str">
        <f>HYPERLINK("https://www.boe.es/gazeta/dias/1839/10/07/pdfs/GMD-1839-1793.pdf#page=1","Abrir facsímil")</f>
        <v>Abrir facsímil</v>
      </c>
      <c r="K1904" s="12" t="s">
        <v>65</v>
      </c>
    </row>
    <row r="1905" spans="1:11" ht="40.049999999999997" customHeight="1" x14ac:dyDescent="0.25">
      <c r="A1905" s="11" t="s">
        <v>4269</v>
      </c>
      <c r="B1905" s="11" t="s">
        <v>4269</v>
      </c>
      <c r="C1905" s="11" t="s">
        <v>137</v>
      </c>
      <c r="D1905" s="11" t="s">
        <v>18</v>
      </c>
      <c r="E1905" s="12" t="s">
        <v>1236</v>
      </c>
      <c r="F1905" s="12" t="s">
        <v>1237</v>
      </c>
      <c r="G1905" s="12" t="s">
        <v>21</v>
      </c>
      <c r="H1905" s="11" t="s">
        <v>63</v>
      </c>
      <c r="I1905" s="13" t="s">
        <v>4271</v>
      </c>
      <c r="J1905" s="14" t="str">
        <f>HYPERLINK("https://www.boe.es/gazeta/dias/1839/10/16/pdfs/GMD-1839-1802.pdf#page=4","Abrir facsímil")</f>
        <v>Abrir facsímil</v>
      </c>
      <c r="K1905" s="12" t="s">
        <v>65</v>
      </c>
    </row>
    <row r="1906" spans="1:11" ht="40.049999999999997" customHeight="1" x14ac:dyDescent="0.25">
      <c r="A1906" s="11" t="s">
        <v>4269</v>
      </c>
      <c r="B1906" s="11" t="s">
        <v>4269</v>
      </c>
      <c r="C1906" s="11" t="s">
        <v>17</v>
      </c>
      <c r="D1906" s="11" t="s">
        <v>18</v>
      </c>
      <c r="E1906" s="12" t="s">
        <v>650</v>
      </c>
      <c r="F1906" s="12" t="s">
        <v>651</v>
      </c>
      <c r="G1906" s="12" t="s">
        <v>21</v>
      </c>
      <c r="H1906" s="11" t="s">
        <v>63</v>
      </c>
      <c r="I1906" s="13" t="s">
        <v>4272</v>
      </c>
      <c r="J1906" s="14" t="str">
        <f>HYPERLINK("https://www.boe.es/gazeta/dias/1839/10/25/pdfs/GMD-1839-1811.pdf#page=4","Abrir facsímil")</f>
        <v>Abrir facsímil</v>
      </c>
      <c r="K1906" s="12" t="s">
        <v>65</v>
      </c>
    </row>
    <row r="1907" spans="1:11" ht="40.049999999999997" customHeight="1" x14ac:dyDescent="0.25">
      <c r="A1907" s="11" t="s">
        <v>4273</v>
      </c>
      <c r="B1907" s="11" t="s">
        <v>4273</v>
      </c>
      <c r="C1907" s="11" t="s">
        <v>101</v>
      </c>
      <c r="D1907" s="11" t="s">
        <v>43</v>
      </c>
      <c r="E1907" s="12" t="s">
        <v>1988</v>
      </c>
      <c r="F1907" s="12" t="s">
        <v>1989</v>
      </c>
      <c r="G1907" s="12" t="s">
        <v>46</v>
      </c>
      <c r="H1907" s="11" t="s">
        <v>22</v>
      </c>
      <c r="I1907" s="13" t="s">
        <v>4274</v>
      </c>
      <c r="J1907" s="14" t="str">
        <f>HYPERLINK("https://www.boe.es/gazeta/dias/1839/10/29/pdfs/GMD-1839-1815.pdf#page=3","Abrir facsímil")</f>
        <v>Abrir facsímil</v>
      </c>
      <c r="K1907" s="12" t="s">
        <v>24</v>
      </c>
    </row>
    <row r="1908" spans="1:11" ht="40.049999999999997" customHeight="1" x14ac:dyDescent="0.25">
      <c r="A1908" s="11" t="s">
        <v>4275</v>
      </c>
      <c r="B1908" s="11" t="s">
        <v>4276</v>
      </c>
      <c r="C1908" s="11" t="s">
        <v>101</v>
      </c>
      <c r="D1908" s="11" t="s">
        <v>43</v>
      </c>
      <c r="E1908" s="12" t="s">
        <v>236</v>
      </c>
      <c r="F1908" s="12" t="s">
        <v>237</v>
      </c>
      <c r="G1908" s="12" t="s">
        <v>46</v>
      </c>
      <c r="H1908" s="11" t="s">
        <v>63</v>
      </c>
      <c r="I1908" s="13" t="s">
        <v>4277</v>
      </c>
      <c r="J1908" s="14" t="str">
        <f>HYPERLINK("https://www.boe.es/gazeta/dias/1839/09/18/pdfs/GMD-1839-1771.pdf#page=3","Abrir facsímil")</f>
        <v>Abrir facsímil</v>
      </c>
      <c r="K1908" s="12" t="s">
        <v>65</v>
      </c>
    </row>
    <row r="1909" spans="1:11" ht="40.049999999999997" customHeight="1" x14ac:dyDescent="0.25">
      <c r="A1909" s="11" t="s">
        <v>4275</v>
      </c>
      <c r="B1909" s="11" t="s">
        <v>4276</v>
      </c>
      <c r="C1909" s="11" t="s">
        <v>17</v>
      </c>
      <c r="D1909" s="11" t="s">
        <v>18</v>
      </c>
      <c r="E1909" s="12" t="s">
        <v>1523</v>
      </c>
      <c r="F1909" s="12" t="s">
        <v>1524</v>
      </c>
      <c r="G1909" s="12" t="s">
        <v>29</v>
      </c>
      <c r="H1909" s="11" t="s">
        <v>63</v>
      </c>
      <c r="I1909" s="13" t="s">
        <v>4278</v>
      </c>
      <c r="J1909" s="14" t="str">
        <f>HYPERLINK("https://www.boe.es/gazeta/dias/1839/08/29/pdfs/GMD-1839-1750.pdf#page=1","Abrir facsímil")</f>
        <v>Abrir facsímil</v>
      </c>
      <c r="K1909" s="12" t="s">
        <v>65</v>
      </c>
    </row>
    <row r="1910" spans="1:11" ht="40.049999999999997" customHeight="1" x14ac:dyDescent="0.25">
      <c r="A1910" s="11" t="s">
        <v>4279</v>
      </c>
      <c r="B1910" s="11" t="s">
        <v>4280</v>
      </c>
      <c r="C1910" s="11" t="s">
        <v>59</v>
      </c>
      <c r="D1910" s="11" t="s">
        <v>60</v>
      </c>
      <c r="E1910" s="12" t="s">
        <v>474</v>
      </c>
      <c r="F1910" s="12" t="s">
        <v>475</v>
      </c>
      <c r="G1910" s="12" t="s">
        <v>21</v>
      </c>
      <c r="H1910" s="11" t="s">
        <v>63</v>
      </c>
      <c r="I1910" s="13" t="s">
        <v>4281</v>
      </c>
      <c r="J1910" s="14" t="str">
        <f>HYPERLINK("https://www.boe.es/gazeta/dias/1839/03/31/pdfs/GMD-1839-1597.pdf#page=4","Abrir facsímil")</f>
        <v>Abrir facsímil</v>
      </c>
      <c r="K1910" s="12" t="s">
        <v>65</v>
      </c>
    </row>
    <row r="1911" spans="1:11" ht="40.049999999999997" customHeight="1" x14ac:dyDescent="0.25">
      <c r="A1911" s="11" t="s">
        <v>4282</v>
      </c>
      <c r="B1911" s="11" t="s">
        <v>4283</v>
      </c>
      <c r="C1911" s="11" t="s">
        <v>137</v>
      </c>
      <c r="D1911" s="11" t="s">
        <v>18</v>
      </c>
      <c r="E1911" s="12" t="s">
        <v>2851</v>
      </c>
      <c r="F1911" s="12" t="s">
        <v>2852</v>
      </c>
      <c r="G1911" s="12" t="s">
        <v>29</v>
      </c>
      <c r="H1911" s="11" t="s">
        <v>63</v>
      </c>
      <c r="I1911" s="13" t="s">
        <v>4284</v>
      </c>
      <c r="J1911" s="14" t="str">
        <f>HYPERLINK("https://www.boe.es/gazeta/dias/1839/05/16/pdfs/GMD-1839-1643.pdf#page=1","Abrir facsímil")</f>
        <v>Abrir facsímil</v>
      </c>
      <c r="K1911" s="12" t="s">
        <v>65</v>
      </c>
    </row>
    <row r="1912" spans="1:11" ht="40.049999999999997" customHeight="1" x14ac:dyDescent="0.25">
      <c r="A1912" s="11" t="s">
        <v>4285</v>
      </c>
      <c r="B1912" s="11" t="s">
        <v>4286</v>
      </c>
      <c r="C1912" s="11" t="s">
        <v>59</v>
      </c>
      <c r="D1912" s="11" t="s">
        <v>60</v>
      </c>
      <c r="E1912" s="12" t="s">
        <v>4287</v>
      </c>
      <c r="F1912" s="12" t="s">
        <v>4288</v>
      </c>
      <c r="G1912" s="12" t="s">
        <v>29</v>
      </c>
      <c r="H1912" s="11" t="s">
        <v>63</v>
      </c>
      <c r="I1912" s="13" t="s">
        <v>4289</v>
      </c>
      <c r="J1912" s="14" t="str">
        <f>HYPERLINK("https://www.boe.es/gazeta/dias/1839/06/01/pdfs/GMD-1839-1659.pdf#page=1","Abrir facsímil")</f>
        <v>Abrir facsímil</v>
      </c>
      <c r="K1912" s="12" t="s">
        <v>65</v>
      </c>
    </row>
    <row r="1913" spans="1:11" ht="40.049999999999997" customHeight="1" x14ac:dyDescent="0.25">
      <c r="A1913" s="11" t="s">
        <v>4290</v>
      </c>
      <c r="B1913" s="11" t="s">
        <v>4290</v>
      </c>
      <c r="C1913" s="11" t="s">
        <v>17</v>
      </c>
      <c r="D1913" s="11" t="s">
        <v>18</v>
      </c>
      <c r="E1913" s="12" t="s">
        <v>258</v>
      </c>
      <c r="F1913" s="12" t="s">
        <v>259</v>
      </c>
      <c r="G1913" s="12" t="s">
        <v>40</v>
      </c>
      <c r="H1913" s="11" t="s">
        <v>63</v>
      </c>
      <c r="I1913" s="13" t="s">
        <v>4291</v>
      </c>
      <c r="J1913" s="14" t="str">
        <f>HYPERLINK("https://www.boe.es/gazeta/dias/1839/01/02/pdfs/GMD-1839-1509.pdf#page=2","Abrir facsímil")</f>
        <v>Abrir facsímil</v>
      </c>
      <c r="K1913" s="12" t="s">
        <v>65</v>
      </c>
    </row>
    <row r="1914" spans="1:11" ht="40.049999999999997" customHeight="1" x14ac:dyDescent="0.25">
      <c r="A1914" s="11" t="s">
        <v>4290</v>
      </c>
      <c r="B1914" s="11" t="s">
        <v>4290</v>
      </c>
      <c r="C1914" s="11" t="s">
        <v>59</v>
      </c>
      <c r="D1914" s="11" t="s">
        <v>60</v>
      </c>
      <c r="E1914" s="12" t="s">
        <v>4292</v>
      </c>
      <c r="F1914" s="12" t="s">
        <v>4293</v>
      </c>
      <c r="G1914" s="12" t="s">
        <v>29</v>
      </c>
      <c r="H1914" s="11" t="s">
        <v>63</v>
      </c>
      <c r="I1914" s="13" t="s">
        <v>4294</v>
      </c>
      <c r="J1914" s="14" t="str">
        <f>HYPERLINK("https://www.boe.es/gazeta/dias/1839/11/29/pdfs/GMD-1839-1846.pdf#page=1","Abrir facsímil")</f>
        <v>Abrir facsímil</v>
      </c>
      <c r="K1914" s="12" t="s">
        <v>65</v>
      </c>
    </row>
    <row r="1915" spans="1:11" ht="40.049999999999997" customHeight="1" x14ac:dyDescent="0.25">
      <c r="A1915" s="11" t="s">
        <v>4295</v>
      </c>
      <c r="B1915" s="11" t="s">
        <v>4295</v>
      </c>
      <c r="C1915" s="11" t="s">
        <v>137</v>
      </c>
      <c r="D1915" s="11" t="s">
        <v>18</v>
      </c>
      <c r="E1915" s="12" t="s">
        <v>44</v>
      </c>
      <c r="F1915" s="12" t="s">
        <v>45</v>
      </c>
      <c r="G1915" s="12" t="s">
        <v>40</v>
      </c>
      <c r="H1915" s="11" t="s">
        <v>63</v>
      </c>
      <c r="I1915" s="13" t="s">
        <v>4296</v>
      </c>
      <c r="J1915" s="14" t="str">
        <f>HYPERLINK("https://www.boe.es/gazeta/dias/1839/11/15/pdfs/GMD-1839-1832.pdf#page=2","Abrir facsímil")</f>
        <v>Abrir facsímil</v>
      </c>
      <c r="K1915" s="12" t="s">
        <v>65</v>
      </c>
    </row>
    <row r="1916" spans="1:11" ht="40.049999999999997" customHeight="1" x14ac:dyDescent="0.25">
      <c r="A1916" s="11" t="s">
        <v>4297</v>
      </c>
      <c r="B1916" s="11" t="s">
        <v>4297</v>
      </c>
      <c r="C1916" s="11" t="s">
        <v>17</v>
      </c>
      <c r="D1916" s="11" t="s">
        <v>18</v>
      </c>
      <c r="E1916" s="12" t="s">
        <v>1069</v>
      </c>
      <c r="F1916" s="12" t="s">
        <v>1070</v>
      </c>
      <c r="G1916" s="12" t="s">
        <v>40</v>
      </c>
      <c r="H1916" s="11" t="s">
        <v>22</v>
      </c>
      <c r="I1916" s="13" t="s">
        <v>4298</v>
      </c>
      <c r="J1916" s="14" t="str">
        <f>HYPERLINK("https://www.boe.es/gazeta/dias/1839/10/15/pdfs/GMD-1839-1801.pdf#page=2","Abrir facsímil")</f>
        <v>Abrir facsímil</v>
      </c>
      <c r="K1916" s="12" t="s">
        <v>24</v>
      </c>
    </row>
    <row r="1917" spans="1:11" ht="40.049999999999997" customHeight="1" x14ac:dyDescent="0.25">
      <c r="A1917" s="11" t="s">
        <v>4297</v>
      </c>
      <c r="B1917" s="11" t="s">
        <v>4297</v>
      </c>
      <c r="C1917" s="11" t="s">
        <v>59</v>
      </c>
      <c r="D1917" s="11" t="s">
        <v>60</v>
      </c>
      <c r="E1917" s="12" t="s">
        <v>1086</v>
      </c>
      <c r="F1917" s="12" t="s">
        <v>1087</v>
      </c>
      <c r="G1917" s="12" t="s">
        <v>40</v>
      </c>
      <c r="H1917" s="11" t="s">
        <v>22</v>
      </c>
      <c r="I1917" s="13" t="s">
        <v>4299</v>
      </c>
      <c r="J1917" s="14" t="str">
        <f>HYPERLINK("https://www.boe.es/gazeta/dias/1839/10/26/pdfs/GMD-1839-1812.pdf#page=2","Abrir facsímil")</f>
        <v>Abrir facsímil</v>
      </c>
      <c r="K1917" s="12" t="s">
        <v>24</v>
      </c>
    </row>
    <row r="1918" spans="1:11" ht="40.049999999999997" customHeight="1" x14ac:dyDescent="0.25">
      <c r="A1918" s="11" t="s">
        <v>4297</v>
      </c>
      <c r="B1918" s="11" t="s">
        <v>4297</v>
      </c>
      <c r="C1918" s="11" t="s">
        <v>17</v>
      </c>
      <c r="D1918" s="11" t="s">
        <v>18</v>
      </c>
      <c r="E1918" s="12" t="s">
        <v>1807</v>
      </c>
      <c r="F1918" s="12" t="s">
        <v>1808</v>
      </c>
      <c r="G1918" s="12" t="s">
        <v>40</v>
      </c>
      <c r="H1918" s="11" t="s">
        <v>22</v>
      </c>
      <c r="I1918" s="13" t="s">
        <v>4300</v>
      </c>
      <c r="J1918" s="14" t="str">
        <f>HYPERLINK("https://www.boe.es/gazeta/dias/1839/01/29/pdfs/GMD-1839-1536.pdf#page=2","Abrir facsímil")</f>
        <v>Abrir facsímil</v>
      </c>
      <c r="K1918" s="12" t="s">
        <v>24</v>
      </c>
    </row>
    <row r="1919" spans="1:11" ht="40.049999999999997" customHeight="1" x14ac:dyDescent="0.25">
      <c r="A1919" s="11" t="s">
        <v>4297</v>
      </c>
      <c r="B1919" s="11" t="s">
        <v>4297</v>
      </c>
      <c r="C1919" s="11" t="s">
        <v>101</v>
      </c>
      <c r="D1919" s="11" t="s">
        <v>102</v>
      </c>
      <c r="E1919" s="12" t="s">
        <v>1867</v>
      </c>
      <c r="F1919" s="12" t="s">
        <v>1868</v>
      </c>
      <c r="G1919" s="12" t="s">
        <v>29</v>
      </c>
      <c r="H1919" s="11" t="s">
        <v>22</v>
      </c>
      <c r="I1919" s="13" t="s">
        <v>4301</v>
      </c>
      <c r="J1919" s="14" t="str">
        <f>HYPERLINK("https://www.boe.es/gazeta/dias/1839/01/30/pdfs/GMD-1839-1537.pdf#page=1","Abrir facsímil")</f>
        <v>Abrir facsímil</v>
      </c>
      <c r="K1919" s="12" t="s">
        <v>24</v>
      </c>
    </row>
    <row r="1920" spans="1:11" ht="40.049999999999997" customHeight="1" x14ac:dyDescent="0.25">
      <c r="A1920" s="11" t="s">
        <v>4297</v>
      </c>
      <c r="B1920" s="11" t="s">
        <v>4297</v>
      </c>
      <c r="C1920" s="11" t="s">
        <v>80</v>
      </c>
      <c r="D1920" s="11" t="s">
        <v>173</v>
      </c>
      <c r="E1920" s="12" t="s">
        <v>1867</v>
      </c>
      <c r="F1920" s="12" t="s">
        <v>1868</v>
      </c>
      <c r="G1920" s="12" t="s">
        <v>40</v>
      </c>
      <c r="H1920" s="11" t="s">
        <v>22</v>
      </c>
      <c r="I1920" s="13" t="s">
        <v>4302</v>
      </c>
      <c r="J1920" s="14" t="str">
        <f>HYPERLINK("https://www.boe.es/gazeta/dias/1839/01/30/pdfs/GMD-1839-1537.pdf#page=2","Abrir facsímil")</f>
        <v>Abrir facsímil</v>
      </c>
      <c r="K1920" s="12" t="s">
        <v>24</v>
      </c>
    </row>
    <row r="1921" spans="1:11" ht="40.049999999999997" customHeight="1" x14ac:dyDescent="0.25">
      <c r="A1921" s="11" t="s">
        <v>4303</v>
      </c>
      <c r="B1921" s="11" t="s">
        <v>4303</v>
      </c>
      <c r="C1921" s="11" t="s">
        <v>17</v>
      </c>
      <c r="D1921" s="11" t="s">
        <v>18</v>
      </c>
      <c r="E1921" s="12" t="s">
        <v>1069</v>
      </c>
      <c r="F1921" s="12" t="s">
        <v>1070</v>
      </c>
      <c r="G1921" s="12" t="s">
        <v>46</v>
      </c>
      <c r="H1921" s="11" t="s">
        <v>22</v>
      </c>
      <c r="I1921" s="13" t="s">
        <v>4304</v>
      </c>
      <c r="J1921" s="14" t="str">
        <f>HYPERLINK("https://www.boe.es/gazeta/dias/1839/10/15/pdfs/GMD-1839-1801.pdf#page=3","Abrir facsímil")</f>
        <v>Abrir facsímil</v>
      </c>
      <c r="K1921" s="12" t="s">
        <v>24</v>
      </c>
    </row>
    <row r="1922" spans="1:11" ht="40.049999999999997" customHeight="1" x14ac:dyDescent="0.25">
      <c r="A1922" s="11" t="s">
        <v>4305</v>
      </c>
      <c r="B1922" s="11" t="s">
        <v>4305</v>
      </c>
      <c r="C1922" s="11" t="s">
        <v>17</v>
      </c>
      <c r="D1922" s="11" t="s">
        <v>18</v>
      </c>
      <c r="E1922" s="12" t="s">
        <v>1108</v>
      </c>
      <c r="F1922" s="12" t="s">
        <v>1109</v>
      </c>
      <c r="G1922" s="12" t="s">
        <v>40</v>
      </c>
      <c r="H1922" s="11" t="s">
        <v>63</v>
      </c>
      <c r="I1922" s="13" t="s">
        <v>4306</v>
      </c>
      <c r="J1922" s="14" t="str">
        <f>HYPERLINK("https://www.boe.es/gazeta/dias/1839/09/21/pdfs/GMD-1839-1776.pdf#page=2","Abrir facsímil")</f>
        <v>Abrir facsímil</v>
      </c>
      <c r="K1922" s="12" t="s">
        <v>65</v>
      </c>
    </row>
    <row r="1923" spans="1:11" ht="40.049999999999997" customHeight="1" x14ac:dyDescent="0.25">
      <c r="A1923" s="11" t="s">
        <v>4305</v>
      </c>
      <c r="B1923" s="11" t="s">
        <v>4305</v>
      </c>
      <c r="C1923" s="11" t="s">
        <v>17</v>
      </c>
      <c r="D1923" s="11" t="s">
        <v>18</v>
      </c>
      <c r="E1923" s="12" t="s">
        <v>2949</v>
      </c>
      <c r="F1923" s="12" t="s">
        <v>2950</v>
      </c>
      <c r="G1923" s="12" t="s">
        <v>40</v>
      </c>
      <c r="H1923" s="11" t="s">
        <v>63</v>
      </c>
      <c r="I1923" s="13" t="s">
        <v>4307</v>
      </c>
      <c r="J1923" s="14" t="str">
        <f>HYPERLINK("https://www.boe.es/gazeta/dias/1839/10/21/pdfs/GMD-1839-1807.pdf#page=2","Abrir facsímil")</f>
        <v>Abrir facsímil</v>
      </c>
      <c r="K1923" s="12" t="s">
        <v>65</v>
      </c>
    </row>
    <row r="1924" spans="1:11" ht="40.049999999999997" customHeight="1" x14ac:dyDescent="0.25">
      <c r="A1924" s="11" t="s">
        <v>4303</v>
      </c>
      <c r="B1924" s="11" t="s">
        <v>4303</v>
      </c>
      <c r="C1924" s="11" t="s">
        <v>17</v>
      </c>
      <c r="D1924" s="11" t="s">
        <v>18</v>
      </c>
      <c r="E1924" s="12" t="s">
        <v>794</v>
      </c>
      <c r="F1924" s="12" t="s">
        <v>795</v>
      </c>
      <c r="G1924" s="12" t="s">
        <v>46</v>
      </c>
      <c r="H1924" s="11" t="s">
        <v>22</v>
      </c>
      <c r="I1924" s="13" t="s">
        <v>4308</v>
      </c>
      <c r="J1924" s="14" t="str">
        <f>HYPERLINK("https://www.boe.es/gazeta/dias/1839/01/22/pdfs/GMD-1839-1529.pdf#page=3","Abrir facsímil")</f>
        <v>Abrir facsímil</v>
      </c>
      <c r="K1924" s="12" t="s">
        <v>24</v>
      </c>
    </row>
    <row r="1925" spans="1:11" ht="40.049999999999997" customHeight="1" x14ac:dyDescent="0.25">
      <c r="A1925" s="11" t="s">
        <v>4305</v>
      </c>
      <c r="B1925" s="11" t="s">
        <v>4305</v>
      </c>
      <c r="C1925" s="11" t="s">
        <v>17</v>
      </c>
      <c r="D1925" s="11" t="s">
        <v>18</v>
      </c>
      <c r="E1925" s="12" t="s">
        <v>276</v>
      </c>
      <c r="F1925" s="12" t="s">
        <v>277</v>
      </c>
      <c r="G1925" s="12" t="s">
        <v>46</v>
      </c>
      <c r="H1925" s="11" t="s">
        <v>63</v>
      </c>
      <c r="I1925" s="13" t="s">
        <v>4309</v>
      </c>
      <c r="J1925" s="14" t="str">
        <f>HYPERLINK("https://www.boe.es/gazeta/dias/1839/09/24/pdfs/GMD-1839-1780.pdf#page=3","Abrir facsímil")</f>
        <v>Abrir facsímil</v>
      </c>
      <c r="K1925" s="12" t="s">
        <v>65</v>
      </c>
    </row>
    <row r="1926" spans="1:11" ht="40.049999999999997" customHeight="1" x14ac:dyDescent="0.25">
      <c r="A1926" s="11" t="s">
        <v>4305</v>
      </c>
      <c r="B1926" s="11" t="s">
        <v>4305</v>
      </c>
      <c r="C1926" s="11" t="s">
        <v>137</v>
      </c>
      <c r="D1926" s="11" t="s">
        <v>18</v>
      </c>
      <c r="E1926" s="12" t="s">
        <v>650</v>
      </c>
      <c r="F1926" s="12" t="s">
        <v>651</v>
      </c>
      <c r="G1926" s="12" t="s">
        <v>40</v>
      </c>
      <c r="H1926" s="11" t="s">
        <v>63</v>
      </c>
      <c r="I1926" s="13" t="s">
        <v>4310</v>
      </c>
      <c r="J1926" s="14" t="str">
        <f>HYPERLINK("https://www.boe.es/gazeta/dias/1839/10/25/pdfs/GMD-1839-1811.pdf#page=2","Abrir facsímil")</f>
        <v>Abrir facsímil</v>
      </c>
      <c r="K1926" s="12" t="s">
        <v>65</v>
      </c>
    </row>
    <row r="1927" spans="1:11" ht="40.049999999999997" customHeight="1" x14ac:dyDescent="0.25">
      <c r="A1927" s="11" t="s">
        <v>4305</v>
      </c>
      <c r="B1927" s="11" t="s">
        <v>4305</v>
      </c>
      <c r="C1927" s="11" t="s">
        <v>137</v>
      </c>
      <c r="D1927" s="11" t="s">
        <v>18</v>
      </c>
      <c r="E1927" s="12" t="s">
        <v>1086</v>
      </c>
      <c r="F1927" s="12" t="s">
        <v>1087</v>
      </c>
      <c r="G1927" s="12" t="s">
        <v>40</v>
      </c>
      <c r="H1927" s="11" t="s">
        <v>63</v>
      </c>
      <c r="I1927" s="13" t="s">
        <v>4311</v>
      </c>
      <c r="J1927" s="14" t="str">
        <f>HYPERLINK("https://www.boe.es/gazeta/dias/1839/10/26/pdfs/GMD-1839-1812.pdf#page=2","Abrir facsímil")</f>
        <v>Abrir facsímil</v>
      </c>
      <c r="K1927" s="12" t="s">
        <v>65</v>
      </c>
    </row>
    <row r="1928" spans="1:11" ht="40.049999999999997" customHeight="1" x14ac:dyDescent="0.25">
      <c r="A1928" s="11" t="s">
        <v>4305</v>
      </c>
      <c r="B1928" s="11" t="s">
        <v>4305</v>
      </c>
      <c r="C1928" s="11" t="s">
        <v>17</v>
      </c>
      <c r="D1928" s="11" t="s">
        <v>18</v>
      </c>
      <c r="E1928" s="12" t="s">
        <v>1867</v>
      </c>
      <c r="F1928" s="12" t="s">
        <v>1868</v>
      </c>
      <c r="G1928" s="12" t="s">
        <v>29</v>
      </c>
      <c r="H1928" s="11" t="s">
        <v>63</v>
      </c>
      <c r="I1928" s="13" t="s">
        <v>4312</v>
      </c>
      <c r="J1928" s="14" t="str">
        <f>HYPERLINK("https://www.boe.es/gazeta/dias/1839/01/30/pdfs/GMD-1839-1537.pdf#page=1","Abrir facsímil")</f>
        <v>Abrir facsímil</v>
      </c>
      <c r="K1928" s="12" t="s">
        <v>65</v>
      </c>
    </row>
    <row r="1929" spans="1:11" ht="40.049999999999997" customHeight="1" x14ac:dyDescent="0.25">
      <c r="A1929" s="11" t="s">
        <v>4313</v>
      </c>
      <c r="B1929" s="11" t="s">
        <v>4314</v>
      </c>
      <c r="C1929" s="11" t="s">
        <v>17</v>
      </c>
      <c r="D1929" s="11" t="s">
        <v>18</v>
      </c>
      <c r="E1929" s="12" t="s">
        <v>222</v>
      </c>
      <c r="F1929" s="12" t="s">
        <v>223</v>
      </c>
      <c r="G1929" s="12" t="s">
        <v>21</v>
      </c>
      <c r="H1929" s="11" t="s">
        <v>63</v>
      </c>
      <c r="I1929" s="13" t="s">
        <v>4315</v>
      </c>
      <c r="J1929" s="14" t="str">
        <f>HYPERLINK("https://www.boe.es/gazeta/dias/1839/06/22/pdfs/GMD-1839-1680.pdf#page=4","Abrir facsímil")</f>
        <v>Abrir facsímil</v>
      </c>
      <c r="K1929" s="12" t="s">
        <v>65</v>
      </c>
    </row>
    <row r="1930" spans="1:11" ht="40.049999999999997" customHeight="1" x14ac:dyDescent="0.25">
      <c r="A1930" s="11" t="s">
        <v>4316</v>
      </c>
      <c r="B1930" s="11" t="s">
        <v>4317</v>
      </c>
      <c r="C1930" s="11" t="s">
        <v>101</v>
      </c>
      <c r="D1930" s="11" t="s">
        <v>102</v>
      </c>
      <c r="E1930" s="12" t="s">
        <v>1123</v>
      </c>
      <c r="F1930" s="12" t="s">
        <v>1124</v>
      </c>
      <c r="G1930" s="12" t="s">
        <v>29</v>
      </c>
      <c r="H1930" s="11" t="s">
        <v>63</v>
      </c>
      <c r="I1930" s="13" t="s">
        <v>4318</v>
      </c>
      <c r="J1930" s="14" t="str">
        <f>HYPERLINK("https://www.boe.es/gazeta/dias/1839/08/10/pdfs/GMD-1839-1730.pdf#page=1","Abrir facsímil")</f>
        <v>Abrir facsímil</v>
      </c>
      <c r="K1930" s="12" t="s">
        <v>65</v>
      </c>
    </row>
    <row r="1931" spans="1:11" ht="40.049999999999997" customHeight="1" x14ac:dyDescent="0.25">
      <c r="A1931" s="11" t="s">
        <v>4316</v>
      </c>
      <c r="B1931" s="11" t="s">
        <v>4317</v>
      </c>
      <c r="C1931" s="11" t="s">
        <v>17</v>
      </c>
      <c r="D1931" s="11" t="s">
        <v>18</v>
      </c>
      <c r="E1931" s="12" t="s">
        <v>1123</v>
      </c>
      <c r="F1931" s="12" t="s">
        <v>1124</v>
      </c>
      <c r="G1931" s="12" t="s">
        <v>40</v>
      </c>
      <c r="H1931" s="11" t="s">
        <v>63</v>
      </c>
      <c r="I1931" s="13" t="s">
        <v>4319</v>
      </c>
      <c r="J1931" s="14" t="str">
        <f>HYPERLINK("https://www.boe.es/gazeta/dias/1839/08/10/pdfs/GMD-1839-1730.pdf#page=2","Abrir facsímil")</f>
        <v>Abrir facsímil</v>
      </c>
      <c r="K1931" s="12" t="s">
        <v>65</v>
      </c>
    </row>
    <row r="1932" spans="1:11" ht="40.049999999999997" customHeight="1" x14ac:dyDescent="0.25">
      <c r="A1932" s="11" t="s">
        <v>4320</v>
      </c>
      <c r="B1932" s="11" t="s">
        <v>4321</v>
      </c>
      <c r="C1932" s="11" t="s">
        <v>17</v>
      </c>
      <c r="D1932" s="11" t="s">
        <v>18</v>
      </c>
      <c r="E1932" s="12" t="s">
        <v>713</v>
      </c>
      <c r="F1932" s="12" t="s">
        <v>714</v>
      </c>
      <c r="G1932" s="12" t="s">
        <v>46</v>
      </c>
      <c r="H1932" s="11" t="s">
        <v>63</v>
      </c>
      <c r="I1932" s="13" t="s">
        <v>4322</v>
      </c>
      <c r="J1932" s="14" t="str">
        <f>HYPERLINK("https://www.boe.es/gazeta/dias/1839/12/18/pdfs/GMD-1839-1865.pdf#page=3","Abrir facsímil")</f>
        <v>Abrir facsímil</v>
      </c>
      <c r="K1932" s="12" t="s">
        <v>65</v>
      </c>
    </row>
    <row r="1933" spans="1:11" ht="40.049999999999997" customHeight="1" x14ac:dyDescent="0.25">
      <c r="A1933" s="11" t="s">
        <v>4323</v>
      </c>
      <c r="B1933" s="11" t="s">
        <v>4324</v>
      </c>
      <c r="C1933" s="11" t="s">
        <v>17</v>
      </c>
      <c r="D1933" s="11" t="s">
        <v>18</v>
      </c>
      <c r="E1933" s="12" t="s">
        <v>998</v>
      </c>
      <c r="F1933" s="12" t="s">
        <v>999</v>
      </c>
      <c r="G1933" s="12" t="s">
        <v>29</v>
      </c>
      <c r="H1933" s="11" t="s">
        <v>63</v>
      </c>
      <c r="I1933" s="13" t="s">
        <v>4325</v>
      </c>
      <c r="J1933" s="14" t="str">
        <f>HYPERLINK("https://www.boe.es/gazeta/dias/1839/05/06/pdfs/GMD-1839-1633.pdf#page=1","Abrir facsímil")</f>
        <v>Abrir facsímil</v>
      </c>
      <c r="K1933" s="12" t="s">
        <v>65</v>
      </c>
    </row>
    <row r="1934" spans="1:11" ht="40.049999999999997" customHeight="1" x14ac:dyDescent="0.25">
      <c r="A1934" s="11" t="s">
        <v>4326</v>
      </c>
      <c r="B1934" s="11" t="s">
        <v>4327</v>
      </c>
      <c r="C1934" s="11" t="s">
        <v>80</v>
      </c>
      <c r="D1934" s="11" t="s">
        <v>18</v>
      </c>
      <c r="E1934" s="12" t="s">
        <v>779</v>
      </c>
      <c r="F1934" s="12" t="s">
        <v>780</v>
      </c>
      <c r="G1934" s="12" t="s">
        <v>29</v>
      </c>
      <c r="H1934" s="11" t="s">
        <v>63</v>
      </c>
      <c r="I1934" s="13" t="s">
        <v>4328</v>
      </c>
      <c r="J1934" s="14" t="str">
        <f>HYPERLINK("https://www.boe.es/gazeta/dias/1839/02/03/pdfs/GMD-1839-1541.pdf#page=1","Abrir facsímil")</f>
        <v>Abrir facsímil</v>
      </c>
      <c r="K1934" s="12" t="s">
        <v>65</v>
      </c>
    </row>
    <row r="1935" spans="1:11" ht="40.049999999999997" customHeight="1" x14ac:dyDescent="0.25">
      <c r="A1935" s="11" t="s">
        <v>4329</v>
      </c>
      <c r="B1935" s="11" t="s">
        <v>4330</v>
      </c>
      <c r="C1935" s="11" t="s">
        <v>101</v>
      </c>
      <c r="D1935" s="11" t="s">
        <v>43</v>
      </c>
      <c r="E1935" s="12" t="s">
        <v>571</v>
      </c>
      <c r="F1935" s="12" t="s">
        <v>572</v>
      </c>
      <c r="G1935" s="12" t="s">
        <v>40</v>
      </c>
      <c r="H1935" s="11" t="s">
        <v>63</v>
      </c>
      <c r="I1935" s="13" t="s">
        <v>4331</v>
      </c>
      <c r="J1935" s="14" t="str">
        <f>HYPERLINK("https://www.boe.es/gazeta/dias/1839/09/27/pdfs/GMD-1839-1783.pdf#page=2","Abrir facsímil")</f>
        <v>Abrir facsímil</v>
      </c>
      <c r="K1935" s="12" t="s">
        <v>65</v>
      </c>
    </row>
    <row r="1936" spans="1:11" ht="40.049999999999997" customHeight="1" x14ac:dyDescent="0.25">
      <c r="A1936" s="11" t="s">
        <v>4332</v>
      </c>
      <c r="B1936" s="11" t="s">
        <v>4333</v>
      </c>
      <c r="C1936" s="11" t="s">
        <v>101</v>
      </c>
      <c r="D1936" s="11" t="s">
        <v>43</v>
      </c>
      <c r="E1936" s="12" t="s">
        <v>571</v>
      </c>
      <c r="F1936" s="12" t="s">
        <v>572</v>
      </c>
      <c r="G1936" s="12" t="s">
        <v>46</v>
      </c>
      <c r="H1936" s="11" t="s">
        <v>63</v>
      </c>
      <c r="I1936" s="13" t="s">
        <v>4334</v>
      </c>
      <c r="J1936" s="14" t="str">
        <f>HYPERLINK("https://www.boe.es/gazeta/dias/1839/09/27/pdfs/GMD-1839-1783.pdf#page=3","Abrir facsímil")</f>
        <v>Abrir facsímil</v>
      </c>
      <c r="K1936" s="12" t="s">
        <v>65</v>
      </c>
    </row>
    <row r="1937" spans="1:11" ht="40.049999999999997" customHeight="1" x14ac:dyDescent="0.25">
      <c r="A1937" s="11" t="s">
        <v>4335</v>
      </c>
      <c r="B1937" s="11" t="s">
        <v>4336</v>
      </c>
      <c r="C1937" s="11" t="s">
        <v>80</v>
      </c>
      <c r="D1937" s="11" t="s">
        <v>18</v>
      </c>
      <c r="E1937" s="12" t="s">
        <v>230</v>
      </c>
      <c r="F1937" s="12" t="s">
        <v>231</v>
      </c>
      <c r="G1937" s="12" t="s">
        <v>21</v>
      </c>
      <c r="H1937" s="11" t="s">
        <v>63</v>
      </c>
      <c r="I1937" s="13" t="s">
        <v>4337</v>
      </c>
      <c r="J1937" s="14" t="str">
        <f>HYPERLINK("https://www.boe.es/gazeta/dias/1839/09/16/pdfs/GMD-1839-1769.pdf#page=4","Abrir facsímil")</f>
        <v>Abrir facsímil</v>
      </c>
      <c r="K1937" s="12" t="s">
        <v>65</v>
      </c>
    </row>
    <row r="1938" spans="1:11" ht="40.049999999999997" customHeight="1" x14ac:dyDescent="0.25">
      <c r="A1938" s="11" t="s">
        <v>4338</v>
      </c>
      <c r="B1938" s="11" t="s">
        <v>4339</v>
      </c>
      <c r="C1938" s="11" t="s">
        <v>80</v>
      </c>
      <c r="D1938" s="11" t="s">
        <v>18</v>
      </c>
      <c r="E1938" s="12" t="s">
        <v>226</v>
      </c>
      <c r="F1938" s="12" t="s">
        <v>227</v>
      </c>
      <c r="G1938" s="12" t="s">
        <v>29</v>
      </c>
      <c r="H1938" s="11" t="s">
        <v>63</v>
      </c>
      <c r="I1938" s="13" t="s">
        <v>4340</v>
      </c>
      <c r="J1938" s="14" t="str">
        <f>HYPERLINK("https://www.boe.es/gazeta/dias/1839/06/09/pdfs/GMD-1839-1667.pdf#page=1","Abrir facsímil")</f>
        <v>Abrir facsímil</v>
      </c>
      <c r="K1938" s="12" t="s">
        <v>65</v>
      </c>
    </row>
    <row r="1939" spans="1:11" ht="40.049999999999997" customHeight="1" x14ac:dyDescent="0.25">
      <c r="A1939" s="11" t="s">
        <v>4341</v>
      </c>
      <c r="B1939" s="11" t="s">
        <v>4342</v>
      </c>
      <c r="C1939" s="11" t="s">
        <v>17</v>
      </c>
      <c r="D1939" s="11" t="s">
        <v>18</v>
      </c>
      <c r="E1939" s="12" t="s">
        <v>1520</v>
      </c>
      <c r="F1939" s="12" t="s">
        <v>1521</v>
      </c>
      <c r="G1939" s="12" t="s">
        <v>21</v>
      </c>
      <c r="H1939" s="11" t="s">
        <v>63</v>
      </c>
      <c r="I1939" s="13" t="s">
        <v>4343</v>
      </c>
      <c r="J1939" s="14" t="str">
        <f>HYPERLINK("https://www.boe.es/gazeta/dias/1839/12/27/pdfs/GMD-1839-1874.pdf#page=4","Abrir facsímil")</f>
        <v>Abrir facsímil</v>
      </c>
      <c r="K1939" s="12" t="s">
        <v>65</v>
      </c>
    </row>
    <row r="1940" spans="1:11" ht="40.049999999999997" customHeight="1" x14ac:dyDescent="0.25">
      <c r="A1940" s="11" t="s">
        <v>4344</v>
      </c>
      <c r="B1940" s="11" t="s">
        <v>4344</v>
      </c>
      <c r="C1940" s="11" t="s">
        <v>80</v>
      </c>
      <c r="D1940" s="11" t="s">
        <v>173</v>
      </c>
      <c r="E1940" s="12" t="s">
        <v>160</v>
      </c>
      <c r="F1940" s="12" t="s">
        <v>161</v>
      </c>
      <c r="G1940" s="12" t="s">
        <v>40</v>
      </c>
      <c r="H1940" s="11" t="s">
        <v>63</v>
      </c>
      <c r="I1940" s="13" t="s">
        <v>4345</v>
      </c>
      <c r="J1940" s="14" t="str">
        <f>HYPERLINK("https://www.boe.es/gazeta/dias/1839/01/10/pdfs/GMD-1839-1517.pdf#page=2","Abrir facsímil")</f>
        <v>Abrir facsímil</v>
      </c>
      <c r="K1940" s="12" t="s">
        <v>65</v>
      </c>
    </row>
    <row r="1941" spans="1:11" ht="40.049999999999997" customHeight="1" x14ac:dyDescent="0.25">
      <c r="A1941" s="11" t="s">
        <v>4346</v>
      </c>
      <c r="B1941" s="11" t="s">
        <v>4347</v>
      </c>
      <c r="C1941" s="11" t="s">
        <v>101</v>
      </c>
      <c r="D1941" s="11" t="s">
        <v>43</v>
      </c>
      <c r="E1941" s="12" t="s">
        <v>160</v>
      </c>
      <c r="F1941" s="12" t="s">
        <v>161</v>
      </c>
      <c r="G1941" s="12" t="s">
        <v>40</v>
      </c>
      <c r="H1941" s="11" t="s">
        <v>63</v>
      </c>
      <c r="I1941" s="13" t="s">
        <v>4348</v>
      </c>
      <c r="J1941" s="14" t="str">
        <f>HYPERLINK("https://www.boe.es/gazeta/dias/1839/01/10/pdfs/GMD-1839-1517.pdf#page=2","Abrir facsímil")</f>
        <v>Abrir facsímil</v>
      </c>
      <c r="K1941" s="12" t="s">
        <v>65</v>
      </c>
    </row>
    <row r="1942" spans="1:11" ht="40.049999999999997" customHeight="1" x14ac:dyDescent="0.25">
      <c r="A1942" s="11" t="s">
        <v>4349</v>
      </c>
      <c r="B1942" s="11" t="s">
        <v>4349</v>
      </c>
      <c r="C1942" s="11" t="s">
        <v>17</v>
      </c>
      <c r="D1942" s="11" t="s">
        <v>18</v>
      </c>
      <c r="E1942" s="12" t="s">
        <v>2165</v>
      </c>
      <c r="F1942" s="12" t="s">
        <v>2166</v>
      </c>
      <c r="G1942" s="12" t="s">
        <v>46</v>
      </c>
      <c r="H1942" s="11" t="s">
        <v>22</v>
      </c>
      <c r="I1942" s="13" t="s">
        <v>4350</v>
      </c>
      <c r="J1942" s="14" t="str">
        <f>HYPERLINK("https://www.boe.es/gazeta/dias/1839/01/06/pdfs/GMD-1839-1513.pdf#page=3","Abrir facsímil")</f>
        <v>Abrir facsímil</v>
      </c>
      <c r="K1942" s="12" t="s">
        <v>24</v>
      </c>
    </row>
    <row r="1943" spans="1:11" ht="40.049999999999997" customHeight="1" x14ac:dyDescent="0.25">
      <c r="A1943" s="11" t="s">
        <v>4351</v>
      </c>
      <c r="B1943" s="11" t="s">
        <v>4351</v>
      </c>
      <c r="C1943" s="11" t="s">
        <v>101</v>
      </c>
      <c r="D1943" s="11" t="s">
        <v>43</v>
      </c>
      <c r="E1943" s="12" t="s">
        <v>160</v>
      </c>
      <c r="F1943" s="12" t="s">
        <v>161</v>
      </c>
      <c r="G1943" s="12" t="s">
        <v>46</v>
      </c>
      <c r="H1943" s="11" t="s">
        <v>63</v>
      </c>
      <c r="I1943" s="13" t="s">
        <v>4352</v>
      </c>
      <c r="J1943" s="14" t="str">
        <f>HYPERLINK("https://www.boe.es/gazeta/dias/1839/01/10/pdfs/GMD-1839-1517.pdf#page=3","Abrir facsímil")</f>
        <v>Abrir facsímil</v>
      </c>
      <c r="K1943" s="12" t="s">
        <v>65</v>
      </c>
    </row>
    <row r="1944" spans="1:11" ht="40.049999999999997" customHeight="1" x14ac:dyDescent="0.25">
      <c r="A1944" s="11" t="s">
        <v>4349</v>
      </c>
      <c r="B1944" s="11" t="s">
        <v>4349</v>
      </c>
      <c r="C1944" s="11" t="s">
        <v>137</v>
      </c>
      <c r="D1944" s="11" t="s">
        <v>18</v>
      </c>
      <c r="E1944" s="12" t="s">
        <v>181</v>
      </c>
      <c r="F1944" s="12" t="s">
        <v>182</v>
      </c>
      <c r="G1944" s="12" t="s">
        <v>46</v>
      </c>
      <c r="H1944" s="11" t="s">
        <v>22</v>
      </c>
      <c r="I1944" s="13" t="s">
        <v>4353</v>
      </c>
      <c r="J1944" s="14" t="str">
        <f>HYPERLINK("https://www.boe.es/gazeta/dias/1839/01/11/pdfs/GMD-1839-1518.pdf#page=3","Abrir facsímil")</f>
        <v>Abrir facsímil</v>
      </c>
      <c r="K1944" s="12" t="s">
        <v>24</v>
      </c>
    </row>
    <row r="1945" spans="1:11" ht="40.049999999999997" customHeight="1" x14ac:dyDescent="0.25">
      <c r="A1945" s="11" t="s">
        <v>4349</v>
      </c>
      <c r="B1945" s="11" t="s">
        <v>4349</v>
      </c>
      <c r="C1945" s="11" t="s">
        <v>17</v>
      </c>
      <c r="D1945" s="11" t="s">
        <v>18</v>
      </c>
      <c r="E1945" s="12" t="s">
        <v>192</v>
      </c>
      <c r="F1945" s="12" t="s">
        <v>193</v>
      </c>
      <c r="G1945" s="12" t="s">
        <v>21</v>
      </c>
      <c r="H1945" s="11" t="s">
        <v>22</v>
      </c>
      <c r="I1945" s="13" t="s">
        <v>4354</v>
      </c>
      <c r="J1945" s="14" t="str">
        <f>HYPERLINK("https://www.boe.es/gazeta/dias/1839/01/12/pdfs/GMD-1839-1519.pdf#page=4","Abrir facsímil")</f>
        <v>Abrir facsímil</v>
      </c>
      <c r="K1945" s="12" t="s">
        <v>24</v>
      </c>
    </row>
    <row r="1946" spans="1:11" ht="40.049999999999997" customHeight="1" x14ac:dyDescent="0.25">
      <c r="A1946" s="11" t="s">
        <v>4349</v>
      </c>
      <c r="B1946" s="11" t="s">
        <v>4349</v>
      </c>
      <c r="C1946" s="11" t="s">
        <v>80</v>
      </c>
      <c r="D1946" s="11" t="s">
        <v>18</v>
      </c>
      <c r="E1946" s="12" t="s">
        <v>163</v>
      </c>
      <c r="F1946" s="12" t="s">
        <v>164</v>
      </c>
      <c r="G1946" s="12" t="s">
        <v>46</v>
      </c>
      <c r="H1946" s="11" t="s">
        <v>22</v>
      </c>
      <c r="I1946" s="13" t="s">
        <v>4355</v>
      </c>
      <c r="J1946" s="14" t="str">
        <f>HYPERLINK("https://www.boe.es/gazeta/dias/1839/01/13/pdfs/GMD-1839-1520.pdf#page=3","Abrir facsímil")</f>
        <v>Abrir facsímil</v>
      </c>
      <c r="K1946" s="12" t="s">
        <v>24</v>
      </c>
    </row>
    <row r="1947" spans="1:11" ht="40.049999999999997" customHeight="1" x14ac:dyDescent="0.25">
      <c r="A1947" s="11" t="s">
        <v>4349</v>
      </c>
      <c r="B1947" s="11" t="s">
        <v>4349</v>
      </c>
      <c r="C1947" s="11" t="s">
        <v>137</v>
      </c>
      <c r="D1947" s="11" t="s">
        <v>18</v>
      </c>
      <c r="E1947" s="12" t="s">
        <v>185</v>
      </c>
      <c r="F1947" s="12" t="s">
        <v>186</v>
      </c>
      <c r="G1947" s="12" t="s">
        <v>40</v>
      </c>
      <c r="H1947" s="11" t="s">
        <v>22</v>
      </c>
      <c r="I1947" s="13" t="s">
        <v>4356</v>
      </c>
      <c r="J1947" s="14" t="str">
        <f>HYPERLINK("https://www.boe.es/gazeta/dias/1839/01/15/pdfs/GMD-1839-1522.pdf#page=2","Abrir facsímil")</f>
        <v>Abrir facsímil</v>
      </c>
      <c r="K1947" s="12" t="s">
        <v>24</v>
      </c>
    </row>
    <row r="1948" spans="1:11" ht="40.049999999999997" customHeight="1" x14ac:dyDescent="0.25">
      <c r="A1948" s="11" t="s">
        <v>4351</v>
      </c>
      <c r="B1948" s="11" t="s">
        <v>4351</v>
      </c>
      <c r="C1948" s="11" t="s">
        <v>17</v>
      </c>
      <c r="D1948" s="11" t="s">
        <v>18</v>
      </c>
      <c r="E1948" s="12" t="s">
        <v>175</v>
      </c>
      <c r="F1948" s="12" t="s">
        <v>176</v>
      </c>
      <c r="G1948" s="12" t="s">
        <v>40</v>
      </c>
      <c r="H1948" s="11" t="s">
        <v>63</v>
      </c>
      <c r="I1948" s="13" t="s">
        <v>4357</v>
      </c>
      <c r="J1948" s="14" t="str">
        <f>HYPERLINK("https://www.boe.es/gazeta/dias/1839/01/16/pdfs/GMD-1839-1523.pdf#page=2","Abrir facsímil")</f>
        <v>Abrir facsímil</v>
      </c>
      <c r="K1948" s="12" t="s">
        <v>65</v>
      </c>
    </row>
    <row r="1949" spans="1:11" ht="40.049999999999997" customHeight="1" x14ac:dyDescent="0.25">
      <c r="A1949" s="11" t="s">
        <v>4351</v>
      </c>
      <c r="B1949" s="11" t="s">
        <v>4351</v>
      </c>
      <c r="C1949" s="11" t="s">
        <v>80</v>
      </c>
      <c r="D1949" s="11" t="s">
        <v>18</v>
      </c>
      <c r="E1949" s="12" t="s">
        <v>175</v>
      </c>
      <c r="F1949" s="12" t="s">
        <v>176</v>
      </c>
      <c r="G1949" s="12" t="s">
        <v>46</v>
      </c>
      <c r="H1949" s="11" t="s">
        <v>63</v>
      </c>
      <c r="I1949" s="13" t="s">
        <v>4358</v>
      </c>
      <c r="J1949" s="14" t="str">
        <f>HYPERLINK("https://www.boe.es/gazeta/dias/1839/01/16/pdfs/GMD-1839-1523.pdf#page=3","Abrir facsímil")</f>
        <v>Abrir facsímil</v>
      </c>
      <c r="K1949" s="12" t="s">
        <v>65</v>
      </c>
    </row>
    <row r="1950" spans="1:11" ht="40.049999999999997" customHeight="1" x14ac:dyDescent="0.25">
      <c r="A1950" s="11" t="s">
        <v>4359</v>
      </c>
      <c r="B1950" s="11" t="s">
        <v>4360</v>
      </c>
      <c r="C1950" s="11" t="s">
        <v>17</v>
      </c>
      <c r="D1950" s="11" t="s">
        <v>18</v>
      </c>
      <c r="E1950" s="12" t="s">
        <v>258</v>
      </c>
      <c r="F1950" s="12" t="s">
        <v>259</v>
      </c>
      <c r="G1950" s="12" t="s">
        <v>46</v>
      </c>
      <c r="H1950" s="11" t="s">
        <v>22</v>
      </c>
      <c r="I1950" s="13" t="s">
        <v>4361</v>
      </c>
      <c r="J1950" s="14" t="str">
        <f>HYPERLINK("https://www.boe.es/gazeta/dias/1839/01/02/pdfs/GMD-1839-1509.pdf#page=3","Abrir facsímil")</f>
        <v>Abrir facsímil</v>
      </c>
      <c r="K1950" s="12" t="s">
        <v>24</v>
      </c>
    </row>
    <row r="1951" spans="1:11" ht="40.049999999999997" customHeight="1" x14ac:dyDescent="0.25">
      <c r="A1951" s="11" t="s">
        <v>4362</v>
      </c>
      <c r="B1951" s="11" t="s">
        <v>4363</v>
      </c>
      <c r="C1951" s="11" t="s">
        <v>17</v>
      </c>
      <c r="D1951" s="11" t="s">
        <v>18</v>
      </c>
      <c r="E1951" s="12" t="s">
        <v>154</v>
      </c>
      <c r="F1951" s="12" t="s">
        <v>155</v>
      </c>
      <c r="G1951" s="12" t="s">
        <v>29</v>
      </c>
      <c r="H1951" s="11" t="s">
        <v>63</v>
      </c>
      <c r="I1951" s="13" t="s">
        <v>4364</v>
      </c>
      <c r="J1951" s="14" t="str">
        <f>HYPERLINK("https://www.boe.es/gazeta/dias/1839/02/02/pdfs/GMD-1839-1540.pdf#page=1","Abrir facsímil")</f>
        <v>Abrir facsímil</v>
      </c>
      <c r="K1951" s="12" t="s">
        <v>65</v>
      </c>
    </row>
    <row r="1952" spans="1:11" ht="40.049999999999997" customHeight="1" x14ac:dyDescent="0.25">
      <c r="A1952" s="11" t="s">
        <v>4365</v>
      </c>
      <c r="B1952" s="11" t="s">
        <v>4365</v>
      </c>
      <c r="C1952" s="11" t="s">
        <v>59</v>
      </c>
      <c r="D1952" s="11" t="s">
        <v>60</v>
      </c>
      <c r="E1952" s="12" t="s">
        <v>148</v>
      </c>
      <c r="F1952" s="12" t="s">
        <v>149</v>
      </c>
      <c r="G1952" s="12" t="s">
        <v>40</v>
      </c>
      <c r="H1952" s="11" t="s">
        <v>63</v>
      </c>
      <c r="I1952" s="13" t="s">
        <v>4366</v>
      </c>
      <c r="J1952" s="14" t="str">
        <f>HYPERLINK("https://www.boe.es/gazeta/dias/1839/07/16/pdfs/GMD-1839-1704.pdf#page=2","Abrir facsímil")</f>
        <v>Abrir facsímil</v>
      </c>
      <c r="K1952" s="12" t="s">
        <v>65</v>
      </c>
    </row>
    <row r="1953" spans="1:11" ht="40.049999999999997" customHeight="1" x14ac:dyDescent="0.25">
      <c r="A1953" s="11" t="s">
        <v>4367</v>
      </c>
      <c r="B1953" s="11" t="s">
        <v>4368</v>
      </c>
      <c r="C1953" s="11" t="s">
        <v>80</v>
      </c>
      <c r="D1953" s="11" t="s">
        <v>18</v>
      </c>
      <c r="E1953" s="12" t="s">
        <v>2021</v>
      </c>
      <c r="F1953" s="12" t="s">
        <v>2022</v>
      </c>
      <c r="G1953" s="12" t="s">
        <v>46</v>
      </c>
      <c r="H1953" s="11" t="s">
        <v>63</v>
      </c>
      <c r="I1953" s="13" t="s">
        <v>4369</v>
      </c>
      <c r="J1953" s="14" t="str">
        <f>HYPERLINK("https://www.boe.es/gazeta/dias/1839/02/17/pdfs/GMD-1839-1555.pdf#page=3","Abrir facsímil")</f>
        <v>Abrir facsímil</v>
      </c>
      <c r="K1953" s="12" t="s">
        <v>65</v>
      </c>
    </row>
    <row r="1954" spans="1:11" ht="40.049999999999997" customHeight="1" x14ac:dyDescent="0.25">
      <c r="A1954" s="11" t="s">
        <v>4370</v>
      </c>
      <c r="B1954" s="11" t="s">
        <v>4371</v>
      </c>
      <c r="C1954" s="11" t="s">
        <v>80</v>
      </c>
      <c r="D1954" s="11" t="s">
        <v>18</v>
      </c>
      <c r="E1954" s="12" t="s">
        <v>2491</v>
      </c>
      <c r="F1954" s="12" t="s">
        <v>2492</v>
      </c>
      <c r="G1954" s="12" t="s">
        <v>40</v>
      </c>
      <c r="H1954" s="11" t="s">
        <v>63</v>
      </c>
      <c r="I1954" s="13" t="s">
        <v>4372</v>
      </c>
      <c r="J1954" s="14" t="str">
        <f>HYPERLINK("https://www.boe.es/gazeta/dias/1839/05/01/pdfs/GMD-1839-1628.pdf#page=2","Abrir facsímil")</f>
        <v>Abrir facsímil</v>
      </c>
      <c r="K1954" s="12" t="s">
        <v>65</v>
      </c>
    </row>
    <row r="1955" spans="1:11" ht="40.049999999999997" customHeight="1" x14ac:dyDescent="0.25">
      <c r="A1955" s="11" t="s">
        <v>4373</v>
      </c>
      <c r="B1955" s="11" t="s">
        <v>4374</v>
      </c>
      <c r="C1955" s="11" t="s">
        <v>17</v>
      </c>
      <c r="D1955" s="11" t="s">
        <v>18</v>
      </c>
      <c r="E1955" s="12" t="s">
        <v>3236</v>
      </c>
      <c r="F1955" s="12" t="s">
        <v>3237</v>
      </c>
      <c r="G1955" s="12" t="s">
        <v>40</v>
      </c>
      <c r="H1955" s="11" t="s">
        <v>63</v>
      </c>
      <c r="I1955" s="13" t="s">
        <v>4375</v>
      </c>
      <c r="J1955" s="14" t="str">
        <f>HYPERLINK("https://www.boe.es/gazeta/dias/1839/12/03/pdfs/GMD-1839-1850.pdf#page=2","Abrir facsímil")</f>
        <v>Abrir facsímil</v>
      </c>
      <c r="K1955" s="12" t="s">
        <v>65</v>
      </c>
    </row>
    <row r="1956" spans="1:11" ht="40.049999999999997" customHeight="1" x14ac:dyDescent="0.25">
      <c r="A1956" s="11" t="s">
        <v>4376</v>
      </c>
      <c r="B1956" s="11" t="s">
        <v>4377</v>
      </c>
      <c r="C1956" s="11" t="s">
        <v>137</v>
      </c>
      <c r="D1956" s="11" t="s">
        <v>18</v>
      </c>
      <c r="E1956" s="12" t="s">
        <v>1749</v>
      </c>
      <c r="F1956" s="12" t="s">
        <v>1750</v>
      </c>
      <c r="G1956" s="12" t="s">
        <v>29</v>
      </c>
      <c r="H1956" s="11" t="s">
        <v>63</v>
      </c>
      <c r="I1956" s="13" t="s">
        <v>4378</v>
      </c>
      <c r="J1956" s="14" t="str">
        <f>HYPERLINK("https://www.boe.es/gazeta/dias/1839/06/28/pdfs/GMD-1839-1686.pdf#page=1","Abrir facsímil")</f>
        <v>Abrir facsímil</v>
      </c>
      <c r="K1956" s="12" t="s">
        <v>65</v>
      </c>
    </row>
    <row r="1957" spans="1:11" ht="40.049999999999997" customHeight="1" x14ac:dyDescent="0.25">
      <c r="A1957" s="11" t="s">
        <v>4379</v>
      </c>
      <c r="B1957" s="11" t="s">
        <v>4379</v>
      </c>
      <c r="C1957" s="11" t="s">
        <v>101</v>
      </c>
      <c r="D1957" s="11" t="s">
        <v>43</v>
      </c>
      <c r="E1957" s="12" t="s">
        <v>254</v>
      </c>
      <c r="F1957" s="12" t="s">
        <v>255</v>
      </c>
      <c r="G1957" s="12" t="s">
        <v>40</v>
      </c>
      <c r="H1957" s="11" t="s">
        <v>63</v>
      </c>
      <c r="I1957" s="13" t="s">
        <v>4380</v>
      </c>
      <c r="J1957" s="14" t="str">
        <f>HYPERLINK("https://www.boe.es/gazeta/dias/1839/09/12/pdfs/GMD-1839-1765.pdf#page=2","Abrir facsímil")</f>
        <v>Abrir facsímil</v>
      </c>
      <c r="K1957" s="12" t="s">
        <v>65</v>
      </c>
    </row>
    <row r="1958" spans="1:11" ht="40.049999999999997" customHeight="1" x14ac:dyDescent="0.25">
      <c r="A1958" s="11" t="s">
        <v>4381</v>
      </c>
      <c r="B1958" s="11" t="s">
        <v>4382</v>
      </c>
      <c r="C1958" s="11" t="s">
        <v>80</v>
      </c>
      <c r="D1958" s="11" t="s">
        <v>18</v>
      </c>
      <c r="E1958" s="12" t="s">
        <v>280</v>
      </c>
      <c r="F1958" s="12" t="s">
        <v>281</v>
      </c>
      <c r="G1958" s="12" t="s">
        <v>29</v>
      </c>
      <c r="H1958" s="11" t="s">
        <v>63</v>
      </c>
      <c r="I1958" s="13" t="s">
        <v>4383</v>
      </c>
      <c r="J1958" s="14" t="str">
        <f>HYPERLINK("https://www.boe.es/gazeta/dias/1839/08/21/pdfs/GMD-1839-1742.pdf#page=1","Abrir facsímil")</f>
        <v>Abrir facsímil</v>
      </c>
      <c r="K1958" s="12" t="s">
        <v>65</v>
      </c>
    </row>
    <row r="1959" spans="1:11" ht="40.049999999999997" customHeight="1" x14ac:dyDescent="0.25">
      <c r="A1959" s="11" t="s">
        <v>4381</v>
      </c>
      <c r="B1959" s="11" t="s">
        <v>4382</v>
      </c>
      <c r="C1959" s="11" t="s">
        <v>17</v>
      </c>
      <c r="D1959" s="11" t="s">
        <v>18</v>
      </c>
      <c r="E1959" s="12" t="s">
        <v>222</v>
      </c>
      <c r="F1959" s="12" t="s">
        <v>223</v>
      </c>
      <c r="G1959" s="12" t="s">
        <v>21</v>
      </c>
      <c r="H1959" s="11" t="s">
        <v>63</v>
      </c>
      <c r="I1959" s="13" t="s">
        <v>4384</v>
      </c>
      <c r="J1959" s="14" t="str">
        <f>HYPERLINK("https://www.boe.es/gazeta/dias/1839/06/22/pdfs/GMD-1839-1680.pdf#page=4","Abrir facsímil")</f>
        <v>Abrir facsímil</v>
      </c>
      <c r="K1959" s="12" t="s">
        <v>65</v>
      </c>
    </row>
    <row r="1960" spans="1:11" ht="40.049999999999997" customHeight="1" x14ac:dyDescent="0.25">
      <c r="A1960" s="11" t="s">
        <v>4385</v>
      </c>
      <c r="B1960" s="11" t="s">
        <v>4385</v>
      </c>
      <c r="C1960" s="11" t="s">
        <v>17</v>
      </c>
      <c r="D1960" s="11" t="s">
        <v>18</v>
      </c>
      <c r="E1960" s="12" t="s">
        <v>1391</v>
      </c>
      <c r="F1960" s="12" t="s">
        <v>1392</v>
      </c>
      <c r="G1960" s="12" t="s">
        <v>21</v>
      </c>
      <c r="H1960" s="11" t="s">
        <v>63</v>
      </c>
      <c r="I1960" s="13" t="s">
        <v>4386</v>
      </c>
      <c r="J1960" s="14" t="str">
        <f>HYPERLINK("https://www.boe.es/gazeta/dias/1839/05/12/pdfs/GMD-1839-1639.pdf#page=4","Abrir facsímil")</f>
        <v>Abrir facsímil</v>
      </c>
      <c r="K1960" s="12" t="s">
        <v>65</v>
      </c>
    </row>
    <row r="1961" spans="1:11" ht="40.049999999999997" customHeight="1" x14ac:dyDescent="0.25">
      <c r="A1961" s="11" t="s">
        <v>4385</v>
      </c>
      <c r="B1961" s="11" t="s">
        <v>4385</v>
      </c>
      <c r="C1961" s="11" t="s">
        <v>17</v>
      </c>
      <c r="D1961" s="11" t="s">
        <v>18</v>
      </c>
      <c r="E1961" s="12" t="s">
        <v>888</v>
      </c>
      <c r="F1961" s="12" t="s">
        <v>889</v>
      </c>
      <c r="G1961" s="12" t="s">
        <v>21</v>
      </c>
      <c r="H1961" s="11" t="s">
        <v>63</v>
      </c>
      <c r="I1961" s="13" t="s">
        <v>4387</v>
      </c>
      <c r="J1961" s="14" t="str">
        <f>HYPERLINK("https://www.boe.es/gazeta/dias/1839/05/14/pdfs/GMD-1839-1641.pdf#page=4","Abrir facsímil")</f>
        <v>Abrir facsímil</v>
      </c>
      <c r="K1961" s="12" t="s">
        <v>65</v>
      </c>
    </row>
    <row r="1962" spans="1:11" ht="40.049999999999997" customHeight="1" x14ac:dyDescent="0.25">
      <c r="A1962" s="11" t="s">
        <v>4385</v>
      </c>
      <c r="B1962" s="11" t="s">
        <v>4385</v>
      </c>
      <c r="C1962" s="11" t="s">
        <v>80</v>
      </c>
      <c r="D1962" s="11" t="s">
        <v>18</v>
      </c>
      <c r="E1962" s="12" t="s">
        <v>3114</v>
      </c>
      <c r="F1962" s="12" t="s">
        <v>3115</v>
      </c>
      <c r="G1962" s="12" t="s">
        <v>21</v>
      </c>
      <c r="H1962" s="11" t="s">
        <v>63</v>
      </c>
      <c r="I1962" s="13" t="s">
        <v>4388</v>
      </c>
      <c r="J1962" s="14" t="str">
        <f>HYPERLINK("https://www.boe.es/gazeta/dias/1839/05/15/pdfs/GMD-1839-1642.pdf#page=4","Abrir facsímil")</f>
        <v>Abrir facsímil</v>
      </c>
      <c r="K1962" s="12" t="s">
        <v>65</v>
      </c>
    </row>
    <row r="1963" spans="1:11" ht="40.049999999999997" customHeight="1" x14ac:dyDescent="0.25">
      <c r="A1963" s="11" t="s">
        <v>4385</v>
      </c>
      <c r="B1963" s="11" t="s">
        <v>4385</v>
      </c>
      <c r="C1963" s="11" t="s">
        <v>17</v>
      </c>
      <c r="D1963" s="11" t="s">
        <v>18</v>
      </c>
      <c r="E1963" s="12" t="s">
        <v>2851</v>
      </c>
      <c r="F1963" s="12" t="s">
        <v>2852</v>
      </c>
      <c r="G1963" s="12" t="s">
        <v>21</v>
      </c>
      <c r="H1963" s="11" t="s">
        <v>63</v>
      </c>
      <c r="I1963" s="13" t="s">
        <v>4389</v>
      </c>
      <c r="J1963" s="14" t="str">
        <f>HYPERLINK("https://www.boe.es/gazeta/dias/1839/05/16/pdfs/GMD-1839-1643.pdf#page=4","Abrir facsímil")</f>
        <v>Abrir facsímil</v>
      </c>
      <c r="K1963" s="12" t="s">
        <v>65</v>
      </c>
    </row>
    <row r="1964" spans="1:11" ht="40.049999999999997" customHeight="1" x14ac:dyDescent="0.25">
      <c r="A1964" s="11" t="s">
        <v>4385</v>
      </c>
      <c r="B1964" s="11" t="s">
        <v>4385</v>
      </c>
      <c r="C1964" s="11" t="s">
        <v>80</v>
      </c>
      <c r="D1964" s="11" t="s">
        <v>18</v>
      </c>
      <c r="E1964" s="12" t="s">
        <v>1183</v>
      </c>
      <c r="F1964" s="12" t="s">
        <v>1184</v>
      </c>
      <c r="G1964" s="12" t="s">
        <v>21</v>
      </c>
      <c r="H1964" s="11" t="s">
        <v>63</v>
      </c>
      <c r="I1964" s="13" t="s">
        <v>4390</v>
      </c>
      <c r="J1964" s="14" t="str">
        <f>HYPERLINK("https://www.boe.es/gazeta/dias/1839/07/26/pdfs/GMD-1839-1715.pdf#page=4","Abrir facsímil")</f>
        <v>Abrir facsímil</v>
      </c>
      <c r="K1964" s="12" t="s">
        <v>65</v>
      </c>
    </row>
    <row r="1965" spans="1:11" ht="40.049999999999997" customHeight="1" x14ac:dyDescent="0.25">
      <c r="A1965" s="11" t="s">
        <v>4391</v>
      </c>
      <c r="B1965" s="11" t="s">
        <v>4392</v>
      </c>
      <c r="C1965" s="11" t="s">
        <v>59</v>
      </c>
      <c r="D1965" s="11" t="s">
        <v>60</v>
      </c>
      <c r="E1965" s="12" t="s">
        <v>3668</v>
      </c>
      <c r="F1965" s="12" t="s">
        <v>3669</v>
      </c>
      <c r="G1965" s="12" t="s">
        <v>29</v>
      </c>
      <c r="H1965" s="11" t="s">
        <v>63</v>
      </c>
      <c r="I1965" s="13" t="s">
        <v>4393</v>
      </c>
      <c r="J1965" s="14" t="str">
        <f>HYPERLINK("https://www.boe.es/gazeta/dias/1839/05/19/pdfs/GMD-1839-1646.pdf#page=1","Abrir facsímil")</f>
        <v>Abrir facsímil</v>
      </c>
      <c r="K1965" s="12" t="s">
        <v>65</v>
      </c>
    </row>
    <row r="1966" spans="1:11" ht="40.049999999999997" customHeight="1" x14ac:dyDescent="0.25">
      <c r="A1966" s="11" t="s">
        <v>4394</v>
      </c>
      <c r="B1966" s="11" t="s">
        <v>4395</v>
      </c>
      <c r="C1966" s="11" t="s">
        <v>17</v>
      </c>
      <c r="D1966" s="11" t="s">
        <v>18</v>
      </c>
      <c r="E1966" s="12" t="s">
        <v>68</v>
      </c>
      <c r="F1966" s="12" t="s">
        <v>69</v>
      </c>
      <c r="G1966" s="12" t="s">
        <v>29</v>
      </c>
      <c r="H1966" s="11" t="s">
        <v>63</v>
      </c>
      <c r="I1966" s="13" t="s">
        <v>4396</v>
      </c>
      <c r="J1966" s="14" t="str">
        <f>HYPERLINK("https://www.boe.es/gazeta/dias/1839/02/09/pdfs/GMD-1839-1547.pdf#page=1","Abrir facsímil")</f>
        <v>Abrir facsímil</v>
      </c>
      <c r="K1966" s="12" t="s">
        <v>65</v>
      </c>
    </row>
    <row r="1967" spans="1:11" ht="40.049999999999997" customHeight="1" x14ac:dyDescent="0.25">
      <c r="A1967" s="11" t="s">
        <v>4397</v>
      </c>
      <c r="B1967" s="11" t="s">
        <v>4398</v>
      </c>
      <c r="C1967" s="11" t="s">
        <v>17</v>
      </c>
      <c r="D1967" s="11" t="s">
        <v>18</v>
      </c>
      <c r="E1967" s="12" t="s">
        <v>94</v>
      </c>
      <c r="F1967" s="12" t="s">
        <v>95</v>
      </c>
      <c r="G1967" s="12" t="s">
        <v>21</v>
      </c>
      <c r="H1967" s="11" t="s">
        <v>63</v>
      </c>
      <c r="I1967" s="13" t="s">
        <v>4399</v>
      </c>
      <c r="J1967" s="14" t="str">
        <f>HYPERLINK("https://www.boe.es/gazeta/dias/1839/02/24/pdfs/GMD-1839-1562.pdf#page=4","Abrir facsímil")</f>
        <v>Abrir facsímil</v>
      </c>
      <c r="K1967" s="12" t="s">
        <v>65</v>
      </c>
    </row>
    <row r="1968" spans="1:11" ht="40.049999999999997" customHeight="1" x14ac:dyDescent="0.25">
      <c r="A1968" s="11" t="s">
        <v>4400</v>
      </c>
      <c r="B1968" s="11" t="s">
        <v>4400</v>
      </c>
      <c r="C1968" s="11" t="s">
        <v>80</v>
      </c>
      <c r="D1968" s="11" t="s">
        <v>18</v>
      </c>
      <c r="E1968" s="12" t="s">
        <v>798</v>
      </c>
      <c r="F1968" s="12" t="s">
        <v>799</v>
      </c>
      <c r="G1968" s="12" t="s">
        <v>40</v>
      </c>
      <c r="H1968" s="11" t="s">
        <v>63</v>
      </c>
      <c r="I1968" s="13" t="s">
        <v>4401</v>
      </c>
      <c r="J1968" s="14" t="str">
        <f>HYPERLINK("https://www.boe.es/gazeta/dias/1839/09/03/pdfs/GMD-1839-1755.pdf#page=2","Abrir facsímil")</f>
        <v>Abrir facsímil</v>
      </c>
      <c r="K1968" s="12" t="s">
        <v>65</v>
      </c>
    </row>
    <row r="1969" spans="1:11" ht="40.049999999999997" customHeight="1" x14ac:dyDescent="0.25">
      <c r="A1969" s="11" t="s">
        <v>4402</v>
      </c>
      <c r="B1969" s="11" t="s">
        <v>4402</v>
      </c>
      <c r="C1969" s="11" t="s">
        <v>137</v>
      </c>
      <c r="D1969" s="11" t="s">
        <v>18</v>
      </c>
      <c r="E1969" s="12" t="s">
        <v>116</v>
      </c>
      <c r="F1969" s="12" t="s">
        <v>117</v>
      </c>
      <c r="G1969" s="12" t="s">
        <v>40</v>
      </c>
      <c r="H1969" s="11" t="s">
        <v>63</v>
      </c>
      <c r="I1969" s="13" t="s">
        <v>4403</v>
      </c>
      <c r="J1969" s="14" t="str">
        <f>HYPERLINK("https://www.boe.es/gazeta/dias/1839/10/10/pdfs/GMD-1839-1796.pdf#page=2","Abrir facsímil")</f>
        <v>Abrir facsímil</v>
      </c>
      <c r="K1969" s="12" t="s">
        <v>65</v>
      </c>
    </row>
    <row r="1970" spans="1:11" ht="40.049999999999997" customHeight="1" x14ac:dyDescent="0.25">
      <c r="A1970" s="11" t="s">
        <v>4404</v>
      </c>
      <c r="B1970" s="11" t="s">
        <v>4405</v>
      </c>
      <c r="C1970" s="11" t="s">
        <v>59</v>
      </c>
      <c r="D1970" s="11" t="s">
        <v>60</v>
      </c>
      <c r="E1970" s="12" t="s">
        <v>1395</v>
      </c>
      <c r="F1970" s="12" t="s">
        <v>1396</v>
      </c>
      <c r="G1970" s="12" t="s">
        <v>29</v>
      </c>
      <c r="H1970" s="11" t="s">
        <v>63</v>
      </c>
      <c r="I1970" s="13" t="s">
        <v>4406</v>
      </c>
      <c r="J1970" s="14" t="str">
        <f>HYPERLINK("https://www.boe.es/gazeta/dias/1839/06/26/pdfs/GMD-1839-1684.pdf#page=1","Abrir facsímil")</f>
        <v>Abrir facsímil</v>
      </c>
      <c r="K1970" s="12" t="s">
        <v>65</v>
      </c>
    </row>
    <row r="1971" spans="1:11" ht="40.049999999999997" customHeight="1" x14ac:dyDescent="0.25">
      <c r="A1971" s="11" t="s">
        <v>4407</v>
      </c>
      <c r="B1971" s="11" t="s">
        <v>4408</v>
      </c>
      <c r="C1971" s="11" t="s">
        <v>17</v>
      </c>
      <c r="D1971" s="11" t="s">
        <v>18</v>
      </c>
      <c r="E1971" s="12" t="s">
        <v>519</v>
      </c>
      <c r="F1971" s="12" t="s">
        <v>520</v>
      </c>
      <c r="G1971" s="12" t="s">
        <v>21</v>
      </c>
      <c r="H1971" s="11" t="s">
        <v>22</v>
      </c>
      <c r="I1971" s="13" t="s">
        <v>4409</v>
      </c>
      <c r="J1971" s="14" t="str">
        <f>HYPERLINK("https://www.boe.es/gazeta/dias/1839/02/23/pdfs/GMD-1839-1561.pdf#page=4","Abrir facsímil")</f>
        <v>Abrir facsímil</v>
      </c>
      <c r="K1971" s="12" t="s">
        <v>24</v>
      </c>
    </row>
    <row r="1972" spans="1:11" ht="40.049999999999997" customHeight="1" x14ac:dyDescent="0.25">
      <c r="A1972" s="11" t="s">
        <v>4410</v>
      </c>
      <c r="B1972" s="11" t="s">
        <v>4411</v>
      </c>
      <c r="C1972" s="11" t="s">
        <v>59</v>
      </c>
      <c r="D1972" s="11" t="s">
        <v>60</v>
      </c>
      <c r="E1972" s="12" t="s">
        <v>489</v>
      </c>
      <c r="F1972" s="12" t="s">
        <v>490</v>
      </c>
      <c r="G1972" s="12" t="s">
        <v>29</v>
      </c>
      <c r="H1972" s="11" t="s">
        <v>63</v>
      </c>
      <c r="I1972" s="13" t="s">
        <v>4412</v>
      </c>
      <c r="J1972" s="14" t="str">
        <f>HYPERLINK("https://www.boe.es/gazeta/dias/1839/06/29/pdfs/GMD-1839-1687.pdf#page=1","Abrir facsímil")</f>
        <v>Abrir facsímil</v>
      </c>
      <c r="K1972" s="12" t="s">
        <v>65</v>
      </c>
    </row>
    <row r="1973" spans="1:11" ht="40.049999999999997" customHeight="1" x14ac:dyDescent="0.25">
      <c r="A1973" s="11" t="s">
        <v>4413</v>
      </c>
      <c r="B1973" s="11" t="s">
        <v>4414</v>
      </c>
      <c r="C1973" s="11" t="s">
        <v>17</v>
      </c>
      <c r="D1973" s="11" t="s">
        <v>18</v>
      </c>
      <c r="E1973" s="12" t="s">
        <v>243</v>
      </c>
      <c r="F1973" s="12" t="s">
        <v>244</v>
      </c>
      <c r="G1973" s="12" t="s">
        <v>46</v>
      </c>
      <c r="H1973" s="11" t="s">
        <v>22</v>
      </c>
      <c r="I1973" s="13" t="s">
        <v>4415</v>
      </c>
      <c r="J1973" s="14" t="str">
        <f>HYPERLINK("https://www.boe.es/gazeta/dias/1839/09/23/pdfs/GMD-1839-1779.pdf#page=3","Abrir facsímil")</f>
        <v>Abrir facsímil</v>
      </c>
      <c r="K1973" s="12" t="s">
        <v>24</v>
      </c>
    </row>
    <row r="1974" spans="1:11" ht="40.049999999999997" customHeight="1" x14ac:dyDescent="0.25">
      <c r="A1974" s="11" t="s">
        <v>4416</v>
      </c>
      <c r="B1974" s="11" t="s">
        <v>4417</v>
      </c>
      <c r="C1974" s="11" t="s">
        <v>17</v>
      </c>
      <c r="D1974" s="11" t="s">
        <v>18</v>
      </c>
      <c r="E1974" s="12" t="s">
        <v>474</v>
      </c>
      <c r="F1974" s="12" t="s">
        <v>475</v>
      </c>
      <c r="G1974" s="12" t="s">
        <v>46</v>
      </c>
      <c r="H1974" s="11" t="s">
        <v>63</v>
      </c>
      <c r="I1974" s="13" t="s">
        <v>4418</v>
      </c>
      <c r="J1974" s="14" t="str">
        <f>HYPERLINK("https://www.boe.es/gazeta/dias/1839/03/31/pdfs/GMD-1839-1597.pdf#page=3","Abrir facsímil")</f>
        <v>Abrir facsímil</v>
      </c>
      <c r="K1974" s="12" t="s">
        <v>65</v>
      </c>
    </row>
    <row r="1975" spans="1:11" ht="40.049999999999997" customHeight="1" x14ac:dyDescent="0.25">
      <c r="A1975" s="11" t="s">
        <v>4419</v>
      </c>
      <c r="B1975" s="11" t="s">
        <v>4420</v>
      </c>
      <c r="C1975" s="11" t="s">
        <v>17</v>
      </c>
      <c r="D1975" s="11" t="s">
        <v>18</v>
      </c>
      <c r="E1975" s="12" t="s">
        <v>84</v>
      </c>
      <c r="F1975" s="12" t="s">
        <v>85</v>
      </c>
      <c r="G1975" s="12" t="s">
        <v>29</v>
      </c>
      <c r="H1975" s="11" t="s">
        <v>63</v>
      </c>
      <c r="I1975" s="13" t="s">
        <v>4421</v>
      </c>
      <c r="J1975" s="14" t="str">
        <f>HYPERLINK("https://www.boe.es/gazeta/dias/1839/03/11/pdfs/GMD-1839-1577.pdf#page=1","Abrir facsímil")</f>
        <v>Abrir facsímil</v>
      </c>
      <c r="K1975" s="12" t="s">
        <v>65</v>
      </c>
    </row>
    <row r="1976" spans="1:11" ht="40.049999999999997" customHeight="1" x14ac:dyDescent="0.25">
      <c r="A1976" s="11" t="s">
        <v>4422</v>
      </c>
      <c r="B1976" s="11" t="s">
        <v>4422</v>
      </c>
      <c r="C1976" s="11" t="s">
        <v>17</v>
      </c>
      <c r="D1976" s="11" t="s">
        <v>18</v>
      </c>
      <c r="E1976" s="12" t="s">
        <v>496</v>
      </c>
      <c r="F1976" s="12" t="s">
        <v>497</v>
      </c>
      <c r="G1976" s="12" t="s">
        <v>46</v>
      </c>
      <c r="H1976" s="11" t="s">
        <v>63</v>
      </c>
      <c r="I1976" s="13" t="s">
        <v>4423</v>
      </c>
      <c r="J1976" s="14" t="str">
        <f>HYPERLINK("https://www.boe.es/gazeta/dias/1839/11/23/pdfs/GMD-1839-1840.pdf#page=3","Abrir facsímil")</f>
        <v>Abrir facsímil</v>
      </c>
      <c r="K1976" s="12" t="s">
        <v>65</v>
      </c>
    </row>
    <row r="1977" spans="1:11" ht="40.049999999999997" customHeight="1" x14ac:dyDescent="0.25">
      <c r="A1977" s="11" t="s">
        <v>4424</v>
      </c>
      <c r="B1977" s="11" t="s">
        <v>4424</v>
      </c>
      <c r="C1977" s="11" t="s">
        <v>17</v>
      </c>
      <c r="D1977" s="11" t="s">
        <v>18</v>
      </c>
      <c r="E1977" s="12" t="s">
        <v>246</v>
      </c>
      <c r="F1977" s="12" t="s">
        <v>247</v>
      </c>
      <c r="G1977" s="12" t="s">
        <v>21</v>
      </c>
      <c r="H1977" s="11" t="s">
        <v>63</v>
      </c>
      <c r="I1977" s="13" t="s">
        <v>4425</v>
      </c>
      <c r="J1977" s="14" t="str">
        <f>HYPERLINK("https://www.boe.es/gazeta/dias/1839/11/24/pdfs/GMD-1839-1841.pdf#page=4","Abrir facsímil")</f>
        <v>Abrir facsímil</v>
      </c>
      <c r="K1977" s="12" t="s">
        <v>65</v>
      </c>
    </row>
    <row r="1978" spans="1:11" ht="40.049999999999997" customHeight="1" x14ac:dyDescent="0.25">
      <c r="A1978" s="11" t="s">
        <v>4426</v>
      </c>
      <c r="B1978" s="11" t="s">
        <v>4427</v>
      </c>
      <c r="C1978" s="11" t="s">
        <v>17</v>
      </c>
      <c r="D1978" s="11" t="s">
        <v>18</v>
      </c>
      <c r="E1978" s="12" t="s">
        <v>984</v>
      </c>
      <c r="F1978" s="12" t="s">
        <v>985</v>
      </c>
      <c r="G1978" s="12" t="s">
        <v>46</v>
      </c>
      <c r="H1978" s="11" t="s">
        <v>63</v>
      </c>
      <c r="I1978" s="13" t="s">
        <v>4428</v>
      </c>
      <c r="J1978" s="14" t="str">
        <f>HYPERLINK("https://www.boe.es/gazeta/dias/1839/04/10/pdfs/GMD-1839-1607.pdf#page=3","Abrir facsímil")</f>
        <v>Abrir facsímil</v>
      </c>
      <c r="K1978" s="12" t="s">
        <v>65</v>
      </c>
    </row>
    <row r="1979" spans="1:11" ht="40.049999999999997" customHeight="1" x14ac:dyDescent="0.25">
      <c r="A1979" s="11" t="s">
        <v>4429</v>
      </c>
      <c r="B1979" s="11" t="s">
        <v>4429</v>
      </c>
      <c r="C1979" s="11" t="s">
        <v>17</v>
      </c>
      <c r="D1979" s="11" t="s">
        <v>18</v>
      </c>
      <c r="E1979" s="12" t="s">
        <v>2507</v>
      </c>
      <c r="F1979" s="12" t="s">
        <v>2508</v>
      </c>
      <c r="G1979" s="12" t="s">
        <v>29</v>
      </c>
      <c r="H1979" s="11" t="s">
        <v>63</v>
      </c>
      <c r="I1979" s="13" t="s">
        <v>4430</v>
      </c>
      <c r="J1979" s="14" t="str">
        <f>HYPERLINK("https://www.boe.es/gazeta/dias/1839/03/08/pdfs/GMD-1839-1574.pdf#page=1","Abrir facsímil")</f>
        <v>Abrir facsímil</v>
      </c>
      <c r="K1979" s="12" t="s">
        <v>65</v>
      </c>
    </row>
    <row r="1980" spans="1:11" ht="40.049999999999997" customHeight="1" x14ac:dyDescent="0.25">
      <c r="A1980" s="11" t="s">
        <v>4431</v>
      </c>
      <c r="B1980" s="11" t="s">
        <v>4431</v>
      </c>
      <c r="C1980" s="11" t="s">
        <v>101</v>
      </c>
      <c r="D1980" s="11" t="s">
        <v>43</v>
      </c>
      <c r="E1980" s="12" t="s">
        <v>269</v>
      </c>
      <c r="F1980" s="12" t="s">
        <v>270</v>
      </c>
      <c r="G1980" s="12" t="s">
        <v>46</v>
      </c>
      <c r="H1980" s="11" t="s">
        <v>63</v>
      </c>
      <c r="I1980" s="13" t="s">
        <v>4432</v>
      </c>
      <c r="J1980" s="14" t="str">
        <f>HYPERLINK("https://www.boe.es/gazeta/dias/1839/02/10/pdfs/GMD-1839-1548.pdf#page=3","Abrir facsímil")</f>
        <v>Abrir facsímil</v>
      </c>
      <c r="K1980" s="12" t="s">
        <v>65</v>
      </c>
    </row>
    <row r="1981" spans="1:11" ht="40.049999999999997" customHeight="1" x14ac:dyDescent="0.25">
      <c r="A1981" s="11" t="s">
        <v>4433</v>
      </c>
      <c r="B1981" s="11" t="s">
        <v>4434</v>
      </c>
      <c r="C1981" s="11" t="s">
        <v>17</v>
      </c>
      <c r="D1981" s="11" t="s">
        <v>18</v>
      </c>
      <c r="E1981" s="12" t="s">
        <v>2881</v>
      </c>
      <c r="F1981" s="12" t="s">
        <v>2882</v>
      </c>
      <c r="G1981" s="12" t="s">
        <v>40</v>
      </c>
      <c r="H1981" s="11" t="s">
        <v>63</v>
      </c>
      <c r="I1981" s="13" t="s">
        <v>4435</v>
      </c>
      <c r="J1981" s="14" t="str">
        <f>HYPERLINK("https://www.boe.es/gazeta/dias/1839/05/08/pdfs/GMD-1839-1635.pdf#page=2","Abrir facsímil")</f>
        <v>Abrir facsímil</v>
      </c>
      <c r="K1981" s="12" t="s">
        <v>65</v>
      </c>
    </row>
    <row r="1982" spans="1:11" ht="40.049999999999997" customHeight="1" x14ac:dyDescent="0.25">
      <c r="A1982" s="11" t="s">
        <v>4436</v>
      </c>
      <c r="B1982" s="11" t="s">
        <v>4436</v>
      </c>
      <c r="C1982" s="11" t="s">
        <v>17</v>
      </c>
      <c r="D1982" s="11" t="s">
        <v>18</v>
      </c>
      <c r="E1982" s="12" t="s">
        <v>2463</v>
      </c>
      <c r="F1982" s="12" t="s">
        <v>2464</v>
      </c>
      <c r="G1982" s="12" t="s">
        <v>21</v>
      </c>
      <c r="H1982" s="11" t="s">
        <v>63</v>
      </c>
      <c r="I1982" s="13" t="s">
        <v>4437</v>
      </c>
      <c r="J1982" s="14" t="str">
        <f>HYPERLINK("https://www.boe.es/gazeta/dias/1839/04/26/pdfs/GMD-1839-1623.pdf#page=4","Abrir facsímil")</f>
        <v>Abrir facsímil</v>
      </c>
      <c r="K1982" s="12" t="s">
        <v>65</v>
      </c>
    </row>
    <row r="1983" spans="1:11" ht="40.049999999999997" customHeight="1" x14ac:dyDescent="0.25">
      <c r="A1983" s="11" t="s">
        <v>4438</v>
      </c>
      <c r="B1983" s="11" t="s">
        <v>4439</v>
      </c>
      <c r="C1983" s="11" t="s">
        <v>17</v>
      </c>
      <c r="D1983" s="11" t="s">
        <v>18</v>
      </c>
      <c r="E1983" s="12" t="s">
        <v>2507</v>
      </c>
      <c r="F1983" s="12" t="s">
        <v>2508</v>
      </c>
      <c r="G1983" s="12" t="s">
        <v>29</v>
      </c>
      <c r="H1983" s="11" t="s">
        <v>63</v>
      </c>
      <c r="I1983" s="13" t="s">
        <v>4440</v>
      </c>
      <c r="J1983" s="14" t="str">
        <f>HYPERLINK("https://www.boe.es/gazeta/dias/1839/03/08/pdfs/GMD-1839-1574.pdf#page=1","Abrir facsímil")</f>
        <v>Abrir facsímil</v>
      </c>
      <c r="K1983" s="12" t="s">
        <v>65</v>
      </c>
    </row>
    <row r="1984" spans="1:11" ht="40.049999999999997" customHeight="1" x14ac:dyDescent="0.25">
      <c r="A1984" s="11" t="s">
        <v>4441</v>
      </c>
      <c r="B1984" s="11" t="s">
        <v>4442</v>
      </c>
      <c r="C1984" s="11" t="s">
        <v>137</v>
      </c>
      <c r="D1984" s="11" t="s">
        <v>18</v>
      </c>
      <c r="E1984" s="12" t="s">
        <v>677</v>
      </c>
      <c r="F1984" s="12" t="s">
        <v>678</v>
      </c>
      <c r="G1984" s="12" t="s">
        <v>21</v>
      </c>
      <c r="H1984" s="11" t="s">
        <v>63</v>
      </c>
      <c r="I1984" s="13" t="s">
        <v>4443</v>
      </c>
      <c r="J1984" s="14" t="str">
        <f>HYPERLINK("https://www.boe.es/gazeta/dias/1839/04/28/pdfs/GMD-1839-1625.pdf#page=4","Abrir facsímil")</f>
        <v>Abrir facsímil</v>
      </c>
      <c r="K1984" s="12" t="s">
        <v>65</v>
      </c>
    </row>
    <row r="1985" spans="1:11" ht="40.049999999999997" customHeight="1" x14ac:dyDescent="0.25">
      <c r="A1985" s="11" t="s">
        <v>4444</v>
      </c>
      <c r="B1985" s="11" t="s">
        <v>4445</v>
      </c>
      <c r="C1985" s="11" t="s">
        <v>17</v>
      </c>
      <c r="D1985" s="11" t="s">
        <v>18</v>
      </c>
      <c r="E1985" s="12" t="s">
        <v>94</v>
      </c>
      <c r="F1985" s="12" t="s">
        <v>95</v>
      </c>
      <c r="G1985" s="12" t="s">
        <v>21</v>
      </c>
      <c r="H1985" s="11" t="s">
        <v>63</v>
      </c>
      <c r="I1985" s="13" t="s">
        <v>4446</v>
      </c>
      <c r="J1985" s="14" t="str">
        <f>HYPERLINK("https://www.boe.es/gazeta/dias/1839/02/24/pdfs/GMD-1839-1562.pdf#page=4","Abrir facsímil")</f>
        <v>Abrir facsímil</v>
      </c>
      <c r="K1985" s="12" t="s">
        <v>65</v>
      </c>
    </row>
    <row r="1986" spans="1:11" ht="40.049999999999997" customHeight="1" x14ac:dyDescent="0.25">
      <c r="A1986" s="11" t="s">
        <v>4447</v>
      </c>
      <c r="B1986" s="11" t="s">
        <v>4447</v>
      </c>
      <c r="C1986" s="11" t="s">
        <v>17</v>
      </c>
      <c r="D1986" s="11" t="s">
        <v>18</v>
      </c>
      <c r="E1986" s="12" t="s">
        <v>266</v>
      </c>
      <c r="F1986" s="12" t="s">
        <v>267</v>
      </c>
      <c r="G1986" s="12" t="s">
        <v>40</v>
      </c>
      <c r="H1986" s="11" t="s">
        <v>63</v>
      </c>
      <c r="I1986" s="13" t="s">
        <v>4448</v>
      </c>
      <c r="J1986" s="14" t="str">
        <f>HYPERLINK("https://www.boe.es/gazeta/dias/1839/01/03/pdfs/GMD-1839-1510.pdf#page=2","Abrir facsímil")</f>
        <v>Abrir facsímil</v>
      </c>
      <c r="K1986" s="12" t="s">
        <v>65</v>
      </c>
    </row>
    <row r="1987" spans="1:11" ht="40.049999999999997" customHeight="1" x14ac:dyDescent="0.25">
      <c r="A1987" s="11" t="s">
        <v>4449</v>
      </c>
      <c r="B1987" s="11" t="s">
        <v>4450</v>
      </c>
      <c r="C1987" s="11" t="s">
        <v>101</v>
      </c>
      <c r="D1987" s="11" t="s">
        <v>102</v>
      </c>
      <c r="E1987" s="12" t="s">
        <v>4451</v>
      </c>
      <c r="F1987" s="12" t="s">
        <v>4452</v>
      </c>
      <c r="G1987" s="12" t="s">
        <v>21</v>
      </c>
      <c r="H1987" s="11" t="s">
        <v>63</v>
      </c>
      <c r="I1987" s="13" t="s">
        <v>4453</v>
      </c>
      <c r="J1987" s="14" t="str">
        <f>HYPERLINK("https://www.boe.es/gazeta/dias/1839/12/02/pdfs/GMD-1839-1849.pdf#page=4","Abrir facsímil")</f>
        <v>Abrir facsímil</v>
      </c>
      <c r="K1987" s="12" t="s">
        <v>65</v>
      </c>
    </row>
    <row r="1988" spans="1:11" ht="40.049999999999997" customHeight="1" x14ac:dyDescent="0.25">
      <c r="A1988" s="11" t="s">
        <v>4454</v>
      </c>
      <c r="B1988" s="11" t="s">
        <v>4454</v>
      </c>
      <c r="C1988" s="11" t="s">
        <v>17</v>
      </c>
      <c r="D1988" s="11" t="s">
        <v>18</v>
      </c>
      <c r="E1988" s="12" t="s">
        <v>821</v>
      </c>
      <c r="F1988" s="12" t="s">
        <v>822</v>
      </c>
      <c r="G1988" s="12" t="s">
        <v>46</v>
      </c>
      <c r="H1988" s="11" t="s">
        <v>63</v>
      </c>
      <c r="I1988" s="13" t="s">
        <v>4455</v>
      </c>
      <c r="J1988" s="14" t="str">
        <f>HYPERLINK("https://www.boe.es/gazeta/dias/1839/09/20/pdfs/GMD-1839-1775.pdf#page=3","Abrir facsímil")</f>
        <v>Abrir facsímil</v>
      </c>
      <c r="K1988" s="12" t="s">
        <v>65</v>
      </c>
    </row>
    <row r="1989" spans="1:11" ht="40.049999999999997" customHeight="1" x14ac:dyDescent="0.25">
      <c r="A1989" s="11" t="s">
        <v>4456</v>
      </c>
      <c r="B1989" s="11" t="s">
        <v>4457</v>
      </c>
      <c r="C1989" s="11" t="s">
        <v>59</v>
      </c>
      <c r="D1989" s="11" t="s">
        <v>60</v>
      </c>
      <c r="E1989" s="12" t="s">
        <v>462</v>
      </c>
      <c r="F1989" s="12" t="s">
        <v>463</v>
      </c>
      <c r="G1989" s="12" t="s">
        <v>46</v>
      </c>
      <c r="H1989" s="11" t="s">
        <v>22</v>
      </c>
      <c r="I1989" s="13" t="s">
        <v>4458</v>
      </c>
      <c r="J1989" s="14" t="str">
        <f>HYPERLINK("https://www.boe.es/gazeta/dias/1839/06/19/pdfs/GMD-1839-1677.pdf#page=3","Abrir facsímil")</f>
        <v>Abrir facsímil</v>
      </c>
      <c r="K1989" s="12" t="s">
        <v>24</v>
      </c>
    </row>
    <row r="1990" spans="1:11" ht="40.049999999999997" customHeight="1" x14ac:dyDescent="0.25">
      <c r="A1990" s="11" t="s">
        <v>4459</v>
      </c>
      <c r="B1990" s="11" t="s">
        <v>4459</v>
      </c>
      <c r="C1990" s="11" t="s">
        <v>17</v>
      </c>
      <c r="D1990" s="11" t="s">
        <v>18</v>
      </c>
      <c r="E1990" s="12" t="s">
        <v>770</v>
      </c>
      <c r="F1990" s="12" t="s">
        <v>771</v>
      </c>
      <c r="G1990" s="12" t="s">
        <v>46</v>
      </c>
      <c r="H1990" s="11" t="s">
        <v>63</v>
      </c>
      <c r="I1990" s="13" t="s">
        <v>4460</v>
      </c>
      <c r="J1990" s="14" t="str">
        <f>HYPERLINK("https://www.boe.es/gazeta/dias/1839/12/05/pdfs/GMD-1839-1852.pdf#page=3","Abrir facsímil")</f>
        <v>Abrir facsímil</v>
      </c>
      <c r="K1990" s="12" t="s">
        <v>65</v>
      </c>
    </row>
    <row r="1991" spans="1:11" ht="40.049999999999997" customHeight="1" x14ac:dyDescent="0.25">
      <c r="A1991" s="11" t="s">
        <v>4461</v>
      </c>
      <c r="B1991" s="11" t="s">
        <v>4461</v>
      </c>
      <c r="C1991" s="11" t="s">
        <v>17</v>
      </c>
      <c r="D1991" s="11" t="s">
        <v>18</v>
      </c>
      <c r="E1991" s="12" t="s">
        <v>1208</v>
      </c>
      <c r="F1991" s="12" t="s">
        <v>1209</v>
      </c>
      <c r="G1991" s="12" t="s">
        <v>21</v>
      </c>
      <c r="H1991" s="11" t="s">
        <v>63</v>
      </c>
      <c r="I1991" s="13" t="s">
        <v>4462</v>
      </c>
      <c r="J1991" s="14" t="str">
        <f>HYPERLINK("https://www.boe.es/gazeta/dias/1839/04/24/pdfs/GMD-1839-1621.pdf#page=4","Abrir facsímil")</f>
        <v>Abrir facsímil</v>
      </c>
      <c r="K1991" s="12" t="s">
        <v>65</v>
      </c>
    </row>
    <row r="1992" spans="1:11" ht="40.049999999999997" customHeight="1" x14ac:dyDescent="0.25">
      <c r="A1992" s="11" t="s">
        <v>4461</v>
      </c>
      <c r="B1992" s="11" t="s">
        <v>4461</v>
      </c>
      <c r="C1992" s="11" t="s">
        <v>80</v>
      </c>
      <c r="D1992" s="11" t="s">
        <v>18</v>
      </c>
      <c r="E1992" s="12" t="s">
        <v>4463</v>
      </c>
      <c r="F1992" s="12" t="s">
        <v>4464</v>
      </c>
      <c r="G1992" s="12" t="s">
        <v>21</v>
      </c>
      <c r="H1992" s="11" t="s">
        <v>63</v>
      </c>
      <c r="I1992" s="13" t="s">
        <v>4465</v>
      </c>
      <c r="J1992" s="14" t="str">
        <f>HYPERLINK("https://www.boe.es/gazeta/dias/1839/08/28/pdfs/GMD-1839-1749.pdf#page=4","Abrir facsímil")</f>
        <v>Abrir facsímil</v>
      </c>
      <c r="K1992" s="12" t="s">
        <v>65</v>
      </c>
    </row>
    <row r="1993" spans="1:11" ht="40.049999999999997" customHeight="1" x14ac:dyDescent="0.25">
      <c r="A1993" s="11" t="s">
        <v>4466</v>
      </c>
      <c r="B1993" s="11" t="s">
        <v>4466</v>
      </c>
      <c r="C1993" s="11" t="s">
        <v>101</v>
      </c>
      <c r="D1993" s="11" t="s">
        <v>43</v>
      </c>
      <c r="E1993" s="12" t="s">
        <v>2491</v>
      </c>
      <c r="F1993" s="12" t="s">
        <v>2492</v>
      </c>
      <c r="G1993" s="12" t="s">
        <v>40</v>
      </c>
      <c r="H1993" s="11" t="s">
        <v>63</v>
      </c>
      <c r="I1993" s="13" t="s">
        <v>4467</v>
      </c>
      <c r="J1993" s="14" t="str">
        <f>HYPERLINK("https://www.boe.es/gazeta/dias/1839/05/01/pdfs/GMD-1839-1628.pdf#page=2","Abrir facsímil")</f>
        <v>Abrir facsímil</v>
      </c>
      <c r="K1993" s="12" t="s">
        <v>65</v>
      </c>
    </row>
    <row r="1994" spans="1:11" ht="40.049999999999997" customHeight="1" x14ac:dyDescent="0.25">
      <c r="A1994" s="11" t="s">
        <v>4466</v>
      </c>
      <c r="B1994" s="11" t="s">
        <v>4466</v>
      </c>
      <c r="C1994" s="11" t="s">
        <v>59</v>
      </c>
      <c r="D1994" s="11" t="s">
        <v>60</v>
      </c>
      <c r="E1994" s="12" t="s">
        <v>385</v>
      </c>
      <c r="F1994" s="12" t="s">
        <v>386</v>
      </c>
      <c r="G1994" s="12" t="s">
        <v>40</v>
      </c>
      <c r="H1994" s="11" t="s">
        <v>63</v>
      </c>
      <c r="I1994" s="13" t="s">
        <v>4468</v>
      </c>
      <c r="J1994" s="14" t="str">
        <f>HYPERLINK("https://www.boe.es/gazeta/dias/1839/08/01/pdfs/GMD-1839-1721.pdf#page=2","Abrir facsímil")</f>
        <v>Abrir facsímil</v>
      </c>
      <c r="K1994" s="12" t="s">
        <v>65</v>
      </c>
    </row>
    <row r="1995" spans="1:11" ht="40.049999999999997" customHeight="1" x14ac:dyDescent="0.25">
      <c r="A1995" s="11" t="s">
        <v>4466</v>
      </c>
      <c r="B1995" s="11" t="s">
        <v>4466</v>
      </c>
      <c r="C1995" s="11" t="s">
        <v>137</v>
      </c>
      <c r="D1995" s="11" t="s">
        <v>18</v>
      </c>
      <c r="E1995" s="12" t="s">
        <v>385</v>
      </c>
      <c r="F1995" s="12" t="s">
        <v>386</v>
      </c>
      <c r="G1995" s="12" t="s">
        <v>46</v>
      </c>
      <c r="H1995" s="11" t="s">
        <v>63</v>
      </c>
      <c r="I1995" s="13" t="s">
        <v>4469</v>
      </c>
      <c r="J1995" s="14" t="str">
        <f>HYPERLINK("https://www.boe.es/gazeta/dias/1839/08/01/pdfs/GMD-1839-1721.pdf#page=3","Abrir facsímil")</f>
        <v>Abrir facsímil</v>
      </c>
      <c r="K1995" s="12" t="s">
        <v>65</v>
      </c>
    </row>
    <row r="1996" spans="1:11" ht="40.049999999999997" customHeight="1" x14ac:dyDescent="0.25">
      <c r="A1996" s="11" t="s">
        <v>4466</v>
      </c>
      <c r="B1996" s="11" t="s">
        <v>4466</v>
      </c>
      <c r="C1996" s="11" t="s">
        <v>59</v>
      </c>
      <c r="D1996" s="11" t="s">
        <v>60</v>
      </c>
      <c r="E1996" s="12" t="s">
        <v>154</v>
      </c>
      <c r="F1996" s="12" t="s">
        <v>155</v>
      </c>
      <c r="G1996" s="12" t="s">
        <v>21</v>
      </c>
      <c r="H1996" s="11" t="s">
        <v>63</v>
      </c>
      <c r="I1996" s="13" t="s">
        <v>4470</v>
      </c>
      <c r="J1996" s="14" t="str">
        <f>HYPERLINK("https://www.boe.es/gazeta/dias/1839/02/02/pdfs/GMD-1839-1540.pdf#page=4","Abrir facsímil")</f>
        <v>Abrir facsímil</v>
      </c>
      <c r="K1996" s="12" t="s">
        <v>65</v>
      </c>
    </row>
    <row r="1997" spans="1:11" ht="40.049999999999997" customHeight="1" x14ac:dyDescent="0.25">
      <c r="A1997" s="11" t="s">
        <v>4466</v>
      </c>
      <c r="B1997" s="11" t="s">
        <v>4466</v>
      </c>
      <c r="C1997" s="11" t="s">
        <v>17</v>
      </c>
      <c r="D1997" s="11" t="s">
        <v>18</v>
      </c>
      <c r="E1997" s="12" t="s">
        <v>1813</v>
      </c>
      <c r="F1997" s="12" t="s">
        <v>1814</v>
      </c>
      <c r="G1997" s="12" t="s">
        <v>40</v>
      </c>
      <c r="H1997" s="11" t="s">
        <v>63</v>
      </c>
      <c r="I1997" s="13" t="s">
        <v>4471</v>
      </c>
      <c r="J1997" s="14" t="str">
        <f>HYPERLINK("https://www.boe.es/gazeta/dias/1839/09/02/pdfs/GMD-1839-1754.pdf#page=2","Abrir facsímil")</f>
        <v>Abrir facsímil</v>
      </c>
      <c r="K1997" s="12" t="s">
        <v>65</v>
      </c>
    </row>
    <row r="1998" spans="1:11" ht="40.049999999999997" customHeight="1" x14ac:dyDescent="0.25">
      <c r="A1998" s="11" t="s">
        <v>4466</v>
      </c>
      <c r="B1998" s="11" t="s">
        <v>4466</v>
      </c>
      <c r="C1998" s="11" t="s">
        <v>17</v>
      </c>
      <c r="D1998" s="11" t="s">
        <v>18</v>
      </c>
      <c r="E1998" s="12" t="s">
        <v>4472</v>
      </c>
      <c r="F1998" s="12" t="s">
        <v>4473</v>
      </c>
      <c r="G1998" s="12" t="s">
        <v>40</v>
      </c>
      <c r="H1998" s="11" t="s">
        <v>63</v>
      </c>
      <c r="I1998" s="13" t="s">
        <v>4474</v>
      </c>
      <c r="J1998" s="14" t="str">
        <f>HYPERLINK("https://www.boe.es/gazeta/dias/1839/08/03/pdfs/GMD-1839-1723.pdf#page=2","Abrir facsímil")</f>
        <v>Abrir facsímil</v>
      </c>
      <c r="K1998" s="12" t="s">
        <v>65</v>
      </c>
    </row>
    <row r="1999" spans="1:11" ht="40.049999999999997" customHeight="1" x14ac:dyDescent="0.25">
      <c r="A1999" s="11" t="s">
        <v>4466</v>
      </c>
      <c r="B1999" s="11" t="s">
        <v>4466</v>
      </c>
      <c r="C1999" s="11" t="s">
        <v>17</v>
      </c>
      <c r="D1999" s="11" t="s">
        <v>18</v>
      </c>
      <c r="E1999" s="12" t="s">
        <v>4475</v>
      </c>
      <c r="F1999" s="12" t="s">
        <v>4476</v>
      </c>
      <c r="G1999" s="12" t="s">
        <v>29</v>
      </c>
      <c r="H1999" s="11" t="s">
        <v>63</v>
      </c>
      <c r="I1999" s="13" t="s">
        <v>4477</v>
      </c>
      <c r="J1999" s="14" t="str">
        <f>HYPERLINK("https://www.boe.es/gazeta/dias/1839/07/04/pdfs/GMD-1839-1692.pdf#page=1","Abrir facsímil")</f>
        <v>Abrir facsímil</v>
      </c>
      <c r="K1999" s="12" t="s">
        <v>65</v>
      </c>
    </row>
    <row r="2000" spans="1:11" ht="40.049999999999997" customHeight="1" x14ac:dyDescent="0.25">
      <c r="A2000" s="11" t="s">
        <v>4466</v>
      </c>
      <c r="B2000" s="11" t="s">
        <v>4466</v>
      </c>
      <c r="C2000" s="11" t="s">
        <v>101</v>
      </c>
      <c r="D2000" s="11" t="s">
        <v>102</v>
      </c>
      <c r="E2000" s="12" t="s">
        <v>848</v>
      </c>
      <c r="F2000" s="12" t="s">
        <v>849</v>
      </c>
      <c r="G2000" s="12" t="s">
        <v>29</v>
      </c>
      <c r="H2000" s="11" t="s">
        <v>63</v>
      </c>
      <c r="I2000" s="13" t="s">
        <v>4478</v>
      </c>
      <c r="J2000" s="14" t="str">
        <f>HYPERLINK("https://www.boe.es/gazeta/dias/1839/08/04/pdfs/GMD-1839-1724.pdf#page=1","Abrir facsímil")</f>
        <v>Abrir facsímil</v>
      </c>
      <c r="K2000" s="12" t="s">
        <v>65</v>
      </c>
    </row>
    <row r="2001" spans="1:11" ht="40.049999999999997" customHeight="1" x14ac:dyDescent="0.25">
      <c r="A2001" s="11" t="s">
        <v>4466</v>
      </c>
      <c r="B2001" s="11" t="s">
        <v>4466</v>
      </c>
      <c r="C2001" s="11" t="s">
        <v>80</v>
      </c>
      <c r="D2001" s="11" t="s">
        <v>18</v>
      </c>
      <c r="E2001" s="12" t="s">
        <v>848</v>
      </c>
      <c r="F2001" s="12" t="s">
        <v>849</v>
      </c>
      <c r="G2001" s="12" t="s">
        <v>46</v>
      </c>
      <c r="H2001" s="11" t="s">
        <v>63</v>
      </c>
      <c r="I2001" s="13" t="s">
        <v>4479</v>
      </c>
      <c r="J2001" s="14" t="str">
        <f>HYPERLINK("https://www.boe.es/gazeta/dias/1839/08/04/pdfs/GMD-1839-1724.pdf#page=3","Abrir facsímil")</f>
        <v>Abrir facsímil</v>
      </c>
      <c r="K2001" s="12" t="s">
        <v>65</v>
      </c>
    </row>
    <row r="2002" spans="1:11" ht="40.049999999999997" customHeight="1" x14ac:dyDescent="0.25">
      <c r="A2002" s="11" t="s">
        <v>4466</v>
      </c>
      <c r="B2002" s="11" t="s">
        <v>4466</v>
      </c>
      <c r="C2002" s="11" t="s">
        <v>17</v>
      </c>
      <c r="D2002" s="11" t="s">
        <v>18</v>
      </c>
      <c r="E2002" s="12" t="s">
        <v>2210</v>
      </c>
      <c r="F2002" s="12" t="s">
        <v>2211</v>
      </c>
      <c r="G2002" s="12" t="s">
        <v>21</v>
      </c>
      <c r="H2002" s="11" t="s">
        <v>63</v>
      </c>
      <c r="I2002" s="13" t="s">
        <v>4480</v>
      </c>
      <c r="J2002" s="14" t="str">
        <f>HYPERLINK("https://www.boe.es/gazeta/dias/1839/09/05/pdfs/GMD-1839-1758.pdf#page=4","Abrir facsímil")</f>
        <v>Abrir facsímil</v>
      </c>
      <c r="K2002" s="12" t="s">
        <v>65</v>
      </c>
    </row>
    <row r="2003" spans="1:11" ht="40.049999999999997" customHeight="1" x14ac:dyDescent="0.25">
      <c r="A2003" s="11" t="s">
        <v>4466</v>
      </c>
      <c r="B2003" s="11" t="s">
        <v>4466</v>
      </c>
      <c r="C2003" s="11" t="s">
        <v>17</v>
      </c>
      <c r="D2003" s="11" t="s">
        <v>18</v>
      </c>
      <c r="E2003" s="12" t="s">
        <v>3566</v>
      </c>
      <c r="F2003" s="12" t="s">
        <v>3567</v>
      </c>
      <c r="G2003" s="12" t="s">
        <v>46</v>
      </c>
      <c r="H2003" s="11" t="s">
        <v>63</v>
      </c>
      <c r="I2003" s="13" t="s">
        <v>4481</v>
      </c>
      <c r="J2003" s="14" t="str">
        <f>HYPERLINK("https://www.boe.es/gazeta/dias/1839/07/06/pdfs/GMD-1839-1694.pdf#page=3","Abrir facsímil")</f>
        <v>Abrir facsímil</v>
      </c>
      <c r="K2003" s="12" t="s">
        <v>65</v>
      </c>
    </row>
    <row r="2004" spans="1:11" ht="40.049999999999997" customHeight="1" x14ac:dyDescent="0.25">
      <c r="A2004" s="11" t="s">
        <v>4466</v>
      </c>
      <c r="B2004" s="11" t="s">
        <v>4466</v>
      </c>
      <c r="C2004" s="11" t="s">
        <v>101</v>
      </c>
      <c r="D2004" s="11" t="s">
        <v>102</v>
      </c>
      <c r="E2004" s="12" t="s">
        <v>303</v>
      </c>
      <c r="F2004" s="12" t="s">
        <v>304</v>
      </c>
      <c r="G2004" s="12" t="s">
        <v>305</v>
      </c>
      <c r="H2004" s="11" t="s">
        <v>63</v>
      </c>
      <c r="I2004" s="13" t="s">
        <v>4482</v>
      </c>
      <c r="J2004" s="14" t="str">
        <f>HYPERLINK("https://www.boe.es/gazeta/dias/1839/10/06/pdfs/GMD-1839-1792.pdf#page=6","Abrir facsímil")</f>
        <v>Abrir facsímil</v>
      </c>
      <c r="K2004" s="12" t="s">
        <v>65</v>
      </c>
    </row>
    <row r="2005" spans="1:11" ht="40.049999999999997" customHeight="1" x14ac:dyDescent="0.25">
      <c r="A2005" s="11" t="s">
        <v>4466</v>
      </c>
      <c r="B2005" s="11" t="s">
        <v>4466</v>
      </c>
      <c r="C2005" s="11" t="s">
        <v>101</v>
      </c>
      <c r="D2005" s="11" t="s">
        <v>43</v>
      </c>
      <c r="E2005" s="12" t="s">
        <v>453</v>
      </c>
      <c r="F2005" s="12" t="s">
        <v>454</v>
      </c>
      <c r="G2005" s="12" t="s">
        <v>46</v>
      </c>
      <c r="H2005" s="11" t="s">
        <v>63</v>
      </c>
      <c r="I2005" s="13" t="s">
        <v>4483</v>
      </c>
      <c r="J2005" s="14" t="str">
        <f>HYPERLINK("https://www.boe.es/gazeta/dias/1839/02/07/pdfs/GMD-1839-1545.pdf#page=3","Abrir facsímil")</f>
        <v>Abrir facsímil</v>
      </c>
      <c r="K2005" s="12" t="s">
        <v>65</v>
      </c>
    </row>
    <row r="2006" spans="1:11" ht="40.049999999999997" customHeight="1" x14ac:dyDescent="0.25">
      <c r="A2006" s="11" t="s">
        <v>4466</v>
      </c>
      <c r="B2006" s="11" t="s">
        <v>4466</v>
      </c>
      <c r="C2006" s="11" t="s">
        <v>101</v>
      </c>
      <c r="D2006" s="11" t="s">
        <v>102</v>
      </c>
      <c r="E2006" s="12" t="s">
        <v>121</v>
      </c>
      <c r="F2006" s="12" t="s">
        <v>122</v>
      </c>
      <c r="G2006" s="12" t="s">
        <v>21</v>
      </c>
      <c r="H2006" s="11" t="s">
        <v>63</v>
      </c>
      <c r="I2006" s="13" t="s">
        <v>4484</v>
      </c>
      <c r="J2006" s="14" t="str">
        <f>HYPERLINK("https://www.boe.es/gazeta/dias/1839/06/08/pdfs/GMD-1839-1666.pdf#page=4","Abrir facsímil")</f>
        <v>Abrir facsímil</v>
      </c>
      <c r="K2006" s="12" t="s">
        <v>65</v>
      </c>
    </row>
    <row r="2007" spans="1:11" ht="40.049999999999997" customHeight="1" x14ac:dyDescent="0.25">
      <c r="A2007" s="11" t="s">
        <v>4466</v>
      </c>
      <c r="B2007" s="11" t="s">
        <v>4466</v>
      </c>
      <c r="C2007" s="11" t="s">
        <v>17</v>
      </c>
      <c r="D2007" s="11" t="s">
        <v>18</v>
      </c>
      <c r="E2007" s="12" t="s">
        <v>4485</v>
      </c>
      <c r="F2007" s="12" t="s">
        <v>4486</v>
      </c>
      <c r="G2007" s="12" t="s">
        <v>21</v>
      </c>
      <c r="H2007" s="11" t="s">
        <v>63</v>
      </c>
      <c r="I2007" s="13" t="s">
        <v>4487</v>
      </c>
      <c r="J2007" s="14" t="str">
        <f>HYPERLINK("https://www.boe.es/gazeta/dias/1839/07/08/pdfs/GMD-1839-1696.pdf#page=4","Abrir facsímil")</f>
        <v>Abrir facsímil</v>
      </c>
      <c r="K2007" s="12" t="s">
        <v>65</v>
      </c>
    </row>
    <row r="2008" spans="1:11" ht="40.049999999999997" customHeight="1" x14ac:dyDescent="0.25">
      <c r="A2008" s="11" t="s">
        <v>4466</v>
      </c>
      <c r="B2008" s="11" t="s">
        <v>4466</v>
      </c>
      <c r="C2008" s="11" t="s">
        <v>59</v>
      </c>
      <c r="D2008" s="11" t="s">
        <v>60</v>
      </c>
      <c r="E2008" s="12" t="s">
        <v>2301</v>
      </c>
      <c r="F2008" s="12" t="s">
        <v>2302</v>
      </c>
      <c r="G2008" s="12" t="s">
        <v>40</v>
      </c>
      <c r="H2008" s="11" t="s">
        <v>63</v>
      </c>
      <c r="I2008" s="13" t="s">
        <v>4488</v>
      </c>
      <c r="J2008" s="14" t="str">
        <f>HYPERLINK("https://www.boe.es/gazeta/dias/1839/09/08/pdfs/GMD-1839-1761.pdf#page=2","Abrir facsímil")</f>
        <v>Abrir facsímil</v>
      </c>
      <c r="K2008" s="12" t="s">
        <v>65</v>
      </c>
    </row>
    <row r="2009" spans="1:11" ht="40.049999999999997" customHeight="1" x14ac:dyDescent="0.25">
      <c r="A2009" s="11" t="s">
        <v>4466</v>
      </c>
      <c r="B2009" s="11" t="s">
        <v>4466</v>
      </c>
      <c r="C2009" s="11" t="s">
        <v>59</v>
      </c>
      <c r="D2009" s="11" t="s">
        <v>60</v>
      </c>
      <c r="E2009" s="12" t="s">
        <v>647</v>
      </c>
      <c r="F2009" s="12" t="s">
        <v>648</v>
      </c>
      <c r="G2009" s="12" t="s">
        <v>29</v>
      </c>
      <c r="H2009" s="11" t="s">
        <v>63</v>
      </c>
      <c r="I2009" s="13" t="s">
        <v>4489</v>
      </c>
      <c r="J2009" s="14" t="str">
        <f>HYPERLINK("https://www.boe.es/gazeta/dias/1839/10/08/pdfs/GMD-1839-1794.pdf#page=1","Abrir facsímil")</f>
        <v>Abrir facsímil</v>
      </c>
      <c r="K2009" s="12" t="s">
        <v>65</v>
      </c>
    </row>
    <row r="2010" spans="1:11" ht="40.049999999999997" customHeight="1" x14ac:dyDescent="0.25">
      <c r="A2010" s="11" t="s">
        <v>4466</v>
      </c>
      <c r="B2010" s="11" t="s">
        <v>4466</v>
      </c>
      <c r="C2010" s="11" t="s">
        <v>17</v>
      </c>
      <c r="D2010" s="11" t="s">
        <v>18</v>
      </c>
      <c r="E2010" s="12" t="s">
        <v>647</v>
      </c>
      <c r="F2010" s="12" t="s">
        <v>648</v>
      </c>
      <c r="G2010" s="12" t="s">
        <v>40</v>
      </c>
      <c r="H2010" s="11" t="s">
        <v>63</v>
      </c>
      <c r="I2010" s="13" t="s">
        <v>4490</v>
      </c>
      <c r="J2010" s="14" t="str">
        <f>HYPERLINK("https://www.boe.es/gazeta/dias/1839/10/08/pdfs/GMD-1839-1794.pdf#page=2","Abrir facsímil")</f>
        <v>Abrir facsímil</v>
      </c>
      <c r="K2010" s="12" t="s">
        <v>65</v>
      </c>
    </row>
    <row r="2011" spans="1:11" ht="40.049999999999997" customHeight="1" x14ac:dyDescent="0.25">
      <c r="A2011" s="11" t="s">
        <v>4466</v>
      </c>
      <c r="B2011" s="11" t="s">
        <v>4466</v>
      </c>
      <c r="C2011" s="11" t="s">
        <v>59</v>
      </c>
      <c r="D2011" s="11" t="s">
        <v>60</v>
      </c>
      <c r="E2011" s="12" t="s">
        <v>372</v>
      </c>
      <c r="F2011" s="12" t="s">
        <v>373</v>
      </c>
      <c r="G2011" s="12" t="s">
        <v>21</v>
      </c>
      <c r="H2011" s="11" t="s">
        <v>63</v>
      </c>
      <c r="I2011" s="13" t="s">
        <v>4491</v>
      </c>
      <c r="J2011" s="14" t="str">
        <f>HYPERLINK("https://www.boe.es/gazeta/dias/1839/11/08/pdfs/GMD-1839-1825.pdf#page=4","Abrir facsímil")</f>
        <v>Abrir facsímil</v>
      </c>
      <c r="K2011" s="12" t="s">
        <v>65</v>
      </c>
    </row>
    <row r="2012" spans="1:11" ht="40.049999999999997" customHeight="1" x14ac:dyDescent="0.25">
      <c r="A2012" s="11" t="s">
        <v>4466</v>
      </c>
      <c r="B2012" s="11" t="s">
        <v>4466</v>
      </c>
      <c r="C2012" s="11" t="s">
        <v>80</v>
      </c>
      <c r="D2012" s="11" t="s">
        <v>18</v>
      </c>
      <c r="E2012" s="12" t="s">
        <v>138</v>
      </c>
      <c r="F2012" s="12" t="s">
        <v>139</v>
      </c>
      <c r="G2012" s="12" t="s">
        <v>40</v>
      </c>
      <c r="H2012" s="11" t="s">
        <v>63</v>
      </c>
      <c r="I2012" s="13" t="s">
        <v>4492</v>
      </c>
      <c r="J2012" s="14" t="str">
        <f>HYPERLINK("https://www.boe.es/gazeta/dias/1839/10/09/pdfs/GMD-1839-1795.pdf#page=2","Abrir facsímil")</f>
        <v>Abrir facsímil</v>
      </c>
      <c r="K2012" s="12" t="s">
        <v>65</v>
      </c>
    </row>
    <row r="2013" spans="1:11" ht="40.049999999999997" customHeight="1" x14ac:dyDescent="0.25">
      <c r="A2013" s="11" t="s">
        <v>4466</v>
      </c>
      <c r="B2013" s="11" t="s">
        <v>4466</v>
      </c>
      <c r="C2013" s="11" t="s">
        <v>101</v>
      </c>
      <c r="D2013" s="11" t="s">
        <v>43</v>
      </c>
      <c r="E2013" s="12" t="s">
        <v>160</v>
      </c>
      <c r="F2013" s="12" t="s">
        <v>161</v>
      </c>
      <c r="G2013" s="12" t="s">
        <v>46</v>
      </c>
      <c r="H2013" s="11" t="s">
        <v>63</v>
      </c>
      <c r="I2013" s="13" t="s">
        <v>4493</v>
      </c>
      <c r="J2013" s="14" t="str">
        <f>HYPERLINK("https://www.boe.es/gazeta/dias/1839/01/10/pdfs/GMD-1839-1517.pdf#page=3","Abrir facsímil")</f>
        <v>Abrir facsímil</v>
      </c>
      <c r="K2013" s="12" t="s">
        <v>65</v>
      </c>
    </row>
    <row r="2014" spans="1:11" ht="40.049999999999997" customHeight="1" x14ac:dyDescent="0.25">
      <c r="A2014" s="11" t="s">
        <v>4466</v>
      </c>
      <c r="B2014" s="11" t="s">
        <v>4466</v>
      </c>
      <c r="C2014" s="11" t="s">
        <v>17</v>
      </c>
      <c r="D2014" s="11" t="s">
        <v>18</v>
      </c>
      <c r="E2014" s="12" t="s">
        <v>1628</v>
      </c>
      <c r="F2014" s="12" t="s">
        <v>1629</v>
      </c>
      <c r="G2014" s="12" t="s">
        <v>21</v>
      </c>
      <c r="H2014" s="11" t="s">
        <v>63</v>
      </c>
      <c r="I2014" s="13" t="s">
        <v>4494</v>
      </c>
      <c r="J2014" s="14" t="str">
        <f>HYPERLINK("https://www.boe.es/gazeta/dias/1839/03/10/pdfs/GMD-1839-1576.pdf#page=4","Abrir facsímil")</f>
        <v>Abrir facsímil</v>
      </c>
      <c r="K2014" s="12" t="s">
        <v>65</v>
      </c>
    </row>
    <row r="2015" spans="1:11" ht="40.049999999999997" customHeight="1" x14ac:dyDescent="0.25">
      <c r="A2015" s="11" t="s">
        <v>4466</v>
      </c>
      <c r="B2015" s="11" t="s">
        <v>4466</v>
      </c>
      <c r="C2015" s="11" t="s">
        <v>80</v>
      </c>
      <c r="D2015" s="11" t="s">
        <v>18</v>
      </c>
      <c r="E2015" s="12" t="s">
        <v>426</v>
      </c>
      <c r="F2015" s="12" t="s">
        <v>427</v>
      </c>
      <c r="G2015" s="12" t="s">
        <v>29</v>
      </c>
      <c r="H2015" s="11" t="s">
        <v>63</v>
      </c>
      <c r="I2015" s="13" t="s">
        <v>4495</v>
      </c>
      <c r="J2015" s="14" t="str">
        <f>HYPERLINK("https://www.boe.es/gazeta/dias/1839/08/11/pdfs/GMD-1839-1731.pdf#page=1","Abrir facsímil")</f>
        <v>Abrir facsímil</v>
      </c>
      <c r="K2015" s="12" t="s">
        <v>65</v>
      </c>
    </row>
    <row r="2016" spans="1:11" ht="40.049999999999997" customHeight="1" x14ac:dyDescent="0.25">
      <c r="A2016" s="11" t="s">
        <v>4466</v>
      </c>
      <c r="B2016" s="11" t="s">
        <v>4466</v>
      </c>
      <c r="C2016" s="11" t="s">
        <v>17</v>
      </c>
      <c r="D2016" s="11" t="s">
        <v>18</v>
      </c>
      <c r="E2016" s="12" t="s">
        <v>3633</v>
      </c>
      <c r="F2016" s="12" t="s">
        <v>3634</v>
      </c>
      <c r="G2016" s="12" t="s">
        <v>40</v>
      </c>
      <c r="H2016" s="11" t="s">
        <v>63</v>
      </c>
      <c r="I2016" s="13" t="s">
        <v>4496</v>
      </c>
      <c r="J2016" s="14" t="str">
        <f>HYPERLINK("https://www.boe.es/gazeta/dias/1839/04/12/pdfs/GMD-1839-1609.pdf#page=2","Abrir facsímil")</f>
        <v>Abrir facsímil</v>
      </c>
      <c r="K2016" s="12" t="s">
        <v>65</v>
      </c>
    </row>
    <row r="2017" spans="1:11" ht="40.049999999999997" customHeight="1" x14ac:dyDescent="0.25">
      <c r="A2017" s="11" t="s">
        <v>4466</v>
      </c>
      <c r="B2017" s="11" t="s">
        <v>4466</v>
      </c>
      <c r="C2017" s="11" t="s">
        <v>137</v>
      </c>
      <c r="D2017" s="11" t="s">
        <v>18</v>
      </c>
      <c r="E2017" s="12" t="s">
        <v>510</v>
      </c>
      <c r="F2017" s="12" t="s">
        <v>511</v>
      </c>
      <c r="G2017" s="12" t="s">
        <v>21</v>
      </c>
      <c r="H2017" s="11" t="s">
        <v>63</v>
      </c>
      <c r="I2017" s="13" t="s">
        <v>4497</v>
      </c>
      <c r="J2017" s="14" t="str">
        <f>HYPERLINK("https://www.boe.es/gazeta/dias/1839/05/13/pdfs/GMD-1839-1640.pdf#page=4","Abrir facsímil")</f>
        <v>Abrir facsímil</v>
      </c>
      <c r="K2017" s="12" t="s">
        <v>65</v>
      </c>
    </row>
    <row r="2018" spans="1:11" ht="40.049999999999997" customHeight="1" x14ac:dyDescent="0.25">
      <c r="A2018" s="11" t="s">
        <v>4466</v>
      </c>
      <c r="B2018" s="11" t="s">
        <v>4466</v>
      </c>
      <c r="C2018" s="11" t="s">
        <v>80</v>
      </c>
      <c r="D2018" s="11" t="s">
        <v>18</v>
      </c>
      <c r="E2018" s="12" t="s">
        <v>1144</v>
      </c>
      <c r="F2018" s="12" t="s">
        <v>1145</v>
      </c>
      <c r="G2018" s="12" t="s">
        <v>21</v>
      </c>
      <c r="H2018" s="11" t="s">
        <v>63</v>
      </c>
      <c r="I2018" s="13" t="s">
        <v>4498</v>
      </c>
      <c r="J2018" s="14" t="str">
        <f>HYPERLINK("https://www.boe.es/gazeta/dias/1839/08/13/pdfs/GMD-1839-1733.pdf#page=4","Abrir facsímil")</f>
        <v>Abrir facsímil</v>
      </c>
      <c r="K2018" s="12" t="s">
        <v>65</v>
      </c>
    </row>
    <row r="2019" spans="1:11" ht="40.049999999999997" customHeight="1" x14ac:dyDescent="0.25">
      <c r="A2019" s="11" t="s">
        <v>4466</v>
      </c>
      <c r="B2019" s="11" t="s">
        <v>4466</v>
      </c>
      <c r="C2019" s="11" t="s">
        <v>17</v>
      </c>
      <c r="D2019" s="11" t="s">
        <v>18</v>
      </c>
      <c r="E2019" s="12" t="s">
        <v>1139</v>
      </c>
      <c r="F2019" s="12" t="s">
        <v>1140</v>
      </c>
      <c r="G2019" s="12" t="s">
        <v>29</v>
      </c>
      <c r="H2019" s="11" t="s">
        <v>63</v>
      </c>
      <c r="I2019" s="13" t="s">
        <v>4499</v>
      </c>
      <c r="J2019" s="14" t="str">
        <f>HYPERLINK("https://www.boe.es/gazeta/dias/1839/02/15/pdfs/GMD-1839-1553.pdf#page=1","Abrir facsímil")</f>
        <v>Abrir facsímil</v>
      </c>
      <c r="K2019" s="12" t="s">
        <v>65</v>
      </c>
    </row>
    <row r="2020" spans="1:11" ht="40.049999999999997" customHeight="1" x14ac:dyDescent="0.25">
      <c r="A2020" s="11" t="s">
        <v>4500</v>
      </c>
      <c r="B2020" s="11" t="s">
        <v>4500</v>
      </c>
      <c r="C2020" s="11" t="s">
        <v>17</v>
      </c>
      <c r="D2020" s="11" t="s">
        <v>18</v>
      </c>
      <c r="E2020" s="12" t="s">
        <v>395</v>
      </c>
      <c r="F2020" s="12" t="s">
        <v>396</v>
      </c>
      <c r="G2020" s="12" t="s">
        <v>21</v>
      </c>
      <c r="H2020" s="11" t="s">
        <v>22</v>
      </c>
      <c r="I2020" s="13" t="s">
        <v>4501</v>
      </c>
      <c r="J2020" s="14" t="str">
        <f>HYPERLINK("https://www.boe.es/gazeta/dias/1839/03/15/pdfs/GMD-1839-1581.pdf#page=4","Abrir facsímil")</f>
        <v>Abrir facsímil</v>
      </c>
      <c r="K2020" s="12" t="s">
        <v>24</v>
      </c>
    </row>
    <row r="2021" spans="1:11" ht="40.049999999999997" customHeight="1" x14ac:dyDescent="0.25">
      <c r="A2021" s="11" t="s">
        <v>4466</v>
      </c>
      <c r="B2021" s="11" t="s">
        <v>4466</v>
      </c>
      <c r="C2021" s="11" t="s">
        <v>17</v>
      </c>
      <c r="D2021" s="11" t="s">
        <v>18</v>
      </c>
      <c r="E2021" s="12" t="s">
        <v>2262</v>
      </c>
      <c r="F2021" s="12" t="s">
        <v>2263</v>
      </c>
      <c r="G2021" s="12" t="s">
        <v>21</v>
      </c>
      <c r="H2021" s="11" t="s">
        <v>63</v>
      </c>
      <c r="I2021" s="13" t="s">
        <v>4502</v>
      </c>
      <c r="J2021" s="14" t="str">
        <f>HYPERLINK("https://www.boe.es/gazeta/dias/1839/03/16/pdfs/GMD-1839-1582.pdf#page=4","Abrir facsímil")</f>
        <v>Abrir facsímil</v>
      </c>
      <c r="K2021" s="12" t="s">
        <v>65</v>
      </c>
    </row>
    <row r="2022" spans="1:11" ht="40.049999999999997" customHeight="1" x14ac:dyDescent="0.25">
      <c r="A2022" s="11" t="s">
        <v>4466</v>
      </c>
      <c r="B2022" s="11" t="s">
        <v>4466</v>
      </c>
      <c r="C2022" s="11" t="s">
        <v>80</v>
      </c>
      <c r="D2022" s="11" t="s">
        <v>18</v>
      </c>
      <c r="E2022" s="12" t="s">
        <v>2995</v>
      </c>
      <c r="F2022" s="12" t="s">
        <v>2996</v>
      </c>
      <c r="G2022" s="12" t="s">
        <v>40</v>
      </c>
      <c r="H2022" s="11" t="s">
        <v>63</v>
      </c>
      <c r="I2022" s="13" t="s">
        <v>4503</v>
      </c>
      <c r="J2022" s="14" t="str">
        <f>HYPERLINK("https://www.boe.es/gazeta/dias/1839/06/16/pdfs/GMD-1839-1674.pdf#page=2","Abrir facsímil")</f>
        <v>Abrir facsímil</v>
      </c>
      <c r="K2022" s="12" t="s">
        <v>65</v>
      </c>
    </row>
    <row r="2023" spans="1:11" ht="40.049999999999997" customHeight="1" x14ac:dyDescent="0.25">
      <c r="A2023" s="11" t="s">
        <v>4466</v>
      </c>
      <c r="B2023" s="11" t="s">
        <v>4466</v>
      </c>
      <c r="C2023" s="11" t="s">
        <v>17</v>
      </c>
      <c r="D2023" s="11" t="s">
        <v>18</v>
      </c>
      <c r="E2023" s="12" t="s">
        <v>230</v>
      </c>
      <c r="F2023" s="12" t="s">
        <v>231</v>
      </c>
      <c r="G2023" s="12" t="s">
        <v>21</v>
      </c>
      <c r="H2023" s="11" t="s">
        <v>63</v>
      </c>
      <c r="I2023" s="13" t="s">
        <v>4504</v>
      </c>
      <c r="J2023" s="14" t="str">
        <f>HYPERLINK("https://www.boe.es/gazeta/dias/1839/09/16/pdfs/GMD-1839-1769.pdf#page=4","Abrir facsímil")</f>
        <v>Abrir facsímil</v>
      </c>
      <c r="K2023" s="12" t="s">
        <v>65</v>
      </c>
    </row>
    <row r="2024" spans="1:11" ht="40.049999999999997" customHeight="1" x14ac:dyDescent="0.25">
      <c r="A2024" s="11" t="s">
        <v>4466</v>
      </c>
      <c r="B2024" s="11" t="s">
        <v>4466</v>
      </c>
      <c r="C2024" s="11" t="s">
        <v>101</v>
      </c>
      <c r="D2024" s="11" t="s">
        <v>43</v>
      </c>
      <c r="E2024" s="12" t="s">
        <v>233</v>
      </c>
      <c r="F2024" s="12" t="s">
        <v>234</v>
      </c>
      <c r="G2024" s="12" t="s">
        <v>40</v>
      </c>
      <c r="H2024" s="11" t="s">
        <v>63</v>
      </c>
      <c r="I2024" s="13" t="s">
        <v>4505</v>
      </c>
      <c r="J2024" s="14" t="str">
        <f>HYPERLINK("https://www.boe.es/gazeta/dias/1839/09/17/pdfs/GMD-1839-1770.pdf#page=2","Abrir facsímil")</f>
        <v>Abrir facsímil</v>
      </c>
      <c r="K2024" s="12" t="s">
        <v>65</v>
      </c>
    </row>
    <row r="2025" spans="1:11" ht="40.049999999999997" customHeight="1" x14ac:dyDescent="0.25">
      <c r="A2025" s="11" t="s">
        <v>4466</v>
      </c>
      <c r="B2025" s="11" t="s">
        <v>4466</v>
      </c>
      <c r="C2025" s="11" t="s">
        <v>137</v>
      </c>
      <c r="D2025" s="11" t="s">
        <v>18</v>
      </c>
      <c r="E2025" s="12" t="s">
        <v>1779</v>
      </c>
      <c r="F2025" s="12" t="s">
        <v>1780</v>
      </c>
      <c r="G2025" s="12" t="s">
        <v>21</v>
      </c>
      <c r="H2025" s="11" t="s">
        <v>63</v>
      </c>
      <c r="I2025" s="13" t="s">
        <v>4506</v>
      </c>
      <c r="J2025" s="14" t="str">
        <f>HYPERLINK("https://www.boe.es/gazeta/dias/1839/03/18/pdfs/GMD-1839-1584.pdf#page=4","Abrir facsímil")</f>
        <v>Abrir facsímil</v>
      </c>
      <c r="K2025" s="12" t="s">
        <v>65</v>
      </c>
    </row>
    <row r="2026" spans="1:11" ht="40.049999999999997" customHeight="1" x14ac:dyDescent="0.25">
      <c r="A2026" s="11" t="s">
        <v>4466</v>
      </c>
      <c r="B2026" s="11" t="s">
        <v>4466</v>
      </c>
      <c r="C2026" s="11" t="s">
        <v>17</v>
      </c>
      <c r="D2026" s="11" t="s">
        <v>18</v>
      </c>
      <c r="E2026" s="12" t="s">
        <v>1179</v>
      </c>
      <c r="F2026" s="12" t="s">
        <v>1180</v>
      </c>
      <c r="G2026" s="12" t="s">
        <v>40</v>
      </c>
      <c r="H2026" s="11" t="s">
        <v>63</v>
      </c>
      <c r="I2026" s="13" t="s">
        <v>4507</v>
      </c>
      <c r="J2026" s="14" t="str">
        <f>HYPERLINK("https://www.boe.es/gazeta/dias/1839/10/18/pdfs/GMD-1839-1804.pdf#page=2","Abrir facsímil")</f>
        <v>Abrir facsímil</v>
      </c>
      <c r="K2026" s="12" t="s">
        <v>65</v>
      </c>
    </row>
    <row r="2027" spans="1:11" ht="40.049999999999997" customHeight="1" x14ac:dyDescent="0.25">
      <c r="A2027" s="11" t="s">
        <v>4466</v>
      </c>
      <c r="B2027" s="11" t="s">
        <v>4466</v>
      </c>
      <c r="C2027" s="11" t="s">
        <v>59</v>
      </c>
      <c r="D2027" s="11" t="s">
        <v>60</v>
      </c>
      <c r="E2027" s="12" t="s">
        <v>19</v>
      </c>
      <c r="F2027" s="12" t="s">
        <v>20</v>
      </c>
      <c r="G2027" s="12" t="s">
        <v>46</v>
      </c>
      <c r="H2027" s="11" t="s">
        <v>63</v>
      </c>
      <c r="I2027" s="13" t="s">
        <v>4508</v>
      </c>
      <c r="J2027" s="14" t="str">
        <f>HYPERLINK("https://www.boe.es/gazeta/dias/1839/01/19/pdfs/GMD-1839-1526.pdf#page=3","Abrir facsímil")</f>
        <v>Abrir facsímil</v>
      </c>
      <c r="K2027" s="12" t="s">
        <v>65</v>
      </c>
    </row>
    <row r="2028" spans="1:11" ht="40.049999999999997" customHeight="1" x14ac:dyDescent="0.25">
      <c r="A2028" s="11" t="s">
        <v>4466</v>
      </c>
      <c r="B2028" s="11" t="s">
        <v>4466</v>
      </c>
      <c r="C2028" s="11" t="s">
        <v>17</v>
      </c>
      <c r="D2028" s="11" t="s">
        <v>18</v>
      </c>
      <c r="E2028" s="12" t="s">
        <v>295</v>
      </c>
      <c r="F2028" s="12" t="s">
        <v>296</v>
      </c>
      <c r="G2028" s="12" t="s">
        <v>46</v>
      </c>
      <c r="H2028" s="11" t="s">
        <v>63</v>
      </c>
      <c r="I2028" s="13" t="s">
        <v>4509</v>
      </c>
      <c r="J2028" s="14" t="str">
        <f>HYPERLINK("https://www.boe.es/gazeta/dias/1839/08/19/pdfs/GMD-1839-1740.pdf#page=3","Abrir facsímil")</f>
        <v>Abrir facsímil</v>
      </c>
      <c r="K2028" s="12" t="s">
        <v>65</v>
      </c>
    </row>
    <row r="2029" spans="1:11" ht="40.049999999999997" customHeight="1" x14ac:dyDescent="0.25">
      <c r="A2029" s="11" t="s">
        <v>4466</v>
      </c>
      <c r="B2029" s="11" t="s">
        <v>4466</v>
      </c>
      <c r="C2029" s="11" t="s">
        <v>101</v>
      </c>
      <c r="D2029" s="11" t="s">
        <v>43</v>
      </c>
      <c r="E2029" s="12" t="s">
        <v>2222</v>
      </c>
      <c r="F2029" s="12" t="s">
        <v>2223</v>
      </c>
      <c r="G2029" s="12" t="s">
        <v>29</v>
      </c>
      <c r="H2029" s="11" t="s">
        <v>63</v>
      </c>
      <c r="I2029" s="13" t="s">
        <v>4510</v>
      </c>
      <c r="J2029" s="14" t="str">
        <f>HYPERLINK("https://www.boe.es/gazeta/dias/1839/09/19/pdfs/GMD-1839-1773.pdf#page=1","Abrir facsímil")</f>
        <v>Abrir facsímil</v>
      </c>
      <c r="K2029" s="12" t="s">
        <v>65</v>
      </c>
    </row>
    <row r="2030" spans="1:11" ht="40.049999999999997" customHeight="1" x14ac:dyDescent="0.25">
      <c r="A2030" s="11" t="s">
        <v>4466</v>
      </c>
      <c r="B2030" s="11" t="s">
        <v>4466</v>
      </c>
      <c r="C2030" s="11" t="s">
        <v>17</v>
      </c>
      <c r="D2030" s="11" t="s">
        <v>18</v>
      </c>
      <c r="E2030" s="12" t="s">
        <v>695</v>
      </c>
      <c r="F2030" s="12" t="s">
        <v>696</v>
      </c>
      <c r="G2030" s="12" t="s">
        <v>21</v>
      </c>
      <c r="H2030" s="11" t="s">
        <v>63</v>
      </c>
      <c r="I2030" s="13" t="s">
        <v>4511</v>
      </c>
      <c r="J2030" s="14" t="str">
        <f>HYPERLINK("https://www.boe.es/gazeta/dias/1839/12/19/pdfs/GMD-1839-1866.pdf#page=4","Abrir facsímil")</f>
        <v>Abrir facsímil</v>
      </c>
      <c r="K2030" s="12" t="s">
        <v>65</v>
      </c>
    </row>
    <row r="2031" spans="1:11" ht="40.049999999999997" customHeight="1" x14ac:dyDescent="0.25">
      <c r="A2031" s="11" t="s">
        <v>4466</v>
      </c>
      <c r="B2031" s="11" t="s">
        <v>4466</v>
      </c>
      <c r="C2031" s="11" t="s">
        <v>17</v>
      </c>
      <c r="D2031" s="11" t="s">
        <v>18</v>
      </c>
      <c r="E2031" s="12" t="s">
        <v>433</v>
      </c>
      <c r="F2031" s="12" t="s">
        <v>434</v>
      </c>
      <c r="G2031" s="12" t="s">
        <v>46</v>
      </c>
      <c r="H2031" s="11" t="s">
        <v>63</v>
      </c>
      <c r="I2031" s="13" t="s">
        <v>4512</v>
      </c>
      <c r="J2031" s="14" t="str">
        <f>HYPERLINK("https://www.boe.es/gazeta/dias/1839/01/20/pdfs/GMD-1839-1527.pdf#page=3","Abrir facsímil")</f>
        <v>Abrir facsímil</v>
      </c>
      <c r="K2031" s="12" t="s">
        <v>65</v>
      </c>
    </row>
    <row r="2032" spans="1:11" ht="40.049999999999997" customHeight="1" x14ac:dyDescent="0.25">
      <c r="A2032" s="11" t="s">
        <v>4466</v>
      </c>
      <c r="B2032" s="11" t="s">
        <v>4466</v>
      </c>
      <c r="C2032" s="11" t="s">
        <v>59</v>
      </c>
      <c r="D2032" s="11" t="s">
        <v>60</v>
      </c>
      <c r="E2032" s="12" t="s">
        <v>469</v>
      </c>
      <c r="F2032" s="12" t="s">
        <v>470</v>
      </c>
      <c r="G2032" s="12" t="s">
        <v>29</v>
      </c>
      <c r="H2032" s="11" t="s">
        <v>63</v>
      </c>
      <c r="I2032" s="13" t="s">
        <v>4513</v>
      </c>
      <c r="J2032" s="14" t="str">
        <f>HYPERLINK("https://www.boe.es/gazeta/dias/1839/08/20/pdfs/GMD-1839-1741.pdf#page=1","Abrir facsímil")</f>
        <v>Abrir facsímil</v>
      </c>
      <c r="K2032" s="12" t="s">
        <v>65</v>
      </c>
    </row>
    <row r="2033" spans="1:11" ht="40.049999999999997" customHeight="1" x14ac:dyDescent="0.25">
      <c r="A2033" s="11" t="s">
        <v>4466</v>
      </c>
      <c r="B2033" s="11" t="s">
        <v>4466</v>
      </c>
      <c r="C2033" s="11" t="s">
        <v>17</v>
      </c>
      <c r="D2033" s="11" t="s">
        <v>18</v>
      </c>
      <c r="E2033" s="12" t="s">
        <v>469</v>
      </c>
      <c r="F2033" s="12" t="s">
        <v>470</v>
      </c>
      <c r="G2033" s="12" t="s">
        <v>46</v>
      </c>
      <c r="H2033" s="11" t="s">
        <v>63</v>
      </c>
      <c r="I2033" s="13" t="s">
        <v>4514</v>
      </c>
      <c r="J2033" s="14" t="str">
        <f>HYPERLINK("https://www.boe.es/gazeta/dias/1839/08/20/pdfs/GMD-1839-1741.pdf#page=3","Abrir facsímil")</f>
        <v>Abrir facsímil</v>
      </c>
      <c r="K2033" s="12" t="s">
        <v>65</v>
      </c>
    </row>
    <row r="2034" spans="1:11" ht="40.049999999999997" customHeight="1" x14ac:dyDescent="0.25">
      <c r="A2034" s="11" t="s">
        <v>4466</v>
      </c>
      <c r="B2034" s="11" t="s">
        <v>4466</v>
      </c>
      <c r="C2034" s="11" t="s">
        <v>101</v>
      </c>
      <c r="D2034" s="11" t="s">
        <v>102</v>
      </c>
      <c r="E2034" s="12" t="s">
        <v>2069</v>
      </c>
      <c r="F2034" s="12" t="s">
        <v>2070</v>
      </c>
      <c r="G2034" s="12" t="s">
        <v>305</v>
      </c>
      <c r="H2034" s="11" t="s">
        <v>63</v>
      </c>
      <c r="I2034" s="13" t="s">
        <v>4515</v>
      </c>
      <c r="J2034" s="14" t="str">
        <f>HYPERLINK("https://www.boe.es/gazeta/dias/1839/10/20/pdfs/GMD-1839-1806.pdf#page=6","Abrir facsímil")</f>
        <v>Abrir facsímil</v>
      </c>
      <c r="K2034" s="12" t="s">
        <v>65</v>
      </c>
    </row>
    <row r="2035" spans="1:11" ht="40.049999999999997" customHeight="1" x14ac:dyDescent="0.25">
      <c r="A2035" s="11" t="s">
        <v>4466</v>
      </c>
      <c r="B2035" s="11" t="s">
        <v>4466</v>
      </c>
      <c r="C2035" s="11" t="s">
        <v>17</v>
      </c>
      <c r="D2035" s="11" t="s">
        <v>18</v>
      </c>
      <c r="E2035" s="12" t="s">
        <v>794</v>
      </c>
      <c r="F2035" s="12" t="s">
        <v>795</v>
      </c>
      <c r="G2035" s="12" t="s">
        <v>40</v>
      </c>
      <c r="H2035" s="11" t="s">
        <v>63</v>
      </c>
      <c r="I2035" s="13" t="s">
        <v>4516</v>
      </c>
      <c r="J2035" s="14" t="str">
        <f>HYPERLINK("https://www.boe.es/gazeta/dias/1839/01/22/pdfs/GMD-1839-1529.pdf#page=2","Abrir facsímil")</f>
        <v>Abrir facsímil</v>
      </c>
      <c r="K2035" s="12" t="s">
        <v>65</v>
      </c>
    </row>
    <row r="2036" spans="1:11" ht="40.049999999999997" customHeight="1" x14ac:dyDescent="0.25">
      <c r="A2036" s="11" t="s">
        <v>4466</v>
      </c>
      <c r="B2036" s="11" t="s">
        <v>4466</v>
      </c>
      <c r="C2036" s="11" t="s">
        <v>17</v>
      </c>
      <c r="D2036" s="11" t="s">
        <v>18</v>
      </c>
      <c r="E2036" s="12" t="s">
        <v>360</v>
      </c>
      <c r="F2036" s="12" t="s">
        <v>361</v>
      </c>
      <c r="G2036" s="12" t="s">
        <v>29</v>
      </c>
      <c r="H2036" s="11" t="s">
        <v>63</v>
      </c>
      <c r="I2036" s="13" t="s">
        <v>4517</v>
      </c>
      <c r="J2036" s="14" t="str">
        <f>HYPERLINK("https://www.boe.es/gazeta/dias/1839/08/22/pdfs/GMD-1839-1743.pdf#page=1","Abrir facsímil")</f>
        <v>Abrir facsímil</v>
      </c>
      <c r="K2036" s="12" t="s">
        <v>65</v>
      </c>
    </row>
    <row r="2037" spans="1:11" ht="40.049999999999997" customHeight="1" x14ac:dyDescent="0.25">
      <c r="A2037" s="11" t="s">
        <v>4466</v>
      </c>
      <c r="B2037" s="11" t="s">
        <v>4466</v>
      </c>
      <c r="C2037" s="11" t="s">
        <v>17</v>
      </c>
      <c r="D2037" s="11" t="s">
        <v>18</v>
      </c>
      <c r="E2037" s="12" t="s">
        <v>1310</v>
      </c>
      <c r="F2037" s="12" t="s">
        <v>1311</v>
      </c>
      <c r="G2037" s="12" t="s">
        <v>29</v>
      </c>
      <c r="H2037" s="11" t="s">
        <v>63</v>
      </c>
      <c r="I2037" s="13" t="s">
        <v>4518</v>
      </c>
      <c r="J2037" s="14" t="str">
        <f>HYPERLINK("https://www.boe.es/gazeta/dias/1839/04/23/pdfs/GMD-1839-1620.pdf#page=1","Abrir facsímil")</f>
        <v>Abrir facsímil</v>
      </c>
      <c r="K2037" s="12" t="s">
        <v>65</v>
      </c>
    </row>
    <row r="2038" spans="1:11" ht="40.049999999999997" customHeight="1" x14ac:dyDescent="0.25">
      <c r="A2038" s="11" t="s">
        <v>4466</v>
      </c>
      <c r="B2038" s="11" t="s">
        <v>4466</v>
      </c>
      <c r="C2038" s="11" t="s">
        <v>101</v>
      </c>
      <c r="D2038" s="11" t="s">
        <v>102</v>
      </c>
      <c r="E2038" s="12" t="s">
        <v>346</v>
      </c>
      <c r="F2038" s="12" t="s">
        <v>347</v>
      </c>
      <c r="G2038" s="12" t="s">
        <v>46</v>
      </c>
      <c r="H2038" s="11" t="s">
        <v>63</v>
      </c>
      <c r="I2038" s="13" t="s">
        <v>4519</v>
      </c>
      <c r="J2038" s="14" t="str">
        <f>HYPERLINK("https://www.boe.es/gazeta/dias/1839/03/24/pdfs/GMD-1839-1590.pdf#page=3","Abrir facsímil")</f>
        <v>Abrir facsímil</v>
      </c>
      <c r="K2038" s="12" t="s">
        <v>65</v>
      </c>
    </row>
    <row r="2039" spans="1:11" ht="40.049999999999997" customHeight="1" x14ac:dyDescent="0.25">
      <c r="A2039" s="11" t="s">
        <v>4466</v>
      </c>
      <c r="B2039" s="11" t="s">
        <v>4466</v>
      </c>
      <c r="C2039" s="11" t="s">
        <v>17</v>
      </c>
      <c r="D2039" s="11" t="s">
        <v>18</v>
      </c>
      <c r="E2039" s="12" t="s">
        <v>416</v>
      </c>
      <c r="F2039" s="12" t="s">
        <v>417</v>
      </c>
      <c r="G2039" s="12" t="s">
        <v>40</v>
      </c>
      <c r="H2039" s="11" t="s">
        <v>63</v>
      </c>
      <c r="I2039" s="13" t="s">
        <v>4520</v>
      </c>
      <c r="J2039" s="14" t="str">
        <f>HYPERLINK("https://www.boe.es/gazeta/dias/1839/10/24/pdfs/GMD-1839-1810.pdf#page=2","Abrir facsímil")</f>
        <v>Abrir facsímil</v>
      </c>
      <c r="K2039" s="12" t="s">
        <v>65</v>
      </c>
    </row>
    <row r="2040" spans="1:11" ht="40.049999999999997" customHeight="1" x14ac:dyDescent="0.25">
      <c r="A2040" s="11" t="s">
        <v>4466</v>
      </c>
      <c r="B2040" s="11" t="s">
        <v>4466</v>
      </c>
      <c r="C2040" s="11" t="s">
        <v>17</v>
      </c>
      <c r="D2040" s="11" t="s">
        <v>18</v>
      </c>
      <c r="E2040" s="12" t="s">
        <v>416</v>
      </c>
      <c r="F2040" s="12" t="s">
        <v>417</v>
      </c>
      <c r="G2040" s="12" t="s">
        <v>46</v>
      </c>
      <c r="H2040" s="11" t="s">
        <v>63</v>
      </c>
      <c r="I2040" s="13" t="s">
        <v>4521</v>
      </c>
      <c r="J2040" s="14" t="str">
        <f>HYPERLINK("https://www.boe.es/gazeta/dias/1839/10/24/pdfs/GMD-1839-1810.pdf#page=3","Abrir facsímil")</f>
        <v>Abrir facsímil</v>
      </c>
      <c r="K2040" s="12" t="s">
        <v>65</v>
      </c>
    </row>
    <row r="2041" spans="1:11" ht="40.049999999999997" customHeight="1" x14ac:dyDescent="0.25">
      <c r="A2041" s="11" t="s">
        <v>4466</v>
      </c>
      <c r="B2041" s="11" t="s">
        <v>4466</v>
      </c>
      <c r="C2041" s="11" t="s">
        <v>17</v>
      </c>
      <c r="D2041" s="11" t="s">
        <v>18</v>
      </c>
      <c r="E2041" s="12" t="s">
        <v>416</v>
      </c>
      <c r="F2041" s="12" t="s">
        <v>417</v>
      </c>
      <c r="G2041" s="12" t="s">
        <v>21</v>
      </c>
      <c r="H2041" s="11" t="s">
        <v>63</v>
      </c>
      <c r="I2041" s="13" t="s">
        <v>4522</v>
      </c>
      <c r="J2041" s="14" t="str">
        <f>HYPERLINK("https://www.boe.es/gazeta/dias/1839/10/24/pdfs/GMD-1839-1810.pdf#page=4","Abrir facsímil")</f>
        <v>Abrir facsímil</v>
      </c>
      <c r="K2041" s="12" t="s">
        <v>65</v>
      </c>
    </row>
    <row r="2042" spans="1:11" ht="40.049999999999997" customHeight="1" x14ac:dyDescent="0.25">
      <c r="A2042" s="11" t="s">
        <v>4466</v>
      </c>
      <c r="B2042" s="11" t="s">
        <v>4466</v>
      </c>
      <c r="C2042" s="11" t="s">
        <v>59</v>
      </c>
      <c r="D2042" s="11" t="s">
        <v>60</v>
      </c>
      <c r="E2042" s="12" t="s">
        <v>826</v>
      </c>
      <c r="F2042" s="12" t="s">
        <v>827</v>
      </c>
      <c r="G2042" s="12" t="s">
        <v>40</v>
      </c>
      <c r="H2042" s="11" t="s">
        <v>63</v>
      </c>
      <c r="I2042" s="13" t="s">
        <v>4523</v>
      </c>
      <c r="J2042" s="14" t="str">
        <f>HYPERLINK("https://www.boe.es/gazeta/dias/1839/09/25/pdfs/GMD-1839-1781.pdf#page=2","Abrir facsímil")</f>
        <v>Abrir facsímil</v>
      </c>
      <c r="K2042" s="12" t="s">
        <v>65</v>
      </c>
    </row>
    <row r="2043" spans="1:11" ht="40.049999999999997" customHeight="1" x14ac:dyDescent="0.25">
      <c r="A2043" s="11" t="s">
        <v>4466</v>
      </c>
      <c r="B2043" s="11" t="s">
        <v>4466</v>
      </c>
      <c r="C2043" s="11" t="s">
        <v>137</v>
      </c>
      <c r="D2043" s="11" t="s">
        <v>18</v>
      </c>
      <c r="E2043" s="12" t="s">
        <v>650</v>
      </c>
      <c r="F2043" s="12" t="s">
        <v>651</v>
      </c>
      <c r="G2043" s="12" t="s">
        <v>46</v>
      </c>
      <c r="H2043" s="11" t="s">
        <v>63</v>
      </c>
      <c r="I2043" s="13" t="s">
        <v>4524</v>
      </c>
      <c r="J2043" s="14" t="str">
        <f>HYPERLINK("https://www.boe.es/gazeta/dias/1839/10/25/pdfs/GMD-1839-1811.pdf#page=3","Abrir facsímil")</f>
        <v>Abrir facsímil</v>
      </c>
      <c r="K2043" s="12" t="s">
        <v>65</v>
      </c>
    </row>
    <row r="2044" spans="1:11" ht="40.049999999999997" customHeight="1" x14ac:dyDescent="0.25">
      <c r="A2044" s="11" t="s">
        <v>4466</v>
      </c>
      <c r="B2044" s="11" t="s">
        <v>4466</v>
      </c>
      <c r="C2044" s="11" t="s">
        <v>17</v>
      </c>
      <c r="D2044" s="11" t="s">
        <v>18</v>
      </c>
      <c r="E2044" s="12" t="s">
        <v>1086</v>
      </c>
      <c r="F2044" s="12" t="s">
        <v>1087</v>
      </c>
      <c r="G2044" s="12" t="s">
        <v>21</v>
      </c>
      <c r="H2044" s="11" t="s">
        <v>63</v>
      </c>
      <c r="I2044" s="13" t="s">
        <v>4525</v>
      </c>
      <c r="J2044" s="14" t="str">
        <f>HYPERLINK("https://www.boe.es/gazeta/dias/1839/10/26/pdfs/GMD-1839-1812.pdf#page=4","Abrir facsímil")</f>
        <v>Abrir facsímil</v>
      </c>
      <c r="K2044" s="12" t="s">
        <v>65</v>
      </c>
    </row>
    <row r="2045" spans="1:11" ht="40.049999999999997" customHeight="1" x14ac:dyDescent="0.25">
      <c r="A2045" s="11" t="s">
        <v>4466</v>
      </c>
      <c r="B2045" s="11" t="s">
        <v>4466</v>
      </c>
      <c r="C2045" s="11" t="s">
        <v>101</v>
      </c>
      <c r="D2045" s="11" t="s">
        <v>102</v>
      </c>
      <c r="E2045" s="12" t="s">
        <v>522</v>
      </c>
      <c r="F2045" s="12" t="s">
        <v>523</v>
      </c>
      <c r="G2045" s="12" t="s">
        <v>29</v>
      </c>
      <c r="H2045" s="11" t="s">
        <v>63</v>
      </c>
      <c r="I2045" s="13" t="s">
        <v>4526</v>
      </c>
      <c r="J2045" s="14" t="str">
        <f>HYPERLINK("https://www.boe.es/gazeta/dias/1839/08/27/pdfs/GMD-1839-1748.pdf#page=1","Abrir facsímil")</f>
        <v>Abrir facsímil</v>
      </c>
      <c r="K2045" s="12" t="s">
        <v>65</v>
      </c>
    </row>
    <row r="2046" spans="1:11" ht="40.049999999999997" customHeight="1" x14ac:dyDescent="0.25">
      <c r="A2046" s="11" t="s">
        <v>4466</v>
      </c>
      <c r="B2046" s="11" t="s">
        <v>4466</v>
      </c>
      <c r="C2046" s="11" t="s">
        <v>101</v>
      </c>
      <c r="D2046" s="11" t="s">
        <v>43</v>
      </c>
      <c r="E2046" s="12" t="s">
        <v>1909</v>
      </c>
      <c r="F2046" s="12" t="s">
        <v>1910</v>
      </c>
      <c r="G2046" s="12" t="s">
        <v>46</v>
      </c>
      <c r="H2046" s="11" t="s">
        <v>63</v>
      </c>
      <c r="I2046" s="13" t="s">
        <v>4527</v>
      </c>
      <c r="J2046" s="14" t="str">
        <f>HYPERLINK("https://www.boe.es/gazeta/dias/1839/10/27/pdfs/GMD-1839-1813.pdf#page=3","Abrir facsímil")</f>
        <v>Abrir facsímil</v>
      </c>
      <c r="K2046" s="12" t="s">
        <v>65</v>
      </c>
    </row>
    <row r="2047" spans="1:11" ht="40.049999999999997" customHeight="1" x14ac:dyDescent="0.25">
      <c r="A2047" s="11" t="s">
        <v>4466</v>
      </c>
      <c r="B2047" s="11" t="s">
        <v>4466</v>
      </c>
      <c r="C2047" s="11" t="s">
        <v>17</v>
      </c>
      <c r="D2047" s="11" t="s">
        <v>18</v>
      </c>
      <c r="E2047" s="12" t="s">
        <v>4528</v>
      </c>
      <c r="F2047" s="12" t="s">
        <v>4529</v>
      </c>
      <c r="G2047" s="12" t="s">
        <v>21</v>
      </c>
      <c r="H2047" s="11" t="s">
        <v>63</v>
      </c>
      <c r="I2047" s="13" t="s">
        <v>4530</v>
      </c>
      <c r="J2047" s="14" t="str">
        <f>HYPERLINK("https://www.boe.es/gazeta/dias/1839/01/28/pdfs/GMD-1839-1535.pdf#page=4","Abrir facsímil")</f>
        <v>Abrir facsímil</v>
      </c>
      <c r="K2047" s="12" t="s">
        <v>65</v>
      </c>
    </row>
    <row r="2048" spans="1:11" ht="40.049999999999997" customHeight="1" x14ac:dyDescent="0.25">
      <c r="A2048" s="11" t="s">
        <v>4466</v>
      </c>
      <c r="B2048" s="11" t="s">
        <v>4466</v>
      </c>
      <c r="C2048" s="11" t="s">
        <v>17</v>
      </c>
      <c r="D2048" s="11" t="s">
        <v>18</v>
      </c>
      <c r="E2048" s="12" t="s">
        <v>27</v>
      </c>
      <c r="F2048" s="12" t="s">
        <v>28</v>
      </c>
      <c r="G2048" s="12" t="s">
        <v>29</v>
      </c>
      <c r="H2048" s="11" t="s">
        <v>63</v>
      </c>
      <c r="I2048" s="13" t="s">
        <v>4531</v>
      </c>
      <c r="J2048" s="14" t="str">
        <f>HYPERLINK("https://www.boe.es/gazeta/dias/1839/07/28/pdfs/GMD-1839-1717.pdf#page=1","Abrir facsímil")</f>
        <v>Abrir facsímil</v>
      </c>
      <c r="K2048" s="12" t="s">
        <v>65</v>
      </c>
    </row>
    <row r="2049" spans="1:11" ht="40.049999999999997" customHeight="1" x14ac:dyDescent="0.25">
      <c r="A2049" s="11" t="s">
        <v>4466</v>
      </c>
      <c r="B2049" s="11" t="s">
        <v>4466</v>
      </c>
      <c r="C2049" s="11" t="s">
        <v>59</v>
      </c>
      <c r="D2049" s="11" t="s">
        <v>60</v>
      </c>
      <c r="E2049" s="12" t="s">
        <v>2349</v>
      </c>
      <c r="F2049" s="12" t="s">
        <v>2350</v>
      </c>
      <c r="G2049" s="12" t="s">
        <v>305</v>
      </c>
      <c r="H2049" s="11" t="s">
        <v>63</v>
      </c>
      <c r="I2049" s="13" t="s">
        <v>4532</v>
      </c>
      <c r="J2049" s="14" t="str">
        <f>HYPERLINK("https://www.boe.es/gazeta/dias/1839/09/29/pdfs/GMD-1839-1785.pdf#page=6","Abrir facsímil")</f>
        <v>Abrir facsímil</v>
      </c>
      <c r="K2049" s="12" t="s">
        <v>65</v>
      </c>
    </row>
    <row r="2050" spans="1:11" ht="40.049999999999997" customHeight="1" x14ac:dyDescent="0.25">
      <c r="A2050" s="11" t="s">
        <v>4466</v>
      </c>
      <c r="B2050" s="11" t="s">
        <v>4466</v>
      </c>
      <c r="C2050" s="11" t="s">
        <v>17</v>
      </c>
      <c r="D2050" s="11" t="s">
        <v>18</v>
      </c>
      <c r="E2050" s="12" t="s">
        <v>4292</v>
      </c>
      <c r="F2050" s="12" t="s">
        <v>4293</v>
      </c>
      <c r="G2050" s="12" t="s">
        <v>40</v>
      </c>
      <c r="H2050" s="11" t="s">
        <v>63</v>
      </c>
      <c r="I2050" s="13" t="s">
        <v>4533</v>
      </c>
      <c r="J2050" s="14" t="str">
        <f>HYPERLINK("https://www.boe.es/gazeta/dias/1839/11/29/pdfs/GMD-1839-1846.pdf#page=2","Abrir facsímil")</f>
        <v>Abrir facsímil</v>
      </c>
      <c r="K2050" s="12" t="s">
        <v>65</v>
      </c>
    </row>
    <row r="2051" spans="1:11" ht="40.049999999999997" customHeight="1" x14ac:dyDescent="0.25">
      <c r="A2051" s="11" t="s">
        <v>4466</v>
      </c>
      <c r="B2051" s="11" t="s">
        <v>4466</v>
      </c>
      <c r="C2051" s="11" t="s">
        <v>101</v>
      </c>
      <c r="D2051" s="11" t="s">
        <v>102</v>
      </c>
      <c r="E2051" s="12" t="s">
        <v>1287</v>
      </c>
      <c r="F2051" s="12" t="s">
        <v>1288</v>
      </c>
      <c r="G2051" s="12" t="s">
        <v>46</v>
      </c>
      <c r="H2051" s="11" t="s">
        <v>63</v>
      </c>
      <c r="I2051" s="13" t="s">
        <v>4534</v>
      </c>
      <c r="J2051" s="14" t="str">
        <f>HYPERLINK("https://www.boe.es/gazeta/dias/1839/10/30/pdfs/GMD-1839-1816.pdf#page=3","Abrir facsímil")</f>
        <v>Abrir facsímil</v>
      </c>
      <c r="K2051" s="12" t="s">
        <v>65</v>
      </c>
    </row>
    <row r="2052" spans="1:11" ht="40.049999999999997" customHeight="1" x14ac:dyDescent="0.25">
      <c r="A2052" s="11" t="s">
        <v>4535</v>
      </c>
      <c r="B2052" s="11" t="s">
        <v>4536</v>
      </c>
      <c r="C2052" s="11" t="s">
        <v>101</v>
      </c>
      <c r="D2052" s="11" t="s">
        <v>43</v>
      </c>
      <c r="E2052" s="12" t="s">
        <v>154</v>
      </c>
      <c r="F2052" s="12" t="s">
        <v>155</v>
      </c>
      <c r="G2052" s="12" t="s">
        <v>46</v>
      </c>
      <c r="H2052" s="11" t="s">
        <v>22</v>
      </c>
      <c r="I2052" s="13" t="s">
        <v>4537</v>
      </c>
      <c r="J2052" s="14" t="str">
        <f>HYPERLINK("https://www.boe.es/gazeta/dias/1839/02/02/pdfs/GMD-1839-1540.pdf#page=3","Abrir facsímil")</f>
        <v>Abrir facsímil</v>
      </c>
      <c r="K2052" s="12" t="s">
        <v>24</v>
      </c>
    </row>
    <row r="2053" spans="1:11" ht="40.049999999999997" customHeight="1" x14ac:dyDescent="0.25">
      <c r="A2053" s="11" t="s">
        <v>4535</v>
      </c>
      <c r="B2053" s="11" t="s">
        <v>4536</v>
      </c>
      <c r="C2053" s="11" t="s">
        <v>17</v>
      </c>
      <c r="D2053" s="11" t="s">
        <v>18</v>
      </c>
      <c r="E2053" s="12" t="s">
        <v>1813</v>
      </c>
      <c r="F2053" s="12" t="s">
        <v>1814</v>
      </c>
      <c r="G2053" s="12" t="s">
        <v>46</v>
      </c>
      <c r="H2053" s="11" t="s">
        <v>22</v>
      </c>
      <c r="I2053" s="13" t="s">
        <v>4538</v>
      </c>
      <c r="J2053" s="14" t="str">
        <f>HYPERLINK("https://www.boe.es/gazeta/dias/1839/09/02/pdfs/GMD-1839-1754.pdf#page=3","Abrir facsímil")</f>
        <v>Abrir facsímil</v>
      </c>
      <c r="K2053" s="12" t="s">
        <v>24</v>
      </c>
    </row>
    <row r="2054" spans="1:11" ht="40.049999999999997" customHeight="1" x14ac:dyDescent="0.25">
      <c r="A2054" s="11" t="s">
        <v>4535</v>
      </c>
      <c r="B2054" s="11" t="s">
        <v>4536</v>
      </c>
      <c r="C2054" s="11" t="s">
        <v>17</v>
      </c>
      <c r="D2054" s="11" t="s">
        <v>18</v>
      </c>
      <c r="E2054" s="12" t="s">
        <v>2210</v>
      </c>
      <c r="F2054" s="12" t="s">
        <v>2211</v>
      </c>
      <c r="G2054" s="12" t="s">
        <v>21</v>
      </c>
      <c r="H2054" s="11" t="s">
        <v>22</v>
      </c>
      <c r="I2054" s="13" t="s">
        <v>4539</v>
      </c>
      <c r="J2054" s="14" t="str">
        <f>HYPERLINK("https://www.boe.es/gazeta/dias/1839/09/05/pdfs/GMD-1839-1758.pdf#page=4","Abrir facsímil")</f>
        <v>Abrir facsímil</v>
      </c>
      <c r="K2054" s="12" t="s">
        <v>24</v>
      </c>
    </row>
    <row r="2055" spans="1:11" ht="40.049999999999997" customHeight="1" x14ac:dyDescent="0.25">
      <c r="A2055" s="11" t="s">
        <v>4535</v>
      </c>
      <c r="B2055" s="11" t="s">
        <v>4536</v>
      </c>
      <c r="C2055" s="11" t="s">
        <v>17</v>
      </c>
      <c r="D2055" s="11" t="s">
        <v>18</v>
      </c>
      <c r="E2055" s="12" t="s">
        <v>157</v>
      </c>
      <c r="F2055" s="12" t="s">
        <v>158</v>
      </c>
      <c r="G2055" s="12" t="s">
        <v>29</v>
      </c>
      <c r="H2055" s="11" t="s">
        <v>22</v>
      </c>
      <c r="I2055" s="13" t="s">
        <v>4540</v>
      </c>
      <c r="J2055" s="14" t="str">
        <f>HYPERLINK("https://www.boe.es/gazeta/dias/1839/02/08/pdfs/GMD-1839-1546.pdf#page=1","Abrir facsímil")</f>
        <v>Abrir facsímil</v>
      </c>
      <c r="K2055" s="12" t="s">
        <v>24</v>
      </c>
    </row>
    <row r="2056" spans="1:11" ht="40.049999999999997" customHeight="1" x14ac:dyDescent="0.25">
      <c r="A2056" s="11" t="s">
        <v>4535</v>
      </c>
      <c r="B2056" s="11" t="s">
        <v>4536</v>
      </c>
      <c r="C2056" s="11" t="s">
        <v>17</v>
      </c>
      <c r="D2056" s="11" t="s">
        <v>18</v>
      </c>
      <c r="E2056" s="12" t="s">
        <v>2155</v>
      </c>
      <c r="F2056" s="12" t="s">
        <v>2156</v>
      </c>
      <c r="G2056" s="12" t="s">
        <v>29</v>
      </c>
      <c r="H2056" s="11" t="s">
        <v>22</v>
      </c>
      <c r="I2056" s="13" t="s">
        <v>4541</v>
      </c>
      <c r="J2056" s="14" t="str">
        <f>HYPERLINK("https://www.boe.es/gazeta/dias/1839/01/17/pdfs/GMD-1839-1524.pdf#page=1","Abrir facsímil")</f>
        <v>Abrir facsímil</v>
      </c>
      <c r="K2056" s="12" t="s">
        <v>24</v>
      </c>
    </row>
    <row r="2057" spans="1:11" ht="40.049999999999997" customHeight="1" x14ac:dyDescent="0.25">
      <c r="A2057" s="11" t="s">
        <v>4535</v>
      </c>
      <c r="B2057" s="11" t="s">
        <v>4536</v>
      </c>
      <c r="C2057" s="11" t="s">
        <v>17</v>
      </c>
      <c r="D2057" s="11" t="s">
        <v>18</v>
      </c>
      <c r="E2057" s="12" t="s">
        <v>1179</v>
      </c>
      <c r="F2057" s="12" t="s">
        <v>1180</v>
      </c>
      <c r="G2057" s="12" t="s">
        <v>566</v>
      </c>
      <c r="H2057" s="11" t="s">
        <v>22</v>
      </c>
      <c r="I2057" s="13" t="s">
        <v>4542</v>
      </c>
      <c r="J2057" s="14" t="str">
        <f>HYPERLINK("https://www.boe.es/gazeta/dias/1839/10/18/pdfs/GMD-1839-1804.pdf#page=5","Abrir facsímil")</f>
        <v>Abrir facsímil</v>
      </c>
      <c r="K2057" s="12" t="s">
        <v>24</v>
      </c>
    </row>
    <row r="2058" spans="1:11" ht="40.049999999999997" customHeight="1" x14ac:dyDescent="0.25">
      <c r="A2058" s="11" t="s">
        <v>4535</v>
      </c>
      <c r="B2058" s="11" t="s">
        <v>4536</v>
      </c>
      <c r="C2058" s="11" t="s">
        <v>101</v>
      </c>
      <c r="D2058" s="11" t="s">
        <v>102</v>
      </c>
      <c r="E2058" s="12" t="s">
        <v>469</v>
      </c>
      <c r="F2058" s="12" t="s">
        <v>470</v>
      </c>
      <c r="G2058" s="12" t="s">
        <v>21</v>
      </c>
      <c r="H2058" s="11" t="s">
        <v>22</v>
      </c>
      <c r="I2058" s="13" t="s">
        <v>4543</v>
      </c>
      <c r="J2058" s="14" t="str">
        <f>HYPERLINK("https://www.boe.es/gazeta/dias/1839/08/20/pdfs/GMD-1839-1741.pdf#page=4","Abrir facsímil")</f>
        <v>Abrir facsímil</v>
      </c>
      <c r="K2058" s="12" t="s">
        <v>24</v>
      </c>
    </row>
    <row r="2059" spans="1:11" ht="40.049999999999997" customHeight="1" x14ac:dyDescent="0.25">
      <c r="A2059" s="11" t="s">
        <v>4535</v>
      </c>
      <c r="B2059" s="11" t="s">
        <v>4536</v>
      </c>
      <c r="C2059" s="11" t="s">
        <v>17</v>
      </c>
      <c r="D2059" s="11" t="s">
        <v>18</v>
      </c>
      <c r="E2059" s="12" t="s">
        <v>1159</v>
      </c>
      <c r="F2059" s="12" t="s">
        <v>1160</v>
      </c>
      <c r="G2059" s="12" t="s">
        <v>21</v>
      </c>
      <c r="H2059" s="11" t="s">
        <v>22</v>
      </c>
      <c r="I2059" s="13" t="s">
        <v>4544</v>
      </c>
      <c r="J2059" s="14" t="str">
        <f>HYPERLINK("https://www.boe.es/gazeta/dias/1839/11/26/pdfs/GMD-1839-1843.pdf#page=4","Abrir facsímil")</f>
        <v>Abrir facsímil</v>
      </c>
      <c r="K2059" s="12" t="s">
        <v>24</v>
      </c>
    </row>
    <row r="2060" spans="1:11" ht="40.049999999999997" customHeight="1" x14ac:dyDescent="0.25">
      <c r="A2060" s="11" t="s">
        <v>4545</v>
      </c>
      <c r="B2060" s="11" t="s">
        <v>4546</v>
      </c>
      <c r="C2060" s="11" t="s">
        <v>17</v>
      </c>
      <c r="D2060" s="11" t="s">
        <v>18</v>
      </c>
      <c r="E2060" s="12" t="s">
        <v>1398</v>
      </c>
      <c r="F2060" s="12" t="s">
        <v>1399</v>
      </c>
      <c r="G2060" s="12" t="s">
        <v>21</v>
      </c>
      <c r="H2060" s="11" t="s">
        <v>22</v>
      </c>
      <c r="I2060" s="13" t="s">
        <v>4547</v>
      </c>
      <c r="J2060" s="14" t="str">
        <f>HYPERLINK("https://www.boe.es/gazeta/dias/1839/05/27/pdfs/GMD-1839-1654.pdf#page=4","Abrir facsímil")</f>
        <v>Abrir facsímil</v>
      </c>
      <c r="K2060" s="12" t="s">
        <v>24</v>
      </c>
    </row>
    <row r="2061" spans="1:11" ht="40.049999999999997" customHeight="1" x14ac:dyDescent="0.25">
      <c r="A2061" s="11" t="s">
        <v>4548</v>
      </c>
      <c r="B2061" s="11" t="s">
        <v>4548</v>
      </c>
      <c r="C2061" s="11" t="s">
        <v>101</v>
      </c>
      <c r="D2061" s="11" t="s">
        <v>102</v>
      </c>
      <c r="E2061" s="12" t="s">
        <v>132</v>
      </c>
      <c r="F2061" s="12" t="s">
        <v>133</v>
      </c>
      <c r="G2061" s="12" t="s">
        <v>46</v>
      </c>
      <c r="H2061" s="11" t="s">
        <v>63</v>
      </c>
      <c r="I2061" s="13" t="s">
        <v>4549</v>
      </c>
      <c r="J2061" s="14" t="str">
        <f>HYPERLINK("https://www.boe.es/gazeta/dias/1839/08/02/pdfs/GMD-1839-1722.pdf#page=3","Abrir facsímil")</f>
        <v>Abrir facsímil</v>
      </c>
      <c r="K2061" s="12" t="s">
        <v>65</v>
      </c>
    </row>
    <row r="2062" spans="1:11" ht="40.049999999999997" customHeight="1" x14ac:dyDescent="0.25">
      <c r="A2062" s="11" t="s">
        <v>4548</v>
      </c>
      <c r="B2062" s="11" t="s">
        <v>4548</v>
      </c>
      <c r="C2062" s="11" t="s">
        <v>137</v>
      </c>
      <c r="D2062" s="11" t="s">
        <v>18</v>
      </c>
      <c r="E2062" s="12" t="s">
        <v>4550</v>
      </c>
      <c r="F2062" s="12" t="s">
        <v>4551</v>
      </c>
      <c r="G2062" s="12" t="s">
        <v>21</v>
      </c>
      <c r="H2062" s="11" t="s">
        <v>63</v>
      </c>
      <c r="I2062" s="13" t="s">
        <v>4552</v>
      </c>
      <c r="J2062" s="14" t="str">
        <f>HYPERLINK("https://www.boe.es/gazeta/dias/1839/04/17/pdfs/GMD-1839-1614.pdf#page=4","Abrir facsímil")</f>
        <v>Abrir facsímil</v>
      </c>
      <c r="K2062" s="12" t="s">
        <v>65</v>
      </c>
    </row>
    <row r="2063" spans="1:11" ht="40.049999999999997" customHeight="1" x14ac:dyDescent="0.25">
      <c r="A2063" s="11" t="s">
        <v>4553</v>
      </c>
      <c r="B2063" s="11" t="s">
        <v>4553</v>
      </c>
      <c r="C2063" s="11" t="s">
        <v>17</v>
      </c>
      <c r="D2063" s="11" t="s">
        <v>18</v>
      </c>
      <c r="E2063" s="12" t="s">
        <v>1657</v>
      </c>
      <c r="F2063" s="12" t="s">
        <v>1658</v>
      </c>
      <c r="G2063" s="12" t="s">
        <v>46</v>
      </c>
      <c r="H2063" s="11" t="s">
        <v>63</v>
      </c>
      <c r="I2063" s="13" t="s">
        <v>4554</v>
      </c>
      <c r="J2063" s="14" t="str">
        <f>HYPERLINK("https://www.boe.es/gazeta/dias/1839/02/21/pdfs/GMD-1839-1559.pdf#page=3","Abrir facsímil")</f>
        <v>Abrir facsímil</v>
      </c>
      <c r="K2063" s="12" t="s">
        <v>65</v>
      </c>
    </row>
    <row r="2064" spans="1:11" ht="40.049999999999997" customHeight="1" x14ac:dyDescent="0.25">
      <c r="A2064" s="11" t="s">
        <v>4555</v>
      </c>
      <c r="B2064" s="11" t="s">
        <v>4555</v>
      </c>
      <c r="C2064" s="11" t="s">
        <v>137</v>
      </c>
      <c r="D2064" s="11" t="s">
        <v>18</v>
      </c>
      <c r="E2064" s="12" t="s">
        <v>716</v>
      </c>
      <c r="F2064" s="12" t="s">
        <v>717</v>
      </c>
      <c r="G2064" s="12" t="s">
        <v>29</v>
      </c>
      <c r="H2064" s="11" t="s">
        <v>63</v>
      </c>
      <c r="I2064" s="13" t="s">
        <v>4556</v>
      </c>
      <c r="J2064" s="14" t="str">
        <f>HYPERLINK("https://www.boe.es/gazeta/dias/1839/07/30/pdfs/GMD-1839-1719.pdf#page=1","Abrir facsímil")</f>
        <v>Abrir facsímil</v>
      </c>
      <c r="K2064" s="12" t="s">
        <v>65</v>
      </c>
    </row>
    <row r="2065" spans="1:11" ht="40.049999999999997" customHeight="1" x14ac:dyDescent="0.25">
      <c r="A2065" s="11" t="s">
        <v>4557</v>
      </c>
      <c r="B2065" s="11" t="s">
        <v>4557</v>
      </c>
      <c r="C2065" s="11" t="s">
        <v>59</v>
      </c>
      <c r="D2065" s="11" t="s">
        <v>60</v>
      </c>
      <c r="E2065" s="12" t="s">
        <v>1474</v>
      </c>
      <c r="F2065" s="12" t="s">
        <v>1475</v>
      </c>
      <c r="G2065" s="12" t="s">
        <v>21</v>
      </c>
      <c r="H2065" s="11" t="s">
        <v>63</v>
      </c>
      <c r="I2065" s="13" t="s">
        <v>4558</v>
      </c>
      <c r="J2065" s="14" t="str">
        <f>HYPERLINK("https://www.boe.es/gazeta/dias/1839/02/28/pdfs/GMD-1839-1566.pdf#page=4","Abrir facsímil")</f>
        <v>Abrir facsímil</v>
      </c>
      <c r="K2065" s="12" t="s">
        <v>65</v>
      </c>
    </row>
    <row r="2066" spans="1:11" ht="40.049999999999997" customHeight="1" x14ac:dyDescent="0.25">
      <c r="A2066" s="11" t="s">
        <v>4559</v>
      </c>
      <c r="B2066" s="11" t="s">
        <v>4560</v>
      </c>
      <c r="C2066" s="11" t="s">
        <v>17</v>
      </c>
      <c r="D2066" s="11" t="s">
        <v>18</v>
      </c>
      <c r="E2066" s="12" t="s">
        <v>479</v>
      </c>
      <c r="F2066" s="12" t="s">
        <v>480</v>
      </c>
      <c r="G2066" s="12" t="s">
        <v>21</v>
      </c>
      <c r="H2066" s="11" t="s">
        <v>63</v>
      </c>
      <c r="I2066" s="13" t="s">
        <v>4561</v>
      </c>
      <c r="J2066" s="14" t="str">
        <f>HYPERLINK("https://www.boe.es/gazeta/dias/1839/06/24/pdfs/GMD-1839-1682.pdf#page=4","Abrir facsímil")</f>
        <v>Abrir facsímil</v>
      </c>
      <c r="K2066" s="12" t="s">
        <v>65</v>
      </c>
    </row>
    <row r="2067" spans="1:11" ht="40.049999999999997" customHeight="1" x14ac:dyDescent="0.25">
      <c r="A2067" s="11" t="s">
        <v>4562</v>
      </c>
      <c r="B2067" s="11" t="s">
        <v>4562</v>
      </c>
      <c r="C2067" s="11" t="s">
        <v>17</v>
      </c>
      <c r="D2067" s="11" t="s">
        <v>18</v>
      </c>
      <c r="E2067" s="12" t="s">
        <v>1648</v>
      </c>
      <c r="F2067" s="12" t="s">
        <v>1649</v>
      </c>
      <c r="G2067" s="12" t="s">
        <v>29</v>
      </c>
      <c r="H2067" s="11" t="s">
        <v>63</v>
      </c>
      <c r="I2067" s="13" t="s">
        <v>4563</v>
      </c>
      <c r="J2067" s="14" t="str">
        <f>HYPERLINK("https://www.boe.es/gazeta/dias/1839/08/18/pdfs/GMD-1839-1738.pdf#page=1","Abrir facsímil")</f>
        <v>Abrir facsímil</v>
      </c>
      <c r="K2067" s="12" t="s">
        <v>65</v>
      </c>
    </row>
    <row r="2068" spans="1:11" ht="40.049999999999997" customHeight="1" x14ac:dyDescent="0.25">
      <c r="A2068" s="11" t="s">
        <v>4564</v>
      </c>
      <c r="B2068" s="11" t="s">
        <v>4564</v>
      </c>
      <c r="C2068" s="11" t="s">
        <v>80</v>
      </c>
      <c r="D2068" s="11" t="s">
        <v>18</v>
      </c>
      <c r="E2068" s="12" t="s">
        <v>596</v>
      </c>
      <c r="F2068" s="12" t="s">
        <v>597</v>
      </c>
      <c r="G2068" s="12" t="s">
        <v>21</v>
      </c>
      <c r="H2068" s="11" t="s">
        <v>63</v>
      </c>
      <c r="I2068" s="13" t="s">
        <v>4565</v>
      </c>
      <c r="J2068" s="14" t="str">
        <f>HYPERLINK("https://www.boe.es/gazeta/dias/1839/01/23/pdfs/GMD-1839-1530.pdf#page=4","Abrir facsímil")</f>
        <v>Abrir facsímil</v>
      </c>
      <c r="K2068" s="12" t="s">
        <v>65</v>
      </c>
    </row>
    <row r="2069" spans="1:11" ht="40.049999999999997" customHeight="1" x14ac:dyDescent="0.25">
      <c r="A2069" s="11" t="s">
        <v>4566</v>
      </c>
      <c r="B2069" s="11" t="s">
        <v>4566</v>
      </c>
      <c r="C2069" s="11" t="s">
        <v>17</v>
      </c>
      <c r="D2069" s="11" t="s">
        <v>43</v>
      </c>
      <c r="E2069" s="12" t="s">
        <v>4475</v>
      </c>
      <c r="F2069" s="12" t="s">
        <v>4476</v>
      </c>
      <c r="G2069" s="12" t="s">
        <v>40</v>
      </c>
      <c r="H2069" s="11" t="s">
        <v>63</v>
      </c>
      <c r="I2069" s="13" t="s">
        <v>4567</v>
      </c>
      <c r="J2069" s="14" t="str">
        <f>HYPERLINK("https://www.boe.es/gazeta/dias/1839/07/04/pdfs/GMD-1839-1692.pdf#page=2","Abrir facsímil")</f>
        <v>Abrir facsímil</v>
      </c>
      <c r="K2069" s="12" t="s">
        <v>65</v>
      </c>
    </row>
    <row r="2070" spans="1:11" ht="40.049999999999997" customHeight="1" x14ac:dyDescent="0.25">
      <c r="A2070" s="11" t="s">
        <v>4568</v>
      </c>
      <c r="B2070" s="11" t="s">
        <v>4569</v>
      </c>
      <c r="C2070" s="11" t="s">
        <v>17</v>
      </c>
      <c r="D2070" s="11" t="s">
        <v>18</v>
      </c>
      <c r="E2070" s="12" t="s">
        <v>1891</v>
      </c>
      <c r="F2070" s="12" t="s">
        <v>1892</v>
      </c>
      <c r="G2070" s="12" t="s">
        <v>21</v>
      </c>
      <c r="H2070" s="11" t="s">
        <v>63</v>
      </c>
      <c r="I2070" s="13" t="s">
        <v>4570</v>
      </c>
      <c r="J2070" s="14" t="str">
        <f>HYPERLINK("https://www.boe.es/gazeta/dias/1839/12/14/pdfs/GMD-1839-1861.pdf#page=4","Abrir facsímil")</f>
        <v>Abrir facsímil</v>
      </c>
      <c r="K2070" s="12" t="s">
        <v>65</v>
      </c>
    </row>
    <row r="2071" spans="1:11" ht="40.049999999999997" customHeight="1" x14ac:dyDescent="0.25">
      <c r="A2071" s="11" t="s">
        <v>4568</v>
      </c>
      <c r="B2071" s="11" t="s">
        <v>4569</v>
      </c>
      <c r="C2071" s="11" t="s">
        <v>80</v>
      </c>
      <c r="D2071" s="11" t="s">
        <v>18</v>
      </c>
      <c r="E2071" s="12" t="s">
        <v>1528</v>
      </c>
      <c r="F2071" s="12" t="s">
        <v>1529</v>
      </c>
      <c r="G2071" s="12" t="s">
        <v>21</v>
      </c>
      <c r="H2071" s="11" t="s">
        <v>63</v>
      </c>
      <c r="I2071" s="13" t="s">
        <v>4571</v>
      </c>
      <c r="J2071" s="14" t="str">
        <f>HYPERLINK("https://www.boe.es/gazeta/dias/1839/12/15/pdfs/GMD-1839-1862.pdf#page=4","Abrir facsímil")</f>
        <v>Abrir facsímil</v>
      </c>
      <c r="K2071" s="12" t="s">
        <v>65</v>
      </c>
    </row>
    <row r="2072" spans="1:11" ht="40.049999999999997" customHeight="1" x14ac:dyDescent="0.25">
      <c r="A2072" s="11" t="s">
        <v>4568</v>
      </c>
      <c r="B2072" s="11" t="s">
        <v>4569</v>
      </c>
      <c r="C2072" s="11" t="s">
        <v>59</v>
      </c>
      <c r="D2072" s="11" t="s">
        <v>60</v>
      </c>
      <c r="E2072" s="12" t="s">
        <v>1537</v>
      </c>
      <c r="F2072" s="12" t="s">
        <v>1538</v>
      </c>
      <c r="G2072" s="12" t="s">
        <v>21</v>
      </c>
      <c r="H2072" s="11" t="s">
        <v>63</v>
      </c>
      <c r="I2072" s="13" t="s">
        <v>4572</v>
      </c>
      <c r="J2072" s="14" t="str">
        <f>HYPERLINK("https://www.boe.es/gazeta/dias/1839/12/16/pdfs/GMD-1839-1863.pdf#page=4","Abrir facsímil")</f>
        <v>Abrir facsímil</v>
      </c>
      <c r="K2072" s="12" t="s">
        <v>65</v>
      </c>
    </row>
    <row r="2073" spans="1:11" ht="40.049999999999997" customHeight="1" x14ac:dyDescent="0.25">
      <c r="A2073" s="11" t="s">
        <v>4573</v>
      </c>
      <c r="B2073" s="11" t="s">
        <v>4573</v>
      </c>
      <c r="C2073" s="11" t="s">
        <v>17</v>
      </c>
      <c r="D2073" s="11" t="s">
        <v>18</v>
      </c>
      <c r="E2073" s="12" t="s">
        <v>1479</v>
      </c>
      <c r="F2073" s="12" t="s">
        <v>1480</v>
      </c>
      <c r="G2073" s="12" t="s">
        <v>46</v>
      </c>
      <c r="H2073" s="11" t="s">
        <v>63</v>
      </c>
      <c r="I2073" s="13" t="s">
        <v>4574</v>
      </c>
      <c r="J2073" s="14" t="str">
        <f>HYPERLINK("https://www.boe.es/gazeta/dias/1839/04/09/pdfs/GMD-1839-1606.pdf#page=3","Abrir facsímil")</f>
        <v>Abrir facsímil</v>
      </c>
      <c r="K2073" s="12" t="s">
        <v>65</v>
      </c>
    </row>
    <row r="2074" spans="1:11" ht="40.049999999999997" customHeight="1" x14ac:dyDescent="0.25">
      <c r="A2074" s="11" t="s">
        <v>4575</v>
      </c>
      <c r="B2074" s="11" t="s">
        <v>4576</v>
      </c>
      <c r="C2074" s="11" t="s">
        <v>137</v>
      </c>
      <c r="D2074" s="11" t="s">
        <v>18</v>
      </c>
      <c r="E2074" s="12" t="s">
        <v>3614</v>
      </c>
      <c r="F2074" s="12" t="s">
        <v>3615</v>
      </c>
      <c r="G2074" s="12" t="s">
        <v>29</v>
      </c>
      <c r="H2074" s="11" t="s">
        <v>63</v>
      </c>
      <c r="I2074" s="13" t="s">
        <v>4577</v>
      </c>
      <c r="J2074" s="14" t="str">
        <f>HYPERLINK("https://www.boe.es/gazeta/dias/1839/04/04/pdfs/GMD-1839-1601.pdf#page=1","Abrir facsímil")</f>
        <v>Abrir facsímil</v>
      </c>
      <c r="K2074" s="12" t="s">
        <v>65</v>
      </c>
    </row>
    <row r="2075" spans="1:11" ht="40.049999999999997" customHeight="1" x14ac:dyDescent="0.25">
      <c r="A2075" s="11" t="s">
        <v>4575</v>
      </c>
      <c r="B2075" s="11" t="s">
        <v>4576</v>
      </c>
      <c r="C2075" s="11" t="s">
        <v>17</v>
      </c>
      <c r="D2075" s="11" t="s">
        <v>18</v>
      </c>
      <c r="E2075" s="12" t="s">
        <v>685</v>
      </c>
      <c r="F2075" s="12" t="s">
        <v>686</v>
      </c>
      <c r="G2075" s="12" t="s">
        <v>21</v>
      </c>
      <c r="H2075" s="11" t="s">
        <v>63</v>
      </c>
      <c r="I2075" s="13" t="s">
        <v>4578</v>
      </c>
      <c r="J2075" s="14" t="str">
        <f>HYPERLINK("https://www.boe.es/gazeta/dias/1839/06/18/pdfs/GMD-1839-1676.pdf#page=4","Abrir facsímil")</f>
        <v>Abrir facsímil</v>
      </c>
      <c r="K2075" s="12" t="s">
        <v>65</v>
      </c>
    </row>
    <row r="2076" spans="1:11" ht="40.049999999999997" customHeight="1" x14ac:dyDescent="0.25">
      <c r="A2076" s="11" t="s">
        <v>4575</v>
      </c>
      <c r="B2076" s="11" t="s">
        <v>4576</v>
      </c>
      <c r="C2076" s="11" t="s">
        <v>17</v>
      </c>
      <c r="D2076" s="11" t="s">
        <v>18</v>
      </c>
      <c r="E2076" s="12" t="s">
        <v>3601</v>
      </c>
      <c r="F2076" s="12" t="s">
        <v>3602</v>
      </c>
      <c r="G2076" s="12" t="s">
        <v>29</v>
      </c>
      <c r="H2076" s="11" t="s">
        <v>63</v>
      </c>
      <c r="I2076" s="13" t="s">
        <v>4579</v>
      </c>
      <c r="J2076" s="14" t="str">
        <f>HYPERLINK("https://www.boe.es/gazeta/dias/1839/03/21/pdfs/GMD-1839-1587.pdf#page=1","Abrir facsímil")</f>
        <v>Abrir facsímil</v>
      </c>
      <c r="K2076" s="12" t="s">
        <v>65</v>
      </c>
    </row>
    <row r="2077" spans="1:11" ht="40.049999999999997" customHeight="1" x14ac:dyDescent="0.25">
      <c r="A2077" s="11" t="s">
        <v>4580</v>
      </c>
      <c r="B2077" s="11" t="s">
        <v>4581</v>
      </c>
      <c r="C2077" s="11" t="s">
        <v>59</v>
      </c>
      <c r="D2077" s="11" t="s">
        <v>60</v>
      </c>
      <c r="E2077" s="12" t="s">
        <v>438</v>
      </c>
      <c r="F2077" s="12" t="s">
        <v>439</v>
      </c>
      <c r="G2077" s="12" t="s">
        <v>21</v>
      </c>
      <c r="H2077" s="11" t="s">
        <v>63</v>
      </c>
      <c r="I2077" s="13" t="s">
        <v>4582</v>
      </c>
      <c r="J2077" s="14" t="str">
        <f>HYPERLINK("https://www.boe.es/gazeta/dias/1839/07/17/pdfs/GMD-1839-1705.pdf#page=4","Abrir facsímil")</f>
        <v>Abrir facsímil</v>
      </c>
      <c r="K2077" s="12" t="s">
        <v>65</v>
      </c>
    </row>
    <row r="2078" spans="1:11" ht="40.049999999999997" customHeight="1" x14ac:dyDescent="0.25">
      <c r="A2078" s="11" t="s">
        <v>4583</v>
      </c>
      <c r="B2078" s="11" t="s">
        <v>4583</v>
      </c>
      <c r="C2078" s="11" t="s">
        <v>17</v>
      </c>
      <c r="D2078" s="11" t="s">
        <v>18</v>
      </c>
      <c r="E2078" s="12" t="s">
        <v>154</v>
      </c>
      <c r="F2078" s="12" t="s">
        <v>155</v>
      </c>
      <c r="G2078" s="12" t="s">
        <v>46</v>
      </c>
      <c r="H2078" s="11" t="s">
        <v>22</v>
      </c>
      <c r="I2078" s="13" t="s">
        <v>4584</v>
      </c>
      <c r="J2078" s="14" t="str">
        <f>HYPERLINK("https://www.boe.es/gazeta/dias/1839/02/02/pdfs/GMD-1839-1540.pdf#page=3","Abrir facsímil")</f>
        <v>Abrir facsímil</v>
      </c>
      <c r="K2078" s="12" t="s">
        <v>24</v>
      </c>
    </row>
    <row r="2079" spans="1:11" ht="40.049999999999997" customHeight="1" x14ac:dyDescent="0.25">
      <c r="A2079" s="11" t="s">
        <v>4585</v>
      </c>
      <c r="B2079" s="11" t="s">
        <v>4585</v>
      </c>
      <c r="C2079" s="11" t="s">
        <v>17</v>
      </c>
      <c r="D2079" s="11" t="s">
        <v>18</v>
      </c>
      <c r="E2079" s="12" t="s">
        <v>453</v>
      </c>
      <c r="F2079" s="12" t="s">
        <v>454</v>
      </c>
      <c r="G2079" s="12" t="s">
        <v>21</v>
      </c>
      <c r="H2079" s="11" t="s">
        <v>63</v>
      </c>
      <c r="I2079" s="13" t="s">
        <v>4586</v>
      </c>
      <c r="J2079" s="14" t="str">
        <f>HYPERLINK("https://www.boe.es/gazeta/dias/1839/02/07/pdfs/GMD-1839-1545.pdf#page=4","Abrir facsímil")</f>
        <v>Abrir facsímil</v>
      </c>
      <c r="K2079" s="12" t="s">
        <v>65</v>
      </c>
    </row>
    <row r="2080" spans="1:11" ht="40.049999999999997" customHeight="1" x14ac:dyDescent="0.25">
      <c r="A2080" s="11" t="s">
        <v>4587</v>
      </c>
      <c r="B2080" s="11" t="s">
        <v>4587</v>
      </c>
      <c r="C2080" s="11" t="s">
        <v>59</v>
      </c>
      <c r="D2080" s="11" t="s">
        <v>60</v>
      </c>
      <c r="E2080" s="12" t="s">
        <v>49</v>
      </c>
      <c r="F2080" s="12" t="s">
        <v>50</v>
      </c>
      <c r="G2080" s="12" t="s">
        <v>46</v>
      </c>
      <c r="H2080" s="11" t="s">
        <v>63</v>
      </c>
      <c r="I2080" s="13" t="s">
        <v>4588</v>
      </c>
      <c r="J2080" s="14" t="str">
        <f>HYPERLINK("https://www.boe.es/gazeta/dias/1839/01/05/pdfs/GMD-1839-1512.pdf#page=3","Abrir facsímil")</f>
        <v>Abrir facsímil</v>
      </c>
      <c r="K2080" s="12" t="s">
        <v>65</v>
      </c>
    </row>
    <row r="2081" spans="1:11" ht="40.049999999999997" customHeight="1" x14ac:dyDescent="0.25">
      <c r="A2081" s="11" t="s">
        <v>4589</v>
      </c>
      <c r="B2081" s="11" t="s">
        <v>4590</v>
      </c>
      <c r="C2081" s="11" t="s">
        <v>101</v>
      </c>
      <c r="D2081" s="11" t="s">
        <v>43</v>
      </c>
      <c r="E2081" s="12" t="s">
        <v>401</v>
      </c>
      <c r="F2081" s="12" t="s">
        <v>402</v>
      </c>
      <c r="G2081" s="12" t="s">
        <v>21</v>
      </c>
      <c r="H2081" s="11" t="s">
        <v>63</v>
      </c>
      <c r="I2081" s="13" t="s">
        <v>4591</v>
      </c>
      <c r="J2081" s="14" t="str">
        <f>HYPERLINK("https://www.boe.es/gazeta/dias/1839/03/29/pdfs/GMD-1839-1595.pdf#page=4","Abrir facsímil")</f>
        <v>Abrir facsímil</v>
      </c>
      <c r="K2081" s="12" t="s">
        <v>65</v>
      </c>
    </row>
    <row r="2082" spans="1:11" ht="40.049999999999997" customHeight="1" x14ac:dyDescent="0.25">
      <c r="A2082" s="11" t="s">
        <v>4592</v>
      </c>
      <c r="B2082" s="11" t="s">
        <v>4592</v>
      </c>
      <c r="C2082" s="11" t="s">
        <v>17</v>
      </c>
      <c r="D2082" s="11" t="s">
        <v>18</v>
      </c>
      <c r="E2082" s="12" t="s">
        <v>1929</v>
      </c>
      <c r="F2082" s="12" t="s">
        <v>1930</v>
      </c>
      <c r="G2082" s="12" t="s">
        <v>46</v>
      </c>
      <c r="H2082" s="11" t="s">
        <v>22</v>
      </c>
      <c r="I2082" s="13" t="s">
        <v>4593</v>
      </c>
      <c r="J2082" s="14" t="str">
        <f>HYPERLINK("https://www.boe.es/gazeta/dias/1839/02/01/pdfs/GMD-1839-1539.pdf#page=3","Abrir facsímil")</f>
        <v>Abrir facsímil</v>
      </c>
      <c r="K2082" s="12" t="s">
        <v>24</v>
      </c>
    </row>
    <row r="2083" spans="1:11" ht="40.049999999999997" customHeight="1" x14ac:dyDescent="0.25">
      <c r="A2083" s="11" t="s">
        <v>4592</v>
      </c>
      <c r="B2083" s="11" t="s">
        <v>4592</v>
      </c>
      <c r="C2083" s="11" t="s">
        <v>101</v>
      </c>
      <c r="D2083" s="11" t="s">
        <v>43</v>
      </c>
      <c r="E2083" s="12" t="s">
        <v>794</v>
      </c>
      <c r="F2083" s="12" t="s">
        <v>795</v>
      </c>
      <c r="G2083" s="12" t="s">
        <v>21</v>
      </c>
      <c r="H2083" s="11" t="s">
        <v>22</v>
      </c>
      <c r="I2083" s="13" t="s">
        <v>4594</v>
      </c>
      <c r="J2083" s="14" t="str">
        <f>HYPERLINK("https://www.boe.es/gazeta/dias/1839/01/22/pdfs/GMD-1839-1529.pdf#page=4","Abrir facsímil")</f>
        <v>Abrir facsímil</v>
      </c>
      <c r="K2083" s="12" t="s">
        <v>24</v>
      </c>
    </row>
    <row r="2084" spans="1:11" ht="40.049999999999997" customHeight="1" x14ac:dyDescent="0.25">
      <c r="A2084" s="11" t="s">
        <v>4595</v>
      </c>
      <c r="B2084" s="11" t="s">
        <v>4595</v>
      </c>
      <c r="C2084" s="11" t="s">
        <v>80</v>
      </c>
      <c r="D2084" s="11" t="s">
        <v>18</v>
      </c>
      <c r="E2084" s="12" t="s">
        <v>2050</v>
      </c>
      <c r="F2084" s="12" t="s">
        <v>2051</v>
      </c>
      <c r="G2084" s="12" t="s">
        <v>46</v>
      </c>
      <c r="H2084" s="11" t="s">
        <v>22</v>
      </c>
      <c r="I2084" s="13" t="s">
        <v>4596</v>
      </c>
      <c r="J2084" s="14" t="str">
        <f>HYPERLINK("https://www.boe.es/gazeta/dias/1839/01/09/pdfs/GMD-1839-1516.pdf#page=3","Abrir facsímil")</f>
        <v>Abrir facsímil</v>
      </c>
      <c r="K2084" s="12" t="s">
        <v>24</v>
      </c>
    </row>
    <row r="2085" spans="1:11" ht="40.049999999999997" customHeight="1" x14ac:dyDescent="0.25">
      <c r="A2085" s="11" t="s">
        <v>4597</v>
      </c>
      <c r="B2085" s="11" t="s">
        <v>4597</v>
      </c>
      <c r="C2085" s="11" t="s">
        <v>17</v>
      </c>
      <c r="D2085" s="11" t="s">
        <v>18</v>
      </c>
      <c r="E2085" s="12" t="s">
        <v>148</v>
      </c>
      <c r="F2085" s="12" t="s">
        <v>149</v>
      </c>
      <c r="G2085" s="12" t="s">
        <v>21</v>
      </c>
      <c r="H2085" s="11" t="s">
        <v>63</v>
      </c>
      <c r="I2085" s="13" t="s">
        <v>4598</v>
      </c>
      <c r="J2085" s="14" t="str">
        <f>HYPERLINK("https://www.boe.es/gazeta/dias/1839/07/16/pdfs/GMD-1839-1704.pdf#page=4","Abrir facsímil")</f>
        <v>Abrir facsímil</v>
      </c>
      <c r="K2085" s="12" t="s">
        <v>65</v>
      </c>
    </row>
    <row r="2086" spans="1:11" ht="40.049999999999997" customHeight="1" x14ac:dyDescent="0.25">
      <c r="A2086" s="11" t="s">
        <v>4597</v>
      </c>
      <c r="B2086" s="11" t="s">
        <v>4597</v>
      </c>
      <c r="C2086" s="11" t="s">
        <v>17</v>
      </c>
      <c r="D2086" s="11" t="s">
        <v>18</v>
      </c>
      <c r="E2086" s="12" t="s">
        <v>2155</v>
      </c>
      <c r="F2086" s="12" t="s">
        <v>2156</v>
      </c>
      <c r="G2086" s="12" t="s">
        <v>40</v>
      </c>
      <c r="H2086" s="11" t="s">
        <v>63</v>
      </c>
      <c r="I2086" s="13" t="s">
        <v>4599</v>
      </c>
      <c r="J2086" s="14" t="str">
        <f>HYPERLINK("https://www.boe.es/gazeta/dias/1839/01/17/pdfs/GMD-1839-1524.pdf#page=2","Abrir facsímil")</f>
        <v>Abrir facsímil</v>
      </c>
      <c r="K2086" s="12" t="s">
        <v>65</v>
      </c>
    </row>
    <row r="2087" spans="1:11" ht="40.049999999999997" customHeight="1" x14ac:dyDescent="0.25">
      <c r="A2087" s="11" t="s">
        <v>4595</v>
      </c>
      <c r="B2087" s="11" t="s">
        <v>4595</v>
      </c>
      <c r="C2087" s="11" t="s">
        <v>17</v>
      </c>
      <c r="D2087" s="11" t="s">
        <v>18</v>
      </c>
      <c r="E2087" s="12" t="s">
        <v>2155</v>
      </c>
      <c r="F2087" s="12" t="s">
        <v>2156</v>
      </c>
      <c r="G2087" s="12" t="s">
        <v>21</v>
      </c>
      <c r="H2087" s="11" t="s">
        <v>22</v>
      </c>
      <c r="I2087" s="13" t="s">
        <v>4600</v>
      </c>
      <c r="J2087" s="14" t="str">
        <f>HYPERLINK("https://www.boe.es/gazeta/dias/1839/01/17/pdfs/GMD-1839-1524.pdf#page=4","Abrir facsímil")</f>
        <v>Abrir facsímil</v>
      </c>
      <c r="K2087" s="12" t="s">
        <v>24</v>
      </c>
    </row>
    <row r="2088" spans="1:11" ht="40.049999999999997" customHeight="1" x14ac:dyDescent="0.25">
      <c r="A2088" s="11" t="s">
        <v>4595</v>
      </c>
      <c r="B2088" s="11" t="s">
        <v>4595</v>
      </c>
      <c r="C2088" s="11" t="s">
        <v>17</v>
      </c>
      <c r="D2088" s="11" t="s">
        <v>18</v>
      </c>
      <c r="E2088" s="12" t="s">
        <v>794</v>
      </c>
      <c r="F2088" s="12" t="s">
        <v>795</v>
      </c>
      <c r="G2088" s="12" t="s">
        <v>21</v>
      </c>
      <c r="H2088" s="11" t="s">
        <v>22</v>
      </c>
      <c r="I2088" s="13" t="s">
        <v>4601</v>
      </c>
      <c r="J2088" s="14" t="str">
        <f>HYPERLINK("https://www.boe.es/gazeta/dias/1839/01/22/pdfs/GMD-1839-1529.pdf#page=4","Abrir facsímil")</f>
        <v>Abrir facsímil</v>
      </c>
      <c r="K2088" s="12" t="s">
        <v>24</v>
      </c>
    </row>
    <row r="2089" spans="1:11" ht="40.049999999999997" customHeight="1" x14ac:dyDescent="0.25">
      <c r="A2089" s="11" t="s">
        <v>4602</v>
      </c>
      <c r="B2089" s="11" t="s">
        <v>4603</v>
      </c>
      <c r="C2089" s="11" t="s">
        <v>101</v>
      </c>
      <c r="D2089" s="11" t="s">
        <v>43</v>
      </c>
      <c r="E2089" s="12" t="s">
        <v>571</v>
      </c>
      <c r="F2089" s="12" t="s">
        <v>572</v>
      </c>
      <c r="G2089" s="12" t="s">
        <v>21</v>
      </c>
      <c r="H2089" s="11" t="s">
        <v>63</v>
      </c>
      <c r="I2089" s="13" t="s">
        <v>4604</v>
      </c>
      <c r="J2089" s="14" t="str">
        <f>HYPERLINK("https://www.boe.es/gazeta/dias/1839/09/27/pdfs/GMD-1839-1783.pdf#page=4","Abrir facsímil")</f>
        <v>Abrir facsímil</v>
      </c>
      <c r="K2089" s="12" t="s">
        <v>65</v>
      </c>
    </row>
    <row r="2090" spans="1:11" ht="40.049999999999997" customHeight="1" x14ac:dyDescent="0.25">
      <c r="A2090" s="11" t="s">
        <v>4605</v>
      </c>
      <c r="B2090" s="11" t="s">
        <v>4606</v>
      </c>
      <c r="C2090" s="11" t="s">
        <v>80</v>
      </c>
      <c r="D2090" s="11" t="s">
        <v>18</v>
      </c>
      <c r="E2090" s="12" t="s">
        <v>230</v>
      </c>
      <c r="F2090" s="12" t="s">
        <v>231</v>
      </c>
      <c r="G2090" s="12" t="s">
        <v>21</v>
      </c>
      <c r="H2090" s="11" t="s">
        <v>63</v>
      </c>
      <c r="I2090" s="13" t="s">
        <v>4607</v>
      </c>
      <c r="J2090" s="14" t="str">
        <f>HYPERLINK("https://www.boe.es/gazeta/dias/1839/09/16/pdfs/GMD-1839-1769.pdf#page=4","Abrir facsímil")</f>
        <v>Abrir facsímil</v>
      </c>
      <c r="K2090" s="12" t="s">
        <v>65</v>
      </c>
    </row>
    <row r="2091" spans="1:11" ht="40.049999999999997" customHeight="1" x14ac:dyDescent="0.25">
      <c r="A2091" s="11" t="s">
        <v>4608</v>
      </c>
      <c r="B2091" s="11" t="s">
        <v>4608</v>
      </c>
      <c r="C2091" s="11" t="s">
        <v>137</v>
      </c>
      <c r="D2091" s="11" t="s">
        <v>18</v>
      </c>
      <c r="E2091" s="12" t="s">
        <v>108</v>
      </c>
      <c r="F2091" s="12" t="s">
        <v>109</v>
      </c>
      <c r="G2091" s="12" t="s">
        <v>21</v>
      </c>
      <c r="H2091" s="11" t="s">
        <v>63</v>
      </c>
      <c r="I2091" s="13" t="s">
        <v>4609</v>
      </c>
      <c r="J2091" s="14" t="str">
        <f>HYPERLINK("https://www.boe.es/gazeta/dias/1839/01/04/pdfs/GMD-1839-1511.pdf#page=4","Abrir facsímil")</f>
        <v>Abrir facsímil</v>
      </c>
      <c r="K2091" s="12" t="s">
        <v>65</v>
      </c>
    </row>
    <row r="2092" spans="1:11" ht="40.049999999999997" customHeight="1" x14ac:dyDescent="0.25">
      <c r="A2092" s="11" t="s">
        <v>4608</v>
      </c>
      <c r="B2092" s="11" t="s">
        <v>4608</v>
      </c>
      <c r="C2092" s="11" t="s">
        <v>17</v>
      </c>
      <c r="D2092" s="11" t="s">
        <v>18</v>
      </c>
      <c r="E2092" s="12" t="s">
        <v>2165</v>
      </c>
      <c r="F2092" s="12" t="s">
        <v>2166</v>
      </c>
      <c r="G2092" s="12" t="s">
        <v>46</v>
      </c>
      <c r="H2092" s="11" t="s">
        <v>63</v>
      </c>
      <c r="I2092" s="13" t="s">
        <v>4610</v>
      </c>
      <c r="J2092" s="14" t="str">
        <f>HYPERLINK("https://www.boe.es/gazeta/dias/1839/01/06/pdfs/GMD-1839-1513.pdf#page=3","Abrir facsímil")</f>
        <v>Abrir facsímil</v>
      </c>
      <c r="K2092" s="12" t="s">
        <v>65</v>
      </c>
    </row>
    <row r="2093" spans="1:11" ht="40.049999999999997" customHeight="1" x14ac:dyDescent="0.25">
      <c r="A2093" s="11" t="s">
        <v>4608</v>
      </c>
      <c r="B2093" s="11" t="s">
        <v>4608</v>
      </c>
      <c r="C2093" s="11" t="s">
        <v>17</v>
      </c>
      <c r="D2093" s="11" t="s">
        <v>18</v>
      </c>
      <c r="E2093" s="12" t="s">
        <v>175</v>
      </c>
      <c r="F2093" s="12" t="s">
        <v>176</v>
      </c>
      <c r="G2093" s="12" t="s">
        <v>46</v>
      </c>
      <c r="H2093" s="11" t="s">
        <v>63</v>
      </c>
      <c r="I2093" s="13" t="s">
        <v>4611</v>
      </c>
      <c r="J2093" s="14" t="str">
        <f>HYPERLINK("https://www.boe.es/gazeta/dias/1839/01/16/pdfs/GMD-1839-1523.pdf#page=3","Abrir facsímil")</f>
        <v>Abrir facsímil</v>
      </c>
      <c r="K2093" s="12" t="s">
        <v>65</v>
      </c>
    </row>
    <row r="2094" spans="1:11" ht="40.049999999999997" customHeight="1" x14ac:dyDescent="0.25">
      <c r="A2094" s="11" t="s">
        <v>4612</v>
      </c>
      <c r="B2094" s="11" t="s">
        <v>4612</v>
      </c>
      <c r="C2094" s="11" t="s">
        <v>101</v>
      </c>
      <c r="D2094" s="11" t="s">
        <v>43</v>
      </c>
      <c r="E2094" s="12" t="s">
        <v>2155</v>
      </c>
      <c r="F2094" s="12" t="s">
        <v>2156</v>
      </c>
      <c r="G2094" s="12" t="s">
        <v>40</v>
      </c>
      <c r="H2094" s="11" t="s">
        <v>22</v>
      </c>
      <c r="I2094" s="13" t="s">
        <v>4613</v>
      </c>
      <c r="J2094" s="14" t="str">
        <f>HYPERLINK("https://www.boe.es/gazeta/dias/1839/01/17/pdfs/GMD-1839-1524.pdf#page=2","Abrir facsímil")</f>
        <v>Abrir facsímil</v>
      </c>
      <c r="K2094" s="12" t="s">
        <v>24</v>
      </c>
    </row>
    <row r="2095" spans="1:11" ht="40.049999999999997" customHeight="1" x14ac:dyDescent="0.25">
      <c r="A2095" s="11" t="s">
        <v>4614</v>
      </c>
      <c r="B2095" s="11" t="s">
        <v>4615</v>
      </c>
      <c r="C2095" s="11" t="s">
        <v>59</v>
      </c>
      <c r="D2095" s="11" t="s">
        <v>60</v>
      </c>
      <c r="E2095" s="12" t="s">
        <v>287</v>
      </c>
      <c r="F2095" s="12" t="s">
        <v>288</v>
      </c>
      <c r="G2095" s="12" t="s">
        <v>29</v>
      </c>
      <c r="H2095" s="11" t="s">
        <v>63</v>
      </c>
      <c r="I2095" s="13" t="s">
        <v>4616</v>
      </c>
      <c r="J2095" s="14" t="str">
        <f>HYPERLINK("https://www.boe.es/gazeta/dias/1839/11/27/pdfs/GMD-1839-1844.pdf#page=1","Abrir facsímil")</f>
        <v>Abrir facsímil</v>
      </c>
      <c r="K2095" s="12" t="s">
        <v>65</v>
      </c>
    </row>
    <row r="2096" spans="1:11" ht="40.049999999999997" customHeight="1" x14ac:dyDescent="0.25">
      <c r="A2096" s="11" t="s">
        <v>4617</v>
      </c>
      <c r="B2096" s="11" t="s">
        <v>4618</v>
      </c>
      <c r="C2096" s="11" t="s">
        <v>17</v>
      </c>
      <c r="D2096" s="11" t="s">
        <v>18</v>
      </c>
      <c r="E2096" s="12" t="s">
        <v>779</v>
      </c>
      <c r="F2096" s="12" t="s">
        <v>780</v>
      </c>
      <c r="G2096" s="12" t="s">
        <v>29</v>
      </c>
      <c r="H2096" s="11" t="s">
        <v>63</v>
      </c>
      <c r="I2096" s="13" t="s">
        <v>4619</v>
      </c>
      <c r="J2096" s="14" t="str">
        <f>HYPERLINK("https://www.boe.es/gazeta/dias/1839/02/03/pdfs/GMD-1839-1541.pdf#page=1","Abrir facsímil")</f>
        <v>Abrir facsímil</v>
      </c>
      <c r="K2096" s="12" t="s">
        <v>65</v>
      </c>
    </row>
    <row r="2097" spans="1:11" ht="40.049999999999997" customHeight="1" x14ac:dyDescent="0.25">
      <c r="A2097" s="11" t="s">
        <v>4617</v>
      </c>
      <c r="B2097" s="11" t="s">
        <v>4618</v>
      </c>
      <c r="C2097" s="11" t="s">
        <v>17</v>
      </c>
      <c r="D2097" s="11" t="s">
        <v>18</v>
      </c>
      <c r="E2097" s="12" t="s">
        <v>1623</v>
      </c>
      <c r="F2097" s="12" t="s">
        <v>1624</v>
      </c>
      <c r="G2097" s="12" t="s">
        <v>46</v>
      </c>
      <c r="H2097" s="11" t="s">
        <v>63</v>
      </c>
      <c r="I2097" s="13" t="s">
        <v>4620</v>
      </c>
      <c r="J2097" s="14" t="str">
        <f>HYPERLINK("https://www.boe.es/gazeta/dias/1839/04/07/pdfs/GMD-1839-1604.pdf#page=3","Abrir facsímil")</f>
        <v>Abrir facsímil</v>
      </c>
      <c r="K2097" s="12" t="s">
        <v>65</v>
      </c>
    </row>
    <row r="2098" spans="1:11" ht="40.049999999999997" customHeight="1" x14ac:dyDescent="0.25">
      <c r="A2098" s="11" t="s">
        <v>4617</v>
      </c>
      <c r="B2098" s="11" t="s">
        <v>4618</v>
      </c>
      <c r="C2098" s="11" t="s">
        <v>17</v>
      </c>
      <c r="D2098" s="11" t="s">
        <v>18</v>
      </c>
      <c r="E2098" s="12" t="s">
        <v>388</v>
      </c>
      <c r="F2098" s="12" t="s">
        <v>389</v>
      </c>
      <c r="G2098" s="12" t="s">
        <v>21</v>
      </c>
      <c r="H2098" s="11" t="s">
        <v>63</v>
      </c>
      <c r="I2098" s="13" t="s">
        <v>4621</v>
      </c>
      <c r="J2098" s="14" t="str">
        <f>HYPERLINK("https://www.boe.es/gazeta/dias/1839/08/07/pdfs/GMD-1839-1727.pdf#page=4","Abrir facsímil")</f>
        <v>Abrir facsímil</v>
      </c>
      <c r="K2098" s="12" t="s">
        <v>65</v>
      </c>
    </row>
    <row r="2099" spans="1:11" ht="40.049999999999997" customHeight="1" x14ac:dyDescent="0.25">
      <c r="A2099" s="11" t="s">
        <v>4617</v>
      </c>
      <c r="B2099" s="11" t="s">
        <v>4618</v>
      </c>
      <c r="C2099" s="11" t="s">
        <v>17</v>
      </c>
      <c r="D2099" s="11" t="s">
        <v>18</v>
      </c>
      <c r="E2099" s="12" t="s">
        <v>1414</v>
      </c>
      <c r="F2099" s="12" t="s">
        <v>1415</v>
      </c>
      <c r="G2099" s="12" t="s">
        <v>21</v>
      </c>
      <c r="H2099" s="11" t="s">
        <v>63</v>
      </c>
      <c r="I2099" s="13" t="s">
        <v>4622</v>
      </c>
      <c r="J2099" s="14" t="str">
        <f>HYPERLINK("https://www.boe.es/gazeta/dias/1839/06/12/pdfs/GMD-1839-1670.pdf#page=4","Abrir facsímil")</f>
        <v>Abrir facsímil</v>
      </c>
      <c r="K2099" s="12" t="s">
        <v>65</v>
      </c>
    </row>
    <row r="2100" spans="1:11" ht="40.049999999999997" customHeight="1" x14ac:dyDescent="0.25">
      <c r="A2100" s="11" t="s">
        <v>4617</v>
      </c>
      <c r="B2100" s="11" t="s">
        <v>4618</v>
      </c>
      <c r="C2100" s="11" t="s">
        <v>17</v>
      </c>
      <c r="D2100" s="11" t="s">
        <v>18</v>
      </c>
      <c r="E2100" s="12" t="s">
        <v>168</v>
      </c>
      <c r="F2100" s="12" t="s">
        <v>169</v>
      </c>
      <c r="G2100" s="12" t="s">
        <v>21</v>
      </c>
      <c r="H2100" s="11" t="s">
        <v>63</v>
      </c>
      <c r="I2100" s="13" t="s">
        <v>4623</v>
      </c>
      <c r="J2100" s="14" t="str">
        <f>HYPERLINK("https://www.boe.es/gazeta/dias/1839/07/12/pdfs/GMD-1839-1700.pdf#page=4","Abrir facsímil")</f>
        <v>Abrir facsímil</v>
      </c>
      <c r="K2100" s="12" t="s">
        <v>65</v>
      </c>
    </row>
    <row r="2101" spans="1:11" ht="40.049999999999997" customHeight="1" x14ac:dyDescent="0.25">
      <c r="A2101" s="11" t="s">
        <v>4624</v>
      </c>
      <c r="B2101" s="11" t="s">
        <v>4625</v>
      </c>
      <c r="C2101" s="11" t="s">
        <v>17</v>
      </c>
      <c r="D2101" s="11" t="s">
        <v>18</v>
      </c>
      <c r="E2101" s="12" t="s">
        <v>369</v>
      </c>
      <c r="F2101" s="12" t="s">
        <v>370</v>
      </c>
      <c r="G2101" s="12" t="s">
        <v>40</v>
      </c>
      <c r="H2101" s="11" t="s">
        <v>63</v>
      </c>
      <c r="I2101" s="13" t="s">
        <v>4626</v>
      </c>
      <c r="J2101" s="14" t="str">
        <f>HYPERLINK("https://www.boe.es/gazeta/dias/1839/11/01/pdfs/GMD-1839-1818.pdf#page=2","Abrir facsímil")</f>
        <v>Abrir facsímil</v>
      </c>
      <c r="K2101" s="12" t="s">
        <v>65</v>
      </c>
    </row>
    <row r="2102" spans="1:11" ht="40.049999999999997" customHeight="1" x14ac:dyDescent="0.25">
      <c r="A2102" s="11" t="s">
        <v>4627</v>
      </c>
      <c r="B2102" s="11" t="s">
        <v>4628</v>
      </c>
      <c r="C2102" s="11" t="s">
        <v>17</v>
      </c>
      <c r="D2102" s="11" t="s">
        <v>18</v>
      </c>
      <c r="E2102" s="12" t="s">
        <v>1467</v>
      </c>
      <c r="F2102" s="12" t="s">
        <v>1468</v>
      </c>
      <c r="G2102" s="12" t="s">
        <v>46</v>
      </c>
      <c r="H2102" s="11" t="s">
        <v>22</v>
      </c>
      <c r="I2102" s="13" t="s">
        <v>4629</v>
      </c>
      <c r="J2102" s="14" t="str">
        <f>HYPERLINK("https://www.boe.es/gazeta/dias/1839/03/05/pdfs/GMD-1839-1571.pdf#page=3","Abrir facsímil")</f>
        <v>Abrir facsímil</v>
      </c>
      <c r="K2102" s="12" t="s">
        <v>24</v>
      </c>
    </row>
    <row r="2103" spans="1:11" ht="40.049999999999997" customHeight="1" x14ac:dyDescent="0.25">
      <c r="A2103" s="11" t="s">
        <v>4630</v>
      </c>
      <c r="B2103" s="11" t="s">
        <v>4631</v>
      </c>
      <c r="C2103" s="11" t="s">
        <v>59</v>
      </c>
      <c r="D2103" s="11" t="s">
        <v>60</v>
      </c>
      <c r="E2103" s="12" t="s">
        <v>1479</v>
      </c>
      <c r="F2103" s="12" t="s">
        <v>1480</v>
      </c>
      <c r="G2103" s="12" t="s">
        <v>46</v>
      </c>
      <c r="H2103" s="11" t="s">
        <v>63</v>
      </c>
      <c r="I2103" s="13" t="s">
        <v>4632</v>
      </c>
      <c r="J2103" s="14" t="str">
        <f>HYPERLINK("https://www.boe.es/gazeta/dias/1839/04/09/pdfs/GMD-1839-1606.pdf#page=3","Abrir facsímil")</f>
        <v>Abrir facsímil</v>
      </c>
      <c r="K2103" s="12" t="s">
        <v>65</v>
      </c>
    </row>
    <row r="2104" spans="1:11" ht="40.049999999999997" customHeight="1" x14ac:dyDescent="0.25">
      <c r="A2104" s="11" t="s">
        <v>4630</v>
      </c>
      <c r="B2104" s="11" t="s">
        <v>4631</v>
      </c>
      <c r="C2104" s="11" t="s">
        <v>101</v>
      </c>
      <c r="D2104" s="11" t="s">
        <v>43</v>
      </c>
      <c r="E2104" s="12" t="s">
        <v>2021</v>
      </c>
      <c r="F2104" s="12" t="s">
        <v>2022</v>
      </c>
      <c r="G2104" s="12" t="s">
        <v>29</v>
      </c>
      <c r="H2104" s="11" t="s">
        <v>63</v>
      </c>
      <c r="I2104" s="13" t="s">
        <v>4633</v>
      </c>
      <c r="J2104" s="14" t="str">
        <f>HYPERLINK("https://www.boe.es/gazeta/dias/1839/02/17/pdfs/GMD-1839-1555.pdf#page=1","Abrir facsímil")</f>
        <v>Abrir facsímil</v>
      </c>
      <c r="K2104" s="12" t="s">
        <v>65</v>
      </c>
    </row>
    <row r="2105" spans="1:11" ht="40.049999999999997" customHeight="1" x14ac:dyDescent="0.25">
      <c r="A2105" s="11" t="s">
        <v>4630</v>
      </c>
      <c r="B2105" s="11" t="s">
        <v>4631</v>
      </c>
      <c r="C2105" s="11" t="s">
        <v>59</v>
      </c>
      <c r="D2105" s="11" t="s">
        <v>60</v>
      </c>
      <c r="E2105" s="12" t="s">
        <v>695</v>
      </c>
      <c r="F2105" s="12" t="s">
        <v>696</v>
      </c>
      <c r="G2105" s="12" t="s">
        <v>46</v>
      </c>
      <c r="H2105" s="11" t="s">
        <v>63</v>
      </c>
      <c r="I2105" s="13" t="s">
        <v>4634</v>
      </c>
      <c r="J2105" s="14" t="str">
        <f>HYPERLINK("https://www.boe.es/gazeta/dias/1839/12/19/pdfs/GMD-1839-1866.pdf#page=3","Abrir facsímil")</f>
        <v>Abrir facsímil</v>
      </c>
      <c r="K2105" s="12" t="s">
        <v>65</v>
      </c>
    </row>
    <row r="2106" spans="1:11" ht="40.049999999999997" customHeight="1" x14ac:dyDescent="0.25">
      <c r="A2106" s="11" t="s">
        <v>4630</v>
      </c>
      <c r="B2106" s="11" t="s">
        <v>4631</v>
      </c>
      <c r="C2106" s="11" t="s">
        <v>17</v>
      </c>
      <c r="D2106" s="11" t="s">
        <v>18</v>
      </c>
      <c r="E2106" s="12" t="s">
        <v>857</v>
      </c>
      <c r="F2106" s="12" t="s">
        <v>858</v>
      </c>
      <c r="G2106" s="12" t="s">
        <v>29</v>
      </c>
      <c r="H2106" s="11" t="s">
        <v>63</v>
      </c>
      <c r="I2106" s="13" t="s">
        <v>4635</v>
      </c>
      <c r="J2106" s="14" t="str">
        <f>HYPERLINK("https://www.boe.es/gazeta/dias/1839/11/21/pdfs/GMD-1839-1838.pdf#page=1","Abrir facsímil")</f>
        <v>Abrir facsímil</v>
      </c>
      <c r="K2106" s="12" t="s">
        <v>65</v>
      </c>
    </row>
    <row r="2107" spans="1:11" ht="40.049999999999997" customHeight="1" x14ac:dyDescent="0.25">
      <c r="A2107" s="11" t="s">
        <v>4636</v>
      </c>
      <c r="B2107" s="11" t="s">
        <v>4637</v>
      </c>
      <c r="C2107" s="11" t="s">
        <v>80</v>
      </c>
      <c r="D2107" s="11" t="s">
        <v>18</v>
      </c>
      <c r="E2107" s="12" t="s">
        <v>1663</v>
      </c>
      <c r="F2107" s="12" t="s">
        <v>1664</v>
      </c>
      <c r="G2107" s="12" t="s">
        <v>21</v>
      </c>
      <c r="H2107" s="11" t="s">
        <v>63</v>
      </c>
      <c r="I2107" s="13" t="s">
        <v>4638</v>
      </c>
      <c r="J2107" s="14" t="str">
        <f>HYPERLINK("https://www.boe.es/gazeta/dias/1839/03/22/pdfs/GMD-1839-1588.pdf#page=4","Abrir facsímil")</f>
        <v>Abrir facsímil</v>
      </c>
      <c r="K2107" s="12" t="s">
        <v>65</v>
      </c>
    </row>
    <row r="2108" spans="1:11" ht="40.049999999999997" customHeight="1" x14ac:dyDescent="0.25">
      <c r="A2108" s="11" t="s">
        <v>4639</v>
      </c>
      <c r="B2108" s="11" t="s">
        <v>4640</v>
      </c>
      <c r="C2108" s="11" t="s">
        <v>80</v>
      </c>
      <c r="D2108" s="11" t="s">
        <v>18</v>
      </c>
      <c r="E2108" s="12" t="s">
        <v>1663</v>
      </c>
      <c r="F2108" s="12" t="s">
        <v>1664</v>
      </c>
      <c r="G2108" s="12" t="s">
        <v>21</v>
      </c>
      <c r="H2108" s="11" t="s">
        <v>63</v>
      </c>
      <c r="I2108" s="13" t="s">
        <v>4641</v>
      </c>
      <c r="J2108" s="14" t="str">
        <f>HYPERLINK("https://www.boe.es/gazeta/dias/1839/03/22/pdfs/GMD-1839-1588.pdf#page=4","Abrir facsímil")</f>
        <v>Abrir facsímil</v>
      </c>
      <c r="K2108" s="12" t="s">
        <v>65</v>
      </c>
    </row>
    <row r="2109" spans="1:11" ht="40.049999999999997" customHeight="1" x14ac:dyDescent="0.25">
      <c r="A2109" s="11" t="s">
        <v>4642</v>
      </c>
      <c r="B2109" s="11" t="s">
        <v>4642</v>
      </c>
      <c r="C2109" s="11" t="s">
        <v>80</v>
      </c>
      <c r="D2109" s="11" t="s">
        <v>18</v>
      </c>
      <c r="E2109" s="12" t="s">
        <v>1562</v>
      </c>
      <c r="F2109" s="12" t="s">
        <v>1563</v>
      </c>
      <c r="G2109" s="12" t="s">
        <v>21</v>
      </c>
      <c r="H2109" s="11" t="s">
        <v>63</v>
      </c>
      <c r="I2109" s="13" t="s">
        <v>4643</v>
      </c>
      <c r="J2109" s="14" t="str">
        <f>HYPERLINK("https://www.boe.es/gazeta/dias/1839/04/08/pdfs/GMD-1839-1605.pdf#page=4","Abrir facsímil")</f>
        <v>Abrir facsímil</v>
      </c>
      <c r="K2109" s="12" t="s">
        <v>65</v>
      </c>
    </row>
    <row r="2110" spans="1:11" ht="40.049999999999997" customHeight="1" x14ac:dyDescent="0.25">
      <c r="A2110" s="11" t="s">
        <v>4644</v>
      </c>
      <c r="B2110" s="11" t="s">
        <v>4645</v>
      </c>
      <c r="C2110" s="11" t="s">
        <v>59</v>
      </c>
      <c r="D2110" s="11" t="s">
        <v>60</v>
      </c>
      <c r="E2110" s="12" t="s">
        <v>462</v>
      </c>
      <c r="F2110" s="12" t="s">
        <v>463</v>
      </c>
      <c r="G2110" s="12" t="s">
        <v>46</v>
      </c>
      <c r="H2110" s="11" t="s">
        <v>63</v>
      </c>
      <c r="I2110" s="13" t="s">
        <v>4646</v>
      </c>
      <c r="J2110" s="14" t="str">
        <f>HYPERLINK("https://www.boe.es/gazeta/dias/1839/06/19/pdfs/GMD-1839-1677.pdf#page=3","Abrir facsímil")</f>
        <v>Abrir facsímil</v>
      </c>
      <c r="K2110" s="12" t="s">
        <v>65</v>
      </c>
    </row>
    <row r="2111" spans="1:11" ht="40.049999999999997" customHeight="1" x14ac:dyDescent="0.25">
      <c r="A2111" s="11" t="s">
        <v>4647</v>
      </c>
      <c r="B2111" s="11" t="s">
        <v>4648</v>
      </c>
      <c r="C2111" s="11" t="s">
        <v>17</v>
      </c>
      <c r="D2111" s="11" t="s">
        <v>18</v>
      </c>
      <c r="E2111" s="12" t="s">
        <v>409</v>
      </c>
      <c r="F2111" s="12" t="s">
        <v>410</v>
      </c>
      <c r="G2111" s="12" t="s">
        <v>29</v>
      </c>
      <c r="H2111" s="11" t="s">
        <v>63</v>
      </c>
      <c r="I2111" s="13" t="s">
        <v>4649</v>
      </c>
      <c r="J2111" s="14" t="str">
        <f>HYPERLINK("https://www.boe.es/gazeta/dias/1839/07/05/pdfs/GMD-1839-1693.pdf#page=1","Abrir facsímil")</f>
        <v>Abrir facsímil</v>
      </c>
      <c r="K2111" s="12" t="s">
        <v>65</v>
      </c>
    </row>
    <row r="2112" spans="1:11" ht="40.049999999999997" customHeight="1" x14ac:dyDescent="0.25">
      <c r="A2112" s="11" t="s">
        <v>4650</v>
      </c>
      <c r="B2112" s="11" t="s">
        <v>4651</v>
      </c>
      <c r="C2112" s="11" t="s">
        <v>59</v>
      </c>
      <c r="D2112" s="11" t="s">
        <v>60</v>
      </c>
      <c r="E2112" s="12" t="s">
        <v>2021</v>
      </c>
      <c r="F2112" s="12" t="s">
        <v>2022</v>
      </c>
      <c r="G2112" s="12" t="s">
        <v>46</v>
      </c>
      <c r="H2112" s="11" t="s">
        <v>63</v>
      </c>
      <c r="I2112" s="13" t="s">
        <v>4652</v>
      </c>
      <c r="J2112" s="14" t="str">
        <f>HYPERLINK("https://www.boe.es/gazeta/dias/1839/02/17/pdfs/GMD-1839-1555.pdf#page=3","Abrir facsímil")</f>
        <v>Abrir facsímil</v>
      </c>
      <c r="K2112" s="12" t="s">
        <v>65</v>
      </c>
    </row>
    <row r="2113" spans="1:11" ht="40.049999999999997" customHeight="1" x14ac:dyDescent="0.25">
      <c r="A2113" s="11" t="s">
        <v>4653</v>
      </c>
      <c r="B2113" s="11" t="s">
        <v>4654</v>
      </c>
      <c r="C2113" s="11" t="s">
        <v>137</v>
      </c>
      <c r="D2113" s="11" t="s">
        <v>18</v>
      </c>
      <c r="E2113" s="12" t="s">
        <v>61</v>
      </c>
      <c r="F2113" s="12" t="s">
        <v>62</v>
      </c>
      <c r="G2113" s="12" t="s">
        <v>29</v>
      </c>
      <c r="H2113" s="11" t="s">
        <v>63</v>
      </c>
      <c r="I2113" s="13" t="s">
        <v>4655</v>
      </c>
      <c r="J2113" s="14" t="str">
        <f>HYPERLINK("https://www.boe.es/gazeta/dias/1839/09/10/pdfs/GMD-1839-1763.pdf#page=1","Abrir facsímil")</f>
        <v>Abrir facsímil</v>
      </c>
      <c r="K2113" s="12" t="s">
        <v>65</v>
      </c>
    </row>
    <row r="2114" spans="1:11" ht="40.049999999999997" customHeight="1" x14ac:dyDescent="0.25">
      <c r="A2114" s="11" t="s">
        <v>4653</v>
      </c>
      <c r="B2114" s="11" t="s">
        <v>4654</v>
      </c>
      <c r="C2114" s="11" t="s">
        <v>137</v>
      </c>
      <c r="D2114" s="11" t="s">
        <v>18</v>
      </c>
      <c r="E2114" s="12" t="s">
        <v>61</v>
      </c>
      <c r="F2114" s="12" t="s">
        <v>62</v>
      </c>
      <c r="G2114" s="12" t="s">
        <v>21</v>
      </c>
      <c r="H2114" s="11" t="s">
        <v>63</v>
      </c>
      <c r="I2114" s="13" t="s">
        <v>4656</v>
      </c>
      <c r="J2114" s="14" t="str">
        <f>HYPERLINK("https://www.boe.es/gazeta/dias/1839/09/10/pdfs/GMD-1839-1763.pdf#page=4","Abrir facsímil")</f>
        <v>Abrir facsímil</v>
      </c>
      <c r="K2114" s="12" t="s">
        <v>65</v>
      </c>
    </row>
    <row r="2115" spans="1:11" ht="40.049999999999997" customHeight="1" x14ac:dyDescent="0.25">
      <c r="A2115" s="11" t="s">
        <v>4657</v>
      </c>
      <c r="B2115" s="11" t="s">
        <v>4658</v>
      </c>
      <c r="C2115" s="11" t="s">
        <v>59</v>
      </c>
      <c r="D2115" s="11" t="s">
        <v>60</v>
      </c>
      <c r="E2115" s="12" t="s">
        <v>1685</v>
      </c>
      <c r="F2115" s="12" t="s">
        <v>1686</v>
      </c>
      <c r="G2115" s="12" t="s">
        <v>29</v>
      </c>
      <c r="H2115" s="11" t="s">
        <v>63</v>
      </c>
      <c r="I2115" s="13" t="s">
        <v>4659</v>
      </c>
      <c r="J2115" s="14" t="str">
        <f>HYPERLINK("https://www.boe.es/gazeta/dias/1839/04/27/pdfs/GMD-1839-1624.pdf#page=1","Abrir facsímil")</f>
        <v>Abrir facsímil</v>
      </c>
      <c r="K2115" s="12" t="s">
        <v>65</v>
      </c>
    </row>
    <row r="2116" spans="1:11" ht="40.049999999999997" customHeight="1" x14ac:dyDescent="0.25">
      <c r="A2116" s="11" t="s">
        <v>4660</v>
      </c>
      <c r="B2116" s="11" t="s">
        <v>4661</v>
      </c>
      <c r="C2116" s="11" t="s">
        <v>137</v>
      </c>
      <c r="D2116" s="11" t="s">
        <v>18</v>
      </c>
      <c r="E2116" s="12" t="s">
        <v>1628</v>
      </c>
      <c r="F2116" s="12" t="s">
        <v>1629</v>
      </c>
      <c r="G2116" s="12" t="s">
        <v>29</v>
      </c>
      <c r="H2116" s="11" t="s">
        <v>63</v>
      </c>
      <c r="I2116" s="13" t="s">
        <v>4662</v>
      </c>
      <c r="J2116" s="14" t="str">
        <f>HYPERLINK("https://www.boe.es/gazeta/dias/1839/03/10/pdfs/GMD-1839-1576.pdf#page=1","Abrir facsímil")</f>
        <v>Abrir facsímil</v>
      </c>
      <c r="K2116" s="12" t="s">
        <v>65</v>
      </c>
    </row>
    <row r="2117" spans="1:11" ht="40.049999999999997" customHeight="1" x14ac:dyDescent="0.25">
      <c r="A2117" s="11" t="s">
        <v>4663</v>
      </c>
      <c r="B2117" s="11" t="s">
        <v>4664</v>
      </c>
      <c r="C2117" s="11" t="s">
        <v>17</v>
      </c>
      <c r="D2117" s="11" t="s">
        <v>18</v>
      </c>
      <c r="E2117" s="12" t="s">
        <v>704</v>
      </c>
      <c r="F2117" s="12" t="s">
        <v>705</v>
      </c>
      <c r="G2117" s="12" t="s">
        <v>29</v>
      </c>
      <c r="H2117" s="11" t="s">
        <v>63</v>
      </c>
      <c r="I2117" s="13" t="s">
        <v>4665</v>
      </c>
      <c r="J2117" s="14" t="str">
        <f>HYPERLINK("https://www.boe.es/gazeta/dias/1839/03/02/pdfs/GMD-1839-1568.pdf#page=1","Abrir facsímil")</f>
        <v>Abrir facsímil</v>
      </c>
      <c r="K2117" s="12" t="s">
        <v>65</v>
      </c>
    </row>
    <row r="2118" spans="1:11" ht="40.049999999999997" customHeight="1" x14ac:dyDescent="0.25">
      <c r="A2118" s="11" t="s">
        <v>4666</v>
      </c>
      <c r="B2118" s="11" t="s">
        <v>4666</v>
      </c>
      <c r="C2118" s="11" t="s">
        <v>17</v>
      </c>
      <c r="D2118" s="11" t="s">
        <v>18</v>
      </c>
      <c r="E2118" s="12" t="s">
        <v>1019</v>
      </c>
      <c r="F2118" s="12" t="s">
        <v>1020</v>
      </c>
      <c r="G2118" s="12" t="s">
        <v>40</v>
      </c>
      <c r="H2118" s="11" t="s">
        <v>63</v>
      </c>
      <c r="I2118" s="13" t="s">
        <v>4667</v>
      </c>
      <c r="J2118" s="14" t="str">
        <f>HYPERLINK("https://www.boe.es/gazeta/dias/1839/07/15/pdfs/GMD-1839-1703.pdf#page=2","Abrir facsímil")</f>
        <v>Abrir facsímil</v>
      </c>
      <c r="K2118" s="12" t="s">
        <v>65</v>
      </c>
    </row>
    <row r="2119" spans="1:11" ht="40.049999999999997" customHeight="1" x14ac:dyDescent="0.25">
      <c r="A2119" s="11" t="s">
        <v>4668</v>
      </c>
      <c r="B2119" s="11" t="s">
        <v>4669</v>
      </c>
      <c r="C2119" s="11" t="s">
        <v>17</v>
      </c>
      <c r="D2119" s="11" t="s">
        <v>18</v>
      </c>
      <c r="E2119" s="12" t="s">
        <v>258</v>
      </c>
      <c r="F2119" s="12" t="s">
        <v>259</v>
      </c>
      <c r="G2119" s="12" t="s">
        <v>46</v>
      </c>
      <c r="H2119" s="11" t="s">
        <v>22</v>
      </c>
      <c r="I2119" s="13" t="s">
        <v>4670</v>
      </c>
      <c r="J2119" s="14" t="str">
        <f>HYPERLINK("https://www.boe.es/gazeta/dias/1839/01/02/pdfs/GMD-1839-1509.pdf#page=3","Abrir facsímil")</f>
        <v>Abrir facsímil</v>
      </c>
      <c r="K2119" s="12" t="s">
        <v>24</v>
      </c>
    </row>
    <row r="2120" spans="1:11" ht="40.049999999999997" customHeight="1" x14ac:dyDescent="0.25">
      <c r="A2120" s="11" t="s">
        <v>4671</v>
      </c>
      <c r="B2120" s="11" t="s">
        <v>4672</v>
      </c>
      <c r="C2120" s="11" t="s">
        <v>80</v>
      </c>
      <c r="D2120" s="11" t="s">
        <v>18</v>
      </c>
      <c r="E2120" s="12" t="s">
        <v>785</v>
      </c>
      <c r="F2120" s="12" t="s">
        <v>786</v>
      </c>
      <c r="G2120" s="12" t="s">
        <v>21</v>
      </c>
      <c r="H2120" s="11" t="s">
        <v>63</v>
      </c>
      <c r="I2120" s="13" t="s">
        <v>4673</v>
      </c>
      <c r="J2120" s="14" t="str">
        <f>HYPERLINK("https://www.boe.es/gazeta/dias/1839/07/13/pdfs/GMD-1839-1701.pdf#page=4","Abrir facsímil")</f>
        <v>Abrir facsímil</v>
      </c>
      <c r="K2120" s="12" t="s">
        <v>65</v>
      </c>
    </row>
    <row r="2121" spans="1:11" ht="40.049999999999997" customHeight="1" x14ac:dyDescent="0.25">
      <c r="A2121" s="11" t="s">
        <v>4674</v>
      </c>
      <c r="B2121" s="11" t="s">
        <v>4675</v>
      </c>
      <c r="C2121" s="11" t="s">
        <v>17</v>
      </c>
      <c r="D2121" s="11" t="s">
        <v>18</v>
      </c>
      <c r="E2121" s="12" t="s">
        <v>1772</v>
      </c>
      <c r="F2121" s="12" t="s">
        <v>1773</v>
      </c>
      <c r="G2121" s="12" t="s">
        <v>29</v>
      </c>
      <c r="H2121" s="11" t="s">
        <v>63</v>
      </c>
      <c r="I2121" s="13" t="s">
        <v>4676</v>
      </c>
      <c r="J2121" s="14" t="str">
        <f>HYPERLINK("https://www.boe.es/gazeta/dias/1839/05/07/pdfs/GMD-1839-1634.pdf#page=1","Abrir facsímil")</f>
        <v>Abrir facsímil</v>
      </c>
      <c r="K2121" s="12" t="s">
        <v>65</v>
      </c>
    </row>
    <row r="2122" spans="1:11" ht="40.049999999999997" customHeight="1" x14ac:dyDescent="0.25">
      <c r="A2122" s="11" t="s">
        <v>4677</v>
      </c>
      <c r="B2122" s="11" t="s">
        <v>4678</v>
      </c>
      <c r="C2122" s="11" t="s">
        <v>80</v>
      </c>
      <c r="D2122" s="11" t="s">
        <v>18</v>
      </c>
      <c r="E2122" s="12" t="s">
        <v>1628</v>
      </c>
      <c r="F2122" s="12" t="s">
        <v>1629</v>
      </c>
      <c r="G2122" s="12" t="s">
        <v>29</v>
      </c>
      <c r="H2122" s="11" t="s">
        <v>22</v>
      </c>
      <c r="I2122" s="13" t="s">
        <v>4679</v>
      </c>
      <c r="J2122" s="14" t="str">
        <f>HYPERLINK("https://www.boe.es/gazeta/dias/1839/03/10/pdfs/GMD-1839-1576.pdf#page=1","Abrir facsímil")</f>
        <v>Abrir facsímil</v>
      </c>
      <c r="K2122" s="12" t="s">
        <v>24</v>
      </c>
    </row>
    <row r="2123" spans="1:11" ht="40.049999999999997" customHeight="1" x14ac:dyDescent="0.25">
      <c r="A2123" s="11" t="s">
        <v>4680</v>
      </c>
      <c r="B2123" s="11" t="s">
        <v>4680</v>
      </c>
      <c r="C2123" s="11" t="s">
        <v>59</v>
      </c>
      <c r="D2123" s="11" t="s">
        <v>60</v>
      </c>
      <c r="E2123" s="12" t="s">
        <v>381</v>
      </c>
      <c r="F2123" s="12" t="s">
        <v>382</v>
      </c>
      <c r="G2123" s="12" t="s">
        <v>29</v>
      </c>
      <c r="H2123" s="11" t="s">
        <v>63</v>
      </c>
      <c r="I2123" s="13" t="s">
        <v>4681</v>
      </c>
      <c r="J2123" s="14" t="str">
        <f>HYPERLINK("https://www.boe.es/gazeta/dias/1839/06/02/pdfs/GMD-1839-1660.pdf#page=1","Abrir facsímil")</f>
        <v>Abrir facsímil</v>
      </c>
      <c r="K2123" s="12" t="s">
        <v>65</v>
      </c>
    </row>
    <row r="2124" spans="1:11" ht="40.049999999999997" customHeight="1" x14ac:dyDescent="0.25">
      <c r="A2124" s="11" t="s">
        <v>4682</v>
      </c>
      <c r="B2124" s="11" t="s">
        <v>4682</v>
      </c>
      <c r="C2124" s="11" t="s">
        <v>17</v>
      </c>
      <c r="D2124" s="11" t="s">
        <v>18</v>
      </c>
      <c r="E2124" s="12" t="s">
        <v>2165</v>
      </c>
      <c r="F2124" s="12" t="s">
        <v>2166</v>
      </c>
      <c r="G2124" s="12" t="s">
        <v>46</v>
      </c>
      <c r="H2124" s="11" t="s">
        <v>22</v>
      </c>
      <c r="I2124" s="13" t="s">
        <v>4683</v>
      </c>
      <c r="J2124" s="14" t="str">
        <f>HYPERLINK("https://www.boe.es/gazeta/dias/1839/01/06/pdfs/GMD-1839-1513.pdf#page=3","Abrir facsímil")</f>
        <v>Abrir facsímil</v>
      </c>
      <c r="K2124" s="12" t="s">
        <v>24</v>
      </c>
    </row>
    <row r="2125" spans="1:11" ht="40.049999999999997" customHeight="1" x14ac:dyDescent="0.25">
      <c r="A2125" s="11" t="s">
        <v>4680</v>
      </c>
      <c r="B2125" s="11" t="s">
        <v>4680</v>
      </c>
      <c r="C2125" s="11" t="s">
        <v>137</v>
      </c>
      <c r="D2125" s="11" t="s">
        <v>18</v>
      </c>
      <c r="E2125" s="12" t="s">
        <v>185</v>
      </c>
      <c r="F2125" s="12" t="s">
        <v>186</v>
      </c>
      <c r="G2125" s="12" t="s">
        <v>40</v>
      </c>
      <c r="H2125" s="11" t="s">
        <v>63</v>
      </c>
      <c r="I2125" s="13" t="s">
        <v>4684</v>
      </c>
      <c r="J2125" s="14" t="str">
        <f>HYPERLINK("https://www.boe.es/gazeta/dias/1839/01/15/pdfs/GMD-1839-1522.pdf#page=2","Abrir facsímil")</f>
        <v>Abrir facsímil</v>
      </c>
      <c r="K2125" s="12" t="s">
        <v>65</v>
      </c>
    </row>
    <row r="2126" spans="1:11" ht="40.049999999999997" customHeight="1" x14ac:dyDescent="0.25">
      <c r="A2126" s="11" t="s">
        <v>4680</v>
      </c>
      <c r="B2126" s="11" t="s">
        <v>4680</v>
      </c>
      <c r="C2126" s="11" t="s">
        <v>101</v>
      </c>
      <c r="D2126" s="11" t="s">
        <v>102</v>
      </c>
      <c r="E2126" s="12" t="s">
        <v>685</v>
      </c>
      <c r="F2126" s="12" t="s">
        <v>686</v>
      </c>
      <c r="G2126" s="12" t="s">
        <v>29</v>
      </c>
      <c r="H2126" s="11" t="s">
        <v>63</v>
      </c>
      <c r="I2126" s="13" t="s">
        <v>4685</v>
      </c>
      <c r="J2126" s="14" t="str">
        <f>HYPERLINK("https://www.boe.es/gazeta/dias/1839/06/18/pdfs/GMD-1839-1676.pdf#page=1","Abrir facsímil")</f>
        <v>Abrir facsímil</v>
      </c>
      <c r="K2126" s="12" t="s">
        <v>65</v>
      </c>
    </row>
    <row r="2127" spans="1:11" ht="40.049999999999997" customHeight="1" x14ac:dyDescent="0.25">
      <c r="A2127" s="11" t="s">
        <v>4686</v>
      </c>
      <c r="B2127" s="11" t="s">
        <v>4687</v>
      </c>
      <c r="C2127" s="11" t="s">
        <v>137</v>
      </c>
      <c r="D2127" s="11" t="s">
        <v>18</v>
      </c>
      <c r="E2127" s="12" t="s">
        <v>1528</v>
      </c>
      <c r="F2127" s="12" t="s">
        <v>1529</v>
      </c>
      <c r="G2127" s="12" t="s">
        <v>21</v>
      </c>
      <c r="H2127" s="11" t="s">
        <v>63</v>
      </c>
      <c r="I2127" s="13" t="s">
        <v>4688</v>
      </c>
      <c r="J2127" s="14" t="str">
        <f>HYPERLINK("https://www.boe.es/gazeta/dias/1839/12/15/pdfs/GMD-1839-1862.pdf#page=4","Abrir facsímil")</f>
        <v>Abrir facsímil</v>
      </c>
      <c r="K2127" s="12" t="s">
        <v>65</v>
      </c>
    </row>
    <row r="2128" spans="1:11" ht="40.049999999999997" customHeight="1" x14ac:dyDescent="0.25">
      <c r="A2128" s="11" t="s">
        <v>4689</v>
      </c>
      <c r="B2128" s="11" t="s">
        <v>4689</v>
      </c>
      <c r="C2128" s="11" t="s">
        <v>80</v>
      </c>
      <c r="D2128" s="11" t="s">
        <v>18</v>
      </c>
      <c r="E2128" s="12" t="s">
        <v>2155</v>
      </c>
      <c r="F2128" s="12" t="s">
        <v>2156</v>
      </c>
      <c r="G2128" s="12" t="s">
        <v>46</v>
      </c>
      <c r="H2128" s="11" t="s">
        <v>63</v>
      </c>
      <c r="I2128" s="13" t="s">
        <v>4690</v>
      </c>
      <c r="J2128" s="14" t="str">
        <f>HYPERLINK("https://www.boe.es/gazeta/dias/1839/01/17/pdfs/GMD-1839-1524.pdf#page=3","Abrir facsímil")</f>
        <v>Abrir facsímil</v>
      </c>
      <c r="K2128" s="12" t="s">
        <v>65</v>
      </c>
    </row>
    <row r="2129" spans="1:11" ht="40.049999999999997" customHeight="1" x14ac:dyDescent="0.25">
      <c r="A2129" s="11" t="s">
        <v>4691</v>
      </c>
      <c r="B2129" s="11" t="s">
        <v>4691</v>
      </c>
      <c r="C2129" s="11" t="s">
        <v>17</v>
      </c>
      <c r="D2129" s="11" t="s">
        <v>18</v>
      </c>
      <c r="E2129" s="12" t="s">
        <v>2262</v>
      </c>
      <c r="F2129" s="12" t="s">
        <v>2263</v>
      </c>
      <c r="G2129" s="12" t="s">
        <v>21</v>
      </c>
      <c r="H2129" s="11" t="s">
        <v>63</v>
      </c>
      <c r="I2129" s="13" t="s">
        <v>4692</v>
      </c>
      <c r="J2129" s="14" t="str">
        <f>HYPERLINK("https://www.boe.es/gazeta/dias/1839/03/16/pdfs/GMD-1839-1582.pdf#page=4","Abrir facsímil")</f>
        <v>Abrir facsímil</v>
      </c>
      <c r="K2129" s="12" t="s">
        <v>65</v>
      </c>
    </row>
    <row r="2130" spans="1:11" ht="40.049999999999997" customHeight="1" x14ac:dyDescent="0.25">
      <c r="A2130" s="11" t="s">
        <v>4693</v>
      </c>
      <c r="B2130" s="11" t="s">
        <v>4693</v>
      </c>
      <c r="C2130" s="11" t="s">
        <v>17</v>
      </c>
      <c r="D2130" s="11" t="s">
        <v>18</v>
      </c>
      <c r="E2130" s="12" t="s">
        <v>108</v>
      </c>
      <c r="F2130" s="12" t="s">
        <v>109</v>
      </c>
      <c r="G2130" s="12" t="s">
        <v>21</v>
      </c>
      <c r="H2130" s="11" t="s">
        <v>63</v>
      </c>
      <c r="I2130" s="13" t="s">
        <v>4694</v>
      </c>
      <c r="J2130" s="14" t="str">
        <f>HYPERLINK("https://www.boe.es/gazeta/dias/1839/01/04/pdfs/GMD-1839-1511.pdf#page=4","Abrir facsímil")</f>
        <v>Abrir facsímil</v>
      </c>
      <c r="K2130" s="12" t="s">
        <v>65</v>
      </c>
    </row>
    <row r="2131" spans="1:11" ht="40.049999999999997" customHeight="1" x14ac:dyDescent="0.25">
      <c r="A2131" s="11" t="s">
        <v>4693</v>
      </c>
      <c r="B2131" s="11" t="s">
        <v>4693</v>
      </c>
      <c r="C2131" s="11" t="s">
        <v>17</v>
      </c>
      <c r="D2131" s="11" t="s">
        <v>18</v>
      </c>
      <c r="E2131" s="12" t="s">
        <v>2165</v>
      </c>
      <c r="F2131" s="12" t="s">
        <v>2166</v>
      </c>
      <c r="G2131" s="12" t="s">
        <v>21</v>
      </c>
      <c r="H2131" s="11" t="s">
        <v>63</v>
      </c>
      <c r="I2131" s="13" t="s">
        <v>4695</v>
      </c>
      <c r="J2131" s="14" t="str">
        <f>HYPERLINK("https://www.boe.es/gazeta/dias/1839/01/06/pdfs/GMD-1839-1513.pdf#page=4","Abrir facsímil")</f>
        <v>Abrir facsímil</v>
      </c>
      <c r="K2131" s="12" t="s">
        <v>65</v>
      </c>
    </row>
    <row r="2132" spans="1:11" ht="40.049999999999997" customHeight="1" x14ac:dyDescent="0.25">
      <c r="A2132" s="11" t="s">
        <v>4696</v>
      </c>
      <c r="B2132" s="11" t="s">
        <v>4697</v>
      </c>
      <c r="C2132" s="11" t="s">
        <v>137</v>
      </c>
      <c r="D2132" s="11" t="s">
        <v>18</v>
      </c>
      <c r="E2132" s="12" t="s">
        <v>202</v>
      </c>
      <c r="F2132" s="12" t="s">
        <v>203</v>
      </c>
      <c r="G2132" s="12" t="s">
        <v>40</v>
      </c>
      <c r="H2132" s="11" t="s">
        <v>63</v>
      </c>
      <c r="I2132" s="13" t="s">
        <v>4698</v>
      </c>
      <c r="J2132" s="14" t="str">
        <f>HYPERLINK("https://www.boe.es/gazeta/dias/1839/04/05/pdfs/GMD-1839-1602.pdf#page=2","Abrir facsímil")</f>
        <v>Abrir facsímil</v>
      </c>
      <c r="K2132" s="12" t="s">
        <v>65</v>
      </c>
    </row>
    <row r="2133" spans="1:11" ht="40.049999999999997" customHeight="1" x14ac:dyDescent="0.25">
      <c r="A2133" s="11" t="s">
        <v>4699</v>
      </c>
      <c r="B2133" s="11" t="s">
        <v>4700</v>
      </c>
      <c r="C2133" s="11" t="s">
        <v>80</v>
      </c>
      <c r="D2133" s="11" t="s">
        <v>18</v>
      </c>
      <c r="E2133" s="12" t="s">
        <v>690</v>
      </c>
      <c r="F2133" s="12" t="s">
        <v>691</v>
      </c>
      <c r="G2133" s="12" t="s">
        <v>21</v>
      </c>
      <c r="H2133" s="11" t="s">
        <v>63</v>
      </c>
      <c r="I2133" s="13" t="s">
        <v>4701</v>
      </c>
      <c r="J2133" s="14" t="str">
        <f>HYPERLINK("https://www.boe.es/gazeta/dias/1839/12/08/pdfs/GMD-1839-1855.pdf#page=4","Abrir facsímil")</f>
        <v>Abrir facsímil</v>
      </c>
      <c r="K2133" s="12" t="s">
        <v>65</v>
      </c>
    </row>
    <row r="2134" spans="1:11" ht="40.049999999999997" customHeight="1" x14ac:dyDescent="0.25">
      <c r="A2134" s="11" t="s">
        <v>4699</v>
      </c>
      <c r="B2134" s="11" t="s">
        <v>4700</v>
      </c>
      <c r="C2134" s="11" t="s">
        <v>80</v>
      </c>
      <c r="D2134" s="11" t="s">
        <v>18</v>
      </c>
      <c r="E2134" s="12" t="s">
        <v>116</v>
      </c>
      <c r="F2134" s="12" t="s">
        <v>117</v>
      </c>
      <c r="G2134" s="12" t="s">
        <v>46</v>
      </c>
      <c r="H2134" s="11" t="s">
        <v>63</v>
      </c>
      <c r="I2134" s="13" t="s">
        <v>4702</v>
      </c>
      <c r="J2134" s="14" t="str">
        <f>HYPERLINK("https://www.boe.es/gazeta/dias/1839/10/10/pdfs/GMD-1839-1796.pdf#page=3","Abrir facsímil")</f>
        <v>Abrir facsímil</v>
      </c>
      <c r="K2134" s="12" t="s">
        <v>65</v>
      </c>
    </row>
    <row r="2135" spans="1:11" ht="40.049999999999997" customHeight="1" x14ac:dyDescent="0.25">
      <c r="A2135" s="11" t="s">
        <v>4703</v>
      </c>
      <c r="B2135" s="11" t="s">
        <v>4704</v>
      </c>
      <c r="C2135" s="11" t="s">
        <v>80</v>
      </c>
      <c r="D2135" s="11" t="s">
        <v>18</v>
      </c>
      <c r="E2135" s="12" t="s">
        <v>507</v>
      </c>
      <c r="F2135" s="12" t="s">
        <v>508</v>
      </c>
      <c r="G2135" s="12" t="s">
        <v>21</v>
      </c>
      <c r="H2135" s="11" t="s">
        <v>63</v>
      </c>
      <c r="I2135" s="13" t="s">
        <v>4705</v>
      </c>
      <c r="J2135" s="14" t="str">
        <f>HYPERLINK("https://www.boe.es/gazeta/dias/1839/08/12/pdfs/GMD-1839-1732.pdf#page=4","Abrir facsímil")</f>
        <v>Abrir facsímil</v>
      </c>
      <c r="K2135" s="12" t="s">
        <v>65</v>
      </c>
    </row>
    <row r="2136" spans="1:11" ht="40.049999999999997" customHeight="1" x14ac:dyDescent="0.25">
      <c r="A2136" s="11" t="s">
        <v>4706</v>
      </c>
      <c r="B2136" s="11" t="s">
        <v>4707</v>
      </c>
      <c r="C2136" s="11" t="s">
        <v>17</v>
      </c>
      <c r="D2136" s="11" t="s">
        <v>18</v>
      </c>
      <c r="E2136" s="12" t="s">
        <v>756</v>
      </c>
      <c r="F2136" s="12" t="s">
        <v>757</v>
      </c>
      <c r="G2136" s="12" t="s">
        <v>21</v>
      </c>
      <c r="H2136" s="11" t="s">
        <v>63</v>
      </c>
      <c r="I2136" s="13" t="s">
        <v>4708</v>
      </c>
      <c r="J2136" s="14" t="str">
        <f>HYPERLINK("https://www.boe.es/gazeta/dias/1839/12/17/pdfs/GMD-1839-1864.pdf#page=4","Abrir facsímil")</f>
        <v>Abrir facsímil</v>
      </c>
      <c r="K2136" s="12" t="s">
        <v>65</v>
      </c>
    </row>
    <row r="2137" spans="1:11" ht="40.049999999999997" customHeight="1" x14ac:dyDescent="0.25">
      <c r="A2137" s="11" t="s">
        <v>4709</v>
      </c>
      <c r="B2137" s="11" t="s">
        <v>4709</v>
      </c>
      <c r="C2137" s="11" t="s">
        <v>59</v>
      </c>
      <c r="D2137" s="11" t="s">
        <v>60</v>
      </c>
      <c r="E2137" s="12" t="s">
        <v>720</v>
      </c>
      <c r="F2137" s="12" t="s">
        <v>721</v>
      </c>
      <c r="G2137" s="12" t="s">
        <v>21</v>
      </c>
      <c r="H2137" s="11" t="s">
        <v>63</v>
      </c>
      <c r="I2137" s="13" t="s">
        <v>4710</v>
      </c>
      <c r="J2137" s="14" t="str">
        <f>HYPERLINK("https://www.boe.es/gazeta/dias/1839/01/14/pdfs/GMD-1839-1521.pdf#page=4","Abrir facsímil")</f>
        <v>Abrir facsímil</v>
      </c>
      <c r="K2137" s="12" t="s">
        <v>65</v>
      </c>
    </row>
    <row r="2138" spans="1:11" ht="40.049999999999997" customHeight="1" x14ac:dyDescent="0.25">
      <c r="A2138" s="11" t="s">
        <v>4711</v>
      </c>
      <c r="B2138" s="11" t="s">
        <v>4712</v>
      </c>
      <c r="C2138" s="11" t="s">
        <v>80</v>
      </c>
      <c r="D2138" s="11" t="s">
        <v>173</v>
      </c>
      <c r="E2138" s="12" t="s">
        <v>1628</v>
      </c>
      <c r="F2138" s="12" t="s">
        <v>1629</v>
      </c>
      <c r="G2138" s="12" t="s">
        <v>29</v>
      </c>
      <c r="H2138" s="11" t="s">
        <v>63</v>
      </c>
      <c r="I2138" s="13" t="s">
        <v>4713</v>
      </c>
      <c r="J2138" s="14" t="str">
        <f>HYPERLINK("https://www.boe.es/gazeta/dias/1839/03/10/pdfs/GMD-1839-1576.pdf#page=1","Abrir facsímil")</f>
        <v>Abrir facsímil</v>
      </c>
      <c r="K2138" s="12" t="s">
        <v>65</v>
      </c>
    </row>
    <row r="2139" spans="1:11" ht="40.049999999999997" customHeight="1" x14ac:dyDescent="0.25">
      <c r="A2139" s="11" t="s">
        <v>4714</v>
      </c>
      <c r="B2139" s="11" t="s">
        <v>4715</v>
      </c>
      <c r="C2139" s="11" t="s">
        <v>17</v>
      </c>
      <c r="D2139" s="11" t="s">
        <v>18</v>
      </c>
      <c r="E2139" s="12" t="s">
        <v>1310</v>
      </c>
      <c r="F2139" s="12" t="s">
        <v>1311</v>
      </c>
      <c r="G2139" s="12" t="s">
        <v>40</v>
      </c>
      <c r="H2139" s="11" t="s">
        <v>63</v>
      </c>
      <c r="I2139" s="13" t="s">
        <v>4716</v>
      </c>
      <c r="J2139" s="14" t="str">
        <f>HYPERLINK("https://www.boe.es/gazeta/dias/1839/04/23/pdfs/GMD-1839-1620.pdf#page=2","Abrir facsímil")</f>
        <v>Abrir facsímil</v>
      </c>
      <c r="K2139" s="12" t="s">
        <v>65</v>
      </c>
    </row>
    <row r="2140" spans="1:11" ht="40.049999999999997" customHeight="1" x14ac:dyDescent="0.25">
      <c r="A2140" s="11" t="s">
        <v>4717</v>
      </c>
      <c r="B2140" s="11" t="s">
        <v>4718</v>
      </c>
      <c r="C2140" s="11" t="s">
        <v>17</v>
      </c>
      <c r="D2140" s="11" t="s">
        <v>18</v>
      </c>
      <c r="E2140" s="12" t="s">
        <v>1123</v>
      </c>
      <c r="F2140" s="12" t="s">
        <v>1124</v>
      </c>
      <c r="G2140" s="12" t="s">
        <v>40</v>
      </c>
      <c r="H2140" s="11" t="s">
        <v>63</v>
      </c>
      <c r="I2140" s="13" t="s">
        <v>4719</v>
      </c>
      <c r="J2140" s="14" t="str">
        <f>HYPERLINK("https://www.boe.es/gazeta/dias/1839/08/10/pdfs/GMD-1839-1730.pdf#page=2","Abrir facsímil")</f>
        <v>Abrir facsímil</v>
      </c>
      <c r="K2140" s="12" t="s">
        <v>65</v>
      </c>
    </row>
    <row r="2141" spans="1:11" ht="40.049999999999997" customHeight="1" x14ac:dyDescent="0.25">
      <c r="A2141" s="11" t="s">
        <v>4720</v>
      </c>
      <c r="B2141" s="11" t="s">
        <v>4721</v>
      </c>
      <c r="C2141" s="11" t="s">
        <v>80</v>
      </c>
      <c r="D2141" s="11" t="s">
        <v>18</v>
      </c>
      <c r="E2141" s="12" t="s">
        <v>1123</v>
      </c>
      <c r="F2141" s="12" t="s">
        <v>1124</v>
      </c>
      <c r="G2141" s="12" t="s">
        <v>29</v>
      </c>
      <c r="H2141" s="11" t="s">
        <v>63</v>
      </c>
      <c r="I2141" s="13" t="s">
        <v>4722</v>
      </c>
      <c r="J2141" s="14" t="str">
        <f>HYPERLINK("https://www.boe.es/gazeta/dias/1839/08/10/pdfs/GMD-1839-1730.pdf#page=1","Abrir facsímil")</f>
        <v>Abrir facsímil</v>
      </c>
      <c r="K2141" s="12" t="s">
        <v>65</v>
      </c>
    </row>
    <row r="2142" spans="1:11" ht="40.049999999999997" customHeight="1" x14ac:dyDescent="0.25">
      <c r="A2142" s="11" t="s">
        <v>4723</v>
      </c>
      <c r="B2142" s="11" t="s">
        <v>4724</v>
      </c>
      <c r="C2142" s="11" t="s">
        <v>80</v>
      </c>
      <c r="D2142" s="11" t="s">
        <v>18</v>
      </c>
      <c r="E2142" s="12" t="s">
        <v>103</v>
      </c>
      <c r="F2142" s="12" t="s">
        <v>104</v>
      </c>
      <c r="G2142" s="12" t="s">
        <v>21</v>
      </c>
      <c r="H2142" s="11" t="s">
        <v>63</v>
      </c>
      <c r="I2142" s="13" t="s">
        <v>4725</v>
      </c>
      <c r="J2142" s="14" t="str">
        <f>HYPERLINK("https://www.boe.es/gazeta/dias/1839/10/12/pdfs/GMD-1839-1798.pdf#page=4","Abrir facsímil")</f>
        <v>Abrir facsímil</v>
      </c>
      <c r="K2142" s="12" t="s">
        <v>65</v>
      </c>
    </row>
    <row r="2143" spans="1:11" ht="40.049999999999997" customHeight="1" x14ac:dyDescent="0.25">
      <c r="A2143" s="11" t="s">
        <v>4726</v>
      </c>
      <c r="B2143" s="11" t="s">
        <v>4726</v>
      </c>
      <c r="C2143" s="11" t="s">
        <v>17</v>
      </c>
      <c r="D2143" s="11" t="s">
        <v>18</v>
      </c>
      <c r="E2143" s="12" t="s">
        <v>262</v>
      </c>
      <c r="F2143" s="12" t="s">
        <v>263</v>
      </c>
      <c r="G2143" s="12" t="s">
        <v>21</v>
      </c>
      <c r="H2143" s="11" t="s">
        <v>63</v>
      </c>
      <c r="I2143" s="13" t="s">
        <v>4727</v>
      </c>
      <c r="J2143" s="14" t="str">
        <f>HYPERLINK("https://www.boe.es/gazeta/dias/1839/01/01/pdfs/GMD-1839-1508.pdf#page=4","Abrir facsímil")</f>
        <v>Abrir facsímil</v>
      </c>
      <c r="K2143" s="12" t="s">
        <v>65</v>
      </c>
    </row>
    <row r="2144" spans="1:11" ht="40.049999999999997" customHeight="1" x14ac:dyDescent="0.25">
      <c r="A2144" s="11" t="s">
        <v>4726</v>
      </c>
      <c r="B2144" s="11" t="s">
        <v>4726</v>
      </c>
      <c r="C2144" s="11" t="s">
        <v>17</v>
      </c>
      <c r="D2144" s="11" t="s">
        <v>18</v>
      </c>
      <c r="E2144" s="12" t="s">
        <v>2440</v>
      </c>
      <c r="F2144" s="12" t="s">
        <v>2441</v>
      </c>
      <c r="G2144" s="12" t="s">
        <v>21</v>
      </c>
      <c r="H2144" s="11" t="s">
        <v>63</v>
      </c>
      <c r="I2144" s="13" t="s">
        <v>4728</v>
      </c>
      <c r="J2144" s="14" t="str">
        <f>HYPERLINK("https://www.boe.es/gazeta/dias/1839/12/01/pdfs/GMD-1839-1848.pdf#page=4","Abrir facsímil")</f>
        <v>Abrir facsímil</v>
      </c>
      <c r="K2144" s="12" t="s">
        <v>65</v>
      </c>
    </row>
    <row r="2145" spans="1:11" ht="40.049999999999997" customHeight="1" x14ac:dyDescent="0.25">
      <c r="A2145" s="11" t="s">
        <v>4726</v>
      </c>
      <c r="B2145" s="11" t="s">
        <v>4726</v>
      </c>
      <c r="C2145" s="11" t="s">
        <v>17</v>
      </c>
      <c r="D2145" s="11" t="s">
        <v>18</v>
      </c>
      <c r="E2145" s="12" t="s">
        <v>258</v>
      </c>
      <c r="F2145" s="12" t="s">
        <v>259</v>
      </c>
      <c r="G2145" s="12" t="s">
        <v>21</v>
      </c>
      <c r="H2145" s="11" t="s">
        <v>63</v>
      </c>
      <c r="I2145" s="13" t="s">
        <v>4729</v>
      </c>
      <c r="J2145" s="14" t="str">
        <f>HYPERLINK("https://www.boe.es/gazeta/dias/1839/01/02/pdfs/GMD-1839-1509.pdf#page=4","Abrir facsímil")</f>
        <v>Abrir facsímil</v>
      </c>
      <c r="K2145" s="12" t="s">
        <v>65</v>
      </c>
    </row>
    <row r="2146" spans="1:11" ht="40.049999999999997" customHeight="1" x14ac:dyDescent="0.25">
      <c r="A2146" s="11" t="s">
        <v>4726</v>
      </c>
      <c r="B2146" s="11" t="s">
        <v>4726</v>
      </c>
      <c r="C2146" s="11" t="s">
        <v>17</v>
      </c>
      <c r="D2146" s="11" t="s">
        <v>18</v>
      </c>
      <c r="E2146" s="12" t="s">
        <v>4451</v>
      </c>
      <c r="F2146" s="12" t="s">
        <v>4452</v>
      </c>
      <c r="G2146" s="12" t="s">
        <v>21</v>
      </c>
      <c r="H2146" s="11" t="s">
        <v>63</v>
      </c>
      <c r="I2146" s="13" t="s">
        <v>4730</v>
      </c>
      <c r="J2146" s="14" t="str">
        <f>HYPERLINK("https://www.boe.es/gazeta/dias/1839/12/02/pdfs/GMD-1839-1849.pdf#page=4","Abrir facsímil")</f>
        <v>Abrir facsímil</v>
      </c>
      <c r="K2146" s="12" t="s">
        <v>65</v>
      </c>
    </row>
    <row r="2147" spans="1:11" ht="40.049999999999997" customHeight="1" x14ac:dyDescent="0.25">
      <c r="A2147" s="11" t="s">
        <v>4726</v>
      </c>
      <c r="B2147" s="11" t="s">
        <v>4726</v>
      </c>
      <c r="C2147" s="11" t="s">
        <v>17</v>
      </c>
      <c r="D2147" s="11" t="s">
        <v>18</v>
      </c>
      <c r="E2147" s="12" t="s">
        <v>3236</v>
      </c>
      <c r="F2147" s="12" t="s">
        <v>3237</v>
      </c>
      <c r="G2147" s="12" t="s">
        <v>21</v>
      </c>
      <c r="H2147" s="11" t="s">
        <v>63</v>
      </c>
      <c r="I2147" s="13" t="s">
        <v>4731</v>
      </c>
      <c r="J2147" s="14" t="str">
        <f>HYPERLINK("https://www.boe.es/gazeta/dias/1839/12/03/pdfs/GMD-1839-1850.pdf#page=4","Abrir facsímil")</f>
        <v>Abrir facsímil</v>
      </c>
      <c r="K2147" s="12" t="s">
        <v>65</v>
      </c>
    </row>
    <row r="2148" spans="1:11" ht="40.049999999999997" customHeight="1" x14ac:dyDescent="0.25">
      <c r="A2148" s="11" t="s">
        <v>4726</v>
      </c>
      <c r="B2148" s="11" t="s">
        <v>4726</v>
      </c>
      <c r="C2148" s="11" t="s">
        <v>17</v>
      </c>
      <c r="D2148" s="11" t="s">
        <v>18</v>
      </c>
      <c r="E2148" s="12" t="s">
        <v>1467</v>
      </c>
      <c r="F2148" s="12" t="s">
        <v>1468</v>
      </c>
      <c r="G2148" s="12" t="s">
        <v>21</v>
      </c>
      <c r="H2148" s="11" t="s">
        <v>63</v>
      </c>
      <c r="I2148" s="13" t="s">
        <v>4732</v>
      </c>
      <c r="J2148" s="14" t="str">
        <f>HYPERLINK("https://www.boe.es/gazeta/dias/1839/03/05/pdfs/GMD-1839-1571.pdf#page=4","Abrir facsímil")</f>
        <v>Abrir facsímil</v>
      </c>
      <c r="K2148" s="12" t="s">
        <v>65</v>
      </c>
    </row>
    <row r="2149" spans="1:11" ht="40.049999999999997" customHeight="1" x14ac:dyDescent="0.25">
      <c r="A2149" s="11" t="s">
        <v>4726</v>
      </c>
      <c r="B2149" s="11" t="s">
        <v>4726</v>
      </c>
      <c r="C2149" s="11" t="s">
        <v>59</v>
      </c>
      <c r="D2149" s="11" t="s">
        <v>60</v>
      </c>
      <c r="E2149" s="12" t="s">
        <v>2839</v>
      </c>
      <c r="F2149" s="12" t="s">
        <v>2840</v>
      </c>
      <c r="G2149" s="12" t="s">
        <v>21</v>
      </c>
      <c r="H2149" s="11" t="s">
        <v>63</v>
      </c>
      <c r="I2149" s="13" t="s">
        <v>4733</v>
      </c>
      <c r="J2149" s="14" t="str">
        <f>HYPERLINK("https://www.boe.es/gazeta/dias/1839/03/06/pdfs/GMD-1839-1572.pdf#page=4","Abrir facsímil")</f>
        <v>Abrir facsímil</v>
      </c>
      <c r="K2149" s="12" t="s">
        <v>65</v>
      </c>
    </row>
    <row r="2150" spans="1:11" ht="40.049999999999997" customHeight="1" x14ac:dyDescent="0.25">
      <c r="A2150" s="11" t="s">
        <v>4726</v>
      </c>
      <c r="B2150" s="11" t="s">
        <v>4726</v>
      </c>
      <c r="C2150" s="11" t="s">
        <v>137</v>
      </c>
      <c r="D2150" s="11" t="s">
        <v>18</v>
      </c>
      <c r="E2150" s="12" t="s">
        <v>2738</v>
      </c>
      <c r="F2150" s="12" t="s">
        <v>2739</v>
      </c>
      <c r="G2150" s="12" t="s">
        <v>21</v>
      </c>
      <c r="H2150" s="11" t="s">
        <v>63</v>
      </c>
      <c r="I2150" s="13" t="s">
        <v>4734</v>
      </c>
      <c r="J2150" s="14" t="str">
        <f>HYPERLINK("https://www.boe.es/gazeta/dias/1839/09/06/pdfs/GMD-1839-1759.pdf#page=4","Abrir facsímil")</f>
        <v>Abrir facsímil</v>
      </c>
      <c r="K2150" s="12" t="s">
        <v>65</v>
      </c>
    </row>
    <row r="2151" spans="1:11" ht="40.049999999999997" customHeight="1" x14ac:dyDescent="0.25">
      <c r="A2151" s="11" t="s">
        <v>4726</v>
      </c>
      <c r="B2151" s="11" t="s">
        <v>4726</v>
      </c>
      <c r="C2151" s="11" t="s">
        <v>17</v>
      </c>
      <c r="D2151" s="11" t="s">
        <v>18</v>
      </c>
      <c r="E2151" s="12" t="s">
        <v>1008</v>
      </c>
      <c r="F2151" s="12" t="s">
        <v>1009</v>
      </c>
      <c r="G2151" s="12" t="s">
        <v>21</v>
      </c>
      <c r="H2151" s="11" t="s">
        <v>63</v>
      </c>
      <c r="I2151" s="13" t="s">
        <v>4735</v>
      </c>
      <c r="J2151" s="14" t="str">
        <f>HYPERLINK("https://www.boe.es/gazeta/dias/1839/09/07/pdfs/GMD-1839-1760.pdf#page=4","Abrir facsímil")</f>
        <v>Abrir facsímil</v>
      </c>
      <c r="K2151" s="12" t="s">
        <v>65</v>
      </c>
    </row>
    <row r="2152" spans="1:11" ht="40.049999999999997" customHeight="1" x14ac:dyDescent="0.25">
      <c r="A2152" s="11" t="s">
        <v>4726</v>
      </c>
      <c r="B2152" s="11" t="s">
        <v>4726</v>
      </c>
      <c r="C2152" s="11" t="s">
        <v>17</v>
      </c>
      <c r="D2152" s="11" t="s">
        <v>18</v>
      </c>
      <c r="E2152" s="12" t="s">
        <v>2301</v>
      </c>
      <c r="F2152" s="12" t="s">
        <v>2302</v>
      </c>
      <c r="G2152" s="12" t="s">
        <v>21</v>
      </c>
      <c r="H2152" s="11" t="s">
        <v>63</v>
      </c>
      <c r="I2152" s="13" t="s">
        <v>4736</v>
      </c>
      <c r="J2152" s="14" t="str">
        <f>HYPERLINK("https://www.boe.es/gazeta/dias/1839/09/08/pdfs/GMD-1839-1761.pdf#page=4","Abrir facsímil")</f>
        <v>Abrir facsímil</v>
      </c>
      <c r="K2152" s="12" t="s">
        <v>65</v>
      </c>
    </row>
    <row r="2153" spans="1:11" ht="40.049999999999997" customHeight="1" x14ac:dyDescent="0.25">
      <c r="A2153" s="11" t="s">
        <v>4726</v>
      </c>
      <c r="B2153" s="11" t="s">
        <v>4726</v>
      </c>
      <c r="C2153" s="11" t="s">
        <v>17</v>
      </c>
      <c r="D2153" s="11" t="s">
        <v>18</v>
      </c>
      <c r="E2153" s="12" t="s">
        <v>1391</v>
      </c>
      <c r="F2153" s="12" t="s">
        <v>1392</v>
      </c>
      <c r="G2153" s="12" t="s">
        <v>21</v>
      </c>
      <c r="H2153" s="11" t="s">
        <v>63</v>
      </c>
      <c r="I2153" s="13" t="s">
        <v>4737</v>
      </c>
      <c r="J2153" s="14" t="str">
        <f>HYPERLINK("https://www.boe.es/gazeta/dias/1839/05/12/pdfs/GMD-1839-1639.pdf#page=4","Abrir facsímil")</f>
        <v>Abrir facsímil</v>
      </c>
      <c r="K2153" s="12" t="s">
        <v>65</v>
      </c>
    </row>
    <row r="2154" spans="1:11" ht="40.049999999999997" customHeight="1" x14ac:dyDescent="0.25">
      <c r="A2154" s="11" t="s">
        <v>4726</v>
      </c>
      <c r="B2154" s="11" t="s">
        <v>4726</v>
      </c>
      <c r="C2154" s="11" t="s">
        <v>17</v>
      </c>
      <c r="D2154" s="11" t="s">
        <v>18</v>
      </c>
      <c r="E2154" s="12" t="s">
        <v>888</v>
      </c>
      <c r="F2154" s="12" t="s">
        <v>889</v>
      </c>
      <c r="G2154" s="12" t="s">
        <v>21</v>
      </c>
      <c r="H2154" s="11" t="s">
        <v>63</v>
      </c>
      <c r="I2154" s="13" t="s">
        <v>4738</v>
      </c>
      <c r="J2154" s="14" t="str">
        <f>HYPERLINK("https://www.boe.es/gazeta/dias/1839/05/14/pdfs/GMD-1839-1641.pdf#page=4","Abrir facsímil")</f>
        <v>Abrir facsímil</v>
      </c>
      <c r="K2154" s="12" t="s">
        <v>65</v>
      </c>
    </row>
    <row r="2155" spans="1:11" ht="40.049999999999997" customHeight="1" x14ac:dyDescent="0.25">
      <c r="A2155" s="11" t="s">
        <v>4726</v>
      </c>
      <c r="B2155" s="11" t="s">
        <v>4726</v>
      </c>
      <c r="C2155" s="11" t="s">
        <v>137</v>
      </c>
      <c r="D2155" s="11" t="s">
        <v>18</v>
      </c>
      <c r="E2155" s="12" t="s">
        <v>3114</v>
      </c>
      <c r="F2155" s="12" t="s">
        <v>3115</v>
      </c>
      <c r="G2155" s="12" t="s">
        <v>21</v>
      </c>
      <c r="H2155" s="11" t="s">
        <v>63</v>
      </c>
      <c r="I2155" s="13" t="s">
        <v>4739</v>
      </c>
      <c r="J2155" s="14" t="str">
        <f>HYPERLINK("https://www.boe.es/gazeta/dias/1839/05/15/pdfs/GMD-1839-1642.pdf#page=4","Abrir facsímil")</f>
        <v>Abrir facsímil</v>
      </c>
      <c r="K2155" s="12" t="s">
        <v>65</v>
      </c>
    </row>
    <row r="2156" spans="1:11" ht="40.049999999999997" customHeight="1" x14ac:dyDescent="0.25">
      <c r="A2156" s="11" t="s">
        <v>4726</v>
      </c>
      <c r="B2156" s="11" t="s">
        <v>4726</v>
      </c>
      <c r="C2156" s="11" t="s">
        <v>17</v>
      </c>
      <c r="D2156" s="11" t="s">
        <v>18</v>
      </c>
      <c r="E2156" s="12" t="s">
        <v>1019</v>
      </c>
      <c r="F2156" s="12" t="s">
        <v>1020</v>
      </c>
      <c r="G2156" s="12" t="s">
        <v>21</v>
      </c>
      <c r="H2156" s="11" t="s">
        <v>63</v>
      </c>
      <c r="I2156" s="13" t="s">
        <v>4740</v>
      </c>
      <c r="J2156" s="14" t="str">
        <f>HYPERLINK("https://www.boe.es/gazeta/dias/1839/07/15/pdfs/GMD-1839-1703.pdf#page=4","Abrir facsímil")</f>
        <v>Abrir facsímil</v>
      </c>
      <c r="K2156" s="12" t="s">
        <v>65</v>
      </c>
    </row>
    <row r="2157" spans="1:11" ht="40.049999999999997" customHeight="1" x14ac:dyDescent="0.25">
      <c r="A2157" s="11" t="s">
        <v>4726</v>
      </c>
      <c r="B2157" s="11" t="s">
        <v>4726</v>
      </c>
      <c r="C2157" s="11" t="s">
        <v>17</v>
      </c>
      <c r="D2157" s="11" t="s">
        <v>18</v>
      </c>
      <c r="E2157" s="12" t="s">
        <v>2851</v>
      </c>
      <c r="F2157" s="12" t="s">
        <v>2852</v>
      </c>
      <c r="G2157" s="12" t="s">
        <v>21</v>
      </c>
      <c r="H2157" s="11" t="s">
        <v>63</v>
      </c>
      <c r="I2157" s="13" t="s">
        <v>4741</v>
      </c>
      <c r="J2157" s="14" t="str">
        <f>HYPERLINK("https://www.boe.es/gazeta/dias/1839/05/16/pdfs/GMD-1839-1643.pdf#page=4","Abrir facsímil")</f>
        <v>Abrir facsímil</v>
      </c>
      <c r="K2157" s="12" t="s">
        <v>65</v>
      </c>
    </row>
    <row r="2158" spans="1:11" ht="40.049999999999997" customHeight="1" x14ac:dyDescent="0.25">
      <c r="A2158" s="11" t="s">
        <v>4726</v>
      </c>
      <c r="B2158" s="11" t="s">
        <v>4726</v>
      </c>
      <c r="C2158" s="11" t="s">
        <v>17</v>
      </c>
      <c r="D2158" s="11" t="s">
        <v>18</v>
      </c>
      <c r="E2158" s="12" t="s">
        <v>1236</v>
      </c>
      <c r="F2158" s="12" t="s">
        <v>1237</v>
      </c>
      <c r="G2158" s="12" t="s">
        <v>21</v>
      </c>
      <c r="H2158" s="11" t="s">
        <v>63</v>
      </c>
      <c r="I2158" s="13" t="s">
        <v>4742</v>
      </c>
      <c r="J2158" s="14" t="str">
        <f>HYPERLINK("https://www.boe.es/gazeta/dias/1839/10/16/pdfs/GMD-1839-1802.pdf#page=4","Abrir facsímil")</f>
        <v>Abrir facsímil</v>
      </c>
      <c r="K2158" s="12" t="s">
        <v>65</v>
      </c>
    </row>
    <row r="2159" spans="1:11" ht="40.049999999999997" customHeight="1" x14ac:dyDescent="0.25">
      <c r="A2159" s="11" t="s">
        <v>4726</v>
      </c>
      <c r="B2159" s="11" t="s">
        <v>4726</v>
      </c>
      <c r="C2159" s="11" t="s">
        <v>80</v>
      </c>
      <c r="D2159" s="11" t="s">
        <v>173</v>
      </c>
      <c r="E2159" s="12" t="s">
        <v>2021</v>
      </c>
      <c r="F2159" s="12" t="s">
        <v>2022</v>
      </c>
      <c r="G2159" s="12" t="s">
        <v>21</v>
      </c>
      <c r="H2159" s="11" t="s">
        <v>63</v>
      </c>
      <c r="I2159" s="13" t="s">
        <v>4743</v>
      </c>
      <c r="J2159" s="14" t="str">
        <f>HYPERLINK("https://www.boe.es/gazeta/dias/1839/02/17/pdfs/GMD-1839-1555.pdf#page=4","Abrir facsímil")</f>
        <v>Abrir facsímil</v>
      </c>
      <c r="K2159" s="12" t="s">
        <v>65</v>
      </c>
    </row>
    <row r="2160" spans="1:11" ht="40.049999999999997" customHeight="1" x14ac:dyDescent="0.25">
      <c r="A2160" s="11" t="s">
        <v>4726</v>
      </c>
      <c r="B2160" s="11" t="s">
        <v>4726</v>
      </c>
      <c r="C2160" s="11" t="s">
        <v>80</v>
      </c>
      <c r="D2160" s="11" t="s">
        <v>18</v>
      </c>
      <c r="E2160" s="12" t="s">
        <v>564</v>
      </c>
      <c r="F2160" s="12" t="s">
        <v>565</v>
      </c>
      <c r="G2160" s="12" t="s">
        <v>305</v>
      </c>
      <c r="H2160" s="11" t="s">
        <v>63</v>
      </c>
      <c r="I2160" s="13" t="s">
        <v>4744</v>
      </c>
      <c r="J2160" s="14" t="str">
        <f>HYPERLINK("https://www.boe.es/gazeta/dias/1839/10/17/pdfs/GMD-1839-1803.pdf#page=6","Abrir facsímil")</f>
        <v>Abrir facsímil</v>
      </c>
      <c r="K2160" s="12" t="s">
        <v>65</v>
      </c>
    </row>
    <row r="2161" spans="1:11" ht="40.049999999999997" customHeight="1" x14ac:dyDescent="0.25">
      <c r="A2161" s="11" t="s">
        <v>4726</v>
      </c>
      <c r="B2161" s="11" t="s">
        <v>4726</v>
      </c>
      <c r="C2161" s="11" t="s">
        <v>80</v>
      </c>
      <c r="D2161" s="11" t="s">
        <v>18</v>
      </c>
      <c r="E2161" s="12" t="s">
        <v>280</v>
      </c>
      <c r="F2161" s="12" t="s">
        <v>281</v>
      </c>
      <c r="G2161" s="12" t="s">
        <v>46</v>
      </c>
      <c r="H2161" s="11" t="s">
        <v>63</v>
      </c>
      <c r="I2161" s="13" t="s">
        <v>4745</v>
      </c>
      <c r="J2161" s="14" t="str">
        <f>HYPERLINK("https://www.boe.es/gazeta/dias/1839/08/21/pdfs/GMD-1839-1742.pdf#page=3","Abrir facsímil")</f>
        <v>Abrir facsímil</v>
      </c>
      <c r="K2161" s="12" t="s">
        <v>65</v>
      </c>
    </row>
    <row r="2162" spans="1:11" ht="40.049999999999997" customHeight="1" x14ac:dyDescent="0.25">
      <c r="A2162" s="11" t="s">
        <v>4726</v>
      </c>
      <c r="B2162" s="11" t="s">
        <v>4726</v>
      </c>
      <c r="C2162" s="11" t="s">
        <v>17</v>
      </c>
      <c r="D2162" s="11" t="s">
        <v>18</v>
      </c>
      <c r="E2162" s="12" t="s">
        <v>360</v>
      </c>
      <c r="F2162" s="12" t="s">
        <v>361</v>
      </c>
      <c r="G2162" s="12" t="s">
        <v>21</v>
      </c>
      <c r="H2162" s="11" t="s">
        <v>63</v>
      </c>
      <c r="I2162" s="13" t="s">
        <v>4746</v>
      </c>
      <c r="J2162" s="14" t="str">
        <f>HYPERLINK("https://www.boe.es/gazeta/dias/1839/08/22/pdfs/GMD-1839-1743.pdf#page=4","Abrir facsímil")</f>
        <v>Abrir facsímil</v>
      </c>
      <c r="K2162" s="12" t="s">
        <v>65</v>
      </c>
    </row>
    <row r="2163" spans="1:11" ht="40.049999999999997" customHeight="1" x14ac:dyDescent="0.25">
      <c r="A2163" s="11" t="s">
        <v>4726</v>
      </c>
      <c r="B2163" s="11" t="s">
        <v>4726</v>
      </c>
      <c r="C2163" s="11" t="s">
        <v>17</v>
      </c>
      <c r="D2163" s="11" t="s">
        <v>18</v>
      </c>
      <c r="E2163" s="12" t="s">
        <v>1183</v>
      </c>
      <c r="F2163" s="12" t="s">
        <v>1184</v>
      </c>
      <c r="G2163" s="12" t="s">
        <v>21</v>
      </c>
      <c r="H2163" s="11" t="s">
        <v>63</v>
      </c>
      <c r="I2163" s="13" t="s">
        <v>4747</v>
      </c>
      <c r="J2163" s="14" t="str">
        <f>HYPERLINK("https://www.boe.es/gazeta/dias/1839/07/26/pdfs/GMD-1839-1715.pdf#page=4","Abrir facsímil")</f>
        <v>Abrir facsímil</v>
      </c>
      <c r="K2163" s="12" t="s">
        <v>65</v>
      </c>
    </row>
    <row r="2164" spans="1:11" ht="40.049999999999997" customHeight="1" x14ac:dyDescent="0.25">
      <c r="A2164" s="11" t="s">
        <v>4726</v>
      </c>
      <c r="B2164" s="11" t="s">
        <v>4726</v>
      </c>
      <c r="C2164" s="11" t="s">
        <v>17</v>
      </c>
      <c r="D2164" s="11" t="s">
        <v>18</v>
      </c>
      <c r="E2164" s="12" t="s">
        <v>574</v>
      </c>
      <c r="F2164" s="12" t="s">
        <v>575</v>
      </c>
      <c r="G2164" s="12" t="s">
        <v>21</v>
      </c>
      <c r="H2164" s="11" t="s">
        <v>63</v>
      </c>
      <c r="I2164" s="13" t="s">
        <v>4748</v>
      </c>
      <c r="J2164" s="14" t="str">
        <f>HYPERLINK("https://www.boe.es/gazeta/dias/1839/09/28/pdfs/GMD-1839-1784.pdf#page=4","Abrir facsímil")</f>
        <v>Abrir facsímil</v>
      </c>
      <c r="K2164" s="12" t="s">
        <v>65</v>
      </c>
    </row>
    <row r="2165" spans="1:11" ht="40.049999999999997" customHeight="1" x14ac:dyDescent="0.25">
      <c r="A2165" s="11" t="s">
        <v>4726</v>
      </c>
      <c r="B2165" s="11" t="s">
        <v>4726</v>
      </c>
      <c r="C2165" s="11" t="s">
        <v>17</v>
      </c>
      <c r="D2165" s="11" t="s">
        <v>18</v>
      </c>
      <c r="E2165" s="12" t="s">
        <v>308</v>
      </c>
      <c r="F2165" s="12" t="s">
        <v>309</v>
      </c>
      <c r="G2165" s="12" t="s">
        <v>21</v>
      </c>
      <c r="H2165" s="11" t="s">
        <v>63</v>
      </c>
      <c r="I2165" s="13" t="s">
        <v>4749</v>
      </c>
      <c r="J2165" s="14" t="str">
        <f>HYPERLINK("https://www.boe.es/gazeta/dias/1839/07/29/pdfs/GMD-1839-1718.pdf#page=4","Abrir facsímil")</f>
        <v>Abrir facsímil</v>
      </c>
      <c r="K2165" s="12" t="s">
        <v>65</v>
      </c>
    </row>
    <row r="2166" spans="1:11" ht="40.049999999999997" customHeight="1" x14ac:dyDescent="0.25">
      <c r="A2166" s="11" t="s">
        <v>4726</v>
      </c>
      <c r="B2166" s="11" t="s">
        <v>4726</v>
      </c>
      <c r="C2166" s="11" t="s">
        <v>17</v>
      </c>
      <c r="D2166" s="11" t="s">
        <v>18</v>
      </c>
      <c r="E2166" s="12" t="s">
        <v>1523</v>
      </c>
      <c r="F2166" s="12" t="s">
        <v>1524</v>
      </c>
      <c r="G2166" s="12" t="s">
        <v>21</v>
      </c>
      <c r="H2166" s="11" t="s">
        <v>63</v>
      </c>
      <c r="I2166" s="13" t="s">
        <v>4750</v>
      </c>
      <c r="J2166" s="14" t="str">
        <f>HYPERLINK("https://www.boe.es/gazeta/dias/1839/08/29/pdfs/GMD-1839-1750.pdf#page=4","Abrir facsímil")</f>
        <v>Abrir facsímil</v>
      </c>
      <c r="K2166" s="12" t="s">
        <v>65</v>
      </c>
    </row>
    <row r="2167" spans="1:11" ht="40.049999999999997" customHeight="1" x14ac:dyDescent="0.25">
      <c r="A2167" s="11" t="s">
        <v>4726</v>
      </c>
      <c r="B2167" s="11" t="s">
        <v>4726</v>
      </c>
      <c r="C2167" s="11" t="s">
        <v>101</v>
      </c>
      <c r="D2167" s="11" t="s">
        <v>43</v>
      </c>
      <c r="E2167" s="12" t="s">
        <v>1118</v>
      </c>
      <c r="F2167" s="12" t="s">
        <v>1119</v>
      </c>
      <c r="G2167" s="12" t="s">
        <v>21</v>
      </c>
      <c r="H2167" s="11" t="s">
        <v>63</v>
      </c>
      <c r="I2167" s="13" t="s">
        <v>4751</v>
      </c>
      <c r="J2167" s="14" t="str">
        <f>HYPERLINK("https://www.boe.es/gazeta/dias/1839/08/30/pdfs/GMD-1839-1751.pdf#page=4","Abrir facsímil")</f>
        <v>Abrir facsímil</v>
      </c>
      <c r="K2167" s="12" t="s">
        <v>65</v>
      </c>
    </row>
    <row r="2168" spans="1:11" ht="40.049999999999997" customHeight="1" x14ac:dyDescent="0.25">
      <c r="A2168" s="11" t="s">
        <v>4726</v>
      </c>
      <c r="B2168" s="11" t="s">
        <v>4726</v>
      </c>
      <c r="C2168" s="11" t="s">
        <v>17</v>
      </c>
      <c r="D2168" s="11" t="s">
        <v>18</v>
      </c>
      <c r="E2168" s="12" t="s">
        <v>312</v>
      </c>
      <c r="F2168" s="12" t="s">
        <v>313</v>
      </c>
      <c r="G2168" s="12" t="s">
        <v>21</v>
      </c>
      <c r="H2168" s="11" t="s">
        <v>63</v>
      </c>
      <c r="I2168" s="13" t="s">
        <v>4752</v>
      </c>
      <c r="J2168" s="14" t="str">
        <f>HYPERLINK("https://www.boe.es/gazeta/dias/1839/11/30/pdfs/GMD-1839-1847.pdf#page=4","Abrir facsímil")</f>
        <v>Abrir facsímil</v>
      </c>
      <c r="K2168" s="12" t="s">
        <v>65</v>
      </c>
    </row>
    <row r="2169" spans="1:11" ht="40.049999999999997" customHeight="1" x14ac:dyDescent="0.25">
      <c r="A2169" s="11" t="s">
        <v>4753</v>
      </c>
      <c r="B2169" s="11" t="s">
        <v>4754</v>
      </c>
      <c r="C2169" s="11" t="s">
        <v>137</v>
      </c>
      <c r="D2169" s="11" t="s">
        <v>18</v>
      </c>
      <c r="E2169" s="12" t="s">
        <v>38</v>
      </c>
      <c r="F2169" s="12" t="s">
        <v>39</v>
      </c>
      <c r="G2169" s="12" t="s">
        <v>21</v>
      </c>
      <c r="H2169" s="11" t="s">
        <v>63</v>
      </c>
      <c r="I2169" s="13" t="s">
        <v>4755</v>
      </c>
      <c r="J2169" s="14" t="str">
        <f>HYPERLINK("https://www.boe.es/gazeta/dias/1839/08/08/pdfs/GMD-1839-1728.pdf#page=4","Abrir facsímil")</f>
        <v>Abrir facsímil</v>
      </c>
      <c r="K2169" s="12" t="s">
        <v>65</v>
      </c>
    </row>
    <row r="2170" spans="1:11" ht="40.049999999999997" customHeight="1" x14ac:dyDescent="0.25">
      <c r="A2170" s="11" t="s">
        <v>4753</v>
      </c>
      <c r="B2170" s="11" t="s">
        <v>4754</v>
      </c>
      <c r="C2170" s="11" t="s">
        <v>80</v>
      </c>
      <c r="D2170" s="11" t="s">
        <v>18</v>
      </c>
      <c r="E2170" s="12" t="s">
        <v>426</v>
      </c>
      <c r="F2170" s="12" t="s">
        <v>427</v>
      </c>
      <c r="G2170" s="12" t="s">
        <v>21</v>
      </c>
      <c r="H2170" s="11" t="s">
        <v>63</v>
      </c>
      <c r="I2170" s="13" t="s">
        <v>4756</v>
      </c>
      <c r="J2170" s="14" t="str">
        <f>HYPERLINK("https://www.boe.es/gazeta/dias/1839/08/11/pdfs/GMD-1839-1731.pdf#page=4","Abrir facsímil")</f>
        <v>Abrir facsímil</v>
      </c>
      <c r="K2170" s="12" t="s">
        <v>65</v>
      </c>
    </row>
    <row r="2171" spans="1:11" ht="40.049999999999997" customHeight="1" x14ac:dyDescent="0.25">
      <c r="A2171" s="11" t="s">
        <v>4757</v>
      </c>
      <c r="B2171" s="11" t="s">
        <v>4758</v>
      </c>
      <c r="C2171" s="11" t="s">
        <v>17</v>
      </c>
      <c r="D2171" s="11" t="s">
        <v>18</v>
      </c>
      <c r="E2171" s="12" t="s">
        <v>1460</v>
      </c>
      <c r="F2171" s="12" t="s">
        <v>1461</v>
      </c>
      <c r="G2171" s="12" t="s">
        <v>40</v>
      </c>
      <c r="H2171" s="11" t="s">
        <v>63</v>
      </c>
      <c r="I2171" s="13" t="s">
        <v>4759</v>
      </c>
      <c r="J2171" s="14" t="str">
        <f>HYPERLINK("https://www.boe.es/gazeta/dias/1839/03/01/pdfs/GMD-1839-1567.pdf#page=2","Abrir facsímil")</f>
        <v>Abrir facsímil</v>
      </c>
      <c r="K2171" s="12" t="s">
        <v>65</v>
      </c>
    </row>
    <row r="2172" spans="1:11" ht="40.049999999999997" customHeight="1" x14ac:dyDescent="0.25">
      <c r="A2172" s="11" t="s">
        <v>4757</v>
      </c>
      <c r="B2172" s="11" t="s">
        <v>4758</v>
      </c>
      <c r="C2172" s="11" t="s">
        <v>137</v>
      </c>
      <c r="D2172" s="11" t="s">
        <v>18</v>
      </c>
      <c r="E2172" s="12" t="s">
        <v>125</v>
      </c>
      <c r="F2172" s="12" t="s">
        <v>126</v>
      </c>
      <c r="G2172" s="12" t="s">
        <v>29</v>
      </c>
      <c r="H2172" s="11" t="s">
        <v>63</v>
      </c>
      <c r="I2172" s="13" t="s">
        <v>4760</v>
      </c>
      <c r="J2172" s="14" t="str">
        <f>HYPERLINK("https://www.boe.es/gazeta/dias/1839/05/23/pdfs/GMD-1839-1650.pdf#page=1","Abrir facsímil")</f>
        <v>Abrir facsímil</v>
      </c>
      <c r="K2172" s="12" t="s">
        <v>65</v>
      </c>
    </row>
    <row r="2173" spans="1:11" ht="40.049999999999997" customHeight="1" x14ac:dyDescent="0.25">
      <c r="A2173" s="11" t="s">
        <v>4761</v>
      </c>
      <c r="B2173" s="11" t="s">
        <v>4762</v>
      </c>
      <c r="C2173" s="11" t="s">
        <v>17</v>
      </c>
      <c r="D2173" s="11" t="s">
        <v>18</v>
      </c>
      <c r="E2173" s="12" t="s">
        <v>138</v>
      </c>
      <c r="F2173" s="12" t="s">
        <v>139</v>
      </c>
      <c r="G2173" s="12" t="s">
        <v>21</v>
      </c>
      <c r="H2173" s="11" t="s">
        <v>63</v>
      </c>
      <c r="I2173" s="13" t="s">
        <v>4763</v>
      </c>
      <c r="J2173" s="14" t="str">
        <f>HYPERLINK("https://www.boe.es/gazeta/dias/1839/10/09/pdfs/GMD-1839-1795.pdf#page=4","Abrir facsímil")</f>
        <v>Abrir facsímil</v>
      </c>
      <c r="K2173" s="12" t="s">
        <v>65</v>
      </c>
    </row>
    <row r="2174" spans="1:11" ht="40.049999999999997" customHeight="1" x14ac:dyDescent="0.25">
      <c r="A2174" s="11" t="s">
        <v>4764</v>
      </c>
      <c r="B2174" s="11" t="s">
        <v>4764</v>
      </c>
      <c r="C2174" s="11" t="s">
        <v>80</v>
      </c>
      <c r="D2174" s="11" t="s">
        <v>18</v>
      </c>
      <c r="E2174" s="12" t="s">
        <v>381</v>
      </c>
      <c r="F2174" s="12" t="s">
        <v>382</v>
      </c>
      <c r="G2174" s="12" t="s">
        <v>21</v>
      </c>
      <c r="H2174" s="11" t="s">
        <v>63</v>
      </c>
      <c r="I2174" s="13" t="s">
        <v>4765</v>
      </c>
      <c r="J2174" s="14" t="str">
        <f>HYPERLINK("https://www.boe.es/gazeta/dias/1839/06/02/pdfs/GMD-1839-1660.pdf#page=4","Abrir facsímil")</f>
        <v>Abrir facsímil</v>
      </c>
      <c r="K2174" s="12" t="s">
        <v>65</v>
      </c>
    </row>
    <row r="2175" spans="1:11" ht="40.049999999999997" customHeight="1" x14ac:dyDescent="0.25">
      <c r="A2175" s="11" t="s">
        <v>4764</v>
      </c>
      <c r="B2175" s="11" t="s">
        <v>4764</v>
      </c>
      <c r="C2175" s="11" t="s">
        <v>101</v>
      </c>
      <c r="D2175" s="11" t="s">
        <v>43</v>
      </c>
      <c r="E2175" s="12" t="s">
        <v>1606</v>
      </c>
      <c r="F2175" s="12" t="s">
        <v>1607</v>
      </c>
      <c r="G2175" s="12" t="s">
        <v>21</v>
      </c>
      <c r="H2175" s="11" t="s">
        <v>63</v>
      </c>
      <c r="I2175" s="13" t="s">
        <v>4766</v>
      </c>
      <c r="J2175" s="14" t="str">
        <f>HYPERLINK("https://www.boe.es/gazeta/dias/1839/07/02/pdfs/GMD-1839-1690.pdf#page=4","Abrir facsímil")</f>
        <v>Abrir facsímil</v>
      </c>
      <c r="K2175" s="12" t="s">
        <v>65</v>
      </c>
    </row>
    <row r="2176" spans="1:11" ht="40.049999999999997" customHeight="1" x14ac:dyDescent="0.25">
      <c r="A2176" s="11" t="s">
        <v>4764</v>
      </c>
      <c r="B2176" s="11" t="s">
        <v>4764</v>
      </c>
      <c r="C2176" s="11" t="s">
        <v>17</v>
      </c>
      <c r="D2176" s="11" t="s">
        <v>18</v>
      </c>
      <c r="E2176" s="12" t="s">
        <v>2962</v>
      </c>
      <c r="F2176" s="12" t="s">
        <v>2963</v>
      </c>
      <c r="G2176" s="12" t="s">
        <v>21</v>
      </c>
      <c r="H2176" s="11" t="s">
        <v>63</v>
      </c>
      <c r="I2176" s="13" t="s">
        <v>4767</v>
      </c>
      <c r="J2176" s="14" t="str">
        <f>HYPERLINK("https://www.boe.es/gazeta/dias/1839/12/21/pdfs/GMD-1839-1868.pdf#page=4","Abrir facsímil")</f>
        <v>Abrir facsímil</v>
      </c>
      <c r="K2176" s="12" t="s">
        <v>65</v>
      </c>
    </row>
    <row r="2177" spans="1:11" ht="40.049999999999997" customHeight="1" x14ac:dyDescent="0.25">
      <c r="A2177" s="11" t="s">
        <v>4768</v>
      </c>
      <c r="B2177" s="11" t="s">
        <v>4768</v>
      </c>
      <c r="C2177" s="11" t="s">
        <v>59</v>
      </c>
      <c r="D2177" s="11" t="s">
        <v>60</v>
      </c>
      <c r="E2177" s="12" t="s">
        <v>111</v>
      </c>
      <c r="F2177" s="12" t="s">
        <v>112</v>
      </c>
      <c r="G2177" s="12" t="s">
        <v>40</v>
      </c>
      <c r="H2177" s="11" t="s">
        <v>63</v>
      </c>
      <c r="I2177" s="13" t="s">
        <v>4769</v>
      </c>
      <c r="J2177" s="14" t="str">
        <f>HYPERLINK("https://www.boe.es/gazeta/dias/1839/07/25/pdfs/GMD-1839-1714.pdf#page=2","Abrir facsímil")</f>
        <v>Abrir facsímil</v>
      </c>
      <c r="K2177" s="12" t="s">
        <v>65</v>
      </c>
    </row>
    <row r="2178" spans="1:11" ht="40.049999999999997" customHeight="1" x14ac:dyDescent="0.25">
      <c r="A2178" s="11" t="s">
        <v>4770</v>
      </c>
      <c r="B2178" s="11" t="s">
        <v>4770</v>
      </c>
      <c r="C2178" s="11" t="s">
        <v>101</v>
      </c>
      <c r="D2178" s="11" t="s">
        <v>102</v>
      </c>
      <c r="E2178" s="12" t="s">
        <v>1672</v>
      </c>
      <c r="F2178" s="12" t="s">
        <v>1673</v>
      </c>
      <c r="G2178" s="12" t="s">
        <v>40</v>
      </c>
      <c r="H2178" s="11" t="s">
        <v>63</v>
      </c>
      <c r="I2178" s="13" t="s">
        <v>4771</v>
      </c>
      <c r="J2178" s="14" t="str">
        <f>HYPERLINK("https://www.boe.es/gazeta/dias/1839/08/24/pdfs/GMD-1839-1745.pdf#page=2","Abrir facsímil")</f>
        <v>Abrir facsímil</v>
      </c>
      <c r="K2178" s="12" t="s">
        <v>65</v>
      </c>
    </row>
    <row r="2179" spans="1:11" ht="40.049999999999997" customHeight="1" x14ac:dyDescent="0.25">
      <c r="A2179" s="11" t="s">
        <v>4772</v>
      </c>
      <c r="B2179" s="11" t="s">
        <v>4773</v>
      </c>
      <c r="C2179" s="11" t="s">
        <v>80</v>
      </c>
      <c r="D2179" s="11" t="s">
        <v>18</v>
      </c>
      <c r="E2179" s="12" t="s">
        <v>1310</v>
      </c>
      <c r="F2179" s="12" t="s">
        <v>1311</v>
      </c>
      <c r="G2179" s="12" t="s">
        <v>40</v>
      </c>
      <c r="H2179" s="11" t="s">
        <v>63</v>
      </c>
      <c r="I2179" s="13" t="s">
        <v>4774</v>
      </c>
      <c r="J2179" s="14" t="str">
        <f>HYPERLINK("https://www.boe.es/gazeta/dias/1839/04/23/pdfs/GMD-1839-1620.pdf#page=2","Abrir facsímil")</f>
        <v>Abrir facsímil</v>
      </c>
      <c r="K2179" s="12" t="s">
        <v>65</v>
      </c>
    </row>
    <row r="2180" spans="1:11" ht="40.049999999999997" customHeight="1" x14ac:dyDescent="0.25">
      <c r="A2180" s="11" t="s">
        <v>4775</v>
      </c>
      <c r="B2180" s="11" t="s">
        <v>4775</v>
      </c>
      <c r="C2180" s="11" t="s">
        <v>17</v>
      </c>
      <c r="D2180" s="11" t="s">
        <v>18</v>
      </c>
      <c r="E2180" s="12" t="s">
        <v>2392</v>
      </c>
      <c r="F2180" s="12" t="s">
        <v>2393</v>
      </c>
      <c r="G2180" s="12" t="s">
        <v>21</v>
      </c>
      <c r="H2180" s="11" t="s">
        <v>63</v>
      </c>
      <c r="I2180" s="13" t="s">
        <v>4776</v>
      </c>
      <c r="J2180" s="14" t="str">
        <f>HYPERLINK("https://www.boe.es/gazeta/dias/1839/05/21/pdfs/GMD-1839-1648.pdf#page=4","Abrir facsímil")</f>
        <v>Abrir facsímil</v>
      </c>
      <c r="K2180" s="12" t="s">
        <v>65</v>
      </c>
    </row>
    <row r="2181" spans="1:11" ht="40.049999999999997" customHeight="1" x14ac:dyDescent="0.25">
      <c r="A2181" s="11" t="s">
        <v>4777</v>
      </c>
      <c r="B2181" s="11" t="s">
        <v>4778</v>
      </c>
      <c r="C2181" s="11" t="s">
        <v>59</v>
      </c>
      <c r="D2181" s="11" t="s">
        <v>60</v>
      </c>
      <c r="E2181" s="12" t="s">
        <v>2491</v>
      </c>
      <c r="F2181" s="12" t="s">
        <v>2492</v>
      </c>
      <c r="G2181" s="12" t="s">
        <v>29</v>
      </c>
      <c r="H2181" s="11" t="s">
        <v>63</v>
      </c>
      <c r="I2181" s="13" t="s">
        <v>4779</v>
      </c>
      <c r="J2181" s="14" t="str">
        <f>HYPERLINK("https://www.boe.es/gazeta/dias/1839/05/01/pdfs/GMD-1839-1628.pdf#page=1","Abrir facsímil")</f>
        <v>Abrir facsímil</v>
      </c>
      <c r="K2181" s="12" t="s">
        <v>65</v>
      </c>
    </row>
    <row r="2182" spans="1:11" ht="40.049999999999997" customHeight="1" x14ac:dyDescent="0.25">
      <c r="A2182" s="11" t="s">
        <v>4780</v>
      </c>
      <c r="B2182" s="11" t="s">
        <v>4780</v>
      </c>
      <c r="C2182" s="11" t="s">
        <v>59</v>
      </c>
      <c r="D2182" s="11" t="s">
        <v>60</v>
      </c>
      <c r="E2182" s="12" t="s">
        <v>2443</v>
      </c>
      <c r="F2182" s="12" t="s">
        <v>2444</v>
      </c>
      <c r="G2182" s="12" t="s">
        <v>46</v>
      </c>
      <c r="H2182" s="11" t="s">
        <v>63</v>
      </c>
      <c r="I2182" s="13" t="s">
        <v>4781</v>
      </c>
      <c r="J2182" s="14" t="str">
        <f>HYPERLINK("https://www.boe.es/gazeta/dias/1839/11/02/pdfs/GMD-1839-1819.pdf#page=3","Abrir facsímil")</f>
        <v>Abrir facsímil</v>
      </c>
      <c r="K2182" s="12" t="s">
        <v>65</v>
      </c>
    </row>
    <row r="2183" spans="1:11" ht="40.049999999999997" customHeight="1" x14ac:dyDescent="0.25">
      <c r="A2183" s="11" t="s">
        <v>4780</v>
      </c>
      <c r="B2183" s="11" t="s">
        <v>4780</v>
      </c>
      <c r="C2183" s="11" t="s">
        <v>59</v>
      </c>
      <c r="D2183" s="11" t="s">
        <v>60</v>
      </c>
      <c r="E2183" s="12" t="s">
        <v>804</v>
      </c>
      <c r="F2183" s="12" t="s">
        <v>805</v>
      </c>
      <c r="G2183" s="12" t="s">
        <v>21</v>
      </c>
      <c r="H2183" s="11" t="s">
        <v>63</v>
      </c>
      <c r="I2183" s="13" t="s">
        <v>4782</v>
      </c>
      <c r="J2183" s="14" t="str">
        <f>HYPERLINK("https://www.boe.es/gazeta/dias/1839/01/08/pdfs/GMD-1839-1515.pdf#page=4","Abrir facsímil")</f>
        <v>Abrir facsímil</v>
      </c>
      <c r="K2183" s="12" t="s">
        <v>65</v>
      </c>
    </row>
    <row r="2184" spans="1:11" ht="40.049999999999997" customHeight="1" x14ac:dyDescent="0.25">
      <c r="A2184" s="11" t="s">
        <v>4780</v>
      </c>
      <c r="B2184" s="11" t="s">
        <v>4780</v>
      </c>
      <c r="C2184" s="11" t="s">
        <v>17</v>
      </c>
      <c r="D2184" s="11" t="s">
        <v>18</v>
      </c>
      <c r="E2184" s="12" t="s">
        <v>2050</v>
      </c>
      <c r="F2184" s="12" t="s">
        <v>2051</v>
      </c>
      <c r="G2184" s="12" t="s">
        <v>21</v>
      </c>
      <c r="H2184" s="11" t="s">
        <v>63</v>
      </c>
      <c r="I2184" s="13" t="s">
        <v>4783</v>
      </c>
      <c r="J2184" s="14" t="str">
        <f>HYPERLINK("https://www.boe.es/gazeta/dias/1839/01/09/pdfs/GMD-1839-1516.pdf#page=4","Abrir facsímil")</f>
        <v>Abrir facsímil</v>
      </c>
      <c r="K2184" s="12" t="s">
        <v>65</v>
      </c>
    </row>
    <row r="2185" spans="1:11" ht="40.049999999999997" customHeight="1" x14ac:dyDescent="0.25">
      <c r="A2185" s="11" t="s">
        <v>4780</v>
      </c>
      <c r="B2185" s="11" t="s">
        <v>4780</v>
      </c>
      <c r="C2185" s="11" t="s">
        <v>59</v>
      </c>
      <c r="D2185" s="11" t="s">
        <v>60</v>
      </c>
      <c r="E2185" s="12" t="s">
        <v>233</v>
      </c>
      <c r="F2185" s="12" t="s">
        <v>234</v>
      </c>
      <c r="G2185" s="12" t="s">
        <v>21</v>
      </c>
      <c r="H2185" s="11" t="s">
        <v>63</v>
      </c>
      <c r="I2185" s="13" t="s">
        <v>4784</v>
      </c>
      <c r="J2185" s="14" t="str">
        <f>HYPERLINK("https://www.boe.es/gazeta/dias/1839/09/17/pdfs/GMD-1839-1770.pdf#page=4","Abrir facsímil")</f>
        <v>Abrir facsímil</v>
      </c>
      <c r="K2185" s="12" t="s">
        <v>65</v>
      </c>
    </row>
    <row r="2186" spans="1:11" ht="40.049999999999997" customHeight="1" x14ac:dyDescent="0.25">
      <c r="A2186" s="11" t="s">
        <v>4780</v>
      </c>
      <c r="B2186" s="11" t="s">
        <v>4780</v>
      </c>
      <c r="C2186" s="11" t="s">
        <v>59</v>
      </c>
      <c r="D2186" s="11" t="s">
        <v>60</v>
      </c>
      <c r="E2186" s="12" t="s">
        <v>19</v>
      </c>
      <c r="F2186" s="12" t="s">
        <v>20</v>
      </c>
      <c r="G2186" s="12" t="s">
        <v>29</v>
      </c>
      <c r="H2186" s="11" t="s">
        <v>63</v>
      </c>
      <c r="I2186" s="13" t="s">
        <v>4785</v>
      </c>
      <c r="J2186" s="14" t="str">
        <f>HYPERLINK("https://www.boe.es/gazeta/dias/1839/01/19/pdfs/GMD-1839-1526.pdf#page=1","Abrir facsímil")</f>
        <v>Abrir facsímil</v>
      </c>
      <c r="K2186" s="12" t="s">
        <v>65</v>
      </c>
    </row>
    <row r="2187" spans="1:11" ht="40.049999999999997" customHeight="1" x14ac:dyDescent="0.25">
      <c r="A2187" s="11" t="s">
        <v>4780</v>
      </c>
      <c r="B2187" s="11" t="s">
        <v>4780</v>
      </c>
      <c r="C2187" s="11" t="s">
        <v>17</v>
      </c>
      <c r="D2187" s="11" t="s">
        <v>18</v>
      </c>
      <c r="E2187" s="12" t="s">
        <v>1703</v>
      </c>
      <c r="F2187" s="12" t="s">
        <v>1704</v>
      </c>
      <c r="G2187" s="12" t="s">
        <v>46</v>
      </c>
      <c r="H2187" s="11" t="s">
        <v>63</v>
      </c>
      <c r="I2187" s="13" t="s">
        <v>4786</v>
      </c>
      <c r="J2187" s="14" t="str">
        <f>HYPERLINK("https://www.boe.es/gazeta/dias/1839/01/21/pdfs/GMD-1839-1528.pdf#page=3","Abrir facsímil")</f>
        <v>Abrir facsímil</v>
      </c>
      <c r="K2187" s="12" t="s">
        <v>65</v>
      </c>
    </row>
    <row r="2188" spans="1:11" ht="40.049999999999997" customHeight="1" x14ac:dyDescent="0.25">
      <c r="A2188" s="11" t="s">
        <v>4780</v>
      </c>
      <c r="B2188" s="11" t="s">
        <v>4780</v>
      </c>
      <c r="C2188" s="11" t="s">
        <v>17</v>
      </c>
      <c r="D2188" s="11" t="s">
        <v>43</v>
      </c>
      <c r="E2188" s="12" t="s">
        <v>4787</v>
      </c>
      <c r="F2188" s="12" t="s">
        <v>4788</v>
      </c>
      <c r="G2188" s="12" t="s">
        <v>21</v>
      </c>
      <c r="H2188" s="11" t="s">
        <v>63</v>
      </c>
      <c r="I2188" s="13" t="s">
        <v>4789</v>
      </c>
      <c r="J2188" s="14" t="str">
        <f>HYPERLINK("https://www.boe.es/gazeta/dias/1839/05/26/pdfs/GMD-1839-1653.pdf#page=4","Abrir facsímil")</f>
        <v>Abrir facsímil</v>
      </c>
      <c r="K2188" s="12" t="s">
        <v>65</v>
      </c>
    </row>
    <row r="2189" spans="1:11" ht="40.049999999999997" customHeight="1" x14ac:dyDescent="0.25">
      <c r="A2189" s="11" t="s">
        <v>4780</v>
      </c>
      <c r="B2189" s="11" t="s">
        <v>4780</v>
      </c>
      <c r="C2189" s="11" t="s">
        <v>17</v>
      </c>
      <c r="D2189" s="11" t="s">
        <v>18</v>
      </c>
      <c r="E2189" s="12" t="s">
        <v>638</v>
      </c>
      <c r="F2189" s="12" t="s">
        <v>639</v>
      </c>
      <c r="G2189" s="12" t="s">
        <v>29</v>
      </c>
      <c r="H2189" s="11" t="s">
        <v>63</v>
      </c>
      <c r="I2189" s="13" t="s">
        <v>4790</v>
      </c>
      <c r="J2189" s="14" t="str">
        <f>HYPERLINK("https://www.boe.es/gazeta/dias/1839/08/26/pdfs/GMD-1839-1747.pdf#page=1","Abrir facsímil")</f>
        <v>Abrir facsímil</v>
      </c>
      <c r="K2189" s="12" t="s">
        <v>65</v>
      </c>
    </row>
    <row r="2190" spans="1:11" ht="40.049999999999997" customHeight="1" x14ac:dyDescent="0.25">
      <c r="A2190" s="11" t="s">
        <v>4780</v>
      </c>
      <c r="B2190" s="11" t="s">
        <v>4780</v>
      </c>
      <c r="C2190" s="11" t="s">
        <v>17</v>
      </c>
      <c r="D2190" s="11" t="s">
        <v>18</v>
      </c>
      <c r="E2190" s="12" t="s">
        <v>638</v>
      </c>
      <c r="F2190" s="12" t="s">
        <v>639</v>
      </c>
      <c r="G2190" s="12" t="s">
        <v>21</v>
      </c>
      <c r="H2190" s="11" t="s">
        <v>63</v>
      </c>
      <c r="I2190" s="13" t="s">
        <v>4791</v>
      </c>
      <c r="J2190" s="14" t="str">
        <f>HYPERLINK("https://www.boe.es/gazeta/dias/1839/08/26/pdfs/GMD-1839-1747.pdf#page=4","Abrir facsímil")</f>
        <v>Abrir facsímil</v>
      </c>
      <c r="K2190" s="12" t="s">
        <v>65</v>
      </c>
    </row>
    <row r="2191" spans="1:11" ht="40.049999999999997" customHeight="1" x14ac:dyDescent="0.25">
      <c r="A2191" s="11" t="s">
        <v>4780</v>
      </c>
      <c r="B2191" s="11" t="s">
        <v>4780</v>
      </c>
      <c r="C2191" s="11" t="s">
        <v>59</v>
      </c>
      <c r="D2191" s="11" t="s">
        <v>60</v>
      </c>
      <c r="E2191" s="12" t="s">
        <v>522</v>
      </c>
      <c r="F2191" s="12" t="s">
        <v>523</v>
      </c>
      <c r="G2191" s="12" t="s">
        <v>566</v>
      </c>
      <c r="H2191" s="11" t="s">
        <v>63</v>
      </c>
      <c r="I2191" s="13" t="s">
        <v>4792</v>
      </c>
      <c r="J2191" s="14" t="str">
        <f>HYPERLINK("https://www.boe.es/gazeta/dias/1839/08/27/pdfs/GMD-1839-1748.pdf#page=5","Abrir facsímil")</f>
        <v>Abrir facsímil</v>
      </c>
      <c r="K2191" s="12" t="s">
        <v>65</v>
      </c>
    </row>
    <row r="2192" spans="1:11" ht="40.049999999999997" customHeight="1" x14ac:dyDescent="0.25">
      <c r="A2192" s="11" t="s">
        <v>4780</v>
      </c>
      <c r="B2192" s="11" t="s">
        <v>4780</v>
      </c>
      <c r="C2192" s="11" t="s">
        <v>17</v>
      </c>
      <c r="D2192" s="11" t="s">
        <v>18</v>
      </c>
      <c r="E2192" s="12" t="s">
        <v>616</v>
      </c>
      <c r="F2192" s="12" t="s">
        <v>617</v>
      </c>
      <c r="G2192" s="12" t="s">
        <v>40</v>
      </c>
      <c r="H2192" s="11" t="s">
        <v>63</v>
      </c>
      <c r="I2192" s="13" t="s">
        <v>4793</v>
      </c>
      <c r="J2192" s="14" t="str">
        <f>HYPERLINK("https://www.boe.es/gazeta/dias/1839/05/29/pdfs/GMD-1839-1656.pdf#page=2","Abrir facsímil")</f>
        <v>Abrir facsímil</v>
      </c>
      <c r="K2192" s="12" t="s">
        <v>65</v>
      </c>
    </row>
    <row r="2193" spans="1:11" ht="40.049999999999997" customHeight="1" x14ac:dyDescent="0.25">
      <c r="A2193" s="11" t="s">
        <v>4794</v>
      </c>
      <c r="B2193" s="11" t="s">
        <v>4795</v>
      </c>
      <c r="C2193" s="11" t="s">
        <v>101</v>
      </c>
      <c r="D2193" s="11" t="s">
        <v>102</v>
      </c>
      <c r="E2193" s="12" t="s">
        <v>207</v>
      </c>
      <c r="F2193" s="12" t="s">
        <v>208</v>
      </c>
      <c r="G2193" s="12" t="s">
        <v>40</v>
      </c>
      <c r="H2193" s="11" t="s">
        <v>63</v>
      </c>
      <c r="I2193" s="13" t="s">
        <v>4796</v>
      </c>
      <c r="J2193" s="14" t="str">
        <f>HYPERLINK("https://www.boe.es/gazeta/dias/1839/02/19/pdfs/GMD-1839-1557.pdf#page=2","Abrir facsímil")</f>
        <v>Abrir facsímil</v>
      </c>
      <c r="K2193" s="12" t="s">
        <v>65</v>
      </c>
    </row>
    <row r="2194" spans="1:11" ht="40.049999999999997" customHeight="1" x14ac:dyDescent="0.25">
      <c r="A2194" s="11" t="s">
        <v>4797</v>
      </c>
      <c r="B2194" s="11" t="s">
        <v>4798</v>
      </c>
      <c r="C2194" s="11" t="s">
        <v>17</v>
      </c>
      <c r="D2194" s="11" t="s">
        <v>18</v>
      </c>
      <c r="E2194" s="12" t="s">
        <v>287</v>
      </c>
      <c r="F2194" s="12" t="s">
        <v>288</v>
      </c>
      <c r="G2194" s="12" t="s">
        <v>29</v>
      </c>
      <c r="H2194" s="11" t="s">
        <v>63</v>
      </c>
      <c r="I2194" s="13" t="s">
        <v>4799</v>
      </c>
      <c r="J2194" s="14" t="str">
        <f>HYPERLINK("https://www.boe.es/gazeta/dias/1839/11/27/pdfs/GMD-1839-1844.pdf#page=1","Abrir facsímil")</f>
        <v>Abrir facsímil</v>
      </c>
      <c r="K2194" s="12" t="s">
        <v>65</v>
      </c>
    </row>
    <row r="2195" spans="1:11" ht="40.049999999999997" customHeight="1" x14ac:dyDescent="0.25">
      <c r="A2195" s="11" t="s">
        <v>4800</v>
      </c>
      <c r="B2195" s="11" t="s">
        <v>4801</v>
      </c>
      <c r="C2195" s="11" t="s">
        <v>59</v>
      </c>
      <c r="D2195" s="11" t="s">
        <v>60</v>
      </c>
      <c r="E2195" s="12" t="s">
        <v>4287</v>
      </c>
      <c r="F2195" s="12" t="s">
        <v>4288</v>
      </c>
      <c r="G2195" s="12" t="s">
        <v>29</v>
      </c>
      <c r="H2195" s="11" t="s">
        <v>22</v>
      </c>
      <c r="I2195" s="13" t="s">
        <v>4802</v>
      </c>
      <c r="J2195" s="14" t="str">
        <f>HYPERLINK("https://www.boe.es/gazeta/dias/1839/06/01/pdfs/GMD-1839-1659.pdf#page=1","Abrir facsímil")</f>
        <v>Abrir facsímil</v>
      </c>
      <c r="K2195" s="12" t="s">
        <v>24</v>
      </c>
    </row>
    <row r="2196" spans="1:11" ht="40.049999999999997" customHeight="1" x14ac:dyDescent="0.25">
      <c r="A2196" s="11" t="s">
        <v>4803</v>
      </c>
      <c r="B2196" s="11" t="s">
        <v>4804</v>
      </c>
      <c r="C2196" s="11" t="s">
        <v>59</v>
      </c>
      <c r="D2196" s="11" t="s">
        <v>60</v>
      </c>
      <c r="E2196" s="12" t="s">
        <v>192</v>
      </c>
      <c r="F2196" s="12" t="s">
        <v>193</v>
      </c>
      <c r="G2196" s="12" t="s">
        <v>40</v>
      </c>
      <c r="H2196" s="11" t="s">
        <v>63</v>
      </c>
      <c r="I2196" s="13" t="s">
        <v>4805</v>
      </c>
      <c r="J2196" s="14" t="str">
        <f>HYPERLINK("https://www.boe.es/gazeta/dias/1839/01/12/pdfs/GMD-1839-1519.pdf#page=2","Abrir facsímil")</f>
        <v>Abrir facsímil</v>
      </c>
      <c r="K2196" s="12" t="s">
        <v>65</v>
      </c>
    </row>
    <row r="2197" spans="1:11" ht="40.049999999999997" customHeight="1" x14ac:dyDescent="0.25">
      <c r="A2197" s="11" t="s">
        <v>4803</v>
      </c>
      <c r="B2197" s="11" t="s">
        <v>4804</v>
      </c>
      <c r="C2197" s="11" t="s">
        <v>59</v>
      </c>
      <c r="D2197" s="11" t="s">
        <v>60</v>
      </c>
      <c r="E2197" s="12" t="s">
        <v>1100</v>
      </c>
      <c r="F2197" s="12" t="s">
        <v>1101</v>
      </c>
      <c r="G2197" s="12" t="s">
        <v>29</v>
      </c>
      <c r="H2197" s="11" t="s">
        <v>63</v>
      </c>
      <c r="I2197" s="13" t="s">
        <v>4806</v>
      </c>
      <c r="J2197" s="14" t="str">
        <f>HYPERLINK("https://www.boe.es/gazeta/dias/1839/09/13/pdfs/GMD-1839-1766.pdf#page=1","Abrir facsímil")</f>
        <v>Abrir facsímil</v>
      </c>
      <c r="K2197" s="12" t="s">
        <v>65</v>
      </c>
    </row>
    <row r="2198" spans="1:11" ht="40.049999999999997" customHeight="1" x14ac:dyDescent="0.25">
      <c r="A2198" s="11" t="s">
        <v>4803</v>
      </c>
      <c r="B2198" s="11" t="s">
        <v>4804</v>
      </c>
      <c r="C2198" s="11" t="s">
        <v>17</v>
      </c>
      <c r="D2198" s="11" t="s">
        <v>18</v>
      </c>
      <c r="E2198" s="12" t="s">
        <v>643</v>
      </c>
      <c r="F2198" s="12" t="s">
        <v>644</v>
      </c>
      <c r="G2198" s="12" t="s">
        <v>29</v>
      </c>
      <c r="H2198" s="11" t="s">
        <v>63</v>
      </c>
      <c r="I2198" s="13" t="s">
        <v>4807</v>
      </c>
      <c r="J2198" s="14" t="str">
        <f>HYPERLINK("https://www.boe.es/gazeta/dias/1839/03/20/pdfs/GMD-1839-1586.pdf#page=1","Abrir facsímil")</f>
        <v>Abrir facsímil</v>
      </c>
      <c r="K2198" s="12" t="s">
        <v>65</v>
      </c>
    </row>
    <row r="2199" spans="1:11" ht="40.049999999999997" customHeight="1" x14ac:dyDescent="0.25">
      <c r="A2199" s="11" t="s">
        <v>4803</v>
      </c>
      <c r="B2199" s="11" t="s">
        <v>4804</v>
      </c>
      <c r="C2199" s="11" t="s">
        <v>17</v>
      </c>
      <c r="D2199" s="11" t="s">
        <v>18</v>
      </c>
      <c r="E2199" s="12" t="s">
        <v>243</v>
      </c>
      <c r="F2199" s="12" t="s">
        <v>244</v>
      </c>
      <c r="G2199" s="12" t="s">
        <v>40</v>
      </c>
      <c r="H2199" s="11" t="s">
        <v>63</v>
      </c>
      <c r="I2199" s="13" t="s">
        <v>4808</v>
      </c>
      <c r="J2199" s="14" t="str">
        <f>HYPERLINK("https://www.boe.es/gazeta/dias/1839/09/23/pdfs/GMD-1839-1779.pdf#page=2","Abrir facsímil")</f>
        <v>Abrir facsímil</v>
      </c>
      <c r="K2199" s="12" t="s">
        <v>65</v>
      </c>
    </row>
    <row r="2200" spans="1:11" ht="40.049999999999997" customHeight="1" x14ac:dyDescent="0.25">
      <c r="A2200" s="11" t="s">
        <v>4809</v>
      </c>
      <c r="B2200" s="11" t="s">
        <v>4810</v>
      </c>
      <c r="C2200" s="11" t="s">
        <v>17</v>
      </c>
      <c r="D2200" s="11" t="s">
        <v>18</v>
      </c>
      <c r="E2200" s="12" t="s">
        <v>756</v>
      </c>
      <c r="F2200" s="12" t="s">
        <v>757</v>
      </c>
      <c r="G2200" s="12" t="s">
        <v>21</v>
      </c>
      <c r="H2200" s="11" t="s">
        <v>63</v>
      </c>
      <c r="I2200" s="13" t="s">
        <v>4811</v>
      </c>
      <c r="J2200" s="14" t="str">
        <f>HYPERLINK("https://www.boe.es/gazeta/dias/1839/12/17/pdfs/GMD-1839-1864.pdf#page=4","Abrir facsímil")</f>
        <v>Abrir facsímil</v>
      </c>
      <c r="K2200" s="12" t="s">
        <v>65</v>
      </c>
    </row>
    <row r="2201" spans="1:11" ht="40.049999999999997" customHeight="1" x14ac:dyDescent="0.25">
      <c r="A2201" s="11" t="s">
        <v>4812</v>
      </c>
      <c r="B2201" s="11" t="s">
        <v>4813</v>
      </c>
      <c r="C2201" s="11" t="s">
        <v>137</v>
      </c>
      <c r="D2201" s="11" t="s">
        <v>18</v>
      </c>
      <c r="E2201" s="12" t="s">
        <v>226</v>
      </c>
      <c r="F2201" s="12" t="s">
        <v>227</v>
      </c>
      <c r="G2201" s="12" t="s">
        <v>21</v>
      </c>
      <c r="H2201" s="11" t="s">
        <v>63</v>
      </c>
      <c r="I2201" s="13" t="s">
        <v>4814</v>
      </c>
      <c r="J2201" s="14" t="str">
        <f>HYPERLINK("https://www.boe.es/gazeta/dias/1839/06/09/pdfs/GMD-1839-1667.pdf#page=4","Abrir facsímil")</f>
        <v>Abrir facsímil</v>
      </c>
      <c r="K2201" s="12" t="s">
        <v>65</v>
      </c>
    </row>
    <row r="2202" spans="1:11" ht="40.049999999999997" customHeight="1" x14ac:dyDescent="0.25">
      <c r="A2202" s="11" t="s">
        <v>4815</v>
      </c>
      <c r="B2202" s="11" t="s">
        <v>4816</v>
      </c>
      <c r="C2202" s="11" t="s">
        <v>17</v>
      </c>
      <c r="D2202" s="11" t="s">
        <v>18</v>
      </c>
      <c r="E2202" s="12" t="s">
        <v>54</v>
      </c>
      <c r="F2202" s="12" t="s">
        <v>55</v>
      </c>
      <c r="G2202" s="12" t="s">
        <v>305</v>
      </c>
      <c r="H2202" s="11" t="s">
        <v>22</v>
      </c>
      <c r="I2202" s="13" t="s">
        <v>4817</v>
      </c>
      <c r="J2202" s="14" t="str">
        <f>HYPERLINK("https://www.boe.es/gazeta/dias/1839/10/05/pdfs/GMD-1839-1791.pdf#page=6","Abrir facsímil")</f>
        <v>Abrir facsímil</v>
      </c>
      <c r="K2202" s="12" t="s">
        <v>24</v>
      </c>
    </row>
    <row r="2203" spans="1:11" ht="40.049999999999997" customHeight="1" x14ac:dyDescent="0.25">
      <c r="A2203" s="11" t="s">
        <v>4818</v>
      </c>
      <c r="B2203" s="11" t="s">
        <v>4819</v>
      </c>
      <c r="C2203" s="11" t="s">
        <v>17</v>
      </c>
      <c r="D2203" s="11" t="s">
        <v>18</v>
      </c>
      <c r="E2203" s="12" t="s">
        <v>883</v>
      </c>
      <c r="F2203" s="12" t="s">
        <v>884</v>
      </c>
      <c r="G2203" s="12" t="s">
        <v>46</v>
      </c>
      <c r="H2203" s="11" t="s">
        <v>63</v>
      </c>
      <c r="I2203" s="13" t="s">
        <v>4820</v>
      </c>
      <c r="J2203" s="14" t="str">
        <f>HYPERLINK("https://www.boe.es/gazeta/dias/1839/11/03/pdfs/GMD-1839-1820.pdf#page=3","Abrir facsímil")</f>
        <v>Abrir facsímil</v>
      </c>
      <c r="K2203" s="12" t="s">
        <v>65</v>
      </c>
    </row>
    <row r="2204" spans="1:11" ht="40.049999999999997" customHeight="1" x14ac:dyDescent="0.25">
      <c r="A2204" s="11" t="s">
        <v>4821</v>
      </c>
      <c r="B2204" s="11" t="s">
        <v>4822</v>
      </c>
      <c r="C2204" s="11" t="s">
        <v>17</v>
      </c>
      <c r="D2204" s="11" t="s">
        <v>18</v>
      </c>
      <c r="E2204" s="12" t="s">
        <v>303</v>
      </c>
      <c r="F2204" s="12" t="s">
        <v>304</v>
      </c>
      <c r="G2204" s="12" t="s">
        <v>305</v>
      </c>
      <c r="H2204" s="11" t="s">
        <v>63</v>
      </c>
      <c r="I2204" s="13" t="s">
        <v>4823</v>
      </c>
      <c r="J2204" s="14" t="str">
        <f>HYPERLINK("https://www.boe.es/gazeta/dias/1839/10/06/pdfs/GMD-1839-1792.pdf#page=6","Abrir facsímil")</f>
        <v>Abrir facsímil</v>
      </c>
      <c r="K2204" s="12" t="s">
        <v>65</v>
      </c>
    </row>
    <row r="2205" spans="1:11" ht="40.049999999999997" customHeight="1" x14ac:dyDescent="0.25">
      <c r="A2205" s="11" t="s">
        <v>4824</v>
      </c>
      <c r="B2205" s="11" t="s">
        <v>4824</v>
      </c>
      <c r="C2205" s="11" t="s">
        <v>59</v>
      </c>
      <c r="D2205" s="11" t="s">
        <v>60</v>
      </c>
      <c r="E2205" s="12" t="s">
        <v>258</v>
      </c>
      <c r="F2205" s="12" t="s">
        <v>259</v>
      </c>
      <c r="G2205" s="12" t="s">
        <v>21</v>
      </c>
      <c r="H2205" s="11" t="s">
        <v>63</v>
      </c>
      <c r="I2205" s="13" t="s">
        <v>4825</v>
      </c>
      <c r="J2205" s="14" t="str">
        <f>HYPERLINK("https://www.boe.es/gazeta/dias/1839/01/02/pdfs/GMD-1839-1509.pdf#page=4","Abrir facsímil")</f>
        <v>Abrir facsímil</v>
      </c>
      <c r="K2205" s="12" t="s">
        <v>65</v>
      </c>
    </row>
    <row r="2206" spans="1:11" ht="40.049999999999997" customHeight="1" x14ac:dyDescent="0.25">
      <c r="A2206" s="11" t="s">
        <v>4826</v>
      </c>
      <c r="B2206" s="11" t="s">
        <v>4827</v>
      </c>
      <c r="C2206" s="11" t="s">
        <v>17</v>
      </c>
      <c r="D2206" s="11" t="s">
        <v>18</v>
      </c>
      <c r="E2206" s="12" t="s">
        <v>486</v>
      </c>
      <c r="F2206" s="12" t="s">
        <v>487</v>
      </c>
      <c r="G2206" s="12" t="s">
        <v>40</v>
      </c>
      <c r="H2206" s="11" t="s">
        <v>63</v>
      </c>
      <c r="I2206" s="13" t="s">
        <v>4828</v>
      </c>
      <c r="J2206" s="14" t="str">
        <f>HYPERLINK("https://www.boe.es/gazeta/dias/1839/04/19/pdfs/GMD-1839-1616.pdf#page=2","Abrir facsímil")</f>
        <v>Abrir facsímil</v>
      </c>
      <c r="K2206" s="12" t="s">
        <v>65</v>
      </c>
    </row>
    <row r="2207" spans="1:11" ht="40.049999999999997" customHeight="1" x14ac:dyDescent="0.25">
      <c r="A2207" s="11" t="s">
        <v>4829</v>
      </c>
      <c r="B2207" s="11" t="s">
        <v>4829</v>
      </c>
      <c r="C2207" s="11" t="s">
        <v>17</v>
      </c>
      <c r="D2207" s="11" t="s">
        <v>18</v>
      </c>
      <c r="E2207" s="12" t="s">
        <v>258</v>
      </c>
      <c r="F2207" s="12" t="s">
        <v>259</v>
      </c>
      <c r="G2207" s="12" t="s">
        <v>21</v>
      </c>
      <c r="H2207" s="11" t="s">
        <v>63</v>
      </c>
      <c r="I2207" s="13" t="s">
        <v>4830</v>
      </c>
      <c r="J2207" s="14" t="str">
        <f>HYPERLINK("https://www.boe.es/gazeta/dias/1839/01/02/pdfs/GMD-1839-1509.pdf#page=4","Abrir facsímil")</f>
        <v>Abrir facsímil</v>
      </c>
      <c r="K2207" s="12" t="s">
        <v>65</v>
      </c>
    </row>
    <row r="2208" spans="1:11" ht="40.049999999999997" customHeight="1" x14ac:dyDescent="0.25">
      <c r="A2208" s="11" t="s">
        <v>4831</v>
      </c>
      <c r="B2208" s="11" t="s">
        <v>4832</v>
      </c>
      <c r="C2208" s="11" t="s">
        <v>17</v>
      </c>
      <c r="D2208" s="11" t="s">
        <v>18</v>
      </c>
      <c r="E2208" s="12" t="s">
        <v>564</v>
      </c>
      <c r="F2208" s="12" t="s">
        <v>565</v>
      </c>
      <c r="G2208" s="12" t="s">
        <v>305</v>
      </c>
      <c r="H2208" s="11" t="s">
        <v>63</v>
      </c>
      <c r="I2208" s="13" t="s">
        <v>4833</v>
      </c>
      <c r="J2208" s="14" t="str">
        <f>HYPERLINK("https://www.boe.es/gazeta/dias/1839/10/17/pdfs/GMD-1839-1803.pdf#page=6","Abrir facsímil")</f>
        <v>Abrir facsímil</v>
      </c>
      <c r="K2208" s="12" t="s">
        <v>65</v>
      </c>
    </row>
    <row r="2209" spans="1:11" ht="40.049999999999997" customHeight="1" x14ac:dyDescent="0.25">
      <c r="A2209" s="11" t="s">
        <v>4831</v>
      </c>
      <c r="B2209" s="11" t="s">
        <v>4832</v>
      </c>
      <c r="C2209" s="11" t="s">
        <v>17</v>
      </c>
      <c r="D2209" s="11" t="s">
        <v>43</v>
      </c>
      <c r="E2209" s="12" t="s">
        <v>677</v>
      </c>
      <c r="F2209" s="12" t="s">
        <v>678</v>
      </c>
      <c r="G2209" s="12" t="s">
        <v>21</v>
      </c>
      <c r="H2209" s="11" t="s">
        <v>63</v>
      </c>
      <c r="I2209" s="13" t="s">
        <v>4834</v>
      </c>
      <c r="J2209" s="14" t="str">
        <f>HYPERLINK("https://www.boe.es/gazeta/dias/1839/04/28/pdfs/GMD-1839-1625.pdf#page=4","Abrir facsímil")</f>
        <v>Abrir facsímil</v>
      </c>
      <c r="K2209" s="12" t="s">
        <v>65</v>
      </c>
    </row>
    <row r="2210" spans="1:11" ht="40.049999999999997" customHeight="1" x14ac:dyDescent="0.25">
      <c r="A2210" s="11" t="s">
        <v>4831</v>
      </c>
      <c r="B2210" s="11" t="s">
        <v>4832</v>
      </c>
      <c r="C2210" s="11" t="s">
        <v>101</v>
      </c>
      <c r="D2210" s="11" t="s">
        <v>43</v>
      </c>
      <c r="E2210" s="12" t="s">
        <v>892</v>
      </c>
      <c r="F2210" s="12" t="s">
        <v>893</v>
      </c>
      <c r="G2210" s="12" t="s">
        <v>21</v>
      </c>
      <c r="H2210" s="11" t="s">
        <v>63</v>
      </c>
      <c r="I2210" s="13" t="s">
        <v>4835</v>
      </c>
      <c r="J2210" s="14" t="str">
        <f>HYPERLINK("https://www.boe.es/gazeta/dias/1839/12/28/pdfs/GMD-1839-1875.pdf#page=4","Abrir facsímil")</f>
        <v>Abrir facsímil</v>
      </c>
      <c r="K2210" s="12" t="s">
        <v>65</v>
      </c>
    </row>
    <row r="2211" spans="1:11" ht="40.049999999999997" customHeight="1" x14ac:dyDescent="0.25">
      <c r="A2211" s="11" t="s">
        <v>4836</v>
      </c>
      <c r="B2211" s="11" t="s">
        <v>4837</v>
      </c>
      <c r="C2211" s="11" t="s">
        <v>137</v>
      </c>
      <c r="D2211" s="11" t="s">
        <v>18</v>
      </c>
      <c r="E2211" s="12" t="s">
        <v>1460</v>
      </c>
      <c r="F2211" s="12" t="s">
        <v>1461</v>
      </c>
      <c r="G2211" s="12" t="s">
        <v>21</v>
      </c>
      <c r="H2211" s="11" t="s">
        <v>63</v>
      </c>
      <c r="I2211" s="13" t="s">
        <v>4838</v>
      </c>
      <c r="J2211" s="14" t="str">
        <f>HYPERLINK("https://www.boe.es/gazeta/dias/1839/03/01/pdfs/GMD-1839-1567.pdf#page=4","Abrir facsímil")</f>
        <v>Abrir facsímil</v>
      </c>
      <c r="K2211" s="12" t="s">
        <v>65</v>
      </c>
    </row>
    <row r="2212" spans="1:11" ht="40.049999999999997" customHeight="1" x14ac:dyDescent="0.25">
      <c r="A2212" s="11" t="s">
        <v>4839</v>
      </c>
      <c r="B2212" s="11" t="s">
        <v>4840</v>
      </c>
      <c r="C2212" s="11" t="s">
        <v>17</v>
      </c>
      <c r="D2212" s="11" t="s">
        <v>18</v>
      </c>
      <c r="E2212" s="12" t="s">
        <v>1891</v>
      </c>
      <c r="F2212" s="12" t="s">
        <v>1892</v>
      </c>
      <c r="G2212" s="12" t="s">
        <v>21</v>
      </c>
      <c r="H2212" s="11" t="s">
        <v>22</v>
      </c>
      <c r="I2212" s="13" t="s">
        <v>4841</v>
      </c>
      <c r="J2212" s="14" t="str">
        <f>HYPERLINK("https://www.boe.es/gazeta/dias/1839/12/14/pdfs/GMD-1839-1861.pdf#page=4","Abrir facsímil")</f>
        <v>Abrir facsímil</v>
      </c>
      <c r="K2212" s="12" t="s">
        <v>24</v>
      </c>
    </row>
    <row r="2213" spans="1:11" ht="40.049999999999997" customHeight="1" x14ac:dyDescent="0.25">
      <c r="A2213" s="11" t="s">
        <v>4842</v>
      </c>
      <c r="B2213" s="11" t="s">
        <v>4843</v>
      </c>
      <c r="C2213" s="11" t="s">
        <v>17</v>
      </c>
      <c r="D2213" s="11" t="s">
        <v>18</v>
      </c>
      <c r="E2213" s="12" t="s">
        <v>197</v>
      </c>
      <c r="F2213" s="12" t="s">
        <v>198</v>
      </c>
      <c r="G2213" s="12" t="s">
        <v>21</v>
      </c>
      <c r="H2213" s="11" t="s">
        <v>63</v>
      </c>
      <c r="I2213" s="13" t="s">
        <v>4844</v>
      </c>
      <c r="J2213" s="14" t="str">
        <f>HYPERLINK("https://www.boe.es/gazeta/dias/1839/10/04/pdfs/GMD-1839-1790.pdf#page=4","Abrir facsímil")</f>
        <v>Abrir facsímil</v>
      </c>
      <c r="K2213" s="12" t="s">
        <v>65</v>
      </c>
    </row>
    <row r="2214" spans="1:11" ht="40.049999999999997" customHeight="1" x14ac:dyDescent="0.25">
      <c r="A2214" s="11" t="s">
        <v>4845</v>
      </c>
      <c r="B2214" s="11" t="s">
        <v>4845</v>
      </c>
      <c r="C2214" s="11" t="s">
        <v>59</v>
      </c>
      <c r="D2214" s="11" t="s">
        <v>60</v>
      </c>
      <c r="E2214" s="12" t="s">
        <v>1614</v>
      </c>
      <c r="F2214" s="12" t="s">
        <v>1615</v>
      </c>
      <c r="G2214" s="12" t="s">
        <v>46</v>
      </c>
      <c r="H2214" s="11" t="s">
        <v>63</v>
      </c>
      <c r="I2214" s="13" t="s">
        <v>4846</v>
      </c>
      <c r="J2214" s="14" t="str">
        <f>HYPERLINK("https://www.boe.es/gazeta/dias/1839/07/03/pdfs/GMD-1839-1691.pdf#page=3","Abrir facsímil")</f>
        <v>Abrir facsímil</v>
      </c>
      <c r="K2214" s="12" t="s">
        <v>65</v>
      </c>
    </row>
    <row r="2215" spans="1:11" ht="40.049999999999997" customHeight="1" x14ac:dyDescent="0.25">
      <c r="A2215" s="11" t="s">
        <v>4845</v>
      </c>
      <c r="B2215" s="11" t="s">
        <v>4845</v>
      </c>
      <c r="C2215" s="11" t="s">
        <v>59</v>
      </c>
      <c r="D2215" s="11" t="s">
        <v>60</v>
      </c>
      <c r="E2215" s="12" t="s">
        <v>2155</v>
      </c>
      <c r="F2215" s="12" t="s">
        <v>2156</v>
      </c>
      <c r="G2215" s="12" t="s">
        <v>29</v>
      </c>
      <c r="H2215" s="11" t="s">
        <v>63</v>
      </c>
      <c r="I2215" s="13" t="s">
        <v>4847</v>
      </c>
      <c r="J2215" s="14" t="str">
        <f>HYPERLINK("https://www.boe.es/gazeta/dias/1839/01/17/pdfs/GMD-1839-1524.pdf#page=1","Abrir facsímil")</f>
        <v>Abrir facsímil</v>
      </c>
      <c r="K2215" s="12" t="s">
        <v>65</v>
      </c>
    </row>
    <row r="2216" spans="1:11" ht="40.049999999999997" customHeight="1" x14ac:dyDescent="0.25">
      <c r="A2216" s="11" t="s">
        <v>4845</v>
      </c>
      <c r="B2216" s="11" t="s">
        <v>4845</v>
      </c>
      <c r="C2216" s="11" t="s">
        <v>17</v>
      </c>
      <c r="D2216" s="11" t="s">
        <v>18</v>
      </c>
      <c r="E2216" s="12" t="s">
        <v>513</v>
      </c>
      <c r="F2216" s="12" t="s">
        <v>514</v>
      </c>
      <c r="G2216" s="12" t="s">
        <v>40</v>
      </c>
      <c r="H2216" s="11" t="s">
        <v>63</v>
      </c>
      <c r="I2216" s="13" t="s">
        <v>4848</v>
      </c>
      <c r="J2216" s="14" t="str">
        <f>HYPERLINK("https://www.boe.es/gazeta/dias/1839/03/17/pdfs/GMD-1839-1583.pdf#page=2","Abrir facsímil")</f>
        <v>Abrir facsímil</v>
      </c>
      <c r="K2216" s="12" t="s">
        <v>65</v>
      </c>
    </row>
    <row r="2217" spans="1:11" ht="40.049999999999997" customHeight="1" x14ac:dyDescent="0.25">
      <c r="A2217" s="11" t="s">
        <v>4845</v>
      </c>
      <c r="B2217" s="11" t="s">
        <v>4845</v>
      </c>
      <c r="C2217" s="11" t="s">
        <v>59</v>
      </c>
      <c r="D2217" s="11" t="s">
        <v>60</v>
      </c>
      <c r="E2217" s="12" t="s">
        <v>1108</v>
      </c>
      <c r="F2217" s="12" t="s">
        <v>1109</v>
      </c>
      <c r="G2217" s="12" t="s">
        <v>40</v>
      </c>
      <c r="H2217" s="11" t="s">
        <v>63</v>
      </c>
      <c r="I2217" s="13" t="s">
        <v>4849</v>
      </c>
      <c r="J2217" s="14" t="str">
        <f>HYPERLINK("https://www.boe.es/gazeta/dias/1839/09/21/pdfs/GMD-1839-1776.pdf#page=2","Abrir facsímil")</f>
        <v>Abrir facsímil</v>
      </c>
      <c r="K2217" s="12" t="s">
        <v>65</v>
      </c>
    </row>
    <row r="2218" spans="1:11" ht="40.049999999999997" customHeight="1" x14ac:dyDescent="0.25">
      <c r="A2218" s="11" t="s">
        <v>4845</v>
      </c>
      <c r="B2218" s="11" t="s">
        <v>4845</v>
      </c>
      <c r="C2218" s="11" t="s">
        <v>59</v>
      </c>
      <c r="D2218" s="11" t="s">
        <v>60</v>
      </c>
      <c r="E2218" s="12" t="s">
        <v>1208</v>
      </c>
      <c r="F2218" s="12" t="s">
        <v>1209</v>
      </c>
      <c r="G2218" s="12" t="s">
        <v>40</v>
      </c>
      <c r="H2218" s="11" t="s">
        <v>63</v>
      </c>
      <c r="I2218" s="13" t="s">
        <v>4850</v>
      </c>
      <c r="J2218" s="14" t="str">
        <f>HYPERLINK("https://www.boe.es/gazeta/dias/1839/04/24/pdfs/GMD-1839-1621.pdf#page=2","Abrir facsímil")</f>
        <v>Abrir facsímil</v>
      </c>
      <c r="K2218" s="12" t="s">
        <v>65</v>
      </c>
    </row>
    <row r="2219" spans="1:11" ht="40.049999999999997" customHeight="1" x14ac:dyDescent="0.25">
      <c r="A2219" s="11" t="s">
        <v>4851</v>
      </c>
      <c r="B2219" s="11" t="s">
        <v>4851</v>
      </c>
      <c r="C2219" s="11" t="s">
        <v>17</v>
      </c>
      <c r="D2219" s="11" t="s">
        <v>18</v>
      </c>
      <c r="E2219" s="12" t="s">
        <v>1520</v>
      </c>
      <c r="F2219" s="12" t="s">
        <v>1521</v>
      </c>
      <c r="G2219" s="12" t="s">
        <v>46</v>
      </c>
      <c r="H2219" s="11" t="s">
        <v>63</v>
      </c>
      <c r="I2219" s="13" t="s">
        <v>4852</v>
      </c>
      <c r="J2219" s="14" t="str">
        <f>HYPERLINK("https://www.boe.es/gazeta/dias/1839/12/27/pdfs/GMD-1839-1874.pdf#page=3","Abrir facsímil")</f>
        <v>Abrir facsímil</v>
      </c>
      <c r="K2219" s="12" t="s">
        <v>65</v>
      </c>
    </row>
    <row r="2220" spans="1:11" ht="40.049999999999997" customHeight="1" x14ac:dyDescent="0.25">
      <c r="A2220" s="11" t="s">
        <v>4853</v>
      </c>
      <c r="B2220" s="11" t="s">
        <v>4854</v>
      </c>
      <c r="C2220" s="11" t="s">
        <v>80</v>
      </c>
      <c r="D2220" s="11" t="s">
        <v>18</v>
      </c>
      <c r="E2220" s="12" t="s">
        <v>1517</v>
      </c>
      <c r="F2220" s="12" t="s">
        <v>1518</v>
      </c>
      <c r="G2220" s="12" t="s">
        <v>46</v>
      </c>
      <c r="H2220" s="11" t="s">
        <v>63</v>
      </c>
      <c r="I2220" s="13" t="s">
        <v>4855</v>
      </c>
      <c r="J2220" s="14" t="str">
        <f>HYPERLINK("https://www.boe.es/gazeta/dias/1839/12/20/pdfs/GMD-1839-1867.pdf#page=3","Abrir facsímil")</f>
        <v>Abrir facsímil</v>
      </c>
      <c r="K2220" s="12" t="s">
        <v>65</v>
      </c>
    </row>
    <row r="2221" spans="1:11" ht="40.049999999999997" customHeight="1" x14ac:dyDescent="0.25">
      <c r="A2221" s="11" t="s">
        <v>4856</v>
      </c>
      <c r="B2221" s="11" t="s">
        <v>4857</v>
      </c>
      <c r="C2221" s="11" t="s">
        <v>80</v>
      </c>
      <c r="D2221" s="11" t="s">
        <v>18</v>
      </c>
      <c r="E2221" s="12" t="s">
        <v>76</v>
      </c>
      <c r="F2221" s="12" t="s">
        <v>77</v>
      </c>
      <c r="G2221" s="12" t="s">
        <v>21</v>
      </c>
      <c r="H2221" s="11" t="s">
        <v>22</v>
      </c>
      <c r="I2221" s="13" t="s">
        <v>4858</v>
      </c>
      <c r="J2221" s="14" t="str">
        <f>HYPERLINK("https://www.boe.es/gazeta/dias/1839/03/13/pdfs/GMD-1839-1579.pdf#page=4","Abrir facsímil")</f>
        <v>Abrir facsímil</v>
      </c>
      <c r="K2221" s="12" t="s">
        <v>24</v>
      </c>
    </row>
    <row r="2222" spans="1:11" ht="40.049999999999997" customHeight="1" x14ac:dyDescent="0.25">
      <c r="A2222" s="11" t="s">
        <v>4856</v>
      </c>
      <c r="B2222" s="11" t="s">
        <v>4857</v>
      </c>
      <c r="C2222" s="11" t="s">
        <v>80</v>
      </c>
      <c r="D2222" s="11" t="s">
        <v>18</v>
      </c>
      <c r="E2222" s="12" t="s">
        <v>94</v>
      </c>
      <c r="F2222" s="12" t="s">
        <v>95</v>
      </c>
      <c r="G2222" s="12" t="s">
        <v>21</v>
      </c>
      <c r="H2222" s="11" t="s">
        <v>22</v>
      </c>
      <c r="I2222" s="13" t="s">
        <v>4859</v>
      </c>
      <c r="J2222" s="14" t="str">
        <f>HYPERLINK("https://www.boe.es/gazeta/dias/1839/02/24/pdfs/GMD-1839-1562.pdf#page=4","Abrir facsímil")</f>
        <v>Abrir facsímil</v>
      </c>
      <c r="K2222" s="12" t="s">
        <v>24</v>
      </c>
    </row>
    <row r="2223" spans="1:11" ht="40.049999999999997" customHeight="1" x14ac:dyDescent="0.25">
      <c r="A2223" s="11" t="s">
        <v>4856</v>
      </c>
      <c r="B2223" s="11" t="s">
        <v>4857</v>
      </c>
      <c r="C2223" s="11" t="s">
        <v>17</v>
      </c>
      <c r="D2223" s="11" t="s">
        <v>18</v>
      </c>
      <c r="E2223" s="12" t="s">
        <v>775</v>
      </c>
      <c r="F2223" s="12" t="s">
        <v>776</v>
      </c>
      <c r="G2223" s="12" t="s">
        <v>21</v>
      </c>
      <c r="H2223" s="11" t="s">
        <v>22</v>
      </c>
      <c r="I2223" s="13" t="s">
        <v>4860</v>
      </c>
      <c r="J2223" s="14" t="str">
        <f>HYPERLINK("https://www.boe.es/gazeta/dias/1839/02/25/pdfs/GMD-1839-1563.pdf#page=4","Abrir facsímil")</f>
        <v>Abrir facsímil</v>
      </c>
      <c r="K2223" s="12" t="s">
        <v>24</v>
      </c>
    </row>
    <row r="2224" spans="1:11" ht="40.049999999999997" customHeight="1" x14ac:dyDescent="0.25">
      <c r="A2224" s="11" t="s">
        <v>4861</v>
      </c>
      <c r="B2224" s="11" t="s">
        <v>4862</v>
      </c>
      <c r="C2224" s="11" t="s">
        <v>17</v>
      </c>
      <c r="D2224" s="11" t="s">
        <v>18</v>
      </c>
      <c r="E2224" s="12" t="s">
        <v>1528</v>
      </c>
      <c r="F2224" s="12" t="s">
        <v>1529</v>
      </c>
      <c r="G2224" s="12" t="s">
        <v>21</v>
      </c>
      <c r="H2224" s="11" t="s">
        <v>63</v>
      </c>
      <c r="I2224" s="13" t="s">
        <v>4863</v>
      </c>
      <c r="J2224" s="14" t="str">
        <f>HYPERLINK("https://www.boe.es/gazeta/dias/1839/12/15/pdfs/GMD-1839-1862.pdf#page=4","Abrir facsímil")</f>
        <v>Abrir facsímil</v>
      </c>
      <c r="K2224" s="12" t="s">
        <v>65</v>
      </c>
    </row>
    <row r="2225" spans="1:11" ht="40.049999999999997" customHeight="1" x14ac:dyDescent="0.25">
      <c r="A2225" s="11" t="s">
        <v>4864</v>
      </c>
      <c r="B2225" s="11" t="s">
        <v>4865</v>
      </c>
      <c r="C2225" s="11" t="s">
        <v>17</v>
      </c>
      <c r="D2225" s="11" t="s">
        <v>18</v>
      </c>
      <c r="E2225" s="12" t="s">
        <v>1528</v>
      </c>
      <c r="F2225" s="12" t="s">
        <v>1529</v>
      </c>
      <c r="G2225" s="12" t="s">
        <v>21</v>
      </c>
      <c r="H2225" s="11" t="s">
        <v>63</v>
      </c>
      <c r="I2225" s="13" t="s">
        <v>4866</v>
      </c>
      <c r="J2225" s="14" t="str">
        <f>HYPERLINK("https://www.boe.es/gazeta/dias/1839/12/15/pdfs/GMD-1839-1862.pdf#page=4","Abrir facsímil")</f>
        <v>Abrir facsímil</v>
      </c>
      <c r="K2225" s="12" t="s">
        <v>65</v>
      </c>
    </row>
    <row r="2226" spans="1:11" ht="40.049999999999997" customHeight="1" x14ac:dyDescent="0.25">
      <c r="A2226" s="11" t="s">
        <v>4867</v>
      </c>
      <c r="B2226" s="11" t="s">
        <v>4868</v>
      </c>
      <c r="C2226" s="11" t="s">
        <v>17</v>
      </c>
      <c r="D2226" s="11" t="s">
        <v>18</v>
      </c>
      <c r="E2226" s="12" t="s">
        <v>44</v>
      </c>
      <c r="F2226" s="12" t="s">
        <v>45</v>
      </c>
      <c r="G2226" s="12" t="s">
        <v>46</v>
      </c>
      <c r="H2226" s="11" t="s">
        <v>63</v>
      </c>
      <c r="I2226" s="13" t="s">
        <v>4869</v>
      </c>
      <c r="J2226" s="14" t="str">
        <f>HYPERLINK("https://www.boe.es/gazeta/dias/1839/11/15/pdfs/GMD-1839-1832.pdf#page=3","Abrir facsímil")</f>
        <v>Abrir facsímil</v>
      </c>
      <c r="K2226" s="12" t="s">
        <v>65</v>
      </c>
    </row>
    <row r="2227" spans="1:11" ht="40.049999999999997" customHeight="1" x14ac:dyDescent="0.25">
      <c r="A2227" s="11" t="s">
        <v>4870</v>
      </c>
      <c r="B2227" s="11" t="s">
        <v>4871</v>
      </c>
      <c r="C2227" s="11" t="s">
        <v>80</v>
      </c>
      <c r="D2227" s="11" t="s">
        <v>18</v>
      </c>
      <c r="E2227" s="12" t="s">
        <v>1019</v>
      </c>
      <c r="F2227" s="12" t="s">
        <v>1020</v>
      </c>
      <c r="G2227" s="12" t="s">
        <v>21</v>
      </c>
      <c r="H2227" s="11" t="s">
        <v>63</v>
      </c>
      <c r="I2227" s="13" t="s">
        <v>4872</v>
      </c>
      <c r="J2227" s="14" t="str">
        <f>HYPERLINK("https://www.boe.es/gazeta/dias/1839/07/15/pdfs/GMD-1839-1703.pdf#page=4","Abrir facsímil")</f>
        <v>Abrir facsímil</v>
      </c>
      <c r="K2227" s="12" t="s">
        <v>65</v>
      </c>
    </row>
    <row r="2228" spans="1:11" ht="40.049999999999997" customHeight="1" x14ac:dyDescent="0.25">
      <c r="A2228" s="11" t="s">
        <v>4873</v>
      </c>
      <c r="B2228" s="11" t="s">
        <v>4874</v>
      </c>
      <c r="C2228" s="11" t="s">
        <v>80</v>
      </c>
      <c r="D2228" s="11" t="s">
        <v>18</v>
      </c>
      <c r="E2228" s="12" t="s">
        <v>1528</v>
      </c>
      <c r="F2228" s="12" t="s">
        <v>1529</v>
      </c>
      <c r="G2228" s="12" t="s">
        <v>21</v>
      </c>
      <c r="H2228" s="11" t="s">
        <v>63</v>
      </c>
      <c r="I2228" s="13" t="s">
        <v>4875</v>
      </c>
      <c r="J2228" s="14" t="str">
        <f>HYPERLINK("https://www.boe.es/gazeta/dias/1839/12/15/pdfs/GMD-1839-1862.pdf#page=4","Abrir facsímil")</f>
        <v>Abrir facsímil</v>
      </c>
      <c r="K2228" s="12" t="s">
        <v>65</v>
      </c>
    </row>
    <row r="2229" spans="1:11" ht="40.049999999999997" customHeight="1" x14ac:dyDescent="0.25">
      <c r="A2229" s="11" t="s">
        <v>4876</v>
      </c>
      <c r="B2229" s="11" t="s">
        <v>4876</v>
      </c>
      <c r="C2229" s="11" t="s">
        <v>80</v>
      </c>
      <c r="D2229" s="11" t="s">
        <v>18</v>
      </c>
      <c r="E2229" s="12" t="s">
        <v>4463</v>
      </c>
      <c r="F2229" s="12" t="s">
        <v>4464</v>
      </c>
      <c r="G2229" s="12" t="s">
        <v>21</v>
      </c>
      <c r="H2229" s="11" t="s">
        <v>63</v>
      </c>
      <c r="I2229" s="13" t="s">
        <v>4877</v>
      </c>
      <c r="J2229" s="14" t="str">
        <f>HYPERLINK("https://www.boe.es/gazeta/dias/1839/08/28/pdfs/GMD-1839-1749.pdf#page=4","Abrir facsímil")</f>
        <v>Abrir facsímil</v>
      </c>
      <c r="K2229" s="12" t="s">
        <v>65</v>
      </c>
    </row>
    <row r="2230" spans="1:11" ht="40.049999999999997" customHeight="1" x14ac:dyDescent="0.25">
      <c r="A2230" s="11" t="s">
        <v>4878</v>
      </c>
      <c r="B2230" s="11" t="s">
        <v>4878</v>
      </c>
      <c r="C2230" s="11" t="s">
        <v>137</v>
      </c>
      <c r="D2230" s="11" t="s">
        <v>18</v>
      </c>
      <c r="E2230" s="12" t="s">
        <v>1551</v>
      </c>
      <c r="F2230" s="12" t="s">
        <v>1552</v>
      </c>
      <c r="G2230" s="12" t="s">
        <v>21</v>
      </c>
      <c r="H2230" s="11" t="s">
        <v>63</v>
      </c>
      <c r="I2230" s="13" t="s">
        <v>4879</v>
      </c>
      <c r="J2230" s="14" t="str">
        <f>HYPERLINK("https://www.boe.es/gazeta/dias/1839/06/30/pdfs/GMD-1839-1688.pdf#page=4","Abrir facsímil")</f>
        <v>Abrir facsímil</v>
      </c>
      <c r="K2230" s="12" t="s">
        <v>65</v>
      </c>
    </row>
    <row r="2231" spans="1:11" ht="40.049999999999997" customHeight="1" x14ac:dyDescent="0.25">
      <c r="A2231" s="11" t="s">
        <v>4880</v>
      </c>
      <c r="B2231" s="11" t="s">
        <v>4880</v>
      </c>
      <c r="C2231" s="11" t="s">
        <v>17</v>
      </c>
      <c r="D2231" s="11" t="s">
        <v>18</v>
      </c>
      <c r="E2231" s="12" t="s">
        <v>2165</v>
      </c>
      <c r="F2231" s="12" t="s">
        <v>2166</v>
      </c>
      <c r="G2231" s="12" t="s">
        <v>46</v>
      </c>
      <c r="H2231" s="11" t="s">
        <v>63</v>
      </c>
      <c r="I2231" s="13" t="s">
        <v>4881</v>
      </c>
      <c r="J2231" s="14" t="str">
        <f>HYPERLINK("https://www.boe.es/gazeta/dias/1839/01/06/pdfs/GMD-1839-1513.pdf#page=3","Abrir facsímil")</f>
        <v>Abrir facsímil</v>
      </c>
      <c r="K2231" s="12" t="s">
        <v>65</v>
      </c>
    </row>
    <row r="2232" spans="1:11" ht="40.049999999999997" customHeight="1" x14ac:dyDescent="0.25">
      <c r="A2232" s="11" t="s">
        <v>4880</v>
      </c>
      <c r="B2232" s="11" t="s">
        <v>4880</v>
      </c>
      <c r="C2232" s="11" t="s">
        <v>17</v>
      </c>
      <c r="D2232" s="11" t="s">
        <v>18</v>
      </c>
      <c r="E2232" s="12" t="s">
        <v>453</v>
      </c>
      <c r="F2232" s="12" t="s">
        <v>454</v>
      </c>
      <c r="G2232" s="12" t="s">
        <v>46</v>
      </c>
      <c r="H2232" s="11" t="s">
        <v>63</v>
      </c>
      <c r="I2232" s="13" t="s">
        <v>4882</v>
      </c>
      <c r="J2232" s="14" t="str">
        <f>HYPERLINK("https://www.boe.es/gazeta/dias/1839/02/07/pdfs/GMD-1839-1545.pdf#page=3","Abrir facsímil")</f>
        <v>Abrir facsímil</v>
      </c>
      <c r="K2232" s="12" t="s">
        <v>65</v>
      </c>
    </row>
    <row r="2233" spans="1:11" ht="40.049999999999997" customHeight="1" x14ac:dyDescent="0.25">
      <c r="A2233" s="11" t="s">
        <v>4880</v>
      </c>
      <c r="B2233" s="11" t="s">
        <v>4880</v>
      </c>
      <c r="C2233" s="11" t="s">
        <v>80</v>
      </c>
      <c r="D2233" s="11" t="s">
        <v>18</v>
      </c>
      <c r="E2233" s="12" t="s">
        <v>453</v>
      </c>
      <c r="F2233" s="12" t="s">
        <v>454</v>
      </c>
      <c r="G2233" s="12" t="s">
        <v>21</v>
      </c>
      <c r="H2233" s="11" t="s">
        <v>63</v>
      </c>
      <c r="I2233" s="13" t="s">
        <v>4883</v>
      </c>
      <c r="J2233" s="14" t="str">
        <f>HYPERLINK("https://www.boe.es/gazeta/dias/1839/02/07/pdfs/GMD-1839-1545.pdf#page=4","Abrir facsímil")</f>
        <v>Abrir facsímil</v>
      </c>
      <c r="K2233" s="12" t="s">
        <v>65</v>
      </c>
    </row>
    <row r="2234" spans="1:11" ht="40.049999999999997" customHeight="1" x14ac:dyDescent="0.25">
      <c r="A2234" s="11" t="s">
        <v>4880</v>
      </c>
      <c r="B2234" s="11" t="s">
        <v>4880</v>
      </c>
      <c r="C2234" s="11" t="s">
        <v>17</v>
      </c>
      <c r="D2234" s="11" t="s">
        <v>18</v>
      </c>
      <c r="E2234" s="12" t="s">
        <v>116</v>
      </c>
      <c r="F2234" s="12" t="s">
        <v>117</v>
      </c>
      <c r="G2234" s="12" t="s">
        <v>40</v>
      </c>
      <c r="H2234" s="11" t="s">
        <v>63</v>
      </c>
      <c r="I2234" s="13" t="s">
        <v>4884</v>
      </c>
      <c r="J2234" s="14" t="str">
        <f>HYPERLINK("https://www.boe.es/gazeta/dias/1839/10/10/pdfs/GMD-1839-1796.pdf#page=2","Abrir facsímil")</f>
        <v>Abrir facsímil</v>
      </c>
      <c r="K2234" s="12" t="s">
        <v>65</v>
      </c>
    </row>
    <row r="2235" spans="1:11" ht="40.049999999999997" customHeight="1" x14ac:dyDescent="0.25">
      <c r="A2235" s="11" t="s">
        <v>4880</v>
      </c>
      <c r="B2235" s="11" t="s">
        <v>4880</v>
      </c>
      <c r="C2235" s="11" t="s">
        <v>101</v>
      </c>
      <c r="D2235" s="11" t="s">
        <v>43</v>
      </c>
      <c r="E2235" s="12" t="s">
        <v>2107</v>
      </c>
      <c r="F2235" s="12" t="s">
        <v>2108</v>
      </c>
      <c r="G2235" s="12" t="s">
        <v>46</v>
      </c>
      <c r="H2235" s="11" t="s">
        <v>63</v>
      </c>
      <c r="I2235" s="13" t="s">
        <v>4885</v>
      </c>
      <c r="J2235" s="14" t="str">
        <f>HYPERLINK("https://www.boe.es/gazeta/dias/1839/10/11/pdfs/GMD-1839-1797.pdf#page=3","Abrir facsímil")</f>
        <v>Abrir facsímil</v>
      </c>
      <c r="K2235" s="12" t="s">
        <v>65</v>
      </c>
    </row>
    <row r="2236" spans="1:11" ht="40.049999999999997" customHeight="1" x14ac:dyDescent="0.25">
      <c r="A2236" s="11" t="s">
        <v>4880</v>
      </c>
      <c r="B2236" s="11" t="s">
        <v>4880</v>
      </c>
      <c r="C2236" s="11" t="s">
        <v>101</v>
      </c>
      <c r="D2236" s="11" t="s">
        <v>102</v>
      </c>
      <c r="E2236" s="12" t="s">
        <v>103</v>
      </c>
      <c r="F2236" s="12" t="s">
        <v>104</v>
      </c>
      <c r="G2236" s="12" t="s">
        <v>21</v>
      </c>
      <c r="H2236" s="11" t="s">
        <v>63</v>
      </c>
      <c r="I2236" s="13" t="s">
        <v>4886</v>
      </c>
      <c r="J2236" s="14" t="str">
        <f>HYPERLINK("https://www.boe.es/gazeta/dias/1839/10/12/pdfs/GMD-1839-1798.pdf#page=4","Abrir facsímil")</f>
        <v>Abrir facsímil</v>
      </c>
      <c r="K2236" s="12" t="s">
        <v>65</v>
      </c>
    </row>
    <row r="2237" spans="1:11" ht="40.049999999999997" customHeight="1" x14ac:dyDescent="0.25">
      <c r="A2237" s="11" t="s">
        <v>4880</v>
      </c>
      <c r="B2237" s="11" t="s">
        <v>4880</v>
      </c>
      <c r="C2237" s="11" t="s">
        <v>17</v>
      </c>
      <c r="D2237" s="11" t="s">
        <v>18</v>
      </c>
      <c r="E2237" s="12" t="s">
        <v>185</v>
      </c>
      <c r="F2237" s="12" t="s">
        <v>186</v>
      </c>
      <c r="G2237" s="12" t="s">
        <v>29</v>
      </c>
      <c r="H2237" s="11" t="s">
        <v>63</v>
      </c>
      <c r="I2237" s="13" t="s">
        <v>4887</v>
      </c>
      <c r="J2237" s="14" t="str">
        <f>HYPERLINK("https://www.boe.es/gazeta/dias/1839/01/15/pdfs/GMD-1839-1522.pdf#page=1","Abrir facsímil")</f>
        <v>Abrir facsímil</v>
      </c>
      <c r="K2237" s="12" t="s">
        <v>65</v>
      </c>
    </row>
    <row r="2238" spans="1:11" ht="40.049999999999997" customHeight="1" x14ac:dyDescent="0.25">
      <c r="A2238" s="11" t="s">
        <v>4880</v>
      </c>
      <c r="B2238" s="11" t="s">
        <v>4880</v>
      </c>
      <c r="C2238" s="11" t="s">
        <v>137</v>
      </c>
      <c r="D2238" s="11" t="s">
        <v>18</v>
      </c>
      <c r="E2238" s="12" t="s">
        <v>185</v>
      </c>
      <c r="F2238" s="12" t="s">
        <v>186</v>
      </c>
      <c r="G2238" s="12" t="s">
        <v>40</v>
      </c>
      <c r="H2238" s="11" t="s">
        <v>63</v>
      </c>
      <c r="I2238" s="13" t="s">
        <v>4888</v>
      </c>
      <c r="J2238" s="14" t="str">
        <f>HYPERLINK("https://www.boe.es/gazeta/dias/1839/01/15/pdfs/GMD-1839-1522.pdf#page=2","Abrir facsímil")</f>
        <v>Abrir facsímil</v>
      </c>
      <c r="K2238" s="12" t="s">
        <v>65</v>
      </c>
    </row>
    <row r="2239" spans="1:11" ht="40.049999999999997" customHeight="1" x14ac:dyDescent="0.25">
      <c r="A2239" s="11" t="s">
        <v>4880</v>
      </c>
      <c r="B2239" s="11" t="s">
        <v>4880</v>
      </c>
      <c r="C2239" s="11" t="s">
        <v>59</v>
      </c>
      <c r="D2239" s="11" t="s">
        <v>60</v>
      </c>
      <c r="E2239" s="12" t="s">
        <v>522</v>
      </c>
      <c r="F2239" s="12" t="s">
        <v>523</v>
      </c>
      <c r="G2239" s="12" t="s">
        <v>566</v>
      </c>
      <c r="H2239" s="11" t="s">
        <v>63</v>
      </c>
      <c r="I2239" s="13" t="s">
        <v>4889</v>
      </c>
      <c r="J2239" s="14" t="str">
        <f>HYPERLINK("https://www.boe.es/gazeta/dias/1839/08/27/pdfs/GMD-1839-1748.pdf#page=5","Abrir facsímil")</f>
        <v>Abrir facsímil</v>
      </c>
      <c r="K2239" s="12" t="s">
        <v>65</v>
      </c>
    </row>
    <row r="2240" spans="1:11" ht="40.049999999999997" customHeight="1" x14ac:dyDescent="0.25">
      <c r="A2240" s="11" t="s">
        <v>4890</v>
      </c>
      <c r="B2240" s="11" t="s">
        <v>4890</v>
      </c>
      <c r="C2240" s="11" t="s">
        <v>17</v>
      </c>
      <c r="D2240" s="11" t="s">
        <v>18</v>
      </c>
      <c r="E2240" s="12" t="s">
        <v>1807</v>
      </c>
      <c r="F2240" s="12" t="s">
        <v>1808</v>
      </c>
      <c r="G2240" s="12" t="s">
        <v>40</v>
      </c>
      <c r="H2240" s="11" t="s">
        <v>22</v>
      </c>
      <c r="I2240" s="13" t="s">
        <v>4891</v>
      </c>
      <c r="J2240" s="14" t="str">
        <f>HYPERLINK("https://www.boe.es/gazeta/dias/1839/01/29/pdfs/GMD-1839-1536.pdf#page=2","Abrir facsímil")</f>
        <v>Abrir facsímil</v>
      </c>
      <c r="K2240" s="12" t="s">
        <v>24</v>
      </c>
    </row>
    <row r="2241" spans="1:11" ht="40.049999999999997" customHeight="1" x14ac:dyDescent="0.25">
      <c r="A2241" s="11" t="s">
        <v>4880</v>
      </c>
      <c r="B2241" s="11" t="s">
        <v>4880</v>
      </c>
      <c r="C2241" s="11" t="s">
        <v>17</v>
      </c>
      <c r="D2241" s="11" t="s">
        <v>18</v>
      </c>
      <c r="E2241" s="12" t="s">
        <v>1551</v>
      </c>
      <c r="F2241" s="12" t="s">
        <v>1552</v>
      </c>
      <c r="G2241" s="12" t="s">
        <v>29</v>
      </c>
      <c r="H2241" s="11" t="s">
        <v>63</v>
      </c>
      <c r="I2241" s="13" t="s">
        <v>4892</v>
      </c>
      <c r="J2241" s="14" t="str">
        <f>HYPERLINK("https://www.boe.es/gazeta/dias/1839/06/30/pdfs/GMD-1839-1688.pdf#page=1","Abrir facsímil")</f>
        <v>Abrir facsímil</v>
      </c>
      <c r="K2241" s="12" t="s">
        <v>65</v>
      </c>
    </row>
    <row r="2242" spans="1:11" ht="40.049999999999997" customHeight="1" x14ac:dyDescent="0.25">
      <c r="A2242" s="11" t="s">
        <v>4893</v>
      </c>
      <c r="B2242" s="11" t="s">
        <v>4894</v>
      </c>
      <c r="C2242" s="11" t="s">
        <v>80</v>
      </c>
      <c r="D2242" s="11" t="s">
        <v>18</v>
      </c>
      <c r="E2242" s="12" t="s">
        <v>621</v>
      </c>
      <c r="F2242" s="12" t="s">
        <v>622</v>
      </c>
      <c r="G2242" s="12" t="s">
        <v>29</v>
      </c>
      <c r="H2242" s="11" t="s">
        <v>63</v>
      </c>
      <c r="I2242" s="13" t="s">
        <v>4895</v>
      </c>
      <c r="J2242" s="14" t="str">
        <f>HYPERLINK("https://www.boe.es/gazeta/dias/1839/04/14/pdfs/GMD-1839-1611.pdf#page=1","Abrir facsímil")</f>
        <v>Abrir facsímil</v>
      </c>
      <c r="K2242" s="12" t="s">
        <v>65</v>
      </c>
    </row>
    <row r="2243" spans="1:11" ht="40.049999999999997" customHeight="1" x14ac:dyDescent="0.25">
      <c r="A2243" s="11" t="s">
        <v>4896</v>
      </c>
      <c r="B2243" s="11" t="s">
        <v>4897</v>
      </c>
      <c r="C2243" s="11" t="s">
        <v>17</v>
      </c>
      <c r="D2243" s="11" t="s">
        <v>18</v>
      </c>
      <c r="E2243" s="12" t="s">
        <v>76</v>
      </c>
      <c r="F2243" s="12" t="s">
        <v>77</v>
      </c>
      <c r="G2243" s="12" t="s">
        <v>40</v>
      </c>
      <c r="H2243" s="11" t="s">
        <v>63</v>
      </c>
      <c r="I2243" s="13" t="s">
        <v>4898</v>
      </c>
      <c r="J2243" s="14" t="str">
        <f>HYPERLINK("https://www.boe.es/gazeta/dias/1839/03/13/pdfs/GMD-1839-1579.pdf#page=2","Abrir facsímil")</f>
        <v>Abrir facsímil</v>
      </c>
      <c r="K2243" s="12" t="s">
        <v>65</v>
      </c>
    </row>
    <row r="2244" spans="1:11" ht="40.049999999999997" customHeight="1" x14ac:dyDescent="0.25">
      <c r="A2244" s="11" t="s">
        <v>4896</v>
      </c>
      <c r="B2244" s="11" t="s">
        <v>4897</v>
      </c>
      <c r="C2244" s="11" t="s">
        <v>137</v>
      </c>
      <c r="D2244" s="11" t="s">
        <v>18</v>
      </c>
      <c r="E2244" s="12" t="s">
        <v>785</v>
      </c>
      <c r="F2244" s="12" t="s">
        <v>786</v>
      </c>
      <c r="G2244" s="12" t="s">
        <v>40</v>
      </c>
      <c r="H2244" s="11" t="s">
        <v>63</v>
      </c>
      <c r="I2244" s="13" t="s">
        <v>4899</v>
      </c>
      <c r="J2244" s="14" t="str">
        <f>HYPERLINK("https://www.boe.es/gazeta/dias/1839/07/13/pdfs/GMD-1839-1701.pdf#page=2","Abrir facsímil")</f>
        <v>Abrir facsímil</v>
      </c>
      <c r="K2244" s="12" t="s">
        <v>65</v>
      </c>
    </row>
    <row r="2245" spans="1:11" ht="40.049999999999997" customHeight="1" x14ac:dyDescent="0.25">
      <c r="A2245" s="11" t="s">
        <v>4900</v>
      </c>
      <c r="B2245" s="11" t="s">
        <v>4901</v>
      </c>
      <c r="C2245" s="11" t="s">
        <v>17</v>
      </c>
      <c r="D2245" s="11" t="s">
        <v>18</v>
      </c>
      <c r="E2245" s="12" t="s">
        <v>266</v>
      </c>
      <c r="F2245" s="12" t="s">
        <v>267</v>
      </c>
      <c r="G2245" s="12" t="s">
        <v>40</v>
      </c>
      <c r="H2245" s="11" t="s">
        <v>63</v>
      </c>
      <c r="I2245" s="13" t="s">
        <v>4902</v>
      </c>
      <c r="J2245" s="14" t="str">
        <f>HYPERLINK("https://www.boe.es/gazeta/dias/1839/01/03/pdfs/GMD-1839-1510.pdf#page=2","Abrir facsímil")</f>
        <v>Abrir facsímil</v>
      </c>
      <c r="K2245" s="12" t="s">
        <v>65</v>
      </c>
    </row>
    <row r="2246" spans="1:11" ht="40.049999999999997" customHeight="1" x14ac:dyDescent="0.25">
      <c r="A2246" s="11" t="s">
        <v>4903</v>
      </c>
      <c r="B2246" s="11" t="s">
        <v>4904</v>
      </c>
      <c r="C2246" s="11" t="s">
        <v>17</v>
      </c>
      <c r="D2246" s="11" t="s">
        <v>18</v>
      </c>
      <c r="E2246" s="12" t="s">
        <v>1108</v>
      </c>
      <c r="F2246" s="12" t="s">
        <v>1109</v>
      </c>
      <c r="G2246" s="12" t="s">
        <v>40</v>
      </c>
      <c r="H2246" s="11" t="s">
        <v>63</v>
      </c>
      <c r="I2246" s="13" t="s">
        <v>4905</v>
      </c>
      <c r="J2246" s="14" t="str">
        <f>HYPERLINK("https://www.boe.es/gazeta/dias/1839/09/21/pdfs/GMD-1839-1776.pdf#page=2","Abrir facsímil")</f>
        <v>Abrir facsímil</v>
      </c>
      <c r="K2246" s="12" t="s">
        <v>65</v>
      </c>
    </row>
    <row r="2247" spans="1:11" ht="40.049999999999997" customHeight="1" x14ac:dyDescent="0.25">
      <c r="A2247" s="11" t="s">
        <v>4906</v>
      </c>
      <c r="B2247" s="11" t="s">
        <v>4906</v>
      </c>
      <c r="C2247" s="11" t="s">
        <v>59</v>
      </c>
      <c r="D2247" s="11" t="s">
        <v>60</v>
      </c>
      <c r="E2247" s="12" t="s">
        <v>1057</v>
      </c>
      <c r="F2247" s="12" t="s">
        <v>1058</v>
      </c>
      <c r="G2247" s="12" t="s">
        <v>40</v>
      </c>
      <c r="H2247" s="11" t="s">
        <v>63</v>
      </c>
      <c r="I2247" s="13" t="s">
        <v>4907</v>
      </c>
      <c r="J2247" s="14" t="str">
        <f>HYPERLINK("https://www.boe.es/gazeta/dias/1839/10/01/pdfs/GMD-1839-1787.pdf#page=2","Abrir facsímil")</f>
        <v>Abrir facsímil</v>
      </c>
      <c r="K2247" s="12" t="s">
        <v>65</v>
      </c>
    </row>
    <row r="2248" spans="1:11" ht="40.049999999999997" customHeight="1" x14ac:dyDescent="0.25">
      <c r="A2248" s="11" t="s">
        <v>4906</v>
      </c>
      <c r="B2248" s="11" t="s">
        <v>4906</v>
      </c>
      <c r="C2248" s="11" t="s">
        <v>137</v>
      </c>
      <c r="D2248" s="11" t="s">
        <v>18</v>
      </c>
      <c r="E2248" s="12" t="s">
        <v>453</v>
      </c>
      <c r="F2248" s="12" t="s">
        <v>454</v>
      </c>
      <c r="G2248" s="12" t="s">
        <v>40</v>
      </c>
      <c r="H2248" s="11" t="s">
        <v>63</v>
      </c>
      <c r="I2248" s="13" t="s">
        <v>4908</v>
      </c>
      <c r="J2248" s="14" t="str">
        <f>HYPERLINK("https://www.boe.es/gazeta/dias/1839/02/07/pdfs/GMD-1839-1545.pdf#page=2","Abrir facsímil")</f>
        <v>Abrir facsímil</v>
      </c>
      <c r="K2248" s="12" t="s">
        <v>65</v>
      </c>
    </row>
    <row r="2249" spans="1:11" ht="40.049999999999997" customHeight="1" x14ac:dyDescent="0.25">
      <c r="A2249" s="11" t="s">
        <v>4909</v>
      </c>
      <c r="B2249" s="11" t="s">
        <v>4909</v>
      </c>
      <c r="C2249" s="11" t="s">
        <v>101</v>
      </c>
      <c r="D2249" s="11" t="s">
        <v>43</v>
      </c>
      <c r="E2249" s="12" t="s">
        <v>453</v>
      </c>
      <c r="F2249" s="12" t="s">
        <v>454</v>
      </c>
      <c r="G2249" s="12" t="s">
        <v>40</v>
      </c>
      <c r="H2249" s="11" t="s">
        <v>63</v>
      </c>
      <c r="I2249" s="13" t="s">
        <v>4910</v>
      </c>
      <c r="J2249" s="14" t="str">
        <f>HYPERLINK("https://www.boe.es/gazeta/dias/1839/02/07/pdfs/GMD-1839-1545.pdf#page=2","Abrir facsímil")</f>
        <v>Abrir facsímil</v>
      </c>
      <c r="K2249" s="12" t="s">
        <v>65</v>
      </c>
    </row>
    <row r="2250" spans="1:11" ht="40.049999999999997" customHeight="1" x14ac:dyDescent="0.25">
      <c r="A2250" s="11" t="s">
        <v>4911</v>
      </c>
      <c r="B2250" s="11" t="s">
        <v>4911</v>
      </c>
      <c r="C2250" s="11" t="s">
        <v>101</v>
      </c>
      <c r="D2250" s="11" t="s">
        <v>43</v>
      </c>
      <c r="E2250" s="12" t="s">
        <v>254</v>
      </c>
      <c r="F2250" s="12" t="s">
        <v>255</v>
      </c>
      <c r="G2250" s="12" t="s">
        <v>40</v>
      </c>
      <c r="H2250" s="11" t="s">
        <v>63</v>
      </c>
      <c r="I2250" s="13" t="s">
        <v>4912</v>
      </c>
      <c r="J2250" s="14" t="str">
        <f>HYPERLINK("https://www.boe.es/gazeta/dias/1839/09/12/pdfs/GMD-1839-1765.pdf#page=2","Abrir facsímil")</f>
        <v>Abrir facsímil</v>
      </c>
      <c r="K2250" s="12" t="s">
        <v>65</v>
      </c>
    </row>
    <row r="2251" spans="1:11" ht="40.049999999999997" customHeight="1" x14ac:dyDescent="0.25">
      <c r="A2251" s="11" t="s">
        <v>4913</v>
      </c>
      <c r="B2251" s="11" t="s">
        <v>4913</v>
      </c>
      <c r="C2251" s="11" t="s">
        <v>80</v>
      </c>
      <c r="D2251" s="11" t="s">
        <v>18</v>
      </c>
      <c r="E2251" s="12" t="s">
        <v>798</v>
      </c>
      <c r="F2251" s="12" t="s">
        <v>799</v>
      </c>
      <c r="G2251" s="12" t="s">
        <v>40</v>
      </c>
      <c r="H2251" s="11" t="s">
        <v>63</v>
      </c>
      <c r="I2251" s="13" t="s">
        <v>4914</v>
      </c>
      <c r="J2251" s="14" t="str">
        <f>HYPERLINK("https://www.boe.es/gazeta/dias/1839/09/03/pdfs/GMD-1839-1755.pdf#page=2","Abrir facsímil")</f>
        <v>Abrir facsímil</v>
      </c>
      <c r="K2251" s="12" t="s">
        <v>65</v>
      </c>
    </row>
    <row r="2252" spans="1:11" ht="40.049999999999997" customHeight="1" x14ac:dyDescent="0.25">
      <c r="A2252" s="11" t="s">
        <v>4913</v>
      </c>
      <c r="B2252" s="11" t="s">
        <v>4913</v>
      </c>
      <c r="C2252" s="11" t="s">
        <v>17</v>
      </c>
      <c r="D2252" s="11" t="s">
        <v>18</v>
      </c>
      <c r="E2252" s="12" t="s">
        <v>108</v>
      </c>
      <c r="F2252" s="12" t="s">
        <v>109</v>
      </c>
      <c r="G2252" s="12" t="s">
        <v>40</v>
      </c>
      <c r="H2252" s="11" t="s">
        <v>63</v>
      </c>
      <c r="I2252" s="13" t="s">
        <v>4915</v>
      </c>
      <c r="J2252" s="14" t="str">
        <f>HYPERLINK("https://www.boe.es/gazeta/dias/1839/01/04/pdfs/GMD-1839-1511.pdf#page=2","Abrir facsímil")</f>
        <v>Abrir facsímil</v>
      </c>
      <c r="K2252" s="12" t="s">
        <v>65</v>
      </c>
    </row>
    <row r="2253" spans="1:11" ht="40.049999999999997" customHeight="1" x14ac:dyDescent="0.25">
      <c r="A2253" s="11" t="s">
        <v>4913</v>
      </c>
      <c r="B2253" s="11" t="s">
        <v>4913</v>
      </c>
      <c r="C2253" s="11" t="s">
        <v>17</v>
      </c>
      <c r="D2253" s="11" t="s">
        <v>18</v>
      </c>
      <c r="E2253" s="12" t="s">
        <v>222</v>
      </c>
      <c r="F2253" s="12" t="s">
        <v>223</v>
      </c>
      <c r="G2253" s="12" t="s">
        <v>21</v>
      </c>
      <c r="H2253" s="11" t="s">
        <v>63</v>
      </c>
      <c r="I2253" s="13" t="s">
        <v>4916</v>
      </c>
      <c r="J2253" s="14" t="str">
        <f>HYPERLINK("https://www.boe.es/gazeta/dias/1839/06/22/pdfs/GMD-1839-1680.pdf#page=4","Abrir facsímil")</f>
        <v>Abrir facsímil</v>
      </c>
      <c r="K2253" s="12" t="s">
        <v>65</v>
      </c>
    </row>
    <row r="2254" spans="1:11" ht="40.049999999999997" customHeight="1" x14ac:dyDescent="0.25">
      <c r="A2254" s="11" t="s">
        <v>4917</v>
      </c>
      <c r="B2254" s="11" t="s">
        <v>4918</v>
      </c>
      <c r="C2254" s="11" t="s">
        <v>101</v>
      </c>
      <c r="D2254" s="11" t="s">
        <v>102</v>
      </c>
      <c r="E2254" s="12" t="s">
        <v>486</v>
      </c>
      <c r="F2254" s="12" t="s">
        <v>487</v>
      </c>
      <c r="G2254" s="12" t="s">
        <v>21</v>
      </c>
      <c r="H2254" s="11" t="s">
        <v>63</v>
      </c>
      <c r="I2254" s="13" t="s">
        <v>4919</v>
      </c>
      <c r="J2254" s="14" t="str">
        <f>HYPERLINK("https://www.boe.es/gazeta/dias/1839/04/19/pdfs/GMD-1839-1616.pdf#page=4","Abrir facsímil")</f>
        <v>Abrir facsímil</v>
      </c>
      <c r="K2254" s="12" t="s">
        <v>65</v>
      </c>
    </row>
    <row r="2255" spans="1:11" ht="40.049999999999997" customHeight="1" x14ac:dyDescent="0.25">
      <c r="A2255" s="11" t="s">
        <v>4920</v>
      </c>
      <c r="B2255" s="11" t="s">
        <v>4920</v>
      </c>
      <c r="C2255" s="11" t="s">
        <v>17</v>
      </c>
      <c r="D2255" s="11" t="s">
        <v>18</v>
      </c>
      <c r="E2255" s="12" t="s">
        <v>4921</v>
      </c>
      <c r="F2255" s="12" t="s">
        <v>4922</v>
      </c>
      <c r="G2255" s="12" t="s">
        <v>29</v>
      </c>
      <c r="H2255" s="11" t="s">
        <v>63</v>
      </c>
      <c r="I2255" s="13" t="s">
        <v>4923</v>
      </c>
      <c r="J2255" s="14" t="str">
        <f>HYPERLINK("https://www.boe.es/gazeta/dias/1839/11/05/pdfs/GMD-1839-1822.pdf#page=1","Abrir facsímil")</f>
        <v>Abrir facsímil</v>
      </c>
      <c r="K2255" s="12" t="s">
        <v>65</v>
      </c>
    </row>
    <row r="2256" spans="1:11" ht="40.049999999999997" customHeight="1" x14ac:dyDescent="0.25">
      <c r="A2256" s="11" t="s">
        <v>4924</v>
      </c>
      <c r="B2256" s="11" t="s">
        <v>4924</v>
      </c>
      <c r="C2256" s="11" t="s">
        <v>137</v>
      </c>
      <c r="D2256" s="11" t="s">
        <v>18</v>
      </c>
      <c r="E2256" s="12" t="s">
        <v>4108</v>
      </c>
      <c r="F2256" s="12" t="s">
        <v>4109</v>
      </c>
      <c r="G2256" s="12" t="s">
        <v>29</v>
      </c>
      <c r="H2256" s="11" t="s">
        <v>63</v>
      </c>
      <c r="I2256" s="13" t="s">
        <v>4925</v>
      </c>
      <c r="J2256" s="14" t="str">
        <f>HYPERLINK("https://www.boe.es/gazeta/dias/1839/03/23/pdfs/GMD-1839-1589.pdf#page=1","Abrir facsímil")</f>
        <v>Abrir facsímil</v>
      </c>
      <c r="K2256" s="12" t="s">
        <v>65</v>
      </c>
    </row>
    <row r="2257" spans="1:11" ht="40.049999999999997" customHeight="1" x14ac:dyDescent="0.25">
      <c r="A2257" s="11" t="s">
        <v>4926</v>
      </c>
      <c r="B2257" s="11" t="s">
        <v>4927</v>
      </c>
      <c r="C2257" s="11" t="s">
        <v>17</v>
      </c>
      <c r="D2257" s="11" t="s">
        <v>18</v>
      </c>
      <c r="E2257" s="12" t="s">
        <v>181</v>
      </c>
      <c r="F2257" s="12" t="s">
        <v>182</v>
      </c>
      <c r="G2257" s="12" t="s">
        <v>29</v>
      </c>
      <c r="H2257" s="11" t="s">
        <v>63</v>
      </c>
      <c r="I2257" s="13" t="s">
        <v>4928</v>
      </c>
      <c r="J2257" s="14" t="str">
        <f>HYPERLINK("https://www.boe.es/gazeta/dias/1839/01/11/pdfs/GMD-1839-1518.pdf#page=1","Abrir facsímil")</f>
        <v>Abrir facsímil</v>
      </c>
      <c r="K2257" s="12" t="s">
        <v>65</v>
      </c>
    </row>
    <row r="2258" spans="1:11" ht="40.049999999999997" customHeight="1" x14ac:dyDescent="0.25">
      <c r="A2258" s="11" t="s">
        <v>4929</v>
      </c>
      <c r="B2258" s="11" t="s">
        <v>4929</v>
      </c>
      <c r="C2258" s="11" t="s">
        <v>17</v>
      </c>
      <c r="D2258" s="11" t="s">
        <v>18</v>
      </c>
      <c r="E2258" s="12" t="s">
        <v>2482</v>
      </c>
      <c r="F2258" s="12" t="s">
        <v>2483</v>
      </c>
      <c r="G2258" s="12" t="s">
        <v>46</v>
      </c>
      <c r="H2258" s="11" t="s">
        <v>63</v>
      </c>
      <c r="I2258" s="13" t="s">
        <v>4930</v>
      </c>
      <c r="J2258" s="14" t="str">
        <f>HYPERLINK("https://www.boe.es/gazeta/dias/1839/07/07/pdfs/GMD-1839-1695.pdf#page=3","Abrir facsímil")</f>
        <v>Abrir facsímil</v>
      </c>
      <c r="K2258" s="12" t="s">
        <v>65</v>
      </c>
    </row>
    <row r="2259" spans="1:11" ht="40.049999999999997" customHeight="1" x14ac:dyDescent="0.25">
      <c r="A2259" s="11" t="s">
        <v>4931</v>
      </c>
      <c r="B2259" s="11" t="s">
        <v>4931</v>
      </c>
      <c r="C2259" s="11" t="s">
        <v>17</v>
      </c>
      <c r="D2259" s="11" t="s">
        <v>18</v>
      </c>
      <c r="E2259" s="12" t="s">
        <v>4550</v>
      </c>
      <c r="F2259" s="12" t="s">
        <v>4551</v>
      </c>
      <c r="G2259" s="12" t="s">
        <v>21</v>
      </c>
      <c r="H2259" s="11" t="s">
        <v>63</v>
      </c>
      <c r="I2259" s="13" t="s">
        <v>4932</v>
      </c>
      <c r="J2259" s="14" t="str">
        <f>HYPERLINK("https://www.boe.es/gazeta/dias/1839/04/17/pdfs/GMD-1839-1614.pdf#page=4","Abrir facsímil")</f>
        <v>Abrir facsímil</v>
      </c>
      <c r="K2259" s="12" t="s">
        <v>65</v>
      </c>
    </row>
    <row r="2260" spans="1:11" ht="40.049999999999997" customHeight="1" x14ac:dyDescent="0.25">
      <c r="A2260" s="11" t="s">
        <v>4931</v>
      </c>
      <c r="B2260" s="11" t="s">
        <v>4931</v>
      </c>
      <c r="C2260" s="11" t="s">
        <v>17</v>
      </c>
      <c r="D2260" s="11" t="s">
        <v>18</v>
      </c>
      <c r="E2260" s="12" t="s">
        <v>1666</v>
      </c>
      <c r="F2260" s="12" t="s">
        <v>1667</v>
      </c>
      <c r="G2260" s="12" t="s">
        <v>29</v>
      </c>
      <c r="H2260" s="11" t="s">
        <v>63</v>
      </c>
      <c r="I2260" s="13" t="s">
        <v>4933</v>
      </c>
      <c r="J2260" s="14" t="str">
        <f>HYPERLINK("https://www.boe.es/gazeta/dias/1839/04/22/pdfs/GMD-1839-1619.pdf#page=1","Abrir facsímil")</f>
        <v>Abrir facsímil</v>
      </c>
      <c r="K2260" s="12" t="s">
        <v>65</v>
      </c>
    </row>
    <row r="2261" spans="1:11" ht="40.049999999999997" customHeight="1" x14ac:dyDescent="0.25">
      <c r="A2261" s="11" t="s">
        <v>4931</v>
      </c>
      <c r="B2261" s="11" t="s">
        <v>4931</v>
      </c>
      <c r="C2261" s="11" t="s">
        <v>59</v>
      </c>
      <c r="D2261" s="11" t="s">
        <v>60</v>
      </c>
      <c r="E2261" s="12" t="s">
        <v>1395</v>
      </c>
      <c r="F2261" s="12" t="s">
        <v>1396</v>
      </c>
      <c r="G2261" s="12" t="s">
        <v>21</v>
      </c>
      <c r="H2261" s="11" t="s">
        <v>63</v>
      </c>
      <c r="I2261" s="13" t="s">
        <v>4934</v>
      </c>
      <c r="J2261" s="14" t="str">
        <f>HYPERLINK("https://www.boe.es/gazeta/dias/1839/06/26/pdfs/GMD-1839-1684.pdf#page=4","Abrir facsímil")</f>
        <v>Abrir facsímil</v>
      </c>
      <c r="K2261" s="12" t="s">
        <v>65</v>
      </c>
    </row>
    <row r="2262" spans="1:11" ht="40.049999999999997" customHeight="1" x14ac:dyDescent="0.25">
      <c r="A2262" s="11" t="s">
        <v>4931</v>
      </c>
      <c r="B2262" s="11" t="s">
        <v>4931</v>
      </c>
      <c r="C2262" s="11" t="s">
        <v>17</v>
      </c>
      <c r="D2262" s="11" t="s">
        <v>18</v>
      </c>
      <c r="E2262" s="12" t="s">
        <v>2658</v>
      </c>
      <c r="F2262" s="12" t="s">
        <v>2659</v>
      </c>
      <c r="G2262" s="12" t="s">
        <v>21</v>
      </c>
      <c r="H2262" s="11" t="s">
        <v>63</v>
      </c>
      <c r="I2262" s="13" t="s">
        <v>4935</v>
      </c>
      <c r="J2262" s="14" t="str">
        <f>HYPERLINK("https://www.boe.es/gazeta/dias/1839/06/27/pdfs/GMD-1839-1685.pdf#page=4","Abrir facsímil")</f>
        <v>Abrir facsímil</v>
      </c>
      <c r="K2262" s="12" t="s">
        <v>65</v>
      </c>
    </row>
    <row r="2263" spans="1:11" ht="40.049999999999997" customHeight="1" x14ac:dyDescent="0.25">
      <c r="A2263" s="11" t="s">
        <v>4931</v>
      </c>
      <c r="B2263" s="11" t="s">
        <v>4931</v>
      </c>
      <c r="C2263" s="11" t="s">
        <v>17</v>
      </c>
      <c r="D2263" s="11" t="s">
        <v>18</v>
      </c>
      <c r="E2263" s="12" t="s">
        <v>1269</v>
      </c>
      <c r="F2263" s="12" t="s">
        <v>1270</v>
      </c>
      <c r="G2263" s="12" t="s">
        <v>40</v>
      </c>
      <c r="H2263" s="11" t="s">
        <v>63</v>
      </c>
      <c r="I2263" s="13" t="s">
        <v>4936</v>
      </c>
      <c r="J2263" s="14" t="str">
        <f>HYPERLINK("https://www.boe.es/gazeta/dias/1839/04/29/pdfs/GMD-1839-1626.pdf#page=2","Abrir facsímil")</f>
        <v>Abrir facsímil</v>
      </c>
      <c r="K2263" s="12" t="s">
        <v>65</v>
      </c>
    </row>
    <row r="2264" spans="1:11" ht="40.049999999999997" customHeight="1" x14ac:dyDescent="0.25">
      <c r="A2264" s="11" t="s">
        <v>4937</v>
      </c>
      <c r="B2264" s="11" t="s">
        <v>4937</v>
      </c>
      <c r="C2264" s="11" t="s">
        <v>17</v>
      </c>
      <c r="D2264" s="11" t="s">
        <v>18</v>
      </c>
      <c r="E2264" s="12" t="s">
        <v>54</v>
      </c>
      <c r="F2264" s="12" t="s">
        <v>55</v>
      </c>
      <c r="G2264" s="12" t="s">
        <v>29</v>
      </c>
      <c r="H2264" s="11" t="s">
        <v>63</v>
      </c>
      <c r="I2264" s="13" t="s">
        <v>4938</v>
      </c>
      <c r="J2264" s="14" t="str">
        <f>HYPERLINK("https://www.boe.es/gazeta/dias/1839/10/05/pdfs/GMD-1839-1791.pdf#page=1","Abrir facsímil")</f>
        <v>Abrir facsímil</v>
      </c>
      <c r="K2264" s="12" t="s">
        <v>65</v>
      </c>
    </row>
    <row r="2265" spans="1:11" ht="40.049999999999997" customHeight="1" x14ac:dyDescent="0.25">
      <c r="A2265" s="11" t="s">
        <v>4939</v>
      </c>
      <c r="B2265" s="11" t="s">
        <v>4940</v>
      </c>
      <c r="C2265" s="11" t="s">
        <v>17</v>
      </c>
      <c r="D2265" s="11" t="s">
        <v>18</v>
      </c>
      <c r="E2265" s="12" t="s">
        <v>1807</v>
      </c>
      <c r="F2265" s="12" t="s">
        <v>1808</v>
      </c>
      <c r="G2265" s="12" t="s">
        <v>21</v>
      </c>
      <c r="H2265" s="11" t="s">
        <v>63</v>
      </c>
      <c r="I2265" s="13" t="s">
        <v>4941</v>
      </c>
      <c r="J2265" s="14" t="str">
        <f>HYPERLINK("https://www.boe.es/gazeta/dias/1839/01/29/pdfs/GMD-1839-1536.pdf#page=4","Abrir facsímil")</f>
        <v>Abrir facsímil</v>
      </c>
      <c r="K2265" s="12" t="s">
        <v>65</v>
      </c>
    </row>
    <row r="2266" spans="1:11" ht="40.049999999999997" customHeight="1" x14ac:dyDescent="0.25">
      <c r="A2266" s="11" t="s">
        <v>4942</v>
      </c>
      <c r="B2266" s="11" t="s">
        <v>4943</v>
      </c>
      <c r="C2266" s="11" t="s">
        <v>101</v>
      </c>
      <c r="D2266" s="11" t="s">
        <v>102</v>
      </c>
      <c r="E2266" s="12" t="s">
        <v>2491</v>
      </c>
      <c r="F2266" s="12" t="s">
        <v>2492</v>
      </c>
      <c r="G2266" s="12" t="s">
        <v>40</v>
      </c>
      <c r="H2266" s="11" t="s">
        <v>63</v>
      </c>
      <c r="I2266" s="13" t="s">
        <v>4944</v>
      </c>
      <c r="J2266" s="14" t="str">
        <f>HYPERLINK("https://www.boe.es/gazeta/dias/1839/05/01/pdfs/GMD-1839-1628.pdf#page=2","Abrir facsímil")</f>
        <v>Abrir facsímil</v>
      </c>
      <c r="K2266" s="12" t="s">
        <v>65</v>
      </c>
    </row>
    <row r="2267" spans="1:11" ht="40.049999999999997" customHeight="1" x14ac:dyDescent="0.25">
      <c r="A2267" s="11" t="s">
        <v>4945</v>
      </c>
      <c r="B2267" s="11" t="s">
        <v>4945</v>
      </c>
      <c r="C2267" s="11" t="s">
        <v>17</v>
      </c>
      <c r="D2267" s="11" t="s">
        <v>18</v>
      </c>
      <c r="E2267" s="12" t="s">
        <v>426</v>
      </c>
      <c r="F2267" s="12" t="s">
        <v>427</v>
      </c>
      <c r="G2267" s="12" t="s">
        <v>21</v>
      </c>
      <c r="H2267" s="11" t="s">
        <v>63</v>
      </c>
      <c r="I2267" s="13" t="s">
        <v>4946</v>
      </c>
      <c r="J2267" s="14" t="str">
        <f>HYPERLINK("https://www.boe.es/gazeta/dias/1839/08/11/pdfs/GMD-1839-1731.pdf#page=4","Abrir facsímil")</f>
        <v>Abrir facsímil</v>
      </c>
      <c r="K2267" s="12" t="s">
        <v>65</v>
      </c>
    </row>
    <row r="2268" spans="1:11" ht="40.049999999999997" customHeight="1" x14ac:dyDescent="0.25">
      <c r="A2268" s="11" t="s">
        <v>4947</v>
      </c>
      <c r="B2268" s="11" t="s">
        <v>4947</v>
      </c>
      <c r="C2268" s="11" t="s">
        <v>17</v>
      </c>
      <c r="D2268" s="11" t="s">
        <v>18</v>
      </c>
      <c r="E2268" s="12" t="s">
        <v>2507</v>
      </c>
      <c r="F2268" s="12" t="s">
        <v>2508</v>
      </c>
      <c r="G2268" s="12" t="s">
        <v>21</v>
      </c>
      <c r="H2268" s="11" t="s">
        <v>63</v>
      </c>
      <c r="I2268" s="13" t="s">
        <v>4948</v>
      </c>
      <c r="J2268" s="14" t="str">
        <f>HYPERLINK("https://www.boe.es/gazeta/dias/1839/03/08/pdfs/GMD-1839-1574.pdf#page=4","Abrir facsímil")</f>
        <v>Abrir facsímil</v>
      </c>
      <c r="K2268" s="12" t="s">
        <v>65</v>
      </c>
    </row>
    <row r="2269" spans="1:11" ht="40.049999999999997" customHeight="1" x14ac:dyDescent="0.25">
      <c r="A2269" s="11" t="s">
        <v>4949</v>
      </c>
      <c r="B2269" s="11" t="s">
        <v>4950</v>
      </c>
      <c r="C2269" s="11" t="s">
        <v>17</v>
      </c>
      <c r="D2269" s="11" t="s">
        <v>18</v>
      </c>
      <c r="E2269" s="12" t="s">
        <v>1391</v>
      </c>
      <c r="F2269" s="12" t="s">
        <v>1392</v>
      </c>
      <c r="G2269" s="12" t="s">
        <v>21</v>
      </c>
      <c r="H2269" s="11" t="s">
        <v>63</v>
      </c>
      <c r="I2269" s="13" t="s">
        <v>4951</v>
      </c>
      <c r="J2269" s="14" t="str">
        <f>HYPERLINK("https://www.boe.es/gazeta/dias/1839/05/12/pdfs/GMD-1839-1639.pdf#page=4","Abrir facsímil")</f>
        <v>Abrir facsímil</v>
      </c>
      <c r="K2269" s="12" t="s">
        <v>65</v>
      </c>
    </row>
    <row r="2270" spans="1:11" ht="40.049999999999997" customHeight="1" x14ac:dyDescent="0.25">
      <c r="A2270" s="11" t="s">
        <v>4952</v>
      </c>
      <c r="B2270" s="11" t="s">
        <v>4952</v>
      </c>
      <c r="C2270" s="11" t="s">
        <v>17</v>
      </c>
      <c r="D2270" s="11" t="s">
        <v>18</v>
      </c>
      <c r="E2270" s="12" t="s">
        <v>3009</v>
      </c>
      <c r="F2270" s="12" t="s">
        <v>3010</v>
      </c>
      <c r="G2270" s="12" t="s">
        <v>40</v>
      </c>
      <c r="H2270" s="11" t="s">
        <v>63</v>
      </c>
      <c r="I2270" s="13" t="s">
        <v>4953</v>
      </c>
      <c r="J2270" s="14" t="str">
        <f>HYPERLINK("https://www.boe.es/gazeta/dias/1839/04/20/pdfs/GMD-1839-1617.pdf#page=2","Abrir facsímil")</f>
        <v>Abrir facsímil</v>
      </c>
      <c r="K2270" s="12" t="s">
        <v>65</v>
      </c>
    </row>
    <row r="2271" spans="1:11" ht="40.049999999999997" customHeight="1" x14ac:dyDescent="0.25">
      <c r="A2271" s="11" t="s">
        <v>4954</v>
      </c>
      <c r="B2271" s="11" t="s">
        <v>4954</v>
      </c>
      <c r="C2271" s="11" t="s">
        <v>137</v>
      </c>
      <c r="D2271" s="11" t="s">
        <v>18</v>
      </c>
      <c r="E2271" s="12" t="s">
        <v>700</v>
      </c>
      <c r="F2271" s="12" t="s">
        <v>701</v>
      </c>
      <c r="G2271" s="12" t="s">
        <v>21</v>
      </c>
      <c r="H2271" s="11" t="s">
        <v>63</v>
      </c>
      <c r="I2271" s="13" t="s">
        <v>4955</v>
      </c>
      <c r="J2271" s="14" t="str">
        <f>HYPERLINK("https://www.boe.es/gazeta/dias/1839/09/01/pdfs/GMD-1839-1753.pdf#page=4","Abrir facsímil")</f>
        <v>Abrir facsímil</v>
      </c>
      <c r="K2271" s="12" t="s">
        <v>65</v>
      </c>
    </row>
    <row r="2272" spans="1:11" ht="40.049999999999997" customHeight="1" x14ac:dyDescent="0.25">
      <c r="A2272" s="11" t="s">
        <v>4954</v>
      </c>
      <c r="B2272" s="11" t="s">
        <v>4954</v>
      </c>
      <c r="C2272" s="11" t="s">
        <v>17</v>
      </c>
      <c r="D2272" s="11" t="s">
        <v>18</v>
      </c>
      <c r="E2272" s="12" t="s">
        <v>1057</v>
      </c>
      <c r="F2272" s="12" t="s">
        <v>1058</v>
      </c>
      <c r="G2272" s="12" t="s">
        <v>40</v>
      </c>
      <c r="H2272" s="11" t="s">
        <v>63</v>
      </c>
      <c r="I2272" s="13" t="s">
        <v>4956</v>
      </c>
      <c r="J2272" s="14" t="str">
        <f>HYPERLINK("https://www.boe.es/gazeta/dias/1839/10/01/pdfs/GMD-1839-1787.pdf#page=2","Abrir facsímil")</f>
        <v>Abrir facsímil</v>
      </c>
      <c r="K2272" s="12" t="s">
        <v>65</v>
      </c>
    </row>
    <row r="2273" spans="1:11" ht="40.049999999999997" customHeight="1" x14ac:dyDescent="0.25">
      <c r="A2273" s="11" t="s">
        <v>4954</v>
      </c>
      <c r="B2273" s="11" t="s">
        <v>4954</v>
      </c>
      <c r="C2273" s="11" t="s">
        <v>17</v>
      </c>
      <c r="D2273" s="11" t="s">
        <v>18</v>
      </c>
      <c r="E2273" s="12" t="s">
        <v>4957</v>
      </c>
      <c r="F2273" s="12" t="s">
        <v>4958</v>
      </c>
      <c r="G2273" s="12" t="s">
        <v>46</v>
      </c>
      <c r="H2273" s="11" t="s">
        <v>63</v>
      </c>
      <c r="I2273" s="13" t="s">
        <v>4959</v>
      </c>
      <c r="J2273" s="14" t="str">
        <f>HYPERLINK("https://www.boe.es/gazeta/dias/1839/11/04/pdfs/GMD-1839-1821.pdf#page=3","Abrir facsímil")</f>
        <v>Abrir facsímil</v>
      </c>
      <c r="K2273" s="12" t="s">
        <v>65</v>
      </c>
    </row>
    <row r="2274" spans="1:11" ht="40.049999999999997" customHeight="1" x14ac:dyDescent="0.25">
      <c r="A2274" s="11" t="s">
        <v>4954</v>
      </c>
      <c r="B2274" s="11" t="s">
        <v>4954</v>
      </c>
      <c r="C2274" s="11" t="s">
        <v>80</v>
      </c>
      <c r="D2274" s="11" t="s">
        <v>18</v>
      </c>
      <c r="E2274" s="12" t="s">
        <v>125</v>
      </c>
      <c r="F2274" s="12" t="s">
        <v>126</v>
      </c>
      <c r="G2274" s="12" t="s">
        <v>46</v>
      </c>
      <c r="H2274" s="11" t="s">
        <v>63</v>
      </c>
      <c r="I2274" s="13" t="s">
        <v>4960</v>
      </c>
      <c r="J2274" s="14" t="str">
        <f>HYPERLINK("https://www.boe.es/gazeta/dias/1839/05/23/pdfs/GMD-1839-1650.pdf#page=3","Abrir facsímil")</f>
        <v>Abrir facsímil</v>
      </c>
      <c r="K2274" s="12" t="s">
        <v>65</v>
      </c>
    </row>
    <row r="2275" spans="1:11" ht="40.049999999999997" customHeight="1" x14ac:dyDescent="0.25">
      <c r="A2275" s="11" t="s">
        <v>4954</v>
      </c>
      <c r="B2275" s="11" t="s">
        <v>4954</v>
      </c>
      <c r="C2275" s="11" t="s">
        <v>17</v>
      </c>
      <c r="D2275" s="11" t="s">
        <v>18</v>
      </c>
      <c r="E2275" s="12" t="s">
        <v>375</v>
      </c>
      <c r="F2275" s="12" t="s">
        <v>376</v>
      </c>
      <c r="G2275" s="12" t="s">
        <v>40</v>
      </c>
      <c r="H2275" s="11" t="s">
        <v>63</v>
      </c>
      <c r="I2275" s="13" t="s">
        <v>4961</v>
      </c>
      <c r="J2275" s="14" t="str">
        <f>HYPERLINK("https://www.boe.es/gazeta/dias/1839/11/25/pdfs/GMD-1839-1842.pdf#page=2","Abrir facsímil")</f>
        <v>Abrir facsímil</v>
      </c>
      <c r="K2275" s="12" t="s">
        <v>65</v>
      </c>
    </row>
    <row r="2276" spans="1:11" ht="40.049999999999997" customHeight="1" x14ac:dyDescent="0.25">
      <c r="A2276" s="11" t="s">
        <v>4954</v>
      </c>
      <c r="B2276" s="11" t="s">
        <v>4954</v>
      </c>
      <c r="C2276" s="11" t="s">
        <v>80</v>
      </c>
      <c r="D2276" s="11" t="s">
        <v>173</v>
      </c>
      <c r="E2276" s="12" t="s">
        <v>862</v>
      </c>
      <c r="F2276" s="12" t="s">
        <v>863</v>
      </c>
      <c r="G2276" s="12" t="s">
        <v>305</v>
      </c>
      <c r="H2276" s="11" t="s">
        <v>63</v>
      </c>
      <c r="I2276" s="13" t="s">
        <v>4962</v>
      </c>
      <c r="J2276" s="14" t="str">
        <f>HYPERLINK("https://www.boe.es/gazeta/dias/1839/10/28/pdfs/GMD-1839-1814.pdf#page=6","Abrir facsímil")</f>
        <v>Abrir facsímil</v>
      </c>
      <c r="K2276" s="12" t="s">
        <v>65</v>
      </c>
    </row>
    <row r="2277" spans="1:11" ht="40.049999999999997" customHeight="1" x14ac:dyDescent="0.25">
      <c r="A2277" s="11" t="s">
        <v>4963</v>
      </c>
      <c r="B2277" s="11" t="s">
        <v>4963</v>
      </c>
      <c r="C2277" s="11" t="s">
        <v>17</v>
      </c>
      <c r="D2277" s="11" t="s">
        <v>18</v>
      </c>
      <c r="E2277" s="12" t="s">
        <v>601</v>
      </c>
      <c r="F2277" s="12" t="s">
        <v>602</v>
      </c>
      <c r="G2277" s="12" t="s">
        <v>40</v>
      </c>
      <c r="H2277" s="11" t="s">
        <v>63</v>
      </c>
      <c r="I2277" s="13" t="s">
        <v>4964</v>
      </c>
      <c r="J2277" s="14" t="str">
        <f>HYPERLINK("https://www.boe.es/gazeta/dias/1839/04/21/pdfs/GMD-1839-1618.pdf#page=2","Abrir facsímil")</f>
        <v>Abrir facsímil</v>
      </c>
      <c r="K2277" s="12" t="s">
        <v>65</v>
      </c>
    </row>
    <row r="2278" spans="1:11" ht="40.049999999999997" customHeight="1" x14ac:dyDescent="0.25">
      <c r="A2278" s="11" t="s">
        <v>4963</v>
      </c>
      <c r="B2278" s="11" t="s">
        <v>4963</v>
      </c>
      <c r="C2278" s="11" t="s">
        <v>101</v>
      </c>
      <c r="D2278" s="11" t="s">
        <v>43</v>
      </c>
      <c r="E2278" s="12" t="s">
        <v>601</v>
      </c>
      <c r="F2278" s="12" t="s">
        <v>602</v>
      </c>
      <c r="G2278" s="12" t="s">
        <v>46</v>
      </c>
      <c r="H2278" s="11" t="s">
        <v>63</v>
      </c>
      <c r="I2278" s="13" t="s">
        <v>4965</v>
      </c>
      <c r="J2278" s="14" t="str">
        <f>HYPERLINK("https://www.boe.es/gazeta/dias/1839/04/21/pdfs/GMD-1839-1618.pdf#page=3","Abrir facsímil")</f>
        <v>Abrir facsímil</v>
      </c>
      <c r="K2278" s="12" t="s">
        <v>65</v>
      </c>
    </row>
    <row r="2279" spans="1:11" ht="40.049999999999997" customHeight="1" x14ac:dyDescent="0.25">
      <c r="A2279" s="11" t="s">
        <v>4966</v>
      </c>
      <c r="B2279" s="11" t="s">
        <v>4967</v>
      </c>
      <c r="C2279" s="11" t="s">
        <v>17</v>
      </c>
      <c r="D2279" s="11" t="s">
        <v>18</v>
      </c>
      <c r="E2279" s="12" t="s">
        <v>643</v>
      </c>
      <c r="F2279" s="12" t="s">
        <v>644</v>
      </c>
      <c r="G2279" s="12" t="s">
        <v>29</v>
      </c>
      <c r="H2279" s="11" t="s">
        <v>63</v>
      </c>
      <c r="I2279" s="13" t="s">
        <v>4968</v>
      </c>
      <c r="J2279" s="14" t="str">
        <f>HYPERLINK("https://www.boe.es/gazeta/dias/1839/03/20/pdfs/GMD-1839-1586.pdf#page=1","Abrir facsímil")</f>
        <v>Abrir facsímil</v>
      </c>
      <c r="K2279" s="12" t="s">
        <v>65</v>
      </c>
    </row>
    <row r="2280" spans="1:11" ht="40.049999999999997" customHeight="1" x14ac:dyDescent="0.25">
      <c r="A2280" s="11" t="s">
        <v>4969</v>
      </c>
      <c r="B2280" s="11" t="s">
        <v>4969</v>
      </c>
      <c r="C2280" s="11" t="s">
        <v>59</v>
      </c>
      <c r="D2280" s="11" t="s">
        <v>60</v>
      </c>
      <c r="E2280" s="12" t="s">
        <v>616</v>
      </c>
      <c r="F2280" s="12" t="s">
        <v>617</v>
      </c>
      <c r="G2280" s="12" t="s">
        <v>46</v>
      </c>
      <c r="H2280" s="11" t="s">
        <v>63</v>
      </c>
      <c r="I2280" s="13" t="s">
        <v>4970</v>
      </c>
      <c r="J2280" s="14" t="str">
        <f>HYPERLINK("https://www.boe.es/gazeta/dias/1839/05/29/pdfs/GMD-1839-1656.pdf#page=3","Abrir facsímil")</f>
        <v>Abrir facsímil</v>
      </c>
      <c r="K2280" s="12" t="s">
        <v>65</v>
      </c>
    </row>
    <row r="2281" spans="1:11" ht="40.049999999999997" customHeight="1" x14ac:dyDescent="0.25">
      <c r="A2281" s="11" t="s">
        <v>4971</v>
      </c>
      <c r="B2281" s="11" t="s">
        <v>4972</v>
      </c>
      <c r="C2281" s="11" t="s">
        <v>17</v>
      </c>
      <c r="D2281" s="11" t="s">
        <v>18</v>
      </c>
      <c r="E2281" s="12" t="s">
        <v>903</v>
      </c>
      <c r="F2281" s="12" t="s">
        <v>904</v>
      </c>
      <c r="G2281" s="12" t="s">
        <v>40</v>
      </c>
      <c r="H2281" s="11" t="s">
        <v>63</v>
      </c>
      <c r="I2281" s="13" t="s">
        <v>4973</v>
      </c>
      <c r="J2281" s="14" t="str">
        <f>HYPERLINK("https://www.boe.es/gazeta/dias/1839/03/14/pdfs/GMD-1839-1580.pdf#page=2","Abrir facsímil")</f>
        <v>Abrir facsímil</v>
      </c>
      <c r="K2281" s="12" t="s">
        <v>65</v>
      </c>
    </row>
    <row r="2282" spans="1:11" ht="40.049999999999997" customHeight="1" x14ac:dyDescent="0.25">
      <c r="A2282" s="11" t="s">
        <v>4974</v>
      </c>
      <c r="B2282" s="11" t="s">
        <v>4974</v>
      </c>
      <c r="C2282" s="11" t="s">
        <v>17</v>
      </c>
      <c r="D2282" s="11" t="s">
        <v>18</v>
      </c>
      <c r="E2282" s="12" t="s">
        <v>2301</v>
      </c>
      <c r="F2282" s="12" t="s">
        <v>2302</v>
      </c>
      <c r="G2282" s="12" t="s">
        <v>46</v>
      </c>
      <c r="H2282" s="11" t="s">
        <v>22</v>
      </c>
      <c r="I2282" s="13" t="s">
        <v>4975</v>
      </c>
      <c r="J2282" s="14" t="str">
        <f>HYPERLINK("https://www.boe.es/gazeta/dias/1839/09/08/pdfs/GMD-1839-1761.pdf#page=3","Abrir facsímil")</f>
        <v>Abrir facsímil</v>
      </c>
      <c r="K2282" s="12" t="s">
        <v>24</v>
      </c>
    </row>
    <row r="2283" spans="1:11" ht="40.049999999999997" customHeight="1" x14ac:dyDescent="0.25">
      <c r="A2283" s="11" t="s">
        <v>4976</v>
      </c>
      <c r="B2283" s="11" t="s">
        <v>4977</v>
      </c>
      <c r="C2283" s="11" t="s">
        <v>17</v>
      </c>
      <c r="D2283" s="11" t="s">
        <v>18</v>
      </c>
      <c r="E2283" s="12" t="s">
        <v>138</v>
      </c>
      <c r="F2283" s="12" t="s">
        <v>139</v>
      </c>
      <c r="G2283" s="12" t="s">
        <v>21</v>
      </c>
      <c r="H2283" s="11" t="s">
        <v>63</v>
      </c>
      <c r="I2283" s="13" t="s">
        <v>4978</v>
      </c>
      <c r="J2283" s="14" t="str">
        <f>HYPERLINK("https://www.boe.es/gazeta/dias/1839/10/09/pdfs/GMD-1839-1795.pdf#page=4","Abrir facsímil")</f>
        <v>Abrir facsímil</v>
      </c>
      <c r="K2283" s="12" t="s">
        <v>65</v>
      </c>
    </row>
    <row r="2284" spans="1:11" ht="40.049999999999997" customHeight="1" x14ac:dyDescent="0.25">
      <c r="A2284" s="11" t="s">
        <v>4979</v>
      </c>
      <c r="B2284" s="11" t="s">
        <v>4980</v>
      </c>
      <c r="C2284" s="11" t="s">
        <v>59</v>
      </c>
      <c r="D2284" s="11" t="s">
        <v>60</v>
      </c>
      <c r="E2284" s="12" t="s">
        <v>385</v>
      </c>
      <c r="F2284" s="12" t="s">
        <v>386</v>
      </c>
      <c r="G2284" s="12" t="s">
        <v>46</v>
      </c>
      <c r="H2284" s="11" t="s">
        <v>22</v>
      </c>
      <c r="I2284" s="13" t="s">
        <v>4981</v>
      </c>
      <c r="J2284" s="14" t="str">
        <f>HYPERLINK("https://www.boe.es/gazeta/dias/1839/08/01/pdfs/GMD-1839-1721.pdf#page=3","Abrir facsímil")</f>
        <v>Abrir facsímil</v>
      </c>
      <c r="K2284" s="12" t="s">
        <v>24</v>
      </c>
    </row>
    <row r="2285" spans="1:11" ht="40.049999999999997" customHeight="1" x14ac:dyDescent="0.25">
      <c r="A2285" s="11" t="s">
        <v>4982</v>
      </c>
      <c r="B2285" s="11" t="s">
        <v>4983</v>
      </c>
      <c r="C2285" s="11" t="s">
        <v>59</v>
      </c>
      <c r="D2285" s="11" t="s">
        <v>60</v>
      </c>
      <c r="E2285" s="12" t="s">
        <v>299</v>
      </c>
      <c r="F2285" s="12" t="s">
        <v>300</v>
      </c>
      <c r="G2285" s="12" t="s">
        <v>29</v>
      </c>
      <c r="H2285" s="11" t="s">
        <v>63</v>
      </c>
      <c r="I2285" s="13" t="s">
        <v>4984</v>
      </c>
      <c r="J2285" s="14" t="str">
        <f>HYPERLINK("https://www.boe.es/gazeta/dias/1839/02/14/pdfs/GMD-1839-1552.pdf#page=1","Abrir facsímil")</f>
        <v>Abrir facsímil</v>
      </c>
      <c r="K2285" s="12" t="s">
        <v>65</v>
      </c>
    </row>
    <row r="2286" spans="1:11" ht="40.049999999999997" customHeight="1" x14ac:dyDescent="0.25">
      <c r="A2286" s="11" t="s">
        <v>4985</v>
      </c>
      <c r="B2286" s="11" t="s">
        <v>4985</v>
      </c>
      <c r="C2286" s="11" t="s">
        <v>17</v>
      </c>
      <c r="D2286" s="11" t="s">
        <v>18</v>
      </c>
      <c r="E2286" s="12" t="s">
        <v>561</v>
      </c>
      <c r="F2286" s="12" t="s">
        <v>562</v>
      </c>
      <c r="G2286" s="12" t="s">
        <v>40</v>
      </c>
      <c r="H2286" s="11" t="s">
        <v>63</v>
      </c>
      <c r="I2286" s="13" t="s">
        <v>4986</v>
      </c>
      <c r="J2286" s="14" t="str">
        <f>HYPERLINK("https://www.boe.es/gazeta/dias/1839/09/11/pdfs/GMD-1839-1764.pdf#page=2","Abrir facsímil")</f>
        <v>Abrir facsímil</v>
      </c>
      <c r="K2286" s="12" t="s">
        <v>65</v>
      </c>
    </row>
    <row r="2287" spans="1:11" ht="40.049999999999997" customHeight="1" x14ac:dyDescent="0.25">
      <c r="A2287" s="11" t="s">
        <v>4987</v>
      </c>
      <c r="B2287" s="11" t="s">
        <v>4988</v>
      </c>
      <c r="C2287" s="11" t="s">
        <v>17</v>
      </c>
      <c r="D2287" s="11" t="s">
        <v>18</v>
      </c>
      <c r="E2287" s="12" t="s">
        <v>756</v>
      </c>
      <c r="F2287" s="12" t="s">
        <v>757</v>
      </c>
      <c r="G2287" s="12" t="s">
        <v>29</v>
      </c>
      <c r="H2287" s="11" t="s">
        <v>63</v>
      </c>
      <c r="I2287" s="13" t="s">
        <v>4989</v>
      </c>
      <c r="J2287" s="14" t="str">
        <f>HYPERLINK("https://www.boe.es/gazeta/dias/1839/12/17/pdfs/GMD-1839-1864.pdf#page=1","Abrir facsímil")</f>
        <v>Abrir facsímil</v>
      </c>
      <c r="K2287" s="12" t="s">
        <v>65</v>
      </c>
    </row>
    <row r="2288" spans="1:11" ht="40.049999999999997" customHeight="1" x14ac:dyDescent="0.25">
      <c r="A2288" s="11" t="s">
        <v>4990</v>
      </c>
      <c r="B2288" s="11" t="s">
        <v>4991</v>
      </c>
      <c r="C2288" s="11" t="s">
        <v>17</v>
      </c>
      <c r="D2288" s="11" t="s">
        <v>43</v>
      </c>
      <c r="E2288" s="12" t="s">
        <v>507</v>
      </c>
      <c r="F2288" s="12" t="s">
        <v>508</v>
      </c>
      <c r="G2288" s="12" t="s">
        <v>21</v>
      </c>
      <c r="H2288" s="11" t="s">
        <v>63</v>
      </c>
      <c r="I2288" s="13" t="s">
        <v>4992</v>
      </c>
      <c r="J2288" s="14" t="str">
        <f>HYPERLINK("https://www.boe.es/gazeta/dias/1839/08/12/pdfs/GMD-1839-1732.pdf#page=4","Abrir facsímil")</f>
        <v>Abrir facsímil</v>
      </c>
      <c r="K2288" s="12" t="s">
        <v>65</v>
      </c>
    </row>
    <row r="2289" spans="1:11" ht="40.049999999999997" customHeight="1" x14ac:dyDescent="0.25">
      <c r="A2289" s="11" t="s">
        <v>4993</v>
      </c>
      <c r="B2289" s="11" t="s">
        <v>4993</v>
      </c>
      <c r="C2289" s="11" t="s">
        <v>59</v>
      </c>
      <c r="D2289" s="11" t="s">
        <v>60</v>
      </c>
      <c r="E2289" s="12" t="s">
        <v>38</v>
      </c>
      <c r="F2289" s="12" t="s">
        <v>39</v>
      </c>
      <c r="G2289" s="12" t="s">
        <v>29</v>
      </c>
      <c r="H2289" s="11" t="s">
        <v>63</v>
      </c>
      <c r="I2289" s="13" t="s">
        <v>4994</v>
      </c>
      <c r="J2289" s="14" t="str">
        <f>HYPERLINK("https://www.boe.es/gazeta/dias/1839/08/08/pdfs/GMD-1839-1728.pdf#page=1","Abrir facsímil")</f>
        <v>Abrir facsímil</v>
      </c>
      <c r="K2289" s="12" t="s">
        <v>65</v>
      </c>
    </row>
    <row r="2290" spans="1:11" ht="40.049999999999997" customHeight="1" x14ac:dyDescent="0.25">
      <c r="A2290" s="11" t="s">
        <v>4995</v>
      </c>
      <c r="B2290" s="11" t="s">
        <v>4995</v>
      </c>
      <c r="C2290" s="11" t="s">
        <v>137</v>
      </c>
      <c r="D2290" s="11" t="s">
        <v>18</v>
      </c>
      <c r="E2290" s="12" t="s">
        <v>138</v>
      </c>
      <c r="F2290" s="12" t="s">
        <v>139</v>
      </c>
      <c r="G2290" s="12" t="s">
        <v>29</v>
      </c>
      <c r="H2290" s="11" t="s">
        <v>63</v>
      </c>
      <c r="I2290" s="13" t="s">
        <v>4996</v>
      </c>
      <c r="J2290" s="14" t="str">
        <f>HYPERLINK("https://www.boe.es/gazeta/dias/1839/10/09/pdfs/GMD-1839-1795.pdf#page=1","Abrir facsímil")</f>
        <v>Abrir facsímil</v>
      </c>
      <c r="K2290" s="12" t="s">
        <v>65</v>
      </c>
    </row>
    <row r="2291" spans="1:11" ht="40.049999999999997" customHeight="1" x14ac:dyDescent="0.25">
      <c r="A2291" s="11" t="s">
        <v>4997</v>
      </c>
      <c r="B2291" s="11" t="s">
        <v>4998</v>
      </c>
      <c r="C2291" s="11" t="s">
        <v>17</v>
      </c>
      <c r="D2291" s="11" t="s">
        <v>18</v>
      </c>
      <c r="E2291" s="12" t="s">
        <v>1623</v>
      </c>
      <c r="F2291" s="12" t="s">
        <v>1624</v>
      </c>
      <c r="G2291" s="12" t="s">
        <v>40</v>
      </c>
      <c r="H2291" s="11" t="s">
        <v>22</v>
      </c>
      <c r="I2291" s="13" t="s">
        <v>4999</v>
      </c>
      <c r="J2291" s="14" t="str">
        <f>HYPERLINK("https://www.boe.es/gazeta/dias/1839/04/07/pdfs/GMD-1839-1604.pdf#page=2","Abrir facsímil")</f>
        <v>Abrir facsímil</v>
      </c>
      <c r="K2291" s="12" t="s">
        <v>24</v>
      </c>
    </row>
    <row r="2292" spans="1:11" ht="40.049999999999997" customHeight="1" x14ac:dyDescent="0.25">
      <c r="A2292" s="11" t="s">
        <v>5000</v>
      </c>
      <c r="B2292" s="11" t="s">
        <v>5000</v>
      </c>
      <c r="C2292" s="11" t="s">
        <v>17</v>
      </c>
      <c r="D2292" s="11" t="s">
        <v>18</v>
      </c>
      <c r="E2292" s="12" t="s">
        <v>834</v>
      </c>
      <c r="F2292" s="12" t="s">
        <v>835</v>
      </c>
      <c r="G2292" s="12" t="s">
        <v>21</v>
      </c>
      <c r="H2292" s="11" t="s">
        <v>63</v>
      </c>
      <c r="I2292" s="13" t="s">
        <v>5001</v>
      </c>
      <c r="J2292" s="14" t="str">
        <f>HYPERLINK("https://www.boe.es/gazeta/dias/1839/08/17/pdfs/GMD-1839-1737.pdf#page=4","Abrir facsímil")</f>
        <v>Abrir facsímil</v>
      </c>
      <c r="K2292" s="12" t="s">
        <v>65</v>
      </c>
    </row>
    <row r="2293" spans="1:11" ht="40.049999999999997" customHeight="1" x14ac:dyDescent="0.25">
      <c r="A2293" s="11" t="s">
        <v>5002</v>
      </c>
      <c r="B2293" s="11" t="s">
        <v>5003</v>
      </c>
      <c r="C2293" s="11" t="s">
        <v>17</v>
      </c>
      <c r="D2293" s="11" t="s">
        <v>18</v>
      </c>
      <c r="E2293" s="12" t="s">
        <v>486</v>
      </c>
      <c r="F2293" s="12" t="s">
        <v>487</v>
      </c>
      <c r="G2293" s="12" t="s">
        <v>21</v>
      </c>
      <c r="H2293" s="11" t="s">
        <v>22</v>
      </c>
      <c r="I2293" s="13" t="s">
        <v>5004</v>
      </c>
      <c r="J2293" s="14" t="str">
        <f>HYPERLINK("https://www.boe.es/gazeta/dias/1839/04/19/pdfs/GMD-1839-1616.pdf#page=4","Abrir facsímil")</f>
        <v>Abrir facsímil</v>
      </c>
      <c r="K2293" s="12" t="s">
        <v>24</v>
      </c>
    </row>
    <row r="2294" spans="1:11" ht="40.049999999999997" customHeight="1" x14ac:dyDescent="0.25">
      <c r="A2294" s="11" t="s">
        <v>5005</v>
      </c>
      <c r="B2294" s="11" t="s">
        <v>5005</v>
      </c>
      <c r="C2294" s="11" t="s">
        <v>137</v>
      </c>
      <c r="D2294" s="11" t="s">
        <v>18</v>
      </c>
      <c r="E2294" s="12" t="s">
        <v>3391</v>
      </c>
      <c r="F2294" s="12" t="s">
        <v>3392</v>
      </c>
      <c r="G2294" s="12" t="s">
        <v>46</v>
      </c>
      <c r="H2294" s="11" t="s">
        <v>63</v>
      </c>
      <c r="I2294" s="13" t="s">
        <v>5006</v>
      </c>
      <c r="J2294" s="14" t="str">
        <f>HYPERLINK("https://www.boe.es/gazeta/dias/1839/12/31/pdfs/GMD-1839-1878.pdf#page=3","Abrir facsímil")</f>
        <v>Abrir facsímil</v>
      </c>
      <c r="K2294" s="12" t="s">
        <v>65</v>
      </c>
    </row>
    <row r="2295" spans="1:11" ht="40.049999999999997" customHeight="1" x14ac:dyDescent="0.25">
      <c r="A2295" s="11" t="s">
        <v>5007</v>
      </c>
      <c r="B2295" s="11" t="s">
        <v>5007</v>
      </c>
      <c r="C2295" s="11" t="s">
        <v>17</v>
      </c>
      <c r="D2295" s="11" t="s">
        <v>18</v>
      </c>
      <c r="E2295" s="12" t="s">
        <v>574</v>
      </c>
      <c r="F2295" s="12" t="s">
        <v>575</v>
      </c>
      <c r="G2295" s="12" t="s">
        <v>40</v>
      </c>
      <c r="H2295" s="11" t="s">
        <v>63</v>
      </c>
      <c r="I2295" s="13" t="s">
        <v>5008</v>
      </c>
      <c r="J2295" s="14" t="str">
        <f>HYPERLINK("https://www.boe.es/gazeta/dias/1839/09/28/pdfs/GMD-1839-1784.pdf#page=2","Abrir facsímil")</f>
        <v>Abrir facsímil</v>
      </c>
      <c r="K2295" s="12" t="s">
        <v>65</v>
      </c>
    </row>
    <row r="2296" spans="1:11" ht="40.049999999999997" customHeight="1" x14ac:dyDescent="0.25">
      <c r="A2296" s="11" t="s">
        <v>5009</v>
      </c>
      <c r="B2296" s="11" t="s">
        <v>5009</v>
      </c>
      <c r="C2296" s="11" t="s">
        <v>59</v>
      </c>
      <c r="D2296" s="11" t="s">
        <v>60</v>
      </c>
      <c r="E2296" s="12" t="s">
        <v>1374</v>
      </c>
      <c r="F2296" s="12" t="s">
        <v>1375</v>
      </c>
      <c r="G2296" s="12" t="s">
        <v>40</v>
      </c>
      <c r="H2296" s="11" t="s">
        <v>63</v>
      </c>
      <c r="I2296" s="13" t="s">
        <v>5010</v>
      </c>
      <c r="J2296" s="14" t="str">
        <f>HYPERLINK("https://www.boe.es/gazeta/dias/1839/07/20/pdfs/GMD-1839-1708.pdf#page=2","Abrir facsímil")</f>
        <v>Abrir facsímil</v>
      </c>
      <c r="K2296" s="12" t="s">
        <v>65</v>
      </c>
    </row>
    <row r="2297" spans="1:11" ht="40.049999999999997" customHeight="1" x14ac:dyDescent="0.25">
      <c r="A2297" s="11" t="s">
        <v>5011</v>
      </c>
      <c r="B2297" s="11" t="s">
        <v>5011</v>
      </c>
      <c r="C2297" s="11" t="s">
        <v>59</v>
      </c>
      <c r="D2297" s="11" t="s">
        <v>60</v>
      </c>
      <c r="E2297" s="12" t="s">
        <v>775</v>
      </c>
      <c r="F2297" s="12" t="s">
        <v>776</v>
      </c>
      <c r="G2297" s="12" t="s">
        <v>40</v>
      </c>
      <c r="H2297" s="11" t="s">
        <v>63</v>
      </c>
      <c r="I2297" s="13" t="s">
        <v>5012</v>
      </c>
      <c r="J2297" s="14" t="str">
        <f>HYPERLINK("https://www.boe.es/gazeta/dias/1839/02/25/pdfs/GMD-1839-1563.pdf#page=2","Abrir facsímil")</f>
        <v>Abrir facsímil</v>
      </c>
      <c r="K2297" s="12" t="s">
        <v>65</v>
      </c>
    </row>
    <row r="2298" spans="1:11" ht="40.049999999999997" customHeight="1" x14ac:dyDescent="0.25">
      <c r="A2298" s="11" t="s">
        <v>5013</v>
      </c>
      <c r="B2298" s="11" t="s">
        <v>5014</v>
      </c>
      <c r="C2298" s="11" t="s">
        <v>101</v>
      </c>
      <c r="D2298" s="11" t="s">
        <v>102</v>
      </c>
      <c r="E2298" s="12" t="s">
        <v>243</v>
      </c>
      <c r="F2298" s="12" t="s">
        <v>244</v>
      </c>
      <c r="G2298" s="12" t="s">
        <v>46</v>
      </c>
      <c r="H2298" s="11" t="s">
        <v>22</v>
      </c>
      <c r="I2298" s="13" t="s">
        <v>5015</v>
      </c>
      <c r="J2298" s="14" t="str">
        <f>HYPERLINK("https://www.boe.es/gazeta/dias/1839/09/23/pdfs/GMD-1839-1779.pdf#page=3","Abrir facsímil")</f>
        <v>Abrir facsímil</v>
      </c>
      <c r="K2298" s="12" t="s">
        <v>24</v>
      </c>
    </row>
    <row r="2299" spans="1:11" ht="40.049999999999997" customHeight="1" x14ac:dyDescent="0.25">
      <c r="A2299" s="11" t="s">
        <v>5016</v>
      </c>
      <c r="B2299" s="11" t="s">
        <v>5017</v>
      </c>
      <c r="C2299" s="11" t="s">
        <v>17</v>
      </c>
      <c r="D2299" s="11" t="s">
        <v>18</v>
      </c>
      <c r="E2299" s="12" t="s">
        <v>1183</v>
      </c>
      <c r="F2299" s="12" t="s">
        <v>1184</v>
      </c>
      <c r="G2299" s="12" t="s">
        <v>21</v>
      </c>
      <c r="H2299" s="11" t="s">
        <v>63</v>
      </c>
      <c r="I2299" s="13" t="s">
        <v>5018</v>
      </c>
      <c r="J2299" s="14" t="str">
        <f>HYPERLINK("https://www.boe.es/gazeta/dias/1839/07/26/pdfs/GMD-1839-1715.pdf#page=4","Abrir facsímil")</f>
        <v>Abrir facsímil</v>
      </c>
      <c r="K2299" s="12" t="s">
        <v>65</v>
      </c>
    </row>
    <row r="2300" spans="1:11" ht="40.049999999999997" customHeight="1" x14ac:dyDescent="0.25">
      <c r="A2300" s="11" t="s">
        <v>5019</v>
      </c>
      <c r="B2300" s="11" t="s">
        <v>5020</v>
      </c>
      <c r="C2300" s="11" t="s">
        <v>59</v>
      </c>
      <c r="D2300" s="11" t="s">
        <v>60</v>
      </c>
      <c r="E2300" s="12" t="s">
        <v>1474</v>
      </c>
      <c r="F2300" s="12" t="s">
        <v>1475</v>
      </c>
      <c r="G2300" s="12" t="s">
        <v>21</v>
      </c>
      <c r="H2300" s="11" t="s">
        <v>63</v>
      </c>
      <c r="I2300" s="13" t="s">
        <v>5021</v>
      </c>
      <c r="J2300" s="14" t="str">
        <f>HYPERLINK("https://www.boe.es/gazeta/dias/1839/02/28/pdfs/GMD-1839-1566.pdf#page=4","Abrir facsímil")</f>
        <v>Abrir facsímil</v>
      </c>
      <c r="K2300" s="12" t="s">
        <v>65</v>
      </c>
    </row>
    <row r="2301" spans="1:11" ht="40.049999999999997" customHeight="1" x14ac:dyDescent="0.25">
      <c r="A2301" s="11" t="s">
        <v>5022</v>
      </c>
      <c r="B2301" s="11" t="s">
        <v>5023</v>
      </c>
      <c r="C2301" s="11" t="s">
        <v>101</v>
      </c>
      <c r="D2301" s="11" t="s">
        <v>43</v>
      </c>
      <c r="E2301" s="12" t="s">
        <v>571</v>
      </c>
      <c r="F2301" s="12" t="s">
        <v>572</v>
      </c>
      <c r="G2301" s="12" t="s">
        <v>46</v>
      </c>
      <c r="H2301" s="11" t="s">
        <v>63</v>
      </c>
      <c r="I2301" s="13" t="s">
        <v>5024</v>
      </c>
      <c r="J2301" s="14" t="str">
        <f>HYPERLINK("https://www.boe.es/gazeta/dias/1839/09/27/pdfs/GMD-1839-1783.pdf#page=3","Abrir facsímil")</f>
        <v>Abrir facsímil</v>
      </c>
      <c r="K2301" s="12" t="s">
        <v>65</v>
      </c>
    </row>
    <row r="2302" spans="1:11" ht="40.049999999999997" customHeight="1" x14ac:dyDescent="0.25">
      <c r="A2302" s="11" t="s">
        <v>5025</v>
      </c>
      <c r="B2302" s="11" t="s">
        <v>5026</v>
      </c>
      <c r="C2302" s="11" t="s">
        <v>80</v>
      </c>
      <c r="D2302" s="11" t="s">
        <v>18</v>
      </c>
      <c r="E2302" s="12" t="s">
        <v>2851</v>
      </c>
      <c r="F2302" s="12" t="s">
        <v>2852</v>
      </c>
      <c r="G2302" s="12" t="s">
        <v>29</v>
      </c>
      <c r="H2302" s="11" t="s">
        <v>63</v>
      </c>
      <c r="I2302" s="13" t="s">
        <v>5027</v>
      </c>
      <c r="J2302" s="14" t="str">
        <f>HYPERLINK("https://www.boe.es/gazeta/dias/1839/05/16/pdfs/GMD-1839-1643.pdf#page=1","Abrir facsímil")</f>
        <v>Abrir facsímil</v>
      </c>
      <c r="K2302" s="12" t="s">
        <v>65</v>
      </c>
    </row>
    <row r="2303" spans="1:11" ht="40.049999999999997" customHeight="1" x14ac:dyDescent="0.25">
      <c r="A2303" s="11" t="s">
        <v>5028</v>
      </c>
      <c r="B2303" s="11" t="s">
        <v>5028</v>
      </c>
      <c r="C2303" s="11" t="s">
        <v>137</v>
      </c>
      <c r="D2303" s="11" t="s">
        <v>18</v>
      </c>
      <c r="E2303" s="12" t="s">
        <v>1588</v>
      </c>
      <c r="F2303" s="12" t="s">
        <v>1589</v>
      </c>
      <c r="G2303" s="12" t="s">
        <v>40</v>
      </c>
      <c r="H2303" s="11" t="s">
        <v>63</v>
      </c>
      <c r="I2303" s="13" t="s">
        <v>5029</v>
      </c>
      <c r="J2303" s="14" t="str">
        <f>HYPERLINK("https://www.boe.es/gazeta/dias/1839/07/27/pdfs/GMD-1839-1716.pdf#page=2","Abrir facsímil")</f>
        <v>Abrir facsímil</v>
      </c>
      <c r="K2303" s="12" t="s">
        <v>65</v>
      </c>
    </row>
    <row r="2304" spans="1:11" ht="40.049999999999997" customHeight="1" x14ac:dyDescent="0.25">
      <c r="A2304" s="11" t="s">
        <v>5028</v>
      </c>
      <c r="B2304" s="11" t="s">
        <v>5028</v>
      </c>
      <c r="C2304" s="11" t="s">
        <v>17</v>
      </c>
      <c r="D2304" s="11" t="s">
        <v>18</v>
      </c>
      <c r="E2304" s="12" t="s">
        <v>287</v>
      </c>
      <c r="F2304" s="12" t="s">
        <v>288</v>
      </c>
      <c r="G2304" s="12" t="s">
        <v>29</v>
      </c>
      <c r="H2304" s="11" t="s">
        <v>63</v>
      </c>
      <c r="I2304" s="13" t="s">
        <v>5030</v>
      </c>
      <c r="J2304" s="14" t="str">
        <f>HYPERLINK("https://www.boe.es/gazeta/dias/1839/11/27/pdfs/GMD-1839-1844.pdf#page=1","Abrir facsímil")</f>
        <v>Abrir facsímil</v>
      </c>
      <c r="K2304" s="12" t="s">
        <v>65</v>
      </c>
    </row>
    <row r="2305" spans="1:11" ht="40.049999999999997" customHeight="1" x14ac:dyDescent="0.25">
      <c r="A2305" s="11" t="s">
        <v>5031</v>
      </c>
      <c r="B2305" s="11" t="s">
        <v>5031</v>
      </c>
      <c r="C2305" s="11" t="s">
        <v>80</v>
      </c>
      <c r="D2305" s="11" t="s">
        <v>18</v>
      </c>
      <c r="E2305" s="12" t="s">
        <v>1123</v>
      </c>
      <c r="F2305" s="12" t="s">
        <v>1124</v>
      </c>
      <c r="G2305" s="12" t="s">
        <v>40</v>
      </c>
      <c r="H2305" s="11" t="s">
        <v>63</v>
      </c>
      <c r="I2305" s="13" t="s">
        <v>5032</v>
      </c>
      <c r="J2305" s="14" t="str">
        <f>HYPERLINK("https://www.boe.es/gazeta/dias/1839/08/10/pdfs/GMD-1839-1730.pdf#page=2","Abrir facsímil")</f>
        <v>Abrir facsímil</v>
      </c>
      <c r="K2305" s="12" t="s">
        <v>65</v>
      </c>
    </row>
    <row r="2306" spans="1:11" ht="40.049999999999997" customHeight="1" x14ac:dyDescent="0.25">
      <c r="A2306" s="11" t="s">
        <v>5033</v>
      </c>
      <c r="B2306" s="11" t="s">
        <v>5034</v>
      </c>
      <c r="C2306" s="11" t="s">
        <v>80</v>
      </c>
      <c r="D2306" s="11" t="s">
        <v>18</v>
      </c>
      <c r="E2306" s="12" t="s">
        <v>907</v>
      </c>
      <c r="F2306" s="12" t="s">
        <v>908</v>
      </c>
      <c r="G2306" s="12" t="s">
        <v>21</v>
      </c>
      <c r="H2306" s="11" t="s">
        <v>63</v>
      </c>
      <c r="I2306" s="13" t="s">
        <v>5035</v>
      </c>
      <c r="J2306" s="14" t="str">
        <f>HYPERLINK("https://www.boe.es/gazeta/dias/1839/07/31/pdfs/GMD-1839-1720.pdf#page=4","Abrir facsímil")</f>
        <v>Abrir facsímil</v>
      </c>
      <c r="K2306" s="12" t="s">
        <v>65</v>
      </c>
    </row>
    <row r="2307" spans="1:11" ht="40.049999999999997" customHeight="1" x14ac:dyDescent="0.25">
      <c r="A2307" s="11" t="s">
        <v>5036</v>
      </c>
      <c r="B2307" s="11" t="s">
        <v>5036</v>
      </c>
      <c r="C2307" s="11" t="s">
        <v>17</v>
      </c>
      <c r="D2307" s="11" t="s">
        <v>18</v>
      </c>
      <c r="E2307" s="12" t="s">
        <v>713</v>
      </c>
      <c r="F2307" s="12" t="s">
        <v>714</v>
      </c>
      <c r="G2307" s="12" t="s">
        <v>46</v>
      </c>
      <c r="H2307" s="11" t="s">
        <v>63</v>
      </c>
      <c r="I2307" s="13" t="s">
        <v>5037</v>
      </c>
      <c r="J2307" s="14" t="str">
        <f>HYPERLINK("https://www.boe.es/gazeta/dias/1839/12/18/pdfs/GMD-1839-1865.pdf#page=3","Abrir facsímil")</f>
        <v>Abrir facsímil</v>
      </c>
      <c r="K2307" s="12" t="s">
        <v>65</v>
      </c>
    </row>
    <row r="2308" spans="1:11" ht="40.049999999999997" customHeight="1" x14ac:dyDescent="0.25">
      <c r="A2308" s="11" t="s">
        <v>5038</v>
      </c>
      <c r="B2308" s="11" t="s">
        <v>5038</v>
      </c>
      <c r="C2308" s="11" t="s">
        <v>101</v>
      </c>
      <c r="D2308" s="11" t="s">
        <v>43</v>
      </c>
      <c r="E2308" s="12" t="s">
        <v>1929</v>
      </c>
      <c r="F2308" s="12" t="s">
        <v>1930</v>
      </c>
      <c r="G2308" s="12" t="s">
        <v>46</v>
      </c>
      <c r="H2308" s="11" t="s">
        <v>63</v>
      </c>
      <c r="I2308" s="13" t="s">
        <v>5039</v>
      </c>
      <c r="J2308" s="14" t="str">
        <f>HYPERLINK("https://www.boe.es/gazeta/dias/1839/02/01/pdfs/GMD-1839-1539.pdf#page=3","Abrir facsímil")</f>
        <v>Abrir facsímil</v>
      </c>
      <c r="K2308" s="12" t="s">
        <v>65</v>
      </c>
    </row>
    <row r="2309" spans="1:11" ht="40.049999999999997" customHeight="1" x14ac:dyDescent="0.25">
      <c r="A2309" s="11" t="s">
        <v>5040</v>
      </c>
      <c r="B2309" s="11" t="s">
        <v>5040</v>
      </c>
      <c r="C2309" s="11" t="s">
        <v>17</v>
      </c>
      <c r="D2309" s="11" t="s">
        <v>18</v>
      </c>
      <c r="E2309" s="12" t="s">
        <v>303</v>
      </c>
      <c r="F2309" s="12" t="s">
        <v>304</v>
      </c>
      <c r="G2309" s="12" t="s">
        <v>40</v>
      </c>
      <c r="H2309" s="11" t="s">
        <v>63</v>
      </c>
      <c r="I2309" s="13" t="s">
        <v>5041</v>
      </c>
      <c r="J2309" s="14" t="str">
        <f>HYPERLINK("https://www.boe.es/gazeta/dias/1839/10/06/pdfs/GMD-1839-1792.pdf#page=2","Abrir facsímil")</f>
        <v>Abrir facsímil</v>
      </c>
      <c r="K2309" s="12" t="s">
        <v>65</v>
      </c>
    </row>
    <row r="2310" spans="1:11" ht="40.049999999999997" customHeight="1" x14ac:dyDescent="0.25">
      <c r="A2310" s="11" t="s">
        <v>5042</v>
      </c>
      <c r="B2310" s="11" t="s">
        <v>5043</v>
      </c>
      <c r="C2310" s="11" t="s">
        <v>17</v>
      </c>
      <c r="D2310" s="11" t="s">
        <v>18</v>
      </c>
      <c r="E2310" s="12" t="s">
        <v>160</v>
      </c>
      <c r="F2310" s="12" t="s">
        <v>161</v>
      </c>
      <c r="G2310" s="12" t="s">
        <v>40</v>
      </c>
      <c r="H2310" s="11" t="s">
        <v>22</v>
      </c>
      <c r="I2310" s="13" t="s">
        <v>5044</v>
      </c>
      <c r="J2310" s="14" t="str">
        <f>HYPERLINK("https://www.boe.es/gazeta/dias/1839/01/10/pdfs/GMD-1839-1517.pdf#page=2","Abrir facsímil")</f>
        <v>Abrir facsímil</v>
      </c>
      <c r="K2310" s="12" t="s">
        <v>24</v>
      </c>
    </row>
    <row r="2311" spans="1:11" ht="40.049999999999997" customHeight="1" x14ac:dyDescent="0.25">
      <c r="A2311" s="11" t="s">
        <v>5042</v>
      </c>
      <c r="B2311" s="11" t="s">
        <v>5043</v>
      </c>
      <c r="C2311" s="11" t="s">
        <v>17</v>
      </c>
      <c r="D2311" s="11" t="s">
        <v>18</v>
      </c>
      <c r="E2311" s="12" t="s">
        <v>19</v>
      </c>
      <c r="F2311" s="12" t="s">
        <v>20</v>
      </c>
      <c r="G2311" s="12" t="s">
        <v>40</v>
      </c>
      <c r="H2311" s="11" t="s">
        <v>22</v>
      </c>
      <c r="I2311" s="13" t="s">
        <v>5045</v>
      </c>
      <c r="J2311" s="14" t="str">
        <f>HYPERLINK("https://www.boe.es/gazeta/dias/1839/01/19/pdfs/GMD-1839-1526.pdf#page=2","Abrir facsímil")</f>
        <v>Abrir facsímil</v>
      </c>
      <c r="K2311" s="12" t="s">
        <v>24</v>
      </c>
    </row>
    <row r="2312" spans="1:11" ht="40.049999999999997" customHeight="1" x14ac:dyDescent="0.25">
      <c r="A2312" s="11" t="s">
        <v>5046</v>
      </c>
      <c r="B2312" s="11" t="s">
        <v>5046</v>
      </c>
      <c r="C2312" s="11" t="s">
        <v>17</v>
      </c>
      <c r="D2312" s="11" t="s">
        <v>18</v>
      </c>
      <c r="E2312" s="12" t="s">
        <v>1100</v>
      </c>
      <c r="F2312" s="12" t="s">
        <v>1101</v>
      </c>
      <c r="G2312" s="12" t="s">
        <v>29</v>
      </c>
      <c r="H2312" s="11" t="s">
        <v>63</v>
      </c>
      <c r="I2312" s="13" t="s">
        <v>5047</v>
      </c>
      <c r="J2312" s="14" t="str">
        <f>HYPERLINK("https://www.boe.es/gazeta/dias/1839/09/13/pdfs/GMD-1839-1766.pdf#page=1","Abrir facsímil")</f>
        <v>Abrir facsímil</v>
      </c>
      <c r="K2312" s="12" t="s">
        <v>65</v>
      </c>
    </row>
    <row r="2313" spans="1:11" ht="40.049999999999997" customHeight="1" x14ac:dyDescent="0.25">
      <c r="A2313" s="11" t="s">
        <v>5046</v>
      </c>
      <c r="B2313" s="11" t="s">
        <v>5046</v>
      </c>
      <c r="C2313" s="11" t="s">
        <v>17</v>
      </c>
      <c r="D2313" s="11" t="s">
        <v>18</v>
      </c>
      <c r="E2313" s="12" t="s">
        <v>299</v>
      </c>
      <c r="F2313" s="12" t="s">
        <v>300</v>
      </c>
      <c r="G2313" s="12" t="s">
        <v>40</v>
      </c>
      <c r="H2313" s="11" t="s">
        <v>63</v>
      </c>
      <c r="I2313" s="13" t="s">
        <v>5048</v>
      </c>
      <c r="J2313" s="14" t="str">
        <f>HYPERLINK("https://www.boe.es/gazeta/dias/1839/02/14/pdfs/GMD-1839-1552.pdf#page=2","Abrir facsímil")</f>
        <v>Abrir facsímil</v>
      </c>
      <c r="K2313" s="12" t="s">
        <v>65</v>
      </c>
    </row>
    <row r="2314" spans="1:11" ht="40.049999999999997" customHeight="1" x14ac:dyDescent="0.25">
      <c r="A2314" s="11" t="s">
        <v>5046</v>
      </c>
      <c r="B2314" s="11" t="s">
        <v>5046</v>
      </c>
      <c r="C2314" s="11" t="s">
        <v>80</v>
      </c>
      <c r="D2314" s="11" t="s">
        <v>18</v>
      </c>
      <c r="E2314" s="12" t="s">
        <v>1703</v>
      </c>
      <c r="F2314" s="12" t="s">
        <v>1704</v>
      </c>
      <c r="G2314" s="12" t="s">
        <v>46</v>
      </c>
      <c r="H2314" s="11" t="s">
        <v>63</v>
      </c>
      <c r="I2314" s="13" t="s">
        <v>5049</v>
      </c>
      <c r="J2314" s="14" t="str">
        <f>HYPERLINK("https://www.boe.es/gazeta/dias/1839/01/21/pdfs/GMD-1839-1528.pdf#page=3","Abrir facsímil")</f>
        <v>Abrir facsímil</v>
      </c>
      <c r="K2314" s="12" t="s">
        <v>65</v>
      </c>
    </row>
    <row r="2315" spans="1:11" ht="40.049999999999997" customHeight="1" x14ac:dyDescent="0.25">
      <c r="A2315" s="11" t="s">
        <v>5050</v>
      </c>
      <c r="B2315" s="11" t="s">
        <v>5051</v>
      </c>
      <c r="C2315" s="11" t="s">
        <v>59</v>
      </c>
      <c r="D2315" s="11" t="s">
        <v>60</v>
      </c>
      <c r="E2315" s="12" t="s">
        <v>1685</v>
      </c>
      <c r="F2315" s="12" t="s">
        <v>1686</v>
      </c>
      <c r="G2315" s="12" t="s">
        <v>46</v>
      </c>
      <c r="H2315" s="11" t="s">
        <v>63</v>
      </c>
      <c r="I2315" s="13" t="s">
        <v>5052</v>
      </c>
      <c r="J2315" s="14" t="str">
        <f>HYPERLINK("https://www.boe.es/gazeta/dias/1839/04/27/pdfs/GMD-1839-1624.pdf#page=3","Abrir facsímil")</f>
        <v>Abrir facsímil</v>
      </c>
      <c r="K2315" s="12" t="s">
        <v>65</v>
      </c>
    </row>
    <row r="2316" spans="1:11" ht="40.049999999999997" customHeight="1" x14ac:dyDescent="0.25">
      <c r="A2316" s="11" t="s">
        <v>5053</v>
      </c>
      <c r="B2316" s="11" t="s">
        <v>5054</v>
      </c>
      <c r="C2316" s="11" t="s">
        <v>80</v>
      </c>
      <c r="D2316" s="11" t="s">
        <v>18</v>
      </c>
      <c r="E2316" s="12" t="s">
        <v>185</v>
      </c>
      <c r="F2316" s="12" t="s">
        <v>186</v>
      </c>
      <c r="G2316" s="12" t="s">
        <v>21</v>
      </c>
      <c r="H2316" s="11" t="s">
        <v>63</v>
      </c>
      <c r="I2316" s="13" t="s">
        <v>5055</v>
      </c>
      <c r="J2316" s="14" t="str">
        <f>HYPERLINK("https://www.boe.es/gazeta/dias/1839/01/15/pdfs/GMD-1839-1522.pdf#page=4","Abrir facsímil")</f>
        <v>Abrir facsímil</v>
      </c>
      <c r="K2316" s="12" t="s">
        <v>65</v>
      </c>
    </row>
    <row r="2317" spans="1:11" ht="40.049999999999997" customHeight="1" x14ac:dyDescent="0.25">
      <c r="A2317" s="11" t="s">
        <v>5056</v>
      </c>
      <c r="B2317" s="11" t="s">
        <v>5057</v>
      </c>
      <c r="C2317" s="11" t="s">
        <v>17</v>
      </c>
      <c r="D2317" s="11" t="s">
        <v>18</v>
      </c>
      <c r="E2317" s="12" t="s">
        <v>1012</v>
      </c>
      <c r="F2317" s="12" t="s">
        <v>1013</v>
      </c>
      <c r="G2317" s="12" t="s">
        <v>46</v>
      </c>
      <c r="H2317" s="11" t="s">
        <v>63</v>
      </c>
      <c r="I2317" s="13" t="s">
        <v>5058</v>
      </c>
      <c r="J2317" s="14" t="str">
        <f>HYPERLINK("https://www.boe.es/gazeta/dias/1839/11/22/pdfs/GMD-1839-1839.pdf#page=3","Abrir facsímil")</f>
        <v>Abrir facsímil</v>
      </c>
      <c r="K2317" s="12" t="s">
        <v>65</v>
      </c>
    </row>
    <row r="2318" spans="1:11" ht="40.049999999999997" customHeight="1" x14ac:dyDescent="0.25">
      <c r="A2318" s="11" t="s">
        <v>5059</v>
      </c>
      <c r="B2318" s="11" t="s">
        <v>5059</v>
      </c>
      <c r="C2318" s="11" t="s">
        <v>17</v>
      </c>
      <c r="D2318" s="11" t="s">
        <v>18</v>
      </c>
      <c r="E2318" s="12" t="s">
        <v>946</v>
      </c>
      <c r="F2318" s="12" t="s">
        <v>947</v>
      </c>
      <c r="G2318" s="12" t="s">
        <v>40</v>
      </c>
      <c r="H2318" s="11" t="s">
        <v>63</v>
      </c>
      <c r="I2318" s="13" t="s">
        <v>5060</v>
      </c>
      <c r="J2318" s="14" t="str">
        <f>HYPERLINK("https://www.boe.es/gazeta/dias/1839/04/15/pdfs/GMD-1839-1612.pdf#page=2","Abrir facsímil")</f>
        <v>Abrir facsímil</v>
      </c>
      <c r="K2318" s="12" t="s">
        <v>65</v>
      </c>
    </row>
    <row r="2319" spans="1:11" ht="40.049999999999997" customHeight="1" x14ac:dyDescent="0.25">
      <c r="A2319" s="11" t="s">
        <v>5061</v>
      </c>
      <c r="B2319" s="11" t="s">
        <v>5061</v>
      </c>
      <c r="C2319" s="11" t="s">
        <v>17</v>
      </c>
      <c r="D2319" s="11" t="s">
        <v>18</v>
      </c>
      <c r="E2319" s="12" t="s">
        <v>1019</v>
      </c>
      <c r="F2319" s="12" t="s">
        <v>1020</v>
      </c>
      <c r="G2319" s="12" t="s">
        <v>40</v>
      </c>
      <c r="H2319" s="11" t="s">
        <v>63</v>
      </c>
      <c r="I2319" s="13" t="s">
        <v>5062</v>
      </c>
      <c r="J2319" s="14" t="str">
        <f>HYPERLINK("https://www.boe.es/gazeta/dias/1839/07/15/pdfs/GMD-1839-1703.pdf#page=2","Abrir facsímil")</f>
        <v>Abrir facsímil</v>
      </c>
      <c r="K2319" s="12" t="s">
        <v>65</v>
      </c>
    </row>
    <row r="2320" spans="1:11" ht="40.049999999999997" customHeight="1" x14ac:dyDescent="0.25">
      <c r="A2320" s="11" t="s">
        <v>5063</v>
      </c>
      <c r="B2320" s="11" t="s">
        <v>5063</v>
      </c>
      <c r="C2320" s="11" t="s">
        <v>17</v>
      </c>
      <c r="D2320" s="11" t="s">
        <v>18</v>
      </c>
      <c r="E2320" s="12" t="s">
        <v>1512</v>
      </c>
      <c r="F2320" s="12" t="s">
        <v>1513</v>
      </c>
      <c r="G2320" s="12" t="s">
        <v>40</v>
      </c>
      <c r="H2320" s="11" t="s">
        <v>63</v>
      </c>
      <c r="I2320" s="13" t="s">
        <v>5064</v>
      </c>
      <c r="J2320" s="14" t="str">
        <f>HYPERLINK("https://www.boe.es/gazeta/dias/1839/04/13/pdfs/GMD-1839-1610.pdf#page=2","Abrir facsímil")</f>
        <v>Abrir facsímil</v>
      </c>
      <c r="K2320" s="12" t="s">
        <v>65</v>
      </c>
    </row>
    <row r="2321" spans="1:11" ht="40.049999999999997" customHeight="1" x14ac:dyDescent="0.25">
      <c r="A2321" s="11" t="s">
        <v>5065</v>
      </c>
      <c r="B2321" s="11" t="s">
        <v>5066</v>
      </c>
      <c r="C2321" s="11" t="s">
        <v>17</v>
      </c>
      <c r="D2321" s="11" t="s">
        <v>18</v>
      </c>
      <c r="E2321" s="12" t="s">
        <v>2415</v>
      </c>
      <c r="F2321" s="12" t="s">
        <v>2416</v>
      </c>
      <c r="G2321" s="12" t="s">
        <v>21</v>
      </c>
      <c r="H2321" s="11" t="s">
        <v>63</v>
      </c>
      <c r="I2321" s="13" t="s">
        <v>5067</v>
      </c>
      <c r="J2321" s="14" t="str">
        <f>HYPERLINK("https://www.boe.es/gazeta/dias/1839/12/22/pdfs/GMD-1839-1869.pdf#page=4","Abrir facsímil")</f>
        <v>Abrir facsímil</v>
      </c>
      <c r="K2321" s="12" t="s">
        <v>65</v>
      </c>
    </row>
    <row r="2322" spans="1:11" ht="40.049999999999997" customHeight="1" x14ac:dyDescent="0.25">
      <c r="A2322" s="11" t="s">
        <v>5068</v>
      </c>
      <c r="B2322" s="11" t="s">
        <v>5069</v>
      </c>
      <c r="C2322" s="11" t="s">
        <v>17</v>
      </c>
      <c r="D2322" s="11" t="s">
        <v>18</v>
      </c>
      <c r="E2322" s="12" t="s">
        <v>653</v>
      </c>
      <c r="F2322" s="12" t="s">
        <v>654</v>
      </c>
      <c r="G2322" s="12" t="s">
        <v>21</v>
      </c>
      <c r="H2322" s="11" t="s">
        <v>63</v>
      </c>
      <c r="I2322" s="13" t="s">
        <v>5070</v>
      </c>
      <c r="J2322" s="14" t="str">
        <f>HYPERLINK("https://www.boe.es/gazeta/dias/1839/10/31/pdfs/GMD-1839-1817.pdf#page=4","Abrir facsímil")</f>
        <v>Abrir facsímil</v>
      </c>
      <c r="K2322" s="12" t="s">
        <v>65</v>
      </c>
    </row>
    <row r="2323" spans="1:11" ht="40.049999999999997" customHeight="1" x14ac:dyDescent="0.25">
      <c r="A2323" s="11" t="s">
        <v>5071</v>
      </c>
      <c r="B2323" s="11" t="s">
        <v>5071</v>
      </c>
      <c r="C2323" s="11" t="s">
        <v>17</v>
      </c>
      <c r="D2323" s="11" t="s">
        <v>18</v>
      </c>
      <c r="E2323" s="12" t="s">
        <v>68</v>
      </c>
      <c r="F2323" s="12" t="s">
        <v>69</v>
      </c>
      <c r="G2323" s="12" t="s">
        <v>21</v>
      </c>
      <c r="H2323" s="11" t="s">
        <v>63</v>
      </c>
      <c r="I2323" s="13" t="s">
        <v>5072</v>
      </c>
      <c r="J2323" s="14" t="str">
        <f>HYPERLINK("https://www.boe.es/gazeta/dias/1839/02/09/pdfs/GMD-1839-1547.pdf#page=4","Abrir facsímil")</f>
        <v>Abrir facsímil</v>
      </c>
      <c r="K2323" s="12" t="s">
        <v>65</v>
      </c>
    </row>
    <row r="2324" spans="1:11" ht="40.049999999999997" customHeight="1" x14ac:dyDescent="0.25">
      <c r="A2324" s="11" t="s">
        <v>5073</v>
      </c>
      <c r="B2324" s="11" t="s">
        <v>5074</v>
      </c>
      <c r="C2324" s="11" t="s">
        <v>59</v>
      </c>
      <c r="D2324" s="11" t="s">
        <v>60</v>
      </c>
      <c r="E2324" s="12" t="s">
        <v>2320</v>
      </c>
      <c r="F2324" s="12" t="s">
        <v>2321</v>
      </c>
      <c r="G2324" s="12" t="s">
        <v>46</v>
      </c>
      <c r="H2324" s="11" t="s">
        <v>63</v>
      </c>
      <c r="I2324" s="13" t="s">
        <v>5075</v>
      </c>
      <c r="J2324" s="14" t="str">
        <f>HYPERLINK("https://www.boe.es/gazeta/dias/1839/11/13/pdfs/GMD-1839-1830.pdf#page=3","Abrir facsímil")</f>
        <v>Abrir facsímil</v>
      </c>
      <c r="K2324" s="12" t="s">
        <v>65</v>
      </c>
    </row>
    <row r="2325" spans="1:11" ht="40.049999999999997" customHeight="1" x14ac:dyDescent="0.25">
      <c r="A2325" s="11" t="s">
        <v>5076</v>
      </c>
      <c r="B2325" s="11" t="s">
        <v>5076</v>
      </c>
      <c r="C2325" s="11" t="s">
        <v>137</v>
      </c>
      <c r="D2325" s="11" t="s">
        <v>18</v>
      </c>
      <c r="E2325" s="12" t="s">
        <v>770</v>
      </c>
      <c r="F2325" s="12" t="s">
        <v>771</v>
      </c>
      <c r="G2325" s="12" t="s">
        <v>40</v>
      </c>
      <c r="H2325" s="11" t="s">
        <v>63</v>
      </c>
      <c r="I2325" s="13" t="s">
        <v>5077</v>
      </c>
      <c r="J2325" s="14" t="str">
        <f>HYPERLINK("https://www.boe.es/gazeta/dias/1839/12/05/pdfs/GMD-1839-1852.pdf#page=2","Abrir facsímil")</f>
        <v>Abrir facsímil</v>
      </c>
      <c r="K2325" s="12" t="s">
        <v>65</v>
      </c>
    </row>
    <row r="2326" spans="1:11" ht="40.049999999999997" customHeight="1" x14ac:dyDescent="0.25">
      <c r="A2326" s="11" t="s">
        <v>5076</v>
      </c>
      <c r="B2326" s="11" t="s">
        <v>5076</v>
      </c>
      <c r="C2326" s="11" t="s">
        <v>17</v>
      </c>
      <c r="D2326" s="11" t="s">
        <v>18</v>
      </c>
      <c r="E2326" s="12" t="s">
        <v>513</v>
      </c>
      <c r="F2326" s="12" t="s">
        <v>514</v>
      </c>
      <c r="G2326" s="12" t="s">
        <v>40</v>
      </c>
      <c r="H2326" s="11" t="s">
        <v>63</v>
      </c>
      <c r="I2326" s="13" t="s">
        <v>5078</v>
      </c>
      <c r="J2326" s="14" t="str">
        <f>HYPERLINK("https://www.boe.es/gazeta/dias/1839/03/17/pdfs/GMD-1839-1583.pdf#page=2","Abrir facsímil")</f>
        <v>Abrir facsímil</v>
      </c>
      <c r="K2326" s="12" t="s">
        <v>65</v>
      </c>
    </row>
    <row r="2327" spans="1:11" ht="40.049999999999997" customHeight="1" x14ac:dyDescent="0.25">
      <c r="A2327" s="11" t="s">
        <v>5079</v>
      </c>
      <c r="B2327" s="11" t="s">
        <v>5079</v>
      </c>
      <c r="C2327" s="11" t="s">
        <v>17</v>
      </c>
      <c r="D2327" s="11" t="s">
        <v>18</v>
      </c>
      <c r="E2327" s="12" t="s">
        <v>132</v>
      </c>
      <c r="F2327" s="12" t="s">
        <v>133</v>
      </c>
      <c r="G2327" s="12" t="s">
        <v>29</v>
      </c>
      <c r="H2327" s="11" t="s">
        <v>63</v>
      </c>
      <c r="I2327" s="13" t="s">
        <v>5080</v>
      </c>
      <c r="J2327" s="14" t="str">
        <f>HYPERLINK("https://www.boe.es/gazeta/dias/1839/08/02/pdfs/GMD-1839-1722.pdf#page=1","Abrir facsímil")</f>
        <v>Abrir facsímil</v>
      </c>
      <c r="K2327" s="12" t="s">
        <v>65</v>
      </c>
    </row>
    <row r="2328" spans="1:11" ht="40.049999999999997" customHeight="1" x14ac:dyDescent="0.25">
      <c r="A2328" s="11" t="s">
        <v>5081</v>
      </c>
      <c r="B2328" s="11" t="s">
        <v>5081</v>
      </c>
      <c r="C2328" s="11" t="s">
        <v>17</v>
      </c>
      <c r="D2328" s="11" t="s">
        <v>18</v>
      </c>
      <c r="E2328" s="12" t="s">
        <v>320</v>
      </c>
      <c r="F2328" s="12" t="s">
        <v>321</v>
      </c>
      <c r="G2328" s="12" t="s">
        <v>40</v>
      </c>
      <c r="H2328" s="11" t="s">
        <v>63</v>
      </c>
      <c r="I2328" s="13" t="s">
        <v>5082</v>
      </c>
      <c r="J2328" s="14" t="str">
        <f>HYPERLINK("https://www.boe.es/gazeta/dias/1839/05/11/pdfs/GMD-1839-1638.pdf#page=2","Abrir facsímil")</f>
        <v>Abrir facsímil</v>
      </c>
      <c r="K2328" s="12" t="s">
        <v>65</v>
      </c>
    </row>
    <row r="2329" spans="1:11" ht="40.049999999999997" customHeight="1" x14ac:dyDescent="0.25">
      <c r="A2329" s="11" t="s">
        <v>5083</v>
      </c>
      <c r="B2329" s="11" t="s">
        <v>5083</v>
      </c>
      <c r="C2329" s="11" t="s">
        <v>80</v>
      </c>
      <c r="D2329" s="11" t="s">
        <v>18</v>
      </c>
      <c r="E2329" s="12" t="s">
        <v>116</v>
      </c>
      <c r="F2329" s="12" t="s">
        <v>117</v>
      </c>
      <c r="G2329" s="12" t="s">
        <v>21</v>
      </c>
      <c r="H2329" s="11" t="s">
        <v>63</v>
      </c>
      <c r="I2329" s="13" t="s">
        <v>5084</v>
      </c>
      <c r="J2329" s="14" t="str">
        <f>HYPERLINK("https://www.boe.es/gazeta/dias/1839/10/10/pdfs/GMD-1839-1796.pdf#page=4","Abrir facsímil")</f>
        <v>Abrir facsímil</v>
      </c>
      <c r="K2329" s="12" t="s">
        <v>65</v>
      </c>
    </row>
    <row r="2330" spans="1:11" ht="40.049999999999997" customHeight="1" x14ac:dyDescent="0.25">
      <c r="A2330" s="11" t="s">
        <v>5085</v>
      </c>
      <c r="B2330" s="11" t="s">
        <v>5086</v>
      </c>
      <c r="C2330" s="11" t="s">
        <v>17</v>
      </c>
      <c r="D2330" s="11" t="s">
        <v>43</v>
      </c>
      <c r="E2330" s="12" t="s">
        <v>1144</v>
      </c>
      <c r="F2330" s="12" t="s">
        <v>1145</v>
      </c>
      <c r="G2330" s="12" t="s">
        <v>21</v>
      </c>
      <c r="H2330" s="11" t="s">
        <v>63</v>
      </c>
      <c r="I2330" s="13" t="s">
        <v>5087</v>
      </c>
      <c r="J2330" s="14" t="str">
        <f>HYPERLINK("https://www.boe.es/gazeta/dias/1839/08/13/pdfs/GMD-1839-1733.pdf#page=4","Abrir facsímil")</f>
        <v>Abrir facsímil</v>
      </c>
      <c r="K2330" s="12" t="s">
        <v>65</v>
      </c>
    </row>
    <row r="2331" spans="1:11" ht="40.049999999999997" customHeight="1" x14ac:dyDescent="0.25">
      <c r="A2331" s="11" t="s">
        <v>5088</v>
      </c>
      <c r="B2331" s="11" t="s">
        <v>5089</v>
      </c>
      <c r="C2331" s="11" t="s">
        <v>59</v>
      </c>
      <c r="D2331" s="11" t="s">
        <v>60</v>
      </c>
      <c r="E2331" s="12" t="s">
        <v>68</v>
      </c>
      <c r="F2331" s="12" t="s">
        <v>69</v>
      </c>
      <c r="G2331" s="12" t="s">
        <v>29</v>
      </c>
      <c r="H2331" s="11" t="s">
        <v>63</v>
      </c>
      <c r="I2331" s="13" t="s">
        <v>5090</v>
      </c>
      <c r="J2331" s="14" t="str">
        <f>HYPERLINK("https://www.boe.es/gazeta/dias/1839/02/09/pdfs/GMD-1839-1547.pdf#page=1","Abrir facsímil")</f>
        <v>Abrir facsímil</v>
      </c>
      <c r="K2331" s="12" t="s">
        <v>65</v>
      </c>
    </row>
    <row r="2332" spans="1:11" ht="40.049999999999997" customHeight="1" x14ac:dyDescent="0.25">
      <c r="A2332" s="11" t="s">
        <v>5091</v>
      </c>
      <c r="B2332" s="11" t="s">
        <v>5091</v>
      </c>
      <c r="C2332" s="11" t="s">
        <v>17</v>
      </c>
      <c r="D2332" s="11" t="s">
        <v>18</v>
      </c>
      <c r="E2332" s="12" t="s">
        <v>175</v>
      </c>
      <c r="F2332" s="12" t="s">
        <v>176</v>
      </c>
      <c r="G2332" s="12" t="s">
        <v>40</v>
      </c>
      <c r="H2332" s="11" t="s">
        <v>63</v>
      </c>
      <c r="I2332" s="13" t="s">
        <v>5092</v>
      </c>
      <c r="J2332" s="14" t="str">
        <f>HYPERLINK("https://www.boe.es/gazeta/dias/1839/01/16/pdfs/GMD-1839-1523.pdf#page=2","Abrir facsímil")</f>
        <v>Abrir facsímil</v>
      </c>
      <c r="K2332" s="12" t="s">
        <v>65</v>
      </c>
    </row>
    <row r="2333" spans="1:11" ht="40.049999999999997" customHeight="1" x14ac:dyDescent="0.25">
      <c r="A2333" s="11" t="s">
        <v>5093</v>
      </c>
      <c r="B2333" s="11" t="s">
        <v>5094</v>
      </c>
      <c r="C2333" s="11" t="s">
        <v>101</v>
      </c>
      <c r="D2333" s="11" t="s">
        <v>43</v>
      </c>
      <c r="E2333" s="12" t="s">
        <v>1395</v>
      </c>
      <c r="F2333" s="12" t="s">
        <v>1396</v>
      </c>
      <c r="G2333" s="12" t="s">
        <v>21</v>
      </c>
      <c r="H2333" s="11" t="s">
        <v>22</v>
      </c>
      <c r="I2333" s="13" t="s">
        <v>5095</v>
      </c>
      <c r="J2333" s="14" t="str">
        <f>HYPERLINK("https://www.boe.es/gazeta/dias/1839/06/26/pdfs/GMD-1839-1684.pdf#page=4","Abrir facsímil")</f>
        <v>Abrir facsímil</v>
      </c>
      <c r="K2333" s="12" t="s">
        <v>24</v>
      </c>
    </row>
    <row r="2334" spans="1:11" ht="40.049999999999997" customHeight="1" x14ac:dyDescent="0.25">
      <c r="A2334" s="11" t="s">
        <v>5096</v>
      </c>
      <c r="B2334" s="11" t="s">
        <v>5097</v>
      </c>
      <c r="C2334" s="11" t="s">
        <v>137</v>
      </c>
      <c r="D2334" s="11" t="s">
        <v>18</v>
      </c>
      <c r="E2334" s="12" t="s">
        <v>1012</v>
      </c>
      <c r="F2334" s="12" t="s">
        <v>1013</v>
      </c>
      <c r="G2334" s="12" t="s">
        <v>46</v>
      </c>
      <c r="H2334" s="11" t="s">
        <v>63</v>
      </c>
      <c r="I2334" s="13" t="s">
        <v>5098</v>
      </c>
      <c r="J2334" s="14" t="str">
        <f>HYPERLINK("https://www.boe.es/gazeta/dias/1839/11/22/pdfs/GMD-1839-1839.pdf#page=3","Abrir facsímil")</f>
        <v>Abrir facsímil</v>
      </c>
      <c r="K2334" s="12" t="s">
        <v>65</v>
      </c>
    </row>
    <row r="2335" spans="1:11" ht="40.049999999999997" customHeight="1" x14ac:dyDescent="0.25">
      <c r="A2335" s="11" t="s">
        <v>5099</v>
      </c>
      <c r="B2335" s="11" t="s">
        <v>5099</v>
      </c>
      <c r="C2335" s="11" t="s">
        <v>59</v>
      </c>
      <c r="D2335" s="11" t="s">
        <v>60</v>
      </c>
      <c r="E2335" s="12" t="s">
        <v>258</v>
      </c>
      <c r="F2335" s="12" t="s">
        <v>259</v>
      </c>
      <c r="G2335" s="12" t="s">
        <v>21</v>
      </c>
      <c r="H2335" s="11" t="s">
        <v>63</v>
      </c>
      <c r="I2335" s="13" t="s">
        <v>5100</v>
      </c>
      <c r="J2335" s="14" t="str">
        <f>HYPERLINK("https://www.boe.es/gazeta/dias/1839/01/02/pdfs/GMD-1839-1509.pdf#page=4","Abrir facsímil")</f>
        <v>Abrir facsímil</v>
      </c>
      <c r="K2335" s="12" t="s">
        <v>65</v>
      </c>
    </row>
    <row r="2336" spans="1:11" ht="40.049999999999997" customHeight="1" x14ac:dyDescent="0.25">
      <c r="A2336" s="11" t="s">
        <v>5101</v>
      </c>
      <c r="B2336" s="11" t="s">
        <v>5102</v>
      </c>
      <c r="C2336" s="11" t="s">
        <v>17</v>
      </c>
      <c r="D2336" s="11" t="s">
        <v>18</v>
      </c>
      <c r="E2336" s="12" t="s">
        <v>3766</v>
      </c>
      <c r="F2336" s="12" t="s">
        <v>3767</v>
      </c>
      <c r="G2336" s="12" t="s">
        <v>21</v>
      </c>
      <c r="H2336" s="11" t="s">
        <v>63</v>
      </c>
      <c r="I2336" s="13" t="s">
        <v>5103</v>
      </c>
      <c r="J2336" s="14" t="str">
        <f>HYPERLINK("https://www.boe.es/gazeta/dias/1839/06/10/pdfs/GMD-1839-1668.pdf#page=4","Abrir facsímil")</f>
        <v>Abrir facsímil</v>
      </c>
      <c r="K2336" s="12" t="s">
        <v>65</v>
      </c>
    </row>
    <row r="2337" spans="1:11" ht="40.049999999999997" customHeight="1" x14ac:dyDescent="0.25">
      <c r="A2337" s="11" t="s">
        <v>5104</v>
      </c>
      <c r="B2337" s="11" t="s">
        <v>5104</v>
      </c>
      <c r="C2337" s="11" t="s">
        <v>59</v>
      </c>
      <c r="D2337" s="11" t="s">
        <v>60</v>
      </c>
      <c r="E2337" s="12" t="s">
        <v>720</v>
      </c>
      <c r="F2337" s="12" t="s">
        <v>721</v>
      </c>
      <c r="G2337" s="12" t="s">
        <v>40</v>
      </c>
      <c r="H2337" s="11" t="s">
        <v>63</v>
      </c>
      <c r="I2337" s="13" t="s">
        <v>5105</v>
      </c>
      <c r="J2337" s="14" t="str">
        <f>HYPERLINK("https://www.boe.es/gazeta/dias/1839/01/14/pdfs/GMD-1839-1521.pdf#page=2","Abrir facsímil")</f>
        <v>Abrir facsímil</v>
      </c>
      <c r="K2337" s="12" t="s">
        <v>65</v>
      </c>
    </row>
    <row r="2338" spans="1:11" ht="40.049999999999997" customHeight="1" x14ac:dyDescent="0.25">
      <c r="A2338" s="11" t="s">
        <v>5106</v>
      </c>
      <c r="B2338" s="11" t="s">
        <v>5106</v>
      </c>
      <c r="C2338" s="11" t="s">
        <v>17</v>
      </c>
      <c r="D2338" s="11" t="s">
        <v>18</v>
      </c>
      <c r="E2338" s="12" t="s">
        <v>1284</v>
      </c>
      <c r="F2338" s="12" t="s">
        <v>1285</v>
      </c>
      <c r="G2338" s="12" t="s">
        <v>46</v>
      </c>
      <c r="H2338" s="11" t="s">
        <v>63</v>
      </c>
      <c r="I2338" s="13" t="s">
        <v>5107</v>
      </c>
      <c r="J2338" s="14" t="str">
        <f>HYPERLINK("https://www.boe.es/gazeta/dias/1839/03/27/pdfs/GMD-1839-1593.pdf#page=3","Abrir facsímil")</f>
        <v>Abrir facsímil</v>
      </c>
      <c r="K2338" s="12" t="s">
        <v>65</v>
      </c>
    </row>
    <row r="2339" spans="1:11" ht="40.049999999999997" customHeight="1" x14ac:dyDescent="0.25">
      <c r="A2339" s="11" t="s">
        <v>5108</v>
      </c>
      <c r="B2339" s="11" t="s">
        <v>5109</v>
      </c>
      <c r="C2339" s="11" t="s">
        <v>17</v>
      </c>
      <c r="D2339" s="11" t="s">
        <v>18</v>
      </c>
      <c r="E2339" s="12" t="s">
        <v>369</v>
      </c>
      <c r="F2339" s="12" t="s">
        <v>370</v>
      </c>
      <c r="G2339" s="12" t="s">
        <v>40</v>
      </c>
      <c r="H2339" s="11" t="s">
        <v>63</v>
      </c>
      <c r="I2339" s="13" t="s">
        <v>5110</v>
      </c>
      <c r="J2339" s="14" t="str">
        <f>HYPERLINK("https://www.boe.es/gazeta/dias/1839/11/01/pdfs/GMD-1839-1818.pdf#page=2","Abrir facsímil")</f>
        <v>Abrir facsímil</v>
      </c>
      <c r="K2339" s="12" t="s">
        <v>65</v>
      </c>
    </row>
    <row r="2340" spans="1:11" ht="40.049999999999997" customHeight="1" x14ac:dyDescent="0.25">
      <c r="A2340" s="11" t="s">
        <v>5111</v>
      </c>
      <c r="B2340" s="11" t="s">
        <v>5111</v>
      </c>
      <c r="C2340" s="11" t="s">
        <v>17</v>
      </c>
      <c r="D2340" s="11" t="s">
        <v>18</v>
      </c>
      <c r="E2340" s="12" t="s">
        <v>1692</v>
      </c>
      <c r="F2340" s="12" t="s">
        <v>1693</v>
      </c>
      <c r="G2340" s="12" t="s">
        <v>46</v>
      </c>
      <c r="H2340" s="11" t="s">
        <v>63</v>
      </c>
      <c r="I2340" s="13" t="s">
        <v>5112</v>
      </c>
      <c r="J2340" s="14" t="str">
        <f>HYPERLINK("https://www.boe.es/gazeta/dias/1839/05/30/pdfs/GMD-1839-1657.pdf#page=3","Abrir facsímil")</f>
        <v>Abrir facsímil</v>
      </c>
      <c r="K2340" s="12" t="s">
        <v>65</v>
      </c>
    </row>
    <row r="2341" spans="1:11" ht="40.049999999999997" customHeight="1" x14ac:dyDescent="0.25">
      <c r="A2341" s="11" t="s">
        <v>5113</v>
      </c>
      <c r="B2341" s="11" t="s">
        <v>5113</v>
      </c>
      <c r="C2341" s="11" t="s">
        <v>101</v>
      </c>
      <c r="D2341" s="11" t="s">
        <v>102</v>
      </c>
      <c r="E2341" s="12" t="s">
        <v>355</v>
      </c>
      <c r="F2341" s="12" t="s">
        <v>356</v>
      </c>
      <c r="G2341" s="12" t="s">
        <v>21</v>
      </c>
      <c r="H2341" s="11" t="s">
        <v>63</v>
      </c>
      <c r="I2341" s="13" t="s">
        <v>5114</v>
      </c>
      <c r="J2341" s="14" t="str">
        <f>HYPERLINK("https://www.boe.es/gazeta/dias/1839/05/31/pdfs/GMD-1839-1658.pdf#page=4","Abrir facsímil")</f>
        <v>Abrir facsímil</v>
      </c>
      <c r="K2341" s="12" t="s">
        <v>65</v>
      </c>
    </row>
    <row r="2342" spans="1:11" ht="40.049999999999997" customHeight="1" x14ac:dyDescent="0.25">
      <c r="A2342" s="11" t="s">
        <v>5115</v>
      </c>
      <c r="B2342" s="11" t="s">
        <v>5115</v>
      </c>
      <c r="C2342" s="11" t="s">
        <v>17</v>
      </c>
      <c r="D2342" s="11" t="s">
        <v>18</v>
      </c>
      <c r="E2342" s="12" t="s">
        <v>1692</v>
      </c>
      <c r="F2342" s="12" t="s">
        <v>1693</v>
      </c>
      <c r="G2342" s="12" t="s">
        <v>46</v>
      </c>
      <c r="H2342" s="11" t="s">
        <v>63</v>
      </c>
      <c r="I2342" s="13" t="s">
        <v>5116</v>
      </c>
      <c r="J2342" s="14" t="str">
        <f>HYPERLINK("https://www.boe.es/gazeta/dias/1839/05/30/pdfs/GMD-1839-1657.pdf#page=3","Abrir facsímil")</f>
        <v>Abrir facsímil</v>
      </c>
      <c r="K2342" s="12" t="s">
        <v>65</v>
      </c>
    </row>
    <row r="2343" spans="1:11" ht="40.049999999999997" customHeight="1" x14ac:dyDescent="0.25">
      <c r="A2343" s="11" t="s">
        <v>5117</v>
      </c>
      <c r="B2343" s="11" t="s">
        <v>5118</v>
      </c>
      <c r="C2343" s="11" t="s">
        <v>80</v>
      </c>
      <c r="D2343" s="11" t="s">
        <v>173</v>
      </c>
      <c r="E2343" s="12" t="s">
        <v>352</v>
      </c>
      <c r="F2343" s="12" t="s">
        <v>353</v>
      </c>
      <c r="G2343" s="12" t="s">
        <v>29</v>
      </c>
      <c r="H2343" s="11" t="s">
        <v>63</v>
      </c>
      <c r="I2343" s="13" t="s">
        <v>5119</v>
      </c>
      <c r="J2343" s="14" t="str">
        <f>HYPERLINK("https://www.boe.es/gazeta/dias/1839/03/30/pdfs/GMD-1839-1596.pdf#page=1","Abrir facsímil")</f>
        <v>Abrir facsímil</v>
      </c>
      <c r="K2343" s="12" t="s">
        <v>65</v>
      </c>
    </row>
    <row r="2344" spans="1:11" ht="40.049999999999997" customHeight="1" x14ac:dyDescent="0.25">
      <c r="A2344" s="11" t="s">
        <v>5120</v>
      </c>
      <c r="B2344" s="11" t="s">
        <v>5121</v>
      </c>
      <c r="C2344" s="11" t="s">
        <v>80</v>
      </c>
      <c r="D2344" s="11" t="s">
        <v>18</v>
      </c>
      <c r="E2344" s="12" t="s">
        <v>592</v>
      </c>
      <c r="F2344" s="12" t="s">
        <v>593</v>
      </c>
      <c r="G2344" s="12" t="s">
        <v>40</v>
      </c>
      <c r="H2344" s="11" t="s">
        <v>22</v>
      </c>
      <c r="I2344" s="13" t="s">
        <v>5122</v>
      </c>
      <c r="J2344" s="14" t="str">
        <f>HYPERLINK("https://www.boe.es/gazeta/dias/1839/09/14/pdfs/GMD-1839-1767.pdf#page=2","Abrir facsímil")</f>
        <v>Abrir facsímil</v>
      </c>
      <c r="K2344" s="12" t="s">
        <v>24</v>
      </c>
    </row>
    <row r="2345" spans="1:11" ht="40.049999999999997" customHeight="1" x14ac:dyDescent="0.25">
      <c r="A2345" s="11" t="s">
        <v>5123</v>
      </c>
      <c r="B2345" s="11" t="s">
        <v>5124</v>
      </c>
      <c r="C2345" s="11" t="s">
        <v>137</v>
      </c>
      <c r="D2345" s="11" t="s">
        <v>18</v>
      </c>
      <c r="E2345" s="12" t="s">
        <v>2349</v>
      </c>
      <c r="F2345" s="12" t="s">
        <v>2350</v>
      </c>
      <c r="G2345" s="12" t="s">
        <v>566</v>
      </c>
      <c r="H2345" s="11" t="s">
        <v>22</v>
      </c>
      <c r="I2345" s="13" t="s">
        <v>5125</v>
      </c>
      <c r="J2345" s="14" t="str">
        <f>HYPERLINK("https://www.boe.es/gazeta/dias/1839/09/29/pdfs/GMD-1839-1785.pdf#page=5","Abrir facsímil")</f>
        <v>Abrir facsímil</v>
      </c>
      <c r="K2345" s="12" t="s">
        <v>24</v>
      </c>
    </row>
    <row r="2346" spans="1:11" ht="40.049999999999997" customHeight="1" x14ac:dyDescent="0.25">
      <c r="A2346" s="11" t="s">
        <v>5126</v>
      </c>
      <c r="B2346" s="11" t="s">
        <v>5127</v>
      </c>
      <c r="C2346" s="11" t="s">
        <v>80</v>
      </c>
      <c r="D2346" s="11" t="s">
        <v>18</v>
      </c>
      <c r="E2346" s="12" t="s">
        <v>1528</v>
      </c>
      <c r="F2346" s="12" t="s">
        <v>1529</v>
      </c>
      <c r="G2346" s="12" t="s">
        <v>40</v>
      </c>
      <c r="H2346" s="11" t="s">
        <v>63</v>
      </c>
      <c r="I2346" s="13" t="s">
        <v>5128</v>
      </c>
      <c r="J2346" s="14" t="str">
        <f>HYPERLINK("https://www.boe.es/gazeta/dias/1839/12/15/pdfs/GMD-1839-1862.pdf#page=2","Abrir facsímil")</f>
        <v>Abrir facsímil</v>
      </c>
      <c r="K2346" s="12" t="s">
        <v>65</v>
      </c>
    </row>
    <row r="2347" spans="1:11" ht="40.049999999999997" customHeight="1" x14ac:dyDescent="0.25">
      <c r="A2347" s="11" t="s">
        <v>5129</v>
      </c>
      <c r="B2347" s="11" t="s">
        <v>5129</v>
      </c>
      <c r="C2347" s="11" t="s">
        <v>80</v>
      </c>
      <c r="D2347" s="11" t="s">
        <v>18</v>
      </c>
      <c r="E2347" s="12" t="s">
        <v>1666</v>
      </c>
      <c r="F2347" s="12" t="s">
        <v>1667</v>
      </c>
      <c r="G2347" s="12" t="s">
        <v>21</v>
      </c>
      <c r="H2347" s="11" t="s">
        <v>63</v>
      </c>
      <c r="I2347" s="13" t="s">
        <v>5130</v>
      </c>
      <c r="J2347" s="14" t="str">
        <f>HYPERLINK("https://www.boe.es/gazeta/dias/1839/04/22/pdfs/GMD-1839-1619.pdf#page=4","Abrir facsímil")</f>
        <v>Abrir facsímil</v>
      </c>
      <c r="K2347" s="12" t="s">
        <v>65</v>
      </c>
    </row>
    <row r="2348" spans="1:11" ht="40.049999999999997" customHeight="1" x14ac:dyDescent="0.25">
      <c r="A2348" s="11" t="s">
        <v>5131</v>
      </c>
      <c r="B2348" s="11" t="s">
        <v>5132</v>
      </c>
      <c r="C2348" s="11" t="s">
        <v>17</v>
      </c>
      <c r="D2348" s="11" t="s">
        <v>18</v>
      </c>
      <c r="E2348" s="12" t="s">
        <v>438</v>
      </c>
      <c r="F2348" s="12" t="s">
        <v>439</v>
      </c>
      <c r="G2348" s="12" t="s">
        <v>21</v>
      </c>
      <c r="H2348" s="11" t="s">
        <v>63</v>
      </c>
      <c r="I2348" s="13" t="s">
        <v>5133</v>
      </c>
      <c r="J2348" s="14" t="str">
        <f>HYPERLINK("https://www.boe.es/gazeta/dias/1839/07/17/pdfs/GMD-1839-1705.pdf#page=4","Abrir facsímil")</f>
        <v>Abrir facsímil</v>
      </c>
      <c r="K2348" s="12" t="s">
        <v>65</v>
      </c>
    </row>
    <row r="2349" spans="1:11" ht="40.049999999999997" customHeight="1" x14ac:dyDescent="0.25">
      <c r="A2349" s="11" t="s">
        <v>5134</v>
      </c>
      <c r="B2349" s="11" t="s">
        <v>5134</v>
      </c>
      <c r="C2349" s="11" t="s">
        <v>17</v>
      </c>
      <c r="D2349" s="11" t="s">
        <v>18</v>
      </c>
      <c r="E2349" s="12" t="s">
        <v>330</v>
      </c>
      <c r="F2349" s="12" t="s">
        <v>331</v>
      </c>
      <c r="G2349" s="12" t="s">
        <v>21</v>
      </c>
      <c r="H2349" s="11" t="s">
        <v>63</v>
      </c>
      <c r="I2349" s="13" t="s">
        <v>5135</v>
      </c>
      <c r="J2349" s="14" t="str">
        <f>HYPERLINK("https://www.boe.es/gazeta/dias/1839/04/11/pdfs/GMD-1839-1608.pdf#page=4","Abrir facsímil")</f>
        <v>Abrir facsímil</v>
      </c>
      <c r="K2349" s="12" t="s">
        <v>65</v>
      </c>
    </row>
    <row r="2350" spans="1:11" ht="40.049999999999997" customHeight="1" x14ac:dyDescent="0.25">
      <c r="A2350" s="11" t="s">
        <v>5136</v>
      </c>
      <c r="B2350" s="11" t="s">
        <v>5137</v>
      </c>
      <c r="C2350" s="11" t="s">
        <v>17</v>
      </c>
      <c r="D2350" s="11" t="s">
        <v>18</v>
      </c>
      <c r="E2350" s="12" t="s">
        <v>5138</v>
      </c>
      <c r="F2350" s="12" t="s">
        <v>5139</v>
      </c>
      <c r="G2350" s="12" t="s">
        <v>21</v>
      </c>
      <c r="H2350" s="11" t="s">
        <v>63</v>
      </c>
      <c r="I2350" s="13" t="s">
        <v>5140</v>
      </c>
      <c r="J2350" s="14" t="str">
        <f>HYPERLINK("https://www.boe.es/gazeta/dias/1839/08/15/pdfs/GMD-1839-1735.pdf#page=4","Abrir facsímil")</f>
        <v>Abrir facsímil</v>
      </c>
      <c r="K2350" s="12" t="s">
        <v>65</v>
      </c>
    </row>
    <row r="2351" spans="1:11" ht="40.049999999999997" customHeight="1" x14ac:dyDescent="0.25">
      <c r="A2351" s="11" t="s">
        <v>5141</v>
      </c>
      <c r="B2351" s="11" t="s">
        <v>5141</v>
      </c>
      <c r="C2351" s="11" t="s">
        <v>17</v>
      </c>
      <c r="D2351" s="11" t="s">
        <v>18</v>
      </c>
      <c r="E2351" s="12" t="s">
        <v>1520</v>
      </c>
      <c r="F2351" s="12" t="s">
        <v>1521</v>
      </c>
      <c r="G2351" s="12" t="s">
        <v>29</v>
      </c>
      <c r="H2351" s="11" t="s">
        <v>63</v>
      </c>
      <c r="I2351" s="13" t="s">
        <v>5142</v>
      </c>
      <c r="J2351" s="14" t="str">
        <f>HYPERLINK("https://www.boe.es/gazeta/dias/1839/12/27/pdfs/GMD-1839-1874.pdf#page=1","Abrir facsímil")</f>
        <v>Abrir facsímil</v>
      </c>
      <c r="K2351" s="12" t="s">
        <v>65</v>
      </c>
    </row>
    <row r="2352" spans="1:11" ht="40.049999999999997" customHeight="1" x14ac:dyDescent="0.25">
      <c r="A2352" s="11" t="s">
        <v>5141</v>
      </c>
      <c r="B2352" s="11" t="s">
        <v>5141</v>
      </c>
      <c r="C2352" s="11" t="s">
        <v>17</v>
      </c>
      <c r="D2352" s="11" t="s">
        <v>18</v>
      </c>
      <c r="E2352" s="12" t="s">
        <v>1474</v>
      </c>
      <c r="F2352" s="12" t="s">
        <v>1475</v>
      </c>
      <c r="G2352" s="12" t="s">
        <v>46</v>
      </c>
      <c r="H2352" s="11" t="s">
        <v>63</v>
      </c>
      <c r="I2352" s="13" t="s">
        <v>5143</v>
      </c>
      <c r="J2352" s="14" t="str">
        <f>HYPERLINK("https://www.boe.es/gazeta/dias/1839/02/28/pdfs/GMD-1839-1566.pdf#page=3","Abrir facsímil")</f>
        <v>Abrir facsímil</v>
      </c>
      <c r="K2352" s="12" t="s">
        <v>65</v>
      </c>
    </row>
    <row r="2353" spans="1:11" ht="40.049999999999997" customHeight="1" x14ac:dyDescent="0.25">
      <c r="A2353" s="11" t="s">
        <v>5144</v>
      </c>
      <c r="B2353" s="11" t="s">
        <v>5145</v>
      </c>
      <c r="C2353" s="11" t="s">
        <v>101</v>
      </c>
      <c r="D2353" s="11" t="s">
        <v>43</v>
      </c>
      <c r="E2353" s="12" t="s">
        <v>1100</v>
      </c>
      <c r="F2353" s="12" t="s">
        <v>1101</v>
      </c>
      <c r="G2353" s="12" t="s">
        <v>21</v>
      </c>
      <c r="H2353" s="11" t="s">
        <v>63</v>
      </c>
      <c r="I2353" s="13" t="s">
        <v>5146</v>
      </c>
      <c r="J2353" s="14" t="str">
        <f>HYPERLINK("https://www.boe.es/gazeta/dias/1839/09/13/pdfs/GMD-1839-1766.pdf#page=4","Abrir facsímil")</f>
        <v>Abrir facsímil</v>
      </c>
      <c r="K2353" s="12" t="s">
        <v>65</v>
      </c>
    </row>
    <row r="2354" spans="1:11" ht="40.049999999999997" customHeight="1" x14ac:dyDescent="0.25">
      <c r="A2354" s="11" t="s">
        <v>5147</v>
      </c>
      <c r="B2354" s="11" t="s">
        <v>5148</v>
      </c>
      <c r="C2354" s="11" t="s">
        <v>17</v>
      </c>
      <c r="D2354" s="11" t="s">
        <v>18</v>
      </c>
      <c r="E2354" s="12" t="s">
        <v>677</v>
      </c>
      <c r="F2354" s="12" t="s">
        <v>678</v>
      </c>
      <c r="G2354" s="12" t="s">
        <v>29</v>
      </c>
      <c r="H2354" s="11" t="s">
        <v>63</v>
      </c>
      <c r="I2354" s="13" t="s">
        <v>5149</v>
      </c>
      <c r="J2354" s="14" t="str">
        <f>HYPERLINK("https://www.boe.es/gazeta/dias/1839/04/28/pdfs/GMD-1839-1625.pdf#page=1","Abrir facsímil")</f>
        <v>Abrir facsímil</v>
      </c>
      <c r="K2354" s="12" t="s">
        <v>65</v>
      </c>
    </row>
    <row r="2355" spans="1:11" ht="40.049999999999997" customHeight="1" x14ac:dyDescent="0.25">
      <c r="A2355" s="11" t="s">
        <v>5150</v>
      </c>
      <c r="B2355" s="11" t="s">
        <v>5150</v>
      </c>
      <c r="C2355" s="11" t="s">
        <v>17</v>
      </c>
      <c r="D2355" s="11" t="s">
        <v>18</v>
      </c>
      <c r="E2355" s="12" t="s">
        <v>1395</v>
      </c>
      <c r="F2355" s="12" t="s">
        <v>1396</v>
      </c>
      <c r="G2355" s="12" t="s">
        <v>46</v>
      </c>
      <c r="H2355" s="11" t="s">
        <v>63</v>
      </c>
      <c r="I2355" s="13" t="s">
        <v>5151</v>
      </c>
      <c r="J2355" s="14" t="str">
        <f>HYPERLINK("https://www.boe.es/gazeta/dias/1839/06/26/pdfs/GMD-1839-1684.pdf#page=3","Abrir facsímil")</f>
        <v>Abrir facsímil</v>
      </c>
      <c r="K2355" s="12" t="s">
        <v>65</v>
      </c>
    </row>
    <row r="2356" spans="1:11" ht="40.049999999999997" customHeight="1" x14ac:dyDescent="0.25">
      <c r="A2356" s="11" t="s">
        <v>5152</v>
      </c>
      <c r="B2356" s="11" t="s">
        <v>5152</v>
      </c>
      <c r="C2356" s="11" t="s">
        <v>17</v>
      </c>
      <c r="D2356" s="11" t="s">
        <v>18</v>
      </c>
      <c r="E2356" s="12" t="s">
        <v>38</v>
      </c>
      <c r="F2356" s="12" t="s">
        <v>39</v>
      </c>
      <c r="G2356" s="12" t="s">
        <v>40</v>
      </c>
      <c r="H2356" s="11" t="s">
        <v>63</v>
      </c>
      <c r="I2356" s="13" t="s">
        <v>5153</v>
      </c>
      <c r="J2356" s="14" t="str">
        <f>HYPERLINK("https://www.boe.es/gazeta/dias/1839/08/08/pdfs/GMD-1839-1728.pdf#page=2","Abrir facsímil")</f>
        <v>Abrir facsímil</v>
      </c>
      <c r="K2356" s="12" t="s">
        <v>65</v>
      </c>
    </row>
    <row r="2357" spans="1:11" ht="40.049999999999997" customHeight="1" x14ac:dyDescent="0.25">
      <c r="A2357" s="11" t="s">
        <v>5154</v>
      </c>
      <c r="B2357" s="11" t="s">
        <v>5154</v>
      </c>
      <c r="C2357" s="11" t="s">
        <v>101</v>
      </c>
      <c r="D2357" s="11" t="s">
        <v>43</v>
      </c>
      <c r="E2357" s="12" t="s">
        <v>1086</v>
      </c>
      <c r="F2357" s="12" t="s">
        <v>1087</v>
      </c>
      <c r="G2357" s="12" t="s">
        <v>40</v>
      </c>
      <c r="H2357" s="11" t="s">
        <v>63</v>
      </c>
      <c r="I2357" s="13" t="s">
        <v>5155</v>
      </c>
      <c r="J2357" s="14" t="str">
        <f>HYPERLINK("https://www.boe.es/gazeta/dias/1839/10/26/pdfs/GMD-1839-1812.pdf#page=2","Abrir facsímil")</f>
        <v>Abrir facsímil</v>
      </c>
      <c r="K2357" s="12" t="s">
        <v>65</v>
      </c>
    </row>
    <row r="2358" spans="1:11" ht="40.049999999999997" customHeight="1" x14ac:dyDescent="0.25">
      <c r="A2358" s="11" t="s">
        <v>5156</v>
      </c>
      <c r="B2358" s="11" t="s">
        <v>5156</v>
      </c>
      <c r="C2358" s="11" t="s">
        <v>17</v>
      </c>
      <c r="D2358" s="11" t="s">
        <v>18</v>
      </c>
      <c r="E2358" s="12" t="s">
        <v>349</v>
      </c>
      <c r="F2358" s="12" t="s">
        <v>350</v>
      </c>
      <c r="G2358" s="12" t="s">
        <v>46</v>
      </c>
      <c r="H2358" s="11" t="s">
        <v>63</v>
      </c>
      <c r="I2358" s="13" t="s">
        <v>5157</v>
      </c>
      <c r="J2358" s="14" t="str">
        <f>HYPERLINK("https://www.boe.es/gazeta/dias/1839/12/25/pdfs/GMD-1839-1872.pdf#page=3","Abrir facsímil")</f>
        <v>Abrir facsímil</v>
      </c>
      <c r="K2358" s="12" t="s">
        <v>65</v>
      </c>
    </row>
    <row r="2359" spans="1:11" ht="40.049999999999997" customHeight="1" x14ac:dyDescent="0.25">
      <c r="A2359" s="11" t="s">
        <v>5158</v>
      </c>
      <c r="B2359" s="11" t="s">
        <v>5158</v>
      </c>
      <c r="C2359" s="11" t="s">
        <v>17</v>
      </c>
      <c r="D2359" s="11" t="s">
        <v>18</v>
      </c>
      <c r="E2359" s="12" t="s">
        <v>372</v>
      </c>
      <c r="F2359" s="12" t="s">
        <v>373</v>
      </c>
      <c r="G2359" s="12" t="s">
        <v>29</v>
      </c>
      <c r="H2359" s="11" t="s">
        <v>63</v>
      </c>
      <c r="I2359" s="13" t="s">
        <v>5159</v>
      </c>
      <c r="J2359" s="14" t="str">
        <f>HYPERLINK("https://www.boe.es/gazeta/dias/1839/11/08/pdfs/GMD-1839-1825.pdf#page=1","Abrir facsímil")</f>
        <v>Abrir facsímil</v>
      </c>
      <c r="K2359" s="12" t="s">
        <v>65</v>
      </c>
    </row>
    <row r="2360" spans="1:11" ht="40.049999999999997" customHeight="1" x14ac:dyDescent="0.25">
      <c r="A2360" s="11" t="s">
        <v>5160</v>
      </c>
      <c r="B2360" s="11" t="s">
        <v>5160</v>
      </c>
      <c r="C2360" s="11" t="s">
        <v>59</v>
      </c>
      <c r="D2360" s="11" t="s">
        <v>60</v>
      </c>
      <c r="E2360" s="12" t="s">
        <v>848</v>
      </c>
      <c r="F2360" s="12" t="s">
        <v>849</v>
      </c>
      <c r="G2360" s="12" t="s">
        <v>46</v>
      </c>
      <c r="H2360" s="11" t="s">
        <v>63</v>
      </c>
      <c r="I2360" s="13" t="s">
        <v>5161</v>
      </c>
      <c r="J2360" s="14" t="str">
        <f>HYPERLINK("https://www.boe.es/gazeta/dias/1839/08/04/pdfs/GMD-1839-1724.pdf#page=3","Abrir facsímil")</f>
        <v>Abrir facsímil</v>
      </c>
      <c r="K2360" s="12" t="s">
        <v>65</v>
      </c>
    </row>
    <row r="2361" spans="1:11" ht="40.049999999999997" customHeight="1" x14ac:dyDescent="0.25">
      <c r="A2361" s="11" t="s">
        <v>5162</v>
      </c>
      <c r="B2361" s="11" t="s">
        <v>5163</v>
      </c>
      <c r="C2361" s="11" t="s">
        <v>137</v>
      </c>
      <c r="D2361" s="11" t="s">
        <v>18</v>
      </c>
      <c r="E2361" s="12" t="s">
        <v>76</v>
      </c>
      <c r="F2361" s="12" t="s">
        <v>77</v>
      </c>
      <c r="G2361" s="12" t="s">
        <v>40</v>
      </c>
      <c r="H2361" s="11" t="s">
        <v>63</v>
      </c>
      <c r="I2361" s="13" t="s">
        <v>5164</v>
      </c>
      <c r="J2361" s="14" t="str">
        <f>HYPERLINK("https://www.boe.es/gazeta/dias/1839/03/13/pdfs/GMD-1839-1579.pdf#page=2","Abrir facsímil")</f>
        <v>Abrir facsímil</v>
      </c>
      <c r="K2361" s="12" t="s">
        <v>65</v>
      </c>
    </row>
    <row r="2362" spans="1:11" ht="40.049999999999997" customHeight="1" x14ac:dyDescent="0.25">
      <c r="A2362" s="11" t="s">
        <v>5165</v>
      </c>
      <c r="B2362" s="11" t="s">
        <v>5165</v>
      </c>
      <c r="C2362" s="11" t="s">
        <v>101</v>
      </c>
      <c r="D2362" s="11" t="s">
        <v>43</v>
      </c>
      <c r="E2362" s="12" t="s">
        <v>154</v>
      </c>
      <c r="F2362" s="12" t="s">
        <v>155</v>
      </c>
      <c r="G2362" s="12" t="s">
        <v>40</v>
      </c>
      <c r="H2362" s="11" t="s">
        <v>63</v>
      </c>
      <c r="I2362" s="13" t="s">
        <v>5166</v>
      </c>
      <c r="J2362" s="14" t="str">
        <f>HYPERLINK("https://www.boe.es/gazeta/dias/1839/02/02/pdfs/GMD-1839-1540.pdf#page=2","Abrir facsímil")</f>
        <v>Abrir facsímil</v>
      </c>
      <c r="K2362" s="12" t="s">
        <v>65</v>
      </c>
    </row>
    <row r="2363" spans="1:11" ht="40.049999999999997" customHeight="1" x14ac:dyDescent="0.25">
      <c r="A2363" s="11" t="s">
        <v>5167</v>
      </c>
      <c r="B2363" s="11" t="s">
        <v>5168</v>
      </c>
      <c r="C2363" s="11" t="s">
        <v>137</v>
      </c>
      <c r="D2363" s="11" t="s">
        <v>18</v>
      </c>
      <c r="E2363" s="12" t="s">
        <v>785</v>
      </c>
      <c r="F2363" s="12" t="s">
        <v>786</v>
      </c>
      <c r="G2363" s="12" t="s">
        <v>40</v>
      </c>
      <c r="H2363" s="11" t="s">
        <v>63</v>
      </c>
      <c r="I2363" s="13" t="s">
        <v>5169</v>
      </c>
      <c r="J2363" s="14" t="str">
        <f>HYPERLINK("https://www.boe.es/gazeta/dias/1839/07/13/pdfs/GMD-1839-1701.pdf#page=2","Abrir facsímil")</f>
        <v>Abrir facsímil</v>
      </c>
      <c r="K2363" s="12" t="s">
        <v>65</v>
      </c>
    </row>
    <row r="2364" spans="1:11" ht="40.049999999999997" customHeight="1" x14ac:dyDescent="0.25">
      <c r="A2364" s="11" t="s">
        <v>5170</v>
      </c>
      <c r="B2364" s="11" t="s">
        <v>5170</v>
      </c>
      <c r="C2364" s="11" t="s">
        <v>17</v>
      </c>
      <c r="D2364" s="11" t="s">
        <v>18</v>
      </c>
      <c r="E2364" s="12" t="s">
        <v>469</v>
      </c>
      <c r="F2364" s="12" t="s">
        <v>470</v>
      </c>
      <c r="G2364" s="12" t="s">
        <v>29</v>
      </c>
      <c r="H2364" s="11" t="s">
        <v>63</v>
      </c>
      <c r="I2364" s="13" t="s">
        <v>5171</v>
      </c>
      <c r="J2364" s="14" t="str">
        <f>HYPERLINK("https://www.boe.es/gazeta/dias/1839/08/20/pdfs/GMD-1839-1741.pdf#page=1","Abrir facsímil")</f>
        <v>Abrir facsímil</v>
      </c>
      <c r="K2364" s="12" t="s">
        <v>65</v>
      </c>
    </row>
    <row r="2365" spans="1:11" ht="40.049999999999997" customHeight="1" x14ac:dyDescent="0.25">
      <c r="A2365" s="11" t="s">
        <v>5170</v>
      </c>
      <c r="B2365" s="11" t="s">
        <v>5170</v>
      </c>
      <c r="C2365" s="11" t="s">
        <v>59</v>
      </c>
      <c r="D2365" s="11" t="s">
        <v>60</v>
      </c>
      <c r="E2365" s="12" t="s">
        <v>1679</v>
      </c>
      <c r="F2365" s="12" t="s">
        <v>1680</v>
      </c>
      <c r="G2365" s="12" t="s">
        <v>29</v>
      </c>
      <c r="H2365" s="11" t="s">
        <v>63</v>
      </c>
      <c r="I2365" s="13" t="s">
        <v>5172</v>
      </c>
      <c r="J2365" s="14" t="str">
        <f>HYPERLINK("https://www.boe.es/gazeta/dias/1839/01/26/pdfs/GMD-1839-1533.pdf#page=1","Abrir facsímil")</f>
        <v>Abrir facsímil</v>
      </c>
      <c r="K2365" s="12" t="s">
        <v>65</v>
      </c>
    </row>
    <row r="2366" spans="1:11" ht="40.049999999999997" customHeight="1" x14ac:dyDescent="0.25">
      <c r="A2366" s="11" t="s">
        <v>5173</v>
      </c>
      <c r="B2366" s="11" t="s">
        <v>5173</v>
      </c>
      <c r="C2366" s="11" t="s">
        <v>17</v>
      </c>
      <c r="D2366" s="11" t="s">
        <v>18</v>
      </c>
      <c r="E2366" s="12" t="s">
        <v>343</v>
      </c>
      <c r="F2366" s="12" t="s">
        <v>344</v>
      </c>
      <c r="G2366" s="12" t="s">
        <v>46</v>
      </c>
      <c r="H2366" s="11" t="s">
        <v>63</v>
      </c>
      <c r="I2366" s="13" t="s">
        <v>5174</v>
      </c>
      <c r="J2366" s="14" t="str">
        <f>HYPERLINK("https://www.boe.es/gazeta/dias/1839/05/20/pdfs/GMD-1839-1647.pdf#page=3","Abrir facsímil")</f>
        <v>Abrir facsímil</v>
      </c>
      <c r="K2366" s="12" t="s">
        <v>65</v>
      </c>
    </row>
    <row r="2367" spans="1:11" ht="40.049999999999997" customHeight="1" x14ac:dyDescent="0.25">
      <c r="A2367" s="11" t="s">
        <v>5175</v>
      </c>
      <c r="B2367" s="11" t="s">
        <v>5175</v>
      </c>
      <c r="C2367" s="11" t="s">
        <v>17</v>
      </c>
      <c r="D2367" s="11" t="s">
        <v>18</v>
      </c>
      <c r="E2367" s="12" t="s">
        <v>1512</v>
      </c>
      <c r="F2367" s="12" t="s">
        <v>1513</v>
      </c>
      <c r="G2367" s="12" t="s">
        <v>40</v>
      </c>
      <c r="H2367" s="11" t="s">
        <v>63</v>
      </c>
      <c r="I2367" s="13" t="s">
        <v>5176</v>
      </c>
      <c r="J2367" s="14" t="str">
        <f>HYPERLINK("https://www.boe.es/gazeta/dias/1839/04/13/pdfs/GMD-1839-1610.pdf#page=2","Abrir facsímil")</f>
        <v>Abrir facsímil</v>
      </c>
      <c r="K2367" s="12" t="s">
        <v>65</v>
      </c>
    </row>
    <row r="2368" spans="1:11" ht="40.049999999999997" customHeight="1" x14ac:dyDescent="0.25">
      <c r="A2368" s="11" t="s">
        <v>5177</v>
      </c>
      <c r="B2368" s="11" t="s">
        <v>5177</v>
      </c>
      <c r="C2368" s="11" t="s">
        <v>59</v>
      </c>
      <c r="D2368" s="11" t="s">
        <v>60</v>
      </c>
      <c r="E2368" s="12" t="s">
        <v>1086</v>
      </c>
      <c r="F2368" s="12" t="s">
        <v>1087</v>
      </c>
      <c r="G2368" s="12" t="s">
        <v>40</v>
      </c>
      <c r="H2368" s="11" t="s">
        <v>63</v>
      </c>
      <c r="I2368" s="13" t="s">
        <v>5178</v>
      </c>
      <c r="J2368" s="14" t="str">
        <f>HYPERLINK("https://www.boe.es/gazeta/dias/1839/10/26/pdfs/GMD-1839-1812.pdf#page=2","Abrir facsímil")</f>
        <v>Abrir facsímil</v>
      </c>
      <c r="K2368" s="12" t="s">
        <v>65</v>
      </c>
    </row>
    <row r="2369" spans="1:11" ht="40.049999999999997" customHeight="1" x14ac:dyDescent="0.25">
      <c r="A2369" s="11" t="s">
        <v>5179</v>
      </c>
      <c r="B2369" s="11" t="s">
        <v>5179</v>
      </c>
      <c r="C2369" s="11" t="s">
        <v>17</v>
      </c>
      <c r="D2369" s="11" t="s">
        <v>43</v>
      </c>
      <c r="E2369" s="12" t="s">
        <v>1366</v>
      </c>
      <c r="F2369" s="12" t="s">
        <v>1367</v>
      </c>
      <c r="G2369" s="12" t="s">
        <v>21</v>
      </c>
      <c r="H2369" s="11" t="s">
        <v>63</v>
      </c>
      <c r="I2369" s="13" t="s">
        <v>5180</v>
      </c>
      <c r="J2369" s="14" t="str">
        <f>HYPERLINK("https://www.boe.es/gazeta/dias/1839/09/09/pdfs/GMD-1839-1762.pdf#page=4","Abrir facsímil")</f>
        <v>Abrir facsímil</v>
      </c>
      <c r="K2369" s="12" t="s">
        <v>65</v>
      </c>
    </row>
    <row r="2370" spans="1:11" ht="40.049999999999997" customHeight="1" x14ac:dyDescent="0.25">
      <c r="A2370" s="11" t="s">
        <v>5181</v>
      </c>
      <c r="B2370" s="11" t="s">
        <v>5181</v>
      </c>
      <c r="C2370" s="11" t="s">
        <v>59</v>
      </c>
      <c r="D2370" s="11" t="s">
        <v>60</v>
      </c>
      <c r="E2370" s="12" t="s">
        <v>365</v>
      </c>
      <c r="F2370" s="12" t="s">
        <v>366</v>
      </c>
      <c r="G2370" s="12" t="s">
        <v>40</v>
      </c>
      <c r="H2370" s="11" t="s">
        <v>63</v>
      </c>
      <c r="I2370" s="13" t="s">
        <v>5182</v>
      </c>
      <c r="J2370" s="14" t="str">
        <f>HYPERLINK("https://www.boe.es/gazeta/dias/1839/08/14/pdfs/GMD-1839-1734.pdf#page=2","Abrir facsímil")</f>
        <v>Abrir facsímil</v>
      </c>
      <c r="K2370" s="12" t="s">
        <v>65</v>
      </c>
    </row>
    <row r="2371" spans="1:11" ht="40.049999999999997" customHeight="1" x14ac:dyDescent="0.25">
      <c r="A2371" s="11" t="s">
        <v>5181</v>
      </c>
      <c r="B2371" s="11" t="s">
        <v>5181</v>
      </c>
      <c r="C2371" s="11" t="s">
        <v>17</v>
      </c>
      <c r="D2371" s="11" t="s">
        <v>18</v>
      </c>
      <c r="E2371" s="12" t="s">
        <v>834</v>
      </c>
      <c r="F2371" s="12" t="s">
        <v>835</v>
      </c>
      <c r="G2371" s="12" t="s">
        <v>46</v>
      </c>
      <c r="H2371" s="11" t="s">
        <v>63</v>
      </c>
      <c r="I2371" s="13" t="s">
        <v>5183</v>
      </c>
      <c r="J2371" s="14" t="str">
        <f>HYPERLINK("https://www.boe.es/gazeta/dias/1839/08/17/pdfs/GMD-1839-1737.pdf#page=3","Abrir facsímil")</f>
        <v>Abrir facsímil</v>
      </c>
      <c r="K2371" s="12" t="s">
        <v>65</v>
      </c>
    </row>
    <row r="2372" spans="1:11" ht="40.049999999999997" customHeight="1" x14ac:dyDescent="0.25">
      <c r="A2372" s="11" t="s">
        <v>5184</v>
      </c>
      <c r="B2372" s="11" t="s">
        <v>5185</v>
      </c>
      <c r="C2372" s="11" t="s">
        <v>17</v>
      </c>
      <c r="D2372" s="11" t="s">
        <v>18</v>
      </c>
      <c r="E2372" s="12" t="s">
        <v>1374</v>
      </c>
      <c r="F2372" s="12" t="s">
        <v>1375</v>
      </c>
      <c r="G2372" s="12" t="s">
        <v>29</v>
      </c>
      <c r="H2372" s="11" t="s">
        <v>63</v>
      </c>
      <c r="I2372" s="13" t="s">
        <v>5186</v>
      </c>
      <c r="J2372" s="14" t="str">
        <f>HYPERLINK("https://www.boe.es/gazeta/dias/1839/07/20/pdfs/GMD-1839-1708.pdf#page=1","Abrir facsímil")</f>
        <v>Abrir facsímil</v>
      </c>
      <c r="K2372" s="12" t="s">
        <v>65</v>
      </c>
    </row>
    <row r="2373" spans="1:11" ht="40.049999999999997" customHeight="1" x14ac:dyDescent="0.25">
      <c r="A2373" s="11" t="s">
        <v>5187</v>
      </c>
      <c r="B2373" s="11" t="s">
        <v>5187</v>
      </c>
      <c r="C2373" s="11" t="s">
        <v>17</v>
      </c>
      <c r="D2373" s="11" t="s">
        <v>18</v>
      </c>
      <c r="E2373" s="12" t="s">
        <v>349</v>
      </c>
      <c r="F2373" s="12" t="s">
        <v>350</v>
      </c>
      <c r="G2373" s="12" t="s">
        <v>46</v>
      </c>
      <c r="H2373" s="11" t="s">
        <v>63</v>
      </c>
      <c r="I2373" s="13" t="s">
        <v>5188</v>
      </c>
      <c r="J2373" s="14" t="str">
        <f>HYPERLINK("https://www.boe.es/gazeta/dias/1839/12/25/pdfs/GMD-1839-1872.pdf#page=3","Abrir facsímil")</f>
        <v>Abrir facsímil</v>
      </c>
      <c r="K2373" s="12" t="s">
        <v>65</v>
      </c>
    </row>
    <row r="2374" spans="1:11" ht="40.049999999999997" customHeight="1" x14ac:dyDescent="0.25">
      <c r="A2374" s="11" t="s">
        <v>5189</v>
      </c>
      <c r="B2374" s="11" t="s">
        <v>5190</v>
      </c>
      <c r="C2374" s="11" t="s">
        <v>80</v>
      </c>
      <c r="D2374" s="11" t="s">
        <v>18</v>
      </c>
      <c r="E2374" s="12" t="s">
        <v>349</v>
      </c>
      <c r="F2374" s="12" t="s">
        <v>350</v>
      </c>
      <c r="G2374" s="12" t="s">
        <v>46</v>
      </c>
      <c r="H2374" s="11" t="s">
        <v>63</v>
      </c>
      <c r="I2374" s="13" t="s">
        <v>5191</v>
      </c>
      <c r="J2374" s="14" t="str">
        <f>HYPERLINK("https://www.boe.es/gazeta/dias/1839/12/25/pdfs/GMD-1839-1872.pdf#page=3","Abrir facsímil")</f>
        <v>Abrir facsímil</v>
      </c>
      <c r="K2374" s="12" t="s">
        <v>65</v>
      </c>
    </row>
    <row r="2375" spans="1:11" ht="40.049999999999997" customHeight="1" x14ac:dyDescent="0.25">
      <c r="A2375" s="11" t="s">
        <v>5192</v>
      </c>
      <c r="B2375" s="11" t="s">
        <v>5192</v>
      </c>
      <c r="C2375" s="11" t="s">
        <v>101</v>
      </c>
      <c r="D2375" s="11" t="s">
        <v>102</v>
      </c>
      <c r="E2375" s="12" t="s">
        <v>817</v>
      </c>
      <c r="F2375" s="12" t="s">
        <v>818</v>
      </c>
      <c r="G2375" s="12" t="s">
        <v>21</v>
      </c>
      <c r="H2375" s="11" t="s">
        <v>63</v>
      </c>
      <c r="I2375" s="13" t="s">
        <v>5193</v>
      </c>
      <c r="J2375" s="14" t="str">
        <f>HYPERLINK("https://www.boe.es/gazeta/dias/1839/05/28/pdfs/GMD-1839-1655.pdf#page=4","Abrir facsímil")</f>
        <v>Abrir facsímil</v>
      </c>
      <c r="K2375" s="12" t="s">
        <v>65</v>
      </c>
    </row>
    <row r="2376" spans="1:11" ht="40.049999999999997" customHeight="1" x14ac:dyDescent="0.25">
      <c r="A2376" s="11" t="s">
        <v>5194</v>
      </c>
      <c r="B2376" s="11" t="s">
        <v>5194</v>
      </c>
      <c r="C2376" s="11" t="s">
        <v>17</v>
      </c>
      <c r="D2376" s="11" t="s">
        <v>18</v>
      </c>
      <c r="E2376" s="12" t="s">
        <v>483</v>
      </c>
      <c r="F2376" s="12" t="s">
        <v>484</v>
      </c>
      <c r="G2376" s="12" t="s">
        <v>21</v>
      </c>
      <c r="H2376" s="11" t="s">
        <v>63</v>
      </c>
      <c r="I2376" s="13" t="s">
        <v>5195</v>
      </c>
      <c r="J2376" s="14" t="str">
        <f>HYPERLINK("https://www.boe.es/gazeta/dias/1839/11/18/pdfs/GMD-1839-1835.pdf#page=4","Abrir facsímil")</f>
        <v>Abrir facsímil</v>
      </c>
      <c r="K2376" s="12" t="s">
        <v>65</v>
      </c>
    </row>
    <row r="2377" spans="1:11" ht="40.049999999999997" customHeight="1" x14ac:dyDescent="0.25">
      <c r="A2377" s="11" t="s">
        <v>5196</v>
      </c>
      <c r="B2377" s="11" t="s">
        <v>5197</v>
      </c>
      <c r="C2377" s="11" t="s">
        <v>101</v>
      </c>
      <c r="D2377" s="11" t="s">
        <v>43</v>
      </c>
      <c r="E2377" s="12" t="s">
        <v>207</v>
      </c>
      <c r="F2377" s="12" t="s">
        <v>208</v>
      </c>
      <c r="G2377" s="12" t="s">
        <v>46</v>
      </c>
      <c r="H2377" s="11" t="s">
        <v>63</v>
      </c>
      <c r="I2377" s="13" t="s">
        <v>5198</v>
      </c>
      <c r="J2377" s="14" t="str">
        <f>HYPERLINK("https://www.boe.es/gazeta/dias/1839/02/19/pdfs/GMD-1839-1557.pdf#page=3","Abrir facsímil")</f>
        <v>Abrir facsímil</v>
      </c>
      <c r="K2377" s="12" t="s">
        <v>65</v>
      </c>
    </row>
    <row r="2378" spans="1:11" ht="40.049999999999997" customHeight="1" x14ac:dyDescent="0.25">
      <c r="A2378" s="11" t="s">
        <v>5199</v>
      </c>
      <c r="B2378" s="11" t="s">
        <v>5200</v>
      </c>
      <c r="C2378" s="11" t="s">
        <v>80</v>
      </c>
      <c r="D2378" s="11" t="s">
        <v>18</v>
      </c>
      <c r="E2378" s="12" t="s">
        <v>1497</v>
      </c>
      <c r="F2378" s="12" t="s">
        <v>1498</v>
      </c>
      <c r="G2378" s="12" t="s">
        <v>21</v>
      </c>
      <c r="H2378" s="11" t="s">
        <v>63</v>
      </c>
      <c r="I2378" s="13" t="s">
        <v>5201</v>
      </c>
      <c r="J2378" s="14" t="str">
        <f>HYPERLINK("https://www.boe.es/gazeta/dias/1839/08/23/pdfs/GMD-1839-1744.pdf#page=4","Abrir facsímil")</f>
        <v>Abrir facsímil</v>
      </c>
      <c r="K2378" s="12" t="s">
        <v>65</v>
      </c>
    </row>
    <row r="2379" spans="1:11" ht="40.049999999999997" customHeight="1" x14ac:dyDescent="0.25">
      <c r="A2379" s="11" t="s">
        <v>5202</v>
      </c>
      <c r="B2379" s="11" t="s">
        <v>5202</v>
      </c>
      <c r="C2379" s="11" t="s">
        <v>17</v>
      </c>
      <c r="D2379" s="11" t="s">
        <v>18</v>
      </c>
      <c r="E2379" s="12" t="s">
        <v>266</v>
      </c>
      <c r="F2379" s="12" t="s">
        <v>267</v>
      </c>
      <c r="G2379" s="12" t="s">
        <v>46</v>
      </c>
      <c r="H2379" s="11" t="s">
        <v>63</v>
      </c>
      <c r="I2379" s="13" t="s">
        <v>5203</v>
      </c>
      <c r="J2379" s="14" t="str">
        <f>HYPERLINK("https://www.boe.es/gazeta/dias/1839/01/03/pdfs/GMD-1839-1510.pdf#page=3","Abrir facsímil")</f>
        <v>Abrir facsímil</v>
      </c>
      <c r="K2379" s="12" t="s">
        <v>65</v>
      </c>
    </row>
    <row r="2380" spans="1:11" ht="40.049999999999997" customHeight="1" x14ac:dyDescent="0.25">
      <c r="A2380" s="11" t="s">
        <v>5204</v>
      </c>
      <c r="B2380" s="11" t="s">
        <v>5204</v>
      </c>
      <c r="C2380" s="11" t="s">
        <v>17</v>
      </c>
      <c r="D2380" s="11" t="s">
        <v>18</v>
      </c>
      <c r="E2380" s="12" t="s">
        <v>262</v>
      </c>
      <c r="F2380" s="12" t="s">
        <v>263</v>
      </c>
      <c r="G2380" s="12" t="s">
        <v>46</v>
      </c>
      <c r="H2380" s="11" t="s">
        <v>63</v>
      </c>
      <c r="I2380" s="13" t="s">
        <v>5205</v>
      </c>
      <c r="J2380" s="14" t="str">
        <f>HYPERLINK("https://www.boe.es/gazeta/dias/1839/01/01/pdfs/GMD-1839-1508.pdf#page=3","Abrir facsímil")</f>
        <v>Abrir facsímil</v>
      </c>
      <c r="K2380" s="12" t="s">
        <v>65</v>
      </c>
    </row>
    <row r="2381" spans="1:11" ht="40.049999999999997" customHeight="1" x14ac:dyDescent="0.25">
      <c r="A2381" s="11" t="s">
        <v>5204</v>
      </c>
      <c r="B2381" s="11" t="s">
        <v>5204</v>
      </c>
      <c r="C2381" s="11" t="s">
        <v>17</v>
      </c>
      <c r="D2381" s="11" t="s">
        <v>18</v>
      </c>
      <c r="E2381" s="12" t="s">
        <v>266</v>
      </c>
      <c r="F2381" s="12" t="s">
        <v>267</v>
      </c>
      <c r="G2381" s="12" t="s">
        <v>21</v>
      </c>
      <c r="H2381" s="11" t="s">
        <v>63</v>
      </c>
      <c r="I2381" s="13" t="s">
        <v>5206</v>
      </c>
      <c r="J2381" s="14" t="str">
        <f>HYPERLINK("https://www.boe.es/gazeta/dias/1839/01/03/pdfs/GMD-1839-1510.pdf#page=4","Abrir facsímil")</f>
        <v>Abrir facsímil</v>
      </c>
      <c r="K2381" s="12" t="s">
        <v>65</v>
      </c>
    </row>
    <row r="2382" spans="1:11" ht="40.049999999999997" customHeight="1" x14ac:dyDescent="0.25">
      <c r="A2382" s="11" t="s">
        <v>5204</v>
      </c>
      <c r="B2382" s="11" t="s">
        <v>5204</v>
      </c>
      <c r="C2382" s="11" t="s">
        <v>17</v>
      </c>
      <c r="D2382" s="11" t="s">
        <v>18</v>
      </c>
      <c r="E2382" s="12" t="s">
        <v>108</v>
      </c>
      <c r="F2382" s="12" t="s">
        <v>109</v>
      </c>
      <c r="G2382" s="12" t="s">
        <v>46</v>
      </c>
      <c r="H2382" s="11" t="s">
        <v>63</v>
      </c>
      <c r="I2382" s="13" t="s">
        <v>5207</v>
      </c>
      <c r="J2382" s="14" t="str">
        <f>HYPERLINK("https://www.boe.es/gazeta/dias/1839/01/04/pdfs/GMD-1839-1511.pdf#page=3","Abrir facsímil")</f>
        <v>Abrir facsímil</v>
      </c>
      <c r="K2382" s="12" t="s">
        <v>65</v>
      </c>
    </row>
    <row r="2383" spans="1:11" ht="40.049999999999997" customHeight="1" x14ac:dyDescent="0.25">
      <c r="A2383" s="11" t="s">
        <v>5208</v>
      </c>
      <c r="B2383" s="11" t="s">
        <v>5208</v>
      </c>
      <c r="C2383" s="11" t="s">
        <v>17</v>
      </c>
      <c r="D2383" s="11" t="s">
        <v>18</v>
      </c>
      <c r="E2383" s="12" t="s">
        <v>108</v>
      </c>
      <c r="F2383" s="12" t="s">
        <v>109</v>
      </c>
      <c r="G2383" s="12" t="s">
        <v>40</v>
      </c>
      <c r="H2383" s="11" t="s">
        <v>63</v>
      </c>
      <c r="I2383" s="13" t="s">
        <v>5209</v>
      </c>
      <c r="J2383" s="14" t="str">
        <f>HYPERLINK("https://www.boe.es/gazeta/dias/1839/01/04/pdfs/GMD-1839-1511.pdf#page=2","Abrir facsímil")</f>
        <v>Abrir facsímil</v>
      </c>
      <c r="K2383" s="12" t="s">
        <v>65</v>
      </c>
    </row>
    <row r="2384" spans="1:11" ht="40.049999999999997" customHeight="1" x14ac:dyDescent="0.25">
      <c r="A2384" s="11" t="s">
        <v>5210</v>
      </c>
      <c r="B2384" s="11" t="s">
        <v>5210</v>
      </c>
      <c r="C2384" s="11" t="s">
        <v>17</v>
      </c>
      <c r="D2384" s="11" t="s">
        <v>18</v>
      </c>
      <c r="E2384" s="12" t="s">
        <v>262</v>
      </c>
      <c r="F2384" s="12" t="s">
        <v>263</v>
      </c>
      <c r="G2384" s="12" t="s">
        <v>40</v>
      </c>
      <c r="H2384" s="11" t="s">
        <v>63</v>
      </c>
      <c r="I2384" s="13" t="s">
        <v>5211</v>
      </c>
      <c r="J2384" s="14" t="str">
        <f>HYPERLINK("https://www.boe.es/gazeta/dias/1839/01/01/pdfs/GMD-1839-1508.pdf#page=2","Abrir facsímil")</f>
        <v>Abrir facsímil</v>
      </c>
      <c r="K2384" s="12" t="s">
        <v>65</v>
      </c>
    </row>
    <row r="2385" spans="1:11" ht="40.049999999999997" customHeight="1" x14ac:dyDescent="0.25">
      <c r="A2385" s="11" t="s">
        <v>5210</v>
      </c>
      <c r="B2385" s="11" t="s">
        <v>5210</v>
      </c>
      <c r="C2385" s="11" t="s">
        <v>17</v>
      </c>
      <c r="D2385" s="11" t="s">
        <v>18</v>
      </c>
      <c r="E2385" s="12" t="s">
        <v>262</v>
      </c>
      <c r="F2385" s="12" t="s">
        <v>263</v>
      </c>
      <c r="G2385" s="12" t="s">
        <v>46</v>
      </c>
      <c r="H2385" s="11" t="s">
        <v>63</v>
      </c>
      <c r="I2385" s="13" t="s">
        <v>5212</v>
      </c>
      <c r="J2385" s="14" t="str">
        <f>HYPERLINK("https://www.boe.es/gazeta/dias/1839/01/01/pdfs/GMD-1839-1508.pdf#page=3","Abrir facsímil")</f>
        <v>Abrir facsímil</v>
      </c>
      <c r="K2385" s="12" t="s">
        <v>65</v>
      </c>
    </row>
    <row r="2386" spans="1:11" ht="40.049999999999997" customHeight="1" x14ac:dyDescent="0.25">
      <c r="A2386" s="11" t="s">
        <v>5210</v>
      </c>
      <c r="B2386" s="11" t="s">
        <v>5210</v>
      </c>
      <c r="C2386" s="11" t="s">
        <v>17</v>
      </c>
      <c r="D2386" s="11" t="s">
        <v>18</v>
      </c>
      <c r="E2386" s="12" t="s">
        <v>266</v>
      </c>
      <c r="F2386" s="12" t="s">
        <v>267</v>
      </c>
      <c r="G2386" s="12" t="s">
        <v>21</v>
      </c>
      <c r="H2386" s="11" t="s">
        <v>63</v>
      </c>
      <c r="I2386" s="13" t="s">
        <v>5213</v>
      </c>
      <c r="J2386" s="14" t="str">
        <f>HYPERLINK("https://www.boe.es/gazeta/dias/1839/01/03/pdfs/GMD-1839-1510.pdf#page=4","Abrir facsímil")</f>
        <v>Abrir facsímil</v>
      </c>
      <c r="K2386" s="12" t="s">
        <v>65</v>
      </c>
    </row>
    <row r="2387" spans="1:11" ht="40.049999999999997" customHeight="1" x14ac:dyDescent="0.25">
      <c r="A2387" s="11" t="s">
        <v>5210</v>
      </c>
      <c r="B2387" s="11" t="s">
        <v>5210</v>
      </c>
      <c r="C2387" s="11" t="s">
        <v>101</v>
      </c>
      <c r="D2387" s="11" t="s">
        <v>43</v>
      </c>
      <c r="E2387" s="12" t="s">
        <v>108</v>
      </c>
      <c r="F2387" s="12" t="s">
        <v>109</v>
      </c>
      <c r="G2387" s="12" t="s">
        <v>40</v>
      </c>
      <c r="H2387" s="11" t="s">
        <v>63</v>
      </c>
      <c r="I2387" s="13" t="s">
        <v>5214</v>
      </c>
      <c r="J2387" s="14" t="str">
        <f>HYPERLINK("https://www.boe.es/gazeta/dias/1839/01/04/pdfs/GMD-1839-1511.pdf#page=2","Abrir facsímil")</f>
        <v>Abrir facsímil</v>
      </c>
      <c r="K2387" s="12" t="s">
        <v>65</v>
      </c>
    </row>
    <row r="2388" spans="1:11" ht="40.049999999999997" customHeight="1" x14ac:dyDescent="0.25">
      <c r="A2388" s="11" t="s">
        <v>5210</v>
      </c>
      <c r="B2388" s="11" t="s">
        <v>5210</v>
      </c>
      <c r="C2388" s="11" t="s">
        <v>17</v>
      </c>
      <c r="D2388" s="11" t="s">
        <v>18</v>
      </c>
      <c r="E2388" s="12" t="s">
        <v>108</v>
      </c>
      <c r="F2388" s="12" t="s">
        <v>109</v>
      </c>
      <c r="G2388" s="12" t="s">
        <v>46</v>
      </c>
      <c r="H2388" s="11" t="s">
        <v>63</v>
      </c>
      <c r="I2388" s="13" t="s">
        <v>5215</v>
      </c>
      <c r="J2388" s="14" t="str">
        <f>HYPERLINK("https://www.boe.es/gazeta/dias/1839/01/04/pdfs/GMD-1839-1511.pdf#page=3","Abrir facsímil")</f>
        <v>Abrir facsímil</v>
      </c>
      <c r="K2388" s="12" t="s">
        <v>65</v>
      </c>
    </row>
    <row r="2389" spans="1:11" ht="40.049999999999997" customHeight="1" x14ac:dyDescent="0.25">
      <c r="A2389" s="11" t="s">
        <v>5216</v>
      </c>
      <c r="B2389" s="11" t="s">
        <v>5216</v>
      </c>
      <c r="C2389" s="11" t="s">
        <v>101</v>
      </c>
      <c r="D2389" s="11" t="s">
        <v>43</v>
      </c>
      <c r="E2389" s="12" t="s">
        <v>262</v>
      </c>
      <c r="F2389" s="12" t="s">
        <v>263</v>
      </c>
      <c r="G2389" s="12" t="s">
        <v>29</v>
      </c>
      <c r="H2389" s="11" t="s">
        <v>63</v>
      </c>
      <c r="I2389" s="13" t="s">
        <v>5217</v>
      </c>
      <c r="J2389" s="14" t="str">
        <f>HYPERLINK("https://www.boe.es/gazeta/dias/1839/01/01/pdfs/GMD-1839-1508.pdf#page=1","Abrir facsímil")</f>
        <v>Abrir facsímil</v>
      </c>
      <c r="K2389" s="12" t="s">
        <v>65</v>
      </c>
    </row>
    <row r="2390" spans="1:11" ht="40.049999999999997" customHeight="1" x14ac:dyDescent="0.25">
      <c r="A2390" s="11" t="s">
        <v>5218</v>
      </c>
      <c r="B2390" s="11" t="s">
        <v>5218</v>
      </c>
      <c r="C2390" s="11" t="s">
        <v>17</v>
      </c>
      <c r="D2390" s="11" t="s">
        <v>18</v>
      </c>
      <c r="E2390" s="12" t="s">
        <v>405</v>
      </c>
      <c r="F2390" s="12" t="s">
        <v>406</v>
      </c>
      <c r="G2390" s="12" t="s">
        <v>29</v>
      </c>
      <c r="H2390" s="11" t="s">
        <v>63</v>
      </c>
      <c r="I2390" s="13" t="s">
        <v>5219</v>
      </c>
      <c r="J2390" s="14" t="str">
        <f>HYPERLINK("https://www.boe.es/gazeta/dias/1839/03/25/pdfs/GMD-1839-1591.pdf#page=1","Abrir facsímil")</f>
        <v>Abrir facsímil</v>
      </c>
      <c r="K2390" s="12" t="s">
        <v>65</v>
      </c>
    </row>
    <row r="2391" spans="1:11" ht="40.049999999999997" customHeight="1" x14ac:dyDescent="0.25">
      <c r="A2391" s="11" t="s">
        <v>5220</v>
      </c>
      <c r="B2391" s="11" t="s">
        <v>5220</v>
      </c>
      <c r="C2391" s="11" t="s">
        <v>101</v>
      </c>
      <c r="D2391" s="11" t="s">
        <v>102</v>
      </c>
      <c r="E2391" s="12" t="s">
        <v>1332</v>
      </c>
      <c r="F2391" s="12" t="s">
        <v>1333</v>
      </c>
      <c r="G2391" s="12" t="s">
        <v>29</v>
      </c>
      <c r="H2391" s="11" t="s">
        <v>63</v>
      </c>
      <c r="I2391" s="13" t="s">
        <v>5221</v>
      </c>
      <c r="J2391" s="14" t="str">
        <f>HYPERLINK("https://www.boe.es/gazeta/dias/1839/05/04/pdfs/GMD-1839-1631.pdf#page=1","Abrir facsímil")</f>
        <v>Abrir facsímil</v>
      </c>
      <c r="K2391" s="12" t="s">
        <v>65</v>
      </c>
    </row>
    <row r="2392" spans="1:11" ht="40.049999999999997" customHeight="1" x14ac:dyDescent="0.25">
      <c r="A2392" s="11" t="s">
        <v>5222</v>
      </c>
      <c r="B2392" s="11" t="s">
        <v>5223</v>
      </c>
      <c r="C2392" s="11" t="s">
        <v>17</v>
      </c>
      <c r="D2392" s="11" t="s">
        <v>18</v>
      </c>
      <c r="E2392" s="12" t="s">
        <v>587</v>
      </c>
      <c r="F2392" s="12" t="s">
        <v>588</v>
      </c>
      <c r="G2392" s="12" t="s">
        <v>21</v>
      </c>
      <c r="H2392" s="11" t="s">
        <v>63</v>
      </c>
      <c r="I2392" s="13" t="s">
        <v>5224</v>
      </c>
      <c r="J2392" s="14" t="str">
        <f>HYPERLINK("https://www.boe.es/gazeta/dias/1839/05/02/pdfs/GMD-1839-1629.pdf#page=4","Abrir facsímil")</f>
        <v>Abrir facsímil</v>
      </c>
      <c r="K2392" s="12" t="s">
        <v>65</v>
      </c>
    </row>
    <row r="2393" spans="1:11" ht="40.049999999999997" customHeight="1" x14ac:dyDescent="0.25">
      <c r="A2393" s="11" t="s">
        <v>5225</v>
      </c>
      <c r="B2393" s="11" t="s">
        <v>5226</v>
      </c>
      <c r="C2393" s="11" t="s">
        <v>17</v>
      </c>
      <c r="D2393" s="11" t="s">
        <v>18</v>
      </c>
      <c r="E2393" s="12" t="s">
        <v>1672</v>
      </c>
      <c r="F2393" s="12" t="s">
        <v>1673</v>
      </c>
      <c r="G2393" s="12" t="s">
        <v>40</v>
      </c>
      <c r="H2393" s="11" t="s">
        <v>63</v>
      </c>
      <c r="I2393" s="13" t="s">
        <v>5227</v>
      </c>
      <c r="J2393" s="14" t="str">
        <f>HYPERLINK("https://www.boe.es/gazeta/dias/1839/08/24/pdfs/GMD-1839-1745.pdf#page=2","Abrir facsímil")</f>
        <v>Abrir facsímil</v>
      </c>
      <c r="K2393" s="12" t="s">
        <v>65</v>
      </c>
    </row>
    <row r="2394" spans="1:11" ht="40.049999999999997" customHeight="1" x14ac:dyDescent="0.25">
      <c r="A2394" s="11" t="s">
        <v>5228</v>
      </c>
      <c r="B2394" s="11" t="s">
        <v>5228</v>
      </c>
      <c r="C2394" s="11" t="s">
        <v>59</v>
      </c>
      <c r="D2394" s="11" t="s">
        <v>60</v>
      </c>
      <c r="E2394" s="12" t="s">
        <v>49</v>
      </c>
      <c r="F2394" s="12" t="s">
        <v>50</v>
      </c>
      <c r="G2394" s="12" t="s">
        <v>29</v>
      </c>
      <c r="H2394" s="11" t="s">
        <v>63</v>
      </c>
      <c r="I2394" s="13" t="s">
        <v>5229</v>
      </c>
      <c r="J2394" s="14" t="str">
        <f>HYPERLINK("https://www.boe.es/gazeta/dias/1839/01/05/pdfs/GMD-1839-1512.pdf#page=1","Abrir facsímil")</f>
        <v>Abrir facsímil</v>
      </c>
      <c r="K2394" s="12" t="s">
        <v>65</v>
      </c>
    </row>
    <row r="2395" spans="1:11" ht="40.049999999999997" customHeight="1" x14ac:dyDescent="0.25">
      <c r="A2395" s="11" t="s">
        <v>5228</v>
      </c>
      <c r="B2395" s="11" t="s">
        <v>5228</v>
      </c>
      <c r="C2395" s="11" t="s">
        <v>17</v>
      </c>
      <c r="D2395" s="11" t="s">
        <v>18</v>
      </c>
      <c r="E2395" s="12" t="s">
        <v>49</v>
      </c>
      <c r="F2395" s="12" t="s">
        <v>50</v>
      </c>
      <c r="G2395" s="12" t="s">
        <v>40</v>
      </c>
      <c r="H2395" s="11" t="s">
        <v>63</v>
      </c>
      <c r="I2395" s="13" t="s">
        <v>5230</v>
      </c>
      <c r="J2395" s="14" t="str">
        <f>HYPERLINK("https://www.boe.es/gazeta/dias/1839/01/05/pdfs/GMD-1839-1512.pdf#page=2","Abrir facsímil")</f>
        <v>Abrir facsímil</v>
      </c>
      <c r="K2395" s="12" t="s">
        <v>65</v>
      </c>
    </row>
    <row r="2396" spans="1:11" ht="40.049999999999997" customHeight="1" x14ac:dyDescent="0.25">
      <c r="A2396" s="11" t="s">
        <v>5231</v>
      </c>
      <c r="B2396" s="11" t="s">
        <v>5231</v>
      </c>
      <c r="C2396" s="11" t="s">
        <v>59</v>
      </c>
      <c r="D2396" s="11" t="s">
        <v>60</v>
      </c>
      <c r="E2396" s="12" t="s">
        <v>49</v>
      </c>
      <c r="F2396" s="12" t="s">
        <v>50</v>
      </c>
      <c r="G2396" s="12" t="s">
        <v>40</v>
      </c>
      <c r="H2396" s="11" t="s">
        <v>63</v>
      </c>
      <c r="I2396" s="13" t="s">
        <v>5232</v>
      </c>
      <c r="J2396" s="14" t="str">
        <f>HYPERLINK("https://www.boe.es/gazeta/dias/1839/01/05/pdfs/GMD-1839-1512.pdf#page=2","Abrir facsímil")</f>
        <v>Abrir facsímil</v>
      </c>
      <c r="K2396" s="12" t="s">
        <v>65</v>
      </c>
    </row>
    <row r="2397" spans="1:11" ht="40.049999999999997" customHeight="1" x14ac:dyDescent="0.25">
      <c r="A2397" s="11" t="s">
        <v>5231</v>
      </c>
      <c r="B2397" s="11" t="s">
        <v>5231</v>
      </c>
      <c r="C2397" s="11" t="s">
        <v>17</v>
      </c>
      <c r="D2397" s="11" t="s">
        <v>18</v>
      </c>
      <c r="E2397" s="12" t="s">
        <v>2021</v>
      </c>
      <c r="F2397" s="12" t="s">
        <v>2022</v>
      </c>
      <c r="G2397" s="12" t="s">
        <v>29</v>
      </c>
      <c r="H2397" s="11" t="s">
        <v>63</v>
      </c>
      <c r="I2397" s="13" t="s">
        <v>5233</v>
      </c>
      <c r="J2397" s="14" t="str">
        <f>HYPERLINK("https://www.boe.es/gazeta/dias/1839/02/17/pdfs/GMD-1839-1555.pdf#page=1","Abrir facsímil")</f>
        <v>Abrir facsímil</v>
      </c>
      <c r="K2397" s="12" t="s">
        <v>65</v>
      </c>
    </row>
    <row r="2398" spans="1:11" ht="40.049999999999997" customHeight="1" x14ac:dyDescent="0.25">
      <c r="A2398" s="11" t="s">
        <v>5234</v>
      </c>
      <c r="B2398" s="11" t="s">
        <v>5235</v>
      </c>
      <c r="C2398" s="11" t="s">
        <v>17</v>
      </c>
      <c r="D2398" s="11" t="s">
        <v>18</v>
      </c>
      <c r="E2398" s="12" t="s">
        <v>1144</v>
      </c>
      <c r="F2398" s="12" t="s">
        <v>1145</v>
      </c>
      <c r="G2398" s="12" t="s">
        <v>40</v>
      </c>
      <c r="H2398" s="11" t="s">
        <v>63</v>
      </c>
      <c r="I2398" s="13" t="s">
        <v>5236</v>
      </c>
      <c r="J2398" s="14" t="str">
        <f>HYPERLINK("https://www.boe.es/gazeta/dias/1839/08/13/pdfs/GMD-1839-1733.pdf#page=2","Abrir facsímil")</f>
        <v>Abrir facsímil</v>
      </c>
      <c r="K2398" s="12" t="s">
        <v>65</v>
      </c>
    </row>
    <row r="2399" spans="1:11" ht="40.049999999999997" customHeight="1" x14ac:dyDescent="0.25">
      <c r="A2399" s="11" t="s">
        <v>5237</v>
      </c>
      <c r="B2399" s="11" t="s">
        <v>5238</v>
      </c>
      <c r="C2399" s="11" t="s">
        <v>17</v>
      </c>
      <c r="D2399" s="11" t="s">
        <v>18</v>
      </c>
      <c r="E2399" s="12" t="s">
        <v>1072</v>
      </c>
      <c r="F2399" s="12" t="s">
        <v>1073</v>
      </c>
      <c r="G2399" s="12" t="s">
        <v>46</v>
      </c>
      <c r="H2399" s="11" t="s">
        <v>63</v>
      </c>
      <c r="I2399" s="13" t="s">
        <v>5239</v>
      </c>
      <c r="J2399" s="14" t="str">
        <f>HYPERLINK("https://www.boe.es/gazeta/dias/1839/01/18/pdfs/GMD-1839-1525.pdf#page=3","Abrir facsímil")</f>
        <v>Abrir facsímil</v>
      </c>
      <c r="K2399" s="12" t="s">
        <v>65</v>
      </c>
    </row>
    <row r="2400" spans="1:11" ht="40.049999999999997" customHeight="1" x14ac:dyDescent="0.25">
      <c r="A2400" s="11" t="s">
        <v>5240</v>
      </c>
      <c r="B2400" s="11" t="s">
        <v>5241</v>
      </c>
      <c r="C2400" s="11" t="s">
        <v>137</v>
      </c>
      <c r="D2400" s="11" t="s">
        <v>18</v>
      </c>
      <c r="E2400" s="12" t="s">
        <v>61</v>
      </c>
      <c r="F2400" s="12" t="s">
        <v>62</v>
      </c>
      <c r="G2400" s="12" t="s">
        <v>46</v>
      </c>
      <c r="H2400" s="11" t="s">
        <v>63</v>
      </c>
      <c r="I2400" s="13" t="s">
        <v>5242</v>
      </c>
      <c r="J2400" s="14" t="str">
        <f>HYPERLINK("https://www.boe.es/gazeta/dias/1839/09/10/pdfs/GMD-1839-1763.pdf#page=3","Abrir facsímil")</f>
        <v>Abrir facsímil</v>
      </c>
      <c r="K2400" s="12" t="s">
        <v>65</v>
      </c>
    </row>
    <row r="2401" spans="1:11" ht="40.049999999999997" customHeight="1" x14ac:dyDescent="0.25">
      <c r="A2401" s="11" t="s">
        <v>5240</v>
      </c>
      <c r="B2401" s="11" t="s">
        <v>5241</v>
      </c>
      <c r="C2401" s="11" t="s">
        <v>101</v>
      </c>
      <c r="D2401" s="11" t="s">
        <v>43</v>
      </c>
      <c r="E2401" s="12" t="s">
        <v>1179</v>
      </c>
      <c r="F2401" s="12" t="s">
        <v>1180</v>
      </c>
      <c r="G2401" s="12" t="s">
        <v>566</v>
      </c>
      <c r="H2401" s="11" t="s">
        <v>63</v>
      </c>
      <c r="I2401" s="13" t="s">
        <v>5243</v>
      </c>
      <c r="J2401" s="14" t="str">
        <f>HYPERLINK("https://www.boe.es/gazeta/dias/1839/10/18/pdfs/GMD-1839-1804.pdf#page=5","Abrir facsímil")</f>
        <v>Abrir facsímil</v>
      </c>
      <c r="K2401" s="12" t="s">
        <v>65</v>
      </c>
    </row>
    <row r="2402" spans="1:11" ht="40.049999999999997" customHeight="1" x14ac:dyDescent="0.25">
      <c r="A2402" s="11" t="s">
        <v>5244</v>
      </c>
      <c r="B2402" s="11" t="s">
        <v>5244</v>
      </c>
      <c r="C2402" s="11" t="s">
        <v>17</v>
      </c>
      <c r="D2402" s="11" t="s">
        <v>18</v>
      </c>
      <c r="E2402" s="12" t="s">
        <v>103</v>
      </c>
      <c r="F2402" s="12" t="s">
        <v>104</v>
      </c>
      <c r="G2402" s="12" t="s">
        <v>29</v>
      </c>
      <c r="H2402" s="11" t="s">
        <v>63</v>
      </c>
      <c r="I2402" s="13" t="s">
        <v>5245</v>
      </c>
      <c r="J2402" s="14" t="str">
        <f>HYPERLINK("https://www.boe.es/gazeta/dias/1839/10/12/pdfs/GMD-1839-1798.pdf#page=1","Abrir facsímil")</f>
        <v>Abrir facsímil</v>
      </c>
      <c r="K2402" s="12" t="s">
        <v>65</v>
      </c>
    </row>
    <row r="2403" spans="1:11" ht="40.049999999999997" customHeight="1" x14ac:dyDescent="0.25">
      <c r="A2403" s="11" t="s">
        <v>5246</v>
      </c>
      <c r="B2403" s="11" t="s">
        <v>5246</v>
      </c>
      <c r="C2403" s="11" t="s">
        <v>80</v>
      </c>
      <c r="D2403" s="11" t="s">
        <v>18</v>
      </c>
      <c r="E2403" s="12" t="s">
        <v>798</v>
      </c>
      <c r="F2403" s="12" t="s">
        <v>799</v>
      </c>
      <c r="G2403" s="12" t="s">
        <v>40</v>
      </c>
      <c r="H2403" s="11" t="s">
        <v>63</v>
      </c>
      <c r="I2403" s="13" t="s">
        <v>5247</v>
      </c>
      <c r="J2403" s="14" t="str">
        <f>HYPERLINK("https://www.boe.es/gazeta/dias/1839/09/03/pdfs/GMD-1839-1755.pdf#page=2","Abrir facsímil")</f>
        <v>Abrir facsímil</v>
      </c>
      <c r="K2403" s="12" t="s">
        <v>65</v>
      </c>
    </row>
    <row r="2404" spans="1:11" ht="40.049999999999997" customHeight="1" x14ac:dyDescent="0.25">
      <c r="A2404" s="11" t="s">
        <v>5248</v>
      </c>
      <c r="B2404" s="11" t="s">
        <v>5248</v>
      </c>
      <c r="C2404" s="11" t="s">
        <v>17</v>
      </c>
      <c r="D2404" s="11" t="s">
        <v>18</v>
      </c>
      <c r="E2404" s="12" t="s">
        <v>883</v>
      </c>
      <c r="F2404" s="12" t="s">
        <v>884</v>
      </c>
      <c r="G2404" s="12" t="s">
        <v>40</v>
      </c>
      <c r="H2404" s="11" t="s">
        <v>63</v>
      </c>
      <c r="I2404" s="13" t="s">
        <v>5249</v>
      </c>
      <c r="J2404" s="14" t="str">
        <f>HYPERLINK("https://www.boe.es/gazeta/dias/1839/11/03/pdfs/GMD-1839-1820.pdf#page=2","Abrir facsímil")</f>
        <v>Abrir facsímil</v>
      </c>
      <c r="K2404" s="12" t="s">
        <v>65</v>
      </c>
    </row>
    <row r="2405" spans="1:11" ht="40.049999999999997" customHeight="1" x14ac:dyDescent="0.25">
      <c r="A2405" s="11" t="s">
        <v>5250</v>
      </c>
      <c r="B2405" s="11" t="s">
        <v>5251</v>
      </c>
      <c r="C2405" s="11" t="s">
        <v>17</v>
      </c>
      <c r="D2405" s="11" t="s">
        <v>18</v>
      </c>
      <c r="E2405" s="12" t="s">
        <v>1310</v>
      </c>
      <c r="F2405" s="12" t="s">
        <v>1311</v>
      </c>
      <c r="G2405" s="12" t="s">
        <v>40</v>
      </c>
      <c r="H2405" s="11" t="s">
        <v>63</v>
      </c>
      <c r="I2405" s="13" t="s">
        <v>5252</v>
      </c>
      <c r="J2405" s="14" t="str">
        <f>HYPERLINK("https://www.boe.es/gazeta/dias/1839/04/23/pdfs/GMD-1839-1620.pdf#page=2","Abrir facsímil")</f>
        <v>Abrir facsímil</v>
      </c>
      <c r="K2405" s="12" t="s">
        <v>65</v>
      </c>
    </row>
    <row r="2406" spans="1:11" ht="40.049999999999997" customHeight="1" x14ac:dyDescent="0.25">
      <c r="A2406" s="11" t="s">
        <v>5253</v>
      </c>
      <c r="B2406" s="11" t="s">
        <v>5254</v>
      </c>
      <c r="C2406" s="11" t="s">
        <v>137</v>
      </c>
      <c r="D2406" s="11" t="s">
        <v>18</v>
      </c>
      <c r="E2406" s="12" t="s">
        <v>606</v>
      </c>
      <c r="F2406" s="12" t="s">
        <v>607</v>
      </c>
      <c r="G2406" s="12" t="s">
        <v>29</v>
      </c>
      <c r="H2406" s="11" t="s">
        <v>63</v>
      </c>
      <c r="I2406" s="13" t="s">
        <v>5255</v>
      </c>
      <c r="J2406" s="14" t="str">
        <f>HYPERLINK("https://www.boe.es/gazeta/dias/1839/04/02/pdfs/GMD-1839-1599.pdf#page=1","Abrir facsímil")</f>
        <v>Abrir facsímil</v>
      </c>
      <c r="K2406" s="12" t="s">
        <v>65</v>
      </c>
    </row>
    <row r="2407" spans="1:11" ht="40.049999999999997" customHeight="1" x14ac:dyDescent="0.25">
      <c r="A2407" s="11" t="s">
        <v>5256</v>
      </c>
      <c r="B2407" s="11" t="s">
        <v>5257</v>
      </c>
      <c r="C2407" s="11" t="s">
        <v>17</v>
      </c>
      <c r="D2407" s="11" t="s">
        <v>18</v>
      </c>
      <c r="E2407" s="12" t="s">
        <v>369</v>
      </c>
      <c r="F2407" s="12" t="s">
        <v>370</v>
      </c>
      <c r="G2407" s="12" t="s">
        <v>46</v>
      </c>
      <c r="H2407" s="11" t="s">
        <v>63</v>
      </c>
      <c r="I2407" s="13" t="s">
        <v>5258</v>
      </c>
      <c r="J2407" s="14" t="str">
        <f>HYPERLINK("https://www.boe.es/gazeta/dias/1839/11/01/pdfs/GMD-1839-1818.pdf#page=3","Abrir facsímil")</f>
        <v>Abrir facsímil</v>
      </c>
      <c r="K2407" s="12" t="s">
        <v>65</v>
      </c>
    </row>
    <row r="2408" spans="1:11" ht="40.049999999999997" customHeight="1" x14ac:dyDescent="0.25">
      <c r="A2408" s="11" t="s">
        <v>5259</v>
      </c>
      <c r="B2408" s="11" t="s">
        <v>5259</v>
      </c>
      <c r="C2408" s="11" t="s">
        <v>17</v>
      </c>
      <c r="D2408" s="11" t="s">
        <v>18</v>
      </c>
      <c r="E2408" s="12" t="s">
        <v>1340</v>
      </c>
      <c r="F2408" s="12" t="s">
        <v>1341</v>
      </c>
      <c r="G2408" s="12" t="s">
        <v>21</v>
      </c>
      <c r="H2408" s="11" t="s">
        <v>63</v>
      </c>
      <c r="I2408" s="13" t="s">
        <v>5260</v>
      </c>
      <c r="J2408" s="14" t="str">
        <f>HYPERLINK("https://www.boe.es/gazeta/dias/1839/05/05/pdfs/GMD-1839-1632.pdf#page=4","Abrir facsímil")</f>
        <v>Abrir facsímil</v>
      </c>
      <c r="K2408" s="12" t="s">
        <v>65</v>
      </c>
    </row>
    <row r="2409" spans="1:11" ht="40.049999999999997" customHeight="1" x14ac:dyDescent="0.25">
      <c r="A2409" s="11" t="s">
        <v>5261</v>
      </c>
      <c r="B2409" s="11" t="s">
        <v>5262</v>
      </c>
      <c r="C2409" s="11" t="s">
        <v>101</v>
      </c>
      <c r="D2409" s="11" t="s">
        <v>102</v>
      </c>
      <c r="E2409" s="12" t="s">
        <v>1562</v>
      </c>
      <c r="F2409" s="12" t="s">
        <v>1563</v>
      </c>
      <c r="G2409" s="12" t="s">
        <v>21</v>
      </c>
      <c r="H2409" s="11" t="s">
        <v>63</v>
      </c>
      <c r="I2409" s="13" t="s">
        <v>5263</v>
      </c>
      <c r="J2409" s="14" t="str">
        <f>HYPERLINK("https://www.boe.es/gazeta/dias/1839/04/08/pdfs/GMD-1839-1605.pdf#page=4","Abrir facsímil")</f>
        <v>Abrir facsímil</v>
      </c>
      <c r="K2409" s="12" t="s">
        <v>65</v>
      </c>
    </row>
    <row r="2410" spans="1:11" ht="40.049999999999997" customHeight="1" x14ac:dyDescent="0.25">
      <c r="A2410" s="11" t="s">
        <v>5264</v>
      </c>
      <c r="B2410" s="11" t="s">
        <v>5265</v>
      </c>
      <c r="C2410" s="11" t="s">
        <v>17</v>
      </c>
      <c r="D2410" s="11" t="s">
        <v>18</v>
      </c>
      <c r="E2410" s="12" t="s">
        <v>844</v>
      </c>
      <c r="F2410" s="12" t="s">
        <v>845</v>
      </c>
      <c r="G2410" s="12" t="s">
        <v>40</v>
      </c>
      <c r="H2410" s="11" t="s">
        <v>63</v>
      </c>
      <c r="I2410" s="13" t="s">
        <v>5266</v>
      </c>
      <c r="J2410" s="14" t="str">
        <f>HYPERLINK("https://www.boe.es/gazeta/dias/1839/12/24/pdfs/GMD-1839-1871.pdf#page=2","Abrir facsímil")</f>
        <v>Abrir facsímil</v>
      </c>
      <c r="K2410" s="12" t="s">
        <v>65</v>
      </c>
    </row>
    <row r="2411" spans="1:11" ht="40.049999999999997" customHeight="1" x14ac:dyDescent="0.25">
      <c r="A2411" s="11" t="s">
        <v>5267</v>
      </c>
      <c r="B2411" s="11" t="s">
        <v>5268</v>
      </c>
      <c r="C2411" s="11" t="s">
        <v>80</v>
      </c>
      <c r="D2411" s="11" t="s">
        <v>18</v>
      </c>
      <c r="E2411" s="12" t="s">
        <v>76</v>
      </c>
      <c r="F2411" s="12" t="s">
        <v>77</v>
      </c>
      <c r="G2411" s="12" t="s">
        <v>21</v>
      </c>
      <c r="H2411" s="11" t="s">
        <v>63</v>
      </c>
      <c r="I2411" s="13" t="s">
        <v>5269</v>
      </c>
      <c r="J2411" s="14" t="str">
        <f>HYPERLINK("https://www.boe.es/gazeta/dias/1839/03/13/pdfs/GMD-1839-1579.pdf#page=4","Abrir facsímil")</f>
        <v>Abrir facsímil</v>
      </c>
      <c r="K2411" s="12" t="s">
        <v>65</v>
      </c>
    </row>
    <row r="2412" spans="1:11" ht="40.049999999999997" customHeight="1" x14ac:dyDescent="0.25">
      <c r="A2412" s="11" t="s">
        <v>5270</v>
      </c>
      <c r="B2412" s="11" t="s">
        <v>5271</v>
      </c>
      <c r="C2412" s="11" t="s">
        <v>17</v>
      </c>
      <c r="D2412" s="11" t="s">
        <v>18</v>
      </c>
      <c r="E2412" s="12" t="s">
        <v>998</v>
      </c>
      <c r="F2412" s="12" t="s">
        <v>999</v>
      </c>
      <c r="G2412" s="12" t="s">
        <v>29</v>
      </c>
      <c r="H2412" s="11" t="s">
        <v>63</v>
      </c>
      <c r="I2412" s="13" t="s">
        <v>5272</v>
      </c>
      <c r="J2412" s="14" t="str">
        <f>HYPERLINK("https://www.boe.es/gazeta/dias/1839/05/06/pdfs/GMD-1839-1633.pdf#page=1","Abrir facsímil")</f>
        <v>Abrir facsímil</v>
      </c>
      <c r="K2412" s="12" t="s">
        <v>65</v>
      </c>
    </row>
    <row r="2413" spans="1:11" ht="40.049999999999997" customHeight="1" x14ac:dyDescent="0.25">
      <c r="A2413" s="11" t="s">
        <v>5273</v>
      </c>
      <c r="B2413" s="11" t="s">
        <v>5274</v>
      </c>
      <c r="C2413" s="11" t="s">
        <v>137</v>
      </c>
      <c r="D2413" s="11" t="s">
        <v>18</v>
      </c>
      <c r="E2413" s="12" t="s">
        <v>1008</v>
      </c>
      <c r="F2413" s="12" t="s">
        <v>1009</v>
      </c>
      <c r="G2413" s="12" t="s">
        <v>46</v>
      </c>
      <c r="H2413" s="11" t="s">
        <v>63</v>
      </c>
      <c r="I2413" s="13" t="s">
        <v>5275</v>
      </c>
      <c r="J2413" s="14" t="str">
        <f>HYPERLINK("https://www.boe.es/gazeta/dias/1839/09/07/pdfs/GMD-1839-1760.pdf#page=3","Abrir facsímil")</f>
        <v>Abrir facsímil</v>
      </c>
      <c r="K2413" s="12" t="s">
        <v>65</v>
      </c>
    </row>
    <row r="2414" spans="1:11" ht="40.049999999999997" customHeight="1" x14ac:dyDescent="0.25">
      <c r="A2414" s="11" t="s">
        <v>5276</v>
      </c>
      <c r="B2414" s="11" t="s">
        <v>5277</v>
      </c>
      <c r="C2414" s="11" t="s">
        <v>17</v>
      </c>
      <c r="D2414" s="11" t="s">
        <v>18</v>
      </c>
      <c r="E2414" s="12" t="s">
        <v>2415</v>
      </c>
      <c r="F2414" s="12" t="s">
        <v>2416</v>
      </c>
      <c r="G2414" s="12" t="s">
        <v>21</v>
      </c>
      <c r="H2414" s="11" t="s">
        <v>63</v>
      </c>
      <c r="I2414" s="13" t="s">
        <v>5278</v>
      </c>
      <c r="J2414" s="14" t="str">
        <f>HYPERLINK("https://www.boe.es/gazeta/dias/1839/12/22/pdfs/GMD-1839-1869.pdf#page=4","Abrir facsímil")</f>
        <v>Abrir facsímil</v>
      </c>
      <c r="K2414" s="12" t="s">
        <v>65</v>
      </c>
    </row>
    <row r="2415" spans="1:11" ht="40.049999999999997" customHeight="1" x14ac:dyDescent="0.25">
      <c r="A2415" s="11" t="s">
        <v>5279</v>
      </c>
      <c r="B2415" s="11" t="s">
        <v>5280</v>
      </c>
      <c r="C2415" s="11" t="s">
        <v>101</v>
      </c>
      <c r="D2415" s="11" t="s">
        <v>43</v>
      </c>
      <c r="E2415" s="12" t="s">
        <v>1179</v>
      </c>
      <c r="F2415" s="12" t="s">
        <v>1180</v>
      </c>
      <c r="G2415" s="12" t="s">
        <v>46</v>
      </c>
      <c r="H2415" s="11" t="s">
        <v>63</v>
      </c>
      <c r="I2415" s="13" t="s">
        <v>5281</v>
      </c>
      <c r="J2415" s="14" t="str">
        <f>HYPERLINK("https://www.boe.es/gazeta/dias/1839/10/18/pdfs/GMD-1839-1804.pdf#page=3","Abrir facsímil")</f>
        <v>Abrir facsímil</v>
      </c>
      <c r="K2415" s="12" t="s">
        <v>65</v>
      </c>
    </row>
    <row r="2416" spans="1:11" ht="40.049999999999997" customHeight="1" x14ac:dyDescent="0.25">
      <c r="A2416" s="11" t="s">
        <v>5282</v>
      </c>
      <c r="B2416" s="11" t="s">
        <v>5282</v>
      </c>
      <c r="C2416" s="11" t="s">
        <v>17</v>
      </c>
      <c r="D2416" s="11" t="s">
        <v>18</v>
      </c>
      <c r="E2416" s="12" t="s">
        <v>1012</v>
      </c>
      <c r="F2416" s="12" t="s">
        <v>1013</v>
      </c>
      <c r="G2416" s="12" t="s">
        <v>21</v>
      </c>
      <c r="H2416" s="11" t="s">
        <v>63</v>
      </c>
      <c r="I2416" s="13" t="s">
        <v>5283</v>
      </c>
      <c r="J2416" s="14" t="str">
        <f>HYPERLINK("https://www.boe.es/gazeta/dias/1839/11/22/pdfs/GMD-1839-1839.pdf#page=4","Abrir facsímil")</f>
        <v>Abrir facsímil</v>
      </c>
      <c r="K2416" s="12" t="s">
        <v>65</v>
      </c>
    </row>
    <row r="2417" spans="1:11" ht="40.049999999999997" customHeight="1" x14ac:dyDescent="0.25">
      <c r="A2417" s="11" t="s">
        <v>5284</v>
      </c>
      <c r="B2417" s="11" t="s">
        <v>5285</v>
      </c>
      <c r="C2417" s="11" t="s">
        <v>17</v>
      </c>
      <c r="D2417" s="11" t="s">
        <v>18</v>
      </c>
      <c r="E2417" s="12" t="s">
        <v>1027</v>
      </c>
      <c r="F2417" s="12" t="s">
        <v>1028</v>
      </c>
      <c r="G2417" s="12" t="s">
        <v>21</v>
      </c>
      <c r="H2417" s="11" t="s">
        <v>63</v>
      </c>
      <c r="I2417" s="13" t="s">
        <v>5286</v>
      </c>
      <c r="J2417" s="14" t="str">
        <f>HYPERLINK("https://www.boe.es/gazeta/dias/1839/08/16/pdfs/GMD-1839-1736.pdf#page=4","Abrir facsímil")</f>
        <v>Abrir facsímil</v>
      </c>
      <c r="K2417" s="12" t="s">
        <v>65</v>
      </c>
    </row>
    <row r="2418" spans="1:11" ht="40.049999999999997" customHeight="1" x14ac:dyDescent="0.25">
      <c r="A2418" s="11" t="s">
        <v>5287</v>
      </c>
      <c r="B2418" s="11" t="s">
        <v>5288</v>
      </c>
      <c r="C2418" s="11" t="s">
        <v>17</v>
      </c>
      <c r="D2418" s="11" t="s">
        <v>18</v>
      </c>
      <c r="E2418" s="12" t="s">
        <v>1136</v>
      </c>
      <c r="F2418" s="12" t="s">
        <v>1137</v>
      </c>
      <c r="G2418" s="12" t="s">
        <v>46</v>
      </c>
      <c r="H2418" s="11" t="s">
        <v>63</v>
      </c>
      <c r="I2418" s="13" t="s">
        <v>5289</v>
      </c>
      <c r="J2418" s="14" t="str">
        <f>HYPERLINK("https://www.boe.es/gazeta/dias/1839/04/03/pdfs/GMD-1839-1600.pdf#page=3","Abrir facsímil")</f>
        <v>Abrir facsímil</v>
      </c>
      <c r="K2418" s="12" t="s">
        <v>65</v>
      </c>
    </row>
    <row r="2419" spans="1:11" ht="40.049999999999997" customHeight="1" x14ac:dyDescent="0.25">
      <c r="A2419" s="11" t="s">
        <v>5290</v>
      </c>
      <c r="B2419" s="11" t="s">
        <v>5290</v>
      </c>
      <c r="C2419" s="11" t="s">
        <v>17</v>
      </c>
      <c r="D2419" s="11" t="s">
        <v>18</v>
      </c>
      <c r="E2419" s="12" t="s">
        <v>258</v>
      </c>
      <c r="F2419" s="12" t="s">
        <v>259</v>
      </c>
      <c r="G2419" s="12" t="s">
        <v>21</v>
      </c>
      <c r="H2419" s="11" t="s">
        <v>63</v>
      </c>
      <c r="I2419" s="13" t="s">
        <v>5291</v>
      </c>
      <c r="J2419" s="14" t="str">
        <f>HYPERLINK("https://www.boe.es/gazeta/dias/1839/01/02/pdfs/GMD-1839-1509.pdf#page=4","Abrir facsímil")</f>
        <v>Abrir facsímil</v>
      </c>
      <c r="K2419" s="12" t="s">
        <v>65</v>
      </c>
    </row>
    <row r="2420" spans="1:11" ht="40.049999999999997" customHeight="1" x14ac:dyDescent="0.25">
      <c r="A2420" s="11" t="s">
        <v>5292</v>
      </c>
      <c r="B2420" s="11" t="s">
        <v>5293</v>
      </c>
      <c r="C2420" s="11" t="s">
        <v>17</v>
      </c>
      <c r="D2420" s="11" t="s">
        <v>18</v>
      </c>
      <c r="E2420" s="12" t="s">
        <v>3633</v>
      </c>
      <c r="F2420" s="12" t="s">
        <v>3634</v>
      </c>
      <c r="G2420" s="12" t="s">
        <v>40</v>
      </c>
      <c r="H2420" s="11" t="s">
        <v>63</v>
      </c>
      <c r="I2420" s="13" t="s">
        <v>5294</v>
      </c>
      <c r="J2420" s="14" t="str">
        <f>HYPERLINK("https://www.boe.es/gazeta/dias/1839/04/12/pdfs/GMD-1839-1609.pdf#page=2","Abrir facsímil")</f>
        <v>Abrir facsímil</v>
      </c>
      <c r="K2420" s="12" t="s">
        <v>65</v>
      </c>
    </row>
    <row r="2421" spans="1:11" ht="40.049999999999997" customHeight="1" x14ac:dyDescent="0.25">
      <c r="A2421" s="11" t="s">
        <v>5295</v>
      </c>
      <c r="B2421" s="11" t="s">
        <v>5296</v>
      </c>
      <c r="C2421" s="11" t="s">
        <v>101</v>
      </c>
      <c r="D2421" s="11" t="s">
        <v>43</v>
      </c>
      <c r="E2421" s="12" t="s">
        <v>157</v>
      </c>
      <c r="F2421" s="12" t="s">
        <v>158</v>
      </c>
      <c r="G2421" s="12" t="s">
        <v>21</v>
      </c>
      <c r="H2421" s="11" t="s">
        <v>22</v>
      </c>
      <c r="I2421" s="13" t="s">
        <v>5297</v>
      </c>
      <c r="J2421" s="14" t="str">
        <f>HYPERLINK("https://www.boe.es/gazeta/dias/1839/02/08/pdfs/GMD-1839-1546.pdf#page=4","Abrir facsímil")</f>
        <v>Abrir facsímil</v>
      </c>
      <c r="K2421" s="12" t="s">
        <v>24</v>
      </c>
    </row>
    <row r="2422" spans="1:11" ht="40.049999999999997" customHeight="1" x14ac:dyDescent="0.25">
      <c r="A2422" s="11" t="s">
        <v>5298</v>
      </c>
      <c r="B2422" s="11" t="s">
        <v>5299</v>
      </c>
      <c r="C2422" s="11" t="s">
        <v>80</v>
      </c>
      <c r="D2422" s="11" t="s">
        <v>18</v>
      </c>
      <c r="E2422" s="12" t="s">
        <v>798</v>
      </c>
      <c r="F2422" s="12" t="s">
        <v>799</v>
      </c>
      <c r="G2422" s="12" t="s">
        <v>40</v>
      </c>
      <c r="H2422" s="11" t="s">
        <v>63</v>
      </c>
      <c r="I2422" s="13" t="s">
        <v>5300</v>
      </c>
      <c r="J2422" s="14" t="str">
        <f>HYPERLINK("https://www.boe.es/gazeta/dias/1839/09/03/pdfs/GMD-1839-1755.pdf#page=2","Abrir facsímil")</f>
        <v>Abrir facsímil</v>
      </c>
      <c r="K2422" s="12" t="s">
        <v>65</v>
      </c>
    </row>
    <row r="2423" spans="1:11" ht="40.049999999999997" customHeight="1" x14ac:dyDescent="0.25">
      <c r="A2423" s="11" t="s">
        <v>5298</v>
      </c>
      <c r="B2423" s="11" t="s">
        <v>5299</v>
      </c>
      <c r="C2423" s="11" t="s">
        <v>17</v>
      </c>
      <c r="D2423" s="11" t="s">
        <v>18</v>
      </c>
      <c r="E2423" s="12" t="s">
        <v>1008</v>
      </c>
      <c r="F2423" s="12" t="s">
        <v>1009</v>
      </c>
      <c r="G2423" s="12" t="s">
        <v>46</v>
      </c>
      <c r="H2423" s="11" t="s">
        <v>63</v>
      </c>
      <c r="I2423" s="13" t="s">
        <v>5301</v>
      </c>
      <c r="J2423" s="14" t="str">
        <f>HYPERLINK("https://www.boe.es/gazeta/dias/1839/09/07/pdfs/GMD-1839-1760.pdf#page=3","Abrir facsímil")</f>
        <v>Abrir facsímil</v>
      </c>
      <c r="K2423" s="12" t="s">
        <v>65</v>
      </c>
    </row>
    <row r="2424" spans="1:11" ht="40.049999999999997" customHeight="1" x14ac:dyDescent="0.25">
      <c r="A2424" s="11" t="s">
        <v>5298</v>
      </c>
      <c r="B2424" s="11" t="s">
        <v>5299</v>
      </c>
      <c r="C2424" s="11" t="s">
        <v>17</v>
      </c>
      <c r="D2424" s="11" t="s">
        <v>18</v>
      </c>
      <c r="E2424" s="12" t="s">
        <v>804</v>
      </c>
      <c r="F2424" s="12" t="s">
        <v>805</v>
      </c>
      <c r="G2424" s="12" t="s">
        <v>40</v>
      </c>
      <c r="H2424" s="11" t="s">
        <v>63</v>
      </c>
      <c r="I2424" s="13" t="s">
        <v>5302</v>
      </c>
      <c r="J2424" s="14" t="str">
        <f>HYPERLINK("https://www.boe.es/gazeta/dias/1839/01/08/pdfs/GMD-1839-1515.pdf#page=2","Abrir facsímil")</f>
        <v>Abrir facsímil</v>
      </c>
      <c r="K2424" s="12" t="s">
        <v>65</v>
      </c>
    </row>
    <row r="2425" spans="1:11" ht="40.049999999999997" customHeight="1" x14ac:dyDescent="0.25">
      <c r="A2425" s="11" t="s">
        <v>5298</v>
      </c>
      <c r="B2425" s="11" t="s">
        <v>5299</v>
      </c>
      <c r="C2425" s="11" t="s">
        <v>59</v>
      </c>
      <c r="D2425" s="11" t="s">
        <v>60</v>
      </c>
      <c r="E2425" s="12" t="s">
        <v>561</v>
      </c>
      <c r="F2425" s="12" t="s">
        <v>562</v>
      </c>
      <c r="G2425" s="12" t="s">
        <v>40</v>
      </c>
      <c r="H2425" s="11" t="s">
        <v>63</v>
      </c>
      <c r="I2425" s="13" t="s">
        <v>5303</v>
      </c>
      <c r="J2425" s="14" t="str">
        <f>HYPERLINK("https://www.boe.es/gazeta/dias/1839/09/11/pdfs/GMD-1839-1764.pdf#page=2","Abrir facsímil")</f>
        <v>Abrir facsímil</v>
      </c>
      <c r="K2425" s="12" t="s">
        <v>65</v>
      </c>
    </row>
    <row r="2426" spans="1:11" ht="40.049999999999997" customHeight="1" x14ac:dyDescent="0.25">
      <c r="A2426" s="11" t="s">
        <v>5298</v>
      </c>
      <c r="B2426" s="11" t="s">
        <v>5299</v>
      </c>
      <c r="C2426" s="11" t="s">
        <v>17</v>
      </c>
      <c r="D2426" s="11" t="s">
        <v>18</v>
      </c>
      <c r="E2426" s="12" t="s">
        <v>561</v>
      </c>
      <c r="F2426" s="12" t="s">
        <v>562</v>
      </c>
      <c r="G2426" s="12" t="s">
        <v>46</v>
      </c>
      <c r="H2426" s="11" t="s">
        <v>63</v>
      </c>
      <c r="I2426" s="13" t="s">
        <v>5304</v>
      </c>
      <c r="J2426" s="14" t="str">
        <f>HYPERLINK("https://www.boe.es/gazeta/dias/1839/09/11/pdfs/GMD-1839-1764.pdf#page=3","Abrir facsímil")</f>
        <v>Abrir facsímil</v>
      </c>
      <c r="K2426" s="12" t="s">
        <v>65</v>
      </c>
    </row>
    <row r="2427" spans="1:11" ht="40.049999999999997" customHeight="1" x14ac:dyDescent="0.25">
      <c r="A2427" s="11" t="s">
        <v>5298</v>
      </c>
      <c r="B2427" s="11" t="s">
        <v>5299</v>
      </c>
      <c r="C2427" s="11" t="s">
        <v>17</v>
      </c>
      <c r="D2427" s="11" t="s">
        <v>18</v>
      </c>
      <c r="E2427" s="12" t="s">
        <v>1179</v>
      </c>
      <c r="F2427" s="12" t="s">
        <v>1180</v>
      </c>
      <c r="G2427" s="12" t="s">
        <v>21</v>
      </c>
      <c r="H2427" s="11" t="s">
        <v>63</v>
      </c>
      <c r="I2427" s="13" t="s">
        <v>5305</v>
      </c>
      <c r="J2427" s="14" t="str">
        <f>HYPERLINK("https://www.boe.es/gazeta/dias/1839/10/18/pdfs/GMD-1839-1804.pdf#page=4","Abrir facsímil")</f>
        <v>Abrir facsímil</v>
      </c>
      <c r="K2427" s="12" t="s">
        <v>65</v>
      </c>
    </row>
    <row r="2428" spans="1:11" ht="40.049999999999997" customHeight="1" x14ac:dyDescent="0.25">
      <c r="A2428" s="11" t="s">
        <v>5306</v>
      </c>
      <c r="B2428" s="11" t="s">
        <v>5307</v>
      </c>
      <c r="C2428" s="11" t="s">
        <v>137</v>
      </c>
      <c r="D2428" s="11" t="s">
        <v>18</v>
      </c>
      <c r="E2428" s="12" t="s">
        <v>230</v>
      </c>
      <c r="F2428" s="12" t="s">
        <v>231</v>
      </c>
      <c r="G2428" s="12" t="s">
        <v>40</v>
      </c>
      <c r="H2428" s="11" t="s">
        <v>22</v>
      </c>
      <c r="I2428" s="13" t="s">
        <v>5308</v>
      </c>
      <c r="J2428" s="14" t="str">
        <f>HYPERLINK("https://www.boe.es/gazeta/dias/1839/09/16/pdfs/GMD-1839-1769.pdf#page=2","Abrir facsímil")</f>
        <v>Abrir facsímil</v>
      </c>
      <c r="K2428" s="12" t="s">
        <v>24</v>
      </c>
    </row>
    <row r="2429" spans="1:11" ht="40.049999999999997" customHeight="1" x14ac:dyDescent="0.25">
      <c r="A2429" s="11" t="s">
        <v>5309</v>
      </c>
      <c r="B2429" s="11" t="s">
        <v>5310</v>
      </c>
      <c r="C2429" s="11" t="s">
        <v>101</v>
      </c>
      <c r="D2429" s="11" t="s">
        <v>43</v>
      </c>
      <c r="E2429" s="12" t="s">
        <v>230</v>
      </c>
      <c r="F2429" s="12" t="s">
        <v>231</v>
      </c>
      <c r="G2429" s="12" t="s">
        <v>40</v>
      </c>
      <c r="H2429" s="11" t="s">
        <v>63</v>
      </c>
      <c r="I2429" s="13" t="s">
        <v>5311</v>
      </c>
      <c r="J2429" s="14" t="str">
        <f>HYPERLINK("https://www.boe.es/gazeta/dias/1839/09/16/pdfs/GMD-1839-1769.pdf#page=2","Abrir facsímil")</f>
        <v>Abrir facsímil</v>
      </c>
      <c r="K2429" s="12" t="s">
        <v>65</v>
      </c>
    </row>
    <row r="2430" spans="1:11" ht="40.049999999999997" customHeight="1" x14ac:dyDescent="0.25">
      <c r="A2430" s="11" t="s">
        <v>5309</v>
      </c>
      <c r="B2430" s="11" t="s">
        <v>5310</v>
      </c>
      <c r="C2430" s="11" t="s">
        <v>17</v>
      </c>
      <c r="D2430" s="11" t="s">
        <v>18</v>
      </c>
      <c r="E2430" s="12" t="s">
        <v>230</v>
      </c>
      <c r="F2430" s="12" t="s">
        <v>231</v>
      </c>
      <c r="G2430" s="12" t="s">
        <v>46</v>
      </c>
      <c r="H2430" s="11" t="s">
        <v>63</v>
      </c>
      <c r="I2430" s="13" t="s">
        <v>5312</v>
      </c>
      <c r="J2430" s="14" t="str">
        <f>HYPERLINK("https://www.boe.es/gazeta/dias/1839/09/16/pdfs/GMD-1839-1769.pdf#page=3","Abrir facsímil")</f>
        <v>Abrir facsímil</v>
      </c>
      <c r="K2430" s="12" t="s">
        <v>65</v>
      </c>
    </row>
    <row r="2431" spans="1:11" ht="40.049999999999997" customHeight="1" x14ac:dyDescent="0.25">
      <c r="A2431" s="11" t="s">
        <v>5313</v>
      </c>
      <c r="B2431" s="11" t="s">
        <v>5313</v>
      </c>
      <c r="C2431" s="11" t="s">
        <v>101</v>
      </c>
      <c r="D2431" s="11" t="s">
        <v>43</v>
      </c>
      <c r="E2431" s="12" t="s">
        <v>303</v>
      </c>
      <c r="F2431" s="12" t="s">
        <v>304</v>
      </c>
      <c r="G2431" s="12" t="s">
        <v>29</v>
      </c>
      <c r="H2431" s="11" t="s">
        <v>63</v>
      </c>
      <c r="I2431" s="13" t="s">
        <v>5314</v>
      </c>
      <c r="J2431" s="14" t="str">
        <f>HYPERLINK("https://www.boe.es/gazeta/dias/1839/10/06/pdfs/GMD-1839-1792.pdf#page=1","Abrir facsímil")</f>
        <v>Abrir facsímil</v>
      </c>
      <c r="K2431" s="12" t="s">
        <v>65</v>
      </c>
    </row>
    <row r="2432" spans="1:11" ht="40.049999999999997" customHeight="1" x14ac:dyDescent="0.25">
      <c r="A2432" s="11" t="s">
        <v>5315</v>
      </c>
      <c r="B2432" s="11" t="s">
        <v>5316</v>
      </c>
      <c r="C2432" s="11" t="s">
        <v>17</v>
      </c>
      <c r="D2432" s="11" t="s">
        <v>18</v>
      </c>
      <c r="E2432" s="12" t="s">
        <v>1179</v>
      </c>
      <c r="F2432" s="12" t="s">
        <v>1180</v>
      </c>
      <c r="G2432" s="12" t="s">
        <v>46</v>
      </c>
      <c r="H2432" s="11" t="s">
        <v>63</v>
      </c>
      <c r="I2432" s="13" t="s">
        <v>5317</v>
      </c>
      <c r="J2432" s="14" t="str">
        <f>HYPERLINK("https://www.boe.es/gazeta/dias/1839/10/18/pdfs/GMD-1839-1804.pdf#page=3","Abrir facsímil")</f>
        <v>Abrir facsímil</v>
      </c>
      <c r="K2432" s="12" t="s">
        <v>65</v>
      </c>
    </row>
    <row r="2433" spans="1:11" ht="40.049999999999997" customHeight="1" x14ac:dyDescent="0.25">
      <c r="A2433" s="11" t="s">
        <v>5318</v>
      </c>
      <c r="B2433" s="11" t="s">
        <v>5318</v>
      </c>
      <c r="C2433" s="11" t="s">
        <v>101</v>
      </c>
      <c r="D2433" s="11" t="s">
        <v>102</v>
      </c>
      <c r="E2433" s="12" t="s">
        <v>212</v>
      </c>
      <c r="F2433" s="12" t="s">
        <v>213</v>
      </c>
      <c r="G2433" s="12" t="s">
        <v>40</v>
      </c>
      <c r="H2433" s="11" t="s">
        <v>63</v>
      </c>
      <c r="I2433" s="13" t="s">
        <v>5319</v>
      </c>
      <c r="J2433" s="14" t="str">
        <f>HYPERLINK("https://www.boe.es/gazeta/dias/1839/10/03/pdfs/GMD-1839-1789.pdf#page=2","Abrir facsímil")</f>
        <v>Abrir facsímil</v>
      </c>
      <c r="K2433" s="12" t="s">
        <v>65</v>
      </c>
    </row>
    <row r="2434" spans="1:11" ht="40.049999999999997" customHeight="1" x14ac:dyDescent="0.25">
      <c r="A2434" s="11" t="s">
        <v>5320</v>
      </c>
      <c r="B2434" s="11" t="s">
        <v>5321</v>
      </c>
      <c r="C2434" s="11" t="s">
        <v>59</v>
      </c>
      <c r="D2434" s="11" t="s">
        <v>60</v>
      </c>
      <c r="E2434" s="12" t="s">
        <v>375</v>
      </c>
      <c r="F2434" s="12" t="s">
        <v>376</v>
      </c>
      <c r="G2434" s="12" t="s">
        <v>21</v>
      </c>
      <c r="H2434" s="11" t="s">
        <v>63</v>
      </c>
      <c r="I2434" s="13" t="s">
        <v>5322</v>
      </c>
      <c r="J2434" s="14" t="str">
        <f>HYPERLINK("https://www.boe.es/gazeta/dias/1839/11/25/pdfs/GMD-1839-1842.pdf#page=4","Abrir facsímil")</f>
        <v>Abrir facsímil</v>
      </c>
      <c r="K2434" s="12" t="s">
        <v>65</v>
      </c>
    </row>
    <row r="2435" spans="1:11" ht="40.049999999999997" customHeight="1" x14ac:dyDescent="0.25">
      <c r="A2435" s="11" t="s">
        <v>5323</v>
      </c>
      <c r="B2435" s="11" t="s">
        <v>5323</v>
      </c>
      <c r="C2435" s="11" t="s">
        <v>17</v>
      </c>
      <c r="D2435" s="11" t="s">
        <v>18</v>
      </c>
      <c r="E2435" s="12" t="s">
        <v>132</v>
      </c>
      <c r="F2435" s="12" t="s">
        <v>133</v>
      </c>
      <c r="G2435" s="12" t="s">
        <v>29</v>
      </c>
      <c r="H2435" s="11" t="s">
        <v>63</v>
      </c>
      <c r="I2435" s="13" t="s">
        <v>5324</v>
      </c>
      <c r="J2435" s="14" t="str">
        <f>HYPERLINK("https://www.boe.es/gazeta/dias/1839/08/02/pdfs/GMD-1839-1722.pdf#page=1","Abrir facsímil")</f>
        <v>Abrir facsímil</v>
      </c>
      <c r="K2435" s="12" t="s">
        <v>65</v>
      </c>
    </row>
    <row r="2436" spans="1:11" ht="40.049999999999997" customHeight="1" x14ac:dyDescent="0.25">
      <c r="A2436" s="11" t="s">
        <v>5323</v>
      </c>
      <c r="B2436" s="11" t="s">
        <v>5323</v>
      </c>
      <c r="C2436" s="11" t="s">
        <v>17</v>
      </c>
      <c r="D2436" s="11" t="s">
        <v>18</v>
      </c>
      <c r="E2436" s="12" t="s">
        <v>782</v>
      </c>
      <c r="F2436" s="12" t="s">
        <v>783</v>
      </c>
      <c r="G2436" s="12" t="s">
        <v>29</v>
      </c>
      <c r="H2436" s="11" t="s">
        <v>63</v>
      </c>
      <c r="I2436" s="13" t="s">
        <v>5325</v>
      </c>
      <c r="J2436" s="14" t="str">
        <f>HYPERLINK("https://www.boe.es/gazeta/dias/1839/05/09/pdfs/GMD-1839-1636.pdf#page=1","Abrir facsímil")</f>
        <v>Abrir facsímil</v>
      </c>
      <c r="K2436" s="12" t="s">
        <v>65</v>
      </c>
    </row>
    <row r="2437" spans="1:11" ht="40.049999999999997" customHeight="1" x14ac:dyDescent="0.25">
      <c r="A2437" s="11" t="s">
        <v>5323</v>
      </c>
      <c r="B2437" s="11" t="s">
        <v>5323</v>
      </c>
      <c r="C2437" s="11" t="s">
        <v>80</v>
      </c>
      <c r="D2437" s="11" t="s">
        <v>18</v>
      </c>
      <c r="E2437" s="12" t="s">
        <v>3289</v>
      </c>
      <c r="F2437" s="12" t="s">
        <v>3290</v>
      </c>
      <c r="G2437" s="12" t="s">
        <v>29</v>
      </c>
      <c r="H2437" s="11" t="s">
        <v>63</v>
      </c>
      <c r="I2437" s="13" t="s">
        <v>5326</v>
      </c>
      <c r="J2437" s="14" t="str">
        <f>HYPERLINK("https://www.boe.es/gazeta/dias/1839/12/10/pdfs/GMD-1839-1857.pdf#page=1","Abrir facsímil")</f>
        <v>Abrir facsímil</v>
      </c>
      <c r="K2437" s="12" t="s">
        <v>65</v>
      </c>
    </row>
    <row r="2438" spans="1:11" ht="40.049999999999997" customHeight="1" x14ac:dyDescent="0.25">
      <c r="A2438" s="11" t="s">
        <v>5323</v>
      </c>
      <c r="B2438" s="11" t="s">
        <v>5323</v>
      </c>
      <c r="C2438" s="11" t="s">
        <v>137</v>
      </c>
      <c r="D2438" s="11" t="s">
        <v>18</v>
      </c>
      <c r="E2438" s="12" t="s">
        <v>888</v>
      </c>
      <c r="F2438" s="12" t="s">
        <v>889</v>
      </c>
      <c r="G2438" s="12" t="s">
        <v>29</v>
      </c>
      <c r="H2438" s="11" t="s">
        <v>63</v>
      </c>
      <c r="I2438" s="13" t="s">
        <v>5327</v>
      </c>
      <c r="J2438" s="14" t="str">
        <f>HYPERLINK("https://www.boe.es/gazeta/dias/1839/05/14/pdfs/GMD-1839-1641.pdf#page=1","Abrir facsímil")</f>
        <v>Abrir facsímil</v>
      </c>
      <c r="K2438" s="12" t="s">
        <v>65</v>
      </c>
    </row>
    <row r="2439" spans="1:11" ht="40.049999999999997" customHeight="1" x14ac:dyDescent="0.25">
      <c r="A2439" s="11" t="s">
        <v>5323</v>
      </c>
      <c r="B2439" s="11" t="s">
        <v>5323</v>
      </c>
      <c r="C2439" s="11" t="s">
        <v>17</v>
      </c>
      <c r="D2439" s="11" t="s">
        <v>18</v>
      </c>
      <c r="E2439" s="12" t="s">
        <v>343</v>
      </c>
      <c r="F2439" s="12" t="s">
        <v>344</v>
      </c>
      <c r="G2439" s="12" t="s">
        <v>29</v>
      </c>
      <c r="H2439" s="11" t="s">
        <v>63</v>
      </c>
      <c r="I2439" s="13" t="s">
        <v>5328</v>
      </c>
      <c r="J2439" s="14" t="str">
        <f>HYPERLINK("https://www.boe.es/gazeta/dias/1839/05/20/pdfs/GMD-1839-1647.pdf#page=1","Abrir facsímil")</f>
        <v>Abrir facsímil</v>
      </c>
      <c r="K2439" s="12" t="s">
        <v>65</v>
      </c>
    </row>
    <row r="2440" spans="1:11" ht="40.049999999999997" customHeight="1" x14ac:dyDescent="0.25">
      <c r="A2440" s="11" t="s">
        <v>5323</v>
      </c>
      <c r="B2440" s="11" t="s">
        <v>5323</v>
      </c>
      <c r="C2440" s="11" t="s">
        <v>17</v>
      </c>
      <c r="D2440" s="11" t="s">
        <v>18</v>
      </c>
      <c r="E2440" s="12" t="s">
        <v>2392</v>
      </c>
      <c r="F2440" s="12" t="s">
        <v>2393</v>
      </c>
      <c r="G2440" s="12" t="s">
        <v>40</v>
      </c>
      <c r="H2440" s="11" t="s">
        <v>63</v>
      </c>
      <c r="I2440" s="13" t="s">
        <v>5329</v>
      </c>
      <c r="J2440" s="14" t="str">
        <f>HYPERLINK("https://www.boe.es/gazeta/dias/1839/05/21/pdfs/GMD-1839-1648.pdf#page=2","Abrir facsímil")</f>
        <v>Abrir facsímil</v>
      </c>
      <c r="K2440" s="12" t="s">
        <v>65</v>
      </c>
    </row>
    <row r="2441" spans="1:11" ht="40.049999999999997" customHeight="1" x14ac:dyDescent="0.25">
      <c r="A2441" s="11" t="s">
        <v>5330</v>
      </c>
      <c r="B2441" s="11" t="s">
        <v>5331</v>
      </c>
      <c r="C2441" s="11" t="s">
        <v>101</v>
      </c>
      <c r="D2441" s="11" t="s">
        <v>43</v>
      </c>
      <c r="E2441" s="12" t="s">
        <v>577</v>
      </c>
      <c r="F2441" s="12" t="s">
        <v>578</v>
      </c>
      <c r="G2441" s="12" t="s">
        <v>40</v>
      </c>
      <c r="H2441" s="11" t="s">
        <v>63</v>
      </c>
      <c r="I2441" s="13" t="s">
        <v>5332</v>
      </c>
      <c r="J2441" s="14" t="str">
        <f>HYPERLINK("https://www.boe.es/gazeta/dias/1839/09/30/pdfs/GMD-1839-1786.pdf#page=2","Abrir facsímil")</f>
        <v>Abrir facsímil</v>
      </c>
      <c r="K2441" s="12" t="s">
        <v>65</v>
      </c>
    </row>
    <row r="2442" spans="1:11" ht="40.049999999999997" customHeight="1" x14ac:dyDescent="0.25">
      <c r="A2442" s="11" t="s">
        <v>5333</v>
      </c>
      <c r="B2442" s="11" t="s">
        <v>5334</v>
      </c>
      <c r="C2442" s="11" t="s">
        <v>17</v>
      </c>
      <c r="D2442" s="11" t="s">
        <v>18</v>
      </c>
      <c r="E2442" s="12" t="s">
        <v>1012</v>
      </c>
      <c r="F2442" s="12" t="s">
        <v>1013</v>
      </c>
      <c r="G2442" s="12" t="s">
        <v>46</v>
      </c>
      <c r="H2442" s="11" t="s">
        <v>63</v>
      </c>
      <c r="I2442" s="13" t="s">
        <v>5335</v>
      </c>
      <c r="J2442" s="14" t="str">
        <f>HYPERLINK("https://www.boe.es/gazeta/dias/1839/11/22/pdfs/GMD-1839-1839.pdf#page=3","Abrir facsímil")</f>
        <v>Abrir facsímil</v>
      </c>
      <c r="K2442" s="12" t="s">
        <v>65</v>
      </c>
    </row>
    <row r="2443" spans="1:11" ht="40.049999999999997" customHeight="1" x14ac:dyDescent="0.25">
      <c r="A2443" s="11" t="s">
        <v>5336</v>
      </c>
      <c r="B2443" s="11" t="s">
        <v>5336</v>
      </c>
      <c r="C2443" s="11" t="s">
        <v>80</v>
      </c>
      <c r="D2443" s="11" t="s">
        <v>18</v>
      </c>
      <c r="E2443" s="12" t="s">
        <v>1001</v>
      </c>
      <c r="F2443" s="12" t="s">
        <v>1002</v>
      </c>
      <c r="G2443" s="12" t="s">
        <v>29</v>
      </c>
      <c r="H2443" s="11" t="s">
        <v>63</v>
      </c>
      <c r="I2443" s="13" t="s">
        <v>5337</v>
      </c>
      <c r="J2443" s="14" t="str">
        <f>HYPERLINK("https://www.boe.es/gazeta/dias/1839/07/09/pdfs/GMD-1839-1697.pdf#page=1","Abrir facsímil")</f>
        <v>Abrir facsímil</v>
      </c>
      <c r="K2443" s="12" t="s">
        <v>65</v>
      </c>
    </row>
    <row r="2444" spans="1:11" ht="40.049999999999997" customHeight="1" x14ac:dyDescent="0.25">
      <c r="A2444" s="11" t="s">
        <v>5336</v>
      </c>
      <c r="B2444" s="11" t="s">
        <v>5336</v>
      </c>
      <c r="C2444" s="11" t="s">
        <v>80</v>
      </c>
      <c r="D2444" s="11" t="s">
        <v>18</v>
      </c>
      <c r="E2444" s="12" t="s">
        <v>510</v>
      </c>
      <c r="F2444" s="12" t="s">
        <v>511</v>
      </c>
      <c r="G2444" s="12" t="s">
        <v>29</v>
      </c>
      <c r="H2444" s="11" t="s">
        <v>63</v>
      </c>
      <c r="I2444" s="13" t="s">
        <v>5338</v>
      </c>
      <c r="J2444" s="14" t="str">
        <f>HYPERLINK("https://www.boe.es/gazeta/dias/1839/05/13/pdfs/GMD-1839-1640.pdf#page=1","Abrir facsímil")</f>
        <v>Abrir facsímil</v>
      </c>
      <c r="K2444" s="12" t="s">
        <v>65</v>
      </c>
    </row>
    <row r="2445" spans="1:11" ht="40.049999999999997" customHeight="1" x14ac:dyDescent="0.25">
      <c r="A2445" s="11" t="s">
        <v>5336</v>
      </c>
      <c r="B2445" s="11" t="s">
        <v>5336</v>
      </c>
      <c r="C2445" s="11" t="s">
        <v>80</v>
      </c>
      <c r="D2445" s="11" t="s">
        <v>18</v>
      </c>
      <c r="E2445" s="12" t="s">
        <v>44</v>
      </c>
      <c r="F2445" s="12" t="s">
        <v>45</v>
      </c>
      <c r="G2445" s="12" t="s">
        <v>40</v>
      </c>
      <c r="H2445" s="11" t="s">
        <v>63</v>
      </c>
      <c r="I2445" s="13" t="s">
        <v>5339</v>
      </c>
      <c r="J2445" s="14" t="str">
        <f>HYPERLINK("https://www.boe.es/gazeta/dias/1839/11/15/pdfs/GMD-1839-1832.pdf#page=2","Abrir facsímil")</f>
        <v>Abrir facsímil</v>
      </c>
      <c r="K2445" s="12" t="s">
        <v>65</v>
      </c>
    </row>
    <row r="2446" spans="1:11" ht="40.049999999999997" customHeight="1" x14ac:dyDescent="0.25">
      <c r="A2446" s="11" t="s">
        <v>5336</v>
      </c>
      <c r="B2446" s="11" t="s">
        <v>5336</v>
      </c>
      <c r="C2446" s="11" t="s">
        <v>80</v>
      </c>
      <c r="D2446" s="11" t="s">
        <v>18</v>
      </c>
      <c r="E2446" s="12" t="s">
        <v>2215</v>
      </c>
      <c r="F2446" s="12" t="s">
        <v>2216</v>
      </c>
      <c r="G2446" s="12" t="s">
        <v>40</v>
      </c>
      <c r="H2446" s="11" t="s">
        <v>63</v>
      </c>
      <c r="I2446" s="13" t="s">
        <v>5340</v>
      </c>
      <c r="J2446" s="14" t="str">
        <f>HYPERLINK("https://www.boe.es/gazeta/dias/1839/07/21/pdfs/GMD-1839-1709.pdf#page=2","Abrir facsímil")</f>
        <v>Abrir facsímil</v>
      </c>
      <c r="K2446" s="12" t="s">
        <v>65</v>
      </c>
    </row>
    <row r="2447" spans="1:11" ht="40.049999999999997" customHeight="1" x14ac:dyDescent="0.25">
      <c r="A2447" s="11" t="s">
        <v>5336</v>
      </c>
      <c r="B2447" s="11" t="s">
        <v>5336</v>
      </c>
      <c r="C2447" s="11" t="s">
        <v>80</v>
      </c>
      <c r="D2447" s="11" t="s">
        <v>18</v>
      </c>
      <c r="E2447" s="12" t="s">
        <v>287</v>
      </c>
      <c r="F2447" s="12" t="s">
        <v>288</v>
      </c>
      <c r="G2447" s="12" t="s">
        <v>21</v>
      </c>
      <c r="H2447" s="11" t="s">
        <v>63</v>
      </c>
      <c r="I2447" s="13" t="s">
        <v>5341</v>
      </c>
      <c r="J2447" s="14" t="str">
        <f>HYPERLINK("https://www.boe.es/gazeta/dias/1839/11/27/pdfs/GMD-1839-1844.pdf#page=4","Abrir facsímil")</f>
        <v>Abrir facsímil</v>
      </c>
      <c r="K2447" s="12" t="s">
        <v>65</v>
      </c>
    </row>
    <row r="2448" spans="1:11" ht="40.049999999999997" customHeight="1" x14ac:dyDescent="0.25">
      <c r="A2448" s="11" t="s">
        <v>5336</v>
      </c>
      <c r="B2448" s="11" t="s">
        <v>5336</v>
      </c>
      <c r="C2448" s="11" t="s">
        <v>80</v>
      </c>
      <c r="D2448" s="11" t="s">
        <v>18</v>
      </c>
      <c r="E2448" s="12" t="s">
        <v>308</v>
      </c>
      <c r="F2448" s="12" t="s">
        <v>309</v>
      </c>
      <c r="G2448" s="12" t="s">
        <v>29</v>
      </c>
      <c r="H2448" s="11" t="s">
        <v>63</v>
      </c>
      <c r="I2448" s="13" t="s">
        <v>5342</v>
      </c>
      <c r="J2448" s="14" t="str">
        <f>HYPERLINK("https://www.boe.es/gazeta/dias/1839/07/29/pdfs/GMD-1839-1718.pdf#page=1","Abrir facsímil")</f>
        <v>Abrir facsímil</v>
      </c>
      <c r="K2448" s="12" t="s">
        <v>65</v>
      </c>
    </row>
    <row r="2449" spans="1:11" ht="40.049999999999997" customHeight="1" x14ac:dyDescent="0.25">
      <c r="A2449" s="11" t="s">
        <v>5343</v>
      </c>
      <c r="B2449" s="11" t="s">
        <v>5343</v>
      </c>
      <c r="C2449" s="11" t="s">
        <v>80</v>
      </c>
      <c r="D2449" s="11" t="s">
        <v>18</v>
      </c>
      <c r="E2449" s="12" t="s">
        <v>3114</v>
      </c>
      <c r="F2449" s="12" t="s">
        <v>3115</v>
      </c>
      <c r="G2449" s="12" t="s">
        <v>40</v>
      </c>
      <c r="H2449" s="11" t="s">
        <v>63</v>
      </c>
      <c r="I2449" s="13" t="s">
        <v>5344</v>
      </c>
      <c r="J2449" s="14" t="str">
        <f>HYPERLINK("https://www.boe.es/gazeta/dias/1839/05/15/pdfs/GMD-1839-1642.pdf#page=2","Abrir facsímil")</f>
        <v>Abrir facsímil</v>
      </c>
      <c r="K2449" s="12" t="s">
        <v>65</v>
      </c>
    </row>
    <row r="2450" spans="1:11" ht="40.049999999999997" customHeight="1" x14ac:dyDescent="0.25">
      <c r="A2450" s="11" t="s">
        <v>5345</v>
      </c>
      <c r="B2450" s="11" t="s">
        <v>5345</v>
      </c>
      <c r="C2450" s="11" t="s">
        <v>101</v>
      </c>
      <c r="D2450" s="11" t="s">
        <v>102</v>
      </c>
      <c r="E2450" s="12" t="s">
        <v>844</v>
      </c>
      <c r="F2450" s="12" t="s">
        <v>845</v>
      </c>
      <c r="G2450" s="12" t="s">
        <v>40</v>
      </c>
      <c r="H2450" s="11" t="s">
        <v>63</v>
      </c>
      <c r="I2450" s="13" t="s">
        <v>5346</v>
      </c>
      <c r="J2450" s="14" t="str">
        <f>HYPERLINK("https://www.boe.es/gazeta/dias/1839/12/24/pdfs/GMD-1839-1871.pdf#page=2","Abrir facsímil")</f>
        <v>Abrir facsímil</v>
      </c>
      <c r="K2450" s="12" t="s">
        <v>65</v>
      </c>
    </row>
    <row r="2451" spans="1:11" ht="40.049999999999997" customHeight="1" x14ac:dyDescent="0.25">
      <c r="A2451" s="11" t="s">
        <v>5347</v>
      </c>
      <c r="B2451" s="11" t="s">
        <v>5348</v>
      </c>
      <c r="C2451" s="11" t="s">
        <v>17</v>
      </c>
      <c r="D2451" s="11" t="s">
        <v>18</v>
      </c>
      <c r="E2451" s="12" t="s">
        <v>1654</v>
      </c>
      <c r="F2451" s="12" t="s">
        <v>1655</v>
      </c>
      <c r="G2451" s="12" t="s">
        <v>46</v>
      </c>
      <c r="H2451" s="11" t="s">
        <v>63</v>
      </c>
      <c r="I2451" s="13" t="s">
        <v>5349</v>
      </c>
      <c r="J2451" s="14" t="str">
        <f>HYPERLINK("https://www.boe.es/gazeta/dias/1839/11/19/pdfs/GMD-1839-1836.pdf#page=3","Abrir facsímil")</f>
        <v>Abrir facsímil</v>
      </c>
      <c r="K2451" s="12" t="s">
        <v>65</v>
      </c>
    </row>
    <row r="2452" spans="1:11" ht="40.049999999999997" customHeight="1" x14ac:dyDescent="0.25">
      <c r="A2452" s="11" t="s">
        <v>5350</v>
      </c>
      <c r="B2452" s="11" t="s">
        <v>5351</v>
      </c>
      <c r="C2452" s="11" t="s">
        <v>80</v>
      </c>
      <c r="D2452" s="11" t="s">
        <v>18</v>
      </c>
      <c r="E2452" s="12" t="s">
        <v>934</v>
      </c>
      <c r="F2452" s="12" t="s">
        <v>935</v>
      </c>
      <c r="G2452" s="12" t="s">
        <v>21</v>
      </c>
      <c r="H2452" s="11" t="s">
        <v>63</v>
      </c>
      <c r="I2452" s="13" t="s">
        <v>5352</v>
      </c>
      <c r="J2452" s="14" t="str">
        <f>HYPERLINK("https://www.boe.es/gazeta/dias/1839/11/07/pdfs/GMD-1839-1824.pdf#page=4","Abrir facsímil")</f>
        <v>Abrir facsímil</v>
      </c>
      <c r="K2452" s="12" t="s">
        <v>65</v>
      </c>
    </row>
    <row r="2453" spans="1:11" ht="40.049999999999997" customHeight="1" x14ac:dyDescent="0.25">
      <c r="A2453" s="11" t="s">
        <v>5353</v>
      </c>
      <c r="B2453" s="11" t="s">
        <v>5354</v>
      </c>
      <c r="C2453" s="11" t="s">
        <v>59</v>
      </c>
      <c r="D2453" s="11" t="s">
        <v>60</v>
      </c>
      <c r="E2453" s="12" t="s">
        <v>1497</v>
      </c>
      <c r="F2453" s="12" t="s">
        <v>1498</v>
      </c>
      <c r="G2453" s="12" t="s">
        <v>21</v>
      </c>
      <c r="H2453" s="11" t="s">
        <v>63</v>
      </c>
      <c r="I2453" s="13" t="s">
        <v>5355</v>
      </c>
      <c r="J2453" s="14" t="str">
        <f>HYPERLINK("https://www.boe.es/gazeta/dias/1839/08/23/pdfs/GMD-1839-1744.pdf#page=4","Abrir facsímil")</f>
        <v>Abrir facsímil</v>
      </c>
      <c r="K2453" s="12" t="s">
        <v>65</v>
      </c>
    </row>
    <row r="2454" spans="1:11" ht="40.049999999999997" customHeight="1" x14ac:dyDescent="0.25">
      <c r="A2454" s="11" t="s">
        <v>5356</v>
      </c>
      <c r="B2454" s="11" t="s">
        <v>5356</v>
      </c>
      <c r="C2454" s="11" t="s">
        <v>80</v>
      </c>
      <c r="D2454" s="11" t="s">
        <v>18</v>
      </c>
      <c r="E2454" s="12" t="s">
        <v>794</v>
      </c>
      <c r="F2454" s="12" t="s">
        <v>795</v>
      </c>
      <c r="G2454" s="12" t="s">
        <v>40</v>
      </c>
      <c r="H2454" s="11" t="s">
        <v>63</v>
      </c>
      <c r="I2454" s="13" t="s">
        <v>5357</v>
      </c>
      <c r="J2454" s="14" t="str">
        <f>HYPERLINK("https://www.boe.es/gazeta/dias/1839/01/22/pdfs/GMD-1839-1529.pdf#page=2","Abrir facsímil")</f>
        <v>Abrir facsímil</v>
      </c>
      <c r="K2454" s="12" t="s">
        <v>65</v>
      </c>
    </row>
    <row r="2455" spans="1:11" ht="40.049999999999997" customHeight="1" x14ac:dyDescent="0.25">
      <c r="A2455" s="11" t="s">
        <v>5358</v>
      </c>
      <c r="B2455" s="11" t="s">
        <v>5358</v>
      </c>
      <c r="C2455" s="11" t="s">
        <v>17</v>
      </c>
      <c r="D2455" s="11" t="s">
        <v>18</v>
      </c>
      <c r="E2455" s="12" t="s">
        <v>522</v>
      </c>
      <c r="F2455" s="12" t="s">
        <v>523</v>
      </c>
      <c r="G2455" s="12" t="s">
        <v>40</v>
      </c>
      <c r="H2455" s="11" t="s">
        <v>63</v>
      </c>
      <c r="I2455" s="13" t="s">
        <v>5359</v>
      </c>
      <c r="J2455" s="14" t="str">
        <f>HYPERLINK("https://www.boe.es/gazeta/dias/1839/08/27/pdfs/GMD-1839-1748.pdf#page=2","Abrir facsímil")</f>
        <v>Abrir facsímil</v>
      </c>
      <c r="K2455" s="12" t="s">
        <v>65</v>
      </c>
    </row>
    <row r="2456" spans="1:11" ht="40.049999999999997" customHeight="1" x14ac:dyDescent="0.25">
      <c r="A2456" s="11" t="s">
        <v>5360</v>
      </c>
      <c r="B2456" s="11" t="s">
        <v>5361</v>
      </c>
      <c r="C2456" s="11" t="s">
        <v>80</v>
      </c>
      <c r="D2456" s="11" t="s">
        <v>18</v>
      </c>
      <c r="E2456" s="12" t="s">
        <v>202</v>
      </c>
      <c r="F2456" s="12" t="s">
        <v>203</v>
      </c>
      <c r="G2456" s="12" t="s">
        <v>40</v>
      </c>
      <c r="H2456" s="11" t="s">
        <v>63</v>
      </c>
      <c r="I2456" s="13" t="s">
        <v>5362</v>
      </c>
      <c r="J2456" s="14" t="str">
        <f>HYPERLINK("https://www.boe.es/gazeta/dias/1839/04/05/pdfs/GMD-1839-1602.pdf#page=2","Abrir facsímil")</f>
        <v>Abrir facsímil</v>
      </c>
      <c r="K2456" s="12" t="s">
        <v>65</v>
      </c>
    </row>
    <row r="2457" spans="1:11" ht="40.049999999999997" customHeight="1" x14ac:dyDescent="0.25">
      <c r="A2457" s="11" t="s">
        <v>5363</v>
      </c>
      <c r="B2457" s="11" t="s">
        <v>5364</v>
      </c>
      <c r="C2457" s="11" t="s">
        <v>101</v>
      </c>
      <c r="D2457" s="11" t="s">
        <v>102</v>
      </c>
      <c r="E2457" s="12" t="s">
        <v>258</v>
      </c>
      <c r="F2457" s="12" t="s">
        <v>259</v>
      </c>
      <c r="G2457" s="12" t="s">
        <v>40</v>
      </c>
      <c r="H2457" s="11" t="s">
        <v>63</v>
      </c>
      <c r="I2457" s="13" t="s">
        <v>5365</v>
      </c>
      <c r="J2457" s="14" t="str">
        <f>HYPERLINK("https://www.boe.es/gazeta/dias/1839/01/02/pdfs/GMD-1839-1509.pdf#page=2","Abrir facsímil")</f>
        <v>Abrir facsímil</v>
      </c>
      <c r="K2457" s="12" t="s">
        <v>65</v>
      </c>
    </row>
    <row r="2458" spans="1:11" ht="40.049999999999997" customHeight="1" x14ac:dyDescent="0.25">
      <c r="A2458" s="11" t="s">
        <v>5366</v>
      </c>
      <c r="B2458" s="11" t="s">
        <v>5367</v>
      </c>
      <c r="C2458" s="11" t="s">
        <v>17</v>
      </c>
      <c r="D2458" s="11" t="s">
        <v>18</v>
      </c>
      <c r="E2458" s="12" t="s">
        <v>395</v>
      </c>
      <c r="F2458" s="12" t="s">
        <v>396</v>
      </c>
      <c r="G2458" s="12" t="s">
        <v>46</v>
      </c>
      <c r="H2458" s="11" t="s">
        <v>63</v>
      </c>
      <c r="I2458" s="13" t="s">
        <v>5368</v>
      </c>
      <c r="J2458" s="14" t="str">
        <f>HYPERLINK("https://www.boe.es/gazeta/dias/1839/03/15/pdfs/GMD-1839-1581.pdf#page=3","Abrir facsímil")</f>
        <v>Abrir facsímil</v>
      </c>
      <c r="K2458" s="12" t="s">
        <v>65</v>
      </c>
    </row>
    <row r="2459" spans="1:11" ht="40.049999999999997" customHeight="1" x14ac:dyDescent="0.25">
      <c r="A2459" s="11" t="s">
        <v>5369</v>
      </c>
      <c r="B2459" s="11" t="s">
        <v>5370</v>
      </c>
      <c r="C2459" s="11" t="s">
        <v>17</v>
      </c>
      <c r="D2459" s="11" t="s">
        <v>18</v>
      </c>
      <c r="E2459" s="12" t="s">
        <v>5138</v>
      </c>
      <c r="F2459" s="12" t="s">
        <v>5139</v>
      </c>
      <c r="G2459" s="12" t="s">
        <v>29</v>
      </c>
      <c r="H2459" s="11" t="s">
        <v>63</v>
      </c>
      <c r="I2459" s="13" t="s">
        <v>5371</v>
      </c>
      <c r="J2459" s="14" t="str">
        <f>HYPERLINK("https://www.boe.es/gazeta/dias/1839/08/15/pdfs/GMD-1839-1735.pdf#page=1","Abrir facsímil")</f>
        <v>Abrir facsímil</v>
      </c>
      <c r="K2459" s="12" t="s">
        <v>65</v>
      </c>
    </row>
    <row r="2460" spans="1:11" ht="40.049999999999997" customHeight="1" x14ac:dyDescent="0.25">
      <c r="A2460" s="11" t="s">
        <v>5372</v>
      </c>
      <c r="B2460" s="11" t="s">
        <v>5373</v>
      </c>
      <c r="C2460" s="11" t="s">
        <v>59</v>
      </c>
      <c r="D2460" s="11" t="s">
        <v>60</v>
      </c>
      <c r="E2460" s="12" t="s">
        <v>513</v>
      </c>
      <c r="F2460" s="12" t="s">
        <v>514</v>
      </c>
      <c r="G2460" s="12" t="s">
        <v>21</v>
      </c>
      <c r="H2460" s="11" t="s">
        <v>63</v>
      </c>
      <c r="I2460" s="13" t="s">
        <v>5374</v>
      </c>
      <c r="J2460" s="14" t="str">
        <f>HYPERLINK("https://www.boe.es/gazeta/dias/1839/03/17/pdfs/GMD-1839-1583.pdf#page=4","Abrir facsímil")</f>
        <v>Abrir facsímil</v>
      </c>
      <c r="K2460" s="12" t="s">
        <v>65</v>
      </c>
    </row>
    <row r="2461" spans="1:11" ht="40.049999999999997" customHeight="1" x14ac:dyDescent="0.25">
      <c r="A2461" s="11" t="s">
        <v>5375</v>
      </c>
      <c r="B2461" s="11" t="s">
        <v>5375</v>
      </c>
      <c r="C2461" s="11" t="s">
        <v>17</v>
      </c>
      <c r="D2461" s="11" t="s">
        <v>18</v>
      </c>
      <c r="E2461" s="12" t="s">
        <v>163</v>
      </c>
      <c r="F2461" s="12" t="s">
        <v>164</v>
      </c>
      <c r="G2461" s="12" t="s">
        <v>40</v>
      </c>
      <c r="H2461" s="11" t="s">
        <v>63</v>
      </c>
      <c r="I2461" s="13" t="s">
        <v>5376</v>
      </c>
      <c r="J2461" s="14" t="str">
        <f>HYPERLINK("https://www.boe.es/gazeta/dias/1839/01/13/pdfs/GMD-1839-1520.pdf#page=2","Abrir facsímil")</f>
        <v>Abrir facsímil</v>
      </c>
      <c r="K2461" s="12" t="s">
        <v>65</v>
      </c>
    </row>
    <row r="2462" spans="1:11" ht="40.049999999999997" customHeight="1" x14ac:dyDescent="0.25">
      <c r="A2462" s="11" t="s">
        <v>5377</v>
      </c>
      <c r="B2462" s="11" t="s">
        <v>5378</v>
      </c>
      <c r="C2462" s="11" t="s">
        <v>137</v>
      </c>
      <c r="D2462" s="11" t="s">
        <v>18</v>
      </c>
      <c r="E2462" s="12" t="s">
        <v>19</v>
      </c>
      <c r="F2462" s="12" t="s">
        <v>20</v>
      </c>
      <c r="G2462" s="12" t="s">
        <v>29</v>
      </c>
      <c r="H2462" s="11" t="s">
        <v>63</v>
      </c>
      <c r="I2462" s="13" t="s">
        <v>5379</v>
      </c>
      <c r="J2462" s="14" t="str">
        <f>HYPERLINK("https://www.boe.es/gazeta/dias/1839/01/19/pdfs/GMD-1839-1526.pdf#page=1","Abrir facsímil")</f>
        <v>Abrir facsímil</v>
      </c>
      <c r="K2462" s="12" t="s">
        <v>65</v>
      </c>
    </row>
    <row r="2463" spans="1:11" ht="40.049999999999997" customHeight="1" x14ac:dyDescent="0.25">
      <c r="A2463" s="11" t="s">
        <v>5380</v>
      </c>
      <c r="B2463" s="11" t="s">
        <v>5381</v>
      </c>
      <c r="C2463" s="11" t="s">
        <v>59</v>
      </c>
      <c r="D2463" s="11" t="s">
        <v>60</v>
      </c>
      <c r="E2463" s="12" t="s">
        <v>27</v>
      </c>
      <c r="F2463" s="12" t="s">
        <v>28</v>
      </c>
      <c r="G2463" s="12" t="s">
        <v>40</v>
      </c>
      <c r="H2463" s="11" t="s">
        <v>63</v>
      </c>
      <c r="I2463" s="13" t="s">
        <v>5382</v>
      </c>
      <c r="J2463" s="14" t="str">
        <f>HYPERLINK("https://www.boe.es/gazeta/dias/1839/07/28/pdfs/GMD-1839-1717.pdf#page=2","Abrir facsímil")</f>
        <v>Abrir facsímil</v>
      </c>
      <c r="K2463" s="12" t="s">
        <v>65</v>
      </c>
    </row>
    <row r="2464" spans="1:11" ht="40.049999999999997" customHeight="1" x14ac:dyDescent="0.25">
      <c r="A2464" s="11" t="s">
        <v>5383</v>
      </c>
      <c r="B2464" s="11" t="s">
        <v>5384</v>
      </c>
      <c r="C2464" s="11" t="s">
        <v>17</v>
      </c>
      <c r="D2464" s="11" t="s">
        <v>18</v>
      </c>
      <c r="E2464" s="12" t="s">
        <v>479</v>
      </c>
      <c r="F2464" s="12" t="s">
        <v>480</v>
      </c>
      <c r="G2464" s="12" t="s">
        <v>29</v>
      </c>
      <c r="H2464" s="11" t="s">
        <v>63</v>
      </c>
      <c r="I2464" s="13" t="s">
        <v>5385</v>
      </c>
      <c r="J2464" s="14" t="str">
        <f>HYPERLINK("https://www.boe.es/gazeta/dias/1839/06/24/pdfs/GMD-1839-1682.pdf#page=1","Abrir facsímil")</f>
        <v>Abrir facsímil</v>
      </c>
      <c r="K2464" s="12" t="s">
        <v>65</v>
      </c>
    </row>
    <row r="2465" spans="1:11" ht="40.049999999999997" customHeight="1" x14ac:dyDescent="0.25">
      <c r="A2465" s="11" t="s">
        <v>5386</v>
      </c>
      <c r="B2465" s="11" t="s">
        <v>5387</v>
      </c>
      <c r="C2465" s="11" t="s">
        <v>17</v>
      </c>
      <c r="D2465" s="11" t="s">
        <v>18</v>
      </c>
      <c r="E2465" s="12" t="s">
        <v>1012</v>
      </c>
      <c r="F2465" s="12" t="s">
        <v>1013</v>
      </c>
      <c r="G2465" s="12" t="s">
        <v>29</v>
      </c>
      <c r="H2465" s="11" t="s">
        <v>63</v>
      </c>
      <c r="I2465" s="13" t="s">
        <v>5388</v>
      </c>
      <c r="J2465" s="14" t="str">
        <f>HYPERLINK("https://www.boe.es/gazeta/dias/1839/11/22/pdfs/GMD-1839-1839.pdf#page=1","Abrir facsímil")</f>
        <v>Abrir facsímil</v>
      </c>
      <c r="K2465" s="12" t="s">
        <v>65</v>
      </c>
    </row>
    <row r="2466" spans="1:11" ht="40.049999999999997" customHeight="1" x14ac:dyDescent="0.25">
      <c r="A2466" s="11" t="s">
        <v>5389</v>
      </c>
      <c r="B2466" s="11" t="s">
        <v>5389</v>
      </c>
      <c r="C2466" s="11" t="s">
        <v>59</v>
      </c>
      <c r="D2466" s="11" t="s">
        <v>60</v>
      </c>
      <c r="E2466" s="12" t="s">
        <v>643</v>
      </c>
      <c r="F2466" s="12" t="s">
        <v>644</v>
      </c>
      <c r="G2466" s="12" t="s">
        <v>40</v>
      </c>
      <c r="H2466" s="11" t="s">
        <v>63</v>
      </c>
      <c r="I2466" s="13" t="s">
        <v>5390</v>
      </c>
      <c r="J2466" s="14" t="str">
        <f>HYPERLINK("https://www.boe.es/gazeta/dias/1839/03/20/pdfs/GMD-1839-1586.pdf#page=2","Abrir facsímil")</f>
        <v>Abrir facsímil</v>
      </c>
      <c r="K2466" s="12" t="s">
        <v>65</v>
      </c>
    </row>
    <row r="2467" spans="1:11" ht="40.049999999999997" customHeight="1" x14ac:dyDescent="0.25">
      <c r="A2467" s="11" t="s">
        <v>5391</v>
      </c>
      <c r="B2467" s="11" t="s">
        <v>5392</v>
      </c>
      <c r="C2467" s="11" t="s">
        <v>17</v>
      </c>
      <c r="D2467" s="11" t="s">
        <v>18</v>
      </c>
      <c r="E2467" s="12" t="s">
        <v>4787</v>
      </c>
      <c r="F2467" s="12" t="s">
        <v>4788</v>
      </c>
      <c r="G2467" s="12" t="s">
        <v>29</v>
      </c>
      <c r="H2467" s="11" t="s">
        <v>63</v>
      </c>
      <c r="I2467" s="13" t="s">
        <v>5393</v>
      </c>
      <c r="J2467" s="14" t="str">
        <f>HYPERLINK("https://www.boe.es/gazeta/dias/1839/05/26/pdfs/GMD-1839-1653.pdf#page=1","Abrir facsímil")</f>
        <v>Abrir facsímil</v>
      </c>
      <c r="K2467" s="12" t="s">
        <v>65</v>
      </c>
    </row>
    <row r="2468" spans="1:11" ht="40.049999999999997" customHeight="1" x14ac:dyDescent="0.25">
      <c r="A2468" s="11" t="s">
        <v>5394</v>
      </c>
      <c r="B2468" s="11" t="s">
        <v>5395</v>
      </c>
      <c r="C2468" s="11" t="s">
        <v>101</v>
      </c>
      <c r="D2468" s="11" t="s">
        <v>43</v>
      </c>
      <c r="E2468" s="12" t="s">
        <v>108</v>
      </c>
      <c r="F2468" s="12" t="s">
        <v>109</v>
      </c>
      <c r="G2468" s="12" t="s">
        <v>40</v>
      </c>
      <c r="H2468" s="11" t="s">
        <v>63</v>
      </c>
      <c r="I2468" s="13" t="s">
        <v>5396</v>
      </c>
      <c r="J2468" s="14" t="str">
        <f>HYPERLINK("https://www.boe.es/gazeta/dias/1839/01/04/pdfs/GMD-1839-1511.pdf#page=2","Abrir facsímil")</f>
        <v>Abrir facsímil</v>
      </c>
      <c r="K2468" s="12" t="s">
        <v>65</v>
      </c>
    </row>
    <row r="2469" spans="1:11" ht="40.049999999999997" customHeight="1" x14ac:dyDescent="0.25">
      <c r="A2469" s="11" t="s">
        <v>5397</v>
      </c>
      <c r="B2469" s="11" t="s">
        <v>5398</v>
      </c>
      <c r="C2469" s="11" t="s">
        <v>101</v>
      </c>
      <c r="D2469" s="11" t="s">
        <v>43</v>
      </c>
      <c r="E2469" s="12" t="s">
        <v>5399</v>
      </c>
      <c r="F2469" s="12" t="s">
        <v>5400</v>
      </c>
      <c r="G2469" s="12" t="s">
        <v>46</v>
      </c>
      <c r="H2469" s="11" t="s">
        <v>63</v>
      </c>
      <c r="I2469" s="13" t="s">
        <v>5401</v>
      </c>
      <c r="J2469" s="14" t="str">
        <f>HYPERLINK("https://www.boe.es/gazeta/dias/1839/10/14/pdfs/GMD-1839-1800.pdf#page=3","Abrir facsímil")</f>
        <v>Abrir facsímil</v>
      </c>
      <c r="K2469" s="12" t="s">
        <v>65</v>
      </c>
    </row>
    <row r="2470" spans="1:11" ht="40.049999999999997" customHeight="1" x14ac:dyDescent="0.25">
      <c r="A2470" s="11" t="s">
        <v>5402</v>
      </c>
      <c r="B2470" s="11" t="s">
        <v>5402</v>
      </c>
      <c r="C2470" s="11" t="s">
        <v>101</v>
      </c>
      <c r="D2470" s="11" t="s">
        <v>102</v>
      </c>
      <c r="E2470" s="12" t="s">
        <v>1520</v>
      </c>
      <c r="F2470" s="12" t="s">
        <v>1521</v>
      </c>
      <c r="G2470" s="12" t="s">
        <v>29</v>
      </c>
      <c r="H2470" s="11" t="s">
        <v>63</v>
      </c>
      <c r="I2470" s="13" t="s">
        <v>5403</v>
      </c>
      <c r="J2470" s="14" t="str">
        <f>HYPERLINK("https://www.boe.es/gazeta/dias/1839/12/27/pdfs/GMD-1839-1874.pdf#page=1","Abrir facsímil")</f>
        <v>Abrir facsímil</v>
      </c>
      <c r="K2470" s="12" t="s">
        <v>65</v>
      </c>
    </row>
    <row r="2471" spans="1:11" ht="40.049999999999997" customHeight="1" x14ac:dyDescent="0.25">
      <c r="A2471" s="11" t="s">
        <v>5404</v>
      </c>
      <c r="B2471" s="11" t="s">
        <v>5404</v>
      </c>
      <c r="C2471" s="11" t="s">
        <v>17</v>
      </c>
      <c r="D2471" s="11" t="s">
        <v>18</v>
      </c>
      <c r="E2471" s="12" t="s">
        <v>262</v>
      </c>
      <c r="F2471" s="12" t="s">
        <v>263</v>
      </c>
      <c r="G2471" s="12" t="s">
        <v>21</v>
      </c>
      <c r="H2471" s="11" t="s">
        <v>22</v>
      </c>
      <c r="I2471" s="13" t="s">
        <v>5405</v>
      </c>
      <c r="J2471" s="14" t="str">
        <f>HYPERLINK("https://www.boe.es/gazeta/dias/1839/01/01/pdfs/GMD-1839-1508.pdf#page=4","Abrir facsímil")</f>
        <v>Abrir facsímil</v>
      </c>
      <c r="K2471" s="12" t="s">
        <v>24</v>
      </c>
    </row>
    <row r="2472" spans="1:11" ht="40.049999999999997" customHeight="1" x14ac:dyDescent="0.25">
      <c r="A2472" s="11" t="s">
        <v>5406</v>
      </c>
      <c r="B2472" s="11" t="s">
        <v>5406</v>
      </c>
      <c r="C2472" s="11" t="s">
        <v>17</v>
      </c>
      <c r="D2472" s="11" t="s">
        <v>18</v>
      </c>
      <c r="E2472" s="12" t="s">
        <v>907</v>
      </c>
      <c r="F2472" s="12" t="s">
        <v>908</v>
      </c>
      <c r="G2472" s="12" t="s">
        <v>29</v>
      </c>
      <c r="H2472" s="11" t="s">
        <v>63</v>
      </c>
      <c r="I2472" s="13" t="s">
        <v>5407</v>
      </c>
      <c r="J2472" s="14" t="str">
        <f>HYPERLINK("https://www.boe.es/gazeta/dias/1839/07/31/pdfs/GMD-1839-1720.pdf#page=1","Abrir facsímil")</f>
        <v>Abrir facsímil</v>
      </c>
      <c r="K2472" s="12" t="s">
        <v>65</v>
      </c>
    </row>
    <row r="2473" spans="1:11" ht="40.049999999999997" customHeight="1" x14ac:dyDescent="0.25">
      <c r="A2473" s="11" t="s">
        <v>5408</v>
      </c>
      <c r="B2473" s="11" t="s">
        <v>5408</v>
      </c>
      <c r="C2473" s="11" t="s">
        <v>17</v>
      </c>
      <c r="D2473" s="11" t="s">
        <v>18</v>
      </c>
      <c r="E2473" s="12" t="s">
        <v>308</v>
      </c>
      <c r="F2473" s="12" t="s">
        <v>309</v>
      </c>
      <c r="G2473" s="12" t="s">
        <v>40</v>
      </c>
      <c r="H2473" s="11" t="s">
        <v>63</v>
      </c>
      <c r="I2473" s="13" t="s">
        <v>5409</v>
      </c>
      <c r="J2473" s="14" t="str">
        <f>HYPERLINK("https://www.boe.es/gazeta/dias/1839/07/29/pdfs/GMD-1839-1718.pdf#page=2","Abrir facsímil")</f>
        <v>Abrir facsímil</v>
      </c>
      <c r="K2473" s="12" t="s">
        <v>65</v>
      </c>
    </row>
    <row r="2474" spans="1:11" ht="40.049999999999997" customHeight="1" x14ac:dyDescent="0.25">
      <c r="A2474" s="11" t="s">
        <v>5410</v>
      </c>
      <c r="B2474" s="11" t="s">
        <v>5411</v>
      </c>
      <c r="C2474" s="11" t="s">
        <v>101</v>
      </c>
      <c r="D2474" s="11" t="s">
        <v>43</v>
      </c>
      <c r="E2474" s="12" t="s">
        <v>269</v>
      </c>
      <c r="F2474" s="12" t="s">
        <v>270</v>
      </c>
      <c r="G2474" s="12" t="s">
        <v>46</v>
      </c>
      <c r="H2474" s="11" t="s">
        <v>63</v>
      </c>
      <c r="I2474" s="13" t="s">
        <v>5412</v>
      </c>
      <c r="J2474" s="14" t="str">
        <f>HYPERLINK("https://www.boe.es/gazeta/dias/1839/02/10/pdfs/GMD-1839-1548.pdf#page=3","Abrir facsímil")</f>
        <v>Abrir facsímil</v>
      </c>
      <c r="K2474" s="12" t="s">
        <v>65</v>
      </c>
    </row>
    <row r="2475" spans="1:11" ht="40.049999999999997" customHeight="1" x14ac:dyDescent="0.25">
      <c r="A2475" s="11" t="s">
        <v>5413</v>
      </c>
      <c r="B2475" s="11" t="s">
        <v>5413</v>
      </c>
      <c r="C2475" s="11" t="s">
        <v>17</v>
      </c>
      <c r="D2475" s="11" t="s">
        <v>18</v>
      </c>
      <c r="E2475" s="12" t="s">
        <v>44</v>
      </c>
      <c r="F2475" s="12" t="s">
        <v>45</v>
      </c>
      <c r="G2475" s="12" t="s">
        <v>40</v>
      </c>
      <c r="H2475" s="11" t="s">
        <v>63</v>
      </c>
      <c r="I2475" s="13" t="s">
        <v>5414</v>
      </c>
      <c r="J2475" s="14" t="str">
        <f>HYPERLINK("https://www.boe.es/gazeta/dias/1839/11/15/pdfs/GMD-1839-1832.pdf#page=2","Abrir facsímil")</f>
        <v>Abrir facsímil</v>
      </c>
      <c r="K2475" s="12" t="s">
        <v>65</v>
      </c>
    </row>
    <row r="2476" spans="1:11" ht="40.049999999999997" customHeight="1" x14ac:dyDescent="0.25">
      <c r="A2476" s="11" t="s">
        <v>5415</v>
      </c>
      <c r="B2476" s="11" t="s">
        <v>5416</v>
      </c>
      <c r="C2476" s="11" t="s">
        <v>137</v>
      </c>
      <c r="D2476" s="11" t="s">
        <v>18</v>
      </c>
      <c r="E2476" s="12" t="s">
        <v>160</v>
      </c>
      <c r="F2476" s="12" t="s">
        <v>161</v>
      </c>
      <c r="G2476" s="12" t="s">
        <v>29</v>
      </c>
      <c r="H2476" s="11" t="s">
        <v>22</v>
      </c>
      <c r="I2476" s="13" t="s">
        <v>5417</v>
      </c>
      <c r="J2476" s="14" t="str">
        <f>HYPERLINK("https://www.boe.es/gazeta/dias/1839/01/10/pdfs/GMD-1839-1517.pdf#page=1","Abrir facsímil")</f>
        <v>Abrir facsímil</v>
      </c>
      <c r="K2476" s="12" t="s">
        <v>24</v>
      </c>
    </row>
    <row r="2477" spans="1:11" ht="40.049999999999997" customHeight="1" x14ac:dyDescent="0.25">
      <c r="A2477" s="11" t="s">
        <v>5418</v>
      </c>
      <c r="B2477" s="11" t="s">
        <v>5419</v>
      </c>
      <c r="C2477" s="11" t="s">
        <v>80</v>
      </c>
      <c r="D2477" s="11" t="s">
        <v>173</v>
      </c>
      <c r="E2477" s="12" t="s">
        <v>513</v>
      </c>
      <c r="F2477" s="12" t="s">
        <v>514</v>
      </c>
      <c r="G2477" s="12" t="s">
        <v>29</v>
      </c>
      <c r="H2477" s="11" t="s">
        <v>63</v>
      </c>
      <c r="I2477" s="13" t="s">
        <v>5420</v>
      </c>
      <c r="J2477" s="14" t="str">
        <f>HYPERLINK("https://www.boe.es/gazeta/dias/1839/03/17/pdfs/GMD-1839-1583.pdf#page=1","Abrir facsímil")</f>
        <v>Abrir facsímil</v>
      </c>
      <c r="K2477" s="12" t="s">
        <v>65</v>
      </c>
    </row>
    <row r="2478" spans="1:11" ht="40.049999999999997" customHeight="1" x14ac:dyDescent="0.25">
      <c r="A2478" s="11" t="s">
        <v>5421</v>
      </c>
      <c r="B2478" s="11" t="s">
        <v>5421</v>
      </c>
      <c r="C2478" s="11" t="s">
        <v>59</v>
      </c>
      <c r="D2478" s="11" t="s">
        <v>60</v>
      </c>
      <c r="E2478" s="12" t="s">
        <v>185</v>
      </c>
      <c r="F2478" s="12" t="s">
        <v>186</v>
      </c>
      <c r="G2478" s="12" t="s">
        <v>46</v>
      </c>
      <c r="H2478" s="11" t="s">
        <v>63</v>
      </c>
      <c r="I2478" s="13" t="s">
        <v>5422</v>
      </c>
      <c r="J2478" s="14" t="str">
        <f>HYPERLINK("https://www.boe.es/gazeta/dias/1839/01/15/pdfs/GMD-1839-1522.pdf#page=3","Abrir facsímil")</f>
        <v>Abrir facsímil</v>
      </c>
      <c r="K2478" s="12" t="s">
        <v>65</v>
      </c>
    </row>
    <row r="2479" spans="1:11" ht="40.049999999999997" customHeight="1" x14ac:dyDescent="0.25">
      <c r="A2479" s="11" t="s">
        <v>5423</v>
      </c>
      <c r="B2479" s="11" t="s">
        <v>5424</v>
      </c>
      <c r="C2479" s="11" t="s">
        <v>59</v>
      </c>
      <c r="D2479" s="11" t="s">
        <v>60</v>
      </c>
      <c r="E2479" s="12" t="s">
        <v>507</v>
      </c>
      <c r="F2479" s="12" t="s">
        <v>508</v>
      </c>
      <c r="G2479" s="12" t="s">
        <v>40</v>
      </c>
      <c r="H2479" s="11" t="s">
        <v>63</v>
      </c>
      <c r="I2479" s="13" t="s">
        <v>5425</v>
      </c>
      <c r="J2479" s="14" t="str">
        <f>HYPERLINK("https://www.boe.es/gazeta/dias/1839/08/12/pdfs/GMD-1839-1732.pdf#page=2","Abrir facsímil")</f>
        <v>Abrir facsímil</v>
      </c>
      <c r="K2479" s="12" t="s">
        <v>65</v>
      </c>
    </row>
    <row r="2480" spans="1:11" ht="40.049999999999997" customHeight="1" x14ac:dyDescent="0.25">
      <c r="A2480" s="11" t="s">
        <v>5426</v>
      </c>
      <c r="B2480" s="11" t="s">
        <v>5426</v>
      </c>
      <c r="C2480" s="11" t="s">
        <v>101</v>
      </c>
      <c r="D2480" s="11" t="s">
        <v>43</v>
      </c>
      <c r="E2480" s="12" t="s">
        <v>197</v>
      </c>
      <c r="F2480" s="12" t="s">
        <v>198</v>
      </c>
      <c r="G2480" s="12" t="s">
        <v>40</v>
      </c>
      <c r="H2480" s="11" t="s">
        <v>63</v>
      </c>
      <c r="I2480" s="13" t="s">
        <v>5427</v>
      </c>
      <c r="J2480" s="14" t="str">
        <f>HYPERLINK("https://www.boe.es/gazeta/dias/1839/10/04/pdfs/GMD-1839-1790.pdf#page=2","Abrir facsímil")</f>
        <v>Abrir facsímil</v>
      </c>
      <c r="K2480" s="12" t="s">
        <v>65</v>
      </c>
    </row>
    <row r="2481" spans="1:11" ht="40.049999999999997" customHeight="1" x14ac:dyDescent="0.25">
      <c r="A2481" s="11" t="s">
        <v>5426</v>
      </c>
      <c r="B2481" s="11" t="s">
        <v>5426</v>
      </c>
      <c r="C2481" s="11" t="s">
        <v>17</v>
      </c>
      <c r="D2481" s="11" t="s">
        <v>18</v>
      </c>
      <c r="E2481" s="12" t="s">
        <v>1179</v>
      </c>
      <c r="F2481" s="12" t="s">
        <v>1180</v>
      </c>
      <c r="G2481" s="12" t="s">
        <v>46</v>
      </c>
      <c r="H2481" s="11" t="s">
        <v>63</v>
      </c>
      <c r="I2481" s="13" t="s">
        <v>5428</v>
      </c>
      <c r="J2481" s="14" t="str">
        <f>HYPERLINK("https://www.boe.es/gazeta/dias/1839/10/18/pdfs/GMD-1839-1804.pdf#page=3","Abrir facsímil")</f>
        <v>Abrir facsímil</v>
      </c>
      <c r="K2481" s="12" t="s">
        <v>65</v>
      </c>
    </row>
    <row r="2482" spans="1:11" ht="40.049999999999997" customHeight="1" x14ac:dyDescent="0.25">
      <c r="A2482" s="11" t="s">
        <v>5429</v>
      </c>
      <c r="B2482" s="11" t="s">
        <v>5429</v>
      </c>
      <c r="C2482" s="11" t="s">
        <v>101</v>
      </c>
      <c r="D2482" s="11" t="s">
        <v>43</v>
      </c>
      <c r="E2482" s="12" t="s">
        <v>1179</v>
      </c>
      <c r="F2482" s="12" t="s">
        <v>1180</v>
      </c>
      <c r="G2482" s="12" t="s">
        <v>21</v>
      </c>
      <c r="H2482" s="11" t="s">
        <v>22</v>
      </c>
      <c r="I2482" s="13" t="s">
        <v>5430</v>
      </c>
      <c r="J2482" s="14" t="str">
        <f>HYPERLINK("https://www.boe.es/gazeta/dias/1839/10/18/pdfs/GMD-1839-1804.pdf#page=4","Abrir facsímil")</f>
        <v>Abrir facsímil</v>
      </c>
      <c r="K2482" s="12" t="s">
        <v>24</v>
      </c>
    </row>
    <row r="2483" spans="1:11" ht="40.049999999999997" customHeight="1" x14ac:dyDescent="0.25">
      <c r="A2483" s="11" t="s">
        <v>5426</v>
      </c>
      <c r="B2483" s="11" t="s">
        <v>5426</v>
      </c>
      <c r="C2483" s="11" t="s">
        <v>17</v>
      </c>
      <c r="D2483" s="11" t="s">
        <v>18</v>
      </c>
      <c r="E2483" s="12" t="s">
        <v>862</v>
      </c>
      <c r="F2483" s="12" t="s">
        <v>863</v>
      </c>
      <c r="G2483" s="12" t="s">
        <v>40</v>
      </c>
      <c r="H2483" s="11" t="s">
        <v>63</v>
      </c>
      <c r="I2483" s="13" t="s">
        <v>5431</v>
      </c>
      <c r="J2483" s="14" t="str">
        <f>HYPERLINK("https://www.boe.es/gazeta/dias/1839/10/28/pdfs/GMD-1839-1814.pdf#page=2","Abrir facsímil")</f>
        <v>Abrir facsímil</v>
      </c>
      <c r="K2483" s="12" t="s">
        <v>65</v>
      </c>
    </row>
    <row r="2484" spans="1:11" ht="40.049999999999997" customHeight="1" x14ac:dyDescent="0.25">
      <c r="A2484" s="11" t="s">
        <v>5432</v>
      </c>
      <c r="B2484" s="11" t="s">
        <v>5433</v>
      </c>
      <c r="C2484" s="11" t="s">
        <v>137</v>
      </c>
      <c r="D2484" s="11" t="s">
        <v>18</v>
      </c>
      <c r="E2484" s="12" t="s">
        <v>438</v>
      </c>
      <c r="F2484" s="12" t="s">
        <v>439</v>
      </c>
      <c r="G2484" s="12" t="s">
        <v>46</v>
      </c>
      <c r="H2484" s="11" t="s">
        <v>63</v>
      </c>
      <c r="I2484" s="13" t="s">
        <v>5434</v>
      </c>
      <c r="J2484" s="14" t="str">
        <f>HYPERLINK("https://www.boe.es/gazeta/dias/1839/07/17/pdfs/GMD-1839-1705.pdf#page=3","Abrir facsímil")</f>
        <v>Abrir facsímil</v>
      </c>
      <c r="K2484" s="12" t="s">
        <v>65</v>
      </c>
    </row>
    <row r="2485" spans="1:11" ht="40.049999999999997" customHeight="1" x14ac:dyDescent="0.25">
      <c r="A2485" s="11" t="s">
        <v>5435</v>
      </c>
      <c r="B2485" s="11" t="s">
        <v>5435</v>
      </c>
      <c r="C2485" s="11" t="s">
        <v>17</v>
      </c>
      <c r="D2485" s="11" t="s">
        <v>18</v>
      </c>
      <c r="E2485" s="12" t="s">
        <v>1366</v>
      </c>
      <c r="F2485" s="12" t="s">
        <v>1367</v>
      </c>
      <c r="G2485" s="12" t="s">
        <v>40</v>
      </c>
      <c r="H2485" s="11" t="s">
        <v>63</v>
      </c>
      <c r="I2485" s="13" t="s">
        <v>5436</v>
      </c>
      <c r="J2485" s="14" t="str">
        <f>HYPERLINK("https://www.boe.es/gazeta/dias/1839/09/09/pdfs/GMD-1839-1762.pdf#page=2","Abrir facsímil")</f>
        <v>Abrir facsímil</v>
      </c>
      <c r="K2485" s="12" t="s">
        <v>65</v>
      </c>
    </row>
    <row r="2486" spans="1:11" ht="40.049999999999997" customHeight="1" x14ac:dyDescent="0.25">
      <c r="A2486" s="11" t="s">
        <v>5437</v>
      </c>
      <c r="B2486" s="11" t="s">
        <v>5438</v>
      </c>
      <c r="C2486" s="11" t="s">
        <v>17</v>
      </c>
      <c r="D2486" s="11" t="s">
        <v>18</v>
      </c>
      <c r="E2486" s="12" t="s">
        <v>2138</v>
      </c>
      <c r="F2486" s="12" t="s">
        <v>2139</v>
      </c>
      <c r="G2486" s="12" t="s">
        <v>305</v>
      </c>
      <c r="H2486" s="11" t="s">
        <v>63</v>
      </c>
      <c r="I2486" s="13" t="s">
        <v>5439</v>
      </c>
      <c r="J2486" s="14" t="str">
        <f>HYPERLINK("https://www.boe.es/gazeta/dias/1839/10/02/pdfs/GMD-1839-1788.pdf#page=6","Abrir facsímil")</f>
        <v>Abrir facsímil</v>
      </c>
      <c r="K2486" s="12" t="s">
        <v>65</v>
      </c>
    </row>
    <row r="2487" spans="1:11" ht="40.049999999999997" customHeight="1" x14ac:dyDescent="0.25">
      <c r="A2487" s="11" t="s">
        <v>5440</v>
      </c>
      <c r="B2487" s="11" t="s">
        <v>5441</v>
      </c>
      <c r="C2487" s="11" t="s">
        <v>17</v>
      </c>
      <c r="D2487" s="11" t="s">
        <v>43</v>
      </c>
      <c r="E2487" s="12" t="s">
        <v>507</v>
      </c>
      <c r="F2487" s="12" t="s">
        <v>508</v>
      </c>
      <c r="G2487" s="12" t="s">
        <v>21</v>
      </c>
      <c r="H2487" s="11" t="s">
        <v>63</v>
      </c>
      <c r="I2487" s="13" t="s">
        <v>5442</v>
      </c>
      <c r="J2487" s="14" t="str">
        <f>HYPERLINK("https://www.boe.es/gazeta/dias/1839/08/12/pdfs/GMD-1839-1732.pdf#page=4","Abrir facsímil")</f>
        <v>Abrir facsímil</v>
      </c>
      <c r="K2487" s="12" t="s">
        <v>65</v>
      </c>
    </row>
    <row r="2488" spans="1:11" ht="40.049999999999997" customHeight="1" x14ac:dyDescent="0.25">
      <c r="A2488" s="11" t="s">
        <v>5440</v>
      </c>
      <c r="B2488" s="11" t="s">
        <v>5441</v>
      </c>
      <c r="C2488" s="11" t="s">
        <v>137</v>
      </c>
      <c r="D2488" s="11" t="s">
        <v>18</v>
      </c>
      <c r="E2488" s="12" t="s">
        <v>94</v>
      </c>
      <c r="F2488" s="12" t="s">
        <v>95</v>
      </c>
      <c r="G2488" s="12" t="s">
        <v>29</v>
      </c>
      <c r="H2488" s="11" t="s">
        <v>63</v>
      </c>
      <c r="I2488" s="13" t="s">
        <v>5443</v>
      </c>
      <c r="J2488" s="14" t="str">
        <f>HYPERLINK("https://www.boe.es/gazeta/dias/1839/02/24/pdfs/GMD-1839-1562.pdf#page=1","Abrir facsímil")</f>
        <v>Abrir facsímil</v>
      </c>
      <c r="K2488" s="12" t="s">
        <v>65</v>
      </c>
    </row>
    <row r="2489" spans="1:11" ht="40.049999999999997" customHeight="1" x14ac:dyDescent="0.25">
      <c r="A2489" s="11" t="s">
        <v>5444</v>
      </c>
      <c r="B2489" s="11" t="s">
        <v>5445</v>
      </c>
      <c r="C2489" s="11" t="s">
        <v>17</v>
      </c>
      <c r="D2489" s="11" t="s">
        <v>18</v>
      </c>
      <c r="E2489" s="12" t="s">
        <v>1012</v>
      </c>
      <c r="F2489" s="12" t="s">
        <v>1013</v>
      </c>
      <c r="G2489" s="12" t="s">
        <v>46</v>
      </c>
      <c r="H2489" s="11" t="s">
        <v>63</v>
      </c>
      <c r="I2489" s="13" t="s">
        <v>5446</v>
      </c>
      <c r="J2489" s="14" t="str">
        <f>HYPERLINK("https://www.boe.es/gazeta/dias/1839/11/22/pdfs/GMD-1839-1839.pdf#page=3","Abrir facsímil")</f>
        <v>Abrir facsímil</v>
      </c>
      <c r="K2489" s="12" t="s">
        <v>65</v>
      </c>
    </row>
    <row r="2490" spans="1:11" ht="40.049999999999997" customHeight="1" x14ac:dyDescent="0.25">
      <c r="A2490" s="11" t="s">
        <v>5447</v>
      </c>
      <c r="B2490" s="11" t="s">
        <v>5448</v>
      </c>
      <c r="C2490" s="11" t="s">
        <v>80</v>
      </c>
      <c r="D2490" s="11" t="s">
        <v>18</v>
      </c>
      <c r="E2490" s="12" t="s">
        <v>287</v>
      </c>
      <c r="F2490" s="12" t="s">
        <v>288</v>
      </c>
      <c r="G2490" s="12" t="s">
        <v>46</v>
      </c>
      <c r="H2490" s="11" t="s">
        <v>63</v>
      </c>
      <c r="I2490" s="13" t="s">
        <v>5449</v>
      </c>
      <c r="J2490" s="14" t="str">
        <f>HYPERLINK("https://www.boe.es/gazeta/dias/1839/11/27/pdfs/GMD-1839-1844.pdf#page=3","Abrir facsímil")</f>
        <v>Abrir facsímil</v>
      </c>
      <c r="K2490" s="12" t="s">
        <v>65</v>
      </c>
    </row>
    <row r="2491" spans="1:11" ht="40.049999999999997" customHeight="1" x14ac:dyDescent="0.25">
      <c r="A2491" s="11" t="s">
        <v>5450</v>
      </c>
      <c r="B2491" s="11" t="s">
        <v>5451</v>
      </c>
      <c r="C2491" s="11" t="s">
        <v>101</v>
      </c>
      <c r="D2491" s="11" t="s">
        <v>43</v>
      </c>
      <c r="E2491" s="12" t="s">
        <v>108</v>
      </c>
      <c r="F2491" s="12" t="s">
        <v>109</v>
      </c>
      <c r="G2491" s="12" t="s">
        <v>40</v>
      </c>
      <c r="H2491" s="11" t="s">
        <v>63</v>
      </c>
      <c r="I2491" s="13" t="s">
        <v>5452</v>
      </c>
      <c r="J2491" s="14" t="str">
        <f>HYPERLINK("https://www.boe.es/gazeta/dias/1839/01/04/pdfs/GMD-1839-1511.pdf#page=2","Abrir facsímil")</f>
        <v>Abrir facsímil</v>
      </c>
      <c r="K2491" s="12" t="s">
        <v>65</v>
      </c>
    </row>
    <row r="2492" spans="1:11" ht="40.049999999999997" customHeight="1" x14ac:dyDescent="0.25">
      <c r="A2492" s="11" t="s">
        <v>5453</v>
      </c>
      <c r="B2492" s="11" t="s">
        <v>5453</v>
      </c>
      <c r="C2492" s="11" t="s">
        <v>101</v>
      </c>
      <c r="D2492" s="11" t="s">
        <v>43</v>
      </c>
      <c r="E2492" s="12" t="s">
        <v>587</v>
      </c>
      <c r="F2492" s="12" t="s">
        <v>588</v>
      </c>
      <c r="G2492" s="12" t="s">
        <v>21</v>
      </c>
      <c r="H2492" s="11" t="s">
        <v>63</v>
      </c>
      <c r="I2492" s="13" t="s">
        <v>5454</v>
      </c>
      <c r="J2492" s="14" t="str">
        <f>HYPERLINK("https://www.boe.es/gazeta/dias/1839/05/02/pdfs/GMD-1839-1629.pdf#page=4","Abrir facsímil")</f>
        <v>Abrir facsímil</v>
      </c>
      <c r="K2492" s="12" t="s">
        <v>65</v>
      </c>
    </row>
    <row r="2493" spans="1:11" ht="40.049999999999997" customHeight="1" x14ac:dyDescent="0.25">
      <c r="A2493" s="11" t="s">
        <v>5455</v>
      </c>
      <c r="B2493" s="11" t="s">
        <v>5455</v>
      </c>
      <c r="C2493" s="11" t="s">
        <v>137</v>
      </c>
      <c r="D2493" s="11" t="s">
        <v>18</v>
      </c>
      <c r="E2493" s="12" t="s">
        <v>4189</v>
      </c>
      <c r="F2493" s="12" t="s">
        <v>4190</v>
      </c>
      <c r="G2493" s="12" t="s">
        <v>46</v>
      </c>
      <c r="H2493" s="11" t="s">
        <v>63</v>
      </c>
      <c r="I2493" s="13" t="s">
        <v>5456</v>
      </c>
      <c r="J2493" s="14" t="str">
        <f>HYPERLINK("https://www.boe.es/gazeta/dias/1839/02/13/pdfs/GMD-1839-1551.pdf#page=3","Abrir facsímil")</f>
        <v>Abrir facsímil</v>
      </c>
      <c r="K2493" s="12" t="s">
        <v>65</v>
      </c>
    </row>
    <row r="2494" spans="1:11" ht="40.049999999999997" customHeight="1" x14ac:dyDescent="0.25">
      <c r="A2494" s="11" t="s">
        <v>5455</v>
      </c>
      <c r="B2494" s="11" t="s">
        <v>5455</v>
      </c>
      <c r="C2494" s="11" t="s">
        <v>101</v>
      </c>
      <c r="D2494" s="11" t="s">
        <v>102</v>
      </c>
      <c r="E2494" s="12" t="s">
        <v>3009</v>
      </c>
      <c r="F2494" s="12" t="s">
        <v>3010</v>
      </c>
      <c r="G2494" s="12" t="s">
        <v>46</v>
      </c>
      <c r="H2494" s="11" t="s">
        <v>63</v>
      </c>
      <c r="I2494" s="13" t="s">
        <v>5457</v>
      </c>
      <c r="J2494" s="14" t="str">
        <f>HYPERLINK("https://www.boe.es/gazeta/dias/1839/04/20/pdfs/GMD-1839-1617.pdf#page=3","Abrir facsímil")</f>
        <v>Abrir facsímil</v>
      </c>
      <c r="K2494" s="12" t="s">
        <v>65</v>
      </c>
    </row>
    <row r="2495" spans="1:11" ht="40.049999999999997" customHeight="1" x14ac:dyDescent="0.25">
      <c r="A2495" s="11" t="s">
        <v>5455</v>
      </c>
      <c r="B2495" s="11" t="s">
        <v>5455</v>
      </c>
      <c r="C2495" s="11" t="s">
        <v>17</v>
      </c>
      <c r="D2495" s="11" t="s">
        <v>18</v>
      </c>
      <c r="E2495" s="12" t="s">
        <v>1663</v>
      </c>
      <c r="F2495" s="12" t="s">
        <v>1664</v>
      </c>
      <c r="G2495" s="12" t="s">
        <v>40</v>
      </c>
      <c r="H2495" s="11" t="s">
        <v>63</v>
      </c>
      <c r="I2495" s="13" t="s">
        <v>5458</v>
      </c>
      <c r="J2495" s="14" t="str">
        <f>HYPERLINK("https://www.boe.es/gazeta/dias/1839/03/22/pdfs/GMD-1839-1588.pdf#page=2","Abrir facsímil")</f>
        <v>Abrir facsímil</v>
      </c>
      <c r="K2495" s="12" t="s">
        <v>65</v>
      </c>
    </row>
    <row r="2496" spans="1:11" ht="40.049999999999997" customHeight="1" x14ac:dyDescent="0.25">
      <c r="A2496" s="11" t="s">
        <v>5459</v>
      </c>
      <c r="B2496" s="11" t="s">
        <v>5460</v>
      </c>
      <c r="C2496" s="11" t="s">
        <v>17</v>
      </c>
      <c r="D2496" s="11" t="s">
        <v>18</v>
      </c>
      <c r="E2496" s="12" t="s">
        <v>3224</v>
      </c>
      <c r="F2496" s="12" t="s">
        <v>3225</v>
      </c>
      <c r="G2496" s="12" t="s">
        <v>21</v>
      </c>
      <c r="H2496" s="11" t="s">
        <v>22</v>
      </c>
      <c r="I2496" s="13" t="s">
        <v>5461</v>
      </c>
      <c r="J2496" s="14" t="str">
        <f>HYPERLINK("https://www.boe.es/gazeta/dias/1839/06/03/pdfs/GMD-1839-1661.pdf#page=4","Abrir facsímil")</f>
        <v>Abrir facsímil</v>
      </c>
      <c r="K2496" s="12" t="s">
        <v>24</v>
      </c>
    </row>
    <row r="2497" spans="1:11" ht="40.049999999999997" customHeight="1" x14ac:dyDescent="0.25">
      <c r="A2497" s="11" t="s">
        <v>5459</v>
      </c>
      <c r="B2497" s="11" t="s">
        <v>5460</v>
      </c>
      <c r="C2497" s="11" t="s">
        <v>17</v>
      </c>
      <c r="D2497" s="11" t="s">
        <v>18</v>
      </c>
      <c r="E2497" s="12" t="s">
        <v>160</v>
      </c>
      <c r="F2497" s="12" t="s">
        <v>161</v>
      </c>
      <c r="G2497" s="12" t="s">
        <v>21</v>
      </c>
      <c r="H2497" s="11" t="s">
        <v>22</v>
      </c>
      <c r="I2497" s="13" t="s">
        <v>5462</v>
      </c>
      <c r="J2497" s="14" t="str">
        <f>HYPERLINK("https://www.boe.es/gazeta/dias/1839/01/10/pdfs/GMD-1839-1517.pdf#page=4","Abrir facsímil")</f>
        <v>Abrir facsímil</v>
      </c>
      <c r="K2497" s="12" t="s">
        <v>24</v>
      </c>
    </row>
    <row r="2498" spans="1:11" ht="40.049999999999997" customHeight="1" x14ac:dyDescent="0.25">
      <c r="A2498" s="11" t="s">
        <v>5463</v>
      </c>
      <c r="B2498" s="11" t="s">
        <v>5464</v>
      </c>
      <c r="C2498" s="11" t="s">
        <v>17</v>
      </c>
      <c r="D2498" s="11" t="s">
        <v>18</v>
      </c>
      <c r="E2498" s="12" t="s">
        <v>303</v>
      </c>
      <c r="F2498" s="12" t="s">
        <v>304</v>
      </c>
      <c r="G2498" s="12" t="s">
        <v>305</v>
      </c>
      <c r="H2498" s="11" t="s">
        <v>63</v>
      </c>
      <c r="I2498" s="13" t="s">
        <v>5465</v>
      </c>
      <c r="J2498" s="14" t="str">
        <f>HYPERLINK("https://www.boe.es/gazeta/dias/1839/10/06/pdfs/GMD-1839-1792.pdf#page=6","Abrir facsímil")</f>
        <v>Abrir facsímil</v>
      </c>
      <c r="K2498" s="12" t="s">
        <v>65</v>
      </c>
    </row>
    <row r="2499" spans="1:11" ht="40.049999999999997" customHeight="1" x14ac:dyDescent="0.25">
      <c r="A2499" s="11" t="s">
        <v>5463</v>
      </c>
      <c r="B2499" s="11" t="s">
        <v>5464</v>
      </c>
      <c r="C2499" s="11" t="s">
        <v>17</v>
      </c>
      <c r="D2499" s="11" t="s">
        <v>18</v>
      </c>
      <c r="E2499" s="12" t="s">
        <v>888</v>
      </c>
      <c r="F2499" s="12" t="s">
        <v>889</v>
      </c>
      <c r="G2499" s="12" t="s">
        <v>21</v>
      </c>
      <c r="H2499" s="11" t="s">
        <v>63</v>
      </c>
      <c r="I2499" s="13" t="s">
        <v>5466</v>
      </c>
      <c r="J2499" s="14" t="str">
        <f>HYPERLINK("https://www.boe.es/gazeta/dias/1839/05/14/pdfs/GMD-1839-1641.pdf#page=4","Abrir facsímil")</f>
        <v>Abrir facsímil</v>
      </c>
      <c r="K2499" s="12" t="s">
        <v>65</v>
      </c>
    </row>
    <row r="2500" spans="1:11" ht="40.049999999999997" customHeight="1" x14ac:dyDescent="0.25">
      <c r="A2500" s="11" t="s">
        <v>5467</v>
      </c>
      <c r="B2500" s="11" t="s">
        <v>5468</v>
      </c>
      <c r="C2500" s="11" t="s">
        <v>59</v>
      </c>
      <c r="D2500" s="11" t="s">
        <v>60</v>
      </c>
      <c r="E2500" s="12" t="s">
        <v>84</v>
      </c>
      <c r="F2500" s="12" t="s">
        <v>85</v>
      </c>
      <c r="G2500" s="12" t="s">
        <v>40</v>
      </c>
      <c r="H2500" s="11" t="s">
        <v>63</v>
      </c>
      <c r="I2500" s="13" t="s">
        <v>5469</v>
      </c>
      <c r="J2500" s="14" t="str">
        <f>HYPERLINK("https://www.boe.es/gazeta/dias/1839/03/11/pdfs/GMD-1839-1577.pdf#page=2","Abrir facsímil")</f>
        <v>Abrir facsímil</v>
      </c>
      <c r="K2500" s="12" t="s">
        <v>65</v>
      </c>
    </row>
    <row r="2501" spans="1:11" ht="40.049999999999997" customHeight="1" x14ac:dyDescent="0.25">
      <c r="A2501" s="11" t="s">
        <v>5470</v>
      </c>
      <c r="B2501" s="11" t="s">
        <v>5471</v>
      </c>
      <c r="C2501" s="11" t="s">
        <v>80</v>
      </c>
      <c r="D2501" s="11" t="s">
        <v>173</v>
      </c>
      <c r="E2501" s="12" t="s">
        <v>736</v>
      </c>
      <c r="F2501" s="12" t="s">
        <v>737</v>
      </c>
      <c r="G2501" s="12" t="s">
        <v>46</v>
      </c>
      <c r="H2501" s="11" t="s">
        <v>63</v>
      </c>
      <c r="I2501" s="13" t="s">
        <v>5472</v>
      </c>
      <c r="J2501" s="14" t="str">
        <f>HYPERLINK("https://www.boe.es/gazeta/dias/1839/10/13/pdfs/GMD-1839-1799.pdf#page=3","Abrir facsímil")</f>
        <v>Abrir facsímil</v>
      </c>
      <c r="K2501" s="12" t="s">
        <v>65</v>
      </c>
    </row>
    <row r="2502" spans="1:11" ht="40.049999999999997" customHeight="1" x14ac:dyDescent="0.25">
      <c r="A2502" s="11" t="s">
        <v>5473</v>
      </c>
      <c r="B2502" s="11" t="s">
        <v>5474</v>
      </c>
      <c r="C2502" s="11" t="s">
        <v>17</v>
      </c>
      <c r="D2502" s="11" t="s">
        <v>18</v>
      </c>
      <c r="E2502" s="12" t="s">
        <v>3614</v>
      </c>
      <c r="F2502" s="12" t="s">
        <v>3615</v>
      </c>
      <c r="G2502" s="12" t="s">
        <v>46</v>
      </c>
      <c r="H2502" s="11" t="s">
        <v>22</v>
      </c>
      <c r="I2502" s="13" t="s">
        <v>5475</v>
      </c>
      <c r="J2502" s="14" t="str">
        <f>HYPERLINK("https://www.boe.es/gazeta/dias/1839/04/04/pdfs/GMD-1839-1601.pdf#page=3","Abrir facsímil")</f>
        <v>Abrir facsímil</v>
      </c>
      <c r="K2502" s="12" t="s">
        <v>24</v>
      </c>
    </row>
    <row r="2503" spans="1:11" ht="40.049999999999997" customHeight="1" x14ac:dyDescent="0.25">
      <c r="A2503" s="11" t="s">
        <v>5473</v>
      </c>
      <c r="B2503" s="11" t="s">
        <v>5474</v>
      </c>
      <c r="C2503" s="11" t="s">
        <v>17</v>
      </c>
      <c r="D2503" s="11" t="s">
        <v>18</v>
      </c>
      <c r="E2503" s="12" t="s">
        <v>76</v>
      </c>
      <c r="F2503" s="12" t="s">
        <v>77</v>
      </c>
      <c r="G2503" s="12" t="s">
        <v>46</v>
      </c>
      <c r="H2503" s="11" t="s">
        <v>22</v>
      </c>
      <c r="I2503" s="13" t="s">
        <v>5476</v>
      </c>
      <c r="J2503" s="14" t="str">
        <f>HYPERLINK("https://www.boe.es/gazeta/dias/1839/03/13/pdfs/GMD-1839-1579.pdf#page=3","Abrir facsímil")</f>
        <v>Abrir facsímil</v>
      </c>
      <c r="K2503" s="12" t="s">
        <v>24</v>
      </c>
    </row>
    <row r="2504" spans="1:11" ht="40.049999999999997" customHeight="1" x14ac:dyDescent="0.25">
      <c r="A2504" s="11" t="s">
        <v>5477</v>
      </c>
      <c r="B2504" s="11" t="s">
        <v>5478</v>
      </c>
      <c r="C2504" s="11" t="s">
        <v>17</v>
      </c>
      <c r="D2504" s="11" t="s">
        <v>18</v>
      </c>
      <c r="E2504" s="12" t="s">
        <v>1027</v>
      </c>
      <c r="F2504" s="12" t="s">
        <v>1028</v>
      </c>
      <c r="G2504" s="12" t="s">
        <v>21</v>
      </c>
      <c r="H2504" s="11" t="s">
        <v>63</v>
      </c>
      <c r="I2504" s="13" t="s">
        <v>5479</v>
      </c>
      <c r="J2504" s="14" t="str">
        <f>HYPERLINK("https://www.boe.es/gazeta/dias/1839/08/16/pdfs/GMD-1839-1736.pdf#page=4","Abrir facsímil")</f>
        <v>Abrir facsímil</v>
      </c>
      <c r="K2504" s="12" t="s">
        <v>65</v>
      </c>
    </row>
    <row r="2505" spans="1:11" ht="40.049999999999997" customHeight="1" x14ac:dyDescent="0.25">
      <c r="A2505" s="11" t="s">
        <v>5480</v>
      </c>
      <c r="B2505" s="11" t="s">
        <v>5480</v>
      </c>
      <c r="C2505" s="11" t="s">
        <v>17</v>
      </c>
      <c r="D2505" s="11" t="s">
        <v>18</v>
      </c>
      <c r="E2505" s="12" t="s">
        <v>385</v>
      </c>
      <c r="F2505" s="12" t="s">
        <v>386</v>
      </c>
      <c r="G2505" s="12" t="s">
        <v>21</v>
      </c>
      <c r="H2505" s="11" t="s">
        <v>63</v>
      </c>
      <c r="I2505" s="13" t="s">
        <v>5481</v>
      </c>
      <c r="J2505" s="14" t="str">
        <f>HYPERLINK("https://www.boe.es/gazeta/dias/1839/08/01/pdfs/GMD-1839-1721.pdf#page=4","Abrir facsímil")</f>
        <v>Abrir facsímil</v>
      </c>
      <c r="K2505" s="12" t="s">
        <v>65</v>
      </c>
    </row>
    <row r="2506" spans="1:11" ht="40.049999999999997" customHeight="1" x14ac:dyDescent="0.25">
      <c r="A2506" s="11" t="s">
        <v>5480</v>
      </c>
      <c r="B2506" s="11" t="s">
        <v>5480</v>
      </c>
      <c r="C2506" s="11" t="s">
        <v>80</v>
      </c>
      <c r="D2506" s="11" t="s">
        <v>18</v>
      </c>
      <c r="E2506" s="12" t="s">
        <v>2440</v>
      </c>
      <c r="F2506" s="12" t="s">
        <v>2441</v>
      </c>
      <c r="G2506" s="12" t="s">
        <v>21</v>
      </c>
      <c r="H2506" s="11" t="s">
        <v>63</v>
      </c>
      <c r="I2506" s="13" t="s">
        <v>5482</v>
      </c>
      <c r="J2506" s="14" t="str">
        <f>HYPERLINK("https://www.boe.es/gazeta/dias/1839/12/01/pdfs/GMD-1839-1848.pdf#page=4","Abrir facsímil")</f>
        <v>Abrir facsímil</v>
      </c>
      <c r="K2506" s="12" t="s">
        <v>65</v>
      </c>
    </row>
    <row r="2507" spans="1:11" ht="40.049999999999997" customHeight="1" x14ac:dyDescent="0.25">
      <c r="A2507" s="11" t="s">
        <v>5480</v>
      </c>
      <c r="B2507" s="11" t="s">
        <v>5480</v>
      </c>
      <c r="C2507" s="11" t="s">
        <v>17</v>
      </c>
      <c r="D2507" s="11" t="s">
        <v>18</v>
      </c>
      <c r="E2507" s="12" t="s">
        <v>4451</v>
      </c>
      <c r="F2507" s="12" t="s">
        <v>4452</v>
      </c>
      <c r="G2507" s="12" t="s">
        <v>21</v>
      </c>
      <c r="H2507" s="11" t="s">
        <v>63</v>
      </c>
      <c r="I2507" s="13" t="s">
        <v>5483</v>
      </c>
      <c r="J2507" s="14" t="str">
        <f>HYPERLINK("https://www.boe.es/gazeta/dias/1839/12/02/pdfs/GMD-1839-1849.pdf#page=4","Abrir facsímil")</f>
        <v>Abrir facsímil</v>
      </c>
      <c r="K2507" s="12" t="s">
        <v>65</v>
      </c>
    </row>
    <row r="2508" spans="1:11" ht="40.049999999999997" customHeight="1" x14ac:dyDescent="0.25">
      <c r="A2508" s="11" t="s">
        <v>5480</v>
      </c>
      <c r="B2508" s="11" t="s">
        <v>5480</v>
      </c>
      <c r="C2508" s="11" t="s">
        <v>17</v>
      </c>
      <c r="D2508" s="11" t="s">
        <v>18</v>
      </c>
      <c r="E2508" s="12" t="s">
        <v>2227</v>
      </c>
      <c r="F2508" s="12" t="s">
        <v>2228</v>
      </c>
      <c r="G2508" s="12" t="s">
        <v>21</v>
      </c>
      <c r="H2508" s="11" t="s">
        <v>63</v>
      </c>
      <c r="I2508" s="13" t="s">
        <v>5484</v>
      </c>
      <c r="J2508" s="14" t="str">
        <f>HYPERLINK("https://www.boe.es/gazeta/dias/1839/12/04/pdfs/GMD-1839-1851.pdf#page=4","Abrir facsímil")</f>
        <v>Abrir facsímil</v>
      </c>
      <c r="K2508" s="12" t="s">
        <v>65</v>
      </c>
    </row>
    <row r="2509" spans="1:11" ht="40.049999999999997" customHeight="1" x14ac:dyDescent="0.25">
      <c r="A2509" s="11" t="s">
        <v>5480</v>
      </c>
      <c r="B2509" s="11" t="s">
        <v>5480</v>
      </c>
      <c r="C2509" s="11" t="s">
        <v>17</v>
      </c>
      <c r="D2509" s="11" t="s">
        <v>18</v>
      </c>
      <c r="E2509" s="12" t="s">
        <v>770</v>
      </c>
      <c r="F2509" s="12" t="s">
        <v>771</v>
      </c>
      <c r="G2509" s="12" t="s">
        <v>21</v>
      </c>
      <c r="H2509" s="11" t="s">
        <v>63</v>
      </c>
      <c r="I2509" s="13" t="s">
        <v>5485</v>
      </c>
      <c r="J2509" s="14" t="str">
        <f>HYPERLINK("https://www.boe.es/gazeta/dias/1839/12/05/pdfs/GMD-1839-1852.pdf#page=4","Abrir facsímil")</f>
        <v>Abrir facsímil</v>
      </c>
      <c r="K2509" s="12" t="s">
        <v>65</v>
      </c>
    </row>
    <row r="2510" spans="1:11" ht="40.049999999999997" customHeight="1" x14ac:dyDescent="0.25">
      <c r="A2510" s="11" t="s">
        <v>5480</v>
      </c>
      <c r="B2510" s="11" t="s">
        <v>5480</v>
      </c>
      <c r="C2510" s="11" t="s">
        <v>17</v>
      </c>
      <c r="D2510" s="11" t="s">
        <v>18</v>
      </c>
      <c r="E2510" s="12" t="s">
        <v>959</v>
      </c>
      <c r="F2510" s="12" t="s">
        <v>960</v>
      </c>
      <c r="G2510" s="12" t="s">
        <v>21</v>
      </c>
      <c r="H2510" s="11" t="s">
        <v>63</v>
      </c>
      <c r="I2510" s="13" t="s">
        <v>5486</v>
      </c>
      <c r="J2510" s="14" t="str">
        <f>HYPERLINK("https://www.boe.es/gazeta/dias/1839/12/06/pdfs/GMD-1839-1853.pdf#page=4","Abrir facsímil")</f>
        <v>Abrir facsímil</v>
      </c>
      <c r="K2510" s="12" t="s">
        <v>65</v>
      </c>
    </row>
    <row r="2511" spans="1:11" ht="40.049999999999997" customHeight="1" x14ac:dyDescent="0.25">
      <c r="A2511" s="11" t="s">
        <v>5480</v>
      </c>
      <c r="B2511" s="11" t="s">
        <v>5480</v>
      </c>
      <c r="C2511" s="11" t="s">
        <v>137</v>
      </c>
      <c r="D2511" s="11" t="s">
        <v>18</v>
      </c>
      <c r="E2511" s="12" t="s">
        <v>918</v>
      </c>
      <c r="F2511" s="12" t="s">
        <v>919</v>
      </c>
      <c r="G2511" s="12" t="s">
        <v>40</v>
      </c>
      <c r="H2511" s="11" t="s">
        <v>63</v>
      </c>
      <c r="I2511" s="13" t="s">
        <v>5487</v>
      </c>
      <c r="J2511" s="14" t="str">
        <f>HYPERLINK("https://www.boe.es/gazeta/dias/1839/12/07/pdfs/GMD-1839-1854.pdf#page=2","Abrir facsímil")</f>
        <v>Abrir facsímil</v>
      </c>
      <c r="K2511" s="12" t="s">
        <v>65</v>
      </c>
    </row>
    <row r="2512" spans="1:11" ht="40.049999999999997" customHeight="1" x14ac:dyDescent="0.25">
      <c r="A2512" s="11" t="s">
        <v>5480</v>
      </c>
      <c r="B2512" s="11" t="s">
        <v>5480</v>
      </c>
      <c r="C2512" s="11" t="s">
        <v>80</v>
      </c>
      <c r="D2512" s="11" t="s">
        <v>18</v>
      </c>
      <c r="E2512" s="12" t="s">
        <v>690</v>
      </c>
      <c r="F2512" s="12" t="s">
        <v>691</v>
      </c>
      <c r="G2512" s="12" t="s">
        <v>21</v>
      </c>
      <c r="H2512" s="11" t="s">
        <v>63</v>
      </c>
      <c r="I2512" s="13" t="s">
        <v>5488</v>
      </c>
      <c r="J2512" s="14" t="str">
        <f>HYPERLINK("https://www.boe.es/gazeta/dias/1839/12/08/pdfs/GMD-1839-1855.pdf#page=4","Abrir facsímil")</f>
        <v>Abrir facsímil</v>
      </c>
      <c r="K2512" s="12" t="s">
        <v>65</v>
      </c>
    </row>
    <row r="2513" spans="1:11" ht="40.049999999999997" customHeight="1" x14ac:dyDescent="0.25">
      <c r="A2513" s="11" t="s">
        <v>5480</v>
      </c>
      <c r="B2513" s="11" t="s">
        <v>5480</v>
      </c>
      <c r="C2513" s="11" t="s">
        <v>17</v>
      </c>
      <c r="D2513" s="11" t="s">
        <v>18</v>
      </c>
      <c r="E2513" s="12" t="s">
        <v>744</v>
      </c>
      <c r="F2513" s="12" t="s">
        <v>745</v>
      </c>
      <c r="G2513" s="12" t="s">
        <v>46</v>
      </c>
      <c r="H2513" s="11" t="s">
        <v>63</v>
      </c>
      <c r="I2513" s="13" t="s">
        <v>5489</v>
      </c>
      <c r="J2513" s="14" t="str">
        <f>HYPERLINK("https://www.boe.es/gazeta/dias/1839/12/09/pdfs/GMD-1839-1856.pdf#page=3","Abrir facsímil")</f>
        <v>Abrir facsímil</v>
      </c>
      <c r="K2513" s="12" t="s">
        <v>65</v>
      </c>
    </row>
    <row r="2514" spans="1:11" ht="40.049999999999997" customHeight="1" x14ac:dyDescent="0.25">
      <c r="A2514" s="11" t="s">
        <v>5480</v>
      </c>
      <c r="B2514" s="11" t="s">
        <v>5480</v>
      </c>
      <c r="C2514" s="11" t="s">
        <v>80</v>
      </c>
      <c r="D2514" s="11" t="s">
        <v>18</v>
      </c>
      <c r="E2514" s="12" t="s">
        <v>2449</v>
      </c>
      <c r="F2514" s="12" t="s">
        <v>2450</v>
      </c>
      <c r="G2514" s="12" t="s">
        <v>21</v>
      </c>
      <c r="H2514" s="11" t="s">
        <v>63</v>
      </c>
      <c r="I2514" s="13" t="s">
        <v>5490</v>
      </c>
      <c r="J2514" s="14" t="str">
        <f>HYPERLINK("https://www.boe.es/gazeta/dias/1839/12/11/pdfs/GMD-1839-1858.pdf#page=4","Abrir facsímil")</f>
        <v>Abrir facsímil</v>
      </c>
      <c r="K2514" s="12" t="s">
        <v>65</v>
      </c>
    </row>
    <row r="2515" spans="1:11" ht="40.049999999999997" customHeight="1" x14ac:dyDescent="0.25">
      <c r="A2515" s="11" t="s">
        <v>5480</v>
      </c>
      <c r="B2515" s="11" t="s">
        <v>5480</v>
      </c>
      <c r="C2515" s="11" t="s">
        <v>17</v>
      </c>
      <c r="D2515" s="11" t="s">
        <v>18</v>
      </c>
      <c r="E2515" s="12" t="s">
        <v>4186</v>
      </c>
      <c r="F2515" s="12" t="s">
        <v>4187</v>
      </c>
      <c r="G2515" s="12" t="s">
        <v>21</v>
      </c>
      <c r="H2515" s="11" t="s">
        <v>63</v>
      </c>
      <c r="I2515" s="13" t="s">
        <v>5491</v>
      </c>
      <c r="J2515" s="14" t="str">
        <f>HYPERLINK("https://www.boe.es/gazeta/dias/1839/12/12/pdfs/GMD-1839-1859.pdf#page=4","Abrir facsímil")</f>
        <v>Abrir facsímil</v>
      </c>
      <c r="K2515" s="12" t="s">
        <v>65</v>
      </c>
    </row>
    <row r="2516" spans="1:11" ht="40.049999999999997" customHeight="1" x14ac:dyDescent="0.25">
      <c r="A2516" s="11" t="s">
        <v>5480</v>
      </c>
      <c r="B2516" s="11" t="s">
        <v>5480</v>
      </c>
      <c r="C2516" s="11" t="s">
        <v>80</v>
      </c>
      <c r="D2516" s="11" t="s">
        <v>18</v>
      </c>
      <c r="E2516" s="12" t="s">
        <v>2270</v>
      </c>
      <c r="F2516" s="12" t="s">
        <v>2271</v>
      </c>
      <c r="G2516" s="12" t="s">
        <v>40</v>
      </c>
      <c r="H2516" s="11" t="s">
        <v>63</v>
      </c>
      <c r="I2516" s="13" t="s">
        <v>5492</v>
      </c>
      <c r="J2516" s="14" t="str">
        <f>HYPERLINK("https://www.boe.es/gazeta/dias/1839/06/13/pdfs/GMD-1839-1671.pdf#page=2","Abrir facsímil")</f>
        <v>Abrir facsímil</v>
      </c>
      <c r="K2516" s="12" t="s">
        <v>65</v>
      </c>
    </row>
    <row r="2517" spans="1:11" ht="40.049999999999997" customHeight="1" x14ac:dyDescent="0.25">
      <c r="A2517" s="11" t="s">
        <v>5480</v>
      </c>
      <c r="B2517" s="11" t="s">
        <v>5480</v>
      </c>
      <c r="C2517" s="11" t="s">
        <v>101</v>
      </c>
      <c r="D2517" s="11" t="s">
        <v>102</v>
      </c>
      <c r="E2517" s="12" t="s">
        <v>785</v>
      </c>
      <c r="F2517" s="12" t="s">
        <v>786</v>
      </c>
      <c r="G2517" s="12" t="s">
        <v>40</v>
      </c>
      <c r="H2517" s="11" t="s">
        <v>63</v>
      </c>
      <c r="I2517" s="13" t="s">
        <v>5493</v>
      </c>
      <c r="J2517" s="14" t="str">
        <f>HYPERLINK("https://www.boe.es/gazeta/dias/1839/07/13/pdfs/GMD-1839-1701.pdf#page=2","Abrir facsímil")</f>
        <v>Abrir facsímil</v>
      </c>
      <c r="K2517" s="12" t="s">
        <v>65</v>
      </c>
    </row>
    <row r="2518" spans="1:11" ht="40.049999999999997" customHeight="1" x14ac:dyDescent="0.25">
      <c r="A2518" s="11" t="s">
        <v>5480</v>
      </c>
      <c r="B2518" s="11" t="s">
        <v>5480</v>
      </c>
      <c r="C2518" s="11" t="s">
        <v>17</v>
      </c>
      <c r="D2518" s="11" t="s">
        <v>18</v>
      </c>
      <c r="E2518" s="12" t="s">
        <v>33</v>
      </c>
      <c r="F2518" s="12" t="s">
        <v>34</v>
      </c>
      <c r="G2518" s="12" t="s">
        <v>21</v>
      </c>
      <c r="H2518" s="11" t="s">
        <v>63</v>
      </c>
      <c r="I2518" s="13" t="s">
        <v>5494</v>
      </c>
      <c r="J2518" s="14" t="str">
        <f>HYPERLINK("https://www.boe.es/gazeta/dias/1839/12/13/pdfs/GMD-1839-1860.pdf#page=4","Abrir facsímil")</f>
        <v>Abrir facsímil</v>
      </c>
      <c r="K2518" s="12" t="s">
        <v>65</v>
      </c>
    </row>
    <row r="2519" spans="1:11" ht="40.049999999999997" customHeight="1" x14ac:dyDescent="0.25">
      <c r="A2519" s="11" t="s">
        <v>5480</v>
      </c>
      <c r="B2519" s="11" t="s">
        <v>5480</v>
      </c>
      <c r="C2519" s="11" t="s">
        <v>17</v>
      </c>
      <c r="D2519" s="11" t="s">
        <v>18</v>
      </c>
      <c r="E2519" s="12" t="s">
        <v>1891</v>
      </c>
      <c r="F2519" s="12" t="s">
        <v>1892</v>
      </c>
      <c r="G2519" s="12" t="s">
        <v>21</v>
      </c>
      <c r="H2519" s="11" t="s">
        <v>63</v>
      </c>
      <c r="I2519" s="13" t="s">
        <v>5495</v>
      </c>
      <c r="J2519" s="14" t="str">
        <f>HYPERLINK("https://www.boe.es/gazeta/dias/1839/12/14/pdfs/GMD-1839-1861.pdf#page=4","Abrir facsímil")</f>
        <v>Abrir facsímil</v>
      </c>
      <c r="K2519" s="12" t="s">
        <v>65</v>
      </c>
    </row>
    <row r="2520" spans="1:11" ht="40.049999999999997" customHeight="1" x14ac:dyDescent="0.25">
      <c r="A2520" s="11" t="s">
        <v>5480</v>
      </c>
      <c r="B2520" s="11" t="s">
        <v>5480</v>
      </c>
      <c r="C2520" s="11" t="s">
        <v>80</v>
      </c>
      <c r="D2520" s="11" t="s">
        <v>18</v>
      </c>
      <c r="E2520" s="12" t="s">
        <v>1528</v>
      </c>
      <c r="F2520" s="12" t="s">
        <v>1529</v>
      </c>
      <c r="G2520" s="12" t="s">
        <v>21</v>
      </c>
      <c r="H2520" s="11" t="s">
        <v>63</v>
      </c>
      <c r="I2520" s="13" t="s">
        <v>5496</v>
      </c>
      <c r="J2520" s="14" t="str">
        <f>HYPERLINK("https://www.boe.es/gazeta/dias/1839/12/15/pdfs/GMD-1839-1862.pdf#page=4","Abrir facsímil")</f>
        <v>Abrir facsímil</v>
      </c>
      <c r="K2520" s="12" t="s">
        <v>65</v>
      </c>
    </row>
    <row r="2521" spans="1:11" ht="40.049999999999997" customHeight="1" x14ac:dyDescent="0.25">
      <c r="A2521" s="11" t="s">
        <v>5480</v>
      </c>
      <c r="B2521" s="11" t="s">
        <v>5480</v>
      </c>
      <c r="C2521" s="11" t="s">
        <v>17</v>
      </c>
      <c r="D2521" s="11" t="s">
        <v>18</v>
      </c>
      <c r="E2521" s="12" t="s">
        <v>1537</v>
      </c>
      <c r="F2521" s="12" t="s">
        <v>1538</v>
      </c>
      <c r="G2521" s="12" t="s">
        <v>21</v>
      </c>
      <c r="H2521" s="11" t="s">
        <v>63</v>
      </c>
      <c r="I2521" s="13" t="s">
        <v>5497</v>
      </c>
      <c r="J2521" s="14" t="str">
        <f>HYPERLINK("https://www.boe.es/gazeta/dias/1839/12/16/pdfs/GMD-1839-1863.pdf#page=4","Abrir facsímil")</f>
        <v>Abrir facsímil</v>
      </c>
      <c r="K2521" s="12" t="s">
        <v>65</v>
      </c>
    </row>
    <row r="2522" spans="1:11" ht="40.049999999999997" customHeight="1" x14ac:dyDescent="0.25">
      <c r="A2522" s="11" t="s">
        <v>5480</v>
      </c>
      <c r="B2522" s="11" t="s">
        <v>5480</v>
      </c>
      <c r="C2522" s="11" t="s">
        <v>17</v>
      </c>
      <c r="D2522" s="11" t="s">
        <v>18</v>
      </c>
      <c r="E2522" s="12" t="s">
        <v>713</v>
      </c>
      <c r="F2522" s="12" t="s">
        <v>714</v>
      </c>
      <c r="G2522" s="12" t="s">
        <v>21</v>
      </c>
      <c r="H2522" s="11" t="s">
        <v>63</v>
      </c>
      <c r="I2522" s="13" t="s">
        <v>5498</v>
      </c>
      <c r="J2522" s="14" t="str">
        <f>HYPERLINK("https://www.boe.es/gazeta/dias/1839/12/18/pdfs/GMD-1839-1865.pdf#page=4","Abrir facsímil")</f>
        <v>Abrir facsímil</v>
      </c>
      <c r="K2522" s="12" t="s">
        <v>65</v>
      </c>
    </row>
    <row r="2523" spans="1:11" ht="40.049999999999997" customHeight="1" x14ac:dyDescent="0.25">
      <c r="A2523" s="11" t="s">
        <v>5480</v>
      </c>
      <c r="B2523" s="11" t="s">
        <v>5480</v>
      </c>
      <c r="C2523" s="11" t="s">
        <v>59</v>
      </c>
      <c r="D2523" s="11" t="s">
        <v>60</v>
      </c>
      <c r="E2523" s="12" t="s">
        <v>695</v>
      </c>
      <c r="F2523" s="12" t="s">
        <v>696</v>
      </c>
      <c r="G2523" s="12" t="s">
        <v>46</v>
      </c>
      <c r="H2523" s="11" t="s">
        <v>63</v>
      </c>
      <c r="I2523" s="13" t="s">
        <v>5499</v>
      </c>
      <c r="J2523" s="14" t="str">
        <f>HYPERLINK("https://www.boe.es/gazeta/dias/1839/12/19/pdfs/GMD-1839-1866.pdf#page=3","Abrir facsímil")</f>
        <v>Abrir facsímil</v>
      </c>
      <c r="K2523" s="12" t="s">
        <v>65</v>
      </c>
    </row>
    <row r="2524" spans="1:11" ht="40.049999999999997" customHeight="1" x14ac:dyDescent="0.25">
      <c r="A2524" s="11" t="s">
        <v>5480</v>
      </c>
      <c r="B2524" s="11" t="s">
        <v>5480</v>
      </c>
      <c r="C2524" s="11" t="s">
        <v>17</v>
      </c>
      <c r="D2524" s="11" t="s">
        <v>18</v>
      </c>
      <c r="E2524" s="12" t="s">
        <v>239</v>
      </c>
      <c r="F2524" s="12" t="s">
        <v>240</v>
      </c>
      <c r="G2524" s="12" t="s">
        <v>21</v>
      </c>
      <c r="H2524" s="11" t="s">
        <v>63</v>
      </c>
      <c r="I2524" s="13" t="s">
        <v>5500</v>
      </c>
      <c r="J2524" s="14" t="str">
        <f>HYPERLINK("https://www.boe.es/gazeta/dias/1839/09/22/pdfs/GMD-1839-1777.pdf#page=4","Abrir facsímil")</f>
        <v>Abrir facsímil</v>
      </c>
      <c r="K2524" s="12" t="s">
        <v>65</v>
      </c>
    </row>
    <row r="2525" spans="1:11" ht="40.049999999999997" customHeight="1" x14ac:dyDescent="0.25">
      <c r="A2525" s="11" t="s">
        <v>5480</v>
      </c>
      <c r="B2525" s="11" t="s">
        <v>5480</v>
      </c>
      <c r="C2525" s="11" t="s">
        <v>17</v>
      </c>
      <c r="D2525" s="11" t="s">
        <v>18</v>
      </c>
      <c r="E2525" s="12" t="s">
        <v>2415</v>
      </c>
      <c r="F2525" s="12" t="s">
        <v>2416</v>
      </c>
      <c r="G2525" s="12" t="s">
        <v>21</v>
      </c>
      <c r="H2525" s="11" t="s">
        <v>63</v>
      </c>
      <c r="I2525" s="13" t="s">
        <v>5501</v>
      </c>
      <c r="J2525" s="14" t="str">
        <f>HYPERLINK("https://www.boe.es/gazeta/dias/1839/12/22/pdfs/GMD-1839-1869.pdf#page=4","Abrir facsímil")</f>
        <v>Abrir facsímil</v>
      </c>
      <c r="K2525" s="12" t="s">
        <v>65</v>
      </c>
    </row>
    <row r="2526" spans="1:11" ht="40.049999999999997" customHeight="1" x14ac:dyDescent="0.25">
      <c r="A2526" s="11" t="s">
        <v>5480</v>
      </c>
      <c r="B2526" s="11" t="s">
        <v>5480</v>
      </c>
      <c r="C2526" s="11" t="s">
        <v>59</v>
      </c>
      <c r="D2526" s="11" t="s">
        <v>60</v>
      </c>
      <c r="E2526" s="12" t="s">
        <v>519</v>
      </c>
      <c r="F2526" s="12" t="s">
        <v>520</v>
      </c>
      <c r="G2526" s="12" t="s">
        <v>29</v>
      </c>
      <c r="H2526" s="11" t="s">
        <v>63</v>
      </c>
      <c r="I2526" s="13" t="s">
        <v>5502</v>
      </c>
      <c r="J2526" s="14" t="str">
        <f>HYPERLINK("https://www.boe.es/gazeta/dias/1839/02/23/pdfs/GMD-1839-1561.pdf#page=1","Abrir facsímil")</f>
        <v>Abrir facsímil</v>
      </c>
      <c r="K2526" s="12" t="s">
        <v>65</v>
      </c>
    </row>
    <row r="2527" spans="1:11" ht="40.049999999999997" customHeight="1" x14ac:dyDescent="0.25">
      <c r="A2527" s="11" t="s">
        <v>5480</v>
      </c>
      <c r="B2527" s="11" t="s">
        <v>5480</v>
      </c>
      <c r="C2527" s="11" t="s">
        <v>17</v>
      </c>
      <c r="D2527" s="11" t="s">
        <v>18</v>
      </c>
      <c r="E2527" s="12" t="s">
        <v>1895</v>
      </c>
      <c r="F2527" s="12" t="s">
        <v>1896</v>
      </c>
      <c r="G2527" s="12" t="s">
        <v>46</v>
      </c>
      <c r="H2527" s="11" t="s">
        <v>63</v>
      </c>
      <c r="I2527" s="13" t="s">
        <v>5503</v>
      </c>
      <c r="J2527" s="14" t="str">
        <f>HYPERLINK("https://www.boe.es/gazeta/dias/1839/12/23/pdfs/GMD-1839-1870.pdf#page=3","Abrir facsímil")</f>
        <v>Abrir facsímil</v>
      </c>
      <c r="K2527" s="12" t="s">
        <v>65</v>
      </c>
    </row>
    <row r="2528" spans="1:11" ht="40.049999999999997" customHeight="1" x14ac:dyDescent="0.25">
      <c r="A2528" s="11" t="s">
        <v>5480</v>
      </c>
      <c r="B2528" s="11" t="s">
        <v>5480</v>
      </c>
      <c r="C2528" s="11" t="s">
        <v>80</v>
      </c>
      <c r="D2528" s="11" t="s">
        <v>18</v>
      </c>
      <c r="E2528" s="12" t="s">
        <v>1336</v>
      </c>
      <c r="F2528" s="12" t="s">
        <v>1337</v>
      </c>
      <c r="G2528" s="12" t="s">
        <v>21</v>
      </c>
      <c r="H2528" s="11" t="s">
        <v>63</v>
      </c>
      <c r="I2528" s="13" t="s">
        <v>5504</v>
      </c>
      <c r="J2528" s="14" t="str">
        <f>HYPERLINK("https://www.boe.es/gazeta/dias/1839/02/26/pdfs/GMD-1839-1564.pdf#page=4","Abrir facsímil")</f>
        <v>Abrir facsímil</v>
      </c>
      <c r="K2528" s="12" t="s">
        <v>65</v>
      </c>
    </row>
    <row r="2529" spans="1:11" ht="40.049999999999997" customHeight="1" x14ac:dyDescent="0.25">
      <c r="A2529" s="11" t="s">
        <v>5480</v>
      </c>
      <c r="B2529" s="11" t="s">
        <v>5480</v>
      </c>
      <c r="C2529" s="11" t="s">
        <v>17</v>
      </c>
      <c r="D2529" s="11" t="s">
        <v>18</v>
      </c>
      <c r="E2529" s="12" t="s">
        <v>1159</v>
      </c>
      <c r="F2529" s="12" t="s">
        <v>1160</v>
      </c>
      <c r="G2529" s="12" t="s">
        <v>21</v>
      </c>
      <c r="H2529" s="11" t="s">
        <v>63</v>
      </c>
      <c r="I2529" s="13" t="s">
        <v>5505</v>
      </c>
      <c r="J2529" s="14" t="str">
        <f>HYPERLINK("https://www.boe.es/gazeta/dias/1839/11/26/pdfs/GMD-1839-1843.pdf#page=4","Abrir facsímil")</f>
        <v>Abrir facsímil</v>
      </c>
      <c r="K2529" s="12" t="s">
        <v>65</v>
      </c>
    </row>
    <row r="2530" spans="1:11" ht="40.049999999999997" customHeight="1" x14ac:dyDescent="0.25">
      <c r="A2530" s="11" t="s">
        <v>5480</v>
      </c>
      <c r="B2530" s="11" t="s">
        <v>5480</v>
      </c>
      <c r="C2530" s="11" t="s">
        <v>17</v>
      </c>
      <c r="D2530" s="11" t="s">
        <v>18</v>
      </c>
      <c r="E2530" s="12" t="s">
        <v>1682</v>
      </c>
      <c r="F2530" s="12" t="s">
        <v>1683</v>
      </c>
      <c r="G2530" s="12" t="s">
        <v>21</v>
      </c>
      <c r="H2530" s="11" t="s">
        <v>63</v>
      </c>
      <c r="I2530" s="13" t="s">
        <v>5506</v>
      </c>
      <c r="J2530" s="14" t="str">
        <f>HYPERLINK("https://www.boe.es/gazeta/dias/1839/12/26/pdfs/GMD-1839-1873.pdf#page=4","Abrir facsímil")</f>
        <v>Abrir facsímil</v>
      </c>
      <c r="K2530" s="12" t="s">
        <v>65</v>
      </c>
    </row>
    <row r="2531" spans="1:11" ht="40.049999999999997" customHeight="1" x14ac:dyDescent="0.25">
      <c r="A2531" s="11" t="s">
        <v>5480</v>
      </c>
      <c r="B2531" s="11" t="s">
        <v>5480</v>
      </c>
      <c r="C2531" s="11" t="s">
        <v>80</v>
      </c>
      <c r="D2531" s="11" t="s">
        <v>18</v>
      </c>
      <c r="E2531" s="12" t="s">
        <v>1520</v>
      </c>
      <c r="F2531" s="12" t="s">
        <v>1521</v>
      </c>
      <c r="G2531" s="12" t="s">
        <v>46</v>
      </c>
      <c r="H2531" s="11" t="s">
        <v>63</v>
      </c>
      <c r="I2531" s="13" t="s">
        <v>5507</v>
      </c>
      <c r="J2531" s="14" t="str">
        <f>HYPERLINK("https://www.boe.es/gazeta/dias/1839/12/27/pdfs/GMD-1839-1874.pdf#page=3","Abrir facsímil")</f>
        <v>Abrir facsímil</v>
      </c>
      <c r="K2531" s="12" t="s">
        <v>65</v>
      </c>
    </row>
    <row r="2532" spans="1:11" ht="40.049999999999997" customHeight="1" x14ac:dyDescent="0.25">
      <c r="A2532" s="11" t="s">
        <v>5480</v>
      </c>
      <c r="B2532" s="11" t="s">
        <v>5480</v>
      </c>
      <c r="C2532" s="11" t="s">
        <v>17</v>
      </c>
      <c r="D2532" s="11" t="s">
        <v>18</v>
      </c>
      <c r="E2532" s="12" t="s">
        <v>892</v>
      </c>
      <c r="F2532" s="12" t="s">
        <v>893</v>
      </c>
      <c r="G2532" s="12" t="s">
        <v>21</v>
      </c>
      <c r="H2532" s="11" t="s">
        <v>63</v>
      </c>
      <c r="I2532" s="13" t="s">
        <v>5508</v>
      </c>
      <c r="J2532" s="14" t="str">
        <f>HYPERLINK("https://www.boe.es/gazeta/dias/1839/12/28/pdfs/GMD-1839-1875.pdf#page=4","Abrir facsímil")</f>
        <v>Abrir facsímil</v>
      </c>
      <c r="K2532" s="12" t="s">
        <v>65</v>
      </c>
    </row>
    <row r="2533" spans="1:11" ht="40.049999999999997" customHeight="1" x14ac:dyDescent="0.25">
      <c r="A2533" s="11" t="s">
        <v>5480</v>
      </c>
      <c r="B2533" s="11" t="s">
        <v>5480</v>
      </c>
      <c r="C2533" s="11" t="s">
        <v>17</v>
      </c>
      <c r="D2533" s="11" t="s">
        <v>18</v>
      </c>
      <c r="E2533" s="12" t="s">
        <v>951</v>
      </c>
      <c r="F2533" s="12" t="s">
        <v>952</v>
      </c>
      <c r="G2533" s="12" t="s">
        <v>46</v>
      </c>
      <c r="H2533" s="11" t="s">
        <v>63</v>
      </c>
      <c r="I2533" s="13" t="s">
        <v>5509</v>
      </c>
      <c r="J2533" s="14" t="str">
        <f>HYPERLINK("https://www.boe.es/gazeta/dias/1839/12/30/pdfs/GMD-1839-1877.pdf#page=3","Abrir facsímil")</f>
        <v>Abrir facsímil</v>
      </c>
      <c r="K2533" s="12" t="s">
        <v>65</v>
      </c>
    </row>
    <row r="2534" spans="1:11" ht="40.049999999999997" customHeight="1" x14ac:dyDescent="0.25">
      <c r="A2534" s="11" t="s">
        <v>5510</v>
      </c>
      <c r="B2534" s="11" t="s">
        <v>5511</v>
      </c>
      <c r="C2534" s="11" t="s">
        <v>80</v>
      </c>
      <c r="D2534" s="11" t="s">
        <v>18</v>
      </c>
      <c r="E2534" s="12" t="s">
        <v>4787</v>
      </c>
      <c r="F2534" s="12" t="s">
        <v>4788</v>
      </c>
      <c r="G2534" s="12" t="s">
        <v>46</v>
      </c>
      <c r="H2534" s="11" t="s">
        <v>22</v>
      </c>
      <c r="I2534" s="13" t="s">
        <v>5512</v>
      </c>
      <c r="J2534" s="14" t="str">
        <f>HYPERLINK("https://www.boe.es/gazeta/dias/1839/05/26/pdfs/GMD-1839-1653.pdf#page=3","Abrir facsímil")</f>
        <v>Abrir facsímil</v>
      </c>
      <c r="K2534" s="12" t="s">
        <v>24</v>
      </c>
    </row>
    <row r="2535" spans="1:11" ht="40.049999999999997" customHeight="1" x14ac:dyDescent="0.25">
      <c r="A2535" s="11" t="s">
        <v>5513</v>
      </c>
      <c r="B2535" s="11" t="s">
        <v>5514</v>
      </c>
      <c r="C2535" s="11" t="s">
        <v>17</v>
      </c>
      <c r="D2535" s="11" t="s">
        <v>18</v>
      </c>
      <c r="E2535" s="12" t="s">
        <v>352</v>
      </c>
      <c r="F2535" s="12" t="s">
        <v>353</v>
      </c>
      <c r="G2535" s="12" t="s">
        <v>40</v>
      </c>
      <c r="H2535" s="11" t="s">
        <v>63</v>
      </c>
      <c r="I2535" s="13" t="s">
        <v>5515</v>
      </c>
      <c r="J2535" s="14" t="str">
        <f>HYPERLINK("https://www.boe.es/gazeta/dias/1839/03/30/pdfs/GMD-1839-1596.pdf#page=2","Abrir facsímil")</f>
        <v>Abrir facsímil</v>
      </c>
      <c r="K2535" s="12" t="s">
        <v>65</v>
      </c>
    </row>
    <row r="2536" spans="1:11" ht="40.049999999999997" customHeight="1" x14ac:dyDescent="0.25">
      <c r="A2536" s="11" t="s">
        <v>5516</v>
      </c>
      <c r="B2536" s="11" t="s">
        <v>5516</v>
      </c>
      <c r="C2536" s="11" t="s">
        <v>17</v>
      </c>
      <c r="D2536" s="11" t="s">
        <v>18</v>
      </c>
      <c r="E2536" s="12" t="s">
        <v>1366</v>
      </c>
      <c r="F2536" s="12" t="s">
        <v>1367</v>
      </c>
      <c r="G2536" s="12" t="s">
        <v>40</v>
      </c>
      <c r="H2536" s="11" t="s">
        <v>22</v>
      </c>
      <c r="I2536" s="13" t="s">
        <v>5517</v>
      </c>
      <c r="J2536" s="14" t="str">
        <f>HYPERLINK("https://www.boe.es/gazeta/dias/1839/09/09/pdfs/GMD-1839-1762.pdf#page=2","Abrir facsímil")</f>
        <v>Abrir facsímil</v>
      </c>
      <c r="K2536" s="12" t="s">
        <v>24</v>
      </c>
    </row>
    <row r="2537" spans="1:11" ht="40.049999999999997" customHeight="1" x14ac:dyDescent="0.25">
      <c r="A2537" s="11" t="s">
        <v>5518</v>
      </c>
      <c r="B2537" s="11" t="s">
        <v>5519</v>
      </c>
      <c r="C2537" s="11" t="s">
        <v>101</v>
      </c>
      <c r="D2537" s="11" t="s">
        <v>43</v>
      </c>
      <c r="E2537" s="12" t="s">
        <v>1414</v>
      </c>
      <c r="F2537" s="12" t="s">
        <v>1415</v>
      </c>
      <c r="G2537" s="12" t="s">
        <v>21</v>
      </c>
      <c r="H2537" s="11" t="s">
        <v>63</v>
      </c>
      <c r="I2537" s="13" t="s">
        <v>5520</v>
      </c>
      <c r="J2537" s="14" t="str">
        <f>HYPERLINK("https://www.boe.es/gazeta/dias/1839/06/12/pdfs/GMD-1839-1670.pdf#page=4","Abrir facsímil")</f>
        <v>Abrir facsímil</v>
      </c>
      <c r="K2537" s="12" t="s">
        <v>65</v>
      </c>
    </row>
    <row r="2538" spans="1:11" ht="40.049999999999997" customHeight="1" x14ac:dyDescent="0.25">
      <c r="A2538" s="11" t="s">
        <v>5521</v>
      </c>
      <c r="B2538" s="11" t="s">
        <v>5521</v>
      </c>
      <c r="C2538" s="11" t="s">
        <v>101</v>
      </c>
      <c r="D2538" s="11" t="s">
        <v>43</v>
      </c>
      <c r="E2538" s="12" t="s">
        <v>1008</v>
      </c>
      <c r="F2538" s="12" t="s">
        <v>1009</v>
      </c>
      <c r="G2538" s="12" t="s">
        <v>40</v>
      </c>
      <c r="H2538" s="11" t="s">
        <v>22</v>
      </c>
      <c r="I2538" s="13" t="s">
        <v>5522</v>
      </c>
      <c r="J2538" s="14" t="str">
        <f>HYPERLINK("https://www.boe.es/gazeta/dias/1839/09/07/pdfs/GMD-1839-1760.pdf#page=2","Abrir facsímil")</f>
        <v>Abrir facsímil</v>
      </c>
      <c r="K2538" s="12" t="s">
        <v>24</v>
      </c>
    </row>
    <row r="2539" spans="1:11" ht="40.049999999999997" customHeight="1" x14ac:dyDescent="0.25">
      <c r="A2539" s="11" t="s">
        <v>5521</v>
      </c>
      <c r="B2539" s="11" t="s">
        <v>5521</v>
      </c>
      <c r="C2539" s="11" t="s">
        <v>17</v>
      </c>
      <c r="D2539" s="11" t="s">
        <v>18</v>
      </c>
      <c r="E2539" s="12" t="s">
        <v>647</v>
      </c>
      <c r="F2539" s="12" t="s">
        <v>648</v>
      </c>
      <c r="G2539" s="12" t="s">
        <v>29</v>
      </c>
      <c r="H2539" s="11" t="s">
        <v>22</v>
      </c>
      <c r="I2539" s="13" t="s">
        <v>5523</v>
      </c>
      <c r="J2539" s="14" t="str">
        <f>HYPERLINK("https://www.boe.es/gazeta/dias/1839/10/08/pdfs/GMD-1839-1794.pdf#page=1","Abrir facsímil")</f>
        <v>Abrir facsímil</v>
      </c>
      <c r="K2539" s="12" t="s">
        <v>24</v>
      </c>
    </row>
    <row r="2540" spans="1:11" ht="40.049999999999997" customHeight="1" x14ac:dyDescent="0.25">
      <c r="A2540" s="11" t="s">
        <v>5521</v>
      </c>
      <c r="B2540" s="11" t="s">
        <v>5521</v>
      </c>
      <c r="C2540" s="11" t="s">
        <v>101</v>
      </c>
      <c r="D2540" s="11" t="s">
        <v>43</v>
      </c>
      <c r="E2540" s="12" t="s">
        <v>1366</v>
      </c>
      <c r="F2540" s="12" t="s">
        <v>1367</v>
      </c>
      <c r="G2540" s="12" t="s">
        <v>40</v>
      </c>
      <c r="H2540" s="11" t="s">
        <v>22</v>
      </c>
      <c r="I2540" s="13" t="s">
        <v>5524</v>
      </c>
      <c r="J2540" s="14" t="str">
        <f>HYPERLINK("https://www.boe.es/gazeta/dias/1839/09/09/pdfs/GMD-1839-1762.pdf#page=2","Abrir facsímil")</f>
        <v>Abrir facsímil</v>
      </c>
      <c r="K2540" s="12" t="s">
        <v>24</v>
      </c>
    </row>
    <row r="2541" spans="1:11" ht="40.049999999999997" customHeight="1" x14ac:dyDescent="0.25">
      <c r="A2541" s="11" t="s">
        <v>5521</v>
      </c>
      <c r="B2541" s="11" t="s">
        <v>5521</v>
      </c>
      <c r="C2541" s="11" t="s">
        <v>137</v>
      </c>
      <c r="D2541" s="11" t="s">
        <v>18</v>
      </c>
      <c r="E2541" s="12" t="s">
        <v>1100</v>
      </c>
      <c r="F2541" s="12" t="s">
        <v>1101</v>
      </c>
      <c r="G2541" s="12" t="s">
        <v>40</v>
      </c>
      <c r="H2541" s="11" t="s">
        <v>22</v>
      </c>
      <c r="I2541" s="13" t="s">
        <v>5525</v>
      </c>
      <c r="J2541" s="14" t="str">
        <f>HYPERLINK("https://www.boe.es/gazeta/dias/1839/09/13/pdfs/GMD-1839-1766.pdf#page=2","Abrir facsímil")</f>
        <v>Abrir facsímil</v>
      </c>
      <c r="K2541" s="12" t="s">
        <v>24</v>
      </c>
    </row>
    <row r="2542" spans="1:11" ht="40.049999999999997" customHeight="1" x14ac:dyDescent="0.25">
      <c r="A2542" s="11" t="s">
        <v>5521</v>
      </c>
      <c r="B2542" s="11" t="s">
        <v>5521</v>
      </c>
      <c r="C2542" s="11" t="s">
        <v>17</v>
      </c>
      <c r="D2542" s="11" t="s">
        <v>18</v>
      </c>
      <c r="E2542" s="12" t="s">
        <v>1100</v>
      </c>
      <c r="F2542" s="12" t="s">
        <v>1101</v>
      </c>
      <c r="G2542" s="12" t="s">
        <v>46</v>
      </c>
      <c r="H2542" s="11" t="s">
        <v>22</v>
      </c>
      <c r="I2542" s="13" t="s">
        <v>5526</v>
      </c>
      <c r="J2542" s="14" t="str">
        <f>HYPERLINK("https://www.boe.es/gazeta/dias/1839/09/13/pdfs/GMD-1839-1766.pdf#page=3","Abrir facsímil")</f>
        <v>Abrir facsímil</v>
      </c>
      <c r="K2542" s="12" t="s">
        <v>24</v>
      </c>
    </row>
    <row r="2543" spans="1:11" ht="40.049999999999997" customHeight="1" x14ac:dyDescent="0.25">
      <c r="A2543" s="11" t="s">
        <v>5521</v>
      </c>
      <c r="B2543" s="11" t="s">
        <v>5521</v>
      </c>
      <c r="C2543" s="11" t="s">
        <v>80</v>
      </c>
      <c r="D2543" s="11" t="s">
        <v>18</v>
      </c>
      <c r="E2543" s="12" t="s">
        <v>1100</v>
      </c>
      <c r="F2543" s="12" t="s">
        <v>1101</v>
      </c>
      <c r="G2543" s="12" t="s">
        <v>21</v>
      </c>
      <c r="H2543" s="11" t="s">
        <v>22</v>
      </c>
      <c r="I2543" s="13" t="s">
        <v>5527</v>
      </c>
      <c r="J2543" s="14" t="str">
        <f>HYPERLINK("https://www.boe.es/gazeta/dias/1839/09/13/pdfs/GMD-1839-1766.pdf#page=4","Abrir facsímil")</f>
        <v>Abrir facsímil</v>
      </c>
      <c r="K2543" s="12" t="s">
        <v>24</v>
      </c>
    </row>
    <row r="2544" spans="1:11" ht="40.049999999999997" customHeight="1" x14ac:dyDescent="0.25">
      <c r="A2544" s="11" t="s">
        <v>5521</v>
      </c>
      <c r="B2544" s="11" t="s">
        <v>5521</v>
      </c>
      <c r="C2544" s="11" t="s">
        <v>17</v>
      </c>
      <c r="D2544" s="11" t="s">
        <v>18</v>
      </c>
      <c r="E2544" s="12" t="s">
        <v>276</v>
      </c>
      <c r="F2544" s="12" t="s">
        <v>277</v>
      </c>
      <c r="G2544" s="12" t="s">
        <v>21</v>
      </c>
      <c r="H2544" s="11" t="s">
        <v>22</v>
      </c>
      <c r="I2544" s="13" t="s">
        <v>5528</v>
      </c>
      <c r="J2544" s="14" t="str">
        <f>HYPERLINK("https://www.boe.es/gazeta/dias/1839/09/24/pdfs/GMD-1839-1780.pdf#page=4","Abrir facsímil")</f>
        <v>Abrir facsímil</v>
      </c>
      <c r="K2544" s="12" t="s">
        <v>24</v>
      </c>
    </row>
    <row r="2545" spans="1:11" ht="40.049999999999997" customHeight="1" x14ac:dyDescent="0.25">
      <c r="A2545" s="11" t="s">
        <v>5529</v>
      </c>
      <c r="B2545" s="11" t="s">
        <v>5530</v>
      </c>
      <c r="C2545" s="11" t="s">
        <v>101</v>
      </c>
      <c r="D2545" s="11" t="s">
        <v>43</v>
      </c>
      <c r="E2545" s="12" t="s">
        <v>751</v>
      </c>
      <c r="F2545" s="12" t="s">
        <v>752</v>
      </c>
      <c r="G2545" s="12" t="s">
        <v>21</v>
      </c>
      <c r="H2545" s="11" t="s">
        <v>63</v>
      </c>
      <c r="I2545" s="13" t="s">
        <v>5531</v>
      </c>
      <c r="J2545" s="14" t="str">
        <f>HYPERLINK("https://www.boe.es/gazeta/dias/1839/02/05/pdfs/GMD-1839-1543.pdf#page=4","Abrir facsímil")</f>
        <v>Abrir facsímil</v>
      </c>
      <c r="K2545" s="12" t="s">
        <v>65</v>
      </c>
    </row>
    <row r="2546" spans="1:11" ht="40.049999999999997" customHeight="1" x14ac:dyDescent="0.25">
      <c r="A2546" s="11" t="s">
        <v>5532</v>
      </c>
      <c r="B2546" s="11" t="s">
        <v>5533</v>
      </c>
      <c r="C2546" s="11" t="s">
        <v>101</v>
      </c>
      <c r="D2546" s="11" t="s">
        <v>43</v>
      </c>
      <c r="E2546" s="12" t="s">
        <v>2270</v>
      </c>
      <c r="F2546" s="12" t="s">
        <v>2271</v>
      </c>
      <c r="G2546" s="12" t="s">
        <v>21</v>
      </c>
      <c r="H2546" s="11" t="s">
        <v>22</v>
      </c>
      <c r="I2546" s="13" t="s">
        <v>5534</v>
      </c>
      <c r="J2546" s="14" t="str">
        <f>HYPERLINK("https://www.boe.es/gazeta/dias/1839/06/13/pdfs/GMD-1839-1671.pdf#page=4","Abrir facsímil")</f>
        <v>Abrir facsímil</v>
      </c>
      <c r="K2546" s="12" t="s">
        <v>24</v>
      </c>
    </row>
    <row r="2547" spans="1:11" ht="40.049999999999997" customHeight="1" x14ac:dyDescent="0.25">
      <c r="A2547" s="11" t="s">
        <v>5535</v>
      </c>
      <c r="B2547" s="11" t="s">
        <v>5536</v>
      </c>
      <c r="C2547" s="11" t="s">
        <v>137</v>
      </c>
      <c r="D2547" s="11" t="s">
        <v>18</v>
      </c>
      <c r="E2547" s="12" t="s">
        <v>1685</v>
      </c>
      <c r="F2547" s="12" t="s">
        <v>1686</v>
      </c>
      <c r="G2547" s="12" t="s">
        <v>46</v>
      </c>
      <c r="H2547" s="11" t="s">
        <v>63</v>
      </c>
      <c r="I2547" s="13" t="s">
        <v>5537</v>
      </c>
      <c r="J2547" s="14" t="str">
        <f>HYPERLINK("https://www.boe.es/gazeta/dias/1839/04/27/pdfs/GMD-1839-1624.pdf#page=3","Abrir facsímil")</f>
        <v>Abrir facsímil</v>
      </c>
      <c r="K2547" s="12" t="s">
        <v>65</v>
      </c>
    </row>
    <row r="2548" spans="1:11" ht="40.049999999999997" customHeight="1" x14ac:dyDescent="0.25">
      <c r="A2548" s="11" t="s">
        <v>5538</v>
      </c>
      <c r="B2548" s="11" t="s">
        <v>5538</v>
      </c>
      <c r="C2548" s="11" t="s">
        <v>80</v>
      </c>
      <c r="D2548" s="11" t="s">
        <v>18</v>
      </c>
      <c r="E2548" s="12" t="s">
        <v>1057</v>
      </c>
      <c r="F2548" s="12" t="s">
        <v>1058</v>
      </c>
      <c r="G2548" s="12" t="s">
        <v>46</v>
      </c>
      <c r="H2548" s="11" t="s">
        <v>22</v>
      </c>
      <c r="I2548" s="13" t="s">
        <v>5539</v>
      </c>
      <c r="J2548" s="14" t="str">
        <f>HYPERLINK("https://www.boe.es/gazeta/dias/1839/10/01/pdfs/GMD-1839-1787.pdf#page=3","Abrir facsímil")</f>
        <v>Abrir facsímil</v>
      </c>
      <c r="K2548" s="12" t="s">
        <v>24</v>
      </c>
    </row>
    <row r="2549" spans="1:11" ht="40.049999999999997" customHeight="1" x14ac:dyDescent="0.25">
      <c r="A2549" s="11" t="s">
        <v>5538</v>
      </c>
      <c r="B2549" s="11" t="s">
        <v>5538</v>
      </c>
      <c r="C2549" s="11" t="s">
        <v>17</v>
      </c>
      <c r="D2549" s="11" t="s">
        <v>18</v>
      </c>
      <c r="E2549" s="12" t="s">
        <v>1008</v>
      </c>
      <c r="F2549" s="12" t="s">
        <v>1009</v>
      </c>
      <c r="G2549" s="12" t="s">
        <v>46</v>
      </c>
      <c r="H2549" s="11" t="s">
        <v>22</v>
      </c>
      <c r="I2549" s="13" t="s">
        <v>5540</v>
      </c>
      <c r="J2549" s="14" t="str">
        <f>HYPERLINK("https://www.boe.es/gazeta/dias/1839/09/07/pdfs/GMD-1839-1760.pdf#page=3","Abrir facsímil")</f>
        <v>Abrir facsímil</v>
      </c>
      <c r="K2549" s="12" t="s">
        <v>24</v>
      </c>
    </row>
    <row r="2550" spans="1:11" ht="40.049999999999997" customHeight="1" x14ac:dyDescent="0.25">
      <c r="A2550" s="11" t="s">
        <v>5538</v>
      </c>
      <c r="B2550" s="11" t="s">
        <v>5538</v>
      </c>
      <c r="C2550" s="11" t="s">
        <v>17</v>
      </c>
      <c r="D2550" s="11" t="s">
        <v>18</v>
      </c>
      <c r="E2550" s="12" t="s">
        <v>1509</v>
      </c>
      <c r="F2550" s="12" t="s">
        <v>1510</v>
      </c>
      <c r="G2550" s="12" t="s">
        <v>46</v>
      </c>
      <c r="H2550" s="11" t="s">
        <v>22</v>
      </c>
      <c r="I2550" s="13" t="s">
        <v>5541</v>
      </c>
      <c r="J2550" s="14" t="str">
        <f>HYPERLINK("https://www.boe.es/gazeta/dias/1839/10/07/pdfs/GMD-1839-1793.pdf#page=3","Abrir facsímil")</f>
        <v>Abrir facsímil</v>
      </c>
      <c r="K2550" s="12" t="s">
        <v>24</v>
      </c>
    </row>
    <row r="2551" spans="1:11" ht="40.049999999999997" customHeight="1" x14ac:dyDescent="0.25">
      <c r="A2551" s="11" t="s">
        <v>5538</v>
      </c>
      <c r="B2551" s="11" t="s">
        <v>5538</v>
      </c>
      <c r="C2551" s="11" t="s">
        <v>101</v>
      </c>
      <c r="D2551" s="11" t="s">
        <v>43</v>
      </c>
      <c r="E2551" s="12" t="s">
        <v>61</v>
      </c>
      <c r="F2551" s="12" t="s">
        <v>62</v>
      </c>
      <c r="G2551" s="12" t="s">
        <v>46</v>
      </c>
      <c r="H2551" s="11" t="s">
        <v>22</v>
      </c>
      <c r="I2551" s="13" t="s">
        <v>5542</v>
      </c>
      <c r="J2551" s="14" t="str">
        <f>HYPERLINK("https://www.boe.es/gazeta/dias/1839/09/10/pdfs/GMD-1839-1763.pdf#page=3","Abrir facsímil")</f>
        <v>Abrir facsímil</v>
      </c>
      <c r="K2551" s="12" t="s">
        <v>24</v>
      </c>
    </row>
    <row r="2552" spans="1:11" ht="40.049999999999997" customHeight="1" x14ac:dyDescent="0.25">
      <c r="A2552" s="11" t="s">
        <v>5538</v>
      </c>
      <c r="B2552" s="11" t="s">
        <v>5538</v>
      </c>
      <c r="C2552" s="11" t="s">
        <v>101</v>
      </c>
      <c r="D2552" s="11" t="s">
        <v>43</v>
      </c>
      <c r="E2552" s="12" t="s">
        <v>103</v>
      </c>
      <c r="F2552" s="12" t="s">
        <v>104</v>
      </c>
      <c r="G2552" s="12" t="s">
        <v>46</v>
      </c>
      <c r="H2552" s="11" t="s">
        <v>22</v>
      </c>
      <c r="I2552" s="13" t="s">
        <v>5543</v>
      </c>
      <c r="J2552" s="14" t="str">
        <f>HYPERLINK("https://www.boe.es/gazeta/dias/1839/10/12/pdfs/GMD-1839-1798.pdf#page=3","Abrir facsímil")</f>
        <v>Abrir facsímil</v>
      </c>
      <c r="K2552" s="12" t="s">
        <v>24</v>
      </c>
    </row>
    <row r="2553" spans="1:11" ht="40.049999999999997" customHeight="1" x14ac:dyDescent="0.25">
      <c r="A2553" s="11" t="s">
        <v>5538</v>
      </c>
      <c r="B2553" s="11" t="s">
        <v>5538</v>
      </c>
      <c r="C2553" s="11" t="s">
        <v>59</v>
      </c>
      <c r="D2553" s="11" t="s">
        <v>60</v>
      </c>
      <c r="E2553" s="12" t="s">
        <v>736</v>
      </c>
      <c r="F2553" s="12" t="s">
        <v>737</v>
      </c>
      <c r="G2553" s="12" t="s">
        <v>40</v>
      </c>
      <c r="H2553" s="11" t="s">
        <v>22</v>
      </c>
      <c r="I2553" s="13" t="s">
        <v>5544</v>
      </c>
      <c r="J2553" s="14" t="str">
        <f>HYPERLINK("https://www.boe.es/gazeta/dias/1839/10/13/pdfs/GMD-1839-1799.pdf#page=2","Abrir facsímil")</f>
        <v>Abrir facsímil</v>
      </c>
      <c r="K2553" s="12" t="s">
        <v>24</v>
      </c>
    </row>
    <row r="2554" spans="1:11" ht="40.049999999999997" customHeight="1" x14ac:dyDescent="0.25">
      <c r="A2554" s="11" t="s">
        <v>5538</v>
      </c>
      <c r="B2554" s="11" t="s">
        <v>5538</v>
      </c>
      <c r="C2554" s="11" t="s">
        <v>17</v>
      </c>
      <c r="D2554" s="11" t="s">
        <v>18</v>
      </c>
      <c r="E2554" s="12" t="s">
        <v>564</v>
      </c>
      <c r="F2554" s="12" t="s">
        <v>565</v>
      </c>
      <c r="G2554" s="12" t="s">
        <v>46</v>
      </c>
      <c r="H2554" s="11" t="s">
        <v>22</v>
      </c>
      <c r="I2554" s="13" t="s">
        <v>5545</v>
      </c>
      <c r="J2554" s="14" t="str">
        <f>HYPERLINK("https://www.boe.es/gazeta/dias/1839/10/17/pdfs/GMD-1839-1803.pdf#page=3","Abrir facsímil")</f>
        <v>Abrir facsímil</v>
      </c>
      <c r="K2554" s="12" t="s">
        <v>24</v>
      </c>
    </row>
    <row r="2555" spans="1:11" ht="40.049999999999997" customHeight="1" x14ac:dyDescent="0.25">
      <c r="A2555" s="11" t="s">
        <v>5538</v>
      </c>
      <c r="B2555" s="11" t="s">
        <v>5538</v>
      </c>
      <c r="C2555" s="11" t="s">
        <v>17</v>
      </c>
      <c r="D2555" s="11" t="s">
        <v>18</v>
      </c>
      <c r="E2555" s="12" t="s">
        <v>1179</v>
      </c>
      <c r="F2555" s="12" t="s">
        <v>1180</v>
      </c>
      <c r="G2555" s="12" t="s">
        <v>46</v>
      </c>
      <c r="H2555" s="11" t="s">
        <v>22</v>
      </c>
      <c r="I2555" s="13" t="s">
        <v>5546</v>
      </c>
      <c r="J2555" s="14" t="str">
        <f>HYPERLINK("https://www.boe.es/gazeta/dias/1839/10/18/pdfs/GMD-1839-1804.pdf#page=3","Abrir facsímil")</f>
        <v>Abrir facsímil</v>
      </c>
      <c r="K2555" s="12" t="s">
        <v>24</v>
      </c>
    </row>
    <row r="2556" spans="1:11" ht="40.049999999999997" customHeight="1" x14ac:dyDescent="0.25">
      <c r="A2556" s="11" t="s">
        <v>5547</v>
      </c>
      <c r="B2556" s="11" t="s">
        <v>5547</v>
      </c>
      <c r="C2556" s="11" t="s">
        <v>101</v>
      </c>
      <c r="D2556" s="11" t="s">
        <v>43</v>
      </c>
      <c r="E2556" s="12" t="s">
        <v>1179</v>
      </c>
      <c r="F2556" s="12" t="s">
        <v>1180</v>
      </c>
      <c r="G2556" s="12" t="s">
        <v>566</v>
      </c>
      <c r="H2556" s="11" t="s">
        <v>63</v>
      </c>
      <c r="I2556" s="13" t="s">
        <v>5548</v>
      </c>
      <c r="J2556" s="14" t="str">
        <f>HYPERLINK("https://www.boe.es/gazeta/dias/1839/10/18/pdfs/GMD-1839-1804.pdf#page=5","Abrir facsímil")</f>
        <v>Abrir facsímil</v>
      </c>
      <c r="K2556" s="12" t="s">
        <v>65</v>
      </c>
    </row>
    <row r="2557" spans="1:11" ht="40.049999999999997" customHeight="1" x14ac:dyDescent="0.25">
      <c r="A2557" s="11" t="s">
        <v>5538</v>
      </c>
      <c r="B2557" s="11" t="s">
        <v>5538</v>
      </c>
      <c r="C2557" s="11" t="s">
        <v>17</v>
      </c>
      <c r="D2557" s="11" t="s">
        <v>18</v>
      </c>
      <c r="E2557" s="12" t="s">
        <v>2069</v>
      </c>
      <c r="F2557" s="12" t="s">
        <v>2070</v>
      </c>
      <c r="G2557" s="12" t="s">
        <v>566</v>
      </c>
      <c r="H2557" s="11" t="s">
        <v>22</v>
      </c>
      <c r="I2557" s="13" t="s">
        <v>5549</v>
      </c>
      <c r="J2557" s="14" t="str">
        <f>HYPERLINK("https://www.boe.es/gazeta/dias/1839/10/20/pdfs/GMD-1839-1806.pdf#page=5","Abrir facsímil")</f>
        <v>Abrir facsímil</v>
      </c>
      <c r="K2557" s="12" t="s">
        <v>24</v>
      </c>
    </row>
    <row r="2558" spans="1:11" ht="40.049999999999997" customHeight="1" x14ac:dyDescent="0.25">
      <c r="A2558" s="11" t="s">
        <v>5538</v>
      </c>
      <c r="B2558" s="11" t="s">
        <v>5538</v>
      </c>
      <c r="C2558" s="11" t="s">
        <v>17</v>
      </c>
      <c r="D2558" s="11" t="s">
        <v>18</v>
      </c>
      <c r="E2558" s="12" t="s">
        <v>2069</v>
      </c>
      <c r="F2558" s="12" t="s">
        <v>2070</v>
      </c>
      <c r="G2558" s="12" t="s">
        <v>305</v>
      </c>
      <c r="H2558" s="11" t="s">
        <v>22</v>
      </c>
      <c r="I2558" s="13" t="s">
        <v>5550</v>
      </c>
      <c r="J2558" s="14" t="str">
        <f>HYPERLINK("https://www.boe.es/gazeta/dias/1839/10/20/pdfs/GMD-1839-1806.pdf#page=6","Abrir facsímil")</f>
        <v>Abrir facsímil</v>
      </c>
      <c r="K2558" s="12" t="s">
        <v>24</v>
      </c>
    </row>
    <row r="2559" spans="1:11" ht="40.049999999999997" customHeight="1" x14ac:dyDescent="0.25">
      <c r="A2559" s="11" t="s">
        <v>5538</v>
      </c>
      <c r="B2559" s="11" t="s">
        <v>5538</v>
      </c>
      <c r="C2559" s="11" t="s">
        <v>17</v>
      </c>
      <c r="D2559" s="11" t="s">
        <v>18</v>
      </c>
      <c r="E2559" s="12" t="s">
        <v>1108</v>
      </c>
      <c r="F2559" s="12" t="s">
        <v>1109</v>
      </c>
      <c r="G2559" s="12" t="s">
        <v>46</v>
      </c>
      <c r="H2559" s="11" t="s">
        <v>22</v>
      </c>
      <c r="I2559" s="13" t="s">
        <v>5551</v>
      </c>
      <c r="J2559" s="14" t="str">
        <f>HYPERLINK("https://www.boe.es/gazeta/dias/1839/09/21/pdfs/GMD-1839-1776.pdf#page=3","Abrir facsímil")</f>
        <v>Abrir facsímil</v>
      </c>
      <c r="K2559" s="12" t="s">
        <v>24</v>
      </c>
    </row>
    <row r="2560" spans="1:11" ht="40.049999999999997" customHeight="1" x14ac:dyDescent="0.25">
      <c r="A2560" s="11" t="s">
        <v>5538</v>
      </c>
      <c r="B2560" s="11" t="s">
        <v>5538</v>
      </c>
      <c r="C2560" s="11" t="s">
        <v>17</v>
      </c>
      <c r="D2560" s="11" t="s">
        <v>18</v>
      </c>
      <c r="E2560" s="12" t="s">
        <v>239</v>
      </c>
      <c r="F2560" s="12" t="s">
        <v>240</v>
      </c>
      <c r="G2560" s="12" t="s">
        <v>40</v>
      </c>
      <c r="H2560" s="11" t="s">
        <v>22</v>
      </c>
      <c r="I2560" s="13" t="s">
        <v>5552</v>
      </c>
      <c r="J2560" s="14" t="str">
        <f>HYPERLINK("https://www.boe.es/gazeta/dias/1839/09/22/pdfs/GMD-1839-1777.pdf#page=2","Abrir facsímil")</f>
        <v>Abrir facsímil</v>
      </c>
      <c r="K2560" s="12" t="s">
        <v>24</v>
      </c>
    </row>
    <row r="2561" spans="1:11" ht="40.049999999999997" customHeight="1" x14ac:dyDescent="0.25">
      <c r="A2561" s="11" t="s">
        <v>5538</v>
      </c>
      <c r="B2561" s="11" t="s">
        <v>5538</v>
      </c>
      <c r="C2561" s="11" t="s">
        <v>17</v>
      </c>
      <c r="D2561" s="11" t="s">
        <v>18</v>
      </c>
      <c r="E2561" s="12" t="s">
        <v>568</v>
      </c>
      <c r="F2561" s="12" t="s">
        <v>569</v>
      </c>
      <c r="G2561" s="12" t="s">
        <v>21</v>
      </c>
      <c r="H2561" s="11" t="s">
        <v>22</v>
      </c>
      <c r="I2561" s="13" t="s">
        <v>5553</v>
      </c>
      <c r="J2561" s="14" t="str">
        <f>HYPERLINK("https://www.boe.es/gazeta/dias/1839/10/23/pdfs/GMD-1839-1809.pdf#page=4","Abrir facsímil")</f>
        <v>Abrir facsímil</v>
      </c>
      <c r="K2561" s="12" t="s">
        <v>24</v>
      </c>
    </row>
    <row r="2562" spans="1:11" ht="40.049999999999997" customHeight="1" x14ac:dyDescent="0.25">
      <c r="A2562" s="11" t="s">
        <v>5538</v>
      </c>
      <c r="B2562" s="11" t="s">
        <v>5538</v>
      </c>
      <c r="C2562" s="11" t="s">
        <v>80</v>
      </c>
      <c r="D2562" s="11" t="s">
        <v>18</v>
      </c>
      <c r="E2562" s="12" t="s">
        <v>1086</v>
      </c>
      <c r="F2562" s="12" t="s">
        <v>1087</v>
      </c>
      <c r="G2562" s="12" t="s">
        <v>40</v>
      </c>
      <c r="H2562" s="11" t="s">
        <v>22</v>
      </c>
      <c r="I2562" s="13" t="s">
        <v>5554</v>
      </c>
      <c r="J2562" s="14" t="str">
        <f>HYPERLINK("https://www.boe.es/gazeta/dias/1839/10/26/pdfs/GMD-1839-1812.pdf#page=2","Abrir facsímil")</f>
        <v>Abrir facsímil</v>
      </c>
      <c r="K2562" s="12" t="s">
        <v>24</v>
      </c>
    </row>
    <row r="2563" spans="1:11" ht="40.049999999999997" customHeight="1" x14ac:dyDescent="0.25">
      <c r="A2563" s="11" t="s">
        <v>5538</v>
      </c>
      <c r="B2563" s="11" t="s">
        <v>5538</v>
      </c>
      <c r="C2563" s="11" t="s">
        <v>17</v>
      </c>
      <c r="D2563" s="11" t="s">
        <v>18</v>
      </c>
      <c r="E2563" s="12" t="s">
        <v>577</v>
      </c>
      <c r="F2563" s="12" t="s">
        <v>578</v>
      </c>
      <c r="G2563" s="12" t="s">
        <v>40</v>
      </c>
      <c r="H2563" s="11" t="s">
        <v>22</v>
      </c>
      <c r="I2563" s="13" t="s">
        <v>5555</v>
      </c>
      <c r="J2563" s="14" t="str">
        <f>HYPERLINK("https://www.boe.es/gazeta/dias/1839/09/30/pdfs/GMD-1839-1786.pdf#page=2","Abrir facsímil")</f>
        <v>Abrir facsímil</v>
      </c>
      <c r="K2563" s="12" t="s">
        <v>24</v>
      </c>
    </row>
    <row r="2564" spans="1:11" ht="40.049999999999997" customHeight="1" x14ac:dyDescent="0.25">
      <c r="A2564" s="11" t="s">
        <v>5538</v>
      </c>
      <c r="B2564" s="11" t="s">
        <v>5538</v>
      </c>
      <c r="C2564" s="11" t="s">
        <v>17</v>
      </c>
      <c r="D2564" s="11" t="s">
        <v>18</v>
      </c>
      <c r="E2564" s="12" t="s">
        <v>653</v>
      </c>
      <c r="F2564" s="12" t="s">
        <v>654</v>
      </c>
      <c r="G2564" s="12" t="s">
        <v>29</v>
      </c>
      <c r="H2564" s="11" t="s">
        <v>22</v>
      </c>
      <c r="I2564" s="13" t="s">
        <v>5556</v>
      </c>
      <c r="J2564" s="14" t="str">
        <f>HYPERLINK("https://www.boe.es/gazeta/dias/1839/10/31/pdfs/GMD-1839-1817.pdf#page=1","Abrir facsímil")</f>
        <v>Abrir facsímil</v>
      </c>
      <c r="K2564" s="12" t="s">
        <v>24</v>
      </c>
    </row>
    <row r="2565" spans="1:11" ht="40.049999999999997" customHeight="1" x14ac:dyDescent="0.25">
      <c r="A2565" s="11" t="s">
        <v>5557</v>
      </c>
      <c r="B2565" s="11" t="s">
        <v>5557</v>
      </c>
      <c r="C2565" s="11" t="s">
        <v>137</v>
      </c>
      <c r="D2565" s="11" t="s">
        <v>18</v>
      </c>
      <c r="E2565" s="12" t="s">
        <v>1057</v>
      </c>
      <c r="F2565" s="12" t="s">
        <v>1058</v>
      </c>
      <c r="G2565" s="12" t="s">
        <v>46</v>
      </c>
      <c r="H2565" s="11" t="s">
        <v>63</v>
      </c>
      <c r="I2565" s="13" t="s">
        <v>5558</v>
      </c>
      <c r="J2565" s="14" t="str">
        <f>HYPERLINK("https://www.boe.es/gazeta/dias/1839/10/01/pdfs/GMD-1839-1787.pdf#page=3","Abrir facsímil")</f>
        <v>Abrir facsímil</v>
      </c>
      <c r="K2565" s="12" t="s">
        <v>65</v>
      </c>
    </row>
    <row r="2566" spans="1:11" ht="40.049999999999997" customHeight="1" x14ac:dyDescent="0.25">
      <c r="A2566" s="11" t="s">
        <v>5557</v>
      </c>
      <c r="B2566" s="11" t="s">
        <v>5557</v>
      </c>
      <c r="C2566" s="11" t="s">
        <v>80</v>
      </c>
      <c r="D2566" s="11" t="s">
        <v>18</v>
      </c>
      <c r="E2566" s="12" t="s">
        <v>798</v>
      </c>
      <c r="F2566" s="12" t="s">
        <v>799</v>
      </c>
      <c r="G2566" s="12" t="s">
        <v>40</v>
      </c>
      <c r="H2566" s="11" t="s">
        <v>63</v>
      </c>
      <c r="I2566" s="13" t="s">
        <v>5559</v>
      </c>
      <c r="J2566" s="14" t="str">
        <f>HYPERLINK("https://www.boe.es/gazeta/dias/1839/09/03/pdfs/GMD-1839-1755.pdf#page=2","Abrir facsímil")</f>
        <v>Abrir facsímil</v>
      </c>
      <c r="K2566" s="12" t="s">
        <v>65</v>
      </c>
    </row>
    <row r="2567" spans="1:11" ht="40.049999999999997" customHeight="1" x14ac:dyDescent="0.25">
      <c r="A2567" s="11" t="s">
        <v>5557</v>
      </c>
      <c r="B2567" s="11" t="s">
        <v>5557</v>
      </c>
      <c r="C2567" s="11" t="s">
        <v>17</v>
      </c>
      <c r="D2567" s="11" t="s">
        <v>18</v>
      </c>
      <c r="E2567" s="12" t="s">
        <v>197</v>
      </c>
      <c r="F2567" s="12" t="s">
        <v>198</v>
      </c>
      <c r="G2567" s="12" t="s">
        <v>40</v>
      </c>
      <c r="H2567" s="11" t="s">
        <v>63</v>
      </c>
      <c r="I2567" s="13" t="s">
        <v>5560</v>
      </c>
      <c r="J2567" s="14" t="str">
        <f>HYPERLINK("https://www.boe.es/gazeta/dias/1839/10/04/pdfs/GMD-1839-1790.pdf#page=2","Abrir facsímil")</f>
        <v>Abrir facsímil</v>
      </c>
      <c r="K2567" s="12" t="s">
        <v>65</v>
      </c>
    </row>
    <row r="2568" spans="1:11" ht="40.049999999999997" customHeight="1" x14ac:dyDescent="0.25">
      <c r="A2568" s="11" t="s">
        <v>5561</v>
      </c>
      <c r="B2568" s="11" t="s">
        <v>5561</v>
      </c>
      <c r="C2568" s="11" t="s">
        <v>17</v>
      </c>
      <c r="D2568" s="11" t="s">
        <v>18</v>
      </c>
      <c r="E2568" s="12" t="s">
        <v>2738</v>
      </c>
      <c r="F2568" s="12" t="s">
        <v>2739</v>
      </c>
      <c r="G2568" s="12" t="s">
        <v>40</v>
      </c>
      <c r="H2568" s="11" t="s">
        <v>22</v>
      </c>
      <c r="I2568" s="13" t="s">
        <v>5562</v>
      </c>
      <c r="J2568" s="14" t="str">
        <f>HYPERLINK("https://www.boe.es/gazeta/dias/1839/09/06/pdfs/GMD-1839-1759.pdf#page=2","Abrir facsímil")</f>
        <v>Abrir facsímil</v>
      </c>
      <c r="K2568" s="12" t="s">
        <v>24</v>
      </c>
    </row>
    <row r="2569" spans="1:11" ht="40.049999999999997" customHeight="1" x14ac:dyDescent="0.25">
      <c r="A2569" s="11" t="s">
        <v>5561</v>
      </c>
      <c r="B2569" s="11" t="s">
        <v>5561</v>
      </c>
      <c r="C2569" s="11" t="s">
        <v>101</v>
      </c>
      <c r="D2569" s="11" t="s">
        <v>43</v>
      </c>
      <c r="E2569" s="12" t="s">
        <v>303</v>
      </c>
      <c r="F2569" s="12" t="s">
        <v>304</v>
      </c>
      <c r="G2569" s="12" t="s">
        <v>29</v>
      </c>
      <c r="H2569" s="11" t="s">
        <v>22</v>
      </c>
      <c r="I2569" s="13" t="s">
        <v>5563</v>
      </c>
      <c r="J2569" s="14" t="str">
        <f>HYPERLINK("https://www.boe.es/gazeta/dias/1839/10/06/pdfs/GMD-1839-1792.pdf#page=1","Abrir facsímil")</f>
        <v>Abrir facsímil</v>
      </c>
      <c r="K2569" s="12" t="s">
        <v>24</v>
      </c>
    </row>
    <row r="2570" spans="1:11" ht="40.049999999999997" customHeight="1" x14ac:dyDescent="0.25">
      <c r="A2570" s="11" t="s">
        <v>5557</v>
      </c>
      <c r="B2570" s="11" t="s">
        <v>5557</v>
      </c>
      <c r="C2570" s="11" t="s">
        <v>101</v>
      </c>
      <c r="D2570" s="11" t="s">
        <v>43</v>
      </c>
      <c r="E2570" s="12" t="s">
        <v>1509</v>
      </c>
      <c r="F2570" s="12" t="s">
        <v>1510</v>
      </c>
      <c r="G2570" s="12" t="s">
        <v>40</v>
      </c>
      <c r="H2570" s="11" t="s">
        <v>63</v>
      </c>
      <c r="I2570" s="13" t="s">
        <v>5564</v>
      </c>
      <c r="J2570" s="14" t="str">
        <f>HYPERLINK("https://www.boe.es/gazeta/dias/1839/10/07/pdfs/GMD-1839-1793.pdf#page=2","Abrir facsímil")</f>
        <v>Abrir facsímil</v>
      </c>
      <c r="K2570" s="12" t="s">
        <v>65</v>
      </c>
    </row>
    <row r="2571" spans="1:11" ht="40.049999999999997" customHeight="1" x14ac:dyDescent="0.25">
      <c r="A2571" s="11" t="s">
        <v>5557</v>
      </c>
      <c r="B2571" s="11" t="s">
        <v>5557</v>
      </c>
      <c r="C2571" s="11" t="s">
        <v>101</v>
      </c>
      <c r="D2571" s="11" t="s">
        <v>43</v>
      </c>
      <c r="E2571" s="12" t="s">
        <v>1509</v>
      </c>
      <c r="F2571" s="12" t="s">
        <v>1510</v>
      </c>
      <c r="G2571" s="12" t="s">
        <v>46</v>
      </c>
      <c r="H2571" s="11" t="s">
        <v>63</v>
      </c>
      <c r="I2571" s="13" t="s">
        <v>5565</v>
      </c>
      <c r="J2571" s="14" t="str">
        <f>HYPERLINK("https://www.boe.es/gazeta/dias/1839/10/07/pdfs/GMD-1839-1793.pdf#page=3","Abrir facsímil")</f>
        <v>Abrir facsímil</v>
      </c>
      <c r="K2571" s="12" t="s">
        <v>65</v>
      </c>
    </row>
    <row r="2572" spans="1:11" ht="40.049999999999997" customHeight="1" x14ac:dyDescent="0.25">
      <c r="A2572" s="11" t="s">
        <v>5561</v>
      </c>
      <c r="B2572" s="11" t="s">
        <v>5561</v>
      </c>
      <c r="C2572" s="11" t="s">
        <v>80</v>
      </c>
      <c r="D2572" s="11" t="s">
        <v>18</v>
      </c>
      <c r="E2572" s="12" t="s">
        <v>2301</v>
      </c>
      <c r="F2572" s="12" t="s">
        <v>2302</v>
      </c>
      <c r="G2572" s="12" t="s">
        <v>46</v>
      </c>
      <c r="H2572" s="11" t="s">
        <v>22</v>
      </c>
      <c r="I2572" s="13" t="s">
        <v>5566</v>
      </c>
      <c r="J2572" s="14" t="str">
        <f>HYPERLINK("https://www.boe.es/gazeta/dias/1839/09/08/pdfs/GMD-1839-1761.pdf#page=3","Abrir facsímil")</f>
        <v>Abrir facsímil</v>
      </c>
      <c r="K2572" s="12" t="s">
        <v>24</v>
      </c>
    </row>
    <row r="2573" spans="1:11" ht="40.049999999999997" customHeight="1" x14ac:dyDescent="0.25">
      <c r="A2573" s="11" t="s">
        <v>5557</v>
      </c>
      <c r="B2573" s="11" t="s">
        <v>5557</v>
      </c>
      <c r="C2573" s="11" t="s">
        <v>17</v>
      </c>
      <c r="D2573" s="11" t="s">
        <v>18</v>
      </c>
      <c r="E2573" s="12" t="s">
        <v>647</v>
      </c>
      <c r="F2573" s="12" t="s">
        <v>648</v>
      </c>
      <c r="G2573" s="12" t="s">
        <v>5567</v>
      </c>
      <c r="H2573" s="11" t="s">
        <v>63</v>
      </c>
      <c r="I2573" s="13" t="s">
        <v>5568</v>
      </c>
      <c r="J2573" s="14" t="str">
        <f>HYPERLINK("https://www.boe.es/gazeta/dias/1839/10/08/pdfs/GMD-1839-1794.pdf#page=7","Abrir facsímil")</f>
        <v>Abrir facsímil</v>
      </c>
      <c r="K2573" s="12" t="s">
        <v>65</v>
      </c>
    </row>
    <row r="2574" spans="1:11" ht="40.049999999999997" customHeight="1" x14ac:dyDescent="0.25">
      <c r="A2574" s="11" t="s">
        <v>5557</v>
      </c>
      <c r="B2574" s="11" t="s">
        <v>5557</v>
      </c>
      <c r="C2574" s="11" t="s">
        <v>17</v>
      </c>
      <c r="D2574" s="11" t="s">
        <v>18</v>
      </c>
      <c r="E2574" s="12" t="s">
        <v>561</v>
      </c>
      <c r="F2574" s="12" t="s">
        <v>562</v>
      </c>
      <c r="G2574" s="12" t="s">
        <v>46</v>
      </c>
      <c r="H2574" s="11" t="s">
        <v>63</v>
      </c>
      <c r="I2574" s="13" t="s">
        <v>5569</v>
      </c>
      <c r="J2574" s="14" t="str">
        <f>HYPERLINK("https://www.boe.es/gazeta/dias/1839/09/11/pdfs/GMD-1839-1764.pdf#page=3","Abrir facsímil")</f>
        <v>Abrir facsímil</v>
      </c>
      <c r="K2574" s="12" t="s">
        <v>65</v>
      </c>
    </row>
    <row r="2575" spans="1:11" ht="40.049999999999997" customHeight="1" x14ac:dyDescent="0.25">
      <c r="A2575" s="11" t="s">
        <v>5561</v>
      </c>
      <c r="B2575" s="11" t="s">
        <v>5561</v>
      </c>
      <c r="C2575" s="11" t="s">
        <v>17</v>
      </c>
      <c r="D2575" s="11" t="s">
        <v>18</v>
      </c>
      <c r="E2575" s="12" t="s">
        <v>254</v>
      </c>
      <c r="F2575" s="12" t="s">
        <v>255</v>
      </c>
      <c r="G2575" s="12" t="s">
        <v>46</v>
      </c>
      <c r="H2575" s="11" t="s">
        <v>22</v>
      </c>
      <c r="I2575" s="13" t="s">
        <v>5570</v>
      </c>
      <c r="J2575" s="14" t="str">
        <f>HYPERLINK("https://www.boe.es/gazeta/dias/1839/09/12/pdfs/GMD-1839-1765.pdf#page=3","Abrir facsímil")</f>
        <v>Abrir facsímil</v>
      </c>
      <c r="K2575" s="12" t="s">
        <v>24</v>
      </c>
    </row>
    <row r="2576" spans="1:11" ht="40.049999999999997" customHeight="1" x14ac:dyDescent="0.25">
      <c r="A2576" s="11" t="s">
        <v>5557</v>
      </c>
      <c r="B2576" s="11" t="s">
        <v>5557</v>
      </c>
      <c r="C2576" s="11" t="s">
        <v>17</v>
      </c>
      <c r="D2576" s="11" t="s">
        <v>18</v>
      </c>
      <c r="E2576" s="12" t="s">
        <v>736</v>
      </c>
      <c r="F2576" s="12" t="s">
        <v>737</v>
      </c>
      <c r="G2576" s="12" t="s">
        <v>40</v>
      </c>
      <c r="H2576" s="11" t="s">
        <v>63</v>
      </c>
      <c r="I2576" s="13" t="s">
        <v>5571</v>
      </c>
      <c r="J2576" s="14" t="str">
        <f>HYPERLINK("https://www.boe.es/gazeta/dias/1839/10/13/pdfs/GMD-1839-1799.pdf#page=2","Abrir facsímil")</f>
        <v>Abrir facsímil</v>
      </c>
      <c r="K2576" s="12" t="s">
        <v>65</v>
      </c>
    </row>
    <row r="2577" spans="1:11" ht="40.049999999999997" customHeight="1" x14ac:dyDescent="0.25">
      <c r="A2577" s="11" t="s">
        <v>5561</v>
      </c>
      <c r="B2577" s="11" t="s">
        <v>5561</v>
      </c>
      <c r="C2577" s="11" t="s">
        <v>17</v>
      </c>
      <c r="D2577" s="11" t="s">
        <v>18</v>
      </c>
      <c r="E2577" s="12" t="s">
        <v>592</v>
      </c>
      <c r="F2577" s="12" t="s">
        <v>593</v>
      </c>
      <c r="G2577" s="12" t="s">
        <v>46</v>
      </c>
      <c r="H2577" s="11" t="s">
        <v>22</v>
      </c>
      <c r="I2577" s="13" t="s">
        <v>5572</v>
      </c>
      <c r="J2577" s="14" t="str">
        <f>HYPERLINK("https://www.boe.es/gazeta/dias/1839/09/14/pdfs/GMD-1839-1767.pdf#page=3","Abrir facsímil")</f>
        <v>Abrir facsímil</v>
      </c>
      <c r="K2577" s="12" t="s">
        <v>24</v>
      </c>
    </row>
    <row r="2578" spans="1:11" ht="40.049999999999997" customHeight="1" x14ac:dyDescent="0.25">
      <c r="A2578" s="11" t="s">
        <v>5561</v>
      </c>
      <c r="B2578" s="11" t="s">
        <v>5561</v>
      </c>
      <c r="C2578" s="11" t="s">
        <v>17</v>
      </c>
      <c r="D2578" s="11" t="s">
        <v>18</v>
      </c>
      <c r="E2578" s="12" t="s">
        <v>2650</v>
      </c>
      <c r="F2578" s="12" t="s">
        <v>2651</v>
      </c>
      <c r="G2578" s="12" t="s">
        <v>40</v>
      </c>
      <c r="H2578" s="11" t="s">
        <v>22</v>
      </c>
      <c r="I2578" s="13" t="s">
        <v>5573</v>
      </c>
      <c r="J2578" s="14" t="str">
        <f>HYPERLINK("https://www.boe.es/gazeta/dias/1839/09/15/pdfs/GMD-1839-1768.pdf#page=2","Abrir facsímil")</f>
        <v>Abrir facsímil</v>
      </c>
      <c r="K2578" s="12" t="s">
        <v>24</v>
      </c>
    </row>
    <row r="2579" spans="1:11" ht="40.049999999999997" customHeight="1" x14ac:dyDescent="0.25">
      <c r="A2579" s="11" t="s">
        <v>5557</v>
      </c>
      <c r="B2579" s="11" t="s">
        <v>5557</v>
      </c>
      <c r="C2579" s="11" t="s">
        <v>17</v>
      </c>
      <c r="D2579" s="11" t="s">
        <v>18</v>
      </c>
      <c r="E2579" s="12" t="s">
        <v>230</v>
      </c>
      <c r="F2579" s="12" t="s">
        <v>231</v>
      </c>
      <c r="G2579" s="12" t="s">
        <v>40</v>
      </c>
      <c r="H2579" s="11" t="s">
        <v>63</v>
      </c>
      <c r="I2579" s="13" t="s">
        <v>5574</v>
      </c>
      <c r="J2579" s="14" t="str">
        <f>HYPERLINK("https://www.boe.es/gazeta/dias/1839/09/16/pdfs/GMD-1839-1769.pdf#page=2","Abrir facsímil")</f>
        <v>Abrir facsímil</v>
      </c>
      <c r="K2579" s="12" t="s">
        <v>65</v>
      </c>
    </row>
    <row r="2580" spans="1:11" ht="40.049999999999997" customHeight="1" x14ac:dyDescent="0.25">
      <c r="A2580" s="11" t="s">
        <v>5557</v>
      </c>
      <c r="B2580" s="11" t="s">
        <v>5557</v>
      </c>
      <c r="C2580" s="11" t="s">
        <v>101</v>
      </c>
      <c r="D2580" s="11" t="s">
        <v>43</v>
      </c>
      <c r="E2580" s="12" t="s">
        <v>230</v>
      </c>
      <c r="F2580" s="12" t="s">
        <v>231</v>
      </c>
      <c r="G2580" s="12" t="s">
        <v>46</v>
      </c>
      <c r="H2580" s="11" t="s">
        <v>63</v>
      </c>
      <c r="I2580" s="13" t="s">
        <v>5575</v>
      </c>
      <c r="J2580" s="14" t="str">
        <f>HYPERLINK("https://www.boe.es/gazeta/dias/1839/09/16/pdfs/GMD-1839-1769.pdf#page=3","Abrir facsímil")</f>
        <v>Abrir facsímil</v>
      </c>
      <c r="K2580" s="12" t="s">
        <v>65</v>
      </c>
    </row>
    <row r="2581" spans="1:11" ht="40.049999999999997" customHeight="1" x14ac:dyDescent="0.25">
      <c r="A2581" s="11" t="s">
        <v>5561</v>
      </c>
      <c r="B2581" s="11" t="s">
        <v>5561</v>
      </c>
      <c r="C2581" s="11" t="s">
        <v>17</v>
      </c>
      <c r="D2581" s="11" t="s">
        <v>18</v>
      </c>
      <c r="E2581" s="12" t="s">
        <v>236</v>
      </c>
      <c r="F2581" s="12" t="s">
        <v>237</v>
      </c>
      <c r="G2581" s="12" t="s">
        <v>46</v>
      </c>
      <c r="H2581" s="11" t="s">
        <v>22</v>
      </c>
      <c r="I2581" s="13" t="s">
        <v>5576</v>
      </c>
      <c r="J2581" s="14" t="str">
        <f>HYPERLINK("https://www.boe.es/gazeta/dias/1839/09/18/pdfs/GMD-1839-1771.pdf#page=3","Abrir facsímil")</f>
        <v>Abrir facsímil</v>
      </c>
      <c r="K2581" s="12" t="s">
        <v>24</v>
      </c>
    </row>
    <row r="2582" spans="1:11" ht="40.049999999999997" customHeight="1" x14ac:dyDescent="0.25">
      <c r="A2582" s="11" t="s">
        <v>5557</v>
      </c>
      <c r="B2582" s="11" t="s">
        <v>5557</v>
      </c>
      <c r="C2582" s="11" t="s">
        <v>17</v>
      </c>
      <c r="D2582" s="11" t="s">
        <v>18</v>
      </c>
      <c r="E2582" s="12" t="s">
        <v>1179</v>
      </c>
      <c r="F2582" s="12" t="s">
        <v>1180</v>
      </c>
      <c r="G2582" s="12" t="s">
        <v>46</v>
      </c>
      <c r="H2582" s="11" t="s">
        <v>63</v>
      </c>
      <c r="I2582" s="13" t="s">
        <v>5577</v>
      </c>
      <c r="J2582" s="14" t="str">
        <f>HYPERLINK("https://www.boe.es/gazeta/dias/1839/10/18/pdfs/GMD-1839-1804.pdf#page=3","Abrir facsímil")</f>
        <v>Abrir facsímil</v>
      </c>
      <c r="K2582" s="12" t="s">
        <v>65</v>
      </c>
    </row>
    <row r="2583" spans="1:11" ht="40.049999999999997" customHeight="1" x14ac:dyDescent="0.25">
      <c r="A2583" s="11" t="s">
        <v>5557</v>
      </c>
      <c r="B2583" s="11" t="s">
        <v>5557</v>
      </c>
      <c r="C2583" s="11" t="s">
        <v>137</v>
      </c>
      <c r="D2583" s="11" t="s">
        <v>18</v>
      </c>
      <c r="E2583" s="12" t="s">
        <v>1179</v>
      </c>
      <c r="F2583" s="12" t="s">
        <v>1180</v>
      </c>
      <c r="G2583" s="12" t="s">
        <v>21</v>
      </c>
      <c r="H2583" s="11" t="s">
        <v>63</v>
      </c>
      <c r="I2583" s="13" t="s">
        <v>5578</v>
      </c>
      <c r="J2583" s="14" t="str">
        <f>HYPERLINK("https://www.boe.es/gazeta/dias/1839/10/18/pdfs/GMD-1839-1804.pdf#page=4","Abrir facsímil")</f>
        <v>Abrir facsímil</v>
      </c>
      <c r="K2583" s="12" t="s">
        <v>65</v>
      </c>
    </row>
    <row r="2584" spans="1:11" ht="40.049999999999997" customHeight="1" x14ac:dyDescent="0.25">
      <c r="A2584" s="11" t="s">
        <v>5557</v>
      </c>
      <c r="B2584" s="11" t="s">
        <v>5557</v>
      </c>
      <c r="C2584" s="11" t="s">
        <v>101</v>
      </c>
      <c r="D2584" s="11" t="s">
        <v>43</v>
      </c>
      <c r="E2584" s="12" t="s">
        <v>1179</v>
      </c>
      <c r="F2584" s="12" t="s">
        <v>1180</v>
      </c>
      <c r="G2584" s="12" t="s">
        <v>566</v>
      </c>
      <c r="H2584" s="11" t="s">
        <v>63</v>
      </c>
      <c r="I2584" s="13" t="s">
        <v>5579</v>
      </c>
      <c r="J2584" s="14" t="str">
        <f>HYPERLINK("https://www.boe.es/gazeta/dias/1839/10/18/pdfs/GMD-1839-1804.pdf#page=5","Abrir facsímil")</f>
        <v>Abrir facsímil</v>
      </c>
      <c r="K2584" s="12" t="s">
        <v>65</v>
      </c>
    </row>
    <row r="2585" spans="1:11" ht="40.049999999999997" customHeight="1" x14ac:dyDescent="0.25">
      <c r="A2585" s="11" t="s">
        <v>5561</v>
      </c>
      <c r="B2585" s="11" t="s">
        <v>5561</v>
      </c>
      <c r="C2585" s="11" t="s">
        <v>101</v>
      </c>
      <c r="D2585" s="11" t="s">
        <v>43</v>
      </c>
      <c r="E2585" s="12" t="s">
        <v>2222</v>
      </c>
      <c r="F2585" s="12" t="s">
        <v>2223</v>
      </c>
      <c r="G2585" s="12" t="s">
        <v>46</v>
      </c>
      <c r="H2585" s="11" t="s">
        <v>22</v>
      </c>
      <c r="I2585" s="13" t="s">
        <v>5580</v>
      </c>
      <c r="J2585" s="14" t="str">
        <f>HYPERLINK("https://www.boe.es/gazeta/dias/1839/09/19/pdfs/GMD-1839-1773.pdf#page=3","Abrir facsímil")</f>
        <v>Abrir facsímil</v>
      </c>
      <c r="K2585" s="12" t="s">
        <v>24</v>
      </c>
    </row>
    <row r="2586" spans="1:11" ht="40.049999999999997" customHeight="1" x14ac:dyDescent="0.25">
      <c r="A2586" s="11" t="s">
        <v>5561</v>
      </c>
      <c r="B2586" s="11" t="s">
        <v>5561</v>
      </c>
      <c r="C2586" s="11" t="s">
        <v>17</v>
      </c>
      <c r="D2586" s="11" t="s">
        <v>18</v>
      </c>
      <c r="E2586" s="12" t="s">
        <v>821</v>
      </c>
      <c r="F2586" s="12" t="s">
        <v>822</v>
      </c>
      <c r="G2586" s="12" t="s">
        <v>21</v>
      </c>
      <c r="H2586" s="11" t="s">
        <v>22</v>
      </c>
      <c r="I2586" s="13" t="s">
        <v>5581</v>
      </c>
      <c r="J2586" s="14" t="str">
        <f>HYPERLINK("https://www.boe.es/gazeta/dias/1839/09/20/pdfs/GMD-1839-1775.pdf#page=4","Abrir facsímil")</f>
        <v>Abrir facsímil</v>
      </c>
      <c r="K2586" s="12" t="s">
        <v>24</v>
      </c>
    </row>
    <row r="2587" spans="1:11" ht="40.049999999999997" customHeight="1" x14ac:dyDescent="0.25">
      <c r="A2587" s="11" t="s">
        <v>5561</v>
      </c>
      <c r="B2587" s="11" t="s">
        <v>5561</v>
      </c>
      <c r="C2587" s="11" t="s">
        <v>17</v>
      </c>
      <c r="D2587" s="11" t="s">
        <v>18</v>
      </c>
      <c r="E2587" s="12" t="s">
        <v>826</v>
      </c>
      <c r="F2587" s="12" t="s">
        <v>827</v>
      </c>
      <c r="G2587" s="12" t="s">
        <v>46</v>
      </c>
      <c r="H2587" s="11" t="s">
        <v>22</v>
      </c>
      <c r="I2587" s="13" t="s">
        <v>5582</v>
      </c>
      <c r="J2587" s="14" t="str">
        <f>HYPERLINK("https://www.boe.es/gazeta/dias/1839/09/25/pdfs/GMD-1839-1781.pdf#page=3","Abrir facsímil")</f>
        <v>Abrir facsímil</v>
      </c>
      <c r="K2587" s="12" t="s">
        <v>24</v>
      </c>
    </row>
    <row r="2588" spans="1:11" ht="40.049999999999997" customHeight="1" x14ac:dyDescent="0.25">
      <c r="A2588" s="11" t="s">
        <v>5557</v>
      </c>
      <c r="B2588" s="11" t="s">
        <v>5557</v>
      </c>
      <c r="C2588" s="11" t="s">
        <v>80</v>
      </c>
      <c r="D2588" s="11" t="s">
        <v>18</v>
      </c>
      <c r="E2588" s="12" t="s">
        <v>1086</v>
      </c>
      <c r="F2588" s="12" t="s">
        <v>1087</v>
      </c>
      <c r="G2588" s="12" t="s">
        <v>40</v>
      </c>
      <c r="H2588" s="11" t="s">
        <v>63</v>
      </c>
      <c r="I2588" s="13" t="s">
        <v>5583</v>
      </c>
      <c r="J2588" s="14" t="str">
        <f>HYPERLINK("https://www.boe.es/gazeta/dias/1839/10/26/pdfs/GMD-1839-1812.pdf#page=2","Abrir facsímil")</f>
        <v>Abrir facsímil</v>
      </c>
      <c r="K2588" s="12" t="s">
        <v>65</v>
      </c>
    </row>
    <row r="2589" spans="1:11" ht="40.049999999999997" customHeight="1" x14ac:dyDescent="0.25">
      <c r="A2589" s="11" t="s">
        <v>5557</v>
      </c>
      <c r="B2589" s="11" t="s">
        <v>5557</v>
      </c>
      <c r="C2589" s="11" t="s">
        <v>80</v>
      </c>
      <c r="D2589" s="11" t="s">
        <v>18</v>
      </c>
      <c r="E2589" s="12" t="s">
        <v>571</v>
      </c>
      <c r="F2589" s="12" t="s">
        <v>572</v>
      </c>
      <c r="G2589" s="12" t="s">
        <v>46</v>
      </c>
      <c r="H2589" s="11" t="s">
        <v>63</v>
      </c>
      <c r="I2589" s="13" t="s">
        <v>5584</v>
      </c>
      <c r="J2589" s="14" t="str">
        <f>HYPERLINK("https://www.boe.es/gazeta/dias/1839/09/27/pdfs/GMD-1839-1783.pdf#page=3","Abrir facsímil")</f>
        <v>Abrir facsímil</v>
      </c>
      <c r="K2589" s="12" t="s">
        <v>65</v>
      </c>
    </row>
    <row r="2590" spans="1:11" ht="40.049999999999997" customHeight="1" x14ac:dyDescent="0.25">
      <c r="A2590" s="11" t="s">
        <v>5557</v>
      </c>
      <c r="B2590" s="11" t="s">
        <v>5557</v>
      </c>
      <c r="C2590" s="11" t="s">
        <v>101</v>
      </c>
      <c r="D2590" s="11" t="s">
        <v>43</v>
      </c>
      <c r="E2590" s="12" t="s">
        <v>862</v>
      </c>
      <c r="F2590" s="12" t="s">
        <v>863</v>
      </c>
      <c r="G2590" s="12" t="s">
        <v>40</v>
      </c>
      <c r="H2590" s="11" t="s">
        <v>63</v>
      </c>
      <c r="I2590" s="13" t="s">
        <v>5585</v>
      </c>
      <c r="J2590" s="14" t="str">
        <f>HYPERLINK("https://www.boe.es/gazeta/dias/1839/10/28/pdfs/GMD-1839-1814.pdf#page=2","Abrir facsímil")</f>
        <v>Abrir facsímil</v>
      </c>
      <c r="K2590" s="12" t="s">
        <v>65</v>
      </c>
    </row>
    <row r="2591" spans="1:11" ht="40.049999999999997" customHeight="1" x14ac:dyDescent="0.25">
      <c r="A2591" s="11" t="s">
        <v>5557</v>
      </c>
      <c r="B2591" s="11" t="s">
        <v>5557</v>
      </c>
      <c r="C2591" s="11" t="s">
        <v>137</v>
      </c>
      <c r="D2591" s="11" t="s">
        <v>18</v>
      </c>
      <c r="E2591" s="12" t="s">
        <v>862</v>
      </c>
      <c r="F2591" s="12" t="s">
        <v>863</v>
      </c>
      <c r="G2591" s="12" t="s">
        <v>46</v>
      </c>
      <c r="H2591" s="11" t="s">
        <v>63</v>
      </c>
      <c r="I2591" s="13" t="s">
        <v>5586</v>
      </c>
      <c r="J2591" s="14" t="str">
        <f>HYPERLINK("https://www.boe.es/gazeta/dias/1839/10/28/pdfs/GMD-1839-1814.pdf#page=3","Abrir facsímil")</f>
        <v>Abrir facsímil</v>
      </c>
      <c r="K2591" s="12" t="s">
        <v>65</v>
      </c>
    </row>
    <row r="2592" spans="1:11" ht="40.049999999999997" customHeight="1" x14ac:dyDescent="0.25">
      <c r="A2592" s="11" t="s">
        <v>5561</v>
      </c>
      <c r="B2592" s="11" t="s">
        <v>5561</v>
      </c>
      <c r="C2592" s="11" t="s">
        <v>17</v>
      </c>
      <c r="D2592" s="11" t="s">
        <v>18</v>
      </c>
      <c r="E2592" s="12" t="s">
        <v>2349</v>
      </c>
      <c r="F2592" s="12" t="s">
        <v>2350</v>
      </c>
      <c r="G2592" s="12" t="s">
        <v>46</v>
      </c>
      <c r="H2592" s="11" t="s">
        <v>22</v>
      </c>
      <c r="I2592" s="13" t="s">
        <v>5587</v>
      </c>
      <c r="J2592" s="14" t="str">
        <f>HYPERLINK("https://www.boe.es/gazeta/dias/1839/09/29/pdfs/GMD-1839-1785.pdf#page=3","Abrir facsímil")</f>
        <v>Abrir facsímil</v>
      </c>
      <c r="K2592" s="12" t="s">
        <v>24</v>
      </c>
    </row>
    <row r="2593" spans="1:11" ht="40.049999999999997" customHeight="1" x14ac:dyDescent="0.25">
      <c r="A2593" s="11" t="s">
        <v>5588</v>
      </c>
      <c r="B2593" s="11" t="s">
        <v>5589</v>
      </c>
      <c r="C2593" s="11" t="s">
        <v>17</v>
      </c>
      <c r="D2593" s="11" t="s">
        <v>18</v>
      </c>
      <c r="E2593" s="12" t="s">
        <v>632</v>
      </c>
      <c r="F2593" s="12" t="s">
        <v>633</v>
      </c>
      <c r="G2593" s="12" t="s">
        <v>46</v>
      </c>
      <c r="H2593" s="11" t="s">
        <v>22</v>
      </c>
      <c r="I2593" s="13" t="s">
        <v>5590</v>
      </c>
      <c r="J2593" s="14" t="str">
        <f>HYPERLINK("https://www.boe.es/gazeta/dias/1839/04/06/pdfs/GMD-1839-1603.pdf#page=3","Abrir facsímil")</f>
        <v>Abrir facsímil</v>
      </c>
      <c r="K2593" s="12" t="s">
        <v>24</v>
      </c>
    </row>
    <row r="2594" spans="1:11" ht="40.049999999999997" customHeight="1" x14ac:dyDescent="0.25">
      <c r="A2594" s="11" t="s">
        <v>5591</v>
      </c>
      <c r="B2594" s="11" t="s">
        <v>5591</v>
      </c>
      <c r="C2594" s="11" t="s">
        <v>17</v>
      </c>
      <c r="D2594" s="11" t="s">
        <v>18</v>
      </c>
      <c r="E2594" s="12" t="s">
        <v>197</v>
      </c>
      <c r="F2594" s="12" t="s">
        <v>198</v>
      </c>
      <c r="G2594" s="12" t="s">
        <v>40</v>
      </c>
      <c r="H2594" s="11" t="s">
        <v>63</v>
      </c>
      <c r="I2594" s="13" t="s">
        <v>5592</v>
      </c>
      <c r="J2594" s="14" t="str">
        <f>HYPERLINK("https://www.boe.es/gazeta/dias/1839/10/04/pdfs/GMD-1839-1790.pdf#page=2","Abrir facsímil")</f>
        <v>Abrir facsímil</v>
      </c>
      <c r="K2594" s="12" t="s">
        <v>65</v>
      </c>
    </row>
    <row r="2595" spans="1:11" ht="40.049999999999997" customHeight="1" x14ac:dyDescent="0.25">
      <c r="A2595" s="11" t="s">
        <v>5593</v>
      </c>
      <c r="B2595" s="11" t="s">
        <v>5593</v>
      </c>
      <c r="C2595" s="11" t="s">
        <v>137</v>
      </c>
      <c r="D2595" s="11" t="s">
        <v>18</v>
      </c>
      <c r="E2595" s="12" t="s">
        <v>798</v>
      </c>
      <c r="F2595" s="12" t="s">
        <v>799</v>
      </c>
      <c r="G2595" s="12" t="s">
        <v>40</v>
      </c>
      <c r="H2595" s="11" t="s">
        <v>63</v>
      </c>
      <c r="I2595" s="13" t="s">
        <v>5594</v>
      </c>
      <c r="J2595" s="14" t="str">
        <f>HYPERLINK("https://www.boe.es/gazeta/dias/1839/09/03/pdfs/GMD-1839-1755.pdf#page=2","Abrir facsímil")</f>
        <v>Abrir facsímil</v>
      </c>
      <c r="K2595" s="12" t="s">
        <v>65</v>
      </c>
    </row>
    <row r="2596" spans="1:11" ht="40.049999999999997" customHeight="1" x14ac:dyDescent="0.25">
      <c r="A2596" s="11" t="s">
        <v>5593</v>
      </c>
      <c r="B2596" s="11" t="s">
        <v>5593</v>
      </c>
      <c r="C2596" s="11" t="s">
        <v>17</v>
      </c>
      <c r="D2596" s="11" t="s">
        <v>18</v>
      </c>
      <c r="E2596" s="12" t="s">
        <v>54</v>
      </c>
      <c r="F2596" s="12" t="s">
        <v>55</v>
      </c>
      <c r="G2596" s="12" t="s">
        <v>46</v>
      </c>
      <c r="H2596" s="11" t="s">
        <v>63</v>
      </c>
      <c r="I2596" s="13" t="s">
        <v>5595</v>
      </c>
      <c r="J2596" s="14" t="str">
        <f>HYPERLINK("https://www.boe.es/gazeta/dias/1839/10/05/pdfs/GMD-1839-1791.pdf#page=3","Abrir facsímil")</f>
        <v>Abrir facsímil</v>
      </c>
      <c r="K2596" s="12" t="s">
        <v>65</v>
      </c>
    </row>
    <row r="2597" spans="1:11" ht="40.049999999999997" customHeight="1" x14ac:dyDescent="0.25">
      <c r="A2597" s="11" t="s">
        <v>5593</v>
      </c>
      <c r="B2597" s="11" t="s">
        <v>5593</v>
      </c>
      <c r="C2597" s="11" t="s">
        <v>17</v>
      </c>
      <c r="D2597" s="11" t="s">
        <v>18</v>
      </c>
      <c r="E2597" s="12" t="s">
        <v>1366</v>
      </c>
      <c r="F2597" s="12" t="s">
        <v>1367</v>
      </c>
      <c r="G2597" s="12" t="s">
        <v>40</v>
      </c>
      <c r="H2597" s="11" t="s">
        <v>63</v>
      </c>
      <c r="I2597" s="13" t="s">
        <v>5596</v>
      </c>
      <c r="J2597" s="14" t="str">
        <f>HYPERLINK("https://www.boe.es/gazeta/dias/1839/09/09/pdfs/GMD-1839-1762.pdf#page=2","Abrir facsímil")</f>
        <v>Abrir facsímil</v>
      </c>
      <c r="K2597" s="12" t="s">
        <v>65</v>
      </c>
    </row>
    <row r="2598" spans="1:11" ht="40.049999999999997" customHeight="1" x14ac:dyDescent="0.25">
      <c r="A2598" s="11" t="s">
        <v>5593</v>
      </c>
      <c r="B2598" s="11" t="s">
        <v>5593</v>
      </c>
      <c r="C2598" s="11" t="s">
        <v>101</v>
      </c>
      <c r="D2598" s="11" t="s">
        <v>43</v>
      </c>
      <c r="E2598" s="12" t="s">
        <v>254</v>
      </c>
      <c r="F2598" s="12" t="s">
        <v>255</v>
      </c>
      <c r="G2598" s="12" t="s">
        <v>46</v>
      </c>
      <c r="H2598" s="11" t="s">
        <v>63</v>
      </c>
      <c r="I2598" s="13" t="s">
        <v>5597</v>
      </c>
      <c r="J2598" s="14" t="str">
        <f>HYPERLINK("https://www.boe.es/gazeta/dias/1839/09/12/pdfs/GMD-1839-1765.pdf#page=3","Abrir facsímil")</f>
        <v>Abrir facsímil</v>
      </c>
      <c r="K2598" s="12" t="s">
        <v>65</v>
      </c>
    </row>
    <row r="2599" spans="1:11" ht="40.049999999999997" customHeight="1" x14ac:dyDescent="0.25">
      <c r="A2599" s="11" t="s">
        <v>5593</v>
      </c>
      <c r="B2599" s="11" t="s">
        <v>5593</v>
      </c>
      <c r="C2599" s="11" t="s">
        <v>101</v>
      </c>
      <c r="D2599" s="11" t="s">
        <v>43</v>
      </c>
      <c r="E2599" s="12" t="s">
        <v>1100</v>
      </c>
      <c r="F2599" s="12" t="s">
        <v>1101</v>
      </c>
      <c r="G2599" s="12" t="s">
        <v>40</v>
      </c>
      <c r="H2599" s="11" t="s">
        <v>63</v>
      </c>
      <c r="I2599" s="13" t="s">
        <v>5598</v>
      </c>
      <c r="J2599" s="14" t="str">
        <f>HYPERLINK("https://www.boe.es/gazeta/dias/1839/09/13/pdfs/GMD-1839-1766.pdf#page=2","Abrir facsímil")</f>
        <v>Abrir facsímil</v>
      </c>
      <c r="K2599" s="12" t="s">
        <v>65</v>
      </c>
    </row>
    <row r="2600" spans="1:11" ht="40.049999999999997" customHeight="1" x14ac:dyDescent="0.25">
      <c r="A2600" s="11" t="s">
        <v>5593</v>
      </c>
      <c r="B2600" s="11" t="s">
        <v>5593</v>
      </c>
      <c r="C2600" s="11" t="s">
        <v>17</v>
      </c>
      <c r="D2600" s="11" t="s">
        <v>18</v>
      </c>
      <c r="E2600" s="12" t="s">
        <v>1100</v>
      </c>
      <c r="F2600" s="12" t="s">
        <v>1101</v>
      </c>
      <c r="G2600" s="12" t="s">
        <v>46</v>
      </c>
      <c r="H2600" s="11" t="s">
        <v>63</v>
      </c>
      <c r="I2600" s="13" t="s">
        <v>5599</v>
      </c>
      <c r="J2600" s="14" t="str">
        <f>HYPERLINK("https://www.boe.es/gazeta/dias/1839/09/13/pdfs/GMD-1839-1766.pdf#page=3","Abrir facsímil")</f>
        <v>Abrir facsímil</v>
      </c>
      <c r="K2600" s="12" t="s">
        <v>65</v>
      </c>
    </row>
    <row r="2601" spans="1:11" ht="40.049999999999997" customHeight="1" x14ac:dyDescent="0.25">
      <c r="A2601" s="11" t="s">
        <v>5593</v>
      </c>
      <c r="B2601" s="11" t="s">
        <v>5593</v>
      </c>
      <c r="C2601" s="11" t="s">
        <v>80</v>
      </c>
      <c r="D2601" s="11" t="s">
        <v>18</v>
      </c>
      <c r="E2601" s="12" t="s">
        <v>1100</v>
      </c>
      <c r="F2601" s="12" t="s">
        <v>1101</v>
      </c>
      <c r="G2601" s="12" t="s">
        <v>21</v>
      </c>
      <c r="H2601" s="11" t="s">
        <v>63</v>
      </c>
      <c r="I2601" s="13" t="s">
        <v>5600</v>
      </c>
      <c r="J2601" s="14" t="str">
        <f>HYPERLINK("https://www.boe.es/gazeta/dias/1839/09/13/pdfs/GMD-1839-1766.pdf#page=4","Abrir facsímil")</f>
        <v>Abrir facsímil</v>
      </c>
      <c r="K2601" s="12" t="s">
        <v>65</v>
      </c>
    </row>
    <row r="2602" spans="1:11" ht="40.049999999999997" customHeight="1" x14ac:dyDescent="0.25">
      <c r="A2602" s="11" t="s">
        <v>5593</v>
      </c>
      <c r="B2602" s="11" t="s">
        <v>5593</v>
      </c>
      <c r="C2602" s="11" t="s">
        <v>101</v>
      </c>
      <c r="D2602" s="11" t="s">
        <v>43</v>
      </c>
      <c r="E2602" s="12" t="s">
        <v>2650</v>
      </c>
      <c r="F2602" s="12" t="s">
        <v>2651</v>
      </c>
      <c r="G2602" s="12" t="s">
        <v>40</v>
      </c>
      <c r="H2602" s="11" t="s">
        <v>63</v>
      </c>
      <c r="I2602" s="13" t="s">
        <v>5601</v>
      </c>
      <c r="J2602" s="14" t="str">
        <f>HYPERLINK("https://www.boe.es/gazeta/dias/1839/09/15/pdfs/GMD-1839-1768.pdf#page=2","Abrir facsímil")</f>
        <v>Abrir facsímil</v>
      </c>
      <c r="K2602" s="12" t="s">
        <v>65</v>
      </c>
    </row>
    <row r="2603" spans="1:11" ht="40.049999999999997" customHeight="1" x14ac:dyDescent="0.25">
      <c r="A2603" s="11" t="s">
        <v>5602</v>
      </c>
      <c r="B2603" s="11" t="s">
        <v>5602</v>
      </c>
      <c r="C2603" s="11" t="s">
        <v>17</v>
      </c>
      <c r="D2603" s="11" t="s">
        <v>18</v>
      </c>
      <c r="E2603" s="12" t="s">
        <v>1623</v>
      </c>
      <c r="F2603" s="12" t="s">
        <v>1624</v>
      </c>
      <c r="G2603" s="12" t="s">
        <v>46</v>
      </c>
      <c r="H2603" s="11" t="s">
        <v>63</v>
      </c>
      <c r="I2603" s="13" t="s">
        <v>5603</v>
      </c>
      <c r="J2603" s="14" t="str">
        <f>HYPERLINK("https://www.boe.es/gazeta/dias/1839/04/07/pdfs/GMD-1839-1604.pdf#page=3","Abrir facsímil")</f>
        <v>Abrir facsímil</v>
      </c>
      <c r="K2603" s="12" t="s">
        <v>65</v>
      </c>
    </row>
    <row r="2604" spans="1:11" ht="40.049999999999997" customHeight="1" x14ac:dyDescent="0.25">
      <c r="A2604" s="11" t="s">
        <v>5604</v>
      </c>
      <c r="B2604" s="11" t="s">
        <v>5605</v>
      </c>
      <c r="C2604" s="11" t="s">
        <v>101</v>
      </c>
      <c r="D2604" s="11" t="s">
        <v>43</v>
      </c>
      <c r="E2604" s="12" t="s">
        <v>1623</v>
      </c>
      <c r="F2604" s="12" t="s">
        <v>1624</v>
      </c>
      <c r="G2604" s="12" t="s">
        <v>46</v>
      </c>
      <c r="H2604" s="11" t="s">
        <v>63</v>
      </c>
      <c r="I2604" s="13" t="s">
        <v>5606</v>
      </c>
      <c r="J2604" s="14" t="str">
        <f>HYPERLINK("https://www.boe.es/gazeta/dias/1839/04/07/pdfs/GMD-1839-1604.pdf#page=3","Abrir facsímil")</f>
        <v>Abrir facsímil</v>
      </c>
      <c r="K2604" s="12" t="s">
        <v>65</v>
      </c>
    </row>
    <row r="2605" spans="1:11" ht="40.049999999999997" customHeight="1" x14ac:dyDescent="0.25">
      <c r="A2605" s="11" t="s">
        <v>5604</v>
      </c>
      <c r="B2605" s="11" t="s">
        <v>5605</v>
      </c>
      <c r="C2605" s="11" t="s">
        <v>101</v>
      </c>
      <c r="D2605" s="11" t="s">
        <v>43</v>
      </c>
      <c r="E2605" s="12" t="s">
        <v>503</v>
      </c>
      <c r="F2605" s="12" t="s">
        <v>504</v>
      </c>
      <c r="G2605" s="12" t="s">
        <v>21</v>
      </c>
      <c r="H2605" s="11" t="s">
        <v>63</v>
      </c>
      <c r="I2605" s="13" t="s">
        <v>5607</v>
      </c>
      <c r="J2605" s="14" t="str">
        <f>HYPERLINK("https://www.boe.es/gazeta/dias/1839/06/07/pdfs/GMD-1839-1665.pdf#page=4","Abrir facsímil")</f>
        <v>Abrir facsímil</v>
      </c>
      <c r="K2605" s="12" t="s">
        <v>65</v>
      </c>
    </row>
    <row r="2606" spans="1:11" ht="40.049999999999997" customHeight="1" x14ac:dyDescent="0.25">
      <c r="A2606" s="11" t="s">
        <v>5604</v>
      </c>
      <c r="B2606" s="11" t="s">
        <v>5605</v>
      </c>
      <c r="C2606" s="11" t="s">
        <v>17</v>
      </c>
      <c r="D2606" s="11" t="s">
        <v>18</v>
      </c>
      <c r="E2606" s="12" t="s">
        <v>160</v>
      </c>
      <c r="F2606" s="12" t="s">
        <v>161</v>
      </c>
      <c r="G2606" s="12" t="s">
        <v>21</v>
      </c>
      <c r="H2606" s="11" t="s">
        <v>63</v>
      </c>
      <c r="I2606" s="13" t="s">
        <v>5608</v>
      </c>
      <c r="J2606" s="14" t="str">
        <f>HYPERLINK("https://www.boe.es/gazeta/dias/1839/01/10/pdfs/GMD-1839-1517.pdf#page=4","Abrir facsímil")</f>
        <v>Abrir facsímil</v>
      </c>
      <c r="K2606" s="12" t="s">
        <v>65</v>
      </c>
    </row>
    <row r="2607" spans="1:11" ht="40.049999999999997" customHeight="1" x14ac:dyDescent="0.25">
      <c r="A2607" s="11" t="s">
        <v>5604</v>
      </c>
      <c r="B2607" s="11" t="s">
        <v>5605</v>
      </c>
      <c r="C2607" s="11" t="s">
        <v>101</v>
      </c>
      <c r="D2607" s="11" t="s">
        <v>102</v>
      </c>
      <c r="E2607" s="12" t="s">
        <v>1648</v>
      </c>
      <c r="F2607" s="12" t="s">
        <v>1649</v>
      </c>
      <c r="G2607" s="12" t="s">
        <v>21</v>
      </c>
      <c r="H2607" s="11" t="s">
        <v>63</v>
      </c>
      <c r="I2607" s="13" t="s">
        <v>5609</v>
      </c>
      <c r="J2607" s="14" t="str">
        <f>HYPERLINK("https://www.boe.es/gazeta/dias/1839/08/18/pdfs/GMD-1839-1738.pdf#page=4","Abrir facsímil")</f>
        <v>Abrir facsímil</v>
      </c>
      <c r="K2607" s="12" t="s">
        <v>65</v>
      </c>
    </row>
    <row r="2608" spans="1:11" ht="40.049999999999997" customHeight="1" x14ac:dyDescent="0.25">
      <c r="A2608" s="11" t="s">
        <v>5604</v>
      </c>
      <c r="B2608" s="11" t="s">
        <v>5605</v>
      </c>
      <c r="C2608" s="11" t="s">
        <v>17</v>
      </c>
      <c r="D2608" s="11" t="s">
        <v>18</v>
      </c>
      <c r="E2608" s="12" t="s">
        <v>1657</v>
      </c>
      <c r="F2608" s="12" t="s">
        <v>1658</v>
      </c>
      <c r="G2608" s="12" t="s">
        <v>21</v>
      </c>
      <c r="H2608" s="11" t="s">
        <v>63</v>
      </c>
      <c r="I2608" s="13" t="s">
        <v>5610</v>
      </c>
      <c r="J2608" s="14" t="str">
        <f>HYPERLINK("https://www.boe.es/gazeta/dias/1839/02/21/pdfs/GMD-1839-1559.pdf#page=4","Abrir facsímil")</f>
        <v>Abrir facsímil</v>
      </c>
      <c r="K2608" s="12" t="s">
        <v>65</v>
      </c>
    </row>
    <row r="2609" spans="1:11" ht="40.049999999999997" customHeight="1" x14ac:dyDescent="0.25">
      <c r="A2609" s="11" t="s">
        <v>5604</v>
      </c>
      <c r="B2609" s="11" t="s">
        <v>5605</v>
      </c>
      <c r="C2609" s="11" t="s">
        <v>17</v>
      </c>
      <c r="D2609" s="11" t="s">
        <v>18</v>
      </c>
      <c r="E2609" s="12" t="s">
        <v>4047</v>
      </c>
      <c r="F2609" s="12" t="s">
        <v>4048</v>
      </c>
      <c r="G2609" s="12" t="s">
        <v>21</v>
      </c>
      <c r="H2609" s="11" t="s">
        <v>63</v>
      </c>
      <c r="I2609" s="13" t="s">
        <v>5611</v>
      </c>
      <c r="J2609" s="14" t="str">
        <f>HYPERLINK("https://www.boe.es/gazeta/dias/1839/03/26/pdfs/GMD-1839-1592.pdf#page=4","Abrir facsímil")</f>
        <v>Abrir facsímil</v>
      </c>
      <c r="K2609" s="12" t="s">
        <v>65</v>
      </c>
    </row>
    <row r="2610" spans="1:11" ht="40.049999999999997" customHeight="1" x14ac:dyDescent="0.25">
      <c r="A2610" s="11" t="s">
        <v>5612</v>
      </c>
      <c r="B2610" s="11" t="s">
        <v>5613</v>
      </c>
      <c r="C2610" s="11" t="s">
        <v>17</v>
      </c>
      <c r="D2610" s="11" t="s">
        <v>18</v>
      </c>
      <c r="E2610" s="12" t="s">
        <v>474</v>
      </c>
      <c r="F2610" s="12" t="s">
        <v>475</v>
      </c>
      <c r="G2610" s="12" t="s">
        <v>21</v>
      </c>
      <c r="H2610" s="11" t="s">
        <v>63</v>
      </c>
      <c r="I2610" s="13" t="s">
        <v>5614</v>
      </c>
      <c r="J2610" s="14" t="str">
        <f>HYPERLINK("https://www.boe.es/gazeta/dias/1839/03/31/pdfs/GMD-1839-1597.pdf#page=4","Abrir facsímil")</f>
        <v>Abrir facsímil</v>
      </c>
      <c r="K2610" s="12" t="s">
        <v>65</v>
      </c>
    </row>
    <row r="2611" spans="1:11" ht="40.049999999999997" customHeight="1" x14ac:dyDescent="0.25">
      <c r="A2611" s="11" t="s">
        <v>5615</v>
      </c>
      <c r="B2611" s="11" t="s">
        <v>5616</v>
      </c>
      <c r="C2611" s="11" t="s">
        <v>137</v>
      </c>
      <c r="D2611" s="11" t="s">
        <v>18</v>
      </c>
      <c r="E2611" s="12" t="s">
        <v>346</v>
      </c>
      <c r="F2611" s="12" t="s">
        <v>347</v>
      </c>
      <c r="G2611" s="12" t="s">
        <v>29</v>
      </c>
      <c r="H2611" s="11" t="s">
        <v>63</v>
      </c>
      <c r="I2611" s="13" t="s">
        <v>5617</v>
      </c>
      <c r="J2611" s="14" t="str">
        <f>HYPERLINK("https://www.boe.es/gazeta/dias/1839/03/24/pdfs/GMD-1839-1590.pdf#page=1","Abrir facsímil")</f>
        <v>Abrir facsímil</v>
      </c>
      <c r="K2611" s="12" t="s">
        <v>65</v>
      </c>
    </row>
    <row r="2612" spans="1:11" ht="40.049999999999997" customHeight="1" x14ac:dyDescent="0.25">
      <c r="A2612" s="11" t="s">
        <v>5618</v>
      </c>
      <c r="B2612" s="11" t="s">
        <v>5618</v>
      </c>
      <c r="C2612" s="11" t="s">
        <v>137</v>
      </c>
      <c r="D2612" s="11" t="s">
        <v>18</v>
      </c>
      <c r="E2612" s="12" t="s">
        <v>1057</v>
      </c>
      <c r="F2612" s="12" t="s">
        <v>1058</v>
      </c>
      <c r="G2612" s="12" t="s">
        <v>46</v>
      </c>
      <c r="H2612" s="11" t="s">
        <v>22</v>
      </c>
      <c r="I2612" s="13" t="s">
        <v>5619</v>
      </c>
      <c r="J2612" s="14" t="str">
        <f>HYPERLINK("https://www.boe.es/gazeta/dias/1839/10/01/pdfs/GMD-1839-1787.pdf#page=3","Abrir facsímil")</f>
        <v>Abrir facsímil</v>
      </c>
      <c r="K2612" s="12" t="s">
        <v>24</v>
      </c>
    </row>
    <row r="2613" spans="1:11" ht="40.049999999999997" customHeight="1" x14ac:dyDescent="0.25">
      <c r="A2613" s="11" t="s">
        <v>5620</v>
      </c>
      <c r="B2613" s="11" t="s">
        <v>5620</v>
      </c>
      <c r="C2613" s="11" t="s">
        <v>17</v>
      </c>
      <c r="D2613" s="11" t="s">
        <v>18</v>
      </c>
      <c r="E2613" s="12" t="s">
        <v>291</v>
      </c>
      <c r="F2613" s="12" t="s">
        <v>292</v>
      </c>
      <c r="G2613" s="12" t="s">
        <v>29</v>
      </c>
      <c r="H2613" s="11" t="s">
        <v>63</v>
      </c>
      <c r="I2613" s="13" t="s">
        <v>5621</v>
      </c>
      <c r="J2613" s="14" t="str">
        <f>HYPERLINK("https://www.boe.es/gazeta/dias/1839/09/04/pdfs/GMD-1839-1757.pdf#page=1","Abrir facsímil")</f>
        <v>Abrir facsímil</v>
      </c>
      <c r="K2613" s="12" t="s">
        <v>65</v>
      </c>
    </row>
    <row r="2614" spans="1:11" ht="40.049999999999997" customHeight="1" x14ac:dyDescent="0.25">
      <c r="A2614" s="11" t="s">
        <v>5622</v>
      </c>
      <c r="B2614" s="11" t="s">
        <v>5622</v>
      </c>
      <c r="C2614" s="11" t="s">
        <v>17</v>
      </c>
      <c r="D2614" s="11" t="s">
        <v>18</v>
      </c>
      <c r="E2614" s="12" t="s">
        <v>157</v>
      </c>
      <c r="F2614" s="12" t="s">
        <v>158</v>
      </c>
      <c r="G2614" s="12" t="s">
        <v>21</v>
      </c>
      <c r="H2614" s="11" t="s">
        <v>22</v>
      </c>
      <c r="I2614" s="13" t="s">
        <v>5623</v>
      </c>
      <c r="J2614" s="14" t="str">
        <f>HYPERLINK("https://www.boe.es/gazeta/dias/1839/02/08/pdfs/GMD-1839-1546.pdf#page=4","Abrir facsímil")</f>
        <v>Abrir facsímil</v>
      </c>
      <c r="K2614" s="12" t="s">
        <v>24</v>
      </c>
    </row>
    <row r="2615" spans="1:11" ht="40.049999999999997" customHeight="1" x14ac:dyDescent="0.25">
      <c r="A2615" s="11" t="s">
        <v>5622</v>
      </c>
      <c r="B2615" s="11" t="s">
        <v>5622</v>
      </c>
      <c r="C2615" s="11" t="s">
        <v>17</v>
      </c>
      <c r="D2615" s="11" t="s">
        <v>18</v>
      </c>
      <c r="E2615" s="12" t="s">
        <v>160</v>
      </c>
      <c r="F2615" s="12" t="s">
        <v>161</v>
      </c>
      <c r="G2615" s="12" t="s">
        <v>40</v>
      </c>
      <c r="H2615" s="11" t="s">
        <v>22</v>
      </c>
      <c r="I2615" s="13" t="s">
        <v>5624</v>
      </c>
      <c r="J2615" s="14" t="str">
        <f>HYPERLINK("https://www.boe.es/gazeta/dias/1839/01/10/pdfs/GMD-1839-1517.pdf#page=2","Abrir facsímil")</f>
        <v>Abrir facsímil</v>
      </c>
      <c r="K2615" s="12" t="s">
        <v>24</v>
      </c>
    </row>
    <row r="2616" spans="1:11" ht="40.049999999999997" customHeight="1" x14ac:dyDescent="0.25">
      <c r="A2616" s="11" t="s">
        <v>5625</v>
      </c>
      <c r="B2616" s="11" t="s">
        <v>5625</v>
      </c>
      <c r="C2616" s="11" t="s">
        <v>17</v>
      </c>
      <c r="D2616" s="11" t="s">
        <v>18</v>
      </c>
      <c r="E2616" s="12" t="s">
        <v>770</v>
      </c>
      <c r="F2616" s="12" t="s">
        <v>771</v>
      </c>
      <c r="G2616" s="12" t="s">
        <v>46</v>
      </c>
      <c r="H2616" s="11" t="s">
        <v>63</v>
      </c>
      <c r="I2616" s="13" t="s">
        <v>5626</v>
      </c>
      <c r="J2616" s="14" t="str">
        <f>HYPERLINK("https://www.boe.es/gazeta/dias/1839/12/05/pdfs/GMD-1839-1852.pdf#page=3","Abrir facsímil")</f>
        <v>Abrir facsímil</v>
      </c>
      <c r="K2616" s="12" t="s">
        <v>65</v>
      </c>
    </row>
    <row r="2617" spans="1:11" ht="40.049999999999997" customHeight="1" x14ac:dyDescent="0.25">
      <c r="A2617" s="11" t="s">
        <v>5627</v>
      </c>
      <c r="B2617" s="11" t="s">
        <v>5627</v>
      </c>
      <c r="C2617" s="11" t="s">
        <v>17</v>
      </c>
      <c r="D2617" s="11" t="s">
        <v>18</v>
      </c>
      <c r="E2617" s="12" t="s">
        <v>704</v>
      </c>
      <c r="F2617" s="12" t="s">
        <v>705</v>
      </c>
      <c r="G2617" s="12" t="s">
        <v>46</v>
      </c>
      <c r="H2617" s="11" t="s">
        <v>63</v>
      </c>
      <c r="I2617" s="13" t="s">
        <v>5628</v>
      </c>
      <c r="J2617" s="14" t="str">
        <f>HYPERLINK("https://www.boe.es/gazeta/dias/1839/03/02/pdfs/GMD-1839-1568.pdf#page=3","Abrir facsímil")</f>
        <v>Abrir facsímil</v>
      </c>
      <c r="K2617" s="12" t="s">
        <v>65</v>
      </c>
    </row>
    <row r="2618" spans="1:11" ht="40.049999999999997" customHeight="1" x14ac:dyDescent="0.25">
      <c r="A2618" s="11" t="s">
        <v>5627</v>
      </c>
      <c r="B2618" s="11" t="s">
        <v>5627</v>
      </c>
      <c r="C2618" s="11" t="s">
        <v>59</v>
      </c>
      <c r="D2618" s="11" t="s">
        <v>60</v>
      </c>
      <c r="E2618" s="12" t="s">
        <v>1685</v>
      </c>
      <c r="F2618" s="12" t="s">
        <v>1686</v>
      </c>
      <c r="G2618" s="12" t="s">
        <v>46</v>
      </c>
      <c r="H2618" s="11" t="s">
        <v>63</v>
      </c>
      <c r="I2618" s="13" t="s">
        <v>5629</v>
      </c>
      <c r="J2618" s="14" t="str">
        <f>HYPERLINK("https://www.boe.es/gazeta/dias/1839/04/27/pdfs/GMD-1839-1624.pdf#page=3","Abrir facsímil")</f>
        <v>Abrir facsímil</v>
      </c>
      <c r="K2618" s="12" t="s">
        <v>65</v>
      </c>
    </row>
    <row r="2619" spans="1:11" ht="40.049999999999997" customHeight="1" x14ac:dyDescent="0.25">
      <c r="A2619" s="11" t="s">
        <v>5630</v>
      </c>
      <c r="B2619" s="11" t="s">
        <v>5631</v>
      </c>
      <c r="C2619" s="11" t="s">
        <v>80</v>
      </c>
      <c r="D2619" s="11" t="s">
        <v>18</v>
      </c>
      <c r="E2619" s="12" t="s">
        <v>1208</v>
      </c>
      <c r="F2619" s="12" t="s">
        <v>1209</v>
      </c>
      <c r="G2619" s="12" t="s">
        <v>21</v>
      </c>
      <c r="H2619" s="11" t="s">
        <v>63</v>
      </c>
      <c r="I2619" s="13" t="s">
        <v>5632</v>
      </c>
      <c r="J2619" s="14" t="str">
        <f>HYPERLINK("https://www.boe.es/gazeta/dias/1839/04/24/pdfs/GMD-1839-1621.pdf#page=4","Abrir facsímil")</f>
        <v>Abrir facsímil</v>
      </c>
      <c r="K2619" s="12" t="s">
        <v>65</v>
      </c>
    </row>
    <row r="2620" spans="1:11" ht="40.049999999999997" customHeight="1" x14ac:dyDescent="0.25">
      <c r="A2620" s="11" t="s">
        <v>5630</v>
      </c>
      <c r="B2620" s="11" t="s">
        <v>5631</v>
      </c>
      <c r="C2620" s="11" t="s">
        <v>59</v>
      </c>
      <c r="D2620" s="11" t="s">
        <v>60</v>
      </c>
      <c r="E2620" s="12" t="s">
        <v>1692</v>
      </c>
      <c r="F2620" s="12" t="s">
        <v>1693</v>
      </c>
      <c r="G2620" s="12" t="s">
        <v>21</v>
      </c>
      <c r="H2620" s="11" t="s">
        <v>63</v>
      </c>
      <c r="I2620" s="13" t="s">
        <v>5633</v>
      </c>
      <c r="J2620" s="14" t="str">
        <f>HYPERLINK("https://www.boe.es/gazeta/dias/1839/05/30/pdfs/GMD-1839-1657.pdf#page=4","Abrir facsímil")</f>
        <v>Abrir facsímil</v>
      </c>
      <c r="K2620" s="12" t="s">
        <v>65</v>
      </c>
    </row>
    <row r="2621" spans="1:11" ht="40.049999999999997" customHeight="1" x14ac:dyDescent="0.25">
      <c r="A2621" s="11" t="s">
        <v>5634</v>
      </c>
      <c r="B2621" s="11" t="s">
        <v>5634</v>
      </c>
      <c r="C2621" s="11" t="s">
        <v>80</v>
      </c>
      <c r="D2621" s="11" t="s">
        <v>18</v>
      </c>
      <c r="E2621" s="12" t="s">
        <v>160</v>
      </c>
      <c r="F2621" s="12" t="s">
        <v>161</v>
      </c>
      <c r="G2621" s="12" t="s">
        <v>40</v>
      </c>
      <c r="H2621" s="11" t="s">
        <v>22</v>
      </c>
      <c r="I2621" s="13" t="s">
        <v>5635</v>
      </c>
      <c r="J2621" s="14" t="str">
        <f>HYPERLINK("https://www.boe.es/gazeta/dias/1839/01/10/pdfs/GMD-1839-1517.pdf#page=2","Abrir facsímil")</f>
        <v>Abrir facsímil</v>
      </c>
      <c r="K2621" s="12" t="s">
        <v>24</v>
      </c>
    </row>
    <row r="2622" spans="1:11" ht="40.049999999999997" customHeight="1" x14ac:dyDescent="0.25">
      <c r="A2622" s="11" t="s">
        <v>5636</v>
      </c>
      <c r="B2622" s="11" t="s">
        <v>5636</v>
      </c>
      <c r="C2622" s="11" t="s">
        <v>80</v>
      </c>
      <c r="D2622" s="11" t="s">
        <v>18</v>
      </c>
      <c r="E2622" s="12" t="s">
        <v>157</v>
      </c>
      <c r="F2622" s="12" t="s">
        <v>158</v>
      </c>
      <c r="G2622" s="12" t="s">
        <v>46</v>
      </c>
      <c r="H2622" s="11" t="s">
        <v>63</v>
      </c>
      <c r="I2622" s="13" t="s">
        <v>5637</v>
      </c>
      <c r="J2622" s="14" t="str">
        <f>HYPERLINK("https://www.boe.es/gazeta/dias/1839/02/08/pdfs/GMD-1839-1546.pdf#page=3","Abrir facsímil")</f>
        <v>Abrir facsímil</v>
      </c>
      <c r="K2622" s="12" t="s">
        <v>65</v>
      </c>
    </row>
    <row r="2623" spans="1:11" ht="40.049999999999997" customHeight="1" x14ac:dyDescent="0.25">
      <c r="A2623" s="11" t="s">
        <v>5636</v>
      </c>
      <c r="B2623" s="11" t="s">
        <v>5636</v>
      </c>
      <c r="C2623" s="11" t="s">
        <v>101</v>
      </c>
      <c r="D2623" s="11" t="s">
        <v>102</v>
      </c>
      <c r="E2623" s="12" t="s">
        <v>157</v>
      </c>
      <c r="F2623" s="12" t="s">
        <v>158</v>
      </c>
      <c r="G2623" s="12" t="s">
        <v>21</v>
      </c>
      <c r="H2623" s="11" t="s">
        <v>63</v>
      </c>
      <c r="I2623" s="13" t="s">
        <v>5638</v>
      </c>
      <c r="J2623" s="14" t="str">
        <f>HYPERLINK("https://www.boe.es/gazeta/dias/1839/02/08/pdfs/GMD-1839-1546.pdf#page=4","Abrir facsímil")</f>
        <v>Abrir facsímil</v>
      </c>
      <c r="K2623" s="12" t="s">
        <v>65</v>
      </c>
    </row>
    <row r="2624" spans="1:11" ht="40.049999999999997" customHeight="1" x14ac:dyDescent="0.25">
      <c r="A2624" s="11" t="s">
        <v>5636</v>
      </c>
      <c r="B2624" s="11" t="s">
        <v>5636</v>
      </c>
      <c r="C2624" s="11" t="s">
        <v>17</v>
      </c>
      <c r="D2624" s="11" t="s">
        <v>18</v>
      </c>
      <c r="E2624" s="12" t="s">
        <v>1867</v>
      </c>
      <c r="F2624" s="12" t="s">
        <v>1868</v>
      </c>
      <c r="G2624" s="12" t="s">
        <v>40</v>
      </c>
      <c r="H2624" s="11" t="s">
        <v>63</v>
      </c>
      <c r="I2624" s="13" t="s">
        <v>5639</v>
      </c>
      <c r="J2624" s="14" t="str">
        <f>HYPERLINK("https://www.boe.es/gazeta/dias/1839/01/30/pdfs/GMD-1839-1537.pdf#page=2","Abrir facsímil")</f>
        <v>Abrir facsímil</v>
      </c>
      <c r="K2624" s="12" t="s">
        <v>65</v>
      </c>
    </row>
    <row r="2625" spans="1:11" ht="40.049999999999997" customHeight="1" x14ac:dyDescent="0.25">
      <c r="A2625" s="11" t="s">
        <v>5640</v>
      </c>
      <c r="B2625" s="11" t="s">
        <v>5641</v>
      </c>
      <c r="C2625" s="11" t="s">
        <v>17</v>
      </c>
      <c r="D2625" s="11" t="s">
        <v>18</v>
      </c>
      <c r="E2625" s="12" t="s">
        <v>258</v>
      </c>
      <c r="F2625" s="12" t="s">
        <v>259</v>
      </c>
      <c r="G2625" s="12" t="s">
        <v>46</v>
      </c>
      <c r="H2625" s="11" t="s">
        <v>22</v>
      </c>
      <c r="I2625" s="13" t="s">
        <v>5642</v>
      </c>
      <c r="J2625" s="14" t="str">
        <f>HYPERLINK("https://www.boe.es/gazeta/dias/1839/01/02/pdfs/GMD-1839-1509.pdf#page=3","Abrir facsímil")</f>
        <v>Abrir facsímil</v>
      </c>
      <c r="K2625" s="12" t="s">
        <v>24</v>
      </c>
    </row>
    <row r="2626" spans="1:11" ht="40.049999999999997" customHeight="1" x14ac:dyDescent="0.25">
      <c r="A2626" s="11" t="s">
        <v>5643</v>
      </c>
      <c r="B2626" s="11" t="s">
        <v>5644</v>
      </c>
      <c r="C2626" s="11" t="s">
        <v>17</v>
      </c>
      <c r="D2626" s="11" t="s">
        <v>18</v>
      </c>
      <c r="E2626" s="12" t="s">
        <v>168</v>
      </c>
      <c r="F2626" s="12" t="s">
        <v>169</v>
      </c>
      <c r="G2626" s="12" t="s">
        <v>21</v>
      </c>
      <c r="H2626" s="11" t="s">
        <v>63</v>
      </c>
      <c r="I2626" s="13" t="s">
        <v>5645</v>
      </c>
      <c r="J2626" s="14" t="str">
        <f>HYPERLINK("https://www.boe.es/gazeta/dias/1839/07/12/pdfs/GMD-1839-1700.pdf#page=4","Abrir facsímil")</f>
        <v>Abrir facsímil</v>
      </c>
      <c r="K2626" s="12" t="s">
        <v>65</v>
      </c>
    </row>
    <row r="2627" spans="1:11" ht="40.049999999999997" customHeight="1" x14ac:dyDescent="0.25">
      <c r="A2627" s="11" t="s">
        <v>5646</v>
      </c>
      <c r="B2627" s="11" t="s">
        <v>5646</v>
      </c>
      <c r="C2627" s="11" t="s">
        <v>59</v>
      </c>
      <c r="D2627" s="11" t="s">
        <v>60</v>
      </c>
      <c r="E2627" s="12" t="s">
        <v>246</v>
      </c>
      <c r="F2627" s="12" t="s">
        <v>247</v>
      </c>
      <c r="G2627" s="12" t="s">
        <v>40</v>
      </c>
      <c r="H2627" s="11" t="s">
        <v>63</v>
      </c>
      <c r="I2627" s="13" t="s">
        <v>5647</v>
      </c>
      <c r="J2627" s="14" t="str">
        <f>HYPERLINK("https://www.boe.es/gazeta/dias/1839/11/24/pdfs/GMD-1839-1841.pdf#page=2","Abrir facsímil")</f>
        <v>Abrir facsímil</v>
      </c>
      <c r="K2627" s="12" t="s">
        <v>65</v>
      </c>
    </row>
    <row r="2628" spans="1:11" ht="40.049999999999997" customHeight="1" x14ac:dyDescent="0.25">
      <c r="A2628" s="11" t="s">
        <v>5648</v>
      </c>
      <c r="B2628" s="11" t="s">
        <v>5649</v>
      </c>
      <c r="C2628" s="11" t="s">
        <v>17</v>
      </c>
      <c r="D2628" s="11" t="s">
        <v>18</v>
      </c>
      <c r="E2628" s="12" t="s">
        <v>303</v>
      </c>
      <c r="F2628" s="12" t="s">
        <v>304</v>
      </c>
      <c r="G2628" s="12" t="s">
        <v>305</v>
      </c>
      <c r="H2628" s="11" t="s">
        <v>63</v>
      </c>
      <c r="I2628" s="13" t="s">
        <v>5650</v>
      </c>
      <c r="J2628" s="14" t="str">
        <f>HYPERLINK("https://www.boe.es/gazeta/dias/1839/10/06/pdfs/GMD-1839-1792.pdf#page=6","Abrir facsímil")</f>
        <v>Abrir facsímil</v>
      </c>
      <c r="K2628" s="12" t="s">
        <v>65</v>
      </c>
    </row>
    <row r="2629" spans="1:11" ht="40.049999999999997" customHeight="1" x14ac:dyDescent="0.25">
      <c r="A2629" s="11" t="s">
        <v>5651</v>
      </c>
      <c r="B2629" s="11" t="s">
        <v>5651</v>
      </c>
      <c r="C2629" s="11" t="s">
        <v>17</v>
      </c>
      <c r="D2629" s="11" t="s">
        <v>18</v>
      </c>
      <c r="E2629" s="12" t="s">
        <v>704</v>
      </c>
      <c r="F2629" s="12" t="s">
        <v>705</v>
      </c>
      <c r="G2629" s="12" t="s">
        <v>40</v>
      </c>
      <c r="H2629" s="11" t="s">
        <v>63</v>
      </c>
      <c r="I2629" s="13" t="s">
        <v>5652</v>
      </c>
      <c r="J2629" s="14" t="str">
        <f>HYPERLINK("https://www.boe.es/gazeta/dias/1839/03/02/pdfs/GMD-1839-1568.pdf#page=2","Abrir facsímil")</f>
        <v>Abrir facsímil</v>
      </c>
      <c r="K2629" s="12" t="s">
        <v>65</v>
      </c>
    </row>
    <row r="2630" spans="1:11" ht="40.049999999999997" customHeight="1" x14ac:dyDescent="0.25">
      <c r="A2630" s="11" t="s">
        <v>5653</v>
      </c>
      <c r="B2630" s="11" t="s">
        <v>5654</v>
      </c>
      <c r="C2630" s="11" t="s">
        <v>80</v>
      </c>
      <c r="D2630" s="11" t="s">
        <v>18</v>
      </c>
      <c r="E2630" s="12" t="s">
        <v>1144</v>
      </c>
      <c r="F2630" s="12" t="s">
        <v>1145</v>
      </c>
      <c r="G2630" s="12" t="s">
        <v>21</v>
      </c>
      <c r="H2630" s="11" t="s">
        <v>63</v>
      </c>
      <c r="I2630" s="13" t="s">
        <v>5655</v>
      </c>
      <c r="J2630" s="14" t="str">
        <f>HYPERLINK("https://www.boe.es/gazeta/dias/1839/08/13/pdfs/GMD-1839-1733.pdf#page=4","Abrir facsímil")</f>
        <v>Abrir facsímil</v>
      </c>
      <c r="K2630" s="12" t="s">
        <v>65</v>
      </c>
    </row>
    <row r="2631" spans="1:11" ht="40.049999999999997" customHeight="1" x14ac:dyDescent="0.25">
      <c r="A2631" s="11" t="s">
        <v>5656</v>
      </c>
      <c r="B2631" s="11" t="s">
        <v>5657</v>
      </c>
      <c r="C2631" s="11" t="s">
        <v>80</v>
      </c>
      <c r="D2631" s="11" t="s">
        <v>18</v>
      </c>
      <c r="E2631" s="12" t="s">
        <v>582</v>
      </c>
      <c r="F2631" s="12" t="s">
        <v>583</v>
      </c>
      <c r="G2631" s="12" t="s">
        <v>21</v>
      </c>
      <c r="H2631" s="11" t="s">
        <v>63</v>
      </c>
      <c r="I2631" s="13" t="s">
        <v>5658</v>
      </c>
      <c r="J2631" s="14" t="str">
        <f>HYPERLINK("https://www.boe.es/gazeta/dias/1839/11/09/pdfs/GMD-1839-1826.pdf#page=4","Abrir facsímil")</f>
        <v>Abrir facsímil</v>
      </c>
      <c r="K2631" s="12" t="s">
        <v>65</v>
      </c>
    </row>
    <row r="2632" spans="1:11" ht="40.049999999999997" customHeight="1" x14ac:dyDescent="0.25">
      <c r="A2632" s="11" t="s">
        <v>5659</v>
      </c>
      <c r="B2632" s="11" t="s">
        <v>5660</v>
      </c>
      <c r="C2632" s="11" t="s">
        <v>80</v>
      </c>
      <c r="D2632" s="11" t="s">
        <v>18</v>
      </c>
      <c r="E2632" s="12" t="s">
        <v>160</v>
      </c>
      <c r="F2632" s="12" t="s">
        <v>161</v>
      </c>
      <c r="G2632" s="12" t="s">
        <v>21</v>
      </c>
      <c r="H2632" s="11" t="s">
        <v>63</v>
      </c>
      <c r="I2632" s="13" t="s">
        <v>5661</v>
      </c>
      <c r="J2632" s="14" t="str">
        <f>HYPERLINK("https://www.boe.es/gazeta/dias/1839/01/10/pdfs/GMD-1839-1517.pdf#page=4","Abrir facsímil")</f>
        <v>Abrir facsímil</v>
      </c>
      <c r="K2632" s="12" t="s">
        <v>65</v>
      </c>
    </row>
    <row r="2633" spans="1:11" ht="40.049999999999997" customHeight="1" x14ac:dyDescent="0.25">
      <c r="A2633" s="11" t="s">
        <v>5659</v>
      </c>
      <c r="B2633" s="11" t="s">
        <v>5660</v>
      </c>
      <c r="C2633" s="11" t="s">
        <v>80</v>
      </c>
      <c r="D2633" s="11" t="s">
        <v>18</v>
      </c>
      <c r="E2633" s="12" t="s">
        <v>1703</v>
      </c>
      <c r="F2633" s="12" t="s">
        <v>1704</v>
      </c>
      <c r="G2633" s="12" t="s">
        <v>21</v>
      </c>
      <c r="H2633" s="11" t="s">
        <v>63</v>
      </c>
      <c r="I2633" s="13" t="s">
        <v>5662</v>
      </c>
      <c r="J2633" s="14" t="str">
        <f>HYPERLINK("https://www.boe.es/gazeta/dias/1839/01/21/pdfs/GMD-1839-1528.pdf#page=4","Abrir facsímil")</f>
        <v>Abrir facsímil</v>
      </c>
      <c r="K2633" s="12" t="s">
        <v>65</v>
      </c>
    </row>
    <row r="2634" spans="1:11" ht="40.049999999999997" customHeight="1" x14ac:dyDescent="0.25">
      <c r="A2634" s="11" t="s">
        <v>5659</v>
      </c>
      <c r="B2634" s="11" t="s">
        <v>5660</v>
      </c>
      <c r="C2634" s="11" t="s">
        <v>17</v>
      </c>
      <c r="D2634" s="11" t="s">
        <v>18</v>
      </c>
      <c r="E2634" s="12" t="s">
        <v>4528</v>
      </c>
      <c r="F2634" s="12" t="s">
        <v>4529</v>
      </c>
      <c r="G2634" s="12" t="s">
        <v>21</v>
      </c>
      <c r="H2634" s="11" t="s">
        <v>63</v>
      </c>
      <c r="I2634" s="13" t="s">
        <v>5663</v>
      </c>
      <c r="J2634" s="14" t="str">
        <f>HYPERLINK("https://www.boe.es/gazeta/dias/1839/01/28/pdfs/GMD-1839-1535.pdf#page=4","Abrir facsímil")</f>
        <v>Abrir facsímil</v>
      </c>
      <c r="K2634" s="12" t="s">
        <v>65</v>
      </c>
    </row>
    <row r="2635" spans="1:11" ht="40.049999999999997" customHeight="1" x14ac:dyDescent="0.25">
      <c r="A2635" s="11" t="s">
        <v>5664</v>
      </c>
      <c r="B2635" s="11" t="s">
        <v>5665</v>
      </c>
      <c r="C2635" s="11" t="s">
        <v>137</v>
      </c>
      <c r="D2635" s="11" t="s">
        <v>18</v>
      </c>
      <c r="E2635" s="12" t="s">
        <v>1179</v>
      </c>
      <c r="F2635" s="12" t="s">
        <v>1180</v>
      </c>
      <c r="G2635" s="12" t="s">
        <v>21</v>
      </c>
      <c r="H2635" s="11" t="s">
        <v>63</v>
      </c>
      <c r="I2635" s="13" t="s">
        <v>5666</v>
      </c>
      <c r="J2635" s="14" t="str">
        <f>HYPERLINK("https://www.boe.es/gazeta/dias/1839/10/18/pdfs/GMD-1839-1804.pdf#page=4","Abrir facsímil")</f>
        <v>Abrir facsímil</v>
      </c>
      <c r="K2635" s="12" t="s">
        <v>65</v>
      </c>
    </row>
    <row r="2636" spans="1:11" ht="40.049999999999997" customHeight="1" x14ac:dyDescent="0.25">
      <c r="A2636" s="11" t="s">
        <v>5667</v>
      </c>
      <c r="B2636" s="11" t="s">
        <v>5667</v>
      </c>
      <c r="C2636" s="11" t="s">
        <v>17</v>
      </c>
      <c r="D2636" s="11" t="s">
        <v>18</v>
      </c>
      <c r="E2636" s="12" t="s">
        <v>2919</v>
      </c>
      <c r="F2636" s="12" t="s">
        <v>2920</v>
      </c>
      <c r="G2636" s="12" t="s">
        <v>21</v>
      </c>
      <c r="H2636" s="11" t="s">
        <v>63</v>
      </c>
      <c r="I2636" s="13" t="s">
        <v>5668</v>
      </c>
      <c r="J2636" s="14" t="str">
        <f>HYPERLINK("https://www.boe.es/gazeta/dias/1839/11/12/pdfs/GMD-1839-1829.pdf#page=4","Abrir facsímil")</f>
        <v>Abrir facsímil</v>
      </c>
      <c r="K2636" s="12" t="s">
        <v>65</v>
      </c>
    </row>
    <row r="2637" spans="1:11" ht="40.049999999999997" customHeight="1" x14ac:dyDescent="0.25">
      <c r="A2637" s="11" t="s">
        <v>5669</v>
      </c>
      <c r="B2637" s="11" t="s">
        <v>5669</v>
      </c>
      <c r="C2637" s="11" t="s">
        <v>137</v>
      </c>
      <c r="D2637" s="11" t="s">
        <v>18</v>
      </c>
      <c r="E2637" s="12" t="s">
        <v>94</v>
      </c>
      <c r="F2637" s="12" t="s">
        <v>95</v>
      </c>
      <c r="G2637" s="12" t="s">
        <v>29</v>
      </c>
      <c r="H2637" s="11" t="s">
        <v>63</v>
      </c>
      <c r="I2637" s="13" t="s">
        <v>5670</v>
      </c>
      <c r="J2637" s="14" t="str">
        <f>HYPERLINK("https://www.boe.es/gazeta/dias/1839/02/24/pdfs/GMD-1839-1562.pdf#page=1","Abrir facsímil")</f>
        <v>Abrir facsímil</v>
      </c>
      <c r="K2637" s="12" t="s">
        <v>65</v>
      </c>
    </row>
    <row r="2638" spans="1:11" ht="40.049999999999997" customHeight="1" x14ac:dyDescent="0.25">
      <c r="A2638" s="11" t="s">
        <v>5671</v>
      </c>
      <c r="B2638" s="11" t="s">
        <v>5671</v>
      </c>
      <c r="C2638" s="11" t="s">
        <v>17</v>
      </c>
      <c r="D2638" s="11" t="s">
        <v>18</v>
      </c>
      <c r="E2638" s="12" t="s">
        <v>513</v>
      </c>
      <c r="F2638" s="12" t="s">
        <v>514</v>
      </c>
      <c r="G2638" s="12" t="s">
        <v>40</v>
      </c>
      <c r="H2638" s="11" t="s">
        <v>63</v>
      </c>
      <c r="I2638" s="13" t="s">
        <v>5672</v>
      </c>
      <c r="J2638" s="14" t="str">
        <f>HYPERLINK("https://www.boe.es/gazeta/dias/1839/03/17/pdfs/GMD-1839-1583.pdf#page=2","Abrir facsímil")</f>
        <v>Abrir facsímil</v>
      </c>
      <c r="K2638" s="12" t="s">
        <v>65</v>
      </c>
    </row>
    <row r="2639" spans="1:11" ht="40.049999999999997" customHeight="1" x14ac:dyDescent="0.25">
      <c r="A2639" s="11" t="s">
        <v>5673</v>
      </c>
      <c r="B2639" s="11" t="s">
        <v>5673</v>
      </c>
      <c r="C2639" s="11" t="s">
        <v>137</v>
      </c>
      <c r="D2639" s="11" t="s">
        <v>18</v>
      </c>
      <c r="E2639" s="12" t="s">
        <v>1479</v>
      </c>
      <c r="F2639" s="12" t="s">
        <v>1480</v>
      </c>
      <c r="G2639" s="12" t="s">
        <v>40</v>
      </c>
      <c r="H2639" s="11" t="s">
        <v>63</v>
      </c>
      <c r="I2639" s="13" t="s">
        <v>5674</v>
      </c>
      <c r="J2639" s="14" t="str">
        <f>HYPERLINK("https://www.boe.es/gazeta/dias/1839/04/09/pdfs/GMD-1839-1606.pdf#page=2","Abrir facsímil")</f>
        <v>Abrir facsímil</v>
      </c>
      <c r="K2639" s="12" t="s">
        <v>65</v>
      </c>
    </row>
    <row r="2640" spans="1:11" ht="40.049999999999997" customHeight="1" x14ac:dyDescent="0.25">
      <c r="A2640" s="11" t="s">
        <v>5675</v>
      </c>
      <c r="B2640" s="11" t="s">
        <v>5676</v>
      </c>
      <c r="C2640" s="11" t="s">
        <v>137</v>
      </c>
      <c r="D2640" s="11" t="s">
        <v>18</v>
      </c>
      <c r="E2640" s="12" t="s">
        <v>138</v>
      </c>
      <c r="F2640" s="12" t="s">
        <v>139</v>
      </c>
      <c r="G2640" s="12" t="s">
        <v>21</v>
      </c>
      <c r="H2640" s="11" t="s">
        <v>63</v>
      </c>
      <c r="I2640" s="13" t="s">
        <v>5677</v>
      </c>
      <c r="J2640" s="14" t="str">
        <f>HYPERLINK("https://www.boe.es/gazeta/dias/1839/10/09/pdfs/GMD-1839-1795.pdf#page=4","Abrir facsímil")</f>
        <v>Abrir facsímil</v>
      </c>
      <c r="K2640" s="12" t="s">
        <v>65</v>
      </c>
    </row>
    <row r="2641" spans="1:11" ht="40.049999999999997" customHeight="1" x14ac:dyDescent="0.25">
      <c r="A2641" s="11" t="s">
        <v>5678</v>
      </c>
      <c r="B2641" s="11" t="s">
        <v>5679</v>
      </c>
      <c r="C2641" s="11" t="s">
        <v>17</v>
      </c>
      <c r="D2641" s="11" t="s">
        <v>18</v>
      </c>
      <c r="E2641" s="12" t="s">
        <v>775</v>
      </c>
      <c r="F2641" s="12" t="s">
        <v>776</v>
      </c>
      <c r="G2641" s="12" t="s">
        <v>29</v>
      </c>
      <c r="H2641" s="11" t="s">
        <v>63</v>
      </c>
      <c r="I2641" s="13" t="s">
        <v>5680</v>
      </c>
      <c r="J2641" s="14" t="str">
        <f>HYPERLINK("https://www.boe.es/gazeta/dias/1839/02/25/pdfs/GMD-1839-1563.pdf#page=1","Abrir facsímil")</f>
        <v>Abrir facsímil</v>
      </c>
      <c r="K2641" s="12" t="s">
        <v>65</v>
      </c>
    </row>
    <row r="2642" spans="1:11" ht="40.049999999999997" customHeight="1" x14ac:dyDescent="0.25">
      <c r="A2642" s="11" t="s">
        <v>5681</v>
      </c>
      <c r="B2642" s="11" t="s">
        <v>5682</v>
      </c>
      <c r="C2642" s="11" t="s">
        <v>80</v>
      </c>
      <c r="D2642" s="11" t="s">
        <v>18</v>
      </c>
      <c r="E2642" s="12" t="s">
        <v>258</v>
      </c>
      <c r="F2642" s="12" t="s">
        <v>259</v>
      </c>
      <c r="G2642" s="12" t="s">
        <v>29</v>
      </c>
      <c r="H2642" s="11" t="s">
        <v>63</v>
      </c>
      <c r="I2642" s="13" t="s">
        <v>5683</v>
      </c>
      <c r="J2642" s="14" t="str">
        <f>HYPERLINK("https://www.boe.es/gazeta/dias/1839/01/02/pdfs/GMD-1839-1509.pdf#page=1","Abrir facsímil")</f>
        <v>Abrir facsímil</v>
      </c>
      <c r="K2642" s="12" t="s">
        <v>65</v>
      </c>
    </row>
    <row r="2643" spans="1:11" ht="40.049999999999997" customHeight="1" x14ac:dyDescent="0.25">
      <c r="A2643" s="11" t="s">
        <v>5684</v>
      </c>
      <c r="B2643" s="11" t="s">
        <v>5685</v>
      </c>
      <c r="C2643" s="11" t="s">
        <v>80</v>
      </c>
      <c r="D2643" s="11" t="s">
        <v>173</v>
      </c>
      <c r="E2643" s="12" t="s">
        <v>946</v>
      </c>
      <c r="F2643" s="12" t="s">
        <v>947</v>
      </c>
      <c r="G2643" s="12" t="s">
        <v>21</v>
      </c>
      <c r="H2643" s="11" t="s">
        <v>63</v>
      </c>
      <c r="I2643" s="13" t="s">
        <v>5686</v>
      </c>
      <c r="J2643" s="14" t="str">
        <f>HYPERLINK("https://www.boe.es/gazeta/dias/1839/04/15/pdfs/GMD-1839-1612.pdf#page=4","Abrir facsímil")</f>
        <v>Abrir facsímil</v>
      </c>
      <c r="K2643" s="12" t="s">
        <v>65</v>
      </c>
    </row>
    <row r="2644" spans="1:11" ht="40.049999999999997" customHeight="1" x14ac:dyDescent="0.25">
      <c r="A2644" s="11" t="s">
        <v>5684</v>
      </c>
      <c r="B2644" s="11" t="s">
        <v>5685</v>
      </c>
      <c r="C2644" s="11" t="s">
        <v>59</v>
      </c>
      <c r="D2644" s="11" t="s">
        <v>60</v>
      </c>
      <c r="E2644" s="12" t="s">
        <v>870</v>
      </c>
      <c r="F2644" s="12" t="s">
        <v>871</v>
      </c>
      <c r="G2644" s="12" t="s">
        <v>21</v>
      </c>
      <c r="H2644" s="11" t="s">
        <v>63</v>
      </c>
      <c r="I2644" s="13" t="s">
        <v>5687</v>
      </c>
      <c r="J2644" s="14" t="str">
        <f>HYPERLINK("https://www.boe.es/gazeta/dias/1839/04/18/pdfs/GMD-1839-1615.pdf#page=4","Abrir facsímil")</f>
        <v>Abrir facsímil</v>
      </c>
      <c r="K2644" s="12" t="s">
        <v>65</v>
      </c>
    </row>
    <row r="2645" spans="1:11" ht="40.049999999999997" customHeight="1" x14ac:dyDescent="0.25">
      <c r="A2645" s="11" t="s">
        <v>5688</v>
      </c>
      <c r="B2645" s="11" t="s">
        <v>5688</v>
      </c>
      <c r="C2645" s="11" t="s">
        <v>17</v>
      </c>
      <c r="D2645" s="11" t="s">
        <v>18</v>
      </c>
      <c r="E2645" s="12" t="s">
        <v>4528</v>
      </c>
      <c r="F2645" s="12" t="s">
        <v>4529</v>
      </c>
      <c r="G2645" s="12" t="s">
        <v>46</v>
      </c>
      <c r="H2645" s="11" t="s">
        <v>63</v>
      </c>
      <c r="I2645" s="13" t="s">
        <v>5689</v>
      </c>
      <c r="J2645" s="14" t="str">
        <f>HYPERLINK("https://www.boe.es/gazeta/dias/1839/01/28/pdfs/GMD-1839-1535.pdf#page=3","Abrir facsímil")</f>
        <v>Abrir facsímil</v>
      </c>
      <c r="K2645" s="12" t="s">
        <v>65</v>
      </c>
    </row>
    <row r="2646" spans="1:11" ht="40.049999999999997" customHeight="1" x14ac:dyDescent="0.25">
      <c r="A2646" s="11" t="s">
        <v>5690</v>
      </c>
      <c r="B2646" s="11" t="s">
        <v>5691</v>
      </c>
      <c r="C2646" s="11" t="s">
        <v>80</v>
      </c>
      <c r="D2646" s="11" t="s">
        <v>18</v>
      </c>
      <c r="E2646" s="12" t="s">
        <v>951</v>
      </c>
      <c r="F2646" s="12" t="s">
        <v>952</v>
      </c>
      <c r="G2646" s="12" t="s">
        <v>46</v>
      </c>
      <c r="H2646" s="11" t="s">
        <v>63</v>
      </c>
      <c r="I2646" s="13" t="s">
        <v>5692</v>
      </c>
      <c r="J2646" s="14" t="str">
        <f>HYPERLINK("https://www.boe.es/gazeta/dias/1839/12/30/pdfs/GMD-1839-1877.pdf#page=3","Abrir facsímil")</f>
        <v>Abrir facsímil</v>
      </c>
      <c r="K2646" s="12" t="s">
        <v>65</v>
      </c>
    </row>
    <row r="2647" spans="1:11" ht="40.049999999999997" customHeight="1" x14ac:dyDescent="0.25">
      <c r="A2647" s="11" t="s">
        <v>5693</v>
      </c>
      <c r="B2647" s="11" t="s">
        <v>5694</v>
      </c>
      <c r="C2647" s="11" t="s">
        <v>17</v>
      </c>
      <c r="D2647" s="11" t="s">
        <v>43</v>
      </c>
      <c r="E2647" s="12" t="s">
        <v>192</v>
      </c>
      <c r="F2647" s="12" t="s">
        <v>193</v>
      </c>
      <c r="G2647" s="12" t="s">
        <v>29</v>
      </c>
      <c r="H2647" s="11" t="s">
        <v>63</v>
      </c>
      <c r="I2647" s="13" t="s">
        <v>5695</v>
      </c>
      <c r="J2647" s="14" t="str">
        <f>HYPERLINK("https://www.boe.es/gazeta/dias/1839/01/12/pdfs/GMD-1839-1519.pdf#page=1","Abrir facsímil")</f>
        <v>Abrir facsímil</v>
      </c>
      <c r="K2647" s="12" t="s">
        <v>65</v>
      </c>
    </row>
    <row r="2648" spans="1:11" ht="40.049999999999997" customHeight="1" x14ac:dyDescent="0.25">
      <c r="A2648" s="11" t="s">
        <v>5693</v>
      </c>
      <c r="B2648" s="11" t="s">
        <v>5694</v>
      </c>
      <c r="C2648" s="11" t="s">
        <v>17</v>
      </c>
      <c r="D2648" s="11" t="s">
        <v>43</v>
      </c>
      <c r="E2648" s="12" t="s">
        <v>1086</v>
      </c>
      <c r="F2648" s="12" t="s">
        <v>1087</v>
      </c>
      <c r="G2648" s="12" t="s">
        <v>29</v>
      </c>
      <c r="H2648" s="11" t="s">
        <v>63</v>
      </c>
      <c r="I2648" s="13" t="s">
        <v>5696</v>
      </c>
      <c r="J2648" s="14" t="str">
        <f>HYPERLINK("https://www.boe.es/gazeta/dias/1839/10/26/pdfs/GMD-1839-1812.pdf#page=1","Abrir facsímil")</f>
        <v>Abrir facsímil</v>
      </c>
      <c r="K2648" s="12" t="s">
        <v>65</v>
      </c>
    </row>
    <row r="2649" spans="1:11" ht="40.049999999999997" customHeight="1" x14ac:dyDescent="0.25">
      <c r="A2649" s="11" t="s">
        <v>5693</v>
      </c>
      <c r="B2649" s="11" t="s">
        <v>5694</v>
      </c>
      <c r="C2649" s="11" t="s">
        <v>17</v>
      </c>
      <c r="D2649" s="11" t="s">
        <v>43</v>
      </c>
      <c r="E2649" s="12" t="s">
        <v>929</v>
      </c>
      <c r="F2649" s="12" t="s">
        <v>930</v>
      </c>
      <c r="G2649" s="12" t="s">
        <v>29</v>
      </c>
      <c r="H2649" s="11" t="s">
        <v>63</v>
      </c>
      <c r="I2649" s="13" t="s">
        <v>5697</v>
      </c>
      <c r="J2649" s="14" t="str">
        <f>HYPERLINK("https://www.boe.es/gazeta/dias/1839/01/31/pdfs/GMD-1839-1538.pdf#page=1","Abrir facsímil")</f>
        <v>Abrir facsímil</v>
      </c>
      <c r="K2649" s="12" t="s">
        <v>65</v>
      </c>
    </row>
    <row r="2650" spans="1:11" ht="40.049999999999997" customHeight="1" x14ac:dyDescent="0.25">
      <c r="A2650" s="11" t="s">
        <v>5698</v>
      </c>
      <c r="B2650" s="11" t="s">
        <v>5698</v>
      </c>
      <c r="C2650" s="11" t="s">
        <v>17</v>
      </c>
      <c r="D2650" s="11" t="s">
        <v>18</v>
      </c>
      <c r="E2650" s="12" t="s">
        <v>405</v>
      </c>
      <c r="F2650" s="12" t="s">
        <v>406</v>
      </c>
      <c r="G2650" s="12" t="s">
        <v>29</v>
      </c>
      <c r="H2650" s="11" t="s">
        <v>63</v>
      </c>
      <c r="I2650" s="13" t="s">
        <v>5699</v>
      </c>
      <c r="J2650" s="14" t="str">
        <f>HYPERLINK("https://www.boe.es/gazeta/dias/1839/03/25/pdfs/GMD-1839-1591.pdf#page=1","Abrir facsímil")</f>
        <v>Abrir facsímil</v>
      </c>
      <c r="K2650" s="12" t="s">
        <v>65</v>
      </c>
    </row>
    <row r="2651" spans="1:11" ht="40.049999999999997" customHeight="1" x14ac:dyDescent="0.25">
      <c r="A2651" s="11" t="s">
        <v>5700</v>
      </c>
      <c r="B2651" s="11" t="s">
        <v>5700</v>
      </c>
      <c r="C2651" s="11" t="s">
        <v>17</v>
      </c>
      <c r="D2651" s="11" t="s">
        <v>18</v>
      </c>
      <c r="E2651" s="12" t="s">
        <v>405</v>
      </c>
      <c r="F2651" s="12" t="s">
        <v>406</v>
      </c>
      <c r="G2651" s="12" t="s">
        <v>29</v>
      </c>
      <c r="H2651" s="11" t="s">
        <v>63</v>
      </c>
      <c r="I2651" s="13" t="s">
        <v>5701</v>
      </c>
      <c r="J2651" s="14" t="str">
        <f>HYPERLINK("https://www.boe.es/gazeta/dias/1839/03/25/pdfs/GMD-1839-1591.pdf#page=1","Abrir facsímil")</f>
        <v>Abrir facsímil</v>
      </c>
      <c r="K2651" s="12" t="s">
        <v>65</v>
      </c>
    </row>
    <row r="2652" spans="1:11" ht="40.049999999999997" customHeight="1" x14ac:dyDescent="0.25">
      <c r="A2652" s="11" t="s">
        <v>5702</v>
      </c>
      <c r="B2652" s="11" t="s">
        <v>5703</v>
      </c>
      <c r="C2652" s="11" t="s">
        <v>137</v>
      </c>
      <c r="D2652" s="11" t="s">
        <v>18</v>
      </c>
      <c r="E2652" s="12" t="s">
        <v>138</v>
      </c>
      <c r="F2652" s="12" t="s">
        <v>139</v>
      </c>
      <c r="G2652" s="12" t="s">
        <v>46</v>
      </c>
      <c r="H2652" s="11" t="s">
        <v>63</v>
      </c>
      <c r="I2652" s="13" t="s">
        <v>5704</v>
      </c>
      <c r="J2652" s="14" t="str">
        <f>HYPERLINK("https://www.boe.es/gazeta/dias/1839/10/09/pdfs/GMD-1839-1795.pdf#page=3","Abrir facsímil")</f>
        <v>Abrir facsímil</v>
      </c>
      <c r="K2652" s="12" t="s">
        <v>65</v>
      </c>
    </row>
    <row r="2653" spans="1:11" ht="40.049999999999997" customHeight="1" x14ac:dyDescent="0.25">
      <c r="A2653" s="11" t="s">
        <v>5702</v>
      </c>
      <c r="B2653" s="11" t="s">
        <v>5703</v>
      </c>
      <c r="C2653" s="11" t="s">
        <v>101</v>
      </c>
      <c r="D2653" s="11" t="s">
        <v>43</v>
      </c>
      <c r="E2653" s="12" t="s">
        <v>233</v>
      </c>
      <c r="F2653" s="12" t="s">
        <v>234</v>
      </c>
      <c r="G2653" s="12" t="s">
        <v>46</v>
      </c>
      <c r="H2653" s="11" t="s">
        <v>63</v>
      </c>
      <c r="I2653" s="13" t="s">
        <v>5705</v>
      </c>
      <c r="J2653" s="14" t="str">
        <f>HYPERLINK("https://www.boe.es/gazeta/dias/1839/09/17/pdfs/GMD-1839-1770.pdf#page=3","Abrir facsímil")</f>
        <v>Abrir facsímil</v>
      </c>
      <c r="K2653" s="12" t="s">
        <v>65</v>
      </c>
    </row>
    <row r="2654" spans="1:11" ht="40.049999999999997" customHeight="1" x14ac:dyDescent="0.25">
      <c r="A2654" s="11" t="s">
        <v>5702</v>
      </c>
      <c r="B2654" s="11" t="s">
        <v>5703</v>
      </c>
      <c r="C2654" s="11" t="s">
        <v>101</v>
      </c>
      <c r="D2654" s="11" t="s">
        <v>43</v>
      </c>
      <c r="E2654" s="12" t="s">
        <v>601</v>
      </c>
      <c r="F2654" s="12" t="s">
        <v>602</v>
      </c>
      <c r="G2654" s="12" t="s">
        <v>21</v>
      </c>
      <c r="H2654" s="11" t="s">
        <v>63</v>
      </c>
      <c r="I2654" s="13" t="s">
        <v>5706</v>
      </c>
      <c r="J2654" s="14" t="str">
        <f>HYPERLINK("https://www.boe.es/gazeta/dias/1839/04/21/pdfs/GMD-1839-1618.pdf#page=4","Abrir facsímil")</f>
        <v>Abrir facsímil</v>
      </c>
      <c r="K2654" s="12" t="s">
        <v>65</v>
      </c>
    </row>
    <row r="2655" spans="1:11" ht="40.049999999999997" customHeight="1" x14ac:dyDescent="0.25">
      <c r="A2655" s="11" t="s">
        <v>5702</v>
      </c>
      <c r="B2655" s="11" t="s">
        <v>5703</v>
      </c>
      <c r="C2655" s="11" t="s">
        <v>17</v>
      </c>
      <c r="D2655" s="11" t="s">
        <v>18</v>
      </c>
      <c r="E2655" s="12" t="s">
        <v>1149</v>
      </c>
      <c r="F2655" s="12" t="s">
        <v>1150</v>
      </c>
      <c r="G2655" s="12" t="s">
        <v>21</v>
      </c>
      <c r="H2655" s="11" t="s">
        <v>63</v>
      </c>
      <c r="I2655" s="13" t="s">
        <v>5707</v>
      </c>
      <c r="J2655" s="14" t="str">
        <f>HYPERLINK("https://www.boe.es/gazeta/dias/1839/06/25/pdfs/GMD-1839-1683.pdf#page=4","Abrir facsímil")</f>
        <v>Abrir facsímil</v>
      </c>
      <c r="K2655" s="12" t="s">
        <v>65</v>
      </c>
    </row>
    <row r="2656" spans="1:11" ht="40.049999999999997" customHeight="1" x14ac:dyDescent="0.25">
      <c r="A2656" s="11" t="s">
        <v>5708</v>
      </c>
      <c r="B2656" s="11" t="s">
        <v>5708</v>
      </c>
      <c r="C2656" s="11" t="s">
        <v>17</v>
      </c>
      <c r="D2656" s="11" t="s">
        <v>18</v>
      </c>
      <c r="E2656" s="12" t="s">
        <v>700</v>
      </c>
      <c r="F2656" s="12" t="s">
        <v>701</v>
      </c>
      <c r="G2656" s="12" t="s">
        <v>40</v>
      </c>
      <c r="H2656" s="11" t="s">
        <v>63</v>
      </c>
      <c r="I2656" s="13" t="s">
        <v>5709</v>
      </c>
      <c r="J2656" s="14" t="str">
        <f>HYPERLINK("https://www.boe.es/gazeta/dias/1839/09/01/pdfs/GMD-1839-1753.pdf#page=2","Abrir facsímil")</f>
        <v>Abrir facsímil</v>
      </c>
      <c r="K2656" s="12" t="s">
        <v>65</v>
      </c>
    </row>
    <row r="2657" spans="1:11" ht="40.049999999999997" customHeight="1" x14ac:dyDescent="0.25">
      <c r="A2657" s="11" t="s">
        <v>5708</v>
      </c>
      <c r="B2657" s="11" t="s">
        <v>5708</v>
      </c>
      <c r="C2657" s="11" t="s">
        <v>17</v>
      </c>
      <c r="D2657" s="11" t="s">
        <v>18</v>
      </c>
      <c r="E2657" s="12" t="s">
        <v>907</v>
      </c>
      <c r="F2657" s="12" t="s">
        <v>908</v>
      </c>
      <c r="G2657" s="12" t="s">
        <v>21</v>
      </c>
      <c r="H2657" s="11" t="s">
        <v>63</v>
      </c>
      <c r="I2657" s="13" t="s">
        <v>5710</v>
      </c>
      <c r="J2657" s="14" t="str">
        <f>HYPERLINK("https://www.boe.es/gazeta/dias/1839/07/31/pdfs/GMD-1839-1720.pdf#page=4","Abrir facsímil")</f>
        <v>Abrir facsímil</v>
      </c>
      <c r="K2657" s="12" t="s">
        <v>65</v>
      </c>
    </row>
    <row r="2658" spans="1:11" ht="40.049999999999997" customHeight="1" x14ac:dyDescent="0.25">
      <c r="A2658" s="11" t="s">
        <v>5711</v>
      </c>
      <c r="B2658" s="11" t="s">
        <v>5711</v>
      </c>
      <c r="C2658" s="11" t="s">
        <v>59</v>
      </c>
      <c r="D2658" s="11" t="s">
        <v>60</v>
      </c>
      <c r="E2658" s="12" t="s">
        <v>2210</v>
      </c>
      <c r="F2658" s="12" t="s">
        <v>2211</v>
      </c>
      <c r="G2658" s="12" t="s">
        <v>46</v>
      </c>
      <c r="H2658" s="11" t="s">
        <v>63</v>
      </c>
      <c r="I2658" s="13" t="s">
        <v>5712</v>
      </c>
      <c r="J2658" s="14" t="str">
        <f>HYPERLINK("https://www.boe.es/gazeta/dias/1839/09/05/pdfs/GMD-1839-1758.pdf#page=3","Abrir facsímil")</f>
        <v>Abrir facsímil</v>
      </c>
      <c r="K2658" s="12" t="s">
        <v>65</v>
      </c>
    </row>
    <row r="2659" spans="1:11" ht="40.049999999999997" customHeight="1" x14ac:dyDescent="0.25">
      <c r="A2659" s="11" t="s">
        <v>5711</v>
      </c>
      <c r="B2659" s="11" t="s">
        <v>5711</v>
      </c>
      <c r="C2659" s="11" t="s">
        <v>17</v>
      </c>
      <c r="D2659" s="11" t="s">
        <v>18</v>
      </c>
      <c r="E2659" s="12" t="s">
        <v>1772</v>
      </c>
      <c r="F2659" s="12" t="s">
        <v>1773</v>
      </c>
      <c r="G2659" s="12" t="s">
        <v>29</v>
      </c>
      <c r="H2659" s="11" t="s">
        <v>63</v>
      </c>
      <c r="I2659" s="13" t="s">
        <v>5713</v>
      </c>
      <c r="J2659" s="14" t="str">
        <f>HYPERLINK("https://www.boe.es/gazeta/dias/1839/05/07/pdfs/GMD-1839-1634.pdf#page=1","Abrir facsímil")</f>
        <v>Abrir facsímil</v>
      </c>
      <c r="K2659" s="12" t="s">
        <v>65</v>
      </c>
    </row>
    <row r="2660" spans="1:11" ht="40.049999999999997" customHeight="1" x14ac:dyDescent="0.25">
      <c r="A2660" s="11" t="s">
        <v>5714</v>
      </c>
      <c r="B2660" s="11" t="s">
        <v>5714</v>
      </c>
      <c r="C2660" s="11" t="s">
        <v>17</v>
      </c>
      <c r="D2660" s="11" t="s">
        <v>18</v>
      </c>
      <c r="E2660" s="12" t="s">
        <v>4047</v>
      </c>
      <c r="F2660" s="12" t="s">
        <v>4048</v>
      </c>
      <c r="G2660" s="12" t="s">
        <v>40</v>
      </c>
      <c r="H2660" s="11" t="s">
        <v>63</v>
      </c>
      <c r="I2660" s="13" t="s">
        <v>5715</v>
      </c>
      <c r="J2660" s="14" t="str">
        <f>HYPERLINK("https://www.boe.es/gazeta/dias/1839/03/26/pdfs/GMD-1839-1592.pdf#page=2","Abrir facsímil")</f>
        <v>Abrir facsímil</v>
      </c>
      <c r="K2660" s="12" t="s">
        <v>65</v>
      </c>
    </row>
    <row r="2661" spans="1:11" ht="40.049999999999997" customHeight="1" x14ac:dyDescent="0.25">
      <c r="A2661" s="11" t="s">
        <v>5716</v>
      </c>
      <c r="B2661" s="11" t="s">
        <v>5716</v>
      </c>
      <c r="C2661" s="11" t="s">
        <v>17</v>
      </c>
      <c r="D2661" s="11" t="s">
        <v>18</v>
      </c>
      <c r="E2661" s="12" t="s">
        <v>84</v>
      </c>
      <c r="F2661" s="12" t="s">
        <v>85</v>
      </c>
      <c r="G2661" s="12" t="s">
        <v>40</v>
      </c>
      <c r="H2661" s="11" t="s">
        <v>63</v>
      </c>
      <c r="I2661" s="13" t="s">
        <v>5717</v>
      </c>
      <c r="J2661" s="14" t="str">
        <f>HYPERLINK("https://www.boe.es/gazeta/dias/1839/03/11/pdfs/GMD-1839-1577.pdf#page=2","Abrir facsímil")</f>
        <v>Abrir facsímil</v>
      </c>
      <c r="K2661" s="12" t="s">
        <v>65</v>
      </c>
    </row>
    <row r="2662" spans="1:11" ht="40.049999999999997" customHeight="1" x14ac:dyDescent="0.25">
      <c r="A2662" s="11" t="s">
        <v>5716</v>
      </c>
      <c r="B2662" s="11" t="s">
        <v>5716</v>
      </c>
      <c r="C2662" s="11" t="s">
        <v>101</v>
      </c>
      <c r="D2662" s="11" t="s">
        <v>43</v>
      </c>
      <c r="E2662" s="12" t="s">
        <v>1779</v>
      </c>
      <c r="F2662" s="12" t="s">
        <v>1780</v>
      </c>
      <c r="G2662" s="12" t="s">
        <v>40</v>
      </c>
      <c r="H2662" s="11" t="s">
        <v>63</v>
      </c>
      <c r="I2662" s="13" t="s">
        <v>5718</v>
      </c>
      <c r="J2662" s="14" t="str">
        <f>HYPERLINK("https://www.boe.es/gazeta/dias/1839/03/18/pdfs/GMD-1839-1584.pdf#page=2","Abrir facsímil")</f>
        <v>Abrir facsímil</v>
      </c>
      <c r="K2662" s="12" t="s">
        <v>65</v>
      </c>
    </row>
    <row r="2663" spans="1:11" ht="40.049999999999997" customHeight="1" x14ac:dyDescent="0.25">
      <c r="A2663" s="11" t="s">
        <v>5716</v>
      </c>
      <c r="B2663" s="11" t="s">
        <v>5716</v>
      </c>
      <c r="C2663" s="11" t="s">
        <v>101</v>
      </c>
      <c r="D2663" s="11" t="s">
        <v>43</v>
      </c>
      <c r="E2663" s="12" t="s">
        <v>4108</v>
      </c>
      <c r="F2663" s="12" t="s">
        <v>4109</v>
      </c>
      <c r="G2663" s="12" t="s">
        <v>40</v>
      </c>
      <c r="H2663" s="11" t="s">
        <v>63</v>
      </c>
      <c r="I2663" s="13" t="s">
        <v>5719</v>
      </c>
      <c r="J2663" s="14" t="str">
        <f>HYPERLINK("https://www.boe.es/gazeta/dias/1839/03/23/pdfs/GMD-1839-1589.pdf#page=2","Abrir facsímil")</f>
        <v>Abrir facsímil</v>
      </c>
      <c r="K2663" s="12" t="s">
        <v>65</v>
      </c>
    </row>
    <row r="2664" spans="1:11" ht="40.049999999999997" customHeight="1" x14ac:dyDescent="0.25">
      <c r="A2664" s="11" t="s">
        <v>5716</v>
      </c>
      <c r="B2664" s="11" t="s">
        <v>5716</v>
      </c>
      <c r="C2664" s="11" t="s">
        <v>17</v>
      </c>
      <c r="D2664" s="11" t="s">
        <v>18</v>
      </c>
      <c r="E2664" s="12" t="s">
        <v>1685</v>
      </c>
      <c r="F2664" s="12" t="s">
        <v>1686</v>
      </c>
      <c r="G2664" s="12" t="s">
        <v>40</v>
      </c>
      <c r="H2664" s="11" t="s">
        <v>63</v>
      </c>
      <c r="I2664" s="13" t="s">
        <v>5720</v>
      </c>
      <c r="J2664" s="14" t="str">
        <f>HYPERLINK("https://www.boe.es/gazeta/dias/1839/04/27/pdfs/GMD-1839-1624.pdf#page=2","Abrir facsímil")</f>
        <v>Abrir facsímil</v>
      </c>
      <c r="K2664" s="12" t="s">
        <v>65</v>
      </c>
    </row>
    <row r="2665" spans="1:11" ht="40.049999999999997" customHeight="1" x14ac:dyDescent="0.25">
      <c r="A2665" s="11" t="s">
        <v>5721</v>
      </c>
      <c r="B2665" s="11" t="s">
        <v>5722</v>
      </c>
      <c r="C2665" s="11" t="s">
        <v>17</v>
      </c>
      <c r="D2665" s="11" t="s">
        <v>18</v>
      </c>
      <c r="E2665" s="12" t="s">
        <v>713</v>
      </c>
      <c r="F2665" s="12" t="s">
        <v>714</v>
      </c>
      <c r="G2665" s="12" t="s">
        <v>46</v>
      </c>
      <c r="H2665" s="11" t="s">
        <v>63</v>
      </c>
      <c r="I2665" s="13" t="s">
        <v>5723</v>
      </c>
      <c r="J2665" s="14" t="str">
        <f>HYPERLINK("https://www.boe.es/gazeta/dias/1839/12/18/pdfs/GMD-1839-1865.pdf#page=3","Abrir facsímil")</f>
        <v>Abrir facsímil</v>
      </c>
      <c r="K2665" s="12" t="s">
        <v>65</v>
      </c>
    </row>
    <row r="2666" spans="1:11" ht="40.049999999999997" customHeight="1" x14ac:dyDescent="0.25">
      <c r="A2666" s="11" t="s">
        <v>5724</v>
      </c>
      <c r="B2666" s="11" t="s">
        <v>5725</v>
      </c>
      <c r="C2666" s="11" t="s">
        <v>101</v>
      </c>
      <c r="D2666" s="11" t="s">
        <v>43</v>
      </c>
      <c r="E2666" s="12" t="s">
        <v>2962</v>
      </c>
      <c r="F2666" s="12" t="s">
        <v>2963</v>
      </c>
      <c r="G2666" s="12" t="s">
        <v>21</v>
      </c>
      <c r="H2666" s="11" t="s">
        <v>63</v>
      </c>
      <c r="I2666" s="13" t="s">
        <v>5726</v>
      </c>
      <c r="J2666" s="14" t="str">
        <f>HYPERLINK("https://www.boe.es/gazeta/dias/1839/12/21/pdfs/GMD-1839-1868.pdf#page=4","Abrir facsímil")</f>
        <v>Abrir facsímil</v>
      </c>
      <c r="K2666" s="12" t="s">
        <v>65</v>
      </c>
    </row>
    <row r="2667" spans="1:11" ht="40.049999999999997" customHeight="1" x14ac:dyDescent="0.25">
      <c r="A2667" s="11" t="s">
        <v>5727</v>
      </c>
      <c r="B2667" s="11" t="s">
        <v>5727</v>
      </c>
      <c r="C2667" s="11" t="s">
        <v>59</v>
      </c>
      <c r="D2667" s="11" t="s">
        <v>60</v>
      </c>
      <c r="E2667" s="12" t="s">
        <v>212</v>
      </c>
      <c r="F2667" s="12" t="s">
        <v>213</v>
      </c>
      <c r="G2667" s="12" t="s">
        <v>40</v>
      </c>
      <c r="H2667" s="11" t="s">
        <v>63</v>
      </c>
      <c r="I2667" s="13" t="s">
        <v>5728</v>
      </c>
      <c r="J2667" s="14" t="str">
        <f>HYPERLINK("https://www.boe.es/gazeta/dias/1839/10/03/pdfs/GMD-1839-1789.pdf#page=2","Abrir facsímil")</f>
        <v>Abrir facsímil</v>
      </c>
      <c r="K2667" s="12" t="s">
        <v>65</v>
      </c>
    </row>
    <row r="2668" spans="1:11" ht="40.049999999999997" customHeight="1" x14ac:dyDescent="0.25">
      <c r="A2668" s="11" t="s">
        <v>5729</v>
      </c>
      <c r="B2668" s="11" t="s">
        <v>5730</v>
      </c>
      <c r="C2668" s="11" t="s">
        <v>17</v>
      </c>
      <c r="D2668" s="11" t="s">
        <v>18</v>
      </c>
      <c r="E2668" s="12" t="s">
        <v>246</v>
      </c>
      <c r="F2668" s="12" t="s">
        <v>247</v>
      </c>
      <c r="G2668" s="12" t="s">
        <v>21</v>
      </c>
      <c r="H2668" s="11" t="s">
        <v>63</v>
      </c>
      <c r="I2668" s="13" t="s">
        <v>5731</v>
      </c>
      <c r="J2668" s="14" t="str">
        <f>HYPERLINK("https://www.boe.es/gazeta/dias/1839/11/24/pdfs/GMD-1839-1841.pdf#page=4","Abrir facsímil")</f>
        <v>Abrir facsímil</v>
      </c>
      <c r="K2668" s="12" t="s">
        <v>65</v>
      </c>
    </row>
    <row r="2669" spans="1:11" ht="40.049999999999997" customHeight="1" x14ac:dyDescent="0.25">
      <c r="A2669" s="11" t="s">
        <v>5732</v>
      </c>
      <c r="B2669" s="11" t="s">
        <v>5733</v>
      </c>
      <c r="C2669" s="11" t="s">
        <v>17</v>
      </c>
      <c r="D2669" s="11" t="s">
        <v>18</v>
      </c>
      <c r="E2669" s="12" t="s">
        <v>44</v>
      </c>
      <c r="F2669" s="12" t="s">
        <v>45</v>
      </c>
      <c r="G2669" s="12" t="s">
        <v>46</v>
      </c>
      <c r="H2669" s="11" t="s">
        <v>63</v>
      </c>
      <c r="I2669" s="13" t="s">
        <v>5734</v>
      </c>
      <c r="J2669" s="14" t="str">
        <f>HYPERLINK("https://www.boe.es/gazeta/dias/1839/11/15/pdfs/GMD-1839-1832.pdf#page=3","Abrir facsímil")</f>
        <v>Abrir facsímil</v>
      </c>
      <c r="K2669" s="12" t="s">
        <v>65</v>
      </c>
    </row>
    <row r="2670" spans="1:11" ht="40.049999999999997" customHeight="1" x14ac:dyDescent="0.25">
      <c r="A2670" s="11" t="s">
        <v>5735</v>
      </c>
      <c r="B2670" s="11" t="s">
        <v>5736</v>
      </c>
      <c r="C2670" s="11" t="s">
        <v>80</v>
      </c>
      <c r="D2670" s="11" t="s">
        <v>18</v>
      </c>
      <c r="E2670" s="12" t="s">
        <v>1528</v>
      </c>
      <c r="F2670" s="12" t="s">
        <v>1529</v>
      </c>
      <c r="G2670" s="12" t="s">
        <v>21</v>
      </c>
      <c r="H2670" s="11" t="s">
        <v>63</v>
      </c>
      <c r="I2670" s="13" t="s">
        <v>5737</v>
      </c>
      <c r="J2670" s="14" t="str">
        <f>HYPERLINK("https://www.boe.es/gazeta/dias/1839/12/15/pdfs/GMD-1839-1862.pdf#page=4","Abrir facsímil")</f>
        <v>Abrir facsímil</v>
      </c>
      <c r="K2670" s="12" t="s">
        <v>65</v>
      </c>
    </row>
    <row r="2671" spans="1:11" ht="40.049999999999997" customHeight="1" x14ac:dyDescent="0.25">
      <c r="A2671" s="11" t="s">
        <v>5738</v>
      </c>
      <c r="B2671" s="11" t="s">
        <v>5739</v>
      </c>
      <c r="C2671" s="11" t="s">
        <v>137</v>
      </c>
      <c r="D2671" s="11" t="s">
        <v>18</v>
      </c>
      <c r="E2671" s="12" t="s">
        <v>1123</v>
      </c>
      <c r="F2671" s="12" t="s">
        <v>1124</v>
      </c>
      <c r="G2671" s="12" t="s">
        <v>21</v>
      </c>
      <c r="H2671" s="11" t="s">
        <v>63</v>
      </c>
      <c r="I2671" s="13" t="s">
        <v>5740</v>
      </c>
      <c r="J2671" s="14" t="str">
        <f>HYPERLINK("https://www.boe.es/gazeta/dias/1839/08/10/pdfs/GMD-1839-1730.pdf#page=4","Abrir facsímil")</f>
        <v>Abrir facsímil</v>
      </c>
      <c r="K2671" s="12" t="s">
        <v>65</v>
      </c>
    </row>
    <row r="2672" spans="1:11" ht="40.049999999999997" customHeight="1" x14ac:dyDescent="0.25">
      <c r="A2672" s="11" t="s">
        <v>5741</v>
      </c>
      <c r="B2672" s="11" t="s">
        <v>5742</v>
      </c>
      <c r="C2672" s="11" t="s">
        <v>59</v>
      </c>
      <c r="D2672" s="11" t="s">
        <v>60</v>
      </c>
      <c r="E2672" s="12" t="s">
        <v>527</v>
      </c>
      <c r="F2672" s="12" t="s">
        <v>528</v>
      </c>
      <c r="G2672" s="12" t="s">
        <v>29</v>
      </c>
      <c r="H2672" s="11" t="s">
        <v>63</v>
      </c>
      <c r="I2672" s="13" t="s">
        <v>5743</v>
      </c>
      <c r="J2672" s="14" t="str">
        <f>HYPERLINK("https://www.boe.es/gazeta/dias/1839/07/10/pdfs/GMD-1839-1698.pdf#page=1","Abrir facsímil")</f>
        <v>Abrir facsímil</v>
      </c>
      <c r="K2672" s="12" t="s">
        <v>65</v>
      </c>
    </row>
    <row r="2673" spans="1:11" ht="40.049999999999997" customHeight="1" x14ac:dyDescent="0.25">
      <c r="A2673" s="11" t="s">
        <v>5741</v>
      </c>
      <c r="B2673" s="11" t="s">
        <v>5742</v>
      </c>
      <c r="C2673" s="11" t="s">
        <v>137</v>
      </c>
      <c r="D2673" s="11" t="s">
        <v>18</v>
      </c>
      <c r="E2673" s="12" t="s">
        <v>2117</v>
      </c>
      <c r="F2673" s="12" t="s">
        <v>2118</v>
      </c>
      <c r="G2673" s="12" t="s">
        <v>46</v>
      </c>
      <c r="H2673" s="11" t="s">
        <v>63</v>
      </c>
      <c r="I2673" s="13" t="s">
        <v>5744</v>
      </c>
      <c r="J2673" s="14" t="str">
        <f>HYPERLINK("https://www.boe.es/gazeta/dias/1839/06/23/pdfs/GMD-1839-1681.pdf#page=3","Abrir facsímil")</f>
        <v>Abrir facsímil</v>
      </c>
      <c r="K2673" s="12" t="s">
        <v>65</v>
      </c>
    </row>
    <row r="2674" spans="1:11" ht="40.049999999999997" customHeight="1" x14ac:dyDescent="0.25">
      <c r="A2674" s="11" t="s">
        <v>5745</v>
      </c>
      <c r="B2674" s="11" t="s">
        <v>5745</v>
      </c>
      <c r="C2674" s="11" t="s">
        <v>17</v>
      </c>
      <c r="D2674" s="11" t="s">
        <v>18</v>
      </c>
      <c r="E2674" s="12" t="s">
        <v>1611</v>
      </c>
      <c r="F2674" s="12" t="s">
        <v>1612</v>
      </c>
      <c r="G2674" s="12" t="s">
        <v>46</v>
      </c>
      <c r="H2674" s="11" t="s">
        <v>63</v>
      </c>
      <c r="I2674" s="13" t="s">
        <v>5746</v>
      </c>
      <c r="J2674" s="14" t="str">
        <f>HYPERLINK("https://www.boe.es/gazeta/dias/1839/05/03/pdfs/GMD-1839-1630.pdf#page=3","Abrir facsímil")</f>
        <v>Abrir facsímil</v>
      </c>
      <c r="K2674" s="12" t="s">
        <v>65</v>
      </c>
    </row>
    <row r="2675" spans="1:11" ht="40.049999999999997" customHeight="1" x14ac:dyDescent="0.25">
      <c r="A2675" s="11" t="s">
        <v>5747</v>
      </c>
      <c r="B2675" s="11" t="s">
        <v>5747</v>
      </c>
      <c r="C2675" s="11" t="s">
        <v>17</v>
      </c>
      <c r="D2675" s="11" t="s">
        <v>18</v>
      </c>
      <c r="E2675" s="12" t="s">
        <v>154</v>
      </c>
      <c r="F2675" s="12" t="s">
        <v>155</v>
      </c>
      <c r="G2675" s="12" t="s">
        <v>40</v>
      </c>
      <c r="H2675" s="11" t="s">
        <v>63</v>
      </c>
      <c r="I2675" s="13" t="s">
        <v>5748</v>
      </c>
      <c r="J2675" s="14" t="str">
        <f>HYPERLINK("https://www.boe.es/gazeta/dias/1839/02/02/pdfs/GMD-1839-1540.pdf#page=2","Abrir facsímil")</f>
        <v>Abrir facsímil</v>
      </c>
      <c r="K2675" s="12" t="s">
        <v>65</v>
      </c>
    </row>
    <row r="2676" spans="1:11" ht="40.049999999999997" customHeight="1" x14ac:dyDescent="0.25">
      <c r="A2676" s="11" t="s">
        <v>5747</v>
      </c>
      <c r="B2676" s="11" t="s">
        <v>5747</v>
      </c>
      <c r="C2676" s="11" t="s">
        <v>17</v>
      </c>
      <c r="D2676" s="11" t="s">
        <v>18</v>
      </c>
      <c r="E2676" s="12" t="s">
        <v>1611</v>
      </c>
      <c r="F2676" s="12" t="s">
        <v>1612</v>
      </c>
      <c r="G2676" s="12" t="s">
        <v>40</v>
      </c>
      <c r="H2676" s="11" t="s">
        <v>63</v>
      </c>
      <c r="I2676" s="13" t="s">
        <v>5749</v>
      </c>
      <c r="J2676" s="14" t="str">
        <f>HYPERLINK("https://www.boe.es/gazeta/dias/1839/05/03/pdfs/GMD-1839-1630.pdf#page=2","Abrir facsímil")</f>
        <v>Abrir facsímil</v>
      </c>
      <c r="K2676" s="12" t="s">
        <v>65</v>
      </c>
    </row>
    <row r="2677" spans="1:11" ht="40.049999999999997" customHeight="1" x14ac:dyDescent="0.25">
      <c r="A2677" s="11" t="s">
        <v>5747</v>
      </c>
      <c r="B2677" s="11" t="s">
        <v>5747</v>
      </c>
      <c r="C2677" s="11" t="s">
        <v>17</v>
      </c>
      <c r="D2677" s="11" t="s">
        <v>18</v>
      </c>
      <c r="E2677" s="12" t="s">
        <v>1611</v>
      </c>
      <c r="F2677" s="12" t="s">
        <v>1612</v>
      </c>
      <c r="G2677" s="12" t="s">
        <v>46</v>
      </c>
      <c r="H2677" s="11" t="s">
        <v>63</v>
      </c>
      <c r="I2677" s="13" t="s">
        <v>5750</v>
      </c>
      <c r="J2677" s="14" t="str">
        <f>HYPERLINK("https://www.boe.es/gazeta/dias/1839/05/03/pdfs/GMD-1839-1630.pdf#page=3","Abrir facsímil")</f>
        <v>Abrir facsímil</v>
      </c>
      <c r="K2677" s="12" t="s">
        <v>65</v>
      </c>
    </row>
    <row r="2678" spans="1:11" ht="40.049999999999997" customHeight="1" x14ac:dyDescent="0.25">
      <c r="A2678" s="11" t="s">
        <v>5747</v>
      </c>
      <c r="B2678" s="11" t="s">
        <v>5747</v>
      </c>
      <c r="C2678" s="11" t="s">
        <v>17</v>
      </c>
      <c r="D2678" s="11" t="s">
        <v>18</v>
      </c>
      <c r="E2678" s="12" t="s">
        <v>857</v>
      </c>
      <c r="F2678" s="12" t="s">
        <v>858</v>
      </c>
      <c r="G2678" s="12" t="s">
        <v>40</v>
      </c>
      <c r="H2678" s="11" t="s">
        <v>63</v>
      </c>
      <c r="I2678" s="13" t="s">
        <v>5751</v>
      </c>
      <c r="J2678" s="14" t="str">
        <f>HYPERLINK("https://www.boe.es/gazeta/dias/1839/11/21/pdfs/GMD-1839-1838.pdf#page=2","Abrir facsímil")</f>
        <v>Abrir facsímil</v>
      </c>
      <c r="K2678" s="12" t="s">
        <v>65</v>
      </c>
    </row>
    <row r="2679" spans="1:11" ht="40.049999999999997" customHeight="1" x14ac:dyDescent="0.25">
      <c r="A2679" s="11" t="s">
        <v>5747</v>
      </c>
      <c r="B2679" s="11" t="s">
        <v>5747</v>
      </c>
      <c r="C2679" s="11" t="s">
        <v>17</v>
      </c>
      <c r="D2679" s="11" t="s">
        <v>18</v>
      </c>
      <c r="E2679" s="12" t="s">
        <v>912</v>
      </c>
      <c r="F2679" s="12" t="s">
        <v>913</v>
      </c>
      <c r="G2679" s="12" t="s">
        <v>40</v>
      </c>
      <c r="H2679" s="11" t="s">
        <v>63</v>
      </c>
      <c r="I2679" s="13" t="s">
        <v>5752</v>
      </c>
      <c r="J2679" s="14" t="str">
        <f>HYPERLINK("https://www.boe.es/gazeta/dias/1839/04/30/pdfs/GMD-1839-1627.pdf#page=2","Abrir facsímil")</f>
        <v>Abrir facsímil</v>
      </c>
      <c r="K2679" s="12" t="s">
        <v>65</v>
      </c>
    </row>
    <row r="2680" spans="1:11" ht="40.049999999999997" customHeight="1" x14ac:dyDescent="0.25">
      <c r="A2680" s="11" t="s">
        <v>5753</v>
      </c>
      <c r="B2680" s="11" t="s">
        <v>5754</v>
      </c>
      <c r="C2680" s="11" t="s">
        <v>80</v>
      </c>
      <c r="D2680" s="11" t="s">
        <v>18</v>
      </c>
      <c r="E2680" s="12" t="s">
        <v>951</v>
      </c>
      <c r="F2680" s="12" t="s">
        <v>952</v>
      </c>
      <c r="G2680" s="12" t="s">
        <v>21</v>
      </c>
      <c r="H2680" s="11" t="s">
        <v>63</v>
      </c>
      <c r="I2680" s="13" t="s">
        <v>5755</v>
      </c>
      <c r="J2680" s="14" t="str">
        <f>HYPERLINK("https://www.boe.es/gazeta/dias/1839/12/30/pdfs/GMD-1839-1877.pdf#page=4","Abrir facsímil")</f>
        <v>Abrir facsímil</v>
      </c>
      <c r="K2680" s="12" t="s">
        <v>65</v>
      </c>
    </row>
    <row r="2681" spans="1:11" ht="40.049999999999997" customHeight="1" x14ac:dyDescent="0.25">
      <c r="A2681" s="11" t="s">
        <v>5756</v>
      </c>
      <c r="B2681" s="11" t="s">
        <v>5756</v>
      </c>
      <c r="C2681" s="11" t="s">
        <v>101</v>
      </c>
      <c r="D2681" s="11" t="s">
        <v>102</v>
      </c>
      <c r="E2681" s="12" t="s">
        <v>883</v>
      </c>
      <c r="F2681" s="12" t="s">
        <v>884</v>
      </c>
      <c r="G2681" s="12" t="s">
        <v>40</v>
      </c>
      <c r="H2681" s="11" t="s">
        <v>63</v>
      </c>
      <c r="I2681" s="13" t="s">
        <v>5757</v>
      </c>
      <c r="J2681" s="14" t="str">
        <f>HYPERLINK("https://www.boe.es/gazeta/dias/1839/11/03/pdfs/GMD-1839-1820.pdf#page=2","Abrir facsímil")</f>
        <v>Abrir facsímil</v>
      </c>
      <c r="K2681" s="12" t="s">
        <v>65</v>
      </c>
    </row>
    <row r="2682" spans="1:11" ht="40.049999999999997" customHeight="1" x14ac:dyDescent="0.25">
      <c r="A2682" s="11" t="s">
        <v>5758</v>
      </c>
      <c r="B2682" s="11" t="s">
        <v>5758</v>
      </c>
      <c r="C2682" s="11" t="s">
        <v>101</v>
      </c>
      <c r="D2682" s="11" t="s">
        <v>43</v>
      </c>
      <c r="E2682" s="12" t="s">
        <v>1988</v>
      </c>
      <c r="F2682" s="12" t="s">
        <v>1989</v>
      </c>
      <c r="G2682" s="12" t="s">
        <v>46</v>
      </c>
      <c r="H2682" s="11" t="s">
        <v>63</v>
      </c>
      <c r="I2682" s="13" t="s">
        <v>5759</v>
      </c>
      <c r="J2682" s="14" t="str">
        <f>HYPERLINK("https://www.boe.es/gazeta/dias/1839/10/29/pdfs/GMD-1839-1815.pdf#page=3","Abrir facsímil")</f>
        <v>Abrir facsímil</v>
      </c>
      <c r="K2682" s="12" t="s">
        <v>65</v>
      </c>
    </row>
    <row r="2683" spans="1:11" ht="40.049999999999997" customHeight="1" x14ac:dyDescent="0.25">
      <c r="A2683" s="11" t="s">
        <v>5760</v>
      </c>
      <c r="B2683" s="11" t="s">
        <v>5760</v>
      </c>
      <c r="C2683" s="11" t="s">
        <v>17</v>
      </c>
      <c r="D2683" s="11" t="s">
        <v>18</v>
      </c>
      <c r="E2683" s="12" t="s">
        <v>462</v>
      </c>
      <c r="F2683" s="12" t="s">
        <v>463</v>
      </c>
      <c r="G2683" s="12" t="s">
        <v>29</v>
      </c>
      <c r="H2683" s="11" t="s">
        <v>63</v>
      </c>
      <c r="I2683" s="13" t="s">
        <v>5761</v>
      </c>
      <c r="J2683" s="14" t="str">
        <f>HYPERLINK("https://www.boe.es/gazeta/dias/1839/06/19/pdfs/GMD-1839-1677.pdf#page=1","Abrir facsímil")</f>
        <v>Abrir facsímil</v>
      </c>
      <c r="K2683" s="12" t="s">
        <v>65</v>
      </c>
    </row>
    <row r="2684" spans="1:11" ht="40.049999999999997" customHeight="1" x14ac:dyDescent="0.25">
      <c r="A2684" s="11" t="s">
        <v>5762</v>
      </c>
      <c r="B2684" s="11" t="s">
        <v>5762</v>
      </c>
      <c r="C2684" s="11" t="s">
        <v>59</v>
      </c>
      <c r="D2684" s="11" t="s">
        <v>60</v>
      </c>
      <c r="E2684" s="12" t="s">
        <v>804</v>
      </c>
      <c r="F2684" s="12" t="s">
        <v>805</v>
      </c>
      <c r="G2684" s="12" t="s">
        <v>29</v>
      </c>
      <c r="H2684" s="11" t="s">
        <v>63</v>
      </c>
      <c r="I2684" s="13" t="s">
        <v>5763</v>
      </c>
      <c r="J2684" s="14" t="str">
        <f>HYPERLINK("https://www.boe.es/gazeta/dias/1839/01/08/pdfs/GMD-1839-1515.pdf#page=1","Abrir facsímil")</f>
        <v>Abrir facsímil</v>
      </c>
      <c r="K2684" s="12" t="s">
        <v>65</v>
      </c>
    </row>
    <row r="2685" spans="1:11" ht="40.049999999999997" customHeight="1" x14ac:dyDescent="0.25">
      <c r="A2685" s="11" t="s">
        <v>5764</v>
      </c>
      <c r="B2685" s="11" t="s">
        <v>5765</v>
      </c>
      <c r="C2685" s="11" t="s">
        <v>101</v>
      </c>
      <c r="D2685" s="11" t="s">
        <v>43</v>
      </c>
      <c r="E2685" s="12" t="s">
        <v>2829</v>
      </c>
      <c r="F2685" s="12" t="s">
        <v>2830</v>
      </c>
      <c r="G2685" s="12" t="s">
        <v>40</v>
      </c>
      <c r="H2685" s="11" t="s">
        <v>63</v>
      </c>
      <c r="I2685" s="13" t="s">
        <v>5766</v>
      </c>
      <c r="J2685" s="14" t="str">
        <f>HYPERLINK("https://www.boe.es/gazeta/dias/1839/07/01/pdfs/GMD-1839-1689.pdf#page=2","Abrir facsímil")</f>
        <v>Abrir facsímil</v>
      </c>
      <c r="K2685" s="12" t="s">
        <v>65</v>
      </c>
    </row>
    <row r="2686" spans="1:11" ht="40.049999999999997" customHeight="1" x14ac:dyDescent="0.25">
      <c r="A2686" s="11" t="s">
        <v>5767</v>
      </c>
      <c r="B2686" s="11" t="s">
        <v>5768</v>
      </c>
      <c r="C2686" s="11" t="s">
        <v>59</v>
      </c>
      <c r="D2686" s="11" t="s">
        <v>60</v>
      </c>
      <c r="E2686" s="12" t="s">
        <v>246</v>
      </c>
      <c r="F2686" s="12" t="s">
        <v>247</v>
      </c>
      <c r="G2686" s="12" t="s">
        <v>46</v>
      </c>
      <c r="H2686" s="11" t="s">
        <v>63</v>
      </c>
      <c r="I2686" s="13" t="s">
        <v>5769</v>
      </c>
      <c r="J2686" s="14" t="str">
        <f>HYPERLINK("https://www.boe.es/gazeta/dias/1839/11/24/pdfs/GMD-1839-1841.pdf#page=3","Abrir facsímil")</f>
        <v>Abrir facsímil</v>
      </c>
      <c r="K2686" s="12" t="s">
        <v>65</v>
      </c>
    </row>
    <row r="2687" spans="1:11" ht="40.049999999999997" customHeight="1" x14ac:dyDescent="0.25">
      <c r="A2687" s="11" t="s">
        <v>5770</v>
      </c>
      <c r="B2687" s="11" t="s">
        <v>5771</v>
      </c>
      <c r="C2687" s="11" t="s">
        <v>137</v>
      </c>
      <c r="D2687" s="11" t="s">
        <v>18</v>
      </c>
      <c r="E2687" s="12" t="s">
        <v>254</v>
      </c>
      <c r="F2687" s="12" t="s">
        <v>255</v>
      </c>
      <c r="G2687" s="12" t="s">
        <v>40</v>
      </c>
      <c r="H2687" s="11" t="s">
        <v>63</v>
      </c>
      <c r="I2687" s="13" t="s">
        <v>5772</v>
      </c>
      <c r="J2687" s="14" t="str">
        <f>HYPERLINK("https://www.boe.es/gazeta/dias/1839/09/12/pdfs/GMD-1839-1765.pdf#page=2","Abrir facsímil")</f>
        <v>Abrir facsímil</v>
      </c>
      <c r="K2687" s="12" t="s">
        <v>65</v>
      </c>
    </row>
    <row r="2688" spans="1:11" ht="40.049999999999997" customHeight="1" x14ac:dyDescent="0.25">
      <c r="A2688" s="11" t="s">
        <v>5773</v>
      </c>
      <c r="B2688" s="11" t="s">
        <v>5774</v>
      </c>
      <c r="C2688" s="11" t="s">
        <v>101</v>
      </c>
      <c r="D2688" s="11" t="s">
        <v>102</v>
      </c>
      <c r="E2688" s="12" t="s">
        <v>653</v>
      </c>
      <c r="F2688" s="12" t="s">
        <v>654</v>
      </c>
      <c r="G2688" s="12" t="s">
        <v>40</v>
      </c>
      <c r="H2688" s="11" t="s">
        <v>63</v>
      </c>
      <c r="I2688" s="13" t="s">
        <v>5775</v>
      </c>
      <c r="J2688" s="14" t="str">
        <f>HYPERLINK("https://www.boe.es/gazeta/dias/1839/10/31/pdfs/GMD-1839-1817.pdf#page=2","Abrir facsímil")</f>
        <v>Abrir facsímil</v>
      </c>
      <c r="K2688" s="12" t="s">
        <v>65</v>
      </c>
    </row>
    <row r="2689" spans="1:11" ht="40.049999999999997" customHeight="1" x14ac:dyDescent="0.25">
      <c r="A2689" s="11" t="s">
        <v>5776</v>
      </c>
      <c r="B2689" s="11" t="s">
        <v>5777</v>
      </c>
      <c r="C2689" s="11" t="s">
        <v>17</v>
      </c>
      <c r="D2689" s="11" t="s">
        <v>18</v>
      </c>
      <c r="E2689" s="12" t="s">
        <v>2738</v>
      </c>
      <c r="F2689" s="12" t="s">
        <v>2739</v>
      </c>
      <c r="G2689" s="12" t="s">
        <v>21</v>
      </c>
      <c r="H2689" s="11" t="s">
        <v>63</v>
      </c>
      <c r="I2689" s="13" t="s">
        <v>5778</v>
      </c>
      <c r="J2689" s="14" t="str">
        <f>HYPERLINK("https://www.boe.es/gazeta/dias/1839/09/06/pdfs/GMD-1839-1759.pdf#page=4","Abrir facsímil")</f>
        <v>Abrir facsímil</v>
      </c>
      <c r="K2689" s="12" t="s">
        <v>65</v>
      </c>
    </row>
    <row r="2690" spans="1:11" ht="40.049999999999997" customHeight="1" x14ac:dyDescent="0.25">
      <c r="A2690" s="11" t="s">
        <v>5779</v>
      </c>
      <c r="B2690" s="11" t="s">
        <v>5780</v>
      </c>
      <c r="C2690" s="11" t="s">
        <v>80</v>
      </c>
      <c r="D2690" s="11" t="s">
        <v>18</v>
      </c>
      <c r="E2690" s="12" t="s">
        <v>2881</v>
      </c>
      <c r="F2690" s="12" t="s">
        <v>2882</v>
      </c>
      <c r="G2690" s="12" t="s">
        <v>21</v>
      </c>
      <c r="H2690" s="11" t="s">
        <v>22</v>
      </c>
      <c r="I2690" s="13" t="s">
        <v>5781</v>
      </c>
      <c r="J2690" s="14" t="str">
        <f>HYPERLINK("https://www.boe.es/gazeta/dias/1839/05/08/pdfs/GMD-1839-1635.pdf#page=4","Abrir facsímil")</f>
        <v>Abrir facsímil</v>
      </c>
      <c r="K2690" s="12" t="s">
        <v>24</v>
      </c>
    </row>
    <row r="2691" spans="1:11" ht="40.049999999999997" customHeight="1" x14ac:dyDescent="0.25">
      <c r="A2691" s="11" t="s">
        <v>5782</v>
      </c>
      <c r="B2691" s="11" t="s">
        <v>5782</v>
      </c>
      <c r="C2691" s="11" t="s">
        <v>17</v>
      </c>
      <c r="D2691" s="11" t="s">
        <v>18</v>
      </c>
      <c r="E2691" s="12" t="s">
        <v>571</v>
      </c>
      <c r="F2691" s="12" t="s">
        <v>572</v>
      </c>
      <c r="G2691" s="12" t="s">
        <v>29</v>
      </c>
      <c r="H2691" s="11" t="s">
        <v>63</v>
      </c>
      <c r="I2691" s="13" t="s">
        <v>5783</v>
      </c>
      <c r="J2691" s="14" t="str">
        <f>HYPERLINK("https://www.boe.es/gazeta/dias/1839/09/27/pdfs/GMD-1839-1783.pdf#page=1","Abrir facsímil")</f>
        <v>Abrir facsímil</v>
      </c>
      <c r="K2691" s="12" t="s">
        <v>65</v>
      </c>
    </row>
    <row r="2692" spans="1:11" ht="40.049999999999997" customHeight="1" x14ac:dyDescent="0.25">
      <c r="A2692" s="11" t="s">
        <v>5784</v>
      </c>
      <c r="B2692" s="11" t="s">
        <v>5784</v>
      </c>
      <c r="C2692" s="11" t="s">
        <v>80</v>
      </c>
      <c r="D2692" s="11" t="s">
        <v>18</v>
      </c>
      <c r="E2692" s="12" t="s">
        <v>5399</v>
      </c>
      <c r="F2692" s="12" t="s">
        <v>5400</v>
      </c>
      <c r="G2692" s="12" t="s">
        <v>29</v>
      </c>
      <c r="H2692" s="11" t="s">
        <v>63</v>
      </c>
      <c r="I2692" s="13" t="s">
        <v>5785</v>
      </c>
      <c r="J2692" s="14" t="str">
        <f>HYPERLINK("https://www.boe.es/gazeta/dias/1839/10/14/pdfs/GMD-1839-1800.pdf#page=1","Abrir facsímil")</f>
        <v>Abrir facsímil</v>
      </c>
      <c r="K2692" s="12" t="s">
        <v>65</v>
      </c>
    </row>
    <row r="2693" spans="1:11" ht="40.049999999999997" customHeight="1" x14ac:dyDescent="0.25">
      <c r="A2693" s="11" t="s">
        <v>5786</v>
      </c>
      <c r="B2693" s="11" t="s">
        <v>5787</v>
      </c>
      <c r="C2693" s="11" t="s">
        <v>17</v>
      </c>
      <c r="D2693" s="11" t="s">
        <v>18</v>
      </c>
      <c r="E2693" s="12" t="s">
        <v>343</v>
      </c>
      <c r="F2693" s="12" t="s">
        <v>344</v>
      </c>
      <c r="G2693" s="12" t="s">
        <v>40</v>
      </c>
      <c r="H2693" s="11" t="s">
        <v>63</v>
      </c>
      <c r="I2693" s="13" t="s">
        <v>5788</v>
      </c>
      <c r="J2693" s="14" t="str">
        <f>HYPERLINK("https://www.boe.es/gazeta/dias/1839/05/20/pdfs/GMD-1839-1647.pdf#page=2","Abrir facsímil")</f>
        <v>Abrir facsímil</v>
      </c>
      <c r="K2693" s="12" t="s">
        <v>65</v>
      </c>
    </row>
    <row r="2694" spans="1:11" ht="40.049999999999997" customHeight="1" x14ac:dyDescent="0.25">
      <c r="A2694" s="11" t="s">
        <v>5789</v>
      </c>
      <c r="B2694" s="11" t="s">
        <v>5790</v>
      </c>
      <c r="C2694" s="11" t="s">
        <v>17</v>
      </c>
      <c r="D2694" s="11" t="s">
        <v>18</v>
      </c>
      <c r="E2694" s="12" t="s">
        <v>474</v>
      </c>
      <c r="F2694" s="12" t="s">
        <v>475</v>
      </c>
      <c r="G2694" s="12" t="s">
        <v>21</v>
      </c>
      <c r="H2694" s="11" t="s">
        <v>63</v>
      </c>
      <c r="I2694" s="13" t="s">
        <v>5791</v>
      </c>
      <c r="J2694" s="14" t="str">
        <f>HYPERLINK("https://www.boe.es/gazeta/dias/1839/03/31/pdfs/GMD-1839-1597.pdf#page=4","Abrir facsímil")</f>
        <v>Abrir facsímil</v>
      </c>
      <c r="K2694" s="12" t="s">
        <v>65</v>
      </c>
    </row>
    <row r="2695" spans="1:11" ht="40.049999999999997" customHeight="1" x14ac:dyDescent="0.25">
      <c r="A2695" s="11" t="s">
        <v>5792</v>
      </c>
      <c r="B2695" s="11" t="s">
        <v>5792</v>
      </c>
      <c r="C2695" s="11" t="s">
        <v>17</v>
      </c>
      <c r="D2695" s="11" t="s">
        <v>18</v>
      </c>
      <c r="E2695" s="12" t="s">
        <v>388</v>
      </c>
      <c r="F2695" s="12" t="s">
        <v>389</v>
      </c>
      <c r="G2695" s="12" t="s">
        <v>21</v>
      </c>
      <c r="H2695" s="11" t="s">
        <v>63</v>
      </c>
      <c r="I2695" s="13" t="s">
        <v>5793</v>
      </c>
      <c r="J2695" s="14" t="str">
        <f>HYPERLINK("https://www.boe.es/gazeta/dias/1839/08/07/pdfs/GMD-1839-1727.pdf#page=4","Abrir facsímil")</f>
        <v>Abrir facsímil</v>
      </c>
      <c r="K2695" s="12" t="s">
        <v>65</v>
      </c>
    </row>
    <row r="2696" spans="1:11" ht="40.049999999999997" customHeight="1" x14ac:dyDescent="0.25">
      <c r="A2696" s="11" t="s">
        <v>5794</v>
      </c>
      <c r="B2696" s="11" t="s">
        <v>5795</v>
      </c>
      <c r="C2696" s="11" t="s">
        <v>59</v>
      </c>
      <c r="D2696" s="11" t="s">
        <v>60</v>
      </c>
      <c r="E2696" s="12" t="s">
        <v>1252</v>
      </c>
      <c r="F2696" s="12" t="s">
        <v>1253</v>
      </c>
      <c r="G2696" s="12" t="s">
        <v>29</v>
      </c>
      <c r="H2696" s="11" t="s">
        <v>22</v>
      </c>
      <c r="I2696" s="13" t="s">
        <v>5796</v>
      </c>
      <c r="J2696" s="14" t="str">
        <f>HYPERLINK("https://www.boe.es/gazeta/dias/1839/06/15/pdfs/GMD-1839-1673.pdf#page=1","Abrir facsímil")</f>
        <v>Abrir facsímil</v>
      </c>
      <c r="K2696" s="12" t="s">
        <v>24</v>
      </c>
    </row>
    <row r="2697" spans="1:11" ht="40.049999999999997" customHeight="1" x14ac:dyDescent="0.25">
      <c r="A2697" s="11" t="s">
        <v>5797</v>
      </c>
      <c r="B2697" s="11" t="s">
        <v>5798</v>
      </c>
      <c r="C2697" s="11" t="s">
        <v>59</v>
      </c>
      <c r="D2697" s="11" t="s">
        <v>60</v>
      </c>
      <c r="E2697" s="12" t="s">
        <v>1252</v>
      </c>
      <c r="F2697" s="12" t="s">
        <v>1253</v>
      </c>
      <c r="G2697" s="12" t="s">
        <v>29</v>
      </c>
      <c r="H2697" s="11" t="s">
        <v>63</v>
      </c>
      <c r="I2697" s="13" t="s">
        <v>5799</v>
      </c>
      <c r="J2697" s="14" t="str">
        <f>HYPERLINK("https://www.boe.es/gazeta/dias/1839/06/15/pdfs/GMD-1839-1673.pdf#page=1","Abrir facsímil")</f>
        <v>Abrir facsímil</v>
      </c>
      <c r="K2697" s="12" t="s">
        <v>65</v>
      </c>
    </row>
    <row r="2698" spans="1:11" ht="40.049999999999997" customHeight="1" x14ac:dyDescent="0.25">
      <c r="A2698" s="11" t="s">
        <v>5800</v>
      </c>
      <c r="B2698" s="11" t="s">
        <v>5800</v>
      </c>
      <c r="C2698" s="11" t="s">
        <v>101</v>
      </c>
      <c r="D2698" s="11" t="s">
        <v>102</v>
      </c>
      <c r="E2698" s="12" t="s">
        <v>2491</v>
      </c>
      <c r="F2698" s="12" t="s">
        <v>2492</v>
      </c>
      <c r="G2698" s="12" t="s">
        <v>40</v>
      </c>
      <c r="H2698" s="11" t="s">
        <v>63</v>
      </c>
      <c r="I2698" s="13" t="s">
        <v>5801</v>
      </c>
      <c r="J2698" s="14" t="str">
        <f>HYPERLINK("https://www.boe.es/gazeta/dias/1839/05/01/pdfs/GMD-1839-1628.pdf#page=2","Abrir facsímil")</f>
        <v>Abrir facsímil</v>
      </c>
      <c r="K2698" s="12" t="s">
        <v>65</v>
      </c>
    </row>
    <row r="2699" spans="1:11" ht="40.049999999999997" customHeight="1" x14ac:dyDescent="0.25">
      <c r="A2699" s="11" t="s">
        <v>5800</v>
      </c>
      <c r="B2699" s="11" t="s">
        <v>5800</v>
      </c>
      <c r="C2699" s="11" t="s">
        <v>17</v>
      </c>
      <c r="D2699" s="11" t="s">
        <v>18</v>
      </c>
      <c r="E2699" s="12" t="s">
        <v>1623</v>
      </c>
      <c r="F2699" s="12" t="s">
        <v>1624</v>
      </c>
      <c r="G2699" s="12" t="s">
        <v>40</v>
      </c>
      <c r="H2699" s="11" t="s">
        <v>63</v>
      </c>
      <c r="I2699" s="13" t="s">
        <v>5802</v>
      </c>
      <c r="J2699" s="14" t="str">
        <f>HYPERLINK("https://www.boe.es/gazeta/dias/1839/04/07/pdfs/GMD-1839-1604.pdf#page=2","Abrir facsímil")</f>
        <v>Abrir facsímil</v>
      </c>
      <c r="K2699" s="12" t="s">
        <v>65</v>
      </c>
    </row>
    <row r="2700" spans="1:11" ht="40.049999999999997" customHeight="1" x14ac:dyDescent="0.25">
      <c r="A2700" s="11" t="s">
        <v>5800</v>
      </c>
      <c r="B2700" s="11" t="s">
        <v>5800</v>
      </c>
      <c r="C2700" s="11" t="s">
        <v>80</v>
      </c>
      <c r="D2700" s="11" t="s">
        <v>18</v>
      </c>
      <c r="E2700" s="12" t="s">
        <v>38</v>
      </c>
      <c r="F2700" s="12" t="s">
        <v>39</v>
      </c>
      <c r="G2700" s="12" t="s">
        <v>29</v>
      </c>
      <c r="H2700" s="11" t="s">
        <v>63</v>
      </c>
      <c r="I2700" s="13" t="s">
        <v>5803</v>
      </c>
      <c r="J2700" s="14" t="str">
        <f>HYPERLINK("https://www.boe.es/gazeta/dias/1839/08/08/pdfs/GMD-1839-1728.pdf#page=1","Abrir facsímil")</f>
        <v>Abrir facsímil</v>
      </c>
      <c r="K2700" s="12" t="s">
        <v>65</v>
      </c>
    </row>
    <row r="2701" spans="1:11" ht="40.049999999999997" customHeight="1" x14ac:dyDescent="0.25">
      <c r="A2701" s="11" t="s">
        <v>5800</v>
      </c>
      <c r="B2701" s="11" t="s">
        <v>5800</v>
      </c>
      <c r="C2701" s="11" t="s">
        <v>59</v>
      </c>
      <c r="D2701" s="11" t="s">
        <v>60</v>
      </c>
      <c r="E2701" s="12" t="s">
        <v>984</v>
      </c>
      <c r="F2701" s="12" t="s">
        <v>985</v>
      </c>
      <c r="G2701" s="12" t="s">
        <v>21</v>
      </c>
      <c r="H2701" s="11" t="s">
        <v>63</v>
      </c>
      <c r="I2701" s="13" t="s">
        <v>5804</v>
      </c>
      <c r="J2701" s="14" t="str">
        <f>HYPERLINK("https://www.boe.es/gazeta/dias/1839/04/10/pdfs/GMD-1839-1607.pdf#page=4","Abrir facsímil")</f>
        <v>Abrir facsímil</v>
      </c>
      <c r="K2701" s="12" t="s">
        <v>65</v>
      </c>
    </row>
    <row r="2702" spans="1:11" ht="40.049999999999997" customHeight="1" x14ac:dyDescent="0.25">
      <c r="A2702" s="11" t="s">
        <v>5800</v>
      </c>
      <c r="B2702" s="11" t="s">
        <v>5800</v>
      </c>
      <c r="C2702" s="11" t="s">
        <v>101</v>
      </c>
      <c r="D2702" s="11" t="s">
        <v>102</v>
      </c>
      <c r="E2702" s="12" t="s">
        <v>4189</v>
      </c>
      <c r="F2702" s="12" t="s">
        <v>4190</v>
      </c>
      <c r="G2702" s="12" t="s">
        <v>29</v>
      </c>
      <c r="H2702" s="11" t="s">
        <v>63</v>
      </c>
      <c r="I2702" s="13" t="s">
        <v>5805</v>
      </c>
      <c r="J2702" s="14" t="str">
        <f>HYPERLINK("https://www.boe.es/gazeta/dias/1839/02/13/pdfs/GMD-1839-1551.pdf#page=1","Abrir facsímil")</f>
        <v>Abrir facsímil</v>
      </c>
      <c r="K2702" s="12" t="s">
        <v>65</v>
      </c>
    </row>
    <row r="2703" spans="1:11" ht="40.049999999999997" customHeight="1" x14ac:dyDescent="0.25">
      <c r="A2703" s="11" t="s">
        <v>5800</v>
      </c>
      <c r="B2703" s="11" t="s">
        <v>5800</v>
      </c>
      <c r="C2703" s="11" t="s">
        <v>101</v>
      </c>
      <c r="D2703" s="11" t="s">
        <v>43</v>
      </c>
      <c r="E2703" s="12" t="s">
        <v>5806</v>
      </c>
      <c r="F2703" s="12" t="s">
        <v>5807</v>
      </c>
      <c r="G2703" s="12" t="s">
        <v>21</v>
      </c>
      <c r="H2703" s="11" t="s">
        <v>63</v>
      </c>
      <c r="I2703" s="13" t="s">
        <v>5808</v>
      </c>
      <c r="J2703" s="14" t="str">
        <f>HYPERLINK("https://www.boe.es/gazeta/dias/1839/02/16/pdfs/GMD-1839-1554.pdf#page=4","Abrir facsímil")</f>
        <v>Abrir facsímil</v>
      </c>
      <c r="K2703" s="12" t="s">
        <v>65</v>
      </c>
    </row>
    <row r="2704" spans="1:11" ht="40.049999999999997" customHeight="1" x14ac:dyDescent="0.25">
      <c r="A2704" s="11" t="s">
        <v>5800</v>
      </c>
      <c r="B2704" s="11" t="s">
        <v>5800</v>
      </c>
      <c r="C2704" s="11" t="s">
        <v>17</v>
      </c>
      <c r="D2704" s="11" t="s">
        <v>18</v>
      </c>
      <c r="E2704" s="12" t="s">
        <v>2253</v>
      </c>
      <c r="F2704" s="12" t="s">
        <v>2254</v>
      </c>
      <c r="G2704" s="12" t="s">
        <v>21</v>
      </c>
      <c r="H2704" s="11" t="s">
        <v>63</v>
      </c>
      <c r="I2704" s="13" t="s">
        <v>5809</v>
      </c>
      <c r="J2704" s="14" t="str">
        <f>HYPERLINK("https://www.boe.es/gazeta/dias/1839/02/20/pdfs/GMD-1839-1558.pdf#page=4","Abrir facsímil")</f>
        <v>Abrir facsímil</v>
      </c>
      <c r="K2704" s="12" t="s">
        <v>65</v>
      </c>
    </row>
    <row r="2705" spans="1:11" ht="40.049999999999997" customHeight="1" x14ac:dyDescent="0.25">
      <c r="A2705" s="11" t="s">
        <v>5800</v>
      </c>
      <c r="B2705" s="11" t="s">
        <v>5800</v>
      </c>
      <c r="C2705" s="11" t="s">
        <v>17</v>
      </c>
      <c r="D2705" s="11" t="s">
        <v>18</v>
      </c>
      <c r="E2705" s="12" t="s">
        <v>1588</v>
      </c>
      <c r="F2705" s="12" t="s">
        <v>1589</v>
      </c>
      <c r="G2705" s="12" t="s">
        <v>21</v>
      </c>
      <c r="H2705" s="11" t="s">
        <v>63</v>
      </c>
      <c r="I2705" s="13" t="s">
        <v>5810</v>
      </c>
      <c r="J2705" s="14" t="str">
        <f>HYPERLINK("https://www.boe.es/gazeta/dias/1839/07/27/pdfs/GMD-1839-1716.pdf#page=4","Abrir facsímil")</f>
        <v>Abrir facsímil</v>
      </c>
      <c r="K2705" s="12" t="s">
        <v>65</v>
      </c>
    </row>
    <row r="2706" spans="1:11" ht="40.049999999999997" customHeight="1" x14ac:dyDescent="0.25">
      <c r="A2706" s="11" t="s">
        <v>5811</v>
      </c>
      <c r="B2706" s="11" t="s">
        <v>5812</v>
      </c>
      <c r="C2706" s="11" t="s">
        <v>17</v>
      </c>
      <c r="D2706" s="11" t="s">
        <v>18</v>
      </c>
      <c r="E2706" s="12" t="s">
        <v>116</v>
      </c>
      <c r="F2706" s="12" t="s">
        <v>117</v>
      </c>
      <c r="G2706" s="12" t="s">
        <v>40</v>
      </c>
      <c r="H2706" s="11" t="s">
        <v>22</v>
      </c>
      <c r="I2706" s="13" t="s">
        <v>5813</v>
      </c>
      <c r="J2706" s="14" t="str">
        <f>HYPERLINK("https://www.boe.es/gazeta/dias/1839/10/10/pdfs/GMD-1839-1796.pdf#page=2","Abrir facsímil")</f>
        <v>Abrir facsímil</v>
      </c>
      <c r="K2706" s="12" t="s">
        <v>24</v>
      </c>
    </row>
    <row r="2707" spans="1:11" ht="40.049999999999997" customHeight="1" x14ac:dyDescent="0.25">
      <c r="A2707" s="11" t="s">
        <v>5814</v>
      </c>
      <c r="B2707" s="11" t="s">
        <v>5815</v>
      </c>
      <c r="C2707" s="11" t="s">
        <v>101</v>
      </c>
      <c r="D2707" s="11" t="s">
        <v>43</v>
      </c>
      <c r="E2707" s="12" t="s">
        <v>352</v>
      </c>
      <c r="F2707" s="12" t="s">
        <v>353</v>
      </c>
      <c r="G2707" s="12" t="s">
        <v>29</v>
      </c>
      <c r="H2707" s="11" t="s">
        <v>63</v>
      </c>
      <c r="I2707" s="13" t="s">
        <v>5816</v>
      </c>
      <c r="J2707" s="14" t="str">
        <f>HYPERLINK("https://www.boe.es/gazeta/dias/1839/03/30/pdfs/GMD-1839-1596.pdf#page=1","Abrir facsímil")</f>
        <v>Abrir facsímil</v>
      </c>
      <c r="K2707" s="12" t="s">
        <v>65</v>
      </c>
    </row>
    <row r="2708" spans="1:11" ht="40.049999999999997" customHeight="1" x14ac:dyDescent="0.25">
      <c r="A2708" s="11" t="s">
        <v>5817</v>
      </c>
      <c r="B2708" s="11" t="s">
        <v>5818</v>
      </c>
      <c r="C2708" s="11" t="s">
        <v>17</v>
      </c>
      <c r="D2708" s="11" t="s">
        <v>18</v>
      </c>
      <c r="E2708" s="12" t="s">
        <v>1356</v>
      </c>
      <c r="F2708" s="12" t="s">
        <v>1357</v>
      </c>
      <c r="G2708" s="12" t="s">
        <v>46</v>
      </c>
      <c r="H2708" s="11" t="s">
        <v>63</v>
      </c>
      <c r="I2708" s="13" t="s">
        <v>5819</v>
      </c>
      <c r="J2708" s="14" t="str">
        <f>HYPERLINK("https://www.boe.es/gazeta/dias/1839/06/05/pdfs/GMD-1839-1663.pdf#page=3","Abrir facsímil")</f>
        <v>Abrir facsímil</v>
      </c>
      <c r="K2708" s="12" t="s">
        <v>65</v>
      </c>
    </row>
    <row r="2709" spans="1:11" ht="40.049999999999997" customHeight="1" x14ac:dyDescent="0.25">
      <c r="A2709" s="11" t="s">
        <v>5820</v>
      </c>
      <c r="B2709" s="11" t="s">
        <v>5821</v>
      </c>
      <c r="C2709" s="11" t="s">
        <v>80</v>
      </c>
      <c r="D2709" s="11" t="s">
        <v>173</v>
      </c>
      <c r="E2709" s="12" t="s">
        <v>291</v>
      </c>
      <c r="F2709" s="12" t="s">
        <v>292</v>
      </c>
      <c r="G2709" s="12" t="s">
        <v>21</v>
      </c>
      <c r="H2709" s="11" t="s">
        <v>63</v>
      </c>
      <c r="I2709" s="13" t="s">
        <v>5822</v>
      </c>
      <c r="J2709" s="14" t="str">
        <f>HYPERLINK("https://www.boe.es/gazeta/dias/1839/09/04/pdfs/GMD-1839-1757.pdf#page=4","Abrir facsímil")</f>
        <v>Abrir facsímil</v>
      </c>
      <c r="K2709" s="12" t="s">
        <v>65</v>
      </c>
    </row>
    <row r="2710" spans="1:11" ht="40.049999999999997" customHeight="1" x14ac:dyDescent="0.25">
      <c r="A2710" s="11" t="s">
        <v>5823</v>
      </c>
      <c r="B2710" s="11" t="s">
        <v>5824</v>
      </c>
      <c r="C2710" s="11" t="s">
        <v>17</v>
      </c>
      <c r="D2710" s="11" t="s">
        <v>18</v>
      </c>
      <c r="E2710" s="12" t="s">
        <v>2210</v>
      </c>
      <c r="F2710" s="12" t="s">
        <v>2211</v>
      </c>
      <c r="G2710" s="12" t="s">
        <v>29</v>
      </c>
      <c r="H2710" s="11" t="s">
        <v>63</v>
      </c>
      <c r="I2710" s="13" t="s">
        <v>5825</v>
      </c>
      <c r="J2710" s="14" t="str">
        <f>HYPERLINK("https://www.boe.es/gazeta/dias/1839/09/05/pdfs/GMD-1839-1758.pdf#page=1","Abrir facsímil")</f>
        <v>Abrir facsímil</v>
      </c>
      <c r="K2710" s="12" t="s">
        <v>65</v>
      </c>
    </row>
    <row r="2711" spans="1:11" ht="40.049999999999997" customHeight="1" x14ac:dyDescent="0.25">
      <c r="A2711" s="11" t="s">
        <v>5826</v>
      </c>
      <c r="B2711" s="11" t="s">
        <v>5826</v>
      </c>
      <c r="C2711" s="11" t="s">
        <v>17</v>
      </c>
      <c r="D2711" s="11" t="s">
        <v>18</v>
      </c>
      <c r="E2711" s="12" t="s">
        <v>2449</v>
      </c>
      <c r="F2711" s="12" t="s">
        <v>2450</v>
      </c>
      <c r="G2711" s="12" t="s">
        <v>46</v>
      </c>
      <c r="H2711" s="11" t="s">
        <v>63</v>
      </c>
      <c r="I2711" s="13" t="s">
        <v>5827</v>
      </c>
      <c r="J2711" s="14" t="str">
        <f>HYPERLINK("https://www.boe.es/gazeta/dias/1839/12/11/pdfs/GMD-1839-1858.pdf#page=3","Abrir facsímil")</f>
        <v>Abrir facsímil</v>
      </c>
      <c r="K2711" s="12" t="s">
        <v>65</v>
      </c>
    </row>
    <row r="2712" spans="1:11" ht="40.049999999999997" customHeight="1" x14ac:dyDescent="0.25">
      <c r="A2712" s="11" t="s">
        <v>5826</v>
      </c>
      <c r="B2712" s="11" t="s">
        <v>5826</v>
      </c>
      <c r="C2712" s="11" t="s">
        <v>17</v>
      </c>
      <c r="D2712" s="11" t="s">
        <v>18</v>
      </c>
      <c r="E2712" s="12" t="s">
        <v>4292</v>
      </c>
      <c r="F2712" s="12" t="s">
        <v>4293</v>
      </c>
      <c r="G2712" s="12" t="s">
        <v>21</v>
      </c>
      <c r="H2712" s="11" t="s">
        <v>63</v>
      </c>
      <c r="I2712" s="13" t="s">
        <v>5828</v>
      </c>
      <c r="J2712" s="14" t="str">
        <f>HYPERLINK("https://www.boe.es/gazeta/dias/1839/11/29/pdfs/GMD-1839-1846.pdf#page=4","Abrir facsímil")</f>
        <v>Abrir facsímil</v>
      </c>
      <c r="K2712" s="12" t="s">
        <v>65</v>
      </c>
    </row>
    <row r="2713" spans="1:11" ht="40.049999999999997" customHeight="1" x14ac:dyDescent="0.25">
      <c r="A2713" s="11" t="s">
        <v>5829</v>
      </c>
      <c r="B2713" s="11" t="s">
        <v>5829</v>
      </c>
      <c r="C2713" s="11" t="s">
        <v>17</v>
      </c>
      <c r="D2713" s="11" t="s">
        <v>18</v>
      </c>
      <c r="E2713" s="12" t="s">
        <v>2069</v>
      </c>
      <c r="F2713" s="12" t="s">
        <v>2070</v>
      </c>
      <c r="G2713" s="12" t="s">
        <v>305</v>
      </c>
      <c r="H2713" s="11" t="s">
        <v>22</v>
      </c>
      <c r="I2713" s="13" t="s">
        <v>5830</v>
      </c>
      <c r="J2713" s="14" t="str">
        <f>HYPERLINK("https://www.boe.es/gazeta/dias/1839/10/20/pdfs/GMD-1839-1806.pdf#page=6","Abrir facsímil")</f>
        <v>Abrir facsímil</v>
      </c>
      <c r="K2713" s="12" t="s">
        <v>24</v>
      </c>
    </row>
    <row r="2714" spans="1:11" ht="40.049999999999997" customHeight="1" x14ac:dyDescent="0.25">
      <c r="A2714" s="11" t="s">
        <v>5831</v>
      </c>
      <c r="B2714" s="11" t="s">
        <v>5832</v>
      </c>
      <c r="C2714" s="11" t="s">
        <v>80</v>
      </c>
      <c r="D2714" s="11" t="s">
        <v>18</v>
      </c>
      <c r="E2714" s="12" t="s">
        <v>2829</v>
      </c>
      <c r="F2714" s="12" t="s">
        <v>2830</v>
      </c>
      <c r="G2714" s="12" t="s">
        <v>29</v>
      </c>
      <c r="H2714" s="11" t="s">
        <v>63</v>
      </c>
      <c r="I2714" s="13" t="s">
        <v>5833</v>
      </c>
      <c r="J2714" s="14" t="str">
        <f>HYPERLINK("https://www.boe.es/gazeta/dias/1839/07/01/pdfs/GMD-1839-1689.pdf#page=1","Abrir facsímil")</f>
        <v>Abrir facsímil</v>
      </c>
      <c r="K2714" s="12" t="s">
        <v>65</v>
      </c>
    </row>
    <row r="2715" spans="1:11" ht="40.049999999999997" customHeight="1" x14ac:dyDescent="0.25">
      <c r="A2715" s="11" t="s">
        <v>5831</v>
      </c>
      <c r="B2715" s="11" t="s">
        <v>5832</v>
      </c>
      <c r="C2715" s="11" t="s">
        <v>101</v>
      </c>
      <c r="D2715" s="11" t="s">
        <v>102</v>
      </c>
      <c r="E2715" s="12" t="s">
        <v>1614</v>
      </c>
      <c r="F2715" s="12" t="s">
        <v>1615</v>
      </c>
      <c r="G2715" s="12" t="s">
        <v>29</v>
      </c>
      <c r="H2715" s="11" t="s">
        <v>63</v>
      </c>
      <c r="I2715" s="13" t="s">
        <v>5834</v>
      </c>
      <c r="J2715" s="14" t="str">
        <f>HYPERLINK("https://www.boe.es/gazeta/dias/1839/07/03/pdfs/GMD-1839-1691.pdf#page=1","Abrir facsímil")</f>
        <v>Abrir facsímil</v>
      </c>
      <c r="K2715" s="12" t="s">
        <v>65</v>
      </c>
    </row>
    <row r="2716" spans="1:11" ht="40.049999999999997" customHeight="1" x14ac:dyDescent="0.25">
      <c r="A2716" s="11" t="s">
        <v>5835</v>
      </c>
      <c r="B2716" s="11" t="s">
        <v>5836</v>
      </c>
      <c r="C2716" s="11" t="s">
        <v>101</v>
      </c>
      <c r="D2716" s="11" t="s">
        <v>102</v>
      </c>
      <c r="E2716" s="12" t="s">
        <v>409</v>
      </c>
      <c r="F2716" s="12" t="s">
        <v>410</v>
      </c>
      <c r="G2716" s="12" t="s">
        <v>29</v>
      </c>
      <c r="H2716" s="11" t="s">
        <v>63</v>
      </c>
      <c r="I2716" s="13" t="s">
        <v>5837</v>
      </c>
      <c r="J2716" s="14" t="str">
        <f>HYPERLINK("https://www.boe.es/gazeta/dias/1839/07/05/pdfs/GMD-1839-1693.pdf#page=1","Abrir facsímil")</f>
        <v>Abrir facsímil</v>
      </c>
      <c r="K2716" s="12" t="s">
        <v>65</v>
      </c>
    </row>
    <row r="2717" spans="1:11" ht="40.049999999999997" customHeight="1" x14ac:dyDescent="0.25">
      <c r="A2717" s="11" t="s">
        <v>5838</v>
      </c>
      <c r="B2717" s="11" t="s">
        <v>5839</v>
      </c>
      <c r="C2717" s="11" t="s">
        <v>17</v>
      </c>
      <c r="D2717" s="11" t="s">
        <v>18</v>
      </c>
      <c r="E2717" s="12" t="s">
        <v>1414</v>
      </c>
      <c r="F2717" s="12" t="s">
        <v>1415</v>
      </c>
      <c r="G2717" s="12" t="s">
        <v>21</v>
      </c>
      <c r="H2717" s="11" t="s">
        <v>63</v>
      </c>
      <c r="I2717" s="13" t="s">
        <v>5840</v>
      </c>
      <c r="J2717" s="14" t="str">
        <f>HYPERLINK("https://www.boe.es/gazeta/dias/1839/06/12/pdfs/GMD-1839-1670.pdf#page=4","Abrir facsímil")</f>
        <v>Abrir facsímil</v>
      </c>
      <c r="K2717" s="12" t="s">
        <v>65</v>
      </c>
    </row>
    <row r="2718" spans="1:11" ht="40.049999999999997" customHeight="1" x14ac:dyDescent="0.25">
      <c r="A2718" s="11" t="s">
        <v>5841</v>
      </c>
      <c r="B2718" s="11" t="s">
        <v>5842</v>
      </c>
      <c r="C2718" s="11" t="s">
        <v>137</v>
      </c>
      <c r="D2718" s="11" t="s">
        <v>18</v>
      </c>
      <c r="E2718" s="12" t="s">
        <v>258</v>
      </c>
      <c r="F2718" s="12" t="s">
        <v>259</v>
      </c>
      <c r="G2718" s="12" t="s">
        <v>29</v>
      </c>
      <c r="H2718" s="11" t="s">
        <v>63</v>
      </c>
      <c r="I2718" s="13" t="s">
        <v>5843</v>
      </c>
      <c r="J2718" s="14" t="str">
        <f>HYPERLINK("https://www.boe.es/gazeta/dias/1839/01/02/pdfs/GMD-1839-1509.pdf#page=1","Abrir facsímil")</f>
        <v>Abrir facsímil</v>
      </c>
      <c r="K2718" s="12" t="s">
        <v>65</v>
      </c>
    </row>
    <row r="2719" spans="1:11" ht="40.049999999999997" customHeight="1" x14ac:dyDescent="0.25">
      <c r="A2719" s="11" t="s">
        <v>5844</v>
      </c>
      <c r="B2719" s="11" t="s">
        <v>5844</v>
      </c>
      <c r="C2719" s="11" t="s">
        <v>80</v>
      </c>
      <c r="D2719" s="11" t="s">
        <v>18</v>
      </c>
      <c r="E2719" s="12" t="s">
        <v>5845</v>
      </c>
      <c r="F2719" s="12" t="s">
        <v>5846</v>
      </c>
      <c r="G2719" s="12" t="s">
        <v>29</v>
      </c>
      <c r="H2719" s="11" t="s">
        <v>63</v>
      </c>
      <c r="I2719" s="13" t="s">
        <v>5847</v>
      </c>
      <c r="J2719" s="14" t="str">
        <f>HYPERLINK("https://www.boe.es/gazeta/dias/1839/04/01/pdfs/GMD-1839-1598.pdf#page=1","Abrir facsímil")</f>
        <v>Abrir facsímil</v>
      </c>
      <c r="K2719" s="12" t="s">
        <v>65</v>
      </c>
    </row>
    <row r="2720" spans="1:11" ht="40.049999999999997" customHeight="1" x14ac:dyDescent="0.25">
      <c r="A2720" s="11" t="s">
        <v>5848</v>
      </c>
      <c r="B2720" s="11" t="s">
        <v>5848</v>
      </c>
      <c r="C2720" s="11" t="s">
        <v>101</v>
      </c>
      <c r="D2720" s="11" t="s">
        <v>43</v>
      </c>
      <c r="E2720" s="12" t="s">
        <v>448</v>
      </c>
      <c r="F2720" s="12" t="s">
        <v>449</v>
      </c>
      <c r="G2720" s="12" t="s">
        <v>40</v>
      </c>
      <c r="H2720" s="11" t="s">
        <v>63</v>
      </c>
      <c r="I2720" s="13" t="s">
        <v>5849</v>
      </c>
      <c r="J2720" s="14" t="str">
        <f>HYPERLINK("https://www.boe.es/gazeta/dias/1839/02/06/pdfs/GMD-1839-1544.pdf#page=2","Abrir facsímil")</f>
        <v>Abrir facsímil</v>
      </c>
      <c r="K2720" s="12" t="s">
        <v>65</v>
      </c>
    </row>
    <row r="2721" spans="1:11" ht="40.049999999999997" customHeight="1" x14ac:dyDescent="0.25">
      <c r="A2721" s="11" t="s">
        <v>5850</v>
      </c>
      <c r="B2721" s="11" t="s">
        <v>5851</v>
      </c>
      <c r="C2721" s="11" t="s">
        <v>17</v>
      </c>
      <c r="D2721" s="11" t="s">
        <v>18</v>
      </c>
      <c r="E2721" s="12" t="s">
        <v>2138</v>
      </c>
      <c r="F2721" s="12" t="s">
        <v>2139</v>
      </c>
      <c r="G2721" s="12" t="s">
        <v>46</v>
      </c>
      <c r="H2721" s="11" t="s">
        <v>63</v>
      </c>
      <c r="I2721" s="13" t="s">
        <v>5852</v>
      </c>
      <c r="J2721" s="14" t="str">
        <f>HYPERLINK("https://www.boe.es/gazeta/dias/1839/10/02/pdfs/GMD-1839-1788.pdf#page=3","Abrir facsímil")</f>
        <v>Abrir facsímil</v>
      </c>
      <c r="K2721" s="12" t="s">
        <v>65</v>
      </c>
    </row>
    <row r="2722" spans="1:11" ht="40.049999999999997" customHeight="1" x14ac:dyDescent="0.25">
      <c r="A2722" s="11" t="s">
        <v>5853</v>
      </c>
      <c r="B2722" s="11" t="s">
        <v>5854</v>
      </c>
      <c r="C2722" s="11" t="s">
        <v>17</v>
      </c>
      <c r="D2722" s="11" t="s">
        <v>18</v>
      </c>
      <c r="E2722" s="12" t="s">
        <v>664</v>
      </c>
      <c r="F2722" s="12" t="s">
        <v>665</v>
      </c>
      <c r="G2722" s="12" t="s">
        <v>46</v>
      </c>
      <c r="H2722" s="11" t="s">
        <v>63</v>
      </c>
      <c r="I2722" s="13" t="s">
        <v>5855</v>
      </c>
      <c r="J2722" s="14" t="str">
        <f>HYPERLINK("https://www.boe.es/gazeta/dias/1839/01/24/pdfs/GMD-1839-1531.pdf#page=3","Abrir facsímil")</f>
        <v>Abrir facsímil</v>
      </c>
      <c r="K2722" s="12" t="s">
        <v>65</v>
      </c>
    </row>
    <row r="2723" spans="1:11" ht="40.049999999999997" customHeight="1" x14ac:dyDescent="0.25">
      <c r="A2723" s="11" t="s">
        <v>5856</v>
      </c>
      <c r="B2723" s="11" t="s">
        <v>5857</v>
      </c>
      <c r="C2723" s="11" t="s">
        <v>137</v>
      </c>
      <c r="D2723" s="11" t="s">
        <v>18</v>
      </c>
      <c r="E2723" s="12" t="s">
        <v>1672</v>
      </c>
      <c r="F2723" s="12" t="s">
        <v>1673</v>
      </c>
      <c r="G2723" s="12" t="s">
        <v>21</v>
      </c>
      <c r="H2723" s="11" t="s">
        <v>22</v>
      </c>
      <c r="I2723" s="13" t="s">
        <v>5858</v>
      </c>
      <c r="J2723" s="14" t="str">
        <f>HYPERLINK("https://www.boe.es/gazeta/dias/1839/08/24/pdfs/GMD-1839-1745.pdf#page=4","Abrir facsímil")</f>
        <v>Abrir facsímil</v>
      </c>
      <c r="K2723" s="12" t="s">
        <v>24</v>
      </c>
    </row>
    <row r="2724" spans="1:11" ht="40.049999999999997" customHeight="1" x14ac:dyDescent="0.25">
      <c r="A2724" s="11" t="s">
        <v>5859</v>
      </c>
      <c r="B2724" s="11" t="s">
        <v>5860</v>
      </c>
      <c r="C2724" s="11" t="s">
        <v>17</v>
      </c>
      <c r="D2724" s="11" t="s">
        <v>18</v>
      </c>
      <c r="E2724" s="12" t="s">
        <v>1284</v>
      </c>
      <c r="F2724" s="12" t="s">
        <v>1285</v>
      </c>
      <c r="G2724" s="12" t="s">
        <v>40</v>
      </c>
      <c r="H2724" s="11" t="s">
        <v>63</v>
      </c>
      <c r="I2724" s="13" t="s">
        <v>5861</v>
      </c>
      <c r="J2724" s="14" t="str">
        <f>HYPERLINK("https://www.boe.es/gazeta/dias/1839/03/27/pdfs/GMD-1839-1593.pdf#page=2","Abrir facsímil")</f>
        <v>Abrir facsímil</v>
      </c>
      <c r="K2724" s="12" t="s">
        <v>65</v>
      </c>
    </row>
    <row r="2725" spans="1:11" ht="40.049999999999997" customHeight="1" x14ac:dyDescent="0.25">
      <c r="A2725" s="11" t="s">
        <v>5862</v>
      </c>
      <c r="B2725" s="11" t="s">
        <v>5863</v>
      </c>
      <c r="C2725" s="11" t="s">
        <v>17</v>
      </c>
      <c r="D2725" s="11" t="s">
        <v>18</v>
      </c>
      <c r="E2725" s="12" t="s">
        <v>202</v>
      </c>
      <c r="F2725" s="12" t="s">
        <v>203</v>
      </c>
      <c r="G2725" s="12" t="s">
        <v>46</v>
      </c>
      <c r="H2725" s="11" t="s">
        <v>63</v>
      </c>
      <c r="I2725" s="13" t="s">
        <v>5864</v>
      </c>
      <c r="J2725" s="14" t="str">
        <f>HYPERLINK("https://www.boe.es/gazeta/dias/1839/04/05/pdfs/GMD-1839-1602.pdf#page=3","Abrir facsímil")</f>
        <v>Abrir facsímil</v>
      </c>
      <c r="K2725" s="12" t="s">
        <v>65</v>
      </c>
    </row>
    <row r="2726" spans="1:11" ht="40.049999999999997" customHeight="1" x14ac:dyDescent="0.25">
      <c r="A2726" s="11" t="s">
        <v>5865</v>
      </c>
      <c r="B2726" s="11" t="s">
        <v>5866</v>
      </c>
      <c r="C2726" s="11" t="s">
        <v>17</v>
      </c>
      <c r="D2726" s="11" t="s">
        <v>18</v>
      </c>
      <c r="E2726" s="12" t="s">
        <v>798</v>
      </c>
      <c r="F2726" s="12" t="s">
        <v>799</v>
      </c>
      <c r="G2726" s="12" t="s">
        <v>21</v>
      </c>
      <c r="H2726" s="11" t="s">
        <v>22</v>
      </c>
      <c r="I2726" s="13" t="s">
        <v>5867</v>
      </c>
      <c r="J2726" s="14" t="str">
        <f>HYPERLINK("https://www.boe.es/gazeta/dias/1839/09/03/pdfs/GMD-1839-1755.pdf#page=4","Abrir facsímil")</f>
        <v>Abrir facsímil</v>
      </c>
      <c r="K2726" s="12" t="s">
        <v>24</v>
      </c>
    </row>
    <row r="2727" spans="1:11" ht="40.049999999999997" customHeight="1" x14ac:dyDescent="0.25">
      <c r="A2727" s="11" t="s">
        <v>5868</v>
      </c>
      <c r="B2727" s="11" t="s">
        <v>5868</v>
      </c>
      <c r="C2727" s="11" t="s">
        <v>17</v>
      </c>
      <c r="D2727" s="11" t="s">
        <v>18</v>
      </c>
      <c r="E2727" s="12" t="s">
        <v>756</v>
      </c>
      <c r="F2727" s="12" t="s">
        <v>757</v>
      </c>
      <c r="G2727" s="12" t="s">
        <v>21</v>
      </c>
      <c r="H2727" s="11" t="s">
        <v>63</v>
      </c>
      <c r="I2727" s="13" t="s">
        <v>5869</v>
      </c>
      <c r="J2727" s="14" t="str">
        <f>HYPERLINK("https://www.boe.es/gazeta/dias/1839/12/17/pdfs/GMD-1839-1864.pdf#page=4","Abrir facsímil")</f>
        <v>Abrir facsímil</v>
      </c>
      <c r="K2727" s="12" t="s">
        <v>65</v>
      </c>
    </row>
    <row r="2728" spans="1:11" ht="40.049999999999997" customHeight="1" x14ac:dyDescent="0.25">
      <c r="A2728" s="11" t="s">
        <v>5870</v>
      </c>
      <c r="B2728" s="11" t="s">
        <v>5871</v>
      </c>
      <c r="C2728" s="11" t="s">
        <v>17</v>
      </c>
      <c r="D2728" s="11" t="s">
        <v>18</v>
      </c>
      <c r="E2728" s="12" t="s">
        <v>798</v>
      </c>
      <c r="F2728" s="12" t="s">
        <v>799</v>
      </c>
      <c r="G2728" s="12" t="s">
        <v>21</v>
      </c>
      <c r="H2728" s="11" t="s">
        <v>63</v>
      </c>
      <c r="I2728" s="13" t="s">
        <v>5872</v>
      </c>
      <c r="J2728" s="14" t="str">
        <f>HYPERLINK("https://www.boe.es/gazeta/dias/1839/09/03/pdfs/GMD-1839-1755.pdf#page=4","Abrir facsímil")</f>
        <v>Abrir facsímil</v>
      </c>
      <c r="K2728" s="12" t="s">
        <v>65</v>
      </c>
    </row>
    <row r="2729" spans="1:11" ht="40.049999999999997" customHeight="1" x14ac:dyDescent="0.25">
      <c r="A2729" s="11" t="s">
        <v>5873</v>
      </c>
      <c r="B2729" s="11" t="s">
        <v>5873</v>
      </c>
      <c r="C2729" s="11" t="s">
        <v>17</v>
      </c>
      <c r="D2729" s="11" t="s">
        <v>18</v>
      </c>
      <c r="E2729" s="12" t="s">
        <v>401</v>
      </c>
      <c r="F2729" s="12" t="s">
        <v>402</v>
      </c>
      <c r="G2729" s="12" t="s">
        <v>40</v>
      </c>
      <c r="H2729" s="11" t="s">
        <v>63</v>
      </c>
      <c r="I2729" s="13" t="s">
        <v>5874</v>
      </c>
      <c r="J2729" s="14" t="str">
        <f>HYPERLINK("https://www.boe.es/gazeta/dias/1839/03/29/pdfs/GMD-1839-1595.pdf#page=2","Abrir facsímil")</f>
        <v>Abrir facsímil</v>
      </c>
      <c r="K2729" s="12" t="s">
        <v>65</v>
      </c>
    </row>
    <row r="2730" spans="1:11" ht="40.049999999999997" customHeight="1" x14ac:dyDescent="0.25">
      <c r="A2730" s="11" t="s">
        <v>5875</v>
      </c>
      <c r="B2730" s="11" t="s">
        <v>5876</v>
      </c>
      <c r="C2730" s="11" t="s">
        <v>17</v>
      </c>
      <c r="D2730" s="11" t="s">
        <v>18</v>
      </c>
      <c r="E2730" s="12" t="s">
        <v>226</v>
      </c>
      <c r="F2730" s="12" t="s">
        <v>227</v>
      </c>
      <c r="G2730" s="12" t="s">
        <v>21</v>
      </c>
      <c r="H2730" s="11" t="s">
        <v>63</v>
      </c>
      <c r="I2730" s="13" t="s">
        <v>5877</v>
      </c>
      <c r="J2730" s="14" t="str">
        <f>HYPERLINK("https://www.boe.es/gazeta/dias/1839/06/09/pdfs/GMD-1839-1667.pdf#page=4","Abrir facsímil")</f>
        <v>Abrir facsímil</v>
      </c>
      <c r="K2730" s="12" t="s">
        <v>65</v>
      </c>
    </row>
    <row r="2731" spans="1:11" ht="40.049999999999997" customHeight="1" x14ac:dyDescent="0.25">
      <c r="A2731" s="11" t="s">
        <v>5875</v>
      </c>
      <c r="B2731" s="11" t="s">
        <v>5876</v>
      </c>
      <c r="C2731" s="11" t="s">
        <v>17</v>
      </c>
      <c r="D2731" s="11" t="s">
        <v>18</v>
      </c>
      <c r="E2731" s="12" t="s">
        <v>1749</v>
      </c>
      <c r="F2731" s="12" t="s">
        <v>1750</v>
      </c>
      <c r="G2731" s="12" t="s">
        <v>46</v>
      </c>
      <c r="H2731" s="11" t="s">
        <v>63</v>
      </c>
      <c r="I2731" s="13" t="s">
        <v>5878</v>
      </c>
      <c r="J2731" s="14" t="str">
        <f>HYPERLINK("https://www.boe.es/gazeta/dias/1839/06/28/pdfs/GMD-1839-1686.pdf#page=3","Abrir facsímil")</f>
        <v>Abrir facsímil</v>
      </c>
      <c r="K2731" s="12" t="s">
        <v>65</v>
      </c>
    </row>
    <row r="2732" spans="1:11" ht="40.049999999999997" customHeight="1" x14ac:dyDescent="0.25">
      <c r="A2732" s="11" t="s">
        <v>5879</v>
      </c>
      <c r="B2732" s="11" t="s">
        <v>5879</v>
      </c>
      <c r="C2732" s="11" t="s">
        <v>17</v>
      </c>
      <c r="D2732" s="11" t="s">
        <v>18</v>
      </c>
      <c r="E2732" s="12" t="s">
        <v>587</v>
      </c>
      <c r="F2732" s="12" t="s">
        <v>588</v>
      </c>
      <c r="G2732" s="12" t="s">
        <v>21</v>
      </c>
      <c r="H2732" s="11" t="s">
        <v>63</v>
      </c>
      <c r="I2732" s="13" t="s">
        <v>5880</v>
      </c>
      <c r="J2732" s="14" t="str">
        <f>HYPERLINK("https://www.boe.es/gazeta/dias/1839/05/02/pdfs/GMD-1839-1629.pdf#page=4","Abrir facsímil")</f>
        <v>Abrir facsímil</v>
      </c>
      <c r="K2732" s="12" t="s">
        <v>65</v>
      </c>
    </row>
    <row r="2733" spans="1:11" ht="40.049999999999997" customHeight="1" x14ac:dyDescent="0.25">
      <c r="A2733" s="11" t="s">
        <v>5881</v>
      </c>
      <c r="B2733" s="11" t="s">
        <v>5881</v>
      </c>
      <c r="C2733" s="11" t="s">
        <v>17</v>
      </c>
      <c r="D2733" s="11" t="s">
        <v>18</v>
      </c>
      <c r="E2733" s="12" t="s">
        <v>2210</v>
      </c>
      <c r="F2733" s="12" t="s">
        <v>2211</v>
      </c>
      <c r="G2733" s="12" t="s">
        <v>46</v>
      </c>
      <c r="H2733" s="11" t="s">
        <v>63</v>
      </c>
      <c r="I2733" s="13" t="s">
        <v>5882</v>
      </c>
      <c r="J2733" s="14" t="str">
        <f>HYPERLINK("https://www.boe.es/gazeta/dias/1839/09/05/pdfs/GMD-1839-1758.pdf#page=3","Abrir facsímil")</f>
        <v>Abrir facsímil</v>
      </c>
      <c r="K2733" s="12" t="s">
        <v>65</v>
      </c>
    </row>
    <row r="2734" spans="1:11" ht="40.049999999999997" customHeight="1" x14ac:dyDescent="0.25">
      <c r="A2734" s="11" t="s">
        <v>5883</v>
      </c>
      <c r="B2734" s="11" t="s">
        <v>5883</v>
      </c>
      <c r="C2734" s="11" t="s">
        <v>17</v>
      </c>
      <c r="D2734" s="11" t="s">
        <v>18</v>
      </c>
      <c r="E2734" s="12" t="s">
        <v>1123</v>
      </c>
      <c r="F2734" s="12" t="s">
        <v>1124</v>
      </c>
      <c r="G2734" s="12" t="s">
        <v>21</v>
      </c>
      <c r="H2734" s="11" t="s">
        <v>63</v>
      </c>
      <c r="I2734" s="13" t="s">
        <v>5884</v>
      </c>
      <c r="J2734" s="14" t="str">
        <f>HYPERLINK("https://www.boe.es/gazeta/dias/1839/08/10/pdfs/GMD-1839-1730.pdf#page=4","Abrir facsímil")</f>
        <v>Abrir facsímil</v>
      </c>
      <c r="K2734" s="12" t="s">
        <v>65</v>
      </c>
    </row>
    <row r="2735" spans="1:11" ht="40.049999999999997" customHeight="1" x14ac:dyDescent="0.25">
      <c r="A2735" s="11" t="s">
        <v>5885</v>
      </c>
      <c r="B2735" s="11" t="s">
        <v>5886</v>
      </c>
      <c r="C2735" s="11" t="s">
        <v>80</v>
      </c>
      <c r="D2735" s="11" t="s">
        <v>18</v>
      </c>
      <c r="E2735" s="12" t="s">
        <v>1183</v>
      </c>
      <c r="F2735" s="12" t="s">
        <v>1184</v>
      </c>
      <c r="G2735" s="12" t="s">
        <v>21</v>
      </c>
      <c r="H2735" s="11" t="s">
        <v>63</v>
      </c>
      <c r="I2735" s="13" t="s">
        <v>5887</v>
      </c>
      <c r="J2735" s="14" t="str">
        <f>HYPERLINK("https://www.boe.es/gazeta/dias/1839/07/26/pdfs/GMD-1839-1715.pdf#page=4","Abrir facsímil")</f>
        <v>Abrir facsímil</v>
      </c>
      <c r="K2735" s="12" t="s">
        <v>65</v>
      </c>
    </row>
    <row r="2736" spans="1:11" ht="40.049999999999997" customHeight="1" x14ac:dyDescent="0.25">
      <c r="A2736" s="11" t="s">
        <v>5888</v>
      </c>
      <c r="B2736" s="11" t="s">
        <v>5888</v>
      </c>
      <c r="C2736" s="11" t="s">
        <v>17</v>
      </c>
      <c r="D2736" s="11" t="s">
        <v>18</v>
      </c>
      <c r="E2736" s="12" t="s">
        <v>4472</v>
      </c>
      <c r="F2736" s="12" t="s">
        <v>4473</v>
      </c>
      <c r="G2736" s="12" t="s">
        <v>29</v>
      </c>
      <c r="H2736" s="11" t="s">
        <v>63</v>
      </c>
      <c r="I2736" s="13" t="s">
        <v>5889</v>
      </c>
      <c r="J2736" s="14" t="str">
        <f>HYPERLINK("https://www.boe.es/gazeta/dias/1839/08/03/pdfs/GMD-1839-1723.pdf#page=1","Abrir facsímil")</f>
        <v>Abrir facsímil</v>
      </c>
      <c r="K2736" s="12" t="s">
        <v>65</v>
      </c>
    </row>
    <row r="2737" spans="1:11" ht="40.049999999999997" customHeight="1" x14ac:dyDescent="0.25">
      <c r="A2737" s="11" t="s">
        <v>5888</v>
      </c>
      <c r="B2737" s="11" t="s">
        <v>5888</v>
      </c>
      <c r="C2737" s="11" t="s">
        <v>17</v>
      </c>
      <c r="D2737" s="11" t="s">
        <v>18</v>
      </c>
      <c r="E2737" s="12" t="s">
        <v>483</v>
      </c>
      <c r="F2737" s="12" t="s">
        <v>484</v>
      </c>
      <c r="G2737" s="12" t="s">
        <v>40</v>
      </c>
      <c r="H2737" s="11" t="s">
        <v>63</v>
      </c>
      <c r="I2737" s="13" t="s">
        <v>5890</v>
      </c>
      <c r="J2737" s="14" t="str">
        <f>HYPERLINK("https://www.boe.es/gazeta/dias/1839/11/18/pdfs/GMD-1839-1835.pdf#page=2","Abrir facsímil")</f>
        <v>Abrir facsímil</v>
      </c>
      <c r="K2737" s="12" t="s">
        <v>65</v>
      </c>
    </row>
    <row r="2738" spans="1:11" ht="40.049999999999997" customHeight="1" x14ac:dyDescent="0.25">
      <c r="A2738" s="11" t="s">
        <v>5888</v>
      </c>
      <c r="B2738" s="11" t="s">
        <v>5888</v>
      </c>
      <c r="C2738" s="11" t="s">
        <v>137</v>
      </c>
      <c r="D2738" s="11" t="s">
        <v>18</v>
      </c>
      <c r="E2738" s="12" t="s">
        <v>1909</v>
      </c>
      <c r="F2738" s="12" t="s">
        <v>1910</v>
      </c>
      <c r="G2738" s="12" t="s">
        <v>21</v>
      </c>
      <c r="H2738" s="11" t="s">
        <v>63</v>
      </c>
      <c r="I2738" s="13" t="s">
        <v>5891</v>
      </c>
      <c r="J2738" s="14" t="str">
        <f>HYPERLINK("https://www.boe.es/gazeta/dias/1839/10/27/pdfs/GMD-1839-1813.pdf#page=4","Abrir facsímil")</f>
        <v>Abrir facsímil</v>
      </c>
      <c r="K2738" s="12" t="s">
        <v>65</v>
      </c>
    </row>
    <row r="2739" spans="1:11" ht="40.049999999999997" customHeight="1" x14ac:dyDescent="0.25">
      <c r="A2739" s="11" t="s">
        <v>5892</v>
      </c>
      <c r="B2739" s="11" t="s">
        <v>5892</v>
      </c>
      <c r="C2739" s="11" t="s">
        <v>101</v>
      </c>
      <c r="D2739" s="11" t="s">
        <v>43</v>
      </c>
      <c r="E2739" s="12" t="s">
        <v>1433</v>
      </c>
      <c r="F2739" s="12" t="s">
        <v>1434</v>
      </c>
      <c r="G2739" s="12" t="s">
        <v>40</v>
      </c>
      <c r="H2739" s="11" t="s">
        <v>22</v>
      </c>
      <c r="I2739" s="13" t="s">
        <v>5893</v>
      </c>
      <c r="J2739" s="14" t="str">
        <f>HYPERLINK("https://www.boe.es/gazeta/dias/1839/10/22/pdfs/GMD-1839-1808.pdf#page=2","Abrir facsímil")</f>
        <v>Abrir facsímil</v>
      </c>
      <c r="K2739" s="12" t="s">
        <v>24</v>
      </c>
    </row>
    <row r="2740" spans="1:11" ht="40.049999999999997" customHeight="1" x14ac:dyDescent="0.25">
      <c r="A2740" s="11" t="s">
        <v>5894</v>
      </c>
      <c r="B2740" s="11" t="s">
        <v>5894</v>
      </c>
      <c r="C2740" s="11" t="s">
        <v>17</v>
      </c>
      <c r="D2740" s="11" t="s">
        <v>18</v>
      </c>
      <c r="E2740" s="12" t="s">
        <v>826</v>
      </c>
      <c r="F2740" s="12" t="s">
        <v>827</v>
      </c>
      <c r="G2740" s="12" t="s">
        <v>40</v>
      </c>
      <c r="H2740" s="11" t="s">
        <v>63</v>
      </c>
      <c r="I2740" s="13" t="s">
        <v>5895</v>
      </c>
      <c r="J2740" s="14" t="str">
        <f>HYPERLINK("https://www.boe.es/gazeta/dias/1839/09/25/pdfs/GMD-1839-1781.pdf#page=2","Abrir facsímil")</f>
        <v>Abrir facsímil</v>
      </c>
      <c r="K2740" s="12" t="s">
        <v>65</v>
      </c>
    </row>
    <row r="2741" spans="1:11" ht="40.049999999999997" customHeight="1" x14ac:dyDescent="0.25">
      <c r="A2741" s="11" t="s">
        <v>5896</v>
      </c>
      <c r="B2741" s="11" t="s">
        <v>5896</v>
      </c>
      <c r="C2741" s="11" t="s">
        <v>17</v>
      </c>
      <c r="D2741" s="11" t="s">
        <v>18</v>
      </c>
      <c r="E2741" s="12" t="s">
        <v>848</v>
      </c>
      <c r="F2741" s="12" t="s">
        <v>849</v>
      </c>
      <c r="G2741" s="12" t="s">
        <v>40</v>
      </c>
      <c r="H2741" s="11" t="s">
        <v>63</v>
      </c>
      <c r="I2741" s="13" t="s">
        <v>5897</v>
      </c>
      <c r="J2741" s="14" t="str">
        <f>HYPERLINK("https://www.boe.es/gazeta/dias/1839/08/04/pdfs/GMD-1839-1724.pdf#page=2","Abrir facsímil")</f>
        <v>Abrir facsímil</v>
      </c>
      <c r="K2741" s="12" t="s">
        <v>65</v>
      </c>
    </row>
    <row r="2742" spans="1:11" ht="40.049999999999997" customHeight="1" x14ac:dyDescent="0.25">
      <c r="A2742" s="11" t="s">
        <v>5896</v>
      </c>
      <c r="B2742" s="11" t="s">
        <v>5896</v>
      </c>
      <c r="C2742" s="11" t="s">
        <v>59</v>
      </c>
      <c r="D2742" s="11" t="s">
        <v>60</v>
      </c>
      <c r="E2742" s="12" t="s">
        <v>513</v>
      </c>
      <c r="F2742" s="12" t="s">
        <v>514</v>
      </c>
      <c r="G2742" s="12" t="s">
        <v>29</v>
      </c>
      <c r="H2742" s="11" t="s">
        <v>63</v>
      </c>
      <c r="I2742" s="13" t="s">
        <v>5898</v>
      </c>
      <c r="J2742" s="14" t="str">
        <f>HYPERLINK("https://www.boe.es/gazeta/dias/1839/03/17/pdfs/GMD-1839-1583.pdf#page=1","Abrir facsímil")</f>
        <v>Abrir facsímil</v>
      </c>
      <c r="K2742" s="12" t="s">
        <v>65</v>
      </c>
    </row>
    <row r="2743" spans="1:11" ht="40.049999999999997" customHeight="1" x14ac:dyDescent="0.25">
      <c r="A2743" s="11" t="s">
        <v>5896</v>
      </c>
      <c r="B2743" s="11" t="s">
        <v>5896</v>
      </c>
      <c r="C2743" s="11" t="s">
        <v>17</v>
      </c>
      <c r="D2743" s="11" t="s">
        <v>18</v>
      </c>
      <c r="E2743" s="12" t="s">
        <v>375</v>
      </c>
      <c r="F2743" s="12" t="s">
        <v>376</v>
      </c>
      <c r="G2743" s="12" t="s">
        <v>21</v>
      </c>
      <c r="H2743" s="11" t="s">
        <v>63</v>
      </c>
      <c r="I2743" s="13" t="s">
        <v>5899</v>
      </c>
      <c r="J2743" s="14" t="str">
        <f>HYPERLINK("https://www.boe.es/gazeta/dias/1839/11/25/pdfs/GMD-1839-1842.pdf#page=4","Abrir facsímil")</f>
        <v>Abrir facsímil</v>
      </c>
      <c r="K2743" s="12" t="s">
        <v>65</v>
      </c>
    </row>
    <row r="2744" spans="1:11" ht="40.049999999999997" customHeight="1" x14ac:dyDescent="0.25">
      <c r="A2744" s="11" t="s">
        <v>5900</v>
      </c>
      <c r="B2744" s="11" t="s">
        <v>5900</v>
      </c>
      <c r="C2744" s="11" t="s">
        <v>17</v>
      </c>
      <c r="D2744" s="11" t="s">
        <v>18</v>
      </c>
      <c r="E2744" s="12" t="s">
        <v>27</v>
      </c>
      <c r="F2744" s="12" t="s">
        <v>28</v>
      </c>
      <c r="G2744" s="12" t="s">
        <v>29</v>
      </c>
      <c r="H2744" s="11" t="s">
        <v>63</v>
      </c>
      <c r="I2744" s="13" t="s">
        <v>5901</v>
      </c>
      <c r="J2744" s="14" t="str">
        <f>HYPERLINK("https://www.boe.es/gazeta/dias/1839/07/28/pdfs/GMD-1839-1717.pdf#page=1","Abrir facsímil")</f>
        <v>Abrir facsímil</v>
      </c>
      <c r="K2744" s="12" t="s">
        <v>65</v>
      </c>
    </row>
    <row r="2745" spans="1:11" ht="40.049999999999997" customHeight="1" x14ac:dyDescent="0.25">
      <c r="A2745" s="11" t="s">
        <v>5902</v>
      </c>
      <c r="B2745" s="11" t="s">
        <v>5902</v>
      </c>
      <c r="C2745" s="11" t="s">
        <v>101</v>
      </c>
      <c r="D2745" s="11" t="s">
        <v>43</v>
      </c>
      <c r="E2745" s="12" t="s">
        <v>4047</v>
      </c>
      <c r="F2745" s="12" t="s">
        <v>4048</v>
      </c>
      <c r="G2745" s="12" t="s">
        <v>40</v>
      </c>
      <c r="H2745" s="11" t="s">
        <v>63</v>
      </c>
      <c r="I2745" s="13" t="s">
        <v>5903</v>
      </c>
      <c r="J2745" s="14" t="str">
        <f>HYPERLINK("https://www.boe.es/gazeta/dias/1839/03/26/pdfs/GMD-1839-1592.pdf#page=2","Abrir facsímil")</f>
        <v>Abrir facsímil</v>
      </c>
      <c r="K2745" s="12" t="s">
        <v>65</v>
      </c>
    </row>
    <row r="2746" spans="1:11" ht="40.049999999999997" customHeight="1" x14ac:dyDescent="0.25">
      <c r="A2746" s="11" t="s">
        <v>5904</v>
      </c>
      <c r="B2746" s="11" t="s">
        <v>5904</v>
      </c>
      <c r="C2746" s="11" t="s">
        <v>17</v>
      </c>
      <c r="D2746" s="11" t="s">
        <v>18</v>
      </c>
      <c r="E2746" s="12" t="s">
        <v>700</v>
      </c>
      <c r="F2746" s="12" t="s">
        <v>701</v>
      </c>
      <c r="G2746" s="12" t="s">
        <v>29</v>
      </c>
      <c r="H2746" s="11" t="s">
        <v>63</v>
      </c>
      <c r="I2746" s="13" t="s">
        <v>5905</v>
      </c>
      <c r="J2746" s="14" t="str">
        <f>HYPERLINK("https://www.boe.es/gazeta/dias/1839/09/01/pdfs/GMD-1839-1753.pdf#page=1","Abrir facsímil")</f>
        <v>Abrir facsímil</v>
      </c>
      <c r="K2746" s="12" t="s">
        <v>65</v>
      </c>
    </row>
    <row r="2747" spans="1:11" ht="40.049999999999997" customHeight="1" x14ac:dyDescent="0.25">
      <c r="A2747" s="11" t="s">
        <v>5904</v>
      </c>
      <c r="B2747" s="11" t="s">
        <v>5904</v>
      </c>
      <c r="C2747" s="11" t="s">
        <v>80</v>
      </c>
      <c r="D2747" s="11" t="s">
        <v>18</v>
      </c>
      <c r="E2747" s="12" t="s">
        <v>369</v>
      </c>
      <c r="F2747" s="12" t="s">
        <v>370</v>
      </c>
      <c r="G2747" s="12" t="s">
        <v>40</v>
      </c>
      <c r="H2747" s="11" t="s">
        <v>63</v>
      </c>
      <c r="I2747" s="13" t="s">
        <v>5906</v>
      </c>
      <c r="J2747" s="14" t="str">
        <f>HYPERLINK("https://www.boe.es/gazeta/dias/1839/11/01/pdfs/GMD-1839-1818.pdf#page=2","Abrir facsímil")</f>
        <v>Abrir facsímil</v>
      </c>
      <c r="K2747" s="12" t="s">
        <v>65</v>
      </c>
    </row>
    <row r="2748" spans="1:11" ht="40.049999999999997" customHeight="1" x14ac:dyDescent="0.25">
      <c r="A2748" s="11" t="s">
        <v>5904</v>
      </c>
      <c r="B2748" s="11" t="s">
        <v>5904</v>
      </c>
      <c r="C2748" s="11" t="s">
        <v>17</v>
      </c>
      <c r="D2748" s="11" t="s">
        <v>18</v>
      </c>
      <c r="E2748" s="12" t="s">
        <v>132</v>
      </c>
      <c r="F2748" s="12" t="s">
        <v>133</v>
      </c>
      <c r="G2748" s="12" t="s">
        <v>21</v>
      </c>
      <c r="H2748" s="11" t="s">
        <v>63</v>
      </c>
      <c r="I2748" s="13" t="s">
        <v>5907</v>
      </c>
      <c r="J2748" s="14" t="str">
        <f>HYPERLINK("https://www.boe.es/gazeta/dias/1839/08/02/pdfs/GMD-1839-1722.pdf#page=4","Abrir facsímil")</f>
        <v>Abrir facsímil</v>
      </c>
      <c r="K2748" s="12" t="s">
        <v>65</v>
      </c>
    </row>
    <row r="2749" spans="1:11" ht="40.049999999999997" customHeight="1" x14ac:dyDescent="0.25">
      <c r="A2749" s="11" t="s">
        <v>5904</v>
      </c>
      <c r="B2749" s="11" t="s">
        <v>5904</v>
      </c>
      <c r="C2749" s="11" t="s">
        <v>59</v>
      </c>
      <c r="D2749" s="11" t="s">
        <v>60</v>
      </c>
      <c r="E2749" s="12" t="s">
        <v>1813</v>
      </c>
      <c r="F2749" s="12" t="s">
        <v>1814</v>
      </c>
      <c r="G2749" s="12" t="s">
        <v>40</v>
      </c>
      <c r="H2749" s="11" t="s">
        <v>63</v>
      </c>
      <c r="I2749" s="13" t="s">
        <v>5908</v>
      </c>
      <c r="J2749" s="14" t="str">
        <f>HYPERLINK("https://www.boe.es/gazeta/dias/1839/09/02/pdfs/GMD-1839-1754.pdf#page=2","Abrir facsímil")</f>
        <v>Abrir facsímil</v>
      </c>
      <c r="K2749" s="12" t="s">
        <v>65</v>
      </c>
    </row>
    <row r="2750" spans="1:11" ht="40.049999999999997" customHeight="1" x14ac:dyDescent="0.25">
      <c r="A2750" s="11" t="s">
        <v>5904</v>
      </c>
      <c r="B2750" s="11" t="s">
        <v>5904</v>
      </c>
      <c r="C2750" s="11" t="s">
        <v>17</v>
      </c>
      <c r="D2750" s="11" t="s">
        <v>18</v>
      </c>
      <c r="E2750" s="12" t="s">
        <v>1332</v>
      </c>
      <c r="F2750" s="12" t="s">
        <v>1333</v>
      </c>
      <c r="G2750" s="12" t="s">
        <v>46</v>
      </c>
      <c r="H2750" s="11" t="s">
        <v>63</v>
      </c>
      <c r="I2750" s="13" t="s">
        <v>5909</v>
      </c>
      <c r="J2750" s="14" t="str">
        <f>HYPERLINK("https://www.boe.es/gazeta/dias/1839/05/04/pdfs/GMD-1839-1631.pdf#page=3","Abrir facsímil")</f>
        <v>Abrir facsímil</v>
      </c>
      <c r="K2750" s="12" t="s">
        <v>65</v>
      </c>
    </row>
    <row r="2751" spans="1:11" ht="40.049999999999997" customHeight="1" x14ac:dyDescent="0.25">
      <c r="A2751" s="11" t="s">
        <v>5904</v>
      </c>
      <c r="B2751" s="11" t="s">
        <v>5904</v>
      </c>
      <c r="C2751" s="11" t="s">
        <v>17</v>
      </c>
      <c r="D2751" s="11" t="s">
        <v>18</v>
      </c>
      <c r="E2751" s="12" t="s">
        <v>1388</v>
      </c>
      <c r="F2751" s="12" t="s">
        <v>1389</v>
      </c>
      <c r="G2751" s="12" t="s">
        <v>21</v>
      </c>
      <c r="H2751" s="11" t="s">
        <v>63</v>
      </c>
      <c r="I2751" s="13" t="s">
        <v>5910</v>
      </c>
      <c r="J2751" s="14" t="str">
        <f>HYPERLINK("https://www.boe.es/gazeta/dias/1839/06/04/pdfs/GMD-1839-1662.pdf#page=4","Abrir facsímil")</f>
        <v>Abrir facsímil</v>
      </c>
      <c r="K2751" s="12" t="s">
        <v>65</v>
      </c>
    </row>
    <row r="2752" spans="1:11" ht="40.049999999999997" customHeight="1" x14ac:dyDescent="0.25">
      <c r="A2752" s="11" t="s">
        <v>5904</v>
      </c>
      <c r="B2752" s="11" t="s">
        <v>5904</v>
      </c>
      <c r="C2752" s="11" t="s">
        <v>59</v>
      </c>
      <c r="D2752" s="11" t="s">
        <v>60</v>
      </c>
      <c r="E2752" s="12" t="s">
        <v>848</v>
      </c>
      <c r="F2752" s="12" t="s">
        <v>849</v>
      </c>
      <c r="G2752" s="12" t="s">
        <v>29</v>
      </c>
      <c r="H2752" s="11" t="s">
        <v>63</v>
      </c>
      <c r="I2752" s="13" t="s">
        <v>5911</v>
      </c>
      <c r="J2752" s="14" t="str">
        <f>HYPERLINK("https://www.boe.es/gazeta/dias/1839/08/04/pdfs/GMD-1839-1724.pdf#page=1","Abrir facsímil")</f>
        <v>Abrir facsímil</v>
      </c>
      <c r="K2752" s="12" t="s">
        <v>65</v>
      </c>
    </row>
    <row r="2753" spans="1:11" ht="40.049999999999997" customHeight="1" x14ac:dyDescent="0.25">
      <c r="A2753" s="11" t="s">
        <v>5904</v>
      </c>
      <c r="B2753" s="11" t="s">
        <v>5904</v>
      </c>
      <c r="C2753" s="11" t="s">
        <v>17</v>
      </c>
      <c r="D2753" s="11" t="s">
        <v>18</v>
      </c>
      <c r="E2753" s="12" t="s">
        <v>848</v>
      </c>
      <c r="F2753" s="12" t="s">
        <v>849</v>
      </c>
      <c r="G2753" s="12" t="s">
        <v>40</v>
      </c>
      <c r="H2753" s="11" t="s">
        <v>63</v>
      </c>
      <c r="I2753" s="13" t="s">
        <v>5912</v>
      </c>
      <c r="J2753" s="14" t="str">
        <f>HYPERLINK("https://www.boe.es/gazeta/dias/1839/08/04/pdfs/GMD-1839-1724.pdf#page=2","Abrir facsímil")</f>
        <v>Abrir facsímil</v>
      </c>
      <c r="K2753" s="12" t="s">
        <v>65</v>
      </c>
    </row>
    <row r="2754" spans="1:11" ht="40.049999999999997" customHeight="1" x14ac:dyDescent="0.25">
      <c r="A2754" s="11" t="s">
        <v>5904</v>
      </c>
      <c r="B2754" s="11" t="s">
        <v>5904</v>
      </c>
      <c r="C2754" s="11" t="s">
        <v>101</v>
      </c>
      <c r="D2754" s="11" t="s">
        <v>43</v>
      </c>
      <c r="E2754" s="12" t="s">
        <v>848</v>
      </c>
      <c r="F2754" s="12" t="s">
        <v>849</v>
      </c>
      <c r="G2754" s="12" t="s">
        <v>46</v>
      </c>
      <c r="H2754" s="11" t="s">
        <v>63</v>
      </c>
      <c r="I2754" s="13" t="s">
        <v>5913</v>
      </c>
      <c r="J2754" s="14" t="str">
        <f>HYPERLINK("https://www.boe.es/gazeta/dias/1839/08/04/pdfs/GMD-1839-1724.pdf#page=3","Abrir facsímil")</f>
        <v>Abrir facsímil</v>
      </c>
      <c r="K2754" s="12" t="s">
        <v>65</v>
      </c>
    </row>
    <row r="2755" spans="1:11" ht="40.049999999999997" customHeight="1" x14ac:dyDescent="0.25">
      <c r="A2755" s="11" t="s">
        <v>5904</v>
      </c>
      <c r="B2755" s="11" t="s">
        <v>5904</v>
      </c>
      <c r="C2755" s="11" t="s">
        <v>59</v>
      </c>
      <c r="D2755" s="11" t="s">
        <v>60</v>
      </c>
      <c r="E2755" s="12" t="s">
        <v>291</v>
      </c>
      <c r="F2755" s="12" t="s">
        <v>292</v>
      </c>
      <c r="G2755" s="12" t="s">
        <v>21</v>
      </c>
      <c r="H2755" s="11" t="s">
        <v>63</v>
      </c>
      <c r="I2755" s="13" t="s">
        <v>5914</v>
      </c>
      <c r="J2755" s="14" t="str">
        <f>HYPERLINK("https://www.boe.es/gazeta/dias/1839/09/04/pdfs/GMD-1839-1757.pdf#page=4","Abrir facsímil")</f>
        <v>Abrir facsímil</v>
      </c>
      <c r="K2755" s="12" t="s">
        <v>65</v>
      </c>
    </row>
    <row r="2756" spans="1:11" ht="40.049999999999997" customHeight="1" x14ac:dyDescent="0.25">
      <c r="A2756" s="11" t="s">
        <v>5904</v>
      </c>
      <c r="B2756" s="11" t="s">
        <v>5904</v>
      </c>
      <c r="C2756" s="11" t="s">
        <v>17</v>
      </c>
      <c r="D2756" s="11" t="s">
        <v>18</v>
      </c>
      <c r="E2756" s="12" t="s">
        <v>327</v>
      </c>
      <c r="F2756" s="12" t="s">
        <v>328</v>
      </c>
      <c r="G2756" s="12" t="s">
        <v>21</v>
      </c>
      <c r="H2756" s="11" t="s">
        <v>63</v>
      </c>
      <c r="I2756" s="13" t="s">
        <v>5915</v>
      </c>
      <c r="J2756" s="14" t="str">
        <f>HYPERLINK("https://www.boe.es/gazeta/dias/1839/08/05/pdfs/GMD-1839-1725.pdf#page=4","Abrir facsímil")</f>
        <v>Abrir facsímil</v>
      </c>
      <c r="K2756" s="12" t="s">
        <v>65</v>
      </c>
    </row>
    <row r="2757" spans="1:11" ht="40.049999999999997" customHeight="1" x14ac:dyDescent="0.25">
      <c r="A2757" s="11" t="s">
        <v>5904</v>
      </c>
      <c r="B2757" s="11" t="s">
        <v>5904</v>
      </c>
      <c r="C2757" s="11" t="s">
        <v>59</v>
      </c>
      <c r="D2757" s="11" t="s">
        <v>60</v>
      </c>
      <c r="E2757" s="12" t="s">
        <v>2210</v>
      </c>
      <c r="F2757" s="12" t="s">
        <v>2211</v>
      </c>
      <c r="G2757" s="12" t="s">
        <v>46</v>
      </c>
      <c r="H2757" s="11" t="s">
        <v>63</v>
      </c>
      <c r="I2757" s="13" t="s">
        <v>5916</v>
      </c>
      <c r="J2757" s="14" t="str">
        <f>HYPERLINK("https://www.boe.es/gazeta/dias/1839/09/05/pdfs/GMD-1839-1758.pdf#page=3","Abrir facsímil")</f>
        <v>Abrir facsímil</v>
      </c>
      <c r="K2757" s="12" t="s">
        <v>65</v>
      </c>
    </row>
    <row r="2758" spans="1:11" ht="40.049999999999997" customHeight="1" x14ac:dyDescent="0.25">
      <c r="A2758" s="11" t="s">
        <v>5904</v>
      </c>
      <c r="B2758" s="11" t="s">
        <v>5904</v>
      </c>
      <c r="C2758" s="11" t="s">
        <v>17</v>
      </c>
      <c r="D2758" s="11" t="s">
        <v>18</v>
      </c>
      <c r="E2758" s="12" t="s">
        <v>770</v>
      </c>
      <c r="F2758" s="12" t="s">
        <v>771</v>
      </c>
      <c r="G2758" s="12" t="s">
        <v>46</v>
      </c>
      <c r="H2758" s="11" t="s">
        <v>63</v>
      </c>
      <c r="I2758" s="13" t="s">
        <v>5917</v>
      </c>
      <c r="J2758" s="14" t="str">
        <f>HYPERLINK("https://www.boe.es/gazeta/dias/1839/12/05/pdfs/GMD-1839-1852.pdf#page=3","Abrir facsímil")</f>
        <v>Abrir facsímil</v>
      </c>
      <c r="K2758" s="12" t="s">
        <v>65</v>
      </c>
    </row>
    <row r="2759" spans="1:11" ht="40.049999999999997" customHeight="1" x14ac:dyDescent="0.25">
      <c r="A2759" s="11" t="s">
        <v>5904</v>
      </c>
      <c r="B2759" s="11" t="s">
        <v>5904</v>
      </c>
      <c r="C2759" s="11" t="s">
        <v>101</v>
      </c>
      <c r="D2759" s="11" t="s">
        <v>43</v>
      </c>
      <c r="E2759" s="12" t="s">
        <v>2165</v>
      </c>
      <c r="F2759" s="12" t="s">
        <v>2166</v>
      </c>
      <c r="G2759" s="12" t="s">
        <v>40</v>
      </c>
      <c r="H2759" s="11" t="s">
        <v>63</v>
      </c>
      <c r="I2759" s="13" t="s">
        <v>5918</v>
      </c>
      <c r="J2759" s="14" t="str">
        <f>HYPERLINK("https://www.boe.es/gazeta/dias/1839/01/06/pdfs/GMD-1839-1513.pdf#page=2","Abrir facsímil")</f>
        <v>Abrir facsímil</v>
      </c>
      <c r="K2759" s="12" t="s">
        <v>65</v>
      </c>
    </row>
    <row r="2760" spans="1:11" ht="40.049999999999997" customHeight="1" x14ac:dyDescent="0.25">
      <c r="A2760" s="11" t="s">
        <v>5904</v>
      </c>
      <c r="B2760" s="11" t="s">
        <v>5904</v>
      </c>
      <c r="C2760" s="11" t="s">
        <v>59</v>
      </c>
      <c r="D2760" s="11" t="s">
        <v>60</v>
      </c>
      <c r="E2760" s="12" t="s">
        <v>3566</v>
      </c>
      <c r="F2760" s="12" t="s">
        <v>3567</v>
      </c>
      <c r="G2760" s="12" t="s">
        <v>46</v>
      </c>
      <c r="H2760" s="11" t="s">
        <v>63</v>
      </c>
      <c r="I2760" s="13" t="s">
        <v>5919</v>
      </c>
      <c r="J2760" s="14" t="str">
        <f>HYPERLINK("https://www.boe.es/gazeta/dias/1839/07/06/pdfs/GMD-1839-1694.pdf#page=3","Abrir facsímil")</f>
        <v>Abrir facsímil</v>
      </c>
      <c r="K2760" s="12" t="s">
        <v>65</v>
      </c>
    </row>
    <row r="2761" spans="1:11" ht="40.049999999999997" customHeight="1" x14ac:dyDescent="0.25">
      <c r="A2761" s="11" t="s">
        <v>5904</v>
      </c>
      <c r="B2761" s="11" t="s">
        <v>5904</v>
      </c>
      <c r="C2761" s="11" t="s">
        <v>17</v>
      </c>
      <c r="D2761" s="11" t="s">
        <v>18</v>
      </c>
      <c r="E2761" s="12" t="s">
        <v>303</v>
      </c>
      <c r="F2761" s="12" t="s">
        <v>304</v>
      </c>
      <c r="G2761" s="12" t="s">
        <v>305</v>
      </c>
      <c r="H2761" s="11" t="s">
        <v>63</v>
      </c>
      <c r="I2761" s="13" t="s">
        <v>5920</v>
      </c>
      <c r="J2761" s="14" t="str">
        <f>HYPERLINK("https://www.boe.es/gazeta/dias/1839/10/06/pdfs/GMD-1839-1792.pdf#page=6","Abrir facsímil")</f>
        <v>Abrir facsímil</v>
      </c>
      <c r="K2761" s="12" t="s">
        <v>65</v>
      </c>
    </row>
    <row r="2762" spans="1:11" ht="40.049999999999997" customHeight="1" x14ac:dyDescent="0.25">
      <c r="A2762" s="11" t="s">
        <v>5904</v>
      </c>
      <c r="B2762" s="11" t="s">
        <v>5904</v>
      </c>
      <c r="C2762" s="11" t="s">
        <v>17</v>
      </c>
      <c r="D2762" s="11" t="s">
        <v>18</v>
      </c>
      <c r="E2762" s="12" t="s">
        <v>4055</v>
      </c>
      <c r="F2762" s="12" t="s">
        <v>4056</v>
      </c>
      <c r="G2762" s="12" t="s">
        <v>21</v>
      </c>
      <c r="H2762" s="11" t="s">
        <v>63</v>
      </c>
      <c r="I2762" s="13" t="s">
        <v>5921</v>
      </c>
      <c r="J2762" s="14" t="str">
        <f>HYPERLINK("https://www.boe.es/gazeta/dias/1839/03/07/pdfs/GMD-1839-1573.pdf#page=4","Abrir facsímil")</f>
        <v>Abrir facsímil</v>
      </c>
      <c r="K2762" s="12" t="s">
        <v>65</v>
      </c>
    </row>
    <row r="2763" spans="1:11" ht="40.049999999999997" customHeight="1" x14ac:dyDescent="0.25">
      <c r="A2763" s="11" t="s">
        <v>5904</v>
      </c>
      <c r="B2763" s="11" t="s">
        <v>5904</v>
      </c>
      <c r="C2763" s="11" t="s">
        <v>17</v>
      </c>
      <c r="D2763" s="11" t="s">
        <v>18</v>
      </c>
      <c r="E2763" s="12" t="s">
        <v>647</v>
      </c>
      <c r="F2763" s="12" t="s">
        <v>648</v>
      </c>
      <c r="G2763" s="12" t="s">
        <v>29</v>
      </c>
      <c r="H2763" s="11" t="s">
        <v>63</v>
      </c>
      <c r="I2763" s="13" t="s">
        <v>5922</v>
      </c>
      <c r="J2763" s="14" t="str">
        <f>HYPERLINK("https://www.boe.es/gazeta/dias/1839/10/08/pdfs/GMD-1839-1794.pdf#page=1","Abrir facsímil")</f>
        <v>Abrir facsímil</v>
      </c>
      <c r="K2763" s="12" t="s">
        <v>65</v>
      </c>
    </row>
    <row r="2764" spans="1:11" ht="40.049999999999997" customHeight="1" x14ac:dyDescent="0.25">
      <c r="A2764" s="11" t="s">
        <v>5904</v>
      </c>
      <c r="B2764" s="11" t="s">
        <v>5904</v>
      </c>
      <c r="C2764" s="11" t="s">
        <v>17</v>
      </c>
      <c r="D2764" s="11" t="s">
        <v>18</v>
      </c>
      <c r="E2764" s="12" t="s">
        <v>138</v>
      </c>
      <c r="F2764" s="12" t="s">
        <v>139</v>
      </c>
      <c r="G2764" s="12" t="s">
        <v>29</v>
      </c>
      <c r="H2764" s="11" t="s">
        <v>63</v>
      </c>
      <c r="I2764" s="13" t="s">
        <v>5923</v>
      </c>
      <c r="J2764" s="14" t="str">
        <f>HYPERLINK("https://www.boe.es/gazeta/dias/1839/10/09/pdfs/GMD-1839-1795.pdf#page=1","Abrir facsímil")</f>
        <v>Abrir facsímil</v>
      </c>
      <c r="K2764" s="12" t="s">
        <v>65</v>
      </c>
    </row>
    <row r="2765" spans="1:11" ht="40.049999999999997" customHeight="1" x14ac:dyDescent="0.25">
      <c r="A2765" s="11" t="s">
        <v>5904</v>
      </c>
      <c r="B2765" s="11" t="s">
        <v>5904</v>
      </c>
      <c r="C2765" s="11" t="s">
        <v>101</v>
      </c>
      <c r="D2765" s="11" t="s">
        <v>102</v>
      </c>
      <c r="E2765" s="12" t="s">
        <v>138</v>
      </c>
      <c r="F2765" s="12" t="s">
        <v>139</v>
      </c>
      <c r="G2765" s="12" t="s">
        <v>40</v>
      </c>
      <c r="H2765" s="11" t="s">
        <v>63</v>
      </c>
      <c r="I2765" s="13" t="s">
        <v>5924</v>
      </c>
      <c r="J2765" s="14" t="str">
        <f>HYPERLINK("https://www.boe.es/gazeta/dias/1839/10/09/pdfs/GMD-1839-1795.pdf#page=2","Abrir facsímil")</f>
        <v>Abrir facsímil</v>
      </c>
      <c r="K2765" s="12" t="s">
        <v>65</v>
      </c>
    </row>
    <row r="2766" spans="1:11" ht="40.049999999999997" customHeight="1" x14ac:dyDescent="0.25">
      <c r="A2766" s="11" t="s">
        <v>5904</v>
      </c>
      <c r="B2766" s="11" t="s">
        <v>5904</v>
      </c>
      <c r="C2766" s="11" t="s">
        <v>59</v>
      </c>
      <c r="D2766" s="11" t="s">
        <v>60</v>
      </c>
      <c r="E2766" s="12" t="s">
        <v>426</v>
      </c>
      <c r="F2766" s="12" t="s">
        <v>427</v>
      </c>
      <c r="G2766" s="12" t="s">
        <v>29</v>
      </c>
      <c r="H2766" s="11" t="s">
        <v>63</v>
      </c>
      <c r="I2766" s="13" t="s">
        <v>5925</v>
      </c>
      <c r="J2766" s="14" t="str">
        <f>HYPERLINK("https://www.boe.es/gazeta/dias/1839/08/11/pdfs/GMD-1839-1731.pdf#page=1","Abrir facsímil")</f>
        <v>Abrir facsímil</v>
      </c>
      <c r="K2766" s="12" t="s">
        <v>65</v>
      </c>
    </row>
    <row r="2767" spans="1:11" ht="40.049999999999997" customHeight="1" x14ac:dyDescent="0.25">
      <c r="A2767" s="11" t="s">
        <v>5904</v>
      </c>
      <c r="B2767" s="11" t="s">
        <v>5904</v>
      </c>
      <c r="C2767" s="11" t="s">
        <v>59</v>
      </c>
      <c r="D2767" s="11" t="s">
        <v>60</v>
      </c>
      <c r="E2767" s="12" t="s">
        <v>1391</v>
      </c>
      <c r="F2767" s="12" t="s">
        <v>1392</v>
      </c>
      <c r="G2767" s="12" t="s">
        <v>29</v>
      </c>
      <c r="H2767" s="11" t="s">
        <v>63</v>
      </c>
      <c r="I2767" s="13" t="s">
        <v>5926</v>
      </c>
      <c r="J2767" s="14" t="str">
        <f>HYPERLINK("https://www.boe.es/gazeta/dias/1839/05/12/pdfs/GMD-1839-1639.pdf#page=1","Abrir facsímil")</f>
        <v>Abrir facsímil</v>
      </c>
      <c r="K2767" s="12" t="s">
        <v>65</v>
      </c>
    </row>
    <row r="2768" spans="1:11" ht="40.049999999999997" customHeight="1" x14ac:dyDescent="0.25">
      <c r="A2768" s="11" t="s">
        <v>5904</v>
      </c>
      <c r="B2768" s="11" t="s">
        <v>5904</v>
      </c>
      <c r="C2768" s="11" t="s">
        <v>59</v>
      </c>
      <c r="D2768" s="11" t="s">
        <v>60</v>
      </c>
      <c r="E2768" s="12" t="s">
        <v>2452</v>
      </c>
      <c r="F2768" s="12" t="s">
        <v>2453</v>
      </c>
      <c r="G2768" s="12" t="s">
        <v>46</v>
      </c>
      <c r="H2768" s="11" t="s">
        <v>63</v>
      </c>
      <c r="I2768" s="13" t="s">
        <v>5927</v>
      </c>
      <c r="J2768" s="14" t="str">
        <f>HYPERLINK("https://www.boe.es/gazeta/dias/1839/11/14/pdfs/GMD-1839-1831.pdf#page=3","Abrir facsímil")</f>
        <v>Abrir facsímil</v>
      </c>
      <c r="K2768" s="12" t="s">
        <v>65</v>
      </c>
    </row>
    <row r="2769" spans="1:11" ht="40.049999999999997" customHeight="1" x14ac:dyDescent="0.25">
      <c r="A2769" s="11" t="s">
        <v>5904</v>
      </c>
      <c r="B2769" s="11" t="s">
        <v>5904</v>
      </c>
      <c r="C2769" s="11" t="s">
        <v>17</v>
      </c>
      <c r="D2769" s="11" t="s">
        <v>18</v>
      </c>
      <c r="E2769" s="12" t="s">
        <v>395</v>
      </c>
      <c r="F2769" s="12" t="s">
        <v>396</v>
      </c>
      <c r="G2769" s="12" t="s">
        <v>46</v>
      </c>
      <c r="H2769" s="11" t="s">
        <v>63</v>
      </c>
      <c r="I2769" s="13" t="s">
        <v>5928</v>
      </c>
      <c r="J2769" s="14" t="str">
        <f>HYPERLINK("https://www.boe.es/gazeta/dias/1839/03/15/pdfs/GMD-1839-1581.pdf#page=3","Abrir facsímil")</f>
        <v>Abrir facsímil</v>
      </c>
      <c r="K2769" s="12" t="s">
        <v>65</v>
      </c>
    </row>
    <row r="2770" spans="1:11" ht="40.049999999999997" customHeight="1" x14ac:dyDescent="0.25">
      <c r="A2770" s="11" t="s">
        <v>5904</v>
      </c>
      <c r="B2770" s="11" t="s">
        <v>5904</v>
      </c>
      <c r="C2770" s="11" t="s">
        <v>17</v>
      </c>
      <c r="D2770" s="11" t="s">
        <v>18</v>
      </c>
      <c r="E2770" s="12" t="s">
        <v>1019</v>
      </c>
      <c r="F2770" s="12" t="s">
        <v>1020</v>
      </c>
      <c r="G2770" s="12" t="s">
        <v>21</v>
      </c>
      <c r="H2770" s="11" t="s">
        <v>63</v>
      </c>
      <c r="I2770" s="13" t="s">
        <v>5929</v>
      </c>
      <c r="J2770" s="14" t="str">
        <f>HYPERLINK("https://www.boe.es/gazeta/dias/1839/07/15/pdfs/GMD-1839-1703.pdf#page=4","Abrir facsímil")</f>
        <v>Abrir facsímil</v>
      </c>
      <c r="K2770" s="12" t="s">
        <v>65</v>
      </c>
    </row>
    <row r="2771" spans="1:11" ht="40.049999999999997" customHeight="1" x14ac:dyDescent="0.25">
      <c r="A2771" s="11" t="s">
        <v>5904</v>
      </c>
      <c r="B2771" s="11" t="s">
        <v>5904</v>
      </c>
      <c r="C2771" s="11" t="s">
        <v>17</v>
      </c>
      <c r="D2771" s="11" t="s">
        <v>18</v>
      </c>
      <c r="E2771" s="12" t="s">
        <v>2650</v>
      </c>
      <c r="F2771" s="12" t="s">
        <v>2651</v>
      </c>
      <c r="G2771" s="12" t="s">
        <v>21</v>
      </c>
      <c r="H2771" s="11" t="s">
        <v>63</v>
      </c>
      <c r="I2771" s="13" t="s">
        <v>5930</v>
      </c>
      <c r="J2771" s="14" t="str">
        <f>HYPERLINK("https://www.boe.es/gazeta/dias/1839/09/15/pdfs/GMD-1839-1768.pdf#page=4","Abrir facsímil")</f>
        <v>Abrir facsímil</v>
      </c>
      <c r="K2771" s="12" t="s">
        <v>65</v>
      </c>
    </row>
    <row r="2772" spans="1:11" ht="40.049999999999997" customHeight="1" x14ac:dyDescent="0.25">
      <c r="A2772" s="11" t="s">
        <v>5904</v>
      </c>
      <c r="B2772" s="11" t="s">
        <v>5904</v>
      </c>
      <c r="C2772" s="11" t="s">
        <v>59</v>
      </c>
      <c r="D2772" s="11" t="s">
        <v>60</v>
      </c>
      <c r="E2772" s="12" t="s">
        <v>230</v>
      </c>
      <c r="F2772" s="12" t="s">
        <v>231</v>
      </c>
      <c r="G2772" s="12" t="s">
        <v>21</v>
      </c>
      <c r="H2772" s="11" t="s">
        <v>63</v>
      </c>
      <c r="I2772" s="13" t="s">
        <v>5931</v>
      </c>
      <c r="J2772" s="14" t="str">
        <f>HYPERLINK("https://www.boe.es/gazeta/dias/1839/09/16/pdfs/GMD-1839-1769.pdf#page=4","Abrir facsímil")</f>
        <v>Abrir facsímil</v>
      </c>
      <c r="K2772" s="12" t="s">
        <v>65</v>
      </c>
    </row>
    <row r="2773" spans="1:11" ht="40.049999999999997" customHeight="1" x14ac:dyDescent="0.25">
      <c r="A2773" s="11" t="s">
        <v>5904</v>
      </c>
      <c r="B2773" s="11" t="s">
        <v>5904</v>
      </c>
      <c r="C2773" s="11" t="s">
        <v>59</v>
      </c>
      <c r="D2773" s="11" t="s">
        <v>60</v>
      </c>
      <c r="E2773" s="12" t="s">
        <v>1301</v>
      </c>
      <c r="F2773" s="12" t="s">
        <v>1302</v>
      </c>
      <c r="G2773" s="12" t="s">
        <v>46</v>
      </c>
      <c r="H2773" s="11" t="s">
        <v>63</v>
      </c>
      <c r="I2773" s="13" t="s">
        <v>5932</v>
      </c>
      <c r="J2773" s="14" t="str">
        <f>HYPERLINK("https://www.boe.es/gazeta/dias/1839/11/16/pdfs/GMD-1839-1833.pdf#page=3","Abrir facsímil")</f>
        <v>Abrir facsímil</v>
      </c>
      <c r="K2773" s="12" t="s">
        <v>65</v>
      </c>
    </row>
    <row r="2774" spans="1:11" ht="40.049999999999997" customHeight="1" x14ac:dyDescent="0.25">
      <c r="A2774" s="11" t="s">
        <v>5904</v>
      </c>
      <c r="B2774" s="11" t="s">
        <v>5904</v>
      </c>
      <c r="C2774" s="11" t="s">
        <v>17</v>
      </c>
      <c r="D2774" s="11" t="s">
        <v>18</v>
      </c>
      <c r="E2774" s="12" t="s">
        <v>233</v>
      </c>
      <c r="F2774" s="12" t="s">
        <v>234</v>
      </c>
      <c r="G2774" s="12" t="s">
        <v>46</v>
      </c>
      <c r="H2774" s="11" t="s">
        <v>63</v>
      </c>
      <c r="I2774" s="13" t="s">
        <v>5933</v>
      </c>
      <c r="J2774" s="14" t="str">
        <f>HYPERLINK("https://www.boe.es/gazeta/dias/1839/09/17/pdfs/GMD-1839-1770.pdf#page=3","Abrir facsímil")</f>
        <v>Abrir facsímil</v>
      </c>
      <c r="K2774" s="12" t="s">
        <v>65</v>
      </c>
    </row>
    <row r="2775" spans="1:11" ht="40.049999999999997" customHeight="1" x14ac:dyDescent="0.25">
      <c r="A2775" s="11" t="s">
        <v>5904</v>
      </c>
      <c r="B2775" s="11" t="s">
        <v>5904</v>
      </c>
      <c r="C2775" s="11" t="s">
        <v>17</v>
      </c>
      <c r="D2775" s="11" t="s">
        <v>43</v>
      </c>
      <c r="E2775" s="12" t="s">
        <v>1725</v>
      </c>
      <c r="F2775" s="12" t="s">
        <v>1726</v>
      </c>
      <c r="G2775" s="12" t="s">
        <v>21</v>
      </c>
      <c r="H2775" s="11" t="s">
        <v>63</v>
      </c>
      <c r="I2775" s="13" t="s">
        <v>5934</v>
      </c>
      <c r="J2775" s="14" t="str">
        <f>HYPERLINK("https://www.boe.es/gazeta/dias/1839/11/17/pdfs/GMD-1839-1834.pdf#page=4","Abrir facsímil")</f>
        <v>Abrir facsímil</v>
      </c>
      <c r="K2775" s="12" t="s">
        <v>65</v>
      </c>
    </row>
    <row r="2776" spans="1:11" ht="40.049999999999997" customHeight="1" x14ac:dyDescent="0.25">
      <c r="A2776" s="11" t="s">
        <v>5904</v>
      </c>
      <c r="B2776" s="11" t="s">
        <v>5904</v>
      </c>
      <c r="C2776" s="11" t="s">
        <v>17</v>
      </c>
      <c r="D2776" s="11" t="s">
        <v>18</v>
      </c>
      <c r="E2776" s="12" t="s">
        <v>295</v>
      </c>
      <c r="F2776" s="12" t="s">
        <v>296</v>
      </c>
      <c r="G2776" s="12" t="s">
        <v>46</v>
      </c>
      <c r="H2776" s="11" t="s">
        <v>63</v>
      </c>
      <c r="I2776" s="13" t="s">
        <v>5935</v>
      </c>
      <c r="J2776" s="14" t="str">
        <f>HYPERLINK("https://www.boe.es/gazeta/dias/1839/08/19/pdfs/GMD-1839-1740.pdf#page=3","Abrir facsímil")</f>
        <v>Abrir facsímil</v>
      </c>
      <c r="K2776" s="12" t="s">
        <v>65</v>
      </c>
    </row>
    <row r="2777" spans="1:11" ht="40.049999999999997" customHeight="1" x14ac:dyDescent="0.25">
      <c r="A2777" s="11" t="s">
        <v>5904</v>
      </c>
      <c r="B2777" s="11" t="s">
        <v>5904</v>
      </c>
      <c r="C2777" s="11" t="s">
        <v>59</v>
      </c>
      <c r="D2777" s="11" t="s">
        <v>60</v>
      </c>
      <c r="E2777" s="12" t="s">
        <v>469</v>
      </c>
      <c r="F2777" s="12" t="s">
        <v>470</v>
      </c>
      <c r="G2777" s="12" t="s">
        <v>29</v>
      </c>
      <c r="H2777" s="11" t="s">
        <v>63</v>
      </c>
      <c r="I2777" s="13" t="s">
        <v>5936</v>
      </c>
      <c r="J2777" s="14" t="str">
        <f>HYPERLINK("https://www.boe.es/gazeta/dias/1839/08/20/pdfs/GMD-1839-1741.pdf#page=1","Abrir facsímil")</f>
        <v>Abrir facsímil</v>
      </c>
      <c r="K2777" s="12" t="s">
        <v>65</v>
      </c>
    </row>
    <row r="2778" spans="1:11" ht="40.049999999999997" customHeight="1" x14ac:dyDescent="0.25">
      <c r="A2778" s="11" t="s">
        <v>5904</v>
      </c>
      <c r="B2778" s="11" t="s">
        <v>5904</v>
      </c>
      <c r="C2778" s="11" t="s">
        <v>80</v>
      </c>
      <c r="D2778" s="11" t="s">
        <v>18</v>
      </c>
      <c r="E2778" s="12" t="s">
        <v>2962</v>
      </c>
      <c r="F2778" s="12" t="s">
        <v>2963</v>
      </c>
      <c r="G2778" s="12" t="s">
        <v>21</v>
      </c>
      <c r="H2778" s="11" t="s">
        <v>63</v>
      </c>
      <c r="I2778" s="13" t="s">
        <v>5937</v>
      </c>
      <c r="J2778" s="14" t="str">
        <f>HYPERLINK("https://www.boe.es/gazeta/dias/1839/12/21/pdfs/GMD-1839-1868.pdf#page=4","Abrir facsímil")</f>
        <v>Abrir facsímil</v>
      </c>
      <c r="K2778" s="12" t="s">
        <v>65</v>
      </c>
    </row>
    <row r="2779" spans="1:11" ht="40.049999999999997" customHeight="1" x14ac:dyDescent="0.25">
      <c r="A2779" s="11" t="s">
        <v>5904</v>
      </c>
      <c r="B2779" s="11" t="s">
        <v>5904</v>
      </c>
      <c r="C2779" s="11" t="s">
        <v>101</v>
      </c>
      <c r="D2779" s="11" t="s">
        <v>102</v>
      </c>
      <c r="E2779" s="12" t="s">
        <v>1666</v>
      </c>
      <c r="F2779" s="12" t="s">
        <v>1667</v>
      </c>
      <c r="G2779" s="12" t="s">
        <v>21</v>
      </c>
      <c r="H2779" s="11" t="s">
        <v>63</v>
      </c>
      <c r="I2779" s="13" t="s">
        <v>5938</v>
      </c>
      <c r="J2779" s="14" t="str">
        <f>HYPERLINK("https://www.boe.es/gazeta/dias/1839/04/22/pdfs/GMD-1839-1619.pdf#page=4","Abrir facsímil")</f>
        <v>Abrir facsímil</v>
      </c>
      <c r="K2779" s="12" t="s">
        <v>65</v>
      </c>
    </row>
    <row r="2780" spans="1:11" ht="40.049999999999997" customHeight="1" x14ac:dyDescent="0.25">
      <c r="A2780" s="11" t="s">
        <v>5904</v>
      </c>
      <c r="B2780" s="11" t="s">
        <v>5904</v>
      </c>
      <c r="C2780" s="11" t="s">
        <v>80</v>
      </c>
      <c r="D2780" s="11" t="s">
        <v>18</v>
      </c>
      <c r="E2780" s="12" t="s">
        <v>360</v>
      </c>
      <c r="F2780" s="12" t="s">
        <v>361</v>
      </c>
      <c r="G2780" s="12" t="s">
        <v>29</v>
      </c>
      <c r="H2780" s="11" t="s">
        <v>63</v>
      </c>
      <c r="I2780" s="13" t="s">
        <v>5939</v>
      </c>
      <c r="J2780" s="14" t="str">
        <f>HYPERLINK("https://www.boe.es/gazeta/dias/1839/08/22/pdfs/GMD-1839-1743.pdf#page=1","Abrir facsímil")</f>
        <v>Abrir facsímil</v>
      </c>
      <c r="K2780" s="12" t="s">
        <v>65</v>
      </c>
    </row>
    <row r="2781" spans="1:11" ht="40.049999999999997" customHeight="1" x14ac:dyDescent="0.25">
      <c r="A2781" s="11" t="s">
        <v>5904</v>
      </c>
      <c r="B2781" s="11" t="s">
        <v>5904</v>
      </c>
      <c r="C2781" s="11" t="s">
        <v>137</v>
      </c>
      <c r="D2781" s="11" t="s">
        <v>18</v>
      </c>
      <c r="E2781" s="12" t="s">
        <v>1310</v>
      </c>
      <c r="F2781" s="12" t="s">
        <v>1311</v>
      </c>
      <c r="G2781" s="12" t="s">
        <v>29</v>
      </c>
      <c r="H2781" s="11" t="s">
        <v>63</v>
      </c>
      <c r="I2781" s="13" t="s">
        <v>5940</v>
      </c>
      <c r="J2781" s="14" t="str">
        <f>HYPERLINK("https://www.boe.es/gazeta/dias/1839/04/23/pdfs/GMD-1839-1620.pdf#page=1","Abrir facsímil")</f>
        <v>Abrir facsímil</v>
      </c>
      <c r="K2781" s="12" t="s">
        <v>65</v>
      </c>
    </row>
    <row r="2782" spans="1:11" ht="40.049999999999997" customHeight="1" x14ac:dyDescent="0.25">
      <c r="A2782" s="11" t="s">
        <v>5904</v>
      </c>
      <c r="B2782" s="11" t="s">
        <v>5904</v>
      </c>
      <c r="C2782" s="11" t="s">
        <v>59</v>
      </c>
      <c r="D2782" s="11" t="s">
        <v>60</v>
      </c>
      <c r="E2782" s="12" t="s">
        <v>1208</v>
      </c>
      <c r="F2782" s="12" t="s">
        <v>1209</v>
      </c>
      <c r="G2782" s="12" t="s">
        <v>40</v>
      </c>
      <c r="H2782" s="11" t="s">
        <v>63</v>
      </c>
      <c r="I2782" s="13" t="s">
        <v>5941</v>
      </c>
      <c r="J2782" s="14" t="str">
        <f>HYPERLINK("https://www.boe.es/gazeta/dias/1839/04/24/pdfs/GMD-1839-1621.pdf#page=2","Abrir facsímil")</f>
        <v>Abrir facsímil</v>
      </c>
      <c r="K2782" s="12" t="s">
        <v>65</v>
      </c>
    </row>
    <row r="2783" spans="1:11" ht="40.049999999999997" customHeight="1" x14ac:dyDescent="0.25">
      <c r="A2783" s="11" t="s">
        <v>5904</v>
      </c>
      <c r="B2783" s="11" t="s">
        <v>5904</v>
      </c>
      <c r="C2783" s="11" t="s">
        <v>17</v>
      </c>
      <c r="D2783" s="11" t="s">
        <v>43</v>
      </c>
      <c r="E2783" s="12" t="s">
        <v>416</v>
      </c>
      <c r="F2783" s="12" t="s">
        <v>417</v>
      </c>
      <c r="G2783" s="12" t="s">
        <v>21</v>
      </c>
      <c r="H2783" s="11" t="s">
        <v>63</v>
      </c>
      <c r="I2783" s="13" t="s">
        <v>5942</v>
      </c>
      <c r="J2783" s="14" t="str">
        <f>HYPERLINK("https://www.boe.es/gazeta/dias/1839/10/24/pdfs/GMD-1839-1810.pdf#page=4","Abrir facsímil")</f>
        <v>Abrir facsímil</v>
      </c>
      <c r="K2783" s="12" t="s">
        <v>65</v>
      </c>
    </row>
    <row r="2784" spans="1:11" ht="40.049999999999997" customHeight="1" x14ac:dyDescent="0.25">
      <c r="A2784" s="11" t="s">
        <v>5904</v>
      </c>
      <c r="B2784" s="11" t="s">
        <v>5904</v>
      </c>
      <c r="C2784" s="11" t="s">
        <v>17</v>
      </c>
      <c r="D2784" s="11" t="s">
        <v>18</v>
      </c>
      <c r="E2784" s="12" t="s">
        <v>246</v>
      </c>
      <c r="F2784" s="12" t="s">
        <v>247</v>
      </c>
      <c r="G2784" s="12" t="s">
        <v>46</v>
      </c>
      <c r="H2784" s="11" t="s">
        <v>63</v>
      </c>
      <c r="I2784" s="13" t="s">
        <v>5943</v>
      </c>
      <c r="J2784" s="14" t="str">
        <f>HYPERLINK("https://www.boe.es/gazeta/dias/1839/11/24/pdfs/GMD-1839-1841.pdf#page=3","Abrir facsímil")</f>
        <v>Abrir facsímil</v>
      </c>
      <c r="K2784" s="12" t="s">
        <v>65</v>
      </c>
    </row>
    <row r="2785" spans="1:11" ht="40.049999999999997" customHeight="1" x14ac:dyDescent="0.25">
      <c r="A2785" s="11" t="s">
        <v>5904</v>
      </c>
      <c r="B2785" s="11" t="s">
        <v>5904</v>
      </c>
      <c r="C2785" s="11" t="s">
        <v>17</v>
      </c>
      <c r="D2785" s="11" t="s">
        <v>18</v>
      </c>
      <c r="E2785" s="12" t="s">
        <v>826</v>
      </c>
      <c r="F2785" s="12" t="s">
        <v>827</v>
      </c>
      <c r="G2785" s="12" t="s">
        <v>40</v>
      </c>
      <c r="H2785" s="11" t="s">
        <v>63</v>
      </c>
      <c r="I2785" s="13" t="s">
        <v>5944</v>
      </c>
      <c r="J2785" s="14" t="str">
        <f>HYPERLINK("https://www.boe.es/gazeta/dias/1839/09/25/pdfs/GMD-1839-1781.pdf#page=2","Abrir facsímil")</f>
        <v>Abrir facsímil</v>
      </c>
      <c r="K2785" s="12" t="s">
        <v>65</v>
      </c>
    </row>
    <row r="2786" spans="1:11" ht="40.049999999999997" customHeight="1" x14ac:dyDescent="0.25">
      <c r="A2786" s="11" t="s">
        <v>5904</v>
      </c>
      <c r="B2786" s="11" t="s">
        <v>5904</v>
      </c>
      <c r="C2786" s="11" t="s">
        <v>137</v>
      </c>
      <c r="D2786" s="11" t="s">
        <v>18</v>
      </c>
      <c r="E2786" s="12" t="s">
        <v>650</v>
      </c>
      <c r="F2786" s="12" t="s">
        <v>651</v>
      </c>
      <c r="G2786" s="12" t="s">
        <v>21</v>
      </c>
      <c r="H2786" s="11" t="s">
        <v>63</v>
      </c>
      <c r="I2786" s="13" t="s">
        <v>5945</v>
      </c>
      <c r="J2786" s="14" t="str">
        <f>HYPERLINK("https://www.boe.es/gazeta/dias/1839/10/25/pdfs/GMD-1839-1811.pdf#page=4","Abrir facsímil")</f>
        <v>Abrir facsímil</v>
      </c>
      <c r="K2786" s="12" t="s">
        <v>65</v>
      </c>
    </row>
    <row r="2787" spans="1:11" ht="40.049999999999997" customHeight="1" x14ac:dyDescent="0.25">
      <c r="A2787" s="11" t="s">
        <v>5904</v>
      </c>
      <c r="B2787" s="11" t="s">
        <v>5904</v>
      </c>
      <c r="C2787" s="11" t="s">
        <v>17</v>
      </c>
      <c r="D2787" s="11" t="s">
        <v>18</v>
      </c>
      <c r="E2787" s="12" t="s">
        <v>1679</v>
      </c>
      <c r="F2787" s="12" t="s">
        <v>1680</v>
      </c>
      <c r="G2787" s="12" t="s">
        <v>29</v>
      </c>
      <c r="H2787" s="11" t="s">
        <v>63</v>
      </c>
      <c r="I2787" s="13" t="s">
        <v>5946</v>
      </c>
      <c r="J2787" s="14" t="str">
        <f>HYPERLINK("https://www.boe.es/gazeta/dias/1839/01/26/pdfs/GMD-1839-1533.pdf#page=1","Abrir facsímil")</f>
        <v>Abrir facsímil</v>
      </c>
      <c r="K2787" s="12" t="s">
        <v>65</v>
      </c>
    </row>
    <row r="2788" spans="1:11" ht="40.049999999999997" customHeight="1" x14ac:dyDescent="0.25">
      <c r="A2788" s="11" t="s">
        <v>5904</v>
      </c>
      <c r="B2788" s="11" t="s">
        <v>5904</v>
      </c>
      <c r="C2788" s="11" t="s">
        <v>17</v>
      </c>
      <c r="D2788" s="11" t="s">
        <v>18</v>
      </c>
      <c r="E2788" s="12" t="s">
        <v>1395</v>
      </c>
      <c r="F2788" s="12" t="s">
        <v>1396</v>
      </c>
      <c r="G2788" s="12" t="s">
        <v>21</v>
      </c>
      <c r="H2788" s="11" t="s">
        <v>63</v>
      </c>
      <c r="I2788" s="13" t="s">
        <v>5947</v>
      </c>
      <c r="J2788" s="14" t="str">
        <f>HYPERLINK("https://www.boe.es/gazeta/dias/1839/06/26/pdfs/GMD-1839-1684.pdf#page=4","Abrir facsímil")</f>
        <v>Abrir facsímil</v>
      </c>
      <c r="K2788" s="12" t="s">
        <v>65</v>
      </c>
    </row>
    <row r="2789" spans="1:11" ht="40.049999999999997" customHeight="1" x14ac:dyDescent="0.25">
      <c r="A2789" s="11" t="s">
        <v>5904</v>
      </c>
      <c r="B2789" s="11" t="s">
        <v>5904</v>
      </c>
      <c r="C2789" s="11" t="s">
        <v>137</v>
      </c>
      <c r="D2789" s="11" t="s">
        <v>18</v>
      </c>
      <c r="E2789" s="12" t="s">
        <v>1159</v>
      </c>
      <c r="F2789" s="12" t="s">
        <v>1160</v>
      </c>
      <c r="G2789" s="12" t="s">
        <v>29</v>
      </c>
      <c r="H2789" s="11" t="s">
        <v>63</v>
      </c>
      <c r="I2789" s="13" t="s">
        <v>5948</v>
      </c>
      <c r="J2789" s="14" t="str">
        <f>HYPERLINK("https://www.boe.es/gazeta/dias/1839/11/26/pdfs/GMD-1839-1843.pdf#page=1","Abrir facsímil")</f>
        <v>Abrir facsímil</v>
      </c>
      <c r="K2789" s="12" t="s">
        <v>65</v>
      </c>
    </row>
    <row r="2790" spans="1:11" ht="40.049999999999997" customHeight="1" x14ac:dyDescent="0.25">
      <c r="A2790" s="11" t="s">
        <v>5904</v>
      </c>
      <c r="B2790" s="11" t="s">
        <v>5904</v>
      </c>
      <c r="C2790" s="11" t="s">
        <v>17</v>
      </c>
      <c r="D2790" s="11" t="s">
        <v>18</v>
      </c>
      <c r="E2790" s="12" t="s">
        <v>2658</v>
      </c>
      <c r="F2790" s="12" t="s">
        <v>2659</v>
      </c>
      <c r="G2790" s="12" t="s">
        <v>21</v>
      </c>
      <c r="H2790" s="11" t="s">
        <v>63</v>
      </c>
      <c r="I2790" s="13" t="s">
        <v>5949</v>
      </c>
      <c r="J2790" s="14" t="str">
        <f>HYPERLINK("https://www.boe.es/gazeta/dias/1839/06/27/pdfs/GMD-1839-1685.pdf#page=4","Abrir facsímil")</f>
        <v>Abrir facsímil</v>
      </c>
      <c r="K2790" s="12" t="s">
        <v>65</v>
      </c>
    </row>
    <row r="2791" spans="1:11" ht="40.049999999999997" customHeight="1" x14ac:dyDescent="0.25">
      <c r="A2791" s="11" t="s">
        <v>5904</v>
      </c>
      <c r="B2791" s="11" t="s">
        <v>5904</v>
      </c>
      <c r="C2791" s="11" t="s">
        <v>101</v>
      </c>
      <c r="D2791" s="11" t="s">
        <v>102</v>
      </c>
      <c r="E2791" s="12" t="s">
        <v>1909</v>
      </c>
      <c r="F2791" s="12" t="s">
        <v>1910</v>
      </c>
      <c r="G2791" s="12" t="s">
        <v>29</v>
      </c>
      <c r="H2791" s="11" t="s">
        <v>63</v>
      </c>
      <c r="I2791" s="13" t="s">
        <v>5950</v>
      </c>
      <c r="J2791" s="14" t="str">
        <f>HYPERLINK("https://www.boe.es/gazeta/dias/1839/10/27/pdfs/GMD-1839-1813.pdf#page=1","Abrir facsímil")</f>
        <v>Abrir facsímil</v>
      </c>
      <c r="K2791" s="12" t="s">
        <v>65</v>
      </c>
    </row>
    <row r="2792" spans="1:11" ht="40.049999999999997" customHeight="1" x14ac:dyDescent="0.25">
      <c r="A2792" s="11" t="s">
        <v>5904</v>
      </c>
      <c r="B2792" s="11" t="s">
        <v>5904</v>
      </c>
      <c r="C2792" s="11" t="s">
        <v>17</v>
      </c>
      <c r="D2792" s="11" t="s">
        <v>18</v>
      </c>
      <c r="E2792" s="12" t="s">
        <v>27</v>
      </c>
      <c r="F2792" s="12" t="s">
        <v>28</v>
      </c>
      <c r="G2792" s="12" t="s">
        <v>29</v>
      </c>
      <c r="H2792" s="11" t="s">
        <v>63</v>
      </c>
      <c r="I2792" s="13" t="s">
        <v>5951</v>
      </c>
      <c r="J2792" s="14" t="str">
        <f>HYPERLINK("https://www.boe.es/gazeta/dias/1839/07/28/pdfs/GMD-1839-1717.pdf#page=1","Abrir facsímil")</f>
        <v>Abrir facsímil</v>
      </c>
      <c r="K2792" s="12" t="s">
        <v>65</v>
      </c>
    </row>
    <row r="2793" spans="1:11" ht="40.049999999999997" customHeight="1" x14ac:dyDescent="0.25">
      <c r="A2793" s="11" t="s">
        <v>5904</v>
      </c>
      <c r="B2793" s="11" t="s">
        <v>5904</v>
      </c>
      <c r="C2793" s="11" t="s">
        <v>137</v>
      </c>
      <c r="D2793" s="11" t="s">
        <v>18</v>
      </c>
      <c r="E2793" s="12" t="s">
        <v>308</v>
      </c>
      <c r="F2793" s="12" t="s">
        <v>309</v>
      </c>
      <c r="G2793" s="12" t="s">
        <v>29</v>
      </c>
      <c r="H2793" s="11" t="s">
        <v>63</v>
      </c>
      <c r="I2793" s="13" t="s">
        <v>5952</v>
      </c>
      <c r="J2793" s="14" t="str">
        <f>HYPERLINK("https://www.boe.es/gazeta/dias/1839/07/29/pdfs/GMD-1839-1718.pdf#page=1","Abrir facsímil")</f>
        <v>Abrir facsímil</v>
      </c>
      <c r="K2793" s="12" t="s">
        <v>65</v>
      </c>
    </row>
    <row r="2794" spans="1:11" ht="40.049999999999997" customHeight="1" x14ac:dyDescent="0.25">
      <c r="A2794" s="11" t="s">
        <v>5904</v>
      </c>
      <c r="B2794" s="11" t="s">
        <v>5904</v>
      </c>
      <c r="C2794" s="11" t="s">
        <v>17</v>
      </c>
      <c r="D2794" s="11" t="s">
        <v>18</v>
      </c>
      <c r="E2794" s="12" t="s">
        <v>2349</v>
      </c>
      <c r="F2794" s="12" t="s">
        <v>2350</v>
      </c>
      <c r="G2794" s="12" t="s">
        <v>21</v>
      </c>
      <c r="H2794" s="11" t="s">
        <v>63</v>
      </c>
      <c r="I2794" s="13" t="s">
        <v>5953</v>
      </c>
      <c r="J2794" s="14" t="str">
        <f>HYPERLINK("https://www.boe.es/gazeta/dias/1839/09/29/pdfs/GMD-1839-1785.pdf#page=4","Abrir facsímil")</f>
        <v>Abrir facsímil</v>
      </c>
      <c r="K2794" s="12" t="s">
        <v>65</v>
      </c>
    </row>
    <row r="2795" spans="1:11" ht="40.049999999999997" customHeight="1" x14ac:dyDescent="0.25">
      <c r="A2795" s="11" t="s">
        <v>5904</v>
      </c>
      <c r="B2795" s="11" t="s">
        <v>5904</v>
      </c>
      <c r="C2795" s="11" t="s">
        <v>17</v>
      </c>
      <c r="D2795" s="11" t="s">
        <v>18</v>
      </c>
      <c r="E2795" s="12" t="s">
        <v>1988</v>
      </c>
      <c r="F2795" s="12" t="s">
        <v>1989</v>
      </c>
      <c r="G2795" s="12" t="s">
        <v>46</v>
      </c>
      <c r="H2795" s="11" t="s">
        <v>63</v>
      </c>
      <c r="I2795" s="13" t="s">
        <v>5954</v>
      </c>
      <c r="J2795" s="14" t="str">
        <f>HYPERLINK("https://www.boe.es/gazeta/dias/1839/10/29/pdfs/GMD-1839-1815.pdf#page=3","Abrir facsímil")</f>
        <v>Abrir facsímil</v>
      </c>
      <c r="K2795" s="12" t="s">
        <v>65</v>
      </c>
    </row>
    <row r="2796" spans="1:11" ht="40.049999999999997" customHeight="1" x14ac:dyDescent="0.25">
      <c r="A2796" s="11" t="s">
        <v>5904</v>
      </c>
      <c r="B2796" s="11" t="s">
        <v>5904</v>
      </c>
      <c r="C2796" s="11" t="s">
        <v>17</v>
      </c>
      <c r="D2796" s="11" t="s">
        <v>18</v>
      </c>
      <c r="E2796" s="12" t="s">
        <v>653</v>
      </c>
      <c r="F2796" s="12" t="s">
        <v>654</v>
      </c>
      <c r="G2796" s="12" t="s">
        <v>40</v>
      </c>
      <c r="H2796" s="11" t="s">
        <v>63</v>
      </c>
      <c r="I2796" s="13" t="s">
        <v>5955</v>
      </c>
      <c r="J2796" s="14" t="str">
        <f>HYPERLINK("https://www.boe.es/gazeta/dias/1839/10/31/pdfs/GMD-1839-1817.pdf#page=2","Abrir facsímil")</f>
        <v>Abrir facsímil</v>
      </c>
      <c r="K2796" s="12" t="s">
        <v>65</v>
      </c>
    </row>
    <row r="2797" spans="1:11" ht="40.049999999999997" customHeight="1" x14ac:dyDescent="0.25">
      <c r="A2797" s="11" t="s">
        <v>5956</v>
      </c>
      <c r="B2797" s="11" t="s">
        <v>5957</v>
      </c>
      <c r="C2797" s="11" t="s">
        <v>17</v>
      </c>
      <c r="D2797" s="11" t="s">
        <v>18</v>
      </c>
      <c r="E2797" s="12" t="s">
        <v>4475</v>
      </c>
      <c r="F2797" s="12" t="s">
        <v>4476</v>
      </c>
      <c r="G2797" s="12" t="s">
        <v>40</v>
      </c>
      <c r="H2797" s="11" t="s">
        <v>22</v>
      </c>
      <c r="I2797" s="13" t="s">
        <v>5958</v>
      </c>
      <c r="J2797" s="14" t="str">
        <f>HYPERLINK("https://www.boe.es/gazeta/dias/1839/07/04/pdfs/GMD-1839-1692.pdf#page=2","Abrir facsímil")</f>
        <v>Abrir facsímil</v>
      </c>
      <c r="K2797" s="12" t="s">
        <v>24</v>
      </c>
    </row>
    <row r="2798" spans="1:11" ht="40.049999999999997" customHeight="1" x14ac:dyDescent="0.25">
      <c r="A2798" s="11" t="s">
        <v>5956</v>
      </c>
      <c r="B2798" s="11" t="s">
        <v>5957</v>
      </c>
      <c r="C2798" s="11" t="s">
        <v>137</v>
      </c>
      <c r="D2798" s="11" t="s">
        <v>18</v>
      </c>
      <c r="E2798" s="12" t="s">
        <v>1528</v>
      </c>
      <c r="F2798" s="12" t="s">
        <v>1529</v>
      </c>
      <c r="G2798" s="12" t="s">
        <v>46</v>
      </c>
      <c r="H2798" s="11" t="s">
        <v>22</v>
      </c>
      <c r="I2798" s="13" t="s">
        <v>5959</v>
      </c>
      <c r="J2798" s="14" t="str">
        <f>HYPERLINK("https://www.boe.es/gazeta/dias/1839/12/15/pdfs/GMD-1839-1862.pdf#page=3","Abrir facsímil")</f>
        <v>Abrir facsímil</v>
      </c>
      <c r="K2798" s="12" t="s">
        <v>24</v>
      </c>
    </row>
    <row r="2799" spans="1:11" ht="40.049999999999997" customHeight="1" x14ac:dyDescent="0.25">
      <c r="A2799" s="11" t="s">
        <v>5960</v>
      </c>
      <c r="B2799" s="11" t="s">
        <v>5960</v>
      </c>
      <c r="C2799" s="11" t="s">
        <v>17</v>
      </c>
      <c r="D2799" s="11" t="s">
        <v>18</v>
      </c>
      <c r="E2799" s="12" t="s">
        <v>2069</v>
      </c>
      <c r="F2799" s="12" t="s">
        <v>2070</v>
      </c>
      <c r="G2799" s="12" t="s">
        <v>305</v>
      </c>
      <c r="H2799" s="11" t="s">
        <v>63</v>
      </c>
      <c r="I2799" s="13" t="s">
        <v>5961</v>
      </c>
      <c r="J2799" s="14" t="str">
        <f>HYPERLINK("https://www.boe.es/gazeta/dias/1839/10/20/pdfs/GMD-1839-1806.pdf#page=6","Abrir facsímil")</f>
        <v>Abrir facsímil</v>
      </c>
      <c r="K2799" s="12" t="s">
        <v>65</v>
      </c>
    </row>
    <row r="2800" spans="1:11" ht="40.049999999999997" customHeight="1" x14ac:dyDescent="0.25">
      <c r="A2800" s="11" t="s">
        <v>5962</v>
      </c>
      <c r="B2800" s="11" t="s">
        <v>5962</v>
      </c>
      <c r="C2800" s="11" t="s">
        <v>80</v>
      </c>
      <c r="D2800" s="11" t="s">
        <v>18</v>
      </c>
      <c r="E2800" s="12" t="s">
        <v>2301</v>
      </c>
      <c r="F2800" s="12" t="s">
        <v>2302</v>
      </c>
      <c r="G2800" s="12" t="s">
        <v>46</v>
      </c>
      <c r="H2800" s="11" t="s">
        <v>63</v>
      </c>
      <c r="I2800" s="13" t="s">
        <v>5963</v>
      </c>
      <c r="J2800" s="14" t="str">
        <f>HYPERLINK("https://www.boe.es/gazeta/dias/1839/09/08/pdfs/GMD-1839-1761.pdf#page=3","Abrir facsímil")</f>
        <v>Abrir facsímil</v>
      </c>
      <c r="K2800" s="12" t="s">
        <v>65</v>
      </c>
    </row>
    <row r="2801" spans="1:11" ht="40.049999999999997" customHeight="1" x14ac:dyDescent="0.25">
      <c r="A2801" s="11" t="s">
        <v>5964</v>
      </c>
      <c r="B2801" s="11" t="s">
        <v>5964</v>
      </c>
      <c r="C2801" s="11" t="s">
        <v>17</v>
      </c>
      <c r="D2801" s="11" t="s">
        <v>18</v>
      </c>
      <c r="E2801" s="12" t="s">
        <v>262</v>
      </c>
      <c r="F2801" s="12" t="s">
        <v>263</v>
      </c>
      <c r="G2801" s="12" t="s">
        <v>40</v>
      </c>
      <c r="H2801" s="11" t="s">
        <v>63</v>
      </c>
      <c r="I2801" s="13" t="s">
        <v>5965</v>
      </c>
      <c r="J2801" s="14" t="str">
        <f>HYPERLINK("https://www.boe.es/gazeta/dias/1839/01/01/pdfs/GMD-1839-1508.pdf#page=2","Abrir facsímil")</f>
        <v>Abrir facsímil</v>
      </c>
      <c r="K2801" s="12" t="s">
        <v>65</v>
      </c>
    </row>
    <row r="2802" spans="1:11" ht="40.049999999999997" customHeight="1" x14ac:dyDescent="0.25">
      <c r="A2802" s="11" t="s">
        <v>5964</v>
      </c>
      <c r="B2802" s="11" t="s">
        <v>5964</v>
      </c>
      <c r="C2802" s="11" t="s">
        <v>17</v>
      </c>
      <c r="D2802" s="11" t="s">
        <v>18</v>
      </c>
      <c r="E2802" s="12" t="s">
        <v>222</v>
      </c>
      <c r="F2802" s="12" t="s">
        <v>223</v>
      </c>
      <c r="G2802" s="12" t="s">
        <v>21</v>
      </c>
      <c r="H2802" s="11" t="s">
        <v>63</v>
      </c>
      <c r="I2802" s="13" t="s">
        <v>5966</v>
      </c>
      <c r="J2802" s="14" t="str">
        <f>HYPERLINK("https://www.boe.es/gazeta/dias/1839/06/22/pdfs/GMD-1839-1680.pdf#page=4","Abrir facsímil")</f>
        <v>Abrir facsímil</v>
      </c>
      <c r="K2802" s="12" t="s">
        <v>65</v>
      </c>
    </row>
    <row r="2803" spans="1:11" ht="40.049999999999997" customHeight="1" x14ac:dyDescent="0.25">
      <c r="A2803" s="11" t="s">
        <v>5967</v>
      </c>
      <c r="B2803" s="11" t="s">
        <v>5967</v>
      </c>
      <c r="C2803" s="11" t="s">
        <v>17</v>
      </c>
      <c r="D2803" s="11" t="s">
        <v>18</v>
      </c>
      <c r="E2803" s="12" t="s">
        <v>262</v>
      </c>
      <c r="F2803" s="12" t="s">
        <v>263</v>
      </c>
      <c r="G2803" s="12" t="s">
        <v>40</v>
      </c>
      <c r="H2803" s="11" t="s">
        <v>63</v>
      </c>
      <c r="I2803" s="13" t="s">
        <v>5968</v>
      </c>
      <c r="J2803" s="14" t="str">
        <f>HYPERLINK("https://www.boe.es/gazeta/dias/1839/01/01/pdfs/GMD-1839-1508.pdf#page=2","Abrir facsímil")</f>
        <v>Abrir facsímil</v>
      </c>
      <c r="K2803" s="12" t="s">
        <v>65</v>
      </c>
    </row>
    <row r="2804" spans="1:11" ht="40.049999999999997" customHeight="1" x14ac:dyDescent="0.25">
      <c r="A2804" s="11" t="s">
        <v>5967</v>
      </c>
      <c r="B2804" s="11" t="s">
        <v>5967</v>
      </c>
      <c r="C2804" s="11" t="s">
        <v>17</v>
      </c>
      <c r="D2804" s="11" t="s">
        <v>18</v>
      </c>
      <c r="E2804" s="12" t="s">
        <v>258</v>
      </c>
      <c r="F2804" s="12" t="s">
        <v>259</v>
      </c>
      <c r="G2804" s="12" t="s">
        <v>40</v>
      </c>
      <c r="H2804" s="11" t="s">
        <v>63</v>
      </c>
      <c r="I2804" s="13" t="s">
        <v>5969</v>
      </c>
      <c r="J2804" s="14" t="str">
        <f>HYPERLINK("https://www.boe.es/gazeta/dias/1839/01/02/pdfs/GMD-1839-1509.pdf#page=2","Abrir facsímil")</f>
        <v>Abrir facsímil</v>
      </c>
      <c r="K2804" s="12" t="s">
        <v>65</v>
      </c>
    </row>
    <row r="2805" spans="1:11" ht="40.049999999999997" customHeight="1" x14ac:dyDescent="0.25">
      <c r="A2805" s="11" t="s">
        <v>5967</v>
      </c>
      <c r="B2805" s="11" t="s">
        <v>5967</v>
      </c>
      <c r="C2805" s="11" t="s">
        <v>59</v>
      </c>
      <c r="D2805" s="11" t="s">
        <v>60</v>
      </c>
      <c r="E2805" s="12" t="s">
        <v>438</v>
      </c>
      <c r="F2805" s="12" t="s">
        <v>439</v>
      </c>
      <c r="G2805" s="12" t="s">
        <v>40</v>
      </c>
      <c r="H2805" s="11" t="s">
        <v>63</v>
      </c>
      <c r="I2805" s="13" t="s">
        <v>5970</v>
      </c>
      <c r="J2805" s="14" t="str">
        <f>HYPERLINK("https://www.boe.es/gazeta/dias/1839/07/17/pdfs/GMD-1839-1705.pdf#page=2","Abrir facsímil")</f>
        <v>Abrir facsímil</v>
      </c>
      <c r="K2805" s="12" t="s">
        <v>65</v>
      </c>
    </row>
    <row r="2806" spans="1:11" ht="40.049999999999997" customHeight="1" x14ac:dyDescent="0.25">
      <c r="A2806" s="11" t="s">
        <v>5967</v>
      </c>
      <c r="B2806" s="11" t="s">
        <v>5967</v>
      </c>
      <c r="C2806" s="11" t="s">
        <v>101</v>
      </c>
      <c r="D2806" s="11" t="s">
        <v>43</v>
      </c>
      <c r="E2806" s="12" t="s">
        <v>834</v>
      </c>
      <c r="F2806" s="12" t="s">
        <v>835</v>
      </c>
      <c r="G2806" s="12" t="s">
        <v>40</v>
      </c>
      <c r="H2806" s="11" t="s">
        <v>63</v>
      </c>
      <c r="I2806" s="13" t="s">
        <v>5971</v>
      </c>
      <c r="J2806" s="14" t="str">
        <f>HYPERLINK("https://www.boe.es/gazeta/dias/1839/08/17/pdfs/GMD-1839-1737.pdf#page=2","Abrir facsímil")</f>
        <v>Abrir facsímil</v>
      </c>
      <c r="K2806" s="12" t="s">
        <v>65</v>
      </c>
    </row>
    <row r="2807" spans="1:11" ht="40.049999999999997" customHeight="1" x14ac:dyDescent="0.25">
      <c r="A2807" s="11" t="s">
        <v>5967</v>
      </c>
      <c r="B2807" s="11" t="s">
        <v>5967</v>
      </c>
      <c r="C2807" s="11" t="s">
        <v>17</v>
      </c>
      <c r="D2807" s="11" t="s">
        <v>18</v>
      </c>
      <c r="E2807" s="12" t="s">
        <v>233</v>
      </c>
      <c r="F2807" s="12" t="s">
        <v>234</v>
      </c>
      <c r="G2807" s="12" t="s">
        <v>29</v>
      </c>
      <c r="H2807" s="11" t="s">
        <v>63</v>
      </c>
      <c r="I2807" s="13" t="s">
        <v>5972</v>
      </c>
      <c r="J2807" s="14" t="str">
        <f>HYPERLINK("https://www.boe.es/gazeta/dias/1839/09/17/pdfs/GMD-1839-1770.pdf#page=1","Abrir facsímil")</f>
        <v>Abrir facsímil</v>
      </c>
      <c r="K2807" s="12" t="s">
        <v>65</v>
      </c>
    </row>
    <row r="2808" spans="1:11" ht="40.049999999999997" customHeight="1" x14ac:dyDescent="0.25">
      <c r="A2808" s="11" t="s">
        <v>5967</v>
      </c>
      <c r="B2808" s="11" t="s">
        <v>5967</v>
      </c>
      <c r="C2808" s="11" t="s">
        <v>80</v>
      </c>
      <c r="D2808" s="11" t="s">
        <v>18</v>
      </c>
      <c r="E2808" s="12" t="s">
        <v>346</v>
      </c>
      <c r="F2808" s="12" t="s">
        <v>347</v>
      </c>
      <c r="G2808" s="12" t="s">
        <v>29</v>
      </c>
      <c r="H2808" s="11" t="s">
        <v>63</v>
      </c>
      <c r="I2808" s="13" t="s">
        <v>5973</v>
      </c>
      <c r="J2808" s="14" t="str">
        <f>HYPERLINK("https://www.boe.es/gazeta/dias/1839/03/24/pdfs/GMD-1839-1590.pdf#page=1","Abrir facsímil")</f>
        <v>Abrir facsímil</v>
      </c>
      <c r="K2808" s="12" t="s">
        <v>65</v>
      </c>
    </row>
    <row r="2809" spans="1:11" ht="40.049999999999997" customHeight="1" x14ac:dyDescent="0.25">
      <c r="A2809" s="11" t="s">
        <v>5967</v>
      </c>
      <c r="B2809" s="11" t="s">
        <v>5967</v>
      </c>
      <c r="C2809" s="11" t="s">
        <v>101</v>
      </c>
      <c r="D2809" s="11" t="s">
        <v>43</v>
      </c>
      <c r="E2809" s="12" t="s">
        <v>653</v>
      </c>
      <c r="F2809" s="12" t="s">
        <v>654</v>
      </c>
      <c r="G2809" s="12" t="s">
        <v>40</v>
      </c>
      <c r="H2809" s="11" t="s">
        <v>63</v>
      </c>
      <c r="I2809" s="13" t="s">
        <v>5974</v>
      </c>
      <c r="J2809" s="14" t="str">
        <f>HYPERLINK("https://www.boe.es/gazeta/dias/1839/10/31/pdfs/GMD-1839-1817.pdf#page=2","Abrir facsímil")</f>
        <v>Abrir facsímil</v>
      </c>
      <c r="K2809" s="12" t="s">
        <v>65</v>
      </c>
    </row>
    <row r="2810" spans="1:11" ht="40.049999999999997" customHeight="1" x14ac:dyDescent="0.25">
      <c r="A2810" s="11" t="s">
        <v>5975</v>
      </c>
      <c r="B2810" s="11" t="s">
        <v>5975</v>
      </c>
      <c r="C2810" s="11" t="s">
        <v>17</v>
      </c>
      <c r="D2810" s="11" t="s">
        <v>18</v>
      </c>
      <c r="E2810" s="12" t="s">
        <v>844</v>
      </c>
      <c r="F2810" s="12" t="s">
        <v>845</v>
      </c>
      <c r="G2810" s="12" t="s">
        <v>21</v>
      </c>
      <c r="H2810" s="11" t="s">
        <v>63</v>
      </c>
      <c r="I2810" s="13" t="s">
        <v>5976</v>
      </c>
      <c r="J2810" s="14" t="str">
        <f>HYPERLINK("https://www.boe.es/gazeta/dias/1839/12/24/pdfs/GMD-1839-1871.pdf#page=4","Abrir facsímil")</f>
        <v>Abrir facsímil</v>
      </c>
      <c r="K2810" s="12" t="s">
        <v>65</v>
      </c>
    </row>
    <row r="2811" spans="1:11" ht="40.049999999999997" customHeight="1" x14ac:dyDescent="0.25">
      <c r="A2811" s="11" t="s">
        <v>5977</v>
      </c>
      <c r="B2811" s="11" t="s">
        <v>5978</v>
      </c>
      <c r="C2811" s="11" t="s">
        <v>17</v>
      </c>
      <c r="D2811" s="11" t="s">
        <v>18</v>
      </c>
      <c r="E2811" s="12" t="s">
        <v>1374</v>
      </c>
      <c r="F2811" s="12" t="s">
        <v>1375</v>
      </c>
      <c r="G2811" s="12" t="s">
        <v>46</v>
      </c>
      <c r="H2811" s="11" t="s">
        <v>22</v>
      </c>
      <c r="I2811" s="13" t="s">
        <v>5979</v>
      </c>
      <c r="J2811" s="14" t="str">
        <f>HYPERLINK("https://www.boe.es/gazeta/dias/1839/07/20/pdfs/GMD-1839-1708.pdf#page=3","Abrir facsímil")</f>
        <v>Abrir facsímil</v>
      </c>
      <c r="K2811" s="12" t="s">
        <v>24</v>
      </c>
    </row>
    <row r="2812" spans="1:11" ht="40.049999999999997" customHeight="1" x14ac:dyDescent="0.25">
      <c r="A2812" s="11" t="s">
        <v>5980</v>
      </c>
      <c r="B2812" s="11" t="s">
        <v>5981</v>
      </c>
      <c r="C2812" s="11" t="s">
        <v>17</v>
      </c>
      <c r="D2812" s="11" t="s">
        <v>18</v>
      </c>
      <c r="E2812" s="12" t="s">
        <v>1631</v>
      </c>
      <c r="F2812" s="12" t="s">
        <v>1632</v>
      </c>
      <c r="G2812" s="12" t="s">
        <v>29</v>
      </c>
      <c r="H2812" s="11" t="s">
        <v>22</v>
      </c>
      <c r="I2812" s="13" t="s">
        <v>5982</v>
      </c>
      <c r="J2812" s="14" t="str">
        <f>HYPERLINK("https://www.boe.es/gazeta/dias/1839/05/10/pdfs/GMD-1839-1637.pdf#page=1","Abrir facsímil")</f>
        <v>Abrir facsímil</v>
      </c>
      <c r="K2812" s="12" t="s">
        <v>24</v>
      </c>
    </row>
    <row r="2813" spans="1:11" ht="40.049999999999997" customHeight="1" x14ac:dyDescent="0.25">
      <c r="A2813" s="11" t="s">
        <v>5983</v>
      </c>
      <c r="B2813" s="11" t="s">
        <v>5984</v>
      </c>
      <c r="C2813" s="11" t="s">
        <v>17</v>
      </c>
      <c r="D2813" s="11" t="s">
        <v>18</v>
      </c>
      <c r="E2813" s="12" t="s">
        <v>258</v>
      </c>
      <c r="F2813" s="12" t="s">
        <v>259</v>
      </c>
      <c r="G2813" s="12" t="s">
        <v>46</v>
      </c>
      <c r="H2813" s="11" t="s">
        <v>22</v>
      </c>
      <c r="I2813" s="13" t="s">
        <v>5985</v>
      </c>
      <c r="J2813" s="14" t="str">
        <f t="shared" ref="J2813:J2825" si="0">HYPERLINK("https://www.boe.es/gazeta/dias/1839/01/02/pdfs/GMD-1839-1509.pdf#page=3","Abrir facsímil")</f>
        <v>Abrir facsímil</v>
      </c>
      <c r="K2813" s="12" t="s">
        <v>24</v>
      </c>
    </row>
    <row r="2814" spans="1:11" ht="40.049999999999997" customHeight="1" x14ac:dyDescent="0.25">
      <c r="A2814" s="11" t="s">
        <v>5986</v>
      </c>
      <c r="B2814" s="11" t="s">
        <v>5987</v>
      </c>
      <c r="C2814" s="11" t="s">
        <v>17</v>
      </c>
      <c r="D2814" s="11" t="s">
        <v>18</v>
      </c>
      <c r="E2814" s="12" t="s">
        <v>258</v>
      </c>
      <c r="F2814" s="12" t="s">
        <v>259</v>
      </c>
      <c r="G2814" s="12" t="s">
        <v>46</v>
      </c>
      <c r="H2814" s="11" t="s">
        <v>22</v>
      </c>
      <c r="I2814" s="13" t="s">
        <v>5988</v>
      </c>
      <c r="J2814" s="14" t="str">
        <f t="shared" si="0"/>
        <v>Abrir facsímil</v>
      </c>
      <c r="K2814" s="12" t="s">
        <v>24</v>
      </c>
    </row>
    <row r="2815" spans="1:11" ht="40.049999999999997" customHeight="1" x14ac:dyDescent="0.25">
      <c r="A2815" s="11" t="s">
        <v>5989</v>
      </c>
      <c r="B2815" s="11" t="s">
        <v>5990</v>
      </c>
      <c r="C2815" s="11" t="s">
        <v>17</v>
      </c>
      <c r="D2815" s="11" t="s">
        <v>18</v>
      </c>
      <c r="E2815" s="12" t="s">
        <v>258</v>
      </c>
      <c r="F2815" s="12" t="s">
        <v>259</v>
      </c>
      <c r="G2815" s="12" t="s">
        <v>46</v>
      </c>
      <c r="H2815" s="11" t="s">
        <v>22</v>
      </c>
      <c r="I2815" s="13" t="s">
        <v>5991</v>
      </c>
      <c r="J2815" s="14" t="str">
        <f t="shared" si="0"/>
        <v>Abrir facsímil</v>
      </c>
      <c r="K2815" s="12" t="s">
        <v>24</v>
      </c>
    </row>
    <row r="2816" spans="1:11" ht="40.049999999999997" customHeight="1" x14ac:dyDescent="0.25">
      <c r="A2816" s="11" t="s">
        <v>5992</v>
      </c>
      <c r="B2816" s="11" t="s">
        <v>5993</v>
      </c>
      <c r="C2816" s="11" t="s">
        <v>17</v>
      </c>
      <c r="D2816" s="11" t="s">
        <v>18</v>
      </c>
      <c r="E2816" s="12" t="s">
        <v>258</v>
      </c>
      <c r="F2816" s="12" t="s">
        <v>259</v>
      </c>
      <c r="G2816" s="12" t="s">
        <v>46</v>
      </c>
      <c r="H2816" s="11" t="s">
        <v>22</v>
      </c>
      <c r="I2816" s="13" t="s">
        <v>5994</v>
      </c>
      <c r="J2816" s="14" t="str">
        <f t="shared" si="0"/>
        <v>Abrir facsímil</v>
      </c>
      <c r="K2816" s="12" t="s">
        <v>24</v>
      </c>
    </row>
    <row r="2817" spans="1:11" ht="40.049999999999997" customHeight="1" x14ac:dyDescent="0.25">
      <c r="A2817" s="11" t="s">
        <v>5995</v>
      </c>
      <c r="B2817" s="11" t="s">
        <v>5996</v>
      </c>
      <c r="C2817" s="11" t="s">
        <v>17</v>
      </c>
      <c r="D2817" s="11" t="s">
        <v>18</v>
      </c>
      <c r="E2817" s="12" t="s">
        <v>258</v>
      </c>
      <c r="F2817" s="12" t="s">
        <v>259</v>
      </c>
      <c r="G2817" s="12" t="s">
        <v>46</v>
      </c>
      <c r="H2817" s="11" t="s">
        <v>22</v>
      </c>
      <c r="I2817" s="13" t="s">
        <v>5997</v>
      </c>
      <c r="J2817" s="14" t="str">
        <f t="shared" si="0"/>
        <v>Abrir facsímil</v>
      </c>
      <c r="K2817" s="12" t="s">
        <v>24</v>
      </c>
    </row>
    <row r="2818" spans="1:11" ht="40.049999999999997" customHeight="1" x14ac:dyDescent="0.25">
      <c r="A2818" s="11" t="s">
        <v>5998</v>
      </c>
      <c r="B2818" s="11" t="s">
        <v>5999</v>
      </c>
      <c r="C2818" s="11" t="s">
        <v>17</v>
      </c>
      <c r="D2818" s="11" t="s">
        <v>18</v>
      </c>
      <c r="E2818" s="12" t="s">
        <v>258</v>
      </c>
      <c r="F2818" s="12" t="s">
        <v>259</v>
      </c>
      <c r="G2818" s="12" t="s">
        <v>46</v>
      </c>
      <c r="H2818" s="11" t="s">
        <v>22</v>
      </c>
      <c r="I2818" s="13" t="s">
        <v>6000</v>
      </c>
      <c r="J2818" s="14" t="str">
        <f t="shared" si="0"/>
        <v>Abrir facsímil</v>
      </c>
      <c r="K2818" s="12" t="s">
        <v>24</v>
      </c>
    </row>
    <row r="2819" spans="1:11" ht="40.049999999999997" customHeight="1" x14ac:dyDescent="0.25">
      <c r="A2819" s="11" t="s">
        <v>6001</v>
      </c>
      <c r="B2819" s="11" t="s">
        <v>6002</v>
      </c>
      <c r="C2819" s="11" t="s">
        <v>17</v>
      </c>
      <c r="D2819" s="11" t="s">
        <v>18</v>
      </c>
      <c r="E2819" s="12" t="s">
        <v>258</v>
      </c>
      <c r="F2819" s="12" t="s">
        <v>259</v>
      </c>
      <c r="G2819" s="12" t="s">
        <v>46</v>
      </c>
      <c r="H2819" s="11" t="s">
        <v>22</v>
      </c>
      <c r="I2819" s="13" t="s">
        <v>6003</v>
      </c>
      <c r="J2819" s="14" t="str">
        <f t="shared" si="0"/>
        <v>Abrir facsímil</v>
      </c>
      <c r="K2819" s="12" t="s">
        <v>24</v>
      </c>
    </row>
    <row r="2820" spans="1:11" ht="40.049999999999997" customHeight="1" x14ac:dyDescent="0.25">
      <c r="A2820" s="11" t="s">
        <v>6004</v>
      </c>
      <c r="B2820" s="11" t="s">
        <v>6005</v>
      </c>
      <c r="C2820" s="11" t="s">
        <v>17</v>
      </c>
      <c r="D2820" s="11" t="s">
        <v>18</v>
      </c>
      <c r="E2820" s="12" t="s">
        <v>258</v>
      </c>
      <c r="F2820" s="12" t="s">
        <v>259</v>
      </c>
      <c r="G2820" s="12" t="s">
        <v>46</v>
      </c>
      <c r="H2820" s="11" t="s">
        <v>22</v>
      </c>
      <c r="I2820" s="13" t="s">
        <v>6006</v>
      </c>
      <c r="J2820" s="14" t="str">
        <f t="shared" si="0"/>
        <v>Abrir facsímil</v>
      </c>
      <c r="K2820" s="12" t="s">
        <v>24</v>
      </c>
    </row>
    <row r="2821" spans="1:11" ht="40.049999999999997" customHeight="1" x14ac:dyDescent="0.25">
      <c r="A2821" s="11" t="s">
        <v>6007</v>
      </c>
      <c r="B2821" s="11" t="s">
        <v>6008</v>
      </c>
      <c r="C2821" s="11" t="s">
        <v>17</v>
      </c>
      <c r="D2821" s="11" t="s">
        <v>18</v>
      </c>
      <c r="E2821" s="12" t="s">
        <v>258</v>
      </c>
      <c r="F2821" s="12" t="s">
        <v>259</v>
      </c>
      <c r="G2821" s="12" t="s">
        <v>46</v>
      </c>
      <c r="H2821" s="11" t="s">
        <v>22</v>
      </c>
      <c r="I2821" s="13" t="s">
        <v>6009</v>
      </c>
      <c r="J2821" s="14" t="str">
        <f t="shared" si="0"/>
        <v>Abrir facsímil</v>
      </c>
      <c r="K2821" s="12" t="s">
        <v>24</v>
      </c>
    </row>
    <row r="2822" spans="1:11" ht="40.049999999999997" customHeight="1" x14ac:dyDescent="0.25">
      <c r="A2822" s="11" t="s">
        <v>6010</v>
      </c>
      <c r="B2822" s="11" t="s">
        <v>6011</v>
      </c>
      <c r="C2822" s="11" t="s">
        <v>17</v>
      </c>
      <c r="D2822" s="11" t="s">
        <v>18</v>
      </c>
      <c r="E2822" s="12" t="s">
        <v>258</v>
      </c>
      <c r="F2822" s="12" t="s">
        <v>259</v>
      </c>
      <c r="G2822" s="12" t="s">
        <v>46</v>
      </c>
      <c r="H2822" s="11" t="s">
        <v>22</v>
      </c>
      <c r="I2822" s="13" t="s">
        <v>6012</v>
      </c>
      <c r="J2822" s="14" t="str">
        <f t="shared" si="0"/>
        <v>Abrir facsímil</v>
      </c>
      <c r="K2822" s="12" t="s">
        <v>24</v>
      </c>
    </row>
    <row r="2823" spans="1:11" ht="40.049999999999997" customHeight="1" x14ac:dyDescent="0.25">
      <c r="A2823" s="11" t="s">
        <v>6013</v>
      </c>
      <c r="B2823" s="11" t="s">
        <v>6014</v>
      </c>
      <c r="C2823" s="11" t="s">
        <v>17</v>
      </c>
      <c r="D2823" s="11" t="s">
        <v>18</v>
      </c>
      <c r="E2823" s="12" t="s">
        <v>258</v>
      </c>
      <c r="F2823" s="12" t="s">
        <v>259</v>
      </c>
      <c r="G2823" s="12" t="s">
        <v>46</v>
      </c>
      <c r="H2823" s="11" t="s">
        <v>22</v>
      </c>
      <c r="I2823" s="13" t="s">
        <v>6015</v>
      </c>
      <c r="J2823" s="14" t="str">
        <f t="shared" si="0"/>
        <v>Abrir facsímil</v>
      </c>
      <c r="K2823" s="12" t="s">
        <v>24</v>
      </c>
    </row>
    <row r="2824" spans="1:11" ht="40.049999999999997" customHeight="1" x14ac:dyDescent="0.25">
      <c r="A2824" s="11" t="s">
        <v>6016</v>
      </c>
      <c r="B2824" s="11" t="s">
        <v>6017</v>
      </c>
      <c r="C2824" s="11" t="s">
        <v>17</v>
      </c>
      <c r="D2824" s="11" t="s">
        <v>18</v>
      </c>
      <c r="E2824" s="12" t="s">
        <v>258</v>
      </c>
      <c r="F2824" s="12" t="s">
        <v>259</v>
      </c>
      <c r="G2824" s="12" t="s">
        <v>46</v>
      </c>
      <c r="H2824" s="11" t="s">
        <v>22</v>
      </c>
      <c r="I2824" s="13" t="s">
        <v>6018</v>
      </c>
      <c r="J2824" s="14" t="str">
        <f t="shared" si="0"/>
        <v>Abrir facsímil</v>
      </c>
      <c r="K2824" s="12" t="s">
        <v>24</v>
      </c>
    </row>
    <row r="2825" spans="1:11" ht="40.049999999999997" customHeight="1" x14ac:dyDescent="0.25">
      <c r="A2825" s="11" t="s">
        <v>6019</v>
      </c>
      <c r="B2825" s="11" t="s">
        <v>6020</v>
      </c>
      <c r="C2825" s="11" t="s">
        <v>17</v>
      </c>
      <c r="D2825" s="11" t="s">
        <v>18</v>
      </c>
      <c r="E2825" s="12" t="s">
        <v>258</v>
      </c>
      <c r="F2825" s="12" t="s">
        <v>259</v>
      </c>
      <c r="G2825" s="12" t="s">
        <v>46</v>
      </c>
      <c r="H2825" s="11" t="s">
        <v>22</v>
      </c>
      <c r="I2825" s="13" t="s">
        <v>6021</v>
      </c>
      <c r="J2825" s="14" t="str">
        <f t="shared" si="0"/>
        <v>Abrir facsímil</v>
      </c>
      <c r="K2825" s="12" t="s">
        <v>24</v>
      </c>
    </row>
    <row r="2826" spans="1:11" ht="40.049999999999997" customHeight="1" x14ac:dyDescent="0.25">
      <c r="A2826" s="11" t="s">
        <v>6022</v>
      </c>
      <c r="B2826" s="11" t="s">
        <v>6023</v>
      </c>
      <c r="C2826" s="11" t="s">
        <v>59</v>
      </c>
      <c r="D2826" s="11" t="s">
        <v>60</v>
      </c>
      <c r="E2826" s="12" t="s">
        <v>2463</v>
      </c>
      <c r="F2826" s="12" t="s">
        <v>2464</v>
      </c>
      <c r="G2826" s="12" t="s">
        <v>21</v>
      </c>
      <c r="H2826" s="11" t="s">
        <v>63</v>
      </c>
      <c r="I2826" s="13" t="s">
        <v>6024</v>
      </c>
      <c r="J2826" s="14" t="str">
        <f>HYPERLINK("https://www.boe.es/gazeta/dias/1839/04/26/pdfs/GMD-1839-1623.pdf#page=4","Abrir facsímil")</f>
        <v>Abrir facsímil</v>
      </c>
      <c r="K2826" s="12" t="s">
        <v>65</v>
      </c>
    </row>
    <row r="2827" spans="1:11" ht="40.049999999999997" customHeight="1" x14ac:dyDescent="0.25">
      <c r="A2827" s="11" t="s">
        <v>6025</v>
      </c>
      <c r="B2827" s="11" t="s">
        <v>6025</v>
      </c>
      <c r="C2827" s="11" t="s">
        <v>59</v>
      </c>
      <c r="D2827" s="11" t="s">
        <v>60</v>
      </c>
      <c r="E2827" s="12" t="s">
        <v>2738</v>
      </c>
      <c r="F2827" s="12" t="s">
        <v>2739</v>
      </c>
      <c r="G2827" s="12" t="s">
        <v>29</v>
      </c>
      <c r="H2827" s="11" t="s">
        <v>63</v>
      </c>
      <c r="I2827" s="13" t="s">
        <v>6026</v>
      </c>
      <c r="J2827" s="14" t="str">
        <f>HYPERLINK("https://www.boe.es/gazeta/dias/1839/09/06/pdfs/GMD-1839-1759.pdf#page=1","Abrir facsímil")</f>
        <v>Abrir facsímil</v>
      </c>
      <c r="K2827" s="12" t="s">
        <v>65</v>
      </c>
    </row>
    <row r="2828" spans="1:11" ht="40.049999999999997" customHeight="1" x14ac:dyDescent="0.25">
      <c r="A2828" s="11" t="s">
        <v>6027</v>
      </c>
      <c r="B2828" s="11" t="s">
        <v>6027</v>
      </c>
      <c r="C2828" s="11" t="s">
        <v>17</v>
      </c>
      <c r="D2828" s="11" t="s">
        <v>18</v>
      </c>
      <c r="E2828" s="12" t="s">
        <v>632</v>
      </c>
      <c r="F2828" s="12" t="s">
        <v>633</v>
      </c>
      <c r="G2828" s="12" t="s">
        <v>40</v>
      </c>
      <c r="H2828" s="11" t="s">
        <v>63</v>
      </c>
      <c r="I2828" s="13" t="s">
        <v>6028</v>
      </c>
      <c r="J2828" s="14" t="str">
        <f>HYPERLINK("https://www.boe.es/gazeta/dias/1839/04/06/pdfs/GMD-1839-1603.pdf#page=2","Abrir facsímil")</f>
        <v>Abrir facsímil</v>
      </c>
      <c r="K2828" s="12" t="s">
        <v>65</v>
      </c>
    </row>
    <row r="2829" spans="1:11" ht="40.049999999999997" customHeight="1" x14ac:dyDescent="0.25">
      <c r="A2829" s="11" t="s">
        <v>6027</v>
      </c>
      <c r="B2829" s="11" t="s">
        <v>6027</v>
      </c>
      <c r="C2829" s="11" t="s">
        <v>17</v>
      </c>
      <c r="D2829" s="11" t="s">
        <v>18</v>
      </c>
      <c r="E2829" s="12" t="s">
        <v>862</v>
      </c>
      <c r="F2829" s="12" t="s">
        <v>863</v>
      </c>
      <c r="G2829" s="12" t="s">
        <v>29</v>
      </c>
      <c r="H2829" s="11" t="s">
        <v>63</v>
      </c>
      <c r="I2829" s="13" t="s">
        <v>6029</v>
      </c>
      <c r="J2829" s="14" t="str">
        <f>HYPERLINK("https://www.boe.es/gazeta/dias/1839/10/28/pdfs/GMD-1839-1814.pdf#page=1","Abrir facsímil")</f>
        <v>Abrir facsímil</v>
      </c>
      <c r="K2829" s="12" t="s">
        <v>65</v>
      </c>
    </row>
    <row r="2830" spans="1:11" ht="40.049999999999997" customHeight="1" x14ac:dyDescent="0.25">
      <c r="A2830" s="11" t="s">
        <v>6030</v>
      </c>
      <c r="B2830" s="11" t="s">
        <v>6030</v>
      </c>
      <c r="C2830" s="11" t="s">
        <v>80</v>
      </c>
      <c r="D2830" s="11" t="s">
        <v>18</v>
      </c>
      <c r="E2830" s="12" t="s">
        <v>632</v>
      </c>
      <c r="F2830" s="12" t="s">
        <v>633</v>
      </c>
      <c r="G2830" s="12" t="s">
        <v>29</v>
      </c>
      <c r="H2830" s="11" t="s">
        <v>63</v>
      </c>
      <c r="I2830" s="13" t="s">
        <v>6031</v>
      </c>
      <c r="J2830" s="14" t="str">
        <f>HYPERLINK("https://www.boe.es/gazeta/dias/1839/04/06/pdfs/GMD-1839-1603.pdf#page=1","Abrir facsímil")</f>
        <v>Abrir facsímil</v>
      </c>
      <c r="K2830" s="12" t="s">
        <v>65</v>
      </c>
    </row>
    <row r="2831" spans="1:11" ht="40.049999999999997" customHeight="1" x14ac:dyDescent="0.25">
      <c r="A2831" s="11" t="s">
        <v>6030</v>
      </c>
      <c r="B2831" s="11" t="s">
        <v>6030</v>
      </c>
      <c r="C2831" s="11" t="s">
        <v>59</v>
      </c>
      <c r="D2831" s="11" t="s">
        <v>60</v>
      </c>
      <c r="E2831" s="12" t="s">
        <v>785</v>
      </c>
      <c r="F2831" s="12" t="s">
        <v>786</v>
      </c>
      <c r="G2831" s="12" t="s">
        <v>46</v>
      </c>
      <c r="H2831" s="11" t="s">
        <v>63</v>
      </c>
      <c r="I2831" s="13" t="s">
        <v>6032</v>
      </c>
      <c r="J2831" s="14" t="str">
        <f>HYPERLINK("https://www.boe.es/gazeta/dias/1839/07/13/pdfs/GMD-1839-1701.pdf#page=3","Abrir facsímil")</f>
        <v>Abrir facsímil</v>
      </c>
      <c r="K2831" s="12" t="s">
        <v>65</v>
      </c>
    </row>
    <row r="2832" spans="1:11" ht="40.049999999999997" customHeight="1" x14ac:dyDescent="0.25">
      <c r="A2832" s="11" t="s">
        <v>6030</v>
      </c>
      <c r="B2832" s="11" t="s">
        <v>6030</v>
      </c>
      <c r="C2832" s="11" t="s">
        <v>80</v>
      </c>
      <c r="D2832" s="11" t="s">
        <v>18</v>
      </c>
      <c r="E2832" s="12" t="s">
        <v>343</v>
      </c>
      <c r="F2832" s="12" t="s">
        <v>344</v>
      </c>
      <c r="G2832" s="12" t="s">
        <v>40</v>
      </c>
      <c r="H2832" s="11" t="s">
        <v>63</v>
      </c>
      <c r="I2832" s="13" t="s">
        <v>6033</v>
      </c>
      <c r="J2832" s="14" t="str">
        <f>HYPERLINK("https://www.boe.es/gazeta/dias/1839/05/20/pdfs/GMD-1839-1647.pdf#page=2","Abrir facsímil")</f>
        <v>Abrir facsímil</v>
      </c>
      <c r="K2832" s="12" t="s">
        <v>65</v>
      </c>
    </row>
    <row r="2833" spans="1:11" ht="40.049999999999997" customHeight="1" x14ac:dyDescent="0.25">
      <c r="A2833" s="11" t="s">
        <v>6034</v>
      </c>
      <c r="B2833" s="11" t="s">
        <v>6034</v>
      </c>
      <c r="C2833" s="11" t="s">
        <v>17</v>
      </c>
      <c r="D2833" s="11" t="s">
        <v>18</v>
      </c>
      <c r="E2833" s="12" t="s">
        <v>355</v>
      </c>
      <c r="F2833" s="12" t="s">
        <v>356</v>
      </c>
      <c r="G2833" s="12" t="s">
        <v>29</v>
      </c>
      <c r="H2833" s="11" t="s">
        <v>63</v>
      </c>
      <c r="I2833" s="13" t="s">
        <v>6035</v>
      </c>
      <c r="J2833" s="14" t="str">
        <f>HYPERLINK("https://www.boe.es/gazeta/dias/1839/05/31/pdfs/GMD-1839-1658.pdf#page=1","Abrir facsímil")</f>
        <v>Abrir facsímil</v>
      </c>
      <c r="K2833" s="12" t="s">
        <v>65</v>
      </c>
    </row>
    <row r="2834" spans="1:11" ht="40.049999999999997" customHeight="1" x14ac:dyDescent="0.25">
      <c r="A2834" s="11" t="s">
        <v>6036</v>
      </c>
      <c r="B2834" s="11" t="s">
        <v>6037</v>
      </c>
      <c r="C2834" s="11" t="s">
        <v>101</v>
      </c>
      <c r="D2834" s="11" t="s">
        <v>43</v>
      </c>
      <c r="E2834" s="12" t="s">
        <v>462</v>
      </c>
      <c r="F2834" s="12" t="s">
        <v>463</v>
      </c>
      <c r="G2834" s="12" t="s">
        <v>46</v>
      </c>
      <c r="H2834" s="11" t="s">
        <v>63</v>
      </c>
      <c r="I2834" s="13" t="s">
        <v>6038</v>
      </c>
      <c r="J2834" s="14" t="str">
        <f>HYPERLINK("https://www.boe.es/gazeta/dias/1839/06/19/pdfs/GMD-1839-1677.pdf#page=3","Abrir facsímil")</f>
        <v>Abrir facsímil</v>
      </c>
      <c r="K2834" s="12" t="s">
        <v>65</v>
      </c>
    </row>
    <row r="2835" spans="1:11" ht="40.049999999999997" customHeight="1" x14ac:dyDescent="0.25">
      <c r="A2835" s="11" t="s">
        <v>6039</v>
      </c>
      <c r="B2835" s="11" t="s">
        <v>6039</v>
      </c>
      <c r="C2835" s="11" t="s">
        <v>17</v>
      </c>
      <c r="D2835" s="11" t="s">
        <v>18</v>
      </c>
      <c r="E2835" s="12" t="s">
        <v>2449</v>
      </c>
      <c r="F2835" s="12" t="s">
        <v>2450</v>
      </c>
      <c r="G2835" s="12" t="s">
        <v>40</v>
      </c>
      <c r="H2835" s="11" t="s">
        <v>63</v>
      </c>
      <c r="I2835" s="13" t="s">
        <v>6040</v>
      </c>
      <c r="J2835" s="14" t="str">
        <f>HYPERLINK("https://www.boe.es/gazeta/dias/1839/12/11/pdfs/GMD-1839-1858.pdf#page=2","Abrir facsímil")</f>
        <v>Abrir facsímil</v>
      </c>
      <c r="K2835" s="12" t="s">
        <v>65</v>
      </c>
    </row>
    <row r="2836" spans="1:11" ht="40.049999999999997" customHeight="1" x14ac:dyDescent="0.25">
      <c r="A2836" s="11" t="s">
        <v>6041</v>
      </c>
      <c r="B2836" s="11" t="s">
        <v>6042</v>
      </c>
      <c r="C2836" s="11" t="s">
        <v>101</v>
      </c>
      <c r="D2836" s="11" t="s">
        <v>43</v>
      </c>
      <c r="E2836" s="12" t="s">
        <v>653</v>
      </c>
      <c r="F2836" s="12" t="s">
        <v>654</v>
      </c>
      <c r="G2836" s="12" t="s">
        <v>29</v>
      </c>
      <c r="H2836" s="11" t="s">
        <v>63</v>
      </c>
      <c r="I2836" s="13" t="s">
        <v>6043</v>
      </c>
      <c r="J2836" s="14" t="str">
        <f>HYPERLINK("https://www.boe.es/gazeta/dias/1839/10/31/pdfs/GMD-1839-1817.pdf#page=1","Abrir facsímil")</f>
        <v>Abrir facsímil</v>
      </c>
      <c r="K2836" s="12" t="s">
        <v>65</v>
      </c>
    </row>
    <row r="2837" spans="1:11" ht="40.049999999999997" customHeight="1" x14ac:dyDescent="0.25">
      <c r="A2837" s="11" t="s">
        <v>6044</v>
      </c>
      <c r="B2837" s="11" t="s">
        <v>6044</v>
      </c>
      <c r="C2837" s="11" t="s">
        <v>137</v>
      </c>
      <c r="D2837" s="11" t="s">
        <v>18</v>
      </c>
      <c r="E2837" s="12" t="s">
        <v>2392</v>
      </c>
      <c r="F2837" s="12" t="s">
        <v>2393</v>
      </c>
      <c r="G2837" s="12" t="s">
        <v>21</v>
      </c>
      <c r="H2837" s="11" t="s">
        <v>63</v>
      </c>
      <c r="I2837" s="13" t="s">
        <v>6045</v>
      </c>
      <c r="J2837" s="14" t="str">
        <f>HYPERLINK("https://www.boe.es/gazeta/dias/1839/05/21/pdfs/GMD-1839-1648.pdf#page=4","Abrir facsímil")</f>
        <v>Abrir facsímil</v>
      </c>
      <c r="K2837" s="12" t="s">
        <v>65</v>
      </c>
    </row>
    <row r="2838" spans="1:11" ht="40.049999999999997" customHeight="1" x14ac:dyDescent="0.25">
      <c r="A2838" s="11" t="s">
        <v>6046</v>
      </c>
      <c r="B2838" s="11" t="s">
        <v>6046</v>
      </c>
      <c r="C2838" s="11" t="s">
        <v>137</v>
      </c>
      <c r="D2838" s="11" t="s">
        <v>18</v>
      </c>
      <c r="E2838" s="12" t="s">
        <v>1086</v>
      </c>
      <c r="F2838" s="12" t="s">
        <v>1087</v>
      </c>
      <c r="G2838" s="12" t="s">
        <v>40</v>
      </c>
      <c r="H2838" s="11" t="s">
        <v>63</v>
      </c>
      <c r="I2838" s="13" t="s">
        <v>6047</v>
      </c>
      <c r="J2838" s="14" t="str">
        <f>HYPERLINK("https://www.boe.es/gazeta/dias/1839/10/26/pdfs/GMD-1839-1812.pdf#page=2","Abrir facsímil")</f>
        <v>Abrir facsímil</v>
      </c>
      <c r="K2838" s="12" t="s">
        <v>65</v>
      </c>
    </row>
    <row r="2839" spans="1:11" ht="40.049999999999997" customHeight="1" x14ac:dyDescent="0.25">
      <c r="A2839" s="11" t="s">
        <v>6048</v>
      </c>
      <c r="B2839" s="11" t="s">
        <v>6048</v>
      </c>
      <c r="C2839" s="11" t="s">
        <v>17</v>
      </c>
      <c r="D2839" s="11" t="s">
        <v>18</v>
      </c>
      <c r="E2839" s="12" t="s">
        <v>1988</v>
      </c>
      <c r="F2839" s="12" t="s">
        <v>1989</v>
      </c>
      <c r="G2839" s="12" t="s">
        <v>40</v>
      </c>
      <c r="H2839" s="11" t="s">
        <v>63</v>
      </c>
      <c r="I2839" s="13" t="s">
        <v>6049</v>
      </c>
      <c r="J2839" s="14" t="str">
        <f>HYPERLINK("https://www.boe.es/gazeta/dias/1839/10/29/pdfs/GMD-1839-1815.pdf#page=2","Abrir facsímil")</f>
        <v>Abrir facsímil</v>
      </c>
      <c r="K2839" s="12" t="s">
        <v>65</v>
      </c>
    </row>
    <row r="2840" spans="1:11" ht="40.049999999999997" customHeight="1" x14ac:dyDescent="0.25">
      <c r="A2840" s="11" t="s">
        <v>6050</v>
      </c>
      <c r="B2840" s="11" t="s">
        <v>6050</v>
      </c>
      <c r="C2840" s="11" t="s">
        <v>17</v>
      </c>
      <c r="D2840" s="11" t="s">
        <v>18</v>
      </c>
      <c r="E2840" s="12" t="s">
        <v>3766</v>
      </c>
      <c r="F2840" s="12" t="s">
        <v>3767</v>
      </c>
      <c r="G2840" s="12" t="s">
        <v>46</v>
      </c>
      <c r="H2840" s="11" t="s">
        <v>63</v>
      </c>
      <c r="I2840" s="13" t="s">
        <v>6051</v>
      </c>
      <c r="J2840" s="14" t="str">
        <f>HYPERLINK("https://www.boe.es/gazeta/dias/1839/06/10/pdfs/GMD-1839-1668.pdf#page=3","Abrir facsímil")</f>
        <v>Abrir facsímil</v>
      </c>
      <c r="K2840" s="12" t="s">
        <v>65</v>
      </c>
    </row>
    <row r="2841" spans="1:11" ht="40.049999999999997" customHeight="1" x14ac:dyDescent="0.25">
      <c r="A2841" s="11" t="s">
        <v>6052</v>
      </c>
      <c r="B2841" s="11" t="s">
        <v>6053</v>
      </c>
      <c r="C2841" s="11" t="s">
        <v>80</v>
      </c>
      <c r="D2841" s="11" t="s">
        <v>18</v>
      </c>
      <c r="E2841" s="12" t="s">
        <v>76</v>
      </c>
      <c r="F2841" s="12" t="s">
        <v>77</v>
      </c>
      <c r="G2841" s="12" t="s">
        <v>46</v>
      </c>
      <c r="H2841" s="11" t="s">
        <v>63</v>
      </c>
      <c r="I2841" s="13" t="s">
        <v>6054</v>
      </c>
      <c r="J2841" s="14" t="str">
        <f>HYPERLINK("https://www.boe.es/gazeta/dias/1839/03/13/pdfs/GMD-1839-1579.pdf#page=3","Abrir facsímil")</f>
        <v>Abrir facsímil</v>
      </c>
      <c r="K2841" s="12" t="s">
        <v>65</v>
      </c>
    </row>
    <row r="2842" spans="1:11" ht="40.049999999999997" customHeight="1" x14ac:dyDescent="0.25">
      <c r="A2842" s="11" t="s">
        <v>6055</v>
      </c>
      <c r="B2842" s="11" t="s">
        <v>6056</v>
      </c>
      <c r="C2842" s="11" t="s">
        <v>80</v>
      </c>
      <c r="D2842" s="11" t="s">
        <v>18</v>
      </c>
      <c r="E2842" s="12" t="s">
        <v>369</v>
      </c>
      <c r="F2842" s="12" t="s">
        <v>370</v>
      </c>
      <c r="G2842" s="12" t="s">
        <v>46</v>
      </c>
      <c r="H2842" s="11" t="s">
        <v>63</v>
      </c>
      <c r="I2842" s="13" t="s">
        <v>6057</v>
      </c>
      <c r="J2842" s="14" t="str">
        <f>HYPERLINK("https://www.boe.es/gazeta/dias/1839/11/01/pdfs/GMD-1839-1818.pdf#page=3","Abrir facsímil")</f>
        <v>Abrir facsímil</v>
      </c>
      <c r="K2842" s="12" t="s">
        <v>65</v>
      </c>
    </row>
    <row r="2843" spans="1:11" ht="40.049999999999997" customHeight="1" x14ac:dyDescent="0.25">
      <c r="A2843" s="11" t="s">
        <v>6055</v>
      </c>
      <c r="B2843" s="11" t="s">
        <v>6056</v>
      </c>
      <c r="C2843" s="11" t="s">
        <v>17</v>
      </c>
      <c r="D2843" s="11" t="s">
        <v>18</v>
      </c>
      <c r="E2843" s="12" t="s">
        <v>1414</v>
      </c>
      <c r="F2843" s="12" t="s">
        <v>1415</v>
      </c>
      <c r="G2843" s="12" t="s">
        <v>21</v>
      </c>
      <c r="H2843" s="11" t="s">
        <v>63</v>
      </c>
      <c r="I2843" s="13" t="s">
        <v>6058</v>
      </c>
      <c r="J2843" s="14" t="str">
        <f>HYPERLINK("https://www.boe.es/gazeta/dias/1839/06/12/pdfs/GMD-1839-1670.pdf#page=4","Abrir facsímil")</f>
        <v>Abrir facsímil</v>
      </c>
      <c r="K2843" s="12" t="s">
        <v>65</v>
      </c>
    </row>
    <row r="2844" spans="1:11" ht="40.049999999999997" customHeight="1" x14ac:dyDescent="0.25">
      <c r="A2844" s="11" t="s">
        <v>6059</v>
      </c>
      <c r="B2844" s="11" t="s">
        <v>6059</v>
      </c>
      <c r="C2844" s="11" t="s">
        <v>137</v>
      </c>
      <c r="D2844" s="11" t="s">
        <v>18</v>
      </c>
      <c r="E2844" s="12" t="s">
        <v>409</v>
      </c>
      <c r="F2844" s="12" t="s">
        <v>410</v>
      </c>
      <c r="G2844" s="12" t="s">
        <v>29</v>
      </c>
      <c r="H2844" s="11" t="s">
        <v>63</v>
      </c>
      <c r="I2844" s="13" t="s">
        <v>6060</v>
      </c>
      <c r="J2844" s="14" t="str">
        <f>HYPERLINK("https://www.boe.es/gazeta/dias/1839/07/05/pdfs/GMD-1839-1693.pdf#page=1","Abrir facsímil")</f>
        <v>Abrir facsímil</v>
      </c>
      <c r="K2844" s="12" t="s">
        <v>65</v>
      </c>
    </row>
    <row r="2845" spans="1:11" ht="40.049999999999997" customHeight="1" x14ac:dyDescent="0.25">
      <c r="A2845" s="11" t="s">
        <v>6061</v>
      </c>
      <c r="B2845" s="11" t="s">
        <v>6062</v>
      </c>
      <c r="C2845" s="11" t="s">
        <v>17</v>
      </c>
      <c r="D2845" s="11" t="s">
        <v>18</v>
      </c>
      <c r="E2845" s="12" t="s">
        <v>49</v>
      </c>
      <c r="F2845" s="12" t="s">
        <v>50</v>
      </c>
      <c r="G2845" s="12" t="s">
        <v>21</v>
      </c>
      <c r="H2845" s="11" t="s">
        <v>63</v>
      </c>
      <c r="I2845" s="13" t="s">
        <v>6063</v>
      </c>
      <c r="J2845" s="14" t="str">
        <f>HYPERLINK("https://www.boe.es/gazeta/dias/1839/01/05/pdfs/GMD-1839-1512.pdf#page=4","Abrir facsímil")</f>
        <v>Abrir facsímil</v>
      </c>
      <c r="K2845" s="12" t="s">
        <v>65</v>
      </c>
    </row>
    <row r="2846" spans="1:11" ht="40.049999999999997" customHeight="1" x14ac:dyDescent="0.25">
      <c r="A2846" s="11" t="s">
        <v>6064</v>
      </c>
      <c r="B2846" s="11" t="s">
        <v>6065</v>
      </c>
      <c r="C2846" s="11" t="s">
        <v>137</v>
      </c>
      <c r="D2846" s="11" t="s">
        <v>18</v>
      </c>
      <c r="E2846" s="12" t="s">
        <v>138</v>
      </c>
      <c r="F2846" s="12" t="s">
        <v>139</v>
      </c>
      <c r="G2846" s="12" t="s">
        <v>21</v>
      </c>
      <c r="H2846" s="11" t="s">
        <v>63</v>
      </c>
      <c r="I2846" s="13" t="s">
        <v>6066</v>
      </c>
      <c r="J2846" s="14" t="str">
        <f>HYPERLINK("https://www.boe.es/gazeta/dias/1839/10/09/pdfs/GMD-1839-1795.pdf#page=4","Abrir facsímil")</f>
        <v>Abrir facsímil</v>
      </c>
      <c r="K2846" s="12" t="s">
        <v>65</v>
      </c>
    </row>
    <row r="2847" spans="1:11" ht="40.049999999999997" customHeight="1" x14ac:dyDescent="0.25">
      <c r="A2847" s="11" t="s">
        <v>6067</v>
      </c>
      <c r="B2847" s="11" t="s">
        <v>6068</v>
      </c>
      <c r="C2847" s="11" t="s">
        <v>80</v>
      </c>
      <c r="D2847" s="11" t="s">
        <v>18</v>
      </c>
      <c r="E2847" s="12" t="s">
        <v>1179</v>
      </c>
      <c r="F2847" s="12" t="s">
        <v>1180</v>
      </c>
      <c r="G2847" s="12" t="s">
        <v>305</v>
      </c>
      <c r="H2847" s="11" t="s">
        <v>63</v>
      </c>
      <c r="I2847" s="13" t="s">
        <v>6069</v>
      </c>
      <c r="J2847" s="14" t="str">
        <f>HYPERLINK("https://www.boe.es/gazeta/dias/1839/10/18/pdfs/GMD-1839-1804.pdf#page=6","Abrir facsímil")</f>
        <v>Abrir facsímil</v>
      </c>
      <c r="K2847" s="12" t="s">
        <v>65</v>
      </c>
    </row>
    <row r="2848" spans="1:11" ht="40.049999999999997" customHeight="1" x14ac:dyDescent="0.25">
      <c r="A2848" s="11" t="s">
        <v>6070</v>
      </c>
      <c r="B2848" s="11" t="s">
        <v>6071</v>
      </c>
      <c r="C2848" s="11" t="s">
        <v>17</v>
      </c>
      <c r="D2848" s="11" t="s">
        <v>18</v>
      </c>
      <c r="E2848" s="12" t="s">
        <v>474</v>
      </c>
      <c r="F2848" s="12" t="s">
        <v>475</v>
      </c>
      <c r="G2848" s="12" t="s">
        <v>21</v>
      </c>
      <c r="H2848" s="11" t="s">
        <v>63</v>
      </c>
      <c r="I2848" s="13" t="s">
        <v>6072</v>
      </c>
      <c r="J2848" s="14" t="str">
        <f>HYPERLINK("https://www.boe.es/gazeta/dias/1839/03/31/pdfs/GMD-1839-1597.pdf#page=4","Abrir facsímil")</f>
        <v>Abrir facsímil</v>
      </c>
      <c r="K2848" s="12" t="s">
        <v>65</v>
      </c>
    </row>
    <row r="2849" spans="1:11" ht="40.049999999999997" customHeight="1" x14ac:dyDescent="0.25">
      <c r="A2849" s="11" t="s">
        <v>6073</v>
      </c>
      <c r="B2849" s="11" t="s">
        <v>6074</v>
      </c>
      <c r="C2849" s="11" t="s">
        <v>80</v>
      </c>
      <c r="D2849" s="11" t="s">
        <v>18</v>
      </c>
      <c r="E2849" s="12" t="s">
        <v>798</v>
      </c>
      <c r="F2849" s="12" t="s">
        <v>799</v>
      </c>
      <c r="G2849" s="12" t="s">
        <v>40</v>
      </c>
      <c r="H2849" s="11" t="s">
        <v>63</v>
      </c>
      <c r="I2849" s="13" t="s">
        <v>6075</v>
      </c>
      <c r="J2849" s="14" t="str">
        <f>HYPERLINK("https://www.boe.es/gazeta/dias/1839/09/03/pdfs/GMD-1839-1755.pdf#page=2","Abrir facsímil")</f>
        <v>Abrir facsímil</v>
      </c>
      <c r="K2849" s="12" t="s">
        <v>65</v>
      </c>
    </row>
    <row r="2850" spans="1:11" ht="40.049999999999997" customHeight="1" x14ac:dyDescent="0.25">
      <c r="A2850" s="11" t="s">
        <v>6076</v>
      </c>
      <c r="B2850" s="11" t="s">
        <v>6076</v>
      </c>
      <c r="C2850" s="11" t="s">
        <v>17</v>
      </c>
      <c r="D2850" s="11" t="s">
        <v>18</v>
      </c>
      <c r="E2850" s="12" t="s">
        <v>862</v>
      </c>
      <c r="F2850" s="12" t="s">
        <v>863</v>
      </c>
      <c r="G2850" s="12" t="s">
        <v>29</v>
      </c>
      <c r="H2850" s="11" t="s">
        <v>22</v>
      </c>
      <c r="I2850" s="13" t="s">
        <v>6077</v>
      </c>
      <c r="J2850" s="14" t="str">
        <f>HYPERLINK("https://www.boe.es/gazeta/dias/1839/10/28/pdfs/GMD-1839-1814.pdf#page=1","Abrir facsímil")</f>
        <v>Abrir facsímil</v>
      </c>
      <c r="K2850" s="12" t="s">
        <v>24</v>
      </c>
    </row>
    <row r="2851" spans="1:11" ht="40.049999999999997" customHeight="1" x14ac:dyDescent="0.25">
      <c r="A2851" s="11" t="s">
        <v>6078</v>
      </c>
      <c r="B2851" s="11" t="s">
        <v>6079</v>
      </c>
      <c r="C2851" s="11" t="s">
        <v>80</v>
      </c>
      <c r="D2851" s="11" t="s">
        <v>18</v>
      </c>
      <c r="E2851" s="12" t="s">
        <v>496</v>
      </c>
      <c r="F2851" s="12" t="s">
        <v>497</v>
      </c>
      <c r="G2851" s="12" t="s">
        <v>21</v>
      </c>
      <c r="H2851" s="11" t="s">
        <v>63</v>
      </c>
      <c r="I2851" s="13" t="s">
        <v>6080</v>
      </c>
      <c r="J2851" s="14" t="str">
        <f>HYPERLINK("https://www.boe.es/gazeta/dias/1839/11/23/pdfs/GMD-1839-1840.pdf#page=4","Abrir facsímil")</f>
        <v>Abrir facsímil</v>
      </c>
      <c r="K2851" s="12" t="s">
        <v>65</v>
      </c>
    </row>
    <row r="2852" spans="1:11" ht="40.049999999999997" customHeight="1" x14ac:dyDescent="0.25">
      <c r="A2852" s="11" t="s">
        <v>6081</v>
      </c>
      <c r="B2852" s="11" t="s">
        <v>6082</v>
      </c>
      <c r="C2852" s="11" t="s">
        <v>17</v>
      </c>
      <c r="D2852" s="11" t="s">
        <v>18</v>
      </c>
      <c r="E2852" s="12" t="s">
        <v>1179</v>
      </c>
      <c r="F2852" s="12" t="s">
        <v>1180</v>
      </c>
      <c r="G2852" s="12" t="s">
        <v>305</v>
      </c>
      <c r="H2852" s="11" t="s">
        <v>22</v>
      </c>
      <c r="I2852" s="13" t="s">
        <v>6083</v>
      </c>
      <c r="J2852" s="14" t="str">
        <f>HYPERLINK("https://www.boe.es/gazeta/dias/1839/10/18/pdfs/GMD-1839-1804.pdf#page=6","Abrir facsímil")</f>
        <v>Abrir facsímil</v>
      </c>
      <c r="K2852" s="12" t="s">
        <v>24</v>
      </c>
    </row>
    <row r="2853" spans="1:11" ht="40.049999999999997" customHeight="1" x14ac:dyDescent="0.25">
      <c r="A2853" s="11" t="s">
        <v>6084</v>
      </c>
      <c r="B2853" s="11" t="s">
        <v>6085</v>
      </c>
      <c r="C2853" s="11" t="s">
        <v>17</v>
      </c>
      <c r="D2853" s="11" t="s">
        <v>18</v>
      </c>
      <c r="E2853" s="12" t="s">
        <v>998</v>
      </c>
      <c r="F2853" s="12" t="s">
        <v>999</v>
      </c>
      <c r="G2853" s="12" t="s">
        <v>21</v>
      </c>
      <c r="H2853" s="11" t="s">
        <v>63</v>
      </c>
      <c r="I2853" s="13" t="s">
        <v>6086</v>
      </c>
      <c r="J2853" s="14" t="str">
        <f>HYPERLINK("https://www.boe.es/gazeta/dias/1839/05/06/pdfs/GMD-1839-1633.pdf#page=4","Abrir facsímil")</f>
        <v>Abrir facsímil</v>
      </c>
      <c r="K2853" s="12" t="s">
        <v>65</v>
      </c>
    </row>
    <row r="2854" spans="1:11" ht="40.049999999999997" customHeight="1" x14ac:dyDescent="0.25">
      <c r="A2854" s="11" t="s">
        <v>6087</v>
      </c>
      <c r="B2854" s="11" t="s">
        <v>6088</v>
      </c>
      <c r="C2854" s="11" t="s">
        <v>17</v>
      </c>
      <c r="D2854" s="11" t="s">
        <v>18</v>
      </c>
      <c r="E2854" s="12" t="s">
        <v>355</v>
      </c>
      <c r="F2854" s="12" t="s">
        <v>356</v>
      </c>
      <c r="G2854" s="12" t="s">
        <v>21</v>
      </c>
      <c r="H2854" s="11" t="s">
        <v>63</v>
      </c>
      <c r="I2854" s="13" t="s">
        <v>6089</v>
      </c>
      <c r="J2854" s="14" t="str">
        <f>HYPERLINK("https://www.boe.es/gazeta/dias/1839/05/31/pdfs/GMD-1839-1658.pdf#page=4","Abrir facsímil")</f>
        <v>Abrir facsímil</v>
      </c>
      <c r="K2854" s="12" t="s">
        <v>65</v>
      </c>
    </row>
    <row r="2855" spans="1:11" ht="40.049999999999997" customHeight="1" x14ac:dyDescent="0.25">
      <c r="A2855" s="11" t="s">
        <v>6090</v>
      </c>
      <c r="B2855" s="11" t="s">
        <v>6091</v>
      </c>
      <c r="C2855" s="11" t="s">
        <v>59</v>
      </c>
      <c r="D2855" s="11" t="s">
        <v>60</v>
      </c>
      <c r="E2855" s="12" t="s">
        <v>695</v>
      </c>
      <c r="F2855" s="12" t="s">
        <v>696</v>
      </c>
      <c r="G2855" s="12" t="s">
        <v>21</v>
      </c>
      <c r="H2855" s="11" t="s">
        <v>63</v>
      </c>
      <c r="I2855" s="13" t="s">
        <v>6092</v>
      </c>
      <c r="J2855" s="14" t="str">
        <f>HYPERLINK("https://www.boe.es/gazeta/dias/1839/12/19/pdfs/GMD-1839-1866.pdf#page=4","Abrir facsímil")</f>
        <v>Abrir facsímil</v>
      </c>
      <c r="K2855" s="12" t="s">
        <v>65</v>
      </c>
    </row>
    <row r="2856" spans="1:11" ht="40.049999999999997" customHeight="1" x14ac:dyDescent="0.25">
      <c r="A2856" s="11" t="s">
        <v>6093</v>
      </c>
      <c r="B2856" s="11" t="s">
        <v>6094</v>
      </c>
      <c r="C2856" s="11" t="s">
        <v>17</v>
      </c>
      <c r="D2856" s="11" t="s">
        <v>18</v>
      </c>
      <c r="E2856" s="12" t="s">
        <v>918</v>
      </c>
      <c r="F2856" s="12" t="s">
        <v>919</v>
      </c>
      <c r="G2856" s="12" t="s">
        <v>29</v>
      </c>
      <c r="H2856" s="11" t="s">
        <v>63</v>
      </c>
      <c r="I2856" s="13" t="s">
        <v>6095</v>
      </c>
      <c r="J2856" s="14" t="str">
        <f>HYPERLINK("https://www.boe.es/gazeta/dias/1839/12/07/pdfs/GMD-1839-1854.pdf#page=1","Abrir facsímil")</f>
        <v>Abrir facsímil</v>
      </c>
      <c r="K2856" s="12" t="s">
        <v>65</v>
      </c>
    </row>
    <row r="2857" spans="1:11" ht="40.049999999999997" customHeight="1" x14ac:dyDescent="0.25">
      <c r="A2857" s="11" t="s">
        <v>6093</v>
      </c>
      <c r="B2857" s="11" t="s">
        <v>6094</v>
      </c>
      <c r="C2857" s="11" t="s">
        <v>101</v>
      </c>
      <c r="D2857" s="11" t="s">
        <v>43</v>
      </c>
      <c r="E2857" s="12" t="s">
        <v>723</v>
      </c>
      <c r="F2857" s="12" t="s">
        <v>724</v>
      </c>
      <c r="G2857" s="12" t="s">
        <v>40</v>
      </c>
      <c r="H2857" s="11" t="s">
        <v>63</v>
      </c>
      <c r="I2857" s="13" t="s">
        <v>6096</v>
      </c>
      <c r="J2857" s="14" t="str">
        <f>HYPERLINK("https://www.boe.es/gazeta/dias/1839/09/26/pdfs/GMD-1839-1782.pdf#page=2","Abrir facsímil")</f>
        <v>Abrir facsímil</v>
      </c>
      <c r="K2857" s="12" t="s">
        <v>65</v>
      </c>
    </row>
    <row r="2858" spans="1:11" ht="40.049999999999997" customHeight="1" x14ac:dyDescent="0.25">
      <c r="A2858" s="11" t="s">
        <v>6097</v>
      </c>
      <c r="B2858" s="11" t="s">
        <v>6098</v>
      </c>
      <c r="C2858" s="11" t="s">
        <v>17</v>
      </c>
      <c r="D2858" s="11" t="s">
        <v>18</v>
      </c>
      <c r="E2858" s="12" t="s">
        <v>157</v>
      </c>
      <c r="F2858" s="12" t="s">
        <v>158</v>
      </c>
      <c r="G2858" s="12" t="s">
        <v>29</v>
      </c>
      <c r="H2858" s="11" t="s">
        <v>63</v>
      </c>
      <c r="I2858" s="13" t="s">
        <v>6099</v>
      </c>
      <c r="J2858" s="14" t="str">
        <f>HYPERLINK("https://www.boe.es/gazeta/dias/1839/02/08/pdfs/GMD-1839-1546.pdf#page=1","Abrir facsímil")</f>
        <v>Abrir facsímil</v>
      </c>
      <c r="K2858" s="12" t="s">
        <v>65</v>
      </c>
    </row>
    <row r="2859" spans="1:11" ht="40.049999999999997" customHeight="1" x14ac:dyDescent="0.25">
      <c r="A2859" s="11" t="s">
        <v>6100</v>
      </c>
      <c r="B2859" s="11" t="s">
        <v>6101</v>
      </c>
      <c r="C2859" s="11" t="s">
        <v>137</v>
      </c>
      <c r="D2859" s="11" t="s">
        <v>18</v>
      </c>
      <c r="E2859" s="12" t="s">
        <v>462</v>
      </c>
      <c r="F2859" s="12" t="s">
        <v>463</v>
      </c>
      <c r="G2859" s="12" t="s">
        <v>46</v>
      </c>
      <c r="H2859" s="11" t="s">
        <v>22</v>
      </c>
      <c r="I2859" s="13" t="s">
        <v>6102</v>
      </c>
      <c r="J2859" s="14" t="str">
        <f>HYPERLINK("https://www.boe.es/gazeta/dias/1839/06/19/pdfs/GMD-1839-1677.pdf#page=3","Abrir facsímil")</f>
        <v>Abrir facsímil</v>
      </c>
      <c r="K2859" s="12" t="s">
        <v>24</v>
      </c>
    </row>
    <row r="2860" spans="1:11" ht="40.049999999999997" customHeight="1" x14ac:dyDescent="0.25">
      <c r="A2860" s="11" t="s">
        <v>6103</v>
      </c>
      <c r="B2860" s="11" t="s">
        <v>6104</v>
      </c>
      <c r="C2860" s="11" t="s">
        <v>17</v>
      </c>
      <c r="D2860" s="11" t="s">
        <v>18</v>
      </c>
      <c r="E2860" s="12" t="s">
        <v>1287</v>
      </c>
      <c r="F2860" s="12" t="s">
        <v>1288</v>
      </c>
      <c r="G2860" s="12" t="s">
        <v>21</v>
      </c>
      <c r="H2860" s="11" t="s">
        <v>22</v>
      </c>
      <c r="I2860" s="13" t="s">
        <v>6105</v>
      </c>
      <c r="J2860" s="14" t="str">
        <f>HYPERLINK("https://www.boe.es/gazeta/dias/1839/10/30/pdfs/GMD-1839-1816.pdf#page=4","Abrir facsímil")</f>
        <v>Abrir facsímil</v>
      </c>
      <c r="K2860" s="12" t="s">
        <v>24</v>
      </c>
    </row>
    <row r="2861" spans="1:11" ht="40.049999999999997" customHeight="1" x14ac:dyDescent="0.25">
      <c r="A2861" s="11" t="s">
        <v>6106</v>
      </c>
      <c r="B2861" s="11" t="s">
        <v>6107</v>
      </c>
      <c r="C2861" s="11" t="s">
        <v>17</v>
      </c>
      <c r="D2861" s="11" t="s">
        <v>18</v>
      </c>
      <c r="E2861" s="12" t="s">
        <v>121</v>
      </c>
      <c r="F2861" s="12" t="s">
        <v>122</v>
      </c>
      <c r="G2861" s="12" t="s">
        <v>21</v>
      </c>
      <c r="H2861" s="11" t="s">
        <v>22</v>
      </c>
      <c r="I2861" s="13" t="s">
        <v>6108</v>
      </c>
      <c r="J2861" s="14" t="str">
        <f>HYPERLINK("https://www.boe.es/gazeta/dias/1839/06/08/pdfs/GMD-1839-1666.pdf#page=4","Abrir facsímil")</f>
        <v>Abrir facsímil</v>
      </c>
      <c r="K2861" s="12" t="s">
        <v>24</v>
      </c>
    </row>
    <row r="2862" spans="1:11" ht="40.049999999999997" customHeight="1" x14ac:dyDescent="0.25">
      <c r="A2862" s="11" t="s">
        <v>6109</v>
      </c>
      <c r="B2862" s="11" t="s">
        <v>6110</v>
      </c>
      <c r="C2862" s="11" t="s">
        <v>80</v>
      </c>
      <c r="D2862" s="11" t="s">
        <v>18</v>
      </c>
      <c r="E2862" s="12" t="s">
        <v>1497</v>
      </c>
      <c r="F2862" s="12" t="s">
        <v>1498</v>
      </c>
      <c r="G2862" s="12" t="s">
        <v>21</v>
      </c>
      <c r="H2862" s="11" t="s">
        <v>63</v>
      </c>
      <c r="I2862" s="13" t="s">
        <v>6111</v>
      </c>
      <c r="J2862" s="14" t="str">
        <f>HYPERLINK("https://www.boe.es/gazeta/dias/1839/08/23/pdfs/GMD-1839-1744.pdf#page=4","Abrir facsímil")</f>
        <v>Abrir facsímil</v>
      </c>
      <c r="K2862" s="12" t="s">
        <v>65</v>
      </c>
    </row>
    <row r="2863" spans="1:11" ht="40.049999999999997" customHeight="1" x14ac:dyDescent="0.25">
      <c r="A2863" s="11" t="s">
        <v>6112</v>
      </c>
      <c r="B2863" s="11" t="s">
        <v>6113</v>
      </c>
      <c r="C2863" s="11" t="s">
        <v>17</v>
      </c>
      <c r="D2863" s="11" t="s">
        <v>18</v>
      </c>
      <c r="E2863" s="12" t="s">
        <v>1867</v>
      </c>
      <c r="F2863" s="12" t="s">
        <v>1868</v>
      </c>
      <c r="G2863" s="12" t="s">
        <v>29</v>
      </c>
      <c r="H2863" s="11" t="s">
        <v>63</v>
      </c>
      <c r="I2863" s="13" t="s">
        <v>6114</v>
      </c>
      <c r="J2863" s="14" t="str">
        <f>HYPERLINK("https://www.boe.es/gazeta/dias/1839/01/30/pdfs/GMD-1839-1537.pdf#page=1","Abrir facsímil")</f>
        <v>Abrir facsímil</v>
      </c>
      <c r="K2863" s="12" t="s">
        <v>65</v>
      </c>
    </row>
    <row r="2864" spans="1:11" ht="40.049999999999997" customHeight="1" x14ac:dyDescent="0.25">
      <c r="A2864" s="11" t="s">
        <v>6115</v>
      </c>
      <c r="B2864" s="11" t="s">
        <v>6116</v>
      </c>
      <c r="C2864" s="11" t="s">
        <v>80</v>
      </c>
      <c r="D2864" s="11" t="s">
        <v>18</v>
      </c>
      <c r="E2864" s="12" t="s">
        <v>1118</v>
      </c>
      <c r="F2864" s="12" t="s">
        <v>1119</v>
      </c>
      <c r="G2864" s="12" t="s">
        <v>21</v>
      </c>
      <c r="H2864" s="11" t="s">
        <v>63</v>
      </c>
      <c r="I2864" s="13" t="s">
        <v>6117</v>
      </c>
      <c r="J2864" s="14" t="str">
        <f>HYPERLINK("https://www.boe.es/gazeta/dias/1839/08/30/pdfs/GMD-1839-1751.pdf#page=4","Abrir facsímil")</f>
        <v>Abrir facsímil</v>
      </c>
      <c r="K2864" s="12" t="s">
        <v>65</v>
      </c>
    </row>
    <row r="2865" spans="1:11" ht="40.049999999999997" customHeight="1" x14ac:dyDescent="0.25">
      <c r="A2865" s="11" t="s">
        <v>6118</v>
      </c>
      <c r="B2865" s="11" t="s">
        <v>6119</v>
      </c>
      <c r="C2865" s="11" t="s">
        <v>137</v>
      </c>
      <c r="D2865" s="11" t="s">
        <v>18</v>
      </c>
      <c r="E2865" s="12" t="s">
        <v>998</v>
      </c>
      <c r="F2865" s="12" t="s">
        <v>999</v>
      </c>
      <c r="G2865" s="12" t="s">
        <v>29</v>
      </c>
      <c r="H2865" s="11" t="s">
        <v>63</v>
      </c>
      <c r="I2865" s="13" t="s">
        <v>6120</v>
      </c>
      <c r="J2865" s="14" t="str">
        <f>HYPERLINK("https://www.boe.es/gazeta/dias/1839/05/06/pdfs/GMD-1839-1633.pdf#page=1","Abrir facsímil")</f>
        <v>Abrir facsímil</v>
      </c>
      <c r="K2865" s="12" t="s">
        <v>65</v>
      </c>
    </row>
    <row r="2866" spans="1:11" ht="40.049999999999997" customHeight="1" x14ac:dyDescent="0.25">
      <c r="A2866" s="11" t="s">
        <v>6121</v>
      </c>
      <c r="B2866" s="11" t="s">
        <v>6122</v>
      </c>
      <c r="C2866" s="11" t="s">
        <v>17</v>
      </c>
      <c r="D2866" s="11" t="s">
        <v>18</v>
      </c>
      <c r="E2866" s="12" t="s">
        <v>84</v>
      </c>
      <c r="F2866" s="12" t="s">
        <v>85</v>
      </c>
      <c r="G2866" s="12" t="s">
        <v>29</v>
      </c>
      <c r="H2866" s="11" t="s">
        <v>63</v>
      </c>
      <c r="I2866" s="13" t="s">
        <v>6123</v>
      </c>
      <c r="J2866" s="14" t="str">
        <f>HYPERLINK("https://www.boe.es/gazeta/dias/1839/03/11/pdfs/GMD-1839-1577.pdf#page=1","Abrir facsímil")</f>
        <v>Abrir facsímil</v>
      </c>
      <c r="K2866" s="12" t="s">
        <v>65</v>
      </c>
    </row>
    <row r="2867" spans="1:11" ht="40.049999999999997" customHeight="1" x14ac:dyDescent="0.25">
      <c r="A2867" s="11" t="s">
        <v>6124</v>
      </c>
      <c r="B2867" s="11" t="s">
        <v>6125</v>
      </c>
      <c r="C2867" s="11" t="s">
        <v>17</v>
      </c>
      <c r="D2867" s="11" t="s">
        <v>18</v>
      </c>
      <c r="E2867" s="12" t="s">
        <v>1179</v>
      </c>
      <c r="F2867" s="12" t="s">
        <v>1180</v>
      </c>
      <c r="G2867" s="12" t="s">
        <v>305</v>
      </c>
      <c r="H2867" s="11" t="s">
        <v>63</v>
      </c>
      <c r="I2867" s="13" t="s">
        <v>6126</v>
      </c>
      <c r="J2867" s="14" t="str">
        <f>HYPERLINK("https://www.boe.es/gazeta/dias/1839/10/18/pdfs/GMD-1839-1804.pdf#page=6","Abrir facsímil")</f>
        <v>Abrir facsímil</v>
      </c>
      <c r="K2867" s="12" t="s">
        <v>65</v>
      </c>
    </row>
    <row r="2868" spans="1:11" ht="40.049999999999997" customHeight="1" x14ac:dyDescent="0.25">
      <c r="A2868" s="11" t="s">
        <v>6127</v>
      </c>
      <c r="B2868" s="11" t="s">
        <v>6128</v>
      </c>
      <c r="C2868" s="11" t="s">
        <v>137</v>
      </c>
      <c r="D2868" s="11" t="s">
        <v>18</v>
      </c>
      <c r="E2868" s="12" t="s">
        <v>27</v>
      </c>
      <c r="F2868" s="12" t="s">
        <v>28</v>
      </c>
      <c r="G2868" s="12" t="s">
        <v>21</v>
      </c>
      <c r="H2868" s="11" t="s">
        <v>63</v>
      </c>
      <c r="I2868" s="13" t="s">
        <v>6129</v>
      </c>
      <c r="J2868" s="14" t="str">
        <f>HYPERLINK("https://www.boe.es/gazeta/dias/1839/07/28/pdfs/GMD-1839-1717.pdf#page=4","Abrir facsímil")</f>
        <v>Abrir facsímil</v>
      </c>
      <c r="K2868" s="12" t="s">
        <v>65</v>
      </c>
    </row>
    <row r="2869" spans="1:11" ht="40.049999999999997" customHeight="1" x14ac:dyDescent="0.25">
      <c r="A2869" s="11" t="s">
        <v>6130</v>
      </c>
      <c r="B2869" s="11" t="s">
        <v>6131</v>
      </c>
      <c r="C2869" s="11" t="s">
        <v>17</v>
      </c>
      <c r="D2869" s="11" t="s">
        <v>18</v>
      </c>
      <c r="E2869" s="12" t="s">
        <v>1988</v>
      </c>
      <c r="F2869" s="12" t="s">
        <v>1989</v>
      </c>
      <c r="G2869" s="12" t="s">
        <v>29</v>
      </c>
      <c r="H2869" s="11" t="s">
        <v>63</v>
      </c>
      <c r="I2869" s="13" t="s">
        <v>6132</v>
      </c>
      <c r="J2869" s="14" t="str">
        <f>HYPERLINK("https://www.boe.es/gazeta/dias/1839/10/29/pdfs/GMD-1839-1815.pdf#page=1","Abrir facsímil")</f>
        <v>Abrir facsímil</v>
      </c>
      <c r="K2869" s="12" t="s">
        <v>65</v>
      </c>
    </row>
    <row r="2870" spans="1:11" ht="40.049999999999997" customHeight="1" x14ac:dyDescent="0.25">
      <c r="A2870" s="11" t="s">
        <v>6133</v>
      </c>
      <c r="B2870" s="11" t="s">
        <v>6134</v>
      </c>
      <c r="C2870" s="11" t="s">
        <v>137</v>
      </c>
      <c r="D2870" s="11" t="s">
        <v>18</v>
      </c>
      <c r="E2870" s="12" t="s">
        <v>3236</v>
      </c>
      <c r="F2870" s="12" t="s">
        <v>3237</v>
      </c>
      <c r="G2870" s="12" t="s">
        <v>40</v>
      </c>
      <c r="H2870" s="11" t="s">
        <v>63</v>
      </c>
      <c r="I2870" s="13" t="s">
        <v>6135</v>
      </c>
      <c r="J2870" s="14" t="str">
        <f>HYPERLINK("https://www.boe.es/gazeta/dias/1839/12/03/pdfs/GMD-1839-1850.pdf#page=2","Abrir facsímil")</f>
        <v>Abrir facsímil</v>
      </c>
      <c r="K2870" s="12" t="s">
        <v>65</v>
      </c>
    </row>
    <row r="2871" spans="1:11" ht="40.049999999999997" customHeight="1" x14ac:dyDescent="0.25">
      <c r="A2871" s="11" t="s">
        <v>6136</v>
      </c>
      <c r="B2871" s="11" t="s">
        <v>6137</v>
      </c>
      <c r="C2871" s="11" t="s">
        <v>17</v>
      </c>
      <c r="D2871" s="11" t="s">
        <v>18</v>
      </c>
      <c r="E2871" s="12" t="s">
        <v>312</v>
      </c>
      <c r="F2871" s="12" t="s">
        <v>313</v>
      </c>
      <c r="G2871" s="12" t="s">
        <v>21</v>
      </c>
      <c r="H2871" s="11" t="s">
        <v>63</v>
      </c>
      <c r="I2871" s="13" t="s">
        <v>6138</v>
      </c>
      <c r="J2871" s="14" t="str">
        <f>HYPERLINK("https://www.boe.es/gazeta/dias/1839/11/30/pdfs/GMD-1839-1847.pdf#page=4","Abrir facsímil")</f>
        <v>Abrir facsímil</v>
      </c>
      <c r="K2871" s="12" t="s">
        <v>65</v>
      </c>
    </row>
    <row r="2872" spans="1:11" ht="40.049999999999997" customHeight="1" x14ac:dyDescent="0.25">
      <c r="A2872" s="11" t="s">
        <v>6139</v>
      </c>
      <c r="B2872" s="11" t="s">
        <v>6140</v>
      </c>
      <c r="C2872" s="11" t="s">
        <v>17</v>
      </c>
      <c r="D2872" s="11" t="s">
        <v>18</v>
      </c>
      <c r="E2872" s="12" t="s">
        <v>111</v>
      </c>
      <c r="F2872" s="12" t="s">
        <v>112</v>
      </c>
      <c r="G2872" s="12" t="s">
        <v>40</v>
      </c>
      <c r="H2872" s="11" t="s">
        <v>63</v>
      </c>
      <c r="I2872" s="13" t="s">
        <v>6141</v>
      </c>
      <c r="J2872" s="14" t="str">
        <f>HYPERLINK("https://www.boe.es/gazeta/dias/1839/07/25/pdfs/GMD-1839-1714.pdf#page=2","Abrir facsímil")</f>
        <v>Abrir facsímil</v>
      </c>
      <c r="K2872" s="12" t="s">
        <v>65</v>
      </c>
    </row>
    <row r="2873" spans="1:11" ht="40.049999999999997" customHeight="1" x14ac:dyDescent="0.25">
      <c r="A2873" s="11" t="s">
        <v>6142</v>
      </c>
      <c r="B2873" s="11" t="s">
        <v>6143</v>
      </c>
      <c r="C2873" s="11" t="s">
        <v>101</v>
      </c>
      <c r="D2873" s="11" t="s">
        <v>43</v>
      </c>
      <c r="E2873" s="12" t="s">
        <v>1929</v>
      </c>
      <c r="F2873" s="12" t="s">
        <v>1930</v>
      </c>
      <c r="G2873" s="12" t="s">
        <v>46</v>
      </c>
      <c r="H2873" s="11" t="s">
        <v>63</v>
      </c>
      <c r="I2873" s="13" t="s">
        <v>6144</v>
      </c>
      <c r="J2873" s="14" t="str">
        <f>HYPERLINK("https://www.boe.es/gazeta/dias/1839/02/01/pdfs/GMD-1839-1539.pdf#page=3","Abrir facsímil")</f>
        <v>Abrir facsímil</v>
      </c>
      <c r="K2873" s="12" t="s">
        <v>65</v>
      </c>
    </row>
    <row r="2874" spans="1:11" ht="40.049999999999997" customHeight="1" x14ac:dyDescent="0.25">
      <c r="A2874" s="11" t="s">
        <v>6145</v>
      </c>
      <c r="B2874" s="11" t="s">
        <v>6146</v>
      </c>
      <c r="C2874" s="11" t="s">
        <v>80</v>
      </c>
      <c r="D2874" s="11" t="s">
        <v>18</v>
      </c>
      <c r="E2874" s="12" t="s">
        <v>462</v>
      </c>
      <c r="F2874" s="12" t="s">
        <v>463</v>
      </c>
      <c r="G2874" s="12" t="s">
        <v>21</v>
      </c>
      <c r="H2874" s="11" t="s">
        <v>63</v>
      </c>
      <c r="I2874" s="13" t="s">
        <v>6147</v>
      </c>
      <c r="J2874" s="14" t="str">
        <f>HYPERLINK("https://www.boe.es/gazeta/dias/1839/06/19/pdfs/GMD-1839-1677.pdf#page=4","Abrir facsímil")</f>
        <v>Abrir facsímil</v>
      </c>
      <c r="K2874" s="12" t="s">
        <v>65</v>
      </c>
    </row>
    <row r="2875" spans="1:11" ht="40.049999999999997" customHeight="1" x14ac:dyDescent="0.25">
      <c r="A2875" s="11" t="s">
        <v>6148</v>
      </c>
      <c r="B2875" s="11" t="s">
        <v>6149</v>
      </c>
      <c r="C2875" s="11" t="s">
        <v>17</v>
      </c>
      <c r="D2875" s="11" t="s">
        <v>18</v>
      </c>
      <c r="E2875" s="12" t="s">
        <v>138</v>
      </c>
      <c r="F2875" s="12" t="s">
        <v>139</v>
      </c>
      <c r="G2875" s="12" t="s">
        <v>21</v>
      </c>
      <c r="H2875" s="11" t="s">
        <v>63</v>
      </c>
      <c r="I2875" s="13" t="s">
        <v>6150</v>
      </c>
      <c r="J2875" s="14" t="str">
        <f>HYPERLINK("https://www.boe.es/gazeta/dias/1839/10/09/pdfs/GMD-1839-1795.pdf#page=4","Abrir facsímil")</f>
        <v>Abrir facsímil</v>
      </c>
      <c r="K2875" s="12" t="s">
        <v>65</v>
      </c>
    </row>
    <row r="2876" spans="1:11" ht="40.049999999999997" customHeight="1" x14ac:dyDescent="0.25">
      <c r="A2876" s="11" t="s">
        <v>6151</v>
      </c>
      <c r="B2876" s="11" t="s">
        <v>6152</v>
      </c>
      <c r="C2876" s="11" t="s">
        <v>17</v>
      </c>
      <c r="D2876" s="11" t="s">
        <v>18</v>
      </c>
      <c r="E2876" s="12" t="s">
        <v>1867</v>
      </c>
      <c r="F2876" s="12" t="s">
        <v>1868</v>
      </c>
      <c r="G2876" s="12" t="s">
        <v>40</v>
      </c>
      <c r="H2876" s="11" t="s">
        <v>63</v>
      </c>
      <c r="I2876" s="13" t="s">
        <v>6153</v>
      </c>
      <c r="J2876" s="14" t="str">
        <f>HYPERLINK("https://www.boe.es/gazeta/dias/1839/01/30/pdfs/GMD-1839-1537.pdf#page=2","Abrir facsímil")</f>
        <v>Abrir facsímil</v>
      </c>
      <c r="K2876" s="12" t="s">
        <v>65</v>
      </c>
    </row>
    <row r="2877" spans="1:11" ht="40.049999999999997" customHeight="1" x14ac:dyDescent="0.25">
      <c r="A2877" s="11" t="s">
        <v>6154</v>
      </c>
      <c r="B2877" s="11" t="s">
        <v>6155</v>
      </c>
      <c r="C2877" s="11" t="s">
        <v>101</v>
      </c>
      <c r="D2877" s="11" t="s">
        <v>43</v>
      </c>
      <c r="E2877" s="12" t="s">
        <v>926</v>
      </c>
      <c r="F2877" s="12" t="s">
        <v>927</v>
      </c>
      <c r="G2877" s="12" t="s">
        <v>40</v>
      </c>
      <c r="H2877" s="11" t="s">
        <v>63</v>
      </c>
      <c r="I2877" s="13" t="s">
        <v>6156</v>
      </c>
      <c r="J2877" s="14" t="str">
        <f>HYPERLINK("https://www.boe.es/gazeta/dias/1839/01/25/pdfs/GMD-1839-1532.pdf#page=2","Abrir facsímil")</f>
        <v>Abrir facsímil</v>
      </c>
      <c r="K2877" s="12" t="s">
        <v>65</v>
      </c>
    </row>
    <row r="2878" spans="1:11" ht="40.049999999999997" customHeight="1" x14ac:dyDescent="0.25">
      <c r="A2878" s="11" t="s">
        <v>6157</v>
      </c>
      <c r="B2878" s="11" t="s">
        <v>6158</v>
      </c>
      <c r="C2878" s="11" t="s">
        <v>17</v>
      </c>
      <c r="D2878" s="11" t="s">
        <v>18</v>
      </c>
      <c r="E2878" s="12" t="s">
        <v>1867</v>
      </c>
      <c r="F2878" s="12" t="s">
        <v>1868</v>
      </c>
      <c r="G2878" s="12" t="s">
        <v>46</v>
      </c>
      <c r="H2878" s="11" t="s">
        <v>22</v>
      </c>
      <c r="I2878" s="13" t="s">
        <v>6159</v>
      </c>
      <c r="J2878" s="14" t="str">
        <f>HYPERLINK("https://www.boe.es/gazeta/dias/1839/01/30/pdfs/GMD-1839-1537.pdf#page=3","Abrir facsímil")</f>
        <v>Abrir facsímil</v>
      </c>
      <c r="K2878" s="12" t="s">
        <v>24</v>
      </c>
    </row>
    <row r="2879" spans="1:11" ht="40.049999999999997" customHeight="1" x14ac:dyDescent="0.25">
      <c r="A2879" s="11" t="s">
        <v>6160</v>
      </c>
      <c r="B2879" s="11" t="s">
        <v>6161</v>
      </c>
      <c r="C2879" s="11" t="s">
        <v>101</v>
      </c>
      <c r="D2879" s="11" t="s">
        <v>43</v>
      </c>
      <c r="E2879" s="12" t="s">
        <v>1867</v>
      </c>
      <c r="F2879" s="12" t="s">
        <v>1868</v>
      </c>
      <c r="G2879" s="12" t="s">
        <v>46</v>
      </c>
      <c r="H2879" s="11" t="s">
        <v>63</v>
      </c>
      <c r="I2879" s="13" t="s">
        <v>6162</v>
      </c>
      <c r="J2879" s="14" t="str">
        <f>HYPERLINK("https://www.boe.es/gazeta/dias/1839/01/30/pdfs/GMD-1839-1537.pdf#page=3","Abrir facsímil")</f>
        <v>Abrir facsímil</v>
      </c>
      <c r="K2879" s="12" t="s">
        <v>65</v>
      </c>
    </row>
    <row r="2880" spans="1:11" ht="40.049999999999997" customHeight="1" x14ac:dyDescent="0.25">
      <c r="A2880" s="11" t="s">
        <v>6163</v>
      </c>
      <c r="B2880" s="11" t="s">
        <v>6164</v>
      </c>
      <c r="C2880" s="11" t="s">
        <v>17</v>
      </c>
      <c r="D2880" s="11" t="s">
        <v>18</v>
      </c>
      <c r="E2880" s="12" t="s">
        <v>926</v>
      </c>
      <c r="F2880" s="12" t="s">
        <v>927</v>
      </c>
      <c r="G2880" s="12" t="s">
        <v>40</v>
      </c>
      <c r="H2880" s="11" t="s">
        <v>63</v>
      </c>
      <c r="I2880" s="13" t="s">
        <v>6165</v>
      </c>
      <c r="J2880" s="14" t="str">
        <f>HYPERLINK("https://www.boe.es/gazeta/dias/1839/01/25/pdfs/GMD-1839-1532.pdf#page=2","Abrir facsímil")</f>
        <v>Abrir facsímil</v>
      </c>
      <c r="K2880" s="12" t="s">
        <v>65</v>
      </c>
    </row>
    <row r="2881" spans="1:11" ht="40.049999999999997" customHeight="1" x14ac:dyDescent="0.25">
      <c r="A2881" s="11" t="s">
        <v>6163</v>
      </c>
      <c r="B2881" s="11" t="s">
        <v>6164</v>
      </c>
      <c r="C2881" s="11" t="s">
        <v>101</v>
      </c>
      <c r="D2881" s="11" t="s">
        <v>43</v>
      </c>
      <c r="E2881" s="12" t="s">
        <v>1807</v>
      </c>
      <c r="F2881" s="12" t="s">
        <v>1808</v>
      </c>
      <c r="G2881" s="12" t="s">
        <v>46</v>
      </c>
      <c r="H2881" s="11" t="s">
        <v>63</v>
      </c>
      <c r="I2881" s="13" t="s">
        <v>6166</v>
      </c>
      <c r="J2881" s="14" t="str">
        <f>HYPERLINK("https://www.boe.es/gazeta/dias/1839/01/29/pdfs/GMD-1839-1536.pdf#page=3","Abrir facsímil")</f>
        <v>Abrir facsímil</v>
      </c>
      <c r="K2881" s="12" t="s">
        <v>65</v>
      </c>
    </row>
    <row r="2882" spans="1:11" ht="40.049999999999997" customHeight="1" x14ac:dyDescent="0.25">
      <c r="A2882" s="11" t="s">
        <v>6163</v>
      </c>
      <c r="B2882" s="11" t="s">
        <v>6164</v>
      </c>
      <c r="C2882" s="11" t="s">
        <v>80</v>
      </c>
      <c r="D2882" s="11" t="s">
        <v>18</v>
      </c>
      <c r="E2882" s="12" t="s">
        <v>1867</v>
      </c>
      <c r="F2882" s="12" t="s">
        <v>1868</v>
      </c>
      <c r="G2882" s="12" t="s">
        <v>40</v>
      </c>
      <c r="H2882" s="11" t="s">
        <v>63</v>
      </c>
      <c r="I2882" s="13" t="s">
        <v>6167</v>
      </c>
      <c r="J2882" s="14" t="str">
        <f>HYPERLINK("https://www.boe.es/gazeta/dias/1839/01/30/pdfs/GMD-1839-1537.pdf#page=2","Abrir facsímil")</f>
        <v>Abrir facsímil</v>
      </c>
      <c r="K2882" s="12" t="s">
        <v>65</v>
      </c>
    </row>
    <row r="2883" spans="1:11" ht="40.049999999999997" customHeight="1" x14ac:dyDescent="0.25">
      <c r="A2883" s="11" t="s">
        <v>6163</v>
      </c>
      <c r="B2883" s="11" t="s">
        <v>6164</v>
      </c>
      <c r="C2883" s="11" t="s">
        <v>17</v>
      </c>
      <c r="D2883" s="11" t="s">
        <v>18</v>
      </c>
      <c r="E2883" s="12" t="s">
        <v>1867</v>
      </c>
      <c r="F2883" s="12" t="s">
        <v>1868</v>
      </c>
      <c r="G2883" s="12" t="s">
        <v>46</v>
      </c>
      <c r="H2883" s="11" t="s">
        <v>63</v>
      </c>
      <c r="I2883" s="13" t="s">
        <v>6168</v>
      </c>
      <c r="J2883" s="14" t="str">
        <f>HYPERLINK("https://www.boe.es/gazeta/dias/1839/01/30/pdfs/GMD-1839-1537.pdf#page=3","Abrir facsímil")</f>
        <v>Abrir facsímil</v>
      </c>
      <c r="K2883" s="12" t="s">
        <v>65</v>
      </c>
    </row>
    <row r="2884" spans="1:11" ht="40.049999999999997" customHeight="1" x14ac:dyDescent="0.25">
      <c r="A2884" s="11" t="s">
        <v>6169</v>
      </c>
      <c r="B2884" s="11" t="s">
        <v>6170</v>
      </c>
      <c r="C2884" s="11" t="s">
        <v>17</v>
      </c>
      <c r="D2884" s="11" t="s">
        <v>18</v>
      </c>
      <c r="E2884" s="12" t="s">
        <v>1100</v>
      </c>
      <c r="F2884" s="12" t="s">
        <v>1101</v>
      </c>
      <c r="G2884" s="12" t="s">
        <v>29</v>
      </c>
      <c r="H2884" s="11" t="s">
        <v>63</v>
      </c>
      <c r="I2884" s="13" t="s">
        <v>6171</v>
      </c>
      <c r="J2884" s="14" t="str">
        <f>HYPERLINK("https://www.boe.es/gazeta/dias/1839/09/13/pdfs/GMD-1839-1766.pdf#page=1","Abrir facsímil")</f>
        <v>Abrir facsímil</v>
      </c>
      <c r="K2884" s="12" t="s">
        <v>65</v>
      </c>
    </row>
    <row r="2885" spans="1:11" ht="40.049999999999997" customHeight="1" x14ac:dyDescent="0.25">
      <c r="A2885" s="11" t="s">
        <v>6172</v>
      </c>
      <c r="B2885" s="11" t="s">
        <v>6173</v>
      </c>
      <c r="C2885" s="11" t="s">
        <v>101</v>
      </c>
      <c r="D2885" s="11" t="s">
        <v>43</v>
      </c>
      <c r="E2885" s="12" t="s">
        <v>650</v>
      </c>
      <c r="F2885" s="12" t="s">
        <v>651</v>
      </c>
      <c r="G2885" s="12" t="s">
        <v>40</v>
      </c>
      <c r="H2885" s="11" t="s">
        <v>63</v>
      </c>
      <c r="I2885" s="13" t="s">
        <v>6174</v>
      </c>
      <c r="J2885" s="14" t="str">
        <f>HYPERLINK("https://www.boe.es/gazeta/dias/1839/10/25/pdfs/GMD-1839-1811.pdf#page=2","Abrir facsímil")</f>
        <v>Abrir facsímil</v>
      </c>
      <c r="K2885" s="12" t="s">
        <v>65</v>
      </c>
    </row>
    <row r="2886" spans="1:11" ht="40.049999999999997" customHeight="1" x14ac:dyDescent="0.25">
      <c r="A2886" s="11" t="s">
        <v>6175</v>
      </c>
      <c r="B2886" s="11" t="s">
        <v>6176</v>
      </c>
      <c r="C2886" s="11" t="s">
        <v>101</v>
      </c>
      <c r="D2886" s="11" t="s">
        <v>43</v>
      </c>
      <c r="E2886" s="12" t="s">
        <v>3289</v>
      </c>
      <c r="F2886" s="12" t="s">
        <v>3290</v>
      </c>
      <c r="G2886" s="12" t="s">
        <v>40</v>
      </c>
      <c r="H2886" s="11" t="s">
        <v>63</v>
      </c>
      <c r="I2886" s="13" t="s">
        <v>6177</v>
      </c>
      <c r="J2886" s="14" t="str">
        <f>HYPERLINK("https://www.boe.es/gazeta/dias/1839/12/10/pdfs/GMD-1839-1857.pdf#page=2","Abrir facsímil")</f>
        <v>Abrir facsímil</v>
      </c>
      <c r="K2886" s="12" t="s">
        <v>65</v>
      </c>
    </row>
    <row r="2887" spans="1:11" ht="40.049999999999997" customHeight="1" x14ac:dyDescent="0.25">
      <c r="A2887" s="11" t="s">
        <v>6178</v>
      </c>
      <c r="B2887" s="11" t="s">
        <v>6179</v>
      </c>
      <c r="C2887" s="11" t="s">
        <v>17</v>
      </c>
      <c r="D2887" s="11" t="s">
        <v>18</v>
      </c>
      <c r="E2887" s="12" t="s">
        <v>280</v>
      </c>
      <c r="F2887" s="12" t="s">
        <v>281</v>
      </c>
      <c r="G2887" s="12" t="s">
        <v>46</v>
      </c>
      <c r="H2887" s="11" t="s">
        <v>63</v>
      </c>
      <c r="I2887" s="13" t="s">
        <v>6180</v>
      </c>
      <c r="J2887" s="14" t="str">
        <f>HYPERLINK("https://www.boe.es/gazeta/dias/1839/08/21/pdfs/GMD-1839-1742.pdf#page=3","Abrir facsímil")</f>
        <v>Abrir facsímil</v>
      </c>
      <c r="K2887" s="12" t="s">
        <v>65</v>
      </c>
    </row>
    <row r="2888" spans="1:11" ht="40.049999999999997" customHeight="1" x14ac:dyDescent="0.25">
      <c r="A2888" s="11" t="s">
        <v>6181</v>
      </c>
      <c r="B2888" s="11" t="s">
        <v>6182</v>
      </c>
      <c r="C2888" s="11" t="s">
        <v>17</v>
      </c>
      <c r="D2888" s="11" t="s">
        <v>18</v>
      </c>
      <c r="E2888" s="12" t="s">
        <v>3289</v>
      </c>
      <c r="F2888" s="12" t="s">
        <v>3290</v>
      </c>
      <c r="G2888" s="12" t="s">
        <v>40</v>
      </c>
      <c r="H2888" s="11" t="s">
        <v>22</v>
      </c>
      <c r="I2888" s="13" t="s">
        <v>6183</v>
      </c>
      <c r="J2888" s="14" t="str">
        <f>HYPERLINK("https://www.boe.es/gazeta/dias/1839/12/10/pdfs/GMD-1839-1857.pdf#page=2","Abrir facsímil")</f>
        <v>Abrir facsímil</v>
      </c>
      <c r="K2888" s="12" t="s">
        <v>24</v>
      </c>
    </row>
    <row r="2889" spans="1:11" ht="40.049999999999997" customHeight="1" x14ac:dyDescent="0.25">
      <c r="A2889" s="11" t="s">
        <v>6184</v>
      </c>
      <c r="B2889" s="11" t="s">
        <v>6185</v>
      </c>
      <c r="C2889" s="11" t="s">
        <v>17</v>
      </c>
      <c r="D2889" s="11" t="s">
        <v>18</v>
      </c>
      <c r="E2889" s="12" t="s">
        <v>685</v>
      </c>
      <c r="F2889" s="12" t="s">
        <v>686</v>
      </c>
      <c r="G2889" s="12" t="s">
        <v>21</v>
      </c>
      <c r="H2889" s="11" t="s">
        <v>63</v>
      </c>
      <c r="I2889" s="13" t="s">
        <v>6186</v>
      </c>
      <c r="J2889" s="14" t="str">
        <f>HYPERLINK("https://www.boe.es/gazeta/dias/1839/06/18/pdfs/GMD-1839-1676.pdf#page=4","Abrir facsímil")</f>
        <v>Abrir facsímil</v>
      </c>
      <c r="K2889" s="12" t="s">
        <v>65</v>
      </c>
    </row>
    <row r="2890" spans="1:11" ht="40.049999999999997" customHeight="1" x14ac:dyDescent="0.25">
      <c r="A2890" s="11" t="s">
        <v>6187</v>
      </c>
      <c r="B2890" s="11" t="s">
        <v>6188</v>
      </c>
      <c r="C2890" s="11" t="s">
        <v>59</v>
      </c>
      <c r="D2890" s="11" t="s">
        <v>60</v>
      </c>
      <c r="E2890" s="12" t="s">
        <v>716</v>
      </c>
      <c r="F2890" s="12" t="s">
        <v>717</v>
      </c>
      <c r="G2890" s="12" t="s">
        <v>29</v>
      </c>
      <c r="H2890" s="11" t="s">
        <v>63</v>
      </c>
      <c r="I2890" s="13" t="s">
        <v>6189</v>
      </c>
      <c r="J2890" s="14" t="str">
        <f>HYPERLINK("https://www.boe.es/gazeta/dias/1839/07/30/pdfs/GMD-1839-1719.pdf#page=1","Abrir facsímil")</f>
        <v>Abrir facsímil</v>
      </c>
      <c r="K2890" s="12" t="s">
        <v>65</v>
      </c>
    </row>
    <row r="2891" spans="1:11" ht="40.049999999999997" customHeight="1" x14ac:dyDescent="0.25">
      <c r="A2891" s="11" t="s">
        <v>6190</v>
      </c>
      <c r="B2891" s="11" t="s">
        <v>6191</v>
      </c>
      <c r="C2891" s="11" t="s">
        <v>80</v>
      </c>
      <c r="D2891" s="11" t="s">
        <v>18</v>
      </c>
      <c r="E2891" s="12" t="s">
        <v>217</v>
      </c>
      <c r="F2891" s="12" t="s">
        <v>218</v>
      </c>
      <c r="G2891" s="12" t="s">
        <v>46</v>
      </c>
      <c r="H2891" s="11" t="s">
        <v>63</v>
      </c>
      <c r="I2891" s="13" t="s">
        <v>6192</v>
      </c>
      <c r="J2891" s="14" t="str">
        <f>HYPERLINK("https://www.boe.es/gazeta/dias/1839/08/06/pdfs/GMD-1839-1726.pdf#page=3","Abrir facsímil")</f>
        <v>Abrir facsímil</v>
      </c>
      <c r="K2891" s="12" t="s">
        <v>65</v>
      </c>
    </row>
    <row r="2892" spans="1:11" ht="40.049999999999997" customHeight="1" x14ac:dyDescent="0.25">
      <c r="A2892" s="11" t="s">
        <v>6193</v>
      </c>
      <c r="B2892" s="11" t="s">
        <v>6194</v>
      </c>
      <c r="C2892" s="11" t="s">
        <v>17</v>
      </c>
      <c r="D2892" s="11" t="s">
        <v>18</v>
      </c>
      <c r="E2892" s="12" t="s">
        <v>1284</v>
      </c>
      <c r="F2892" s="12" t="s">
        <v>1285</v>
      </c>
      <c r="G2892" s="12" t="s">
        <v>46</v>
      </c>
      <c r="H2892" s="11" t="s">
        <v>63</v>
      </c>
      <c r="I2892" s="13" t="s">
        <v>6195</v>
      </c>
      <c r="J2892" s="14" t="str">
        <f>HYPERLINK("https://www.boe.es/gazeta/dias/1839/03/27/pdfs/GMD-1839-1593.pdf#page=3","Abrir facsímil")</f>
        <v>Abrir facsímil</v>
      </c>
      <c r="K2892" s="12" t="s">
        <v>65</v>
      </c>
    </row>
    <row r="2893" spans="1:11" ht="40.049999999999997" customHeight="1" x14ac:dyDescent="0.25">
      <c r="A2893" s="11" t="s">
        <v>6196</v>
      </c>
      <c r="B2893" s="11" t="s">
        <v>6197</v>
      </c>
      <c r="C2893" s="11" t="s">
        <v>17</v>
      </c>
      <c r="D2893" s="11" t="s">
        <v>18</v>
      </c>
      <c r="E2893" s="12" t="s">
        <v>2349</v>
      </c>
      <c r="F2893" s="12" t="s">
        <v>2350</v>
      </c>
      <c r="G2893" s="12" t="s">
        <v>40</v>
      </c>
      <c r="H2893" s="11" t="s">
        <v>63</v>
      </c>
      <c r="I2893" s="13" t="s">
        <v>6198</v>
      </c>
      <c r="J2893" s="14" t="str">
        <f>HYPERLINK("https://www.boe.es/gazeta/dias/1839/09/29/pdfs/GMD-1839-1785.pdf#page=2","Abrir facsímil")</f>
        <v>Abrir facsímil</v>
      </c>
      <c r="K2893" s="12" t="s">
        <v>65</v>
      </c>
    </row>
    <row r="2894" spans="1:11" ht="40.049999999999997" customHeight="1" x14ac:dyDescent="0.25">
      <c r="A2894" s="11" t="s">
        <v>6199</v>
      </c>
      <c r="B2894" s="11" t="s">
        <v>6200</v>
      </c>
      <c r="C2894" s="11" t="s">
        <v>17</v>
      </c>
      <c r="D2894" s="11" t="s">
        <v>18</v>
      </c>
      <c r="E2894" s="12" t="s">
        <v>474</v>
      </c>
      <c r="F2894" s="12" t="s">
        <v>475</v>
      </c>
      <c r="G2894" s="12" t="s">
        <v>21</v>
      </c>
      <c r="H2894" s="11" t="s">
        <v>63</v>
      </c>
      <c r="I2894" s="13" t="s">
        <v>6201</v>
      </c>
      <c r="J2894" s="14" t="str">
        <f>HYPERLINK("https://www.boe.es/gazeta/dias/1839/03/31/pdfs/GMD-1839-1597.pdf#page=4","Abrir facsímil")</f>
        <v>Abrir facsímil</v>
      </c>
      <c r="K2894" s="12" t="s">
        <v>65</v>
      </c>
    </row>
    <row r="2895" spans="1:11" ht="40.049999999999997" customHeight="1" x14ac:dyDescent="0.25">
      <c r="A2895" s="11" t="s">
        <v>6202</v>
      </c>
      <c r="B2895" s="11" t="s">
        <v>6203</v>
      </c>
      <c r="C2895" s="11" t="s">
        <v>17</v>
      </c>
      <c r="D2895" s="11" t="s">
        <v>18</v>
      </c>
      <c r="E2895" s="12" t="s">
        <v>474</v>
      </c>
      <c r="F2895" s="12" t="s">
        <v>475</v>
      </c>
      <c r="G2895" s="12" t="s">
        <v>21</v>
      </c>
      <c r="H2895" s="11" t="s">
        <v>63</v>
      </c>
      <c r="I2895" s="13" t="s">
        <v>6204</v>
      </c>
      <c r="J2895" s="14" t="str">
        <f>HYPERLINK("https://www.boe.es/gazeta/dias/1839/03/31/pdfs/GMD-1839-1597.pdf#page=4","Abrir facsímil")</f>
        <v>Abrir facsímil</v>
      </c>
      <c r="K2895" s="12" t="s">
        <v>65</v>
      </c>
    </row>
    <row r="2896" spans="1:11" ht="40.049999999999997" customHeight="1" x14ac:dyDescent="0.25">
      <c r="A2896" s="11" t="s">
        <v>6205</v>
      </c>
      <c r="B2896" s="11" t="s">
        <v>6206</v>
      </c>
      <c r="C2896" s="11" t="s">
        <v>80</v>
      </c>
      <c r="D2896" s="11" t="s">
        <v>18</v>
      </c>
      <c r="E2896" s="12" t="s">
        <v>372</v>
      </c>
      <c r="F2896" s="12" t="s">
        <v>373</v>
      </c>
      <c r="G2896" s="12" t="s">
        <v>21</v>
      </c>
      <c r="H2896" s="11" t="s">
        <v>63</v>
      </c>
      <c r="I2896" s="13" t="s">
        <v>6207</v>
      </c>
      <c r="J2896" s="14" t="str">
        <f>HYPERLINK("https://www.boe.es/gazeta/dias/1839/11/08/pdfs/GMD-1839-1825.pdf#page=4","Abrir facsímil")</f>
        <v>Abrir facsímil</v>
      </c>
      <c r="K2896" s="12" t="s">
        <v>65</v>
      </c>
    </row>
    <row r="2897" spans="1:11" ht="40.049999999999997" customHeight="1" x14ac:dyDescent="0.25">
      <c r="A2897" s="11" t="s">
        <v>6208</v>
      </c>
      <c r="B2897" s="11" t="s">
        <v>6209</v>
      </c>
      <c r="C2897" s="11" t="s">
        <v>17</v>
      </c>
      <c r="D2897" s="11" t="s">
        <v>18</v>
      </c>
      <c r="E2897" s="12" t="s">
        <v>1123</v>
      </c>
      <c r="F2897" s="12" t="s">
        <v>1124</v>
      </c>
      <c r="G2897" s="12" t="s">
        <v>40</v>
      </c>
      <c r="H2897" s="11" t="s">
        <v>63</v>
      </c>
      <c r="I2897" s="13" t="s">
        <v>6210</v>
      </c>
      <c r="J2897" s="14" t="str">
        <f>HYPERLINK("https://www.boe.es/gazeta/dias/1839/08/10/pdfs/GMD-1839-1730.pdf#page=2","Abrir facsímil")</f>
        <v>Abrir facsímil</v>
      </c>
      <c r="K2897" s="12" t="s">
        <v>65</v>
      </c>
    </row>
    <row r="2898" spans="1:11" ht="40.049999999999997" customHeight="1" x14ac:dyDescent="0.25">
      <c r="A2898" s="11" t="s">
        <v>6211</v>
      </c>
      <c r="B2898" s="11" t="s">
        <v>6212</v>
      </c>
      <c r="C2898" s="11" t="s">
        <v>80</v>
      </c>
      <c r="D2898" s="11" t="s">
        <v>18</v>
      </c>
      <c r="E2898" s="12" t="s">
        <v>207</v>
      </c>
      <c r="F2898" s="12" t="s">
        <v>208</v>
      </c>
      <c r="G2898" s="12" t="s">
        <v>40</v>
      </c>
      <c r="H2898" s="11" t="s">
        <v>63</v>
      </c>
      <c r="I2898" s="13" t="s">
        <v>6213</v>
      </c>
      <c r="J2898" s="14" t="str">
        <f>HYPERLINK("https://www.boe.es/gazeta/dias/1839/02/19/pdfs/GMD-1839-1557.pdf#page=2","Abrir facsímil")</f>
        <v>Abrir facsímil</v>
      </c>
      <c r="K2898" s="12" t="s">
        <v>65</v>
      </c>
    </row>
    <row r="2899" spans="1:11" ht="40.049999999999997" customHeight="1" x14ac:dyDescent="0.25">
      <c r="A2899" s="11" t="s">
        <v>6214</v>
      </c>
      <c r="B2899" s="11" t="s">
        <v>6215</v>
      </c>
      <c r="C2899" s="11" t="s">
        <v>17</v>
      </c>
      <c r="D2899" s="11" t="s">
        <v>18</v>
      </c>
      <c r="E2899" s="12" t="s">
        <v>2415</v>
      </c>
      <c r="F2899" s="12" t="s">
        <v>2416</v>
      </c>
      <c r="G2899" s="12" t="s">
        <v>21</v>
      </c>
      <c r="H2899" s="11" t="s">
        <v>22</v>
      </c>
      <c r="I2899" s="13" t="s">
        <v>6216</v>
      </c>
      <c r="J2899" s="14" t="str">
        <f>HYPERLINK("https://www.boe.es/gazeta/dias/1839/12/22/pdfs/GMD-1839-1869.pdf#page=4","Abrir facsímil")</f>
        <v>Abrir facsímil</v>
      </c>
      <c r="K2899" s="12" t="s">
        <v>24</v>
      </c>
    </row>
    <row r="2900" spans="1:11" ht="40.049999999999997" customHeight="1" x14ac:dyDescent="0.25">
      <c r="A2900" s="11" t="s">
        <v>6217</v>
      </c>
      <c r="B2900" s="11" t="s">
        <v>6218</v>
      </c>
      <c r="C2900" s="11" t="s">
        <v>137</v>
      </c>
      <c r="D2900" s="11" t="s">
        <v>18</v>
      </c>
      <c r="E2900" s="12" t="s">
        <v>81</v>
      </c>
      <c r="F2900" s="12" t="s">
        <v>82</v>
      </c>
      <c r="G2900" s="12" t="s">
        <v>40</v>
      </c>
      <c r="H2900" s="11" t="s">
        <v>63</v>
      </c>
      <c r="I2900" s="13" t="s">
        <v>6219</v>
      </c>
      <c r="J2900" s="14" t="str">
        <f>HYPERLINK("https://www.boe.es/gazeta/dias/1839/03/03/pdfs/GMD-1839-1569.pdf#page=2","Abrir facsímil")</f>
        <v>Abrir facsímil</v>
      </c>
      <c r="K2900" s="12" t="s">
        <v>65</v>
      </c>
    </row>
    <row r="2901" spans="1:11" ht="40.049999999999997" customHeight="1" x14ac:dyDescent="0.25">
      <c r="A2901" s="11" t="s">
        <v>6220</v>
      </c>
      <c r="B2901" s="11" t="s">
        <v>6221</v>
      </c>
      <c r="C2901" s="11" t="s">
        <v>59</v>
      </c>
      <c r="D2901" s="11" t="s">
        <v>60</v>
      </c>
      <c r="E2901" s="12" t="s">
        <v>4186</v>
      </c>
      <c r="F2901" s="12" t="s">
        <v>4187</v>
      </c>
      <c r="G2901" s="12" t="s">
        <v>46</v>
      </c>
      <c r="H2901" s="11" t="s">
        <v>63</v>
      </c>
      <c r="I2901" s="13" t="s">
        <v>6222</v>
      </c>
      <c r="J2901" s="14" t="str">
        <f>HYPERLINK("https://www.boe.es/gazeta/dias/1839/12/12/pdfs/GMD-1839-1859.pdf#page=3","Abrir facsímil")</f>
        <v>Abrir facsímil</v>
      </c>
      <c r="K2901" s="12" t="s">
        <v>65</v>
      </c>
    </row>
    <row r="2902" spans="1:11" ht="40.049999999999997" customHeight="1" x14ac:dyDescent="0.25">
      <c r="A2902" s="11" t="s">
        <v>6223</v>
      </c>
      <c r="B2902" s="11" t="s">
        <v>6224</v>
      </c>
      <c r="C2902" s="11" t="s">
        <v>80</v>
      </c>
      <c r="D2902" s="11" t="s">
        <v>173</v>
      </c>
      <c r="E2902" s="12" t="s">
        <v>1628</v>
      </c>
      <c r="F2902" s="12" t="s">
        <v>1629</v>
      </c>
      <c r="G2902" s="12" t="s">
        <v>29</v>
      </c>
      <c r="H2902" s="11" t="s">
        <v>63</v>
      </c>
      <c r="I2902" s="13" t="s">
        <v>6225</v>
      </c>
      <c r="J2902" s="14" t="str">
        <f>HYPERLINK("https://www.boe.es/gazeta/dias/1839/03/10/pdfs/GMD-1839-1576.pdf#page=1","Abrir facsímil")</f>
        <v>Abrir facsímil</v>
      </c>
      <c r="K2902" s="12" t="s">
        <v>65</v>
      </c>
    </row>
    <row r="2903" spans="1:11" ht="40.049999999999997" customHeight="1" x14ac:dyDescent="0.25">
      <c r="A2903" s="11" t="s">
        <v>6226</v>
      </c>
      <c r="B2903" s="11" t="s">
        <v>6227</v>
      </c>
      <c r="C2903" s="11" t="s">
        <v>137</v>
      </c>
      <c r="D2903" s="11" t="s">
        <v>18</v>
      </c>
      <c r="E2903" s="12" t="s">
        <v>695</v>
      </c>
      <c r="F2903" s="12" t="s">
        <v>696</v>
      </c>
      <c r="G2903" s="12" t="s">
        <v>21</v>
      </c>
      <c r="H2903" s="11" t="s">
        <v>63</v>
      </c>
      <c r="I2903" s="13" t="s">
        <v>6228</v>
      </c>
      <c r="J2903" s="14" t="str">
        <f>HYPERLINK("https://www.boe.es/gazeta/dias/1839/12/19/pdfs/GMD-1839-1866.pdf#page=4","Abrir facsímil")</f>
        <v>Abrir facsímil</v>
      </c>
      <c r="K2903" s="12" t="s">
        <v>65</v>
      </c>
    </row>
    <row r="2904" spans="1:11" ht="40.049999999999997" customHeight="1" x14ac:dyDescent="0.25">
      <c r="A2904" s="11" t="s">
        <v>6229</v>
      </c>
      <c r="B2904" s="11" t="s">
        <v>6230</v>
      </c>
      <c r="C2904" s="11" t="s">
        <v>101</v>
      </c>
      <c r="D2904" s="11" t="s">
        <v>43</v>
      </c>
      <c r="E2904" s="12" t="s">
        <v>1584</v>
      </c>
      <c r="F2904" s="12" t="s">
        <v>1585</v>
      </c>
      <c r="G2904" s="12" t="s">
        <v>46</v>
      </c>
      <c r="H2904" s="11" t="s">
        <v>63</v>
      </c>
      <c r="I2904" s="13" t="s">
        <v>6231</v>
      </c>
      <c r="J2904" s="14" t="str">
        <f>HYPERLINK("https://www.boe.es/gazeta/dias/1839/11/20/pdfs/GMD-1839-1837.pdf#page=3","Abrir facsímil")</f>
        <v>Abrir facsímil</v>
      </c>
      <c r="K2904" s="12" t="s">
        <v>65</v>
      </c>
    </row>
    <row r="2905" spans="1:11" ht="40.049999999999997" customHeight="1" x14ac:dyDescent="0.25">
      <c r="A2905" s="11" t="s">
        <v>6232</v>
      </c>
      <c r="B2905" s="11" t="s">
        <v>6233</v>
      </c>
      <c r="C2905" s="11" t="s">
        <v>17</v>
      </c>
      <c r="D2905" s="11" t="s">
        <v>18</v>
      </c>
      <c r="E2905" s="12" t="s">
        <v>1159</v>
      </c>
      <c r="F2905" s="12" t="s">
        <v>1160</v>
      </c>
      <c r="G2905" s="12" t="s">
        <v>21</v>
      </c>
      <c r="H2905" s="11" t="s">
        <v>63</v>
      </c>
      <c r="I2905" s="13" t="s">
        <v>6234</v>
      </c>
      <c r="J2905" s="14" t="str">
        <f>HYPERLINK("https://www.boe.es/gazeta/dias/1839/11/26/pdfs/GMD-1839-1843.pdf#page=4","Abrir facsímil")</f>
        <v>Abrir facsímil</v>
      </c>
      <c r="K2905" s="12" t="s">
        <v>65</v>
      </c>
    </row>
    <row r="2906" spans="1:11" ht="40.049999999999997" customHeight="1" x14ac:dyDescent="0.25">
      <c r="A2906" s="11" t="s">
        <v>6235</v>
      </c>
      <c r="B2906" s="11" t="s">
        <v>6236</v>
      </c>
      <c r="C2906" s="11" t="s">
        <v>17</v>
      </c>
      <c r="D2906" s="11" t="s">
        <v>18</v>
      </c>
      <c r="E2906" s="12" t="s">
        <v>2658</v>
      </c>
      <c r="F2906" s="12" t="s">
        <v>2659</v>
      </c>
      <c r="G2906" s="12" t="s">
        <v>29</v>
      </c>
      <c r="H2906" s="11" t="s">
        <v>63</v>
      </c>
      <c r="I2906" s="13" t="s">
        <v>6237</v>
      </c>
      <c r="J2906" s="14" t="str">
        <f>HYPERLINK("https://www.boe.es/gazeta/dias/1839/06/27/pdfs/GMD-1839-1685.pdf#page=1","Abrir facsímil")</f>
        <v>Abrir facsímil</v>
      </c>
      <c r="K2906" s="12" t="s">
        <v>65</v>
      </c>
    </row>
    <row r="2907" spans="1:11" ht="40.049999999999997" customHeight="1" x14ac:dyDescent="0.25">
      <c r="A2907" s="11" t="s">
        <v>6238</v>
      </c>
      <c r="B2907" s="11" t="s">
        <v>6239</v>
      </c>
      <c r="C2907" s="11" t="s">
        <v>80</v>
      </c>
      <c r="D2907" s="11" t="s">
        <v>18</v>
      </c>
      <c r="E2907" s="12" t="s">
        <v>1794</v>
      </c>
      <c r="F2907" s="12" t="s">
        <v>1795</v>
      </c>
      <c r="G2907" s="12" t="s">
        <v>40</v>
      </c>
      <c r="H2907" s="11" t="s">
        <v>63</v>
      </c>
      <c r="I2907" s="13" t="s">
        <v>6240</v>
      </c>
      <c r="J2907" s="14" t="str">
        <f>HYPERLINK("https://www.boe.es/gazeta/dias/1839/02/22/pdfs/GMD-1839-1560.pdf#page=2","Abrir facsímil")</f>
        <v>Abrir facsímil</v>
      </c>
      <c r="K2907" s="12" t="s">
        <v>65</v>
      </c>
    </row>
    <row r="2908" spans="1:11" ht="40.049999999999997" customHeight="1" x14ac:dyDescent="0.25">
      <c r="A2908" s="11" t="s">
        <v>6241</v>
      </c>
      <c r="B2908" s="11" t="s">
        <v>6242</v>
      </c>
      <c r="C2908" s="11" t="s">
        <v>17</v>
      </c>
      <c r="D2908" s="11" t="s">
        <v>18</v>
      </c>
      <c r="E2908" s="12" t="s">
        <v>217</v>
      </c>
      <c r="F2908" s="12" t="s">
        <v>218</v>
      </c>
      <c r="G2908" s="12" t="s">
        <v>21</v>
      </c>
      <c r="H2908" s="11" t="s">
        <v>63</v>
      </c>
      <c r="I2908" s="13" t="s">
        <v>6243</v>
      </c>
      <c r="J2908" s="14" t="str">
        <f>HYPERLINK("https://www.boe.es/gazeta/dias/1839/08/06/pdfs/GMD-1839-1726.pdf#page=4","Abrir facsímil")</f>
        <v>Abrir facsímil</v>
      </c>
      <c r="K2908" s="12" t="s">
        <v>65</v>
      </c>
    </row>
    <row r="2909" spans="1:11" ht="40.049999999999997" customHeight="1" x14ac:dyDescent="0.25">
      <c r="A2909" s="11" t="s">
        <v>6241</v>
      </c>
      <c r="B2909" s="11" t="s">
        <v>6242</v>
      </c>
      <c r="C2909" s="11" t="s">
        <v>17</v>
      </c>
      <c r="D2909" s="11" t="s">
        <v>18</v>
      </c>
      <c r="E2909" s="12" t="s">
        <v>469</v>
      </c>
      <c r="F2909" s="12" t="s">
        <v>470</v>
      </c>
      <c r="G2909" s="12" t="s">
        <v>21</v>
      </c>
      <c r="H2909" s="11" t="s">
        <v>63</v>
      </c>
      <c r="I2909" s="13" t="s">
        <v>6244</v>
      </c>
      <c r="J2909" s="14" t="str">
        <f>HYPERLINK("https://www.boe.es/gazeta/dias/1839/08/20/pdfs/GMD-1839-1741.pdf#page=4","Abrir facsímil")</f>
        <v>Abrir facsímil</v>
      </c>
      <c r="K2909" s="12" t="s">
        <v>65</v>
      </c>
    </row>
    <row r="2910" spans="1:11" ht="40.049999999999997" customHeight="1" x14ac:dyDescent="0.25">
      <c r="A2910" s="11" t="s">
        <v>6241</v>
      </c>
      <c r="B2910" s="11" t="s">
        <v>6242</v>
      </c>
      <c r="C2910" s="11" t="s">
        <v>17</v>
      </c>
      <c r="D2910" s="11" t="s">
        <v>18</v>
      </c>
      <c r="E2910" s="12" t="s">
        <v>1497</v>
      </c>
      <c r="F2910" s="12" t="s">
        <v>1498</v>
      </c>
      <c r="G2910" s="12" t="s">
        <v>21</v>
      </c>
      <c r="H2910" s="11" t="s">
        <v>63</v>
      </c>
      <c r="I2910" s="13" t="s">
        <v>6245</v>
      </c>
      <c r="J2910" s="14" t="str">
        <f>HYPERLINK("https://www.boe.es/gazeta/dias/1839/08/23/pdfs/GMD-1839-1744.pdf#page=4","Abrir facsímil")</f>
        <v>Abrir facsímil</v>
      </c>
      <c r="K2910" s="12" t="s">
        <v>65</v>
      </c>
    </row>
    <row r="2911" spans="1:11" ht="40.049999999999997" customHeight="1" x14ac:dyDescent="0.25">
      <c r="A2911" s="11" t="s">
        <v>6246</v>
      </c>
      <c r="B2911" s="11" t="s">
        <v>6247</v>
      </c>
      <c r="C2911" s="11" t="s">
        <v>17</v>
      </c>
      <c r="D2911" s="11" t="s">
        <v>18</v>
      </c>
      <c r="E2911" s="12" t="s">
        <v>76</v>
      </c>
      <c r="F2911" s="12" t="s">
        <v>77</v>
      </c>
      <c r="G2911" s="12" t="s">
        <v>46</v>
      </c>
      <c r="H2911" s="11" t="s">
        <v>22</v>
      </c>
      <c r="I2911" s="13" t="s">
        <v>6248</v>
      </c>
      <c r="J2911" s="14" t="str">
        <f>HYPERLINK("https://www.boe.es/gazeta/dias/1839/03/13/pdfs/GMD-1839-1579.pdf#page=3","Abrir facsímil")</f>
        <v>Abrir facsímil</v>
      </c>
      <c r="K2911" s="12" t="s">
        <v>24</v>
      </c>
    </row>
    <row r="2912" spans="1:11" ht="40.049999999999997" customHeight="1" x14ac:dyDescent="0.25">
      <c r="A2912" s="11" t="s">
        <v>6249</v>
      </c>
      <c r="B2912" s="11" t="s">
        <v>6250</v>
      </c>
      <c r="C2912" s="11" t="s">
        <v>80</v>
      </c>
      <c r="D2912" s="11" t="s">
        <v>18</v>
      </c>
      <c r="E2912" s="12" t="s">
        <v>2443</v>
      </c>
      <c r="F2912" s="12" t="s">
        <v>2444</v>
      </c>
      <c r="G2912" s="12" t="s">
        <v>46</v>
      </c>
      <c r="H2912" s="11" t="s">
        <v>63</v>
      </c>
      <c r="I2912" s="13" t="s">
        <v>6251</v>
      </c>
      <c r="J2912" s="14" t="str">
        <f>HYPERLINK("https://www.boe.es/gazeta/dias/1839/11/02/pdfs/GMD-1839-1819.pdf#page=3","Abrir facsímil")</f>
        <v>Abrir facsímil</v>
      </c>
      <c r="K2912" s="12" t="s">
        <v>65</v>
      </c>
    </row>
    <row r="2913" spans="1:11" ht="40.049999999999997" customHeight="1" x14ac:dyDescent="0.25">
      <c r="A2913" s="11" t="s">
        <v>6252</v>
      </c>
      <c r="B2913" s="11" t="s">
        <v>6253</v>
      </c>
      <c r="C2913" s="11" t="s">
        <v>80</v>
      </c>
      <c r="D2913" s="11" t="s">
        <v>18</v>
      </c>
      <c r="E2913" s="12" t="s">
        <v>207</v>
      </c>
      <c r="F2913" s="12" t="s">
        <v>208</v>
      </c>
      <c r="G2913" s="12" t="s">
        <v>40</v>
      </c>
      <c r="H2913" s="11" t="s">
        <v>63</v>
      </c>
      <c r="I2913" s="13" t="s">
        <v>6254</v>
      </c>
      <c r="J2913" s="14" t="str">
        <f>HYPERLINK("https://www.boe.es/gazeta/dias/1839/02/19/pdfs/GMD-1839-1557.pdf#page=2","Abrir facsímil")</f>
        <v>Abrir facsímil</v>
      </c>
      <c r="K2913" s="12" t="s">
        <v>65</v>
      </c>
    </row>
    <row r="2914" spans="1:11" ht="40.049999999999997" customHeight="1" x14ac:dyDescent="0.25">
      <c r="A2914" s="11" t="s">
        <v>6255</v>
      </c>
      <c r="B2914" s="11" t="s">
        <v>6256</v>
      </c>
      <c r="C2914" s="11" t="s">
        <v>17</v>
      </c>
      <c r="D2914" s="11" t="s">
        <v>18</v>
      </c>
      <c r="E2914" s="12" t="s">
        <v>398</v>
      </c>
      <c r="F2914" s="12" t="s">
        <v>399</v>
      </c>
      <c r="G2914" s="12" t="s">
        <v>46</v>
      </c>
      <c r="H2914" s="11" t="s">
        <v>22</v>
      </c>
      <c r="I2914" s="13" t="s">
        <v>6257</v>
      </c>
      <c r="J2914" s="14" t="str">
        <f>HYPERLINK("https://www.boe.es/gazeta/dias/1839/05/17/pdfs/GMD-1839-1644.pdf#page=3","Abrir facsímil")</f>
        <v>Abrir facsímil</v>
      </c>
      <c r="K2914" s="12" t="s">
        <v>24</v>
      </c>
    </row>
    <row r="2915" spans="1:11" ht="40.049999999999997" customHeight="1" x14ac:dyDescent="0.25">
      <c r="A2915" s="11" t="s">
        <v>6258</v>
      </c>
      <c r="B2915" s="11" t="s">
        <v>6259</v>
      </c>
      <c r="C2915" s="11" t="s">
        <v>101</v>
      </c>
      <c r="D2915" s="11" t="s">
        <v>102</v>
      </c>
      <c r="E2915" s="12" t="s">
        <v>1301</v>
      </c>
      <c r="F2915" s="12" t="s">
        <v>1302</v>
      </c>
      <c r="G2915" s="12" t="s">
        <v>40</v>
      </c>
      <c r="H2915" s="11" t="s">
        <v>63</v>
      </c>
      <c r="I2915" s="13" t="s">
        <v>6260</v>
      </c>
      <c r="J2915" s="14" t="str">
        <f>HYPERLINK("https://www.boe.es/gazeta/dias/1839/11/16/pdfs/GMD-1839-1833.pdf#page=2","Abrir facsímil")</f>
        <v>Abrir facsímil</v>
      </c>
      <c r="K2915" s="12" t="s">
        <v>65</v>
      </c>
    </row>
    <row r="2916" spans="1:11" ht="40.049999999999997" customHeight="1" x14ac:dyDescent="0.25">
      <c r="A2916" s="11" t="s">
        <v>6261</v>
      </c>
      <c r="B2916" s="11" t="s">
        <v>6262</v>
      </c>
      <c r="C2916" s="11" t="s">
        <v>17</v>
      </c>
      <c r="D2916" s="11" t="s">
        <v>43</v>
      </c>
      <c r="E2916" s="12" t="s">
        <v>453</v>
      </c>
      <c r="F2916" s="12" t="s">
        <v>454</v>
      </c>
      <c r="G2916" s="12" t="s">
        <v>46</v>
      </c>
      <c r="H2916" s="11" t="s">
        <v>63</v>
      </c>
      <c r="I2916" s="13" t="s">
        <v>6263</v>
      </c>
      <c r="J2916" s="14" t="str">
        <f>HYPERLINK("https://www.boe.es/gazeta/dias/1839/02/07/pdfs/GMD-1839-1545.pdf#page=3","Abrir facsímil")</f>
        <v>Abrir facsímil</v>
      </c>
      <c r="K2916" s="12" t="s">
        <v>65</v>
      </c>
    </row>
    <row r="2917" spans="1:11" ht="40.049999999999997" customHeight="1" x14ac:dyDescent="0.25">
      <c r="A2917" s="11" t="s">
        <v>6264</v>
      </c>
      <c r="B2917" s="11" t="s">
        <v>6265</v>
      </c>
      <c r="C2917" s="11" t="s">
        <v>17</v>
      </c>
      <c r="D2917" s="11" t="s">
        <v>18</v>
      </c>
      <c r="E2917" s="12" t="s">
        <v>375</v>
      </c>
      <c r="F2917" s="12" t="s">
        <v>376</v>
      </c>
      <c r="G2917" s="12" t="s">
        <v>21</v>
      </c>
      <c r="H2917" s="11" t="s">
        <v>63</v>
      </c>
      <c r="I2917" s="13" t="s">
        <v>6266</v>
      </c>
      <c r="J2917" s="14" t="str">
        <f>HYPERLINK("https://www.boe.es/gazeta/dias/1839/11/25/pdfs/GMD-1839-1842.pdf#page=4","Abrir facsímil")</f>
        <v>Abrir facsímil</v>
      </c>
      <c r="K2917" s="12" t="s">
        <v>65</v>
      </c>
    </row>
    <row r="2918" spans="1:11" ht="40.049999999999997" customHeight="1" x14ac:dyDescent="0.25">
      <c r="A2918" s="11" t="s">
        <v>6267</v>
      </c>
      <c r="B2918" s="11" t="s">
        <v>6268</v>
      </c>
      <c r="C2918" s="11" t="s">
        <v>59</v>
      </c>
      <c r="D2918" s="11" t="s">
        <v>60</v>
      </c>
      <c r="E2918" s="12" t="s">
        <v>4292</v>
      </c>
      <c r="F2918" s="12" t="s">
        <v>4293</v>
      </c>
      <c r="G2918" s="12" t="s">
        <v>40</v>
      </c>
      <c r="H2918" s="11" t="s">
        <v>63</v>
      </c>
      <c r="I2918" s="13" t="s">
        <v>6269</v>
      </c>
      <c r="J2918" s="14" t="str">
        <f>HYPERLINK("https://www.boe.es/gazeta/dias/1839/11/29/pdfs/GMD-1839-1846.pdf#page=2","Abrir facsímil")</f>
        <v>Abrir facsímil</v>
      </c>
      <c r="K2918" s="12" t="s">
        <v>65</v>
      </c>
    </row>
    <row r="2919" spans="1:11" ht="40.049999999999997" customHeight="1" x14ac:dyDescent="0.25">
      <c r="A2919" s="11" t="s">
        <v>6270</v>
      </c>
      <c r="B2919" s="11" t="s">
        <v>6271</v>
      </c>
      <c r="C2919" s="11" t="s">
        <v>101</v>
      </c>
      <c r="D2919" s="11" t="s">
        <v>43</v>
      </c>
      <c r="E2919" s="12" t="s">
        <v>192</v>
      </c>
      <c r="F2919" s="12" t="s">
        <v>193</v>
      </c>
      <c r="G2919" s="12" t="s">
        <v>29</v>
      </c>
      <c r="H2919" s="11" t="s">
        <v>63</v>
      </c>
      <c r="I2919" s="13" t="s">
        <v>6272</v>
      </c>
      <c r="J2919" s="14" t="str">
        <f>HYPERLINK("https://www.boe.es/gazeta/dias/1839/01/12/pdfs/GMD-1839-1519.pdf#page=1","Abrir facsímil")</f>
        <v>Abrir facsímil</v>
      </c>
      <c r="K2919" s="12" t="s">
        <v>65</v>
      </c>
    </row>
    <row r="2920" spans="1:11" ht="40.049999999999997" customHeight="1" x14ac:dyDescent="0.25">
      <c r="A2920" s="11" t="s">
        <v>6270</v>
      </c>
      <c r="B2920" s="11" t="s">
        <v>6271</v>
      </c>
      <c r="C2920" s="11" t="s">
        <v>80</v>
      </c>
      <c r="D2920" s="11" t="s">
        <v>18</v>
      </c>
      <c r="E2920" s="12" t="s">
        <v>272</v>
      </c>
      <c r="F2920" s="12" t="s">
        <v>273</v>
      </c>
      <c r="G2920" s="12" t="s">
        <v>29</v>
      </c>
      <c r="H2920" s="11" t="s">
        <v>63</v>
      </c>
      <c r="I2920" s="13" t="s">
        <v>6273</v>
      </c>
      <c r="J2920" s="14" t="str">
        <f>HYPERLINK("https://www.boe.es/gazeta/dias/1839/02/12/pdfs/GMD-1839-1550.pdf#page=1","Abrir facsímil")</f>
        <v>Abrir facsímil</v>
      </c>
      <c r="K2920" s="12" t="s">
        <v>65</v>
      </c>
    </row>
    <row r="2921" spans="1:11" ht="40.049999999999997" customHeight="1" x14ac:dyDescent="0.25">
      <c r="A2921" s="11" t="s">
        <v>6270</v>
      </c>
      <c r="B2921" s="11" t="s">
        <v>6271</v>
      </c>
      <c r="C2921" s="11" t="s">
        <v>101</v>
      </c>
      <c r="D2921" s="11" t="s">
        <v>102</v>
      </c>
      <c r="E2921" s="12" t="s">
        <v>1909</v>
      </c>
      <c r="F2921" s="12" t="s">
        <v>1910</v>
      </c>
      <c r="G2921" s="12" t="s">
        <v>29</v>
      </c>
      <c r="H2921" s="11" t="s">
        <v>63</v>
      </c>
      <c r="I2921" s="13" t="s">
        <v>6274</v>
      </c>
      <c r="J2921" s="14" t="str">
        <f>HYPERLINK("https://www.boe.es/gazeta/dias/1839/10/27/pdfs/GMD-1839-1813.pdf#page=1","Abrir facsímil")</f>
        <v>Abrir facsímil</v>
      </c>
      <c r="K2921" s="12" t="s">
        <v>65</v>
      </c>
    </row>
    <row r="2922" spans="1:11" ht="40.049999999999997" customHeight="1" x14ac:dyDescent="0.25">
      <c r="A2922" s="11" t="s">
        <v>6275</v>
      </c>
      <c r="B2922" s="11" t="s">
        <v>6276</v>
      </c>
      <c r="C2922" s="11" t="s">
        <v>17</v>
      </c>
      <c r="D2922" s="11" t="s">
        <v>18</v>
      </c>
      <c r="E2922" s="12" t="s">
        <v>723</v>
      </c>
      <c r="F2922" s="12" t="s">
        <v>724</v>
      </c>
      <c r="G2922" s="12" t="s">
        <v>29</v>
      </c>
      <c r="H2922" s="11" t="s">
        <v>63</v>
      </c>
      <c r="I2922" s="13" t="s">
        <v>6277</v>
      </c>
      <c r="J2922" s="14" t="str">
        <f>HYPERLINK("https://www.boe.es/gazeta/dias/1839/09/26/pdfs/GMD-1839-1782.pdf#page=1","Abrir facsímil")</f>
        <v>Abrir facsímil</v>
      </c>
      <c r="K2922" s="12" t="s">
        <v>65</v>
      </c>
    </row>
    <row r="2923" spans="1:11" ht="40.049999999999997" customHeight="1" x14ac:dyDescent="0.25">
      <c r="A2923" s="11" t="s">
        <v>6278</v>
      </c>
      <c r="B2923" s="11" t="s">
        <v>6279</v>
      </c>
      <c r="C2923" s="11" t="s">
        <v>59</v>
      </c>
      <c r="D2923" s="11" t="s">
        <v>60</v>
      </c>
      <c r="E2923" s="12" t="s">
        <v>2215</v>
      </c>
      <c r="F2923" s="12" t="s">
        <v>2216</v>
      </c>
      <c r="G2923" s="12" t="s">
        <v>40</v>
      </c>
      <c r="H2923" s="11" t="s">
        <v>63</v>
      </c>
      <c r="I2923" s="13" t="s">
        <v>6280</v>
      </c>
      <c r="J2923" s="14" t="str">
        <f>HYPERLINK("https://www.boe.es/gazeta/dias/1839/07/21/pdfs/GMD-1839-1709.pdf#page=2","Abrir facsímil")</f>
        <v>Abrir facsímil</v>
      </c>
      <c r="K2923" s="12" t="s">
        <v>65</v>
      </c>
    </row>
    <row r="2924" spans="1:11" ht="40.049999999999997" customHeight="1" x14ac:dyDescent="0.25">
      <c r="A2924" s="11" t="s">
        <v>6281</v>
      </c>
      <c r="B2924" s="11" t="s">
        <v>6282</v>
      </c>
      <c r="C2924" s="11" t="s">
        <v>137</v>
      </c>
      <c r="D2924" s="11" t="s">
        <v>18</v>
      </c>
      <c r="E2924" s="12" t="s">
        <v>1528</v>
      </c>
      <c r="F2924" s="12" t="s">
        <v>1529</v>
      </c>
      <c r="G2924" s="12" t="s">
        <v>46</v>
      </c>
      <c r="H2924" s="11" t="s">
        <v>63</v>
      </c>
      <c r="I2924" s="13" t="s">
        <v>6283</v>
      </c>
      <c r="J2924" s="14" t="str">
        <f>HYPERLINK("https://www.boe.es/gazeta/dias/1839/12/15/pdfs/GMD-1839-1862.pdf#page=3","Abrir facsímil")</f>
        <v>Abrir facsímil</v>
      </c>
      <c r="K2924" s="12" t="s">
        <v>65</v>
      </c>
    </row>
    <row r="2925" spans="1:11" ht="40.049999999999997" customHeight="1" x14ac:dyDescent="0.25">
      <c r="A2925" s="11" t="s">
        <v>6284</v>
      </c>
      <c r="B2925" s="11" t="s">
        <v>6285</v>
      </c>
      <c r="C2925" s="11" t="s">
        <v>101</v>
      </c>
      <c r="D2925" s="11" t="s">
        <v>43</v>
      </c>
      <c r="E2925" s="12" t="s">
        <v>433</v>
      </c>
      <c r="F2925" s="12" t="s">
        <v>434</v>
      </c>
      <c r="G2925" s="12" t="s">
        <v>21</v>
      </c>
      <c r="H2925" s="11" t="s">
        <v>63</v>
      </c>
      <c r="I2925" s="13" t="s">
        <v>6286</v>
      </c>
      <c r="J2925" s="14" t="str">
        <f>HYPERLINK("https://www.boe.es/gazeta/dias/1839/01/20/pdfs/GMD-1839-1527.pdf#page=4","Abrir facsímil")</f>
        <v>Abrir facsímil</v>
      </c>
      <c r="K2925" s="12" t="s">
        <v>65</v>
      </c>
    </row>
    <row r="2926" spans="1:11" ht="40.049999999999997" customHeight="1" x14ac:dyDescent="0.25">
      <c r="A2926" s="11" t="s">
        <v>6287</v>
      </c>
      <c r="B2926" s="11" t="s">
        <v>6288</v>
      </c>
      <c r="C2926" s="11" t="s">
        <v>137</v>
      </c>
      <c r="D2926" s="11" t="s">
        <v>18</v>
      </c>
      <c r="E2926" s="12" t="s">
        <v>700</v>
      </c>
      <c r="F2926" s="12" t="s">
        <v>701</v>
      </c>
      <c r="G2926" s="12" t="s">
        <v>21</v>
      </c>
      <c r="H2926" s="11" t="s">
        <v>63</v>
      </c>
      <c r="I2926" s="13" t="s">
        <v>6289</v>
      </c>
      <c r="J2926" s="14" t="str">
        <f>HYPERLINK("https://www.boe.es/gazeta/dias/1839/09/01/pdfs/GMD-1839-1753.pdf#page=4","Abrir facsímil")</f>
        <v>Abrir facsímil</v>
      </c>
      <c r="K2926" s="12" t="s">
        <v>65</v>
      </c>
    </row>
    <row r="2927" spans="1:11" ht="40.049999999999997" customHeight="1" x14ac:dyDescent="0.25">
      <c r="A2927" s="11" t="s">
        <v>6290</v>
      </c>
      <c r="B2927" s="11" t="s">
        <v>6291</v>
      </c>
      <c r="C2927" s="11" t="s">
        <v>17</v>
      </c>
      <c r="D2927" s="11" t="s">
        <v>43</v>
      </c>
      <c r="E2927" s="12" t="s">
        <v>503</v>
      </c>
      <c r="F2927" s="12" t="s">
        <v>504</v>
      </c>
      <c r="G2927" s="12" t="s">
        <v>21</v>
      </c>
      <c r="H2927" s="11" t="s">
        <v>63</v>
      </c>
      <c r="I2927" s="13" t="s">
        <v>6292</v>
      </c>
      <c r="J2927" s="14" t="str">
        <f>HYPERLINK("https://www.boe.es/gazeta/dias/1839/06/07/pdfs/GMD-1839-1665.pdf#page=4","Abrir facsímil")</f>
        <v>Abrir facsímil</v>
      </c>
      <c r="K2927" s="12" t="s">
        <v>65</v>
      </c>
    </row>
    <row r="2928" spans="1:11" ht="40.049999999999997" customHeight="1" x14ac:dyDescent="0.25">
      <c r="A2928" s="11" t="s">
        <v>6290</v>
      </c>
      <c r="B2928" s="11" t="s">
        <v>6291</v>
      </c>
      <c r="C2928" s="11" t="s">
        <v>80</v>
      </c>
      <c r="D2928" s="11" t="s">
        <v>18</v>
      </c>
      <c r="E2928" s="12" t="s">
        <v>330</v>
      </c>
      <c r="F2928" s="12" t="s">
        <v>331</v>
      </c>
      <c r="G2928" s="12" t="s">
        <v>21</v>
      </c>
      <c r="H2928" s="11" t="s">
        <v>63</v>
      </c>
      <c r="I2928" s="13" t="s">
        <v>6293</v>
      </c>
      <c r="J2928" s="14" t="str">
        <f>HYPERLINK("https://www.boe.es/gazeta/dias/1839/04/11/pdfs/GMD-1839-1608.pdf#page=4","Abrir facsímil")</f>
        <v>Abrir facsímil</v>
      </c>
      <c r="K2928" s="12" t="s">
        <v>65</v>
      </c>
    </row>
    <row r="2929" spans="1:11" ht="40.049999999999997" customHeight="1" x14ac:dyDescent="0.25">
      <c r="A2929" s="11" t="s">
        <v>6290</v>
      </c>
      <c r="B2929" s="11" t="s">
        <v>6291</v>
      </c>
      <c r="C2929" s="11" t="s">
        <v>80</v>
      </c>
      <c r="D2929" s="11" t="s">
        <v>18</v>
      </c>
      <c r="E2929" s="12" t="s">
        <v>1019</v>
      </c>
      <c r="F2929" s="12" t="s">
        <v>1020</v>
      </c>
      <c r="G2929" s="12" t="s">
        <v>21</v>
      </c>
      <c r="H2929" s="11" t="s">
        <v>63</v>
      </c>
      <c r="I2929" s="13" t="s">
        <v>6294</v>
      </c>
      <c r="J2929" s="14" t="str">
        <f>HYPERLINK("https://www.boe.es/gazeta/dias/1839/07/15/pdfs/GMD-1839-1703.pdf#page=4","Abrir facsímil")</f>
        <v>Abrir facsímil</v>
      </c>
      <c r="K2929" s="12" t="s">
        <v>65</v>
      </c>
    </row>
    <row r="2930" spans="1:11" ht="40.049999999999997" customHeight="1" x14ac:dyDescent="0.25">
      <c r="A2930" s="11" t="s">
        <v>6295</v>
      </c>
      <c r="B2930" s="11" t="s">
        <v>6296</v>
      </c>
      <c r="C2930" s="11" t="s">
        <v>17</v>
      </c>
      <c r="D2930" s="11" t="s">
        <v>18</v>
      </c>
      <c r="E2930" s="12" t="s">
        <v>1086</v>
      </c>
      <c r="F2930" s="12" t="s">
        <v>1087</v>
      </c>
      <c r="G2930" s="12" t="s">
        <v>40</v>
      </c>
      <c r="H2930" s="11" t="s">
        <v>63</v>
      </c>
      <c r="I2930" s="13" t="s">
        <v>6297</v>
      </c>
      <c r="J2930" s="14" t="str">
        <f>HYPERLINK("https://www.boe.es/gazeta/dias/1839/10/26/pdfs/GMD-1839-1812.pdf#page=2","Abrir facsímil")</f>
        <v>Abrir facsímil</v>
      </c>
      <c r="K2930" s="12" t="s">
        <v>65</v>
      </c>
    </row>
    <row r="2931" spans="1:11" ht="40.049999999999997" customHeight="1" x14ac:dyDescent="0.25">
      <c r="A2931" s="11" t="s">
        <v>6298</v>
      </c>
      <c r="B2931" s="11" t="s">
        <v>6299</v>
      </c>
      <c r="C2931" s="11" t="s">
        <v>137</v>
      </c>
      <c r="D2931" s="11" t="s">
        <v>18</v>
      </c>
      <c r="E2931" s="12" t="s">
        <v>4472</v>
      </c>
      <c r="F2931" s="12" t="s">
        <v>4473</v>
      </c>
      <c r="G2931" s="12" t="s">
        <v>21</v>
      </c>
      <c r="H2931" s="11" t="s">
        <v>63</v>
      </c>
      <c r="I2931" s="13" t="s">
        <v>6300</v>
      </c>
      <c r="J2931" s="14" t="str">
        <f>HYPERLINK("https://www.boe.es/gazeta/dias/1839/08/03/pdfs/GMD-1839-1723.pdf#page=4","Abrir facsímil")</f>
        <v>Abrir facsímil</v>
      </c>
      <c r="K2931" s="12" t="s">
        <v>65</v>
      </c>
    </row>
    <row r="2932" spans="1:11" ht="40.049999999999997" customHeight="1" x14ac:dyDescent="0.25">
      <c r="A2932" s="11" t="s">
        <v>6298</v>
      </c>
      <c r="B2932" s="11" t="s">
        <v>6299</v>
      </c>
      <c r="C2932" s="11" t="s">
        <v>17</v>
      </c>
      <c r="D2932" s="11" t="s">
        <v>18</v>
      </c>
      <c r="E2932" s="12" t="s">
        <v>1183</v>
      </c>
      <c r="F2932" s="12" t="s">
        <v>1184</v>
      </c>
      <c r="G2932" s="12" t="s">
        <v>21</v>
      </c>
      <c r="H2932" s="11" t="s">
        <v>63</v>
      </c>
      <c r="I2932" s="13" t="s">
        <v>6301</v>
      </c>
      <c r="J2932" s="14" t="str">
        <f>HYPERLINK("https://www.boe.es/gazeta/dias/1839/07/26/pdfs/GMD-1839-1715.pdf#page=4","Abrir facsímil")</f>
        <v>Abrir facsímil</v>
      </c>
      <c r="K2932" s="12" t="s">
        <v>65</v>
      </c>
    </row>
    <row r="2933" spans="1:11" ht="40.049999999999997" customHeight="1" x14ac:dyDescent="0.25">
      <c r="A2933" s="11" t="s">
        <v>6302</v>
      </c>
      <c r="B2933" s="11" t="s">
        <v>6303</v>
      </c>
      <c r="C2933" s="11" t="s">
        <v>59</v>
      </c>
      <c r="D2933" s="11" t="s">
        <v>60</v>
      </c>
      <c r="E2933" s="12" t="s">
        <v>1388</v>
      </c>
      <c r="F2933" s="12" t="s">
        <v>1389</v>
      </c>
      <c r="G2933" s="12" t="s">
        <v>29</v>
      </c>
      <c r="H2933" s="11" t="s">
        <v>63</v>
      </c>
      <c r="I2933" s="13" t="s">
        <v>6304</v>
      </c>
      <c r="J2933" s="14" t="str">
        <f>HYPERLINK("https://www.boe.es/gazeta/dias/1839/06/04/pdfs/GMD-1839-1662.pdf#page=1","Abrir facsímil")</f>
        <v>Abrir facsímil</v>
      </c>
      <c r="K2933" s="12" t="s">
        <v>65</v>
      </c>
    </row>
    <row r="2934" spans="1:11" ht="40.049999999999997" customHeight="1" x14ac:dyDescent="0.25">
      <c r="A2934" s="11" t="s">
        <v>6305</v>
      </c>
      <c r="B2934" s="11" t="s">
        <v>6306</v>
      </c>
      <c r="C2934" s="11" t="s">
        <v>80</v>
      </c>
      <c r="D2934" s="11" t="s">
        <v>18</v>
      </c>
      <c r="E2934" s="12" t="s">
        <v>1179</v>
      </c>
      <c r="F2934" s="12" t="s">
        <v>1180</v>
      </c>
      <c r="G2934" s="12" t="s">
        <v>305</v>
      </c>
      <c r="H2934" s="11" t="s">
        <v>63</v>
      </c>
      <c r="I2934" s="13" t="s">
        <v>6307</v>
      </c>
      <c r="J2934" s="14" t="str">
        <f>HYPERLINK("https://www.boe.es/gazeta/dias/1839/10/18/pdfs/GMD-1839-1804.pdf#page=6","Abrir facsímil")</f>
        <v>Abrir facsímil</v>
      </c>
      <c r="K2934" s="12" t="s">
        <v>65</v>
      </c>
    </row>
    <row r="2935" spans="1:11" ht="40.049999999999997" customHeight="1" x14ac:dyDescent="0.25">
      <c r="A2935" s="11" t="s">
        <v>6308</v>
      </c>
      <c r="B2935" s="11" t="s">
        <v>6308</v>
      </c>
      <c r="C2935" s="11" t="s">
        <v>17</v>
      </c>
      <c r="D2935" s="11" t="s">
        <v>18</v>
      </c>
      <c r="E2935" s="12" t="s">
        <v>4055</v>
      </c>
      <c r="F2935" s="12" t="s">
        <v>4056</v>
      </c>
      <c r="G2935" s="12" t="s">
        <v>29</v>
      </c>
      <c r="H2935" s="11" t="s">
        <v>22</v>
      </c>
      <c r="I2935" s="13" t="s">
        <v>6309</v>
      </c>
      <c r="J2935" s="14" t="str">
        <f>HYPERLINK("https://www.boe.es/gazeta/dias/1839/03/07/pdfs/GMD-1839-1573.pdf#page=1","Abrir facsímil")</f>
        <v>Abrir facsímil</v>
      </c>
      <c r="K2935" s="12" t="s">
        <v>24</v>
      </c>
    </row>
    <row r="2936" spans="1:11" ht="40.049999999999997" customHeight="1" x14ac:dyDescent="0.25">
      <c r="A2936" s="11" t="s">
        <v>6308</v>
      </c>
      <c r="B2936" s="11" t="s">
        <v>6308</v>
      </c>
      <c r="C2936" s="11" t="s">
        <v>17</v>
      </c>
      <c r="D2936" s="11" t="s">
        <v>18</v>
      </c>
      <c r="E2936" s="12" t="s">
        <v>1336</v>
      </c>
      <c r="F2936" s="12" t="s">
        <v>1337</v>
      </c>
      <c r="G2936" s="12" t="s">
        <v>29</v>
      </c>
      <c r="H2936" s="11" t="s">
        <v>22</v>
      </c>
      <c r="I2936" s="13" t="s">
        <v>6310</v>
      </c>
      <c r="J2936" s="14" t="str">
        <f>HYPERLINK("https://www.boe.es/gazeta/dias/1839/02/26/pdfs/GMD-1839-1564.pdf#page=1","Abrir facsímil")</f>
        <v>Abrir facsímil</v>
      </c>
      <c r="K2936" s="12" t="s">
        <v>24</v>
      </c>
    </row>
    <row r="2937" spans="1:11" ht="40.049999999999997" customHeight="1" x14ac:dyDescent="0.25">
      <c r="A2937" s="11" t="s">
        <v>6308</v>
      </c>
      <c r="B2937" s="11" t="s">
        <v>6308</v>
      </c>
      <c r="C2937" s="11" t="s">
        <v>17</v>
      </c>
      <c r="D2937" s="11" t="s">
        <v>18</v>
      </c>
      <c r="E2937" s="12" t="s">
        <v>474</v>
      </c>
      <c r="F2937" s="12" t="s">
        <v>475</v>
      </c>
      <c r="G2937" s="12" t="s">
        <v>29</v>
      </c>
      <c r="H2937" s="11" t="s">
        <v>22</v>
      </c>
      <c r="I2937" s="13" t="s">
        <v>6311</v>
      </c>
      <c r="J2937" s="14" t="str">
        <f>HYPERLINK("https://www.boe.es/gazeta/dias/1839/03/31/pdfs/GMD-1839-1597.pdf#page=1","Abrir facsímil")</f>
        <v>Abrir facsímil</v>
      </c>
      <c r="K2937" s="12" t="s">
        <v>24</v>
      </c>
    </row>
    <row r="2938" spans="1:11" ht="40.049999999999997" customHeight="1" x14ac:dyDescent="0.25">
      <c r="A2938" s="11" t="s">
        <v>6312</v>
      </c>
      <c r="B2938" s="11" t="s">
        <v>6313</v>
      </c>
      <c r="C2938" s="11" t="s">
        <v>59</v>
      </c>
      <c r="D2938" s="11" t="s">
        <v>60</v>
      </c>
      <c r="E2938" s="12" t="s">
        <v>287</v>
      </c>
      <c r="F2938" s="12" t="s">
        <v>288</v>
      </c>
      <c r="G2938" s="12" t="s">
        <v>46</v>
      </c>
      <c r="H2938" s="11" t="s">
        <v>63</v>
      </c>
      <c r="I2938" s="13" t="s">
        <v>6314</v>
      </c>
      <c r="J2938" s="14" t="str">
        <f>HYPERLINK("https://www.boe.es/gazeta/dias/1839/11/27/pdfs/GMD-1839-1844.pdf#page=3","Abrir facsímil")</f>
        <v>Abrir facsímil</v>
      </c>
      <c r="K2938" s="12" t="s">
        <v>65</v>
      </c>
    </row>
    <row r="2939" spans="1:11" ht="40.049999999999997" customHeight="1" x14ac:dyDescent="0.25">
      <c r="A2939" s="11" t="s">
        <v>6315</v>
      </c>
      <c r="B2939" s="11" t="s">
        <v>6316</v>
      </c>
      <c r="C2939" s="11" t="s">
        <v>17</v>
      </c>
      <c r="D2939" s="11" t="s">
        <v>18</v>
      </c>
      <c r="E2939" s="12" t="s">
        <v>1685</v>
      </c>
      <c r="F2939" s="12" t="s">
        <v>1686</v>
      </c>
      <c r="G2939" s="12" t="s">
        <v>46</v>
      </c>
      <c r="H2939" s="11" t="s">
        <v>63</v>
      </c>
      <c r="I2939" s="13" t="s">
        <v>6317</v>
      </c>
      <c r="J2939" s="14" t="str">
        <f>HYPERLINK("https://www.boe.es/gazeta/dias/1839/04/27/pdfs/GMD-1839-1624.pdf#page=3","Abrir facsímil")</f>
        <v>Abrir facsímil</v>
      </c>
      <c r="K2939" s="12" t="s">
        <v>65</v>
      </c>
    </row>
    <row r="2940" spans="1:11" ht="40.049999999999997" customHeight="1" x14ac:dyDescent="0.25">
      <c r="A2940" s="11" t="s">
        <v>6318</v>
      </c>
      <c r="B2940" s="11" t="s">
        <v>6319</v>
      </c>
      <c r="C2940" s="11" t="s">
        <v>17</v>
      </c>
      <c r="D2940" s="11" t="s">
        <v>18</v>
      </c>
      <c r="E2940" s="12" t="s">
        <v>1100</v>
      </c>
      <c r="F2940" s="12" t="s">
        <v>1101</v>
      </c>
      <c r="G2940" s="12" t="s">
        <v>21</v>
      </c>
      <c r="H2940" s="11" t="s">
        <v>63</v>
      </c>
      <c r="I2940" s="13" t="s">
        <v>6320</v>
      </c>
      <c r="J2940" s="14" t="str">
        <f>HYPERLINK("https://www.boe.es/gazeta/dias/1839/09/13/pdfs/GMD-1839-1766.pdf#page=4","Abrir facsímil")</f>
        <v>Abrir facsímil</v>
      </c>
      <c r="K2940" s="12" t="s">
        <v>65</v>
      </c>
    </row>
    <row r="2941" spans="1:11" ht="40.049999999999997" customHeight="1" x14ac:dyDescent="0.25">
      <c r="A2941" s="11" t="s">
        <v>6321</v>
      </c>
      <c r="B2941" s="11" t="s">
        <v>6322</v>
      </c>
      <c r="C2941" s="11" t="s">
        <v>137</v>
      </c>
      <c r="D2941" s="11" t="s">
        <v>18</v>
      </c>
      <c r="E2941" s="12" t="s">
        <v>1867</v>
      </c>
      <c r="F2941" s="12" t="s">
        <v>1868</v>
      </c>
      <c r="G2941" s="12" t="s">
        <v>29</v>
      </c>
      <c r="H2941" s="11" t="s">
        <v>63</v>
      </c>
      <c r="I2941" s="13" t="s">
        <v>6323</v>
      </c>
      <c r="J2941" s="14" t="str">
        <f>HYPERLINK("https://www.boe.es/gazeta/dias/1839/01/30/pdfs/GMD-1839-1537.pdf#page=1","Abrir facsímil")</f>
        <v>Abrir facsímil</v>
      </c>
      <c r="K2941" s="12" t="s">
        <v>65</v>
      </c>
    </row>
    <row r="2942" spans="1:11" ht="40.049999999999997" customHeight="1" x14ac:dyDescent="0.25">
      <c r="A2942" s="11" t="s">
        <v>6324</v>
      </c>
      <c r="B2942" s="11" t="s">
        <v>6325</v>
      </c>
      <c r="C2942" s="11" t="s">
        <v>17</v>
      </c>
      <c r="D2942" s="11" t="s">
        <v>18</v>
      </c>
      <c r="E2942" s="12" t="s">
        <v>1076</v>
      </c>
      <c r="F2942" s="12" t="s">
        <v>1077</v>
      </c>
      <c r="G2942" s="12" t="s">
        <v>29</v>
      </c>
      <c r="H2942" s="11" t="s">
        <v>63</v>
      </c>
      <c r="I2942" s="13" t="s">
        <v>6326</v>
      </c>
      <c r="J2942" s="14" t="str">
        <f>HYPERLINK("https://www.boe.es/gazeta/dias/1839/10/19/pdfs/GMD-1839-1805.pdf#page=1","Abrir facsímil")</f>
        <v>Abrir facsímil</v>
      </c>
      <c r="K2942" s="12" t="s">
        <v>65</v>
      </c>
    </row>
    <row r="2943" spans="1:11" ht="40.049999999999997" customHeight="1" x14ac:dyDescent="0.25">
      <c r="A2943" s="11" t="s">
        <v>6324</v>
      </c>
      <c r="B2943" s="11" t="s">
        <v>6325</v>
      </c>
      <c r="C2943" s="11" t="s">
        <v>17</v>
      </c>
      <c r="D2943" s="11" t="s">
        <v>18</v>
      </c>
      <c r="E2943" s="12" t="s">
        <v>653</v>
      </c>
      <c r="F2943" s="12" t="s">
        <v>654</v>
      </c>
      <c r="G2943" s="12" t="s">
        <v>29</v>
      </c>
      <c r="H2943" s="11" t="s">
        <v>63</v>
      </c>
      <c r="I2943" s="13" t="s">
        <v>6327</v>
      </c>
      <c r="J2943" s="14" t="str">
        <f>HYPERLINK("https://www.boe.es/gazeta/dias/1839/10/31/pdfs/GMD-1839-1817.pdf#page=1","Abrir facsímil")</f>
        <v>Abrir facsímil</v>
      </c>
      <c r="K2943" s="12" t="s">
        <v>65</v>
      </c>
    </row>
    <row r="2944" spans="1:11" ht="40.049999999999997" customHeight="1" x14ac:dyDescent="0.25">
      <c r="A2944" s="11" t="s">
        <v>6328</v>
      </c>
      <c r="B2944" s="11" t="s">
        <v>6329</v>
      </c>
      <c r="C2944" s="11" t="s">
        <v>80</v>
      </c>
      <c r="D2944" s="11" t="s">
        <v>18</v>
      </c>
      <c r="E2944" s="12" t="s">
        <v>1663</v>
      </c>
      <c r="F2944" s="12" t="s">
        <v>1664</v>
      </c>
      <c r="G2944" s="12" t="s">
        <v>29</v>
      </c>
      <c r="H2944" s="11" t="s">
        <v>63</v>
      </c>
      <c r="I2944" s="13" t="s">
        <v>6330</v>
      </c>
      <c r="J2944" s="14" t="str">
        <f>HYPERLINK("https://www.boe.es/gazeta/dias/1839/03/22/pdfs/GMD-1839-1588.pdf#page=1","Abrir facsímil")</f>
        <v>Abrir facsímil</v>
      </c>
      <c r="K2944" s="12" t="s">
        <v>65</v>
      </c>
    </row>
    <row r="2945" spans="1:11" ht="40.049999999999997" customHeight="1" x14ac:dyDescent="0.25">
      <c r="A2945" s="11" t="s">
        <v>6331</v>
      </c>
      <c r="B2945" s="11" t="s">
        <v>6332</v>
      </c>
      <c r="C2945" s="11" t="s">
        <v>17</v>
      </c>
      <c r="D2945" s="11" t="s">
        <v>18</v>
      </c>
      <c r="E2945" s="12" t="s">
        <v>1497</v>
      </c>
      <c r="F2945" s="12" t="s">
        <v>1498</v>
      </c>
      <c r="G2945" s="12" t="s">
        <v>46</v>
      </c>
      <c r="H2945" s="11" t="s">
        <v>22</v>
      </c>
      <c r="I2945" s="13" t="s">
        <v>6333</v>
      </c>
      <c r="J2945" s="14" t="str">
        <f>HYPERLINK("https://www.boe.es/gazeta/dias/1839/08/23/pdfs/GMD-1839-1744.pdf#page=3","Abrir facsímil")</f>
        <v>Abrir facsímil</v>
      </c>
      <c r="K2945" s="12" t="s">
        <v>24</v>
      </c>
    </row>
    <row r="2946" spans="1:11" ht="40.049999999999997" customHeight="1" x14ac:dyDescent="0.25">
      <c r="A2946" s="11" t="s">
        <v>6334</v>
      </c>
      <c r="B2946" s="11" t="s">
        <v>6335</v>
      </c>
      <c r="C2946" s="11" t="s">
        <v>137</v>
      </c>
      <c r="D2946" s="11" t="s">
        <v>18</v>
      </c>
      <c r="E2946" s="12" t="s">
        <v>138</v>
      </c>
      <c r="F2946" s="12" t="s">
        <v>139</v>
      </c>
      <c r="G2946" s="12" t="s">
        <v>21</v>
      </c>
      <c r="H2946" s="11" t="s">
        <v>63</v>
      </c>
      <c r="I2946" s="13" t="s">
        <v>6336</v>
      </c>
      <c r="J2946" s="14" t="str">
        <f>HYPERLINK("https://www.boe.es/gazeta/dias/1839/10/09/pdfs/GMD-1839-1795.pdf#page=4","Abrir facsímil")</f>
        <v>Abrir facsímil</v>
      </c>
      <c r="K2946" s="12" t="s">
        <v>65</v>
      </c>
    </row>
    <row r="2947" spans="1:11" ht="40.049999999999997" customHeight="1" x14ac:dyDescent="0.25">
      <c r="A2947" s="11" t="s">
        <v>6337</v>
      </c>
      <c r="B2947" s="11" t="s">
        <v>6338</v>
      </c>
      <c r="C2947" s="11" t="s">
        <v>80</v>
      </c>
      <c r="D2947" s="11" t="s">
        <v>18</v>
      </c>
      <c r="E2947" s="12" t="s">
        <v>1497</v>
      </c>
      <c r="F2947" s="12" t="s">
        <v>1498</v>
      </c>
      <c r="G2947" s="12" t="s">
        <v>21</v>
      </c>
      <c r="H2947" s="11" t="s">
        <v>22</v>
      </c>
      <c r="I2947" s="13" t="s">
        <v>6339</v>
      </c>
      <c r="J2947" s="14" t="str">
        <f>HYPERLINK("https://www.boe.es/gazeta/dias/1839/08/23/pdfs/GMD-1839-1744.pdf#page=4","Abrir facsímil")</f>
        <v>Abrir facsímil</v>
      </c>
      <c r="K2947" s="12" t="s">
        <v>24</v>
      </c>
    </row>
    <row r="2948" spans="1:11" ht="40.049999999999997" customHeight="1" x14ac:dyDescent="0.25">
      <c r="A2948" s="11" t="s">
        <v>6340</v>
      </c>
      <c r="B2948" s="11" t="s">
        <v>6341</v>
      </c>
      <c r="C2948" s="11" t="s">
        <v>59</v>
      </c>
      <c r="D2948" s="11" t="s">
        <v>60</v>
      </c>
      <c r="E2948" s="12" t="s">
        <v>3236</v>
      </c>
      <c r="F2948" s="12" t="s">
        <v>3237</v>
      </c>
      <c r="G2948" s="12" t="s">
        <v>40</v>
      </c>
      <c r="H2948" s="11" t="s">
        <v>63</v>
      </c>
      <c r="I2948" s="13" t="s">
        <v>6342</v>
      </c>
      <c r="J2948" s="14" t="str">
        <f>HYPERLINK("https://www.boe.es/gazeta/dias/1839/12/03/pdfs/GMD-1839-1850.pdf#page=2","Abrir facsímil")</f>
        <v>Abrir facsímil</v>
      </c>
      <c r="K2948" s="12" t="s">
        <v>65</v>
      </c>
    </row>
    <row r="2949" spans="1:11" ht="40.049999999999997" customHeight="1" x14ac:dyDescent="0.25">
      <c r="A2949" s="11" t="s">
        <v>6343</v>
      </c>
      <c r="B2949" s="11" t="s">
        <v>6344</v>
      </c>
      <c r="C2949" s="11" t="s">
        <v>59</v>
      </c>
      <c r="D2949" s="11" t="s">
        <v>60</v>
      </c>
      <c r="E2949" s="12" t="s">
        <v>700</v>
      </c>
      <c r="F2949" s="12" t="s">
        <v>701</v>
      </c>
      <c r="G2949" s="12" t="s">
        <v>29</v>
      </c>
      <c r="H2949" s="11" t="s">
        <v>63</v>
      </c>
      <c r="I2949" s="13" t="s">
        <v>6345</v>
      </c>
      <c r="J2949" s="14" t="str">
        <f>HYPERLINK("https://www.boe.es/gazeta/dias/1839/09/01/pdfs/GMD-1839-1753.pdf#page=1","Abrir facsímil")</f>
        <v>Abrir facsímil</v>
      </c>
      <c r="K2949" s="12" t="s">
        <v>65</v>
      </c>
    </row>
    <row r="2950" spans="1:11" ht="40.049999999999997" customHeight="1" x14ac:dyDescent="0.25">
      <c r="A2950" s="11" t="s">
        <v>6343</v>
      </c>
      <c r="B2950" s="11" t="s">
        <v>6344</v>
      </c>
      <c r="C2950" s="11" t="s">
        <v>17</v>
      </c>
      <c r="D2950" s="11" t="s">
        <v>18</v>
      </c>
      <c r="E2950" s="12" t="s">
        <v>269</v>
      </c>
      <c r="F2950" s="12" t="s">
        <v>270</v>
      </c>
      <c r="G2950" s="12" t="s">
        <v>29</v>
      </c>
      <c r="H2950" s="11" t="s">
        <v>63</v>
      </c>
      <c r="I2950" s="13" t="s">
        <v>6346</v>
      </c>
      <c r="J2950" s="14" t="str">
        <f>HYPERLINK("https://www.boe.es/gazeta/dias/1839/02/10/pdfs/GMD-1839-1548.pdf#page=1","Abrir facsímil")</f>
        <v>Abrir facsímil</v>
      </c>
      <c r="K2950" s="12" t="s">
        <v>65</v>
      </c>
    </row>
    <row r="2951" spans="1:11" ht="40.049999999999997" customHeight="1" x14ac:dyDescent="0.25">
      <c r="A2951" s="11" t="s">
        <v>6343</v>
      </c>
      <c r="B2951" s="11" t="s">
        <v>6344</v>
      </c>
      <c r="C2951" s="11" t="s">
        <v>59</v>
      </c>
      <c r="D2951" s="11" t="s">
        <v>60</v>
      </c>
      <c r="E2951" s="12" t="s">
        <v>320</v>
      </c>
      <c r="F2951" s="12" t="s">
        <v>321</v>
      </c>
      <c r="G2951" s="12" t="s">
        <v>29</v>
      </c>
      <c r="H2951" s="11" t="s">
        <v>63</v>
      </c>
      <c r="I2951" s="13" t="s">
        <v>6347</v>
      </c>
      <c r="J2951" s="14" t="str">
        <f>HYPERLINK("https://www.boe.es/gazeta/dias/1839/05/11/pdfs/GMD-1839-1638.pdf#page=1","Abrir facsímil")</f>
        <v>Abrir facsímil</v>
      </c>
      <c r="K2951" s="12" t="s">
        <v>65</v>
      </c>
    </row>
    <row r="2952" spans="1:11" ht="40.049999999999997" customHeight="1" x14ac:dyDescent="0.25">
      <c r="A2952" s="11" t="s">
        <v>6343</v>
      </c>
      <c r="B2952" s="11" t="s">
        <v>6344</v>
      </c>
      <c r="C2952" s="11" t="s">
        <v>17</v>
      </c>
      <c r="D2952" s="11" t="s">
        <v>18</v>
      </c>
      <c r="E2952" s="12" t="s">
        <v>2270</v>
      </c>
      <c r="F2952" s="12" t="s">
        <v>2271</v>
      </c>
      <c r="G2952" s="12" t="s">
        <v>29</v>
      </c>
      <c r="H2952" s="11" t="s">
        <v>63</v>
      </c>
      <c r="I2952" s="13" t="s">
        <v>6348</v>
      </c>
      <c r="J2952" s="14" t="str">
        <f>HYPERLINK("https://www.boe.es/gazeta/dias/1839/06/13/pdfs/GMD-1839-1671.pdf#page=1","Abrir facsímil")</f>
        <v>Abrir facsímil</v>
      </c>
      <c r="K2952" s="12" t="s">
        <v>65</v>
      </c>
    </row>
    <row r="2953" spans="1:11" ht="40.049999999999997" customHeight="1" x14ac:dyDescent="0.25">
      <c r="A2953" s="11" t="s">
        <v>6343</v>
      </c>
      <c r="B2953" s="11" t="s">
        <v>6344</v>
      </c>
      <c r="C2953" s="11" t="s">
        <v>59</v>
      </c>
      <c r="D2953" s="11" t="s">
        <v>60</v>
      </c>
      <c r="E2953" s="12" t="s">
        <v>469</v>
      </c>
      <c r="F2953" s="12" t="s">
        <v>470</v>
      </c>
      <c r="G2953" s="12" t="s">
        <v>29</v>
      </c>
      <c r="H2953" s="11" t="s">
        <v>63</v>
      </c>
      <c r="I2953" s="13" t="s">
        <v>6349</v>
      </c>
      <c r="J2953" s="14" t="str">
        <f>HYPERLINK("https://www.boe.es/gazeta/dias/1839/08/20/pdfs/GMD-1839-1741.pdf#page=1","Abrir facsímil")</f>
        <v>Abrir facsímil</v>
      </c>
      <c r="K2953" s="12" t="s">
        <v>65</v>
      </c>
    </row>
    <row r="2954" spans="1:11" ht="40.049999999999997" customHeight="1" x14ac:dyDescent="0.25">
      <c r="A2954" s="11" t="s">
        <v>6343</v>
      </c>
      <c r="B2954" s="11" t="s">
        <v>6344</v>
      </c>
      <c r="C2954" s="11" t="s">
        <v>59</v>
      </c>
      <c r="D2954" s="11" t="s">
        <v>60</v>
      </c>
      <c r="E2954" s="12" t="s">
        <v>1523</v>
      </c>
      <c r="F2954" s="12" t="s">
        <v>1524</v>
      </c>
      <c r="G2954" s="12" t="s">
        <v>29</v>
      </c>
      <c r="H2954" s="11" t="s">
        <v>63</v>
      </c>
      <c r="I2954" s="13" t="s">
        <v>6350</v>
      </c>
      <c r="J2954" s="14" t="str">
        <f>HYPERLINK("https://www.boe.es/gazeta/dias/1839/08/29/pdfs/GMD-1839-1750.pdf#page=1","Abrir facsímil")</f>
        <v>Abrir facsímil</v>
      </c>
      <c r="K2954" s="12" t="s">
        <v>65</v>
      </c>
    </row>
    <row r="2955" spans="1:11" ht="40.049999999999997" customHeight="1" x14ac:dyDescent="0.25">
      <c r="A2955" s="11" t="s">
        <v>6351</v>
      </c>
      <c r="B2955" s="11" t="s">
        <v>6352</v>
      </c>
      <c r="C2955" s="11" t="s">
        <v>137</v>
      </c>
      <c r="D2955" s="11" t="s">
        <v>18</v>
      </c>
      <c r="E2955" s="12" t="s">
        <v>207</v>
      </c>
      <c r="F2955" s="12" t="s">
        <v>208</v>
      </c>
      <c r="G2955" s="12" t="s">
        <v>40</v>
      </c>
      <c r="H2955" s="11" t="s">
        <v>63</v>
      </c>
      <c r="I2955" s="13" t="s">
        <v>6353</v>
      </c>
      <c r="J2955" s="14" t="str">
        <f>HYPERLINK("https://www.boe.es/gazeta/dias/1839/02/19/pdfs/GMD-1839-1557.pdf#page=2","Abrir facsímil")</f>
        <v>Abrir facsímil</v>
      </c>
      <c r="K2955" s="12" t="s">
        <v>65</v>
      </c>
    </row>
    <row r="2956" spans="1:11" ht="40.049999999999997" customHeight="1" x14ac:dyDescent="0.25">
      <c r="A2956" s="11" t="s">
        <v>6354</v>
      </c>
      <c r="B2956" s="11" t="s">
        <v>6355</v>
      </c>
      <c r="C2956" s="11" t="s">
        <v>17</v>
      </c>
      <c r="D2956" s="11" t="s">
        <v>18</v>
      </c>
      <c r="E2956" s="12" t="s">
        <v>544</v>
      </c>
      <c r="F2956" s="12" t="s">
        <v>545</v>
      </c>
      <c r="G2956" s="12" t="s">
        <v>46</v>
      </c>
      <c r="H2956" s="11" t="s">
        <v>63</v>
      </c>
      <c r="I2956" s="13" t="s">
        <v>6356</v>
      </c>
      <c r="J2956" s="14" t="str">
        <f>HYPERLINK("https://www.boe.es/gazeta/dias/1839/11/11/pdfs/GMD-1839-1828.pdf#page=3","Abrir facsímil")</f>
        <v>Abrir facsímil</v>
      </c>
      <c r="K2956" s="12" t="s">
        <v>65</v>
      </c>
    </row>
    <row r="2957" spans="1:11" ht="40.049999999999997" customHeight="1" x14ac:dyDescent="0.25">
      <c r="A2957" s="11" t="s">
        <v>6357</v>
      </c>
      <c r="B2957" s="11" t="s">
        <v>6358</v>
      </c>
      <c r="C2957" s="11" t="s">
        <v>80</v>
      </c>
      <c r="D2957" s="11" t="s">
        <v>18</v>
      </c>
      <c r="E2957" s="12" t="s">
        <v>5845</v>
      </c>
      <c r="F2957" s="12" t="s">
        <v>5846</v>
      </c>
      <c r="G2957" s="12" t="s">
        <v>29</v>
      </c>
      <c r="H2957" s="11" t="s">
        <v>63</v>
      </c>
      <c r="I2957" s="13" t="s">
        <v>6359</v>
      </c>
      <c r="J2957" s="14" t="str">
        <f>HYPERLINK("https://www.boe.es/gazeta/dias/1839/04/01/pdfs/GMD-1839-1598.pdf#page=1","Abrir facsímil")</f>
        <v>Abrir facsímil</v>
      </c>
      <c r="K2957" s="12" t="s">
        <v>65</v>
      </c>
    </row>
    <row r="2958" spans="1:11" ht="40.049999999999997" customHeight="1" x14ac:dyDescent="0.25">
      <c r="A2958" s="11" t="s">
        <v>6360</v>
      </c>
      <c r="B2958" s="11" t="s">
        <v>6361</v>
      </c>
      <c r="C2958" s="11" t="s">
        <v>80</v>
      </c>
      <c r="D2958" s="11" t="s">
        <v>18</v>
      </c>
      <c r="E2958" s="12" t="s">
        <v>1208</v>
      </c>
      <c r="F2958" s="12" t="s">
        <v>1209</v>
      </c>
      <c r="G2958" s="12" t="s">
        <v>21</v>
      </c>
      <c r="H2958" s="11" t="s">
        <v>63</v>
      </c>
      <c r="I2958" s="13" t="s">
        <v>6362</v>
      </c>
      <c r="J2958" s="14" t="str">
        <f>HYPERLINK("https://www.boe.es/gazeta/dias/1839/04/24/pdfs/GMD-1839-1621.pdf#page=4","Abrir facsímil")</f>
        <v>Abrir facsímil</v>
      </c>
      <c r="K2958" s="12" t="s">
        <v>65</v>
      </c>
    </row>
    <row r="2959" spans="1:11" ht="40.049999999999997" customHeight="1" x14ac:dyDescent="0.25">
      <c r="A2959" s="11" t="s">
        <v>6363</v>
      </c>
      <c r="B2959" s="11" t="s">
        <v>6364</v>
      </c>
      <c r="C2959" s="11" t="s">
        <v>80</v>
      </c>
      <c r="D2959" s="11" t="s">
        <v>18</v>
      </c>
      <c r="E2959" s="12" t="s">
        <v>76</v>
      </c>
      <c r="F2959" s="12" t="s">
        <v>77</v>
      </c>
      <c r="G2959" s="12" t="s">
        <v>46</v>
      </c>
      <c r="H2959" s="11" t="s">
        <v>63</v>
      </c>
      <c r="I2959" s="13" t="s">
        <v>6365</v>
      </c>
      <c r="J2959" s="14" t="str">
        <f>HYPERLINK("https://www.boe.es/gazeta/dias/1839/03/13/pdfs/GMD-1839-1579.pdf#page=3","Abrir facsímil")</f>
        <v>Abrir facsímil</v>
      </c>
      <c r="K2959" s="12" t="s">
        <v>65</v>
      </c>
    </row>
    <row r="2960" spans="1:11" ht="40.049999999999997" customHeight="1" x14ac:dyDescent="0.25">
      <c r="A2960" s="11" t="s">
        <v>6366</v>
      </c>
      <c r="B2960" s="11" t="s">
        <v>6367</v>
      </c>
      <c r="C2960" s="11" t="s">
        <v>17</v>
      </c>
      <c r="D2960" s="11" t="s">
        <v>18</v>
      </c>
      <c r="E2960" s="12" t="s">
        <v>770</v>
      </c>
      <c r="F2960" s="12" t="s">
        <v>771</v>
      </c>
      <c r="G2960" s="12" t="s">
        <v>40</v>
      </c>
      <c r="H2960" s="11" t="s">
        <v>63</v>
      </c>
      <c r="I2960" s="13" t="s">
        <v>6368</v>
      </c>
      <c r="J2960" s="14" t="str">
        <f>HYPERLINK("https://www.boe.es/gazeta/dias/1839/12/05/pdfs/GMD-1839-1852.pdf#page=2","Abrir facsímil")</f>
        <v>Abrir facsímil</v>
      </c>
      <c r="K2960" s="12" t="s">
        <v>65</v>
      </c>
    </row>
    <row r="2961" spans="1:11" ht="40.049999999999997" customHeight="1" x14ac:dyDescent="0.25">
      <c r="A2961" s="11" t="s">
        <v>6366</v>
      </c>
      <c r="B2961" s="11" t="s">
        <v>6367</v>
      </c>
      <c r="C2961" s="11" t="s">
        <v>17</v>
      </c>
      <c r="D2961" s="11" t="s">
        <v>18</v>
      </c>
      <c r="E2961" s="12" t="s">
        <v>1406</v>
      </c>
      <c r="F2961" s="12" t="s">
        <v>1407</v>
      </c>
      <c r="G2961" s="12" t="s">
        <v>40</v>
      </c>
      <c r="H2961" s="11" t="s">
        <v>63</v>
      </c>
      <c r="I2961" s="13" t="s">
        <v>6369</v>
      </c>
      <c r="J2961" s="14" t="str">
        <f>HYPERLINK("https://www.boe.es/gazeta/dias/1839/07/18/pdfs/GMD-1839-1706.pdf#page=2","Abrir facsímil")</f>
        <v>Abrir facsímil</v>
      </c>
      <c r="K2961" s="12" t="s">
        <v>65</v>
      </c>
    </row>
    <row r="2962" spans="1:11" ht="40.049999999999997" customHeight="1" x14ac:dyDescent="0.25">
      <c r="A2962" s="11" t="s">
        <v>6370</v>
      </c>
      <c r="B2962" s="11" t="s">
        <v>6371</v>
      </c>
      <c r="C2962" s="11" t="s">
        <v>17</v>
      </c>
      <c r="D2962" s="11" t="s">
        <v>18</v>
      </c>
      <c r="E2962" s="12" t="s">
        <v>2050</v>
      </c>
      <c r="F2962" s="12" t="s">
        <v>2051</v>
      </c>
      <c r="G2962" s="12" t="s">
        <v>29</v>
      </c>
      <c r="H2962" s="11" t="s">
        <v>63</v>
      </c>
      <c r="I2962" s="13" t="s">
        <v>6372</v>
      </c>
      <c r="J2962" s="14" t="str">
        <f>HYPERLINK("https://www.boe.es/gazeta/dias/1839/01/09/pdfs/GMD-1839-1516.pdf#page=1","Abrir facsímil")</f>
        <v>Abrir facsímil</v>
      </c>
      <c r="K2962" s="12" t="s">
        <v>65</v>
      </c>
    </row>
    <row r="2963" spans="1:11" ht="40.049999999999997" customHeight="1" x14ac:dyDescent="0.25">
      <c r="A2963" s="11" t="s">
        <v>6373</v>
      </c>
      <c r="B2963" s="11" t="s">
        <v>6374</v>
      </c>
      <c r="C2963" s="11" t="s">
        <v>17</v>
      </c>
      <c r="D2963" s="11" t="s">
        <v>18</v>
      </c>
      <c r="E2963" s="12" t="s">
        <v>2432</v>
      </c>
      <c r="F2963" s="12" t="s">
        <v>2581</v>
      </c>
      <c r="G2963" s="12" t="s">
        <v>29</v>
      </c>
      <c r="H2963" s="11" t="s">
        <v>63</v>
      </c>
      <c r="I2963" s="13" t="s">
        <v>6375</v>
      </c>
      <c r="J2963" s="14" t="str">
        <f>HYPERLINK("https://www.boe.es/gazeta/dias/1839/07/23/pdfs/GMD-1839-1711.pdf#page=1","Abrir facsímil")</f>
        <v>Abrir facsímil</v>
      </c>
      <c r="K2963" s="12" t="s">
        <v>65</v>
      </c>
    </row>
    <row r="2964" spans="1:11" ht="40.049999999999997" customHeight="1" x14ac:dyDescent="0.25">
      <c r="A2964" s="11" t="s">
        <v>6376</v>
      </c>
      <c r="B2964" s="11" t="s">
        <v>6377</v>
      </c>
      <c r="C2964" s="11" t="s">
        <v>101</v>
      </c>
      <c r="D2964" s="11" t="s">
        <v>102</v>
      </c>
      <c r="E2964" s="12" t="s">
        <v>1682</v>
      </c>
      <c r="F2964" s="12" t="s">
        <v>1683</v>
      </c>
      <c r="G2964" s="12" t="s">
        <v>46</v>
      </c>
      <c r="H2964" s="11" t="s">
        <v>63</v>
      </c>
      <c r="I2964" s="13" t="s">
        <v>6378</v>
      </c>
      <c r="J2964" s="14" t="str">
        <f>HYPERLINK("https://www.boe.es/gazeta/dias/1839/12/26/pdfs/GMD-1839-1873.pdf#page=3","Abrir facsímil")</f>
        <v>Abrir facsímil</v>
      </c>
      <c r="K2964" s="12" t="s">
        <v>65</v>
      </c>
    </row>
    <row r="2965" spans="1:11" ht="40.049999999999997" customHeight="1" x14ac:dyDescent="0.25">
      <c r="A2965" s="11" t="s">
        <v>6379</v>
      </c>
      <c r="B2965" s="11" t="s">
        <v>6380</v>
      </c>
      <c r="C2965" s="11" t="s">
        <v>17</v>
      </c>
      <c r="D2965" s="11" t="s">
        <v>18</v>
      </c>
      <c r="E2965" s="12" t="s">
        <v>108</v>
      </c>
      <c r="F2965" s="12" t="s">
        <v>109</v>
      </c>
      <c r="G2965" s="12" t="s">
        <v>29</v>
      </c>
      <c r="H2965" s="11" t="s">
        <v>63</v>
      </c>
      <c r="I2965" s="13" t="s">
        <v>6381</v>
      </c>
      <c r="J2965" s="14" t="str">
        <f>HYPERLINK("https://www.boe.es/gazeta/dias/1839/01/04/pdfs/GMD-1839-1511.pdf#page=1","Abrir facsímil")</f>
        <v>Abrir facsímil</v>
      </c>
      <c r="K2965" s="12" t="s">
        <v>65</v>
      </c>
    </row>
    <row r="2966" spans="1:11" ht="40.049999999999997" customHeight="1" x14ac:dyDescent="0.25">
      <c r="A2966" s="11" t="s">
        <v>6382</v>
      </c>
      <c r="B2966" s="11" t="s">
        <v>6383</v>
      </c>
      <c r="C2966" s="11" t="s">
        <v>80</v>
      </c>
      <c r="D2966" s="11" t="s">
        <v>18</v>
      </c>
      <c r="E2966" s="12" t="s">
        <v>385</v>
      </c>
      <c r="F2966" s="12" t="s">
        <v>386</v>
      </c>
      <c r="G2966" s="12" t="s">
        <v>21</v>
      </c>
      <c r="H2966" s="11" t="s">
        <v>63</v>
      </c>
      <c r="I2966" s="13" t="s">
        <v>6384</v>
      </c>
      <c r="J2966" s="14" t="str">
        <f>HYPERLINK("https://www.boe.es/gazeta/dias/1839/08/01/pdfs/GMD-1839-1721.pdf#page=4","Abrir facsímil")</f>
        <v>Abrir facsímil</v>
      </c>
      <c r="K2966" s="12" t="s">
        <v>65</v>
      </c>
    </row>
    <row r="2967" spans="1:11" ht="40.049999999999997" customHeight="1" x14ac:dyDescent="0.25">
      <c r="A2967" s="11" t="s">
        <v>6385</v>
      </c>
      <c r="B2967" s="11" t="s">
        <v>6386</v>
      </c>
      <c r="C2967" s="11" t="s">
        <v>101</v>
      </c>
      <c r="D2967" s="11" t="s">
        <v>102</v>
      </c>
      <c r="E2967" s="12" t="s">
        <v>2738</v>
      </c>
      <c r="F2967" s="12" t="s">
        <v>2739</v>
      </c>
      <c r="G2967" s="12" t="s">
        <v>40</v>
      </c>
      <c r="H2967" s="11" t="s">
        <v>63</v>
      </c>
      <c r="I2967" s="13" t="s">
        <v>6387</v>
      </c>
      <c r="J2967" s="14" t="str">
        <f>HYPERLINK("https://www.boe.es/gazeta/dias/1839/09/06/pdfs/GMD-1839-1759.pdf#page=2","Abrir facsímil")</f>
        <v>Abrir facsímil</v>
      </c>
      <c r="K2967" s="12" t="s">
        <v>65</v>
      </c>
    </row>
    <row r="2968" spans="1:11" ht="40.049999999999997" customHeight="1" x14ac:dyDescent="0.25">
      <c r="A2968" s="11" t="s">
        <v>6388</v>
      </c>
      <c r="B2968" s="11" t="s">
        <v>6389</v>
      </c>
      <c r="C2968" s="11" t="s">
        <v>17</v>
      </c>
      <c r="D2968" s="11" t="s">
        <v>18</v>
      </c>
      <c r="E2968" s="12" t="s">
        <v>2443</v>
      </c>
      <c r="F2968" s="12" t="s">
        <v>2444</v>
      </c>
      <c r="G2968" s="12" t="s">
        <v>40</v>
      </c>
      <c r="H2968" s="11" t="s">
        <v>63</v>
      </c>
      <c r="I2968" s="13" t="s">
        <v>6390</v>
      </c>
      <c r="J2968" s="14" t="str">
        <f>HYPERLINK("https://www.boe.es/gazeta/dias/1839/11/02/pdfs/GMD-1839-1819.pdf#page=2","Abrir facsímil")</f>
        <v>Abrir facsímil</v>
      </c>
      <c r="K2968" s="12" t="s">
        <v>65</v>
      </c>
    </row>
    <row r="2969" spans="1:11" ht="40.049999999999997" customHeight="1" x14ac:dyDescent="0.25">
      <c r="A2969" s="11" t="s">
        <v>6391</v>
      </c>
      <c r="B2969" s="11" t="s">
        <v>6392</v>
      </c>
      <c r="C2969" s="11" t="s">
        <v>80</v>
      </c>
      <c r="D2969" s="11" t="s">
        <v>18</v>
      </c>
      <c r="E2969" s="12" t="s">
        <v>287</v>
      </c>
      <c r="F2969" s="12" t="s">
        <v>288</v>
      </c>
      <c r="G2969" s="12" t="s">
        <v>46</v>
      </c>
      <c r="H2969" s="11" t="s">
        <v>63</v>
      </c>
      <c r="I2969" s="13" t="s">
        <v>6393</v>
      </c>
      <c r="J2969" s="14" t="str">
        <f>HYPERLINK("https://www.boe.es/gazeta/dias/1839/11/27/pdfs/GMD-1839-1844.pdf#page=3","Abrir facsímil")</f>
        <v>Abrir facsímil</v>
      </c>
      <c r="K2969" s="12" t="s">
        <v>65</v>
      </c>
    </row>
    <row r="2970" spans="1:11" ht="40.049999999999997" customHeight="1" x14ac:dyDescent="0.25">
      <c r="A2970" s="11" t="s">
        <v>6394</v>
      </c>
      <c r="B2970" s="11" t="s">
        <v>6395</v>
      </c>
      <c r="C2970" s="11" t="s">
        <v>17</v>
      </c>
      <c r="D2970" s="11" t="s">
        <v>18</v>
      </c>
      <c r="E2970" s="12" t="s">
        <v>934</v>
      </c>
      <c r="F2970" s="12" t="s">
        <v>935</v>
      </c>
      <c r="G2970" s="12" t="s">
        <v>21</v>
      </c>
      <c r="H2970" s="11" t="s">
        <v>22</v>
      </c>
      <c r="I2970" s="13" t="s">
        <v>6396</v>
      </c>
      <c r="J2970" s="14" t="str">
        <f>HYPERLINK("https://www.boe.es/gazeta/dias/1839/11/07/pdfs/GMD-1839-1824.pdf#page=4","Abrir facsímil")</f>
        <v>Abrir facsímil</v>
      </c>
      <c r="K2970" s="12" t="s">
        <v>24</v>
      </c>
    </row>
    <row r="2971" spans="1:11" ht="40.049999999999997" customHeight="1" x14ac:dyDescent="0.25">
      <c r="A2971" s="11" t="s">
        <v>6397</v>
      </c>
      <c r="B2971" s="11" t="s">
        <v>6398</v>
      </c>
      <c r="C2971" s="11" t="s">
        <v>80</v>
      </c>
      <c r="D2971" s="11" t="s">
        <v>18</v>
      </c>
      <c r="E2971" s="12" t="s">
        <v>486</v>
      </c>
      <c r="F2971" s="12" t="s">
        <v>487</v>
      </c>
      <c r="G2971" s="12" t="s">
        <v>21</v>
      </c>
      <c r="H2971" s="11" t="s">
        <v>63</v>
      </c>
      <c r="I2971" s="13" t="s">
        <v>6399</v>
      </c>
      <c r="J2971" s="14" t="str">
        <f>HYPERLINK("https://www.boe.es/gazeta/dias/1839/04/19/pdfs/GMD-1839-1616.pdf#page=4","Abrir facsímil")</f>
        <v>Abrir facsímil</v>
      </c>
      <c r="K2971" s="12" t="s">
        <v>65</v>
      </c>
    </row>
    <row r="2972" spans="1:11" ht="40.049999999999997" customHeight="1" x14ac:dyDescent="0.25">
      <c r="A2972" s="11" t="s">
        <v>6400</v>
      </c>
      <c r="B2972" s="11" t="s">
        <v>6401</v>
      </c>
      <c r="C2972" s="11" t="s">
        <v>80</v>
      </c>
      <c r="D2972" s="11" t="s">
        <v>18</v>
      </c>
      <c r="E2972" s="12" t="s">
        <v>946</v>
      </c>
      <c r="F2972" s="12" t="s">
        <v>947</v>
      </c>
      <c r="G2972" s="12" t="s">
        <v>21</v>
      </c>
      <c r="H2972" s="11" t="s">
        <v>63</v>
      </c>
      <c r="I2972" s="13" t="s">
        <v>6402</v>
      </c>
      <c r="J2972" s="14" t="str">
        <f>HYPERLINK("https://www.boe.es/gazeta/dias/1839/04/15/pdfs/GMD-1839-1612.pdf#page=4","Abrir facsímil")</f>
        <v>Abrir facsímil</v>
      </c>
      <c r="K2972" s="12" t="s">
        <v>65</v>
      </c>
    </row>
    <row r="2973" spans="1:11" ht="40.049999999999997" customHeight="1" x14ac:dyDescent="0.25">
      <c r="A2973" s="11" t="s">
        <v>6403</v>
      </c>
      <c r="B2973" s="11" t="s">
        <v>6404</v>
      </c>
      <c r="C2973" s="11" t="s">
        <v>80</v>
      </c>
      <c r="D2973" s="11" t="s">
        <v>18</v>
      </c>
      <c r="E2973" s="12" t="s">
        <v>197</v>
      </c>
      <c r="F2973" s="12" t="s">
        <v>198</v>
      </c>
      <c r="G2973" s="12" t="s">
        <v>46</v>
      </c>
      <c r="H2973" s="11" t="s">
        <v>63</v>
      </c>
      <c r="I2973" s="13" t="s">
        <v>6405</v>
      </c>
      <c r="J2973" s="14" t="str">
        <f>HYPERLINK("https://www.boe.es/gazeta/dias/1839/10/04/pdfs/GMD-1839-1790.pdf#page=3","Abrir facsímil")</f>
        <v>Abrir facsímil</v>
      </c>
      <c r="K2973" s="12" t="s">
        <v>65</v>
      </c>
    </row>
    <row r="2974" spans="1:11" ht="40.049999999999997" customHeight="1" x14ac:dyDescent="0.25">
      <c r="A2974" s="11" t="s">
        <v>6406</v>
      </c>
      <c r="B2974" s="11" t="s">
        <v>6407</v>
      </c>
      <c r="C2974" s="11" t="s">
        <v>17</v>
      </c>
      <c r="D2974" s="11" t="s">
        <v>18</v>
      </c>
      <c r="E2974" s="12" t="s">
        <v>1517</v>
      </c>
      <c r="F2974" s="12" t="s">
        <v>1518</v>
      </c>
      <c r="G2974" s="12" t="s">
        <v>46</v>
      </c>
      <c r="H2974" s="11" t="s">
        <v>63</v>
      </c>
      <c r="I2974" s="13" t="s">
        <v>6408</v>
      </c>
      <c r="J2974" s="14" t="str">
        <f>HYPERLINK("https://www.boe.es/gazeta/dias/1839/12/20/pdfs/GMD-1839-1867.pdf#page=3","Abrir facsímil")</f>
        <v>Abrir facsímil</v>
      </c>
      <c r="K2974" s="12" t="s">
        <v>65</v>
      </c>
    </row>
    <row r="2975" spans="1:11" ht="40.049999999999997" customHeight="1" x14ac:dyDescent="0.25">
      <c r="A2975" s="11" t="s">
        <v>6409</v>
      </c>
      <c r="B2975" s="11" t="s">
        <v>6410</v>
      </c>
      <c r="C2975" s="11" t="s">
        <v>59</v>
      </c>
      <c r="D2975" s="11" t="s">
        <v>60</v>
      </c>
      <c r="E2975" s="12" t="s">
        <v>375</v>
      </c>
      <c r="F2975" s="12" t="s">
        <v>376</v>
      </c>
      <c r="G2975" s="12" t="s">
        <v>21</v>
      </c>
      <c r="H2975" s="11" t="s">
        <v>22</v>
      </c>
      <c r="I2975" s="13" t="s">
        <v>6411</v>
      </c>
      <c r="J2975" s="14" t="str">
        <f>HYPERLINK("https://www.boe.es/gazeta/dias/1839/11/25/pdfs/GMD-1839-1842.pdf#page=4","Abrir facsímil")</f>
        <v>Abrir facsímil</v>
      </c>
      <c r="K2975" s="12" t="s">
        <v>24</v>
      </c>
    </row>
    <row r="2976" spans="1:11" ht="40.049999999999997" customHeight="1" x14ac:dyDescent="0.25">
      <c r="A2976" s="11" t="s">
        <v>6412</v>
      </c>
      <c r="B2976" s="11" t="s">
        <v>6413</v>
      </c>
      <c r="C2976" s="11" t="s">
        <v>17</v>
      </c>
      <c r="D2976" s="11" t="s">
        <v>18</v>
      </c>
      <c r="E2976" s="12" t="s">
        <v>346</v>
      </c>
      <c r="F2976" s="12" t="s">
        <v>347</v>
      </c>
      <c r="G2976" s="12" t="s">
        <v>29</v>
      </c>
      <c r="H2976" s="11" t="s">
        <v>63</v>
      </c>
      <c r="I2976" s="13" t="s">
        <v>6414</v>
      </c>
      <c r="J2976" s="14" t="str">
        <f>HYPERLINK("https://www.boe.es/gazeta/dias/1839/03/24/pdfs/GMD-1839-1590.pdf#page=1","Abrir facsímil")</f>
        <v>Abrir facsímil</v>
      </c>
      <c r="K2976" s="12" t="s">
        <v>65</v>
      </c>
    </row>
    <row r="2977" spans="1:11" ht="40.049999999999997" customHeight="1" x14ac:dyDescent="0.25">
      <c r="A2977" s="11" t="s">
        <v>6412</v>
      </c>
      <c r="B2977" s="11" t="s">
        <v>6413</v>
      </c>
      <c r="C2977" s="11" t="s">
        <v>59</v>
      </c>
      <c r="D2977" s="11" t="s">
        <v>60</v>
      </c>
      <c r="E2977" s="12" t="s">
        <v>375</v>
      </c>
      <c r="F2977" s="12" t="s">
        <v>376</v>
      </c>
      <c r="G2977" s="12" t="s">
        <v>21</v>
      </c>
      <c r="H2977" s="11" t="s">
        <v>63</v>
      </c>
      <c r="I2977" s="13" t="s">
        <v>6415</v>
      </c>
      <c r="J2977" s="14" t="str">
        <f>HYPERLINK("https://www.boe.es/gazeta/dias/1839/11/25/pdfs/GMD-1839-1842.pdf#page=4","Abrir facsímil")</f>
        <v>Abrir facsímil</v>
      </c>
      <c r="K2977" s="12" t="s">
        <v>65</v>
      </c>
    </row>
    <row r="2978" spans="1:11" ht="40.049999999999997" customHeight="1" x14ac:dyDescent="0.25">
      <c r="A2978" s="11" t="s">
        <v>6416</v>
      </c>
      <c r="B2978" s="11" t="s">
        <v>6417</v>
      </c>
      <c r="C2978" s="11" t="s">
        <v>137</v>
      </c>
      <c r="D2978" s="11" t="s">
        <v>18</v>
      </c>
      <c r="E2978" s="12" t="s">
        <v>202</v>
      </c>
      <c r="F2978" s="12" t="s">
        <v>203</v>
      </c>
      <c r="G2978" s="12" t="s">
        <v>46</v>
      </c>
      <c r="H2978" s="11" t="s">
        <v>63</v>
      </c>
      <c r="I2978" s="13" t="s">
        <v>6418</v>
      </c>
      <c r="J2978" s="14" t="str">
        <f>HYPERLINK("https://www.boe.es/gazeta/dias/1839/04/05/pdfs/GMD-1839-1602.pdf#page=3","Abrir facsímil")</f>
        <v>Abrir facsímil</v>
      </c>
      <c r="K2978" s="12" t="s">
        <v>65</v>
      </c>
    </row>
    <row r="2979" spans="1:11" ht="40.049999999999997" customHeight="1" x14ac:dyDescent="0.25">
      <c r="A2979" s="11" t="s">
        <v>6419</v>
      </c>
      <c r="B2979" s="11" t="s">
        <v>6420</v>
      </c>
      <c r="C2979" s="11" t="s">
        <v>137</v>
      </c>
      <c r="D2979" s="11" t="s">
        <v>18</v>
      </c>
      <c r="E2979" s="12" t="s">
        <v>462</v>
      </c>
      <c r="F2979" s="12" t="s">
        <v>463</v>
      </c>
      <c r="G2979" s="12" t="s">
        <v>21</v>
      </c>
      <c r="H2979" s="11" t="s">
        <v>63</v>
      </c>
      <c r="I2979" s="13" t="s">
        <v>6421</v>
      </c>
      <c r="J2979" s="14" t="str">
        <f>HYPERLINK("https://www.boe.es/gazeta/dias/1839/06/19/pdfs/GMD-1839-1677.pdf#page=4","Abrir facsímil")</f>
        <v>Abrir facsímil</v>
      </c>
      <c r="K2979" s="12" t="s">
        <v>65</v>
      </c>
    </row>
    <row r="2980" spans="1:11" ht="40.049999999999997" customHeight="1" x14ac:dyDescent="0.25">
      <c r="A2980" s="11" t="s">
        <v>6422</v>
      </c>
      <c r="B2980" s="11" t="s">
        <v>6423</v>
      </c>
      <c r="C2980" s="11" t="s">
        <v>17</v>
      </c>
      <c r="D2980" s="11" t="s">
        <v>18</v>
      </c>
      <c r="E2980" s="12" t="s">
        <v>346</v>
      </c>
      <c r="F2980" s="12" t="s">
        <v>347</v>
      </c>
      <c r="G2980" s="12" t="s">
        <v>29</v>
      </c>
      <c r="H2980" s="11" t="s">
        <v>63</v>
      </c>
      <c r="I2980" s="13" t="s">
        <v>6424</v>
      </c>
      <c r="J2980" s="14" t="str">
        <f>HYPERLINK("https://www.boe.es/gazeta/dias/1839/03/24/pdfs/GMD-1839-1590.pdf#page=1","Abrir facsímil")</f>
        <v>Abrir facsímil</v>
      </c>
      <c r="K2980" s="12" t="s">
        <v>65</v>
      </c>
    </row>
    <row r="2981" spans="1:11" ht="40.049999999999997" customHeight="1" x14ac:dyDescent="0.25">
      <c r="A2981" s="11" t="s">
        <v>6425</v>
      </c>
      <c r="B2981" s="11" t="s">
        <v>6426</v>
      </c>
      <c r="C2981" s="11" t="s">
        <v>59</v>
      </c>
      <c r="D2981" s="11" t="s">
        <v>60</v>
      </c>
      <c r="E2981" s="12" t="s">
        <v>516</v>
      </c>
      <c r="F2981" s="12" t="s">
        <v>517</v>
      </c>
      <c r="G2981" s="12" t="s">
        <v>21</v>
      </c>
      <c r="H2981" s="11" t="s">
        <v>63</v>
      </c>
      <c r="I2981" s="13" t="s">
        <v>6427</v>
      </c>
      <c r="J2981" s="14" t="str">
        <f>HYPERLINK("https://www.boe.es/gazeta/dias/1839/06/21/pdfs/GMD-1839-1679.pdf#page=4","Abrir facsímil")</f>
        <v>Abrir facsímil</v>
      </c>
      <c r="K2981" s="12" t="s">
        <v>65</v>
      </c>
    </row>
    <row r="2982" spans="1:11" ht="40.049999999999997" customHeight="1" x14ac:dyDescent="0.25">
      <c r="A2982" s="11" t="s">
        <v>6428</v>
      </c>
      <c r="B2982" s="11" t="s">
        <v>6429</v>
      </c>
      <c r="C2982" s="11" t="s">
        <v>101</v>
      </c>
      <c r="D2982" s="11" t="s">
        <v>43</v>
      </c>
      <c r="E2982" s="12" t="s">
        <v>647</v>
      </c>
      <c r="F2982" s="12" t="s">
        <v>648</v>
      </c>
      <c r="G2982" s="12" t="s">
        <v>21</v>
      </c>
      <c r="H2982" s="11" t="s">
        <v>63</v>
      </c>
      <c r="I2982" s="13" t="s">
        <v>6430</v>
      </c>
      <c r="J2982" s="14" t="str">
        <f>HYPERLINK("https://www.boe.es/gazeta/dias/1839/10/08/pdfs/GMD-1839-1794.pdf#page=4","Abrir facsímil")</f>
        <v>Abrir facsímil</v>
      </c>
      <c r="K2982" s="12" t="s">
        <v>65</v>
      </c>
    </row>
    <row r="2983" spans="1:11" ht="40.049999999999997" customHeight="1" x14ac:dyDescent="0.25">
      <c r="A2983" s="11" t="s">
        <v>6431</v>
      </c>
      <c r="B2983" s="11" t="s">
        <v>6432</v>
      </c>
      <c r="C2983" s="11" t="s">
        <v>101</v>
      </c>
      <c r="D2983" s="11" t="s">
        <v>102</v>
      </c>
      <c r="E2983" s="12" t="s">
        <v>212</v>
      </c>
      <c r="F2983" s="12" t="s">
        <v>213</v>
      </c>
      <c r="G2983" s="12" t="s">
        <v>40</v>
      </c>
      <c r="H2983" s="11" t="s">
        <v>63</v>
      </c>
      <c r="I2983" s="13" t="s">
        <v>6433</v>
      </c>
      <c r="J2983" s="14" t="str">
        <f>HYPERLINK("https://www.boe.es/gazeta/dias/1839/10/03/pdfs/GMD-1839-1789.pdf#page=2","Abrir facsímil")</f>
        <v>Abrir facsímil</v>
      </c>
      <c r="K2983" s="12" t="s">
        <v>65</v>
      </c>
    </row>
    <row r="2984" spans="1:11" ht="40.049999999999997" customHeight="1" x14ac:dyDescent="0.25">
      <c r="A2984" s="11" t="s">
        <v>6434</v>
      </c>
      <c r="B2984" s="11" t="s">
        <v>6435</v>
      </c>
      <c r="C2984" s="11" t="s">
        <v>137</v>
      </c>
      <c r="D2984" s="11" t="s">
        <v>18</v>
      </c>
      <c r="E2984" s="12" t="s">
        <v>1236</v>
      </c>
      <c r="F2984" s="12" t="s">
        <v>1237</v>
      </c>
      <c r="G2984" s="12" t="s">
        <v>40</v>
      </c>
      <c r="H2984" s="11" t="s">
        <v>63</v>
      </c>
      <c r="I2984" s="13" t="s">
        <v>6436</v>
      </c>
      <c r="J2984" s="14" t="str">
        <f>HYPERLINK("https://www.boe.es/gazeta/dias/1839/10/16/pdfs/GMD-1839-1802.pdf#page=2","Abrir facsímil")</f>
        <v>Abrir facsímil</v>
      </c>
      <c r="K2984" s="12" t="s">
        <v>65</v>
      </c>
    </row>
    <row r="2985" spans="1:11" ht="40.049999999999997" customHeight="1" x14ac:dyDescent="0.25">
      <c r="A2985" s="11" t="s">
        <v>6437</v>
      </c>
      <c r="B2985" s="11" t="s">
        <v>6438</v>
      </c>
      <c r="C2985" s="11" t="s">
        <v>137</v>
      </c>
      <c r="D2985" s="11" t="s">
        <v>18</v>
      </c>
      <c r="E2985" s="12" t="s">
        <v>76</v>
      </c>
      <c r="F2985" s="12" t="s">
        <v>77</v>
      </c>
      <c r="G2985" s="12" t="s">
        <v>46</v>
      </c>
      <c r="H2985" s="11" t="s">
        <v>22</v>
      </c>
      <c r="I2985" s="13" t="s">
        <v>6439</v>
      </c>
      <c r="J2985" s="14" t="str">
        <f>HYPERLINK("https://www.boe.es/gazeta/dias/1839/03/13/pdfs/GMD-1839-1579.pdf#page=3","Abrir facsímil")</f>
        <v>Abrir facsímil</v>
      </c>
      <c r="K2985" s="12" t="s">
        <v>24</v>
      </c>
    </row>
    <row r="2986" spans="1:11" ht="40.049999999999997" customHeight="1" x14ac:dyDescent="0.25">
      <c r="A2986" s="11" t="s">
        <v>6440</v>
      </c>
      <c r="B2986" s="11" t="s">
        <v>6441</v>
      </c>
      <c r="C2986" s="11" t="s">
        <v>80</v>
      </c>
      <c r="D2986" s="11" t="s">
        <v>18</v>
      </c>
      <c r="E2986" s="12" t="s">
        <v>522</v>
      </c>
      <c r="F2986" s="12" t="s">
        <v>523</v>
      </c>
      <c r="G2986" s="12" t="s">
        <v>566</v>
      </c>
      <c r="H2986" s="11" t="s">
        <v>63</v>
      </c>
      <c r="I2986" s="13" t="s">
        <v>6442</v>
      </c>
      <c r="J2986" s="14" t="str">
        <f>HYPERLINK("https://www.boe.es/gazeta/dias/1839/08/27/pdfs/GMD-1839-1748.pdf#page=5","Abrir facsímil")</f>
        <v>Abrir facsímil</v>
      </c>
      <c r="K2986" s="12" t="s">
        <v>65</v>
      </c>
    </row>
    <row r="2987" spans="1:11" ht="40.049999999999997" customHeight="1" x14ac:dyDescent="0.25">
      <c r="A2987" s="11" t="s">
        <v>6443</v>
      </c>
      <c r="B2987" s="11" t="s">
        <v>6444</v>
      </c>
      <c r="C2987" s="11" t="s">
        <v>137</v>
      </c>
      <c r="D2987" s="11" t="s">
        <v>18</v>
      </c>
      <c r="E2987" s="12" t="s">
        <v>857</v>
      </c>
      <c r="F2987" s="12" t="s">
        <v>858</v>
      </c>
      <c r="G2987" s="12" t="s">
        <v>40</v>
      </c>
      <c r="H2987" s="11" t="s">
        <v>63</v>
      </c>
      <c r="I2987" s="13" t="s">
        <v>6445</v>
      </c>
      <c r="J2987" s="14" t="str">
        <f>HYPERLINK("https://www.boe.es/gazeta/dias/1839/11/21/pdfs/GMD-1839-1838.pdf#page=2","Abrir facsímil")</f>
        <v>Abrir facsímil</v>
      </c>
      <c r="K2987" s="12" t="s">
        <v>65</v>
      </c>
    </row>
    <row r="2988" spans="1:11" ht="40.049999999999997" customHeight="1" x14ac:dyDescent="0.25">
      <c r="A2988" s="11" t="s">
        <v>6446</v>
      </c>
      <c r="B2988" s="11" t="s">
        <v>6446</v>
      </c>
      <c r="C2988" s="11" t="s">
        <v>17</v>
      </c>
      <c r="D2988" s="11" t="s">
        <v>18</v>
      </c>
      <c r="E2988" s="12" t="s">
        <v>1136</v>
      </c>
      <c r="F2988" s="12" t="s">
        <v>1137</v>
      </c>
      <c r="G2988" s="12" t="s">
        <v>46</v>
      </c>
      <c r="H2988" s="11" t="s">
        <v>22</v>
      </c>
      <c r="I2988" s="13" t="s">
        <v>6447</v>
      </c>
      <c r="J2988" s="14" t="str">
        <f>HYPERLINK("https://www.boe.es/gazeta/dias/1839/04/03/pdfs/GMD-1839-1600.pdf#page=3","Abrir facsímil")</f>
        <v>Abrir facsímil</v>
      </c>
      <c r="K2988" s="12" t="s">
        <v>24</v>
      </c>
    </row>
    <row r="2989" spans="1:11" ht="40.049999999999997" customHeight="1" x14ac:dyDescent="0.25">
      <c r="A2989" s="11" t="s">
        <v>6446</v>
      </c>
      <c r="B2989" s="11" t="s">
        <v>6446</v>
      </c>
      <c r="C2989" s="11" t="s">
        <v>17</v>
      </c>
      <c r="D2989" s="11" t="s">
        <v>18</v>
      </c>
      <c r="E2989" s="12" t="s">
        <v>912</v>
      </c>
      <c r="F2989" s="12" t="s">
        <v>913</v>
      </c>
      <c r="G2989" s="12" t="s">
        <v>40</v>
      </c>
      <c r="H2989" s="11" t="s">
        <v>22</v>
      </c>
      <c r="I2989" s="13" t="s">
        <v>6448</v>
      </c>
      <c r="J2989" s="14" t="str">
        <f>HYPERLINK("https://www.boe.es/gazeta/dias/1839/04/30/pdfs/GMD-1839-1627.pdf#page=2","Abrir facsímil")</f>
        <v>Abrir facsímil</v>
      </c>
      <c r="K2989" s="12" t="s">
        <v>24</v>
      </c>
    </row>
    <row r="2990" spans="1:11" ht="40.049999999999997" customHeight="1" x14ac:dyDescent="0.25">
      <c r="A2990" s="11" t="s">
        <v>6449</v>
      </c>
      <c r="B2990" s="11" t="s">
        <v>6450</v>
      </c>
      <c r="C2990" s="11" t="s">
        <v>59</v>
      </c>
      <c r="D2990" s="11" t="s">
        <v>60</v>
      </c>
      <c r="E2990" s="12" t="s">
        <v>1208</v>
      </c>
      <c r="F2990" s="12" t="s">
        <v>1209</v>
      </c>
      <c r="G2990" s="12" t="s">
        <v>29</v>
      </c>
      <c r="H2990" s="11" t="s">
        <v>63</v>
      </c>
      <c r="I2990" s="13" t="s">
        <v>6451</v>
      </c>
      <c r="J2990" s="14" t="str">
        <f>HYPERLINK("https://www.boe.es/gazeta/dias/1839/04/24/pdfs/GMD-1839-1621.pdf#page=1","Abrir facsímil")</f>
        <v>Abrir facsímil</v>
      </c>
      <c r="K2990" s="12" t="s">
        <v>65</v>
      </c>
    </row>
    <row r="2991" spans="1:11" ht="40.049999999999997" customHeight="1" x14ac:dyDescent="0.25">
      <c r="A2991" s="11" t="s">
        <v>6452</v>
      </c>
      <c r="B2991" s="11" t="s">
        <v>6453</v>
      </c>
      <c r="C2991" s="11" t="s">
        <v>80</v>
      </c>
      <c r="D2991" s="11" t="s">
        <v>18</v>
      </c>
      <c r="E2991" s="12" t="s">
        <v>1100</v>
      </c>
      <c r="F2991" s="12" t="s">
        <v>1101</v>
      </c>
      <c r="G2991" s="12" t="s">
        <v>21</v>
      </c>
      <c r="H2991" s="11" t="s">
        <v>63</v>
      </c>
      <c r="I2991" s="13" t="s">
        <v>6454</v>
      </c>
      <c r="J2991" s="14" t="str">
        <f>HYPERLINK("https://www.boe.es/gazeta/dias/1839/09/13/pdfs/GMD-1839-1766.pdf#page=4","Abrir facsímil")</f>
        <v>Abrir facsímil</v>
      </c>
      <c r="K2991" s="12" t="s">
        <v>65</v>
      </c>
    </row>
    <row r="2992" spans="1:11" ht="40.049999999999997" customHeight="1" x14ac:dyDescent="0.25">
      <c r="A2992" s="11" t="s">
        <v>6455</v>
      </c>
      <c r="B2992" s="11" t="s">
        <v>6456</v>
      </c>
      <c r="C2992" s="11" t="s">
        <v>80</v>
      </c>
      <c r="D2992" s="11" t="s">
        <v>18</v>
      </c>
      <c r="E2992" s="12" t="s">
        <v>121</v>
      </c>
      <c r="F2992" s="12" t="s">
        <v>122</v>
      </c>
      <c r="G2992" s="12" t="s">
        <v>46</v>
      </c>
      <c r="H2992" s="11" t="s">
        <v>63</v>
      </c>
      <c r="I2992" s="13" t="s">
        <v>6457</v>
      </c>
      <c r="J2992" s="14" t="str">
        <f>HYPERLINK("https://www.boe.es/gazeta/dias/1839/06/08/pdfs/GMD-1839-1666.pdf#page=3","Abrir facsímil")</f>
        <v>Abrir facsímil</v>
      </c>
      <c r="K2992" s="12" t="s">
        <v>65</v>
      </c>
    </row>
    <row r="2993" spans="1:11" ht="40.049999999999997" customHeight="1" x14ac:dyDescent="0.25">
      <c r="A2993" s="11" t="s">
        <v>6458</v>
      </c>
      <c r="B2993" s="11" t="s">
        <v>6459</v>
      </c>
      <c r="C2993" s="11" t="s">
        <v>17</v>
      </c>
      <c r="D2993" s="11" t="s">
        <v>18</v>
      </c>
      <c r="E2993" s="12" t="s">
        <v>258</v>
      </c>
      <c r="F2993" s="12" t="s">
        <v>259</v>
      </c>
      <c r="G2993" s="12" t="s">
        <v>40</v>
      </c>
      <c r="H2993" s="11" t="s">
        <v>22</v>
      </c>
      <c r="I2993" s="13" t="s">
        <v>6460</v>
      </c>
      <c r="J2993" s="14" t="str">
        <f>HYPERLINK("https://www.boe.es/gazeta/dias/1839/01/02/pdfs/GMD-1839-1509.pdf#page=2","Abrir facsímil")</f>
        <v>Abrir facsímil</v>
      </c>
      <c r="K2993" s="12" t="s">
        <v>24</v>
      </c>
    </row>
    <row r="2994" spans="1:11" ht="40.049999999999997" customHeight="1" x14ac:dyDescent="0.25">
      <c r="A2994" s="11" t="s">
        <v>6461</v>
      </c>
      <c r="B2994" s="11" t="s">
        <v>6462</v>
      </c>
      <c r="C2994" s="11" t="s">
        <v>80</v>
      </c>
      <c r="D2994" s="11" t="s">
        <v>18</v>
      </c>
      <c r="E2994" s="12" t="s">
        <v>1672</v>
      </c>
      <c r="F2994" s="12" t="s">
        <v>1673</v>
      </c>
      <c r="G2994" s="12" t="s">
        <v>21</v>
      </c>
      <c r="H2994" s="11" t="s">
        <v>63</v>
      </c>
      <c r="I2994" s="13" t="s">
        <v>6463</v>
      </c>
      <c r="J2994" s="14" t="str">
        <f>HYPERLINK("https://www.boe.es/gazeta/dias/1839/08/24/pdfs/GMD-1839-1745.pdf#page=4","Abrir facsímil")</f>
        <v>Abrir facsímil</v>
      </c>
      <c r="K2994" s="12" t="s">
        <v>65</v>
      </c>
    </row>
    <row r="2995" spans="1:11" ht="40.049999999999997" customHeight="1" x14ac:dyDescent="0.25">
      <c r="A2995" s="11" t="s">
        <v>6464</v>
      </c>
      <c r="B2995" s="11" t="s">
        <v>6465</v>
      </c>
      <c r="C2995" s="11" t="s">
        <v>17</v>
      </c>
      <c r="D2995" s="11" t="s">
        <v>18</v>
      </c>
      <c r="E2995" s="12" t="s">
        <v>111</v>
      </c>
      <c r="F2995" s="12" t="s">
        <v>112</v>
      </c>
      <c r="G2995" s="12" t="s">
        <v>21</v>
      </c>
      <c r="H2995" s="11" t="s">
        <v>63</v>
      </c>
      <c r="I2995" s="13" t="s">
        <v>6466</v>
      </c>
      <c r="J2995" s="14" t="str">
        <f>HYPERLINK("https://www.boe.es/gazeta/dias/1839/07/25/pdfs/GMD-1839-1714.pdf#page=4","Abrir facsímil")</f>
        <v>Abrir facsímil</v>
      </c>
      <c r="K2995" s="12" t="s">
        <v>65</v>
      </c>
    </row>
    <row r="2996" spans="1:11" ht="40.049999999999997" customHeight="1" x14ac:dyDescent="0.25">
      <c r="A2996" s="11" t="s">
        <v>6467</v>
      </c>
      <c r="B2996" s="11" t="s">
        <v>6468</v>
      </c>
      <c r="C2996" s="11" t="s">
        <v>101</v>
      </c>
      <c r="D2996" s="11" t="s">
        <v>43</v>
      </c>
      <c r="E2996" s="12" t="s">
        <v>1366</v>
      </c>
      <c r="F2996" s="12" t="s">
        <v>1367</v>
      </c>
      <c r="G2996" s="12" t="s">
        <v>46</v>
      </c>
      <c r="H2996" s="11" t="s">
        <v>22</v>
      </c>
      <c r="I2996" s="13" t="s">
        <v>6469</v>
      </c>
      <c r="J2996" s="14" t="str">
        <f>HYPERLINK("https://www.boe.es/gazeta/dias/1839/09/09/pdfs/GMD-1839-1762.pdf#page=3","Abrir facsímil")</f>
        <v>Abrir facsímil</v>
      </c>
      <c r="K2996" s="12" t="s">
        <v>24</v>
      </c>
    </row>
    <row r="2997" spans="1:11" ht="40.049999999999997" customHeight="1" x14ac:dyDescent="0.25">
      <c r="A2997" s="11" t="s">
        <v>6470</v>
      </c>
      <c r="B2997" s="11" t="s">
        <v>6471</v>
      </c>
      <c r="C2997" s="11" t="s">
        <v>17</v>
      </c>
      <c r="D2997" s="11" t="s">
        <v>18</v>
      </c>
      <c r="E2997" s="12" t="s">
        <v>1139</v>
      </c>
      <c r="F2997" s="12" t="s">
        <v>1140</v>
      </c>
      <c r="G2997" s="12" t="s">
        <v>21</v>
      </c>
      <c r="H2997" s="11" t="s">
        <v>63</v>
      </c>
      <c r="I2997" s="13" t="s">
        <v>6472</v>
      </c>
      <c r="J2997" s="14" t="str">
        <f>HYPERLINK("https://www.boe.es/gazeta/dias/1839/02/15/pdfs/GMD-1839-1553.pdf#page=4","Abrir facsímil")</f>
        <v>Abrir facsímil</v>
      </c>
      <c r="K2997" s="12" t="s">
        <v>65</v>
      </c>
    </row>
    <row r="2998" spans="1:11" ht="40.049999999999997" customHeight="1" x14ac:dyDescent="0.25">
      <c r="A2998" s="11" t="s">
        <v>6473</v>
      </c>
      <c r="B2998" s="11" t="s">
        <v>6474</v>
      </c>
      <c r="C2998" s="11" t="s">
        <v>80</v>
      </c>
      <c r="D2998" s="11" t="s">
        <v>18</v>
      </c>
      <c r="E2998" s="12" t="s">
        <v>360</v>
      </c>
      <c r="F2998" s="12" t="s">
        <v>361</v>
      </c>
      <c r="G2998" s="12" t="s">
        <v>21</v>
      </c>
      <c r="H2998" s="11" t="s">
        <v>63</v>
      </c>
      <c r="I2998" s="13" t="s">
        <v>6475</v>
      </c>
      <c r="J2998" s="14" t="str">
        <f>HYPERLINK("https://www.boe.es/gazeta/dias/1839/08/22/pdfs/GMD-1839-1743.pdf#page=4","Abrir facsímil")</f>
        <v>Abrir facsímil</v>
      </c>
      <c r="K2998" s="12" t="s">
        <v>65</v>
      </c>
    </row>
    <row r="2999" spans="1:11" ht="40.049999999999997" customHeight="1" x14ac:dyDescent="0.25">
      <c r="A2999" s="11" t="s">
        <v>6476</v>
      </c>
      <c r="B2999" s="11" t="s">
        <v>6477</v>
      </c>
      <c r="C2999" s="11" t="s">
        <v>80</v>
      </c>
      <c r="D2999" s="11" t="s">
        <v>18</v>
      </c>
      <c r="E2999" s="12" t="s">
        <v>1027</v>
      </c>
      <c r="F2999" s="12" t="s">
        <v>1028</v>
      </c>
      <c r="G2999" s="12" t="s">
        <v>21</v>
      </c>
      <c r="H2999" s="11" t="s">
        <v>63</v>
      </c>
      <c r="I2999" s="13" t="s">
        <v>6478</v>
      </c>
      <c r="J2999" s="14" t="str">
        <f>HYPERLINK("https://www.boe.es/gazeta/dias/1839/08/16/pdfs/GMD-1839-1736.pdf#page=4","Abrir facsímil")</f>
        <v>Abrir facsímil</v>
      </c>
      <c r="K2999" s="12" t="s">
        <v>65</v>
      </c>
    </row>
    <row r="3000" spans="1:11" ht="40.049999999999997" customHeight="1" x14ac:dyDescent="0.25">
      <c r="A3000" s="11" t="s">
        <v>6479</v>
      </c>
      <c r="B3000" s="11" t="s">
        <v>6480</v>
      </c>
      <c r="C3000" s="11" t="s">
        <v>101</v>
      </c>
      <c r="D3000" s="11" t="s">
        <v>43</v>
      </c>
      <c r="E3000" s="12" t="s">
        <v>1179</v>
      </c>
      <c r="F3000" s="12" t="s">
        <v>1180</v>
      </c>
      <c r="G3000" s="12" t="s">
        <v>46</v>
      </c>
      <c r="H3000" s="11" t="s">
        <v>63</v>
      </c>
      <c r="I3000" s="13" t="s">
        <v>6481</v>
      </c>
      <c r="J3000" s="14" t="str">
        <f>HYPERLINK("https://www.boe.es/gazeta/dias/1839/10/18/pdfs/GMD-1839-1804.pdf#page=3","Abrir facsímil")</f>
        <v>Abrir facsímil</v>
      </c>
      <c r="K3000" s="12" t="s">
        <v>65</v>
      </c>
    </row>
    <row r="3001" spans="1:11" ht="40.049999999999997" customHeight="1" x14ac:dyDescent="0.25">
      <c r="A3001" s="11" t="s">
        <v>6482</v>
      </c>
      <c r="B3001" s="11" t="s">
        <v>6483</v>
      </c>
      <c r="C3001" s="11" t="s">
        <v>17</v>
      </c>
      <c r="D3001" s="11" t="s">
        <v>18</v>
      </c>
      <c r="E3001" s="12" t="s">
        <v>108</v>
      </c>
      <c r="F3001" s="12" t="s">
        <v>109</v>
      </c>
      <c r="G3001" s="12" t="s">
        <v>40</v>
      </c>
      <c r="H3001" s="11" t="s">
        <v>63</v>
      </c>
      <c r="I3001" s="13" t="s">
        <v>6484</v>
      </c>
      <c r="J3001" s="14" t="str">
        <f>HYPERLINK("https://www.boe.es/gazeta/dias/1839/01/04/pdfs/GMD-1839-1511.pdf#page=2","Abrir facsímil")</f>
        <v>Abrir facsímil</v>
      </c>
      <c r="K3001" s="12" t="s">
        <v>65</v>
      </c>
    </row>
    <row r="3002" spans="1:11" ht="40.049999999999997" customHeight="1" x14ac:dyDescent="0.25">
      <c r="A3002" s="11" t="s">
        <v>6485</v>
      </c>
      <c r="B3002" s="11" t="s">
        <v>6486</v>
      </c>
      <c r="C3002" s="11" t="s">
        <v>137</v>
      </c>
      <c r="D3002" s="11" t="s">
        <v>18</v>
      </c>
      <c r="E3002" s="12" t="s">
        <v>291</v>
      </c>
      <c r="F3002" s="12" t="s">
        <v>292</v>
      </c>
      <c r="G3002" s="12" t="s">
        <v>40</v>
      </c>
      <c r="H3002" s="11" t="s">
        <v>63</v>
      </c>
      <c r="I3002" s="13" t="s">
        <v>6487</v>
      </c>
      <c r="J3002" s="14" t="str">
        <f>HYPERLINK("https://www.boe.es/gazeta/dias/1839/09/04/pdfs/GMD-1839-1757.pdf#page=2","Abrir facsímil")</f>
        <v>Abrir facsímil</v>
      </c>
      <c r="K3002" s="12" t="s">
        <v>65</v>
      </c>
    </row>
    <row r="3003" spans="1:11" ht="40.049999999999997" customHeight="1" x14ac:dyDescent="0.25">
      <c r="A3003" s="11" t="s">
        <v>6488</v>
      </c>
      <c r="B3003" s="11" t="s">
        <v>6489</v>
      </c>
      <c r="C3003" s="11" t="s">
        <v>80</v>
      </c>
      <c r="D3003" s="11" t="s">
        <v>18</v>
      </c>
      <c r="E3003" s="12" t="s">
        <v>1072</v>
      </c>
      <c r="F3003" s="12" t="s">
        <v>1073</v>
      </c>
      <c r="G3003" s="12" t="s">
        <v>21</v>
      </c>
      <c r="H3003" s="11" t="s">
        <v>63</v>
      </c>
      <c r="I3003" s="13" t="s">
        <v>6490</v>
      </c>
      <c r="J3003" s="14" t="str">
        <f>HYPERLINK("https://www.boe.es/gazeta/dias/1839/01/18/pdfs/GMD-1839-1525.pdf#page=4","Abrir facsímil")</f>
        <v>Abrir facsímil</v>
      </c>
      <c r="K3003" s="12" t="s">
        <v>65</v>
      </c>
    </row>
    <row r="3004" spans="1:11" ht="40.049999999999997" customHeight="1" x14ac:dyDescent="0.25">
      <c r="A3004" s="11" t="s">
        <v>6491</v>
      </c>
      <c r="B3004" s="11" t="s">
        <v>6492</v>
      </c>
      <c r="C3004" s="11" t="s">
        <v>101</v>
      </c>
      <c r="D3004" s="11" t="s">
        <v>43</v>
      </c>
      <c r="E3004" s="12" t="s">
        <v>1551</v>
      </c>
      <c r="F3004" s="12" t="s">
        <v>1552</v>
      </c>
      <c r="G3004" s="12" t="s">
        <v>29</v>
      </c>
      <c r="H3004" s="11" t="s">
        <v>63</v>
      </c>
      <c r="I3004" s="13" t="s">
        <v>6493</v>
      </c>
      <c r="J3004" s="14" t="str">
        <f>HYPERLINK("https://www.boe.es/gazeta/dias/1839/06/30/pdfs/GMD-1839-1688.pdf#page=1","Abrir facsímil")</f>
        <v>Abrir facsímil</v>
      </c>
      <c r="K3004" s="12" t="s">
        <v>65</v>
      </c>
    </row>
    <row r="3005" spans="1:11" ht="40.049999999999997" customHeight="1" x14ac:dyDescent="0.25">
      <c r="A3005" s="11" t="s">
        <v>6494</v>
      </c>
      <c r="B3005" s="11" t="s">
        <v>6495</v>
      </c>
      <c r="C3005" s="11" t="s">
        <v>80</v>
      </c>
      <c r="D3005" s="11" t="s">
        <v>18</v>
      </c>
      <c r="E3005" s="12" t="s">
        <v>1672</v>
      </c>
      <c r="F3005" s="12" t="s">
        <v>1673</v>
      </c>
      <c r="G3005" s="12" t="s">
        <v>21</v>
      </c>
      <c r="H3005" s="11" t="s">
        <v>63</v>
      </c>
      <c r="I3005" s="13" t="s">
        <v>6496</v>
      </c>
      <c r="J3005" s="14" t="str">
        <f>HYPERLINK("https://www.boe.es/gazeta/dias/1839/08/24/pdfs/GMD-1839-1745.pdf#page=4","Abrir facsímil")</f>
        <v>Abrir facsímil</v>
      </c>
      <c r="K3005" s="12" t="s">
        <v>65</v>
      </c>
    </row>
    <row r="3006" spans="1:11" ht="40.049999999999997" customHeight="1" x14ac:dyDescent="0.25">
      <c r="A3006" s="11" t="s">
        <v>6497</v>
      </c>
      <c r="B3006" s="11" t="s">
        <v>6498</v>
      </c>
      <c r="C3006" s="11" t="s">
        <v>17</v>
      </c>
      <c r="D3006" s="11" t="s">
        <v>18</v>
      </c>
      <c r="E3006" s="12" t="s">
        <v>68</v>
      </c>
      <c r="F3006" s="12" t="s">
        <v>69</v>
      </c>
      <c r="G3006" s="12" t="s">
        <v>40</v>
      </c>
      <c r="H3006" s="11" t="s">
        <v>63</v>
      </c>
      <c r="I3006" s="13" t="s">
        <v>6499</v>
      </c>
      <c r="J3006" s="14" t="str">
        <f>HYPERLINK("https://www.boe.es/gazeta/dias/1839/02/09/pdfs/GMD-1839-1547.pdf#page=2","Abrir facsímil")</f>
        <v>Abrir facsímil</v>
      </c>
      <c r="K3006" s="12" t="s">
        <v>65</v>
      </c>
    </row>
    <row r="3007" spans="1:11" ht="40.049999999999997" customHeight="1" x14ac:dyDescent="0.25">
      <c r="A3007" s="11" t="s">
        <v>6497</v>
      </c>
      <c r="B3007" s="11" t="s">
        <v>6498</v>
      </c>
      <c r="C3007" s="11" t="s">
        <v>17</v>
      </c>
      <c r="D3007" s="11" t="s">
        <v>18</v>
      </c>
      <c r="E3007" s="12" t="s">
        <v>1072</v>
      </c>
      <c r="F3007" s="12" t="s">
        <v>1073</v>
      </c>
      <c r="G3007" s="12" t="s">
        <v>46</v>
      </c>
      <c r="H3007" s="11" t="s">
        <v>63</v>
      </c>
      <c r="I3007" s="13" t="s">
        <v>6500</v>
      </c>
      <c r="J3007" s="14" t="str">
        <f>HYPERLINK("https://www.boe.es/gazeta/dias/1839/01/18/pdfs/GMD-1839-1525.pdf#page=3","Abrir facsímil")</f>
        <v>Abrir facsímil</v>
      </c>
      <c r="K3007" s="12" t="s">
        <v>65</v>
      </c>
    </row>
    <row r="3008" spans="1:11" ht="40.049999999999997" customHeight="1" x14ac:dyDescent="0.25">
      <c r="A3008" s="11" t="s">
        <v>6497</v>
      </c>
      <c r="B3008" s="11" t="s">
        <v>6498</v>
      </c>
      <c r="C3008" s="11" t="s">
        <v>59</v>
      </c>
      <c r="D3008" s="11" t="s">
        <v>60</v>
      </c>
      <c r="E3008" s="12" t="s">
        <v>1012</v>
      </c>
      <c r="F3008" s="12" t="s">
        <v>1013</v>
      </c>
      <c r="G3008" s="12" t="s">
        <v>29</v>
      </c>
      <c r="H3008" s="11" t="s">
        <v>63</v>
      </c>
      <c r="I3008" s="13" t="s">
        <v>6501</v>
      </c>
      <c r="J3008" s="14" t="str">
        <f>HYPERLINK("https://www.boe.es/gazeta/dias/1839/11/22/pdfs/GMD-1839-1839.pdf#page=1","Abrir facsímil")</f>
        <v>Abrir facsímil</v>
      </c>
      <c r="K3008" s="12" t="s">
        <v>65</v>
      </c>
    </row>
    <row r="3009" spans="1:11" ht="40.049999999999997" customHeight="1" x14ac:dyDescent="0.25">
      <c r="A3009" s="11" t="s">
        <v>6502</v>
      </c>
      <c r="B3009" s="11" t="s">
        <v>6503</v>
      </c>
      <c r="C3009" s="11" t="s">
        <v>17</v>
      </c>
      <c r="D3009" s="11" t="s">
        <v>18</v>
      </c>
      <c r="E3009" s="12" t="s">
        <v>2301</v>
      </c>
      <c r="F3009" s="12" t="s">
        <v>2302</v>
      </c>
      <c r="G3009" s="12" t="s">
        <v>46</v>
      </c>
      <c r="H3009" s="11" t="s">
        <v>63</v>
      </c>
      <c r="I3009" s="13" t="s">
        <v>6504</v>
      </c>
      <c r="J3009" s="14" t="str">
        <f>HYPERLINK("https://www.boe.es/gazeta/dias/1839/09/08/pdfs/GMD-1839-1761.pdf#page=3","Abrir facsímil")</f>
        <v>Abrir facsímil</v>
      </c>
      <c r="K3009" s="12" t="s">
        <v>65</v>
      </c>
    </row>
    <row r="3010" spans="1:11" ht="40.049999999999997" customHeight="1" x14ac:dyDescent="0.25">
      <c r="A3010" s="11" t="s">
        <v>6505</v>
      </c>
      <c r="B3010" s="11" t="s">
        <v>6506</v>
      </c>
      <c r="C3010" s="11" t="s">
        <v>101</v>
      </c>
      <c r="D3010" s="11" t="s">
        <v>102</v>
      </c>
      <c r="E3010" s="12" t="s">
        <v>1123</v>
      </c>
      <c r="F3010" s="12" t="s">
        <v>1124</v>
      </c>
      <c r="G3010" s="12" t="s">
        <v>46</v>
      </c>
      <c r="H3010" s="11" t="s">
        <v>63</v>
      </c>
      <c r="I3010" s="13" t="s">
        <v>6507</v>
      </c>
      <c r="J3010" s="14" t="str">
        <f>HYPERLINK("https://www.boe.es/gazeta/dias/1839/08/10/pdfs/GMD-1839-1730.pdf#page=3","Abrir facsímil")</f>
        <v>Abrir facsímil</v>
      </c>
      <c r="K3010" s="12" t="s">
        <v>65</v>
      </c>
    </row>
    <row r="3011" spans="1:11" ht="40.049999999999997" customHeight="1" x14ac:dyDescent="0.25">
      <c r="A3011" s="11" t="s">
        <v>6508</v>
      </c>
      <c r="B3011" s="11" t="s">
        <v>6509</v>
      </c>
      <c r="C3011" s="11" t="s">
        <v>17</v>
      </c>
      <c r="D3011" s="11" t="s">
        <v>18</v>
      </c>
      <c r="E3011" s="12" t="s">
        <v>258</v>
      </c>
      <c r="F3011" s="12" t="s">
        <v>259</v>
      </c>
      <c r="G3011" s="12" t="s">
        <v>21</v>
      </c>
      <c r="H3011" s="11" t="s">
        <v>63</v>
      </c>
      <c r="I3011" s="13" t="s">
        <v>6510</v>
      </c>
      <c r="J3011" s="14" t="str">
        <f>HYPERLINK("https://www.boe.es/gazeta/dias/1839/01/02/pdfs/GMD-1839-1509.pdf#page=4","Abrir facsímil")</f>
        <v>Abrir facsímil</v>
      </c>
      <c r="K3011" s="12" t="s">
        <v>65</v>
      </c>
    </row>
    <row r="3012" spans="1:11" ht="40.049999999999997" customHeight="1" x14ac:dyDescent="0.25">
      <c r="A3012" s="11" t="s">
        <v>6511</v>
      </c>
      <c r="B3012" s="11" t="s">
        <v>6512</v>
      </c>
      <c r="C3012" s="11" t="s">
        <v>17</v>
      </c>
      <c r="D3012" s="11" t="s">
        <v>18</v>
      </c>
      <c r="E3012" s="12" t="s">
        <v>998</v>
      </c>
      <c r="F3012" s="12" t="s">
        <v>999</v>
      </c>
      <c r="G3012" s="12" t="s">
        <v>29</v>
      </c>
      <c r="H3012" s="11" t="s">
        <v>63</v>
      </c>
      <c r="I3012" s="13" t="s">
        <v>6513</v>
      </c>
      <c r="J3012" s="14" t="str">
        <f>HYPERLINK("https://www.boe.es/gazeta/dias/1839/05/06/pdfs/GMD-1839-1633.pdf#page=1","Abrir facsímil")</f>
        <v>Abrir facsímil</v>
      </c>
      <c r="K3012" s="12" t="s">
        <v>65</v>
      </c>
    </row>
    <row r="3013" spans="1:11" ht="40.049999999999997" customHeight="1" x14ac:dyDescent="0.25">
      <c r="A3013" s="11" t="s">
        <v>6511</v>
      </c>
      <c r="B3013" s="11" t="s">
        <v>6512</v>
      </c>
      <c r="C3013" s="11" t="s">
        <v>17</v>
      </c>
      <c r="D3013" s="11" t="s">
        <v>18</v>
      </c>
      <c r="E3013" s="12" t="s">
        <v>1551</v>
      </c>
      <c r="F3013" s="12" t="s">
        <v>1552</v>
      </c>
      <c r="G3013" s="12" t="s">
        <v>29</v>
      </c>
      <c r="H3013" s="11" t="s">
        <v>63</v>
      </c>
      <c r="I3013" s="13" t="s">
        <v>6514</v>
      </c>
      <c r="J3013" s="14" t="str">
        <f>HYPERLINK("https://www.boe.es/gazeta/dias/1839/06/30/pdfs/GMD-1839-1688.pdf#page=1","Abrir facsímil")</f>
        <v>Abrir facsímil</v>
      </c>
      <c r="K3013" s="12" t="s">
        <v>65</v>
      </c>
    </row>
    <row r="3014" spans="1:11" ht="40.049999999999997" customHeight="1" x14ac:dyDescent="0.25">
      <c r="A3014" s="11" t="s">
        <v>6515</v>
      </c>
      <c r="B3014" s="11" t="s">
        <v>6516</v>
      </c>
      <c r="C3014" s="11" t="s">
        <v>17</v>
      </c>
      <c r="D3014" s="11" t="s">
        <v>18</v>
      </c>
      <c r="E3014" s="12" t="s">
        <v>405</v>
      </c>
      <c r="F3014" s="12" t="s">
        <v>406</v>
      </c>
      <c r="G3014" s="12" t="s">
        <v>29</v>
      </c>
      <c r="H3014" s="11" t="s">
        <v>63</v>
      </c>
      <c r="I3014" s="13" t="s">
        <v>6517</v>
      </c>
      <c r="J3014" s="14" t="str">
        <f>HYPERLINK("https://www.boe.es/gazeta/dias/1839/03/25/pdfs/GMD-1839-1591.pdf#page=1","Abrir facsímil")</f>
        <v>Abrir facsímil</v>
      </c>
      <c r="K3014" s="12" t="s">
        <v>65</v>
      </c>
    </row>
    <row r="3015" spans="1:11" ht="40.049999999999997" customHeight="1" x14ac:dyDescent="0.25">
      <c r="A3015" s="11" t="s">
        <v>6518</v>
      </c>
      <c r="B3015" s="11" t="s">
        <v>6519</v>
      </c>
      <c r="C3015" s="11" t="s">
        <v>80</v>
      </c>
      <c r="D3015" s="11" t="s">
        <v>18</v>
      </c>
      <c r="E3015" s="12" t="s">
        <v>775</v>
      </c>
      <c r="F3015" s="12" t="s">
        <v>776</v>
      </c>
      <c r="G3015" s="12" t="s">
        <v>46</v>
      </c>
      <c r="H3015" s="11" t="s">
        <v>63</v>
      </c>
      <c r="I3015" s="13" t="s">
        <v>6520</v>
      </c>
      <c r="J3015" s="14" t="str">
        <f>HYPERLINK("https://www.boe.es/gazeta/dias/1839/02/25/pdfs/GMD-1839-1563.pdf#page=3","Abrir facsímil")</f>
        <v>Abrir facsímil</v>
      </c>
      <c r="K3015" s="12" t="s">
        <v>65</v>
      </c>
    </row>
    <row r="3016" spans="1:11" ht="40.049999999999997" customHeight="1" x14ac:dyDescent="0.25">
      <c r="A3016" s="11" t="s">
        <v>6521</v>
      </c>
      <c r="B3016" s="11" t="s">
        <v>6522</v>
      </c>
      <c r="C3016" s="11" t="s">
        <v>137</v>
      </c>
      <c r="D3016" s="11" t="s">
        <v>18</v>
      </c>
      <c r="E3016" s="12" t="s">
        <v>138</v>
      </c>
      <c r="F3016" s="12" t="s">
        <v>139</v>
      </c>
      <c r="G3016" s="12" t="s">
        <v>21</v>
      </c>
      <c r="H3016" s="11" t="s">
        <v>63</v>
      </c>
      <c r="I3016" s="13" t="s">
        <v>6523</v>
      </c>
      <c r="J3016" s="14" t="str">
        <f>HYPERLINK("https://www.boe.es/gazeta/dias/1839/10/09/pdfs/GMD-1839-1795.pdf#page=4","Abrir facsímil")</f>
        <v>Abrir facsímil</v>
      </c>
      <c r="K3016" s="12" t="s">
        <v>65</v>
      </c>
    </row>
    <row r="3017" spans="1:11" ht="40.049999999999997" customHeight="1" x14ac:dyDescent="0.25">
      <c r="A3017" s="11" t="s">
        <v>6524</v>
      </c>
      <c r="B3017" s="11" t="s">
        <v>6525</v>
      </c>
      <c r="C3017" s="11" t="s">
        <v>101</v>
      </c>
      <c r="D3017" s="11" t="s">
        <v>43</v>
      </c>
      <c r="E3017" s="12" t="s">
        <v>582</v>
      </c>
      <c r="F3017" s="12" t="s">
        <v>583</v>
      </c>
      <c r="G3017" s="12" t="s">
        <v>21</v>
      </c>
      <c r="H3017" s="11" t="s">
        <v>63</v>
      </c>
      <c r="I3017" s="13" t="s">
        <v>6526</v>
      </c>
      <c r="J3017" s="14" t="str">
        <f>HYPERLINK("https://www.boe.es/gazeta/dias/1839/11/09/pdfs/GMD-1839-1826.pdf#page=4","Abrir facsímil")</f>
        <v>Abrir facsímil</v>
      </c>
      <c r="K3017" s="12" t="s">
        <v>65</v>
      </c>
    </row>
    <row r="3018" spans="1:11" ht="40.049999999999997" customHeight="1" x14ac:dyDescent="0.25">
      <c r="A3018" s="11" t="s">
        <v>6527</v>
      </c>
      <c r="B3018" s="11" t="s">
        <v>6528</v>
      </c>
      <c r="C3018" s="11" t="s">
        <v>80</v>
      </c>
      <c r="D3018" s="11" t="s">
        <v>18</v>
      </c>
      <c r="E3018" s="12" t="s">
        <v>4108</v>
      </c>
      <c r="F3018" s="12" t="s">
        <v>4109</v>
      </c>
      <c r="G3018" s="12" t="s">
        <v>21</v>
      </c>
      <c r="H3018" s="11" t="s">
        <v>63</v>
      </c>
      <c r="I3018" s="13" t="s">
        <v>6529</v>
      </c>
      <c r="J3018" s="14" t="str">
        <f>HYPERLINK("https://www.boe.es/gazeta/dias/1839/03/23/pdfs/GMD-1839-1589.pdf#page=4","Abrir facsímil")</f>
        <v>Abrir facsímil</v>
      </c>
      <c r="K3018" s="12" t="s">
        <v>65</v>
      </c>
    </row>
    <row r="3019" spans="1:11" ht="40.049999999999997" customHeight="1" x14ac:dyDescent="0.25">
      <c r="A3019" s="11" t="s">
        <v>6530</v>
      </c>
      <c r="B3019" s="11" t="s">
        <v>6531</v>
      </c>
      <c r="C3019" s="11" t="s">
        <v>17</v>
      </c>
      <c r="D3019" s="11" t="s">
        <v>18</v>
      </c>
      <c r="E3019" s="12" t="s">
        <v>1340</v>
      </c>
      <c r="F3019" s="12" t="s">
        <v>1341</v>
      </c>
      <c r="G3019" s="12" t="s">
        <v>40</v>
      </c>
      <c r="H3019" s="11" t="s">
        <v>63</v>
      </c>
      <c r="I3019" s="13" t="s">
        <v>6532</v>
      </c>
      <c r="J3019" s="14" t="str">
        <f>HYPERLINK("https://www.boe.es/gazeta/dias/1839/05/05/pdfs/GMD-1839-1632.pdf#page=2","Abrir facsímil")</f>
        <v>Abrir facsímil</v>
      </c>
      <c r="K3019" s="12" t="s">
        <v>65</v>
      </c>
    </row>
    <row r="3020" spans="1:11" ht="40.049999999999997" customHeight="1" x14ac:dyDescent="0.25">
      <c r="A3020" s="11" t="s">
        <v>6533</v>
      </c>
      <c r="B3020" s="11" t="s">
        <v>6534</v>
      </c>
      <c r="C3020" s="11" t="s">
        <v>17</v>
      </c>
      <c r="D3020" s="11" t="s">
        <v>18</v>
      </c>
      <c r="E3020" s="12" t="s">
        <v>770</v>
      </c>
      <c r="F3020" s="12" t="s">
        <v>771</v>
      </c>
      <c r="G3020" s="12" t="s">
        <v>46</v>
      </c>
      <c r="H3020" s="11" t="s">
        <v>22</v>
      </c>
      <c r="I3020" s="13" t="s">
        <v>6535</v>
      </c>
      <c r="J3020" s="14" t="str">
        <f>HYPERLINK("https://www.boe.es/gazeta/dias/1839/12/05/pdfs/GMD-1839-1852.pdf#page=3","Abrir facsímil")</f>
        <v>Abrir facsímil</v>
      </c>
      <c r="K3020" s="12" t="s">
        <v>24</v>
      </c>
    </row>
    <row r="3021" spans="1:11" ht="40.049999999999997" customHeight="1" x14ac:dyDescent="0.25">
      <c r="A3021" s="11" t="s">
        <v>6536</v>
      </c>
      <c r="B3021" s="11" t="s">
        <v>6537</v>
      </c>
      <c r="C3021" s="11" t="s">
        <v>101</v>
      </c>
      <c r="D3021" s="11" t="s">
        <v>43</v>
      </c>
      <c r="E3021" s="12" t="s">
        <v>1909</v>
      </c>
      <c r="F3021" s="12" t="s">
        <v>1910</v>
      </c>
      <c r="G3021" s="12" t="s">
        <v>46</v>
      </c>
      <c r="H3021" s="11" t="s">
        <v>63</v>
      </c>
      <c r="I3021" s="13" t="s">
        <v>6538</v>
      </c>
      <c r="J3021" s="14" t="str">
        <f>HYPERLINK("https://www.boe.es/gazeta/dias/1839/10/27/pdfs/GMD-1839-1813.pdf#page=3","Abrir facsímil")</f>
        <v>Abrir facsímil</v>
      </c>
      <c r="K3021" s="12" t="s">
        <v>65</v>
      </c>
    </row>
    <row r="3022" spans="1:11" ht="40.049999999999997" customHeight="1" x14ac:dyDescent="0.25">
      <c r="A3022" s="11" t="s">
        <v>6539</v>
      </c>
      <c r="B3022" s="11" t="s">
        <v>6540</v>
      </c>
      <c r="C3022" s="11" t="s">
        <v>17</v>
      </c>
      <c r="D3022" s="11" t="s">
        <v>18</v>
      </c>
      <c r="E3022" s="12" t="s">
        <v>148</v>
      </c>
      <c r="F3022" s="12" t="s">
        <v>149</v>
      </c>
      <c r="G3022" s="12" t="s">
        <v>29</v>
      </c>
      <c r="H3022" s="11" t="s">
        <v>63</v>
      </c>
      <c r="I3022" s="13" t="s">
        <v>6541</v>
      </c>
      <c r="J3022" s="14" t="str">
        <f>HYPERLINK("https://www.boe.es/gazeta/dias/1839/07/16/pdfs/GMD-1839-1704.pdf#page=1","Abrir facsímil")</f>
        <v>Abrir facsímil</v>
      </c>
      <c r="K3022" s="12" t="s">
        <v>65</v>
      </c>
    </row>
    <row r="3023" spans="1:11" ht="40.049999999999997" customHeight="1" x14ac:dyDescent="0.25">
      <c r="A3023" s="11" t="s">
        <v>6542</v>
      </c>
      <c r="B3023" s="11" t="s">
        <v>6543</v>
      </c>
      <c r="C3023" s="11" t="s">
        <v>17</v>
      </c>
      <c r="D3023" s="11" t="s">
        <v>18</v>
      </c>
      <c r="E3023" s="12" t="s">
        <v>2995</v>
      </c>
      <c r="F3023" s="12" t="s">
        <v>2996</v>
      </c>
      <c r="G3023" s="12" t="s">
        <v>21</v>
      </c>
      <c r="H3023" s="11" t="s">
        <v>63</v>
      </c>
      <c r="I3023" s="13" t="s">
        <v>6544</v>
      </c>
      <c r="J3023" s="14" t="str">
        <f>HYPERLINK("https://www.boe.es/gazeta/dias/1839/06/16/pdfs/GMD-1839-1674.pdf#page=4","Abrir facsímil")</f>
        <v>Abrir facsímil</v>
      </c>
      <c r="K3023" s="12" t="s">
        <v>65</v>
      </c>
    </row>
    <row r="3024" spans="1:11" ht="40.049999999999997" customHeight="1" x14ac:dyDescent="0.25">
      <c r="A3024" s="11" t="s">
        <v>6545</v>
      </c>
      <c r="B3024" s="11" t="s">
        <v>6546</v>
      </c>
      <c r="C3024" s="11" t="s">
        <v>17</v>
      </c>
      <c r="D3024" s="11" t="s">
        <v>18</v>
      </c>
      <c r="E3024" s="12" t="s">
        <v>2995</v>
      </c>
      <c r="F3024" s="12" t="s">
        <v>2996</v>
      </c>
      <c r="G3024" s="12" t="s">
        <v>21</v>
      </c>
      <c r="H3024" s="11" t="s">
        <v>63</v>
      </c>
      <c r="I3024" s="13" t="s">
        <v>6547</v>
      </c>
      <c r="J3024" s="14" t="str">
        <f>HYPERLINK("https://www.boe.es/gazeta/dias/1839/06/16/pdfs/GMD-1839-1674.pdf#page=4","Abrir facsímil")</f>
        <v>Abrir facsímil</v>
      </c>
      <c r="K3024" s="12" t="s">
        <v>65</v>
      </c>
    </row>
    <row r="3025" spans="1:11" ht="40.049999999999997" customHeight="1" x14ac:dyDescent="0.25">
      <c r="A3025" s="11" t="s">
        <v>6548</v>
      </c>
      <c r="B3025" s="11" t="s">
        <v>6549</v>
      </c>
      <c r="C3025" s="11" t="s">
        <v>17</v>
      </c>
      <c r="D3025" s="11" t="s">
        <v>18</v>
      </c>
      <c r="E3025" s="12" t="s">
        <v>202</v>
      </c>
      <c r="F3025" s="12" t="s">
        <v>203</v>
      </c>
      <c r="G3025" s="12" t="s">
        <v>46</v>
      </c>
      <c r="H3025" s="11" t="s">
        <v>63</v>
      </c>
      <c r="I3025" s="13" t="s">
        <v>6550</v>
      </c>
      <c r="J3025" s="14" t="str">
        <f>HYPERLINK("https://www.boe.es/gazeta/dias/1839/04/05/pdfs/GMD-1839-1602.pdf#page=3","Abrir facsímil")</f>
        <v>Abrir facsímil</v>
      </c>
      <c r="K3025" s="12" t="s">
        <v>65</v>
      </c>
    </row>
    <row r="3026" spans="1:11" ht="40.049999999999997" customHeight="1" x14ac:dyDescent="0.25">
      <c r="A3026" s="11" t="s">
        <v>6548</v>
      </c>
      <c r="B3026" s="11" t="s">
        <v>6549</v>
      </c>
      <c r="C3026" s="11" t="s">
        <v>17</v>
      </c>
      <c r="D3026" s="11" t="s">
        <v>18</v>
      </c>
      <c r="E3026" s="12" t="s">
        <v>2881</v>
      </c>
      <c r="F3026" s="12" t="s">
        <v>2882</v>
      </c>
      <c r="G3026" s="12" t="s">
        <v>40</v>
      </c>
      <c r="H3026" s="11" t="s">
        <v>63</v>
      </c>
      <c r="I3026" s="13" t="s">
        <v>6551</v>
      </c>
      <c r="J3026" s="14" t="str">
        <f>HYPERLINK("https://www.boe.es/gazeta/dias/1839/05/08/pdfs/GMD-1839-1635.pdf#page=2","Abrir facsímil")</f>
        <v>Abrir facsímil</v>
      </c>
      <c r="K3026" s="12" t="s">
        <v>65</v>
      </c>
    </row>
    <row r="3027" spans="1:11" ht="40.049999999999997" customHeight="1" x14ac:dyDescent="0.25">
      <c r="A3027" s="11" t="s">
        <v>6552</v>
      </c>
      <c r="B3027" s="11" t="s">
        <v>6553</v>
      </c>
      <c r="C3027" s="11" t="s">
        <v>137</v>
      </c>
      <c r="D3027" s="11" t="s">
        <v>18</v>
      </c>
      <c r="E3027" s="12" t="s">
        <v>185</v>
      </c>
      <c r="F3027" s="12" t="s">
        <v>186</v>
      </c>
      <c r="G3027" s="12" t="s">
        <v>21</v>
      </c>
      <c r="H3027" s="11" t="s">
        <v>63</v>
      </c>
      <c r="I3027" s="13" t="s">
        <v>6554</v>
      </c>
      <c r="J3027" s="14" t="str">
        <f>HYPERLINK("https://www.boe.es/gazeta/dias/1839/01/15/pdfs/GMD-1839-1522.pdf#page=4","Abrir facsímil")</f>
        <v>Abrir facsímil</v>
      </c>
      <c r="K3027" s="12" t="s">
        <v>65</v>
      </c>
    </row>
    <row r="3028" spans="1:11" ht="40.049999999999997" customHeight="1" x14ac:dyDescent="0.25">
      <c r="A3028" s="11" t="s">
        <v>6555</v>
      </c>
      <c r="B3028" s="11" t="s">
        <v>6556</v>
      </c>
      <c r="C3028" s="11" t="s">
        <v>59</v>
      </c>
      <c r="D3028" s="11" t="s">
        <v>60</v>
      </c>
      <c r="E3028" s="12" t="s">
        <v>704</v>
      </c>
      <c r="F3028" s="12" t="s">
        <v>705</v>
      </c>
      <c r="G3028" s="12" t="s">
        <v>29</v>
      </c>
      <c r="H3028" s="11" t="s">
        <v>63</v>
      </c>
      <c r="I3028" s="13" t="s">
        <v>6557</v>
      </c>
      <c r="J3028" s="14" t="str">
        <f>HYPERLINK("https://www.boe.es/gazeta/dias/1839/03/02/pdfs/GMD-1839-1568.pdf#page=1","Abrir facsímil")</f>
        <v>Abrir facsímil</v>
      </c>
      <c r="K3028" s="12" t="s">
        <v>65</v>
      </c>
    </row>
    <row r="3029" spans="1:11" ht="40.049999999999997" customHeight="1" x14ac:dyDescent="0.25">
      <c r="A3029" s="11" t="s">
        <v>6555</v>
      </c>
      <c r="B3029" s="11" t="s">
        <v>6556</v>
      </c>
      <c r="C3029" s="11" t="s">
        <v>101</v>
      </c>
      <c r="D3029" s="11" t="s">
        <v>43</v>
      </c>
      <c r="E3029" s="12" t="s">
        <v>2107</v>
      </c>
      <c r="F3029" s="12" t="s">
        <v>2108</v>
      </c>
      <c r="G3029" s="12" t="s">
        <v>46</v>
      </c>
      <c r="H3029" s="11" t="s">
        <v>63</v>
      </c>
      <c r="I3029" s="13" t="s">
        <v>6558</v>
      </c>
      <c r="J3029" s="14" t="str">
        <f>HYPERLINK("https://www.boe.es/gazeta/dias/1839/10/11/pdfs/GMD-1839-1797.pdf#page=3","Abrir facsímil")</f>
        <v>Abrir facsímil</v>
      </c>
      <c r="K3029" s="12" t="s">
        <v>65</v>
      </c>
    </row>
    <row r="3030" spans="1:11" ht="40.049999999999997" customHeight="1" x14ac:dyDescent="0.25">
      <c r="A3030" s="11" t="s">
        <v>6555</v>
      </c>
      <c r="B3030" s="11" t="s">
        <v>6556</v>
      </c>
      <c r="C3030" s="11" t="s">
        <v>101</v>
      </c>
      <c r="D3030" s="11" t="s">
        <v>43</v>
      </c>
      <c r="E3030" s="12" t="s">
        <v>185</v>
      </c>
      <c r="F3030" s="12" t="s">
        <v>186</v>
      </c>
      <c r="G3030" s="12" t="s">
        <v>40</v>
      </c>
      <c r="H3030" s="11" t="s">
        <v>63</v>
      </c>
      <c r="I3030" s="13" t="s">
        <v>6559</v>
      </c>
      <c r="J3030" s="14" t="str">
        <f>HYPERLINK("https://www.boe.es/gazeta/dias/1839/01/15/pdfs/GMD-1839-1522.pdf#page=2","Abrir facsímil")</f>
        <v>Abrir facsímil</v>
      </c>
      <c r="K3030" s="12" t="s">
        <v>65</v>
      </c>
    </row>
    <row r="3031" spans="1:11" ht="40.049999999999997" customHeight="1" x14ac:dyDescent="0.25">
      <c r="A3031" s="11" t="s">
        <v>6555</v>
      </c>
      <c r="B3031" s="11" t="s">
        <v>6556</v>
      </c>
      <c r="C3031" s="11" t="s">
        <v>17</v>
      </c>
      <c r="D3031" s="11" t="s">
        <v>18</v>
      </c>
      <c r="E3031" s="12" t="s">
        <v>236</v>
      </c>
      <c r="F3031" s="12" t="s">
        <v>237</v>
      </c>
      <c r="G3031" s="12" t="s">
        <v>40</v>
      </c>
      <c r="H3031" s="11" t="s">
        <v>63</v>
      </c>
      <c r="I3031" s="13" t="s">
        <v>6560</v>
      </c>
      <c r="J3031" s="14" t="str">
        <f>HYPERLINK("https://www.boe.es/gazeta/dias/1839/09/18/pdfs/GMD-1839-1771.pdf#page=2","Abrir facsímil")</f>
        <v>Abrir facsímil</v>
      </c>
      <c r="K3031" s="12" t="s">
        <v>65</v>
      </c>
    </row>
    <row r="3032" spans="1:11" ht="40.049999999999997" customHeight="1" x14ac:dyDescent="0.25">
      <c r="A3032" s="11" t="s">
        <v>6555</v>
      </c>
      <c r="B3032" s="11" t="s">
        <v>6556</v>
      </c>
      <c r="C3032" s="11" t="s">
        <v>59</v>
      </c>
      <c r="D3032" s="11" t="s">
        <v>60</v>
      </c>
      <c r="E3032" s="12" t="s">
        <v>1517</v>
      </c>
      <c r="F3032" s="12" t="s">
        <v>1518</v>
      </c>
      <c r="G3032" s="12" t="s">
        <v>29</v>
      </c>
      <c r="H3032" s="11" t="s">
        <v>63</v>
      </c>
      <c r="I3032" s="13" t="s">
        <v>6561</v>
      </c>
      <c r="J3032" s="14" t="str">
        <f>HYPERLINK("https://www.boe.es/gazeta/dias/1839/12/20/pdfs/GMD-1839-1867.pdf#page=1","Abrir facsímil")</f>
        <v>Abrir facsímil</v>
      </c>
      <c r="K3032" s="12" t="s">
        <v>65</v>
      </c>
    </row>
    <row r="3033" spans="1:11" ht="40.049999999999997" customHeight="1" x14ac:dyDescent="0.25">
      <c r="A3033" s="11" t="s">
        <v>6555</v>
      </c>
      <c r="B3033" s="11" t="s">
        <v>6556</v>
      </c>
      <c r="C3033" s="11" t="s">
        <v>137</v>
      </c>
      <c r="D3033" s="11" t="s">
        <v>18</v>
      </c>
      <c r="E3033" s="12" t="s">
        <v>794</v>
      </c>
      <c r="F3033" s="12" t="s">
        <v>795</v>
      </c>
      <c r="G3033" s="12" t="s">
        <v>40</v>
      </c>
      <c r="H3033" s="11" t="s">
        <v>63</v>
      </c>
      <c r="I3033" s="13" t="s">
        <v>6562</v>
      </c>
      <c r="J3033" s="14" t="str">
        <f>HYPERLINK("https://www.boe.es/gazeta/dias/1839/01/22/pdfs/GMD-1839-1529.pdf#page=2","Abrir facsímil")</f>
        <v>Abrir facsímil</v>
      </c>
      <c r="K3033" s="12" t="s">
        <v>65</v>
      </c>
    </row>
    <row r="3034" spans="1:11" ht="40.049999999999997" customHeight="1" x14ac:dyDescent="0.25">
      <c r="A3034" s="11" t="s">
        <v>6555</v>
      </c>
      <c r="B3034" s="11" t="s">
        <v>6556</v>
      </c>
      <c r="C3034" s="11" t="s">
        <v>137</v>
      </c>
      <c r="D3034" s="11" t="s">
        <v>18</v>
      </c>
      <c r="E3034" s="12" t="s">
        <v>94</v>
      </c>
      <c r="F3034" s="12" t="s">
        <v>95</v>
      </c>
      <c r="G3034" s="12" t="s">
        <v>29</v>
      </c>
      <c r="H3034" s="11" t="s">
        <v>63</v>
      </c>
      <c r="I3034" s="13" t="s">
        <v>6563</v>
      </c>
      <c r="J3034" s="14" t="str">
        <f>HYPERLINK("https://www.boe.es/gazeta/dias/1839/02/24/pdfs/GMD-1839-1562.pdf#page=1","Abrir facsímil")</f>
        <v>Abrir facsímil</v>
      </c>
      <c r="K3034" s="12" t="s">
        <v>65</v>
      </c>
    </row>
    <row r="3035" spans="1:11" ht="40.049999999999997" customHeight="1" x14ac:dyDescent="0.25">
      <c r="A3035" s="11" t="s">
        <v>6555</v>
      </c>
      <c r="B3035" s="11" t="s">
        <v>6556</v>
      </c>
      <c r="C3035" s="11" t="s">
        <v>17</v>
      </c>
      <c r="D3035" s="11" t="s">
        <v>18</v>
      </c>
      <c r="E3035" s="12" t="s">
        <v>416</v>
      </c>
      <c r="F3035" s="12" t="s">
        <v>417</v>
      </c>
      <c r="G3035" s="12" t="s">
        <v>21</v>
      </c>
      <c r="H3035" s="11" t="s">
        <v>63</v>
      </c>
      <c r="I3035" s="13" t="s">
        <v>6564</v>
      </c>
      <c r="J3035" s="14" t="str">
        <f>HYPERLINK("https://www.boe.es/gazeta/dias/1839/10/24/pdfs/GMD-1839-1810.pdf#page=4","Abrir facsímil")</f>
        <v>Abrir facsímil</v>
      </c>
      <c r="K3035" s="12" t="s">
        <v>65</v>
      </c>
    </row>
    <row r="3036" spans="1:11" ht="40.049999999999997" customHeight="1" x14ac:dyDescent="0.25">
      <c r="A3036" s="11" t="s">
        <v>6555</v>
      </c>
      <c r="B3036" s="11" t="s">
        <v>6556</v>
      </c>
      <c r="C3036" s="11" t="s">
        <v>101</v>
      </c>
      <c r="D3036" s="11" t="s">
        <v>43</v>
      </c>
      <c r="E3036" s="12" t="s">
        <v>650</v>
      </c>
      <c r="F3036" s="12" t="s">
        <v>651</v>
      </c>
      <c r="G3036" s="12" t="s">
        <v>21</v>
      </c>
      <c r="H3036" s="11" t="s">
        <v>63</v>
      </c>
      <c r="I3036" s="13" t="s">
        <v>6565</v>
      </c>
      <c r="J3036" s="14" t="str">
        <f>HYPERLINK("https://www.boe.es/gazeta/dias/1839/10/25/pdfs/GMD-1839-1811.pdf#page=4","Abrir facsímil")</f>
        <v>Abrir facsímil</v>
      </c>
      <c r="K3036" s="12" t="s">
        <v>65</v>
      </c>
    </row>
    <row r="3037" spans="1:11" ht="40.049999999999997" customHeight="1" x14ac:dyDescent="0.25">
      <c r="A3037" s="11" t="s">
        <v>6566</v>
      </c>
      <c r="B3037" s="11" t="s">
        <v>6567</v>
      </c>
      <c r="C3037" s="11" t="s">
        <v>101</v>
      </c>
      <c r="D3037" s="11" t="s">
        <v>43</v>
      </c>
      <c r="E3037" s="12" t="s">
        <v>1909</v>
      </c>
      <c r="F3037" s="12" t="s">
        <v>1910</v>
      </c>
      <c r="G3037" s="12" t="s">
        <v>46</v>
      </c>
      <c r="H3037" s="11" t="s">
        <v>63</v>
      </c>
      <c r="I3037" s="13" t="s">
        <v>6568</v>
      </c>
      <c r="J3037" s="14" t="str">
        <f>HYPERLINK("https://www.boe.es/gazeta/dias/1839/10/27/pdfs/GMD-1839-1813.pdf#page=3","Abrir facsímil")</f>
        <v>Abrir facsímil</v>
      </c>
      <c r="K3037" s="12" t="s">
        <v>65</v>
      </c>
    </row>
    <row r="3038" spans="1:11" ht="40.049999999999997" customHeight="1" x14ac:dyDescent="0.25">
      <c r="A3038" s="11" t="s">
        <v>6555</v>
      </c>
      <c r="B3038" s="11" t="s">
        <v>6556</v>
      </c>
      <c r="C3038" s="11" t="s">
        <v>17</v>
      </c>
      <c r="D3038" s="11" t="s">
        <v>18</v>
      </c>
      <c r="E3038" s="12" t="s">
        <v>1988</v>
      </c>
      <c r="F3038" s="12" t="s">
        <v>1989</v>
      </c>
      <c r="G3038" s="12" t="s">
        <v>46</v>
      </c>
      <c r="H3038" s="11" t="s">
        <v>63</v>
      </c>
      <c r="I3038" s="13" t="s">
        <v>6569</v>
      </c>
      <c r="J3038" s="14" t="str">
        <f>HYPERLINK("https://www.boe.es/gazeta/dias/1839/10/29/pdfs/GMD-1839-1815.pdf#page=3","Abrir facsímil")</f>
        <v>Abrir facsímil</v>
      </c>
      <c r="K3038" s="12" t="s">
        <v>65</v>
      </c>
    </row>
    <row r="3039" spans="1:11" ht="40.049999999999997" customHeight="1" x14ac:dyDescent="0.25">
      <c r="A3039" s="11" t="s">
        <v>6570</v>
      </c>
      <c r="B3039" s="11" t="s">
        <v>6571</v>
      </c>
      <c r="C3039" s="11" t="s">
        <v>59</v>
      </c>
      <c r="D3039" s="11" t="s">
        <v>60</v>
      </c>
      <c r="E3039" s="12" t="s">
        <v>108</v>
      </c>
      <c r="F3039" s="12" t="s">
        <v>109</v>
      </c>
      <c r="G3039" s="12" t="s">
        <v>40</v>
      </c>
      <c r="H3039" s="11" t="s">
        <v>63</v>
      </c>
      <c r="I3039" s="13" t="s">
        <v>6572</v>
      </c>
      <c r="J3039" s="14" t="str">
        <f>HYPERLINK("https://www.boe.es/gazeta/dias/1839/01/04/pdfs/GMD-1839-1511.pdf#page=2","Abrir facsímil")</f>
        <v>Abrir facsímil</v>
      </c>
      <c r="K3039" s="12" t="s">
        <v>65</v>
      </c>
    </row>
    <row r="3040" spans="1:11" ht="40.049999999999997" customHeight="1" x14ac:dyDescent="0.25">
      <c r="A3040" s="11" t="s">
        <v>6570</v>
      </c>
      <c r="B3040" s="11" t="s">
        <v>6571</v>
      </c>
      <c r="C3040" s="11" t="s">
        <v>17</v>
      </c>
      <c r="D3040" s="11" t="s">
        <v>18</v>
      </c>
      <c r="E3040" s="12" t="s">
        <v>1909</v>
      </c>
      <c r="F3040" s="12" t="s">
        <v>1910</v>
      </c>
      <c r="G3040" s="12" t="s">
        <v>46</v>
      </c>
      <c r="H3040" s="11" t="s">
        <v>63</v>
      </c>
      <c r="I3040" s="13" t="s">
        <v>6573</v>
      </c>
      <c r="J3040" s="14" t="str">
        <f>HYPERLINK("https://www.boe.es/gazeta/dias/1839/10/27/pdfs/GMD-1839-1813.pdf#page=3","Abrir facsímil")</f>
        <v>Abrir facsímil</v>
      </c>
      <c r="K3040" s="12" t="s">
        <v>65</v>
      </c>
    </row>
    <row r="3041" spans="1:11" ht="40.049999999999997" customHeight="1" x14ac:dyDescent="0.25">
      <c r="A3041" s="11" t="s">
        <v>6574</v>
      </c>
      <c r="B3041" s="11" t="s">
        <v>6575</v>
      </c>
      <c r="C3041" s="11" t="s">
        <v>137</v>
      </c>
      <c r="D3041" s="11" t="s">
        <v>18</v>
      </c>
      <c r="E3041" s="12" t="s">
        <v>474</v>
      </c>
      <c r="F3041" s="12" t="s">
        <v>475</v>
      </c>
      <c r="G3041" s="12" t="s">
        <v>21</v>
      </c>
      <c r="H3041" s="11" t="s">
        <v>22</v>
      </c>
      <c r="I3041" s="13" t="s">
        <v>6576</v>
      </c>
      <c r="J3041" s="14" t="str">
        <f>HYPERLINK("https://www.boe.es/gazeta/dias/1839/03/31/pdfs/GMD-1839-1597.pdf#page=4","Abrir facsímil")</f>
        <v>Abrir facsímil</v>
      </c>
      <c r="K3041" s="12" t="s">
        <v>24</v>
      </c>
    </row>
    <row r="3042" spans="1:11" ht="40.049999999999997" customHeight="1" x14ac:dyDescent="0.25">
      <c r="A3042" s="11" t="s">
        <v>6577</v>
      </c>
      <c r="B3042" s="11" t="s">
        <v>6578</v>
      </c>
      <c r="C3042" s="11" t="s">
        <v>137</v>
      </c>
      <c r="D3042" s="11" t="s">
        <v>18</v>
      </c>
      <c r="E3042" s="12" t="s">
        <v>76</v>
      </c>
      <c r="F3042" s="12" t="s">
        <v>77</v>
      </c>
      <c r="G3042" s="12" t="s">
        <v>46</v>
      </c>
      <c r="H3042" s="11" t="s">
        <v>63</v>
      </c>
      <c r="I3042" s="13" t="s">
        <v>6579</v>
      </c>
      <c r="J3042" s="14" t="str">
        <f>HYPERLINK("https://www.boe.es/gazeta/dias/1839/03/13/pdfs/GMD-1839-1579.pdf#page=3","Abrir facsímil")</f>
        <v>Abrir facsímil</v>
      </c>
      <c r="K3042" s="12" t="s">
        <v>65</v>
      </c>
    </row>
    <row r="3043" spans="1:11" ht="40.049999999999997" customHeight="1" x14ac:dyDescent="0.25">
      <c r="A3043" s="11" t="s">
        <v>6580</v>
      </c>
      <c r="B3043" s="11" t="s">
        <v>6581</v>
      </c>
      <c r="C3043" s="11" t="s">
        <v>17</v>
      </c>
      <c r="D3043" s="11" t="s">
        <v>18</v>
      </c>
      <c r="E3043" s="12" t="s">
        <v>1118</v>
      </c>
      <c r="F3043" s="12" t="s">
        <v>1119</v>
      </c>
      <c r="G3043" s="12" t="s">
        <v>21</v>
      </c>
      <c r="H3043" s="11" t="s">
        <v>63</v>
      </c>
      <c r="I3043" s="13" t="s">
        <v>6582</v>
      </c>
      <c r="J3043" s="14" t="str">
        <f>HYPERLINK("https://www.boe.es/gazeta/dias/1839/08/30/pdfs/GMD-1839-1751.pdf#page=4","Abrir facsímil")</f>
        <v>Abrir facsímil</v>
      </c>
      <c r="K3043" s="12" t="s">
        <v>65</v>
      </c>
    </row>
    <row r="3044" spans="1:11" ht="40.049999999999997" customHeight="1" x14ac:dyDescent="0.25">
      <c r="A3044" s="11" t="s">
        <v>6583</v>
      </c>
      <c r="B3044" s="11" t="s">
        <v>6584</v>
      </c>
      <c r="C3044" s="11" t="s">
        <v>59</v>
      </c>
      <c r="D3044" s="11" t="s">
        <v>60</v>
      </c>
      <c r="E3044" s="12" t="s">
        <v>1584</v>
      </c>
      <c r="F3044" s="12" t="s">
        <v>1585</v>
      </c>
      <c r="G3044" s="12" t="s">
        <v>21</v>
      </c>
      <c r="H3044" s="11" t="s">
        <v>22</v>
      </c>
      <c r="I3044" s="13" t="s">
        <v>6585</v>
      </c>
      <c r="J3044" s="14" t="str">
        <f>HYPERLINK("https://www.boe.es/gazeta/dias/1839/11/20/pdfs/GMD-1839-1837.pdf#page=4","Abrir facsímil")</f>
        <v>Abrir facsímil</v>
      </c>
      <c r="K3044" s="12" t="s">
        <v>24</v>
      </c>
    </row>
    <row r="3045" spans="1:11" ht="40.049999999999997" customHeight="1" x14ac:dyDescent="0.25">
      <c r="A3045" s="11" t="s">
        <v>6586</v>
      </c>
      <c r="B3045" s="11" t="s">
        <v>6587</v>
      </c>
      <c r="C3045" s="11" t="s">
        <v>17</v>
      </c>
      <c r="D3045" s="11" t="s">
        <v>18</v>
      </c>
      <c r="E3045" s="12" t="s">
        <v>2449</v>
      </c>
      <c r="F3045" s="12" t="s">
        <v>2450</v>
      </c>
      <c r="G3045" s="12" t="s">
        <v>40</v>
      </c>
      <c r="H3045" s="11" t="s">
        <v>63</v>
      </c>
      <c r="I3045" s="13" t="s">
        <v>6588</v>
      </c>
      <c r="J3045" s="14" t="str">
        <f>HYPERLINK("https://www.boe.es/gazeta/dias/1839/12/11/pdfs/GMD-1839-1858.pdf#page=2","Abrir facsímil")</f>
        <v>Abrir facsímil</v>
      </c>
      <c r="K3045" s="12" t="s">
        <v>65</v>
      </c>
    </row>
    <row r="3046" spans="1:11" ht="40.049999999999997" customHeight="1" x14ac:dyDescent="0.25">
      <c r="A3046" s="11" t="s">
        <v>6589</v>
      </c>
      <c r="B3046" s="11" t="s">
        <v>6590</v>
      </c>
      <c r="C3046" s="11" t="s">
        <v>17</v>
      </c>
      <c r="D3046" s="11" t="s">
        <v>18</v>
      </c>
      <c r="E3046" s="12" t="s">
        <v>202</v>
      </c>
      <c r="F3046" s="12" t="s">
        <v>203</v>
      </c>
      <c r="G3046" s="12" t="s">
        <v>40</v>
      </c>
      <c r="H3046" s="11" t="s">
        <v>63</v>
      </c>
      <c r="I3046" s="13" t="s">
        <v>6591</v>
      </c>
      <c r="J3046" s="14" t="str">
        <f>HYPERLINK("https://www.boe.es/gazeta/dias/1839/04/05/pdfs/GMD-1839-1602.pdf#page=2","Abrir facsímil")</f>
        <v>Abrir facsímil</v>
      </c>
      <c r="K3046" s="12" t="s">
        <v>65</v>
      </c>
    </row>
    <row r="3047" spans="1:11" ht="40.049999999999997" customHeight="1" x14ac:dyDescent="0.25">
      <c r="A3047" s="11" t="s">
        <v>6589</v>
      </c>
      <c r="B3047" s="11" t="s">
        <v>6590</v>
      </c>
      <c r="C3047" s="11" t="s">
        <v>17</v>
      </c>
      <c r="D3047" s="11" t="s">
        <v>18</v>
      </c>
      <c r="E3047" s="12" t="s">
        <v>903</v>
      </c>
      <c r="F3047" s="12" t="s">
        <v>904</v>
      </c>
      <c r="G3047" s="12" t="s">
        <v>40</v>
      </c>
      <c r="H3047" s="11" t="s">
        <v>63</v>
      </c>
      <c r="I3047" s="13" t="s">
        <v>6592</v>
      </c>
      <c r="J3047" s="14" t="str">
        <f>HYPERLINK("https://www.boe.es/gazeta/dias/1839/03/14/pdfs/GMD-1839-1580.pdf#page=2","Abrir facsímil")</f>
        <v>Abrir facsímil</v>
      </c>
      <c r="K3047" s="12" t="s">
        <v>65</v>
      </c>
    </row>
    <row r="3048" spans="1:11" ht="40.049999999999997" customHeight="1" x14ac:dyDescent="0.25">
      <c r="A3048" s="11" t="s">
        <v>6593</v>
      </c>
      <c r="B3048" s="11" t="s">
        <v>6594</v>
      </c>
      <c r="C3048" s="11" t="s">
        <v>59</v>
      </c>
      <c r="D3048" s="11" t="s">
        <v>60</v>
      </c>
      <c r="E3048" s="12" t="s">
        <v>1374</v>
      </c>
      <c r="F3048" s="12" t="s">
        <v>1375</v>
      </c>
      <c r="G3048" s="12" t="s">
        <v>40</v>
      </c>
      <c r="H3048" s="11" t="s">
        <v>63</v>
      </c>
      <c r="I3048" s="13" t="s">
        <v>6595</v>
      </c>
      <c r="J3048" s="14" t="str">
        <f>HYPERLINK("https://www.boe.es/gazeta/dias/1839/07/20/pdfs/GMD-1839-1708.pdf#page=2","Abrir facsímil")</f>
        <v>Abrir facsímil</v>
      </c>
      <c r="K3048" s="12" t="s">
        <v>65</v>
      </c>
    </row>
    <row r="3049" spans="1:11" ht="40.049999999999997" customHeight="1" x14ac:dyDescent="0.25">
      <c r="A3049" s="11" t="s">
        <v>6596</v>
      </c>
      <c r="B3049" s="11" t="s">
        <v>6597</v>
      </c>
      <c r="C3049" s="11" t="s">
        <v>59</v>
      </c>
      <c r="D3049" s="11" t="s">
        <v>60</v>
      </c>
      <c r="E3049" s="12" t="s">
        <v>2050</v>
      </c>
      <c r="F3049" s="12" t="s">
        <v>2051</v>
      </c>
      <c r="G3049" s="12" t="s">
        <v>21</v>
      </c>
      <c r="H3049" s="11" t="s">
        <v>22</v>
      </c>
      <c r="I3049" s="13" t="s">
        <v>6598</v>
      </c>
      <c r="J3049" s="14" t="str">
        <f>HYPERLINK("https://www.boe.es/gazeta/dias/1839/01/09/pdfs/GMD-1839-1516.pdf#page=4","Abrir facsímil")</f>
        <v>Abrir facsímil</v>
      </c>
      <c r="K3049" s="12" t="s">
        <v>24</v>
      </c>
    </row>
    <row r="3050" spans="1:11" ht="40.049999999999997" customHeight="1" x14ac:dyDescent="0.25">
      <c r="A3050" s="11" t="s">
        <v>6599</v>
      </c>
      <c r="B3050" s="11" t="s">
        <v>6600</v>
      </c>
      <c r="C3050" s="11" t="s">
        <v>80</v>
      </c>
      <c r="D3050" s="11" t="s">
        <v>18</v>
      </c>
      <c r="E3050" s="12" t="s">
        <v>462</v>
      </c>
      <c r="F3050" s="12" t="s">
        <v>463</v>
      </c>
      <c r="G3050" s="12" t="s">
        <v>21</v>
      </c>
      <c r="H3050" s="11" t="s">
        <v>63</v>
      </c>
      <c r="I3050" s="13" t="s">
        <v>6601</v>
      </c>
      <c r="J3050" s="14" t="str">
        <f>HYPERLINK("https://www.boe.es/gazeta/dias/1839/06/19/pdfs/GMD-1839-1677.pdf#page=4","Abrir facsímil")</f>
        <v>Abrir facsímil</v>
      </c>
      <c r="K3050" s="12" t="s">
        <v>65</v>
      </c>
    </row>
    <row r="3051" spans="1:11" ht="40.049999999999997" customHeight="1" x14ac:dyDescent="0.25">
      <c r="A3051" s="11" t="s">
        <v>6602</v>
      </c>
      <c r="B3051" s="11" t="s">
        <v>6603</v>
      </c>
      <c r="C3051" s="11" t="s">
        <v>137</v>
      </c>
      <c r="D3051" s="11" t="s">
        <v>18</v>
      </c>
      <c r="E3051" s="12" t="s">
        <v>3601</v>
      </c>
      <c r="F3051" s="12" t="s">
        <v>3602</v>
      </c>
      <c r="G3051" s="12" t="s">
        <v>29</v>
      </c>
      <c r="H3051" s="11" t="s">
        <v>63</v>
      </c>
      <c r="I3051" s="13" t="s">
        <v>6604</v>
      </c>
      <c r="J3051" s="14" t="str">
        <f>HYPERLINK("https://www.boe.es/gazeta/dias/1839/03/21/pdfs/GMD-1839-1587.pdf#page=1","Abrir facsímil")</f>
        <v>Abrir facsímil</v>
      </c>
      <c r="K3051" s="12" t="s">
        <v>65</v>
      </c>
    </row>
    <row r="3052" spans="1:11" ht="40.049999999999997" customHeight="1" x14ac:dyDescent="0.25">
      <c r="A3052" s="11" t="s">
        <v>6605</v>
      </c>
      <c r="B3052" s="11" t="s">
        <v>6606</v>
      </c>
      <c r="C3052" s="11" t="s">
        <v>80</v>
      </c>
      <c r="D3052" s="11" t="s">
        <v>173</v>
      </c>
      <c r="E3052" s="12" t="s">
        <v>704</v>
      </c>
      <c r="F3052" s="12" t="s">
        <v>705</v>
      </c>
      <c r="G3052" s="12" t="s">
        <v>29</v>
      </c>
      <c r="H3052" s="11" t="s">
        <v>63</v>
      </c>
      <c r="I3052" s="13" t="s">
        <v>6607</v>
      </c>
      <c r="J3052" s="14" t="str">
        <f>HYPERLINK("https://www.boe.es/gazeta/dias/1839/03/02/pdfs/GMD-1839-1568.pdf#page=1","Abrir facsímil")</f>
        <v>Abrir facsímil</v>
      </c>
      <c r="K3052" s="12" t="s">
        <v>65</v>
      </c>
    </row>
    <row r="3053" spans="1:11" ht="40.049999999999997" customHeight="1" x14ac:dyDescent="0.25">
      <c r="A3053" s="11" t="s">
        <v>6608</v>
      </c>
      <c r="B3053" s="11" t="s">
        <v>6609</v>
      </c>
      <c r="C3053" s="11" t="s">
        <v>137</v>
      </c>
      <c r="D3053" s="11" t="s">
        <v>18</v>
      </c>
      <c r="E3053" s="12" t="s">
        <v>1079</v>
      </c>
      <c r="F3053" s="12" t="s">
        <v>1080</v>
      </c>
      <c r="G3053" s="12" t="s">
        <v>21</v>
      </c>
      <c r="H3053" s="11" t="s">
        <v>63</v>
      </c>
      <c r="I3053" s="13" t="s">
        <v>6610</v>
      </c>
      <c r="J3053" s="14" t="str">
        <f>HYPERLINK("https://www.boe.es/gazeta/dias/1839/05/24/pdfs/GMD-1839-1651.pdf#page=4","Abrir facsímil")</f>
        <v>Abrir facsímil</v>
      </c>
      <c r="K3053" s="12" t="s">
        <v>65</v>
      </c>
    </row>
    <row r="3054" spans="1:11" ht="40.049999999999997" customHeight="1" x14ac:dyDescent="0.25">
      <c r="A3054" s="11" t="s">
        <v>6611</v>
      </c>
      <c r="B3054" s="11" t="s">
        <v>6612</v>
      </c>
      <c r="C3054" s="11" t="s">
        <v>17</v>
      </c>
      <c r="D3054" s="11" t="s">
        <v>18</v>
      </c>
      <c r="E3054" s="12" t="s">
        <v>1749</v>
      </c>
      <c r="F3054" s="12" t="s">
        <v>1750</v>
      </c>
      <c r="G3054" s="12" t="s">
        <v>29</v>
      </c>
      <c r="H3054" s="11" t="s">
        <v>63</v>
      </c>
      <c r="I3054" s="13" t="s">
        <v>6613</v>
      </c>
      <c r="J3054" s="14" t="str">
        <f>HYPERLINK("https://www.boe.es/gazeta/dias/1839/06/28/pdfs/GMD-1839-1686.pdf#page=1","Abrir facsímil")</f>
        <v>Abrir facsímil</v>
      </c>
      <c r="K3054" s="12" t="s">
        <v>65</v>
      </c>
    </row>
    <row r="3055" spans="1:11" ht="40.049999999999997" customHeight="1" x14ac:dyDescent="0.25">
      <c r="A3055" s="11" t="s">
        <v>6614</v>
      </c>
      <c r="B3055" s="11" t="s">
        <v>6615</v>
      </c>
      <c r="C3055" s="11" t="s">
        <v>17</v>
      </c>
      <c r="D3055" s="11" t="s">
        <v>18</v>
      </c>
      <c r="E3055" s="12" t="s">
        <v>4472</v>
      </c>
      <c r="F3055" s="12" t="s">
        <v>4473</v>
      </c>
      <c r="G3055" s="12" t="s">
        <v>21</v>
      </c>
      <c r="H3055" s="11" t="s">
        <v>63</v>
      </c>
      <c r="I3055" s="13" t="s">
        <v>6616</v>
      </c>
      <c r="J3055" s="14" t="str">
        <f>HYPERLINK("https://www.boe.es/gazeta/dias/1839/08/03/pdfs/GMD-1839-1723.pdf#page=4","Abrir facsímil")</f>
        <v>Abrir facsímil</v>
      </c>
      <c r="K3055" s="12" t="s">
        <v>65</v>
      </c>
    </row>
    <row r="3056" spans="1:11" ht="40.049999999999997" customHeight="1" x14ac:dyDescent="0.25">
      <c r="A3056" s="11" t="s">
        <v>6617</v>
      </c>
      <c r="B3056" s="11" t="s">
        <v>6618</v>
      </c>
      <c r="C3056" s="11" t="s">
        <v>17</v>
      </c>
      <c r="D3056" s="11" t="s">
        <v>18</v>
      </c>
      <c r="E3056" s="12" t="s">
        <v>469</v>
      </c>
      <c r="F3056" s="12" t="s">
        <v>470</v>
      </c>
      <c r="G3056" s="12" t="s">
        <v>21</v>
      </c>
      <c r="H3056" s="11" t="s">
        <v>63</v>
      </c>
      <c r="I3056" s="13" t="s">
        <v>6619</v>
      </c>
      <c r="J3056" s="14" t="str">
        <f>HYPERLINK("https://www.boe.es/gazeta/dias/1839/08/20/pdfs/GMD-1839-1741.pdf#page=4","Abrir facsímil")</f>
        <v>Abrir facsímil</v>
      </c>
      <c r="K3056" s="12" t="s">
        <v>65</v>
      </c>
    </row>
    <row r="3057" spans="1:11" ht="40.049999999999997" customHeight="1" x14ac:dyDescent="0.25">
      <c r="A3057" s="11" t="s">
        <v>6617</v>
      </c>
      <c r="B3057" s="11" t="s">
        <v>6618</v>
      </c>
      <c r="C3057" s="11" t="s">
        <v>137</v>
      </c>
      <c r="D3057" s="11" t="s">
        <v>18</v>
      </c>
      <c r="E3057" s="12" t="s">
        <v>1497</v>
      </c>
      <c r="F3057" s="12" t="s">
        <v>1498</v>
      </c>
      <c r="G3057" s="12" t="s">
        <v>21</v>
      </c>
      <c r="H3057" s="11" t="s">
        <v>63</v>
      </c>
      <c r="I3057" s="13" t="s">
        <v>6620</v>
      </c>
      <c r="J3057" s="14" t="str">
        <f>HYPERLINK("https://www.boe.es/gazeta/dias/1839/08/23/pdfs/GMD-1839-1744.pdf#page=4","Abrir facsímil")</f>
        <v>Abrir facsímil</v>
      </c>
      <c r="K3057" s="12" t="s">
        <v>65</v>
      </c>
    </row>
    <row r="3058" spans="1:11" ht="40.049999999999997" customHeight="1" x14ac:dyDescent="0.25">
      <c r="A3058" s="11" t="s">
        <v>6621</v>
      </c>
      <c r="B3058" s="11" t="s">
        <v>6622</v>
      </c>
      <c r="C3058" s="11" t="s">
        <v>17</v>
      </c>
      <c r="D3058" s="11" t="s">
        <v>18</v>
      </c>
      <c r="E3058" s="12" t="s">
        <v>695</v>
      </c>
      <c r="F3058" s="12" t="s">
        <v>696</v>
      </c>
      <c r="G3058" s="12" t="s">
        <v>46</v>
      </c>
      <c r="H3058" s="11" t="s">
        <v>63</v>
      </c>
      <c r="I3058" s="13" t="s">
        <v>6623</v>
      </c>
      <c r="J3058" s="14" t="str">
        <f>HYPERLINK("https://www.boe.es/gazeta/dias/1839/12/19/pdfs/GMD-1839-1866.pdf#page=3","Abrir facsímil")</f>
        <v>Abrir facsímil</v>
      </c>
      <c r="K3058" s="12" t="s">
        <v>65</v>
      </c>
    </row>
    <row r="3059" spans="1:11" ht="40.049999999999997" customHeight="1" x14ac:dyDescent="0.25">
      <c r="A3059" s="11" t="s">
        <v>6624</v>
      </c>
      <c r="B3059" s="11" t="s">
        <v>6625</v>
      </c>
      <c r="C3059" s="11" t="s">
        <v>137</v>
      </c>
      <c r="D3059" s="11" t="s">
        <v>18</v>
      </c>
      <c r="E3059" s="12" t="s">
        <v>1086</v>
      </c>
      <c r="F3059" s="12" t="s">
        <v>1087</v>
      </c>
      <c r="G3059" s="12" t="s">
        <v>21</v>
      </c>
      <c r="H3059" s="11" t="s">
        <v>63</v>
      </c>
      <c r="I3059" s="13" t="s">
        <v>6626</v>
      </c>
      <c r="J3059" s="14" t="str">
        <f>HYPERLINK("https://www.boe.es/gazeta/dias/1839/10/26/pdfs/GMD-1839-1812.pdf#page=4","Abrir facsímil")</f>
        <v>Abrir facsímil</v>
      </c>
      <c r="K3059" s="12" t="s">
        <v>65</v>
      </c>
    </row>
    <row r="3060" spans="1:11" ht="40.049999999999997" customHeight="1" x14ac:dyDescent="0.25">
      <c r="A3060" s="11" t="s">
        <v>6627</v>
      </c>
      <c r="B3060" s="11" t="s">
        <v>6628</v>
      </c>
      <c r="C3060" s="11" t="s">
        <v>17</v>
      </c>
      <c r="D3060" s="11" t="s">
        <v>18</v>
      </c>
      <c r="E3060" s="12" t="s">
        <v>258</v>
      </c>
      <c r="F3060" s="12" t="s">
        <v>259</v>
      </c>
      <c r="G3060" s="12" t="s">
        <v>40</v>
      </c>
      <c r="H3060" s="11" t="s">
        <v>63</v>
      </c>
      <c r="I3060" s="13" t="s">
        <v>6629</v>
      </c>
      <c r="J3060" s="14" t="str">
        <f>HYPERLINK("https://www.boe.es/gazeta/dias/1839/01/02/pdfs/GMD-1839-1509.pdf#page=2","Abrir facsímil")</f>
        <v>Abrir facsímil</v>
      </c>
      <c r="K3060" s="12" t="s">
        <v>65</v>
      </c>
    </row>
    <row r="3061" spans="1:11" ht="40.049999999999997" customHeight="1" x14ac:dyDescent="0.25">
      <c r="A3061" s="11" t="s">
        <v>6630</v>
      </c>
      <c r="B3061" s="11" t="s">
        <v>6631</v>
      </c>
      <c r="C3061" s="11" t="s">
        <v>17</v>
      </c>
      <c r="D3061" s="11" t="s">
        <v>18</v>
      </c>
      <c r="E3061" s="12" t="s">
        <v>1027</v>
      </c>
      <c r="F3061" s="12" t="s">
        <v>1028</v>
      </c>
      <c r="G3061" s="12" t="s">
        <v>21</v>
      </c>
      <c r="H3061" s="11" t="s">
        <v>63</v>
      </c>
      <c r="I3061" s="13" t="s">
        <v>6632</v>
      </c>
      <c r="J3061" s="14" t="str">
        <f>HYPERLINK("https://www.boe.es/gazeta/dias/1839/08/16/pdfs/GMD-1839-1736.pdf#page=4","Abrir facsímil")</f>
        <v>Abrir facsímil</v>
      </c>
      <c r="K3061" s="12" t="s">
        <v>65</v>
      </c>
    </row>
    <row r="3062" spans="1:11" ht="40.049999999999997" customHeight="1" x14ac:dyDescent="0.25">
      <c r="A3062" s="11" t="s">
        <v>6633</v>
      </c>
      <c r="B3062" s="11" t="s">
        <v>6634</v>
      </c>
      <c r="C3062" s="11" t="s">
        <v>17</v>
      </c>
      <c r="D3062" s="11" t="s">
        <v>18</v>
      </c>
      <c r="E3062" s="12" t="s">
        <v>2117</v>
      </c>
      <c r="F3062" s="12" t="s">
        <v>2118</v>
      </c>
      <c r="G3062" s="12" t="s">
        <v>46</v>
      </c>
      <c r="H3062" s="11" t="s">
        <v>63</v>
      </c>
      <c r="I3062" s="13" t="s">
        <v>6635</v>
      </c>
      <c r="J3062" s="14" t="str">
        <f>HYPERLINK("https://www.boe.es/gazeta/dias/1839/06/23/pdfs/GMD-1839-1681.pdf#page=3","Abrir facsímil")</f>
        <v>Abrir facsímil</v>
      </c>
      <c r="K3062" s="12" t="s">
        <v>65</v>
      </c>
    </row>
    <row r="3063" spans="1:11" ht="40.049999999999997" customHeight="1" x14ac:dyDescent="0.25">
      <c r="A3063" s="11" t="s">
        <v>6636</v>
      </c>
      <c r="B3063" s="11" t="s">
        <v>6637</v>
      </c>
      <c r="C3063" s="11" t="s">
        <v>137</v>
      </c>
      <c r="D3063" s="11" t="s">
        <v>18</v>
      </c>
      <c r="E3063" s="12" t="s">
        <v>2138</v>
      </c>
      <c r="F3063" s="12" t="s">
        <v>2139</v>
      </c>
      <c r="G3063" s="12" t="s">
        <v>46</v>
      </c>
      <c r="H3063" s="11" t="s">
        <v>63</v>
      </c>
      <c r="I3063" s="13" t="s">
        <v>6638</v>
      </c>
      <c r="J3063" s="14" t="str">
        <f>HYPERLINK("https://www.boe.es/gazeta/dias/1839/10/02/pdfs/GMD-1839-1788.pdf#page=3","Abrir facsímil")</f>
        <v>Abrir facsímil</v>
      </c>
      <c r="K3063" s="12" t="s">
        <v>65</v>
      </c>
    </row>
    <row r="3064" spans="1:11" ht="40.049999999999997" customHeight="1" x14ac:dyDescent="0.25">
      <c r="A3064" s="11" t="s">
        <v>6636</v>
      </c>
      <c r="B3064" s="11" t="s">
        <v>6637</v>
      </c>
      <c r="C3064" s="11" t="s">
        <v>101</v>
      </c>
      <c r="D3064" s="11" t="s">
        <v>43</v>
      </c>
      <c r="E3064" s="12" t="s">
        <v>1100</v>
      </c>
      <c r="F3064" s="12" t="s">
        <v>1101</v>
      </c>
      <c r="G3064" s="12" t="s">
        <v>40</v>
      </c>
      <c r="H3064" s="11" t="s">
        <v>63</v>
      </c>
      <c r="I3064" s="13" t="s">
        <v>6639</v>
      </c>
      <c r="J3064" s="14" t="str">
        <f>HYPERLINK("https://www.boe.es/gazeta/dias/1839/09/13/pdfs/GMD-1839-1766.pdf#page=2","Abrir facsímil")</f>
        <v>Abrir facsímil</v>
      </c>
      <c r="K3064" s="12" t="s">
        <v>65</v>
      </c>
    </row>
    <row r="3065" spans="1:11" ht="40.049999999999997" customHeight="1" x14ac:dyDescent="0.25">
      <c r="A3065" s="11" t="s">
        <v>6636</v>
      </c>
      <c r="B3065" s="11" t="s">
        <v>6637</v>
      </c>
      <c r="C3065" s="11" t="s">
        <v>17</v>
      </c>
      <c r="D3065" s="11" t="s">
        <v>18</v>
      </c>
      <c r="E3065" s="12" t="s">
        <v>1086</v>
      </c>
      <c r="F3065" s="12" t="s">
        <v>1087</v>
      </c>
      <c r="G3065" s="12" t="s">
        <v>40</v>
      </c>
      <c r="H3065" s="11" t="s">
        <v>63</v>
      </c>
      <c r="I3065" s="13" t="s">
        <v>6640</v>
      </c>
      <c r="J3065" s="14" t="str">
        <f>HYPERLINK("https://www.boe.es/gazeta/dias/1839/10/26/pdfs/GMD-1839-1812.pdf#page=2","Abrir facsímil")</f>
        <v>Abrir facsímil</v>
      </c>
      <c r="K3065" s="12" t="s">
        <v>65</v>
      </c>
    </row>
    <row r="3066" spans="1:11" ht="40.049999999999997" customHeight="1" x14ac:dyDescent="0.25">
      <c r="A3066" s="11" t="s">
        <v>6641</v>
      </c>
      <c r="B3066" s="11" t="s">
        <v>6642</v>
      </c>
      <c r="C3066" s="11" t="s">
        <v>101</v>
      </c>
      <c r="D3066" s="11" t="s">
        <v>43</v>
      </c>
      <c r="E3066" s="12" t="s">
        <v>262</v>
      </c>
      <c r="F3066" s="12" t="s">
        <v>263</v>
      </c>
      <c r="G3066" s="12" t="s">
        <v>46</v>
      </c>
      <c r="H3066" s="11" t="s">
        <v>63</v>
      </c>
      <c r="I3066" s="13" t="s">
        <v>6643</v>
      </c>
      <c r="J3066" s="14" t="str">
        <f>HYPERLINK("https://www.boe.es/gazeta/dias/1839/01/01/pdfs/GMD-1839-1508.pdf#page=3","Abrir facsímil")</f>
        <v>Abrir facsímil</v>
      </c>
      <c r="K3066" s="12" t="s">
        <v>65</v>
      </c>
    </row>
    <row r="3067" spans="1:11" ht="40.049999999999997" customHeight="1" x14ac:dyDescent="0.25">
      <c r="A3067" s="11" t="s">
        <v>6644</v>
      </c>
      <c r="B3067" s="11" t="s">
        <v>6645</v>
      </c>
      <c r="C3067" s="11" t="s">
        <v>17</v>
      </c>
      <c r="D3067" s="11" t="s">
        <v>18</v>
      </c>
      <c r="E3067" s="12" t="s">
        <v>68</v>
      </c>
      <c r="F3067" s="12" t="s">
        <v>69</v>
      </c>
      <c r="G3067" s="12" t="s">
        <v>40</v>
      </c>
      <c r="H3067" s="11" t="s">
        <v>63</v>
      </c>
      <c r="I3067" s="13" t="s">
        <v>6646</v>
      </c>
      <c r="J3067" s="14" t="str">
        <f>HYPERLINK("https://www.boe.es/gazeta/dias/1839/02/09/pdfs/GMD-1839-1547.pdf#page=2","Abrir facsímil")</f>
        <v>Abrir facsímil</v>
      </c>
      <c r="K3067" s="12" t="s">
        <v>65</v>
      </c>
    </row>
    <row r="3068" spans="1:11" ht="40.049999999999997" customHeight="1" x14ac:dyDescent="0.25">
      <c r="A3068" s="11" t="s">
        <v>6647</v>
      </c>
      <c r="B3068" s="11" t="s">
        <v>6648</v>
      </c>
      <c r="C3068" s="11" t="s">
        <v>137</v>
      </c>
      <c r="D3068" s="11" t="s">
        <v>18</v>
      </c>
      <c r="E3068" s="12" t="s">
        <v>448</v>
      </c>
      <c r="F3068" s="12" t="s">
        <v>449</v>
      </c>
      <c r="G3068" s="12" t="s">
        <v>40</v>
      </c>
      <c r="H3068" s="11" t="s">
        <v>63</v>
      </c>
      <c r="I3068" s="13" t="s">
        <v>6649</v>
      </c>
      <c r="J3068" s="14" t="str">
        <f>HYPERLINK("https://www.boe.es/gazeta/dias/1839/02/06/pdfs/GMD-1839-1544.pdf#page=2","Abrir facsímil")</f>
        <v>Abrir facsímil</v>
      </c>
      <c r="K3068" s="12" t="s">
        <v>65</v>
      </c>
    </row>
    <row r="3069" spans="1:11" ht="40.049999999999997" customHeight="1" x14ac:dyDescent="0.25">
      <c r="A3069" s="11" t="s">
        <v>6647</v>
      </c>
      <c r="B3069" s="11" t="s">
        <v>6648</v>
      </c>
      <c r="C3069" s="11" t="s">
        <v>101</v>
      </c>
      <c r="D3069" s="11" t="s">
        <v>43</v>
      </c>
      <c r="E3069" s="12" t="s">
        <v>647</v>
      </c>
      <c r="F3069" s="12" t="s">
        <v>648</v>
      </c>
      <c r="G3069" s="12" t="s">
        <v>46</v>
      </c>
      <c r="H3069" s="11" t="s">
        <v>63</v>
      </c>
      <c r="I3069" s="13" t="s">
        <v>6650</v>
      </c>
      <c r="J3069" s="14" t="str">
        <f>HYPERLINK("https://www.boe.es/gazeta/dias/1839/10/08/pdfs/GMD-1839-1794.pdf#page=3","Abrir facsímil")</f>
        <v>Abrir facsímil</v>
      </c>
      <c r="K3069" s="12" t="s">
        <v>65</v>
      </c>
    </row>
    <row r="3070" spans="1:11" ht="40.049999999999997" customHeight="1" x14ac:dyDescent="0.25">
      <c r="A3070" s="11" t="s">
        <v>6647</v>
      </c>
      <c r="B3070" s="11" t="s">
        <v>6648</v>
      </c>
      <c r="C3070" s="11" t="s">
        <v>17</v>
      </c>
      <c r="D3070" s="11" t="s">
        <v>18</v>
      </c>
      <c r="E3070" s="12" t="s">
        <v>647</v>
      </c>
      <c r="F3070" s="12" t="s">
        <v>648</v>
      </c>
      <c r="G3070" s="12" t="s">
        <v>21</v>
      </c>
      <c r="H3070" s="11" t="s">
        <v>63</v>
      </c>
      <c r="I3070" s="13" t="s">
        <v>6651</v>
      </c>
      <c r="J3070" s="14" t="str">
        <f>HYPERLINK("https://www.boe.es/gazeta/dias/1839/10/08/pdfs/GMD-1839-1794.pdf#page=4","Abrir facsímil")</f>
        <v>Abrir facsímil</v>
      </c>
      <c r="K3070" s="12" t="s">
        <v>65</v>
      </c>
    </row>
    <row r="3071" spans="1:11" ht="40.049999999999997" customHeight="1" x14ac:dyDescent="0.25">
      <c r="A3071" s="11" t="s">
        <v>6647</v>
      </c>
      <c r="B3071" s="11" t="s">
        <v>6648</v>
      </c>
      <c r="C3071" s="11" t="s">
        <v>101</v>
      </c>
      <c r="D3071" s="11" t="s">
        <v>102</v>
      </c>
      <c r="E3071" s="12" t="s">
        <v>862</v>
      </c>
      <c r="F3071" s="12" t="s">
        <v>863</v>
      </c>
      <c r="G3071" s="12" t="s">
        <v>566</v>
      </c>
      <c r="H3071" s="11" t="s">
        <v>63</v>
      </c>
      <c r="I3071" s="13" t="s">
        <v>6652</v>
      </c>
      <c r="J3071" s="14" t="str">
        <f>HYPERLINK("https://www.boe.es/gazeta/dias/1839/10/28/pdfs/GMD-1839-1814.pdf#page=5","Abrir facsímil")</f>
        <v>Abrir facsímil</v>
      </c>
      <c r="K3071" s="12" t="s">
        <v>65</v>
      </c>
    </row>
    <row r="3072" spans="1:11" ht="40.049999999999997" customHeight="1" x14ac:dyDescent="0.25">
      <c r="A3072" s="11" t="s">
        <v>6647</v>
      </c>
      <c r="B3072" s="11" t="s">
        <v>6648</v>
      </c>
      <c r="C3072" s="11" t="s">
        <v>17</v>
      </c>
      <c r="D3072" s="11" t="s">
        <v>18</v>
      </c>
      <c r="E3072" s="12" t="s">
        <v>653</v>
      </c>
      <c r="F3072" s="12" t="s">
        <v>654</v>
      </c>
      <c r="G3072" s="12" t="s">
        <v>46</v>
      </c>
      <c r="H3072" s="11" t="s">
        <v>63</v>
      </c>
      <c r="I3072" s="13" t="s">
        <v>6653</v>
      </c>
      <c r="J3072" s="14" t="str">
        <f>HYPERLINK("https://www.boe.es/gazeta/dias/1839/10/31/pdfs/GMD-1839-1817.pdf#page=3","Abrir facsímil")</f>
        <v>Abrir facsímil</v>
      </c>
      <c r="K3072" s="12" t="s">
        <v>65</v>
      </c>
    </row>
    <row r="3073" spans="1:11" ht="40.049999999999997" customHeight="1" x14ac:dyDescent="0.25">
      <c r="A3073" s="11" t="s">
        <v>6654</v>
      </c>
      <c r="B3073" s="11" t="s">
        <v>6655</v>
      </c>
      <c r="C3073" s="11" t="s">
        <v>80</v>
      </c>
      <c r="D3073" s="11" t="s">
        <v>18</v>
      </c>
      <c r="E3073" s="12" t="s">
        <v>1891</v>
      </c>
      <c r="F3073" s="12" t="s">
        <v>1892</v>
      </c>
      <c r="G3073" s="12" t="s">
        <v>40</v>
      </c>
      <c r="H3073" s="11" t="s">
        <v>63</v>
      </c>
      <c r="I3073" s="13" t="s">
        <v>6656</v>
      </c>
      <c r="J3073" s="14" t="str">
        <f>HYPERLINK("https://www.boe.es/gazeta/dias/1839/12/14/pdfs/GMD-1839-1861.pdf#page=2","Abrir facsímil")</f>
        <v>Abrir facsímil</v>
      </c>
      <c r="K3073" s="12" t="s">
        <v>65</v>
      </c>
    </row>
    <row r="3074" spans="1:11" ht="40.049999999999997" customHeight="1" x14ac:dyDescent="0.25">
      <c r="A3074" s="11" t="s">
        <v>6657</v>
      </c>
      <c r="B3074" s="11" t="s">
        <v>6658</v>
      </c>
      <c r="C3074" s="11" t="s">
        <v>80</v>
      </c>
      <c r="D3074" s="11" t="s">
        <v>18</v>
      </c>
      <c r="E3074" s="12" t="s">
        <v>1388</v>
      </c>
      <c r="F3074" s="12" t="s">
        <v>1389</v>
      </c>
      <c r="G3074" s="12" t="s">
        <v>21</v>
      </c>
      <c r="H3074" s="11" t="s">
        <v>63</v>
      </c>
      <c r="I3074" s="13" t="s">
        <v>6659</v>
      </c>
      <c r="J3074" s="14" t="str">
        <f>HYPERLINK("https://www.boe.es/gazeta/dias/1839/06/04/pdfs/GMD-1839-1662.pdf#page=4","Abrir facsímil")</f>
        <v>Abrir facsímil</v>
      </c>
      <c r="K3074" s="12" t="s">
        <v>65</v>
      </c>
    </row>
    <row r="3075" spans="1:11" ht="40.049999999999997" customHeight="1" x14ac:dyDescent="0.25">
      <c r="A3075" s="11" t="s">
        <v>6660</v>
      </c>
      <c r="B3075" s="11" t="s">
        <v>6661</v>
      </c>
      <c r="C3075" s="11" t="s">
        <v>137</v>
      </c>
      <c r="D3075" s="11" t="s">
        <v>18</v>
      </c>
      <c r="E3075" s="12" t="s">
        <v>49</v>
      </c>
      <c r="F3075" s="12" t="s">
        <v>50</v>
      </c>
      <c r="G3075" s="12" t="s">
        <v>40</v>
      </c>
      <c r="H3075" s="11" t="s">
        <v>22</v>
      </c>
      <c r="I3075" s="13" t="s">
        <v>6662</v>
      </c>
      <c r="J3075" s="14" t="str">
        <f>HYPERLINK("https://www.boe.es/gazeta/dias/1839/01/05/pdfs/GMD-1839-1512.pdf#page=2","Abrir facsímil")</f>
        <v>Abrir facsímil</v>
      </c>
      <c r="K3075" s="12" t="s">
        <v>24</v>
      </c>
    </row>
    <row r="3076" spans="1:11" ht="40.049999999999997" customHeight="1" x14ac:dyDescent="0.25">
      <c r="A3076" s="11" t="s">
        <v>6663</v>
      </c>
      <c r="B3076" s="11" t="s">
        <v>6664</v>
      </c>
      <c r="C3076" s="11" t="s">
        <v>137</v>
      </c>
      <c r="D3076" s="11" t="s">
        <v>18</v>
      </c>
      <c r="E3076" s="12" t="s">
        <v>1685</v>
      </c>
      <c r="F3076" s="12" t="s">
        <v>1686</v>
      </c>
      <c r="G3076" s="12" t="s">
        <v>40</v>
      </c>
      <c r="H3076" s="11" t="s">
        <v>63</v>
      </c>
      <c r="I3076" s="13" t="s">
        <v>6665</v>
      </c>
      <c r="J3076" s="14" t="str">
        <f>HYPERLINK("https://www.boe.es/gazeta/dias/1839/04/27/pdfs/GMD-1839-1624.pdf#page=2","Abrir facsímil")</f>
        <v>Abrir facsímil</v>
      </c>
      <c r="K3076" s="12" t="s">
        <v>65</v>
      </c>
    </row>
    <row r="3077" spans="1:11" ht="40.049999999999997" customHeight="1" x14ac:dyDescent="0.25">
      <c r="A3077" s="11" t="s">
        <v>6666</v>
      </c>
      <c r="B3077" s="11" t="s">
        <v>6667</v>
      </c>
      <c r="C3077" s="11" t="s">
        <v>59</v>
      </c>
      <c r="D3077" s="11" t="s">
        <v>60</v>
      </c>
      <c r="E3077" s="12" t="s">
        <v>571</v>
      </c>
      <c r="F3077" s="12" t="s">
        <v>572</v>
      </c>
      <c r="G3077" s="12" t="s">
        <v>40</v>
      </c>
      <c r="H3077" s="11" t="s">
        <v>63</v>
      </c>
      <c r="I3077" s="13" t="s">
        <v>6668</v>
      </c>
      <c r="J3077" s="14" t="str">
        <f>HYPERLINK("https://www.boe.es/gazeta/dias/1839/09/27/pdfs/GMD-1839-1783.pdf#page=2","Abrir facsímil")</f>
        <v>Abrir facsímil</v>
      </c>
      <c r="K3077" s="12" t="s">
        <v>65</v>
      </c>
    </row>
    <row r="3078" spans="1:11" ht="40.049999999999997" customHeight="1" x14ac:dyDescent="0.25">
      <c r="A3078" s="11" t="s">
        <v>6669</v>
      </c>
      <c r="B3078" s="11" t="s">
        <v>6670</v>
      </c>
      <c r="C3078" s="11" t="s">
        <v>80</v>
      </c>
      <c r="D3078" s="11" t="s">
        <v>18</v>
      </c>
      <c r="E3078" s="12" t="s">
        <v>222</v>
      </c>
      <c r="F3078" s="12" t="s">
        <v>223</v>
      </c>
      <c r="G3078" s="12" t="s">
        <v>21</v>
      </c>
      <c r="H3078" s="11" t="s">
        <v>63</v>
      </c>
      <c r="I3078" s="13" t="s">
        <v>6671</v>
      </c>
      <c r="J3078" s="14" t="str">
        <f>HYPERLINK("https://www.boe.es/gazeta/dias/1839/06/22/pdfs/GMD-1839-1680.pdf#page=4","Abrir facsímil")</f>
        <v>Abrir facsímil</v>
      </c>
      <c r="K3078" s="12" t="s">
        <v>65</v>
      </c>
    </row>
    <row r="3079" spans="1:11" ht="40.049999999999997" customHeight="1" x14ac:dyDescent="0.25">
      <c r="A3079" s="11" t="s">
        <v>6672</v>
      </c>
      <c r="B3079" s="11" t="s">
        <v>6673</v>
      </c>
      <c r="C3079" s="11" t="s">
        <v>17</v>
      </c>
      <c r="D3079" s="11" t="s">
        <v>18</v>
      </c>
      <c r="E3079" s="12" t="s">
        <v>500</v>
      </c>
      <c r="F3079" s="12" t="s">
        <v>501</v>
      </c>
      <c r="G3079" s="12" t="s">
        <v>46</v>
      </c>
      <c r="H3079" s="11" t="s">
        <v>63</v>
      </c>
      <c r="I3079" s="13" t="s">
        <v>6674</v>
      </c>
      <c r="J3079" s="14" t="str">
        <f>HYPERLINK("https://www.boe.es/gazeta/dias/1839/11/06/pdfs/GMD-1839-1823.pdf#page=3","Abrir facsímil")</f>
        <v>Abrir facsímil</v>
      </c>
      <c r="K3079" s="12" t="s">
        <v>65</v>
      </c>
    </row>
    <row r="3080" spans="1:11" ht="40.049999999999997" customHeight="1" x14ac:dyDescent="0.25">
      <c r="A3080" s="11" t="s">
        <v>6675</v>
      </c>
      <c r="B3080" s="11" t="s">
        <v>6676</v>
      </c>
      <c r="C3080" s="11" t="s">
        <v>17</v>
      </c>
      <c r="D3080" s="11" t="s">
        <v>18</v>
      </c>
      <c r="E3080" s="12" t="s">
        <v>548</v>
      </c>
      <c r="F3080" s="12" t="s">
        <v>549</v>
      </c>
      <c r="G3080" s="12" t="s">
        <v>40</v>
      </c>
      <c r="H3080" s="11" t="s">
        <v>22</v>
      </c>
      <c r="I3080" s="13" t="s">
        <v>6677</v>
      </c>
      <c r="J3080" s="14" t="str">
        <f>HYPERLINK("https://www.boe.es/gazeta/dias/1839/06/06/pdfs/GMD-1839-1664.pdf#page=2","Abrir facsímil")</f>
        <v>Abrir facsímil</v>
      </c>
      <c r="K3080" s="12" t="s">
        <v>24</v>
      </c>
    </row>
    <row r="3081" spans="1:11" ht="40.049999999999997" customHeight="1" x14ac:dyDescent="0.25">
      <c r="A3081" s="11" t="s">
        <v>6678</v>
      </c>
      <c r="B3081" s="11" t="s">
        <v>6679</v>
      </c>
      <c r="C3081" s="11" t="s">
        <v>17</v>
      </c>
      <c r="D3081" s="11" t="s">
        <v>18</v>
      </c>
      <c r="E3081" s="12" t="s">
        <v>3224</v>
      </c>
      <c r="F3081" s="12" t="s">
        <v>3225</v>
      </c>
      <c r="G3081" s="12" t="s">
        <v>40</v>
      </c>
      <c r="H3081" s="11" t="s">
        <v>63</v>
      </c>
      <c r="I3081" s="13" t="s">
        <v>6680</v>
      </c>
      <c r="J3081" s="14" t="str">
        <f>HYPERLINK("https://www.boe.es/gazeta/dias/1839/06/03/pdfs/GMD-1839-1661.pdf#page=2","Abrir facsímil")</f>
        <v>Abrir facsímil</v>
      </c>
      <c r="K3081" s="12" t="s">
        <v>65</v>
      </c>
    </row>
    <row r="3082" spans="1:11" ht="40.049999999999997" customHeight="1" x14ac:dyDescent="0.25">
      <c r="A3082" s="11" t="s">
        <v>6678</v>
      </c>
      <c r="B3082" s="11" t="s">
        <v>6679</v>
      </c>
      <c r="C3082" s="11" t="s">
        <v>17</v>
      </c>
      <c r="D3082" s="11" t="s">
        <v>18</v>
      </c>
      <c r="E3082" s="12" t="s">
        <v>1388</v>
      </c>
      <c r="F3082" s="12" t="s">
        <v>1389</v>
      </c>
      <c r="G3082" s="12" t="s">
        <v>21</v>
      </c>
      <c r="H3082" s="11" t="s">
        <v>63</v>
      </c>
      <c r="I3082" s="13" t="s">
        <v>6681</v>
      </c>
      <c r="J3082" s="14" t="str">
        <f>HYPERLINK("https://www.boe.es/gazeta/dias/1839/06/04/pdfs/GMD-1839-1662.pdf#page=4","Abrir facsímil")</f>
        <v>Abrir facsímil</v>
      </c>
      <c r="K3082" s="12" t="s">
        <v>65</v>
      </c>
    </row>
    <row r="3083" spans="1:11" ht="40.049999999999997" customHeight="1" x14ac:dyDescent="0.25">
      <c r="A3083" s="11" t="s">
        <v>6682</v>
      </c>
      <c r="B3083" s="11" t="s">
        <v>6683</v>
      </c>
      <c r="C3083" s="11" t="s">
        <v>17</v>
      </c>
      <c r="D3083" s="11" t="s">
        <v>18</v>
      </c>
      <c r="E3083" s="12" t="s">
        <v>163</v>
      </c>
      <c r="F3083" s="12" t="s">
        <v>164</v>
      </c>
      <c r="G3083" s="12" t="s">
        <v>46</v>
      </c>
      <c r="H3083" s="11" t="s">
        <v>63</v>
      </c>
      <c r="I3083" s="13" t="s">
        <v>6684</v>
      </c>
      <c r="J3083" s="14" t="str">
        <f>HYPERLINK("https://www.boe.es/gazeta/dias/1839/01/13/pdfs/GMD-1839-1520.pdf#page=3","Abrir facsímil")</f>
        <v>Abrir facsímil</v>
      </c>
      <c r="K3083" s="12" t="s">
        <v>65</v>
      </c>
    </row>
    <row r="3084" spans="1:11" ht="40.049999999999997" customHeight="1" x14ac:dyDescent="0.25">
      <c r="A3084" s="11" t="s">
        <v>6685</v>
      </c>
      <c r="B3084" s="11" t="s">
        <v>6686</v>
      </c>
      <c r="C3084" s="11" t="s">
        <v>137</v>
      </c>
      <c r="D3084" s="11" t="s">
        <v>18</v>
      </c>
      <c r="E3084" s="12" t="s">
        <v>303</v>
      </c>
      <c r="F3084" s="12" t="s">
        <v>304</v>
      </c>
      <c r="G3084" s="12" t="s">
        <v>29</v>
      </c>
      <c r="H3084" s="11" t="s">
        <v>63</v>
      </c>
      <c r="I3084" s="13" t="s">
        <v>6687</v>
      </c>
      <c r="J3084" s="14" t="str">
        <f>HYPERLINK("https://www.boe.es/gazeta/dias/1839/10/06/pdfs/GMD-1839-1792.pdf#page=1","Abrir facsímil")</f>
        <v>Abrir facsímil</v>
      </c>
      <c r="K3084" s="12" t="s">
        <v>65</v>
      </c>
    </row>
    <row r="3085" spans="1:11" ht="40.049999999999997" customHeight="1" x14ac:dyDescent="0.25">
      <c r="A3085" s="11" t="s">
        <v>6685</v>
      </c>
      <c r="B3085" s="11" t="s">
        <v>6686</v>
      </c>
      <c r="C3085" s="11" t="s">
        <v>101</v>
      </c>
      <c r="D3085" s="11" t="s">
        <v>43</v>
      </c>
      <c r="E3085" s="12" t="s">
        <v>157</v>
      </c>
      <c r="F3085" s="12" t="s">
        <v>158</v>
      </c>
      <c r="G3085" s="12" t="s">
        <v>46</v>
      </c>
      <c r="H3085" s="11" t="s">
        <v>63</v>
      </c>
      <c r="I3085" s="13" t="s">
        <v>6688</v>
      </c>
      <c r="J3085" s="14" t="str">
        <f>HYPERLINK("https://www.boe.es/gazeta/dias/1839/02/08/pdfs/GMD-1839-1546.pdf#page=3","Abrir facsímil")</f>
        <v>Abrir facsímil</v>
      </c>
      <c r="K3085" s="12" t="s">
        <v>65</v>
      </c>
    </row>
    <row r="3086" spans="1:11" ht="40.049999999999997" customHeight="1" x14ac:dyDescent="0.25">
      <c r="A3086" s="11" t="s">
        <v>6685</v>
      </c>
      <c r="B3086" s="11" t="s">
        <v>6686</v>
      </c>
      <c r="C3086" s="11" t="s">
        <v>17</v>
      </c>
      <c r="D3086" s="11" t="s">
        <v>18</v>
      </c>
      <c r="E3086" s="12" t="s">
        <v>276</v>
      </c>
      <c r="F3086" s="12" t="s">
        <v>277</v>
      </c>
      <c r="G3086" s="12" t="s">
        <v>46</v>
      </c>
      <c r="H3086" s="11" t="s">
        <v>63</v>
      </c>
      <c r="I3086" s="13" t="s">
        <v>6689</v>
      </c>
      <c r="J3086" s="14" t="str">
        <f>HYPERLINK("https://www.boe.es/gazeta/dias/1839/09/24/pdfs/GMD-1839-1780.pdf#page=3","Abrir facsímil")</f>
        <v>Abrir facsímil</v>
      </c>
      <c r="K3086" s="12" t="s">
        <v>65</v>
      </c>
    </row>
    <row r="3087" spans="1:11" ht="40.049999999999997" customHeight="1" x14ac:dyDescent="0.25">
      <c r="A3087" s="11" t="s">
        <v>6685</v>
      </c>
      <c r="B3087" s="11" t="s">
        <v>6686</v>
      </c>
      <c r="C3087" s="11" t="s">
        <v>17</v>
      </c>
      <c r="D3087" s="11" t="s">
        <v>18</v>
      </c>
      <c r="E3087" s="12" t="s">
        <v>1807</v>
      </c>
      <c r="F3087" s="12" t="s">
        <v>1808</v>
      </c>
      <c r="G3087" s="12" t="s">
        <v>40</v>
      </c>
      <c r="H3087" s="11" t="s">
        <v>63</v>
      </c>
      <c r="I3087" s="13" t="s">
        <v>6690</v>
      </c>
      <c r="J3087" s="14" t="str">
        <f>HYPERLINK("https://www.boe.es/gazeta/dias/1839/01/29/pdfs/GMD-1839-1536.pdf#page=2","Abrir facsímil")</f>
        <v>Abrir facsímil</v>
      </c>
      <c r="K3087" s="12" t="s">
        <v>65</v>
      </c>
    </row>
    <row r="3088" spans="1:11" ht="40.049999999999997" customHeight="1" x14ac:dyDescent="0.25">
      <c r="A3088" s="11" t="s">
        <v>6691</v>
      </c>
      <c r="B3088" s="11" t="s">
        <v>6692</v>
      </c>
      <c r="C3088" s="11" t="s">
        <v>17</v>
      </c>
      <c r="D3088" s="11" t="s">
        <v>18</v>
      </c>
      <c r="E3088" s="12" t="s">
        <v>1679</v>
      </c>
      <c r="F3088" s="12" t="s">
        <v>1680</v>
      </c>
      <c r="G3088" s="12" t="s">
        <v>40</v>
      </c>
      <c r="H3088" s="11" t="s">
        <v>63</v>
      </c>
      <c r="I3088" s="13" t="s">
        <v>6693</v>
      </c>
      <c r="J3088" s="14" t="str">
        <f>HYPERLINK("https://www.boe.es/gazeta/dias/1839/01/26/pdfs/GMD-1839-1533.pdf#page=2","Abrir facsímil")</f>
        <v>Abrir facsímil</v>
      </c>
      <c r="K3088" s="12" t="s">
        <v>65</v>
      </c>
    </row>
    <row r="3089" spans="1:11" ht="40.049999999999997" customHeight="1" x14ac:dyDescent="0.25">
      <c r="A3089" s="11" t="s">
        <v>6694</v>
      </c>
      <c r="B3089" s="11" t="s">
        <v>6695</v>
      </c>
      <c r="C3089" s="11" t="s">
        <v>101</v>
      </c>
      <c r="D3089" s="11" t="s">
        <v>43</v>
      </c>
      <c r="E3089" s="12" t="s">
        <v>157</v>
      </c>
      <c r="F3089" s="12" t="s">
        <v>158</v>
      </c>
      <c r="G3089" s="12" t="s">
        <v>46</v>
      </c>
      <c r="H3089" s="11" t="s">
        <v>63</v>
      </c>
      <c r="I3089" s="13" t="s">
        <v>6696</v>
      </c>
      <c r="J3089" s="14" t="str">
        <f>HYPERLINK("https://www.boe.es/gazeta/dias/1839/02/08/pdfs/GMD-1839-1546.pdf#page=3","Abrir facsímil")</f>
        <v>Abrir facsímil</v>
      </c>
      <c r="K3089" s="12" t="s">
        <v>65</v>
      </c>
    </row>
    <row r="3090" spans="1:11" ht="40.049999999999997" customHeight="1" x14ac:dyDescent="0.25">
      <c r="A3090" s="11" t="s">
        <v>6694</v>
      </c>
      <c r="B3090" s="11" t="s">
        <v>6695</v>
      </c>
      <c r="C3090" s="11" t="s">
        <v>17</v>
      </c>
      <c r="D3090" s="11" t="s">
        <v>18</v>
      </c>
      <c r="E3090" s="12" t="s">
        <v>68</v>
      </c>
      <c r="F3090" s="12" t="s">
        <v>69</v>
      </c>
      <c r="G3090" s="12" t="s">
        <v>40</v>
      </c>
      <c r="H3090" s="11" t="s">
        <v>63</v>
      </c>
      <c r="I3090" s="13" t="s">
        <v>6697</v>
      </c>
      <c r="J3090" s="14" t="str">
        <f>HYPERLINK("https://www.boe.es/gazeta/dias/1839/02/09/pdfs/GMD-1839-1547.pdf#page=2","Abrir facsímil")</f>
        <v>Abrir facsímil</v>
      </c>
      <c r="K3090" s="12" t="s">
        <v>65</v>
      </c>
    </row>
    <row r="3091" spans="1:11" ht="40.049999999999997" customHeight="1" x14ac:dyDescent="0.25">
      <c r="A3091" s="11" t="s">
        <v>6694</v>
      </c>
      <c r="B3091" s="11" t="s">
        <v>6695</v>
      </c>
      <c r="C3091" s="11" t="s">
        <v>17</v>
      </c>
      <c r="D3091" s="11" t="s">
        <v>18</v>
      </c>
      <c r="E3091" s="12" t="s">
        <v>116</v>
      </c>
      <c r="F3091" s="12" t="s">
        <v>117</v>
      </c>
      <c r="G3091" s="12" t="s">
        <v>40</v>
      </c>
      <c r="H3091" s="11" t="s">
        <v>63</v>
      </c>
      <c r="I3091" s="13" t="s">
        <v>6698</v>
      </c>
      <c r="J3091" s="14" t="str">
        <f>HYPERLINK("https://www.boe.es/gazeta/dias/1839/10/10/pdfs/GMD-1839-1796.pdf#page=2","Abrir facsímil")</f>
        <v>Abrir facsímil</v>
      </c>
      <c r="K3091" s="12" t="s">
        <v>65</v>
      </c>
    </row>
    <row r="3092" spans="1:11" ht="40.049999999999997" customHeight="1" x14ac:dyDescent="0.25">
      <c r="A3092" s="11" t="s">
        <v>6699</v>
      </c>
      <c r="B3092" s="11" t="s">
        <v>6700</v>
      </c>
      <c r="C3092" s="11" t="s">
        <v>17</v>
      </c>
      <c r="D3092" s="11" t="s">
        <v>18</v>
      </c>
      <c r="E3092" s="12" t="s">
        <v>2210</v>
      </c>
      <c r="F3092" s="12" t="s">
        <v>2211</v>
      </c>
      <c r="G3092" s="12" t="s">
        <v>40</v>
      </c>
      <c r="H3092" s="11" t="s">
        <v>63</v>
      </c>
      <c r="I3092" s="13" t="s">
        <v>6701</v>
      </c>
      <c r="J3092" s="14" t="str">
        <f>HYPERLINK("https://www.boe.es/gazeta/dias/1839/09/05/pdfs/GMD-1839-1758.pdf#page=2","Abrir facsímil")</f>
        <v>Abrir facsímil</v>
      </c>
      <c r="K3092" s="12" t="s">
        <v>65</v>
      </c>
    </row>
    <row r="3093" spans="1:11" ht="40.049999999999997" customHeight="1" x14ac:dyDescent="0.25">
      <c r="A3093" s="11" t="s">
        <v>6699</v>
      </c>
      <c r="B3093" s="11" t="s">
        <v>6700</v>
      </c>
      <c r="C3093" s="11" t="s">
        <v>59</v>
      </c>
      <c r="D3093" s="11" t="s">
        <v>60</v>
      </c>
      <c r="E3093" s="12" t="s">
        <v>217</v>
      </c>
      <c r="F3093" s="12" t="s">
        <v>218</v>
      </c>
      <c r="G3093" s="12" t="s">
        <v>29</v>
      </c>
      <c r="H3093" s="11" t="s">
        <v>63</v>
      </c>
      <c r="I3093" s="13" t="s">
        <v>6702</v>
      </c>
      <c r="J3093" s="14" t="str">
        <f>HYPERLINK("https://www.boe.es/gazeta/dias/1839/08/06/pdfs/GMD-1839-1726.pdf#page=1","Abrir facsímil")</f>
        <v>Abrir facsímil</v>
      </c>
      <c r="K3093" s="12" t="s">
        <v>65</v>
      </c>
    </row>
    <row r="3094" spans="1:11" ht="40.049999999999997" customHeight="1" x14ac:dyDescent="0.25">
      <c r="A3094" s="11" t="s">
        <v>6699</v>
      </c>
      <c r="B3094" s="11" t="s">
        <v>6700</v>
      </c>
      <c r="C3094" s="11" t="s">
        <v>80</v>
      </c>
      <c r="D3094" s="11" t="s">
        <v>18</v>
      </c>
      <c r="E3094" s="12" t="s">
        <v>2107</v>
      </c>
      <c r="F3094" s="12" t="s">
        <v>2108</v>
      </c>
      <c r="G3094" s="12" t="s">
        <v>21</v>
      </c>
      <c r="H3094" s="11" t="s">
        <v>63</v>
      </c>
      <c r="I3094" s="13" t="s">
        <v>6703</v>
      </c>
      <c r="J3094" s="14" t="str">
        <f>HYPERLINK("https://www.boe.es/gazeta/dias/1839/10/11/pdfs/GMD-1839-1797.pdf#page=4","Abrir facsímil")</f>
        <v>Abrir facsímil</v>
      </c>
      <c r="K3094" s="12" t="s">
        <v>65</v>
      </c>
    </row>
    <row r="3095" spans="1:11" ht="40.049999999999997" customHeight="1" x14ac:dyDescent="0.25">
      <c r="A3095" s="11" t="s">
        <v>6699</v>
      </c>
      <c r="B3095" s="11" t="s">
        <v>6700</v>
      </c>
      <c r="C3095" s="11" t="s">
        <v>17</v>
      </c>
      <c r="D3095" s="11" t="s">
        <v>18</v>
      </c>
      <c r="E3095" s="12" t="s">
        <v>185</v>
      </c>
      <c r="F3095" s="12" t="s">
        <v>186</v>
      </c>
      <c r="G3095" s="12" t="s">
        <v>29</v>
      </c>
      <c r="H3095" s="11" t="s">
        <v>63</v>
      </c>
      <c r="I3095" s="13" t="s">
        <v>6704</v>
      </c>
      <c r="J3095" s="14" t="str">
        <f>HYPERLINK("https://www.boe.es/gazeta/dias/1839/01/15/pdfs/GMD-1839-1522.pdf#page=1","Abrir facsímil")</f>
        <v>Abrir facsímil</v>
      </c>
      <c r="K3095" s="12" t="s">
        <v>65</v>
      </c>
    </row>
    <row r="3096" spans="1:11" ht="40.049999999999997" customHeight="1" x14ac:dyDescent="0.25">
      <c r="A3096" s="11" t="s">
        <v>6699</v>
      </c>
      <c r="B3096" s="11" t="s">
        <v>6700</v>
      </c>
      <c r="C3096" s="11" t="s">
        <v>17</v>
      </c>
      <c r="D3096" s="11" t="s">
        <v>18</v>
      </c>
      <c r="E3096" s="12" t="s">
        <v>175</v>
      </c>
      <c r="F3096" s="12" t="s">
        <v>176</v>
      </c>
      <c r="G3096" s="12" t="s">
        <v>46</v>
      </c>
      <c r="H3096" s="11" t="s">
        <v>63</v>
      </c>
      <c r="I3096" s="13" t="s">
        <v>6705</v>
      </c>
      <c r="J3096" s="14" t="str">
        <f>HYPERLINK("https://www.boe.es/gazeta/dias/1839/01/16/pdfs/GMD-1839-1523.pdf#page=3","Abrir facsímil")</f>
        <v>Abrir facsímil</v>
      </c>
      <c r="K3096" s="12" t="s">
        <v>65</v>
      </c>
    </row>
    <row r="3097" spans="1:11" ht="40.049999999999997" customHeight="1" x14ac:dyDescent="0.25">
      <c r="A3097" s="11" t="s">
        <v>6699</v>
      </c>
      <c r="B3097" s="11" t="s">
        <v>6700</v>
      </c>
      <c r="C3097" s="11" t="s">
        <v>17</v>
      </c>
      <c r="D3097" s="11" t="s">
        <v>18</v>
      </c>
      <c r="E3097" s="12" t="s">
        <v>794</v>
      </c>
      <c r="F3097" s="12" t="s">
        <v>795</v>
      </c>
      <c r="G3097" s="12" t="s">
        <v>46</v>
      </c>
      <c r="H3097" s="11" t="s">
        <v>63</v>
      </c>
      <c r="I3097" s="13" t="s">
        <v>6706</v>
      </c>
      <c r="J3097" s="14" t="str">
        <f>HYPERLINK("https://www.boe.es/gazeta/dias/1839/01/22/pdfs/GMD-1839-1529.pdf#page=3","Abrir facsímil")</f>
        <v>Abrir facsímil</v>
      </c>
      <c r="K3097" s="12" t="s">
        <v>65</v>
      </c>
    </row>
    <row r="3098" spans="1:11" ht="40.049999999999997" customHeight="1" x14ac:dyDescent="0.25">
      <c r="A3098" s="11" t="s">
        <v>6707</v>
      </c>
      <c r="B3098" s="11" t="s">
        <v>6708</v>
      </c>
      <c r="C3098" s="11" t="s">
        <v>59</v>
      </c>
      <c r="D3098" s="11" t="s">
        <v>60</v>
      </c>
      <c r="E3098" s="12" t="s">
        <v>704</v>
      </c>
      <c r="F3098" s="12" t="s">
        <v>705</v>
      </c>
      <c r="G3098" s="12" t="s">
        <v>29</v>
      </c>
      <c r="H3098" s="11" t="s">
        <v>22</v>
      </c>
      <c r="I3098" s="13" t="s">
        <v>6709</v>
      </c>
      <c r="J3098" s="14" t="str">
        <f>HYPERLINK("https://www.boe.es/gazeta/dias/1839/03/02/pdfs/GMD-1839-1568.pdf#page=1","Abrir facsímil")</f>
        <v>Abrir facsímil</v>
      </c>
      <c r="K3098" s="12" t="s">
        <v>24</v>
      </c>
    </row>
    <row r="3099" spans="1:11" ht="40.049999999999997" customHeight="1" x14ac:dyDescent="0.25">
      <c r="A3099" s="11" t="s">
        <v>6707</v>
      </c>
      <c r="B3099" s="11" t="s">
        <v>6708</v>
      </c>
      <c r="C3099" s="11" t="s">
        <v>101</v>
      </c>
      <c r="D3099" s="11" t="s">
        <v>43</v>
      </c>
      <c r="E3099" s="12" t="s">
        <v>601</v>
      </c>
      <c r="F3099" s="12" t="s">
        <v>602</v>
      </c>
      <c r="G3099" s="12" t="s">
        <v>21</v>
      </c>
      <c r="H3099" s="11" t="s">
        <v>22</v>
      </c>
      <c r="I3099" s="13" t="s">
        <v>6710</v>
      </c>
      <c r="J3099" s="14" t="str">
        <f>HYPERLINK("https://www.boe.es/gazeta/dias/1839/04/21/pdfs/GMD-1839-1618.pdf#page=4","Abrir facsímil")</f>
        <v>Abrir facsímil</v>
      </c>
      <c r="K3099" s="12" t="s">
        <v>24</v>
      </c>
    </row>
    <row r="3100" spans="1:11" ht="40.049999999999997" customHeight="1" x14ac:dyDescent="0.25">
      <c r="A3100" s="11" t="s">
        <v>6711</v>
      </c>
      <c r="B3100" s="11" t="s">
        <v>6712</v>
      </c>
      <c r="C3100" s="11" t="s">
        <v>17</v>
      </c>
      <c r="D3100" s="11" t="s">
        <v>18</v>
      </c>
      <c r="E3100" s="12" t="s">
        <v>262</v>
      </c>
      <c r="F3100" s="12" t="s">
        <v>263</v>
      </c>
      <c r="G3100" s="12" t="s">
        <v>29</v>
      </c>
      <c r="H3100" s="11" t="s">
        <v>63</v>
      </c>
      <c r="I3100" s="13" t="s">
        <v>6713</v>
      </c>
      <c r="J3100" s="14" t="str">
        <f>HYPERLINK("https://www.boe.es/gazeta/dias/1839/01/01/pdfs/GMD-1839-1508.pdf#page=1","Abrir facsímil")</f>
        <v>Abrir facsímil</v>
      </c>
      <c r="K3100" s="12" t="s">
        <v>65</v>
      </c>
    </row>
    <row r="3101" spans="1:11" ht="40.049999999999997" customHeight="1" x14ac:dyDescent="0.25">
      <c r="A3101" s="11" t="s">
        <v>6711</v>
      </c>
      <c r="B3101" s="11" t="s">
        <v>6712</v>
      </c>
      <c r="C3101" s="11" t="s">
        <v>137</v>
      </c>
      <c r="D3101" s="11" t="s">
        <v>18</v>
      </c>
      <c r="E3101" s="12" t="s">
        <v>700</v>
      </c>
      <c r="F3101" s="12" t="s">
        <v>701</v>
      </c>
      <c r="G3101" s="12" t="s">
        <v>29</v>
      </c>
      <c r="H3101" s="11" t="s">
        <v>63</v>
      </c>
      <c r="I3101" s="13" t="s">
        <v>6714</v>
      </c>
      <c r="J3101" s="14" t="str">
        <f>HYPERLINK("https://www.boe.es/gazeta/dias/1839/09/01/pdfs/GMD-1839-1753.pdf#page=1","Abrir facsímil")</f>
        <v>Abrir facsímil</v>
      </c>
      <c r="K3101" s="12" t="s">
        <v>65</v>
      </c>
    </row>
    <row r="3102" spans="1:11" ht="40.049999999999997" customHeight="1" x14ac:dyDescent="0.25">
      <c r="A3102" s="11" t="s">
        <v>6711</v>
      </c>
      <c r="B3102" s="11" t="s">
        <v>6712</v>
      </c>
      <c r="C3102" s="11" t="s">
        <v>17</v>
      </c>
      <c r="D3102" s="11" t="s">
        <v>18</v>
      </c>
      <c r="E3102" s="12" t="s">
        <v>212</v>
      </c>
      <c r="F3102" s="12" t="s">
        <v>213</v>
      </c>
      <c r="G3102" s="12" t="s">
        <v>21</v>
      </c>
      <c r="H3102" s="11" t="s">
        <v>63</v>
      </c>
      <c r="I3102" s="13" t="s">
        <v>6715</v>
      </c>
      <c r="J3102" s="14" t="str">
        <f>HYPERLINK("https://www.boe.es/gazeta/dias/1839/10/03/pdfs/GMD-1839-1789.pdf#page=4","Abrir facsímil")</f>
        <v>Abrir facsímil</v>
      </c>
      <c r="K3102" s="12" t="s">
        <v>65</v>
      </c>
    </row>
    <row r="3103" spans="1:11" ht="40.049999999999997" customHeight="1" x14ac:dyDescent="0.25">
      <c r="A3103" s="11" t="s">
        <v>6711</v>
      </c>
      <c r="B3103" s="11" t="s">
        <v>6712</v>
      </c>
      <c r="C3103" s="11" t="s">
        <v>80</v>
      </c>
      <c r="D3103" s="11" t="s">
        <v>18</v>
      </c>
      <c r="E3103" s="12" t="s">
        <v>202</v>
      </c>
      <c r="F3103" s="12" t="s">
        <v>203</v>
      </c>
      <c r="G3103" s="12" t="s">
        <v>29</v>
      </c>
      <c r="H3103" s="11" t="s">
        <v>63</v>
      </c>
      <c r="I3103" s="13" t="s">
        <v>6716</v>
      </c>
      <c r="J3103" s="14" t="str">
        <f>HYPERLINK("https://www.boe.es/gazeta/dias/1839/04/05/pdfs/GMD-1839-1602.pdf#page=1","Abrir facsímil")</f>
        <v>Abrir facsímil</v>
      </c>
      <c r="K3103" s="12" t="s">
        <v>65</v>
      </c>
    </row>
    <row r="3104" spans="1:11" ht="40.049999999999997" customHeight="1" x14ac:dyDescent="0.25">
      <c r="A3104" s="11" t="s">
        <v>6711</v>
      </c>
      <c r="B3104" s="11" t="s">
        <v>6712</v>
      </c>
      <c r="C3104" s="11" t="s">
        <v>17</v>
      </c>
      <c r="D3104" s="11" t="s">
        <v>18</v>
      </c>
      <c r="E3104" s="12" t="s">
        <v>453</v>
      </c>
      <c r="F3104" s="12" t="s">
        <v>454</v>
      </c>
      <c r="G3104" s="12" t="s">
        <v>29</v>
      </c>
      <c r="H3104" s="11" t="s">
        <v>63</v>
      </c>
      <c r="I3104" s="13" t="s">
        <v>6717</v>
      </c>
      <c r="J3104" s="14" t="str">
        <f>HYPERLINK("https://www.boe.es/gazeta/dias/1839/02/07/pdfs/GMD-1839-1545.pdf#page=1","Abrir facsímil")</f>
        <v>Abrir facsímil</v>
      </c>
      <c r="K3104" s="12" t="s">
        <v>65</v>
      </c>
    </row>
    <row r="3105" spans="1:11" ht="40.049999999999997" customHeight="1" x14ac:dyDescent="0.25">
      <c r="A3105" s="11" t="s">
        <v>6711</v>
      </c>
      <c r="B3105" s="11" t="s">
        <v>6712</v>
      </c>
      <c r="C3105" s="11" t="s">
        <v>17</v>
      </c>
      <c r="D3105" s="11" t="s">
        <v>18</v>
      </c>
      <c r="E3105" s="12" t="s">
        <v>453</v>
      </c>
      <c r="F3105" s="12" t="s">
        <v>454</v>
      </c>
      <c r="G3105" s="12" t="s">
        <v>40</v>
      </c>
      <c r="H3105" s="11" t="s">
        <v>63</v>
      </c>
      <c r="I3105" s="13" t="s">
        <v>6718</v>
      </c>
      <c r="J3105" s="14" t="str">
        <f>HYPERLINK("https://www.boe.es/gazeta/dias/1839/02/07/pdfs/GMD-1839-1545.pdf#page=2","Abrir facsímil")</f>
        <v>Abrir facsímil</v>
      </c>
      <c r="K3105" s="12" t="s">
        <v>65</v>
      </c>
    </row>
    <row r="3106" spans="1:11" ht="40.049999999999997" customHeight="1" x14ac:dyDescent="0.25">
      <c r="A3106" s="11" t="s">
        <v>6711</v>
      </c>
      <c r="B3106" s="11" t="s">
        <v>6712</v>
      </c>
      <c r="C3106" s="11" t="s">
        <v>59</v>
      </c>
      <c r="D3106" s="11" t="s">
        <v>60</v>
      </c>
      <c r="E3106" s="12" t="s">
        <v>388</v>
      </c>
      <c r="F3106" s="12" t="s">
        <v>389</v>
      </c>
      <c r="G3106" s="12" t="s">
        <v>29</v>
      </c>
      <c r="H3106" s="11" t="s">
        <v>63</v>
      </c>
      <c r="I3106" s="13" t="s">
        <v>6719</v>
      </c>
      <c r="J3106" s="14" t="str">
        <f>HYPERLINK("https://www.boe.es/gazeta/dias/1839/08/07/pdfs/GMD-1839-1727.pdf#page=1","Abrir facsímil")</f>
        <v>Abrir facsímil</v>
      </c>
      <c r="K3106" s="12" t="s">
        <v>65</v>
      </c>
    </row>
    <row r="3107" spans="1:11" ht="40.049999999999997" customHeight="1" x14ac:dyDescent="0.25">
      <c r="A3107" s="11" t="s">
        <v>6711</v>
      </c>
      <c r="B3107" s="11" t="s">
        <v>6712</v>
      </c>
      <c r="C3107" s="11" t="s">
        <v>80</v>
      </c>
      <c r="D3107" s="11" t="s">
        <v>173</v>
      </c>
      <c r="E3107" s="12" t="s">
        <v>157</v>
      </c>
      <c r="F3107" s="12" t="s">
        <v>158</v>
      </c>
      <c r="G3107" s="12" t="s">
        <v>29</v>
      </c>
      <c r="H3107" s="11" t="s">
        <v>63</v>
      </c>
      <c r="I3107" s="13" t="s">
        <v>6720</v>
      </c>
      <c r="J3107" s="14" t="str">
        <f>HYPERLINK("https://www.boe.es/gazeta/dias/1839/02/08/pdfs/GMD-1839-1546.pdf#page=1","Abrir facsímil")</f>
        <v>Abrir facsímil</v>
      </c>
      <c r="K3107" s="12" t="s">
        <v>65</v>
      </c>
    </row>
    <row r="3108" spans="1:11" ht="40.049999999999997" customHeight="1" x14ac:dyDescent="0.25">
      <c r="A3108" s="11" t="s">
        <v>6711</v>
      </c>
      <c r="B3108" s="11" t="s">
        <v>6712</v>
      </c>
      <c r="C3108" s="11" t="s">
        <v>101</v>
      </c>
      <c r="D3108" s="11" t="s">
        <v>43</v>
      </c>
      <c r="E3108" s="12" t="s">
        <v>157</v>
      </c>
      <c r="F3108" s="12" t="s">
        <v>158</v>
      </c>
      <c r="G3108" s="12" t="s">
        <v>46</v>
      </c>
      <c r="H3108" s="11" t="s">
        <v>63</v>
      </c>
      <c r="I3108" s="13" t="s">
        <v>6721</v>
      </c>
      <c r="J3108" s="14" t="str">
        <f>HYPERLINK("https://www.boe.es/gazeta/dias/1839/02/08/pdfs/GMD-1839-1546.pdf#page=3","Abrir facsímil")</f>
        <v>Abrir facsímil</v>
      </c>
      <c r="K3108" s="12" t="s">
        <v>65</v>
      </c>
    </row>
    <row r="3109" spans="1:11" ht="40.049999999999997" customHeight="1" x14ac:dyDescent="0.25">
      <c r="A3109" s="11" t="s">
        <v>6711</v>
      </c>
      <c r="B3109" s="11" t="s">
        <v>6712</v>
      </c>
      <c r="C3109" s="11" t="s">
        <v>101</v>
      </c>
      <c r="D3109" s="11" t="s">
        <v>43</v>
      </c>
      <c r="E3109" s="12" t="s">
        <v>157</v>
      </c>
      <c r="F3109" s="12" t="s">
        <v>158</v>
      </c>
      <c r="G3109" s="12" t="s">
        <v>21</v>
      </c>
      <c r="H3109" s="11" t="s">
        <v>63</v>
      </c>
      <c r="I3109" s="13" t="s">
        <v>6722</v>
      </c>
      <c r="J3109" s="14" t="str">
        <f>HYPERLINK("https://www.boe.es/gazeta/dias/1839/02/08/pdfs/GMD-1839-1546.pdf#page=4","Abrir facsímil")</f>
        <v>Abrir facsímil</v>
      </c>
      <c r="K3109" s="12" t="s">
        <v>65</v>
      </c>
    </row>
    <row r="3110" spans="1:11" ht="40.049999999999997" customHeight="1" x14ac:dyDescent="0.25">
      <c r="A3110" s="11" t="s">
        <v>6711</v>
      </c>
      <c r="B3110" s="11" t="s">
        <v>6712</v>
      </c>
      <c r="C3110" s="11" t="s">
        <v>17</v>
      </c>
      <c r="D3110" s="11" t="s">
        <v>18</v>
      </c>
      <c r="E3110" s="12" t="s">
        <v>68</v>
      </c>
      <c r="F3110" s="12" t="s">
        <v>69</v>
      </c>
      <c r="G3110" s="12" t="s">
        <v>40</v>
      </c>
      <c r="H3110" s="11" t="s">
        <v>63</v>
      </c>
      <c r="I3110" s="13" t="s">
        <v>6723</v>
      </c>
      <c r="J3110" s="14" t="str">
        <f>HYPERLINK("https://www.boe.es/gazeta/dias/1839/02/09/pdfs/GMD-1839-1547.pdf#page=2","Abrir facsímil")</f>
        <v>Abrir facsímil</v>
      </c>
      <c r="K3110" s="12" t="s">
        <v>65</v>
      </c>
    </row>
    <row r="3111" spans="1:11" ht="40.049999999999997" customHeight="1" x14ac:dyDescent="0.25">
      <c r="A3111" s="11" t="s">
        <v>6711</v>
      </c>
      <c r="B3111" s="11" t="s">
        <v>6712</v>
      </c>
      <c r="C3111" s="11" t="s">
        <v>17</v>
      </c>
      <c r="D3111" s="11" t="s">
        <v>18</v>
      </c>
      <c r="E3111" s="12" t="s">
        <v>3134</v>
      </c>
      <c r="F3111" s="12" t="s">
        <v>3135</v>
      </c>
      <c r="G3111" s="12" t="s">
        <v>29</v>
      </c>
      <c r="H3111" s="11" t="s">
        <v>63</v>
      </c>
      <c r="I3111" s="13" t="s">
        <v>6724</v>
      </c>
      <c r="J3111" s="14" t="str">
        <f>HYPERLINK("https://www.boe.es/gazeta/dias/1839/08/09/pdfs/GMD-1839-1729.pdf#page=1","Abrir facsímil")</f>
        <v>Abrir facsímil</v>
      </c>
      <c r="K3111" s="12" t="s">
        <v>65</v>
      </c>
    </row>
    <row r="3112" spans="1:11" ht="40.049999999999997" customHeight="1" x14ac:dyDescent="0.25">
      <c r="A3112" s="11" t="s">
        <v>6711</v>
      </c>
      <c r="B3112" s="11" t="s">
        <v>6712</v>
      </c>
      <c r="C3112" s="11" t="s">
        <v>17</v>
      </c>
      <c r="D3112" s="11" t="s">
        <v>18</v>
      </c>
      <c r="E3112" s="12" t="s">
        <v>160</v>
      </c>
      <c r="F3112" s="12" t="s">
        <v>161</v>
      </c>
      <c r="G3112" s="12" t="s">
        <v>40</v>
      </c>
      <c r="H3112" s="11" t="s">
        <v>63</v>
      </c>
      <c r="I3112" s="13" t="s">
        <v>6725</v>
      </c>
      <c r="J3112" s="14" t="str">
        <f>HYPERLINK("https://www.boe.es/gazeta/dias/1839/01/10/pdfs/GMD-1839-1517.pdf#page=2","Abrir facsímil")</f>
        <v>Abrir facsímil</v>
      </c>
      <c r="K3112" s="12" t="s">
        <v>65</v>
      </c>
    </row>
    <row r="3113" spans="1:11" ht="40.049999999999997" customHeight="1" x14ac:dyDescent="0.25">
      <c r="A3113" s="11" t="s">
        <v>6711</v>
      </c>
      <c r="B3113" s="11" t="s">
        <v>6712</v>
      </c>
      <c r="C3113" s="11" t="s">
        <v>17</v>
      </c>
      <c r="D3113" s="11" t="s">
        <v>18</v>
      </c>
      <c r="E3113" s="12" t="s">
        <v>61</v>
      </c>
      <c r="F3113" s="12" t="s">
        <v>62</v>
      </c>
      <c r="G3113" s="12" t="s">
        <v>40</v>
      </c>
      <c r="H3113" s="11" t="s">
        <v>63</v>
      </c>
      <c r="I3113" s="13" t="s">
        <v>6726</v>
      </c>
      <c r="J3113" s="14" t="str">
        <f>HYPERLINK("https://www.boe.es/gazeta/dias/1839/09/10/pdfs/GMD-1839-1763.pdf#page=2","Abrir facsímil")</f>
        <v>Abrir facsímil</v>
      </c>
      <c r="K3113" s="12" t="s">
        <v>65</v>
      </c>
    </row>
    <row r="3114" spans="1:11" ht="40.049999999999997" customHeight="1" x14ac:dyDescent="0.25">
      <c r="A3114" s="11" t="s">
        <v>6711</v>
      </c>
      <c r="B3114" s="11" t="s">
        <v>6712</v>
      </c>
      <c r="C3114" s="11" t="s">
        <v>80</v>
      </c>
      <c r="D3114" s="11" t="s">
        <v>173</v>
      </c>
      <c r="E3114" s="12" t="s">
        <v>163</v>
      </c>
      <c r="F3114" s="12" t="s">
        <v>164</v>
      </c>
      <c r="G3114" s="12" t="s">
        <v>21</v>
      </c>
      <c r="H3114" s="11" t="s">
        <v>63</v>
      </c>
      <c r="I3114" s="13" t="s">
        <v>6727</v>
      </c>
      <c r="J3114" s="14" t="str">
        <f>HYPERLINK("https://www.boe.es/gazeta/dias/1839/01/13/pdfs/GMD-1839-1520.pdf#page=4","Abrir facsímil")</f>
        <v>Abrir facsímil</v>
      </c>
      <c r="K3114" s="12" t="s">
        <v>65</v>
      </c>
    </row>
    <row r="3115" spans="1:11" ht="40.049999999999997" customHeight="1" x14ac:dyDescent="0.25">
      <c r="A3115" s="11" t="s">
        <v>6711</v>
      </c>
      <c r="B3115" s="11" t="s">
        <v>6712</v>
      </c>
      <c r="C3115" s="11" t="s">
        <v>17</v>
      </c>
      <c r="D3115" s="11" t="s">
        <v>18</v>
      </c>
      <c r="E3115" s="12" t="s">
        <v>736</v>
      </c>
      <c r="F3115" s="12" t="s">
        <v>737</v>
      </c>
      <c r="G3115" s="12" t="s">
        <v>46</v>
      </c>
      <c r="H3115" s="11" t="s">
        <v>63</v>
      </c>
      <c r="I3115" s="13" t="s">
        <v>6728</v>
      </c>
      <c r="J3115" s="14" t="str">
        <f>HYPERLINK("https://www.boe.es/gazeta/dias/1839/10/13/pdfs/GMD-1839-1799.pdf#page=3","Abrir facsímil")</f>
        <v>Abrir facsímil</v>
      </c>
      <c r="K3115" s="12" t="s">
        <v>65</v>
      </c>
    </row>
    <row r="3116" spans="1:11" ht="40.049999999999997" customHeight="1" x14ac:dyDescent="0.25">
      <c r="A3116" s="11" t="s">
        <v>6711</v>
      </c>
      <c r="B3116" s="11" t="s">
        <v>6712</v>
      </c>
      <c r="C3116" s="11" t="s">
        <v>17</v>
      </c>
      <c r="D3116" s="11" t="s">
        <v>18</v>
      </c>
      <c r="E3116" s="12" t="s">
        <v>903</v>
      </c>
      <c r="F3116" s="12" t="s">
        <v>904</v>
      </c>
      <c r="G3116" s="12" t="s">
        <v>29</v>
      </c>
      <c r="H3116" s="11" t="s">
        <v>63</v>
      </c>
      <c r="I3116" s="13" t="s">
        <v>6729</v>
      </c>
      <c r="J3116" s="14" t="str">
        <f>HYPERLINK("https://www.boe.es/gazeta/dias/1839/03/14/pdfs/GMD-1839-1580.pdf#page=1","Abrir facsímil")</f>
        <v>Abrir facsímil</v>
      </c>
      <c r="K3116" s="12" t="s">
        <v>65</v>
      </c>
    </row>
    <row r="3117" spans="1:11" ht="40.049999999999997" customHeight="1" x14ac:dyDescent="0.25">
      <c r="A3117" s="11" t="s">
        <v>6711</v>
      </c>
      <c r="B3117" s="11" t="s">
        <v>6712</v>
      </c>
      <c r="C3117" s="11" t="s">
        <v>101</v>
      </c>
      <c r="D3117" s="11" t="s">
        <v>43</v>
      </c>
      <c r="E3117" s="12" t="s">
        <v>185</v>
      </c>
      <c r="F3117" s="12" t="s">
        <v>186</v>
      </c>
      <c r="G3117" s="12" t="s">
        <v>29</v>
      </c>
      <c r="H3117" s="11" t="s">
        <v>63</v>
      </c>
      <c r="I3117" s="13" t="s">
        <v>6730</v>
      </c>
      <c r="J3117" s="14" t="str">
        <f>HYPERLINK("https://www.boe.es/gazeta/dias/1839/01/15/pdfs/GMD-1839-1522.pdf#page=1","Abrir facsímil")</f>
        <v>Abrir facsímil</v>
      </c>
      <c r="K3117" s="12" t="s">
        <v>65</v>
      </c>
    </row>
    <row r="3118" spans="1:11" ht="40.049999999999997" customHeight="1" x14ac:dyDescent="0.25">
      <c r="A3118" s="11" t="s">
        <v>6711</v>
      </c>
      <c r="B3118" s="11" t="s">
        <v>6712</v>
      </c>
      <c r="C3118" s="11" t="s">
        <v>59</v>
      </c>
      <c r="D3118" s="11" t="s">
        <v>60</v>
      </c>
      <c r="E3118" s="12" t="s">
        <v>185</v>
      </c>
      <c r="F3118" s="12" t="s">
        <v>186</v>
      </c>
      <c r="G3118" s="12" t="s">
        <v>46</v>
      </c>
      <c r="H3118" s="11" t="s">
        <v>63</v>
      </c>
      <c r="I3118" s="13" t="s">
        <v>6731</v>
      </c>
      <c r="J3118" s="14" t="str">
        <f>HYPERLINK("https://www.boe.es/gazeta/dias/1839/01/15/pdfs/GMD-1839-1522.pdf#page=3","Abrir facsímil")</f>
        <v>Abrir facsímil</v>
      </c>
      <c r="K3118" s="12" t="s">
        <v>65</v>
      </c>
    </row>
    <row r="3119" spans="1:11" ht="40.049999999999997" customHeight="1" x14ac:dyDescent="0.25">
      <c r="A3119" s="11" t="s">
        <v>6711</v>
      </c>
      <c r="B3119" s="11" t="s">
        <v>6712</v>
      </c>
      <c r="C3119" s="11" t="s">
        <v>17</v>
      </c>
      <c r="D3119" s="11" t="s">
        <v>18</v>
      </c>
      <c r="E3119" s="12" t="s">
        <v>175</v>
      </c>
      <c r="F3119" s="12" t="s">
        <v>176</v>
      </c>
      <c r="G3119" s="12" t="s">
        <v>29</v>
      </c>
      <c r="H3119" s="11" t="s">
        <v>63</v>
      </c>
      <c r="I3119" s="13" t="s">
        <v>6732</v>
      </c>
      <c r="J3119" s="14" t="str">
        <f>HYPERLINK("https://www.boe.es/gazeta/dias/1839/01/16/pdfs/GMD-1839-1523.pdf#page=1","Abrir facsímil")</f>
        <v>Abrir facsímil</v>
      </c>
      <c r="K3119" s="12" t="s">
        <v>65</v>
      </c>
    </row>
    <row r="3120" spans="1:11" ht="40.049999999999997" customHeight="1" x14ac:dyDescent="0.25">
      <c r="A3120" s="11" t="s">
        <v>6711</v>
      </c>
      <c r="B3120" s="11" t="s">
        <v>6712</v>
      </c>
      <c r="C3120" s="11" t="s">
        <v>80</v>
      </c>
      <c r="D3120" s="11" t="s">
        <v>18</v>
      </c>
      <c r="E3120" s="12" t="s">
        <v>175</v>
      </c>
      <c r="F3120" s="12" t="s">
        <v>176</v>
      </c>
      <c r="G3120" s="12" t="s">
        <v>46</v>
      </c>
      <c r="H3120" s="11" t="s">
        <v>63</v>
      </c>
      <c r="I3120" s="13" t="s">
        <v>6733</v>
      </c>
      <c r="J3120" s="14" t="str">
        <f>HYPERLINK("https://www.boe.es/gazeta/dias/1839/01/16/pdfs/GMD-1839-1523.pdf#page=3","Abrir facsímil")</f>
        <v>Abrir facsímil</v>
      </c>
      <c r="K3120" s="12" t="s">
        <v>65</v>
      </c>
    </row>
    <row r="3121" spans="1:11" ht="40.049999999999997" customHeight="1" x14ac:dyDescent="0.25">
      <c r="A3121" s="11" t="s">
        <v>6711</v>
      </c>
      <c r="B3121" s="11" t="s">
        <v>6712</v>
      </c>
      <c r="C3121" s="11" t="s">
        <v>17</v>
      </c>
      <c r="D3121" s="11" t="s">
        <v>18</v>
      </c>
      <c r="E3121" s="12" t="s">
        <v>1027</v>
      </c>
      <c r="F3121" s="12" t="s">
        <v>1028</v>
      </c>
      <c r="G3121" s="12" t="s">
        <v>29</v>
      </c>
      <c r="H3121" s="11" t="s">
        <v>63</v>
      </c>
      <c r="I3121" s="13" t="s">
        <v>6734</v>
      </c>
      <c r="J3121" s="14" t="str">
        <f>HYPERLINK("https://www.boe.es/gazeta/dias/1839/08/16/pdfs/GMD-1839-1736.pdf#page=1","Abrir facsímil")</f>
        <v>Abrir facsímil</v>
      </c>
      <c r="K3121" s="12" t="s">
        <v>65</v>
      </c>
    </row>
    <row r="3122" spans="1:11" ht="40.049999999999997" customHeight="1" x14ac:dyDescent="0.25">
      <c r="A3122" s="11" t="s">
        <v>6711</v>
      </c>
      <c r="B3122" s="11" t="s">
        <v>6712</v>
      </c>
      <c r="C3122" s="11" t="s">
        <v>101</v>
      </c>
      <c r="D3122" s="11" t="s">
        <v>43</v>
      </c>
      <c r="E3122" s="12" t="s">
        <v>1236</v>
      </c>
      <c r="F3122" s="12" t="s">
        <v>1237</v>
      </c>
      <c r="G3122" s="12" t="s">
        <v>40</v>
      </c>
      <c r="H3122" s="11" t="s">
        <v>63</v>
      </c>
      <c r="I3122" s="13" t="s">
        <v>6735</v>
      </c>
      <c r="J3122" s="14" t="str">
        <f>HYPERLINK("https://www.boe.es/gazeta/dias/1839/10/16/pdfs/GMD-1839-1802.pdf#page=2","Abrir facsímil")</f>
        <v>Abrir facsímil</v>
      </c>
      <c r="K3122" s="12" t="s">
        <v>65</v>
      </c>
    </row>
    <row r="3123" spans="1:11" ht="40.049999999999997" customHeight="1" x14ac:dyDescent="0.25">
      <c r="A3123" s="11" t="s">
        <v>6711</v>
      </c>
      <c r="B3123" s="11" t="s">
        <v>6712</v>
      </c>
      <c r="C3123" s="11" t="s">
        <v>101</v>
      </c>
      <c r="D3123" s="11" t="s">
        <v>43</v>
      </c>
      <c r="E3123" s="12" t="s">
        <v>513</v>
      </c>
      <c r="F3123" s="12" t="s">
        <v>514</v>
      </c>
      <c r="G3123" s="12" t="s">
        <v>29</v>
      </c>
      <c r="H3123" s="11" t="s">
        <v>63</v>
      </c>
      <c r="I3123" s="13" t="s">
        <v>6736</v>
      </c>
      <c r="J3123" s="14" t="str">
        <f>HYPERLINK("https://www.boe.es/gazeta/dias/1839/03/17/pdfs/GMD-1839-1583.pdf#page=1","Abrir facsímil")</f>
        <v>Abrir facsímil</v>
      </c>
      <c r="K3123" s="12" t="s">
        <v>65</v>
      </c>
    </row>
    <row r="3124" spans="1:11" ht="40.049999999999997" customHeight="1" x14ac:dyDescent="0.25">
      <c r="A3124" s="11" t="s">
        <v>6711</v>
      </c>
      <c r="B3124" s="11" t="s">
        <v>6712</v>
      </c>
      <c r="C3124" s="11" t="s">
        <v>17</v>
      </c>
      <c r="D3124" s="11" t="s">
        <v>18</v>
      </c>
      <c r="E3124" s="12" t="s">
        <v>1072</v>
      </c>
      <c r="F3124" s="12" t="s">
        <v>1073</v>
      </c>
      <c r="G3124" s="12" t="s">
        <v>46</v>
      </c>
      <c r="H3124" s="11" t="s">
        <v>63</v>
      </c>
      <c r="I3124" s="13" t="s">
        <v>6737</v>
      </c>
      <c r="J3124" s="14" t="str">
        <f>HYPERLINK("https://www.boe.es/gazeta/dias/1839/01/18/pdfs/GMD-1839-1525.pdf#page=3","Abrir facsímil")</f>
        <v>Abrir facsímil</v>
      </c>
      <c r="K3124" s="12" t="s">
        <v>65</v>
      </c>
    </row>
    <row r="3125" spans="1:11" ht="40.049999999999997" customHeight="1" x14ac:dyDescent="0.25">
      <c r="A3125" s="11" t="s">
        <v>6711</v>
      </c>
      <c r="B3125" s="11" t="s">
        <v>6712</v>
      </c>
      <c r="C3125" s="11" t="s">
        <v>80</v>
      </c>
      <c r="D3125" s="11" t="s">
        <v>18</v>
      </c>
      <c r="E3125" s="12" t="s">
        <v>207</v>
      </c>
      <c r="F3125" s="12" t="s">
        <v>208</v>
      </c>
      <c r="G3125" s="12" t="s">
        <v>40</v>
      </c>
      <c r="H3125" s="11" t="s">
        <v>63</v>
      </c>
      <c r="I3125" s="13" t="s">
        <v>6738</v>
      </c>
      <c r="J3125" s="14" t="str">
        <f>HYPERLINK("https://www.boe.es/gazeta/dias/1839/02/19/pdfs/GMD-1839-1557.pdf#page=2","Abrir facsímil")</f>
        <v>Abrir facsímil</v>
      </c>
      <c r="K3125" s="12" t="s">
        <v>65</v>
      </c>
    </row>
    <row r="3126" spans="1:11" ht="40.049999999999997" customHeight="1" x14ac:dyDescent="0.25">
      <c r="A3126" s="11" t="s">
        <v>6711</v>
      </c>
      <c r="B3126" s="11" t="s">
        <v>6712</v>
      </c>
      <c r="C3126" s="11" t="s">
        <v>101</v>
      </c>
      <c r="D3126" s="11" t="s">
        <v>43</v>
      </c>
      <c r="E3126" s="12" t="s">
        <v>2222</v>
      </c>
      <c r="F3126" s="12" t="s">
        <v>2223</v>
      </c>
      <c r="G3126" s="12" t="s">
        <v>40</v>
      </c>
      <c r="H3126" s="11" t="s">
        <v>63</v>
      </c>
      <c r="I3126" s="13" t="s">
        <v>6739</v>
      </c>
      <c r="J3126" s="14" t="str">
        <f>HYPERLINK("https://www.boe.es/gazeta/dias/1839/09/19/pdfs/GMD-1839-1773.pdf#page=2","Abrir facsímil")</f>
        <v>Abrir facsímil</v>
      </c>
      <c r="K3126" s="12" t="s">
        <v>65</v>
      </c>
    </row>
    <row r="3127" spans="1:11" ht="40.049999999999997" customHeight="1" x14ac:dyDescent="0.25">
      <c r="A3127" s="11" t="s">
        <v>6711</v>
      </c>
      <c r="B3127" s="11" t="s">
        <v>6712</v>
      </c>
      <c r="C3127" s="11" t="s">
        <v>17</v>
      </c>
      <c r="D3127" s="11" t="s">
        <v>18</v>
      </c>
      <c r="E3127" s="12" t="s">
        <v>643</v>
      </c>
      <c r="F3127" s="12" t="s">
        <v>644</v>
      </c>
      <c r="G3127" s="12" t="s">
        <v>29</v>
      </c>
      <c r="H3127" s="11" t="s">
        <v>63</v>
      </c>
      <c r="I3127" s="13" t="s">
        <v>6740</v>
      </c>
      <c r="J3127" s="14" t="str">
        <f>HYPERLINK("https://www.boe.es/gazeta/dias/1839/03/20/pdfs/GMD-1839-1586.pdf#page=1","Abrir facsímil")</f>
        <v>Abrir facsímil</v>
      </c>
      <c r="K3127" s="12" t="s">
        <v>65</v>
      </c>
    </row>
    <row r="3128" spans="1:11" ht="40.049999999999997" customHeight="1" x14ac:dyDescent="0.25">
      <c r="A3128" s="11" t="s">
        <v>6711</v>
      </c>
      <c r="B3128" s="11" t="s">
        <v>6712</v>
      </c>
      <c r="C3128" s="11" t="s">
        <v>80</v>
      </c>
      <c r="D3128" s="11" t="s">
        <v>173</v>
      </c>
      <c r="E3128" s="12" t="s">
        <v>794</v>
      </c>
      <c r="F3128" s="12" t="s">
        <v>795</v>
      </c>
      <c r="G3128" s="12" t="s">
        <v>46</v>
      </c>
      <c r="H3128" s="11" t="s">
        <v>63</v>
      </c>
      <c r="I3128" s="13" t="s">
        <v>6741</v>
      </c>
      <c r="J3128" s="14" t="str">
        <f>HYPERLINK("https://www.boe.es/gazeta/dias/1839/01/22/pdfs/GMD-1839-1529.pdf#page=3","Abrir facsímil")</f>
        <v>Abrir facsímil</v>
      </c>
      <c r="K3128" s="12" t="s">
        <v>65</v>
      </c>
    </row>
    <row r="3129" spans="1:11" ht="40.049999999999997" customHeight="1" x14ac:dyDescent="0.25">
      <c r="A3129" s="11" t="s">
        <v>6711</v>
      </c>
      <c r="B3129" s="11" t="s">
        <v>6712</v>
      </c>
      <c r="C3129" s="11" t="s">
        <v>17</v>
      </c>
      <c r="D3129" s="11" t="s">
        <v>18</v>
      </c>
      <c r="E3129" s="12" t="s">
        <v>1433</v>
      </c>
      <c r="F3129" s="12" t="s">
        <v>1434</v>
      </c>
      <c r="G3129" s="12" t="s">
        <v>21</v>
      </c>
      <c r="H3129" s="11" t="s">
        <v>63</v>
      </c>
      <c r="I3129" s="13" t="s">
        <v>6742</v>
      </c>
      <c r="J3129" s="14" t="str">
        <f>HYPERLINK("https://www.boe.es/gazeta/dias/1839/10/22/pdfs/GMD-1839-1808.pdf#page=4","Abrir facsímil")</f>
        <v>Abrir facsímil</v>
      </c>
      <c r="K3129" s="12" t="s">
        <v>65</v>
      </c>
    </row>
    <row r="3130" spans="1:11" ht="40.049999999999997" customHeight="1" x14ac:dyDescent="0.25">
      <c r="A3130" s="11" t="s">
        <v>6711</v>
      </c>
      <c r="B3130" s="11" t="s">
        <v>6712</v>
      </c>
      <c r="C3130" s="11" t="s">
        <v>17</v>
      </c>
      <c r="D3130" s="11" t="s">
        <v>18</v>
      </c>
      <c r="E3130" s="12" t="s">
        <v>596</v>
      </c>
      <c r="F3130" s="12" t="s">
        <v>597</v>
      </c>
      <c r="G3130" s="12" t="s">
        <v>46</v>
      </c>
      <c r="H3130" s="11" t="s">
        <v>63</v>
      </c>
      <c r="I3130" s="13" t="s">
        <v>6743</v>
      </c>
      <c r="J3130" s="14" t="str">
        <f>HYPERLINK("https://www.boe.es/gazeta/dias/1839/01/23/pdfs/GMD-1839-1530.pdf#page=3","Abrir facsímil")</f>
        <v>Abrir facsímil</v>
      </c>
      <c r="K3130" s="12" t="s">
        <v>65</v>
      </c>
    </row>
    <row r="3131" spans="1:11" ht="40.049999999999997" customHeight="1" x14ac:dyDescent="0.25">
      <c r="A3131" s="11" t="s">
        <v>6711</v>
      </c>
      <c r="B3131" s="11" t="s">
        <v>6712</v>
      </c>
      <c r="C3131" s="11" t="s">
        <v>101</v>
      </c>
      <c r="D3131" s="11" t="s">
        <v>102</v>
      </c>
      <c r="E3131" s="12" t="s">
        <v>926</v>
      </c>
      <c r="F3131" s="12" t="s">
        <v>927</v>
      </c>
      <c r="G3131" s="12" t="s">
        <v>40</v>
      </c>
      <c r="H3131" s="11" t="s">
        <v>63</v>
      </c>
      <c r="I3131" s="13" t="s">
        <v>6744</v>
      </c>
      <c r="J3131" s="14" t="str">
        <f>HYPERLINK("https://www.boe.es/gazeta/dias/1839/01/25/pdfs/GMD-1839-1532.pdf#page=2","Abrir facsímil")</f>
        <v>Abrir facsímil</v>
      </c>
      <c r="K3131" s="12" t="s">
        <v>65</v>
      </c>
    </row>
    <row r="3132" spans="1:11" ht="40.049999999999997" customHeight="1" x14ac:dyDescent="0.25">
      <c r="A3132" s="11" t="s">
        <v>6711</v>
      </c>
      <c r="B3132" s="11" t="s">
        <v>6712</v>
      </c>
      <c r="C3132" s="11" t="s">
        <v>137</v>
      </c>
      <c r="D3132" s="11" t="s">
        <v>18</v>
      </c>
      <c r="E3132" s="12" t="s">
        <v>1679</v>
      </c>
      <c r="F3132" s="12" t="s">
        <v>1680</v>
      </c>
      <c r="G3132" s="12" t="s">
        <v>40</v>
      </c>
      <c r="H3132" s="11" t="s">
        <v>63</v>
      </c>
      <c r="I3132" s="13" t="s">
        <v>6745</v>
      </c>
      <c r="J3132" s="14" t="str">
        <f>HYPERLINK("https://www.boe.es/gazeta/dias/1839/01/26/pdfs/GMD-1839-1533.pdf#page=2","Abrir facsímil")</f>
        <v>Abrir facsímil</v>
      </c>
      <c r="K3132" s="12" t="s">
        <v>65</v>
      </c>
    </row>
    <row r="3133" spans="1:11" ht="40.049999999999997" customHeight="1" x14ac:dyDescent="0.25">
      <c r="A3133" s="11" t="s">
        <v>6711</v>
      </c>
      <c r="B3133" s="11" t="s">
        <v>6712</v>
      </c>
      <c r="C3133" s="11" t="s">
        <v>17</v>
      </c>
      <c r="D3133" s="11" t="s">
        <v>18</v>
      </c>
      <c r="E3133" s="12" t="s">
        <v>1086</v>
      </c>
      <c r="F3133" s="12" t="s">
        <v>1087</v>
      </c>
      <c r="G3133" s="12" t="s">
        <v>21</v>
      </c>
      <c r="H3133" s="11" t="s">
        <v>63</v>
      </c>
      <c r="I3133" s="13" t="s">
        <v>6746</v>
      </c>
      <c r="J3133" s="14" t="str">
        <f>HYPERLINK("https://www.boe.es/gazeta/dias/1839/10/26/pdfs/GMD-1839-1812.pdf#page=4","Abrir facsímil")</f>
        <v>Abrir facsímil</v>
      </c>
      <c r="K3133" s="12" t="s">
        <v>65</v>
      </c>
    </row>
    <row r="3134" spans="1:11" ht="40.049999999999997" customHeight="1" x14ac:dyDescent="0.25">
      <c r="A3134" s="11" t="s">
        <v>6711</v>
      </c>
      <c r="B3134" s="11" t="s">
        <v>6712</v>
      </c>
      <c r="C3134" s="11" t="s">
        <v>137</v>
      </c>
      <c r="D3134" s="11" t="s">
        <v>18</v>
      </c>
      <c r="E3134" s="12" t="s">
        <v>1867</v>
      </c>
      <c r="F3134" s="12" t="s">
        <v>1868</v>
      </c>
      <c r="G3134" s="12" t="s">
        <v>40</v>
      </c>
      <c r="H3134" s="11" t="s">
        <v>63</v>
      </c>
      <c r="I3134" s="13" t="s">
        <v>6747</v>
      </c>
      <c r="J3134" s="14" t="str">
        <f>HYPERLINK("https://www.boe.es/gazeta/dias/1839/01/30/pdfs/GMD-1839-1537.pdf#page=2","Abrir facsímil")</f>
        <v>Abrir facsímil</v>
      </c>
      <c r="K3134" s="12" t="s">
        <v>65</v>
      </c>
    </row>
    <row r="3135" spans="1:11" ht="40.049999999999997" customHeight="1" x14ac:dyDescent="0.25">
      <c r="A3135" s="11" t="s">
        <v>6711</v>
      </c>
      <c r="B3135" s="11" t="s">
        <v>6712</v>
      </c>
      <c r="C3135" s="11" t="s">
        <v>17</v>
      </c>
      <c r="D3135" s="11" t="s">
        <v>18</v>
      </c>
      <c r="E3135" s="12" t="s">
        <v>929</v>
      </c>
      <c r="F3135" s="12" t="s">
        <v>930</v>
      </c>
      <c r="G3135" s="12" t="s">
        <v>29</v>
      </c>
      <c r="H3135" s="11" t="s">
        <v>63</v>
      </c>
      <c r="I3135" s="13" t="s">
        <v>6748</v>
      </c>
      <c r="J3135" s="14" t="str">
        <f>HYPERLINK("https://www.boe.es/gazeta/dias/1839/01/31/pdfs/GMD-1839-1538.pdf#page=1","Abrir facsímil")</f>
        <v>Abrir facsímil</v>
      </c>
      <c r="K3135" s="12" t="s">
        <v>65</v>
      </c>
    </row>
    <row r="3136" spans="1:11" ht="40.049999999999997" customHeight="1" x14ac:dyDescent="0.25">
      <c r="A3136" s="11" t="s">
        <v>6749</v>
      </c>
      <c r="B3136" s="11" t="s">
        <v>6750</v>
      </c>
      <c r="C3136" s="11" t="s">
        <v>17</v>
      </c>
      <c r="D3136" s="11" t="s">
        <v>18</v>
      </c>
      <c r="E3136" s="12" t="s">
        <v>157</v>
      </c>
      <c r="F3136" s="12" t="s">
        <v>158</v>
      </c>
      <c r="G3136" s="12" t="s">
        <v>21</v>
      </c>
      <c r="H3136" s="11" t="s">
        <v>63</v>
      </c>
      <c r="I3136" s="13" t="s">
        <v>6751</v>
      </c>
      <c r="J3136" s="14" t="str">
        <f>HYPERLINK("https://www.boe.es/gazeta/dias/1839/02/08/pdfs/GMD-1839-1546.pdf#page=4","Abrir facsímil")</f>
        <v>Abrir facsímil</v>
      </c>
      <c r="K3136" s="12" t="s">
        <v>65</v>
      </c>
    </row>
    <row r="3137" spans="1:11" ht="40.049999999999997" customHeight="1" x14ac:dyDescent="0.25">
      <c r="A3137" s="11" t="s">
        <v>6752</v>
      </c>
      <c r="B3137" s="11" t="s">
        <v>6753</v>
      </c>
      <c r="C3137" s="11" t="s">
        <v>17</v>
      </c>
      <c r="D3137" s="11" t="s">
        <v>18</v>
      </c>
      <c r="E3137" s="12" t="s">
        <v>2210</v>
      </c>
      <c r="F3137" s="12" t="s">
        <v>2211</v>
      </c>
      <c r="G3137" s="12" t="s">
        <v>46</v>
      </c>
      <c r="H3137" s="11" t="s">
        <v>63</v>
      </c>
      <c r="I3137" s="13" t="s">
        <v>6754</v>
      </c>
      <c r="J3137" s="14" t="str">
        <f>HYPERLINK("https://www.boe.es/gazeta/dias/1839/09/05/pdfs/GMD-1839-1758.pdf#page=3","Abrir facsímil")</f>
        <v>Abrir facsímil</v>
      </c>
      <c r="K3137" s="12" t="s">
        <v>65</v>
      </c>
    </row>
    <row r="3138" spans="1:11" ht="40.049999999999997" customHeight="1" x14ac:dyDescent="0.25">
      <c r="A3138" s="11" t="s">
        <v>6755</v>
      </c>
      <c r="B3138" s="11" t="s">
        <v>6756</v>
      </c>
      <c r="C3138" s="11" t="s">
        <v>17</v>
      </c>
      <c r="D3138" s="11" t="s">
        <v>18</v>
      </c>
      <c r="E3138" s="12" t="s">
        <v>1679</v>
      </c>
      <c r="F3138" s="12" t="s">
        <v>1680</v>
      </c>
      <c r="G3138" s="12" t="s">
        <v>40</v>
      </c>
      <c r="H3138" s="11" t="s">
        <v>63</v>
      </c>
      <c r="I3138" s="13" t="s">
        <v>6757</v>
      </c>
      <c r="J3138" s="14" t="str">
        <f>HYPERLINK("https://www.boe.es/gazeta/dias/1839/01/26/pdfs/GMD-1839-1533.pdf#page=2","Abrir facsímil")</f>
        <v>Abrir facsímil</v>
      </c>
      <c r="K3138" s="12" t="s">
        <v>65</v>
      </c>
    </row>
    <row r="3139" spans="1:11" ht="40.049999999999997" customHeight="1" x14ac:dyDescent="0.25">
      <c r="A3139" s="11" t="s">
        <v>6758</v>
      </c>
      <c r="B3139" s="11" t="s">
        <v>6759</v>
      </c>
      <c r="C3139" s="11" t="s">
        <v>17</v>
      </c>
      <c r="D3139" s="11" t="s">
        <v>18</v>
      </c>
      <c r="E3139" s="12" t="s">
        <v>516</v>
      </c>
      <c r="F3139" s="12" t="s">
        <v>517</v>
      </c>
      <c r="G3139" s="12" t="s">
        <v>21</v>
      </c>
      <c r="H3139" s="11" t="s">
        <v>63</v>
      </c>
      <c r="I3139" s="13" t="s">
        <v>6760</v>
      </c>
      <c r="J3139" s="14" t="str">
        <f>HYPERLINK("https://www.boe.es/gazeta/dias/1839/06/21/pdfs/GMD-1839-1679.pdf#page=4","Abrir facsímil")</f>
        <v>Abrir facsímil</v>
      </c>
      <c r="K3139" s="12" t="s">
        <v>65</v>
      </c>
    </row>
    <row r="3140" spans="1:11" ht="40.049999999999997" customHeight="1" x14ac:dyDescent="0.25">
      <c r="A3140" s="11" t="s">
        <v>6761</v>
      </c>
      <c r="B3140" s="11" t="s">
        <v>6762</v>
      </c>
      <c r="C3140" s="11" t="s">
        <v>80</v>
      </c>
      <c r="D3140" s="11" t="s">
        <v>18</v>
      </c>
      <c r="E3140" s="12" t="s">
        <v>2374</v>
      </c>
      <c r="F3140" s="12" t="s">
        <v>2375</v>
      </c>
      <c r="G3140" s="12" t="s">
        <v>46</v>
      </c>
      <c r="H3140" s="11" t="s">
        <v>22</v>
      </c>
      <c r="I3140" s="13" t="s">
        <v>6763</v>
      </c>
      <c r="J3140" s="14" t="str">
        <f>HYPERLINK("https://www.boe.es/gazeta/dias/1839/06/14/pdfs/GMD-1839-1672.pdf#page=3","Abrir facsímil")</f>
        <v>Abrir facsímil</v>
      </c>
      <c r="K3140" s="12" t="s">
        <v>24</v>
      </c>
    </row>
    <row r="3141" spans="1:11" ht="40.049999999999997" customHeight="1" x14ac:dyDescent="0.25">
      <c r="A3141" s="11" t="s">
        <v>6764</v>
      </c>
      <c r="B3141" s="11" t="s">
        <v>6765</v>
      </c>
      <c r="C3141" s="11" t="s">
        <v>80</v>
      </c>
      <c r="D3141" s="11" t="s">
        <v>18</v>
      </c>
      <c r="E3141" s="12" t="s">
        <v>756</v>
      </c>
      <c r="F3141" s="12" t="s">
        <v>757</v>
      </c>
      <c r="G3141" s="12" t="s">
        <v>21</v>
      </c>
      <c r="H3141" s="11" t="s">
        <v>63</v>
      </c>
      <c r="I3141" s="13" t="s">
        <v>6766</v>
      </c>
      <c r="J3141" s="14" t="str">
        <f>HYPERLINK("https://www.boe.es/gazeta/dias/1839/12/17/pdfs/GMD-1839-1864.pdf#page=4","Abrir facsímil")</f>
        <v>Abrir facsímil</v>
      </c>
      <c r="K3141" s="12" t="s">
        <v>65</v>
      </c>
    </row>
    <row r="3142" spans="1:11" ht="40.049999999999997" customHeight="1" x14ac:dyDescent="0.25">
      <c r="A3142" s="11" t="s">
        <v>6767</v>
      </c>
      <c r="B3142" s="11" t="s">
        <v>6768</v>
      </c>
      <c r="C3142" s="11" t="s">
        <v>17</v>
      </c>
      <c r="D3142" s="11" t="s">
        <v>18</v>
      </c>
      <c r="E3142" s="12" t="s">
        <v>258</v>
      </c>
      <c r="F3142" s="12" t="s">
        <v>259</v>
      </c>
      <c r="G3142" s="12" t="s">
        <v>21</v>
      </c>
      <c r="H3142" s="11" t="s">
        <v>22</v>
      </c>
      <c r="I3142" s="13" t="s">
        <v>6769</v>
      </c>
      <c r="J3142" s="14" t="str">
        <f>HYPERLINK("https://www.boe.es/gazeta/dias/1839/01/02/pdfs/GMD-1839-1509.pdf#page=4","Abrir facsímil")</f>
        <v>Abrir facsímil</v>
      </c>
      <c r="K3142" s="12" t="s">
        <v>24</v>
      </c>
    </row>
    <row r="3143" spans="1:11" ht="40.049999999999997" customHeight="1" x14ac:dyDescent="0.25">
      <c r="A3143" s="11" t="s">
        <v>6770</v>
      </c>
      <c r="B3143" s="11" t="s">
        <v>6771</v>
      </c>
      <c r="C3143" s="11" t="s">
        <v>80</v>
      </c>
      <c r="D3143" s="11" t="s">
        <v>18</v>
      </c>
      <c r="E3143" s="12" t="s">
        <v>2210</v>
      </c>
      <c r="F3143" s="12" t="s">
        <v>2211</v>
      </c>
      <c r="G3143" s="12" t="s">
        <v>29</v>
      </c>
      <c r="H3143" s="11" t="s">
        <v>63</v>
      </c>
      <c r="I3143" s="13" t="s">
        <v>6772</v>
      </c>
      <c r="J3143" s="14" t="str">
        <f>HYPERLINK("https://www.boe.es/gazeta/dias/1839/09/05/pdfs/GMD-1839-1758.pdf#page=1","Abrir facsímil")</f>
        <v>Abrir facsímil</v>
      </c>
      <c r="K3143" s="12" t="s">
        <v>65</v>
      </c>
    </row>
    <row r="3144" spans="1:11" ht="40.049999999999997" customHeight="1" x14ac:dyDescent="0.25">
      <c r="A3144" s="11" t="s">
        <v>6773</v>
      </c>
      <c r="B3144" s="11" t="s">
        <v>6774</v>
      </c>
      <c r="C3144" s="11" t="s">
        <v>17</v>
      </c>
      <c r="D3144" s="11" t="s">
        <v>18</v>
      </c>
      <c r="E3144" s="12" t="s">
        <v>222</v>
      </c>
      <c r="F3144" s="12" t="s">
        <v>223</v>
      </c>
      <c r="G3144" s="12" t="s">
        <v>46</v>
      </c>
      <c r="H3144" s="11" t="s">
        <v>63</v>
      </c>
      <c r="I3144" s="13" t="s">
        <v>6775</v>
      </c>
      <c r="J3144" s="14" t="str">
        <f>HYPERLINK("https://www.boe.es/gazeta/dias/1839/06/22/pdfs/GMD-1839-1680.pdf#page=3","Abrir facsímil")</f>
        <v>Abrir facsímil</v>
      </c>
      <c r="K3144" s="12" t="s">
        <v>65</v>
      </c>
    </row>
    <row r="3145" spans="1:11" ht="40.049999999999997" customHeight="1" x14ac:dyDescent="0.25">
      <c r="A3145" s="11" t="s">
        <v>6776</v>
      </c>
      <c r="B3145" s="11" t="s">
        <v>6777</v>
      </c>
      <c r="C3145" s="11" t="s">
        <v>17</v>
      </c>
      <c r="D3145" s="11" t="s">
        <v>18</v>
      </c>
      <c r="E3145" s="12" t="s">
        <v>462</v>
      </c>
      <c r="F3145" s="12" t="s">
        <v>463</v>
      </c>
      <c r="G3145" s="12" t="s">
        <v>46</v>
      </c>
      <c r="H3145" s="11" t="s">
        <v>63</v>
      </c>
      <c r="I3145" s="13" t="s">
        <v>6778</v>
      </c>
      <c r="J3145" s="14" t="str">
        <f>HYPERLINK("https://www.boe.es/gazeta/dias/1839/06/19/pdfs/GMD-1839-1677.pdf#page=3","Abrir facsímil")</f>
        <v>Abrir facsímil</v>
      </c>
      <c r="K3145" s="12" t="s">
        <v>65</v>
      </c>
    </row>
    <row r="3146" spans="1:11" ht="40.049999999999997" customHeight="1" x14ac:dyDescent="0.25">
      <c r="A3146" s="11" t="s">
        <v>6779</v>
      </c>
      <c r="B3146" s="11" t="s">
        <v>6780</v>
      </c>
      <c r="C3146" s="11" t="s">
        <v>17</v>
      </c>
      <c r="D3146" s="11" t="s">
        <v>18</v>
      </c>
      <c r="E3146" s="12" t="s">
        <v>197</v>
      </c>
      <c r="F3146" s="12" t="s">
        <v>198</v>
      </c>
      <c r="G3146" s="12" t="s">
        <v>46</v>
      </c>
      <c r="H3146" s="11" t="s">
        <v>63</v>
      </c>
      <c r="I3146" s="13" t="s">
        <v>6781</v>
      </c>
      <c r="J3146" s="14" t="str">
        <f>HYPERLINK("https://www.boe.es/gazeta/dias/1839/10/04/pdfs/GMD-1839-1790.pdf#page=3","Abrir facsímil")</f>
        <v>Abrir facsímil</v>
      </c>
      <c r="K3146" s="12" t="s">
        <v>65</v>
      </c>
    </row>
    <row r="3147" spans="1:11" ht="40.049999999999997" customHeight="1" x14ac:dyDescent="0.25">
      <c r="A3147" s="11" t="s">
        <v>6782</v>
      </c>
      <c r="B3147" s="11" t="s">
        <v>6783</v>
      </c>
      <c r="C3147" s="11" t="s">
        <v>80</v>
      </c>
      <c r="D3147" s="11" t="s">
        <v>18</v>
      </c>
      <c r="E3147" s="12" t="s">
        <v>1284</v>
      </c>
      <c r="F3147" s="12" t="s">
        <v>1285</v>
      </c>
      <c r="G3147" s="12" t="s">
        <v>29</v>
      </c>
      <c r="H3147" s="11" t="s">
        <v>63</v>
      </c>
      <c r="I3147" s="13" t="s">
        <v>6784</v>
      </c>
      <c r="J3147" s="14" t="str">
        <f>HYPERLINK("https://www.boe.es/gazeta/dias/1839/03/27/pdfs/GMD-1839-1593.pdf#page=1","Abrir facsímil")</f>
        <v>Abrir facsímil</v>
      </c>
      <c r="K3147" s="12" t="s">
        <v>65</v>
      </c>
    </row>
    <row r="3148" spans="1:11" ht="40.049999999999997" customHeight="1" x14ac:dyDescent="0.25">
      <c r="A3148" s="11" t="s">
        <v>6785</v>
      </c>
      <c r="B3148" s="11" t="s">
        <v>6786</v>
      </c>
      <c r="C3148" s="11" t="s">
        <v>17</v>
      </c>
      <c r="D3148" s="11" t="s">
        <v>18</v>
      </c>
      <c r="E3148" s="12" t="s">
        <v>33</v>
      </c>
      <c r="F3148" s="12" t="s">
        <v>34</v>
      </c>
      <c r="G3148" s="12" t="s">
        <v>21</v>
      </c>
      <c r="H3148" s="11" t="s">
        <v>63</v>
      </c>
      <c r="I3148" s="13" t="s">
        <v>6787</v>
      </c>
      <c r="J3148" s="14" t="str">
        <f>HYPERLINK("https://www.boe.es/gazeta/dias/1839/12/13/pdfs/GMD-1839-1860.pdf#page=4","Abrir facsímil")</f>
        <v>Abrir facsímil</v>
      </c>
      <c r="K3148" s="12" t="s">
        <v>65</v>
      </c>
    </row>
    <row r="3149" spans="1:11" ht="40.049999999999997" customHeight="1" x14ac:dyDescent="0.25">
      <c r="A3149" s="11" t="s">
        <v>6785</v>
      </c>
      <c r="B3149" s="11" t="s">
        <v>6786</v>
      </c>
      <c r="C3149" s="11" t="s">
        <v>17</v>
      </c>
      <c r="D3149" s="11" t="s">
        <v>18</v>
      </c>
      <c r="E3149" s="12" t="s">
        <v>3391</v>
      </c>
      <c r="F3149" s="12" t="s">
        <v>3392</v>
      </c>
      <c r="G3149" s="12" t="s">
        <v>21</v>
      </c>
      <c r="H3149" s="11" t="s">
        <v>63</v>
      </c>
      <c r="I3149" s="13" t="s">
        <v>6788</v>
      </c>
      <c r="J3149" s="14" t="str">
        <f>HYPERLINK("https://www.boe.es/gazeta/dias/1839/12/31/pdfs/GMD-1839-1878.pdf#page=4","Abrir facsímil")</f>
        <v>Abrir facsímil</v>
      </c>
      <c r="K3149" s="12" t="s">
        <v>65</v>
      </c>
    </row>
    <row r="3150" spans="1:11" ht="40.049999999999997" customHeight="1" x14ac:dyDescent="0.25">
      <c r="A3150" s="11" t="s">
        <v>6789</v>
      </c>
      <c r="B3150" s="11" t="s">
        <v>6790</v>
      </c>
      <c r="C3150" s="11" t="s">
        <v>59</v>
      </c>
      <c r="D3150" s="11" t="s">
        <v>60</v>
      </c>
      <c r="E3150" s="12" t="s">
        <v>664</v>
      </c>
      <c r="F3150" s="12" t="s">
        <v>665</v>
      </c>
      <c r="G3150" s="12" t="s">
        <v>21</v>
      </c>
      <c r="H3150" s="11" t="s">
        <v>63</v>
      </c>
      <c r="I3150" s="13" t="s">
        <v>6791</v>
      </c>
      <c r="J3150" s="14" t="str">
        <f>HYPERLINK("https://www.boe.es/gazeta/dias/1839/01/24/pdfs/GMD-1839-1531.pdf#page=4","Abrir facsímil")</f>
        <v>Abrir facsímil</v>
      </c>
      <c r="K3150" s="12" t="s">
        <v>65</v>
      </c>
    </row>
    <row r="3151" spans="1:11" ht="40.049999999999997" customHeight="1" x14ac:dyDescent="0.25">
      <c r="A3151" s="11" t="s">
        <v>6792</v>
      </c>
      <c r="B3151" s="11" t="s">
        <v>6793</v>
      </c>
      <c r="C3151" s="11" t="s">
        <v>80</v>
      </c>
      <c r="D3151" s="11" t="s">
        <v>18</v>
      </c>
      <c r="E3151" s="12" t="s">
        <v>516</v>
      </c>
      <c r="F3151" s="12" t="s">
        <v>517</v>
      </c>
      <c r="G3151" s="12" t="s">
        <v>21</v>
      </c>
      <c r="H3151" s="11" t="s">
        <v>63</v>
      </c>
      <c r="I3151" s="13" t="s">
        <v>6794</v>
      </c>
      <c r="J3151" s="14" t="str">
        <f>HYPERLINK("https://www.boe.es/gazeta/dias/1839/06/21/pdfs/GMD-1839-1679.pdf#page=4","Abrir facsímil")</f>
        <v>Abrir facsímil</v>
      </c>
      <c r="K3151" s="12" t="s">
        <v>65</v>
      </c>
    </row>
    <row r="3152" spans="1:11" ht="40.049999999999997" customHeight="1" x14ac:dyDescent="0.25">
      <c r="A3152" s="11" t="s">
        <v>6795</v>
      </c>
      <c r="B3152" s="11" t="s">
        <v>6796</v>
      </c>
      <c r="C3152" s="11" t="s">
        <v>17</v>
      </c>
      <c r="D3152" s="11" t="s">
        <v>18</v>
      </c>
      <c r="E3152" s="12" t="s">
        <v>462</v>
      </c>
      <c r="F3152" s="12" t="s">
        <v>463</v>
      </c>
      <c r="G3152" s="12" t="s">
        <v>46</v>
      </c>
      <c r="H3152" s="11" t="s">
        <v>63</v>
      </c>
      <c r="I3152" s="13" t="s">
        <v>6797</v>
      </c>
      <c r="J3152" s="14" t="str">
        <f>HYPERLINK("https://www.boe.es/gazeta/dias/1839/06/19/pdfs/GMD-1839-1677.pdf#page=3","Abrir facsímil")</f>
        <v>Abrir facsímil</v>
      </c>
      <c r="K3152" s="12" t="s">
        <v>65</v>
      </c>
    </row>
    <row r="3153" spans="1:11" ht="40.049999999999997" customHeight="1" x14ac:dyDescent="0.25">
      <c r="A3153" s="11" t="s">
        <v>6798</v>
      </c>
      <c r="B3153" s="11" t="s">
        <v>6799</v>
      </c>
      <c r="C3153" s="11" t="s">
        <v>17</v>
      </c>
      <c r="D3153" s="11" t="s">
        <v>18</v>
      </c>
      <c r="E3153" s="12" t="s">
        <v>1794</v>
      </c>
      <c r="F3153" s="12" t="s">
        <v>1795</v>
      </c>
      <c r="G3153" s="12" t="s">
        <v>40</v>
      </c>
      <c r="H3153" s="11" t="s">
        <v>63</v>
      </c>
      <c r="I3153" s="13" t="s">
        <v>6800</v>
      </c>
      <c r="J3153" s="14" t="str">
        <f>HYPERLINK("https://www.boe.es/gazeta/dias/1839/02/22/pdfs/GMD-1839-1560.pdf#page=2","Abrir facsímil")</f>
        <v>Abrir facsímil</v>
      </c>
      <c r="K3153" s="12" t="s">
        <v>65</v>
      </c>
    </row>
    <row r="3154" spans="1:11" ht="40.049999999999997" customHeight="1" x14ac:dyDescent="0.25">
      <c r="A3154" s="11" t="s">
        <v>6801</v>
      </c>
      <c r="B3154" s="11" t="s">
        <v>6802</v>
      </c>
      <c r="C3154" s="11" t="s">
        <v>17</v>
      </c>
      <c r="D3154" s="11" t="s">
        <v>18</v>
      </c>
      <c r="E3154" s="12" t="s">
        <v>4292</v>
      </c>
      <c r="F3154" s="12" t="s">
        <v>4293</v>
      </c>
      <c r="G3154" s="12" t="s">
        <v>29</v>
      </c>
      <c r="H3154" s="11" t="s">
        <v>63</v>
      </c>
      <c r="I3154" s="13" t="s">
        <v>6803</v>
      </c>
      <c r="J3154" s="14" t="str">
        <f>HYPERLINK("https://www.boe.es/gazeta/dias/1839/11/29/pdfs/GMD-1839-1846.pdf#page=1","Abrir facsímil")</f>
        <v>Abrir facsímil</v>
      </c>
      <c r="K3154" s="12" t="s">
        <v>65</v>
      </c>
    </row>
    <row r="3155" spans="1:11" ht="40.049999999999997" customHeight="1" x14ac:dyDescent="0.25">
      <c r="A3155" s="11" t="s">
        <v>6804</v>
      </c>
      <c r="B3155" s="11" t="s">
        <v>6805</v>
      </c>
      <c r="C3155" s="11" t="s">
        <v>59</v>
      </c>
      <c r="D3155" s="11" t="s">
        <v>60</v>
      </c>
      <c r="E3155" s="12" t="s">
        <v>474</v>
      </c>
      <c r="F3155" s="12" t="s">
        <v>475</v>
      </c>
      <c r="G3155" s="12" t="s">
        <v>46</v>
      </c>
      <c r="H3155" s="11" t="s">
        <v>63</v>
      </c>
      <c r="I3155" s="13" t="s">
        <v>6806</v>
      </c>
      <c r="J3155" s="14" t="str">
        <f>HYPERLINK("https://www.boe.es/gazeta/dias/1839/03/31/pdfs/GMD-1839-1597.pdf#page=3","Abrir facsímil")</f>
        <v>Abrir facsímil</v>
      </c>
      <c r="K3155" s="12" t="s">
        <v>65</v>
      </c>
    </row>
    <row r="3156" spans="1:11" ht="40.049999999999997" customHeight="1" x14ac:dyDescent="0.25">
      <c r="A3156" s="11" t="s">
        <v>6807</v>
      </c>
      <c r="B3156" s="11" t="s">
        <v>6808</v>
      </c>
      <c r="C3156" s="11" t="s">
        <v>137</v>
      </c>
      <c r="D3156" s="11" t="s">
        <v>18</v>
      </c>
      <c r="E3156" s="12" t="s">
        <v>809</v>
      </c>
      <c r="F3156" s="12" t="s">
        <v>810</v>
      </c>
      <c r="G3156" s="12" t="s">
        <v>29</v>
      </c>
      <c r="H3156" s="11" t="s">
        <v>63</v>
      </c>
      <c r="I3156" s="13" t="s">
        <v>6809</v>
      </c>
      <c r="J3156" s="14" t="str">
        <f>HYPERLINK("https://www.boe.es/gazeta/dias/1839/02/11/pdfs/GMD-1839-1549.pdf#page=1","Abrir facsímil")</f>
        <v>Abrir facsímil</v>
      </c>
      <c r="K3156" s="12" t="s">
        <v>65</v>
      </c>
    </row>
    <row r="3157" spans="1:11" ht="40.049999999999997" customHeight="1" x14ac:dyDescent="0.25">
      <c r="A3157" s="11" t="s">
        <v>6810</v>
      </c>
      <c r="B3157" s="11" t="s">
        <v>6811</v>
      </c>
      <c r="C3157" s="11" t="s">
        <v>17</v>
      </c>
      <c r="D3157" s="11" t="s">
        <v>18</v>
      </c>
      <c r="E3157" s="12" t="s">
        <v>1008</v>
      </c>
      <c r="F3157" s="12" t="s">
        <v>1009</v>
      </c>
      <c r="G3157" s="12" t="s">
        <v>21</v>
      </c>
      <c r="H3157" s="11" t="s">
        <v>22</v>
      </c>
      <c r="I3157" s="13" t="s">
        <v>6812</v>
      </c>
      <c r="J3157" s="14" t="str">
        <f>HYPERLINK("https://www.boe.es/gazeta/dias/1839/09/07/pdfs/GMD-1839-1760.pdf#page=4","Abrir facsímil")</f>
        <v>Abrir facsímil</v>
      </c>
      <c r="K3157" s="12" t="s">
        <v>24</v>
      </c>
    </row>
    <row r="3158" spans="1:11" ht="40.049999999999997" customHeight="1" x14ac:dyDescent="0.25">
      <c r="A3158" s="11" t="s">
        <v>6810</v>
      </c>
      <c r="B3158" s="11" t="s">
        <v>6811</v>
      </c>
      <c r="C3158" s="11" t="s">
        <v>17</v>
      </c>
      <c r="D3158" s="11" t="s">
        <v>18</v>
      </c>
      <c r="E3158" s="12" t="s">
        <v>2962</v>
      </c>
      <c r="F3158" s="12" t="s">
        <v>2963</v>
      </c>
      <c r="G3158" s="12" t="s">
        <v>21</v>
      </c>
      <c r="H3158" s="11" t="s">
        <v>22</v>
      </c>
      <c r="I3158" s="13" t="s">
        <v>6813</v>
      </c>
      <c r="J3158" s="14" t="str">
        <f>HYPERLINK("https://www.boe.es/gazeta/dias/1839/12/21/pdfs/GMD-1839-1868.pdf#page=4","Abrir facsímil")</f>
        <v>Abrir facsímil</v>
      </c>
      <c r="K3158" s="12" t="s">
        <v>24</v>
      </c>
    </row>
    <row r="3159" spans="1:11" ht="40.049999999999997" customHeight="1" x14ac:dyDescent="0.25">
      <c r="A3159" s="11" t="s">
        <v>6814</v>
      </c>
      <c r="B3159" s="11" t="s">
        <v>6815</v>
      </c>
      <c r="C3159" s="11" t="s">
        <v>59</v>
      </c>
      <c r="D3159" s="11" t="s">
        <v>60</v>
      </c>
      <c r="E3159" s="12" t="s">
        <v>1123</v>
      </c>
      <c r="F3159" s="12" t="s">
        <v>1124</v>
      </c>
      <c r="G3159" s="12" t="s">
        <v>21</v>
      </c>
      <c r="H3159" s="11" t="s">
        <v>63</v>
      </c>
      <c r="I3159" s="13" t="s">
        <v>6816</v>
      </c>
      <c r="J3159" s="14" t="str">
        <f>HYPERLINK("https://www.boe.es/gazeta/dias/1839/08/10/pdfs/GMD-1839-1730.pdf#page=4","Abrir facsímil")</f>
        <v>Abrir facsímil</v>
      </c>
      <c r="K3159" s="12" t="s">
        <v>65</v>
      </c>
    </row>
    <row r="3160" spans="1:11" ht="40.049999999999997" customHeight="1" x14ac:dyDescent="0.25">
      <c r="A3160" s="11" t="s">
        <v>6817</v>
      </c>
      <c r="B3160" s="11" t="s">
        <v>6818</v>
      </c>
      <c r="C3160" s="11" t="s">
        <v>80</v>
      </c>
      <c r="D3160" s="11" t="s">
        <v>18</v>
      </c>
      <c r="E3160" s="12" t="s">
        <v>138</v>
      </c>
      <c r="F3160" s="12" t="s">
        <v>139</v>
      </c>
      <c r="G3160" s="12" t="s">
        <v>46</v>
      </c>
      <c r="H3160" s="11" t="s">
        <v>63</v>
      </c>
      <c r="I3160" s="13" t="s">
        <v>6819</v>
      </c>
      <c r="J3160" s="14" t="str">
        <f>HYPERLINK("https://www.boe.es/gazeta/dias/1839/10/09/pdfs/GMD-1839-1795.pdf#page=3","Abrir facsímil")</f>
        <v>Abrir facsímil</v>
      </c>
      <c r="K3160" s="12" t="s">
        <v>65</v>
      </c>
    </row>
    <row r="3161" spans="1:11" ht="40.049999999999997" customHeight="1" x14ac:dyDescent="0.25">
      <c r="A3161" s="11" t="s">
        <v>6820</v>
      </c>
      <c r="B3161" s="11" t="s">
        <v>6821</v>
      </c>
      <c r="C3161" s="11" t="s">
        <v>101</v>
      </c>
      <c r="D3161" s="11" t="s">
        <v>43</v>
      </c>
      <c r="E3161" s="12" t="s">
        <v>907</v>
      </c>
      <c r="F3161" s="12" t="s">
        <v>908</v>
      </c>
      <c r="G3161" s="12" t="s">
        <v>40</v>
      </c>
      <c r="H3161" s="11" t="s">
        <v>63</v>
      </c>
      <c r="I3161" s="13" t="s">
        <v>6822</v>
      </c>
      <c r="J3161" s="14" t="str">
        <f>HYPERLINK("https://www.boe.es/gazeta/dias/1839/07/31/pdfs/GMD-1839-1720.pdf#page=2","Abrir facsímil")</f>
        <v>Abrir facsímil</v>
      </c>
      <c r="K3161" s="12" t="s">
        <v>65</v>
      </c>
    </row>
    <row r="3162" spans="1:11" ht="40.049999999999997" customHeight="1" x14ac:dyDescent="0.25">
      <c r="A3162" s="11" t="s">
        <v>6823</v>
      </c>
      <c r="B3162" s="11" t="s">
        <v>6824</v>
      </c>
      <c r="C3162" s="11" t="s">
        <v>101</v>
      </c>
      <c r="D3162" s="11" t="s">
        <v>43</v>
      </c>
      <c r="E3162" s="12" t="s">
        <v>254</v>
      </c>
      <c r="F3162" s="12" t="s">
        <v>255</v>
      </c>
      <c r="G3162" s="12" t="s">
        <v>40</v>
      </c>
      <c r="H3162" s="11" t="s">
        <v>63</v>
      </c>
      <c r="I3162" s="13" t="s">
        <v>6825</v>
      </c>
      <c r="J3162" s="14" t="str">
        <f>HYPERLINK("https://www.boe.es/gazeta/dias/1839/09/12/pdfs/GMD-1839-1765.pdf#page=2","Abrir facsímil")</f>
        <v>Abrir facsímil</v>
      </c>
      <c r="K3162" s="12" t="s">
        <v>65</v>
      </c>
    </row>
    <row r="3163" spans="1:11" ht="40.049999999999997" customHeight="1" x14ac:dyDescent="0.25">
      <c r="A3163" s="11" t="s">
        <v>6823</v>
      </c>
      <c r="B3163" s="11" t="s">
        <v>6824</v>
      </c>
      <c r="C3163" s="11" t="s">
        <v>101</v>
      </c>
      <c r="D3163" s="11" t="s">
        <v>43</v>
      </c>
      <c r="E3163" s="12" t="s">
        <v>254</v>
      </c>
      <c r="F3163" s="12" t="s">
        <v>255</v>
      </c>
      <c r="G3163" s="12" t="s">
        <v>46</v>
      </c>
      <c r="H3163" s="11" t="s">
        <v>63</v>
      </c>
      <c r="I3163" s="13" t="s">
        <v>6826</v>
      </c>
      <c r="J3163" s="14" t="str">
        <f>HYPERLINK("https://www.boe.es/gazeta/dias/1839/09/12/pdfs/GMD-1839-1765.pdf#page=3","Abrir facsímil")</f>
        <v>Abrir facsímil</v>
      </c>
      <c r="K3163" s="12" t="s">
        <v>65</v>
      </c>
    </row>
    <row r="3164" spans="1:11" ht="40.049999999999997" customHeight="1" x14ac:dyDescent="0.25">
      <c r="A3164" s="11" t="s">
        <v>6827</v>
      </c>
      <c r="B3164" s="11" t="s">
        <v>6828</v>
      </c>
      <c r="C3164" s="11" t="s">
        <v>17</v>
      </c>
      <c r="D3164" s="11" t="s">
        <v>18</v>
      </c>
      <c r="E3164" s="12" t="s">
        <v>1479</v>
      </c>
      <c r="F3164" s="12" t="s">
        <v>1480</v>
      </c>
      <c r="G3164" s="12" t="s">
        <v>29</v>
      </c>
      <c r="H3164" s="11" t="s">
        <v>63</v>
      </c>
      <c r="I3164" s="13" t="s">
        <v>6829</v>
      </c>
      <c r="J3164" s="14" t="str">
        <f>HYPERLINK("https://www.boe.es/gazeta/dias/1839/04/09/pdfs/GMD-1839-1606.pdf#page=1","Abrir facsímil")</f>
        <v>Abrir facsímil</v>
      </c>
      <c r="K3164" s="12" t="s">
        <v>65</v>
      </c>
    </row>
    <row r="3165" spans="1:11" ht="40.049999999999997" customHeight="1" x14ac:dyDescent="0.25">
      <c r="A3165" s="11" t="s">
        <v>6830</v>
      </c>
      <c r="B3165" s="11" t="s">
        <v>6831</v>
      </c>
      <c r="C3165" s="11" t="s">
        <v>17</v>
      </c>
      <c r="D3165" s="11" t="s">
        <v>18</v>
      </c>
      <c r="E3165" s="12" t="s">
        <v>2227</v>
      </c>
      <c r="F3165" s="12" t="s">
        <v>2228</v>
      </c>
      <c r="G3165" s="12" t="s">
        <v>29</v>
      </c>
      <c r="H3165" s="11" t="s">
        <v>63</v>
      </c>
      <c r="I3165" s="13" t="s">
        <v>6832</v>
      </c>
      <c r="J3165" s="14" t="str">
        <f>HYPERLINK("https://www.boe.es/gazeta/dias/1839/12/04/pdfs/GMD-1839-1851.pdf#page=1","Abrir facsímil")</f>
        <v>Abrir facsímil</v>
      </c>
      <c r="K3165" s="12" t="s">
        <v>65</v>
      </c>
    </row>
    <row r="3166" spans="1:11" ht="40.049999999999997" customHeight="1" x14ac:dyDescent="0.25">
      <c r="A3166" s="11" t="s">
        <v>6833</v>
      </c>
      <c r="B3166" s="11" t="s">
        <v>6834</v>
      </c>
      <c r="C3166" s="11" t="s">
        <v>137</v>
      </c>
      <c r="D3166" s="11" t="s">
        <v>18</v>
      </c>
      <c r="E3166" s="12" t="s">
        <v>647</v>
      </c>
      <c r="F3166" s="12" t="s">
        <v>648</v>
      </c>
      <c r="G3166" s="12" t="s">
        <v>566</v>
      </c>
      <c r="H3166" s="11" t="s">
        <v>63</v>
      </c>
      <c r="I3166" s="13" t="s">
        <v>6835</v>
      </c>
      <c r="J3166" s="14" t="str">
        <f>HYPERLINK("https://www.boe.es/gazeta/dias/1839/10/08/pdfs/GMD-1839-1794.pdf#page=5","Abrir facsímil")</f>
        <v>Abrir facsímil</v>
      </c>
      <c r="K3166" s="12" t="s">
        <v>65</v>
      </c>
    </row>
    <row r="3167" spans="1:11" ht="40.049999999999997" customHeight="1" x14ac:dyDescent="0.25">
      <c r="A3167" s="11" t="s">
        <v>6836</v>
      </c>
      <c r="B3167" s="11" t="s">
        <v>6837</v>
      </c>
      <c r="C3167" s="11" t="s">
        <v>17</v>
      </c>
      <c r="D3167" s="11" t="s">
        <v>18</v>
      </c>
      <c r="E3167" s="12" t="s">
        <v>2349</v>
      </c>
      <c r="F3167" s="12" t="s">
        <v>2350</v>
      </c>
      <c r="G3167" s="12" t="s">
        <v>40</v>
      </c>
      <c r="H3167" s="11" t="s">
        <v>63</v>
      </c>
      <c r="I3167" s="13" t="s">
        <v>6838</v>
      </c>
      <c r="J3167" s="14" t="str">
        <f>HYPERLINK("https://www.boe.es/gazeta/dias/1839/09/29/pdfs/GMD-1839-1785.pdf#page=2","Abrir facsímil")</f>
        <v>Abrir facsímil</v>
      </c>
      <c r="K3167" s="12" t="s">
        <v>65</v>
      </c>
    </row>
    <row r="3168" spans="1:11" ht="40.049999999999997" customHeight="1" x14ac:dyDescent="0.25">
      <c r="A3168" s="11" t="s">
        <v>6839</v>
      </c>
      <c r="B3168" s="11" t="s">
        <v>6840</v>
      </c>
      <c r="C3168" s="11" t="s">
        <v>101</v>
      </c>
      <c r="D3168" s="11" t="s">
        <v>102</v>
      </c>
      <c r="E3168" s="12" t="s">
        <v>426</v>
      </c>
      <c r="F3168" s="12" t="s">
        <v>427</v>
      </c>
      <c r="G3168" s="12" t="s">
        <v>40</v>
      </c>
      <c r="H3168" s="11" t="s">
        <v>63</v>
      </c>
      <c r="I3168" s="13" t="s">
        <v>6841</v>
      </c>
      <c r="J3168" s="14" t="str">
        <f>HYPERLINK("https://www.boe.es/gazeta/dias/1839/08/11/pdfs/GMD-1839-1731.pdf#page=2","Abrir facsímil")</f>
        <v>Abrir facsímil</v>
      </c>
      <c r="K3168" s="12" t="s">
        <v>65</v>
      </c>
    </row>
    <row r="3169" spans="1:11" ht="40.049999999999997" customHeight="1" x14ac:dyDescent="0.25">
      <c r="A3169" s="11" t="s">
        <v>6842</v>
      </c>
      <c r="B3169" s="11" t="s">
        <v>6843</v>
      </c>
      <c r="C3169" s="11" t="s">
        <v>80</v>
      </c>
      <c r="D3169" s="11" t="s">
        <v>18</v>
      </c>
      <c r="E3169" s="12" t="s">
        <v>744</v>
      </c>
      <c r="F3169" s="12" t="s">
        <v>745</v>
      </c>
      <c r="G3169" s="12" t="s">
        <v>21</v>
      </c>
      <c r="H3169" s="11" t="s">
        <v>63</v>
      </c>
      <c r="I3169" s="13" t="s">
        <v>6844</v>
      </c>
      <c r="J3169" s="14" t="str">
        <f>HYPERLINK("https://www.boe.es/gazeta/dias/1839/12/09/pdfs/GMD-1839-1856.pdf#page=4","Abrir facsímil")</f>
        <v>Abrir facsímil</v>
      </c>
      <c r="K3169" s="12" t="s">
        <v>65</v>
      </c>
    </row>
    <row r="3170" spans="1:11" ht="40.049999999999997" customHeight="1" x14ac:dyDescent="0.25">
      <c r="A3170" s="11" t="s">
        <v>6845</v>
      </c>
      <c r="B3170" s="11" t="s">
        <v>6846</v>
      </c>
      <c r="C3170" s="11" t="s">
        <v>80</v>
      </c>
      <c r="D3170" s="11" t="s">
        <v>173</v>
      </c>
      <c r="E3170" s="12" t="s">
        <v>775</v>
      </c>
      <c r="F3170" s="12" t="s">
        <v>776</v>
      </c>
      <c r="G3170" s="12" t="s">
        <v>29</v>
      </c>
      <c r="H3170" s="11" t="s">
        <v>63</v>
      </c>
      <c r="I3170" s="13" t="s">
        <v>6847</v>
      </c>
      <c r="J3170" s="14" t="str">
        <f>HYPERLINK("https://www.boe.es/gazeta/dias/1839/02/25/pdfs/GMD-1839-1563.pdf#page=1","Abrir facsímil")</f>
        <v>Abrir facsímil</v>
      </c>
      <c r="K3170" s="12" t="s">
        <v>65</v>
      </c>
    </row>
    <row r="3171" spans="1:11" ht="40.049999999999997" customHeight="1" x14ac:dyDescent="0.25">
      <c r="A3171" s="11" t="s">
        <v>6848</v>
      </c>
      <c r="B3171" s="11" t="s">
        <v>6849</v>
      </c>
      <c r="C3171" s="11" t="s">
        <v>17</v>
      </c>
      <c r="D3171" s="11" t="s">
        <v>18</v>
      </c>
      <c r="E3171" s="12" t="s">
        <v>1287</v>
      </c>
      <c r="F3171" s="12" t="s">
        <v>1288</v>
      </c>
      <c r="G3171" s="12" t="s">
        <v>21</v>
      </c>
      <c r="H3171" s="11" t="s">
        <v>63</v>
      </c>
      <c r="I3171" s="13" t="s">
        <v>6850</v>
      </c>
      <c r="J3171" s="14" t="str">
        <f>HYPERLINK("https://www.boe.es/gazeta/dias/1839/10/30/pdfs/GMD-1839-1816.pdf#page=4","Abrir facsímil")</f>
        <v>Abrir facsímil</v>
      </c>
      <c r="K3171" s="12" t="s">
        <v>65</v>
      </c>
    </row>
    <row r="3172" spans="1:11" ht="40.049999999999997" customHeight="1" x14ac:dyDescent="0.25">
      <c r="A3172" s="11" t="s">
        <v>6851</v>
      </c>
      <c r="B3172" s="11" t="s">
        <v>6852</v>
      </c>
      <c r="C3172" s="11" t="s">
        <v>101</v>
      </c>
      <c r="D3172" s="11" t="s">
        <v>102</v>
      </c>
      <c r="E3172" s="12" t="s">
        <v>720</v>
      </c>
      <c r="F3172" s="12" t="s">
        <v>721</v>
      </c>
      <c r="G3172" s="12" t="s">
        <v>21</v>
      </c>
      <c r="H3172" s="11" t="s">
        <v>63</v>
      </c>
      <c r="I3172" s="13" t="s">
        <v>6853</v>
      </c>
      <c r="J3172" s="14" t="str">
        <f>HYPERLINK("https://www.boe.es/gazeta/dias/1839/01/14/pdfs/GMD-1839-1521.pdf#page=4","Abrir facsímil")</f>
        <v>Abrir facsímil</v>
      </c>
      <c r="K3172" s="12" t="s">
        <v>65</v>
      </c>
    </row>
    <row r="3173" spans="1:11" ht="40.049999999999997" customHeight="1" x14ac:dyDescent="0.25">
      <c r="A3173" s="11" t="s">
        <v>6854</v>
      </c>
      <c r="B3173" s="11" t="s">
        <v>6855</v>
      </c>
      <c r="C3173" s="11" t="s">
        <v>59</v>
      </c>
      <c r="D3173" s="11" t="s">
        <v>60</v>
      </c>
      <c r="E3173" s="12" t="s">
        <v>1208</v>
      </c>
      <c r="F3173" s="12" t="s">
        <v>1209</v>
      </c>
      <c r="G3173" s="12" t="s">
        <v>40</v>
      </c>
      <c r="H3173" s="11" t="s">
        <v>63</v>
      </c>
      <c r="I3173" s="13" t="s">
        <v>6856</v>
      </c>
      <c r="J3173" s="14" t="str">
        <f>HYPERLINK("https://www.boe.es/gazeta/dias/1839/04/24/pdfs/GMD-1839-1621.pdf#page=2","Abrir facsímil")</f>
        <v>Abrir facsímil</v>
      </c>
      <c r="K3173" s="12" t="s">
        <v>65</v>
      </c>
    </row>
    <row r="3174" spans="1:11" ht="40.049999999999997" customHeight="1" x14ac:dyDescent="0.25">
      <c r="A3174" s="11" t="s">
        <v>6857</v>
      </c>
      <c r="B3174" s="11" t="s">
        <v>6858</v>
      </c>
      <c r="C3174" s="11" t="s">
        <v>101</v>
      </c>
      <c r="D3174" s="11" t="s">
        <v>102</v>
      </c>
      <c r="E3174" s="12" t="s">
        <v>2117</v>
      </c>
      <c r="F3174" s="12" t="s">
        <v>2118</v>
      </c>
      <c r="G3174" s="12" t="s">
        <v>40</v>
      </c>
      <c r="H3174" s="11" t="s">
        <v>63</v>
      </c>
      <c r="I3174" s="13" t="s">
        <v>6859</v>
      </c>
      <c r="J3174" s="14" t="str">
        <f>HYPERLINK("https://www.boe.es/gazeta/dias/1839/06/23/pdfs/GMD-1839-1681.pdf#page=2","Abrir facsímil")</f>
        <v>Abrir facsímil</v>
      </c>
      <c r="K3174" s="12" t="s">
        <v>65</v>
      </c>
    </row>
    <row r="3175" spans="1:11" ht="40.049999999999997" customHeight="1" x14ac:dyDescent="0.25">
      <c r="A3175" s="11" t="s">
        <v>6860</v>
      </c>
      <c r="B3175" s="11" t="s">
        <v>6861</v>
      </c>
      <c r="C3175" s="11" t="s">
        <v>17</v>
      </c>
      <c r="D3175" s="11" t="s">
        <v>18</v>
      </c>
      <c r="E3175" s="12" t="s">
        <v>507</v>
      </c>
      <c r="F3175" s="12" t="s">
        <v>508</v>
      </c>
      <c r="G3175" s="12" t="s">
        <v>21</v>
      </c>
      <c r="H3175" s="11" t="s">
        <v>63</v>
      </c>
      <c r="I3175" s="13" t="s">
        <v>6862</v>
      </c>
      <c r="J3175" s="14" t="str">
        <f>HYPERLINK("https://www.boe.es/gazeta/dias/1839/08/12/pdfs/GMD-1839-1732.pdf#page=4","Abrir facsímil")</f>
        <v>Abrir facsímil</v>
      </c>
      <c r="K3175" s="12" t="s">
        <v>65</v>
      </c>
    </row>
    <row r="3176" spans="1:11" ht="40.049999999999997" customHeight="1" x14ac:dyDescent="0.25">
      <c r="A3176" s="11" t="s">
        <v>6863</v>
      </c>
      <c r="B3176" s="11" t="s">
        <v>6864</v>
      </c>
      <c r="C3176" s="11" t="s">
        <v>137</v>
      </c>
      <c r="D3176" s="11" t="s">
        <v>18</v>
      </c>
      <c r="E3176" s="12" t="s">
        <v>564</v>
      </c>
      <c r="F3176" s="12" t="s">
        <v>565</v>
      </c>
      <c r="G3176" s="12" t="s">
        <v>46</v>
      </c>
      <c r="H3176" s="11" t="s">
        <v>63</v>
      </c>
      <c r="I3176" s="13" t="s">
        <v>6865</v>
      </c>
      <c r="J3176" s="14" t="str">
        <f>HYPERLINK("https://www.boe.es/gazeta/dias/1839/10/17/pdfs/GMD-1839-1803.pdf#page=3","Abrir facsímil")</f>
        <v>Abrir facsímil</v>
      </c>
      <c r="K3176" s="12" t="s">
        <v>65</v>
      </c>
    </row>
    <row r="3177" spans="1:11" ht="40.049999999999997" customHeight="1" x14ac:dyDescent="0.25">
      <c r="A3177" s="11" t="s">
        <v>6866</v>
      </c>
      <c r="B3177" s="11" t="s">
        <v>6867</v>
      </c>
      <c r="C3177" s="11" t="s">
        <v>17</v>
      </c>
      <c r="D3177" s="11" t="s">
        <v>18</v>
      </c>
      <c r="E3177" s="12" t="s">
        <v>1509</v>
      </c>
      <c r="F3177" s="12" t="s">
        <v>1510</v>
      </c>
      <c r="G3177" s="12" t="s">
        <v>305</v>
      </c>
      <c r="H3177" s="11" t="s">
        <v>63</v>
      </c>
      <c r="I3177" s="13" t="s">
        <v>6868</v>
      </c>
      <c r="J3177" s="14" t="str">
        <f>HYPERLINK("https://www.boe.es/gazeta/dias/1839/10/07/pdfs/GMD-1839-1793.pdf#page=6","Abrir facsímil")</f>
        <v>Abrir facsímil</v>
      </c>
      <c r="K3177" s="12" t="s">
        <v>65</v>
      </c>
    </row>
    <row r="3178" spans="1:11" ht="40.049999999999997" customHeight="1" x14ac:dyDescent="0.25">
      <c r="A3178" s="11" t="s">
        <v>6869</v>
      </c>
      <c r="B3178" s="11" t="s">
        <v>6870</v>
      </c>
      <c r="C3178" s="11" t="s">
        <v>17</v>
      </c>
      <c r="D3178" s="11" t="s">
        <v>18</v>
      </c>
      <c r="E3178" s="12" t="s">
        <v>121</v>
      </c>
      <c r="F3178" s="12" t="s">
        <v>122</v>
      </c>
      <c r="G3178" s="12" t="s">
        <v>21</v>
      </c>
      <c r="H3178" s="11" t="s">
        <v>63</v>
      </c>
      <c r="I3178" s="13" t="s">
        <v>6871</v>
      </c>
      <c r="J3178" s="14" t="str">
        <f>HYPERLINK("https://www.boe.es/gazeta/dias/1839/06/08/pdfs/GMD-1839-1666.pdf#page=4","Abrir facsímil")</f>
        <v>Abrir facsímil</v>
      </c>
      <c r="K3178" s="12" t="s">
        <v>65</v>
      </c>
    </row>
    <row r="3179" spans="1:11" ht="40.049999999999997" customHeight="1" x14ac:dyDescent="0.25">
      <c r="A3179" s="11" t="s">
        <v>6872</v>
      </c>
      <c r="B3179" s="11" t="s">
        <v>6873</v>
      </c>
      <c r="C3179" s="11" t="s">
        <v>17</v>
      </c>
      <c r="D3179" s="11" t="s">
        <v>43</v>
      </c>
      <c r="E3179" s="12" t="s">
        <v>4108</v>
      </c>
      <c r="F3179" s="12" t="s">
        <v>4109</v>
      </c>
      <c r="G3179" s="12" t="s">
        <v>46</v>
      </c>
      <c r="H3179" s="11" t="s">
        <v>63</v>
      </c>
      <c r="I3179" s="13" t="s">
        <v>6874</v>
      </c>
      <c r="J3179" s="14" t="str">
        <f>HYPERLINK("https://www.boe.es/gazeta/dias/1839/03/23/pdfs/GMD-1839-1589.pdf#page=3","Abrir facsímil")</f>
        <v>Abrir facsímil</v>
      </c>
      <c r="K3179" s="12" t="s">
        <v>65</v>
      </c>
    </row>
    <row r="3180" spans="1:11" ht="40.049999999999997" customHeight="1" x14ac:dyDescent="0.25">
      <c r="A3180" s="11" t="s">
        <v>6875</v>
      </c>
      <c r="B3180" s="11" t="s">
        <v>6876</v>
      </c>
      <c r="C3180" s="11" t="s">
        <v>101</v>
      </c>
      <c r="D3180" s="11" t="s">
        <v>43</v>
      </c>
      <c r="E3180" s="12" t="s">
        <v>197</v>
      </c>
      <c r="F3180" s="12" t="s">
        <v>198</v>
      </c>
      <c r="G3180" s="12" t="s">
        <v>46</v>
      </c>
      <c r="H3180" s="11" t="s">
        <v>63</v>
      </c>
      <c r="I3180" s="13" t="s">
        <v>6877</v>
      </c>
      <c r="J3180" s="14" t="str">
        <f>HYPERLINK("https://www.boe.es/gazeta/dias/1839/10/04/pdfs/GMD-1839-1790.pdf#page=3","Abrir facsímil")</f>
        <v>Abrir facsímil</v>
      </c>
      <c r="K3180" s="12" t="s">
        <v>65</v>
      </c>
    </row>
    <row r="3181" spans="1:11" ht="40.049999999999997" customHeight="1" x14ac:dyDescent="0.25">
      <c r="A3181" s="11" t="s">
        <v>6878</v>
      </c>
      <c r="B3181" s="11" t="s">
        <v>6879</v>
      </c>
      <c r="C3181" s="11" t="s">
        <v>80</v>
      </c>
      <c r="D3181" s="11" t="s">
        <v>18</v>
      </c>
      <c r="E3181" s="12" t="s">
        <v>2449</v>
      </c>
      <c r="F3181" s="12" t="s">
        <v>2450</v>
      </c>
      <c r="G3181" s="12" t="s">
        <v>21</v>
      </c>
      <c r="H3181" s="11" t="s">
        <v>22</v>
      </c>
      <c r="I3181" s="13" t="s">
        <v>6880</v>
      </c>
      <c r="J3181" s="14" t="str">
        <f>HYPERLINK("https://www.boe.es/gazeta/dias/1839/12/11/pdfs/GMD-1839-1858.pdf#page=4","Abrir facsímil")</f>
        <v>Abrir facsímil</v>
      </c>
      <c r="K3181" s="12" t="s">
        <v>24</v>
      </c>
    </row>
    <row r="3182" spans="1:11" ht="40.049999999999997" customHeight="1" x14ac:dyDescent="0.25">
      <c r="A3182" s="11" t="s">
        <v>6881</v>
      </c>
      <c r="B3182" s="11" t="s">
        <v>6882</v>
      </c>
      <c r="C3182" s="11" t="s">
        <v>59</v>
      </c>
      <c r="D3182" s="11" t="s">
        <v>60</v>
      </c>
      <c r="E3182" s="12" t="s">
        <v>121</v>
      </c>
      <c r="F3182" s="12" t="s">
        <v>122</v>
      </c>
      <c r="G3182" s="12" t="s">
        <v>21</v>
      </c>
      <c r="H3182" s="11" t="s">
        <v>63</v>
      </c>
      <c r="I3182" s="13" t="s">
        <v>6883</v>
      </c>
      <c r="J3182" s="14" t="str">
        <f>HYPERLINK("https://www.boe.es/gazeta/dias/1839/06/08/pdfs/GMD-1839-1666.pdf#page=4","Abrir facsímil")</f>
        <v>Abrir facsímil</v>
      </c>
      <c r="K3182" s="12" t="s">
        <v>65</v>
      </c>
    </row>
    <row r="3183" spans="1:11" ht="40.049999999999997" customHeight="1" x14ac:dyDescent="0.25">
      <c r="A3183" s="11" t="s">
        <v>6884</v>
      </c>
      <c r="B3183" s="11" t="s">
        <v>6885</v>
      </c>
      <c r="C3183" s="11" t="s">
        <v>17</v>
      </c>
      <c r="D3183" s="11" t="s">
        <v>18</v>
      </c>
      <c r="E3183" s="12" t="s">
        <v>1631</v>
      </c>
      <c r="F3183" s="12" t="s">
        <v>1632</v>
      </c>
      <c r="G3183" s="12" t="s">
        <v>21</v>
      </c>
      <c r="H3183" s="11" t="s">
        <v>63</v>
      </c>
      <c r="I3183" s="13" t="s">
        <v>6886</v>
      </c>
      <c r="J3183" s="14" t="str">
        <f>HYPERLINK("https://www.boe.es/gazeta/dias/1839/05/10/pdfs/GMD-1839-1637.pdf#page=4","Abrir facsímil")</f>
        <v>Abrir facsímil</v>
      </c>
      <c r="K3183" s="12" t="s">
        <v>65</v>
      </c>
    </row>
    <row r="3184" spans="1:11" ht="40.049999999999997" customHeight="1" x14ac:dyDescent="0.25">
      <c r="A3184" s="11" t="s">
        <v>6884</v>
      </c>
      <c r="B3184" s="11" t="s">
        <v>6885</v>
      </c>
      <c r="C3184" s="11" t="s">
        <v>59</v>
      </c>
      <c r="D3184" s="11" t="s">
        <v>60</v>
      </c>
      <c r="E3184" s="12" t="s">
        <v>1391</v>
      </c>
      <c r="F3184" s="12" t="s">
        <v>1392</v>
      </c>
      <c r="G3184" s="12" t="s">
        <v>21</v>
      </c>
      <c r="H3184" s="11" t="s">
        <v>63</v>
      </c>
      <c r="I3184" s="13" t="s">
        <v>6887</v>
      </c>
      <c r="J3184" s="14" t="str">
        <f>HYPERLINK("https://www.boe.es/gazeta/dias/1839/05/12/pdfs/GMD-1839-1639.pdf#page=4","Abrir facsímil")</f>
        <v>Abrir facsímil</v>
      </c>
      <c r="K3184" s="12" t="s">
        <v>65</v>
      </c>
    </row>
    <row r="3185" spans="1:11" ht="40.049999999999997" customHeight="1" x14ac:dyDescent="0.25">
      <c r="A3185" s="11" t="s">
        <v>6888</v>
      </c>
      <c r="B3185" s="11" t="s">
        <v>6889</v>
      </c>
      <c r="C3185" s="11" t="s">
        <v>17</v>
      </c>
      <c r="D3185" s="11" t="s">
        <v>18</v>
      </c>
      <c r="E3185" s="12" t="s">
        <v>4550</v>
      </c>
      <c r="F3185" s="12" t="s">
        <v>4551</v>
      </c>
      <c r="G3185" s="12" t="s">
        <v>29</v>
      </c>
      <c r="H3185" s="11" t="s">
        <v>63</v>
      </c>
      <c r="I3185" s="13" t="s">
        <v>6890</v>
      </c>
      <c r="J3185" s="14" t="str">
        <f>HYPERLINK("https://www.boe.es/gazeta/dias/1839/04/17/pdfs/GMD-1839-1614.pdf#page=1","Abrir facsímil")</f>
        <v>Abrir facsímil</v>
      </c>
      <c r="K3185" s="12" t="s">
        <v>65</v>
      </c>
    </row>
    <row r="3186" spans="1:11" ht="40.049999999999997" customHeight="1" x14ac:dyDescent="0.25">
      <c r="A3186" s="11" t="s">
        <v>6891</v>
      </c>
      <c r="B3186" s="11" t="s">
        <v>6892</v>
      </c>
      <c r="C3186" s="11" t="s">
        <v>17</v>
      </c>
      <c r="D3186" s="11" t="s">
        <v>18</v>
      </c>
      <c r="E3186" s="12" t="s">
        <v>1433</v>
      </c>
      <c r="F3186" s="12" t="s">
        <v>1434</v>
      </c>
      <c r="G3186" s="12" t="s">
        <v>21</v>
      </c>
      <c r="H3186" s="11" t="s">
        <v>63</v>
      </c>
      <c r="I3186" s="13" t="s">
        <v>6893</v>
      </c>
      <c r="J3186" s="14" t="str">
        <f>HYPERLINK("https://www.boe.es/gazeta/dias/1839/10/22/pdfs/GMD-1839-1808.pdf#page=4","Abrir facsímil")</f>
        <v>Abrir facsímil</v>
      </c>
      <c r="K3186" s="12" t="s">
        <v>65</v>
      </c>
    </row>
    <row r="3187" spans="1:11" ht="40.049999999999997" customHeight="1" x14ac:dyDescent="0.25">
      <c r="A3187" s="11" t="s">
        <v>6891</v>
      </c>
      <c r="B3187" s="11" t="s">
        <v>6892</v>
      </c>
      <c r="C3187" s="11" t="s">
        <v>101</v>
      </c>
      <c r="D3187" s="11" t="s">
        <v>43</v>
      </c>
      <c r="E3187" s="12" t="s">
        <v>826</v>
      </c>
      <c r="F3187" s="12" t="s">
        <v>827</v>
      </c>
      <c r="G3187" s="12" t="s">
        <v>46</v>
      </c>
      <c r="H3187" s="11" t="s">
        <v>63</v>
      </c>
      <c r="I3187" s="13" t="s">
        <v>6894</v>
      </c>
      <c r="J3187" s="14" t="str">
        <f>HYPERLINK("https://www.boe.es/gazeta/dias/1839/09/25/pdfs/GMD-1839-1781.pdf#page=3","Abrir facsímil")</f>
        <v>Abrir facsímil</v>
      </c>
      <c r="K3187" s="12" t="s">
        <v>65</v>
      </c>
    </row>
    <row r="3188" spans="1:11" ht="40.049999999999997" customHeight="1" x14ac:dyDescent="0.25">
      <c r="A3188" s="11" t="s">
        <v>6895</v>
      </c>
      <c r="B3188" s="11" t="s">
        <v>6896</v>
      </c>
      <c r="C3188" s="11" t="s">
        <v>17</v>
      </c>
      <c r="D3188" s="11" t="s">
        <v>18</v>
      </c>
      <c r="E3188" s="12" t="s">
        <v>1623</v>
      </c>
      <c r="F3188" s="12" t="s">
        <v>1624</v>
      </c>
      <c r="G3188" s="12" t="s">
        <v>21</v>
      </c>
      <c r="H3188" s="11" t="s">
        <v>63</v>
      </c>
      <c r="I3188" s="13" t="s">
        <v>6897</v>
      </c>
      <c r="J3188" s="14" t="str">
        <f>HYPERLINK("https://www.boe.es/gazeta/dias/1839/04/07/pdfs/GMD-1839-1604.pdf#page=4","Abrir facsímil")</f>
        <v>Abrir facsímil</v>
      </c>
      <c r="K3188" s="12" t="s">
        <v>65</v>
      </c>
    </row>
    <row r="3189" spans="1:11" ht="40.049999999999997" customHeight="1" x14ac:dyDescent="0.25">
      <c r="A3189" s="11" t="s">
        <v>6898</v>
      </c>
      <c r="B3189" s="11" t="s">
        <v>6899</v>
      </c>
      <c r="C3189" s="11" t="s">
        <v>17</v>
      </c>
      <c r="D3189" s="11" t="s">
        <v>18</v>
      </c>
      <c r="E3189" s="12" t="s">
        <v>1509</v>
      </c>
      <c r="F3189" s="12" t="s">
        <v>1510</v>
      </c>
      <c r="G3189" s="12" t="s">
        <v>29</v>
      </c>
      <c r="H3189" s="11" t="s">
        <v>22</v>
      </c>
      <c r="I3189" s="13" t="s">
        <v>6900</v>
      </c>
      <c r="J3189" s="14" t="str">
        <f>HYPERLINK("https://www.boe.es/gazeta/dias/1839/10/07/pdfs/GMD-1839-1793.pdf#page=1","Abrir facsímil")</f>
        <v>Abrir facsímil</v>
      </c>
      <c r="K3189" s="12" t="s">
        <v>24</v>
      </c>
    </row>
    <row r="3190" spans="1:11" ht="40.049999999999997" customHeight="1" x14ac:dyDescent="0.25">
      <c r="A3190" s="11" t="s">
        <v>6901</v>
      </c>
      <c r="B3190" s="11" t="s">
        <v>6902</v>
      </c>
      <c r="C3190" s="11" t="s">
        <v>17</v>
      </c>
      <c r="D3190" s="11" t="s">
        <v>18</v>
      </c>
      <c r="E3190" s="12" t="s">
        <v>779</v>
      </c>
      <c r="F3190" s="12" t="s">
        <v>780</v>
      </c>
      <c r="G3190" s="12" t="s">
        <v>40</v>
      </c>
      <c r="H3190" s="11" t="s">
        <v>63</v>
      </c>
      <c r="I3190" s="13" t="s">
        <v>6903</v>
      </c>
      <c r="J3190" s="14" t="str">
        <f>HYPERLINK("https://www.boe.es/gazeta/dias/1839/02/03/pdfs/GMD-1839-1541.pdf#page=2","Abrir facsímil")</f>
        <v>Abrir facsímil</v>
      </c>
      <c r="K3190" s="12" t="s">
        <v>65</v>
      </c>
    </row>
    <row r="3191" spans="1:11" ht="40.049999999999997" customHeight="1" x14ac:dyDescent="0.25">
      <c r="A3191" s="11" t="s">
        <v>6901</v>
      </c>
      <c r="B3191" s="11" t="s">
        <v>6902</v>
      </c>
      <c r="C3191" s="11" t="s">
        <v>17</v>
      </c>
      <c r="D3191" s="11" t="s">
        <v>18</v>
      </c>
      <c r="E3191" s="12" t="s">
        <v>108</v>
      </c>
      <c r="F3191" s="12" t="s">
        <v>109</v>
      </c>
      <c r="G3191" s="12" t="s">
        <v>21</v>
      </c>
      <c r="H3191" s="11" t="s">
        <v>63</v>
      </c>
      <c r="I3191" s="13" t="s">
        <v>6904</v>
      </c>
      <c r="J3191" s="14" t="str">
        <f>HYPERLINK("https://www.boe.es/gazeta/dias/1839/01/04/pdfs/GMD-1839-1511.pdf#page=4","Abrir facsímil")</f>
        <v>Abrir facsímil</v>
      </c>
      <c r="K3191" s="12" t="s">
        <v>65</v>
      </c>
    </row>
    <row r="3192" spans="1:11" ht="40.049999999999997" customHeight="1" x14ac:dyDescent="0.25">
      <c r="A3192" s="11" t="s">
        <v>6901</v>
      </c>
      <c r="B3192" s="11" t="s">
        <v>6902</v>
      </c>
      <c r="C3192" s="11" t="s">
        <v>17</v>
      </c>
      <c r="D3192" s="11" t="s">
        <v>18</v>
      </c>
      <c r="E3192" s="12" t="s">
        <v>2050</v>
      </c>
      <c r="F3192" s="12" t="s">
        <v>2051</v>
      </c>
      <c r="G3192" s="12" t="s">
        <v>46</v>
      </c>
      <c r="H3192" s="11" t="s">
        <v>63</v>
      </c>
      <c r="I3192" s="13" t="s">
        <v>6905</v>
      </c>
      <c r="J3192" s="14" t="str">
        <f>HYPERLINK("https://www.boe.es/gazeta/dias/1839/01/09/pdfs/GMD-1839-1516.pdf#page=3","Abrir facsímil")</f>
        <v>Abrir facsímil</v>
      </c>
      <c r="K3192" s="12" t="s">
        <v>65</v>
      </c>
    </row>
    <row r="3193" spans="1:11" ht="40.049999999999997" customHeight="1" x14ac:dyDescent="0.25">
      <c r="A3193" s="11" t="s">
        <v>6901</v>
      </c>
      <c r="B3193" s="11" t="s">
        <v>6902</v>
      </c>
      <c r="C3193" s="11" t="s">
        <v>17</v>
      </c>
      <c r="D3193" s="11" t="s">
        <v>18</v>
      </c>
      <c r="E3193" s="12" t="s">
        <v>1072</v>
      </c>
      <c r="F3193" s="12" t="s">
        <v>1073</v>
      </c>
      <c r="G3193" s="12" t="s">
        <v>40</v>
      </c>
      <c r="H3193" s="11" t="s">
        <v>63</v>
      </c>
      <c r="I3193" s="13" t="s">
        <v>6906</v>
      </c>
      <c r="J3193" s="14" t="str">
        <f>HYPERLINK("https://www.boe.es/gazeta/dias/1839/01/18/pdfs/GMD-1839-1525.pdf#page=2","Abrir facsímil")</f>
        <v>Abrir facsímil</v>
      </c>
      <c r="K3193" s="12" t="s">
        <v>65</v>
      </c>
    </row>
    <row r="3194" spans="1:11" ht="40.049999999999997" customHeight="1" x14ac:dyDescent="0.25">
      <c r="A3194" s="11" t="s">
        <v>6901</v>
      </c>
      <c r="B3194" s="11" t="s">
        <v>6902</v>
      </c>
      <c r="C3194" s="11" t="s">
        <v>17</v>
      </c>
      <c r="D3194" s="11" t="s">
        <v>18</v>
      </c>
      <c r="E3194" s="12" t="s">
        <v>2069</v>
      </c>
      <c r="F3194" s="12" t="s">
        <v>2070</v>
      </c>
      <c r="G3194" s="12" t="s">
        <v>566</v>
      </c>
      <c r="H3194" s="11" t="s">
        <v>63</v>
      </c>
      <c r="I3194" s="13" t="s">
        <v>6907</v>
      </c>
      <c r="J3194" s="14" t="str">
        <f>HYPERLINK("https://www.boe.es/gazeta/dias/1839/10/20/pdfs/GMD-1839-1806.pdf#page=5","Abrir facsímil")</f>
        <v>Abrir facsímil</v>
      </c>
      <c r="K3194" s="12" t="s">
        <v>65</v>
      </c>
    </row>
    <row r="3195" spans="1:11" ht="40.049999999999997" customHeight="1" x14ac:dyDescent="0.25">
      <c r="A3195" s="11" t="s">
        <v>6908</v>
      </c>
      <c r="B3195" s="11" t="s">
        <v>6909</v>
      </c>
      <c r="C3195" s="11" t="s">
        <v>17</v>
      </c>
      <c r="D3195" s="11" t="s">
        <v>18</v>
      </c>
      <c r="E3195" s="12" t="s">
        <v>2050</v>
      </c>
      <c r="F3195" s="12" t="s">
        <v>2051</v>
      </c>
      <c r="G3195" s="12" t="s">
        <v>46</v>
      </c>
      <c r="H3195" s="11" t="s">
        <v>63</v>
      </c>
      <c r="I3195" s="13" t="s">
        <v>6910</v>
      </c>
      <c r="J3195" s="14" t="str">
        <f>HYPERLINK("https://www.boe.es/gazeta/dias/1839/01/09/pdfs/GMD-1839-1516.pdf#page=3","Abrir facsímil")</f>
        <v>Abrir facsímil</v>
      </c>
      <c r="K3195" s="12" t="s">
        <v>65</v>
      </c>
    </row>
    <row r="3196" spans="1:11" ht="40.049999999999997" customHeight="1" x14ac:dyDescent="0.25">
      <c r="A3196" s="11" t="s">
        <v>6911</v>
      </c>
      <c r="B3196" s="11" t="s">
        <v>6912</v>
      </c>
      <c r="C3196" s="11" t="s">
        <v>17</v>
      </c>
      <c r="D3196" s="11" t="s">
        <v>18</v>
      </c>
      <c r="E3196" s="12" t="s">
        <v>946</v>
      </c>
      <c r="F3196" s="12" t="s">
        <v>947</v>
      </c>
      <c r="G3196" s="12" t="s">
        <v>46</v>
      </c>
      <c r="H3196" s="11" t="s">
        <v>22</v>
      </c>
      <c r="I3196" s="13" t="s">
        <v>6913</v>
      </c>
      <c r="J3196" s="14" t="str">
        <f>HYPERLINK("https://www.boe.es/gazeta/dias/1839/04/15/pdfs/GMD-1839-1612.pdf#page=3","Abrir facsímil")</f>
        <v>Abrir facsímil</v>
      </c>
      <c r="K3196" s="12" t="s">
        <v>24</v>
      </c>
    </row>
    <row r="3197" spans="1:11" ht="40.049999999999997" customHeight="1" x14ac:dyDescent="0.25">
      <c r="A3197" s="11" t="s">
        <v>6911</v>
      </c>
      <c r="B3197" s="11" t="s">
        <v>6912</v>
      </c>
      <c r="C3197" s="11" t="s">
        <v>17</v>
      </c>
      <c r="D3197" s="11" t="s">
        <v>18</v>
      </c>
      <c r="E3197" s="12" t="s">
        <v>2262</v>
      </c>
      <c r="F3197" s="12" t="s">
        <v>2263</v>
      </c>
      <c r="G3197" s="12" t="s">
        <v>21</v>
      </c>
      <c r="H3197" s="11" t="s">
        <v>22</v>
      </c>
      <c r="I3197" s="13" t="s">
        <v>6914</v>
      </c>
      <c r="J3197" s="14" t="str">
        <f>HYPERLINK("https://www.boe.es/gazeta/dias/1839/03/16/pdfs/GMD-1839-1582.pdf#page=4","Abrir facsímil")</f>
        <v>Abrir facsímil</v>
      </c>
      <c r="K3197" s="12" t="s">
        <v>24</v>
      </c>
    </row>
    <row r="3198" spans="1:11" ht="40.049999999999997" customHeight="1" x14ac:dyDescent="0.25">
      <c r="A3198" s="11" t="s">
        <v>6915</v>
      </c>
      <c r="B3198" s="11" t="s">
        <v>6916</v>
      </c>
      <c r="C3198" s="11" t="s">
        <v>17</v>
      </c>
      <c r="D3198" s="11" t="s">
        <v>18</v>
      </c>
      <c r="E3198" s="12" t="s">
        <v>3236</v>
      </c>
      <c r="F3198" s="12" t="s">
        <v>3237</v>
      </c>
      <c r="G3198" s="12" t="s">
        <v>46</v>
      </c>
      <c r="H3198" s="11" t="s">
        <v>63</v>
      </c>
      <c r="I3198" s="13" t="s">
        <v>6917</v>
      </c>
      <c r="J3198" s="14" t="str">
        <f>HYPERLINK("https://www.boe.es/gazeta/dias/1839/12/03/pdfs/GMD-1839-1850.pdf#page=3","Abrir facsímil")</f>
        <v>Abrir facsímil</v>
      </c>
      <c r="K3198" s="12" t="s">
        <v>65</v>
      </c>
    </row>
    <row r="3199" spans="1:11" ht="40.049999999999997" customHeight="1" x14ac:dyDescent="0.25">
      <c r="A3199" s="11" t="s">
        <v>6918</v>
      </c>
      <c r="B3199" s="11" t="s">
        <v>6919</v>
      </c>
      <c r="C3199" s="11" t="s">
        <v>80</v>
      </c>
      <c r="D3199" s="11" t="s">
        <v>18</v>
      </c>
      <c r="E3199" s="12" t="s">
        <v>185</v>
      </c>
      <c r="F3199" s="12" t="s">
        <v>186</v>
      </c>
      <c r="G3199" s="12" t="s">
        <v>29</v>
      </c>
      <c r="H3199" s="11" t="s">
        <v>63</v>
      </c>
      <c r="I3199" s="13" t="s">
        <v>6920</v>
      </c>
      <c r="J3199" s="14" t="str">
        <f>HYPERLINK("https://www.boe.es/gazeta/dias/1839/01/15/pdfs/GMD-1839-1522.pdf#page=1","Abrir facsímil")</f>
        <v>Abrir facsímil</v>
      </c>
      <c r="K3199" s="12" t="s">
        <v>65</v>
      </c>
    </row>
    <row r="3200" spans="1:11" ht="40.049999999999997" customHeight="1" x14ac:dyDescent="0.25">
      <c r="A3200" s="11" t="s">
        <v>6921</v>
      </c>
      <c r="B3200" s="11" t="s">
        <v>6922</v>
      </c>
      <c r="C3200" s="11" t="s">
        <v>17</v>
      </c>
      <c r="D3200" s="11" t="s">
        <v>18</v>
      </c>
      <c r="E3200" s="12" t="s">
        <v>736</v>
      </c>
      <c r="F3200" s="12" t="s">
        <v>737</v>
      </c>
      <c r="G3200" s="12" t="s">
        <v>40</v>
      </c>
      <c r="H3200" s="11" t="s">
        <v>63</v>
      </c>
      <c r="I3200" s="13" t="s">
        <v>6923</v>
      </c>
      <c r="J3200" s="14" t="str">
        <f>HYPERLINK("https://www.boe.es/gazeta/dias/1839/10/13/pdfs/GMD-1839-1799.pdf#page=2","Abrir facsímil")</f>
        <v>Abrir facsímil</v>
      </c>
      <c r="K3200" s="12" t="s">
        <v>65</v>
      </c>
    </row>
    <row r="3201" spans="1:11" ht="40.049999999999997" customHeight="1" x14ac:dyDescent="0.25">
      <c r="A3201" s="11" t="s">
        <v>6921</v>
      </c>
      <c r="B3201" s="11" t="s">
        <v>6922</v>
      </c>
      <c r="C3201" s="11" t="s">
        <v>17</v>
      </c>
      <c r="D3201" s="11" t="s">
        <v>18</v>
      </c>
      <c r="E3201" s="12" t="s">
        <v>2155</v>
      </c>
      <c r="F3201" s="12" t="s">
        <v>2156</v>
      </c>
      <c r="G3201" s="12" t="s">
        <v>40</v>
      </c>
      <c r="H3201" s="11" t="s">
        <v>63</v>
      </c>
      <c r="I3201" s="13" t="s">
        <v>6924</v>
      </c>
      <c r="J3201" s="14" t="str">
        <f>HYPERLINK("https://www.boe.es/gazeta/dias/1839/01/17/pdfs/GMD-1839-1524.pdf#page=2","Abrir facsímil")</f>
        <v>Abrir facsímil</v>
      </c>
      <c r="K3201" s="12" t="s">
        <v>65</v>
      </c>
    </row>
    <row r="3202" spans="1:11" ht="40.049999999999997" customHeight="1" x14ac:dyDescent="0.25">
      <c r="A3202" s="11" t="s">
        <v>6925</v>
      </c>
      <c r="B3202" s="11" t="s">
        <v>6926</v>
      </c>
      <c r="C3202" s="11" t="s">
        <v>17</v>
      </c>
      <c r="D3202" s="11" t="s">
        <v>18</v>
      </c>
      <c r="E3202" s="12" t="s">
        <v>4787</v>
      </c>
      <c r="F3202" s="12" t="s">
        <v>4788</v>
      </c>
      <c r="G3202" s="12" t="s">
        <v>29</v>
      </c>
      <c r="H3202" s="11" t="s">
        <v>63</v>
      </c>
      <c r="I3202" s="13" t="s">
        <v>6927</v>
      </c>
      <c r="J3202" s="14" t="str">
        <f>HYPERLINK("https://www.boe.es/gazeta/dias/1839/05/26/pdfs/GMD-1839-1653.pdf#page=1","Abrir facsímil")</f>
        <v>Abrir facsímil</v>
      </c>
      <c r="K3202" s="12" t="s">
        <v>65</v>
      </c>
    </row>
    <row r="3203" spans="1:11" ht="40.049999999999997" customHeight="1" x14ac:dyDescent="0.25">
      <c r="A3203" s="11" t="s">
        <v>6928</v>
      </c>
      <c r="B3203" s="11" t="s">
        <v>6929</v>
      </c>
      <c r="C3203" s="11" t="s">
        <v>17</v>
      </c>
      <c r="D3203" s="11" t="s">
        <v>18</v>
      </c>
      <c r="E3203" s="12" t="s">
        <v>723</v>
      </c>
      <c r="F3203" s="12" t="s">
        <v>724</v>
      </c>
      <c r="G3203" s="12" t="s">
        <v>29</v>
      </c>
      <c r="H3203" s="11" t="s">
        <v>63</v>
      </c>
      <c r="I3203" s="13" t="s">
        <v>6930</v>
      </c>
      <c r="J3203" s="14" t="str">
        <f>HYPERLINK("https://www.boe.es/gazeta/dias/1839/09/26/pdfs/GMD-1839-1782.pdf#page=1","Abrir facsímil")</f>
        <v>Abrir facsímil</v>
      </c>
      <c r="K3203" s="12" t="s">
        <v>65</v>
      </c>
    </row>
    <row r="3204" spans="1:11" ht="40.049999999999997" customHeight="1" x14ac:dyDescent="0.25">
      <c r="A3204" s="11" t="s">
        <v>6931</v>
      </c>
      <c r="B3204" s="11" t="s">
        <v>6932</v>
      </c>
      <c r="C3204" s="11" t="s">
        <v>17</v>
      </c>
      <c r="D3204" s="11" t="s">
        <v>18</v>
      </c>
      <c r="E3204" s="12" t="s">
        <v>798</v>
      </c>
      <c r="F3204" s="12" t="s">
        <v>799</v>
      </c>
      <c r="G3204" s="12" t="s">
        <v>40</v>
      </c>
      <c r="H3204" s="11" t="s">
        <v>63</v>
      </c>
      <c r="I3204" s="13" t="s">
        <v>6933</v>
      </c>
      <c r="J3204" s="14" t="str">
        <f>HYPERLINK("https://www.boe.es/gazeta/dias/1839/09/03/pdfs/GMD-1839-1755.pdf#page=2","Abrir facsímil")</f>
        <v>Abrir facsímil</v>
      </c>
      <c r="K3204" s="12" t="s">
        <v>65</v>
      </c>
    </row>
    <row r="3205" spans="1:11" ht="40.049999999999997" customHeight="1" x14ac:dyDescent="0.25">
      <c r="A3205" s="11" t="s">
        <v>6934</v>
      </c>
      <c r="B3205" s="11" t="s">
        <v>6935</v>
      </c>
      <c r="C3205" s="11" t="s">
        <v>17</v>
      </c>
      <c r="D3205" s="11" t="s">
        <v>18</v>
      </c>
      <c r="E3205" s="12" t="s">
        <v>1057</v>
      </c>
      <c r="F3205" s="12" t="s">
        <v>1058</v>
      </c>
      <c r="G3205" s="12" t="s">
        <v>40</v>
      </c>
      <c r="H3205" s="11" t="s">
        <v>63</v>
      </c>
      <c r="I3205" s="13" t="s">
        <v>6936</v>
      </c>
      <c r="J3205" s="14" t="str">
        <f>HYPERLINK("https://www.boe.es/gazeta/dias/1839/10/01/pdfs/GMD-1839-1787.pdf#page=2","Abrir facsímil")</f>
        <v>Abrir facsímil</v>
      </c>
      <c r="K3205" s="12" t="s">
        <v>65</v>
      </c>
    </row>
    <row r="3206" spans="1:11" ht="40.049999999999997" customHeight="1" x14ac:dyDescent="0.25">
      <c r="A3206" s="11" t="s">
        <v>6934</v>
      </c>
      <c r="B3206" s="11" t="s">
        <v>6935</v>
      </c>
      <c r="C3206" s="11" t="s">
        <v>17</v>
      </c>
      <c r="D3206" s="11" t="s">
        <v>18</v>
      </c>
      <c r="E3206" s="12" t="s">
        <v>2222</v>
      </c>
      <c r="F3206" s="12" t="s">
        <v>2223</v>
      </c>
      <c r="G3206" s="12" t="s">
        <v>40</v>
      </c>
      <c r="H3206" s="11" t="s">
        <v>63</v>
      </c>
      <c r="I3206" s="13" t="s">
        <v>6937</v>
      </c>
      <c r="J3206" s="14" t="str">
        <f>HYPERLINK("https://www.boe.es/gazeta/dias/1839/09/19/pdfs/GMD-1839-1773.pdf#page=2","Abrir facsímil")</f>
        <v>Abrir facsímil</v>
      </c>
      <c r="K3206" s="12" t="s">
        <v>65</v>
      </c>
    </row>
    <row r="3207" spans="1:11" ht="40.049999999999997" customHeight="1" x14ac:dyDescent="0.25">
      <c r="A3207" s="11" t="s">
        <v>6934</v>
      </c>
      <c r="B3207" s="11" t="s">
        <v>6935</v>
      </c>
      <c r="C3207" s="11" t="s">
        <v>137</v>
      </c>
      <c r="D3207" s="11" t="s">
        <v>18</v>
      </c>
      <c r="E3207" s="12" t="s">
        <v>794</v>
      </c>
      <c r="F3207" s="12" t="s">
        <v>795</v>
      </c>
      <c r="G3207" s="12" t="s">
        <v>46</v>
      </c>
      <c r="H3207" s="11" t="s">
        <v>63</v>
      </c>
      <c r="I3207" s="13" t="s">
        <v>6938</v>
      </c>
      <c r="J3207" s="14" t="str">
        <f>HYPERLINK("https://www.boe.es/gazeta/dias/1839/01/22/pdfs/GMD-1839-1529.pdf#page=3","Abrir facsímil")</f>
        <v>Abrir facsímil</v>
      </c>
      <c r="K3207" s="12" t="s">
        <v>65</v>
      </c>
    </row>
    <row r="3208" spans="1:11" ht="40.049999999999997" customHeight="1" x14ac:dyDescent="0.25">
      <c r="A3208" s="11" t="s">
        <v>6939</v>
      </c>
      <c r="B3208" s="11" t="s">
        <v>6940</v>
      </c>
      <c r="C3208" s="11" t="s">
        <v>137</v>
      </c>
      <c r="D3208" s="11" t="s">
        <v>18</v>
      </c>
      <c r="E3208" s="12" t="s">
        <v>736</v>
      </c>
      <c r="F3208" s="12" t="s">
        <v>737</v>
      </c>
      <c r="G3208" s="12" t="s">
        <v>40</v>
      </c>
      <c r="H3208" s="11" t="s">
        <v>63</v>
      </c>
      <c r="I3208" s="13" t="s">
        <v>6941</v>
      </c>
      <c r="J3208" s="14" t="str">
        <f>HYPERLINK("https://www.boe.es/gazeta/dias/1839/10/13/pdfs/GMD-1839-1799.pdf#page=2","Abrir facsímil")</f>
        <v>Abrir facsímil</v>
      </c>
      <c r="K3208" s="12" t="s">
        <v>65</v>
      </c>
    </row>
    <row r="3209" spans="1:11" ht="40.049999999999997" customHeight="1" x14ac:dyDescent="0.25">
      <c r="A3209" s="11" t="s">
        <v>6942</v>
      </c>
      <c r="B3209" s="11" t="s">
        <v>6943</v>
      </c>
      <c r="C3209" s="11" t="s">
        <v>101</v>
      </c>
      <c r="D3209" s="11" t="s">
        <v>43</v>
      </c>
      <c r="E3209" s="12" t="s">
        <v>160</v>
      </c>
      <c r="F3209" s="12" t="s">
        <v>161</v>
      </c>
      <c r="G3209" s="12" t="s">
        <v>40</v>
      </c>
      <c r="H3209" s="11" t="s">
        <v>63</v>
      </c>
      <c r="I3209" s="13" t="s">
        <v>6944</v>
      </c>
      <c r="J3209" s="14" t="str">
        <f>HYPERLINK("https://www.boe.es/gazeta/dias/1839/01/10/pdfs/GMD-1839-1517.pdf#page=2","Abrir facsímil")</f>
        <v>Abrir facsímil</v>
      </c>
      <c r="K3209" s="12" t="s">
        <v>65</v>
      </c>
    </row>
    <row r="3210" spans="1:11" ht="40.049999999999997" customHeight="1" x14ac:dyDescent="0.25">
      <c r="A3210" s="11" t="s">
        <v>6942</v>
      </c>
      <c r="B3210" s="11" t="s">
        <v>6943</v>
      </c>
      <c r="C3210" s="11" t="s">
        <v>137</v>
      </c>
      <c r="D3210" s="11" t="s">
        <v>18</v>
      </c>
      <c r="E3210" s="12" t="s">
        <v>103</v>
      </c>
      <c r="F3210" s="12" t="s">
        <v>104</v>
      </c>
      <c r="G3210" s="12" t="s">
        <v>21</v>
      </c>
      <c r="H3210" s="11" t="s">
        <v>63</v>
      </c>
      <c r="I3210" s="13" t="s">
        <v>6945</v>
      </c>
      <c r="J3210" s="14" t="str">
        <f>HYPERLINK("https://www.boe.es/gazeta/dias/1839/10/12/pdfs/GMD-1839-1798.pdf#page=4","Abrir facsímil")</f>
        <v>Abrir facsímil</v>
      </c>
      <c r="K3210" s="12" t="s">
        <v>65</v>
      </c>
    </row>
    <row r="3211" spans="1:11" ht="40.049999999999997" customHeight="1" x14ac:dyDescent="0.25">
      <c r="A3211" s="11" t="s">
        <v>6942</v>
      </c>
      <c r="B3211" s="11" t="s">
        <v>6943</v>
      </c>
      <c r="C3211" s="11" t="s">
        <v>137</v>
      </c>
      <c r="D3211" s="11" t="s">
        <v>18</v>
      </c>
      <c r="E3211" s="12" t="s">
        <v>2155</v>
      </c>
      <c r="F3211" s="12" t="s">
        <v>2156</v>
      </c>
      <c r="G3211" s="12" t="s">
        <v>40</v>
      </c>
      <c r="H3211" s="11" t="s">
        <v>63</v>
      </c>
      <c r="I3211" s="13" t="s">
        <v>6946</v>
      </c>
      <c r="J3211" s="14" t="str">
        <f>HYPERLINK("https://www.boe.es/gazeta/dias/1839/01/17/pdfs/GMD-1839-1524.pdf#page=2","Abrir facsímil")</f>
        <v>Abrir facsímil</v>
      </c>
      <c r="K3211" s="12" t="s">
        <v>65</v>
      </c>
    </row>
    <row r="3212" spans="1:11" ht="40.049999999999997" customHeight="1" x14ac:dyDescent="0.25">
      <c r="A3212" s="11" t="s">
        <v>6942</v>
      </c>
      <c r="B3212" s="11" t="s">
        <v>6943</v>
      </c>
      <c r="C3212" s="11" t="s">
        <v>17</v>
      </c>
      <c r="D3212" s="11" t="s">
        <v>18</v>
      </c>
      <c r="E3212" s="12" t="s">
        <v>564</v>
      </c>
      <c r="F3212" s="12" t="s">
        <v>565</v>
      </c>
      <c r="G3212" s="12" t="s">
        <v>566</v>
      </c>
      <c r="H3212" s="11" t="s">
        <v>63</v>
      </c>
      <c r="I3212" s="13" t="s">
        <v>6947</v>
      </c>
      <c r="J3212" s="14" t="str">
        <f>HYPERLINK("https://www.boe.es/gazeta/dias/1839/10/17/pdfs/GMD-1839-1803.pdf#page=5","Abrir facsímil")</f>
        <v>Abrir facsímil</v>
      </c>
      <c r="K3212" s="12" t="s">
        <v>65</v>
      </c>
    </row>
    <row r="3213" spans="1:11" ht="40.049999999999997" customHeight="1" x14ac:dyDescent="0.25">
      <c r="A3213" s="11" t="s">
        <v>6942</v>
      </c>
      <c r="B3213" s="11" t="s">
        <v>6943</v>
      </c>
      <c r="C3213" s="11" t="s">
        <v>17</v>
      </c>
      <c r="D3213" s="11" t="s">
        <v>18</v>
      </c>
      <c r="E3213" s="12" t="s">
        <v>1108</v>
      </c>
      <c r="F3213" s="12" t="s">
        <v>1109</v>
      </c>
      <c r="G3213" s="12" t="s">
        <v>40</v>
      </c>
      <c r="H3213" s="11" t="s">
        <v>63</v>
      </c>
      <c r="I3213" s="13" t="s">
        <v>6948</v>
      </c>
      <c r="J3213" s="14" t="str">
        <f>HYPERLINK("https://www.boe.es/gazeta/dias/1839/09/21/pdfs/GMD-1839-1776.pdf#page=2","Abrir facsímil")</f>
        <v>Abrir facsímil</v>
      </c>
      <c r="K3213" s="12" t="s">
        <v>65</v>
      </c>
    </row>
    <row r="3214" spans="1:11" ht="40.049999999999997" customHeight="1" x14ac:dyDescent="0.25">
      <c r="A3214" s="11" t="s">
        <v>6949</v>
      </c>
      <c r="B3214" s="11" t="s">
        <v>6950</v>
      </c>
      <c r="C3214" s="11" t="s">
        <v>101</v>
      </c>
      <c r="D3214" s="11" t="s">
        <v>43</v>
      </c>
      <c r="E3214" s="12" t="s">
        <v>2949</v>
      </c>
      <c r="F3214" s="12" t="s">
        <v>2950</v>
      </c>
      <c r="G3214" s="12" t="s">
        <v>21</v>
      </c>
      <c r="H3214" s="11" t="s">
        <v>63</v>
      </c>
      <c r="I3214" s="13" t="s">
        <v>6951</v>
      </c>
      <c r="J3214" s="14" t="str">
        <f>HYPERLINK("https://www.boe.es/gazeta/dias/1839/10/21/pdfs/GMD-1839-1807.pdf#page=4","Abrir facsímil")</f>
        <v>Abrir facsímil</v>
      </c>
      <c r="K3214" s="12" t="s">
        <v>65</v>
      </c>
    </row>
    <row r="3215" spans="1:11" ht="40.049999999999997" customHeight="1" x14ac:dyDescent="0.25">
      <c r="A3215" s="11" t="s">
        <v>6949</v>
      </c>
      <c r="B3215" s="11" t="s">
        <v>6950</v>
      </c>
      <c r="C3215" s="11" t="s">
        <v>80</v>
      </c>
      <c r="D3215" s="11" t="s">
        <v>18</v>
      </c>
      <c r="E3215" s="12" t="s">
        <v>1118</v>
      </c>
      <c r="F3215" s="12" t="s">
        <v>1119</v>
      </c>
      <c r="G3215" s="12" t="s">
        <v>21</v>
      </c>
      <c r="H3215" s="11" t="s">
        <v>63</v>
      </c>
      <c r="I3215" s="13" t="s">
        <v>6952</v>
      </c>
      <c r="J3215" s="14" t="str">
        <f>HYPERLINK("https://www.boe.es/gazeta/dias/1839/08/30/pdfs/GMD-1839-1751.pdf#page=4","Abrir facsímil")</f>
        <v>Abrir facsímil</v>
      </c>
      <c r="K3215" s="12" t="s">
        <v>65</v>
      </c>
    </row>
    <row r="3216" spans="1:11" ht="40.049999999999997" customHeight="1" x14ac:dyDescent="0.25">
      <c r="A3216" s="11" t="s">
        <v>6953</v>
      </c>
      <c r="B3216" s="11" t="s">
        <v>6954</v>
      </c>
      <c r="C3216" s="11" t="s">
        <v>101</v>
      </c>
      <c r="D3216" s="11" t="s">
        <v>43</v>
      </c>
      <c r="E3216" s="12" t="s">
        <v>369</v>
      </c>
      <c r="F3216" s="12" t="s">
        <v>370</v>
      </c>
      <c r="G3216" s="12" t="s">
        <v>46</v>
      </c>
      <c r="H3216" s="11" t="s">
        <v>63</v>
      </c>
      <c r="I3216" s="13" t="s">
        <v>6955</v>
      </c>
      <c r="J3216" s="14" t="str">
        <f>HYPERLINK("https://www.boe.es/gazeta/dias/1839/11/01/pdfs/GMD-1839-1818.pdf#page=3","Abrir facsímil")</f>
        <v>Abrir facsímil</v>
      </c>
      <c r="K3216" s="12" t="s">
        <v>65</v>
      </c>
    </row>
    <row r="3217" spans="1:11" ht="40.049999999999997" customHeight="1" x14ac:dyDescent="0.25">
      <c r="A3217" s="11" t="s">
        <v>6953</v>
      </c>
      <c r="B3217" s="11" t="s">
        <v>6954</v>
      </c>
      <c r="C3217" s="11" t="s">
        <v>101</v>
      </c>
      <c r="D3217" s="11" t="s">
        <v>102</v>
      </c>
      <c r="E3217" s="12" t="s">
        <v>212</v>
      </c>
      <c r="F3217" s="12" t="s">
        <v>213</v>
      </c>
      <c r="G3217" s="12" t="s">
        <v>40</v>
      </c>
      <c r="H3217" s="11" t="s">
        <v>63</v>
      </c>
      <c r="I3217" s="13" t="s">
        <v>6956</v>
      </c>
      <c r="J3217" s="14" t="str">
        <f>HYPERLINK("https://www.boe.es/gazeta/dias/1839/10/03/pdfs/GMD-1839-1789.pdf#page=2","Abrir facsímil")</f>
        <v>Abrir facsímil</v>
      </c>
      <c r="K3217" s="12" t="s">
        <v>65</v>
      </c>
    </row>
    <row r="3218" spans="1:11" ht="40.049999999999997" customHeight="1" x14ac:dyDescent="0.25">
      <c r="A3218" s="11" t="s">
        <v>6953</v>
      </c>
      <c r="B3218" s="11" t="s">
        <v>6954</v>
      </c>
      <c r="C3218" s="11" t="s">
        <v>101</v>
      </c>
      <c r="D3218" s="11" t="s">
        <v>43</v>
      </c>
      <c r="E3218" s="12" t="s">
        <v>212</v>
      </c>
      <c r="F3218" s="12" t="s">
        <v>213</v>
      </c>
      <c r="G3218" s="12" t="s">
        <v>46</v>
      </c>
      <c r="H3218" s="11" t="s">
        <v>63</v>
      </c>
      <c r="I3218" s="13" t="s">
        <v>6957</v>
      </c>
      <c r="J3218" s="14" t="str">
        <f>HYPERLINK("https://www.boe.es/gazeta/dias/1839/10/03/pdfs/GMD-1839-1789.pdf#page=3","Abrir facsímil")</f>
        <v>Abrir facsímil</v>
      </c>
      <c r="K3218" s="12" t="s">
        <v>65</v>
      </c>
    </row>
    <row r="3219" spans="1:11" ht="40.049999999999997" customHeight="1" x14ac:dyDescent="0.25">
      <c r="A3219" s="11" t="s">
        <v>6953</v>
      </c>
      <c r="B3219" s="11" t="s">
        <v>6954</v>
      </c>
      <c r="C3219" s="11" t="s">
        <v>17</v>
      </c>
      <c r="D3219" s="11" t="s">
        <v>18</v>
      </c>
      <c r="E3219" s="12" t="s">
        <v>212</v>
      </c>
      <c r="F3219" s="12" t="s">
        <v>213</v>
      </c>
      <c r="G3219" s="12" t="s">
        <v>21</v>
      </c>
      <c r="H3219" s="11" t="s">
        <v>63</v>
      </c>
      <c r="I3219" s="13" t="s">
        <v>6958</v>
      </c>
      <c r="J3219" s="14" t="str">
        <f>HYPERLINK("https://www.boe.es/gazeta/dias/1839/10/03/pdfs/GMD-1839-1789.pdf#page=4","Abrir facsímil")</f>
        <v>Abrir facsímil</v>
      </c>
      <c r="K3219" s="12" t="s">
        <v>65</v>
      </c>
    </row>
    <row r="3220" spans="1:11" ht="40.049999999999997" customHeight="1" x14ac:dyDescent="0.25">
      <c r="A3220" s="11" t="s">
        <v>6953</v>
      </c>
      <c r="B3220" s="11" t="s">
        <v>6954</v>
      </c>
      <c r="C3220" s="11" t="s">
        <v>101</v>
      </c>
      <c r="D3220" s="11" t="s">
        <v>43</v>
      </c>
      <c r="E3220" s="12" t="s">
        <v>160</v>
      </c>
      <c r="F3220" s="12" t="s">
        <v>161</v>
      </c>
      <c r="G3220" s="12" t="s">
        <v>40</v>
      </c>
      <c r="H3220" s="11" t="s">
        <v>63</v>
      </c>
      <c r="I3220" s="13" t="s">
        <v>6959</v>
      </c>
      <c r="J3220" s="14" t="str">
        <f>HYPERLINK("https://www.boe.es/gazeta/dias/1839/01/10/pdfs/GMD-1839-1517.pdf#page=2","Abrir facsímil")</f>
        <v>Abrir facsímil</v>
      </c>
      <c r="K3220" s="12" t="s">
        <v>65</v>
      </c>
    </row>
    <row r="3221" spans="1:11" ht="40.049999999999997" customHeight="1" x14ac:dyDescent="0.25">
      <c r="A3221" s="11" t="s">
        <v>6953</v>
      </c>
      <c r="B3221" s="11" t="s">
        <v>6954</v>
      </c>
      <c r="C3221" s="11" t="s">
        <v>137</v>
      </c>
      <c r="D3221" s="11" t="s">
        <v>18</v>
      </c>
      <c r="E3221" s="12" t="s">
        <v>269</v>
      </c>
      <c r="F3221" s="12" t="s">
        <v>270</v>
      </c>
      <c r="G3221" s="12" t="s">
        <v>46</v>
      </c>
      <c r="H3221" s="11" t="s">
        <v>63</v>
      </c>
      <c r="I3221" s="13" t="s">
        <v>6960</v>
      </c>
      <c r="J3221" s="14" t="str">
        <f>HYPERLINK("https://www.boe.es/gazeta/dias/1839/02/10/pdfs/GMD-1839-1548.pdf#page=3","Abrir facsímil")</f>
        <v>Abrir facsímil</v>
      </c>
      <c r="K3221" s="12" t="s">
        <v>65</v>
      </c>
    </row>
    <row r="3222" spans="1:11" ht="40.049999999999997" customHeight="1" x14ac:dyDescent="0.25">
      <c r="A3222" s="11" t="s">
        <v>6953</v>
      </c>
      <c r="B3222" s="11" t="s">
        <v>6954</v>
      </c>
      <c r="C3222" s="11" t="s">
        <v>137</v>
      </c>
      <c r="D3222" s="11" t="s">
        <v>18</v>
      </c>
      <c r="E3222" s="12" t="s">
        <v>116</v>
      </c>
      <c r="F3222" s="12" t="s">
        <v>117</v>
      </c>
      <c r="G3222" s="12" t="s">
        <v>29</v>
      </c>
      <c r="H3222" s="11" t="s">
        <v>63</v>
      </c>
      <c r="I3222" s="13" t="s">
        <v>6961</v>
      </c>
      <c r="J3222" s="14" t="str">
        <f>HYPERLINK("https://www.boe.es/gazeta/dias/1839/10/10/pdfs/GMD-1839-1796.pdf#page=1","Abrir facsímil")</f>
        <v>Abrir facsímil</v>
      </c>
      <c r="K3222" s="12" t="s">
        <v>65</v>
      </c>
    </row>
    <row r="3223" spans="1:11" ht="40.049999999999997" customHeight="1" x14ac:dyDescent="0.25">
      <c r="A3223" s="11" t="s">
        <v>6953</v>
      </c>
      <c r="B3223" s="11" t="s">
        <v>6954</v>
      </c>
      <c r="C3223" s="11" t="s">
        <v>101</v>
      </c>
      <c r="D3223" s="11" t="s">
        <v>43</v>
      </c>
      <c r="E3223" s="12" t="s">
        <v>116</v>
      </c>
      <c r="F3223" s="12" t="s">
        <v>117</v>
      </c>
      <c r="G3223" s="12" t="s">
        <v>40</v>
      </c>
      <c r="H3223" s="11" t="s">
        <v>63</v>
      </c>
      <c r="I3223" s="13" t="s">
        <v>6962</v>
      </c>
      <c r="J3223" s="14" t="str">
        <f>HYPERLINK("https://www.boe.es/gazeta/dias/1839/10/10/pdfs/GMD-1839-1796.pdf#page=2","Abrir facsímil")</f>
        <v>Abrir facsímil</v>
      </c>
      <c r="K3223" s="12" t="s">
        <v>65</v>
      </c>
    </row>
    <row r="3224" spans="1:11" ht="40.049999999999997" customHeight="1" x14ac:dyDescent="0.25">
      <c r="A3224" s="11" t="s">
        <v>6953</v>
      </c>
      <c r="B3224" s="11" t="s">
        <v>6954</v>
      </c>
      <c r="C3224" s="11" t="s">
        <v>101</v>
      </c>
      <c r="D3224" s="11" t="s">
        <v>43</v>
      </c>
      <c r="E3224" s="12" t="s">
        <v>181</v>
      </c>
      <c r="F3224" s="12" t="s">
        <v>182</v>
      </c>
      <c r="G3224" s="12" t="s">
        <v>46</v>
      </c>
      <c r="H3224" s="11" t="s">
        <v>63</v>
      </c>
      <c r="I3224" s="13" t="s">
        <v>6963</v>
      </c>
      <c r="J3224" s="14" t="str">
        <f>HYPERLINK("https://www.boe.es/gazeta/dias/1839/01/11/pdfs/GMD-1839-1518.pdf#page=3","Abrir facsímil")</f>
        <v>Abrir facsímil</v>
      </c>
      <c r="K3224" s="12" t="s">
        <v>65</v>
      </c>
    </row>
    <row r="3225" spans="1:11" ht="40.049999999999997" customHeight="1" x14ac:dyDescent="0.25">
      <c r="A3225" s="11" t="s">
        <v>6953</v>
      </c>
      <c r="B3225" s="11" t="s">
        <v>6954</v>
      </c>
      <c r="C3225" s="11" t="s">
        <v>101</v>
      </c>
      <c r="D3225" s="11" t="s">
        <v>43</v>
      </c>
      <c r="E3225" s="12" t="s">
        <v>103</v>
      </c>
      <c r="F3225" s="12" t="s">
        <v>104</v>
      </c>
      <c r="G3225" s="12" t="s">
        <v>46</v>
      </c>
      <c r="H3225" s="11" t="s">
        <v>63</v>
      </c>
      <c r="I3225" s="13" t="s">
        <v>6964</v>
      </c>
      <c r="J3225" s="14" t="str">
        <f>HYPERLINK("https://www.boe.es/gazeta/dias/1839/10/12/pdfs/GMD-1839-1798.pdf#page=3","Abrir facsímil")</f>
        <v>Abrir facsímil</v>
      </c>
      <c r="K3225" s="12" t="s">
        <v>65</v>
      </c>
    </row>
    <row r="3226" spans="1:11" ht="40.049999999999997" customHeight="1" x14ac:dyDescent="0.25">
      <c r="A3226" s="11" t="s">
        <v>6953</v>
      </c>
      <c r="B3226" s="11" t="s">
        <v>6954</v>
      </c>
      <c r="C3226" s="11" t="s">
        <v>137</v>
      </c>
      <c r="D3226" s="11" t="s">
        <v>18</v>
      </c>
      <c r="E3226" s="12" t="s">
        <v>103</v>
      </c>
      <c r="F3226" s="12" t="s">
        <v>104</v>
      </c>
      <c r="G3226" s="12" t="s">
        <v>21</v>
      </c>
      <c r="H3226" s="11" t="s">
        <v>63</v>
      </c>
      <c r="I3226" s="13" t="s">
        <v>6965</v>
      </c>
      <c r="J3226" s="14" t="str">
        <f>HYPERLINK("https://www.boe.es/gazeta/dias/1839/10/12/pdfs/GMD-1839-1798.pdf#page=4","Abrir facsímil")</f>
        <v>Abrir facsímil</v>
      </c>
      <c r="K3226" s="12" t="s">
        <v>65</v>
      </c>
    </row>
    <row r="3227" spans="1:11" ht="40.049999999999997" customHeight="1" x14ac:dyDescent="0.25">
      <c r="A3227" s="11" t="s">
        <v>6953</v>
      </c>
      <c r="B3227" s="11" t="s">
        <v>6954</v>
      </c>
      <c r="C3227" s="11" t="s">
        <v>101</v>
      </c>
      <c r="D3227" s="11" t="s">
        <v>43</v>
      </c>
      <c r="E3227" s="12" t="s">
        <v>2155</v>
      </c>
      <c r="F3227" s="12" t="s">
        <v>2156</v>
      </c>
      <c r="G3227" s="12" t="s">
        <v>40</v>
      </c>
      <c r="H3227" s="11" t="s">
        <v>63</v>
      </c>
      <c r="I3227" s="13" t="s">
        <v>6966</v>
      </c>
      <c r="J3227" s="14" t="str">
        <f>HYPERLINK("https://www.boe.es/gazeta/dias/1839/01/17/pdfs/GMD-1839-1524.pdf#page=2","Abrir facsímil")</f>
        <v>Abrir facsímil</v>
      </c>
      <c r="K3227" s="12" t="s">
        <v>65</v>
      </c>
    </row>
    <row r="3228" spans="1:11" ht="40.049999999999997" customHeight="1" x14ac:dyDescent="0.25">
      <c r="A3228" s="11" t="s">
        <v>6953</v>
      </c>
      <c r="B3228" s="11" t="s">
        <v>6954</v>
      </c>
      <c r="C3228" s="11" t="s">
        <v>17</v>
      </c>
      <c r="D3228" s="11" t="s">
        <v>18</v>
      </c>
      <c r="E3228" s="12" t="s">
        <v>1725</v>
      </c>
      <c r="F3228" s="12" t="s">
        <v>1726</v>
      </c>
      <c r="G3228" s="12" t="s">
        <v>40</v>
      </c>
      <c r="H3228" s="11" t="s">
        <v>63</v>
      </c>
      <c r="I3228" s="13" t="s">
        <v>6967</v>
      </c>
      <c r="J3228" s="14" t="str">
        <f>HYPERLINK("https://www.boe.es/gazeta/dias/1839/11/17/pdfs/GMD-1839-1834.pdf#page=2","Abrir facsímil")</f>
        <v>Abrir facsímil</v>
      </c>
      <c r="K3228" s="12" t="s">
        <v>65</v>
      </c>
    </row>
    <row r="3229" spans="1:11" ht="40.049999999999997" customHeight="1" x14ac:dyDescent="0.25">
      <c r="A3229" s="11" t="s">
        <v>6953</v>
      </c>
      <c r="B3229" s="11" t="s">
        <v>6954</v>
      </c>
      <c r="C3229" s="11" t="s">
        <v>101</v>
      </c>
      <c r="D3229" s="11" t="s">
        <v>102</v>
      </c>
      <c r="E3229" s="12" t="s">
        <v>1072</v>
      </c>
      <c r="F3229" s="12" t="s">
        <v>1073</v>
      </c>
      <c r="G3229" s="12" t="s">
        <v>40</v>
      </c>
      <c r="H3229" s="11" t="s">
        <v>63</v>
      </c>
      <c r="I3229" s="13" t="s">
        <v>6968</v>
      </c>
      <c r="J3229" s="14" t="str">
        <f>HYPERLINK("https://www.boe.es/gazeta/dias/1839/01/18/pdfs/GMD-1839-1525.pdf#page=2","Abrir facsímil")</f>
        <v>Abrir facsímil</v>
      </c>
      <c r="K3229" s="12" t="s">
        <v>65</v>
      </c>
    </row>
    <row r="3230" spans="1:11" ht="40.049999999999997" customHeight="1" x14ac:dyDescent="0.25">
      <c r="A3230" s="11" t="s">
        <v>6953</v>
      </c>
      <c r="B3230" s="11" t="s">
        <v>6954</v>
      </c>
      <c r="C3230" s="11" t="s">
        <v>101</v>
      </c>
      <c r="D3230" s="11" t="s">
        <v>43</v>
      </c>
      <c r="E3230" s="12" t="s">
        <v>1072</v>
      </c>
      <c r="F3230" s="12" t="s">
        <v>1073</v>
      </c>
      <c r="G3230" s="12" t="s">
        <v>46</v>
      </c>
      <c r="H3230" s="11" t="s">
        <v>63</v>
      </c>
      <c r="I3230" s="13" t="s">
        <v>6969</v>
      </c>
      <c r="J3230" s="14" t="str">
        <f>HYPERLINK("https://www.boe.es/gazeta/dias/1839/01/18/pdfs/GMD-1839-1525.pdf#page=3","Abrir facsímil")</f>
        <v>Abrir facsímil</v>
      </c>
      <c r="K3230" s="12" t="s">
        <v>65</v>
      </c>
    </row>
    <row r="3231" spans="1:11" ht="40.049999999999997" customHeight="1" x14ac:dyDescent="0.25">
      <c r="A3231" s="11" t="s">
        <v>6953</v>
      </c>
      <c r="B3231" s="11" t="s">
        <v>6954</v>
      </c>
      <c r="C3231" s="11" t="s">
        <v>101</v>
      </c>
      <c r="D3231" s="11" t="s">
        <v>102</v>
      </c>
      <c r="E3231" s="12" t="s">
        <v>236</v>
      </c>
      <c r="F3231" s="12" t="s">
        <v>237</v>
      </c>
      <c r="G3231" s="12" t="s">
        <v>40</v>
      </c>
      <c r="H3231" s="11" t="s">
        <v>63</v>
      </c>
      <c r="I3231" s="13" t="s">
        <v>6970</v>
      </c>
      <c r="J3231" s="14" t="str">
        <f>HYPERLINK("https://www.boe.es/gazeta/dias/1839/09/18/pdfs/GMD-1839-1771.pdf#page=2","Abrir facsímil")</f>
        <v>Abrir facsímil</v>
      </c>
      <c r="K3231" s="12" t="s">
        <v>65</v>
      </c>
    </row>
    <row r="3232" spans="1:11" ht="40.049999999999997" customHeight="1" x14ac:dyDescent="0.25">
      <c r="A3232" s="11" t="s">
        <v>6953</v>
      </c>
      <c r="B3232" s="11" t="s">
        <v>6954</v>
      </c>
      <c r="C3232" s="11" t="s">
        <v>17</v>
      </c>
      <c r="D3232" s="11" t="s">
        <v>18</v>
      </c>
      <c r="E3232" s="12" t="s">
        <v>1179</v>
      </c>
      <c r="F3232" s="12" t="s">
        <v>1180</v>
      </c>
      <c r="G3232" s="12" t="s">
        <v>566</v>
      </c>
      <c r="H3232" s="11" t="s">
        <v>63</v>
      </c>
      <c r="I3232" s="13" t="s">
        <v>6971</v>
      </c>
      <c r="J3232" s="14" t="str">
        <f>HYPERLINK("https://www.boe.es/gazeta/dias/1839/10/18/pdfs/GMD-1839-1804.pdf#page=5","Abrir facsímil")</f>
        <v>Abrir facsímil</v>
      </c>
      <c r="K3232" s="12" t="s">
        <v>65</v>
      </c>
    </row>
    <row r="3233" spans="1:11" ht="40.049999999999997" customHeight="1" x14ac:dyDescent="0.25">
      <c r="A3233" s="11" t="s">
        <v>6953</v>
      </c>
      <c r="B3233" s="11" t="s">
        <v>6954</v>
      </c>
      <c r="C3233" s="11" t="s">
        <v>101</v>
      </c>
      <c r="D3233" s="11" t="s">
        <v>43</v>
      </c>
      <c r="E3233" s="12" t="s">
        <v>2222</v>
      </c>
      <c r="F3233" s="12" t="s">
        <v>2223</v>
      </c>
      <c r="G3233" s="12" t="s">
        <v>40</v>
      </c>
      <c r="H3233" s="11" t="s">
        <v>63</v>
      </c>
      <c r="I3233" s="13" t="s">
        <v>6972</v>
      </c>
      <c r="J3233" s="14" t="str">
        <f>HYPERLINK("https://www.boe.es/gazeta/dias/1839/09/19/pdfs/GMD-1839-1773.pdf#page=2","Abrir facsímil")</f>
        <v>Abrir facsímil</v>
      </c>
      <c r="K3233" s="12" t="s">
        <v>65</v>
      </c>
    </row>
    <row r="3234" spans="1:11" ht="40.049999999999997" customHeight="1" x14ac:dyDescent="0.25">
      <c r="A3234" s="11" t="s">
        <v>6953</v>
      </c>
      <c r="B3234" s="11" t="s">
        <v>6954</v>
      </c>
      <c r="C3234" s="11" t="s">
        <v>17</v>
      </c>
      <c r="D3234" s="11" t="s">
        <v>18</v>
      </c>
      <c r="E3234" s="12" t="s">
        <v>1584</v>
      </c>
      <c r="F3234" s="12" t="s">
        <v>1585</v>
      </c>
      <c r="G3234" s="12" t="s">
        <v>21</v>
      </c>
      <c r="H3234" s="11" t="s">
        <v>63</v>
      </c>
      <c r="I3234" s="13" t="s">
        <v>6973</v>
      </c>
      <c r="J3234" s="14" t="str">
        <f>HYPERLINK("https://www.boe.es/gazeta/dias/1839/11/20/pdfs/GMD-1839-1837.pdf#page=4","Abrir facsímil")</f>
        <v>Abrir facsímil</v>
      </c>
      <c r="K3234" s="12" t="s">
        <v>65</v>
      </c>
    </row>
    <row r="3235" spans="1:11" ht="40.049999999999997" customHeight="1" x14ac:dyDescent="0.25">
      <c r="A3235" s="11" t="s">
        <v>6953</v>
      </c>
      <c r="B3235" s="11" t="s">
        <v>6954</v>
      </c>
      <c r="C3235" s="11" t="s">
        <v>59</v>
      </c>
      <c r="D3235" s="11" t="s">
        <v>60</v>
      </c>
      <c r="E3235" s="12" t="s">
        <v>1517</v>
      </c>
      <c r="F3235" s="12" t="s">
        <v>1518</v>
      </c>
      <c r="G3235" s="12" t="s">
        <v>29</v>
      </c>
      <c r="H3235" s="11" t="s">
        <v>63</v>
      </c>
      <c r="I3235" s="13" t="s">
        <v>6974</v>
      </c>
      <c r="J3235" s="14" t="str">
        <f>HYPERLINK("https://www.boe.es/gazeta/dias/1839/12/20/pdfs/GMD-1839-1867.pdf#page=1","Abrir facsímil")</f>
        <v>Abrir facsímil</v>
      </c>
      <c r="K3235" s="12" t="s">
        <v>65</v>
      </c>
    </row>
    <row r="3236" spans="1:11" ht="40.049999999999997" customHeight="1" x14ac:dyDescent="0.25">
      <c r="A3236" s="11" t="s">
        <v>6953</v>
      </c>
      <c r="B3236" s="11" t="s">
        <v>6954</v>
      </c>
      <c r="C3236" s="11" t="s">
        <v>17</v>
      </c>
      <c r="D3236" s="11" t="s">
        <v>18</v>
      </c>
      <c r="E3236" s="12" t="s">
        <v>1108</v>
      </c>
      <c r="F3236" s="12" t="s">
        <v>1109</v>
      </c>
      <c r="G3236" s="12" t="s">
        <v>40</v>
      </c>
      <c r="H3236" s="11" t="s">
        <v>63</v>
      </c>
      <c r="I3236" s="13" t="s">
        <v>6975</v>
      </c>
      <c r="J3236" s="14" t="str">
        <f>HYPERLINK("https://www.boe.es/gazeta/dias/1839/09/21/pdfs/GMD-1839-1776.pdf#page=2","Abrir facsímil")</f>
        <v>Abrir facsímil</v>
      </c>
      <c r="K3236" s="12" t="s">
        <v>65</v>
      </c>
    </row>
    <row r="3237" spans="1:11" ht="40.049999999999997" customHeight="1" x14ac:dyDescent="0.25">
      <c r="A3237" s="11" t="s">
        <v>6953</v>
      </c>
      <c r="B3237" s="11" t="s">
        <v>6954</v>
      </c>
      <c r="C3237" s="11" t="s">
        <v>17</v>
      </c>
      <c r="D3237" s="11" t="s">
        <v>18</v>
      </c>
      <c r="E3237" s="12" t="s">
        <v>794</v>
      </c>
      <c r="F3237" s="12" t="s">
        <v>795</v>
      </c>
      <c r="G3237" s="12" t="s">
        <v>46</v>
      </c>
      <c r="H3237" s="11" t="s">
        <v>63</v>
      </c>
      <c r="I3237" s="13" t="s">
        <v>6976</v>
      </c>
      <c r="J3237" s="14" t="str">
        <f>HYPERLINK("https://www.boe.es/gazeta/dias/1839/01/22/pdfs/GMD-1839-1529.pdf#page=3","Abrir facsímil")</f>
        <v>Abrir facsímil</v>
      </c>
      <c r="K3237" s="12" t="s">
        <v>65</v>
      </c>
    </row>
    <row r="3238" spans="1:11" ht="40.049999999999997" customHeight="1" x14ac:dyDescent="0.25">
      <c r="A3238" s="11" t="s">
        <v>6953</v>
      </c>
      <c r="B3238" s="11" t="s">
        <v>6954</v>
      </c>
      <c r="C3238" s="11" t="s">
        <v>80</v>
      </c>
      <c r="D3238" s="11" t="s">
        <v>18</v>
      </c>
      <c r="E3238" s="12" t="s">
        <v>568</v>
      </c>
      <c r="F3238" s="12" t="s">
        <v>569</v>
      </c>
      <c r="G3238" s="12" t="s">
        <v>40</v>
      </c>
      <c r="H3238" s="11" t="s">
        <v>63</v>
      </c>
      <c r="I3238" s="13" t="s">
        <v>6977</v>
      </c>
      <c r="J3238" s="14" t="str">
        <f>HYPERLINK("https://www.boe.es/gazeta/dias/1839/10/23/pdfs/GMD-1839-1809.pdf#page=2","Abrir facsímil")</f>
        <v>Abrir facsímil</v>
      </c>
      <c r="K3238" s="12" t="s">
        <v>65</v>
      </c>
    </row>
    <row r="3239" spans="1:11" ht="40.049999999999997" customHeight="1" x14ac:dyDescent="0.25">
      <c r="A3239" s="11" t="s">
        <v>6953</v>
      </c>
      <c r="B3239" s="11" t="s">
        <v>6954</v>
      </c>
      <c r="C3239" s="11" t="s">
        <v>17</v>
      </c>
      <c r="D3239" s="11" t="s">
        <v>18</v>
      </c>
      <c r="E3239" s="12" t="s">
        <v>496</v>
      </c>
      <c r="F3239" s="12" t="s">
        <v>497</v>
      </c>
      <c r="G3239" s="12" t="s">
        <v>21</v>
      </c>
      <c r="H3239" s="11" t="s">
        <v>63</v>
      </c>
      <c r="I3239" s="13" t="s">
        <v>6978</v>
      </c>
      <c r="J3239" s="14" t="str">
        <f>HYPERLINK("https://www.boe.es/gazeta/dias/1839/11/23/pdfs/GMD-1839-1840.pdf#page=4","Abrir facsímil")</f>
        <v>Abrir facsímil</v>
      </c>
      <c r="K3239" s="12" t="s">
        <v>65</v>
      </c>
    </row>
    <row r="3240" spans="1:11" ht="40.049999999999997" customHeight="1" x14ac:dyDescent="0.25">
      <c r="A3240" s="11" t="s">
        <v>6953</v>
      </c>
      <c r="B3240" s="11" t="s">
        <v>6954</v>
      </c>
      <c r="C3240" s="11" t="s">
        <v>101</v>
      </c>
      <c r="D3240" s="11" t="s">
        <v>43</v>
      </c>
      <c r="E3240" s="12" t="s">
        <v>826</v>
      </c>
      <c r="F3240" s="12" t="s">
        <v>827</v>
      </c>
      <c r="G3240" s="12" t="s">
        <v>21</v>
      </c>
      <c r="H3240" s="11" t="s">
        <v>63</v>
      </c>
      <c r="I3240" s="13" t="s">
        <v>6979</v>
      </c>
      <c r="J3240" s="14" t="str">
        <f>HYPERLINK("https://www.boe.es/gazeta/dias/1839/09/25/pdfs/GMD-1839-1781.pdf#page=4","Abrir facsímil")</f>
        <v>Abrir facsímil</v>
      </c>
      <c r="K3240" s="12" t="s">
        <v>65</v>
      </c>
    </row>
    <row r="3241" spans="1:11" ht="40.049999999999997" customHeight="1" x14ac:dyDescent="0.25">
      <c r="A3241" s="11" t="s">
        <v>6953</v>
      </c>
      <c r="B3241" s="11" t="s">
        <v>6954</v>
      </c>
      <c r="C3241" s="11" t="s">
        <v>80</v>
      </c>
      <c r="D3241" s="11" t="s">
        <v>18</v>
      </c>
      <c r="E3241" s="12" t="s">
        <v>650</v>
      </c>
      <c r="F3241" s="12" t="s">
        <v>651</v>
      </c>
      <c r="G3241" s="12" t="s">
        <v>46</v>
      </c>
      <c r="H3241" s="11" t="s">
        <v>63</v>
      </c>
      <c r="I3241" s="13" t="s">
        <v>6980</v>
      </c>
      <c r="J3241" s="14" t="str">
        <f>HYPERLINK("https://www.boe.es/gazeta/dias/1839/10/25/pdfs/GMD-1839-1811.pdf#page=3","Abrir facsímil")</f>
        <v>Abrir facsímil</v>
      </c>
      <c r="K3241" s="12" t="s">
        <v>65</v>
      </c>
    </row>
    <row r="3242" spans="1:11" ht="40.049999999999997" customHeight="1" x14ac:dyDescent="0.25">
      <c r="A3242" s="11" t="s">
        <v>6953</v>
      </c>
      <c r="B3242" s="11" t="s">
        <v>6954</v>
      </c>
      <c r="C3242" s="11" t="s">
        <v>17</v>
      </c>
      <c r="D3242" s="11" t="s">
        <v>18</v>
      </c>
      <c r="E3242" s="12" t="s">
        <v>375</v>
      </c>
      <c r="F3242" s="12" t="s">
        <v>376</v>
      </c>
      <c r="G3242" s="12" t="s">
        <v>21</v>
      </c>
      <c r="H3242" s="11" t="s">
        <v>63</v>
      </c>
      <c r="I3242" s="13" t="s">
        <v>6981</v>
      </c>
      <c r="J3242" s="14" t="str">
        <f>HYPERLINK("https://www.boe.es/gazeta/dias/1839/11/25/pdfs/GMD-1839-1842.pdf#page=4","Abrir facsímil")</f>
        <v>Abrir facsímil</v>
      </c>
      <c r="K3242" s="12" t="s">
        <v>65</v>
      </c>
    </row>
    <row r="3243" spans="1:11" ht="40.049999999999997" customHeight="1" x14ac:dyDescent="0.25">
      <c r="A3243" s="11" t="s">
        <v>6953</v>
      </c>
      <c r="B3243" s="11" t="s">
        <v>6954</v>
      </c>
      <c r="C3243" s="11" t="s">
        <v>17</v>
      </c>
      <c r="D3243" s="11" t="s">
        <v>18</v>
      </c>
      <c r="E3243" s="12" t="s">
        <v>1159</v>
      </c>
      <c r="F3243" s="12" t="s">
        <v>1160</v>
      </c>
      <c r="G3243" s="12" t="s">
        <v>21</v>
      </c>
      <c r="H3243" s="11" t="s">
        <v>63</v>
      </c>
      <c r="I3243" s="13" t="s">
        <v>6982</v>
      </c>
      <c r="J3243" s="14" t="str">
        <f>HYPERLINK("https://www.boe.es/gazeta/dias/1839/11/26/pdfs/GMD-1839-1843.pdf#page=4","Abrir facsímil")</f>
        <v>Abrir facsímil</v>
      </c>
      <c r="K3243" s="12" t="s">
        <v>65</v>
      </c>
    </row>
    <row r="3244" spans="1:11" ht="40.049999999999997" customHeight="1" x14ac:dyDescent="0.25">
      <c r="A3244" s="11" t="s">
        <v>6953</v>
      </c>
      <c r="B3244" s="11" t="s">
        <v>6954</v>
      </c>
      <c r="C3244" s="11" t="s">
        <v>80</v>
      </c>
      <c r="D3244" s="11" t="s">
        <v>18</v>
      </c>
      <c r="E3244" s="12" t="s">
        <v>571</v>
      </c>
      <c r="F3244" s="12" t="s">
        <v>572</v>
      </c>
      <c r="G3244" s="12" t="s">
        <v>46</v>
      </c>
      <c r="H3244" s="11" t="s">
        <v>63</v>
      </c>
      <c r="I3244" s="13" t="s">
        <v>6983</v>
      </c>
      <c r="J3244" s="14" t="str">
        <f>HYPERLINK("https://www.boe.es/gazeta/dias/1839/09/27/pdfs/GMD-1839-1783.pdf#page=3","Abrir facsímil")</f>
        <v>Abrir facsímil</v>
      </c>
      <c r="K3244" s="12" t="s">
        <v>65</v>
      </c>
    </row>
    <row r="3245" spans="1:11" ht="40.049999999999997" customHeight="1" x14ac:dyDescent="0.25">
      <c r="A3245" s="11" t="s">
        <v>6953</v>
      </c>
      <c r="B3245" s="11" t="s">
        <v>6954</v>
      </c>
      <c r="C3245" s="11" t="s">
        <v>17</v>
      </c>
      <c r="D3245" s="11" t="s">
        <v>18</v>
      </c>
      <c r="E3245" s="12" t="s">
        <v>89</v>
      </c>
      <c r="F3245" s="12" t="s">
        <v>90</v>
      </c>
      <c r="G3245" s="12" t="s">
        <v>21</v>
      </c>
      <c r="H3245" s="11" t="s">
        <v>63</v>
      </c>
      <c r="I3245" s="13" t="s">
        <v>6984</v>
      </c>
      <c r="J3245" s="14" t="str">
        <f>HYPERLINK("https://www.boe.es/gazeta/dias/1839/11/28/pdfs/GMD-1839-1845.pdf#page=4","Abrir facsímil")</f>
        <v>Abrir facsímil</v>
      </c>
      <c r="K3245" s="12" t="s">
        <v>65</v>
      </c>
    </row>
    <row r="3246" spans="1:11" ht="40.049999999999997" customHeight="1" x14ac:dyDescent="0.25">
      <c r="A3246" s="11" t="s">
        <v>6953</v>
      </c>
      <c r="B3246" s="11" t="s">
        <v>6954</v>
      </c>
      <c r="C3246" s="11" t="s">
        <v>17</v>
      </c>
      <c r="D3246" s="11" t="s">
        <v>18</v>
      </c>
      <c r="E3246" s="12" t="s">
        <v>4292</v>
      </c>
      <c r="F3246" s="12" t="s">
        <v>4293</v>
      </c>
      <c r="G3246" s="12" t="s">
        <v>21</v>
      </c>
      <c r="H3246" s="11" t="s">
        <v>63</v>
      </c>
      <c r="I3246" s="13" t="s">
        <v>6985</v>
      </c>
      <c r="J3246" s="14" t="str">
        <f>HYPERLINK("https://www.boe.es/gazeta/dias/1839/11/29/pdfs/GMD-1839-1846.pdf#page=4","Abrir facsímil")</f>
        <v>Abrir facsímil</v>
      </c>
      <c r="K3246" s="12" t="s">
        <v>65</v>
      </c>
    </row>
    <row r="3247" spans="1:11" ht="40.049999999999997" customHeight="1" x14ac:dyDescent="0.25">
      <c r="A3247" s="11" t="s">
        <v>6953</v>
      </c>
      <c r="B3247" s="11" t="s">
        <v>6954</v>
      </c>
      <c r="C3247" s="11" t="s">
        <v>17</v>
      </c>
      <c r="D3247" s="11" t="s">
        <v>18</v>
      </c>
      <c r="E3247" s="12" t="s">
        <v>312</v>
      </c>
      <c r="F3247" s="12" t="s">
        <v>313</v>
      </c>
      <c r="G3247" s="12" t="s">
        <v>21</v>
      </c>
      <c r="H3247" s="11" t="s">
        <v>63</v>
      </c>
      <c r="I3247" s="13" t="s">
        <v>6986</v>
      </c>
      <c r="J3247" s="14" t="str">
        <f>HYPERLINK("https://www.boe.es/gazeta/dias/1839/11/30/pdfs/GMD-1839-1847.pdf#page=4","Abrir facsímil")</f>
        <v>Abrir facsímil</v>
      </c>
      <c r="K3247" s="12" t="s">
        <v>65</v>
      </c>
    </row>
    <row r="3248" spans="1:11" ht="40.049999999999997" customHeight="1" x14ac:dyDescent="0.25">
      <c r="A3248" s="11" t="s">
        <v>6987</v>
      </c>
      <c r="B3248" s="11" t="s">
        <v>6988</v>
      </c>
      <c r="C3248" s="11" t="s">
        <v>17</v>
      </c>
      <c r="D3248" s="11" t="s">
        <v>18</v>
      </c>
      <c r="E3248" s="12" t="s">
        <v>1614</v>
      </c>
      <c r="F3248" s="12" t="s">
        <v>1615</v>
      </c>
      <c r="G3248" s="12" t="s">
        <v>29</v>
      </c>
      <c r="H3248" s="11" t="s">
        <v>22</v>
      </c>
      <c r="I3248" s="13" t="s">
        <v>6989</v>
      </c>
      <c r="J3248" s="14" t="str">
        <f>HYPERLINK("https://www.boe.es/gazeta/dias/1839/07/03/pdfs/GMD-1839-1691.pdf#page=1","Abrir facsímil")</f>
        <v>Abrir facsímil</v>
      </c>
      <c r="K3248" s="12" t="s">
        <v>24</v>
      </c>
    </row>
    <row r="3249" spans="1:11" ht="40.049999999999997" customHeight="1" x14ac:dyDescent="0.25">
      <c r="A3249" s="11" t="s">
        <v>6990</v>
      </c>
      <c r="B3249" s="11" t="s">
        <v>6991</v>
      </c>
      <c r="C3249" s="11" t="s">
        <v>80</v>
      </c>
      <c r="D3249" s="11" t="s">
        <v>18</v>
      </c>
      <c r="E3249" s="12" t="s">
        <v>2482</v>
      </c>
      <c r="F3249" s="12" t="s">
        <v>2483</v>
      </c>
      <c r="G3249" s="12" t="s">
        <v>21</v>
      </c>
      <c r="H3249" s="11" t="s">
        <v>63</v>
      </c>
      <c r="I3249" s="13" t="s">
        <v>6992</v>
      </c>
      <c r="J3249" s="14" t="str">
        <f>HYPERLINK("https://www.boe.es/gazeta/dias/1839/07/07/pdfs/GMD-1839-1695.pdf#page=4","Abrir facsímil")</f>
        <v>Abrir facsímil</v>
      </c>
      <c r="K3249" s="12" t="s">
        <v>65</v>
      </c>
    </row>
    <row r="3250" spans="1:11" ht="40.049999999999997" customHeight="1" x14ac:dyDescent="0.25">
      <c r="A3250" s="11" t="s">
        <v>6993</v>
      </c>
      <c r="B3250" s="11" t="s">
        <v>6994</v>
      </c>
      <c r="C3250" s="11" t="s">
        <v>17</v>
      </c>
      <c r="D3250" s="11" t="s">
        <v>18</v>
      </c>
      <c r="E3250" s="12" t="s">
        <v>1057</v>
      </c>
      <c r="F3250" s="12" t="s">
        <v>1058</v>
      </c>
      <c r="G3250" s="12" t="s">
        <v>40</v>
      </c>
      <c r="H3250" s="11" t="s">
        <v>63</v>
      </c>
      <c r="I3250" s="13" t="s">
        <v>6995</v>
      </c>
      <c r="J3250" s="14" t="str">
        <f>HYPERLINK("https://www.boe.es/gazeta/dias/1839/10/01/pdfs/GMD-1839-1787.pdf#page=2","Abrir facsímil")</f>
        <v>Abrir facsímil</v>
      </c>
      <c r="K3250" s="12" t="s">
        <v>65</v>
      </c>
    </row>
    <row r="3251" spans="1:11" ht="40.049999999999997" customHeight="1" x14ac:dyDescent="0.25">
      <c r="A3251" s="11" t="s">
        <v>6996</v>
      </c>
      <c r="B3251" s="11" t="s">
        <v>6997</v>
      </c>
      <c r="C3251" s="11" t="s">
        <v>80</v>
      </c>
      <c r="D3251" s="11" t="s">
        <v>18</v>
      </c>
      <c r="E3251" s="12" t="s">
        <v>4957</v>
      </c>
      <c r="F3251" s="12" t="s">
        <v>4958</v>
      </c>
      <c r="G3251" s="12" t="s">
        <v>40</v>
      </c>
      <c r="H3251" s="11" t="s">
        <v>63</v>
      </c>
      <c r="I3251" s="13" t="s">
        <v>6998</v>
      </c>
      <c r="J3251" s="14" t="str">
        <f>HYPERLINK("https://www.boe.es/gazeta/dias/1839/11/04/pdfs/GMD-1839-1821.pdf#page=2","Abrir facsímil")</f>
        <v>Abrir facsímil</v>
      </c>
      <c r="K3251" s="12" t="s">
        <v>65</v>
      </c>
    </row>
    <row r="3252" spans="1:11" ht="40.049999999999997" customHeight="1" x14ac:dyDescent="0.25">
      <c r="A3252" s="11" t="s">
        <v>6996</v>
      </c>
      <c r="B3252" s="11" t="s">
        <v>6997</v>
      </c>
      <c r="C3252" s="11" t="s">
        <v>17</v>
      </c>
      <c r="D3252" s="11" t="s">
        <v>18</v>
      </c>
      <c r="E3252" s="12" t="s">
        <v>327</v>
      </c>
      <c r="F3252" s="12" t="s">
        <v>328</v>
      </c>
      <c r="G3252" s="12" t="s">
        <v>29</v>
      </c>
      <c r="H3252" s="11" t="s">
        <v>63</v>
      </c>
      <c r="I3252" s="13" t="s">
        <v>6999</v>
      </c>
      <c r="J3252" s="14" t="str">
        <f>HYPERLINK("https://www.boe.es/gazeta/dias/1839/08/05/pdfs/GMD-1839-1725.pdf#page=1","Abrir facsímil")</f>
        <v>Abrir facsímil</v>
      </c>
      <c r="K3252" s="12" t="s">
        <v>65</v>
      </c>
    </row>
    <row r="3253" spans="1:11" ht="40.049999999999997" customHeight="1" x14ac:dyDescent="0.25">
      <c r="A3253" s="11" t="s">
        <v>6996</v>
      </c>
      <c r="B3253" s="11" t="s">
        <v>6997</v>
      </c>
      <c r="C3253" s="11" t="s">
        <v>17</v>
      </c>
      <c r="D3253" s="11" t="s">
        <v>18</v>
      </c>
      <c r="E3253" s="12" t="s">
        <v>1509</v>
      </c>
      <c r="F3253" s="12" t="s">
        <v>1510</v>
      </c>
      <c r="G3253" s="12" t="s">
        <v>29</v>
      </c>
      <c r="H3253" s="11" t="s">
        <v>63</v>
      </c>
      <c r="I3253" s="13" t="s">
        <v>7000</v>
      </c>
      <c r="J3253" s="14" t="str">
        <f>HYPERLINK("https://www.boe.es/gazeta/dias/1839/10/07/pdfs/GMD-1839-1793.pdf#page=1","Abrir facsímil")</f>
        <v>Abrir facsímil</v>
      </c>
      <c r="K3253" s="12" t="s">
        <v>65</v>
      </c>
    </row>
    <row r="3254" spans="1:11" ht="40.049999999999997" customHeight="1" x14ac:dyDescent="0.25">
      <c r="A3254" s="11" t="s">
        <v>6996</v>
      </c>
      <c r="B3254" s="11" t="s">
        <v>6997</v>
      </c>
      <c r="C3254" s="11" t="s">
        <v>101</v>
      </c>
      <c r="D3254" s="11" t="s">
        <v>43</v>
      </c>
      <c r="E3254" s="12" t="s">
        <v>233</v>
      </c>
      <c r="F3254" s="12" t="s">
        <v>234</v>
      </c>
      <c r="G3254" s="12" t="s">
        <v>29</v>
      </c>
      <c r="H3254" s="11" t="s">
        <v>63</v>
      </c>
      <c r="I3254" s="13" t="s">
        <v>7001</v>
      </c>
      <c r="J3254" s="14" t="str">
        <f>HYPERLINK("https://www.boe.es/gazeta/dias/1839/09/17/pdfs/GMD-1839-1770.pdf#page=1","Abrir facsímil")</f>
        <v>Abrir facsímil</v>
      </c>
      <c r="K3254" s="12" t="s">
        <v>65</v>
      </c>
    </row>
    <row r="3255" spans="1:11" ht="40.049999999999997" customHeight="1" x14ac:dyDescent="0.25">
      <c r="A3255" s="11" t="s">
        <v>6996</v>
      </c>
      <c r="B3255" s="11" t="s">
        <v>6997</v>
      </c>
      <c r="C3255" s="11" t="s">
        <v>80</v>
      </c>
      <c r="D3255" s="11" t="s">
        <v>18</v>
      </c>
      <c r="E3255" s="12" t="s">
        <v>1079</v>
      </c>
      <c r="F3255" s="12" t="s">
        <v>1080</v>
      </c>
      <c r="G3255" s="12" t="s">
        <v>21</v>
      </c>
      <c r="H3255" s="11" t="s">
        <v>63</v>
      </c>
      <c r="I3255" s="13" t="s">
        <v>7002</v>
      </c>
      <c r="J3255" s="14" t="str">
        <f>HYPERLINK("https://www.boe.es/gazeta/dias/1839/05/24/pdfs/GMD-1839-1651.pdf#page=4","Abrir facsímil")</f>
        <v>Abrir facsímil</v>
      </c>
      <c r="K3255" s="12" t="s">
        <v>65</v>
      </c>
    </row>
    <row r="3256" spans="1:11" ht="40.049999999999997" customHeight="1" x14ac:dyDescent="0.25">
      <c r="A3256" s="11" t="s">
        <v>6996</v>
      </c>
      <c r="B3256" s="11" t="s">
        <v>6997</v>
      </c>
      <c r="C3256" s="11" t="s">
        <v>17</v>
      </c>
      <c r="D3256" s="11" t="s">
        <v>18</v>
      </c>
      <c r="E3256" s="12" t="s">
        <v>522</v>
      </c>
      <c r="F3256" s="12" t="s">
        <v>523</v>
      </c>
      <c r="G3256" s="12" t="s">
        <v>566</v>
      </c>
      <c r="H3256" s="11" t="s">
        <v>63</v>
      </c>
      <c r="I3256" s="13" t="s">
        <v>7003</v>
      </c>
      <c r="J3256" s="14" t="str">
        <f>HYPERLINK("https://www.boe.es/gazeta/dias/1839/08/27/pdfs/GMD-1839-1748.pdf#page=5","Abrir facsímil")</f>
        <v>Abrir facsímil</v>
      </c>
      <c r="K3256" s="12" t="s">
        <v>65</v>
      </c>
    </row>
    <row r="3257" spans="1:11" ht="40.049999999999997" customHeight="1" x14ac:dyDescent="0.25">
      <c r="A3257" s="11" t="s">
        <v>7004</v>
      </c>
      <c r="B3257" s="11" t="s">
        <v>7005</v>
      </c>
      <c r="C3257" s="11" t="s">
        <v>17</v>
      </c>
      <c r="D3257" s="11" t="s">
        <v>18</v>
      </c>
      <c r="E3257" s="12" t="s">
        <v>1606</v>
      </c>
      <c r="F3257" s="12" t="s">
        <v>1607</v>
      </c>
      <c r="G3257" s="12" t="s">
        <v>40</v>
      </c>
      <c r="H3257" s="11" t="s">
        <v>22</v>
      </c>
      <c r="I3257" s="13" t="s">
        <v>7006</v>
      </c>
      <c r="J3257" s="14" t="str">
        <f>HYPERLINK("https://www.boe.es/gazeta/dias/1839/07/02/pdfs/GMD-1839-1690.pdf#page=2","Abrir facsímil")</f>
        <v>Abrir facsímil</v>
      </c>
      <c r="K3257" s="12" t="s">
        <v>24</v>
      </c>
    </row>
    <row r="3258" spans="1:11" ht="40.049999999999997" customHeight="1" x14ac:dyDescent="0.25">
      <c r="A3258" s="11" t="s">
        <v>7004</v>
      </c>
      <c r="B3258" s="11" t="s">
        <v>7005</v>
      </c>
      <c r="C3258" s="11" t="s">
        <v>80</v>
      </c>
      <c r="D3258" s="11" t="s">
        <v>18</v>
      </c>
      <c r="E3258" s="12" t="s">
        <v>128</v>
      </c>
      <c r="F3258" s="12" t="s">
        <v>129</v>
      </c>
      <c r="G3258" s="12" t="s">
        <v>29</v>
      </c>
      <c r="H3258" s="11" t="s">
        <v>22</v>
      </c>
      <c r="I3258" s="13" t="s">
        <v>7007</v>
      </c>
      <c r="J3258" s="14" t="str">
        <f>HYPERLINK("https://www.boe.es/gazeta/dias/1839/05/25/pdfs/GMD-1839-1652.pdf#page=1","Abrir facsímil")</f>
        <v>Abrir facsímil</v>
      </c>
      <c r="K3258" s="12" t="s">
        <v>24</v>
      </c>
    </row>
    <row r="3259" spans="1:11" ht="40.049999999999997" customHeight="1" x14ac:dyDescent="0.25">
      <c r="A3259" s="11" t="s">
        <v>7008</v>
      </c>
      <c r="B3259" s="11" t="s">
        <v>7009</v>
      </c>
      <c r="C3259" s="11" t="s">
        <v>59</v>
      </c>
      <c r="D3259" s="11" t="s">
        <v>60</v>
      </c>
      <c r="E3259" s="12" t="s">
        <v>19</v>
      </c>
      <c r="F3259" s="12" t="s">
        <v>20</v>
      </c>
      <c r="G3259" s="12" t="s">
        <v>46</v>
      </c>
      <c r="H3259" s="11" t="s">
        <v>63</v>
      </c>
      <c r="I3259" s="13" t="s">
        <v>7010</v>
      </c>
      <c r="J3259" s="14" t="str">
        <f>HYPERLINK("https://www.boe.es/gazeta/dias/1839/01/19/pdfs/GMD-1839-1526.pdf#page=3","Abrir facsímil")</f>
        <v>Abrir facsímil</v>
      </c>
      <c r="K3259" s="12" t="s">
        <v>65</v>
      </c>
    </row>
    <row r="3260" spans="1:11" ht="40.049999999999997" customHeight="1" x14ac:dyDescent="0.25">
      <c r="A3260" s="11" t="s">
        <v>7011</v>
      </c>
      <c r="B3260" s="11" t="s">
        <v>7012</v>
      </c>
      <c r="C3260" s="11" t="s">
        <v>17</v>
      </c>
      <c r="D3260" s="11" t="s">
        <v>18</v>
      </c>
      <c r="E3260" s="12" t="s">
        <v>369</v>
      </c>
      <c r="F3260" s="12" t="s">
        <v>370</v>
      </c>
      <c r="G3260" s="12" t="s">
        <v>21</v>
      </c>
      <c r="H3260" s="11" t="s">
        <v>63</v>
      </c>
      <c r="I3260" s="13" t="s">
        <v>7013</v>
      </c>
      <c r="J3260" s="14" t="str">
        <f>HYPERLINK("https://www.boe.es/gazeta/dias/1839/11/01/pdfs/GMD-1839-1818.pdf#page=4","Abrir facsímil")</f>
        <v>Abrir facsímil</v>
      </c>
      <c r="K3260" s="12" t="s">
        <v>65</v>
      </c>
    </row>
    <row r="3261" spans="1:11" ht="40.049999999999997" customHeight="1" x14ac:dyDescent="0.25">
      <c r="A3261" s="11" t="s">
        <v>7011</v>
      </c>
      <c r="B3261" s="11" t="s">
        <v>7012</v>
      </c>
      <c r="C3261" s="11" t="s">
        <v>80</v>
      </c>
      <c r="D3261" s="11" t="s">
        <v>18</v>
      </c>
      <c r="E3261" s="12" t="s">
        <v>49</v>
      </c>
      <c r="F3261" s="12" t="s">
        <v>50</v>
      </c>
      <c r="G3261" s="12" t="s">
        <v>21</v>
      </c>
      <c r="H3261" s="11" t="s">
        <v>63</v>
      </c>
      <c r="I3261" s="13" t="s">
        <v>7014</v>
      </c>
      <c r="J3261" s="14" t="str">
        <f>HYPERLINK("https://www.boe.es/gazeta/dias/1839/01/05/pdfs/GMD-1839-1512.pdf#page=4","Abrir facsímil")</f>
        <v>Abrir facsímil</v>
      </c>
      <c r="K3261" s="12" t="s">
        <v>65</v>
      </c>
    </row>
    <row r="3262" spans="1:11" ht="40.049999999999997" customHeight="1" x14ac:dyDescent="0.25">
      <c r="A3262" s="11" t="s">
        <v>7011</v>
      </c>
      <c r="B3262" s="11" t="s">
        <v>7012</v>
      </c>
      <c r="C3262" s="11" t="s">
        <v>17</v>
      </c>
      <c r="D3262" s="11" t="s">
        <v>18</v>
      </c>
      <c r="E3262" s="12" t="s">
        <v>2210</v>
      </c>
      <c r="F3262" s="12" t="s">
        <v>2211</v>
      </c>
      <c r="G3262" s="12" t="s">
        <v>40</v>
      </c>
      <c r="H3262" s="11" t="s">
        <v>63</v>
      </c>
      <c r="I3262" s="13" t="s">
        <v>7015</v>
      </c>
      <c r="J3262" s="14" t="str">
        <f>HYPERLINK("https://www.boe.es/gazeta/dias/1839/09/05/pdfs/GMD-1839-1758.pdf#page=2","Abrir facsímil")</f>
        <v>Abrir facsímil</v>
      </c>
      <c r="K3262" s="12" t="s">
        <v>65</v>
      </c>
    </row>
    <row r="3263" spans="1:11" ht="40.049999999999997" customHeight="1" x14ac:dyDescent="0.25">
      <c r="A3263" s="11" t="s">
        <v>7011</v>
      </c>
      <c r="B3263" s="11" t="s">
        <v>7012</v>
      </c>
      <c r="C3263" s="11" t="s">
        <v>137</v>
      </c>
      <c r="D3263" s="11" t="s">
        <v>18</v>
      </c>
      <c r="E3263" s="12" t="s">
        <v>2210</v>
      </c>
      <c r="F3263" s="12" t="s">
        <v>2211</v>
      </c>
      <c r="G3263" s="12" t="s">
        <v>46</v>
      </c>
      <c r="H3263" s="11" t="s">
        <v>63</v>
      </c>
      <c r="I3263" s="13" t="s">
        <v>7016</v>
      </c>
      <c r="J3263" s="14" t="str">
        <f>HYPERLINK("https://www.boe.es/gazeta/dias/1839/09/05/pdfs/GMD-1839-1758.pdf#page=3","Abrir facsímil")</f>
        <v>Abrir facsímil</v>
      </c>
      <c r="K3263" s="12" t="s">
        <v>65</v>
      </c>
    </row>
    <row r="3264" spans="1:11" ht="40.049999999999997" customHeight="1" x14ac:dyDescent="0.25">
      <c r="A3264" s="11" t="s">
        <v>7011</v>
      </c>
      <c r="B3264" s="11" t="s">
        <v>7012</v>
      </c>
      <c r="C3264" s="11" t="s">
        <v>101</v>
      </c>
      <c r="D3264" s="11" t="s">
        <v>43</v>
      </c>
      <c r="E3264" s="12" t="s">
        <v>54</v>
      </c>
      <c r="F3264" s="12" t="s">
        <v>55</v>
      </c>
      <c r="G3264" s="12" t="s">
        <v>46</v>
      </c>
      <c r="H3264" s="11" t="s">
        <v>63</v>
      </c>
      <c r="I3264" s="13" t="s">
        <v>7017</v>
      </c>
      <c r="J3264" s="14" t="str">
        <f>HYPERLINK("https://www.boe.es/gazeta/dias/1839/10/05/pdfs/GMD-1839-1791.pdf#page=3","Abrir facsímil")</f>
        <v>Abrir facsímil</v>
      </c>
      <c r="K3264" s="12" t="s">
        <v>65</v>
      </c>
    </row>
    <row r="3265" spans="1:11" ht="40.049999999999997" customHeight="1" x14ac:dyDescent="0.25">
      <c r="A3265" s="11" t="s">
        <v>7011</v>
      </c>
      <c r="B3265" s="11" t="s">
        <v>7012</v>
      </c>
      <c r="C3265" s="11" t="s">
        <v>137</v>
      </c>
      <c r="D3265" s="11" t="s">
        <v>18</v>
      </c>
      <c r="E3265" s="12" t="s">
        <v>2839</v>
      </c>
      <c r="F3265" s="12" t="s">
        <v>2840</v>
      </c>
      <c r="G3265" s="12" t="s">
        <v>29</v>
      </c>
      <c r="H3265" s="11" t="s">
        <v>63</v>
      </c>
      <c r="I3265" s="13" t="s">
        <v>7018</v>
      </c>
      <c r="J3265" s="14" t="str">
        <f>HYPERLINK("https://www.boe.es/gazeta/dias/1839/03/06/pdfs/GMD-1839-1572.pdf#page=1","Abrir facsímil")</f>
        <v>Abrir facsímil</v>
      </c>
      <c r="K3265" s="12" t="s">
        <v>65</v>
      </c>
    </row>
    <row r="3266" spans="1:11" ht="40.049999999999997" customHeight="1" x14ac:dyDescent="0.25">
      <c r="A3266" s="11" t="s">
        <v>7011</v>
      </c>
      <c r="B3266" s="11" t="s">
        <v>7012</v>
      </c>
      <c r="C3266" s="11" t="s">
        <v>17</v>
      </c>
      <c r="D3266" s="11" t="s">
        <v>18</v>
      </c>
      <c r="E3266" s="12" t="s">
        <v>1509</v>
      </c>
      <c r="F3266" s="12" t="s">
        <v>1510</v>
      </c>
      <c r="G3266" s="12" t="s">
        <v>46</v>
      </c>
      <c r="H3266" s="11" t="s">
        <v>63</v>
      </c>
      <c r="I3266" s="13" t="s">
        <v>7019</v>
      </c>
      <c r="J3266" s="14" t="str">
        <f>HYPERLINK("https://www.boe.es/gazeta/dias/1839/10/07/pdfs/GMD-1839-1793.pdf#page=3","Abrir facsímil")</f>
        <v>Abrir facsímil</v>
      </c>
      <c r="K3266" s="12" t="s">
        <v>65</v>
      </c>
    </row>
    <row r="3267" spans="1:11" ht="40.049999999999997" customHeight="1" x14ac:dyDescent="0.25">
      <c r="A3267" s="11" t="s">
        <v>7011</v>
      </c>
      <c r="B3267" s="11" t="s">
        <v>7012</v>
      </c>
      <c r="C3267" s="11" t="s">
        <v>59</v>
      </c>
      <c r="D3267" s="11" t="s">
        <v>60</v>
      </c>
      <c r="E3267" s="12" t="s">
        <v>647</v>
      </c>
      <c r="F3267" s="12" t="s">
        <v>648</v>
      </c>
      <c r="G3267" s="12" t="s">
        <v>566</v>
      </c>
      <c r="H3267" s="11" t="s">
        <v>63</v>
      </c>
      <c r="I3267" s="13" t="s">
        <v>7020</v>
      </c>
      <c r="J3267" s="14" t="str">
        <f>HYPERLINK("https://www.boe.es/gazeta/dias/1839/10/08/pdfs/GMD-1839-1794.pdf#page=5","Abrir facsímil")</f>
        <v>Abrir facsímil</v>
      </c>
      <c r="K3267" s="12" t="s">
        <v>65</v>
      </c>
    </row>
    <row r="3268" spans="1:11" ht="40.049999999999997" customHeight="1" x14ac:dyDescent="0.25">
      <c r="A3268" s="11" t="s">
        <v>7011</v>
      </c>
      <c r="B3268" s="11" t="s">
        <v>7012</v>
      </c>
      <c r="C3268" s="11" t="s">
        <v>137</v>
      </c>
      <c r="D3268" s="11" t="s">
        <v>18</v>
      </c>
      <c r="E3268" s="12" t="s">
        <v>269</v>
      </c>
      <c r="F3268" s="12" t="s">
        <v>270</v>
      </c>
      <c r="G3268" s="12" t="s">
        <v>46</v>
      </c>
      <c r="H3268" s="11" t="s">
        <v>63</v>
      </c>
      <c r="I3268" s="13" t="s">
        <v>7021</v>
      </c>
      <c r="J3268" s="14" t="str">
        <f>HYPERLINK("https://www.boe.es/gazeta/dias/1839/02/10/pdfs/GMD-1839-1548.pdf#page=3","Abrir facsímil")</f>
        <v>Abrir facsímil</v>
      </c>
      <c r="K3268" s="12" t="s">
        <v>65</v>
      </c>
    </row>
    <row r="3269" spans="1:11" ht="40.049999999999997" customHeight="1" x14ac:dyDescent="0.25">
      <c r="A3269" s="11" t="s">
        <v>7011</v>
      </c>
      <c r="B3269" s="11" t="s">
        <v>7012</v>
      </c>
      <c r="C3269" s="11" t="s">
        <v>80</v>
      </c>
      <c r="D3269" s="11" t="s">
        <v>18</v>
      </c>
      <c r="E3269" s="12" t="s">
        <v>175</v>
      </c>
      <c r="F3269" s="12" t="s">
        <v>176</v>
      </c>
      <c r="G3269" s="12" t="s">
        <v>40</v>
      </c>
      <c r="H3269" s="11" t="s">
        <v>63</v>
      </c>
      <c r="I3269" s="13" t="s">
        <v>7022</v>
      </c>
      <c r="J3269" s="14" t="str">
        <f>HYPERLINK("https://www.boe.es/gazeta/dias/1839/01/16/pdfs/GMD-1839-1523.pdf#page=2","Abrir facsímil")</f>
        <v>Abrir facsímil</v>
      </c>
      <c r="K3269" s="12" t="s">
        <v>65</v>
      </c>
    </row>
    <row r="3270" spans="1:11" ht="40.049999999999997" customHeight="1" x14ac:dyDescent="0.25">
      <c r="A3270" s="11" t="s">
        <v>7011</v>
      </c>
      <c r="B3270" s="11" t="s">
        <v>7012</v>
      </c>
      <c r="C3270" s="11" t="s">
        <v>17</v>
      </c>
      <c r="D3270" s="11" t="s">
        <v>18</v>
      </c>
      <c r="E3270" s="12" t="s">
        <v>5806</v>
      </c>
      <c r="F3270" s="12" t="s">
        <v>5807</v>
      </c>
      <c r="G3270" s="12" t="s">
        <v>29</v>
      </c>
      <c r="H3270" s="11" t="s">
        <v>63</v>
      </c>
      <c r="I3270" s="13" t="s">
        <v>7023</v>
      </c>
      <c r="J3270" s="14" t="str">
        <f>HYPERLINK("https://www.boe.es/gazeta/dias/1839/02/16/pdfs/GMD-1839-1554.pdf#page=1","Abrir facsímil")</f>
        <v>Abrir facsímil</v>
      </c>
      <c r="K3270" s="12" t="s">
        <v>65</v>
      </c>
    </row>
    <row r="3271" spans="1:11" ht="40.049999999999997" customHeight="1" x14ac:dyDescent="0.25">
      <c r="A3271" s="11" t="s">
        <v>7011</v>
      </c>
      <c r="B3271" s="11" t="s">
        <v>7012</v>
      </c>
      <c r="C3271" s="11" t="s">
        <v>101</v>
      </c>
      <c r="D3271" s="11" t="s">
        <v>43</v>
      </c>
      <c r="E3271" s="12" t="s">
        <v>2262</v>
      </c>
      <c r="F3271" s="12" t="s">
        <v>2263</v>
      </c>
      <c r="G3271" s="12" t="s">
        <v>40</v>
      </c>
      <c r="H3271" s="11" t="s">
        <v>63</v>
      </c>
      <c r="I3271" s="13" t="s">
        <v>7024</v>
      </c>
      <c r="J3271" s="14" t="str">
        <f>HYPERLINK("https://www.boe.es/gazeta/dias/1839/03/16/pdfs/GMD-1839-1582.pdf#page=2","Abrir facsímil")</f>
        <v>Abrir facsímil</v>
      </c>
      <c r="K3271" s="12" t="s">
        <v>65</v>
      </c>
    </row>
    <row r="3272" spans="1:11" ht="40.049999999999997" customHeight="1" x14ac:dyDescent="0.25">
      <c r="A3272" s="11" t="s">
        <v>7011</v>
      </c>
      <c r="B3272" s="11" t="s">
        <v>7012</v>
      </c>
      <c r="C3272" s="11" t="s">
        <v>17</v>
      </c>
      <c r="D3272" s="11" t="s">
        <v>18</v>
      </c>
      <c r="E3272" s="12" t="s">
        <v>19</v>
      </c>
      <c r="F3272" s="12" t="s">
        <v>20</v>
      </c>
      <c r="G3272" s="12" t="s">
        <v>46</v>
      </c>
      <c r="H3272" s="11" t="s">
        <v>63</v>
      </c>
      <c r="I3272" s="13" t="s">
        <v>7025</v>
      </c>
      <c r="J3272" s="14" t="str">
        <f>HYPERLINK("https://www.boe.es/gazeta/dias/1839/01/19/pdfs/GMD-1839-1526.pdf#page=3","Abrir facsímil")</f>
        <v>Abrir facsímil</v>
      </c>
      <c r="K3272" s="12" t="s">
        <v>65</v>
      </c>
    </row>
    <row r="3273" spans="1:11" ht="40.049999999999997" customHeight="1" x14ac:dyDescent="0.25">
      <c r="A3273" s="11" t="s">
        <v>7011</v>
      </c>
      <c r="B3273" s="11" t="s">
        <v>7012</v>
      </c>
      <c r="C3273" s="11" t="s">
        <v>17</v>
      </c>
      <c r="D3273" s="11" t="s">
        <v>18</v>
      </c>
      <c r="E3273" s="12" t="s">
        <v>462</v>
      </c>
      <c r="F3273" s="12" t="s">
        <v>463</v>
      </c>
      <c r="G3273" s="12" t="s">
        <v>46</v>
      </c>
      <c r="H3273" s="11" t="s">
        <v>63</v>
      </c>
      <c r="I3273" s="13" t="s">
        <v>7026</v>
      </c>
      <c r="J3273" s="14" t="str">
        <f>HYPERLINK("https://www.boe.es/gazeta/dias/1839/06/19/pdfs/GMD-1839-1677.pdf#page=3","Abrir facsímil")</f>
        <v>Abrir facsímil</v>
      </c>
      <c r="K3273" s="12" t="s">
        <v>65</v>
      </c>
    </row>
    <row r="3274" spans="1:11" ht="40.049999999999997" customHeight="1" x14ac:dyDescent="0.25">
      <c r="A3274" s="11" t="s">
        <v>7011</v>
      </c>
      <c r="B3274" s="11" t="s">
        <v>7012</v>
      </c>
      <c r="C3274" s="11" t="s">
        <v>17</v>
      </c>
      <c r="D3274" s="11" t="s">
        <v>18</v>
      </c>
      <c r="E3274" s="12" t="s">
        <v>568</v>
      </c>
      <c r="F3274" s="12" t="s">
        <v>569</v>
      </c>
      <c r="G3274" s="12" t="s">
        <v>40</v>
      </c>
      <c r="H3274" s="11" t="s">
        <v>63</v>
      </c>
      <c r="I3274" s="13" t="s">
        <v>7027</v>
      </c>
      <c r="J3274" s="14" t="str">
        <f>HYPERLINK("https://www.boe.es/gazeta/dias/1839/10/23/pdfs/GMD-1839-1809.pdf#page=2","Abrir facsímil")</f>
        <v>Abrir facsímil</v>
      </c>
      <c r="K3274" s="12" t="s">
        <v>65</v>
      </c>
    </row>
    <row r="3275" spans="1:11" ht="40.049999999999997" customHeight="1" x14ac:dyDescent="0.25">
      <c r="A3275" s="11" t="s">
        <v>7011</v>
      </c>
      <c r="B3275" s="11" t="s">
        <v>7012</v>
      </c>
      <c r="C3275" s="11" t="s">
        <v>137</v>
      </c>
      <c r="D3275" s="11" t="s">
        <v>18</v>
      </c>
      <c r="E3275" s="12" t="s">
        <v>650</v>
      </c>
      <c r="F3275" s="12" t="s">
        <v>651</v>
      </c>
      <c r="G3275" s="12" t="s">
        <v>40</v>
      </c>
      <c r="H3275" s="11" t="s">
        <v>63</v>
      </c>
      <c r="I3275" s="13" t="s">
        <v>7028</v>
      </c>
      <c r="J3275" s="14" t="str">
        <f>HYPERLINK("https://www.boe.es/gazeta/dias/1839/10/25/pdfs/GMD-1839-1811.pdf#page=2","Abrir facsímil")</f>
        <v>Abrir facsímil</v>
      </c>
      <c r="K3275" s="12" t="s">
        <v>65</v>
      </c>
    </row>
    <row r="3276" spans="1:11" ht="40.049999999999997" customHeight="1" x14ac:dyDescent="0.25">
      <c r="A3276" s="11" t="s">
        <v>7011</v>
      </c>
      <c r="B3276" s="11" t="s">
        <v>7012</v>
      </c>
      <c r="C3276" s="11" t="s">
        <v>137</v>
      </c>
      <c r="D3276" s="11" t="s">
        <v>18</v>
      </c>
      <c r="E3276" s="12" t="s">
        <v>650</v>
      </c>
      <c r="F3276" s="12" t="s">
        <v>651</v>
      </c>
      <c r="G3276" s="12" t="s">
        <v>21</v>
      </c>
      <c r="H3276" s="11" t="s">
        <v>63</v>
      </c>
      <c r="I3276" s="13" t="s">
        <v>7029</v>
      </c>
      <c r="J3276" s="14" t="str">
        <f>HYPERLINK("https://www.boe.es/gazeta/dias/1839/10/25/pdfs/GMD-1839-1811.pdf#page=4","Abrir facsímil")</f>
        <v>Abrir facsímil</v>
      </c>
      <c r="K3276" s="12" t="s">
        <v>65</v>
      </c>
    </row>
    <row r="3277" spans="1:11" ht="40.049999999999997" customHeight="1" x14ac:dyDescent="0.25">
      <c r="A3277" s="11" t="s">
        <v>7011</v>
      </c>
      <c r="B3277" s="11" t="s">
        <v>7012</v>
      </c>
      <c r="C3277" s="11" t="s">
        <v>101</v>
      </c>
      <c r="D3277" s="11" t="s">
        <v>43</v>
      </c>
      <c r="E3277" s="12" t="s">
        <v>571</v>
      </c>
      <c r="F3277" s="12" t="s">
        <v>572</v>
      </c>
      <c r="G3277" s="12" t="s">
        <v>46</v>
      </c>
      <c r="H3277" s="11" t="s">
        <v>63</v>
      </c>
      <c r="I3277" s="13" t="s">
        <v>7030</v>
      </c>
      <c r="J3277" s="14" t="str">
        <f>HYPERLINK("https://www.boe.es/gazeta/dias/1839/09/27/pdfs/GMD-1839-1783.pdf#page=3","Abrir facsímil")</f>
        <v>Abrir facsímil</v>
      </c>
      <c r="K3277" s="12" t="s">
        <v>65</v>
      </c>
    </row>
    <row r="3278" spans="1:11" ht="40.049999999999997" customHeight="1" x14ac:dyDescent="0.25">
      <c r="A3278" s="11" t="s">
        <v>7031</v>
      </c>
      <c r="B3278" s="11" t="s">
        <v>7032</v>
      </c>
      <c r="C3278" s="11" t="s">
        <v>17</v>
      </c>
      <c r="D3278" s="11" t="s">
        <v>18</v>
      </c>
      <c r="E3278" s="12" t="s">
        <v>1072</v>
      </c>
      <c r="F3278" s="12" t="s">
        <v>1073</v>
      </c>
      <c r="G3278" s="12" t="s">
        <v>46</v>
      </c>
      <c r="H3278" s="11" t="s">
        <v>63</v>
      </c>
      <c r="I3278" s="13" t="s">
        <v>7033</v>
      </c>
      <c r="J3278" s="14" t="str">
        <f>HYPERLINK("https://www.boe.es/gazeta/dias/1839/01/18/pdfs/GMD-1839-1525.pdf#page=3","Abrir facsímil")</f>
        <v>Abrir facsímil</v>
      </c>
      <c r="K3278" s="12" t="s">
        <v>65</v>
      </c>
    </row>
    <row r="3279" spans="1:11" ht="40.049999999999997" customHeight="1" x14ac:dyDescent="0.25">
      <c r="A3279" s="11" t="s">
        <v>7034</v>
      </c>
      <c r="B3279" s="11" t="s">
        <v>7035</v>
      </c>
      <c r="C3279" s="11" t="s">
        <v>80</v>
      </c>
      <c r="D3279" s="11" t="s">
        <v>18</v>
      </c>
      <c r="E3279" s="12" t="s">
        <v>912</v>
      </c>
      <c r="F3279" s="12" t="s">
        <v>913</v>
      </c>
      <c r="G3279" s="12" t="s">
        <v>21</v>
      </c>
      <c r="H3279" s="11" t="s">
        <v>63</v>
      </c>
      <c r="I3279" s="13" t="s">
        <v>7036</v>
      </c>
      <c r="J3279" s="14" t="str">
        <f>HYPERLINK("https://www.boe.es/gazeta/dias/1839/04/30/pdfs/GMD-1839-1627.pdf#page=4","Abrir facsímil")</f>
        <v>Abrir facsímil</v>
      </c>
      <c r="K3279" s="12" t="s">
        <v>65</v>
      </c>
    </row>
    <row r="3280" spans="1:11" ht="40.049999999999997" customHeight="1" x14ac:dyDescent="0.25">
      <c r="A3280" s="11" t="s">
        <v>7037</v>
      </c>
      <c r="B3280" s="11" t="s">
        <v>7038</v>
      </c>
      <c r="C3280" s="11" t="s">
        <v>101</v>
      </c>
      <c r="D3280" s="11" t="s">
        <v>43</v>
      </c>
      <c r="E3280" s="12" t="s">
        <v>1509</v>
      </c>
      <c r="F3280" s="12" t="s">
        <v>1510</v>
      </c>
      <c r="G3280" s="12" t="s">
        <v>46</v>
      </c>
      <c r="H3280" s="11" t="s">
        <v>63</v>
      </c>
      <c r="I3280" s="13" t="s">
        <v>7039</v>
      </c>
      <c r="J3280" s="14" t="str">
        <f>HYPERLINK("https://www.boe.es/gazeta/dias/1839/10/07/pdfs/GMD-1839-1793.pdf#page=3","Abrir facsímil")</f>
        <v>Abrir facsímil</v>
      </c>
      <c r="K3280" s="12" t="s">
        <v>65</v>
      </c>
    </row>
    <row r="3281" spans="1:11" ht="40.049999999999997" customHeight="1" x14ac:dyDescent="0.25">
      <c r="A3281" s="11" t="s">
        <v>7040</v>
      </c>
      <c r="B3281" s="11" t="s">
        <v>7041</v>
      </c>
      <c r="C3281" s="11" t="s">
        <v>17</v>
      </c>
      <c r="D3281" s="11" t="s">
        <v>18</v>
      </c>
      <c r="E3281" s="12" t="s">
        <v>1512</v>
      </c>
      <c r="F3281" s="12" t="s">
        <v>1513</v>
      </c>
      <c r="G3281" s="12" t="s">
        <v>29</v>
      </c>
      <c r="H3281" s="11" t="s">
        <v>63</v>
      </c>
      <c r="I3281" s="13" t="s">
        <v>7042</v>
      </c>
      <c r="J3281" s="14" t="str">
        <f>HYPERLINK("https://www.boe.es/gazeta/dias/1839/04/13/pdfs/GMD-1839-1610.pdf#page=1","Abrir facsímil")</f>
        <v>Abrir facsímil</v>
      </c>
      <c r="K3281" s="12" t="s">
        <v>65</v>
      </c>
    </row>
    <row r="3282" spans="1:11" ht="40.049999999999997" customHeight="1" x14ac:dyDescent="0.25">
      <c r="A3282" s="11" t="s">
        <v>7043</v>
      </c>
      <c r="B3282" s="11" t="s">
        <v>7044</v>
      </c>
      <c r="C3282" s="11" t="s">
        <v>17</v>
      </c>
      <c r="D3282" s="11" t="s">
        <v>18</v>
      </c>
      <c r="E3282" s="12" t="s">
        <v>1076</v>
      </c>
      <c r="F3282" s="12" t="s">
        <v>1077</v>
      </c>
      <c r="G3282" s="12" t="s">
        <v>29</v>
      </c>
      <c r="H3282" s="11" t="s">
        <v>63</v>
      </c>
      <c r="I3282" s="13" t="s">
        <v>7045</v>
      </c>
      <c r="J3282" s="14" t="str">
        <f>HYPERLINK("https://www.boe.es/gazeta/dias/1839/10/19/pdfs/GMD-1839-1805.pdf#page=1","Abrir facsímil")</f>
        <v>Abrir facsímil</v>
      </c>
      <c r="K3282" s="12" t="s">
        <v>65</v>
      </c>
    </row>
    <row r="3283" spans="1:11" ht="40.049999999999997" customHeight="1" x14ac:dyDescent="0.25">
      <c r="A3283" s="11" t="s">
        <v>7046</v>
      </c>
      <c r="B3283" s="11" t="s">
        <v>7047</v>
      </c>
      <c r="C3283" s="11" t="s">
        <v>17</v>
      </c>
      <c r="D3283" s="11" t="s">
        <v>18</v>
      </c>
      <c r="E3283" s="12" t="s">
        <v>1123</v>
      </c>
      <c r="F3283" s="12" t="s">
        <v>1124</v>
      </c>
      <c r="G3283" s="12" t="s">
        <v>21</v>
      </c>
      <c r="H3283" s="11" t="s">
        <v>63</v>
      </c>
      <c r="I3283" s="13" t="s">
        <v>7048</v>
      </c>
      <c r="J3283" s="14" t="str">
        <f>HYPERLINK("https://www.boe.es/gazeta/dias/1839/08/10/pdfs/GMD-1839-1730.pdf#page=4","Abrir facsímil")</f>
        <v>Abrir facsímil</v>
      </c>
      <c r="K3283" s="12" t="s">
        <v>65</v>
      </c>
    </row>
    <row r="3284" spans="1:11" ht="40.049999999999997" customHeight="1" x14ac:dyDescent="0.25">
      <c r="A3284" s="11" t="s">
        <v>7049</v>
      </c>
      <c r="B3284" s="11" t="s">
        <v>7050</v>
      </c>
      <c r="C3284" s="11" t="s">
        <v>17</v>
      </c>
      <c r="D3284" s="11" t="s">
        <v>18</v>
      </c>
      <c r="E3284" s="12" t="s">
        <v>883</v>
      </c>
      <c r="F3284" s="12" t="s">
        <v>884</v>
      </c>
      <c r="G3284" s="12" t="s">
        <v>46</v>
      </c>
      <c r="H3284" s="11" t="s">
        <v>63</v>
      </c>
      <c r="I3284" s="13" t="s">
        <v>7051</v>
      </c>
      <c r="J3284" s="14" t="str">
        <f>HYPERLINK("https://www.boe.es/gazeta/dias/1839/11/03/pdfs/GMD-1839-1820.pdf#page=3","Abrir facsímil")</f>
        <v>Abrir facsímil</v>
      </c>
      <c r="K3284" s="12" t="s">
        <v>65</v>
      </c>
    </row>
    <row r="3285" spans="1:11" ht="40.049999999999997" customHeight="1" x14ac:dyDescent="0.25">
      <c r="A3285" s="11" t="s">
        <v>7052</v>
      </c>
      <c r="B3285" s="11" t="s">
        <v>7053</v>
      </c>
      <c r="C3285" s="11" t="s">
        <v>17</v>
      </c>
      <c r="D3285" s="11" t="s">
        <v>18</v>
      </c>
      <c r="E3285" s="12" t="s">
        <v>276</v>
      </c>
      <c r="F3285" s="12" t="s">
        <v>277</v>
      </c>
      <c r="G3285" s="12" t="s">
        <v>46</v>
      </c>
      <c r="H3285" s="11" t="s">
        <v>63</v>
      </c>
      <c r="I3285" s="13" t="s">
        <v>7054</v>
      </c>
      <c r="J3285" s="14" t="str">
        <f>HYPERLINK("https://www.boe.es/gazeta/dias/1839/09/24/pdfs/GMD-1839-1780.pdf#page=3","Abrir facsímil")</f>
        <v>Abrir facsímil</v>
      </c>
      <c r="K3285" s="12" t="s">
        <v>65</v>
      </c>
    </row>
    <row r="3286" spans="1:11" ht="40.049999999999997" customHeight="1" x14ac:dyDescent="0.25">
      <c r="A3286" s="11" t="s">
        <v>7055</v>
      </c>
      <c r="B3286" s="11" t="s">
        <v>7056</v>
      </c>
      <c r="C3286" s="11" t="s">
        <v>59</v>
      </c>
      <c r="D3286" s="11" t="s">
        <v>60</v>
      </c>
      <c r="E3286" s="12" t="s">
        <v>1332</v>
      </c>
      <c r="F3286" s="12" t="s">
        <v>1333</v>
      </c>
      <c r="G3286" s="12" t="s">
        <v>29</v>
      </c>
      <c r="H3286" s="11" t="s">
        <v>63</v>
      </c>
      <c r="I3286" s="13" t="s">
        <v>7057</v>
      </c>
      <c r="J3286" s="14" t="str">
        <f>HYPERLINK("https://www.boe.es/gazeta/dias/1839/05/04/pdfs/GMD-1839-1631.pdf#page=1","Abrir facsímil")</f>
        <v>Abrir facsímil</v>
      </c>
      <c r="K3286" s="12" t="s">
        <v>65</v>
      </c>
    </row>
    <row r="3287" spans="1:11" ht="40.049999999999997" customHeight="1" x14ac:dyDescent="0.25">
      <c r="A3287" s="11" t="s">
        <v>7058</v>
      </c>
      <c r="B3287" s="11" t="s">
        <v>7059</v>
      </c>
      <c r="C3287" s="11" t="s">
        <v>17</v>
      </c>
      <c r="D3287" s="11" t="s">
        <v>18</v>
      </c>
      <c r="E3287" s="12" t="s">
        <v>3633</v>
      </c>
      <c r="F3287" s="12" t="s">
        <v>3634</v>
      </c>
      <c r="G3287" s="12" t="s">
        <v>40</v>
      </c>
      <c r="H3287" s="11" t="s">
        <v>63</v>
      </c>
      <c r="I3287" s="13" t="s">
        <v>7060</v>
      </c>
      <c r="J3287" s="14" t="str">
        <f>HYPERLINK("https://www.boe.es/gazeta/dias/1839/04/12/pdfs/GMD-1839-1609.pdf#page=2","Abrir facsímil")</f>
        <v>Abrir facsímil</v>
      </c>
      <c r="K3287" s="12" t="s">
        <v>65</v>
      </c>
    </row>
    <row r="3288" spans="1:11" ht="40.049999999999997" customHeight="1" x14ac:dyDescent="0.25">
      <c r="A3288" s="11" t="s">
        <v>7061</v>
      </c>
      <c r="B3288" s="11" t="s">
        <v>7062</v>
      </c>
      <c r="C3288" s="11" t="s">
        <v>17</v>
      </c>
      <c r="D3288" s="11" t="s">
        <v>18</v>
      </c>
      <c r="E3288" s="12" t="s">
        <v>54</v>
      </c>
      <c r="F3288" s="12" t="s">
        <v>55</v>
      </c>
      <c r="G3288" s="12" t="s">
        <v>40</v>
      </c>
      <c r="H3288" s="11" t="s">
        <v>63</v>
      </c>
      <c r="I3288" s="13" t="s">
        <v>7063</v>
      </c>
      <c r="J3288" s="14" t="str">
        <f>HYPERLINK("https://www.boe.es/gazeta/dias/1839/10/05/pdfs/GMD-1839-1791.pdf#page=2","Abrir facsímil")</f>
        <v>Abrir facsímil</v>
      </c>
      <c r="K3288" s="12" t="s">
        <v>65</v>
      </c>
    </row>
    <row r="3289" spans="1:11" ht="40.049999999999997" customHeight="1" x14ac:dyDescent="0.25">
      <c r="A3289" s="11" t="s">
        <v>7064</v>
      </c>
      <c r="B3289" s="11" t="s">
        <v>7065</v>
      </c>
      <c r="C3289" s="11" t="s">
        <v>17</v>
      </c>
      <c r="D3289" s="11" t="s">
        <v>18</v>
      </c>
      <c r="E3289" s="12" t="s">
        <v>426</v>
      </c>
      <c r="F3289" s="12" t="s">
        <v>427</v>
      </c>
      <c r="G3289" s="12" t="s">
        <v>21</v>
      </c>
      <c r="H3289" s="11" t="s">
        <v>63</v>
      </c>
      <c r="I3289" s="13" t="s">
        <v>7066</v>
      </c>
      <c r="J3289" s="14" t="str">
        <f>HYPERLINK("https://www.boe.es/gazeta/dias/1839/08/11/pdfs/GMD-1839-1731.pdf#page=4","Abrir facsímil")</f>
        <v>Abrir facsímil</v>
      </c>
      <c r="K3289" s="12" t="s">
        <v>65</v>
      </c>
    </row>
    <row r="3290" spans="1:11" ht="40.049999999999997" customHeight="1" x14ac:dyDescent="0.25">
      <c r="A3290" s="11" t="s">
        <v>7067</v>
      </c>
      <c r="B3290" s="11" t="s">
        <v>7068</v>
      </c>
      <c r="C3290" s="11" t="s">
        <v>59</v>
      </c>
      <c r="D3290" s="11" t="s">
        <v>60</v>
      </c>
      <c r="E3290" s="12" t="s">
        <v>230</v>
      </c>
      <c r="F3290" s="12" t="s">
        <v>231</v>
      </c>
      <c r="G3290" s="12" t="s">
        <v>46</v>
      </c>
      <c r="H3290" s="11" t="s">
        <v>63</v>
      </c>
      <c r="I3290" s="13" t="s">
        <v>7069</v>
      </c>
      <c r="J3290" s="14" t="str">
        <f>HYPERLINK("https://www.boe.es/gazeta/dias/1839/09/16/pdfs/GMD-1839-1769.pdf#page=3","Abrir facsímil")</f>
        <v>Abrir facsímil</v>
      </c>
      <c r="K3290" s="12" t="s">
        <v>65</v>
      </c>
    </row>
    <row r="3291" spans="1:11" ht="40.049999999999997" customHeight="1" x14ac:dyDescent="0.25">
      <c r="A3291" s="11" t="s">
        <v>7070</v>
      </c>
      <c r="B3291" s="11" t="s">
        <v>7071</v>
      </c>
      <c r="C3291" s="11" t="s">
        <v>17</v>
      </c>
      <c r="D3291" s="11" t="s">
        <v>18</v>
      </c>
      <c r="E3291" s="12" t="s">
        <v>1057</v>
      </c>
      <c r="F3291" s="12" t="s">
        <v>1058</v>
      </c>
      <c r="G3291" s="12" t="s">
        <v>305</v>
      </c>
      <c r="H3291" s="11" t="s">
        <v>63</v>
      </c>
      <c r="I3291" s="13" t="s">
        <v>7072</v>
      </c>
      <c r="J3291" s="14" t="str">
        <f>HYPERLINK("https://www.boe.es/gazeta/dias/1839/10/01/pdfs/GMD-1839-1787.pdf#page=6","Abrir facsímil")</f>
        <v>Abrir facsímil</v>
      </c>
      <c r="K3291" s="12" t="s">
        <v>65</v>
      </c>
    </row>
    <row r="3292" spans="1:11" ht="40.049999999999997" customHeight="1" x14ac:dyDescent="0.25">
      <c r="A3292" s="11" t="s">
        <v>7073</v>
      </c>
      <c r="B3292" s="11" t="s">
        <v>7074</v>
      </c>
      <c r="C3292" s="11" t="s">
        <v>17</v>
      </c>
      <c r="D3292" s="11" t="s">
        <v>18</v>
      </c>
      <c r="E3292" s="12" t="s">
        <v>2449</v>
      </c>
      <c r="F3292" s="12" t="s">
        <v>2450</v>
      </c>
      <c r="G3292" s="12" t="s">
        <v>21</v>
      </c>
      <c r="H3292" s="11" t="s">
        <v>63</v>
      </c>
      <c r="I3292" s="13" t="s">
        <v>7075</v>
      </c>
      <c r="J3292" s="14" t="str">
        <f>HYPERLINK("https://www.boe.es/gazeta/dias/1839/12/11/pdfs/GMD-1839-1858.pdf#page=4","Abrir facsímil")</f>
        <v>Abrir facsímil</v>
      </c>
      <c r="K3292" s="12" t="s">
        <v>65</v>
      </c>
    </row>
    <row r="3293" spans="1:11" ht="40.049999999999997" customHeight="1" x14ac:dyDescent="0.25">
      <c r="A3293" s="11" t="s">
        <v>7076</v>
      </c>
      <c r="B3293" s="11" t="s">
        <v>7077</v>
      </c>
      <c r="C3293" s="11" t="s">
        <v>17</v>
      </c>
      <c r="D3293" s="11" t="s">
        <v>18</v>
      </c>
      <c r="E3293" s="12" t="s">
        <v>2415</v>
      </c>
      <c r="F3293" s="12" t="s">
        <v>2416</v>
      </c>
      <c r="G3293" s="12" t="s">
        <v>21</v>
      </c>
      <c r="H3293" s="11" t="s">
        <v>63</v>
      </c>
      <c r="I3293" s="13" t="s">
        <v>7078</v>
      </c>
      <c r="J3293" s="14" t="str">
        <f>HYPERLINK("https://www.boe.es/gazeta/dias/1839/12/22/pdfs/GMD-1839-1869.pdf#page=4","Abrir facsímil")</f>
        <v>Abrir facsímil</v>
      </c>
      <c r="K3293" s="12" t="s">
        <v>65</v>
      </c>
    </row>
    <row r="3294" spans="1:11" ht="40.049999999999997" customHeight="1" x14ac:dyDescent="0.25">
      <c r="A3294" s="11" t="s">
        <v>7079</v>
      </c>
      <c r="B3294" s="11" t="s">
        <v>7080</v>
      </c>
      <c r="C3294" s="11" t="s">
        <v>17</v>
      </c>
      <c r="D3294" s="11" t="s">
        <v>18</v>
      </c>
      <c r="E3294" s="12" t="s">
        <v>38</v>
      </c>
      <c r="F3294" s="12" t="s">
        <v>39</v>
      </c>
      <c r="G3294" s="12" t="s">
        <v>40</v>
      </c>
      <c r="H3294" s="11" t="s">
        <v>63</v>
      </c>
      <c r="I3294" s="13" t="s">
        <v>7081</v>
      </c>
      <c r="J3294" s="14" t="str">
        <f>HYPERLINK("https://www.boe.es/gazeta/dias/1839/08/08/pdfs/GMD-1839-1728.pdf#page=2","Abrir facsímil")</f>
        <v>Abrir facsímil</v>
      </c>
      <c r="K3294" s="12" t="s">
        <v>65</v>
      </c>
    </row>
    <row r="3295" spans="1:11" ht="40.049999999999997" customHeight="1" x14ac:dyDescent="0.25">
      <c r="A3295" s="11" t="s">
        <v>7082</v>
      </c>
      <c r="B3295" s="11" t="s">
        <v>7083</v>
      </c>
      <c r="C3295" s="11" t="s">
        <v>17</v>
      </c>
      <c r="D3295" s="11" t="s">
        <v>18</v>
      </c>
      <c r="E3295" s="12" t="s">
        <v>1497</v>
      </c>
      <c r="F3295" s="12" t="s">
        <v>1498</v>
      </c>
      <c r="G3295" s="12" t="s">
        <v>21</v>
      </c>
      <c r="H3295" s="11" t="s">
        <v>63</v>
      </c>
      <c r="I3295" s="13" t="s">
        <v>7084</v>
      </c>
      <c r="J3295" s="14" t="str">
        <f>HYPERLINK("https://www.boe.es/gazeta/dias/1839/08/23/pdfs/GMD-1839-1744.pdf#page=4","Abrir facsímil")</f>
        <v>Abrir facsímil</v>
      </c>
      <c r="K3295" s="12" t="s">
        <v>65</v>
      </c>
    </row>
    <row r="3296" spans="1:11" ht="40.049999999999997" customHeight="1" x14ac:dyDescent="0.25">
      <c r="A3296" s="11" t="s">
        <v>7085</v>
      </c>
      <c r="B3296" s="11" t="s">
        <v>7086</v>
      </c>
      <c r="C3296" s="11" t="s">
        <v>17</v>
      </c>
      <c r="D3296" s="11" t="s">
        <v>18</v>
      </c>
      <c r="E3296" s="12" t="s">
        <v>516</v>
      </c>
      <c r="F3296" s="12" t="s">
        <v>517</v>
      </c>
      <c r="G3296" s="12" t="s">
        <v>21</v>
      </c>
      <c r="H3296" s="11" t="s">
        <v>63</v>
      </c>
      <c r="I3296" s="13" t="s">
        <v>7087</v>
      </c>
      <c r="J3296" s="14" t="str">
        <f>HYPERLINK("https://www.boe.es/gazeta/dias/1839/06/21/pdfs/GMD-1839-1679.pdf#page=4","Abrir facsímil")</f>
        <v>Abrir facsímil</v>
      </c>
      <c r="K3296" s="12" t="s">
        <v>65</v>
      </c>
    </row>
    <row r="3297" spans="1:11" ht="40.049999999999997" customHeight="1" x14ac:dyDescent="0.25">
      <c r="A3297" s="11" t="s">
        <v>7088</v>
      </c>
      <c r="B3297" s="11" t="s">
        <v>7089</v>
      </c>
      <c r="C3297" s="11" t="s">
        <v>17</v>
      </c>
      <c r="D3297" s="11" t="s">
        <v>18</v>
      </c>
      <c r="E3297" s="12" t="s">
        <v>160</v>
      </c>
      <c r="F3297" s="12" t="s">
        <v>161</v>
      </c>
      <c r="G3297" s="12" t="s">
        <v>40</v>
      </c>
      <c r="H3297" s="11" t="s">
        <v>63</v>
      </c>
      <c r="I3297" s="13" t="s">
        <v>7090</v>
      </c>
      <c r="J3297" s="14" t="str">
        <f>HYPERLINK("https://www.boe.es/gazeta/dias/1839/01/10/pdfs/GMD-1839-1517.pdf#page=2","Abrir facsímil")</f>
        <v>Abrir facsímil</v>
      </c>
      <c r="K3297" s="12" t="s">
        <v>65</v>
      </c>
    </row>
    <row r="3298" spans="1:11" ht="40.049999999999997" customHeight="1" x14ac:dyDescent="0.25">
      <c r="A3298" s="11" t="s">
        <v>7091</v>
      </c>
      <c r="B3298" s="11" t="s">
        <v>7092</v>
      </c>
      <c r="C3298" s="11" t="s">
        <v>17</v>
      </c>
      <c r="D3298" s="11" t="s">
        <v>18</v>
      </c>
      <c r="E3298" s="12" t="s">
        <v>744</v>
      </c>
      <c r="F3298" s="12" t="s">
        <v>745</v>
      </c>
      <c r="G3298" s="12" t="s">
        <v>21</v>
      </c>
      <c r="H3298" s="11" t="s">
        <v>63</v>
      </c>
      <c r="I3298" s="13" t="s">
        <v>7093</v>
      </c>
      <c r="J3298" s="14" t="str">
        <f>HYPERLINK("https://www.boe.es/gazeta/dias/1839/12/09/pdfs/GMD-1839-1856.pdf#page=4","Abrir facsímil")</f>
        <v>Abrir facsímil</v>
      </c>
      <c r="K3298" s="12" t="s">
        <v>65</v>
      </c>
    </row>
    <row r="3299" spans="1:11" ht="40.049999999999997" customHeight="1" x14ac:dyDescent="0.25">
      <c r="A3299" s="11" t="s">
        <v>7094</v>
      </c>
      <c r="B3299" s="11" t="s">
        <v>7095</v>
      </c>
      <c r="C3299" s="11" t="s">
        <v>17</v>
      </c>
      <c r="D3299" s="11" t="s">
        <v>18</v>
      </c>
      <c r="E3299" s="12" t="s">
        <v>355</v>
      </c>
      <c r="F3299" s="12" t="s">
        <v>356</v>
      </c>
      <c r="G3299" s="12" t="s">
        <v>21</v>
      </c>
      <c r="H3299" s="11" t="s">
        <v>63</v>
      </c>
      <c r="I3299" s="13" t="s">
        <v>7096</v>
      </c>
      <c r="J3299" s="14" t="str">
        <f>HYPERLINK("https://www.boe.es/gazeta/dias/1839/05/31/pdfs/GMD-1839-1658.pdf#page=4","Abrir facsímil")</f>
        <v>Abrir facsímil</v>
      </c>
      <c r="K3299" s="12" t="s">
        <v>65</v>
      </c>
    </row>
    <row r="3300" spans="1:11" ht="40.049999999999997" customHeight="1" x14ac:dyDescent="0.25">
      <c r="A3300" s="11" t="s">
        <v>7097</v>
      </c>
      <c r="B3300" s="11" t="s">
        <v>7098</v>
      </c>
      <c r="C3300" s="11" t="s">
        <v>17</v>
      </c>
      <c r="D3300" s="11" t="s">
        <v>18</v>
      </c>
      <c r="E3300" s="12" t="s">
        <v>798</v>
      </c>
      <c r="F3300" s="12" t="s">
        <v>799</v>
      </c>
      <c r="G3300" s="12" t="s">
        <v>40</v>
      </c>
      <c r="H3300" s="11" t="s">
        <v>63</v>
      </c>
      <c r="I3300" s="13" t="s">
        <v>7099</v>
      </c>
      <c r="J3300" s="14" t="str">
        <f>HYPERLINK("https://www.boe.es/gazeta/dias/1839/09/03/pdfs/GMD-1839-1755.pdf#page=2","Abrir facsímil")</f>
        <v>Abrir facsímil</v>
      </c>
      <c r="K3300" s="12" t="s">
        <v>65</v>
      </c>
    </row>
    <row r="3301" spans="1:11" ht="40.049999999999997" customHeight="1" x14ac:dyDescent="0.25">
      <c r="A3301" s="11" t="s">
        <v>7097</v>
      </c>
      <c r="B3301" s="11" t="s">
        <v>7098</v>
      </c>
      <c r="C3301" s="11" t="s">
        <v>101</v>
      </c>
      <c r="D3301" s="11" t="s">
        <v>43</v>
      </c>
      <c r="E3301" s="12" t="s">
        <v>2738</v>
      </c>
      <c r="F3301" s="12" t="s">
        <v>2739</v>
      </c>
      <c r="G3301" s="12" t="s">
        <v>40</v>
      </c>
      <c r="H3301" s="11" t="s">
        <v>63</v>
      </c>
      <c r="I3301" s="13" t="s">
        <v>7100</v>
      </c>
      <c r="J3301" s="14" t="str">
        <f>HYPERLINK("https://www.boe.es/gazeta/dias/1839/09/06/pdfs/GMD-1839-1759.pdf#page=2","Abrir facsímil")</f>
        <v>Abrir facsímil</v>
      </c>
      <c r="K3301" s="12" t="s">
        <v>65</v>
      </c>
    </row>
    <row r="3302" spans="1:11" ht="40.049999999999997" customHeight="1" x14ac:dyDescent="0.25">
      <c r="A3302" s="11" t="s">
        <v>7097</v>
      </c>
      <c r="B3302" s="11" t="s">
        <v>7098</v>
      </c>
      <c r="C3302" s="11" t="s">
        <v>17</v>
      </c>
      <c r="D3302" s="11" t="s">
        <v>18</v>
      </c>
      <c r="E3302" s="12" t="s">
        <v>1528</v>
      </c>
      <c r="F3302" s="12" t="s">
        <v>1529</v>
      </c>
      <c r="G3302" s="12" t="s">
        <v>29</v>
      </c>
      <c r="H3302" s="11" t="s">
        <v>63</v>
      </c>
      <c r="I3302" s="13" t="s">
        <v>7101</v>
      </c>
      <c r="J3302" s="14" t="str">
        <f>HYPERLINK("https://www.boe.es/gazeta/dias/1839/12/15/pdfs/GMD-1839-1862.pdf#page=1","Abrir facsímil")</f>
        <v>Abrir facsímil</v>
      </c>
      <c r="K3302" s="12" t="s">
        <v>65</v>
      </c>
    </row>
    <row r="3303" spans="1:11" ht="40.049999999999997" customHeight="1" x14ac:dyDescent="0.25">
      <c r="A3303" s="11" t="s">
        <v>7102</v>
      </c>
      <c r="B3303" s="11" t="s">
        <v>7103</v>
      </c>
      <c r="C3303" s="11" t="s">
        <v>17</v>
      </c>
      <c r="D3303" s="11" t="s">
        <v>18</v>
      </c>
      <c r="E3303" s="12" t="s">
        <v>1623</v>
      </c>
      <c r="F3303" s="12" t="s">
        <v>1624</v>
      </c>
      <c r="G3303" s="12" t="s">
        <v>21</v>
      </c>
      <c r="H3303" s="11" t="s">
        <v>63</v>
      </c>
      <c r="I3303" s="13" t="s">
        <v>7104</v>
      </c>
      <c r="J3303" s="14" t="str">
        <f>HYPERLINK("https://www.boe.es/gazeta/dias/1839/04/07/pdfs/GMD-1839-1604.pdf#page=4","Abrir facsímil")</f>
        <v>Abrir facsímil</v>
      </c>
      <c r="K3303" s="12" t="s">
        <v>65</v>
      </c>
    </row>
    <row r="3304" spans="1:11" ht="40.049999999999997" customHeight="1" x14ac:dyDescent="0.25">
      <c r="A3304" s="11" t="s">
        <v>7105</v>
      </c>
      <c r="B3304" s="11" t="s">
        <v>7106</v>
      </c>
      <c r="C3304" s="11" t="s">
        <v>17</v>
      </c>
      <c r="D3304" s="11" t="s">
        <v>18</v>
      </c>
      <c r="E3304" s="12" t="s">
        <v>2222</v>
      </c>
      <c r="F3304" s="12" t="s">
        <v>2223</v>
      </c>
      <c r="G3304" s="12" t="s">
        <v>29</v>
      </c>
      <c r="H3304" s="11" t="s">
        <v>63</v>
      </c>
      <c r="I3304" s="13" t="s">
        <v>7107</v>
      </c>
      <c r="J3304" s="14" t="str">
        <f>HYPERLINK("https://www.boe.es/gazeta/dias/1839/09/19/pdfs/GMD-1839-1773.pdf#page=1","Abrir facsímil")</f>
        <v>Abrir facsímil</v>
      </c>
      <c r="K3304" s="12" t="s">
        <v>65</v>
      </c>
    </row>
    <row r="3305" spans="1:11" ht="40.049999999999997" customHeight="1" x14ac:dyDescent="0.25">
      <c r="A3305" s="11" t="s">
        <v>7108</v>
      </c>
      <c r="B3305" s="11" t="s">
        <v>7109</v>
      </c>
      <c r="C3305" s="11" t="s">
        <v>59</v>
      </c>
      <c r="D3305" s="11" t="s">
        <v>60</v>
      </c>
      <c r="E3305" s="12" t="s">
        <v>4055</v>
      </c>
      <c r="F3305" s="12" t="s">
        <v>4056</v>
      </c>
      <c r="G3305" s="12" t="s">
        <v>29</v>
      </c>
      <c r="H3305" s="11" t="s">
        <v>63</v>
      </c>
      <c r="I3305" s="13" t="s">
        <v>7110</v>
      </c>
      <c r="J3305" s="14" t="str">
        <f>HYPERLINK("https://www.boe.es/gazeta/dias/1839/03/07/pdfs/GMD-1839-1573.pdf#page=1","Abrir facsímil")</f>
        <v>Abrir facsímil</v>
      </c>
      <c r="K3305" s="12" t="s">
        <v>65</v>
      </c>
    </row>
    <row r="3306" spans="1:11" ht="40.049999999999997" customHeight="1" x14ac:dyDescent="0.25">
      <c r="A3306" s="11" t="s">
        <v>7108</v>
      </c>
      <c r="B3306" s="11" t="s">
        <v>7109</v>
      </c>
      <c r="C3306" s="11" t="s">
        <v>59</v>
      </c>
      <c r="D3306" s="11" t="s">
        <v>60</v>
      </c>
      <c r="E3306" s="12" t="s">
        <v>1208</v>
      </c>
      <c r="F3306" s="12" t="s">
        <v>1209</v>
      </c>
      <c r="G3306" s="12" t="s">
        <v>29</v>
      </c>
      <c r="H3306" s="11" t="s">
        <v>63</v>
      </c>
      <c r="I3306" s="13" t="s">
        <v>7111</v>
      </c>
      <c r="J3306" s="14" t="str">
        <f>HYPERLINK("https://www.boe.es/gazeta/dias/1839/04/24/pdfs/GMD-1839-1621.pdf#page=1","Abrir facsímil")</f>
        <v>Abrir facsímil</v>
      </c>
      <c r="K3306" s="12" t="s">
        <v>65</v>
      </c>
    </row>
    <row r="3307" spans="1:11" ht="40.049999999999997" customHeight="1" x14ac:dyDescent="0.25">
      <c r="A3307" s="11" t="s">
        <v>7112</v>
      </c>
      <c r="B3307" s="11" t="s">
        <v>7113</v>
      </c>
      <c r="C3307" s="11" t="s">
        <v>17</v>
      </c>
      <c r="D3307" s="11" t="s">
        <v>18</v>
      </c>
      <c r="E3307" s="12" t="s">
        <v>798</v>
      </c>
      <c r="F3307" s="12" t="s">
        <v>799</v>
      </c>
      <c r="G3307" s="12" t="s">
        <v>40</v>
      </c>
      <c r="H3307" s="11" t="s">
        <v>63</v>
      </c>
      <c r="I3307" s="13" t="s">
        <v>7114</v>
      </c>
      <c r="J3307" s="14" t="str">
        <f>HYPERLINK("https://www.boe.es/gazeta/dias/1839/09/03/pdfs/GMD-1839-1755.pdf#page=2","Abrir facsímil")</f>
        <v>Abrir facsímil</v>
      </c>
      <c r="K3307" s="12" t="s">
        <v>65</v>
      </c>
    </row>
    <row r="3308" spans="1:11" ht="40.049999999999997" customHeight="1" x14ac:dyDescent="0.25">
      <c r="A3308" s="11" t="s">
        <v>7115</v>
      </c>
      <c r="B3308" s="11" t="s">
        <v>7116</v>
      </c>
      <c r="C3308" s="11" t="s">
        <v>137</v>
      </c>
      <c r="D3308" s="11" t="s">
        <v>18</v>
      </c>
      <c r="E3308" s="12" t="s">
        <v>381</v>
      </c>
      <c r="F3308" s="12" t="s">
        <v>382</v>
      </c>
      <c r="G3308" s="12" t="s">
        <v>21</v>
      </c>
      <c r="H3308" s="11" t="s">
        <v>63</v>
      </c>
      <c r="I3308" s="13" t="s">
        <v>7117</v>
      </c>
      <c r="J3308" s="14" t="str">
        <f>HYPERLINK("https://www.boe.es/gazeta/dias/1839/06/02/pdfs/GMD-1839-1660.pdf#page=4","Abrir facsímil")</f>
        <v>Abrir facsímil</v>
      </c>
      <c r="K3308" s="12" t="s">
        <v>65</v>
      </c>
    </row>
    <row r="3309" spans="1:11" ht="40.049999999999997" customHeight="1" x14ac:dyDescent="0.25">
      <c r="A3309" s="11" t="s">
        <v>7115</v>
      </c>
      <c r="B3309" s="11" t="s">
        <v>7116</v>
      </c>
      <c r="C3309" s="11" t="s">
        <v>17</v>
      </c>
      <c r="D3309" s="11" t="s">
        <v>18</v>
      </c>
      <c r="E3309" s="12" t="s">
        <v>2107</v>
      </c>
      <c r="F3309" s="12" t="s">
        <v>2108</v>
      </c>
      <c r="G3309" s="12" t="s">
        <v>40</v>
      </c>
      <c r="H3309" s="11" t="s">
        <v>63</v>
      </c>
      <c r="I3309" s="13" t="s">
        <v>7118</v>
      </c>
      <c r="J3309" s="14" t="str">
        <f>HYPERLINK("https://www.boe.es/gazeta/dias/1839/10/11/pdfs/GMD-1839-1797.pdf#page=2","Abrir facsímil")</f>
        <v>Abrir facsímil</v>
      </c>
      <c r="K3309" s="12" t="s">
        <v>65</v>
      </c>
    </row>
    <row r="3310" spans="1:11" ht="40.049999999999997" customHeight="1" x14ac:dyDescent="0.25">
      <c r="A3310" s="11" t="s">
        <v>7115</v>
      </c>
      <c r="B3310" s="11" t="s">
        <v>7116</v>
      </c>
      <c r="C3310" s="11" t="s">
        <v>59</v>
      </c>
      <c r="D3310" s="11" t="s">
        <v>60</v>
      </c>
      <c r="E3310" s="12" t="s">
        <v>7119</v>
      </c>
      <c r="F3310" s="12" t="s">
        <v>7120</v>
      </c>
      <c r="G3310" s="12" t="s">
        <v>29</v>
      </c>
      <c r="H3310" s="11" t="s">
        <v>63</v>
      </c>
      <c r="I3310" s="13" t="s">
        <v>7121</v>
      </c>
      <c r="J3310" s="14" t="str">
        <f>HYPERLINK("https://www.boe.es/gazeta/dias/1839/05/22/pdfs/GMD-1839-1649.pdf#page=1","Abrir facsímil")</f>
        <v>Abrir facsímil</v>
      </c>
      <c r="K3310" s="12" t="s">
        <v>65</v>
      </c>
    </row>
    <row r="3311" spans="1:11" ht="40.049999999999997" customHeight="1" x14ac:dyDescent="0.25">
      <c r="A3311" s="11" t="s">
        <v>7115</v>
      </c>
      <c r="B3311" s="11" t="s">
        <v>7116</v>
      </c>
      <c r="C3311" s="11" t="s">
        <v>17</v>
      </c>
      <c r="D3311" s="11" t="s">
        <v>18</v>
      </c>
      <c r="E3311" s="12" t="s">
        <v>1118</v>
      </c>
      <c r="F3311" s="12" t="s">
        <v>1119</v>
      </c>
      <c r="G3311" s="12" t="s">
        <v>21</v>
      </c>
      <c r="H3311" s="11" t="s">
        <v>63</v>
      </c>
      <c r="I3311" s="13" t="s">
        <v>7122</v>
      </c>
      <c r="J3311" s="14" t="str">
        <f>HYPERLINK("https://www.boe.es/gazeta/dias/1839/08/30/pdfs/GMD-1839-1751.pdf#page=4","Abrir facsímil")</f>
        <v>Abrir facsímil</v>
      </c>
      <c r="K3311" s="12" t="s">
        <v>65</v>
      </c>
    </row>
    <row r="3312" spans="1:11" ht="40.049999999999997" customHeight="1" x14ac:dyDescent="0.25">
      <c r="A3312" s="11" t="s">
        <v>7123</v>
      </c>
      <c r="B3312" s="11" t="s">
        <v>7124</v>
      </c>
      <c r="C3312" s="11" t="s">
        <v>17</v>
      </c>
      <c r="D3312" s="11" t="s">
        <v>18</v>
      </c>
      <c r="E3312" s="12" t="s">
        <v>4055</v>
      </c>
      <c r="F3312" s="12" t="s">
        <v>4056</v>
      </c>
      <c r="G3312" s="12" t="s">
        <v>29</v>
      </c>
      <c r="H3312" s="11" t="s">
        <v>63</v>
      </c>
      <c r="I3312" s="13" t="s">
        <v>7125</v>
      </c>
      <c r="J3312" s="14" t="str">
        <f>HYPERLINK("https://www.boe.es/gazeta/dias/1839/03/07/pdfs/GMD-1839-1573.pdf#page=1","Abrir facsímil")</f>
        <v>Abrir facsímil</v>
      </c>
      <c r="K3312" s="12" t="s">
        <v>65</v>
      </c>
    </row>
    <row r="3313" spans="1:11" ht="40.049999999999997" customHeight="1" x14ac:dyDescent="0.25">
      <c r="A3313" s="11" t="s">
        <v>7123</v>
      </c>
      <c r="B3313" s="11" t="s">
        <v>7124</v>
      </c>
      <c r="C3313" s="11" t="s">
        <v>101</v>
      </c>
      <c r="D3313" s="11" t="s">
        <v>43</v>
      </c>
      <c r="E3313" s="12" t="s">
        <v>592</v>
      </c>
      <c r="F3313" s="12" t="s">
        <v>593</v>
      </c>
      <c r="G3313" s="12" t="s">
        <v>40</v>
      </c>
      <c r="H3313" s="11" t="s">
        <v>63</v>
      </c>
      <c r="I3313" s="13" t="s">
        <v>7126</v>
      </c>
      <c r="J3313" s="14" t="str">
        <f>HYPERLINK("https://www.boe.es/gazeta/dias/1839/09/14/pdfs/GMD-1839-1767.pdf#page=2","Abrir facsímil")</f>
        <v>Abrir facsímil</v>
      </c>
      <c r="K3313" s="12" t="s">
        <v>65</v>
      </c>
    </row>
    <row r="3314" spans="1:11" ht="40.049999999999997" customHeight="1" x14ac:dyDescent="0.25">
      <c r="A3314" s="11" t="s">
        <v>7123</v>
      </c>
      <c r="B3314" s="11" t="s">
        <v>7124</v>
      </c>
      <c r="C3314" s="11" t="s">
        <v>17</v>
      </c>
      <c r="D3314" s="11" t="s">
        <v>18</v>
      </c>
      <c r="E3314" s="12" t="s">
        <v>1027</v>
      </c>
      <c r="F3314" s="12" t="s">
        <v>1028</v>
      </c>
      <c r="G3314" s="12" t="s">
        <v>29</v>
      </c>
      <c r="H3314" s="11" t="s">
        <v>63</v>
      </c>
      <c r="I3314" s="13" t="s">
        <v>7127</v>
      </c>
      <c r="J3314" s="14" t="str">
        <f>HYPERLINK("https://www.boe.es/gazeta/dias/1839/08/16/pdfs/GMD-1839-1736.pdf#page=1","Abrir facsímil")</f>
        <v>Abrir facsímil</v>
      </c>
      <c r="K3314" s="12" t="s">
        <v>65</v>
      </c>
    </row>
    <row r="3315" spans="1:11" ht="40.049999999999997" customHeight="1" x14ac:dyDescent="0.25">
      <c r="A3315" s="11" t="s">
        <v>7123</v>
      </c>
      <c r="B3315" s="11" t="s">
        <v>7124</v>
      </c>
      <c r="C3315" s="11" t="s">
        <v>80</v>
      </c>
      <c r="D3315" s="11" t="s">
        <v>173</v>
      </c>
      <c r="E3315" s="12" t="s">
        <v>513</v>
      </c>
      <c r="F3315" s="12" t="s">
        <v>514</v>
      </c>
      <c r="G3315" s="12" t="s">
        <v>29</v>
      </c>
      <c r="H3315" s="11" t="s">
        <v>63</v>
      </c>
      <c r="I3315" s="13" t="s">
        <v>7128</v>
      </c>
      <c r="J3315" s="14" t="str">
        <f>HYPERLINK("https://www.boe.es/gazeta/dias/1839/03/17/pdfs/GMD-1839-1583.pdf#page=1","Abrir facsímil")</f>
        <v>Abrir facsímil</v>
      </c>
      <c r="K3315" s="12" t="s">
        <v>65</v>
      </c>
    </row>
    <row r="3316" spans="1:11" ht="40.049999999999997" customHeight="1" x14ac:dyDescent="0.25">
      <c r="A3316" s="11" t="s">
        <v>7123</v>
      </c>
      <c r="B3316" s="11" t="s">
        <v>7124</v>
      </c>
      <c r="C3316" s="11" t="s">
        <v>17</v>
      </c>
      <c r="D3316" s="11" t="s">
        <v>18</v>
      </c>
      <c r="E3316" s="12" t="s">
        <v>870</v>
      </c>
      <c r="F3316" s="12" t="s">
        <v>871</v>
      </c>
      <c r="G3316" s="12" t="s">
        <v>29</v>
      </c>
      <c r="H3316" s="11" t="s">
        <v>63</v>
      </c>
      <c r="I3316" s="13" t="s">
        <v>7129</v>
      </c>
      <c r="J3316" s="14" t="str">
        <f>HYPERLINK("https://www.boe.es/gazeta/dias/1839/04/18/pdfs/GMD-1839-1615.pdf#page=1","Abrir facsímil")</f>
        <v>Abrir facsímil</v>
      </c>
      <c r="K3316" s="12" t="s">
        <v>65</v>
      </c>
    </row>
    <row r="3317" spans="1:11" ht="40.049999999999997" customHeight="1" x14ac:dyDescent="0.25">
      <c r="A3317" s="11" t="s">
        <v>7123</v>
      </c>
      <c r="B3317" s="11" t="s">
        <v>7124</v>
      </c>
      <c r="C3317" s="11" t="s">
        <v>17</v>
      </c>
      <c r="D3317" s="11" t="s">
        <v>18</v>
      </c>
      <c r="E3317" s="12" t="s">
        <v>346</v>
      </c>
      <c r="F3317" s="12" t="s">
        <v>347</v>
      </c>
      <c r="G3317" s="12" t="s">
        <v>29</v>
      </c>
      <c r="H3317" s="11" t="s">
        <v>63</v>
      </c>
      <c r="I3317" s="13" t="s">
        <v>7130</v>
      </c>
      <c r="J3317" s="14" t="str">
        <f>HYPERLINK("https://www.boe.es/gazeta/dias/1839/03/24/pdfs/GMD-1839-1590.pdf#page=1","Abrir facsímil")</f>
        <v>Abrir facsímil</v>
      </c>
      <c r="K3317" s="12" t="s">
        <v>65</v>
      </c>
    </row>
    <row r="3318" spans="1:11" ht="40.049999999999997" customHeight="1" x14ac:dyDescent="0.25">
      <c r="A3318" s="11" t="s">
        <v>7123</v>
      </c>
      <c r="B3318" s="11" t="s">
        <v>7124</v>
      </c>
      <c r="C3318" s="11" t="s">
        <v>137</v>
      </c>
      <c r="D3318" s="11" t="s">
        <v>18</v>
      </c>
      <c r="E3318" s="12" t="s">
        <v>1909</v>
      </c>
      <c r="F3318" s="12" t="s">
        <v>1910</v>
      </c>
      <c r="G3318" s="12" t="s">
        <v>21</v>
      </c>
      <c r="H3318" s="11" t="s">
        <v>63</v>
      </c>
      <c r="I3318" s="13" t="s">
        <v>7131</v>
      </c>
      <c r="J3318" s="14" t="str">
        <f>HYPERLINK("https://www.boe.es/gazeta/dias/1839/10/27/pdfs/GMD-1839-1813.pdf#page=4","Abrir facsímil")</f>
        <v>Abrir facsímil</v>
      </c>
      <c r="K3318" s="12" t="s">
        <v>65</v>
      </c>
    </row>
    <row r="3319" spans="1:11" ht="40.049999999999997" customHeight="1" x14ac:dyDescent="0.25">
      <c r="A3319" s="11" t="s">
        <v>7123</v>
      </c>
      <c r="B3319" s="11" t="s">
        <v>7124</v>
      </c>
      <c r="C3319" s="11" t="s">
        <v>59</v>
      </c>
      <c r="D3319" s="11" t="s">
        <v>60</v>
      </c>
      <c r="E3319" s="12" t="s">
        <v>716</v>
      </c>
      <c r="F3319" s="12" t="s">
        <v>717</v>
      </c>
      <c r="G3319" s="12" t="s">
        <v>29</v>
      </c>
      <c r="H3319" s="11" t="s">
        <v>63</v>
      </c>
      <c r="I3319" s="13" t="s">
        <v>7132</v>
      </c>
      <c r="J3319" s="14" t="str">
        <f>HYPERLINK("https://www.boe.es/gazeta/dias/1839/07/30/pdfs/GMD-1839-1719.pdf#page=1","Abrir facsímil")</f>
        <v>Abrir facsímil</v>
      </c>
      <c r="K3319" s="12" t="s">
        <v>65</v>
      </c>
    </row>
    <row r="3320" spans="1:11" ht="40.049999999999997" customHeight="1" x14ac:dyDescent="0.25">
      <c r="A3320" s="11" t="s">
        <v>7133</v>
      </c>
      <c r="B3320" s="11" t="s">
        <v>7134</v>
      </c>
      <c r="C3320" s="11" t="s">
        <v>17</v>
      </c>
      <c r="D3320" s="11" t="s">
        <v>18</v>
      </c>
      <c r="E3320" s="12" t="s">
        <v>222</v>
      </c>
      <c r="F3320" s="12" t="s">
        <v>223</v>
      </c>
      <c r="G3320" s="12" t="s">
        <v>21</v>
      </c>
      <c r="H3320" s="11" t="s">
        <v>63</v>
      </c>
      <c r="I3320" s="13" t="s">
        <v>7135</v>
      </c>
      <c r="J3320" s="14" t="str">
        <f>HYPERLINK("https://www.boe.es/gazeta/dias/1839/06/22/pdfs/GMD-1839-1680.pdf#page=4","Abrir facsímil")</f>
        <v>Abrir facsímil</v>
      </c>
      <c r="K3320" s="12" t="s">
        <v>65</v>
      </c>
    </row>
    <row r="3321" spans="1:11" ht="40.049999999999997" customHeight="1" x14ac:dyDescent="0.25">
      <c r="A3321" s="11" t="s">
        <v>7136</v>
      </c>
      <c r="B3321" s="11" t="s">
        <v>7137</v>
      </c>
      <c r="C3321" s="11" t="s">
        <v>59</v>
      </c>
      <c r="D3321" s="11" t="s">
        <v>60</v>
      </c>
      <c r="E3321" s="12" t="s">
        <v>606</v>
      </c>
      <c r="F3321" s="12" t="s">
        <v>607</v>
      </c>
      <c r="G3321" s="12" t="s">
        <v>29</v>
      </c>
      <c r="H3321" s="11" t="s">
        <v>63</v>
      </c>
      <c r="I3321" s="13" t="s">
        <v>7138</v>
      </c>
      <c r="J3321" s="14" t="str">
        <f>HYPERLINK("https://www.boe.es/gazeta/dias/1839/04/02/pdfs/GMD-1839-1599.pdf#page=1","Abrir facsímil")</f>
        <v>Abrir facsímil</v>
      </c>
      <c r="K3321" s="12" t="s">
        <v>65</v>
      </c>
    </row>
    <row r="3322" spans="1:11" ht="40.049999999999997" customHeight="1" x14ac:dyDescent="0.25">
      <c r="A3322" s="11" t="s">
        <v>7139</v>
      </c>
      <c r="B3322" s="11" t="s">
        <v>7140</v>
      </c>
      <c r="C3322" s="11" t="s">
        <v>80</v>
      </c>
      <c r="D3322" s="11" t="s">
        <v>173</v>
      </c>
      <c r="E3322" s="12" t="s">
        <v>782</v>
      </c>
      <c r="F3322" s="12" t="s">
        <v>783</v>
      </c>
      <c r="G3322" s="12" t="s">
        <v>21</v>
      </c>
      <c r="H3322" s="11" t="s">
        <v>63</v>
      </c>
      <c r="I3322" s="13" t="s">
        <v>7141</v>
      </c>
      <c r="J3322" s="14" t="str">
        <f>HYPERLINK("https://www.boe.es/gazeta/dias/1839/05/09/pdfs/GMD-1839-1636.pdf#page=4","Abrir facsímil")</f>
        <v>Abrir facsímil</v>
      </c>
      <c r="K3322" s="12" t="s">
        <v>65</v>
      </c>
    </row>
    <row r="3323" spans="1:11" ht="40.049999999999997" customHeight="1" x14ac:dyDescent="0.25">
      <c r="A3323" s="11" t="s">
        <v>7139</v>
      </c>
      <c r="B3323" s="11" t="s">
        <v>7140</v>
      </c>
      <c r="C3323" s="11" t="s">
        <v>80</v>
      </c>
      <c r="D3323" s="11" t="s">
        <v>18</v>
      </c>
      <c r="E3323" s="12" t="s">
        <v>1079</v>
      </c>
      <c r="F3323" s="12" t="s">
        <v>1080</v>
      </c>
      <c r="G3323" s="12" t="s">
        <v>46</v>
      </c>
      <c r="H3323" s="11" t="s">
        <v>63</v>
      </c>
      <c r="I3323" s="13" t="s">
        <v>7142</v>
      </c>
      <c r="J3323" s="14" t="str">
        <f>HYPERLINK("https://www.boe.es/gazeta/dias/1839/05/24/pdfs/GMD-1839-1651.pdf#page=3","Abrir facsímil")</f>
        <v>Abrir facsímil</v>
      </c>
      <c r="K3323" s="12" t="s">
        <v>65</v>
      </c>
    </row>
    <row r="3324" spans="1:11" ht="40.049999999999997" customHeight="1" x14ac:dyDescent="0.25">
      <c r="A3324" s="11" t="s">
        <v>7143</v>
      </c>
      <c r="B3324" s="11" t="s">
        <v>7144</v>
      </c>
      <c r="C3324" s="11" t="s">
        <v>17</v>
      </c>
      <c r="D3324" s="11" t="s">
        <v>18</v>
      </c>
      <c r="E3324" s="12" t="s">
        <v>327</v>
      </c>
      <c r="F3324" s="12" t="s">
        <v>328</v>
      </c>
      <c r="G3324" s="12" t="s">
        <v>21</v>
      </c>
      <c r="H3324" s="11" t="s">
        <v>63</v>
      </c>
      <c r="I3324" s="13" t="s">
        <v>7145</v>
      </c>
      <c r="J3324" s="14" t="str">
        <f>HYPERLINK("https://www.boe.es/gazeta/dias/1839/08/05/pdfs/GMD-1839-1725.pdf#page=4","Abrir facsímil")</f>
        <v>Abrir facsímil</v>
      </c>
      <c r="K3324" s="12" t="s">
        <v>65</v>
      </c>
    </row>
    <row r="3325" spans="1:11" ht="40.049999999999997" customHeight="1" x14ac:dyDescent="0.25">
      <c r="A3325" s="11" t="s">
        <v>7146</v>
      </c>
      <c r="B3325" s="11" t="s">
        <v>7147</v>
      </c>
      <c r="C3325" s="11" t="s">
        <v>80</v>
      </c>
      <c r="D3325" s="11" t="s">
        <v>18</v>
      </c>
      <c r="E3325" s="12" t="s">
        <v>121</v>
      </c>
      <c r="F3325" s="12" t="s">
        <v>122</v>
      </c>
      <c r="G3325" s="12" t="s">
        <v>21</v>
      </c>
      <c r="H3325" s="11" t="s">
        <v>63</v>
      </c>
      <c r="I3325" s="13" t="s">
        <v>7148</v>
      </c>
      <c r="J3325" s="14" t="str">
        <f>HYPERLINK("https://www.boe.es/gazeta/dias/1839/06/08/pdfs/GMD-1839-1666.pdf#page=4","Abrir facsímil")</f>
        <v>Abrir facsímil</v>
      </c>
      <c r="K3325" s="12" t="s">
        <v>65</v>
      </c>
    </row>
    <row r="3326" spans="1:11" ht="40.049999999999997" customHeight="1" x14ac:dyDescent="0.25">
      <c r="A3326" s="11" t="s">
        <v>7149</v>
      </c>
      <c r="B3326" s="11" t="s">
        <v>7150</v>
      </c>
      <c r="C3326" s="11" t="s">
        <v>80</v>
      </c>
      <c r="D3326" s="11" t="s">
        <v>18</v>
      </c>
      <c r="E3326" s="12" t="s">
        <v>89</v>
      </c>
      <c r="F3326" s="12" t="s">
        <v>90</v>
      </c>
      <c r="G3326" s="12" t="s">
        <v>21</v>
      </c>
      <c r="H3326" s="11" t="s">
        <v>63</v>
      </c>
      <c r="I3326" s="13" t="s">
        <v>7151</v>
      </c>
      <c r="J3326" s="14" t="str">
        <f>HYPERLINK("https://www.boe.es/gazeta/dias/1839/11/28/pdfs/GMD-1839-1845.pdf#page=4","Abrir facsímil")</f>
        <v>Abrir facsímil</v>
      </c>
      <c r="K3326" s="12" t="s">
        <v>65</v>
      </c>
    </row>
    <row r="3327" spans="1:11" ht="40.049999999999997" customHeight="1" x14ac:dyDescent="0.25">
      <c r="A3327" s="11" t="s">
        <v>7152</v>
      </c>
      <c r="B3327" s="11" t="s">
        <v>7153</v>
      </c>
      <c r="C3327" s="11" t="s">
        <v>17</v>
      </c>
      <c r="D3327" s="11" t="s">
        <v>18</v>
      </c>
      <c r="E3327" s="12" t="s">
        <v>1395</v>
      </c>
      <c r="F3327" s="12" t="s">
        <v>1396</v>
      </c>
      <c r="G3327" s="12" t="s">
        <v>46</v>
      </c>
      <c r="H3327" s="11" t="s">
        <v>63</v>
      </c>
      <c r="I3327" s="13" t="s">
        <v>7154</v>
      </c>
      <c r="J3327" s="14" t="str">
        <f>HYPERLINK("https://www.boe.es/gazeta/dias/1839/06/26/pdfs/GMD-1839-1684.pdf#page=3","Abrir facsímil")</f>
        <v>Abrir facsímil</v>
      </c>
      <c r="K3327" s="12" t="s">
        <v>65</v>
      </c>
    </row>
    <row r="3328" spans="1:11" ht="40.049999999999997" customHeight="1" x14ac:dyDescent="0.25">
      <c r="A3328" s="11" t="s">
        <v>7155</v>
      </c>
      <c r="B3328" s="11" t="s">
        <v>7156</v>
      </c>
      <c r="C3328" s="11" t="s">
        <v>80</v>
      </c>
      <c r="D3328" s="11" t="s">
        <v>18</v>
      </c>
      <c r="E3328" s="12" t="s">
        <v>230</v>
      </c>
      <c r="F3328" s="12" t="s">
        <v>231</v>
      </c>
      <c r="G3328" s="12" t="s">
        <v>46</v>
      </c>
      <c r="H3328" s="11" t="s">
        <v>63</v>
      </c>
      <c r="I3328" s="13" t="s">
        <v>7157</v>
      </c>
      <c r="J3328" s="14" t="str">
        <f>HYPERLINK("https://www.boe.es/gazeta/dias/1839/09/16/pdfs/GMD-1839-1769.pdf#page=3","Abrir facsímil")</f>
        <v>Abrir facsímil</v>
      </c>
      <c r="K3328" s="12" t="s">
        <v>65</v>
      </c>
    </row>
    <row r="3329" spans="1:11" ht="40.049999999999997" customHeight="1" x14ac:dyDescent="0.25">
      <c r="A3329" s="11" t="s">
        <v>7158</v>
      </c>
      <c r="B3329" s="11" t="s">
        <v>7159</v>
      </c>
      <c r="C3329" s="11" t="s">
        <v>80</v>
      </c>
      <c r="D3329" s="11" t="s">
        <v>18</v>
      </c>
      <c r="E3329" s="12" t="s">
        <v>616</v>
      </c>
      <c r="F3329" s="12" t="s">
        <v>617</v>
      </c>
      <c r="G3329" s="12" t="s">
        <v>40</v>
      </c>
      <c r="H3329" s="11" t="s">
        <v>63</v>
      </c>
      <c r="I3329" s="13" t="s">
        <v>7160</v>
      </c>
      <c r="J3329" s="14" t="str">
        <f>HYPERLINK("https://www.boe.es/gazeta/dias/1839/05/29/pdfs/GMD-1839-1656.pdf#page=2","Abrir facsímil")</f>
        <v>Abrir facsímil</v>
      </c>
      <c r="K3329" s="12" t="s">
        <v>65</v>
      </c>
    </row>
    <row r="3330" spans="1:11" ht="40.049999999999997" customHeight="1" x14ac:dyDescent="0.25">
      <c r="A3330" s="11" t="s">
        <v>7161</v>
      </c>
      <c r="B3330" s="11" t="s">
        <v>7162</v>
      </c>
      <c r="C3330" s="11" t="s">
        <v>17</v>
      </c>
      <c r="D3330" s="11" t="s">
        <v>18</v>
      </c>
      <c r="E3330" s="12" t="s">
        <v>1072</v>
      </c>
      <c r="F3330" s="12" t="s">
        <v>1073</v>
      </c>
      <c r="G3330" s="12" t="s">
        <v>21</v>
      </c>
      <c r="H3330" s="11" t="s">
        <v>22</v>
      </c>
      <c r="I3330" s="13" t="s">
        <v>7163</v>
      </c>
      <c r="J3330" s="14" t="str">
        <f>HYPERLINK("https://www.boe.es/gazeta/dias/1839/01/18/pdfs/GMD-1839-1525.pdf#page=4","Abrir facsímil")</f>
        <v>Abrir facsímil</v>
      </c>
      <c r="K3330" s="12" t="s">
        <v>24</v>
      </c>
    </row>
    <row r="3331" spans="1:11" ht="40.049999999999997" customHeight="1" x14ac:dyDescent="0.25">
      <c r="A3331" s="11" t="s">
        <v>7164</v>
      </c>
      <c r="B3331" s="11" t="s">
        <v>7165</v>
      </c>
      <c r="C3331" s="11" t="s">
        <v>101</v>
      </c>
      <c r="D3331" s="11" t="s">
        <v>43</v>
      </c>
      <c r="E3331" s="12" t="s">
        <v>258</v>
      </c>
      <c r="F3331" s="12" t="s">
        <v>259</v>
      </c>
      <c r="G3331" s="12" t="s">
        <v>21</v>
      </c>
      <c r="H3331" s="11" t="s">
        <v>63</v>
      </c>
      <c r="I3331" s="13" t="s">
        <v>7166</v>
      </c>
      <c r="J3331" s="14" t="str">
        <f>HYPERLINK("https://www.boe.es/gazeta/dias/1839/01/02/pdfs/GMD-1839-1509.pdf#page=4","Abrir facsímil")</f>
        <v>Abrir facsímil</v>
      </c>
      <c r="K3331" s="12" t="s">
        <v>65</v>
      </c>
    </row>
    <row r="3332" spans="1:11" ht="40.049999999999997" customHeight="1" x14ac:dyDescent="0.25">
      <c r="A3332" s="11" t="s">
        <v>7167</v>
      </c>
      <c r="B3332" s="11" t="s">
        <v>7168</v>
      </c>
      <c r="C3332" s="11" t="s">
        <v>59</v>
      </c>
      <c r="D3332" s="11" t="s">
        <v>60</v>
      </c>
      <c r="E3332" s="12" t="s">
        <v>291</v>
      </c>
      <c r="F3332" s="12" t="s">
        <v>292</v>
      </c>
      <c r="G3332" s="12" t="s">
        <v>29</v>
      </c>
      <c r="H3332" s="11" t="s">
        <v>63</v>
      </c>
      <c r="I3332" s="13" t="s">
        <v>7169</v>
      </c>
      <c r="J3332" s="14" t="str">
        <f>HYPERLINK("https://www.boe.es/gazeta/dias/1839/09/04/pdfs/GMD-1839-1757.pdf#page=1","Abrir facsímil")</f>
        <v>Abrir facsímil</v>
      </c>
      <c r="K3332" s="12" t="s">
        <v>65</v>
      </c>
    </row>
    <row r="3333" spans="1:11" ht="40.049999999999997" customHeight="1" x14ac:dyDescent="0.25">
      <c r="A3333" s="11" t="s">
        <v>7170</v>
      </c>
      <c r="B3333" s="11" t="s">
        <v>7171</v>
      </c>
      <c r="C3333" s="11" t="s">
        <v>137</v>
      </c>
      <c r="D3333" s="11" t="s">
        <v>18</v>
      </c>
      <c r="E3333" s="12" t="s">
        <v>4189</v>
      </c>
      <c r="F3333" s="12" t="s">
        <v>4190</v>
      </c>
      <c r="G3333" s="12" t="s">
        <v>46</v>
      </c>
      <c r="H3333" s="11" t="s">
        <v>63</v>
      </c>
      <c r="I3333" s="13" t="s">
        <v>7172</v>
      </c>
      <c r="J3333" s="14" t="str">
        <f>HYPERLINK("https://www.boe.es/gazeta/dias/1839/02/13/pdfs/GMD-1839-1551.pdf#page=3","Abrir facsímil")</f>
        <v>Abrir facsímil</v>
      </c>
      <c r="K3333" s="12" t="s">
        <v>65</v>
      </c>
    </row>
    <row r="3334" spans="1:11" ht="40.049999999999997" customHeight="1" x14ac:dyDescent="0.25">
      <c r="A3334" s="11" t="s">
        <v>7173</v>
      </c>
      <c r="B3334" s="11" t="s">
        <v>7174</v>
      </c>
      <c r="C3334" s="11" t="s">
        <v>17</v>
      </c>
      <c r="D3334" s="11" t="s">
        <v>18</v>
      </c>
      <c r="E3334" s="12" t="s">
        <v>148</v>
      </c>
      <c r="F3334" s="12" t="s">
        <v>149</v>
      </c>
      <c r="G3334" s="12" t="s">
        <v>40</v>
      </c>
      <c r="H3334" s="11" t="s">
        <v>63</v>
      </c>
      <c r="I3334" s="13" t="s">
        <v>7175</v>
      </c>
      <c r="J3334" s="14" t="str">
        <f>HYPERLINK("https://www.boe.es/gazeta/dias/1839/07/16/pdfs/GMD-1839-1704.pdf#page=2","Abrir facsímil")</f>
        <v>Abrir facsímil</v>
      </c>
      <c r="K3334" s="12" t="s">
        <v>65</v>
      </c>
    </row>
    <row r="3335" spans="1:11" ht="40.049999999999997" customHeight="1" x14ac:dyDescent="0.25">
      <c r="A3335" s="11" t="s">
        <v>7176</v>
      </c>
      <c r="B3335" s="11" t="s">
        <v>7177</v>
      </c>
      <c r="C3335" s="11" t="s">
        <v>17</v>
      </c>
      <c r="D3335" s="11" t="s">
        <v>18</v>
      </c>
      <c r="E3335" s="12" t="s">
        <v>303</v>
      </c>
      <c r="F3335" s="12" t="s">
        <v>304</v>
      </c>
      <c r="G3335" s="12" t="s">
        <v>305</v>
      </c>
      <c r="H3335" s="11" t="s">
        <v>63</v>
      </c>
      <c r="I3335" s="13" t="s">
        <v>7178</v>
      </c>
      <c r="J3335" s="14" t="str">
        <f>HYPERLINK("https://www.boe.es/gazeta/dias/1839/10/06/pdfs/GMD-1839-1792.pdf#page=6","Abrir facsímil")</f>
        <v>Abrir facsímil</v>
      </c>
      <c r="K3335" s="12" t="s">
        <v>65</v>
      </c>
    </row>
    <row r="3336" spans="1:11" ht="40.049999999999997" customHeight="1" x14ac:dyDescent="0.25">
      <c r="A3336" s="11" t="s">
        <v>7179</v>
      </c>
      <c r="B3336" s="11" t="s">
        <v>7180</v>
      </c>
      <c r="C3336" s="11" t="s">
        <v>17</v>
      </c>
      <c r="D3336" s="11" t="s">
        <v>18</v>
      </c>
      <c r="E3336" s="12" t="s">
        <v>1027</v>
      </c>
      <c r="F3336" s="12" t="s">
        <v>1028</v>
      </c>
      <c r="G3336" s="12" t="s">
        <v>21</v>
      </c>
      <c r="H3336" s="11" t="s">
        <v>63</v>
      </c>
      <c r="I3336" s="13" t="s">
        <v>7181</v>
      </c>
      <c r="J3336" s="14" t="str">
        <f>HYPERLINK("https://www.boe.es/gazeta/dias/1839/08/16/pdfs/GMD-1839-1736.pdf#page=4","Abrir facsímil")</f>
        <v>Abrir facsímil</v>
      </c>
      <c r="K3336" s="12" t="s">
        <v>65</v>
      </c>
    </row>
    <row r="3337" spans="1:11" ht="40.049999999999997" customHeight="1" x14ac:dyDescent="0.25">
      <c r="A3337" s="11" t="s">
        <v>7182</v>
      </c>
      <c r="B3337" s="11" t="s">
        <v>7183</v>
      </c>
      <c r="C3337" s="11" t="s">
        <v>80</v>
      </c>
      <c r="D3337" s="11" t="s">
        <v>18</v>
      </c>
      <c r="E3337" s="12" t="s">
        <v>89</v>
      </c>
      <c r="F3337" s="12" t="s">
        <v>90</v>
      </c>
      <c r="G3337" s="12" t="s">
        <v>21</v>
      </c>
      <c r="H3337" s="11" t="s">
        <v>63</v>
      </c>
      <c r="I3337" s="13" t="s">
        <v>7184</v>
      </c>
      <c r="J3337" s="14" t="str">
        <f>HYPERLINK("https://www.boe.es/gazeta/dias/1839/11/28/pdfs/GMD-1839-1845.pdf#page=4","Abrir facsímil")</f>
        <v>Abrir facsímil</v>
      </c>
      <c r="K3337" s="12" t="s">
        <v>65</v>
      </c>
    </row>
    <row r="3338" spans="1:11" ht="40.049999999999997" customHeight="1" x14ac:dyDescent="0.25">
      <c r="A3338" s="11" t="s">
        <v>7185</v>
      </c>
      <c r="B3338" s="11" t="s">
        <v>7186</v>
      </c>
      <c r="C3338" s="11" t="s">
        <v>17</v>
      </c>
      <c r="D3338" s="11" t="s">
        <v>18</v>
      </c>
      <c r="E3338" s="12" t="s">
        <v>503</v>
      </c>
      <c r="F3338" s="12" t="s">
        <v>504</v>
      </c>
      <c r="G3338" s="12" t="s">
        <v>21</v>
      </c>
      <c r="H3338" s="11" t="s">
        <v>63</v>
      </c>
      <c r="I3338" s="13" t="s">
        <v>7187</v>
      </c>
      <c r="J3338" s="14" t="str">
        <f>HYPERLINK("https://www.boe.es/gazeta/dias/1839/06/07/pdfs/GMD-1839-1665.pdf#page=4","Abrir facsímil")</f>
        <v>Abrir facsímil</v>
      </c>
      <c r="K3338" s="12" t="s">
        <v>65</v>
      </c>
    </row>
    <row r="3339" spans="1:11" ht="40.049999999999997" customHeight="1" x14ac:dyDescent="0.25">
      <c r="A3339" s="11" t="s">
        <v>7185</v>
      </c>
      <c r="B3339" s="11" t="s">
        <v>7186</v>
      </c>
      <c r="C3339" s="11" t="s">
        <v>17</v>
      </c>
      <c r="D3339" s="11" t="s">
        <v>18</v>
      </c>
      <c r="E3339" s="12" t="s">
        <v>181</v>
      </c>
      <c r="F3339" s="12" t="s">
        <v>182</v>
      </c>
      <c r="G3339" s="12" t="s">
        <v>40</v>
      </c>
      <c r="H3339" s="11" t="s">
        <v>63</v>
      </c>
      <c r="I3339" s="13" t="s">
        <v>7188</v>
      </c>
      <c r="J3339" s="14" t="str">
        <f>HYPERLINK("https://www.boe.es/gazeta/dias/1839/01/11/pdfs/GMD-1839-1518.pdf#page=2","Abrir facsímil")</f>
        <v>Abrir facsímil</v>
      </c>
      <c r="K3339" s="12" t="s">
        <v>65</v>
      </c>
    </row>
    <row r="3340" spans="1:11" ht="40.049999999999997" customHeight="1" x14ac:dyDescent="0.25">
      <c r="A3340" s="11" t="s">
        <v>7189</v>
      </c>
      <c r="B3340" s="11" t="s">
        <v>7190</v>
      </c>
      <c r="C3340" s="11" t="s">
        <v>80</v>
      </c>
      <c r="D3340" s="11" t="s">
        <v>18</v>
      </c>
      <c r="E3340" s="12" t="s">
        <v>2435</v>
      </c>
      <c r="F3340" s="12" t="s">
        <v>2436</v>
      </c>
      <c r="G3340" s="12" t="s">
        <v>21</v>
      </c>
      <c r="H3340" s="11" t="s">
        <v>63</v>
      </c>
      <c r="I3340" s="13" t="s">
        <v>7191</v>
      </c>
      <c r="J3340" s="14" t="str">
        <f>HYPERLINK("https://www.boe.es/gazeta/dias/1839/07/24/pdfs/GMD-1839-1713.pdf#page=4","Abrir facsímil")</f>
        <v>Abrir facsímil</v>
      </c>
      <c r="K3340" s="12" t="s">
        <v>65</v>
      </c>
    </row>
    <row r="3341" spans="1:11" ht="40.049999999999997" customHeight="1" x14ac:dyDescent="0.25">
      <c r="A3341" s="11" t="s">
        <v>7192</v>
      </c>
      <c r="B3341" s="11" t="s">
        <v>7193</v>
      </c>
      <c r="C3341" s="11" t="s">
        <v>137</v>
      </c>
      <c r="D3341" s="11" t="s">
        <v>18</v>
      </c>
      <c r="E3341" s="12" t="s">
        <v>2851</v>
      </c>
      <c r="F3341" s="12" t="s">
        <v>2852</v>
      </c>
      <c r="G3341" s="12" t="s">
        <v>21</v>
      </c>
      <c r="H3341" s="11" t="s">
        <v>63</v>
      </c>
      <c r="I3341" s="13" t="s">
        <v>7194</v>
      </c>
      <c r="J3341" s="14" t="str">
        <f>HYPERLINK("https://www.boe.es/gazeta/dias/1839/05/16/pdfs/GMD-1839-1643.pdf#page=4","Abrir facsímil")</f>
        <v>Abrir facsímil</v>
      </c>
      <c r="K3341" s="12" t="s">
        <v>65</v>
      </c>
    </row>
    <row r="3342" spans="1:11" ht="40.049999999999997" customHeight="1" x14ac:dyDescent="0.25">
      <c r="A3342" s="11" t="s">
        <v>7195</v>
      </c>
      <c r="B3342" s="11" t="s">
        <v>7196</v>
      </c>
      <c r="C3342" s="11" t="s">
        <v>17</v>
      </c>
      <c r="D3342" s="11" t="s">
        <v>18</v>
      </c>
      <c r="E3342" s="12" t="s">
        <v>474</v>
      </c>
      <c r="F3342" s="12" t="s">
        <v>475</v>
      </c>
      <c r="G3342" s="12" t="s">
        <v>21</v>
      </c>
      <c r="H3342" s="11" t="s">
        <v>63</v>
      </c>
      <c r="I3342" s="13" t="s">
        <v>7197</v>
      </c>
      <c r="J3342" s="14" t="str">
        <f>HYPERLINK("https://www.boe.es/gazeta/dias/1839/03/31/pdfs/GMD-1839-1597.pdf#page=4","Abrir facsímil")</f>
        <v>Abrir facsímil</v>
      </c>
      <c r="K3342" s="12" t="s">
        <v>65</v>
      </c>
    </row>
    <row r="3343" spans="1:11" ht="40.049999999999997" customHeight="1" x14ac:dyDescent="0.25">
      <c r="A3343" s="11" t="s">
        <v>7198</v>
      </c>
      <c r="B3343" s="11" t="s">
        <v>7199</v>
      </c>
      <c r="C3343" s="11" t="s">
        <v>17</v>
      </c>
      <c r="D3343" s="11" t="s">
        <v>18</v>
      </c>
      <c r="E3343" s="12" t="s">
        <v>258</v>
      </c>
      <c r="F3343" s="12" t="s">
        <v>259</v>
      </c>
      <c r="G3343" s="12" t="s">
        <v>21</v>
      </c>
      <c r="H3343" s="11" t="s">
        <v>22</v>
      </c>
      <c r="I3343" s="13" t="s">
        <v>7200</v>
      </c>
      <c r="J3343" s="14" t="str">
        <f>HYPERLINK("https://www.boe.es/gazeta/dias/1839/01/02/pdfs/GMD-1839-1509.pdf#page=4","Abrir facsímil")</f>
        <v>Abrir facsímil</v>
      </c>
      <c r="K3343" s="12" t="s">
        <v>24</v>
      </c>
    </row>
    <row r="3344" spans="1:11" ht="40.049999999999997" customHeight="1" x14ac:dyDescent="0.25">
      <c r="A3344" s="11" t="s">
        <v>7201</v>
      </c>
      <c r="B3344" s="11" t="s">
        <v>7202</v>
      </c>
      <c r="C3344" s="11" t="s">
        <v>17</v>
      </c>
      <c r="D3344" s="11" t="s">
        <v>18</v>
      </c>
      <c r="E3344" s="12" t="s">
        <v>258</v>
      </c>
      <c r="F3344" s="12" t="s">
        <v>259</v>
      </c>
      <c r="G3344" s="12" t="s">
        <v>46</v>
      </c>
      <c r="H3344" s="11" t="s">
        <v>22</v>
      </c>
      <c r="I3344" s="13" t="s">
        <v>7203</v>
      </c>
      <c r="J3344" s="14" t="str">
        <f>HYPERLINK("https://www.boe.es/gazeta/dias/1839/01/02/pdfs/GMD-1839-1509.pdf#page=3","Abrir facsímil")</f>
        <v>Abrir facsímil</v>
      </c>
      <c r="K3344" s="12" t="s">
        <v>24</v>
      </c>
    </row>
    <row r="3345" spans="1:11" ht="40.049999999999997" customHeight="1" x14ac:dyDescent="0.25">
      <c r="A3345" s="11" t="s">
        <v>7204</v>
      </c>
      <c r="B3345" s="11" t="s">
        <v>7205</v>
      </c>
      <c r="C3345" s="11" t="s">
        <v>17</v>
      </c>
      <c r="D3345" s="11" t="s">
        <v>18</v>
      </c>
      <c r="E3345" s="12" t="s">
        <v>303</v>
      </c>
      <c r="F3345" s="12" t="s">
        <v>304</v>
      </c>
      <c r="G3345" s="12" t="s">
        <v>305</v>
      </c>
      <c r="H3345" s="11" t="s">
        <v>22</v>
      </c>
      <c r="I3345" s="13" t="s">
        <v>7206</v>
      </c>
      <c r="J3345" s="14" t="str">
        <f>HYPERLINK("https://www.boe.es/gazeta/dias/1839/10/06/pdfs/GMD-1839-1792.pdf#page=6","Abrir facsímil")</f>
        <v>Abrir facsímil</v>
      </c>
      <c r="K3345" s="12" t="s">
        <v>24</v>
      </c>
    </row>
    <row r="3346" spans="1:11" ht="40.049999999999997" customHeight="1" x14ac:dyDescent="0.25">
      <c r="A3346" s="11" t="s">
        <v>7207</v>
      </c>
      <c r="B3346" s="11" t="s">
        <v>7208</v>
      </c>
      <c r="C3346" s="11" t="s">
        <v>17</v>
      </c>
      <c r="D3346" s="11" t="s">
        <v>18</v>
      </c>
      <c r="E3346" s="12" t="s">
        <v>1144</v>
      </c>
      <c r="F3346" s="12" t="s">
        <v>1145</v>
      </c>
      <c r="G3346" s="12" t="s">
        <v>21</v>
      </c>
      <c r="H3346" s="11" t="s">
        <v>63</v>
      </c>
      <c r="I3346" s="13" t="s">
        <v>7209</v>
      </c>
      <c r="J3346" s="14" t="str">
        <f>HYPERLINK("https://www.boe.es/gazeta/dias/1839/08/13/pdfs/GMD-1839-1733.pdf#page=4","Abrir facsímil")</f>
        <v>Abrir facsímil</v>
      </c>
      <c r="K3346" s="12" t="s">
        <v>65</v>
      </c>
    </row>
    <row r="3347" spans="1:11" ht="40.049999999999997" customHeight="1" x14ac:dyDescent="0.25">
      <c r="A3347" s="11" t="s">
        <v>7207</v>
      </c>
      <c r="B3347" s="11" t="s">
        <v>7208</v>
      </c>
      <c r="C3347" s="11" t="s">
        <v>17</v>
      </c>
      <c r="D3347" s="11" t="s">
        <v>18</v>
      </c>
      <c r="E3347" s="12" t="s">
        <v>601</v>
      </c>
      <c r="F3347" s="12" t="s">
        <v>602</v>
      </c>
      <c r="G3347" s="12" t="s">
        <v>21</v>
      </c>
      <c r="H3347" s="11" t="s">
        <v>63</v>
      </c>
      <c r="I3347" s="13" t="s">
        <v>7210</v>
      </c>
      <c r="J3347" s="14" t="str">
        <f>HYPERLINK("https://www.boe.es/gazeta/dias/1839/04/21/pdfs/GMD-1839-1618.pdf#page=4","Abrir facsímil")</f>
        <v>Abrir facsímil</v>
      </c>
      <c r="K3347" s="12" t="s">
        <v>65</v>
      </c>
    </row>
    <row r="3348" spans="1:11" ht="40.049999999999997" customHeight="1" x14ac:dyDescent="0.25">
      <c r="A3348" s="11" t="s">
        <v>7207</v>
      </c>
      <c r="B3348" s="11" t="s">
        <v>7208</v>
      </c>
      <c r="C3348" s="11" t="s">
        <v>17</v>
      </c>
      <c r="D3348" s="11" t="s">
        <v>18</v>
      </c>
      <c r="E3348" s="12" t="s">
        <v>496</v>
      </c>
      <c r="F3348" s="12" t="s">
        <v>497</v>
      </c>
      <c r="G3348" s="12" t="s">
        <v>21</v>
      </c>
      <c r="H3348" s="11" t="s">
        <v>63</v>
      </c>
      <c r="I3348" s="13" t="s">
        <v>7211</v>
      </c>
      <c r="J3348" s="14" t="str">
        <f>HYPERLINK("https://www.boe.es/gazeta/dias/1839/11/23/pdfs/GMD-1839-1840.pdf#page=4","Abrir facsímil")</f>
        <v>Abrir facsímil</v>
      </c>
      <c r="K3348" s="12" t="s">
        <v>65</v>
      </c>
    </row>
    <row r="3349" spans="1:11" ht="40.049999999999997" customHeight="1" x14ac:dyDescent="0.25">
      <c r="A3349" s="11" t="s">
        <v>7212</v>
      </c>
      <c r="B3349" s="11" t="s">
        <v>7213</v>
      </c>
      <c r="C3349" s="11" t="s">
        <v>17</v>
      </c>
      <c r="D3349" s="11" t="s">
        <v>18</v>
      </c>
      <c r="E3349" s="12" t="s">
        <v>500</v>
      </c>
      <c r="F3349" s="12" t="s">
        <v>501</v>
      </c>
      <c r="G3349" s="12" t="s">
        <v>21</v>
      </c>
      <c r="H3349" s="11" t="s">
        <v>63</v>
      </c>
      <c r="I3349" s="13" t="s">
        <v>7214</v>
      </c>
      <c r="J3349" s="14" t="str">
        <f>HYPERLINK("https://www.boe.es/gazeta/dias/1839/11/06/pdfs/GMD-1839-1823.pdf#page=4","Abrir facsímil")</f>
        <v>Abrir facsímil</v>
      </c>
      <c r="K3349" s="12" t="s">
        <v>65</v>
      </c>
    </row>
    <row r="3350" spans="1:11" ht="40.049999999999997" customHeight="1" x14ac:dyDescent="0.25">
      <c r="A3350" s="11" t="s">
        <v>7212</v>
      </c>
      <c r="B3350" s="11" t="s">
        <v>7213</v>
      </c>
      <c r="C3350" s="11" t="s">
        <v>17</v>
      </c>
      <c r="D3350" s="11" t="s">
        <v>18</v>
      </c>
      <c r="E3350" s="12" t="s">
        <v>1479</v>
      </c>
      <c r="F3350" s="12" t="s">
        <v>1480</v>
      </c>
      <c r="G3350" s="12" t="s">
        <v>46</v>
      </c>
      <c r="H3350" s="11" t="s">
        <v>63</v>
      </c>
      <c r="I3350" s="13" t="s">
        <v>7215</v>
      </c>
      <c r="J3350" s="14" t="str">
        <f>HYPERLINK("https://www.boe.es/gazeta/dias/1839/04/09/pdfs/GMD-1839-1606.pdf#page=3","Abrir facsímil")</f>
        <v>Abrir facsímil</v>
      </c>
      <c r="K3350" s="12" t="s">
        <v>65</v>
      </c>
    </row>
    <row r="3351" spans="1:11" ht="40.049999999999997" customHeight="1" x14ac:dyDescent="0.25">
      <c r="A3351" s="11" t="s">
        <v>7216</v>
      </c>
      <c r="B3351" s="11" t="s">
        <v>7217</v>
      </c>
      <c r="C3351" s="11" t="s">
        <v>101</v>
      </c>
      <c r="D3351" s="11" t="s">
        <v>102</v>
      </c>
      <c r="E3351" s="12" t="s">
        <v>503</v>
      </c>
      <c r="F3351" s="12" t="s">
        <v>504</v>
      </c>
      <c r="G3351" s="12" t="s">
        <v>46</v>
      </c>
      <c r="H3351" s="11" t="s">
        <v>63</v>
      </c>
      <c r="I3351" s="13" t="s">
        <v>7218</v>
      </c>
      <c r="J3351" s="14" t="str">
        <f>HYPERLINK("https://www.boe.es/gazeta/dias/1839/06/07/pdfs/GMD-1839-1665.pdf#page=3","Abrir facsímil")</f>
        <v>Abrir facsímil</v>
      </c>
      <c r="K3351" s="12" t="s">
        <v>65</v>
      </c>
    </row>
    <row r="3352" spans="1:11" ht="40.049999999999997" customHeight="1" x14ac:dyDescent="0.25">
      <c r="A3352" s="11" t="s">
        <v>7216</v>
      </c>
      <c r="B3352" s="11" t="s">
        <v>7217</v>
      </c>
      <c r="C3352" s="11" t="s">
        <v>137</v>
      </c>
      <c r="D3352" s="11" t="s">
        <v>18</v>
      </c>
      <c r="E3352" s="12" t="s">
        <v>163</v>
      </c>
      <c r="F3352" s="12" t="s">
        <v>164</v>
      </c>
      <c r="G3352" s="12" t="s">
        <v>21</v>
      </c>
      <c r="H3352" s="11" t="s">
        <v>63</v>
      </c>
      <c r="I3352" s="13" t="s">
        <v>7219</v>
      </c>
      <c r="J3352" s="14" t="str">
        <f>HYPERLINK("https://www.boe.es/gazeta/dias/1839/01/13/pdfs/GMD-1839-1520.pdf#page=4","Abrir facsímil")</f>
        <v>Abrir facsímil</v>
      </c>
      <c r="K3352" s="12" t="s">
        <v>65</v>
      </c>
    </row>
    <row r="3353" spans="1:11" ht="40.049999999999997" customHeight="1" x14ac:dyDescent="0.25">
      <c r="A3353" s="11" t="s">
        <v>7216</v>
      </c>
      <c r="B3353" s="11" t="s">
        <v>7217</v>
      </c>
      <c r="C3353" s="11" t="s">
        <v>80</v>
      </c>
      <c r="D3353" s="11" t="s">
        <v>18</v>
      </c>
      <c r="E3353" s="12" t="s">
        <v>4189</v>
      </c>
      <c r="F3353" s="12" t="s">
        <v>4190</v>
      </c>
      <c r="G3353" s="12" t="s">
        <v>46</v>
      </c>
      <c r="H3353" s="11" t="s">
        <v>63</v>
      </c>
      <c r="I3353" s="13" t="s">
        <v>7220</v>
      </c>
      <c r="J3353" s="14" t="str">
        <f>HYPERLINK("https://www.boe.es/gazeta/dias/1839/02/13/pdfs/GMD-1839-1551.pdf#page=3","Abrir facsímil")</f>
        <v>Abrir facsímil</v>
      </c>
      <c r="K3353" s="12" t="s">
        <v>65</v>
      </c>
    </row>
    <row r="3354" spans="1:11" ht="40.049999999999997" customHeight="1" x14ac:dyDescent="0.25">
      <c r="A3354" s="11" t="s">
        <v>7216</v>
      </c>
      <c r="B3354" s="11" t="s">
        <v>7217</v>
      </c>
      <c r="C3354" s="11" t="s">
        <v>101</v>
      </c>
      <c r="D3354" s="11" t="s">
        <v>43</v>
      </c>
      <c r="E3354" s="12" t="s">
        <v>185</v>
      </c>
      <c r="F3354" s="12" t="s">
        <v>186</v>
      </c>
      <c r="G3354" s="12" t="s">
        <v>29</v>
      </c>
      <c r="H3354" s="11" t="s">
        <v>63</v>
      </c>
      <c r="I3354" s="13" t="s">
        <v>7221</v>
      </c>
      <c r="J3354" s="14" t="str">
        <f>HYPERLINK("https://www.boe.es/gazeta/dias/1839/01/15/pdfs/GMD-1839-1522.pdf#page=1","Abrir facsímil")</f>
        <v>Abrir facsímil</v>
      </c>
      <c r="K3354" s="12" t="s">
        <v>65</v>
      </c>
    </row>
    <row r="3355" spans="1:11" ht="40.049999999999997" customHeight="1" x14ac:dyDescent="0.25">
      <c r="A3355" s="11" t="s">
        <v>7216</v>
      </c>
      <c r="B3355" s="11" t="s">
        <v>7217</v>
      </c>
      <c r="C3355" s="11" t="s">
        <v>17</v>
      </c>
      <c r="D3355" s="11" t="s">
        <v>18</v>
      </c>
      <c r="E3355" s="12" t="s">
        <v>185</v>
      </c>
      <c r="F3355" s="12" t="s">
        <v>186</v>
      </c>
      <c r="G3355" s="12" t="s">
        <v>40</v>
      </c>
      <c r="H3355" s="11" t="s">
        <v>63</v>
      </c>
      <c r="I3355" s="13" t="s">
        <v>7222</v>
      </c>
      <c r="J3355" s="14" t="str">
        <f>HYPERLINK("https://www.boe.es/gazeta/dias/1839/01/15/pdfs/GMD-1839-1522.pdf#page=2","Abrir facsímil")</f>
        <v>Abrir facsímil</v>
      </c>
      <c r="K3355" s="12" t="s">
        <v>65</v>
      </c>
    </row>
    <row r="3356" spans="1:11" ht="40.049999999999997" customHeight="1" x14ac:dyDescent="0.25">
      <c r="A3356" s="11" t="s">
        <v>7216</v>
      </c>
      <c r="B3356" s="11" t="s">
        <v>7217</v>
      </c>
      <c r="C3356" s="11" t="s">
        <v>17</v>
      </c>
      <c r="D3356" s="11" t="s">
        <v>18</v>
      </c>
      <c r="E3356" s="12" t="s">
        <v>5138</v>
      </c>
      <c r="F3356" s="12" t="s">
        <v>5139</v>
      </c>
      <c r="G3356" s="12" t="s">
        <v>46</v>
      </c>
      <c r="H3356" s="11" t="s">
        <v>63</v>
      </c>
      <c r="I3356" s="13" t="s">
        <v>7223</v>
      </c>
      <c r="J3356" s="14" t="str">
        <f>HYPERLINK("https://www.boe.es/gazeta/dias/1839/08/15/pdfs/GMD-1839-1735.pdf#page=3","Abrir facsímil")</f>
        <v>Abrir facsímil</v>
      </c>
      <c r="K3356" s="12" t="s">
        <v>65</v>
      </c>
    </row>
    <row r="3357" spans="1:11" ht="40.049999999999997" customHeight="1" x14ac:dyDescent="0.25">
      <c r="A3357" s="11" t="s">
        <v>7216</v>
      </c>
      <c r="B3357" s="11" t="s">
        <v>7217</v>
      </c>
      <c r="C3357" s="11" t="s">
        <v>17</v>
      </c>
      <c r="D3357" s="11" t="s">
        <v>18</v>
      </c>
      <c r="E3357" s="12" t="s">
        <v>564</v>
      </c>
      <c r="F3357" s="12" t="s">
        <v>565</v>
      </c>
      <c r="G3357" s="12" t="s">
        <v>566</v>
      </c>
      <c r="H3357" s="11" t="s">
        <v>63</v>
      </c>
      <c r="I3357" s="13" t="s">
        <v>7224</v>
      </c>
      <c r="J3357" s="14" t="str">
        <f>HYPERLINK("https://www.boe.es/gazeta/dias/1839/10/17/pdfs/GMD-1839-1803.pdf#page=5","Abrir facsímil")</f>
        <v>Abrir facsímil</v>
      </c>
      <c r="K3357" s="12" t="s">
        <v>65</v>
      </c>
    </row>
    <row r="3358" spans="1:11" ht="40.049999999999997" customHeight="1" x14ac:dyDescent="0.25">
      <c r="A3358" s="11" t="s">
        <v>7216</v>
      </c>
      <c r="B3358" s="11" t="s">
        <v>7217</v>
      </c>
      <c r="C3358" s="11" t="s">
        <v>17</v>
      </c>
      <c r="D3358" s="11" t="s">
        <v>18</v>
      </c>
      <c r="E3358" s="12" t="s">
        <v>360</v>
      </c>
      <c r="F3358" s="12" t="s">
        <v>361</v>
      </c>
      <c r="G3358" s="12" t="s">
        <v>46</v>
      </c>
      <c r="H3358" s="11" t="s">
        <v>63</v>
      </c>
      <c r="I3358" s="13" t="s">
        <v>7225</v>
      </c>
      <c r="J3358" s="14" t="str">
        <f>HYPERLINK("https://www.boe.es/gazeta/dias/1839/08/22/pdfs/GMD-1839-1743.pdf#page=3","Abrir facsímil")</f>
        <v>Abrir facsímil</v>
      </c>
      <c r="K3358" s="12" t="s">
        <v>65</v>
      </c>
    </row>
    <row r="3359" spans="1:11" ht="40.049999999999997" customHeight="1" x14ac:dyDescent="0.25">
      <c r="A3359" s="11" t="s">
        <v>7216</v>
      </c>
      <c r="B3359" s="11" t="s">
        <v>7217</v>
      </c>
      <c r="C3359" s="11" t="s">
        <v>17</v>
      </c>
      <c r="D3359" s="11" t="s">
        <v>18</v>
      </c>
      <c r="E3359" s="12" t="s">
        <v>360</v>
      </c>
      <c r="F3359" s="12" t="s">
        <v>361</v>
      </c>
      <c r="G3359" s="12" t="s">
        <v>21</v>
      </c>
      <c r="H3359" s="11" t="s">
        <v>63</v>
      </c>
      <c r="I3359" s="13" t="s">
        <v>7226</v>
      </c>
      <c r="J3359" s="14" t="str">
        <f>HYPERLINK("https://www.boe.es/gazeta/dias/1839/08/22/pdfs/GMD-1839-1743.pdf#page=4","Abrir facsímil")</f>
        <v>Abrir facsímil</v>
      </c>
      <c r="K3359" s="12" t="s">
        <v>65</v>
      </c>
    </row>
    <row r="3360" spans="1:11" ht="40.049999999999997" customHeight="1" x14ac:dyDescent="0.25">
      <c r="A3360" s="11" t="s">
        <v>7216</v>
      </c>
      <c r="B3360" s="11" t="s">
        <v>7217</v>
      </c>
      <c r="C3360" s="11" t="s">
        <v>80</v>
      </c>
      <c r="D3360" s="11" t="s">
        <v>18</v>
      </c>
      <c r="E3360" s="12" t="s">
        <v>926</v>
      </c>
      <c r="F3360" s="12" t="s">
        <v>927</v>
      </c>
      <c r="G3360" s="12" t="s">
        <v>21</v>
      </c>
      <c r="H3360" s="11" t="s">
        <v>63</v>
      </c>
      <c r="I3360" s="13" t="s">
        <v>7227</v>
      </c>
      <c r="J3360" s="14" t="str">
        <f>HYPERLINK("https://www.boe.es/gazeta/dias/1839/01/25/pdfs/GMD-1839-1532.pdf#page=4","Abrir facsímil")</f>
        <v>Abrir facsímil</v>
      </c>
      <c r="K3360" s="12" t="s">
        <v>65</v>
      </c>
    </row>
    <row r="3361" spans="1:11" ht="40.049999999999997" customHeight="1" x14ac:dyDescent="0.25">
      <c r="A3361" s="11" t="s">
        <v>7216</v>
      </c>
      <c r="B3361" s="11" t="s">
        <v>7217</v>
      </c>
      <c r="C3361" s="11" t="s">
        <v>101</v>
      </c>
      <c r="D3361" s="11" t="s">
        <v>102</v>
      </c>
      <c r="E3361" s="12" t="s">
        <v>284</v>
      </c>
      <c r="F3361" s="12" t="s">
        <v>285</v>
      </c>
      <c r="G3361" s="12" t="s">
        <v>46</v>
      </c>
      <c r="H3361" s="11" t="s">
        <v>63</v>
      </c>
      <c r="I3361" s="13" t="s">
        <v>7228</v>
      </c>
      <c r="J3361" s="14" t="str">
        <f>HYPERLINK("https://www.boe.es/gazeta/dias/1839/01/27/pdfs/GMD-1839-1534.pdf#page=3","Abrir facsímil")</f>
        <v>Abrir facsímil</v>
      </c>
      <c r="K3361" s="12" t="s">
        <v>65</v>
      </c>
    </row>
    <row r="3362" spans="1:11" ht="40.049999999999997" customHeight="1" x14ac:dyDescent="0.25">
      <c r="A3362" s="11" t="s">
        <v>7216</v>
      </c>
      <c r="B3362" s="11" t="s">
        <v>7217</v>
      </c>
      <c r="C3362" s="11" t="s">
        <v>17</v>
      </c>
      <c r="D3362" s="11" t="s">
        <v>43</v>
      </c>
      <c r="E3362" s="12" t="s">
        <v>1807</v>
      </c>
      <c r="F3362" s="12" t="s">
        <v>1808</v>
      </c>
      <c r="G3362" s="12" t="s">
        <v>21</v>
      </c>
      <c r="H3362" s="11" t="s">
        <v>63</v>
      </c>
      <c r="I3362" s="13" t="s">
        <v>7229</v>
      </c>
      <c r="J3362" s="14" t="str">
        <f>HYPERLINK("https://www.boe.es/gazeta/dias/1839/01/29/pdfs/GMD-1839-1536.pdf#page=4","Abrir facsímil")</f>
        <v>Abrir facsímil</v>
      </c>
      <c r="K3362" s="12" t="s">
        <v>65</v>
      </c>
    </row>
    <row r="3363" spans="1:11" ht="40.049999999999997" customHeight="1" x14ac:dyDescent="0.25">
      <c r="A3363" s="11" t="s">
        <v>7230</v>
      </c>
      <c r="B3363" s="11" t="s">
        <v>7231</v>
      </c>
      <c r="C3363" s="11" t="s">
        <v>80</v>
      </c>
      <c r="D3363" s="11" t="s">
        <v>18</v>
      </c>
      <c r="E3363" s="12" t="s">
        <v>4189</v>
      </c>
      <c r="F3363" s="12" t="s">
        <v>4190</v>
      </c>
      <c r="G3363" s="12" t="s">
        <v>46</v>
      </c>
      <c r="H3363" s="11" t="s">
        <v>63</v>
      </c>
      <c r="I3363" s="13" t="s">
        <v>7232</v>
      </c>
      <c r="J3363" s="14" t="str">
        <f>HYPERLINK("https://www.boe.es/gazeta/dias/1839/02/13/pdfs/GMD-1839-1551.pdf#page=3","Abrir facsímil")</f>
        <v>Abrir facsímil</v>
      </c>
      <c r="K3363" s="12" t="s">
        <v>65</v>
      </c>
    </row>
    <row r="3364" spans="1:11" ht="40.049999999999997" customHeight="1" x14ac:dyDescent="0.25">
      <c r="A3364" s="11" t="s">
        <v>7233</v>
      </c>
      <c r="B3364" s="11" t="s">
        <v>7234</v>
      </c>
      <c r="C3364" s="11" t="s">
        <v>17</v>
      </c>
      <c r="D3364" s="11" t="s">
        <v>18</v>
      </c>
      <c r="E3364" s="12" t="s">
        <v>258</v>
      </c>
      <c r="F3364" s="12" t="s">
        <v>259</v>
      </c>
      <c r="G3364" s="12" t="s">
        <v>46</v>
      </c>
      <c r="H3364" s="11" t="s">
        <v>22</v>
      </c>
      <c r="I3364" s="13" t="s">
        <v>7235</v>
      </c>
      <c r="J3364" s="14" t="str">
        <f>HYPERLINK("https://www.boe.es/gazeta/dias/1839/01/02/pdfs/GMD-1839-1509.pdf#page=3","Abrir facsímil")</f>
        <v>Abrir facsímil</v>
      </c>
      <c r="K3364" s="12" t="s">
        <v>24</v>
      </c>
    </row>
    <row r="3365" spans="1:11" ht="40.049999999999997" customHeight="1" x14ac:dyDescent="0.25">
      <c r="A3365" s="11" t="s">
        <v>7233</v>
      </c>
      <c r="B3365" s="11" t="s">
        <v>7234</v>
      </c>
      <c r="C3365" s="11" t="s">
        <v>101</v>
      </c>
      <c r="D3365" s="11" t="s">
        <v>43</v>
      </c>
      <c r="E3365" s="12" t="s">
        <v>2270</v>
      </c>
      <c r="F3365" s="12" t="s">
        <v>2271</v>
      </c>
      <c r="G3365" s="12" t="s">
        <v>29</v>
      </c>
      <c r="H3365" s="11" t="s">
        <v>22</v>
      </c>
      <c r="I3365" s="13" t="s">
        <v>7236</v>
      </c>
      <c r="J3365" s="14" t="str">
        <f>HYPERLINK("https://www.boe.es/gazeta/dias/1839/06/13/pdfs/GMD-1839-1671.pdf#page=1","Abrir facsímil")</f>
        <v>Abrir facsímil</v>
      </c>
      <c r="K3365" s="12" t="s">
        <v>24</v>
      </c>
    </row>
    <row r="3366" spans="1:11" ht="40.049999999999997" customHeight="1" x14ac:dyDescent="0.25">
      <c r="A3366" s="11" t="s">
        <v>7233</v>
      </c>
      <c r="B3366" s="11" t="s">
        <v>7234</v>
      </c>
      <c r="C3366" s="11" t="s">
        <v>17</v>
      </c>
      <c r="D3366" s="11" t="s">
        <v>18</v>
      </c>
      <c r="E3366" s="12" t="s">
        <v>844</v>
      </c>
      <c r="F3366" s="12" t="s">
        <v>845</v>
      </c>
      <c r="G3366" s="12" t="s">
        <v>46</v>
      </c>
      <c r="H3366" s="11" t="s">
        <v>22</v>
      </c>
      <c r="I3366" s="13" t="s">
        <v>7237</v>
      </c>
      <c r="J3366" s="14" t="str">
        <f>HYPERLINK("https://www.boe.es/gazeta/dias/1839/12/24/pdfs/GMD-1839-1871.pdf#page=3","Abrir facsímil")</f>
        <v>Abrir facsímil</v>
      </c>
      <c r="K3366" s="12" t="s">
        <v>24</v>
      </c>
    </row>
    <row r="3367" spans="1:11" ht="40.049999999999997" customHeight="1" x14ac:dyDescent="0.25">
      <c r="A3367" s="11" t="s">
        <v>7238</v>
      </c>
      <c r="B3367" s="11" t="s">
        <v>7239</v>
      </c>
      <c r="C3367" s="11" t="s">
        <v>101</v>
      </c>
      <c r="D3367" s="11" t="s">
        <v>102</v>
      </c>
      <c r="E3367" s="12" t="s">
        <v>438</v>
      </c>
      <c r="F3367" s="12" t="s">
        <v>439</v>
      </c>
      <c r="G3367" s="12" t="s">
        <v>40</v>
      </c>
      <c r="H3367" s="11" t="s">
        <v>22</v>
      </c>
      <c r="I3367" s="13" t="s">
        <v>7240</v>
      </c>
      <c r="J3367" s="14" t="str">
        <f>HYPERLINK("https://www.boe.es/gazeta/dias/1839/07/17/pdfs/GMD-1839-1705.pdf#page=2","Abrir facsímil")</f>
        <v>Abrir facsímil</v>
      </c>
      <c r="K3367" s="12" t="s">
        <v>24</v>
      </c>
    </row>
    <row r="3368" spans="1:11" ht="40.049999999999997" customHeight="1" x14ac:dyDescent="0.25">
      <c r="A3368" s="11" t="s">
        <v>7241</v>
      </c>
      <c r="B3368" s="11" t="s">
        <v>7242</v>
      </c>
      <c r="C3368" s="11" t="s">
        <v>17</v>
      </c>
      <c r="D3368" s="11" t="s">
        <v>18</v>
      </c>
      <c r="E3368" s="12" t="s">
        <v>258</v>
      </c>
      <c r="F3368" s="12" t="s">
        <v>259</v>
      </c>
      <c r="G3368" s="12" t="s">
        <v>46</v>
      </c>
      <c r="H3368" s="11" t="s">
        <v>22</v>
      </c>
      <c r="I3368" s="13" t="s">
        <v>7243</v>
      </c>
      <c r="J3368" s="14" t="str">
        <f>HYPERLINK("https://www.boe.es/gazeta/dias/1839/01/02/pdfs/GMD-1839-1509.pdf#page=3","Abrir facsímil")</f>
        <v>Abrir facsímil</v>
      </c>
      <c r="K3368" s="12" t="s">
        <v>24</v>
      </c>
    </row>
    <row r="3369" spans="1:11" ht="40.049999999999997" customHeight="1" x14ac:dyDescent="0.25">
      <c r="A3369" s="11" t="s">
        <v>7244</v>
      </c>
      <c r="B3369" s="11" t="s">
        <v>7245</v>
      </c>
      <c r="C3369" s="11" t="s">
        <v>59</v>
      </c>
      <c r="D3369" s="11" t="s">
        <v>60</v>
      </c>
      <c r="E3369" s="12" t="s">
        <v>349</v>
      </c>
      <c r="F3369" s="12" t="s">
        <v>350</v>
      </c>
      <c r="G3369" s="12" t="s">
        <v>40</v>
      </c>
      <c r="H3369" s="11" t="s">
        <v>63</v>
      </c>
      <c r="I3369" s="13" t="s">
        <v>7246</v>
      </c>
      <c r="J3369" s="14" t="str">
        <f>HYPERLINK("https://www.boe.es/gazeta/dias/1839/12/25/pdfs/GMD-1839-1872.pdf#page=2","Abrir facsímil")</f>
        <v>Abrir facsímil</v>
      </c>
      <c r="K3369" s="12" t="s">
        <v>65</v>
      </c>
    </row>
    <row r="3370" spans="1:11" ht="40.049999999999997" customHeight="1" x14ac:dyDescent="0.25">
      <c r="A3370" s="11" t="s">
        <v>7247</v>
      </c>
      <c r="B3370" s="11" t="s">
        <v>7248</v>
      </c>
      <c r="C3370" s="11" t="s">
        <v>17</v>
      </c>
      <c r="D3370" s="11" t="s">
        <v>18</v>
      </c>
      <c r="E3370" s="12" t="s">
        <v>3601</v>
      </c>
      <c r="F3370" s="12" t="s">
        <v>3602</v>
      </c>
      <c r="G3370" s="12" t="s">
        <v>29</v>
      </c>
      <c r="H3370" s="11" t="s">
        <v>63</v>
      </c>
      <c r="I3370" s="13" t="s">
        <v>7249</v>
      </c>
      <c r="J3370" s="14" t="str">
        <f>HYPERLINK("https://www.boe.es/gazeta/dias/1839/03/21/pdfs/GMD-1839-1587.pdf#page=1","Abrir facsímil")</f>
        <v>Abrir facsímil</v>
      </c>
      <c r="K3370" s="12" t="s">
        <v>65</v>
      </c>
    </row>
    <row r="3371" spans="1:11" ht="40.049999999999997" customHeight="1" x14ac:dyDescent="0.25">
      <c r="A3371" s="11" t="s">
        <v>7250</v>
      </c>
      <c r="B3371" s="11" t="s">
        <v>7251</v>
      </c>
      <c r="C3371" s="11" t="s">
        <v>80</v>
      </c>
      <c r="D3371" s="11" t="s">
        <v>18</v>
      </c>
      <c r="E3371" s="12" t="s">
        <v>951</v>
      </c>
      <c r="F3371" s="12" t="s">
        <v>952</v>
      </c>
      <c r="G3371" s="12" t="s">
        <v>46</v>
      </c>
      <c r="H3371" s="11" t="s">
        <v>63</v>
      </c>
      <c r="I3371" s="13" t="s">
        <v>7252</v>
      </c>
      <c r="J3371" s="14" t="str">
        <f>HYPERLINK("https://www.boe.es/gazeta/dias/1839/12/30/pdfs/GMD-1839-1877.pdf#page=3","Abrir facsímil")</f>
        <v>Abrir facsímil</v>
      </c>
      <c r="K3371" s="12" t="s">
        <v>65</v>
      </c>
    </row>
    <row r="3372" spans="1:11" ht="40.049999999999997" customHeight="1" x14ac:dyDescent="0.25">
      <c r="A3372" s="11" t="s">
        <v>7253</v>
      </c>
      <c r="B3372" s="11" t="s">
        <v>7254</v>
      </c>
      <c r="C3372" s="11" t="s">
        <v>59</v>
      </c>
      <c r="D3372" s="11" t="s">
        <v>60</v>
      </c>
      <c r="E3372" s="12" t="s">
        <v>1072</v>
      </c>
      <c r="F3372" s="12" t="s">
        <v>1073</v>
      </c>
      <c r="G3372" s="12" t="s">
        <v>29</v>
      </c>
      <c r="H3372" s="11" t="s">
        <v>63</v>
      </c>
      <c r="I3372" s="13" t="s">
        <v>7255</v>
      </c>
      <c r="J3372" s="14" t="str">
        <f>HYPERLINK("https://www.boe.es/gazeta/dias/1839/01/18/pdfs/GMD-1839-1525.pdf#page=1","Abrir facsímil")</f>
        <v>Abrir facsímil</v>
      </c>
      <c r="K3372" s="12" t="s">
        <v>65</v>
      </c>
    </row>
    <row r="3373" spans="1:11" ht="40.049999999999997" customHeight="1" x14ac:dyDescent="0.25">
      <c r="A3373" s="11" t="s">
        <v>7256</v>
      </c>
      <c r="B3373" s="11" t="s">
        <v>7257</v>
      </c>
      <c r="C3373" s="11" t="s">
        <v>80</v>
      </c>
      <c r="D3373" s="11" t="s">
        <v>18</v>
      </c>
      <c r="E3373" s="12" t="s">
        <v>269</v>
      </c>
      <c r="F3373" s="12" t="s">
        <v>270</v>
      </c>
      <c r="G3373" s="12" t="s">
        <v>21</v>
      </c>
      <c r="H3373" s="11" t="s">
        <v>63</v>
      </c>
      <c r="I3373" s="13" t="s">
        <v>7258</v>
      </c>
      <c r="J3373" s="14" t="str">
        <f>HYPERLINK("https://www.boe.es/gazeta/dias/1839/02/10/pdfs/GMD-1839-1548.pdf#page=4","Abrir facsímil")</f>
        <v>Abrir facsímil</v>
      </c>
      <c r="K3373" s="12" t="s">
        <v>65</v>
      </c>
    </row>
    <row r="3374" spans="1:11" ht="40.049999999999997" customHeight="1" x14ac:dyDescent="0.25">
      <c r="A3374" s="11" t="s">
        <v>7259</v>
      </c>
      <c r="B3374" s="11" t="s">
        <v>7260</v>
      </c>
      <c r="C3374" s="11" t="s">
        <v>80</v>
      </c>
      <c r="D3374" s="11" t="s">
        <v>18</v>
      </c>
      <c r="E3374" s="12" t="s">
        <v>360</v>
      </c>
      <c r="F3374" s="12" t="s">
        <v>361</v>
      </c>
      <c r="G3374" s="12" t="s">
        <v>29</v>
      </c>
      <c r="H3374" s="11" t="s">
        <v>63</v>
      </c>
      <c r="I3374" s="13" t="s">
        <v>7261</v>
      </c>
      <c r="J3374" s="14" t="str">
        <f>HYPERLINK("https://www.boe.es/gazeta/dias/1839/08/22/pdfs/GMD-1839-1743.pdf#page=1","Abrir facsímil")</f>
        <v>Abrir facsímil</v>
      </c>
      <c r="K3374" s="12" t="s">
        <v>65</v>
      </c>
    </row>
    <row r="3375" spans="1:11" ht="40.049999999999997" customHeight="1" x14ac:dyDescent="0.25">
      <c r="A3375" s="11" t="s">
        <v>7262</v>
      </c>
      <c r="B3375" s="11" t="s">
        <v>7263</v>
      </c>
      <c r="C3375" s="11" t="s">
        <v>80</v>
      </c>
      <c r="D3375" s="11" t="s">
        <v>18</v>
      </c>
      <c r="E3375" s="12" t="s">
        <v>2415</v>
      </c>
      <c r="F3375" s="12" t="s">
        <v>2416</v>
      </c>
      <c r="G3375" s="12" t="s">
        <v>21</v>
      </c>
      <c r="H3375" s="11" t="s">
        <v>63</v>
      </c>
      <c r="I3375" s="13" t="s">
        <v>7264</v>
      </c>
      <c r="J3375" s="14" t="str">
        <f>HYPERLINK("https://www.boe.es/gazeta/dias/1839/12/22/pdfs/GMD-1839-1869.pdf#page=4","Abrir facsímil")</f>
        <v>Abrir facsímil</v>
      </c>
      <c r="K3375" s="12" t="s">
        <v>65</v>
      </c>
    </row>
    <row r="3376" spans="1:11" ht="40.049999999999997" customHeight="1" x14ac:dyDescent="0.25">
      <c r="A3376" s="11" t="s">
        <v>7265</v>
      </c>
      <c r="B3376" s="11" t="s">
        <v>7266</v>
      </c>
      <c r="C3376" s="11" t="s">
        <v>80</v>
      </c>
      <c r="D3376" s="11" t="s">
        <v>173</v>
      </c>
      <c r="E3376" s="12" t="s">
        <v>544</v>
      </c>
      <c r="F3376" s="12" t="s">
        <v>545</v>
      </c>
      <c r="G3376" s="12" t="s">
        <v>21</v>
      </c>
      <c r="H3376" s="11" t="s">
        <v>63</v>
      </c>
      <c r="I3376" s="13" t="s">
        <v>7267</v>
      </c>
      <c r="J3376" s="14" t="str">
        <f>HYPERLINK("https://www.boe.es/gazeta/dias/1839/11/11/pdfs/GMD-1839-1828.pdf#page=4","Abrir facsímil")</f>
        <v>Abrir facsímil</v>
      </c>
      <c r="K3376" s="12" t="s">
        <v>65</v>
      </c>
    </row>
    <row r="3377" spans="1:11" ht="40.049999999999997" customHeight="1" x14ac:dyDescent="0.25">
      <c r="A3377" s="11" t="s">
        <v>7268</v>
      </c>
      <c r="B3377" s="11" t="s">
        <v>7269</v>
      </c>
      <c r="C3377" s="11" t="s">
        <v>17</v>
      </c>
      <c r="D3377" s="11" t="s">
        <v>18</v>
      </c>
      <c r="E3377" s="12" t="s">
        <v>2491</v>
      </c>
      <c r="F3377" s="12" t="s">
        <v>2492</v>
      </c>
      <c r="G3377" s="12" t="s">
        <v>21</v>
      </c>
      <c r="H3377" s="11" t="s">
        <v>63</v>
      </c>
      <c r="I3377" s="13" t="s">
        <v>7270</v>
      </c>
      <c r="J3377" s="14" t="str">
        <f>HYPERLINK("https://www.boe.es/gazeta/dias/1839/05/01/pdfs/GMD-1839-1628.pdf#page=4","Abrir facsímil")</f>
        <v>Abrir facsímil</v>
      </c>
      <c r="K3377" s="12" t="s">
        <v>65</v>
      </c>
    </row>
    <row r="3378" spans="1:11" ht="40.049999999999997" customHeight="1" x14ac:dyDescent="0.25">
      <c r="A3378" s="11" t="s">
        <v>7268</v>
      </c>
      <c r="B3378" s="11" t="s">
        <v>7269</v>
      </c>
      <c r="C3378" s="11" t="s">
        <v>17</v>
      </c>
      <c r="D3378" s="11" t="s">
        <v>18</v>
      </c>
      <c r="E3378" s="12" t="s">
        <v>1366</v>
      </c>
      <c r="F3378" s="12" t="s">
        <v>1367</v>
      </c>
      <c r="G3378" s="12" t="s">
        <v>21</v>
      </c>
      <c r="H3378" s="11" t="s">
        <v>63</v>
      </c>
      <c r="I3378" s="13" t="s">
        <v>7271</v>
      </c>
      <c r="J3378" s="14" t="str">
        <f>HYPERLINK("https://www.boe.es/gazeta/dias/1839/09/09/pdfs/GMD-1839-1762.pdf#page=4","Abrir facsímil")</f>
        <v>Abrir facsímil</v>
      </c>
      <c r="K3378" s="12" t="s">
        <v>65</v>
      </c>
    </row>
    <row r="3379" spans="1:11" ht="40.049999999999997" customHeight="1" x14ac:dyDescent="0.25">
      <c r="A3379" s="11" t="s">
        <v>7268</v>
      </c>
      <c r="B3379" s="11" t="s">
        <v>7269</v>
      </c>
      <c r="C3379" s="11" t="s">
        <v>17</v>
      </c>
      <c r="D3379" s="11" t="s">
        <v>18</v>
      </c>
      <c r="E3379" s="12" t="s">
        <v>1414</v>
      </c>
      <c r="F3379" s="12" t="s">
        <v>1415</v>
      </c>
      <c r="G3379" s="12" t="s">
        <v>21</v>
      </c>
      <c r="H3379" s="11" t="s">
        <v>63</v>
      </c>
      <c r="I3379" s="13" t="s">
        <v>7272</v>
      </c>
      <c r="J3379" s="14" t="str">
        <f>HYPERLINK("https://www.boe.es/gazeta/dias/1839/06/12/pdfs/GMD-1839-1670.pdf#page=4","Abrir facsímil")</f>
        <v>Abrir facsímil</v>
      </c>
      <c r="K3379" s="12" t="s">
        <v>65</v>
      </c>
    </row>
    <row r="3380" spans="1:11" ht="40.049999999999997" customHeight="1" x14ac:dyDescent="0.25">
      <c r="A3380" s="11" t="s">
        <v>7268</v>
      </c>
      <c r="B3380" s="11" t="s">
        <v>7269</v>
      </c>
      <c r="C3380" s="11" t="s">
        <v>17</v>
      </c>
      <c r="D3380" s="11" t="s">
        <v>18</v>
      </c>
      <c r="E3380" s="12" t="s">
        <v>513</v>
      </c>
      <c r="F3380" s="12" t="s">
        <v>514</v>
      </c>
      <c r="G3380" s="12" t="s">
        <v>21</v>
      </c>
      <c r="H3380" s="11" t="s">
        <v>63</v>
      </c>
      <c r="I3380" s="13" t="s">
        <v>7273</v>
      </c>
      <c r="J3380" s="14" t="str">
        <f>HYPERLINK("https://www.boe.es/gazeta/dias/1839/03/17/pdfs/GMD-1839-1583.pdf#page=4","Abrir facsímil")</f>
        <v>Abrir facsímil</v>
      </c>
      <c r="K3380" s="12" t="s">
        <v>65</v>
      </c>
    </row>
    <row r="3381" spans="1:11" ht="40.049999999999997" customHeight="1" x14ac:dyDescent="0.25">
      <c r="A3381" s="11" t="s">
        <v>7268</v>
      </c>
      <c r="B3381" s="11" t="s">
        <v>7269</v>
      </c>
      <c r="C3381" s="11" t="s">
        <v>80</v>
      </c>
      <c r="D3381" s="11" t="s">
        <v>18</v>
      </c>
      <c r="E3381" s="12" t="s">
        <v>616</v>
      </c>
      <c r="F3381" s="12" t="s">
        <v>617</v>
      </c>
      <c r="G3381" s="12" t="s">
        <v>21</v>
      </c>
      <c r="H3381" s="11" t="s">
        <v>63</v>
      </c>
      <c r="I3381" s="13" t="s">
        <v>7274</v>
      </c>
      <c r="J3381" s="14" t="str">
        <f>HYPERLINK("https://www.boe.es/gazeta/dias/1839/05/29/pdfs/GMD-1839-1656.pdf#page=4","Abrir facsímil")</f>
        <v>Abrir facsímil</v>
      </c>
      <c r="K3381" s="12" t="s">
        <v>65</v>
      </c>
    </row>
    <row r="3382" spans="1:11" ht="40.049999999999997" customHeight="1" x14ac:dyDescent="0.25">
      <c r="A3382" s="11" t="s">
        <v>7275</v>
      </c>
      <c r="B3382" s="11" t="s">
        <v>7276</v>
      </c>
      <c r="C3382" s="11" t="s">
        <v>17</v>
      </c>
      <c r="D3382" s="11" t="s">
        <v>18</v>
      </c>
      <c r="E3382" s="12" t="s">
        <v>355</v>
      </c>
      <c r="F3382" s="12" t="s">
        <v>356</v>
      </c>
      <c r="G3382" s="12" t="s">
        <v>29</v>
      </c>
      <c r="H3382" s="11" t="s">
        <v>63</v>
      </c>
      <c r="I3382" s="13" t="s">
        <v>7277</v>
      </c>
      <c r="J3382" s="14" t="str">
        <f>HYPERLINK("https://www.boe.es/gazeta/dias/1839/05/31/pdfs/GMD-1839-1658.pdf#page=1","Abrir facsímil")</f>
        <v>Abrir facsímil</v>
      </c>
      <c r="K3382" s="12" t="s">
        <v>65</v>
      </c>
    </row>
    <row r="3383" spans="1:11" ht="40.049999999999997" customHeight="1" x14ac:dyDescent="0.25">
      <c r="A3383" s="11" t="s">
        <v>7278</v>
      </c>
      <c r="B3383" s="11" t="s">
        <v>7279</v>
      </c>
      <c r="C3383" s="11" t="s">
        <v>17</v>
      </c>
      <c r="D3383" s="11" t="s">
        <v>18</v>
      </c>
      <c r="E3383" s="12" t="s">
        <v>276</v>
      </c>
      <c r="F3383" s="12" t="s">
        <v>277</v>
      </c>
      <c r="G3383" s="12" t="s">
        <v>46</v>
      </c>
      <c r="H3383" s="11" t="s">
        <v>63</v>
      </c>
      <c r="I3383" s="13" t="s">
        <v>7280</v>
      </c>
      <c r="J3383" s="14" t="str">
        <f>HYPERLINK("https://www.boe.es/gazeta/dias/1839/09/24/pdfs/GMD-1839-1780.pdf#page=3","Abrir facsímil")</f>
        <v>Abrir facsímil</v>
      </c>
      <c r="K3383" s="12" t="s">
        <v>65</v>
      </c>
    </row>
    <row r="3384" spans="1:11" ht="40.049999999999997" customHeight="1" x14ac:dyDescent="0.25">
      <c r="A3384" s="11" t="s">
        <v>7281</v>
      </c>
      <c r="B3384" s="11" t="s">
        <v>7282</v>
      </c>
      <c r="C3384" s="11" t="s">
        <v>137</v>
      </c>
      <c r="D3384" s="11" t="s">
        <v>18</v>
      </c>
      <c r="E3384" s="12" t="s">
        <v>1807</v>
      </c>
      <c r="F3384" s="12" t="s">
        <v>1808</v>
      </c>
      <c r="G3384" s="12" t="s">
        <v>40</v>
      </c>
      <c r="H3384" s="11" t="s">
        <v>63</v>
      </c>
      <c r="I3384" s="13" t="s">
        <v>7283</v>
      </c>
      <c r="J3384" s="14" t="str">
        <f>HYPERLINK("https://www.boe.es/gazeta/dias/1839/01/29/pdfs/GMD-1839-1536.pdf#page=2","Abrir facsímil")</f>
        <v>Abrir facsímil</v>
      </c>
      <c r="K3384" s="12" t="s">
        <v>65</v>
      </c>
    </row>
    <row r="3385" spans="1:11" ht="40.049999999999997" customHeight="1" x14ac:dyDescent="0.25">
      <c r="A3385" s="11" t="s">
        <v>7281</v>
      </c>
      <c r="B3385" s="11" t="s">
        <v>7282</v>
      </c>
      <c r="C3385" s="11" t="s">
        <v>101</v>
      </c>
      <c r="D3385" s="11" t="s">
        <v>43</v>
      </c>
      <c r="E3385" s="12" t="s">
        <v>1988</v>
      </c>
      <c r="F3385" s="12" t="s">
        <v>1989</v>
      </c>
      <c r="G3385" s="12" t="s">
        <v>40</v>
      </c>
      <c r="H3385" s="11" t="s">
        <v>63</v>
      </c>
      <c r="I3385" s="13" t="s">
        <v>7284</v>
      </c>
      <c r="J3385" s="14" t="str">
        <f>HYPERLINK("https://www.boe.es/gazeta/dias/1839/10/29/pdfs/GMD-1839-1815.pdf#page=2","Abrir facsímil")</f>
        <v>Abrir facsímil</v>
      </c>
      <c r="K3385" s="12" t="s">
        <v>65</v>
      </c>
    </row>
    <row r="3386" spans="1:11" ht="40.049999999999997" customHeight="1" x14ac:dyDescent="0.25">
      <c r="A3386" s="11" t="s">
        <v>7285</v>
      </c>
      <c r="B3386" s="11" t="s">
        <v>7286</v>
      </c>
      <c r="C3386" s="11" t="s">
        <v>59</v>
      </c>
      <c r="D3386" s="11" t="s">
        <v>60</v>
      </c>
      <c r="E3386" s="12" t="s">
        <v>1108</v>
      </c>
      <c r="F3386" s="12" t="s">
        <v>1109</v>
      </c>
      <c r="G3386" s="12" t="s">
        <v>21</v>
      </c>
      <c r="H3386" s="11" t="s">
        <v>63</v>
      </c>
      <c r="I3386" s="13" t="s">
        <v>7287</v>
      </c>
      <c r="J3386" s="14" t="str">
        <f>HYPERLINK("https://www.boe.es/gazeta/dias/1839/09/21/pdfs/GMD-1839-1776.pdf#page=4","Abrir facsímil")</f>
        <v>Abrir facsímil</v>
      </c>
      <c r="K3386" s="12" t="s">
        <v>65</v>
      </c>
    </row>
    <row r="3387" spans="1:11" ht="40.049999999999997" customHeight="1" x14ac:dyDescent="0.25">
      <c r="A3387" s="11" t="s">
        <v>7288</v>
      </c>
      <c r="B3387" s="11" t="s">
        <v>7289</v>
      </c>
      <c r="C3387" s="11" t="s">
        <v>17</v>
      </c>
      <c r="D3387" s="11" t="s">
        <v>18</v>
      </c>
      <c r="E3387" s="12" t="s">
        <v>1100</v>
      </c>
      <c r="F3387" s="12" t="s">
        <v>1101</v>
      </c>
      <c r="G3387" s="12" t="s">
        <v>21</v>
      </c>
      <c r="H3387" s="11" t="s">
        <v>63</v>
      </c>
      <c r="I3387" s="13" t="s">
        <v>7290</v>
      </c>
      <c r="J3387" s="14" t="str">
        <f>HYPERLINK("https://www.boe.es/gazeta/dias/1839/09/13/pdfs/GMD-1839-1766.pdf#page=4","Abrir facsímil")</f>
        <v>Abrir facsímil</v>
      </c>
      <c r="K3387" s="12" t="s">
        <v>65</v>
      </c>
    </row>
    <row r="3388" spans="1:11" ht="40.049999999999997" customHeight="1" x14ac:dyDescent="0.25">
      <c r="A3388" s="11" t="s">
        <v>7291</v>
      </c>
      <c r="B3388" s="11" t="s">
        <v>7292</v>
      </c>
      <c r="C3388" s="11" t="s">
        <v>17</v>
      </c>
      <c r="D3388" s="11" t="s">
        <v>18</v>
      </c>
      <c r="E3388" s="12" t="s">
        <v>2415</v>
      </c>
      <c r="F3388" s="12" t="s">
        <v>2416</v>
      </c>
      <c r="G3388" s="12" t="s">
        <v>29</v>
      </c>
      <c r="H3388" s="11" t="s">
        <v>63</v>
      </c>
      <c r="I3388" s="13" t="s">
        <v>7293</v>
      </c>
      <c r="J3388" s="14" t="str">
        <f>HYPERLINK("https://www.boe.es/gazeta/dias/1839/12/22/pdfs/GMD-1839-1869.pdf#page=1","Abrir facsímil")</f>
        <v>Abrir facsímil</v>
      </c>
      <c r="K3388" s="12" t="s">
        <v>65</v>
      </c>
    </row>
    <row r="3389" spans="1:11" ht="40.049999999999997" customHeight="1" x14ac:dyDescent="0.25">
      <c r="A3389" s="11" t="s">
        <v>7294</v>
      </c>
      <c r="B3389" s="11" t="s">
        <v>7295</v>
      </c>
      <c r="C3389" s="11" t="s">
        <v>17</v>
      </c>
      <c r="D3389" s="11" t="s">
        <v>18</v>
      </c>
      <c r="E3389" s="12" t="s">
        <v>516</v>
      </c>
      <c r="F3389" s="12" t="s">
        <v>517</v>
      </c>
      <c r="G3389" s="12" t="s">
        <v>21</v>
      </c>
      <c r="H3389" s="11" t="s">
        <v>63</v>
      </c>
      <c r="I3389" s="13" t="s">
        <v>7296</v>
      </c>
      <c r="J3389" s="14" t="str">
        <f>HYPERLINK("https://www.boe.es/gazeta/dias/1839/06/21/pdfs/GMD-1839-1679.pdf#page=4","Abrir facsímil")</f>
        <v>Abrir facsímil</v>
      </c>
      <c r="K3389" s="12" t="s">
        <v>65</v>
      </c>
    </row>
    <row r="3390" spans="1:11" ht="40.049999999999997" customHeight="1" x14ac:dyDescent="0.25">
      <c r="A3390" s="11" t="s">
        <v>7294</v>
      </c>
      <c r="B3390" s="11" t="s">
        <v>7295</v>
      </c>
      <c r="C3390" s="11" t="s">
        <v>17</v>
      </c>
      <c r="D3390" s="11" t="s">
        <v>18</v>
      </c>
      <c r="E3390" s="12" t="s">
        <v>474</v>
      </c>
      <c r="F3390" s="12" t="s">
        <v>475</v>
      </c>
      <c r="G3390" s="12" t="s">
        <v>46</v>
      </c>
      <c r="H3390" s="11" t="s">
        <v>63</v>
      </c>
      <c r="I3390" s="13" t="s">
        <v>7297</v>
      </c>
      <c r="J3390" s="14" t="str">
        <f>HYPERLINK("https://www.boe.es/gazeta/dias/1839/03/31/pdfs/GMD-1839-1597.pdf#page=3","Abrir facsímil")</f>
        <v>Abrir facsímil</v>
      </c>
      <c r="K3390" s="12" t="s">
        <v>65</v>
      </c>
    </row>
    <row r="3391" spans="1:11" ht="40.049999999999997" customHeight="1" x14ac:dyDescent="0.25">
      <c r="A3391" s="11" t="s">
        <v>7298</v>
      </c>
      <c r="B3391" s="11" t="s">
        <v>7299</v>
      </c>
      <c r="C3391" s="11" t="s">
        <v>17</v>
      </c>
      <c r="D3391" s="11" t="s">
        <v>18</v>
      </c>
      <c r="E3391" s="12" t="s">
        <v>587</v>
      </c>
      <c r="F3391" s="12" t="s">
        <v>588</v>
      </c>
      <c r="G3391" s="12" t="s">
        <v>40</v>
      </c>
      <c r="H3391" s="11" t="s">
        <v>63</v>
      </c>
      <c r="I3391" s="13" t="s">
        <v>7300</v>
      </c>
      <c r="J3391" s="14" t="str">
        <f>HYPERLINK("https://www.boe.es/gazeta/dias/1839/05/02/pdfs/GMD-1839-1629.pdf#page=2","Abrir facsímil")</f>
        <v>Abrir facsímil</v>
      </c>
      <c r="K3391" s="12" t="s">
        <v>65</v>
      </c>
    </row>
    <row r="3392" spans="1:11" ht="40.049999999999997" customHeight="1" x14ac:dyDescent="0.25">
      <c r="A3392" s="11" t="s">
        <v>7301</v>
      </c>
      <c r="B3392" s="11" t="s">
        <v>7302</v>
      </c>
      <c r="C3392" s="11" t="s">
        <v>17</v>
      </c>
      <c r="D3392" s="11" t="s">
        <v>18</v>
      </c>
      <c r="E3392" s="12" t="s">
        <v>254</v>
      </c>
      <c r="F3392" s="12" t="s">
        <v>255</v>
      </c>
      <c r="G3392" s="12" t="s">
        <v>46</v>
      </c>
      <c r="H3392" s="11" t="s">
        <v>63</v>
      </c>
      <c r="I3392" s="13" t="s">
        <v>7303</v>
      </c>
      <c r="J3392" s="14" t="str">
        <f>HYPERLINK("https://www.boe.es/gazeta/dias/1839/09/12/pdfs/GMD-1839-1765.pdf#page=3","Abrir facsímil")</f>
        <v>Abrir facsímil</v>
      </c>
      <c r="K3392" s="12" t="s">
        <v>65</v>
      </c>
    </row>
    <row r="3393" spans="1:11" ht="40.049999999999997" customHeight="1" x14ac:dyDescent="0.25">
      <c r="A3393" s="11" t="s">
        <v>7304</v>
      </c>
      <c r="B3393" s="11" t="s">
        <v>7305</v>
      </c>
      <c r="C3393" s="11" t="s">
        <v>17</v>
      </c>
      <c r="D3393" s="11" t="s">
        <v>18</v>
      </c>
      <c r="E3393" s="12" t="s">
        <v>239</v>
      </c>
      <c r="F3393" s="12" t="s">
        <v>240</v>
      </c>
      <c r="G3393" s="12" t="s">
        <v>21</v>
      </c>
      <c r="H3393" s="11" t="s">
        <v>63</v>
      </c>
      <c r="I3393" s="13" t="s">
        <v>7306</v>
      </c>
      <c r="J3393" s="14" t="str">
        <f>HYPERLINK("https://www.boe.es/gazeta/dias/1839/09/22/pdfs/GMD-1839-1777.pdf#page=4","Abrir facsímil")</f>
        <v>Abrir facsímil</v>
      </c>
      <c r="K3393" s="12" t="s">
        <v>65</v>
      </c>
    </row>
    <row r="3394" spans="1:11" ht="40.049999999999997" customHeight="1" x14ac:dyDescent="0.25">
      <c r="A3394" s="11" t="s">
        <v>7307</v>
      </c>
      <c r="B3394" s="11" t="s">
        <v>7308</v>
      </c>
      <c r="C3394" s="11" t="s">
        <v>17</v>
      </c>
      <c r="D3394" s="11" t="s">
        <v>18</v>
      </c>
      <c r="E3394" s="12" t="s">
        <v>500</v>
      </c>
      <c r="F3394" s="12" t="s">
        <v>501</v>
      </c>
      <c r="G3394" s="12" t="s">
        <v>21</v>
      </c>
      <c r="H3394" s="11" t="s">
        <v>63</v>
      </c>
      <c r="I3394" s="13" t="s">
        <v>7309</v>
      </c>
      <c r="J3394" s="14" t="str">
        <f>HYPERLINK("https://www.boe.es/gazeta/dias/1839/11/06/pdfs/GMD-1839-1823.pdf#page=4","Abrir facsímil")</f>
        <v>Abrir facsímil</v>
      </c>
      <c r="K3394" s="12" t="s">
        <v>65</v>
      </c>
    </row>
    <row r="3395" spans="1:11" ht="40.049999999999997" customHeight="1" x14ac:dyDescent="0.25">
      <c r="A3395" s="11" t="s">
        <v>7310</v>
      </c>
      <c r="B3395" s="11" t="s">
        <v>7311</v>
      </c>
      <c r="C3395" s="11" t="s">
        <v>17</v>
      </c>
      <c r="D3395" s="11" t="s">
        <v>18</v>
      </c>
      <c r="E3395" s="12" t="s">
        <v>798</v>
      </c>
      <c r="F3395" s="12" t="s">
        <v>799</v>
      </c>
      <c r="G3395" s="12" t="s">
        <v>40</v>
      </c>
      <c r="H3395" s="11" t="s">
        <v>63</v>
      </c>
      <c r="I3395" s="13" t="s">
        <v>7312</v>
      </c>
      <c r="J3395" s="14" t="str">
        <f>HYPERLINK("https://www.boe.es/gazeta/dias/1839/09/03/pdfs/GMD-1839-1755.pdf#page=2","Abrir facsímil")</f>
        <v>Abrir facsímil</v>
      </c>
      <c r="K3395" s="12" t="s">
        <v>65</v>
      </c>
    </row>
    <row r="3396" spans="1:11" ht="40.049999999999997" customHeight="1" x14ac:dyDescent="0.25">
      <c r="A3396" s="11" t="s">
        <v>7313</v>
      </c>
      <c r="B3396" s="11" t="s">
        <v>7314</v>
      </c>
      <c r="C3396" s="11" t="s">
        <v>137</v>
      </c>
      <c r="D3396" s="11" t="s">
        <v>18</v>
      </c>
      <c r="E3396" s="12" t="s">
        <v>862</v>
      </c>
      <c r="F3396" s="12" t="s">
        <v>863</v>
      </c>
      <c r="G3396" s="12" t="s">
        <v>46</v>
      </c>
      <c r="H3396" s="11" t="s">
        <v>63</v>
      </c>
      <c r="I3396" s="13" t="s">
        <v>7315</v>
      </c>
      <c r="J3396" s="14" t="str">
        <f>HYPERLINK("https://www.boe.es/gazeta/dias/1839/10/28/pdfs/GMD-1839-1814.pdf#page=3","Abrir facsímil")</f>
        <v>Abrir facsímil</v>
      </c>
      <c r="K3396" s="12" t="s">
        <v>65</v>
      </c>
    </row>
    <row r="3397" spans="1:11" ht="40.049999999999997" customHeight="1" x14ac:dyDescent="0.25">
      <c r="A3397" s="11" t="s">
        <v>7316</v>
      </c>
      <c r="B3397" s="11" t="s">
        <v>7317</v>
      </c>
      <c r="C3397" s="11" t="s">
        <v>17</v>
      </c>
      <c r="D3397" s="11" t="s">
        <v>18</v>
      </c>
      <c r="E3397" s="12" t="s">
        <v>160</v>
      </c>
      <c r="F3397" s="12" t="s">
        <v>161</v>
      </c>
      <c r="G3397" s="12" t="s">
        <v>21</v>
      </c>
      <c r="H3397" s="11" t="s">
        <v>63</v>
      </c>
      <c r="I3397" s="13" t="s">
        <v>7318</v>
      </c>
      <c r="J3397" s="14" t="str">
        <f>HYPERLINK("https://www.boe.es/gazeta/dias/1839/01/10/pdfs/GMD-1839-1517.pdf#page=4","Abrir facsímil")</f>
        <v>Abrir facsímil</v>
      </c>
      <c r="K3397" s="12" t="s">
        <v>65</v>
      </c>
    </row>
    <row r="3398" spans="1:11" ht="40.049999999999997" customHeight="1" x14ac:dyDescent="0.25">
      <c r="A3398" s="11" t="s">
        <v>7319</v>
      </c>
      <c r="B3398" s="11" t="s">
        <v>7320</v>
      </c>
      <c r="C3398" s="11" t="s">
        <v>59</v>
      </c>
      <c r="D3398" s="11" t="s">
        <v>60</v>
      </c>
      <c r="E3398" s="12" t="s">
        <v>202</v>
      </c>
      <c r="F3398" s="12" t="s">
        <v>203</v>
      </c>
      <c r="G3398" s="12" t="s">
        <v>46</v>
      </c>
      <c r="H3398" s="11" t="s">
        <v>63</v>
      </c>
      <c r="I3398" s="13" t="s">
        <v>7321</v>
      </c>
      <c r="J3398" s="14" t="str">
        <f>HYPERLINK("https://www.boe.es/gazeta/dias/1839/04/05/pdfs/GMD-1839-1602.pdf#page=3","Abrir facsímil")</f>
        <v>Abrir facsímil</v>
      </c>
      <c r="K3398" s="12" t="s">
        <v>65</v>
      </c>
    </row>
    <row r="3399" spans="1:11" ht="40.049999999999997" customHeight="1" x14ac:dyDescent="0.25">
      <c r="A3399" s="11" t="s">
        <v>7322</v>
      </c>
      <c r="B3399" s="11" t="s">
        <v>7323</v>
      </c>
      <c r="C3399" s="11" t="s">
        <v>17</v>
      </c>
      <c r="D3399" s="11" t="s">
        <v>18</v>
      </c>
      <c r="E3399" s="12" t="s">
        <v>1027</v>
      </c>
      <c r="F3399" s="12" t="s">
        <v>1028</v>
      </c>
      <c r="G3399" s="12" t="s">
        <v>21</v>
      </c>
      <c r="H3399" s="11" t="s">
        <v>22</v>
      </c>
      <c r="I3399" s="13" t="s">
        <v>7324</v>
      </c>
      <c r="J3399" s="14" t="str">
        <f>HYPERLINK("https://www.boe.es/gazeta/dias/1839/08/16/pdfs/GMD-1839-1736.pdf#page=4","Abrir facsímil")</f>
        <v>Abrir facsímil</v>
      </c>
      <c r="K3399" s="12" t="s">
        <v>24</v>
      </c>
    </row>
    <row r="3400" spans="1:11" ht="40.049999999999997" customHeight="1" x14ac:dyDescent="0.25">
      <c r="A3400" s="11" t="s">
        <v>7325</v>
      </c>
      <c r="B3400" s="11" t="s">
        <v>7326</v>
      </c>
      <c r="C3400" s="11" t="s">
        <v>137</v>
      </c>
      <c r="D3400" s="11" t="s">
        <v>18</v>
      </c>
      <c r="E3400" s="12" t="s">
        <v>1628</v>
      </c>
      <c r="F3400" s="12" t="s">
        <v>1629</v>
      </c>
      <c r="G3400" s="12" t="s">
        <v>40</v>
      </c>
      <c r="H3400" s="11" t="s">
        <v>22</v>
      </c>
      <c r="I3400" s="13" t="s">
        <v>7327</v>
      </c>
      <c r="J3400" s="14" t="str">
        <f>HYPERLINK("https://www.boe.es/gazeta/dias/1839/03/10/pdfs/GMD-1839-1576.pdf#page=2","Abrir facsímil")</f>
        <v>Abrir facsímil</v>
      </c>
      <c r="K3400" s="12" t="s">
        <v>24</v>
      </c>
    </row>
    <row r="3401" spans="1:11" ht="40.049999999999997" customHeight="1" x14ac:dyDescent="0.25">
      <c r="A3401" s="11" t="s">
        <v>7328</v>
      </c>
      <c r="B3401" s="11" t="s">
        <v>7329</v>
      </c>
      <c r="C3401" s="11" t="s">
        <v>80</v>
      </c>
      <c r="D3401" s="11" t="s">
        <v>18</v>
      </c>
      <c r="E3401" s="12" t="s">
        <v>226</v>
      </c>
      <c r="F3401" s="12" t="s">
        <v>227</v>
      </c>
      <c r="G3401" s="12" t="s">
        <v>21</v>
      </c>
      <c r="H3401" s="11" t="s">
        <v>22</v>
      </c>
      <c r="I3401" s="13" t="s">
        <v>7330</v>
      </c>
      <c r="J3401" s="14" t="str">
        <f>HYPERLINK("https://www.boe.es/gazeta/dias/1839/06/09/pdfs/GMD-1839-1667.pdf#page=4","Abrir facsímil")</f>
        <v>Abrir facsímil</v>
      </c>
      <c r="K3401" s="12" t="s">
        <v>24</v>
      </c>
    </row>
    <row r="3402" spans="1:11" ht="40.049999999999997" customHeight="1" x14ac:dyDescent="0.25">
      <c r="A3402" s="11" t="s">
        <v>7331</v>
      </c>
      <c r="B3402" s="11" t="s">
        <v>7332</v>
      </c>
      <c r="C3402" s="11" t="s">
        <v>80</v>
      </c>
      <c r="D3402" s="11" t="s">
        <v>18</v>
      </c>
      <c r="E3402" s="12" t="s">
        <v>5399</v>
      </c>
      <c r="F3402" s="12" t="s">
        <v>5400</v>
      </c>
      <c r="G3402" s="12" t="s">
        <v>40</v>
      </c>
      <c r="H3402" s="11" t="s">
        <v>63</v>
      </c>
      <c r="I3402" s="13" t="s">
        <v>7333</v>
      </c>
      <c r="J3402" s="14" t="str">
        <f>HYPERLINK("https://www.boe.es/gazeta/dias/1839/10/14/pdfs/GMD-1839-1800.pdf#page=2","Abrir facsímil")</f>
        <v>Abrir facsímil</v>
      </c>
      <c r="K3402" s="12" t="s">
        <v>65</v>
      </c>
    </row>
    <row r="3403" spans="1:11" ht="40.049999999999997" customHeight="1" x14ac:dyDescent="0.25">
      <c r="A3403" s="11" t="s">
        <v>7334</v>
      </c>
      <c r="B3403" s="11" t="s">
        <v>7335</v>
      </c>
      <c r="C3403" s="11" t="s">
        <v>80</v>
      </c>
      <c r="D3403" s="11" t="s">
        <v>18</v>
      </c>
      <c r="E3403" s="12" t="s">
        <v>798</v>
      </c>
      <c r="F3403" s="12" t="s">
        <v>799</v>
      </c>
      <c r="G3403" s="12" t="s">
        <v>40</v>
      </c>
      <c r="H3403" s="11" t="s">
        <v>63</v>
      </c>
      <c r="I3403" s="13" t="s">
        <v>7336</v>
      </c>
      <c r="J3403" s="14" t="str">
        <f>HYPERLINK("https://www.boe.es/gazeta/dias/1839/09/03/pdfs/GMD-1839-1755.pdf#page=2","Abrir facsímil")</f>
        <v>Abrir facsímil</v>
      </c>
      <c r="K3403" s="12" t="s">
        <v>65</v>
      </c>
    </row>
    <row r="3404" spans="1:11" ht="40.049999999999997" customHeight="1" x14ac:dyDescent="0.25">
      <c r="A3404" s="11" t="s">
        <v>7334</v>
      </c>
      <c r="B3404" s="11" t="s">
        <v>7335</v>
      </c>
      <c r="C3404" s="11" t="s">
        <v>17</v>
      </c>
      <c r="D3404" s="11" t="s">
        <v>18</v>
      </c>
      <c r="E3404" s="12" t="s">
        <v>49</v>
      </c>
      <c r="F3404" s="12" t="s">
        <v>50</v>
      </c>
      <c r="G3404" s="12" t="s">
        <v>21</v>
      </c>
      <c r="H3404" s="11" t="s">
        <v>63</v>
      </c>
      <c r="I3404" s="13" t="s">
        <v>7337</v>
      </c>
      <c r="J3404" s="14" t="str">
        <f>HYPERLINK("https://www.boe.es/gazeta/dias/1839/01/05/pdfs/GMD-1839-1512.pdf#page=4","Abrir facsímil")</f>
        <v>Abrir facsímil</v>
      </c>
      <c r="K3404" s="12" t="s">
        <v>65</v>
      </c>
    </row>
    <row r="3405" spans="1:11" ht="40.049999999999997" customHeight="1" x14ac:dyDescent="0.25">
      <c r="A3405" s="11" t="s">
        <v>7334</v>
      </c>
      <c r="B3405" s="11" t="s">
        <v>7335</v>
      </c>
      <c r="C3405" s="11" t="s">
        <v>137</v>
      </c>
      <c r="D3405" s="11" t="s">
        <v>18</v>
      </c>
      <c r="E3405" s="12" t="s">
        <v>1509</v>
      </c>
      <c r="F3405" s="12" t="s">
        <v>1510</v>
      </c>
      <c r="G3405" s="12" t="s">
        <v>29</v>
      </c>
      <c r="H3405" s="11" t="s">
        <v>63</v>
      </c>
      <c r="I3405" s="13" t="s">
        <v>7338</v>
      </c>
      <c r="J3405" s="14" t="str">
        <f>HYPERLINK("https://www.boe.es/gazeta/dias/1839/10/07/pdfs/GMD-1839-1793.pdf#page=1","Abrir facsímil")</f>
        <v>Abrir facsímil</v>
      </c>
      <c r="K3405" s="12" t="s">
        <v>65</v>
      </c>
    </row>
    <row r="3406" spans="1:11" ht="40.049999999999997" customHeight="1" x14ac:dyDescent="0.25">
      <c r="A3406" s="11" t="s">
        <v>7334</v>
      </c>
      <c r="B3406" s="11" t="s">
        <v>7335</v>
      </c>
      <c r="C3406" s="11" t="s">
        <v>101</v>
      </c>
      <c r="D3406" s="11" t="s">
        <v>43</v>
      </c>
      <c r="E3406" s="12" t="s">
        <v>2050</v>
      </c>
      <c r="F3406" s="12" t="s">
        <v>2051</v>
      </c>
      <c r="G3406" s="12" t="s">
        <v>40</v>
      </c>
      <c r="H3406" s="11" t="s">
        <v>63</v>
      </c>
      <c r="I3406" s="13" t="s">
        <v>7339</v>
      </c>
      <c r="J3406" s="14" t="str">
        <f>HYPERLINK("https://www.boe.es/gazeta/dias/1839/01/09/pdfs/GMD-1839-1516.pdf#page=2","Abrir facsímil")</f>
        <v>Abrir facsímil</v>
      </c>
      <c r="K3406" s="12" t="s">
        <v>65</v>
      </c>
    </row>
    <row r="3407" spans="1:11" ht="40.049999999999997" customHeight="1" x14ac:dyDescent="0.25">
      <c r="A3407" s="11" t="s">
        <v>7334</v>
      </c>
      <c r="B3407" s="11" t="s">
        <v>7335</v>
      </c>
      <c r="C3407" s="11" t="s">
        <v>17</v>
      </c>
      <c r="D3407" s="11" t="s">
        <v>18</v>
      </c>
      <c r="E3407" s="12" t="s">
        <v>1366</v>
      </c>
      <c r="F3407" s="12" t="s">
        <v>1367</v>
      </c>
      <c r="G3407" s="12" t="s">
        <v>40</v>
      </c>
      <c r="H3407" s="11" t="s">
        <v>63</v>
      </c>
      <c r="I3407" s="13" t="s">
        <v>7340</v>
      </c>
      <c r="J3407" s="14" t="str">
        <f>HYPERLINK("https://www.boe.es/gazeta/dias/1839/09/09/pdfs/GMD-1839-1762.pdf#page=2","Abrir facsímil")</f>
        <v>Abrir facsímil</v>
      </c>
      <c r="K3407" s="12" t="s">
        <v>65</v>
      </c>
    </row>
    <row r="3408" spans="1:11" ht="40.049999999999997" customHeight="1" x14ac:dyDescent="0.25">
      <c r="A3408" s="11" t="s">
        <v>7334</v>
      </c>
      <c r="B3408" s="11" t="s">
        <v>7335</v>
      </c>
      <c r="C3408" s="11" t="s">
        <v>17</v>
      </c>
      <c r="D3408" s="11" t="s">
        <v>18</v>
      </c>
      <c r="E3408" s="12" t="s">
        <v>2650</v>
      </c>
      <c r="F3408" s="12" t="s">
        <v>2651</v>
      </c>
      <c r="G3408" s="12" t="s">
        <v>40</v>
      </c>
      <c r="H3408" s="11" t="s">
        <v>63</v>
      </c>
      <c r="I3408" s="13" t="s">
        <v>7341</v>
      </c>
      <c r="J3408" s="14" t="str">
        <f>HYPERLINK("https://www.boe.es/gazeta/dias/1839/09/15/pdfs/GMD-1839-1768.pdf#page=2","Abrir facsímil")</f>
        <v>Abrir facsímil</v>
      </c>
      <c r="K3408" s="12" t="s">
        <v>65</v>
      </c>
    </row>
    <row r="3409" spans="1:11" ht="40.049999999999997" customHeight="1" x14ac:dyDescent="0.25">
      <c r="A3409" s="11" t="s">
        <v>7334</v>
      </c>
      <c r="B3409" s="11" t="s">
        <v>7335</v>
      </c>
      <c r="C3409" s="11" t="s">
        <v>17</v>
      </c>
      <c r="D3409" s="11" t="s">
        <v>18</v>
      </c>
      <c r="E3409" s="12" t="s">
        <v>2650</v>
      </c>
      <c r="F3409" s="12" t="s">
        <v>2651</v>
      </c>
      <c r="G3409" s="12" t="s">
        <v>46</v>
      </c>
      <c r="H3409" s="11" t="s">
        <v>63</v>
      </c>
      <c r="I3409" s="13" t="s">
        <v>7342</v>
      </c>
      <c r="J3409" s="14" t="str">
        <f>HYPERLINK("https://www.boe.es/gazeta/dias/1839/09/15/pdfs/GMD-1839-1768.pdf#page=3","Abrir facsímil")</f>
        <v>Abrir facsímil</v>
      </c>
      <c r="K3409" s="12" t="s">
        <v>65</v>
      </c>
    </row>
    <row r="3410" spans="1:11" ht="40.049999999999997" customHeight="1" x14ac:dyDescent="0.25">
      <c r="A3410" s="11" t="s">
        <v>7334</v>
      </c>
      <c r="B3410" s="11" t="s">
        <v>7335</v>
      </c>
      <c r="C3410" s="11" t="s">
        <v>17</v>
      </c>
      <c r="D3410" s="11" t="s">
        <v>18</v>
      </c>
      <c r="E3410" s="12" t="s">
        <v>2155</v>
      </c>
      <c r="F3410" s="12" t="s">
        <v>2156</v>
      </c>
      <c r="G3410" s="12" t="s">
        <v>21</v>
      </c>
      <c r="H3410" s="11" t="s">
        <v>63</v>
      </c>
      <c r="I3410" s="13" t="s">
        <v>7343</v>
      </c>
      <c r="J3410" s="14" t="str">
        <f>HYPERLINK("https://www.boe.es/gazeta/dias/1839/01/17/pdfs/GMD-1839-1524.pdf#page=4","Abrir facsímil")</f>
        <v>Abrir facsímil</v>
      </c>
      <c r="K3410" s="12" t="s">
        <v>65</v>
      </c>
    </row>
    <row r="3411" spans="1:11" ht="40.049999999999997" customHeight="1" x14ac:dyDescent="0.25">
      <c r="A3411" s="11" t="s">
        <v>7334</v>
      </c>
      <c r="B3411" s="11" t="s">
        <v>7335</v>
      </c>
      <c r="C3411" s="11" t="s">
        <v>17</v>
      </c>
      <c r="D3411" s="11" t="s">
        <v>18</v>
      </c>
      <c r="E3411" s="12" t="s">
        <v>1565</v>
      </c>
      <c r="F3411" s="12" t="s">
        <v>1566</v>
      </c>
      <c r="G3411" s="12" t="s">
        <v>21</v>
      </c>
      <c r="H3411" s="11" t="s">
        <v>63</v>
      </c>
      <c r="I3411" s="13" t="s">
        <v>7344</v>
      </c>
      <c r="J3411" s="14" t="str">
        <f>HYPERLINK("https://www.boe.es/gazeta/dias/1839/06/17/pdfs/GMD-1839-1675.pdf#page=4","Abrir facsímil")</f>
        <v>Abrir facsímil</v>
      </c>
      <c r="K3411" s="12" t="s">
        <v>65</v>
      </c>
    </row>
    <row r="3412" spans="1:11" ht="40.049999999999997" customHeight="1" x14ac:dyDescent="0.25">
      <c r="A3412" s="11" t="s">
        <v>7334</v>
      </c>
      <c r="B3412" s="11" t="s">
        <v>7335</v>
      </c>
      <c r="C3412" s="11" t="s">
        <v>17</v>
      </c>
      <c r="D3412" s="11" t="s">
        <v>18</v>
      </c>
      <c r="E3412" s="12" t="s">
        <v>233</v>
      </c>
      <c r="F3412" s="12" t="s">
        <v>234</v>
      </c>
      <c r="G3412" s="12" t="s">
        <v>40</v>
      </c>
      <c r="H3412" s="11" t="s">
        <v>63</v>
      </c>
      <c r="I3412" s="13" t="s">
        <v>7345</v>
      </c>
      <c r="J3412" s="14" t="str">
        <f>HYPERLINK("https://www.boe.es/gazeta/dias/1839/09/17/pdfs/GMD-1839-1770.pdf#page=2","Abrir facsímil")</f>
        <v>Abrir facsímil</v>
      </c>
      <c r="K3412" s="12" t="s">
        <v>65</v>
      </c>
    </row>
    <row r="3413" spans="1:11" ht="40.049999999999997" customHeight="1" x14ac:dyDescent="0.25">
      <c r="A3413" s="11" t="s">
        <v>7334</v>
      </c>
      <c r="B3413" s="11" t="s">
        <v>7335</v>
      </c>
      <c r="C3413" s="11" t="s">
        <v>17</v>
      </c>
      <c r="D3413" s="11" t="s">
        <v>18</v>
      </c>
      <c r="E3413" s="12" t="s">
        <v>685</v>
      </c>
      <c r="F3413" s="12" t="s">
        <v>686</v>
      </c>
      <c r="G3413" s="12" t="s">
        <v>29</v>
      </c>
      <c r="H3413" s="11" t="s">
        <v>63</v>
      </c>
      <c r="I3413" s="13" t="s">
        <v>7346</v>
      </c>
      <c r="J3413" s="14" t="str">
        <f>HYPERLINK("https://www.boe.es/gazeta/dias/1839/06/18/pdfs/GMD-1839-1676.pdf#page=1","Abrir facsímil")</f>
        <v>Abrir facsímil</v>
      </c>
      <c r="K3413" s="12" t="s">
        <v>65</v>
      </c>
    </row>
    <row r="3414" spans="1:11" ht="40.049999999999997" customHeight="1" x14ac:dyDescent="0.25">
      <c r="A3414" s="11" t="s">
        <v>7334</v>
      </c>
      <c r="B3414" s="11" t="s">
        <v>7335</v>
      </c>
      <c r="C3414" s="11" t="s">
        <v>17</v>
      </c>
      <c r="D3414" s="11" t="s">
        <v>18</v>
      </c>
      <c r="E3414" s="12" t="s">
        <v>1794</v>
      </c>
      <c r="F3414" s="12" t="s">
        <v>1795</v>
      </c>
      <c r="G3414" s="12" t="s">
        <v>29</v>
      </c>
      <c r="H3414" s="11" t="s">
        <v>63</v>
      </c>
      <c r="I3414" s="13" t="s">
        <v>7347</v>
      </c>
      <c r="J3414" s="14" t="str">
        <f>HYPERLINK("https://www.boe.es/gazeta/dias/1839/02/22/pdfs/GMD-1839-1560.pdf#page=1","Abrir facsímil")</f>
        <v>Abrir facsímil</v>
      </c>
      <c r="K3414" s="12" t="s">
        <v>65</v>
      </c>
    </row>
    <row r="3415" spans="1:11" ht="40.049999999999997" customHeight="1" x14ac:dyDescent="0.25">
      <c r="A3415" s="11" t="s">
        <v>7348</v>
      </c>
      <c r="B3415" s="11" t="s">
        <v>7349</v>
      </c>
      <c r="C3415" s="11" t="s">
        <v>137</v>
      </c>
      <c r="D3415" s="11" t="s">
        <v>18</v>
      </c>
      <c r="E3415" s="12" t="s">
        <v>1772</v>
      </c>
      <c r="F3415" s="12" t="s">
        <v>1773</v>
      </c>
      <c r="G3415" s="12" t="s">
        <v>40</v>
      </c>
      <c r="H3415" s="11" t="s">
        <v>63</v>
      </c>
      <c r="I3415" s="13" t="s">
        <v>7350</v>
      </c>
      <c r="J3415" s="14" t="str">
        <f>HYPERLINK("https://www.boe.es/gazeta/dias/1839/05/07/pdfs/GMD-1839-1634.pdf#page=2","Abrir facsímil")</f>
        <v>Abrir facsímil</v>
      </c>
      <c r="K3415" s="12" t="s">
        <v>65</v>
      </c>
    </row>
    <row r="3416" spans="1:11" ht="40.049999999999997" customHeight="1" x14ac:dyDescent="0.25">
      <c r="A3416" s="11" t="s">
        <v>7348</v>
      </c>
      <c r="B3416" s="11" t="s">
        <v>7349</v>
      </c>
      <c r="C3416" s="11" t="s">
        <v>80</v>
      </c>
      <c r="D3416" s="11" t="s">
        <v>18</v>
      </c>
      <c r="E3416" s="12" t="s">
        <v>3289</v>
      </c>
      <c r="F3416" s="12" t="s">
        <v>3290</v>
      </c>
      <c r="G3416" s="12" t="s">
        <v>29</v>
      </c>
      <c r="H3416" s="11" t="s">
        <v>63</v>
      </c>
      <c r="I3416" s="13" t="s">
        <v>7351</v>
      </c>
      <c r="J3416" s="14" t="str">
        <f>HYPERLINK("https://www.boe.es/gazeta/dias/1839/12/10/pdfs/GMD-1839-1857.pdf#page=1","Abrir facsímil")</f>
        <v>Abrir facsímil</v>
      </c>
      <c r="K3416" s="12" t="s">
        <v>65</v>
      </c>
    </row>
    <row r="3417" spans="1:11" ht="40.049999999999997" customHeight="1" x14ac:dyDescent="0.25">
      <c r="A3417" s="11" t="s">
        <v>7352</v>
      </c>
      <c r="B3417" s="11" t="s">
        <v>7353</v>
      </c>
      <c r="C3417" s="11" t="s">
        <v>17</v>
      </c>
      <c r="D3417" s="11" t="s">
        <v>18</v>
      </c>
      <c r="E3417" s="12" t="s">
        <v>817</v>
      </c>
      <c r="F3417" s="12" t="s">
        <v>818</v>
      </c>
      <c r="G3417" s="12" t="s">
        <v>40</v>
      </c>
      <c r="H3417" s="11" t="s">
        <v>63</v>
      </c>
      <c r="I3417" s="13" t="s">
        <v>7354</v>
      </c>
      <c r="J3417" s="14" t="str">
        <f>HYPERLINK("https://www.boe.es/gazeta/dias/1839/05/28/pdfs/GMD-1839-1655.pdf#page=2","Abrir facsímil")</f>
        <v>Abrir facsímil</v>
      </c>
      <c r="K3417" s="12" t="s">
        <v>65</v>
      </c>
    </row>
    <row r="3418" spans="1:11" ht="40.049999999999997" customHeight="1" x14ac:dyDescent="0.25">
      <c r="A3418" s="11" t="s">
        <v>7355</v>
      </c>
      <c r="B3418" s="11" t="s">
        <v>7356</v>
      </c>
      <c r="C3418" s="11" t="s">
        <v>17</v>
      </c>
      <c r="D3418" s="11" t="s">
        <v>18</v>
      </c>
      <c r="E3418" s="12" t="s">
        <v>1772</v>
      </c>
      <c r="F3418" s="12" t="s">
        <v>1773</v>
      </c>
      <c r="G3418" s="12" t="s">
        <v>40</v>
      </c>
      <c r="H3418" s="11" t="s">
        <v>22</v>
      </c>
      <c r="I3418" s="13" t="s">
        <v>7357</v>
      </c>
      <c r="J3418" s="14" t="str">
        <f>HYPERLINK("https://www.boe.es/gazeta/dias/1839/05/07/pdfs/GMD-1839-1634.pdf#page=2","Abrir facsímil")</f>
        <v>Abrir facsímil</v>
      </c>
      <c r="K3418" s="12" t="s">
        <v>24</v>
      </c>
    </row>
    <row r="3419" spans="1:11" ht="40.049999999999997" customHeight="1" x14ac:dyDescent="0.25">
      <c r="A3419" s="11" t="s">
        <v>7355</v>
      </c>
      <c r="B3419" s="11" t="s">
        <v>7356</v>
      </c>
      <c r="C3419" s="11" t="s">
        <v>17</v>
      </c>
      <c r="D3419" s="11" t="s">
        <v>18</v>
      </c>
      <c r="E3419" s="12" t="s">
        <v>1644</v>
      </c>
      <c r="F3419" s="12" t="s">
        <v>1645</v>
      </c>
      <c r="G3419" s="12" t="s">
        <v>29</v>
      </c>
      <c r="H3419" s="11" t="s">
        <v>22</v>
      </c>
      <c r="I3419" s="13" t="s">
        <v>7358</v>
      </c>
      <c r="J3419" s="14" t="str">
        <f>HYPERLINK("https://www.boe.es/gazeta/dias/1839/04/16/pdfs/GMD-1839-1613.pdf#page=1","Abrir facsímil")</f>
        <v>Abrir facsímil</v>
      </c>
      <c r="K3419" s="12" t="s">
        <v>24</v>
      </c>
    </row>
    <row r="3420" spans="1:11" ht="40.049999999999997" customHeight="1" x14ac:dyDescent="0.25">
      <c r="A3420" s="11" t="s">
        <v>7355</v>
      </c>
      <c r="B3420" s="11" t="s">
        <v>7356</v>
      </c>
      <c r="C3420" s="11" t="s">
        <v>101</v>
      </c>
      <c r="D3420" s="11" t="s">
        <v>102</v>
      </c>
      <c r="E3420" s="12" t="s">
        <v>486</v>
      </c>
      <c r="F3420" s="12" t="s">
        <v>487</v>
      </c>
      <c r="G3420" s="12" t="s">
        <v>29</v>
      </c>
      <c r="H3420" s="11" t="s">
        <v>22</v>
      </c>
      <c r="I3420" s="13" t="s">
        <v>7359</v>
      </c>
      <c r="J3420" s="14" t="str">
        <f>HYPERLINK("https://www.boe.es/gazeta/dias/1839/04/19/pdfs/GMD-1839-1616.pdf#page=1","Abrir facsímil")</f>
        <v>Abrir facsímil</v>
      </c>
      <c r="K3420" s="12" t="s">
        <v>24</v>
      </c>
    </row>
    <row r="3421" spans="1:11" ht="40.049999999999997" customHeight="1" x14ac:dyDescent="0.25">
      <c r="A3421" s="11" t="s">
        <v>7360</v>
      </c>
      <c r="B3421" s="11" t="s">
        <v>7361</v>
      </c>
      <c r="C3421" s="11" t="s">
        <v>17</v>
      </c>
      <c r="D3421" s="11" t="s">
        <v>18</v>
      </c>
      <c r="E3421" s="12" t="s">
        <v>1628</v>
      </c>
      <c r="F3421" s="12" t="s">
        <v>1629</v>
      </c>
      <c r="G3421" s="12" t="s">
        <v>21</v>
      </c>
      <c r="H3421" s="11" t="s">
        <v>22</v>
      </c>
      <c r="I3421" s="13" t="s">
        <v>7362</v>
      </c>
      <c r="J3421" s="14" t="str">
        <f>HYPERLINK("https://www.boe.es/gazeta/dias/1839/03/10/pdfs/GMD-1839-1576.pdf#page=4","Abrir facsímil")</f>
        <v>Abrir facsímil</v>
      </c>
      <c r="K3421" s="12" t="s">
        <v>24</v>
      </c>
    </row>
    <row r="3422" spans="1:11" ht="40.049999999999997" customHeight="1" x14ac:dyDescent="0.25">
      <c r="A3422" s="11" t="s">
        <v>7363</v>
      </c>
      <c r="B3422" s="11" t="s">
        <v>7364</v>
      </c>
      <c r="C3422" s="11" t="s">
        <v>59</v>
      </c>
      <c r="D3422" s="11" t="s">
        <v>60</v>
      </c>
      <c r="E3422" s="12" t="s">
        <v>1395</v>
      </c>
      <c r="F3422" s="12" t="s">
        <v>1396</v>
      </c>
      <c r="G3422" s="12" t="s">
        <v>21</v>
      </c>
      <c r="H3422" s="11" t="s">
        <v>63</v>
      </c>
      <c r="I3422" s="13" t="s">
        <v>7365</v>
      </c>
      <c r="J3422" s="14" t="str">
        <f>HYPERLINK("https://www.boe.es/gazeta/dias/1839/06/26/pdfs/GMD-1839-1684.pdf#page=4","Abrir facsímil")</f>
        <v>Abrir facsímil</v>
      </c>
      <c r="K3422" s="12" t="s">
        <v>65</v>
      </c>
    </row>
    <row r="3423" spans="1:11" ht="40.049999999999997" customHeight="1" x14ac:dyDescent="0.25">
      <c r="A3423" s="11" t="s">
        <v>7366</v>
      </c>
      <c r="B3423" s="11" t="s">
        <v>7367</v>
      </c>
      <c r="C3423" s="11" t="s">
        <v>80</v>
      </c>
      <c r="D3423" s="11" t="s">
        <v>18</v>
      </c>
      <c r="E3423" s="12" t="s">
        <v>862</v>
      </c>
      <c r="F3423" s="12" t="s">
        <v>863</v>
      </c>
      <c r="G3423" s="12" t="s">
        <v>305</v>
      </c>
      <c r="H3423" s="11" t="s">
        <v>63</v>
      </c>
      <c r="I3423" s="13" t="s">
        <v>7368</v>
      </c>
      <c r="J3423" s="14" t="str">
        <f>HYPERLINK("https://www.boe.es/gazeta/dias/1839/10/28/pdfs/GMD-1839-1814.pdf#page=6","Abrir facsímil")</f>
        <v>Abrir facsímil</v>
      </c>
      <c r="K3423" s="12" t="s">
        <v>65</v>
      </c>
    </row>
    <row r="3424" spans="1:11" ht="40.049999999999997" customHeight="1" x14ac:dyDescent="0.25">
      <c r="A3424" s="11" t="s">
        <v>7369</v>
      </c>
      <c r="B3424" s="11" t="s">
        <v>7370</v>
      </c>
      <c r="C3424" s="11" t="s">
        <v>17</v>
      </c>
      <c r="D3424" s="11" t="s">
        <v>18</v>
      </c>
      <c r="E3424" s="12" t="s">
        <v>1512</v>
      </c>
      <c r="F3424" s="12" t="s">
        <v>1513</v>
      </c>
      <c r="G3424" s="12" t="s">
        <v>21</v>
      </c>
      <c r="H3424" s="11" t="s">
        <v>63</v>
      </c>
      <c r="I3424" s="13" t="s">
        <v>7371</v>
      </c>
      <c r="J3424" s="14" t="str">
        <f>HYPERLINK("https://www.boe.es/gazeta/dias/1839/04/13/pdfs/GMD-1839-1610.pdf#page=4","Abrir facsímil")</f>
        <v>Abrir facsímil</v>
      </c>
      <c r="K3424" s="12" t="s">
        <v>65</v>
      </c>
    </row>
    <row r="3425" spans="1:11" ht="40.049999999999997" customHeight="1" x14ac:dyDescent="0.25">
      <c r="A3425" s="11" t="s">
        <v>7369</v>
      </c>
      <c r="B3425" s="11" t="s">
        <v>7370</v>
      </c>
      <c r="C3425" s="11" t="s">
        <v>17</v>
      </c>
      <c r="D3425" s="11" t="s">
        <v>18</v>
      </c>
      <c r="E3425" s="12" t="s">
        <v>405</v>
      </c>
      <c r="F3425" s="12" t="s">
        <v>406</v>
      </c>
      <c r="G3425" s="12" t="s">
        <v>29</v>
      </c>
      <c r="H3425" s="11" t="s">
        <v>63</v>
      </c>
      <c r="I3425" s="13" t="s">
        <v>7372</v>
      </c>
      <c r="J3425" s="14" t="str">
        <f>HYPERLINK("https://www.boe.es/gazeta/dias/1839/03/25/pdfs/GMD-1839-1591.pdf#page=1","Abrir facsímil")</f>
        <v>Abrir facsímil</v>
      </c>
      <c r="K3425" s="12" t="s">
        <v>65</v>
      </c>
    </row>
    <row r="3426" spans="1:11" ht="40.049999999999997" customHeight="1" x14ac:dyDescent="0.25">
      <c r="A3426" s="11" t="s">
        <v>7373</v>
      </c>
      <c r="B3426" s="11" t="s">
        <v>7374</v>
      </c>
      <c r="C3426" s="11" t="s">
        <v>101</v>
      </c>
      <c r="D3426" s="11" t="s">
        <v>43</v>
      </c>
      <c r="E3426" s="12" t="s">
        <v>1008</v>
      </c>
      <c r="F3426" s="12" t="s">
        <v>1009</v>
      </c>
      <c r="G3426" s="12" t="s">
        <v>21</v>
      </c>
      <c r="H3426" s="11" t="s">
        <v>63</v>
      </c>
      <c r="I3426" s="13" t="s">
        <v>7375</v>
      </c>
      <c r="J3426" s="14" t="str">
        <f>HYPERLINK("https://www.boe.es/gazeta/dias/1839/09/07/pdfs/GMD-1839-1760.pdf#page=4","Abrir facsímil")</f>
        <v>Abrir facsímil</v>
      </c>
      <c r="K3426" s="12" t="s">
        <v>65</v>
      </c>
    </row>
    <row r="3427" spans="1:11" ht="40.049999999999997" customHeight="1" x14ac:dyDescent="0.25">
      <c r="A3427" s="11" t="s">
        <v>7376</v>
      </c>
      <c r="B3427" s="11" t="s">
        <v>7377</v>
      </c>
      <c r="C3427" s="11" t="s">
        <v>17</v>
      </c>
      <c r="D3427" s="11" t="s">
        <v>18</v>
      </c>
      <c r="E3427" s="12" t="s">
        <v>163</v>
      </c>
      <c r="F3427" s="12" t="s">
        <v>164</v>
      </c>
      <c r="G3427" s="12" t="s">
        <v>40</v>
      </c>
      <c r="H3427" s="11" t="s">
        <v>63</v>
      </c>
      <c r="I3427" s="13" t="s">
        <v>7378</v>
      </c>
      <c r="J3427" s="14" t="str">
        <f>HYPERLINK("https://www.boe.es/gazeta/dias/1839/01/13/pdfs/GMD-1839-1520.pdf#page=2","Abrir facsímil")</f>
        <v>Abrir facsímil</v>
      </c>
      <c r="K3427" s="12" t="s">
        <v>65</v>
      </c>
    </row>
    <row r="3428" spans="1:11" ht="40.049999999999997" customHeight="1" x14ac:dyDescent="0.25">
      <c r="A3428" s="11" t="s">
        <v>7379</v>
      </c>
      <c r="B3428" s="11" t="s">
        <v>7380</v>
      </c>
      <c r="C3428" s="11" t="s">
        <v>17</v>
      </c>
      <c r="D3428" s="11" t="s">
        <v>18</v>
      </c>
      <c r="E3428" s="12" t="s">
        <v>883</v>
      </c>
      <c r="F3428" s="12" t="s">
        <v>884</v>
      </c>
      <c r="G3428" s="12" t="s">
        <v>21</v>
      </c>
      <c r="H3428" s="11" t="s">
        <v>63</v>
      </c>
      <c r="I3428" s="13" t="s">
        <v>7381</v>
      </c>
      <c r="J3428" s="14" t="str">
        <f>HYPERLINK("https://www.boe.es/gazeta/dias/1839/11/03/pdfs/GMD-1839-1820.pdf#page=4","Abrir facsímil")</f>
        <v>Abrir facsímil</v>
      </c>
      <c r="K3428" s="12" t="s">
        <v>65</v>
      </c>
    </row>
    <row r="3429" spans="1:11" ht="40.049999999999997" customHeight="1" x14ac:dyDescent="0.25">
      <c r="A3429" s="11" t="s">
        <v>7382</v>
      </c>
      <c r="B3429" s="11" t="s">
        <v>7383</v>
      </c>
      <c r="C3429" s="11" t="s">
        <v>17</v>
      </c>
      <c r="D3429" s="11" t="s">
        <v>18</v>
      </c>
      <c r="E3429" s="12" t="s">
        <v>474</v>
      </c>
      <c r="F3429" s="12" t="s">
        <v>475</v>
      </c>
      <c r="G3429" s="12" t="s">
        <v>21</v>
      </c>
      <c r="H3429" s="11" t="s">
        <v>63</v>
      </c>
      <c r="I3429" s="13" t="s">
        <v>7384</v>
      </c>
      <c r="J3429" s="14" t="str">
        <f>HYPERLINK("https://www.boe.es/gazeta/dias/1839/03/31/pdfs/GMD-1839-1597.pdf#page=4","Abrir facsímil")</f>
        <v>Abrir facsímil</v>
      </c>
      <c r="K3429" s="12" t="s">
        <v>65</v>
      </c>
    </row>
    <row r="3430" spans="1:11" ht="40.049999999999997" customHeight="1" x14ac:dyDescent="0.25">
      <c r="A3430" s="11" t="s">
        <v>7385</v>
      </c>
      <c r="B3430" s="11" t="s">
        <v>7386</v>
      </c>
      <c r="C3430" s="11" t="s">
        <v>101</v>
      </c>
      <c r="D3430" s="11" t="s">
        <v>43</v>
      </c>
      <c r="E3430" s="12" t="s">
        <v>138</v>
      </c>
      <c r="F3430" s="12" t="s">
        <v>139</v>
      </c>
      <c r="G3430" s="12" t="s">
        <v>46</v>
      </c>
      <c r="H3430" s="11" t="s">
        <v>63</v>
      </c>
      <c r="I3430" s="13" t="s">
        <v>7387</v>
      </c>
      <c r="J3430" s="14" t="str">
        <f>HYPERLINK("https://www.boe.es/gazeta/dias/1839/10/09/pdfs/GMD-1839-1795.pdf#page=3","Abrir facsímil")</f>
        <v>Abrir facsímil</v>
      </c>
      <c r="K3430" s="12" t="s">
        <v>65</v>
      </c>
    </row>
    <row r="3431" spans="1:11" ht="40.049999999999997" customHeight="1" x14ac:dyDescent="0.25">
      <c r="A3431" s="11" t="s">
        <v>7388</v>
      </c>
      <c r="B3431" s="11" t="s">
        <v>7389</v>
      </c>
      <c r="C3431" s="11" t="s">
        <v>101</v>
      </c>
      <c r="D3431" s="11" t="s">
        <v>102</v>
      </c>
      <c r="E3431" s="12" t="s">
        <v>883</v>
      </c>
      <c r="F3431" s="12" t="s">
        <v>884</v>
      </c>
      <c r="G3431" s="12" t="s">
        <v>46</v>
      </c>
      <c r="H3431" s="11" t="s">
        <v>63</v>
      </c>
      <c r="I3431" s="13" t="s">
        <v>7390</v>
      </c>
      <c r="J3431" s="14" t="str">
        <f>HYPERLINK("https://www.boe.es/gazeta/dias/1839/11/03/pdfs/GMD-1839-1820.pdf#page=3","Abrir facsímil")</f>
        <v>Abrir facsímil</v>
      </c>
      <c r="K3431" s="12" t="s">
        <v>65</v>
      </c>
    </row>
    <row r="3432" spans="1:11" ht="40.049999999999997" customHeight="1" x14ac:dyDescent="0.25">
      <c r="A3432" s="11" t="s">
        <v>7388</v>
      </c>
      <c r="B3432" s="11" t="s">
        <v>7389</v>
      </c>
      <c r="C3432" s="11" t="s">
        <v>17</v>
      </c>
      <c r="D3432" s="11" t="s">
        <v>18</v>
      </c>
      <c r="E3432" s="12" t="s">
        <v>44</v>
      </c>
      <c r="F3432" s="12" t="s">
        <v>45</v>
      </c>
      <c r="G3432" s="12" t="s">
        <v>21</v>
      </c>
      <c r="H3432" s="11" t="s">
        <v>63</v>
      </c>
      <c r="I3432" s="13" t="s">
        <v>7391</v>
      </c>
      <c r="J3432" s="14" t="str">
        <f>HYPERLINK("https://www.boe.es/gazeta/dias/1839/11/15/pdfs/GMD-1839-1832.pdf#page=4","Abrir facsímil")</f>
        <v>Abrir facsímil</v>
      </c>
      <c r="K3432" s="12" t="s">
        <v>65</v>
      </c>
    </row>
    <row r="3433" spans="1:11" ht="40.049999999999997" customHeight="1" x14ac:dyDescent="0.25">
      <c r="A3433" s="11" t="s">
        <v>7392</v>
      </c>
      <c r="B3433" s="11" t="s">
        <v>7393</v>
      </c>
      <c r="C3433" s="11" t="s">
        <v>17</v>
      </c>
      <c r="D3433" s="11" t="s">
        <v>18</v>
      </c>
      <c r="E3433" s="12" t="s">
        <v>798</v>
      </c>
      <c r="F3433" s="12" t="s">
        <v>799</v>
      </c>
      <c r="G3433" s="12" t="s">
        <v>40</v>
      </c>
      <c r="H3433" s="11" t="s">
        <v>63</v>
      </c>
      <c r="I3433" s="13" t="s">
        <v>7394</v>
      </c>
      <c r="J3433" s="14" t="str">
        <f>HYPERLINK("https://www.boe.es/gazeta/dias/1839/09/03/pdfs/GMD-1839-1755.pdf#page=2","Abrir facsímil")</f>
        <v>Abrir facsímil</v>
      </c>
      <c r="K3433" s="12" t="s">
        <v>65</v>
      </c>
    </row>
    <row r="3434" spans="1:11" ht="40.049999999999997" customHeight="1" x14ac:dyDescent="0.25">
      <c r="A3434" s="11" t="s">
        <v>7395</v>
      </c>
      <c r="B3434" s="11" t="s">
        <v>7396</v>
      </c>
      <c r="C3434" s="11" t="s">
        <v>80</v>
      </c>
      <c r="D3434" s="11" t="s">
        <v>18</v>
      </c>
      <c r="E3434" s="12" t="s">
        <v>2452</v>
      </c>
      <c r="F3434" s="12" t="s">
        <v>2453</v>
      </c>
      <c r="G3434" s="12" t="s">
        <v>21</v>
      </c>
      <c r="H3434" s="11" t="s">
        <v>63</v>
      </c>
      <c r="I3434" s="13" t="s">
        <v>7397</v>
      </c>
      <c r="J3434" s="14" t="str">
        <f>HYPERLINK("https://www.boe.es/gazeta/dias/1839/11/14/pdfs/GMD-1839-1831.pdf#page=4","Abrir facsímil")</f>
        <v>Abrir facsímil</v>
      </c>
      <c r="K3434" s="12" t="s">
        <v>65</v>
      </c>
    </row>
    <row r="3435" spans="1:11" ht="40.049999999999997" customHeight="1" x14ac:dyDescent="0.25">
      <c r="A3435" s="11" t="s">
        <v>7398</v>
      </c>
      <c r="B3435" s="11" t="s">
        <v>7399</v>
      </c>
      <c r="C3435" s="11" t="s">
        <v>80</v>
      </c>
      <c r="D3435" s="11" t="s">
        <v>18</v>
      </c>
      <c r="E3435" s="12" t="s">
        <v>108</v>
      </c>
      <c r="F3435" s="12" t="s">
        <v>109</v>
      </c>
      <c r="G3435" s="12" t="s">
        <v>29</v>
      </c>
      <c r="H3435" s="11" t="s">
        <v>63</v>
      </c>
      <c r="I3435" s="13" t="s">
        <v>7400</v>
      </c>
      <c r="J3435" s="14" t="str">
        <f>HYPERLINK("https://www.boe.es/gazeta/dias/1839/01/04/pdfs/GMD-1839-1511.pdf#page=1","Abrir facsímil")</f>
        <v>Abrir facsímil</v>
      </c>
      <c r="K3435" s="12" t="s">
        <v>65</v>
      </c>
    </row>
    <row r="3436" spans="1:11" ht="40.049999999999997" customHeight="1" x14ac:dyDescent="0.25">
      <c r="A3436" s="11" t="s">
        <v>7401</v>
      </c>
      <c r="B3436" s="11" t="s">
        <v>7402</v>
      </c>
      <c r="C3436" s="11" t="s">
        <v>17</v>
      </c>
      <c r="D3436" s="11" t="s">
        <v>18</v>
      </c>
      <c r="E3436" s="12" t="s">
        <v>1644</v>
      </c>
      <c r="F3436" s="12" t="s">
        <v>1645</v>
      </c>
      <c r="G3436" s="12" t="s">
        <v>40</v>
      </c>
      <c r="H3436" s="11" t="s">
        <v>63</v>
      </c>
      <c r="I3436" s="13" t="s">
        <v>7403</v>
      </c>
      <c r="J3436" s="14" t="str">
        <f>HYPERLINK("https://www.boe.es/gazeta/dias/1839/04/16/pdfs/GMD-1839-1613.pdf#page=2","Abrir facsímil")</f>
        <v>Abrir facsímil</v>
      </c>
      <c r="K3436" s="12" t="s">
        <v>65</v>
      </c>
    </row>
    <row r="3437" spans="1:11" ht="40.049999999999997" customHeight="1" x14ac:dyDescent="0.25">
      <c r="A3437" s="11" t="s">
        <v>7401</v>
      </c>
      <c r="B3437" s="11" t="s">
        <v>7402</v>
      </c>
      <c r="C3437" s="11" t="s">
        <v>17</v>
      </c>
      <c r="D3437" s="11" t="s">
        <v>18</v>
      </c>
      <c r="E3437" s="12" t="s">
        <v>1644</v>
      </c>
      <c r="F3437" s="12" t="s">
        <v>1645</v>
      </c>
      <c r="G3437" s="12" t="s">
        <v>46</v>
      </c>
      <c r="H3437" s="11" t="s">
        <v>63</v>
      </c>
      <c r="I3437" s="13" t="s">
        <v>7404</v>
      </c>
      <c r="J3437" s="14" t="str">
        <f>HYPERLINK("https://www.boe.es/gazeta/dias/1839/04/16/pdfs/GMD-1839-1613.pdf#page=3","Abrir facsímil")</f>
        <v>Abrir facsímil</v>
      </c>
      <c r="K3437" s="12" t="s">
        <v>65</v>
      </c>
    </row>
    <row r="3438" spans="1:11" ht="40.049999999999997" customHeight="1" x14ac:dyDescent="0.25">
      <c r="A3438" s="11" t="s">
        <v>7401</v>
      </c>
      <c r="B3438" s="11" t="s">
        <v>7402</v>
      </c>
      <c r="C3438" s="11" t="s">
        <v>17</v>
      </c>
      <c r="D3438" s="11" t="s">
        <v>18</v>
      </c>
      <c r="E3438" s="12" t="s">
        <v>2117</v>
      </c>
      <c r="F3438" s="12" t="s">
        <v>2118</v>
      </c>
      <c r="G3438" s="12" t="s">
        <v>29</v>
      </c>
      <c r="H3438" s="11" t="s">
        <v>63</v>
      </c>
      <c r="I3438" s="13" t="s">
        <v>7405</v>
      </c>
      <c r="J3438" s="14" t="str">
        <f>HYPERLINK("https://www.boe.es/gazeta/dias/1839/06/23/pdfs/GMD-1839-1681.pdf#page=1","Abrir facsímil")</f>
        <v>Abrir facsímil</v>
      </c>
      <c r="K3438" s="12" t="s">
        <v>65</v>
      </c>
    </row>
    <row r="3439" spans="1:11" ht="40.049999999999997" customHeight="1" x14ac:dyDescent="0.25">
      <c r="A3439" s="11" t="s">
        <v>7401</v>
      </c>
      <c r="B3439" s="11" t="s">
        <v>7402</v>
      </c>
      <c r="C3439" s="11" t="s">
        <v>17</v>
      </c>
      <c r="D3439" s="11" t="s">
        <v>18</v>
      </c>
      <c r="E3439" s="12" t="s">
        <v>308</v>
      </c>
      <c r="F3439" s="12" t="s">
        <v>309</v>
      </c>
      <c r="G3439" s="12" t="s">
        <v>46</v>
      </c>
      <c r="H3439" s="11" t="s">
        <v>63</v>
      </c>
      <c r="I3439" s="13" t="s">
        <v>7406</v>
      </c>
      <c r="J3439" s="14" t="str">
        <f>HYPERLINK("https://www.boe.es/gazeta/dias/1839/07/29/pdfs/GMD-1839-1718.pdf#page=3","Abrir facsímil")</f>
        <v>Abrir facsímil</v>
      </c>
      <c r="K3439" s="12" t="s">
        <v>65</v>
      </c>
    </row>
    <row r="3440" spans="1:11" ht="40.049999999999997" customHeight="1" x14ac:dyDescent="0.25">
      <c r="A3440" s="11" t="s">
        <v>7407</v>
      </c>
      <c r="B3440" s="11" t="s">
        <v>7408</v>
      </c>
      <c r="C3440" s="11" t="s">
        <v>17</v>
      </c>
      <c r="D3440" s="11" t="s">
        <v>43</v>
      </c>
      <c r="E3440" s="12" t="s">
        <v>507</v>
      </c>
      <c r="F3440" s="12" t="s">
        <v>508</v>
      </c>
      <c r="G3440" s="12" t="s">
        <v>21</v>
      </c>
      <c r="H3440" s="11" t="s">
        <v>63</v>
      </c>
      <c r="I3440" s="13" t="s">
        <v>7409</v>
      </c>
      <c r="J3440" s="14" t="str">
        <f>HYPERLINK("https://www.boe.es/gazeta/dias/1839/08/12/pdfs/GMD-1839-1732.pdf#page=4","Abrir facsímil")</f>
        <v>Abrir facsímil</v>
      </c>
      <c r="K3440" s="12" t="s">
        <v>65</v>
      </c>
    </row>
    <row r="3441" spans="1:11" ht="40.049999999999997" customHeight="1" x14ac:dyDescent="0.25">
      <c r="A3441" s="11" t="s">
        <v>7410</v>
      </c>
      <c r="B3441" s="11" t="s">
        <v>7411</v>
      </c>
      <c r="C3441" s="11" t="s">
        <v>17</v>
      </c>
      <c r="D3441" s="11" t="s">
        <v>18</v>
      </c>
      <c r="E3441" s="12" t="s">
        <v>2650</v>
      </c>
      <c r="F3441" s="12" t="s">
        <v>2651</v>
      </c>
      <c r="G3441" s="12" t="s">
        <v>21</v>
      </c>
      <c r="H3441" s="11" t="s">
        <v>63</v>
      </c>
      <c r="I3441" s="13" t="s">
        <v>7412</v>
      </c>
      <c r="J3441" s="14" t="str">
        <f>HYPERLINK("https://www.boe.es/gazeta/dias/1839/09/15/pdfs/GMD-1839-1768.pdf#page=4","Abrir facsímil")</f>
        <v>Abrir facsímil</v>
      </c>
      <c r="K3441" s="12" t="s">
        <v>65</v>
      </c>
    </row>
    <row r="3442" spans="1:11" ht="40.049999999999997" customHeight="1" x14ac:dyDescent="0.25">
      <c r="A3442" s="11" t="s">
        <v>7413</v>
      </c>
      <c r="B3442" s="11" t="s">
        <v>7414</v>
      </c>
      <c r="C3442" s="11" t="s">
        <v>17</v>
      </c>
      <c r="D3442" s="11" t="s">
        <v>18</v>
      </c>
      <c r="E3442" s="12" t="s">
        <v>2069</v>
      </c>
      <c r="F3442" s="12" t="s">
        <v>2070</v>
      </c>
      <c r="G3442" s="12" t="s">
        <v>40</v>
      </c>
      <c r="H3442" s="11" t="s">
        <v>63</v>
      </c>
      <c r="I3442" s="13" t="s">
        <v>7415</v>
      </c>
      <c r="J3442" s="14" t="str">
        <f>HYPERLINK("https://www.boe.es/gazeta/dias/1839/10/20/pdfs/GMD-1839-1806.pdf#page=2","Abrir facsímil")</f>
        <v>Abrir facsímil</v>
      </c>
      <c r="K3442" s="12" t="s">
        <v>65</v>
      </c>
    </row>
    <row r="3443" spans="1:11" ht="40.049999999999997" customHeight="1" x14ac:dyDescent="0.25">
      <c r="A3443" s="11" t="s">
        <v>7416</v>
      </c>
      <c r="B3443" s="11" t="s">
        <v>7417</v>
      </c>
      <c r="C3443" s="11" t="s">
        <v>17</v>
      </c>
      <c r="D3443" s="11" t="s">
        <v>43</v>
      </c>
      <c r="E3443" s="12" t="s">
        <v>272</v>
      </c>
      <c r="F3443" s="12" t="s">
        <v>273</v>
      </c>
      <c r="G3443" s="12" t="s">
        <v>21</v>
      </c>
      <c r="H3443" s="11" t="s">
        <v>63</v>
      </c>
      <c r="I3443" s="13" t="s">
        <v>7418</v>
      </c>
      <c r="J3443" s="14" t="str">
        <f>HYPERLINK("https://www.boe.es/gazeta/dias/1839/02/12/pdfs/GMD-1839-1550.pdf#page=4","Abrir facsímil")</f>
        <v>Abrir facsímil</v>
      </c>
      <c r="K3443" s="12" t="s">
        <v>65</v>
      </c>
    </row>
    <row r="3444" spans="1:11" ht="40.049999999999997" customHeight="1" x14ac:dyDescent="0.25">
      <c r="A3444" s="11" t="s">
        <v>7419</v>
      </c>
      <c r="B3444" s="11" t="s">
        <v>7420</v>
      </c>
      <c r="C3444" s="11" t="s">
        <v>59</v>
      </c>
      <c r="D3444" s="11" t="s">
        <v>60</v>
      </c>
      <c r="E3444" s="12" t="s">
        <v>1813</v>
      </c>
      <c r="F3444" s="12" t="s">
        <v>1814</v>
      </c>
      <c r="G3444" s="12" t="s">
        <v>40</v>
      </c>
      <c r="H3444" s="11" t="s">
        <v>63</v>
      </c>
      <c r="I3444" s="13" t="s">
        <v>7421</v>
      </c>
      <c r="J3444" s="14" t="str">
        <f>HYPERLINK("https://www.boe.es/gazeta/dias/1839/09/02/pdfs/GMD-1839-1754.pdf#page=2","Abrir facsímil")</f>
        <v>Abrir facsímil</v>
      </c>
      <c r="K3444" s="12" t="s">
        <v>65</v>
      </c>
    </row>
    <row r="3445" spans="1:11" ht="40.049999999999997" customHeight="1" x14ac:dyDescent="0.25">
      <c r="A3445" s="11" t="s">
        <v>7422</v>
      </c>
      <c r="B3445" s="11" t="s">
        <v>7423</v>
      </c>
      <c r="C3445" s="11" t="s">
        <v>137</v>
      </c>
      <c r="D3445" s="11" t="s">
        <v>18</v>
      </c>
      <c r="E3445" s="12" t="s">
        <v>2270</v>
      </c>
      <c r="F3445" s="12" t="s">
        <v>2271</v>
      </c>
      <c r="G3445" s="12" t="s">
        <v>21</v>
      </c>
      <c r="H3445" s="11" t="s">
        <v>63</v>
      </c>
      <c r="I3445" s="13" t="s">
        <v>7424</v>
      </c>
      <c r="J3445" s="14" t="str">
        <f>HYPERLINK("https://www.boe.es/gazeta/dias/1839/06/13/pdfs/GMD-1839-1671.pdf#page=4","Abrir facsímil")</f>
        <v>Abrir facsímil</v>
      </c>
      <c r="K3445" s="12" t="s">
        <v>65</v>
      </c>
    </row>
    <row r="3446" spans="1:11" ht="40.049999999999997" customHeight="1" x14ac:dyDescent="0.25">
      <c r="A3446" s="11" t="s">
        <v>7425</v>
      </c>
      <c r="B3446" s="11" t="s">
        <v>7426</v>
      </c>
      <c r="C3446" s="11" t="s">
        <v>80</v>
      </c>
      <c r="D3446" s="11" t="s">
        <v>18</v>
      </c>
      <c r="E3446" s="12" t="s">
        <v>2881</v>
      </c>
      <c r="F3446" s="12" t="s">
        <v>2882</v>
      </c>
      <c r="G3446" s="12" t="s">
        <v>21</v>
      </c>
      <c r="H3446" s="11" t="s">
        <v>63</v>
      </c>
      <c r="I3446" s="13" t="s">
        <v>7427</v>
      </c>
      <c r="J3446" s="14" t="str">
        <f>HYPERLINK("https://www.boe.es/gazeta/dias/1839/05/08/pdfs/GMD-1839-1635.pdf#page=4","Abrir facsímil")</f>
        <v>Abrir facsímil</v>
      </c>
      <c r="K3446" s="12" t="s">
        <v>65</v>
      </c>
    </row>
    <row r="3447" spans="1:11" ht="40.049999999999997" customHeight="1" x14ac:dyDescent="0.25">
      <c r="A3447" s="11" t="s">
        <v>7428</v>
      </c>
      <c r="B3447" s="11" t="s">
        <v>7429</v>
      </c>
      <c r="C3447" s="11" t="s">
        <v>101</v>
      </c>
      <c r="D3447" s="11" t="s">
        <v>43</v>
      </c>
      <c r="E3447" s="12" t="s">
        <v>650</v>
      </c>
      <c r="F3447" s="12" t="s">
        <v>651</v>
      </c>
      <c r="G3447" s="12" t="s">
        <v>21</v>
      </c>
      <c r="H3447" s="11" t="s">
        <v>63</v>
      </c>
      <c r="I3447" s="13" t="s">
        <v>7430</v>
      </c>
      <c r="J3447" s="14" t="str">
        <f>HYPERLINK("https://www.boe.es/gazeta/dias/1839/10/25/pdfs/GMD-1839-1811.pdf#page=4","Abrir facsímil")</f>
        <v>Abrir facsímil</v>
      </c>
      <c r="K3447" s="12" t="s">
        <v>65</v>
      </c>
    </row>
    <row r="3448" spans="1:11" ht="40.049999999999997" customHeight="1" x14ac:dyDescent="0.25">
      <c r="A3448" s="11" t="s">
        <v>7431</v>
      </c>
      <c r="B3448" s="11" t="s">
        <v>7432</v>
      </c>
      <c r="C3448" s="11" t="s">
        <v>80</v>
      </c>
      <c r="D3448" s="11" t="s">
        <v>18</v>
      </c>
      <c r="E3448" s="12" t="s">
        <v>138</v>
      </c>
      <c r="F3448" s="12" t="s">
        <v>139</v>
      </c>
      <c r="G3448" s="12" t="s">
        <v>46</v>
      </c>
      <c r="H3448" s="11" t="s">
        <v>63</v>
      </c>
      <c r="I3448" s="13" t="s">
        <v>7433</v>
      </c>
      <c r="J3448" s="14" t="str">
        <f>HYPERLINK("https://www.boe.es/gazeta/dias/1839/10/09/pdfs/GMD-1839-1795.pdf#page=3","Abrir facsímil")</f>
        <v>Abrir facsímil</v>
      </c>
      <c r="K3448" s="12" t="s">
        <v>65</v>
      </c>
    </row>
    <row r="3449" spans="1:11" ht="40.049999999999997" customHeight="1" x14ac:dyDescent="0.25">
      <c r="A3449" s="11" t="s">
        <v>7434</v>
      </c>
      <c r="B3449" s="11" t="s">
        <v>7435</v>
      </c>
      <c r="C3449" s="11" t="s">
        <v>101</v>
      </c>
      <c r="D3449" s="11" t="s">
        <v>43</v>
      </c>
      <c r="E3449" s="12" t="s">
        <v>197</v>
      </c>
      <c r="F3449" s="12" t="s">
        <v>198</v>
      </c>
      <c r="G3449" s="12" t="s">
        <v>46</v>
      </c>
      <c r="H3449" s="11" t="s">
        <v>63</v>
      </c>
      <c r="I3449" s="13" t="s">
        <v>7436</v>
      </c>
      <c r="J3449" s="14" t="str">
        <f>HYPERLINK("https://www.boe.es/gazeta/dias/1839/10/04/pdfs/GMD-1839-1790.pdf#page=3","Abrir facsímil")</f>
        <v>Abrir facsímil</v>
      </c>
      <c r="K3449" s="12" t="s">
        <v>65</v>
      </c>
    </row>
    <row r="3450" spans="1:11" ht="40.049999999999997" customHeight="1" x14ac:dyDescent="0.25">
      <c r="A3450" s="11" t="s">
        <v>7437</v>
      </c>
      <c r="B3450" s="11" t="s">
        <v>7438</v>
      </c>
      <c r="C3450" s="11" t="s">
        <v>17</v>
      </c>
      <c r="D3450" s="11" t="s">
        <v>18</v>
      </c>
      <c r="E3450" s="12" t="s">
        <v>834</v>
      </c>
      <c r="F3450" s="12" t="s">
        <v>835</v>
      </c>
      <c r="G3450" s="12" t="s">
        <v>21</v>
      </c>
      <c r="H3450" s="11" t="s">
        <v>63</v>
      </c>
      <c r="I3450" s="13" t="s">
        <v>7439</v>
      </c>
      <c r="J3450" s="14" t="str">
        <f>HYPERLINK("https://www.boe.es/gazeta/dias/1839/08/17/pdfs/GMD-1839-1737.pdf#page=4","Abrir facsímil")</f>
        <v>Abrir facsímil</v>
      </c>
      <c r="K3450" s="12" t="s">
        <v>65</v>
      </c>
    </row>
    <row r="3451" spans="1:11" ht="40.049999999999997" customHeight="1" x14ac:dyDescent="0.25">
      <c r="A3451" s="11" t="s">
        <v>7440</v>
      </c>
      <c r="B3451" s="11" t="s">
        <v>7441</v>
      </c>
      <c r="C3451" s="11" t="s">
        <v>17</v>
      </c>
      <c r="D3451" s="11" t="s">
        <v>18</v>
      </c>
      <c r="E3451" s="12" t="s">
        <v>163</v>
      </c>
      <c r="F3451" s="12" t="s">
        <v>164</v>
      </c>
      <c r="G3451" s="12" t="s">
        <v>46</v>
      </c>
      <c r="H3451" s="11" t="s">
        <v>22</v>
      </c>
      <c r="I3451" s="13" t="s">
        <v>7442</v>
      </c>
      <c r="J3451" s="14" t="str">
        <f>HYPERLINK("https://www.boe.es/gazeta/dias/1839/01/13/pdfs/GMD-1839-1520.pdf#page=3","Abrir facsímil")</f>
        <v>Abrir facsímil</v>
      </c>
      <c r="K3451" s="12" t="s">
        <v>24</v>
      </c>
    </row>
    <row r="3452" spans="1:11" ht="40.049999999999997" customHeight="1" x14ac:dyDescent="0.25">
      <c r="A3452" s="11" t="s">
        <v>7443</v>
      </c>
      <c r="B3452" s="11" t="s">
        <v>7444</v>
      </c>
      <c r="C3452" s="11" t="s">
        <v>17</v>
      </c>
      <c r="D3452" s="11" t="s">
        <v>18</v>
      </c>
      <c r="E3452" s="12" t="s">
        <v>19</v>
      </c>
      <c r="F3452" s="12" t="s">
        <v>20</v>
      </c>
      <c r="G3452" s="12" t="s">
        <v>21</v>
      </c>
      <c r="H3452" s="11" t="s">
        <v>63</v>
      </c>
      <c r="I3452" s="13" t="s">
        <v>7445</v>
      </c>
      <c r="J3452" s="14" t="str">
        <f>HYPERLINK("https://www.boe.es/gazeta/dias/1839/01/19/pdfs/GMD-1839-1526.pdf#page=4","Abrir facsímil")</f>
        <v>Abrir facsímil</v>
      </c>
      <c r="K3452" s="12" t="s">
        <v>65</v>
      </c>
    </row>
    <row r="3453" spans="1:11" ht="40.049999999999997" customHeight="1" x14ac:dyDescent="0.25">
      <c r="A3453" s="11" t="s">
        <v>7443</v>
      </c>
      <c r="B3453" s="11" t="s">
        <v>7444</v>
      </c>
      <c r="C3453" s="11" t="s">
        <v>17</v>
      </c>
      <c r="D3453" s="11" t="s">
        <v>18</v>
      </c>
      <c r="E3453" s="12" t="s">
        <v>926</v>
      </c>
      <c r="F3453" s="12" t="s">
        <v>927</v>
      </c>
      <c r="G3453" s="12" t="s">
        <v>21</v>
      </c>
      <c r="H3453" s="11" t="s">
        <v>63</v>
      </c>
      <c r="I3453" s="13" t="s">
        <v>7446</v>
      </c>
      <c r="J3453" s="14" t="str">
        <f>HYPERLINK("https://www.boe.es/gazeta/dias/1839/01/25/pdfs/GMD-1839-1532.pdf#page=4","Abrir facsímil")</f>
        <v>Abrir facsímil</v>
      </c>
      <c r="K3453" s="12" t="s">
        <v>65</v>
      </c>
    </row>
    <row r="3454" spans="1:11" ht="40.049999999999997" customHeight="1" x14ac:dyDescent="0.25">
      <c r="A3454" s="11" t="s">
        <v>7443</v>
      </c>
      <c r="B3454" s="11" t="s">
        <v>7444</v>
      </c>
      <c r="C3454" s="11" t="s">
        <v>80</v>
      </c>
      <c r="D3454" s="11" t="s">
        <v>18</v>
      </c>
      <c r="E3454" s="12" t="s">
        <v>1679</v>
      </c>
      <c r="F3454" s="12" t="s">
        <v>1680</v>
      </c>
      <c r="G3454" s="12" t="s">
        <v>46</v>
      </c>
      <c r="H3454" s="11" t="s">
        <v>63</v>
      </c>
      <c r="I3454" s="13" t="s">
        <v>7447</v>
      </c>
      <c r="J3454" s="14" t="str">
        <f>HYPERLINK("https://www.boe.es/gazeta/dias/1839/01/26/pdfs/GMD-1839-1533.pdf#page=3","Abrir facsímil")</f>
        <v>Abrir facsímil</v>
      </c>
      <c r="K3454" s="12" t="s">
        <v>65</v>
      </c>
    </row>
    <row r="3455" spans="1:11" ht="40.049999999999997" customHeight="1" x14ac:dyDescent="0.25">
      <c r="A3455" s="11" t="s">
        <v>7448</v>
      </c>
      <c r="B3455" s="11" t="s">
        <v>7449</v>
      </c>
      <c r="C3455" s="11" t="s">
        <v>59</v>
      </c>
      <c r="D3455" s="11" t="s">
        <v>60</v>
      </c>
      <c r="E3455" s="12" t="s">
        <v>197</v>
      </c>
      <c r="F3455" s="12" t="s">
        <v>198</v>
      </c>
      <c r="G3455" s="12" t="s">
        <v>46</v>
      </c>
      <c r="H3455" s="11" t="s">
        <v>63</v>
      </c>
      <c r="I3455" s="13" t="s">
        <v>7450</v>
      </c>
      <c r="J3455" s="14" t="str">
        <f>HYPERLINK("https://www.boe.es/gazeta/dias/1839/10/04/pdfs/GMD-1839-1790.pdf#page=3","Abrir facsímil")</f>
        <v>Abrir facsímil</v>
      </c>
      <c r="K3455" s="12" t="s">
        <v>65</v>
      </c>
    </row>
    <row r="3456" spans="1:11" ht="40.049999999999997" customHeight="1" x14ac:dyDescent="0.25">
      <c r="A3456" s="11" t="s">
        <v>7448</v>
      </c>
      <c r="B3456" s="11" t="s">
        <v>7449</v>
      </c>
      <c r="C3456" s="11" t="s">
        <v>80</v>
      </c>
      <c r="D3456" s="11" t="s">
        <v>18</v>
      </c>
      <c r="E3456" s="12" t="s">
        <v>207</v>
      </c>
      <c r="F3456" s="12" t="s">
        <v>208</v>
      </c>
      <c r="G3456" s="12" t="s">
        <v>40</v>
      </c>
      <c r="H3456" s="11" t="s">
        <v>63</v>
      </c>
      <c r="I3456" s="13" t="s">
        <v>7451</v>
      </c>
      <c r="J3456" s="14" t="str">
        <f>HYPERLINK("https://www.boe.es/gazeta/dias/1839/02/19/pdfs/GMD-1839-1557.pdf#page=2","Abrir facsímil")</f>
        <v>Abrir facsímil</v>
      </c>
      <c r="K3456" s="12" t="s">
        <v>65</v>
      </c>
    </row>
    <row r="3457" spans="1:11" ht="40.049999999999997" customHeight="1" x14ac:dyDescent="0.25">
      <c r="A3457" s="11" t="s">
        <v>7452</v>
      </c>
      <c r="B3457" s="11" t="s">
        <v>7453</v>
      </c>
      <c r="C3457" s="11" t="s">
        <v>137</v>
      </c>
      <c r="D3457" s="11" t="s">
        <v>18</v>
      </c>
      <c r="E3457" s="12" t="s">
        <v>3391</v>
      </c>
      <c r="F3457" s="12" t="s">
        <v>3392</v>
      </c>
      <c r="G3457" s="12" t="s">
        <v>46</v>
      </c>
      <c r="H3457" s="11" t="s">
        <v>63</v>
      </c>
      <c r="I3457" s="13" t="s">
        <v>7454</v>
      </c>
      <c r="J3457" s="14" t="str">
        <f>HYPERLINK("https://www.boe.es/gazeta/dias/1839/12/31/pdfs/GMD-1839-1878.pdf#page=3","Abrir facsímil")</f>
        <v>Abrir facsímil</v>
      </c>
      <c r="K3457" s="12" t="s">
        <v>65</v>
      </c>
    </row>
    <row r="3458" spans="1:11" ht="40.049999999999997" customHeight="1" x14ac:dyDescent="0.25">
      <c r="A3458" s="11" t="s">
        <v>7455</v>
      </c>
      <c r="B3458" s="11" t="s">
        <v>7456</v>
      </c>
      <c r="C3458" s="11" t="s">
        <v>17</v>
      </c>
      <c r="D3458" s="11" t="s">
        <v>18</v>
      </c>
      <c r="E3458" s="12" t="s">
        <v>303</v>
      </c>
      <c r="F3458" s="12" t="s">
        <v>304</v>
      </c>
      <c r="G3458" s="12" t="s">
        <v>305</v>
      </c>
      <c r="H3458" s="11" t="s">
        <v>63</v>
      </c>
      <c r="I3458" s="13" t="s">
        <v>7457</v>
      </c>
      <c r="J3458" s="14" t="str">
        <f>HYPERLINK("https://www.boe.es/gazeta/dias/1839/10/06/pdfs/GMD-1839-1792.pdf#page=6","Abrir facsímil")</f>
        <v>Abrir facsímil</v>
      </c>
      <c r="K3458" s="12" t="s">
        <v>65</v>
      </c>
    </row>
    <row r="3459" spans="1:11" ht="40.049999999999997" customHeight="1" x14ac:dyDescent="0.25">
      <c r="A3459" s="11" t="s">
        <v>7458</v>
      </c>
      <c r="B3459" s="11" t="s">
        <v>7459</v>
      </c>
      <c r="C3459" s="11" t="s">
        <v>17</v>
      </c>
      <c r="D3459" s="11" t="s">
        <v>18</v>
      </c>
      <c r="E3459" s="12" t="s">
        <v>4550</v>
      </c>
      <c r="F3459" s="12" t="s">
        <v>4551</v>
      </c>
      <c r="G3459" s="12" t="s">
        <v>46</v>
      </c>
      <c r="H3459" s="11" t="s">
        <v>63</v>
      </c>
      <c r="I3459" s="13" t="s">
        <v>7460</v>
      </c>
      <c r="J3459" s="14" t="str">
        <f>HYPERLINK("https://www.boe.es/gazeta/dias/1839/04/17/pdfs/GMD-1839-1614.pdf#page=3","Abrir facsímil")</f>
        <v>Abrir facsímil</v>
      </c>
      <c r="K3459" s="12" t="s">
        <v>65</v>
      </c>
    </row>
    <row r="3460" spans="1:11" ht="40.049999999999997" customHeight="1" x14ac:dyDescent="0.25">
      <c r="A3460" s="11" t="s">
        <v>7461</v>
      </c>
      <c r="B3460" s="11" t="s">
        <v>7462</v>
      </c>
      <c r="C3460" s="11" t="s">
        <v>17</v>
      </c>
      <c r="D3460" s="11" t="s">
        <v>18</v>
      </c>
      <c r="E3460" s="12" t="s">
        <v>262</v>
      </c>
      <c r="F3460" s="12" t="s">
        <v>263</v>
      </c>
      <c r="G3460" s="12" t="s">
        <v>29</v>
      </c>
      <c r="H3460" s="11" t="s">
        <v>63</v>
      </c>
      <c r="I3460" s="13" t="s">
        <v>7463</v>
      </c>
      <c r="J3460" s="14" t="str">
        <f>HYPERLINK("https://www.boe.es/gazeta/dias/1839/01/01/pdfs/GMD-1839-1508.pdf#page=1","Abrir facsímil")</f>
        <v>Abrir facsímil</v>
      </c>
      <c r="K3460" s="12" t="s">
        <v>65</v>
      </c>
    </row>
    <row r="3461" spans="1:11" ht="40.049999999999997" customHeight="1" x14ac:dyDescent="0.25">
      <c r="A3461" s="11" t="s">
        <v>7464</v>
      </c>
      <c r="B3461" s="11" t="s">
        <v>7465</v>
      </c>
      <c r="C3461" s="11" t="s">
        <v>59</v>
      </c>
      <c r="D3461" s="11" t="s">
        <v>60</v>
      </c>
      <c r="E3461" s="12" t="s">
        <v>369</v>
      </c>
      <c r="F3461" s="12" t="s">
        <v>370</v>
      </c>
      <c r="G3461" s="12" t="s">
        <v>40</v>
      </c>
      <c r="H3461" s="11" t="s">
        <v>63</v>
      </c>
      <c r="I3461" s="13" t="s">
        <v>7466</v>
      </c>
      <c r="J3461" s="14" t="str">
        <f>HYPERLINK("https://www.boe.es/gazeta/dias/1839/11/01/pdfs/GMD-1839-1818.pdf#page=2","Abrir facsímil")</f>
        <v>Abrir facsímil</v>
      </c>
      <c r="K3461" s="12" t="s">
        <v>65</v>
      </c>
    </row>
    <row r="3462" spans="1:11" ht="40.049999999999997" customHeight="1" x14ac:dyDescent="0.25">
      <c r="A3462" s="11" t="s">
        <v>7464</v>
      </c>
      <c r="B3462" s="11" t="s">
        <v>7465</v>
      </c>
      <c r="C3462" s="11" t="s">
        <v>137</v>
      </c>
      <c r="D3462" s="11" t="s">
        <v>18</v>
      </c>
      <c r="E3462" s="12" t="s">
        <v>212</v>
      </c>
      <c r="F3462" s="12" t="s">
        <v>213</v>
      </c>
      <c r="G3462" s="12" t="s">
        <v>46</v>
      </c>
      <c r="H3462" s="11" t="s">
        <v>63</v>
      </c>
      <c r="I3462" s="13" t="s">
        <v>7467</v>
      </c>
      <c r="J3462" s="14" t="str">
        <f>HYPERLINK("https://www.boe.es/gazeta/dias/1839/10/03/pdfs/GMD-1839-1789.pdf#page=3","Abrir facsímil")</f>
        <v>Abrir facsímil</v>
      </c>
      <c r="K3462" s="12" t="s">
        <v>65</v>
      </c>
    </row>
    <row r="3463" spans="1:11" ht="40.049999999999997" customHeight="1" x14ac:dyDescent="0.25">
      <c r="A3463" s="11" t="s">
        <v>7464</v>
      </c>
      <c r="B3463" s="11" t="s">
        <v>7465</v>
      </c>
      <c r="C3463" s="11" t="s">
        <v>17</v>
      </c>
      <c r="D3463" s="11" t="s">
        <v>18</v>
      </c>
      <c r="E3463" s="12" t="s">
        <v>212</v>
      </c>
      <c r="F3463" s="12" t="s">
        <v>213</v>
      </c>
      <c r="G3463" s="12" t="s">
        <v>21</v>
      </c>
      <c r="H3463" s="11" t="s">
        <v>63</v>
      </c>
      <c r="I3463" s="13" t="s">
        <v>7468</v>
      </c>
      <c r="J3463" s="14" t="str">
        <f>HYPERLINK("https://www.boe.es/gazeta/dias/1839/10/03/pdfs/GMD-1839-1789.pdf#page=4","Abrir facsímil")</f>
        <v>Abrir facsímil</v>
      </c>
      <c r="K3463" s="12" t="s">
        <v>65</v>
      </c>
    </row>
    <row r="3464" spans="1:11" ht="40.049999999999997" customHeight="1" x14ac:dyDescent="0.25">
      <c r="A3464" s="11" t="s">
        <v>7464</v>
      </c>
      <c r="B3464" s="11" t="s">
        <v>7465</v>
      </c>
      <c r="C3464" s="11" t="s">
        <v>17</v>
      </c>
      <c r="D3464" s="11" t="s">
        <v>18</v>
      </c>
      <c r="E3464" s="12" t="s">
        <v>291</v>
      </c>
      <c r="F3464" s="12" t="s">
        <v>292</v>
      </c>
      <c r="G3464" s="12" t="s">
        <v>40</v>
      </c>
      <c r="H3464" s="11" t="s">
        <v>63</v>
      </c>
      <c r="I3464" s="13" t="s">
        <v>7469</v>
      </c>
      <c r="J3464" s="14" t="str">
        <f>HYPERLINK("https://www.boe.es/gazeta/dias/1839/09/04/pdfs/GMD-1839-1757.pdf#page=2","Abrir facsímil")</f>
        <v>Abrir facsímil</v>
      </c>
      <c r="K3464" s="12" t="s">
        <v>65</v>
      </c>
    </row>
    <row r="3465" spans="1:11" ht="40.049999999999997" customHeight="1" x14ac:dyDescent="0.25">
      <c r="A3465" s="11" t="s">
        <v>7464</v>
      </c>
      <c r="B3465" s="11" t="s">
        <v>7465</v>
      </c>
      <c r="C3465" s="11" t="s">
        <v>17</v>
      </c>
      <c r="D3465" s="11" t="s">
        <v>18</v>
      </c>
      <c r="E3465" s="12" t="s">
        <v>49</v>
      </c>
      <c r="F3465" s="12" t="s">
        <v>50</v>
      </c>
      <c r="G3465" s="12" t="s">
        <v>21</v>
      </c>
      <c r="H3465" s="11" t="s">
        <v>63</v>
      </c>
      <c r="I3465" s="13" t="s">
        <v>7470</v>
      </c>
      <c r="J3465" s="14" t="str">
        <f>HYPERLINK("https://www.boe.es/gazeta/dias/1839/01/05/pdfs/GMD-1839-1512.pdf#page=4","Abrir facsímil")</f>
        <v>Abrir facsímil</v>
      </c>
      <c r="K3465" s="12" t="s">
        <v>65</v>
      </c>
    </row>
    <row r="3466" spans="1:11" ht="40.049999999999997" customHeight="1" x14ac:dyDescent="0.25">
      <c r="A3466" s="11" t="s">
        <v>7464</v>
      </c>
      <c r="B3466" s="11" t="s">
        <v>7465</v>
      </c>
      <c r="C3466" s="11" t="s">
        <v>17</v>
      </c>
      <c r="D3466" s="11" t="s">
        <v>18</v>
      </c>
      <c r="E3466" s="12" t="s">
        <v>1008</v>
      </c>
      <c r="F3466" s="12" t="s">
        <v>1009</v>
      </c>
      <c r="G3466" s="12" t="s">
        <v>21</v>
      </c>
      <c r="H3466" s="11" t="s">
        <v>63</v>
      </c>
      <c r="I3466" s="13" t="s">
        <v>7471</v>
      </c>
      <c r="J3466" s="14" t="str">
        <f>HYPERLINK("https://www.boe.es/gazeta/dias/1839/09/07/pdfs/GMD-1839-1760.pdf#page=4","Abrir facsímil")</f>
        <v>Abrir facsímil</v>
      </c>
      <c r="K3466" s="12" t="s">
        <v>65</v>
      </c>
    </row>
    <row r="3467" spans="1:11" ht="40.049999999999997" customHeight="1" x14ac:dyDescent="0.25">
      <c r="A3467" s="11" t="s">
        <v>7464</v>
      </c>
      <c r="B3467" s="11" t="s">
        <v>7465</v>
      </c>
      <c r="C3467" s="11" t="s">
        <v>101</v>
      </c>
      <c r="D3467" s="11" t="s">
        <v>43</v>
      </c>
      <c r="E3467" s="12" t="s">
        <v>1509</v>
      </c>
      <c r="F3467" s="12" t="s">
        <v>1510</v>
      </c>
      <c r="G3467" s="12" t="s">
        <v>46</v>
      </c>
      <c r="H3467" s="11" t="s">
        <v>63</v>
      </c>
      <c r="I3467" s="13" t="s">
        <v>7472</v>
      </c>
      <c r="J3467" s="14" t="str">
        <f>HYPERLINK("https://www.boe.es/gazeta/dias/1839/10/07/pdfs/GMD-1839-1793.pdf#page=3","Abrir facsímil")</f>
        <v>Abrir facsímil</v>
      </c>
      <c r="K3467" s="12" t="s">
        <v>65</v>
      </c>
    </row>
    <row r="3468" spans="1:11" ht="40.049999999999997" customHeight="1" x14ac:dyDescent="0.25">
      <c r="A3468" s="11" t="s">
        <v>7464</v>
      </c>
      <c r="B3468" s="11" t="s">
        <v>7465</v>
      </c>
      <c r="C3468" s="11" t="s">
        <v>17</v>
      </c>
      <c r="D3468" s="11" t="s">
        <v>18</v>
      </c>
      <c r="E3468" s="12" t="s">
        <v>1562</v>
      </c>
      <c r="F3468" s="12" t="s">
        <v>1563</v>
      </c>
      <c r="G3468" s="12" t="s">
        <v>21</v>
      </c>
      <c r="H3468" s="11" t="s">
        <v>63</v>
      </c>
      <c r="I3468" s="13" t="s">
        <v>7473</v>
      </c>
      <c r="J3468" s="14" t="str">
        <f>HYPERLINK("https://www.boe.es/gazeta/dias/1839/04/08/pdfs/GMD-1839-1605.pdf#page=4","Abrir facsímil")</f>
        <v>Abrir facsímil</v>
      </c>
      <c r="K3468" s="12" t="s">
        <v>65</v>
      </c>
    </row>
    <row r="3469" spans="1:11" ht="40.049999999999997" customHeight="1" x14ac:dyDescent="0.25">
      <c r="A3469" s="11" t="s">
        <v>7464</v>
      </c>
      <c r="B3469" s="11" t="s">
        <v>7465</v>
      </c>
      <c r="C3469" s="11" t="s">
        <v>17</v>
      </c>
      <c r="D3469" s="11" t="s">
        <v>18</v>
      </c>
      <c r="E3469" s="12" t="s">
        <v>647</v>
      </c>
      <c r="F3469" s="12" t="s">
        <v>648</v>
      </c>
      <c r="G3469" s="12" t="s">
        <v>46</v>
      </c>
      <c r="H3469" s="11" t="s">
        <v>63</v>
      </c>
      <c r="I3469" s="13" t="s">
        <v>7474</v>
      </c>
      <c r="J3469" s="14" t="str">
        <f>HYPERLINK("https://www.boe.es/gazeta/dias/1839/10/08/pdfs/GMD-1839-1794.pdf#page=3","Abrir facsímil")</f>
        <v>Abrir facsímil</v>
      </c>
      <c r="K3469" s="12" t="s">
        <v>65</v>
      </c>
    </row>
    <row r="3470" spans="1:11" ht="40.049999999999997" customHeight="1" x14ac:dyDescent="0.25">
      <c r="A3470" s="11" t="s">
        <v>7464</v>
      </c>
      <c r="B3470" s="11" t="s">
        <v>7465</v>
      </c>
      <c r="C3470" s="11" t="s">
        <v>137</v>
      </c>
      <c r="D3470" s="11" t="s">
        <v>18</v>
      </c>
      <c r="E3470" s="12" t="s">
        <v>647</v>
      </c>
      <c r="F3470" s="12" t="s">
        <v>648</v>
      </c>
      <c r="G3470" s="12" t="s">
        <v>566</v>
      </c>
      <c r="H3470" s="11" t="s">
        <v>63</v>
      </c>
      <c r="I3470" s="13" t="s">
        <v>7475</v>
      </c>
      <c r="J3470" s="14" t="str">
        <f>HYPERLINK("https://www.boe.es/gazeta/dias/1839/10/08/pdfs/GMD-1839-1794.pdf#page=5","Abrir facsímil")</f>
        <v>Abrir facsímil</v>
      </c>
      <c r="K3470" s="12" t="s">
        <v>65</v>
      </c>
    </row>
    <row r="3471" spans="1:11" ht="40.049999999999997" customHeight="1" x14ac:dyDescent="0.25">
      <c r="A3471" s="11" t="s">
        <v>7464</v>
      </c>
      <c r="B3471" s="11" t="s">
        <v>7465</v>
      </c>
      <c r="C3471" s="11" t="s">
        <v>17</v>
      </c>
      <c r="D3471" s="11" t="s">
        <v>18</v>
      </c>
      <c r="E3471" s="12" t="s">
        <v>647</v>
      </c>
      <c r="F3471" s="12" t="s">
        <v>648</v>
      </c>
      <c r="G3471" s="12" t="s">
        <v>5567</v>
      </c>
      <c r="H3471" s="11" t="s">
        <v>63</v>
      </c>
      <c r="I3471" s="13" t="s">
        <v>7476</v>
      </c>
      <c r="J3471" s="14" t="str">
        <f>HYPERLINK("https://www.boe.es/gazeta/dias/1839/10/08/pdfs/GMD-1839-1794.pdf#page=7","Abrir facsímil")</f>
        <v>Abrir facsímil</v>
      </c>
      <c r="K3471" s="12" t="s">
        <v>65</v>
      </c>
    </row>
    <row r="3472" spans="1:11" ht="40.049999999999997" customHeight="1" x14ac:dyDescent="0.25">
      <c r="A3472" s="11" t="s">
        <v>7464</v>
      </c>
      <c r="B3472" s="11" t="s">
        <v>7465</v>
      </c>
      <c r="C3472" s="11" t="s">
        <v>17</v>
      </c>
      <c r="D3472" s="11" t="s">
        <v>18</v>
      </c>
      <c r="E3472" s="12" t="s">
        <v>269</v>
      </c>
      <c r="F3472" s="12" t="s">
        <v>270</v>
      </c>
      <c r="G3472" s="12" t="s">
        <v>46</v>
      </c>
      <c r="H3472" s="11" t="s">
        <v>63</v>
      </c>
      <c r="I3472" s="13" t="s">
        <v>7477</v>
      </c>
      <c r="J3472" s="14" t="str">
        <f>HYPERLINK("https://www.boe.es/gazeta/dias/1839/02/10/pdfs/GMD-1839-1548.pdf#page=3","Abrir facsímil")</f>
        <v>Abrir facsímil</v>
      </c>
      <c r="K3472" s="12" t="s">
        <v>65</v>
      </c>
    </row>
    <row r="3473" spans="1:11" ht="40.049999999999997" customHeight="1" x14ac:dyDescent="0.25">
      <c r="A3473" s="11" t="s">
        <v>7464</v>
      </c>
      <c r="B3473" s="11" t="s">
        <v>7465</v>
      </c>
      <c r="C3473" s="11" t="s">
        <v>17</v>
      </c>
      <c r="D3473" s="11" t="s">
        <v>18</v>
      </c>
      <c r="E3473" s="12" t="s">
        <v>116</v>
      </c>
      <c r="F3473" s="12" t="s">
        <v>117</v>
      </c>
      <c r="G3473" s="12" t="s">
        <v>29</v>
      </c>
      <c r="H3473" s="11" t="s">
        <v>63</v>
      </c>
      <c r="I3473" s="13" t="s">
        <v>7478</v>
      </c>
      <c r="J3473" s="14" t="str">
        <f>HYPERLINK("https://www.boe.es/gazeta/dias/1839/10/10/pdfs/GMD-1839-1796.pdf#page=1","Abrir facsímil")</f>
        <v>Abrir facsímil</v>
      </c>
      <c r="K3473" s="12" t="s">
        <v>65</v>
      </c>
    </row>
    <row r="3474" spans="1:11" ht="40.049999999999997" customHeight="1" x14ac:dyDescent="0.25">
      <c r="A3474" s="11" t="s">
        <v>7464</v>
      </c>
      <c r="B3474" s="11" t="s">
        <v>7465</v>
      </c>
      <c r="C3474" s="11" t="s">
        <v>17</v>
      </c>
      <c r="D3474" s="11" t="s">
        <v>18</v>
      </c>
      <c r="E3474" s="12" t="s">
        <v>736</v>
      </c>
      <c r="F3474" s="12" t="s">
        <v>737</v>
      </c>
      <c r="G3474" s="12" t="s">
        <v>40</v>
      </c>
      <c r="H3474" s="11" t="s">
        <v>63</v>
      </c>
      <c r="I3474" s="13" t="s">
        <v>7479</v>
      </c>
      <c r="J3474" s="14" t="str">
        <f>HYPERLINK("https://www.boe.es/gazeta/dias/1839/10/13/pdfs/GMD-1839-1799.pdf#page=2","Abrir facsímil")</f>
        <v>Abrir facsímil</v>
      </c>
      <c r="K3474" s="12" t="s">
        <v>65</v>
      </c>
    </row>
    <row r="3475" spans="1:11" ht="40.049999999999997" customHeight="1" x14ac:dyDescent="0.25">
      <c r="A3475" s="11" t="s">
        <v>7464</v>
      </c>
      <c r="B3475" s="11" t="s">
        <v>7465</v>
      </c>
      <c r="C3475" s="11" t="s">
        <v>17</v>
      </c>
      <c r="D3475" s="11" t="s">
        <v>18</v>
      </c>
      <c r="E3475" s="12" t="s">
        <v>736</v>
      </c>
      <c r="F3475" s="12" t="s">
        <v>737</v>
      </c>
      <c r="G3475" s="12" t="s">
        <v>21</v>
      </c>
      <c r="H3475" s="11" t="s">
        <v>63</v>
      </c>
      <c r="I3475" s="13" t="s">
        <v>7480</v>
      </c>
      <c r="J3475" s="14" t="str">
        <f>HYPERLINK("https://www.boe.es/gazeta/dias/1839/10/13/pdfs/GMD-1839-1799.pdf#page=4","Abrir facsímil")</f>
        <v>Abrir facsímil</v>
      </c>
      <c r="K3475" s="12" t="s">
        <v>65</v>
      </c>
    </row>
    <row r="3476" spans="1:11" ht="40.049999999999997" customHeight="1" x14ac:dyDescent="0.25">
      <c r="A3476" s="11" t="s">
        <v>7464</v>
      </c>
      <c r="B3476" s="11" t="s">
        <v>7465</v>
      </c>
      <c r="C3476" s="11" t="s">
        <v>80</v>
      </c>
      <c r="D3476" s="11" t="s">
        <v>18</v>
      </c>
      <c r="E3476" s="12" t="s">
        <v>185</v>
      </c>
      <c r="F3476" s="12" t="s">
        <v>186</v>
      </c>
      <c r="G3476" s="12" t="s">
        <v>46</v>
      </c>
      <c r="H3476" s="11" t="s">
        <v>63</v>
      </c>
      <c r="I3476" s="13" t="s">
        <v>7481</v>
      </c>
      <c r="J3476" s="14" t="str">
        <f>HYPERLINK("https://www.boe.es/gazeta/dias/1839/01/15/pdfs/GMD-1839-1522.pdf#page=3","Abrir facsímil")</f>
        <v>Abrir facsímil</v>
      </c>
      <c r="K3476" s="12" t="s">
        <v>65</v>
      </c>
    </row>
    <row r="3477" spans="1:11" ht="40.049999999999997" customHeight="1" x14ac:dyDescent="0.25">
      <c r="A3477" s="11" t="s">
        <v>7464</v>
      </c>
      <c r="B3477" s="11" t="s">
        <v>7465</v>
      </c>
      <c r="C3477" s="11" t="s">
        <v>17</v>
      </c>
      <c r="D3477" s="11" t="s">
        <v>18</v>
      </c>
      <c r="E3477" s="12" t="s">
        <v>175</v>
      </c>
      <c r="F3477" s="12" t="s">
        <v>176</v>
      </c>
      <c r="G3477" s="12" t="s">
        <v>29</v>
      </c>
      <c r="H3477" s="11" t="s">
        <v>63</v>
      </c>
      <c r="I3477" s="13" t="s">
        <v>7482</v>
      </c>
      <c r="J3477" s="14" t="str">
        <f>HYPERLINK("https://www.boe.es/gazeta/dias/1839/01/16/pdfs/GMD-1839-1523.pdf#page=1","Abrir facsímil")</f>
        <v>Abrir facsímil</v>
      </c>
      <c r="K3477" s="12" t="s">
        <v>65</v>
      </c>
    </row>
    <row r="3478" spans="1:11" ht="40.049999999999997" customHeight="1" x14ac:dyDescent="0.25">
      <c r="A3478" s="11" t="s">
        <v>7464</v>
      </c>
      <c r="B3478" s="11" t="s">
        <v>7465</v>
      </c>
      <c r="C3478" s="11" t="s">
        <v>17</v>
      </c>
      <c r="D3478" s="11" t="s">
        <v>18</v>
      </c>
      <c r="E3478" s="12" t="s">
        <v>2155</v>
      </c>
      <c r="F3478" s="12" t="s">
        <v>2156</v>
      </c>
      <c r="G3478" s="12" t="s">
        <v>40</v>
      </c>
      <c r="H3478" s="11" t="s">
        <v>63</v>
      </c>
      <c r="I3478" s="13" t="s">
        <v>7483</v>
      </c>
      <c r="J3478" s="14" t="str">
        <f>HYPERLINK("https://www.boe.es/gazeta/dias/1839/01/17/pdfs/GMD-1839-1524.pdf#page=2","Abrir facsímil")</f>
        <v>Abrir facsímil</v>
      </c>
      <c r="K3478" s="12" t="s">
        <v>65</v>
      </c>
    </row>
    <row r="3479" spans="1:11" ht="40.049999999999997" customHeight="1" x14ac:dyDescent="0.25">
      <c r="A3479" s="11" t="s">
        <v>7464</v>
      </c>
      <c r="B3479" s="11" t="s">
        <v>7465</v>
      </c>
      <c r="C3479" s="11" t="s">
        <v>17</v>
      </c>
      <c r="D3479" s="11" t="s">
        <v>18</v>
      </c>
      <c r="E3479" s="12" t="s">
        <v>233</v>
      </c>
      <c r="F3479" s="12" t="s">
        <v>234</v>
      </c>
      <c r="G3479" s="12" t="s">
        <v>29</v>
      </c>
      <c r="H3479" s="11" t="s">
        <v>63</v>
      </c>
      <c r="I3479" s="13" t="s">
        <v>7484</v>
      </c>
      <c r="J3479" s="14" t="str">
        <f>HYPERLINK("https://www.boe.es/gazeta/dias/1839/09/17/pdfs/GMD-1839-1770.pdf#page=1","Abrir facsímil")</f>
        <v>Abrir facsímil</v>
      </c>
      <c r="K3479" s="12" t="s">
        <v>65</v>
      </c>
    </row>
    <row r="3480" spans="1:11" ht="40.049999999999997" customHeight="1" x14ac:dyDescent="0.25">
      <c r="A3480" s="11" t="s">
        <v>7464</v>
      </c>
      <c r="B3480" s="11" t="s">
        <v>7465</v>
      </c>
      <c r="C3480" s="11" t="s">
        <v>80</v>
      </c>
      <c r="D3480" s="11" t="s">
        <v>18</v>
      </c>
      <c r="E3480" s="12" t="s">
        <v>233</v>
      </c>
      <c r="F3480" s="12" t="s">
        <v>234</v>
      </c>
      <c r="G3480" s="12" t="s">
        <v>46</v>
      </c>
      <c r="H3480" s="11" t="s">
        <v>63</v>
      </c>
      <c r="I3480" s="13" t="s">
        <v>7485</v>
      </c>
      <c r="J3480" s="14" t="str">
        <f>HYPERLINK("https://www.boe.es/gazeta/dias/1839/09/17/pdfs/GMD-1839-1770.pdf#page=3","Abrir facsímil")</f>
        <v>Abrir facsímil</v>
      </c>
      <c r="K3480" s="12" t="s">
        <v>65</v>
      </c>
    </row>
    <row r="3481" spans="1:11" ht="40.049999999999997" customHeight="1" x14ac:dyDescent="0.25">
      <c r="A3481" s="11" t="s">
        <v>7464</v>
      </c>
      <c r="B3481" s="11" t="s">
        <v>7465</v>
      </c>
      <c r="C3481" s="11" t="s">
        <v>101</v>
      </c>
      <c r="D3481" s="11" t="s">
        <v>43</v>
      </c>
      <c r="E3481" s="12" t="s">
        <v>564</v>
      </c>
      <c r="F3481" s="12" t="s">
        <v>565</v>
      </c>
      <c r="G3481" s="12" t="s">
        <v>46</v>
      </c>
      <c r="H3481" s="11" t="s">
        <v>63</v>
      </c>
      <c r="I3481" s="13" t="s">
        <v>7486</v>
      </c>
      <c r="J3481" s="14" t="str">
        <f>HYPERLINK("https://www.boe.es/gazeta/dias/1839/10/17/pdfs/GMD-1839-1803.pdf#page=3","Abrir facsímil")</f>
        <v>Abrir facsímil</v>
      </c>
      <c r="K3481" s="12" t="s">
        <v>65</v>
      </c>
    </row>
    <row r="3482" spans="1:11" ht="40.049999999999997" customHeight="1" x14ac:dyDescent="0.25">
      <c r="A3482" s="11" t="s">
        <v>7464</v>
      </c>
      <c r="B3482" s="11" t="s">
        <v>7465</v>
      </c>
      <c r="C3482" s="11" t="s">
        <v>59</v>
      </c>
      <c r="D3482" s="11" t="s">
        <v>60</v>
      </c>
      <c r="E3482" s="12" t="s">
        <v>564</v>
      </c>
      <c r="F3482" s="12" t="s">
        <v>565</v>
      </c>
      <c r="G3482" s="12" t="s">
        <v>21</v>
      </c>
      <c r="H3482" s="11" t="s">
        <v>63</v>
      </c>
      <c r="I3482" s="13" t="s">
        <v>7487</v>
      </c>
      <c r="J3482" s="14" t="str">
        <f>HYPERLINK("https://www.boe.es/gazeta/dias/1839/10/17/pdfs/GMD-1839-1803.pdf#page=4","Abrir facsímil")</f>
        <v>Abrir facsímil</v>
      </c>
      <c r="K3482" s="12" t="s">
        <v>65</v>
      </c>
    </row>
    <row r="3483" spans="1:11" ht="40.049999999999997" customHeight="1" x14ac:dyDescent="0.25">
      <c r="A3483" s="11" t="s">
        <v>7464</v>
      </c>
      <c r="B3483" s="11" t="s">
        <v>7465</v>
      </c>
      <c r="C3483" s="11" t="s">
        <v>137</v>
      </c>
      <c r="D3483" s="11" t="s">
        <v>18</v>
      </c>
      <c r="E3483" s="12" t="s">
        <v>1072</v>
      </c>
      <c r="F3483" s="12" t="s">
        <v>1073</v>
      </c>
      <c r="G3483" s="12" t="s">
        <v>40</v>
      </c>
      <c r="H3483" s="11" t="s">
        <v>63</v>
      </c>
      <c r="I3483" s="13" t="s">
        <v>7488</v>
      </c>
      <c r="J3483" s="14" t="str">
        <f>HYPERLINK("https://www.boe.es/gazeta/dias/1839/01/18/pdfs/GMD-1839-1525.pdf#page=2","Abrir facsímil")</f>
        <v>Abrir facsímil</v>
      </c>
      <c r="K3483" s="12" t="s">
        <v>65</v>
      </c>
    </row>
    <row r="3484" spans="1:11" ht="40.049999999999997" customHeight="1" x14ac:dyDescent="0.25">
      <c r="A3484" s="11" t="s">
        <v>7464</v>
      </c>
      <c r="B3484" s="11" t="s">
        <v>7465</v>
      </c>
      <c r="C3484" s="11" t="s">
        <v>101</v>
      </c>
      <c r="D3484" s="11" t="s">
        <v>43</v>
      </c>
      <c r="E3484" s="12" t="s">
        <v>1179</v>
      </c>
      <c r="F3484" s="12" t="s">
        <v>1180</v>
      </c>
      <c r="G3484" s="12" t="s">
        <v>46</v>
      </c>
      <c r="H3484" s="11" t="s">
        <v>63</v>
      </c>
      <c r="I3484" s="13" t="s">
        <v>7489</v>
      </c>
      <c r="J3484" s="14" t="str">
        <f>HYPERLINK("https://www.boe.es/gazeta/dias/1839/10/18/pdfs/GMD-1839-1804.pdf#page=3","Abrir facsímil")</f>
        <v>Abrir facsímil</v>
      </c>
      <c r="K3484" s="12" t="s">
        <v>65</v>
      </c>
    </row>
    <row r="3485" spans="1:11" ht="40.049999999999997" customHeight="1" x14ac:dyDescent="0.25">
      <c r="A3485" s="11" t="s">
        <v>7464</v>
      </c>
      <c r="B3485" s="11" t="s">
        <v>7465</v>
      </c>
      <c r="C3485" s="11" t="s">
        <v>101</v>
      </c>
      <c r="D3485" s="11" t="s">
        <v>43</v>
      </c>
      <c r="E3485" s="12" t="s">
        <v>1179</v>
      </c>
      <c r="F3485" s="12" t="s">
        <v>1180</v>
      </c>
      <c r="G3485" s="12" t="s">
        <v>21</v>
      </c>
      <c r="H3485" s="11" t="s">
        <v>63</v>
      </c>
      <c r="I3485" s="13" t="s">
        <v>7490</v>
      </c>
      <c r="J3485" s="14" t="str">
        <f>HYPERLINK("https://www.boe.es/gazeta/dias/1839/10/18/pdfs/GMD-1839-1804.pdf#page=4","Abrir facsímil")</f>
        <v>Abrir facsímil</v>
      </c>
      <c r="K3485" s="12" t="s">
        <v>65</v>
      </c>
    </row>
    <row r="3486" spans="1:11" ht="40.049999999999997" customHeight="1" x14ac:dyDescent="0.25">
      <c r="A3486" s="11" t="s">
        <v>7464</v>
      </c>
      <c r="B3486" s="11" t="s">
        <v>7465</v>
      </c>
      <c r="C3486" s="11" t="s">
        <v>17</v>
      </c>
      <c r="D3486" s="11" t="s">
        <v>18</v>
      </c>
      <c r="E3486" s="12" t="s">
        <v>1179</v>
      </c>
      <c r="F3486" s="12" t="s">
        <v>1180</v>
      </c>
      <c r="G3486" s="12" t="s">
        <v>566</v>
      </c>
      <c r="H3486" s="11" t="s">
        <v>63</v>
      </c>
      <c r="I3486" s="13" t="s">
        <v>7491</v>
      </c>
      <c r="J3486" s="14" t="str">
        <f>HYPERLINK("https://www.boe.es/gazeta/dias/1839/10/18/pdfs/GMD-1839-1804.pdf#page=5","Abrir facsímil")</f>
        <v>Abrir facsímil</v>
      </c>
      <c r="K3486" s="12" t="s">
        <v>65</v>
      </c>
    </row>
    <row r="3487" spans="1:11" ht="40.049999999999997" customHeight="1" x14ac:dyDescent="0.25">
      <c r="A3487" s="11" t="s">
        <v>7464</v>
      </c>
      <c r="B3487" s="11" t="s">
        <v>7465</v>
      </c>
      <c r="C3487" s="11" t="s">
        <v>17</v>
      </c>
      <c r="D3487" s="11" t="s">
        <v>18</v>
      </c>
      <c r="E3487" s="12" t="s">
        <v>19</v>
      </c>
      <c r="F3487" s="12" t="s">
        <v>20</v>
      </c>
      <c r="G3487" s="12" t="s">
        <v>46</v>
      </c>
      <c r="H3487" s="11" t="s">
        <v>63</v>
      </c>
      <c r="I3487" s="13" t="s">
        <v>7492</v>
      </c>
      <c r="J3487" s="14" t="str">
        <f>HYPERLINK("https://www.boe.es/gazeta/dias/1839/01/19/pdfs/GMD-1839-1526.pdf#page=3","Abrir facsímil")</f>
        <v>Abrir facsímil</v>
      </c>
      <c r="K3487" s="12" t="s">
        <v>65</v>
      </c>
    </row>
    <row r="3488" spans="1:11" ht="40.049999999999997" customHeight="1" x14ac:dyDescent="0.25">
      <c r="A3488" s="11" t="s">
        <v>7464</v>
      </c>
      <c r="B3488" s="11" t="s">
        <v>7465</v>
      </c>
      <c r="C3488" s="11" t="s">
        <v>17</v>
      </c>
      <c r="D3488" s="11" t="s">
        <v>18</v>
      </c>
      <c r="E3488" s="12" t="s">
        <v>2222</v>
      </c>
      <c r="F3488" s="12" t="s">
        <v>2223</v>
      </c>
      <c r="G3488" s="12" t="s">
        <v>40</v>
      </c>
      <c r="H3488" s="11" t="s">
        <v>63</v>
      </c>
      <c r="I3488" s="13" t="s">
        <v>7493</v>
      </c>
      <c r="J3488" s="14" t="str">
        <f>HYPERLINK("https://www.boe.es/gazeta/dias/1839/09/19/pdfs/GMD-1839-1773.pdf#page=2","Abrir facsímil")</f>
        <v>Abrir facsímil</v>
      </c>
      <c r="K3488" s="12" t="s">
        <v>65</v>
      </c>
    </row>
    <row r="3489" spans="1:11" ht="40.049999999999997" customHeight="1" x14ac:dyDescent="0.25">
      <c r="A3489" s="11" t="s">
        <v>7464</v>
      </c>
      <c r="B3489" s="11" t="s">
        <v>7465</v>
      </c>
      <c r="C3489" s="11" t="s">
        <v>17</v>
      </c>
      <c r="D3489" s="11" t="s">
        <v>18</v>
      </c>
      <c r="E3489" s="12" t="s">
        <v>2253</v>
      </c>
      <c r="F3489" s="12" t="s">
        <v>2254</v>
      </c>
      <c r="G3489" s="12" t="s">
        <v>29</v>
      </c>
      <c r="H3489" s="11" t="s">
        <v>63</v>
      </c>
      <c r="I3489" s="13" t="s">
        <v>7494</v>
      </c>
      <c r="J3489" s="14" t="str">
        <f>HYPERLINK("https://www.boe.es/gazeta/dias/1839/02/20/pdfs/GMD-1839-1558.pdf#page=1","Abrir facsímil")</f>
        <v>Abrir facsímil</v>
      </c>
      <c r="K3489" s="12" t="s">
        <v>65</v>
      </c>
    </row>
    <row r="3490" spans="1:11" ht="40.049999999999997" customHeight="1" x14ac:dyDescent="0.25">
      <c r="A3490" s="11" t="s">
        <v>7464</v>
      </c>
      <c r="B3490" s="11" t="s">
        <v>7465</v>
      </c>
      <c r="C3490" s="11" t="s">
        <v>80</v>
      </c>
      <c r="D3490" s="11" t="s">
        <v>173</v>
      </c>
      <c r="E3490" s="12" t="s">
        <v>794</v>
      </c>
      <c r="F3490" s="12" t="s">
        <v>795</v>
      </c>
      <c r="G3490" s="12" t="s">
        <v>21</v>
      </c>
      <c r="H3490" s="11" t="s">
        <v>63</v>
      </c>
      <c r="I3490" s="13" t="s">
        <v>7495</v>
      </c>
      <c r="J3490" s="14" t="str">
        <f>HYPERLINK("https://www.boe.es/gazeta/dias/1839/01/22/pdfs/GMD-1839-1529.pdf#page=4","Abrir facsímil")</f>
        <v>Abrir facsímil</v>
      </c>
      <c r="K3490" s="12" t="s">
        <v>65</v>
      </c>
    </row>
    <row r="3491" spans="1:11" ht="40.049999999999997" customHeight="1" x14ac:dyDescent="0.25">
      <c r="A3491" s="11" t="s">
        <v>7464</v>
      </c>
      <c r="B3491" s="11" t="s">
        <v>7465</v>
      </c>
      <c r="C3491" s="11" t="s">
        <v>17</v>
      </c>
      <c r="D3491" s="11" t="s">
        <v>18</v>
      </c>
      <c r="E3491" s="12" t="s">
        <v>246</v>
      </c>
      <c r="F3491" s="12" t="s">
        <v>247</v>
      </c>
      <c r="G3491" s="12" t="s">
        <v>21</v>
      </c>
      <c r="H3491" s="11" t="s">
        <v>63</v>
      </c>
      <c r="I3491" s="13" t="s">
        <v>7496</v>
      </c>
      <c r="J3491" s="14" t="str">
        <f>HYPERLINK("https://www.boe.es/gazeta/dias/1839/11/24/pdfs/GMD-1839-1841.pdf#page=4","Abrir facsímil")</f>
        <v>Abrir facsímil</v>
      </c>
      <c r="K3491" s="12" t="s">
        <v>65</v>
      </c>
    </row>
    <row r="3492" spans="1:11" ht="40.049999999999997" customHeight="1" x14ac:dyDescent="0.25">
      <c r="A3492" s="11" t="s">
        <v>7464</v>
      </c>
      <c r="B3492" s="11" t="s">
        <v>7465</v>
      </c>
      <c r="C3492" s="11" t="s">
        <v>17</v>
      </c>
      <c r="D3492" s="11" t="s">
        <v>18</v>
      </c>
      <c r="E3492" s="12" t="s">
        <v>826</v>
      </c>
      <c r="F3492" s="12" t="s">
        <v>827</v>
      </c>
      <c r="G3492" s="12" t="s">
        <v>21</v>
      </c>
      <c r="H3492" s="11" t="s">
        <v>63</v>
      </c>
      <c r="I3492" s="13" t="s">
        <v>7497</v>
      </c>
      <c r="J3492" s="14" t="str">
        <f>HYPERLINK("https://www.boe.es/gazeta/dias/1839/09/25/pdfs/GMD-1839-1781.pdf#page=4","Abrir facsímil")</f>
        <v>Abrir facsímil</v>
      </c>
      <c r="K3492" s="12" t="s">
        <v>65</v>
      </c>
    </row>
    <row r="3493" spans="1:11" ht="40.049999999999997" customHeight="1" x14ac:dyDescent="0.25">
      <c r="A3493" s="11" t="s">
        <v>7464</v>
      </c>
      <c r="B3493" s="11" t="s">
        <v>7465</v>
      </c>
      <c r="C3493" s="11" t="s">
        <v>101</v>
      </c>
      <c r="D3493" s="11" t="s">
        <v>43</v>
      </c>
      <c r="E3493" s="12" t="s">
        <v>650</v>
      </c>
      <c r="F3493" s="12" t="s">
        <v>651</v>
      </c>
      <c r="G3493" s="12" t="s">
        <v>40</v>
      </c>
      <c r="H3493" s="11" t="s">
        <v>63</v>
      </c>
      <c r="I3493" s="13" t="s">
        <v>7498</v>
      </c>
      <c r="J3493" s="14" t="str">
        <f>HYPERLINK("https://www.boe.es/gazeta/dias/1839/10/25/pdfs/GMD-1839-1811.pdf#page=2","Abrir facsímil")</f>
        <v>Abrir facsímil</v>
      </c>
      <c r="K3493" s="12" t="s">
        <v>65</v>
      </c>
    </row>
    <row r="3494" spans="1:11" ht="40.049999999999997" customHeight="1" x14ac:dyDescent="0.25">
      <c r="A3494" s="11" t="s">
        <v>7464</v>
      </c>
      <c r="B3494" s="11" t="s">
        <v>7465</v>
      </c>
      <c r="C3494" s="11" t="s">
        <v>80</v>
      </c>
      <c r="D3494" s="11" t="s">
        <v>18</v>
      </c>
      <c r="E3494" s="12" t="s">
        <v>650</v>
      </c>
      <c r="F3494" s="12" t="s">
        <v>651</v>
      </c>
      <c r="G3494" s="12" t="s">
        <v>46</v>
      </c>
      <c r="H3494" s="11" t="s">
        <v>63</v>
      </c>
      <c r="I3494" s="13" t="s">
        <v>7499</v>
      </c>
      <c r="J3494" s="14" t="str">
        <f>HYPERLINK("https://www.boe.es/gazeta/dias/1839/10/25/pdfs/GMD-1839-1811.pdf#page=3","Abrir facsímil")</f>
        <v>Abrir facsímil</v>
      </c>
      <c r="K3494" s="12" t="s">
        <v>65</v>
      </c>
    </row>
    <row r="3495" spans="1:11" ht="40.049999999999997" customHeight="1" x14ac:dyDescent="0.25">
      <c r="A3495" s="11" t="s">
        <v>7464</v>
      </c>
      <c r="B3495" s="11" t="s">
        <v>7465</v>
      </c>
      <c r="C3495" s="11" t="s">
        <v>101</v>
      </c>
      <c r="D3495" s="11" t="s">
        <v>43</v>
      </c>
      <c r="E3495" s="12" t="s">
        <v>650</v>
      </c>
      <c r="F3495" s="12" t="s">
        <v>651</v>
      </c>
      <c r="G3495" s="12" t="s">
        <v>21</v>
      </c>
      <c r="H3495" s="11" t="s">
        <v>63</v>
      </c>
      <c r="I3495" s="13" t="s">
        <v>7500</v>
      </c>
      <c r="J3495" s="14" t="str">
        <f>HYPERLINK("https://www.boe.es/gazeta/dias/1839/10/25/pdfs/GMD-1839-1811.pdf#page=4","Abrir facsímil")</f>
        <v>Abrir facsímil</v>
      </c>
      <c r="K3495" s="12" t="s">
        <v>65</v>
      </c>
    </row>
    <row r="3496" spans="1:11" ht="40.049999999999997" customHeight="1" x14ac:dyDescent="0.25">
      <c r="A3496" s="11" t="s">
        <v>7464</v>
      </c>
      <c r="B3496" s="11" t="s">
        <v>7465</v>
      </c>
      <c r="C3496" s="11" t="s">
        <v>17</v>
      </c>
      <c r="D3496" s="11" t="s">
        <v>18</v>
      </c>
      <c r="E3496" s="12" t="s">
        <v>1086</v>
      </c>
      <c r="F3496" s="12" t="s">
        <v>1087</v>
      </c>
      <c r="G3496" s="12" t="s">
        <v>21</v>
      </c>
      <c r="H3496" s="11" t="s">
        <v>63</v>
      </c>
      <c r="I3496" s="13" t="s">
        <v>7501</v>
      </c>
      <c r="J3496" s="14" t="str">
        <f>HYPERLINK("https://www.boe.es/gazeta/dias/1839/10/26/pdfs/GMD-1839-1812.pdf#page=4","Abrir facsímil")</f>
        <v>Abrir facsímil</v>
      </c>
      <c r="K3496" s="12" t="s">
        <v>65</v>
      </c>
    </row>
    <row r="3497" spans="1:11" ht="40.049999999999997" customHeight="1" x14ac:dyDescent="0.25">
      <c r="A3497" s="11" t="s">
        <v>7464</v>
      </c>
      <c r="B3497" s="11" t="s">
        <v>7465</v>
      </c>
      <c r="C3497" s="11" t="s">
        <v>59</v>
      </c>
      <c r="D3497" s="11" t="s">
        <v>60</v>
      </c>
      <c r="E3497" s="12" t="s">
        <v>571</v>
      </c>
      <c r="F3497" s="12" t="s">
        <v>572</v>
      </c>
      <c r="G3497" s="12" t="s">
        <v>40</v>
      </c>
      <c r="H3497" s="11" t="s">
        <v>63</v>
      </c>
      <c r="I3497" s="13" t="s">
        <v>7502</v>
      </c>
      <c r="J3497" s="14" t="str">
        <f>HYPERLINK("https://www.boe.es/gazeta/dias/1839/09/27/pdfs/GMD-1839-1783.pdf#page=2","Abrir facsímil")</f>
        <v>Abrir facsímil</v>
      </c>
      <c r="K3497" s="12" t="s">
        <v>65</v>
      </c>
    </row>
    <row r="3498" spans="1:11" ht="40.049999999999997" customHeight="1" x14ac:dyDescent="0.25">
      <c r="A3498" s="11" t="s">
        <v>7464</v>
      </c>
      <c r="B3498" s="11" t="s">
        <v>7465</v>
      </c>
      <c r="C3498" s="11" t="s">
        <v>101</v>
      </c>
      <c r="D3498" s="11" t="s">
        <v>43</v>
      </c>
      <c r="E3498" s="12" t="s">
        <v>571</v>
      </c>
      <c r="F3498" s="12" t="s">
        <v>572</v>
      </c>
      <c r="G3498" s="12" t="s">
        <v>46</v>
      </c>
      <c r="H3498" s="11" t="s">
        <v>63</v>
      </c>
      <c r="I3498" s="13" t="s">
        <v>7503</v>
      </c>
      <c r="J3498" s="14" t="str">
        <f>HYPERLINK("https://www.boe.es/gazeta/dias/1839/09/27/pdfs/GMD-1839-1783.pdf#page=3","Abrir facsímil")</f>
        <v>Abrir facsímil</v>
      </c>
      <c r="K3498" s="12" t="s">
        <v>65</v>
      </c>
    </row>
    <row r="3499" spans="1:11" ht="40.049999999999997" customHeight="1" x14ac:dyDescent="0.25">
      <c r="A3499" s="11" t="s">
        <v>7464</v>
      </c>
      <c r="B3499" s="11" t="s">
        <v>7465</v>
      </c>
      <c r="C3499" s="11" t="s">
        <v>80</v>
      </c>
      <c r="D3499" s="11" t="s">
        <v>18</v>
      </c>
      <c r="E3499" s="12" t="s">
        <v>574</v>
      </c>
      <c r="F3499" s="12" t="s">
        <v>575</v>
      </c>
      <c r="G3499" s="12" t="s">
        <v>40</v>
      </c>
      <c r="H3499" s="11" t="s">
        <v>63</v>
      </c>
      <c r="I3499" s="13" t="s">
        <v>7504</v>
      </c>
      <c r="J3499" s="14" t="str">
        <f>HYPERLINK("https://www.boe.es/gazeta/dias/1839/09/28/pdfs/GMD-1839-1784.pdf#page=2","Abrir facsímil")</f>
        <v>Abrir facsímil</v>
      </c>
      <c r="K3499" s="12" t="s">
        <v>65</v>
      </c>
    </row>
    <row r="3500" spans="1:11" ht="40.049999999999997" customHeight="1" x14ac:dyDescent="0.25">
      <c r="A3500" s="11" t="s">
        <v>7464</v>
      </c>
      <c r="B3500" s="11" t="s">
        <v>7465</v>
      </c>
      <c r="C3500" s="11" t="s">
        <v>80</v>
      </c>
      <c r="D3500" s="11" t="s">
        <v>18</v>
      </c>
      <c r="E3500" s="12" t="s">
        <v>474</v>
      </c>
      <c r="F3500" s="12" t="s">
        <v>475</v>
      </c>
      <c r="G3500" s="12" t="s">
        <v>29</v>
      </c>
      <c r="H3500" s="11" t="s">
        <v>63</v>
      </c>
      <c r="I3500" s="13" t="s">
        <v>7505</v>
      </c>
      <c r="J3500" s="14" t="str">
        <f>HYPERLINK("https://www.boe.es/gazeta/dias/1839/03/31/pdfs/GMD-1839-1597.pdf#page=1","Abrir facsímil")</f>
        <v>Abrir facsímil</v>
      </c>
      <c r="K3500" s="12" t="s">
        <v>65</v>
      </c>
    </row>
    <row r="3501" spans="1:11" ht="40.049999999999997" customHeight="1" x14ac:dyDescent="0.25">
      <c r="A3501" s="11" t="s">
        <v>7464</v>
      </c>
      <c r="B3501" s="11" t="s">
        <v>7465</v>
      </c>
      <c r="C3501" s="11" t="s">
        <v>17</v>
      </c>
      <c r="D3501" s="11" t="s">
        <v>18</v>
      </c>
      <c r="E3501" s="12" t="s">
        <v>653</v>
      </c>
      <c r="F3501" s="12" t="s">
        <v>654</v>
      </c>
      <c r="G3501" s="12" t="s">
        <v>40</v>
      </c>
      <c r="H3501" s="11" t="s">
        <v>63</v>
      </c>
      <c r="I3501" s="13" t="s">
        <v>7506</v>
      </c>
      <c r="J3501" s="14" t="str">
        <f>HYPERLINK("https://www.boe.es/gazeta/dias/1839/10/31/pdfs/GMD-1839-1817.pdf#page=2","Abrir facsímil")</f>
        <v>Abrir facsímil</v>
      </c>
      <c r="K3501" s="12" t="s">
        <v>65</v>
      </c>
    </row>
    <row r="3502" spans="1:11" ht="40.049999999999997" customHeight="1" x14ac:dyDescent="0.25">
      <c r="A3502" s="11" t="s">
        <v>7507</v>
      </c>
      <c r="B3502" s="11" t="s">
        <v>7508</v>
      </c>
      <c r="C3502" s="11" t="s">
        <v>137</v>
      </c>
      <c r="D3502" s="11" t="s">
        <v>18</v>
      </c>
      <c r="E3502" s="12" t="s">
        <v>785</v>
      </c>
      <c r="F3502" s="12" t="s">
        <v>786</v>
      </c>
      <c r="G3502" s="12" t="s">
        <v>21</v>
      </c>
      <c r="H3502" s="11" t="s">
        <v>63</v>
      </c>
      <c r="I3502" s="13" t="s">
        <v>7509</v>
      </c>
      <c r="J3502" s="14" t="str">
        <f>HYPERLINK("https://www.boe.es/gazeta/dias/1839/07/13/pdfs/GMD-1839-1701.pdf#page=4","Abrir facsímil")</f>
        <v>Abrir facsímil</v>
      </c>
      <c r="K3502" s="12" t="s">
        <v>65</v>
      </c>
    </row>
    <row r="3503" spans="1:11" ht="40.049999999999997" customHeight="1" x14ac:dyDescent="0.25">
      <c r="A3503" s="11" t="s">
        <v>7510</v>
      </c>
      <c r="B3503" s="11" t="s">
        <v>7511</v>
      </c>
      <c r="C3503" s="11" t="s">
        <v>17</v>
      </c>
      <c r="D3503" s="11" t="s">
        <v>18</v>
      </c>
      <c r="E3503" s="12" t="s">
        <v>103</v>
      </c>
      <c r="F3503" s="12" t="s">
        <v>104</v>
      </c>
      <c r="G3503" s="12" t="s">
        <v>40</v>
      </c>
      <c r="H3503" s="11" t="s">
        <v>63</v>
      </c>
      <c r="I3503" s="13" t="s">
        <v>7512</v>
      </c>
      <c r="J3503" s="14" t="str">
        <f>HYPERLINK("https://www.boe.es/gazeta/dias/1839/10/12/pdfs/GMD-1839-1798.pdf#page=2","Abrir facsímil")</f>
        <v>Abrir facsímil</v>
      </c>
      <c r="K3503" s="12" t="s">
        <v>65</v>
      </c>
    </row>
    <row r="3504" spans="1:11" ht="40.049999999999997" customHeight="1" x14ac:dyDescent="0.25">
      <c r="A3504" s="11" t="s">
        <v>7513</v>
      </c>
      <c r="B3504" s="11" t="s">
        <v>7514</v>
      </c>
      <c r="C3504" s="11" t="s">
        <v>17</v>
      </c>
      <c r="D3504" s="11" t="s">
        <v>18</v>
      </c>
      <c r="E3504" s="12" t="s">
        <v>303</v>
      </c>
      <c r="F3504" s="12" t="s">
        <v>304</v>
      </c>
      <c r="G3504" s="12" t="s">
        <v>305</v>
      </c>
      <c r="H3504" s="11" t="s">
        <v>63</v>
      </c>
      <c r="I3504" s="13" t="s">
        <v>7515</v>
      </c>
      <c r="J3504" s="14" t="str">
        <f>HYPERLINK("https://www.boe.es/gazeta/dias/1839/10/06/pdfs/GMD-1839-1792.pdf#page=6","Abrir facsímil")</f>
        <v>Abrir facsímil</v>
      </c>
      <c r="K3504" s="12" t="s">
        <v>65</v>
      </c>
    </row>
    <row r="3505" spans="1:11" ht="40.049999999999997" customHeight="1" x14ac:dyDescent="0.25">
      <c r="A3505" s="11" t="s">
        <v>7516</v>
      </c>
      <c r="B3505" s="11" t="s">
        <v>7517</v>
      </c>
      <c r="C3505" s="11" t="s">
        <v>17</v>
      </c>
      <c r="D3505" s="11" t="s">
        <v>18</v>
      </c>
      <c r="E3505" s="12" t="s">
        <v>1079</v>
      </c>
      <c r="F3505" s="12" t="s">
        <v>1080</v>
      </c>
      <c r="G3505" s="12" t="s">
        <v>46</v>
      </c>
      <c r="H3505" s="11" t="s">
        <v>63</v>
      </c>
      <c r="I3505" s="13" t="s">
        <v>7518</v>
      </c>
      <c r="J3505" s="14" t="str">
        <f>HYPERLINK("https://www.boe.es/gazeta/dias/1839/05/24/pdfs/GMD-1839-1651.pdf#page=3","Abrir facsímil")</f>
        <v>Abrir facsímil</v>
      </c>
      <c r="K3505" s="12" t="s">
        <v>65</v>
      </c>
    </row>
    <row r="3506" spans="1:11" ht="40.049999999999997" customHeight="1" x14ac:dyDescent="0.25">
      <c r="A3506" s="11" t="s">
        <v>7519</v>
      </c>
      <c r="B3506" s="11" t="s">
        <v>7520</v>
      </c>
      <c r="C3506" s="11" t="s">
        <v>17</v>
      </c>
      <c r="D3506" s="11" t="s">
        <v>18</v>
      </c>
      <c r="E3506" s="12" t="s">
        <v>1509</v>
      </c>
      <c r="F3506" s="12" t="s">
        <v>1510</v>
      </c>
      <c r="G3506" s="12" t="s">
        <v>305</v>
      </c>
      <c r="H3506" s="11" t="s">
        <v>63</v>
      </c>
      <c r="I3506" s="13" t="s">
        <v>7521</v>
      </c>
      <c r="J3506" s="14" t="str">
        <f>HYPERLINK("https://www.boe.es/gazeta/dias/1839/10/07/pdfs/GMD-1839-1793.pdf#page=6","Abrir facsímil")</f>
        <v>Abrir facsímil</v>
      </c>
      <c r="K3506" s="12" t="s">
        <v>65</v>
      </c>
    </row>
    <row r="3507" spans="1:11" ht="40.049999999999997" customHeight="1" x14ac:dyDescent="0.25">
      <c r="A3507" s="11" t="s">
        <v>7522</v>
      </c>
      <c r="B3507" s="11" t="s">
        <v>7523</v>
      </c>
      <c r="C3507" s="11" t="s">
        <v>17</v>
      </c>
      <c r="D3507" s="11" t="s">
        <v>18</v>
      </c>
      <c r="E3507" s="12" t="s">
        <v>116</v>
      </c>
      <c r="F3507" s="12" t="s">
        <v>117</v>
      </c>
      <c r="G3507" s="12" t="s">
        <v>21</v>
      </c>
      <c r="H3507" s="11" t="s">
        <v>63</v>
      </c>
      <c r="I3507" s="13" t="s">
        <v>7524</v>
      </c>
      <c r="J3507" s="14" t="str">
        <f>HYPERLINK("https://www.boe.es/gazeta/dias/1839/10/10/pdfs/GMD-1839-1796.pdf#page=4","Abrir facsímil")</f>
        <v>Abrir facsímil</v>
      </c>
      <c r="K3507" s="12" t="s">
        <v>65</v>
      </c>
    </row>
    <row r="3508" spans="1:11" ht="40.049999999999997" customHeight="1" x14ac:dyDescent="0.25">
      <c r="A3508" s="11" t="s">
        <v>7525</v>
      </c>
      <c r="B3508" s="11" t="s">
        <v>7526</v>
      </c>
      <c r="C3508" s="11" t="s">
        <v>80</v>
      </c>
      <c r="D3508" s="11" t="s">
        <v>18</v>
      </c>
      <c r="E3508" s="12" t="s">
        <v>1057</v>
      </c>
      <c r="F3508" s="12" t="s">
        <v>1058</v>
      </c>
      <c r="G3508" s="12" t="s">
        <v>305</v>
      </c>
      <c r="H3508" s="11" t="s">
        <v>63</v>
      </c>
      <c r="I3508" s="13" t="s">
        <v>7527</v>
      </c>
      <c r="J3508" s="14" t="str">
        <f>HYPERLINK("https://www.boe.es/gazeta/dias/1839/10/01/pdfs/GMD-1839-1787.pdf#page=6","Abrir facsímil")</f>
        <v>Abrir facsímil</v>
      </c>
      <c r="K3508" s="12" t="s">
        <v>65</v>
      </c>
    </row>
    <row r="3509" spans="1:11" ht="40.049999999999997" customHeight="1" x14ac:dyDescent="0.25">
      <c r="A3509" s="11" t="s">
        <v>7528</v>
      </c>
      <c r="B3509" s="11" t="s">
        <v>7529</v>
      </c>
      <c r="C3509" s="11" t="s">
        <v>59</v>
      </c>
      <c r="D3509" s="11" t="s">
        <v>60</v>
      </c>
      <c r="E3509" s="12" t="s">
        <v>1236</v>
      </c>
      <c r="F3509" s="12" t="s">
        <v>1237</v>
      </c>
      <c r="G3509" s="12" t="s">
        <v>29</v>
      </c>
      <c r="H3509" s="11" t="s">
        <v>63</v>
      </c>
      <c r="I3509" s="13" t="s">
        <v>7530</v>
      </c>
      <c r="J3509" s="14" t="str">
        <f>HYPERLINK("https://www.boe.es/gazeta/dias/1839/10/16/pdfs/GMD-1839-1802.pdf#page=1","Abrir facsímil")</f>
        <v>Abrir facsímil</v>
      </c>
      <c r="K3509" s="12" t="s">
        <v>65</v>
      </c>
    </row>
    <row r="3510" spans="1:11" ht="40.049999999999997" customHeight="1" x14ac:dyDescent="0.25">
      <c r="A3510" s="11" t="s">
        <v>7531</v>
      </c>
      <c r="B3510" s="11" t="s">
        <v>7532</v>
      </c>
      <c r="C3510" s="11" t="s">
        <v>17</v>
      </c>
      <c r="D3510" s="11" t="s">
        <v>18</v>
      </c>
      <c r="E3510" s="12" t="s">
        <v>1183</v>
      </c>
      <c r="F3510" s="12" t="s">
        <v>1184</v>
      </c>
      <c r="G3510" s="12" t="s">
        <v>21</v>
      </c>
      <c r="H3510" s="11" t="s">
        <v>63</v>
      </c>
      <c r="I3510" s="13" t="s">
        <v>7533</v>
      </c>
      <c r="J3510" s="14" t="str">
        <f>HYPERLINK("https://www.boe.es/gazeta/dias/1839/07/26/pdfs/GMD-1839-1715.pdf#page=4","Abrir facsímil")</f>
        <v>Abrir facsímil</v>
      </c>
      <c r="K3510" s="12" t="s">
        <v>65</v>
      </c>
    </row>
    <row r="3511" spans="1:11" ht="40.049999999999997" customHeight="1" x14ac:dyDescent="0.25">
      <c r="A3511" s="11" t="s">
        <v>7534</v>
      </c>
      <c r="B3511" s="11" t="s">
        <v>7535</v>
      </c>
      <c r="C3511" s="11" t="s">
        <v>137</v>
      </c>
      <c r="D3511" s="11" t="s">
        <v>18</v>
      </c>
      <c r="E3511" s="12" t="s">
        <v>81</v>
      </c>
      <c r="F3511" s="12" t="s">
        <v>82</v>
      </c>
      <c r="G3511" s="12" t="s">
        <v>40</v>
      </c>
      <c r="H3511" s="11" t="s">
        <v>63</v>
      </c>
      <c r="I3511" s="13" t="s">
        <v>7536</v>
      </c>
      <c r="J3511" s="14" t="str">
        <f>HYPERLINK("https://www.boe.es/gazeta/dias/1839/03/03/pdfs/GMD-1839-1569.pdf#page=2","Abrir facsímil")</f>
        <v>Abrir facsímil</v>
      </c>
      <c r="K3511" s="12" t="s">
        <v>65</v>
      </c>
    </row>
    <row r="3512" spans="1:11" ht="40.049999999999997" customHeight="1" x14ac:dyDescent="0.25">
      <c r="A3512" s="11" t="s">
        <v>7537</v>
      </c>
      <c r="B3512" s="11" t="s">
        <v>7538</v>
      </c>
      <c r="C3512" s="11" t="s">
        <v>17</v>
      </c>
      <c r="D3512" s="11" t="s">
        <v>18</v>
      </c>
      <c r="E3512" s="12" t="s">
        <v>1813</v>
      </c>
      <c r="F3512" s="12" t="s">
        <v>1814</v>
      </c>
      <c r="G3512" s="12" t="s">
        <v>21</v>
      </c>
      <c r="H3512" s="11" t="s">
        <v>63</v>
      </c>
      <c r="I3512" s="13" t="s">
        <v>7539</v>
      </c>
      <c r="J3512" s="14" t="str">
        <f>HYPERLINK("https://www.boe.es/gazeta/dias/1839/09/02/pdfs/GMD-1839-1754.pdf#page=4","Abrir facsímil")</f>
        <v>Abrir facsímil</v>
      </c>
      <c r="K3512" s="12" t="s">
        <v>65</v>
      </c>
    </row>
    <row r="3513" spans="1:11" ht="40.049999999999997" customHeight="1" x14ac:dyDescent="0.25">
      <c r="A3513" s="11" t="s">
        <v>7537</v>
      </c>
      <c r="B3513" s="11" t="s">
        <v>7538</v>
      </c>
      <c r="C3513" s="11" t="s">
        <v>17</v>
      </c>
      <c r="D3513" s="11" t="s">
        <v>18</v>
      </c>
      <c r="E3513" s="12" t="s">
        <v>483</v>
      </c>
      <c r="F3513" s="12" t="s">
        <v>484</v>
      </c>
      <c r="G3513" s="12" t="s">
        <v>21</v>
      </c>
      <c r="H3513" s="11" t="s">
        <v>63</v>
      </c>
      <c r="I3513" s="13" t="s">
        <v>7540</v>
      </c>
      <c r="J3513" s="14" t="str">
        <f>HYPERLINK("https://www.boe.es/gazeta/dias/1839/11/18/pdfs/GMD-1839-1835.pdf#page=4","Abrir facsímil")</f>
        <v>Abrir facsímil</v>
      </c>
      <c r="K3513" s="12" t="s">
        <v>65</v>
      </c>
    </row>
    <row r="3514" spans="1:11" ht="40.049999999999997" customHeight="1" x14ac:dyDescent="0.25">
      <c r="A3514" s="11" t="s">
        <v>7541</v>
      </c>
      <c r="B3514" s="11" t="s">
        <v>7542</v>
      </c>
      <c r="C3514" s="11" t="s">
        <v>17</v>
      </c>
      <c r="D3514" s="11" t="s">
        <v>18</v>
      </c>
      <c r="E3514" s="12" t="s">
        <v>510</v>
      </c>
      <c r="F3514" s="12" t="s">
        <v>511</v>
      </c>
      <c r="G3514" s="12" t="s">
        <v>46</v>
      </c>
      <c r="H3514" s="11" t="s">
        <v>63</v>
      </c>
      <c r="I3514" s="13" t="s">
        <v>7543</v>
      </c>
      <c r="J3514" s="14" t="str">
        <f>HYPERLINK("https://www.boe.es/gazeta/dias/1839/05/13/pdfs/GMD-1839-1640.pdf#page=3","Abrir facsímil")</f>
        <v>Abrir facsímil</v>
      </c>
      <c r="K3514" s="12" t="s">
        <v>65</v>
      </c>
    </row>
    <row r="3515" spans="1:11" ht="40.049999999999997" customHeight="1" x14ac:dyDescent="0.25">
      <c r="A3515" s="11" t="s">
        <v>7541</v>
      </c>
      <c r="B3515" s="11" t="s">
        <v>7542</v>
      </c>
      <c r="C3515" s="11" t="s">
        <v>101</v>
      </c>
      <c r="D3515" s="11" t="s">
        <v>102</v>
      </c>
      <c r="E3515" s="12" t="s">
        <v>1895</v>
      </c>
      <c r="F3515" s="12" t="s">
        <v>1896</v>
      </c>
      <c r="G3515" s="12" t="s">
        <v>40</v>
      </c>
      <c r="H3515" s="11" t="s">
        <v>63</v>
      </c>
      <c r="I3515" s="13" t="s">
        <v>7544</v>
      </c>
      <c r="J3515" s="14" t="str">
        <f>HYPERLINK("https://www.boe.es/gazeta/dias/1839/12/23/pdfs/GMD-1839-1870.pdf#page=2","Abrir facsímil")</f>
        <v>Abrir facsímil</v>
      </c>
      <c r="K3515" s="12" t="s">
        <v>65</v>
      </c>
    </row>
    <row r="3516" spans="1:11" ht="40.049999999999997" customHeight="1" x14ac:dyDescent="0.25">
      <c r="A3516" s="11" t="s">
        <v>7545</v>
      </c>
      <c r="B3516" s="11" t="s">
        <v>7546</v>
      </c>
      <c r="C3516" s="11" t="s">
        <v>17</v>
      </c>
      <c r="D3516" s="11" t="s">
        <v>18</v>
      </c>
      <c r="E3516" s="12" t="s">
        <v>587</v>
      </c>
      <c r="F3516" s="12" t="s">
        <v>588</v>
      </c>
      <c r="G3516" s="12" t="s">
        <v>21</v>
      </c>
      <c r="H3516" s="11" t="s">
        <v>63</v>
      </c>
      <c r="I3516" s="13" t="s">
        <v>7547</v>
      </c>
      <c r="J3516" s="14" t="str">
        <f>HYPERLINK("https://www.boe.es/gazeta/dias/1839/05/02/pdfs/GMD-1839-1629.pdf#page=4","Abrir facsímil")</f>
        <v>Abrir facsímil</v>
      </c>
      <c r="K3516" s="12" t="s">
        <v>65</v>
      </c>
    </row>
    <row r="3517" spans="1:11" ht="40.049999999999997" customHeight="1" x14ac:dyDescent="0.25">
      <c r="A3517" s="11" t="s">
        <v>7545</v>
      </c>
      <c r="B3517" s="11" t="s">
        <v>7546</v>
      </c>
      <c r="C3517" s="11" t="s">
        <v>17</v>
      </c>
      <c r="D3517" s="11" t="s">
        <v>18</v>
      </c>
      <c r="E3517" s="12" t="s">
        <v>108</v>
      </c>
      <c r="F3517" s="12" t="s">
        <v>109</v>
      </c>
      <c r="G3517" s="12" t="s">
        <v>29</v>
      </c>
      <c r="H3517" s="11" t="s">
        <v>63</v>
      </c>
      <c r="I3517" s="13" t="s">
        <v>7548</v>
      </c>
      <c r="J3517" s="14" t="str">
        <f>HYPERLINK("https://www.boe.es/gazeta/dias/1839/01/04/pdfs/GMD-1839-1511.pdf#page=1","Abrir facsímil")</f>
        <v>Abrir facsímil</v>
      </c>
      <c r="K3517" s="12" t="s">
        <v>65</v>
      </c>
    </row>
    <row r="3518" spans="1:11" ht="40.049999999999997" customHeight="1" x14ac:dyDescent="0.25">
      <c r="A3518" s="11" t="s">
        <v>7545</v>
      </c>
      <c r="B3518" s="11" t="s">
        <v>7546</v>
      </c>
      <c r="C3518" s="11" t="s">
        <v>80</v>
      </c>
      <c r="D3518" s="11" t="s">
        <v>18</v>
      </c>
      <c r="E3518" s="12" t="s">
        <v>782</v>
      </c>
      <c r="F3518" s="12" t="s">
        <v>783</v>
      </c>
      <c r="G3518" s="12" t="s">
        <v>21</v>
      </c>
      <c r="H3518" s="11" t="s">
        <v>63</v>
      </c>
      <c r="I3518" s="13" t="s">
        <v>7549</v>
      </c>
      <c r="J3518" s="14" t="str">
        <f>HYPERLINK("https://www.boe.es/gazeta/dias/1839/05/09/pdfs/GMD-1839-1636.pdf#page=4","Abrir facsímil")</f>
        <v>Abrir facsímil</v>
      </c>
      <c r="K3518" s="12" t="s">
        <v>65</v>
      </c>
    </row>
    <row r="3519" spans="1:11" ht="40.049999999999997" customHeight="1" x14ac:dyDescent="0.25">
      <c r="A3519" s="11" t="s">
        <v>7545</v>
      </c>
      <c r="B3519" s="11" t="s">
        <v>7546</v>
      </c>
      <c r="C3519" s="11" t="s">
        <v>17</v>
      </c>
      <c r="D3519" s="11" t="s">
        <v>18</v>
      </c>
      <c r="E3519" s="12" t="s">
        <v>1149</v>
      </c>
      <c r="F3519" s="12" t="s">
        <v>1150</v>
      </c>
      <c r="G3519" s="12" t="s">
        <v>21</v>
      </c>
      <c r="H3519" s="11" t="s">
        <v>63</v>
      </c>
      <c r="I3519" s="13" t="s">
        <v>7550</v>
      </c>
      <c r="J3519" s="14" t="str">
        <f>HYPERLINK("https://www.boe.es/gazeta/dias/1839/06/25/pdfs/GMD-1839-1683.pdf#page=4","Abrir facsímil")</f>
        <v>Abrir facsímil</v>
      </c>
      <c r="K3519" s="12" t="s">
        <v>65</v>
      </c>
    </row>
    <row r="3520" spans="1:11" ht="40.049999999999997" customHeight="1" x14ac:dyDescent="0.25">
      <c r="A3520" s="11" t="s">
        <v>7551</v>
      </c>
      <c r="B3520" s="11" t="s">
        <v>7552</v>
      </c>
      <c r="C3520" s="11" t="s">
        <v>17</v>
      </c>
      <c r="D3520" s="11" t="s">
        <v>43</v>
      </c>
      <c r="E3520" s="12" t="s">
        <v>1517</v>
      </c>
      <c r="F3520" s="12" t="s">
        <v>1518</v>
      </c>
      <c r="G3520" s="12" t="s">
        <v>46</v>
      </c>
      <c r="H3520" s="11" t="s">
        <v>63</v>
      </c>
      <c r="I3520" s="13" t="s">
        <v>7553</v>
      </c>
      <c r="J3520" s="14" t="str">
        <f>HYPERLINK("https://www.boe.es/gazeta/dias/1839/12/20/pdfs/GMD-1839-1867.pdf#page=3","Abrir facsímil")</f>
        <v>Abrir facsímil</v>
      </c>
      <c r="K3520" s="12" t="s">
        <v>65</v>
      </c>
    </row>
    <row r="3521" spans="1:11" ht="40.049999999999997" customHeight="1" x14ac:dyDescent="0.25">
      <c r="A3521" s="11" t="s">
        <v>7554</v>
      </c>
      <c r="B3521" s="11" t="s">
        <v>7555</v>
      </c>
      <c r="C3521" s="11" t="s">
        <v>101</v>
      </c>
      <c r="D3521" s="11" t="s">
        <v>102</v>
      </c>
      <c r="E3521" s="12" t="s">
        <v>782</v>
      </c>
      <c r="F3521" s="12" t="s">
        <v>783</v>
      </c>
      <c r="G3521" s="12" t="s">
        <v>21</v>
      </c>
      <c r="H3521" s="11" t="s">
        <v>63</v>
      </c>
      <c r="I3521" s="13" t="s">
        <v>7556</v>
      </c>
      <c r="J3521" s="14" t="str">
        <f>HYPERLINK("https://www.boe.es/gazeta/dias/1839/05/09/pdfs/GMD-1839-1636.pdf#page=4","Abrir facsímil")</f>
        <v>Abrir facsímil</v>
      </c>
      <c r="K3521" s="12" t="s">
        <v>65</v>
      </c>
    </row>
    <row r="3522" spans="1:11" ht="40.049999999999997" customHeight="1" x14ac:dyDescent="0.25">
      <c r="A3522" s="11" t="s">
        <v>7557</v>
      </c>
      <c r="B3522" s="11" t="s">
        <v>7558</v>
      </c>
      <c r="C3522" s="11" t="s">
        <v>59</v>
      </c>
      <c r="D3522" s="11" t="s">
        <v>60</v>
      </c>
      <c r="E3522" s="12" t="s">
        <v>2210</v>
      </c>
      <c r="F3522" s="12" t="s">
        <v>2211</v>
      </c>
      <c r="G3522" s="12" t="s">
        <v>40</v>
      </c>
      <c r="H3522" s="11" t="s">
        <v>63</v>
      </c>
      <c r="I3522" s="13" t="s">
        <v>7559</v>
      </c>
      <c r="J3522" s="14" t="str">
        <f>HYPERLINK("https://www.boe.es/gazeta/dias/1839/09/05/pdfs/GMD-1839-1758.pdf#page=2","Abrir facsímil")</f>
        <v>Abrir facsímil</v>
      </c>
      <c r="K3522" s="12" t="s">
        <v>65</v>
      </c>
    </row>
    <row r="3523" spans="1:11" ht="40.049999999999997" customHeight="1" x14ac:dyDescent="0.25">
      <c r="A3523" s="11" t="s">
        <v>7557</v>
      </c>
      <c r="B3523" s="11" t="s">
        <v>7558</v>
      </c>
      <c r="C3523" s="11" t="s">
        <v>17</v>
      </c>
      <c r="D3523" s="11" t="s">
        <v>18</v>
      </c>
      <c r="E3523" s="12" t="s">
        <v>254</v>
      </c>
      <c r="F3523" s="12" t="s">
        <v>255</v>
      </c>
      <c r="G3523" s="12" t="s">
        <v>40</v>
      </c>
      <c r="H3523" s="11" t="s">
        <v>63</v>
      </c>
      <c r="I3523" s="13" t="s">
        <v>7560</v>
      </c>
      <c r="J3523" s="14" t="str">
        <f>HYPERLINK("https://www.boe.es/gazeta/dias/1839/09/12/pdfs/GMD-1839-1765.pdf#page=2","Abrir facsímil")</f>
        <v>Abrir facsímil</v>
      </c>
      <c r="K3523" s="12" t="s">
        <v>65</v>
      </c>
    </row>
    <row r="3524" spans="1:11" ht="40.049999999999997" customHeight="1" x14ac:dyDescent="0.25">
      <c r="A3524" s="11" t="s">
        <v>7557</v>
      </c>
      <c r="B3524" s="11" t="s">
        <v>7558</v>
      </c>
      <c r="C3524" s="11" t="s">
        <v>101</v>
      </c>
      <c r="D3524" s="11" t="s">
        <v>43</v>
      </c>
      <c r="E3524" s="12" t="s">
        <v>834</v>
      </c>
      <c r="F3524" s="12" t="s">
        <v>835</v>
      </c>
      <c r="G3524" s="12" t="s">
        <v>46</v>
      </c>
      <c r="H3524" s="11" t="s">
        <v>63</v>
      </c>
      <c r="I3524" s="13" t="s">
        <v>7561</v>
      </c>
      <c r="J3524" s="14" t="str">
        <f>HYPERLINK("https://www.boe.es/gazeta/dias/1839/08/17/pdfs/GMD-1839-1737.pdf#page=3","Abrir facsímil")</f>
        <v>Abrir facsímil</v>
      </c>
      <c r="K3524" s="12" t="s">
        <v>65</v>
      </c>
    </row>
    <row r="3525" spans="1:11" ht="40.049999999999997" customHeight="1" x14ac:dyDescent="0.25">
      <c r="A3525" s="11" t="s">
        <v>7562</v>
      </c>
      <c r="B3525" s="11" t="s">
        <v>7563</v>
      </c>
      <c r="C3525" s="11" t="s">
        <v>17</v>
      </c>
      <c r="D3525" s="11" t="s">
        <v>18</v>
      </c>
      <c r="E3525" s="12" t="s">
        <v>685</v>
      </c>
      <c r="F3525" s="12" t="s">
        <v>686</v>
      </c>
      <c r="G3525" s="12" t="s">
        <v>21</v>
      </c>
      <c r="H3525" s="11" t="s">
        <v>22</v>
      </c>
      <c r="I3525" s="13" t="s">
        <v>7564</v>
      </c>
      <c r="J3525" s="14" t="str">
        <f>HYPERLINK("https://www.boe.es/gazeta/dias/1839/06/18/pdfs/GMD-1839-1676.pdf#page=4","Abrir facsímil")</f>
        <v>Abrir facsímil</v>
      </c>
      <c r="K3525" s="12" t="s">
        <v>24</v>
      </c>
    </row>
    <row r="3526" spans="1:11" ht="40.049999999999997" customHeight="1" x14ac:dyDescent="0.25">
      <c r="A3526" s="11" t="s">
        <v>7565</v>
      </c>
      <c r="B3526" s="11" t="s">
        <v>7566</v>
      </c>
      <c r="C3526" s="11" t="s">
        <v>59</v>
      </c>
      <c r="D3526" s="11" t="s">
        <v>60</v>
      </c>
      <c r="E3526" s="12" t="s">
        <v>2449</v>
      </c>
      <c r="F3526" s="12" t="s">
        <v>2450</v>
      </c>
      <c r="G3526" s="12" t="s">
        <v>29</v>
      </c>
      <c r="H3526" s="11" t="s">
        <v>22</v>
      </c>
      <c r="I3526" s="13" t="s">
        <v>7567</v>
      </c>
      <c r="J3526" s="14" t="str">
        <f>HYPERLINK("https://www.boe.es/gazeta/dias/1839/12/11/pdfs/GMD-1839-1858.pdf#page=1","Abrir facsímil")</f>
        <v>Abrir facsímil</v>
      </c>
      <c r="K3526" s="12" t="s">
        <v>24</v>
      </c>
    </row>
    <row r="3527" spans="1:11" ht="40.049999999999997" customHeight="1" x14ac:dyDescent="0.25">
      <c r="A3527" s="11" t="s">
        <v>7568</v>
      </c>
      <c r="B3527" s="11" t="s">
        <v>7569</v>
      </c>
      <c r="C3527" s="11" t="s">
        <v>101</v>
      </c>
      <c r="D3527" s="11" t="s">
        <v>43</v>
      </c>
      <c r="E3527" s="12" t="s">
        <v>160</v>
      </c>
      <c r="F3527" s="12" t="s">
        <v>161</v>
      </c>
      <c r="G3527" s="12" t="s">
        <v>40</v>
      </c>
      <c r="H3527" s="11" t="s">
        <v>63</v>
      </c>
      <c r="I3527" s="13" t="s">
        <v>7570</v>
      </c>
      <c r="J3527" s="14" t="str">
        <f>HYPERLINK("https://www.boe.es/gazeta/dias/1839/01/10/pdfs/GMD-1839-1517.pdf#page=2","Abrir facsímil")</f>
        <v>Abrir facsímil</v>
      </c>
      <c r="K3527" s="12" t="s">
        <v>65</v>
      </c>
    </row>
    <row r="3528" spans="1:11" ht="40.049999999999997" customHeight="1" x14ac:dyDescent="0.25">
      <c r="A3528" s="11" t="s">
        <v>7571</v>
      </c>
      <c r="B3528" s="11" t="s">
        <v>7572</v>
      </c>
      <c r="C3528" s="11" t="s">
        <v>80</v>
      </c>
      <c r="D3528" s="11" t="s">
        <v>18</v>
      </c>
      <c r="E3528" s="12" t="s">
        <v>1378</v>
      </c>
      <c r="F3528" s="12" t="s">
        <v>1379</v>
      </c>
      <c r="G3528" s="12" t="s">
        <v>21</v>
      </c>
      <c r="H3528" s="11" t="s">
        <v>63</v>
      </c>
      <c r="I3528" s="13" t="s">
        <v>7573</v>
      </c>
      <c r="J3528" s="14" t="str">
        <f>HYPERLINK("https://www.boe.es/gazeta/dias/1839/05/18/pdfs/GMD-1839-1645.pdf#page=4","Abrir facsímil")</f>
        <v>Abrir facsímil</v>
      </c>
      <c r="K3528" s="12" t="s">
        <v>65</v>
      </c>
    </row>
    <row r="3529" spans="1:11" ht="40.049999999999997" customHeight="1" x14ac:dyDescent="0.25">
      <c r="A3529" s="11" t="s">
        <v>7571</v>
      </c>
      <c r="B3529" s="11" t="s">
        <v>7572</v>
      </c>
      <c r="C3529" s="11" t="s">
        <v>17</v>
      </c>
      <c r="D3529" s="11" t="s">
        <v>18</v>
      </c>
      <c r="E3529" s="12" t="s">
        <v>862</v>
      </c>
      <c r="F3529" s="12" t="s">
        <v>863</v>
      </c>
      <c r="G3529" s="12" t="s">
        <v>305</v>
      </c>
      <c r="H3529" s="11" t="s">
        <v>63</v>
      </c>
      <c r="I3529" s="13" t="s">
        <v>7574</v>
      </c>
      <c r="J3529" s="14" t="str">
        <f>HYPERLINK("https://www.boe.es/gazeta/dias/1839/10/28/pdfs/GMD-1839-1814.pdf#page=6","Abrir facsímil")</f>
        <v>Abrir facsímil</v>
      </c>
      <c r="K3529" s="12" t="s">
        <v>65</v>
      </c>
    </row>
    <row r="3530" spans="1:11" ht="40.049999999999997" customHeight="1" x14ac:dyDescent="0.25">
      <c r="A3530" s="11" t="s">
        <v>7575</v>
      </c>
      <c r="B3530" s="11" t="s">
        <v>7576</v>
      </c>
      <c r="C3530" s="11" t="s">
        <v>17</v>
      </c>
      <c r="D3530" s="11" t="s">
        <v>18</v>
      </c>
      <c r="E3530" s="12" t="s">
        <v>89</v>
      </c>
      <c r="F3530" s="12" t="s">
        <v>90</v>
      </c>
      <c r="G3530" s="12" t="s">
        <v>21</v>
      </c>
      <c r="H3530" s="11" t="s">
        <v>63</v>
      </c>
      <c r="I3530" s="13" t="s">
        <v>7577</v>
      </c>
      <c r="J3530" s="14" t="str">
        <f>HYPERLINK("https://www.boe.es/gazeta/dias/1839/11/28/pdfs/GMD-1839-1845.pdf#page=4","Abrir facsímil")</f>
        <v>Abrir facsímil</v>
      </c>
      <c r="K3530" s="12" t="s">
        <v>65</v>
      </c>
    </row>
    <row r="3531" spans="1:11" ht="40.049999999999997" customHeight="1" x14ac:dyDescent="0.25">
      <c r="A3531" s="11" t="s">
        <v>7578</v>
      </c>
      <c r="B3531" s="11" t="s">
        <v>7579</v>
      </c>
      <c r="C3531" s="11" t="s">
        <v>101</v>
      </c>
      <c r="D3531" s="11" t="s">
        <v>43</v>
      </c>
      <c r="E3531" s="12" t="s">
        <v>756</v>
      </c>
      <c r="F3531" s="12" t="s">
        <v>757</v>
      </c>
      <c r="G3531" s="12" t="s">
        <v>29</v>
      </c>
      <c r="H3531" s="11" t="s">
        <v>63</v>
      </c>
      <c r="I3531" s="13" t="s">
        <v>7580</v>
      </c>
      <c r="J3531" s="14" t="str">
        <f>HYPERLINK("https://www.boe.es/gazeta/dias/1839/12/17/pdfs/GMD-1839-1864.pdf#page=1","Abrir facsímil")</f>
        <v>Abrir facsímil</v>
      </c>
      <c r="K3531" s="12" t="s">
        <v>65</v>
      </c>
    </row>
    <row r="3532" spans="1:11" ht="40.049999999999997" customHeight="1" x14ac:dyDescent="0.25">
      <c r="A3532" s="11" t="s">
        <v>7581</v>
      </c>
      <c r="B3532" s="11" t="s">
        <v>7582</v>
      </c>
      <c r="C3532" s="11" t="s">
        <v>17</v>
      </c>
      <c r="D3532" s="11" t="s">
        <v>18</v>
      </c>
      <c r="E3532" s="12" t="s">
        <v>1528</v>
      </c>
      <c r="F3532" s="12" t="s">
        <v>1529</v>
      </c>
      <c r="G3532" s="12" t="s">
        <v>29</v>
      </c>
      <c r="H3532" s="11" t="s">
        <v>63</v>
      </c>
      <c r="I3532" s="13" t="s">
        <v>7583</v>
      </c>
      <c r="J3532" s="14" t="str">
        <f>HYPERLINK("https://www.boe.es/gazeta/dias/1839/12/15/pdfs/GMD-1839-1862.pdf#page=1","Abrir facsímil")</f>
        <v>Abrir facsímil</v>
      </c>
      <c r="K3532" s="12" t="s">
        <v>65</v>
      </c>
    </row>
    <row r="3533" spans="1:11" ht="40.049999999999997" customHeight="1" x14ac:dyDescent="0.25">
      <c r="A3533" s="11" t="s">
        <v>7581</v>
      </c>
      <c r="B3533" s="11" t="s">
        <v>7582</v>
      </c>
      <c r="C3533" s="11" t="s">
        <v>17</v>
      </c>
      <c r="D3533" s="11" t="s">
        <v>18</v>
      </c>
      <c r="E3533" s="12" t="s">
        <v>2069</v>
      </c>
      <c r="F3533" s="12" t="s">
        <v>2070</v>
      </c>
      <c r="G3533" s="12" t="s">
        <v>566</v>
      </c>
      <c r="H3533" s="11" t="s">
        <v>63</v>
      </c>
      <c r="I3533" s="13" t="s">
        <v>7584</v>
      </c>
      <c r="J3533" s="14" t="str">
        <f>HYPERLINK("https://www.boe.es/gazeta/dias/1839/10/20/pdfs/GMD-1839-1806.pdf#page=5","Abrir facsímil")</f>
        <v>Abrir facsímil</v>
      </c>
      <c r="K3533" s="12" t="s">
        <v>65</v>
      </c>
    </row>
    <row r="3534" spans="1:11" ht="40.049999999999997" customHeight="1" x14ac:dyDescent="0.25">
      <c r="A3534" s="11" t="s">
        <v>7585</v>
      </c>
      <c r="B3534" s="11" t="s">
        <v>7586</v>
      </c>
      <c r="C3534" s="11" t="s">
        <v>17</v>
      </c>
      <c r="D3534" s="11" t="s">
        <v>18</v>
      </c>
      <c r="E3534" s="12" t="s">
        <v>138</v>
      </c>
      <c r="F3534" s="12" t="s">
        <v>139</v>
      </c>
      <c r="G3534" s="12" t="s">
        <v>46</v>
      </c>
      <c r="H3534" s="11" t="s">
        <v>63</v>
      </c>
      <c r="I3534" s="13" t="s">
        <v>7587</v>
      </c>
      <c r="J3534" s="14" t="str">
        <f>HYPERLINK("https://www.boe.es/gazeta/dias/1839/10/09/pdfs/GMD-1839-1795.pdf#page=3","Abrir facsímil")</f>
        <v>Abrir facsímil</v>
      </c>
      <c r="K3534" s="12" t="s">
        <v>65</v>
      </c>
    </row>
    <row r="3535" spans="1:11" ht="40.049999999999997" customHeight="1" x14ac:dyDescent="0.25">
      <c r="A3535" s="11" t="s">
        <v>7588</v>
      </c>
      <c r="B3535" s="11" t="s">
        <v>7589</v>
      </c>
      <c r="C3535" s="11" t="s">
        <v>17</v>
      </c>
      <c r="D3535" s="11" t="s">
        <v>18</v>
      </c>
      <c r="E3535" s="12" t="s">
        <v>2050</v>
      </c>
      <c r="F3535" s="12" t="s">
        <v>2051</v>
      </c>
      <c r="G3535" s="12" t="s">
        <v>46</v>
      </c>
      <c r="H3535" s="11" t="s">
        <v>63</v>
      </c>
      <c r="I3535" s="13" t="s">
        <v>7590</v>
      </c>
      <c r="J3535" s="14" t="str">
        <f>HYPERLINK("https://www.boe.es/gazeta/dias/1839/01/09/pdfs/GMD-1839-1516.pdf#page=3","Abrir facsímil")</f>
        <v>Abrir facsímil</v>
      </c>
      <c r="K3535" s="12" t="s">
        <v>65</v>
      </c>
    </row>
    <row r="3536" spans="1:11" ht="40.049999999999997" customHeight="1" x14ac:dyDescent="0.25">
      <c r="A3536" s="11" t="s">
        <v>7588</v>
      </c>
      <c r="B3536" s="11" t="s">
        <v>7589</v>
      </c>
      <c r="C3536" s="11" t="s">
        <v>101</v>
      </c>
      <c r="D3536" s="11" t="s">
        <v>43</v>
      </c>
      <c r="E3536" s="12" t="s">
        <v>826</v>
      </c>
      <c r="F3536" s="12" t="s">
        <v>827</v>
      </c>
      <c r="G3536" s="12" t="s">
        <v>46</v>
      </c>
      <c r="H3536" s="11" t="s">
        <v>63</v>
      </c>
      <c r="I3536" s="13" t="s">
        <v>7591</v>
      </c>
      <c r="J3536" s="14" t="str">
        <f>HYPERLINK("https://www.boe.es/gazeta/dias/1839/09/25/pdfs/GMD-1839-1781.pdf#page=3","Abrir facsímil")</f>
        <v>Abrir facsímil</v>
      </c>
      <c r="K3536" s="12" t="s">
        <v>65</v>
      </c>
    </row>
    <row r="3537" spans="1:11" ht="40.049999999999997" customHeight="1" x14ac:dyDescent="0.25">
      <c r="A3537" s="11" t="s">
        <v>7588</v>
      </c>
      <c r="B3537" s="11" t="s">
        <v>7589</v>
      </c>
      <c r="C3537" s="11" t="s">
        <v>17</v>
      </c>
      <c r="D3537" s="11" t="s">
        <v>18</v>
      </c>
      <c r="E3537" s="12" t="s">
        <v>723</v>
      </c>
      <c r="F3537" s="12" t="s">
        <v>724</v>
      </c>
      <c r="G3537" s="12" t="s">
        <v>40</v>
      </c>
      <c r="H3537" s="11" t="s">
        <v>63</v>
      </c>
      <c r="I3537" s="13" t="s">
        <v>7592</v>
      </c>
      <c r="J3537" s="14" t="str">
        <f>HYPERLINK("https://www.boe.es/gazeta/dias/1839/09/26/pdfs/GMD-1839-1782.pdf#page=2","Abrir facsímil")</f>
        <v>Abrir facsímil</v>
      </c>
      <c r="K3537" s="12" t="s">
        <v>65</v>
      </c>
    </row>
    <row r="3538" spans="1:11" ht="40.049999999999997" customHeight="1" x14ac:dyDescent="0.25">
      <c r="A3538" s="11" t="s">
        <v>7593</v>
      </c>
      <c r="B3538" s="11" t="s">
        <v>7594</v>
      </c>
      <c r="C3538" s="11" t="s">
        <v>101</v>
      </c>
      <c r="D3538" s="11" t="s">
        <v>43</v>
      </c>
      <c r="E3538" s="12" t="s">
        <v>1623</v>
      </c>
      <c r="F3538" s="12" t="s">
        <v>1624</v>
      </c>
      <c r="G3538" s="12" t="s">
        <v>46</v>
      </c>
      <c r="H3538" s="11" t="s">
        <v>63</v>
      </c>
      <c r="I3538" s="13" t="s">
        <v>7595</v>
      </c>
      <c r="J3538" s="14" t="str">
        <f>HYPERLINK("https://www.boe.es/gazeta/dias/1839/04/07/pdfs/GMD-1839-1604.pdf#page=3","Abrir facsímil")</f>
        <v>Abrir facsímil</v>
      </c>
      <c r="K3538" s="12" t="s">
        <v>65</v>
      </c>
    </row>
    <row r="3539" spans="1:11" ht="40.049999999999997" customHeight="1" x14ac:dyDescent="0.25">
      <c r="A3539" s="11" t="s">
        <v>7596</v>
      </c>
      <c r="B3539" s="11" t="s">
        <v>7597</v>
      </c>
      <c r="C3539" s="11" t="s">
        <v>80</v>
      </c>
      <c r="D3539" s="11" t="s">
        <v>18</v>
      </c>
      <c r="E3539" s="12" t="s">
        <v>2449</v>
      </c>
      <c r="F3539" s="12" t="s">
        <v>2450</v>
      </c>
      <c r="G3539" s="12" t="s">
        <v>21</v>
      </c>
      <c r="H3539" s="11" t="s">
        <v>63</v>
      </c>
      <c r="I3539" s="13" t="s">
        <v>7598</v>
      </c>
      <c r="J3539" s="14" t="str">
        <f>HYPERLINK("https://www.boe.es/gazeta/dias/1839/12/11/pdfs/GMD-1839-1858.pdf#page=4","Abrir facsímil")</f>
        <v>Abrir facsímil</v>
      </c>
      <c r="K3539" s="12" t="s">
        <v>65</v>
      </c>
    </row>
    <row r="3540" spans="1:11" ht="40.049999999999997" customHeight="1" x14ac:dyDescent="0.25">
      <c r="A3540" s="11" t="s">
        <v>7599</v>
      </c>
      <c r="B3540" s="11" t="s">
        <v>7600</v>
      </c>
      <c r="C3540" s="11" t="s">
        <v>17</v>
      </c>
      <c r="D3540" s="11" t="s">
        <v>18</v>
      </c>
      <c r="E3540" s="12" t="s">
        <v>2919</v>
      </c>
      <c r="F3540" s="12" t="s">
        <v>2920</v>
      </c>
      <c r="G3540" s="12" t="s">
        <v>21</v>
      </c>
      <c r="H3540" s="11" t="s">
        <v>63</v>
      </c>
      <c r="I3540" s="13" t="s">
        <v>7601</v>
      </c>
      <c r="J3540" s="14" t="str">
        <f>HYPERLINK("https://www.boe.es/gazeta/dias/1839/11/12/pdfs/GMD-1839-1829.pdf#page=4","Abrir facsímil")</f>
        <v>Abrir facsímil</v>
      </c>
      <c r="K3540" s="12" t="s">
        <v>65</v>
      </c>
    </row>
    <row r="3541" spans="1:11" ht="40.049999999999997" customHeight="1" x14ac:dyDescent="0.25">
      <c r="A3541" s="11" t="s">
        <v>7602</v>
      </c>
      <c r="B3541" s="11" t="s">
        <v>7603</v>
      </c>
      <c r="C3541" s="11" t="s">
        <v>17</v>
      </c>
      <c r="D3541" s="11" t="s">
        <v>18</v>
      </c>
      <c r="E3541" s="12" t="s">
        <v>254</v>
      </c>
      <c r="F3541" s="12" t="s">
        <v>255</v>
      </c>
      <c r="G3541" s="12" t="s">
        <v>46</v>
      </c>
      <c r="H3541" s="11" t="s">
        <v>63</v>
      </c>
      <c r="I3541" s="13" t="s">
        <v>7604</v>
      </c>
      <c r="J3541" s="14" t="str">
        <f>HYPERLINK("https://www.boe.es/gazeta/dias/1839/09/12/pdfs/GMD-1839-1765.pdf#page=3","Abrir facsímil")</f>
        <v>Abrir facsímil</v>
      </c>
      <c r="K3541" s="12" t="s">
        <v>65</v>
      </c>
    </row>
    <row r="3542" spans="1:11" ht="40.049999999999997" customHeight="1" x14ac:dyDescent="0.25">
      <c r="A3542" s="11" t="s">
        <v>7605</v>
      </c>
      <c r="B3542" s="11" t="s">
        <v>7606</v>
      </c>
      <c r="C3542" s="11" t="s">
        <v>59</v>
      </c>
      <c r="D3542" s="11" t="s">
        <v>60</v>
      </c>
      <c r="E3542" s="12" t="s">
        <v>308</v>
      </c>
      <c r="F3542" s="12" t="s">
        <v>309</v>
      </c>
      <c r="G3542" s="12" t="s">
        <v>29</v>
      </c>
      <c r="H3542" s="11" t="s">
        <v>63</v>
      </c>
      <c r="I3542" s="13" t="s">
        <v>7607</v>
      </c>
      <c r="J3542" s="14" t="str">
        <f>HYPERLINK("https://www.boe.es/gazeta/dias/1839/07/29/pdfs/GMD-1839-1718.pdf#page=1","Abrir facsímil")</f>
        <v>Abrir facsímil</v>
      </c>
      <c r="K3542" s="12" t="s">
        <v>65</v>
      </c>
    </row>
    <row r="3543" spans="1:11" ht="40.049999999999997" customHeight="1" x14ac:dyDescent="0.25">
      <c r="A3543" s="11" t="s">
        <v>7608</v>
      </c>
      <c r="B3543" s="11" t="s">
        <v>7609</v>
      </c>
      <c r="C3543" s="11" t="s">
        <v>59</v>
      </c>
      <c r="D3543" s="11" t="s">
        <v>60</v>
      </c>
      <c r="E3543" s="12" t="s">
        <v>643</v>
      </c>
      <c r="F3543" s="12" t="s">
        <v>644</v>
      </c>
      <c r="G3543" s="12" t="s">
        <v>29</v>
      </c>
      <c r="H3543" s="11" t="s">
        <v>63</v>
      </c>
      <c r="I3543" s="13" t="s">
        <v>7610</v>
      </c>
      <c r="J3543" s="14" t="str">
        <f>HYPERLINK("https://www.boe.es/gazeta/dias/1839/03/20/pdfs/GMD-1839-1586.pdf#page=1","Abrir facsímil")</f>
        <v>Abrir facsímil</v>
      </c>
      <c r="K3543" s="12" t="s">
        <v>65</v>
      </c>
    </row>
    <row r="3544" spans="1:11" ht="40.049999999999997" customHeight="1" x14ac:dyDescent="0.25">
      <c r="A3544" s="11" t="s">
        <v>7611</v>
      </c>
      <c r="B3544" s="11" t="s">
        <v>7612</v>
      </c>
      <c r="C3544" s="11" t="s">
        <v>17</v>
      </c>
      <c r="D3544" s="11" t="s">
        <v>18</v>
      </c>
      <c r="E3544" s="12" t="s">
        <v>327</v>
      </c>
      <c r="F3544" s="12" t="s">
        <v>328</v>
      </c>
      <c r="G3544" s="12" t="s">
        <v>21</v>
      </c>
      <c r="H3544" s="11" t="s">
        <v>63</v>
      </c>
      <c r="I3544" s="13" t="s">
        <v>7613</v>
      </c>
      <c r="J3544" s="14" t="str">
        <f>HYPERLINK("https://www.boe.es/gazeta/dias/1839/08/05/pdfs/GMD-1839-1725.pdf#page=4","Abrir facsímil")</f>
        <v>Abrir facsímil</v>
      </c>
      <c r="K3544" s="12" t="s">
        <v>65</v>
      </c>
    </row>
    <row r="3545" spans="1:11" ht="40.049999999999997" customHeight="1" x14ac:dyDescent="0.25">
      <c r="A3545" s="11" t="s">
        <v>7614</v>
      </c>
      <c r="B3545" s="11" t="s">
        <v>7615</v>
      </c>
      <c r="C3545" s="11" t="s">
        <v>59</v>
      </c>
      <c r="D3545" s="11" t="s">
        <v>60</v>
      </c>
      <c r="E3545" s="12" t="s">
        <v>513</v>
      </c>
      <c r="F3545" s="12" t="s">
        <v>514</v>
      </c>
      <c r="G3545" s="12" t="s">
        <v>21</v>
      </c>
      <c r="H3545" s="11" t="s">
        <v>63</v>
      </c>
      <c r="I3545" s="13" t="s">
        <v>7616</v>
      </c>
      <c r="J3545" s="14" t="str">
        <f>HYPERLINK("https://www.boe.es/gazeta/dias/1839/03/17/pdfs/GMD-1839-1583.pdf#page=4","Abrir facsímil")</f>
        <v>Abrir facsímil</v>
      </c>
      <c r="K3545" s="12" t="s">
        <v>65</v>
      </c>
    </row>
    <row r="3546" spans="1:11" ht="40.049999999999997" customHeight="1" x14ac:dyDescent="0.25">
      <c r="A3546" s="11" t="s">
        <v>7617</v>
      </c>
      <c r="B3546" s="11" t="s">
        <v>7618</v>
      </c>
      <c r="C3546" s="11" t="s">
        <v>137</v>
      </c>
      <c r="D3546" s="11" t="s">
        <v>18</v>
      </c>
      <c r="E3546" s="12" t="s">
        <v>951</v>
      </c>
      <c r="F3546" s="12" t="s">
        <v>952</v>
      </c>
      <c r="G3546" s="12" t="s">
        <v>21</v>
      </c>
      <c r="H3546" s="11" t="s">
        <v>63</v>
      </c>
      <c r="I3546" s="13" t="s">
        <v>7619</v>
      </c>
      <c r="J3546" s="14" t="str">
        <f>HYPERLINK("https://www.boe.es/gazeta/dias/1839/12/30/pdfs/GMD-1839-1877.pdf#page=4","Abrir facsímil")</f>
        <v>Abrir facsímil</v>
      </c>
      <c r="K3546" s="12" t="s">
        <v>65</v>
      </c>
    </row>
    <row r="3547" spans="1:11" ht="40.049999999999997" customHeight="1" x14ac:dyDescent="0.25">
      <c r="A3547" s="11" t="s">
        <v>7620</v>
      </c>
      <c r="B3547" s="11" t="s">
        <v>7621</v>
      </c>
      <c r="C3547" s="11" t="s">
        <v>137</v>
      </c>
      <c r="D3547" s="11" t="s">
        <v>18</v>
      </c>
      <c r="E3547" s="12" t="s">
        <v>2215</v>
      </c>
      <c r="F3547" s="12" t="s">
        <v>2216</v>
      </c>
      <c r="G3547" s="12" t="s">
        <v>46</v>
      </c>
      <c r="H3547" s="11" t="s">
        <v>22</v>
      </c>
      <c r="I3547" s="13" t="s">
        <v>7622</v>
      </c>
      <c r="J3547" s="14" t="str">
        <f>HYPERLINK("https://www.boe.es/gazeta/dias/1839/07/21/pdfs/GMD-1839-1709.pdf#page=3","Abrir facsímil")</f>
        <v>Abrir facsímil</v>
      </c>
      <c r="K3547" s="12" t="s">
        <v>24</v>
      </c>
    </row>
    <row r="3548" spans="1:11" ht="40.049999999999997" customHeight="1" x14ac:dyDescent="0.25">
      <c r="A3548" s="11" t="s">
        <v>7620</v>
      </c>
      <c r="B3548" s="11" t="s">
        <v>7621</v>
      </c>
      <c r="C3548" s="11" t="s">
        <v>80</v>
      </c>
      <c r="D3548" s="11" t="s">
        <v>18</v>
      </c>
      <c r="E3548" s="12" t="s">
        <v>1588</v>
      </c>
      <c r="F3548" s="12" t="s">
        <v>1589</v>
      </c>
      <c r="G3548" s="12" t="s">
        <v>40</v>
      </c>
      <c r="H3548" s="11" t="s">
        <v>22</v>
      </c>
      <c r="I3548" s="13" t="s">
        <v>7623</v>
      </c>
      <c r="J3548" s="14" t="str">
        <f>HYPERLINK("https://www.boe.es/gazeta/dias/1839/07/27/pdfs/GMD-1839-1716.pdf#page=2","Abrir facsímil")</f>
        <v>Abrir facsímil</v>
      </c>
      <c r="K3548" s="12" t="s">
        <v>24</v>
      </c>
    </row>
    <row r="3549" spans="1:11" ht="40.049999999999997" customHeight="1" x14ac:dyDescent="0.25">
      <c r="A3549" s="11" t="s">
        <v>7624</v>
      </c>
      <c r="B3549" s="11" t="s">
        <v>7625</v>
      </c>
      <c r="C3549" s="11" t="s">
        <v>17</v>
      </c>
      <c r="D3549" s="11" t="s">
        <v>18</v>
      </c>
      <c r="E3549" s="12" t="s">
        <v>2270</v>
      </c>
      <c r="F3549" s="12" t="s">
        <v>2271</v>
      </c>
      <c r="G3549" s="12" t="s">
        <v>40</v>
      </c>
      <c r="H3549" s="11" t="s">
        <v>63</v>
      </c>
      <c r="I3549" s="13" t="s">
        <v>7626</v>
      </c>
      <c r="J3549" s="14" t="str">
        <f>HYPERLINK("https://www.boe.es/gazeta/dias/1839/06/13/pdfs/GMD-1839-1671.pdf#page=2","Abrir facsímil")</f>
        <v>Abrir facsímil</v>
      </c>
      <c r="K3549" s="12" t="s">
        <v>65</v>
      </c>
    </row>
    <row r="3550" spans="1:11" ht="40.049999999999997" customHeight="1" x14ac:dyDescent="0.25">
      <c r="A3550" s="11" t="s">
        <v>7627</v>
      </c>
      <c r="B3550" s="11" t="s">
        <v>7628</v>
      </c>
      <c r="C3550" s="11" t="s">
        <v>17</v>
      </c>
      <c r="D3550" s="11" t="s">
        <v>18</v>
      </c>
      <c r="E3550" s="12" t="s">
        <v>375</v>
      </c>
      <c r="F3550" s="12" t="s">
        <v>376</v>
      </c>
      <c r="G3550" s="12" t="s">
        <v>21</v>
      </c>
      <c r="H3550" s="11" t="s">
        <v>63</v>
      </c>
      <c r="I3550" s="13" t="s">
        <v>7629</v>
      </c>
      <c r="J3550" s="14" t="str">
        <f>HYPERLINK("https://www.boe.es/gazeta/dias/1839/11/25/pdfs/GMD-1839-1842.pdf#page=4","Abrir facsímil")</f>
        <v>Abrir facsímil</v>
      </c>
      <c r="K3550" s="12" t="s">
        <v>65</v>
      </c>
    </row>
    <row r="3551" spans="1:11" ht="40.049999999999997" customHeight="1" x14ac:dyDescent="0.25">
      <c r="A3551" s="11" t="s">
        <v>7630</v>
      </c>
      <c r="B3551" s="11" t="s">
        <v>7631</v>
      </c>
      <c r="C3551" s="11" t="s">
        <v>17</v>
      </c>
      <c r="D3551" s="11" t="s">
        <v>18</v>
      </c>
      <c r="E3551" s="12" t="s">
        <v>258</v>
      </c>
      <c r="F3551" s="12" t="s">
        <v>259</v>
      </c>
      <c r="G3551" s="12" t="s">
        <v>21</v>
      </c>
      <c r="H3551" s="11" t="s">
        <v>22</v>
      </c>
      <c r="I3551" s="13" t="s">
        <v>7632</v>
      </c>
      <c r="J3551" s="14" t="str">
        <f>HYPERLINK("https://www.boe.es/gazeta/dias/1839/01/02/pdfs/GMD-1839-1509.pdf#page=4","Abrir facsímil")</f>
        <v>Abrir facsímil</v>
      </c>
      <c r="K3551" s="12" t="s">
        <v>24</v>
      </c>
    </row>
    <row r="3552" spans="1:11" ht="40.049999999999997" customHeight="1" x14ac:dyDescent="0.25">
      <c r="A3552" s="11" t="s">
        <v>7633</v>
      </c>
      <c r="B3552" s="11" t="s">
        <v>7634</v>
      </c>
      <c r="C3552" s="11" t="s">
        <v>101</v>
      </c>
      <c r="D3552" s="11" t="s">
        <v>43</v>
      </c>
      <c r="E3552" s="12" t="s">
        <v>68</v>
      </c>
      <c r="F3552" s="12" t="s">
        <v>69</v>
      </c>
      <c r="G3552" s="12" t="s">
        <v>40</v>
      </c>
      <c r="H3552" s="11" t="s">
        <v>63</v>
      </c>
      <c r="I3552" s="13" t="s">
        <v>7635</v>
      </c>
      <c r="J3552" s="14" t="str">
        <f>HYPERLINK("https://www.boe.es/gazeta/dias/1839/02/09/pdfs/GMD-1839-1547.pdf#page=2","Abrir facsímil")</f>
        <v>Abrir facsímil</v>
      </c>
      <c r="K3552" s="12" t="s">
        <v>65</v>
      </c>
    </row>
    <row r="3553" spans="1:11" ht="40.049999999999997" customHeight="1" x14ac:dyDescent="0.25">
      <c r="A3553" s="11" t="s">
        <v>7636</v>
      </c>
      <c r="B3553" s="11" t="s">
        <v>7637</v>
      </c>
      <c r="C3553" s="11" t="s">
        <v>137</v>
      </c>
      <c r="D3553" s="11" t="s">
        <v>18</v>
      </c>
      <c r="E3553" s="12" t="s">
        <v>479</v>
      </c>
      <c r="F3553" s="12" t="s">
        <v>480</v>
      </c>
      <c r="G3553" s="12" t="s">
        <v>21</v>
      </c>
      <c r="H3553" s="11" t="s">
        <v>63</v>
      </c>
      <c r="I3553" s="13" t="s">
        <v>7638</v>
      </c>
      <c r="J3553" s="14" t="str">
        <f>HYPERLINK("https://www.boe.es/gazeta/dias/1839/06/24/pdfs/GMD-1839-1682.pdf#page=4","Abrir facsímil")</f>
        <v>Abrir facsímil</v>
      </c>
      <c r="K3553" s="12" t="s">
        <v>65</v>
      </c>
    </row>
    <row r="3554" spans="1:11" ht="40.049999999999997" customHeight="1" x14ac:dyDescent="0.25">
      <c r="A3554" s="11" t="s">
        <v>7639</v>
      </c>
      <c r="B3554" s="11" t="s">
        <v>7640</v>
      </c>
      <c r="C3554" s="11" t="s">
        <v>80</v>
      </c>
      <c r="D3554" s="11" t="s">
        <v>18</v>
      </c>
      <c r="E3554" s="12" t="s">
        <v>272</v>
      </c>
      <c r="F3554" s="12" t="s">
        <v>273</v>
      </c>
      <c r="G3554" s="12" t="s">
        <v>21</v>
      </c>
      <c r="H3554" s="11" t="s">
        <v>63</v>
      </c>
      <c r="I3554" s="13" t="s">
        <v>7641</v>
      </c>
      <c r="J3554" s="14" t="str">
        <f>HYPERLINK("https://www.boe.es/gazeta/dias/1839/02/12/pdfs/GMD-1839-1550.pdf#page=4","Abrir facsímil")</f>
        <v>Abrir facsímil</v>
      </c>
      <c r="K3554" s="12" t="s">
        <v>65</v>
      </c>
    </row>
    <row r="3555" spans="1:11" ht="40.049999999999997" customHeight="1" x14ac:dyDescent="0.25">
      <c r="A3555" s="11" t="s">
        <v>7642</v>
      </c>
      <c r="B3555" s="11" t="s">
        <v>7643</v>
      </c>
      <c r="C3555" s="11" t="s">
        <v>101</v>
      </c>
      <c r="D3555" s="11" t="s">
        <v>102</v>
      </c>
      <c r="E3555" s="12" t="s">
        <v>1909</v>
      </c>
      <c r="F3555" s="12" t="s">
        <v>1910</v>
      </c>
      <c r="G3555" s="12" t="s">
        <v>29</v>
      </c>
      <c r="H3555" s="11" t="s">
        <v>63</v>
      </c>
      <c r="I3555" s="13" t="s">
        <v>7644</v>
      </c>
      <c r="J3555" s="14" t="str">
        <f>HYPERLINK("https://www.boe.es/gazeta/dias/1839/10/27/pdfs/GMD-1839-1813.pdf#page=1","Abrir facsímil")</f>
        <v>Abrir facsímil</v>
      </c>
      <c r="K3555" s="12" t="s">
        <v>65</v>
      </c>
    </row>
    <row r="3556" spans="1:11" ht="40.049999999999997" customHeight="1" x14ac:dyDescent="0.25">
      <c r="A3556" s="11" t="s">
        <v>7645</v>
      </c>
      <c r="B3556" s="11" t="s">
        <v>7646</v>
      </c>
      <c r="C3556" s="11" t="s">
        <v>17</v>
      </c>
      <c r="D3556" s="11" t="s">
        <v>18</v>
      </c>
      <c r="E3556" s="12" t="s">
        <v>1332</v>
      </c>
      <c r="F3556" s="12" t="s">
        <v>1333</v>
      </c>
      <c r="G3556" s="12" t="s">
        <v>21</v>
      </c>
      <c r="H3556" s="11" t="s">
        <v>63</v>
      </c>
      <c r="I3556" s="13" t="s">
        <v>7647</v>
      </c>
      <c r="J3556" s="14" t="str">
        <f>HYPERLINK("https://www.boe.es/gazeta/dias/1839/05/04/pdfs/GMD-1839-1631.pdf#page=4","Abrir facsímil")</f>
        <v>Abrir facsímil</v>
      </c>
      <c r="K3556" s="12" t="s">
        <v>65</v>
      </c>
    </row>
    <row r="3557" spans="1:11" ht="40.049999999999997" customHeight="1" x14ac:dyDescent="0.25">
      <c r="A3557" s="11" t="s">
        <v>7648</v>
      </c>
      <c r="B3557" s="11" t="s">
        <v>7649</v>
      </c>
      <c r="C3557" s="11" t="s">
        <v>17</v>
      </c>
      <c r="D3557" s="11" t="s">
        <v>18</v>
      </c>
      <c r="E3557" s="12" t="s">
        <v>782</v>
      </c>
      <c r="F3557" s="12" t="s">
        <v>783</v>
      </c>
      <c r="G3557" s="12" t="s">
        <v>21</v>
      </c>
      <c r="H3557" s="11" t="s">
        <v>63</v>
      </c>
      <c r="I3557" s="13" t="s">
        <v>7650</v>
      </c>
      <c r="J3557" s="14" t="str">
        <f>HYPERLINK("https://www.boe.es/gazeta/dias/1839/05/09/pdfs/GMD-1839-1636.pdf#page=4","Abrir facsímil")</f>
        <v>Abrir facsímil</v>
      </c>
      <c r="K3557" s="12" t="s">
        <v>65</v>
      </c>
    </row>
    <row r="3558" spans="1:11" ht="40.049999999999997" customHeight="1" x14ac:dyDescent="0.25">
      <c r="A3558" s="11" t="s">
        <v>7651</v>
      </c>
      <c r="B3558" s="11" t="s">
        <v>7652</v>
      </c>
      <c r="C3558" s="11" t="s">
        <v>80</v>
      </c>
      <c r="D3558" s="11" t="s">
        <v>173</v>
      </c>
      <c r="E3558" s="12" t="s">
        <v>621</v>
      </c>
      <c r="F3558" s="12" t="s">
        <v>622</v>
      </c>
      <c r="G3558" s="12" t="s">
        <v>21</v>
      </c>
      <c r="H3558" s="11" t="s">
        <v>63</v>
      </c>
      <c r="I3558" s="13" t="s">
        <v>7653</v>
      </c>
      <c r="J3558" s="14" t="str">
        <f>HYPERLINK("https://www.boe.es/gazeta/dias/1839/04/14/pdfs/GMD-1839-1611.pdf#page=4","Abrir facsímil")</f>
        <v>Abrir facsímil</v>
      </c>
      <c r="K3558" s="12" t="s">
        <v>65</v>
      </c>
    </row>
    <row r="3559" spans="1:11" ht="40.049999999999997" customHeight="1" x14ac:dyDescent="0.25">
      <c r="A3559" s="11" t="s">
        <v>7654</v>
      </c>
      <c r="B3559" s="11" t="s">
        <v>7655</v>
      </c>
      <c r="C3559" s="11" t="s">
        <v>17</v>
      </c>
      <c r="D3559" s="11" t="s">
        <v>18</v>
      </c>
      <c r="E3559" s="12" t="s">
        <v>785</v>
      </c>
      <c r="F3559" s="12" t="s">
        <v>786</v>
      </c>
      <c r="G3559" s="12" t="s">
        <v>46</v>
      </c>
      <c r="H3559" s="11" t="s">
        <v>63</v>
      </c>
      <c r="I3559" s="13" t="s">
        <v>7656</v>
      </c>
      <c r="J3559" s="14" t="str">
        <f>HYPERLINK("https://www.boe.es/gazeta/dias/1839/07/13/pdfs/GMD-1839-1701.pdf#page=3","Abrir facsímil")</f>
        <v>Abrir facsímil</v>
      </c>
      <c r="K3559" s="12" t="s">
        <v>65</v>
      </c>
    </row>
    <row r="3560" spans="1:11" ht="40.049999999999997" customHeight="1" x14ac:dyDescent="0.25">
      <c r="A3560" s="11" t="s">
        <v>7657</v>
      </c>
      <c r="B3560" s="11" t="s">
        <v>7658</v>
      </c>
      <c r="C3560" s="11" t="s">
        <v>59</v>
      </c>
      <c r="D3560" s="11" t="s">
        <v>60</v>
      </c>
      <c r="E3560" s="12" t="s">
        <v>197</v>
      </c>
      <c r="F3560" s="12" t="s">
        <v>198</v>
      </c>
      <c r="G3560" s="12" t="s">
        <v>46</v>
      </c>
      <c r="H3560" s="11" t="s">
        <v>63</v>
      </c>
      <c r="I3560" s="13" t="s">
        <v>7659</v>
      </c>
      <c r="J3560" s="14" t="str">
        <f>HYPERLINK("https://www.boe.es/gazeta/dias/1839/10/04/pdfs/GMD-1839-1790.pdf#page=3","Abrir facsímil")</f>
        <v>Abrir facsímil</v>
      </c>
      <c r="K3560" s="12" t="s">
        <v>65</v>
      </c>
    </row>
    <row r="3561" spans="1:11" ht="40.049999999999997" customHeight="1" x14ac:dyDescent="0.25">
      <c r="A3561" s="11" t="s">
        <v>7660</v>
      </c>
      <c r="B3561" s="11" t="s">
        <v>7661</v>
      </c>
      <c r="C3561" s="11" t="s">
        <v>17</v>
      </c>
      <c r="D3561" s="11" t="s">
        <v>18</v>
      </c>
      <c r="E3561" s="12" t="s">
        <v>4472</v>
      </c>
      <c r="F3561" s="12" t="s">
        <v>4473</v>
      </c>
      <c r="G3561" s="12" t="s">
        <v>21</v>
      </c>
      <c r="H3561" s="11" t="s">
        <v>63</v>
      </c>
      <c r="I3561" s="13" t="s">
        <v>7662</v>
      </c>
      <c r="J3561" s="14" t="str">
        <f>HYPERLINK("https://www.boe.es/gazeta/dias/1839/08/03/pdfs/GMD-1839-1723.pdf#page=4","Abrir facsímil")</f>
        <v>Abrir facsímil</v>
      </c>
      <c r="K3561" s="12" t="s">
        <v>65</v>
      </c>
    </row>
    <row r="3562" spans="1:11" ht="40.049999999999997" customHeight="1" x14ac:dyDescent="0.25">
      <c r="A3562" s="11" t="s">
        <v>7660</v>
      </c>
      <c r="B3562" s="11" t="s">
        <v>7661</v>
      </c>
      <c r="C3562" s="11" t="s">
        <v>17</v>
      </c>
      <c r="D3562" s="11" t="s">
        <v>18</v>
      </c>
      <c r="E3562" s="12" t="s">
        <v>469</v>
      </c>
      <c r="F3562" s="12" t="s">
        <v>470</v>
      </c>
      <c r="G3562" s="12" t="s">
        <v>21</v>
      </c>
      <c r="H3562" s="11" t="s">
        <v>63</v>
      </c>
      <c r="I3562" s="13" t="s">
        <v>7663</v>
      </c>
      <c r="J3562" s="14" t="str">
        <f>HYPERLINK("https://www.boe.es/gazeta/dias/1839/08/20/pdfs/GMD-1839-1741.pdf#page=4","Abrir facsímil")</f>
        <v>Abrir facsímil</v>
      </c>
      <c r="K3562" s="12" t="s">
        <v>65</v>
      </c>
    </row>
    <row r="3563" spans="1:11" ht="40.049999999999997" customHeight="1" x14ac:dyDescent="0.25">
      <c r="A3563" s="11" t="s">
        <v>7660</v>
      </c>
      <c r="B3563" s="11" t="s">
        <v>7661</v>
      </c>
      <c r="C3563" s="11" t="s">
        <v>17</v>
      </c>
      <c r="D3563" s="11" t="s">
        <v>18</v>
      </c>
      <c r="E3563" s="12" t="s">
        <v>1497</v>
      </c>
      <c r="F3563" s="12" t="s">
        <v>1498</v>
      </c>
      <c r="G3563" s="12" t="s">
        <v>21</v>
      </c>
      <c r="H3563" s="11" t="s">
        <v>63</v>
      </c>
      <c r="I3563" s="13" t="s">
        <v>7664</v>
      </c>
      <c r="J3563" s="14" t="str">
        <f>HYPERLINK("https://www.boe.es/gazeta/dias/1839/08/23/pdfs/GMD-1839-1744.pdf#page=4","Abrir facsímil")</f>
        <v>Abrir facsímil</v>
      </c>
      <c r="K3563" s="12" t="s">
        <v>65</v>
      </c>
    </row>
    <row r="3564" spans="1:11" ht="40.049999999999997" customHeight="1" x14ac:dyDescent="0.25">
      <c r="A3564" s="11" t="s">
        <v>7665</v>
      </c>
      <c r="B3564" s="11" t="s">
        <v>7666</v>
      </c>
      <c r="C3564" s="11" t="s">
        <v>17</v>
      </c>
      <c r="D3564" s="11" t="s">
        <v>18</v>
      </c>
      <c r="E3564" s="12" t="s">
        <v>217</v>
      </c>
      <c r="F3564" s="12" t="s">
        <v>218</v>
      </c>
      <c r="G3564" s="12" t="s">
        <v>21</v>
      </c>
      <c r="H3564" s="11" t="s">
        <v>63</v>
      </c>
      <c r="I3564" s="13" t="s">
        <v>7667</v>
      </c>
      <c r="J3564" s="14" t="str">
        <f>HYPERLINK("https://www.boe.es/gazeta/dias/1839/08/06/pdfs/GMD-1839-1726.pdf#page=4","Abrir facsímil")</f>
        <v>Abrir facsímil</v>
      </c>
      <c r="K3564" s="12" t="s">
        <v>65</v>
      </c>
    </row>
    <row r="3565" spans="1:11" ht="40.049999999999997" customHeight="1" x14ac:dyDescent="0.25">
      <c r="A3565" s="11" t="s">
        <v>7668</v>
      </c>
      <c r="B3565" s="11" t="s">
        <v>7669</v>
      </c>
      <c r="C3565" s="11" t="s">
        <v>137</v>
      </c>
      <c r="D3565" s="11" t="s">
        <v>18</v>
      </c>
      <c r="E3565" s="12" t="s">
        <v>3614</v>
      </c>
      <c r="F3565" s="12" t="s">
        <v>3615</v>
      </c>
      <c r="G3565" s="12" t="s">
        <v>46</v>
      </c>
      <c r="H3565" s="11" t="s">
        <v>63</v>
      </c>
      <c r="I3565" s="13" t="s">
        <v>7670</v>
      </c>
      <c r="J3565" s="14" t="str">
        <f>HYPERLINK("https://www.boe.es/gazeta/dias/1839/04/04/pdfs/GMD-1839-1601.pdf#page=3","Abrir facsímil")</f>
        <v>Abrir facsímil</v>
      </c>
      <c r="K3565" s="12" t="s">
        <v>65</v>
      </c>
    </row>
    <row r="3566" spans="1:11" ht="40.049999999999997" customHeight="1" x14ac:dyDescent="0.25">
      <c r="A3566" s="11" t="s">
        <v>7668</v>
      </c>
      <c r="B3566" s="11" t="s">
        <v>7669</v>
      </c>
      <c r="C3566" s="11" t="s">
        <v>17</v>
      </c>
      <c r="D3566" s="11" t="s">
        <v>18</v>
      </c>
      <c r="E3566" s="12" t="s">
        <v>76</v>
      </c>
      <c r="F3566" s="12" t="s">
        <v>77</v>
      </c>
      <c r="G3566" s="12" t="s">
        <v>46</v>
      </c>
      <c r="H3566" s="11" t="s">
        <v>63</v>
      </c>
      <c r="I3566" s="13" t="s">
        <v>7671</v>
      </c>
      <c r="J3566" s="14" t="str">
        <f>HYPERLINK("https://www.boe.es/gazeta/dias/1839/03/13/pdfs/GMD-1839-1579.pdf#page=3","Abrir facsímil")</f>
        <v>Abrir facsímil</v>
      </c>
      <c r="K3566" s="12" t="s">
        <v>65</v>
      </c>
    </row>
    <row r="3567" spans="1:11" ht="40.049999999999997" customHeight="1" x14ac:dyDescent="0.25">
      <c r="A3567" s="11" t="s">
        <v>7672</v>
      </c>
      <c r="B3567" s="11" t="s">
        <v>7673</v>
      </c>
      <c r="C3567" s="11" t="s">
        <v>17</v>
      </c>
      <c r="D3567" s="11" t="s">
        <v>18</v>
      </c>
      <c r="E3567" s="12" t="s">
        <v>2829</v>
      </c>
      <c r="F3567" s="12" t="s">
        <v>2830</v>
      </c>
      <c r="G3567" s="12" t="s">
        <v>21</v>
      </c>
      <c r="H3567" s="11" t="s">
        <v>63</v>
      </c>
      <c r="I3567" s="13" t="s">
        <v>7674</v>
      </c>
      <c r="J3567" s="14" t="str">
        <f>HYPERLINK("https://www.boe.es/gazeta/dias/1839/07/01/pdfs/GMD-1839-1689.pdf#page=4","Abrir facsímil")</f>
        <v>Abrir facsímil</v>
      </c>
      <c r="K3567" s="12" t="s">
        <v>65</v>
      </c>
    </row>
    <row r="3568" spans="1:11" ht="40.049999999999997" customHeight="1" x14ac:dyDescent="0.25">
      <c r="A3568" s="11" t="s">
        <v>7675</v>
      </c>
      <c r="B3568" s="11" t="s">
        <v>7676</v>
      </c>
      <c r="C3568" s="11" t="s">
        <v>101</v>
      </c>
      <c r="D3568" s="11" t="s">
        <v>102</v>
      </c>
      <c r="E3568" s="12" t="s">
        <v>4921</v>
      </c>
      <c r="F3568" s="12" t="s">
        <v>4922</v>
      </c>
      <c r="G3568" s="12" t="s">
        <v>21</v>
      </c>
      <c r="H3568" s="11" t="s">
        <v>63</v>
      </c>
      <c r="I3568" s="13" t="s">
        <v>7677</v>
      </c>
      <c r="J3568" s="14" t="str">
        <f>HYPERLINK("https://www.boe.es/gazeta/dias/1839/11/05/pdfs/GMD-1839-1822.pdf#page=4","Abrir facsímil")</f>
        <v>Abrir facsímil</v>
      </c>
      <c r="K3568" s="12" t="s">
        <v>65</v>
      </c>
    </row>
    <row r="3569" spans="1:11" ht="40.049999999999997" customHeight="1" x14ac:dyDescent="0.25">
      <c r="A3569" s="11" t="s">
        <v>7678</v>
      </c>
      <c r="B3569" s="11" t="s">
        <v>7679</v>
      </c>
      <c r="C3569" s="11" t="s">
        <v>101</v>
      </c>
      <c r="D3569" s="11" t="s">
        <v>43</v>
      </c>
      <c r="E3569" s="12" t="s">
        <v>2658</v>
      </c>
      <c r="F3569" s="12" t="s">
        <v>2659</v>
      </c>
      <c r="G3569" s="12" t="s">
        <v>40</v>
      </c>
      <c r="H3569" s="11" t="s">
        <v>22</v>
      </c>
      <c r="I3569" s="13" t="s">
        <v>7680</v>
      </c>
      <c r="J3569" s="14" t="str">
        <f>HYPERLINK("https://www.boe.es/gazeta/dias/1839/06/27/pdfs/GMD-1839-1685.pdf#page=2","Abrir facsímil")</f>
        <v>Abrir facsímil</v>
      </c>
      <c r="K3569" s="12" t="s">
        <v>24</v>
      </c>
    </row>
    <row r="3570" spans="1:11" ht="40.049999999999997" customHeight="1" x14ac:dyDescent="0.25">
      <c r="A3570" s="11" t="s">
        <v>7681</v>
      </c>
      <c r="B3570" s="11" t="s">
        <v>7682</v>
      </c>
      <c r="C3570" s="11" t="s">
        <v>17</v>
      </c>
      <c r="D3570" s="11" t="s">
        <v>18</v>
      </c>
      <c r="E3570" s="12" t="s">
        <v>217</v>
      </c>
      <c r="F3570" s="12" t="s">
        <v>218</v>
      </c>
      <c r="G3570" s="12" t="s">
        <v>21</v>
      </c>
      <c r="H3570" s="11" t="s">
        <v>22</v>
      </c>
      <c r="I3570" s="13" t="s">
        <v>7683</v>
      </c>
      <c r="J3570" s="14" t="str">
        <f>HYPERLINK("https://www.boe.es/gazeta/dias/1839/08/06/pdfs/GMD-1839-1726.pdf#page=4","Abrir facsímil")</f>
        <v>Abrir facsímil</v>
      </c>
      <c r="K3570" s="12" t="s">
        <v>24</v>
      </c>
    </row>
    <row r="3571" spans="1:11" ht="40.049999999999997" customHeight="1" x14ac:dyDescent="0.25">
      <c r="A3571" s="11" t="s">
        <v>7684</v>
      </c>
      <c r="B3571" s="11" t="s">
        <v>7685</v>
      </c>
      <c r="C3571" s="11" t="s">
        <v>17</v>
      </c>
      <c r="D3571" s="11" t="s">
        <v>18</v>
      </c>
      <c r="E3571" s="12" t="s">
        <v>785</v>
      </c>
      <c r="F3571" s="12" t="s">
        <v>786</v>
      </c>
      <c r="G3571" s="12" t="s">
        <v>21</v>
      </c>
      <c r="H3571" s="11" t="s">
        <v>63</v>
      </c>
      <c r="I3571" s="13" t="s">
        <v>7686</v>
      </c>
      <c r="J3571" s="14" t="str">
        <f>HYPERLINK("https://www.boe.es/gazeta/dias/1839/07/13/pdfs/GMD-1839-1701.pdf#page=4","Abrir facsímil")</f>
        <v>Abrir facsímil</v>
      </c>
      <c r="K3571" s="12" t="s">
        <v>65</v>
      </c>
    </row>
    <row r="3572" spans="1:11" ht="40.049999999999997" customHeight="1" x14ac:dyDescent="0.25">
      <c r="A3572" s="11" t="s">
        <v>7687</v>
      </c>
      <c r="B3572" s="11" t="s">
        <v>7688</v>
      </c>
      <c r="C3572" s="11" t="s">
        <v>137</v>
      </c>
      <c r="D3572" s="11" t="s">
        <v>18</v>
      </c>
      <c r="E3572" s="12" t="s">
        <v>157</v>
      </c>
      <c r="F3572" s="12" t="s">
        <v>158</v>
      </c>
      <c r="G3572" s="12" t="s">
        <v>40</v>
      </c>
      <c r="H3572" s="11" t="s">
        <v>63</v>
      </c>
      <c r="I3572" s="13" t="s">
        <v>7689</v>
      </c>
      <c r="J3572" s="14" t="str">
        <f>HYPERLINK("https://www.boe.es/gazeta/dias/1839/02/08/pdfs/GMD-1839-1546.pdf#page=2","Abrir facsímil")</f>
        <v>Abrir facsímil</v>
      </c>
      <c r="K3572" s="12" t="s">
        <v>65</v>
      </c>
    </row>
    <row r="3573" spans="1:11" ht="40.049999999999997" customHeight="1" x14ac:dyDescent="0.25">
      <c r="A3573" s="11" t="s">
        <v>7690</v>
      </c>
      <c r="B3573" s="11" t="s">
        <v>7691</v>
      </c>
      <c r="C3573" s="11" t="s">
        <v>17</v>
      </c>
      <c r="D3573" s="11" t="s">
        <v>18</v>
      </c>
      <c r="E3573" s="12" t="s">
        <v>1136</v>
      </c>
      <c r="F3573" s="12" t="s">
        <v>1137</v>
      </c>
      <c r="G3573" s="12" t="s">
        <v>46</v>
      </c>
      <c r="H3573" s="11" t="s">
        <v>63</v>
      </c>
      <c r="I3573" s="13" t="s">
        <v>7692</v>
      </c>
      <c r="J3573" s="14" t="str">
        <f>HYPERLINK("https://www.boe.es/gazeta/dias/1839/04/03/pdfs/GMD-1839-1600.pdf#page=3","Abrir facsímil")</f>
        <v>Abrir facsímil</v>
      </c>
      <c r="K3573" s="12" t="s">
        <v>65</v>
      </c>
    </row>
    <row r="3574" spans="1:11" ht="40.049999999999997" customHeight="1" x14ac:dyDescent="0.25">
      <c r="A3574" s="11" t="s">
        <v>7693</v>
      </c>
      <c r="B3574" s="11" t="s">
        <v>7693</v>
      </c>
      <c r="C3574" s="11" t="s">
        <v>17</v>
      </c>
      <c r="D3574" s="11" t="s">
        <v>18</v>
      </c>
      <c r="E3574" s="12" t="s">
        <v>677</v>
      </c>
      <c r="F3574" s="12" t="s">
        <v>678</v>
      </c>
      <c r="G3574" s="12" t="s">
        <v>21</v>
      </c>
      <c r="H3574" s="11" t="s">
        <v>22</v>
      </c>
      <c r="I3574" s="13" t="s">
        <v>7694</v>
      </c>
      <c r="J3574" s="14" t="str">
        <f>HYPERLINK("https://www.boe.es/gazeta/dias/1839/04/28/pdfs/GMD-1839-1625.pdf#page=4","Abrir facsímil")</f>
        <v>Abrir facsímil</v>
      </c>
      <c r="K3574" s="12" t="s">
        <v>24</v>
      </c>
    </row>
    <row r="3575" spans="1:11" ht="40.049999999999997" customHeight="1" x14ac:dyDescent="0.25">
      <c r="A3575" s="11" t="s">
        <v>7695</v>
      </c>
      <c r="B3575" s="11" t="s">
        <v>7696</v>
      </c>
      <c r="C3575" s="11" t="s">
        <v>17</v>
      </c>
      <c r="D3575" s="11" t="s">
        <v>18</v>
      </c>
      <c r="E3575" s="12" t="s">
        <v>280</v>
      </c>
      <c r="F3575" s="12" t="s">
        <v>281</v>
      </c>
      <c r="G3575" s="12" t="s">
        <v>29</v>
      </c>
      <c r="H3575" s="11" t="s">
        <v>63</v>
      </c>
      <c r="I3575" s="13" t="s">
        <v>7697</v>
      </c>
      <c r="J3575" s="14" t="str">
        <f>HYPERLINK("https://www.boe.es/gazeta/dias/1839/08/21/pdfs/GMD-1839-1742.pdf#page=1","Abrir facsímil")</f>
        <v>Abrir facsímil</v>
      </c>
      <c r="K3575" s="12" t="s">
        <v>65</v>
      </c>
    </row>
    <row r="3576" spans="1:11" ht="40.049999999999997" customHeight="1" x14ac:dyDescent="0.25">
      <c r="A3576" s="11" t="s">
        <v>7698</v>
      </c>
      <c r="B3576" s="11" t="s">
        <v>7699</v>
      </c>
      <c r="C3576" s="11" t="s">
        <v>17</v>
      </c>
      <c r="D3576" s="11" t="s">
        <v>18</v>
      </c>
      <c r="E3576" s="12" t="s">
        <v>2222</v>
      </c>
      <c r="F3576" s="12" t="s">
        <v>2223</v>
      </c>
      <c r="G3576" s="12" t="s">
        <v>21</v>
      </c>
      <c r="H3576" s="11" t="s">
        <v>63</v>
      </c>
      <c r="I3576" s="13" t="s">
        <v>7700</v>
      </c>
      <c r="J3576" s="14" t="str">
        <f>HYPERLINK("https://www.boe.es/gazeta/dias/1839/09/19/pdfs/GMD-1839-1773.pdf#page=4","Abrir facsímil")</f>
        <v>Abrir facsímil</v>
      </c>
      <c r="K3576" s="12" t="s">
        <v>65</v>
      </c>
    </row>
    <row r="3577" spans="1:11" ht="40.049999999999997" customHeight="1" x14ac:dyDescent="0.25">
      <c r="A3577" s="11" t="s">
        <v>7701</v>
      </c>
      <c r="B3577" s="11" t="s">
        <v>7702</v>
      </c>
      <c r="C3577" s="11" t="s">
        <v>137</v>
      </c>
      <c r="D3577" s="11" t="s">
        <v>18</v>
      </c>
      <c r="E3577" s="12" t="s">
        <v>918</v>
      </c>
      <c r="F3577" s="12" t="s">
        <v>919</v>
      </c>
      <c r="G3577" s="12" t="s">
        <v>40</v>
      </c>
      <c r="H3577" s="11" t="s">
        <v>63</v>
      </c>
      <c r="I3577" s="13" t="s">
        <v>7703</v>
      </c>
      <c r="J3577" s="14" t="str">
        <f>HYPERLINK("https://www.boe.es/gazeta/dias/1839/12/07/pdfs/GMD-1839-1854.pdf#page=2","Abrir facsímil")</f>
        <v>Abrir facsímil</v>
      </c>
      <c r="K3577" s="12" t="s">
        <v>65</v>
      </c>
    </row>
    <row r="3578" spans="1:11" ht="40.049999999999997" customHeight="1" x14ac:dyDescent="0.25">
      <c r="A3578" s="11" t="s">
        <v>7704</v>
      </c>
      <c r="B3578" s="11" t="s">
        <v>7705</v>
      </c>
      <c r="C3578" s="11" t="s">
        <v>17</v>
      </c>
      <c r="D3578" s="11" t="s">
        <v>18</v>
      </c>
      <c r="E3578" s="12" t="s">
        <v>951</v>
      </c>
      <c r="F3578" s="12" t="s">
        <v>952</v>
      </c>
      <c r="G3578" s="12" t="s">
        <v>21</v>
      </c>
      <c r="H3578" s="11" t="s">
        <v>63</v>
      </c>
      <c r="I3578" s="13" t="s">
        <v>7706</v>
      </c>
      <c r="J3578" s="14" t="str">
        <f>HYPERLINK("https://www.boe.es/gazeta/dias/1839/12/30/pdfs/GMD-1839-1877.pdf#page=4","Abrir facsímil")</f>
        <v>Abrir facsímil</v>
      </c>
      <c r="K3578" s="12" t="s">
        <v>65</v>
      </c>
    </row>
    <row r="3579" spans="1:11" ht="40.049999999999997" customHeight="1" x14ac:dyDescent="0.25">
      <c r="A3579" s="11" t="s">
        <v>7707</v>
      </c>
      <c r="B3579" s="11" t="s">
        <v>7708</v>
      </c>
      <c r="C3579" s="11" t="s">
        <v>59</v>
      </c>
      <c r="D3579" s="11" t="s">
        <v>60</v>
      </c>
      <c r="E3579" s="12" t="s">
        <v>1794</v>
      </c>
      <c r="F3579" s="12" t="s">
        <v>1795</v>
      </c>
      <c r="G3579" s="12" t="s">
        <v>21</v>
      </c>
      <c r="H3579" s="11" t="s">
        <v>22</v>
      </c>
      <c r="I3579" s="13" t="s">
        <v>7709</v>
      </c>
      <c r="J3579" s="14" t="str">
        <f>HYPERLINK("https://www.boe.es/gazeta/dias/1839/02/22/pdfs/GMD-1839-1560.pdf#page=4","Abrir facsímil")</f>
        <v>Abrir facsímil</v>
      </c>
      <c r="K3579" s="12" t="s">
        <v>24</v>
      </c>
    </row>
    <row r="3580" spans="1:11" ht="40.049999999999997" customHeight="1" x14ac:dyDescent="0.25">
      <c r="A3580" s="11" t="s">
        <v>7710</v>
      </c>
      <c r="B3580" s="11" t="s">
        <v>7711</v>
      </c>
      <c r="C3580" s="11" t="s">
        <v>17</v>
      </c>
      <c r="D3580" s="11" t="s">
        <v>18</v>
      </c>
      <c r="E3580" s="12" t="s">
        <v>2415</v>
      </c>
      <c r="F3580" s="12" t="s">
        <v>2416</v>
      </c>
      <c r="G3580" s="12" t="s">
        <v>46</v>
      </c>
      <c r="H3580" s="11" t="s">
        <v>63</v>
      </c>
      <c r="I3580" s="13" t="s">
        <v>7712</v>
      </c>
      <c r="J3580" s="14" t="str">
        <f>HYPERLINK("https://www.boe.es/gazeta/dias/1839/12/22/pdfs/GMD-1839-1869.pdf#page=3","Abrir facsímil")</f>
        <v>Abrir facsímil</v>
      </c>
      <c r="K3580" s="12" t="s">
        <v>65</v>
      </c>
    </row>
    <row r="3581" spans="1:11" ht="40.049999999999997" customHeight="1" x14ac:dyDescent="0.25">
      <c r="A3581" s="11" t="s">
        <v>7713</v>
      </c>
      <c r="B3581" s="11" t="s">
        <v>7714</v>
      </c>
      <c r="C3581" s="11" t="s">
        <v>137</v>
      </c>
      <c r="D3581" s="11" t="s">
        <v>18</v>
      </c>
      <c r="E3581" s="12" t="s">
        <v>918</v>
      </c>
      <c r="F3581" s="12" t="s">
        <v>919</v>
      </c>
      <c r="G3581" s="12" t="s">
        <v>40</v>
      </c>
      <c r="H3581" s="11" t="s">
        <v>63</v>
      </c>
      <c r="I3581" s="13" t="s">
        <v>7715</v>
      </c>
      <c r="J3581" s="14" t="str">
        <f>HYPERLINK("https://www.boe.es/gazeta/dias/1839/12/07/pdfs/GMD-1839-1854.pdf#page=2","Abrir facsímil")</f>
        <v>Abrir facsímil</v>
      </c>
      <c r="K3581" s="12" t="s">
        <v>65</v>
      </c>
    </row>
    <row r="3582" spans="1:11" ht="40.049999999999997" customHeight="1" x14ac:dyDescent="0.25">
      <c r="A3582" s="11" t="s">
        <v>7713</v>
      </c>
      <c r="B3582" s="11" t="s">
        <v>7714</v>
      </c>
      <c r="C3582" s="11" t="s">
        <v>17</v>
      </c>
      <c r="D3582" s="11" t="s">
        <v>18</v>
      </c>
      <c r="E3582" s="12" t="s">
        <v>513</v>
      </c>
      <c r="F3582" s="12" t="s">
        <v>514</v>
      </c>
      <c r="G3582" s="12" t="s">
        <v>21</v>
      </c>
      <c r="H3582" s="11" t="s">
        <v>63</v>
      </c>
      <c r="I3582" s="13" t="s">
        <v>7716</v>
      </c>
      <c r="J3582" s="14" t="str">
        <f>HYPERLINK("https://www.boe.es/gazeta/dias/1839/03/17/pdfs/GMD-1839-1583.pdf#page=4","Abrir facsímil")</f>
        <v>Abrir facsímil</v>
      </c>
      <c r="K3582" s="12" t="s">
        <v>65</v>
      </c>
    </row>
    <row r="3583" spans="1:11" ht="40.049999999999997" customHeight="1" x14ac:dyDescent="0.25">
      <c r="A3583" s="11" t="s">
        <v>7717</v>
      </c>
      <c r="B3583" s="11" t="s">
        <v>7718</v>
      </c>
      <c r="C3583" s="11" t="s">
        <v>80</v>
      </c>
      <c r="D3583" s="11" t="s">
        <v>18</v>
      </c>
      <c r="E3583" s="12" t="s">
        <v>2449</v>
      </c>
      <c r="F3583" s="12" t="s">
        <v>2450</v>
      </c>
      <c r="G3583" s="12" t="s">
        <v>40</v>
      </c>
      <c r="H3583" s="11" t="s">
        <v>63</v>
      </c>
      <c r="I3583" s="13" t="s">
        <v>7719</v>
      </c>
      <c r="J3583" s="14" t="str">
        <f>HYPERLINK("https://www.boe.es/gazeta/dias/1839/12/11/pdfs/GMD-1839-1858.pdf#page=2","Abrir facsímil")</f>
        <v>Abrir facsímil</v>
      </c>
      <c r="K3583" s="12" t="s">
        <v>65</v>
      </c>
    </row>
    <row r="3584" spans="1:11" ht="40.049999999999997" customHeight="1" x14ac:dyDescent="0.25">
      <c r="A3584" s="11" t="s">
        <v>7717</v>
      </c>
      <c r="B3584" s="11" t="s">
        <v>7718</v>
      </c>
      <c r="C3584" s="11" t="s">
        <v>17</v>
      </c>
      <c r="D3584" s="11" t="s">
        <v>18</v>
      </c>
      <c r="E3584" s="12" t="s">
        <v>2995</v>
      </c>
      <c r="F3584" s="12" t="s">
        <v>2996</v>
      </c>
      <c r="G3584" s="12" t="s">
        <v>21</v>
      </c>
      <c r="H3584" s="11" t="s">
        <v>63</v>
      </c>
      <c r="I3584" s="13" t="s">
        <v>7720</v>
      </c>
      <c r="J3584" s="14" t="str">
        <f>HYPERLINK("https://www.boe.es/gazeta/dias/1839/06/16/pdfs/GMD-1839-1674.pdf#page=4","Abrir facsímil")</f>
        <v>Abrir facsímil</v>
      </c>
      <c r="K3584" s="12" t="s">
        <v>65</v>
      </c>
    </row>
    <row r="3585" spans="1:11" ht="40.049999999999997" customHeight="1" x14ac:dyDescent="0.25">
      <c r="A3585" s="11" t="s">
        <v>7721</v>
      </c>
      <c r="B3585" s="11" t="s">
        <v>7722</v>
      </c>
      <c r="C3585" s="11" t="s">
        <v>17</v>
      </c>
      <c r="D3585" s="11" t="s">
        <v>18</v>
      </c>
      <c r="E3585" s="12" t="s">
        <v>1523</v>
      </c>
      <c r="F3585" s="12" t="s">
        <v>1524</v>
      </c>
      <c r="G3585" s="12" t="s">
        <v>29</v>
      </c>
      <c r="H3585" s="11" t="s">
        <v>63</v>
      </c>
      <c r="I3585" s="13" t="s">
        <v>7723</v>
      </c>
      <c r="J3585" s="14" t="str">
        <f>HYPERLINK("https://www.boe.es/gazeta/dias/1839/08/29/pdfs/GMD-1839-1750.pdf#page=1","Abrir facsímil")</f>
        <v>Abrir facsímil</v>
      </c>
      <c r="K3585" s="12" t="s">
        <v>65</v>
      </c>
    </row>
    <row r="3586" spans="1:11" ht="40.049999999999997" customHeight="1" x14ac:dyDescent="0.25">
      <c r="A3586" s="11" t="s">
        <v>7724</v>
      </c>
      <c r="B3586" s="11" t="s">
        <v>7725</v>
      </c>
      <c r="C3586" s="11" t="s">
        <v>80</v>
      </c>
      <c r="D3586" s="11" t="s">
        <v>18</v>
      </c>
      <c r="E3586" s="12" t="s">
        <v>934</v>
      </c>
      <c r="F3586" s="12" t="s">
        <v>935</v>
      </c>
      <c r="G3586" s="12" t="s">
        <v>29</v>
      </c>
      <c r="H3586" s="11" t="s">
        <v>63</v>
      </c>
      <c r="I3586" s="13" t="s">
        <v>7726</v>
      </c>
      <c r="J3586" s="14" t="str">
        <f>HYPERLINK("https://www.boe.es/gazeta/dias/1839/11/07/pdfs/GMD-1839-1824.pdf#page=1","Abrir facsímil")</f>
        <v>Abrir facsímil</v>
      </c>
      <c r="K3586" s="12" t="s">
        <v>65</v>
      </c>
    </row>
    <row r="3587" spans="1:11" ht="40.049999999999997" customHeight="1" x14ac:dyDescent="0.25">
      <c r="A3587" s="11" t="s">
        <v>7727</v>
      </c>
      <c r="B3587" s="11" t="s">
        <v>7728</v>
      </c>
      <c r="C3587" s="11" t="s">
        <v>17</v>
      </c>
      <c r="D3587" s="11" t="s">
        <v>18</v>
      </c>
      <c r="E3587" s="12" t="s">
        <v>81</v>
      </c>
      <c r="F3587" s="12" t="s">
        <v>82</v>
      </c>
      <c r="G3587" s="12" t="s">
        <v>40</v>
      </c>
      <c r="H3587" s="11" t="s">
        <v>63</v>
      </c>
      <c r="I3587" s="13" t="s">
        <v>7729</v>
      </c>
      <c r="J3587" s="14" t="str">
        <f>HYPERLINK("https://www.boe.es/gazeta/dias/1839/03/03/pdfs/GMD-1839-1569.pdf#page=2","Abrir facsímil")</f>
        <v>Abrir facsímil</v>
      </c>
      <c r="K3587" s="12" t="s">
        <v>65</v>
      </c>
    </row>
    <row r="3588" spans="1:11" ht="40.049999999999997" customHeight="1" x14ac:dyDescent="0.25">
      <c r="A3588" s="11" t="s">
        <v>7730</v>
      </c>
      <c r="B3588" s="11" t="s">
        <v>7731</v>
      </c>
      <c r="C3588" s="11" t="s">
        <v>80</v>
      </c>
      <c r="D3588" s="11" t="s">
        <v>18</v>
      </c>
      <c r="E3588" s="12" t="s">
        <v>121</v>
      </c>
      <c r="F3588" s="12" t="s">
        <v>122</v>
      </c>
      <c r="G3588" s="12" t="s">
        <v>46</v>
      </c>
      <c r="H3588" s="11" t="s">
        <v>63</v>
      </c>
      <c r="I3588" s="13" t="s">
        <v>7732</v>
      </c>
      <c r="J3588" s="14" t="str">
        <f>HYPERLINK("https://www.boe.es/gazeta/dias/1839/06/08/pdfs/GMD-1839-1666.pdf#page=3","Abrir facsímil")</f>
        <v>Abrir facsímil</v>
      </c>
      <c r="K3588" s="12" t="s">
        <v>65</v>
      </c>
    </row>
    <row r="3589" spans="1:11" ht="40.049999999999997" customHeight="1" x14ac:dyDescent="0.25">
      <c r="A3589" s="11" t="s">
        <v>7733</v>
      </c>
      <c r="B3589" s="11" t="s">
        <v>7734</v>
      </c>
      <c r="C3589" s="11" t="s">
        <v>80</v>
      </c>
      <c r="D3589" s="11" t="s">
        <v>18</v>
      </c>
      <c r="E3589" s="12" t="s">
        <v>1891</v>
      </c>
      <c r="F3589" s="12" t="s">
        <v>1892</v>
      </c>
      <c r="G3589" s="12" t="s">
        <v>21</v>
      </c>
      <c r="H3589" s="11" t="s">
        <v>22</v>
      </c>
      <c r="I3589" s="13" t="s">
        <v>7735</v>
      </c>
      <c r="J3589" s="14" t="str">
        <f>HYPERLINK("https://www.boe.es/gazeta/dias/1839/12/14/pdfs/GMD-1839-1861.pdf#page=4","Abrir facsímil")</f>
        <v>Abrir facsímil</v>
      </c>
      <c r="K3589" s="12" t="s">
        <v>24</v>
      </c>
    </row>
    <row r="3590" spans="1:11" ht="40.049999999999997" customHeight="1" x14ac:dyDescent="0.25">
      <c r="A3590" s="11" t="s">
        <v>7736</v>
      </c>
      <c r="B3590" s="11" t="s">
        <v>7737</v>
      </c>
      <c r="C3590" s="11" t="s">
        <v>137</v>
      </c>
      <c r="D3590" s="11" t="s">
        <v>18</v>
      </c>
      <c r="E3590" s="12" t="s">
        <v>1584</v>
      </c>
      <c r="F3590" s="12" t="s">
        <v>1585</v>
      </c>
      <c r="G3590" s="12" t="s">
        <v>46</v>
      </c>
      <c r="H3590" s="11" t="s">
        <v>63</v>
      </c>
      <c r="I3590" s="13" t="s">
        <v>7738</v>
      </c>
      <c r="J3590" s="14" t="str">
        <f>HYPERLINK("https://www.boe.es/gazeta/dias/1839/11/20/pdfs/GMD-1839-1837.pdf#page=3","Abrir facsímil")</f>
        <v>Abrir facsímil</v>
      </c>
      <c r="K3590" s="12" t="s">
        <v>65</v>
      </c>
    </row>
    <row r="3591" spans="1:11" ht="40.049999999999997" customHeight="1" x14ac:dyDescent="0.25">
      <c r="A3591" s="11" t="s">
        <v>7739</v>
      </c>
      <c r="B3591" s="11" t="s">
        <v>7740</v>
      </c>
      <c r="C3591" s="11" t="s">
        <v>17</v>
      </c>
      <c r="D3591" s="11" t="s">
        <v>18</v>
      </c>
      <c r="E3591" s="12" t="s">
        <v>175</v>
      </c>
      <c r="F3591" s="12" t="s">
        <v>176</v>
      </c>
      <c r="G3591" s="12" t="s">
        <v>40</v>
      </c>
      <c r="H3591" s="11" t="s">
        <v>63</v>
      </c>
      <c r="I3591" s="13" t="s">
        <v>7741</v>
      </c>
      <c r="J3591" s="14" t="str">
        <f>HYPERLINK("https://www.boe.es/gazeta/dias/1839/01/16/pdfs/GMD-1839-1523.pdf#page=2","Abrir facsímil")</f>
        <v>Abrir facsímil</v>
      </c>
      <c r="K3591" s="12" t="s">
        <v>65</v>
      </c>
    </row>
    <row r="3592" spans="1:11" ht="40.049999999999997" customHeight="1" x14ac:dyDescent="0.25">
      <c r="A3592" s="11" t="s">
        <v>7742</v>
      </c>
      <c r="B3592" s="11" t="s">
        <v>7743</v>
      </c>
      <c r="C3592" s="11" t="s">
        <v>17</v>
      </c>
      <c r="D3592" s="11" t="s">
        <v>18</v>
      </c>
      <c r="E3592" s="12" t="s">
        <v>998</v>
      </c>
      <c r="F3592" s="12" t="s">
        <v>999</v>
      </c>
      <c r="G3592" s="12" t="s">
        <v>21</v>
      </c>
      <c r="H3592" s="11" t="s">
        <v>63</v>
      </c>
      <c r="I3592" s="13" t="s">
        <v>7744</v>
      </c>
      <c r="J3592" s="14" t="str">
        <f>HYPERLINK("https://www.boe.es/gazeta/dias/1839/05/06/pdfs/GMD-1839-1633.pdf#page=4","Abrir facsímil")</f>
        <v>Abrir facsímil</v>
      </c>
      <c r="K3592" s="12" t="s">
        <v>65</v>
      </c>
    </row>
    <row r="3593" spans="1:11" ht="40.049999999999997" customHeight="1" x14ac:dyDescent="0.25">
      <c r="A3593" s="11" t="s">
        <v>7745</v>
      </c>
      <c r="B3593" s="11" t="s">
        <v>7746</v>
      </c>
      <c r="C3593" s="11" t="s">
        <v>17</v>
      </c>
      <c r="D3593" s="11" t="s">
        <v>43</v>
      </c>
      <c r="E3593" s="12" t="s">
        <v>4475</v>
      </c>
      <c r="F3593" s="12" t="s">
        <v>4476</v>
      </c>
      <c r="G3593" s="12" t="s">
        <v>29</v>
      </c>
      <c r="H3593" s="11" t="s">
        <v>63</v>
      </c>
      <c r="I3593" s="13" t="s">
        <v>7747</v>
      </c>
      <c r="J3593" s="14" t="str">
        <f>HYPERLINK("https://www.boe.es/gazeta/dias/1839/07/04/pdfs/GMD-1839-1692.pdf#page=1","Abrir facsímil")</f>
        <v>Abrir facsímil</v>
      </c>
      <c r="K3593" s="12" t="s">
        <v>65</v>
      </c>
    </row>
    <row r="3594" spans="1:11" ht="40.049999999999997" customHeight="1" x14ac:dyDescent="0.25">
      <c r="A3594" s="11" t="s">
        <v>7748</v>
      </c>
      <c r="B3594" s="11" t="s">
        <v>7749</v>
      </c>
      <c r="C3594" s="11" t="s">
        <v>17</v>
      </c>
      <c r="D3594" s="11" t="s">
        <v>18</v>
      </c>
      <c r="E3594" s="12" t="s">
        <v>462</v>
      </c>
      <c r="F3594" s="12" t="s">
        <v>463</v>
      </c>
      <c r="G3594" s="12" t="s">
        <v>46</v>
      </c>
      <c r="H3594" s="11" t="s">
        <v>22</v>
      </c>
      <c r="I3594" s="13" t="s">
        <v>7750</v>
      </c>
      <c r="J3594" s="14" t="str">
        <f>HYPERLINK("https://www.boe.es/gazeta/dias/1839/06/19/pdfs/GMD-1839-1677.pdf#page=3","Abrir facsímil")</f>
        <v>Abrir facsímil</v>
      </c>
      <c r="K3594" s="12" t="s">
        <v>24</v>
      </c>
    </row>
    <row r="3595" spans="1:11" ht="40.049999999999997" customHeight="1" x14ac:dyDescent="0.25">
      <c r="A3595" s="11" t="s">
        <v>7751</v>
      </c>
      <c r="B3595" s="11" t="s">
        <v>7752</v>
      </c>
      <c r="C3595" s="11" t="s">
        <v>17</v>
      </c>
      <c r="D3595" s="11" t="s">
        <v>18</v>
      </c>
      <c r="E3595" s="12" t="s">
        <v>647</v>
      </c>
      <c r="F3595" s="12" t="s">
        <v>648</v>
      </c>
      <c r="G3595" s="12" t="s">
        <v>21</v>
      </c>
      <c r="H3595" s="11" t="s">
        <v>63</v>
      </c>
      <c r="I3595" s="13" t="s">
        <v>7753</v>
      </c>
      <c r="J3595" s="14" t="str">
        <f>HYPERLINK("https://www.boe.es/gazeta/dias/1839/10/08/pdfs/GMD-1839-1794.pdf#page=4","Abrir facsímil")</f>
        <v>Abrir facsímil</v>
      </c>
      <c r="K3595" s="12" t="s">
        <v>65</v>
      </c>
    </row>
    <row r="3596" spans="1:11" ht="40.049999999999997" customHeight="1" x14ac:dyDescent="0.25">
      <c r="A3596" s="11" t="s">
        <v>7754</v>
      </c>
      <c r="B3596" s="11" t="s">
        <v>7755</v>
      </c>
      <c r="C3596" s="11" t="s">
        <v>59</v>
      </c>
      <c r="D3596" s="11" t="s">
        <v>60</v>
      </c>
      <c r="E3596" s="12" t="s">
        <v>202</v>
      </c>
      <c r="F3596" s="12" t="s">
        <v>203</v>
      </c>
      <c r="G3596" s="12" t="s">
        <v>46</v>
      </c>
      <c r="H3596" s="11" t="s">
        <v>63</v>
      </c>
      <c r="I3596" s="13" t="s">
        <v>7756</v>
      </c>
      <c r="J3596" s="14" t="str">
        <f>HYPERLINK("https://www.boe.es/gazeta/dias/1839/04/05/pdfs/GMD-1839-1602.pdf#page=3","Abrir facsímil")</f>
        <v>Abrir facsímil</v>
      </c>
      <c r="K3596" s="12" t="s">
        <v>65</v>
      </c>
    </row>
    <row r="3597" spans="1:11" ht="40.049999999999997" customHeight="1" x14ac:dyDescent="0.25">
      <c r="A3597" s="11" t="s">
        <v>7757</v>
      </c>
      <c r="B3597" s="11" t="s">
        <v>7758</v>
      </c>
      <c r="C3597" s="11" t="s">
        <v>17</v>
      </c>
      <c r="D3597" s="11" t="s">
        <v>18</v>
      </c>
      <c r="E3597" s="12" t="s">
        <v>416</v>
      </c>
      <c r="F3597" s="12" t="s">
        <v>417</v>
      </c>
      <c r="G3597" s="12" t="s">
        <v>46</v>
      </c>
      <c r="H3597" s="11" t="s">
        <v>63</v>
      </c>
      <c r="I3597" s="13" t="s">
        <v>7759</v>
      </c>
      <c r="J3597" s="14" t="str">
        <f>HYPERLINK("https://www.boe.es/gazeta/dias/1839/10/24/pdfs/GMD-1839-1810.pdf#page=3","Abrir facsímil")</f>
        <v>Abrir facsímil</v>
      </c>
      <c r="K3597" s="12" t="s">
        <v>65</v>
      </c>
    </row>
    <row r="3598" spans="1:11" ht="40.049999999999997" customHeight="1" x14ac:dyDescent="0.25">
      <c r="A3598" s="11" t="s">
        <v>7760</v>
      </c>
      <c r="B3598" s="11" t="s">
        <v>7761</v>
      </c>
      <c r="C3598" s="11" t="s">
        <v>80</v>
      </c>
      <c r="D3598" s="11" t="s">
        <v>173</v>
      </c>
      <c r="E3598" s="12" t="s">
        <v>4044</v>
      </c>
      <c r="F3598" s="12" t="s">
        <v>4045</v>
      </c>
      <c r="G3598" s="12" t="s">
        <v>21</v>
      </c>
      <c r="H3598" s="11" t="s">
        <v>63</v>
      </c>
      <c r="I3598" s="13" t="s">
        <v>7762</v>
      </c>
      <c r="J3598" s="14" t="str">
        <f>HYPERLINK("https://www.boe.es/gazeta/dias/1839/01/07/pdfs/GMD-1839-1514.pdf#page=4","Abrir facsímil")</f>
        <v>Abrir facsímil</v>
      </c>
      <c r="K3598" s="12" t="s">
        <v>65</v>
      </c>
    </row>
    <row r="3599" spans="1:11" ht="40.049999999999997" customHeight="1" x14ac:dyDescent="0.25">
      <c r="A3599" s="11" t="s">
        <v>7763</v>
      </c>
      <c r="B3599" s="11" t="s">
        <v>7764</v>
      </c>
      <c r="C3599" s="11" t="s">
        <v>80</v>
      </c>
      <c r="D3599" s="11" t="s">
        <v>18</v>
      </c>
      <c r="E3599" s="12" t="s">
        <v>3391</v>
      </c>
      <c r="F3599" s="12" t="s">
        <v>3392</v>
      </c>
      <c r="G3599" s="12" t="s">
        <v>21</v>
      </c>
      <c r="H3599" s="11" t="s">
        <v>63</v>
      </c>
      <c r="I3599" s="13" t="s">
        <v>7765</v>
      </c>
      <c r="J3599" s="14" t="str">
        <f>HYPERLINK("https://www.boe.es/gazeta/dias/1839/12/31/pdfs/GMD-1839-1878.pdf#page=4","Abrir facsímil")</f>
        <v>Abrir facsímil</v>
      </c>
      <c r="K3599" s="12" t="s">
        <v>65</v>
      </c>
    </row>
    <row r="3600" spans="1:11" ht="40.049999999999997" customHeight="1" x14ac:dyDescent="0.25">
      <c r="A3600" s="11" t="s">
        <v>7766</v>
      </c>
      <c r="B3600" s="11" t="s">
        <v>7767</v>
      </c>
      <c r="C3600" s="11" t="s">
        <v>59</v>
      </c>
      <c r="D3600" s="11" t="s">
        <v>60</v>
      </c>
      <c r="E3600" s="12" t="s">
        <v>716</v>
      </c>
      <c r="F3600" s="12" t="s">
        <v>717</v>
      </c>
      <c r="G3600" s="12" t="s">
        <v>40</v>
      </c>
      <c r="H3600" s="11" t="s">
        <v>63</v>
      </c>
      <c r="I3600" s="13" t="s">
        <v>7768</v>
      </c>
      <c r="J3600" s="14" t="str">
        <f>HYPERLINK("https://www.boe.es/gazeta/dias/1839/07/30/pdfs/GMD-1839-1719.pdf#page=2","Abrir facsímil")</f>
        <v>Abrir facsímil</v>
      </c>
      <c r="K3600" s="12" t="s">
        <v>65</v>
      </c>
    </row>
    <row r="3601" spans="1:11" ht="40.049999999999997" customHeight="1" x14ac:dyDescent="0.25">
      <c r="A3601" s="11" t="s">
        <v>7769</v>
      </c>
      <c r="B3601" s="11" t="s">
        <v>7770</v>
      </c>
      <c r="C3601" s="11" t="s">
        <v>17</v>
      </c>
      <c r="D3601" s="11" t="s">
        <v>18</v>
      </c>
      <c r="E3601" s="12" t="s">
        <v>1027</v>
      </c>
      <c r="F3601" s="12" t="s">
        <v>1028</v>
      </c>
      <c r="G3601" s="12" t="s">
        <v>21</v>
      </c>
      <c r="H3601" s="11" t="s">
        <v>63</v>
      </c>
      <c r="I3601" s="13" t="s">
        <v>7771</v>
      </c>
      <c r="J3601" s="14" t="str">
        <f>HYPERLINK("https://www.boe.es/gazeta/dias/1839/08/16/pdfs/GMD-1839-1736.pdf#page=4","Abrir facsímil")</f>
        <v>Abrir facsímil</v>
      </c>
      <c r="K3601" s="12" t="s">
        <v>65</v>
      </c>
    </row>
    <row r="3602" spans="1:11" ht="40.049999999999997" customHeight="1" x14ac:dyDescent="0.25">
      <c r="A3602" s="11" t="s">
        <v>7772</v>
      </c>
      <c r="B3602" s="11" t="s">
        <v>7773</v>
      </c>
      <c r="C3602" s="11" t="s">
        <v>80</v>
      </c>
      <c r="D3602" s="11" t="s">
        <v>18</v>
      </c>
      <c r="E3602" s="12" t="s">
        <v>4475</v>
      </c>
      <c r="F3602" s="12" t="s">
        <v>4476</v>
      </c>
      <c r="G3602" s="12" t="s">
        <v>21</v>
      </c>
      <c r="H3602" s="11" t="s">
        <v>63</v>
      </c>
      <c r="I3602" s="13" t="s">
        <v>7774</v>
      </c>
      <c r="J3602" s="14" t="str">
        <f>HYPERLINK("https://www.boe.es/gazeta/dias/1839/07/04/pdfs/GMD-1839-1692.pdf#page=4","Abrir facsímil")</f>
        <v>Abrir facsímil</v>
      </c>
      <c r="K3602" s="12" t="s">
        <v>65</v>
      </c>
    </row>
    <row r="3603" spans="1:11" ht="40.049999999999997" customHeight="1" x14ac:dyDescent="0.25">
      <c r="A3603" s="11" t="s">
        <v>7775</v>
      </c>
      <c r="B3603" s="11" t="s">
        <v>7776</v>
      </c>
      <c r="C3603" s="11" t="s">
        <v>59</v>
      </c>
      <c r="D3603" s="11" t="s">
        <v>60</v>
      </c>
      <c r="E3603" s="12" t="s">
        <v>616</v>
      </c>
      <c r="F3603" s="12" t="s">
        <v>617</v>
      </c>
      <c r="G3603" s="12" t="s">
        <v>40</v>
      </c>
      <c r="H3603" s="11" t="s">
        <v>63</v>
      </c>
      <c r="I3603" s="13" t="s">
        <v>7777</v>
      </c>
      <c r="J3603" s="14" t="str">
        <f>HYPERLINK("https://www.boe.es/gazeta/dias/1839/05/29/pdfs/GMD-1839-1656.pdf#page=2","Abrir facsímil")</f>
        <v>Abrir facsímil</v>
      </c>
      <c r="K3603" s="12" t="s">
        <v>65</v>
      </c>
    </row>
    <row r="3604" spans="1:11" ht="40.049999999999997" customHeight="1" x14ac:dyDescent="0.25">
      <c r="A3604" s="11" t="s">
        <v>7778</v>
      </c>
      <c r="B3604" s="11" t="s">
        <v>7779</v>
      </c>
      <c r="C3604" s="11" t="s">
        <v>80</v>
      </c>
      <c r="D3604" s="11" t="s">
        <v>18</v>
      </c>
      <c r="E3604" s="12" t="s">
        <v>291</v>
      </c>
      <c r="F3604" s="12" t="s">
        <v>292</v>
      </c>
      <c r="G3604" s="12" t="s">
        <v>21</v>
      </c>
      <c r="H3604" s="11" t="s">
        <v>63</v>
      </c>
      <c r="I3604" s="13" t="s">
        <v>7780</v>
      </c>
      <c r="J3604" s="14" t="str">
        <f>HYPERLINK("https://www.boe.es/gazeta/dias/1839/09/04/pdfs/GMD-1839-1757.pdf#page=4","Abrir facsímil")</f>
        <v>Abrir facsímil</v>
      </c>
      <c r="K3604" s="12" t="s">
        <v>65</v>
      </c>
    </row>
    <row r="3605" spans="1:11" ht="40.049999999999997" customHeight="1" x14ac:dyDescent="0.25">
      <c r="A3605" s="11" t="s">
        <v>7778</v>
      </c>
      <c r="B3605" s="11" t="s">
        <v>7779</v>
      </c>
      <c r="C3605" s="11" t="s">
        <v>80</v>
      </c>
      <c r="D3605" s="11" t="s">
        <v>18</v>
      </c>
      <c r="E3605" s="12" t="s">
        <v>601</v>
      </c>
      <c r="F3605" s="12" t="s">
        <v>602</v>
      </c>
      <c r="G3605" s="12" t="s">
        <v>21</v>
      </c>
      <c r="H3605" s="11" t="s">
        <v>63</v>
      </c>
      <c r="I3605" s="13" t="s">
        <v>7781</v>
      </c>
      <c r="J3605" s="14" t="str">
        <f>HYPERLINK("https://www.boe.es/gazeta/dias/1839/04/21/pdfs/GMD-1839-1618.pdf#page=4","Abrir facsímil")</f>
        <v>Abrir facsímil</v>
      </c>
      <c r="K3605" s="12" t="s">
        <v>65</v>
      </c>
    </row>
    <row r="3606" spans="1:11" ht="40.049999999999997" customHeight="1" x14ac:dyDescent="0.25">
      <c r="A3606" s="11" t="s">
        <v>7778</v>
      </c>
      <c r="B3606" s="11" t="s">
        <v>7779</v>
      </c>
      <c r="C3606" s="11" t="s">
        <v>17</v>
      </c>
      <c r="D3606" s="11" t="s">
        <v>18</v>
      </c>
      <c r="E3606" s="12" t="s">
        <v>892</v>
      </c>
      <c r="F3606" s="12" t="s">
        <v>893</v>
      </c>
      <c r="G3606" s="12" t="s">
        <v>21</v>
      </c>
      <c r="H3606" s="11" t="s">
        <v>63</v>
      </c>
      <c r="I3606" s="13" t="s">
        <v>7782</v>
      </c>
      <c r="J3606" s="14" t="str">
        <f>HYPERLINK("https://www.boe.es/gazeta/dias/1839/12/28/pdfs/GMD-1839-1875.pdf#page=4","Abrir facsímil")</f>
        <v>Abrir facsímil</v>
      </c>
      <c r="K3606" s="12" t="s">
        <v>65</v>
      </c>
    </row>
    <row r="3607" spans="1:11" ht="40.049999999999997" customHeight="1" x14ac:dyDescent="0.25">
      <c r="A3607" s="11" t="s">
        <v>7778</v>
      </c>
      <c r="B3607" s="11" t="s">
        <v>7779</v>
      </c>
      <c r="C3607" s="11" t="s">
        <v>17</v>
      </c>
      <c r="D3607" s="11" t="s">
        <v>43</v>
      </c>
      <c r="E3607" s="12" t="s">
        <v>2522</v>
      </c>
      <c r="F3607" s="12" t="s">
        <v>2523</v>
      </c>
      <c r="G3607" s="12" t="s">
        <v>21</v>
      </c>
      <c r="H3607" s="11" t="s">
        <v>63</v>
      </c>
      <c r="I3607" s="13" t="s">
        <v>7783</v>
      </c>
      <c r="J3607" s="14" t="str">
        <f>HYPERLINK("https://www.boe.es/gazeta/dias/1839/12/29/pdfs/GMD-1839-1876.pdf#page=4","Abrir facsímil")</f>
        <v>Abrir facsímil</v>
      </c>
      <c r="K3607" s="12" t="s">
        <v>65</v>
      </c>
    </row>
    <row r="3608" spans="1:11" ht="40.049999999999997" customHeight="1" x14ac:dyDescent="0.25">
      <c r="A3608" s="11" t="s">
        <v>7784</v>
      </c>
      <c r="B3608" s="11" t="s">
        <v>7785</v>
      </c>
      <c r="C3608" s="11" t="s">
        <v>80</v>
      </c>
      <c r="D3608" s="11" t="s">
        <v>18</v>
      </c>
      <c r="E3608" s="12" t="s">
        <v>568</v>
      </c>
      <c r="F3608" s="12" t="s">
        <v>569</v>
      </c>
      <c r="G3608" s="12" t="s">
        <v>40</v>
      </c>
      <c r="H3608" s="11" t="s">
        <v>63</v>
      </c>
      <c r="I3608" s="13" t="s">
        <v>7786</v>
      </c>
      <c r="J3608" s="14" t="str">
        <f>HYPERLINK("https://www.boe.es/gazeta/dias/1839/10/23/pdfs/GMD-1839-1809.pdf#page=2","Abrir facsímil")</f>
        <v>Abrir facsímil</v>
      </c>
      <c r="K3608" s="12" t="s">
        <v>65</v>
      </c>
    </row>
    <row r="3609" spans="1:11" ht="40.049999999999997" customHeight="1" x14ac:dyDescent="0.25">
      <c r="A3609" s="11" t="s">
        <v>7787</v>
      </c>
      <c r="B3609" s="11" t="s">
        <v>7788</v>
      </c>
      <c r="C3609" s="11" t="s">
        <v>80</v>
      </c>
      <c r="D3609" s="11" t="s">
        <v>18</v>
      </c>
      <c r="E3609" s="12" t="s">
        <v>568</v>
      </c>
      <c r="F3609" s="12" t="s">
        <v>569</v>
      </c>
      <c r="G3609" s="12" t="s">
        <v>40</v>
      </c>
      <c r="H3609" s="11" t="s">
        <v>63</v>
      </c>
      <c r="I3609" s="13" t="s">
        <v>7789</v>
      </c>
      <c r="J3609" s="14" t="str">
        <f>HYPERLINK("https://www.boe.es/gazeta/dias/1839/10/23/pdfs/GMD-1839-1809.pdf#page=2","Abrir facsímil")</f>
        <v>Abrir facsímil</v>
      </c>
      <c r="K3609" s="12" t="s">
        <v>65</v>
      </c>
    </row>
    <row r="3610" spans="1:11" ht="40.049999999999997" customHeight="1" x14ac:dyDescent="0.25">
      <c r="A3610" s="11" t="s">
        <v>7790</v>
      </c>
      <c r="B3610" s="11" t="s">
        <v>7791</v>
      </c>
      <c r="C3610" s="11" t="s">
        <v>17</v>
      </c>
      <c r="D3610" s="11" t="s">
        <v>18</v>
      </c>
      <c r="E3610" s="12" t="s">
        <v>804</v>
      </c>
      <c r="F3610" s="12" t="s">
        <v>805</v>
      </c>
      <c r="G3610" s="12" t="s">
        <v>40</v>
      </c>
      <c r="H3610" s="11" t="s">
        <v>63</v>
      </c>
      <c r="I3610" s="13" t="s">
        <v>7792</v>
      </c>
      <c r="J3610" s="14" t="str">
        <f>HYPERLINK("https://www.boe.es/gazeta/dias/1839/01/08/pdfs/GMD-1839-1515.pdf#page=2","Abrir facsímil")</f>
        <v>Abrir facsímil</v>
      </c>
      <c r="K3610" s="12" t="s">
        <v>65</v>
      </c>
    </row>
    <row r="3611" spans="1:11" ht="40.049999999999997" customHeight="1" x14ac:dyDescent="0.25">
      <c r="A3611" s="11" t="s">
        <v>7793</v>
      </c>
      <c r="B3611" s="11" t="s">
        <v>7794</v>
      </c>
      <c r="C3611" s="11" t="s">
        <v>17</v>
      </c>
      <c r="D3611" s="11" t="s">
        <v>18</v>
      </c>
      <c r="E3611" s="12" t="s">
        <v>1027</v>
      </c>
      <c r="F3611" s="12" t="s">
        <v>1028</v>
      </c>
      <c r="G3611" s="12" t="s">
        <v>21</v>
      </c>
      <c r="H3611" s="11" t="s">
        <v>63</v>
      </c>
      <c r="I3611" s="13" t="s">
        <v>7795</v>
      </c>
      <c r="J3611" s="14" t="str">
        <f>HYPERLINK("https://www.boe.es/gazeta/dias/1839/08/16/pdfs/GMD-1839-1736.pdf#page=4","Abrir facsímil")</f>
        <v>Abrir facsímil</v>
      </c>
      <c r="K3611" s="12" t="s">
        <v>65</v>
      </c>
    </row>
    <row r="3612" spans="1:11" ht="40.049999999999997" customHeight="1" x14ac:dyDescent="0.25">
      <c r="A3612" s="11" t="s">
        <v>7796</v>
      </c>
      <c r="B3612" s="11" t="s">
        <v>7797</v>
      </c>
      <c r="C3612" s="11" t="s">
        <v>80</v>
      </c>
      <c r="D3612" s="11" t="s">
        <v>18</v>
      </c>
      <c r="E3612" s="12" t="s">
        <v>3391</v>
      </c>
      <c r="F3612" s="12" t="s">
        <v>3392</v>
      </c>
      <c r="G3612" s="12" t="s">
        <v>21</v>
      </c>
      <c r="H3612" s="11" t="s">
        <v>63</v>
      </c>
      <c r="I3612" s="13" t="s">
        <v>7798</v>
      </c>
      <c r="J3612" s="14" t="str">
        <f>HYPERLINK("https://www.boe.es/gazeta/dias/1839/12/31/pdfs/GMD-1839-1878.pdf#page=4","Abrir facsímil")</f>
        <v>Abrir facsímil</v>
      </c>
      <c r="K3612" s="12" t="s">
        <v>65</v>
      </c>
    </row>
    <row r="3613" spans="1:11" ht="40.049999999999997" customHeight="1" x14ac:dyDescent="0.25">
      <c r="A3613" s="11" t="s">
        <v>7799</v>
      </c>
      <c r="B3613" s="11" t="s">
        <v>7800</v>
      </c>
      <c r="C3613" s="11" t="s">
        <v>59</v>
      </c>
      <c r="D3613" s="11" t="s">
        <v>60</v>
      </c>
      <c r="E3613" s="12" t="s">
        <v>2443</v>
      </c>
      <c r="F3613" s="12" t="s">
        <v>2444</v>
      </c>
      <c r="G3613" s="12" t="s">
        <v>40</v>
      </c>
      <c r="H3613" s="11" t="s">
        <v>63</v>
      </c>
      <c r="I3613" s="13" t="s">
        <v>7801</v>
      </c>
      <c r="J3613" s="14" t="str">
        <f>HYPERLINK("https://www.boe.es/gazeta/dias/1839/11/02/pdfs/GMD-1839-1819.pdf#page=2","Abrir facsímil")</f>
        <v>Abrir facsímil</v>
      </c>
      <c r="K3613" s="12" t="s">
        <v>65</v>
      </c>
    </row>
    <row r="3614" spans="1:11" ht="40.049999999999997" customHeight="1" x14ac:dyDescent="0.25">
      <c r="A3614" s="11" t="s">
        <v>7802</v>
      </c>
      <c r="B3614" s="11" t="s">
        <v>7803</v>
      </c>
      <c r="C3614" s="11" t="s">
        <v>101</v>
      </c>
      <c r="D3614" s="11" t="s">
        <v>43</v>
      </c>
      <c r="E3614" s="12" t="s">
        <v>401</v>
      </c>
      <c r="F3614" s="12" t="s">
        <v>402</v>
      </c>
      <c r="G3614" s="12" t="s">
        <v>21</v>
      </c>
      <c r="H3614" s="11" t="s">
        <v>22</v>
      </c>
      <c r="I3614" s="13" t="s">
        <v>7804</v>
      </c>
      <c r="J3614" s="14" t="str">
        <f>HYPERLINK("https://www.boe.es/gazeta/dias/1839/03/29/pdfs/GMD-1839-1595.pdf#page=4","Abrir facsímil")</f>
        <v>Abrir facsímil</v>
      </c>
      <c r="K3614" s="12" t="s">
        <v>24</v>
      </c>
    </row>
    <row r="3615" spans="1:11" ht="40.049999999999997" customHeight="1" x14ac:dyDescent="0.25">
      <c r="A3615" s="11" t="s">
        <v>7805</v>
      </c>
      <c r="B3615" s="11" t="s">
        <v>7806</v>
      </c>
      <c r="C3615" s="11" t="s">
        <v>59</v>
      </c>
      <c r="D3615" s="11" t="s">
        <v>60</v>
      </c>
      <c r="E3615" s="12" t="s">
        <v>695</v>
      </c>
      <c r="F3615" s="12" t="s">
        <v>696</v>
      </c>
      <c r="G3615" s="12" t="s">
        <v>46</v>
      </c>
      <c r="H3615" s="11" t="s">
        <v>63</v>
      </c>
      <c r="I3615" s="13" t="s">
        <v>7807</v>
      </c>
      <c r="J3615" s="14" t="str">
        <f>HYPERLINK("https://www.boe.es/gazeta/dias/1839/12/19/pdfs/GMD-1839-1866.pdf#page=3","Abrir facsímil")</f>
        <v>Abrir facsímil</v>
      </c>
      <c r="K3615" s="12" t="s">
        <v>65</v>
      </c>
    </row>
    <row r="3616" spans="1:11" ht="40.049999999999997" customHeight="1" x14ac:dyDescent="0.25">
      <c r="A3616" s="11" t="s">
        <v>7808</v>
      </c>
      <c r="B3616" s="11" t="s">
        <v>7809</v>
      </c>
      <c r="C3616" s="11" t="s">
        <v>137</v>
      </c>
      <c r="D3616" s="11" t="s">
        <v>18</v>
      </c>
      <c r="E3616" s="12" t="s">
        <v>516</v>
      </c>
      <c r="F3616" s="12" t="s">
        <v>517</v>
      </c>
      <c r="G3616" s="12" t="s">
        <v>21</v>
      </c>
      <c r="H3616" s="11" t="s">
        <v>63</v>
      </c>
      <c r="I3616" s="13" t="s">
        <v>7810</v>
      </c>
      <c r="J3616" s="14" t="str">
        <f>HYPERLINK("https://www.boe.es/gazeta/dias/1839/06/21/pdfs/GMD-1839-1679.pdf#page=4","Abrir facsímil")</f>
        <v>Abrir facsímil</v>
      </c>
      <c r="K3616" s="12" t="s">
        <v>65</v>
      </c>
    </row>
    <row r="3617" spans="1:11" ht="40.049999999999997" customHeight="1" x14ac:dyDescent="0.25">
      <c r="A3617" s="11" t="s">
        <v>7811</v>
      </c>
      <c r="B3617" s="11" t="s">
        <v>7812</v>
      </c>
      <c r="C3617" s="11" t="s">
        <v>101</v>
      </c>
      <c r="D3617" s="11" t="s">
        <v>43</v>
      </c>
      <c r="E3617" s="12" t="s">
        <v>862</v>
      </c>
      <c r="F3617" s="12" t="s">
        <v>863</v>
      </c>
      <c r="G3617" s="12" t="s">
        <v>305</v>
      </c>
      <c r="H3617" s="11" t="s">
        <v>63</v>
      </c>
      <c r="I3617" s="13" t="s">
        <v>7813</v>
      </c>
      <c r="J3617" s="14" t="str">
        <f>HYPERLINK("https://www.boe.es/gazeta/dias/1839/10/28/pdfs/GMD-1839-1814.pdf#page=6","Abrir facsímil")</f>
        <v>Abrir facsímil</v>
      </c>
      <c r="K3617" s="12" t="s">
        <v>65</v>
      </c>
    </row>
    <row r="3618" spans="1:11" ht="40.049999999999997" customHeight="1" x14ac:dyDescent="0.25">
      <c r="A3618" s="11" t="s">
        <v>7814</v>
      </c>
      <c r="B3618" s="11" t="s">
        <v>7815</v>
      </c>
      <c r="C3618" s="11" t="s">
        <v>17</v>
      </c>
      <c r="D3618" s="11" t="s">
        <v>18</v>
      </c>
      <c r="E3618" s="12" t="s">
        <v>3224</v>
      </c>
      <c r="F3618" s="12" t="s">
        <v>3225</v>
      </c>
      <c r="G3618" s="12" t="s">
        <v>46</v>
      </c>
      <c r="H3618" s="11" t="s">
        <v>63</v>
      </c>
      <c r="I3618" s="13" t="s">
        <v>7816</v>
      </c>
      <c r="J3618" s="14" t="str">
        <f>HYPERLINK("https://www.boe.es/gazeta/dias/1839/06/03/pdfs/GMD-1839-1661.pdf#page=3","Abrir facsímil")</f>
        <v>Abrir facsímil</v>
      </c>
      <c r="K3618" s="12" t="s">
        <v>65</v>
      </c>
    </row>
    <row r="3619" spans="1:11" ht="40.049999999999997" customHeight="1" x14ac:dyDescent="0.25">
      <c r="A3619" s="11" t="s">
        <v>7817</v>
      </c>
      <c r="B3619" s="11" t="s">
        <v>7818</v>
      </c>
      <c r="C3619" s="11" t="s">
        <v>17</v>
      </c>
      <c r="D3619" s="11" t="s">
        <v>18</v>
      </c>
      <c r="E3619" s="12" t="s">
        <v>3224</v>
      </c>
      <c r="F3619" s="12" t="s">
        <v>3225</v>
      </c>
      <c r="G3619" s="12" t="s">
        <v>21</v>
      </c>
      <c r="H3619" s="11" t="s">
        <v>63</v>
      </c>
      <c r="I3619" s="13" t="s">
        <v>7819</v>
      </c>
      <c r="J3619" s="14" t="str">
        <f>HYPERLINK("https://www.boe.es/gazeta/dias/1839/06/03/pdfs/GMD-1839-1661.pdf#page=4","Abrir facsímil")</f>
        <v>Abrir facsímil</v>
      </c>
      <c r="K3619" s="12" t="s">
        <v>65</v>
      </c>
    </row>
    <row r="3620" spans="1:11" ht="40.049999999999997" customHeight="1" x14ac:dyDescent="0.25">
      <c r="A3620" s="11" t="s">
        <v>7820</v>
      </c>
      <c r="B3620" s="11" t="s">
        <v>7821</v>
      </c>
      <c r="C3620" s="11" t="s">
        <v>137</v>
      </c>
      <c r="D3620" s="11" t="s">
        <v>18</v>
      </c>
      <c r="E3620" s="12" t="s">
        <v>951</v>
      </c>
      <c r="F3620" s="12" t="s">
        <v>952</v>
      </c>
      <c r="G3620" s="12" t="s">
        <v>46</v>
      </c>
      <c r="H3620" s="11" t="s">
        <v>63</v>
      </c>
      <c r="I3620" s="13" t="s">
        <v>7822</v>
      </c>
      <c r="J3620" s="14" t="str">
        <f>HYPERLINK("https://www.boe.es/gazeta/dias/1839/12/30/pdfs/GMD-1839-1877.pdf#page=3","Abrir facsímil")</f>
        <v>Abrir facsímil</v>
      </c>
      <c r="K3620" s="12" t="s">
        <v>65</v>
      </c>
    </row>
    <row r="3621" spans="1:11" ht="40.049999999999997" customHeight="1" x14ac:dyDescent="0.25">
      <c r="A3621" s="11" t="s">
        <v>7823</v>
      </c>
      <c r="B3621" s="11" t="s">
        <v>7824</v>
      </c>
      <c r="C3621" s="11" t="s">
        <v>17</v>
      </c>
      <c r="D3621" s="11" t="s">
        <v>18</v>
      </c>
      <c r="E3621" s="12" t="s">
        <v>474</v>
      </c>
      <c r="F3621" s="12" t="s">
        <v>475</v>
      </c>
      <c r="G3621" s="12" t="s">
        <v>29</v>
      </c>
      <c r="H3621" s="11" t="s">
        <v>63</v>
      </c>
      <c r="I3621" s="13" t="s">
        <v>7825</v>
      </c>
      <c r="J3621" s="14" t="str">
        <f>HYPERLINK("https://www.boe.es/gazeta/dias/1839/03/31/pdfs/GMD-1839-1597.pdf#page=1","Abrir facsímil")</f>
        <v>Abrir facsímil</v>
      </c>
      <c r="K3621" s="12" t="s">
        <v>65</v>
      </c>
    </row>
    <row r="3622" spans="1:11" ht="40.049999999999997" customHeight="1" x14ac:dyDescent="0.25">
      <c r="A3622" s="11" t="s">
        <v>7826</v>
      </c>
      <c r="B3622" s="11" t="s">
        <v>7827</v>
      </c>
      <c r="C3622" s="11" t="s">
        <v>137</v>
      </c>
      <c r="D3622" s="11" t="s">
        <v>18</v>
      </c>
      <c r="E3622" s="12" t="s">
        <v>1794</v>
      </c>
      <c r="F3622" s="12" t="s">
        <v>1795</v>
      </c>
      <c r="G3622" s="12" t="s">
        <v>29</v>
      </c>
      <c r="H3622" s="11" t="s">
        <v>63</v>
      </c>
      <c r="I3622" s="13" t="s">
        <v>7828</v>
      </c>
      <c r="J3622" s="14" t="str">
        <f>HYPERLINK("https://www.boe.es/gazeta/dias/1839/02/22/pdfs/GMD-1839-1560.pdf#page=1","Abrir facsímil")</f>
        <v>Abrir facsímil</v>
      </c>
      <c r="K3622" s="12" t="s">
        <v>65</v>
      </c>
    </row>
    <row r="3623" spans="1:11" ht="40.049999999999997" customHeight="1" x14ac:dyDescent="0.25">
      <c r="A3623" s="11" t="s">
        <v>7829</v>
      </c>
      <c r="B3623" s="11" t="s">
        <v>7830</v>
      </c>
      <c r="C3623" s="11" t="s">
        <v>59</v>
      </c>
      <c r="D3623" s="11" t="s">
        <v>60</v>
      </c>
      <c r="E3623" s="12" t="s">
        <v>716</v>
      </c>
      <c r="F3623" s="12" t="s">
        <v>717</v>
      </c>
      <c r="G3623" s="12" t="s">
        <v>40</v>
      </c>
      <c r="H3623" s="11" t="s">
        <v>63</v>
      </c>
      <c r="I3623" s="13" t="s">
        <v>7831</v>
      </c>
      <c r="J3623" s="14" t="str">
        <f>HYPERLINK("https://www.boe.es/gazeta/dias/1839/07/30/pdfs/GMD-1839-1719.pdf#page=2","Abrir facsímil")</f>
        <v>Abrir facsímil</v>
      </c>
      <c r="K3623" s="12" t="s">
        <v>65</v>
      </c>
    </row>
    <row r="3624" spans="1:11" ht="40.049999999999997" customHeight="1" x14ac:dyDescent="0.25">
      <c r="A3624" s="11" t="s">
        <v>7832</v>
      </c>
      <c r="B3624" s="11" t="s">
        <v>7833</v>
      </c>
      <c r="C3624" s="11" t="s">
        <v>80</v>
      </c>
      <c r="D3624" s="11" t="s">
        <v>18</v>
      </c>
      <c r="E3624" s="12" t="s">
        <v>1794</v>
      </c>
      <c r="F3624" s="12" t="s">
        <v>1795</v>
      </c>
      <c r="G3624" s="12" t="s">
        <v>40</v>
      </c>
      <c r="H3624" s="11" t="s">
        <v>63</v>
      </c>
      <c r="I3624" s="13" t="s">
        <v>7834</v>
      </c>
      <c r="J3624" s="14" t="str">
        <f>HYPERLINK("https://www.boe.es/gazeta/dias/1839/02/22/pdfs/GMD-1839-1560.pdf#page=2","Abrir facsímil")</f>
        <v>Abrir facsímil</v>
      </c>
      <c r="K3624" s="12" t="s">
        <v>65</v>
      </c>
    </row>
    <row r="3625" spans="1:11" ht="40.049999999999997" customHeight="1" x14ac:dyDescent="0.25">
      <c r="A3625" s="11" t="s">
        <v>7835</v>
      </c>
      <c r="B3625" s="11" t="s">
        <v>7836</v>
      </c>
      <c r="C3625" s="11" t="s">
        <v>17</v>
      </c>
      <c r="D3625" s="11" t="s">
        <v>18</v>
      </c>
      <c r="E3625" s="12" t="s">
        <v>1388</v>
      </c>
      <c r="F3625" s="12" t="s">
        <v>1389</v>
      </c>
      <c r="G3625" s="12" t="s">
        <v>21</v>
      </c>
      <c r="H3625" s="11" t="s">
        <v>22</v>
      </c>
      <c r="I3625" s="13" t="s">
        <v>7837</v>
      </c>
      <c r="J3625" s="14" t="str">
        <f>HYPERLINK("https://www.boe.es/gazeta/dias/1839/06/04/pdfs/GMD-1839-1662.pdf#page=4","Abrir facsímil")</f>
        <v>Abrir facsímil</v>
      </c>
      <c r="K3625" s="12" t="s">
        <v>24</v>
      </c>
    </row>
    <row r="3626" spans="1:11" ht="40.049999999999997" customHeight="1" x14ac:dyDescent="0.25">
      <c r="A3626" s="11" t="s">
        <v>7838</v>
      </c>
      <c r="B3626" s="11" t="s">
        <v>7839</v>
      </c>
      <c r="C3626" s="11" t="s">
        <v>59</v>
      </c>
      <c r="D3626" s="11" t="s">
        <v>60</v>
      </c>
      <c r="E3626" s="12" t="s">
        <v>381</v>
      </c>
      <c r="F3626" s="12" t="s">
        <v>382</v>
      </c>
      <c r="G3626" s="12" t="s">
        <v>29</v>
      </c>
      <c r="H3626" s="11" t="s">
        <v>63</v>
      </c>
      <c r="I3626" s="13" t="s">
        <v>7840</v>
      </c>
      <c r="J3626" s="14" t="str">
        <f>HYPERLINK("https://www.boe.es/gazeta/dias/1839/06/02/pdfs/GMD-1839-1660.pdf#page=1","Abrir facsímil")</f>
        <v>Abrir facsímil</v>
      </c>
      <c r="K3626" s="12" t="s">
        <v>65</v>
      </c>
    </row>
    <row r="3627" spans="1:11" ht="40.049999999999997" customHeight="1" x14ac:dyDescent="0.25">
      <c r="A3627" s="11" t="s">
        <v>7841</v>
      </c>
      <c r="B3627" s="11" t="s">
        <v>7842</v>
      </c>
      <c r="C3627" s="11" t="s">
        <v>17</v>
      </c>
      <c r="D3627" s="11" t="s">
        <v>18</v>
      </c>
      <c r="E3627" s="12" t="s">
        <v>3224</v>
      </c>
      <c r="F3627" s="12" t="s">
        <v>3225</v>
      </c>
      <c r="G3627" s="12" t="s">
        <v>46</v>
      </c>
      <c r="H3627" s="11" t="s">
        <v>63</v>
      </c>
      <c r="I3627" s="13" t="s">
        <v>7843</v>
      </c>
      <c r="J3627" s="14" t="str">
        <f>HYPERLINK("https://www.boe.es/gazeta/dias/1839/06/03/pdfs/GMD-1839-1661.pdf#page=3","Abrir facsímil")</f>
        <v>Abrir facsímil</v>
      </c>
      <c r="K3627" s="12" t="s">
        <v>65</v>
      </c>
    </row>
    <row r="3628" spans="1:11" ht="40.049999999999997" customHeight="1" x14ac:dyDescent="0.25">
      <c r="A3628" s="11" t="s">
        <v>7841</v>
      </c>
      <c r="B3628" s="11" t="s">
        <v>7842</v>
      </c>
      <c r="C3628" s="11" t="s">
        <v>17</v>
      </c>
      <c r="D3628" s="11" t="s">
        <v>43</v>
      </c>
      <c r="E3628" s="12" t="s">
        <v>1388</v>
      </c>
      <c r="F3628" s="12" t="s">
        <v>1389</v>
      </c>
      <c r="G3628" s="12" t="s">
        <v>46</v>
      </c>
      <c r="H3628" s="11" t="s">
        <v>63</v>
      </c>
      <c r="I3628" s="13" t="s">
        <v>7844</v>
      </c>
      <c r="J3628" s="14" t="str">
        <f>HYPERLINK("https://www.boe.es/gazeta/dias/1839/06/04/pdfs/GMD-1839-1662.pdf#page=3","Abrir facsímil")</f>
        <v>Abrir facsímil</v>
      </c>
      <c r="K3628" s="12" t="s">
        <v>65</v>
      </c>
    </row>
    <row r="3629" spans="1:11" ht="40.049999999999997" customHeight="1" x14ac:dyDescent="0.25">
      <c r="A3629" s="11" t="s">
        <v>7845</v>
      </c>
      <c r="B3629" s="11" t="s">
        <v>7846</v>
      </c>
      <c r="C3629" s="11" t="s">
        <v>137</v>
      </c>
      <c r="D3629" s="11" t="s">
        <v>18</v>
      </c>
      <c r="E3629" s="12" t="s">
        <v>197</v>
      </c>
      <c r="F3629" s="12" t="s">
        <v>198</v>
      </c>
      <c r="G3629" s="12" t="s">
        <v>46</v>
      </c>
      <c r="H3629" s="11" t="s">
        <v>63</v>
      </c>
      <c r="I3629" s="13" t="s">
        <v>7847</v>
      </c>
      <c r="J3629" s="14" t="str">
        <f>HYPERLINK("https://www.boe.es/gazeta/dias/1839/10/04/pdfs/GMD-1839-1790.pdf#page=3","Abrir facsímil")</f>
        <v>Abrir facsímil</v>
      </c>
      <c r="K3629" s="12" t="s">
        <v>65</v>
      </c>
    </row>
    <row r="3630" spans="1:11" ht="40.049999999999997" customHeight="1" x14ac:dyDescent="0.25">
      <c r="A3630" s="11" t="s">
        <v>7848</v>
      </c>
      <c r="B3630" s="11" t="s">
        <v>7849</v>
      </c>
      <c r="C3630" s="11" t="s">
        <v>17</v>
      </c>
      <c r="D3630" s="11" t="s">
        <v>18</v>
      </c>
      <c r="E3630" s="12" t="s">
        <v>168</v>
      </c>
      <c r="F3630" s="12" t="s">
        <v>169</v>
      </c>
      <c r="G3630" s="12" t="s">
        <v>21</v>
      </c>
      <c r="H3630" s="11" t="s">
        <v>63</v>
      </c>
      <c r="I3630" s="13" t="s">
        <v>7850</v>
      </c>
      <c r="J3630" s="14" t="str">
        <f>HYPERLINK("https://www.boe.es/gazeta/dias/1839/07/12/pdfs/GMD-1839-1700.pdf#page=4","Abrir facsímil")</f>
        <v>Abrir facsímil</v>
      </c>
      <c r="K3630" s="12" t="s">
        <v>65</v>
      </c>
    </row>
    <row r="3631" spans="1:11" ht="40.049999999999997" customHeight="1" x14ac:dyDescent="0.25">
      <c r="A3631" s="11" t="s">
        <v>7851</v>
      </c>
      <c r="B3631" s="11" t="s">
        <v>7852</v>
      </c>
      <c r="C3631" s="11" t="s">
        <v>17</v>
      </c>
      <c r="D3631" s="11" t="s">
        <v>18</v>
      </c>
      <c r="E3631" s="12" t="s">
        <v>3614</v>
      </c>
      <c r="F3631" s="12" t="s">
        <v>3615</v>
      </c>
      <c r="G3631" s="12" t="s">
        <v>46</v>
      </c>
      <c r="H3631" s="11" t="s">
        <v>63</v>
      </c>
      <c r="I3631" s="13" t="s">
        <v>7853</v>
      </c>
      <c r="J3631" s="14" t="str">
        <f>HYPERLINK("https://www.boe.es/gazeta/dias/1839/04/04/pdfs/GMD-1839-1601.pdf#page=3","Abrir facsímil")</f>
        <v>Abrir facsímil</v>
      </c>
      <c r="K3631" s="12" t="s">
        <v>65</v>
      </c>
    </row>
    <row r="3632" spans="1:11" ht="40.049999999999997" customHeight="1" x14ac:dyDescent="0.25">
      <c r="A3632" s="11" t="s">
        <v>7854</v>
      </c>
      <c r="B3632" s="11" t="s">
        <v>7855</v>
      </c>
      <c r="C3632" s="11" t="s">
        <v>17</v>
      </c>
      <c r="D3632" s="11" t="s">
        <v>18</v>
      </c>
      <c r="E3632" s="12" t="s">
        <v>1027</v>
      </c>
      <c r="F3632" s="12" t="s">
        <v>1028</v>
      </c>
      <c r="G3632" s="12" t="s">
        <v>46</v>
      </c>
      <c r="H3632" s="11" t="s">
        <v>63</v>
      </c>
      <c r="I3632" s="13" t="s">
        <v>7856</v>
      </c>
      <c r="J3632" s="14" t="str">
        <f>HYPERLINK("https://www.boe.es/gazeta/dias/1839/08/16/pdfs/GMD-1839-1736.pdf#page=3","Abrir facsímil")</f>
        <v>Abrir facsímil</v>
      </c>
      <c r="K3632" s="12" t="s">
        <v>65</v>
      </c>
    </row>
    <row r="3633" spans="1:11" ht="40.049999999999997" customHeight="1" x14ac:dyDescent="0.25">
      <c r="A3633" s="11" t="s">
        <v>7854</v>
      </c>
      <c r="B3633" s="11" t="s">
        <v>7855</v>
      </c>
      <c r="C3633" s="11" t="s">
        <v>17</v>
      </c>
      <c r="D3633" s="11" t="s">
        <v>18</v>
      </c>
      <c r="E3633" s="12" t="s">
        <v>834</v>
      </c>
      <c r="F3633" s="12" t="s">
        <v>835</v>
      </c>
      <c r="G3633" s="12" t="s">
        <v>40</v>
      </c>
      <c r="H3633" s="11" t="s">
        <v>63</v>
      </c>
      <c r="I3633" s="13" t="s">
        <v>7857</v>
      </c>
      <c r="J3633" s="14" t="str">
        <f>HYPERLINK("https://www.boe.es/gazeta/dias/1839/08/17/pdfs/GMD-1839-1737.pdf#page=2","Abrir facsímil")</f>
        <v>Abrir facsímil</v>
      </c>
      <c r="K3633" s="12" t="s">
        <v>65</v>
      </c>
    </row>
    <row r="3634" spans="1:11" ht="40.049999999999997" customHeight="1" x14ac:dyDescent="0.25">
      <c r="A3634" s="11" t="s">
        <v>7858</v>
      </c>
      <c r="B3634" s="11" t="s">
        <v>7858</v>
      </c>
      <c r="C3634" s="11" t="s">
        <v>17</v>
      </c>
      <c r="D3634" s="11" t="s">
        <v>18</v>
      </c>
      <c r="E3634" s="12" t="s">
        <v>108</v>
      </c>
      <c r="F3634" s="12" t="s">
        <v>109</v>
      </c>
      <c r="G3634" s="12" t="s">
        <v>29</v>
      </c>
      <c r="H3634" s="11" t="s">
        <v>22</v>
      </c>
      <c r="I3634" s="13" t="s">
        <v>7859</v>
      </c>
      <c r="J3634" s="14" t="str">
        <f>HYPERLINK("https://www.boe.es/gazeta/dias/1839/01/04/pdfs/GMD-1839-1511.pdf#page=1","Abrir facsímil")</f>
        <v>Abrir facsímil</v>
      </c>
      <c r="K3634" s="12" t="s">
        <v>24</v>
      </c>
    </row>
    <row r="3635" spans="1:11" ht="40.049999999999997" customHeight="1" x14ac:dyDescent="0.25">
      <c r="A3635" s="11" t="s">
        <v>7858</v>
      </c>
      <c r="B3635" s="11" t="s">
        <v>7858</v>
      </c>
      <c r="C3635" s="11" t="s">
        <v>101</v>
      </c>
      <c r="D3635" s="11" t="s">
        <v>43</v>
      </c>
      <c r="E3635" s="12" t="s">
        <v>7860</v>
      </c>
      <c r="F3635" s="12" t="s">
        <v>7861</v>
      </c>
      <c r="G3635" s="12" t="s">
        <v>29</v>
      </c>
      <c r="H3635" s="11" t="s">
        <v>22</v>
      </c>
      <c r="I3635" s="13" t="s">
        <v>7862</v>
      </c>
      <c r="J3635" s="14" t="str">
        <f>HYPERLINK("https://www.boe.es/gazeta/dias/1839/03/04/pdfs/GMD-1839-1570.pdf#page=1","Abrir facsímil")</f>
        <v>Abrir facsímil</v>
      </c>
      <c r="K3635" s="12" t="s">
        <v>24</v>
      </c>
    </row>
    <row r="3636" spans="1:11" ht="40.049999999999997" customHeight="1" x14ac:dyDescent="0.25">
      <c r="A3636" s="11" t="s">
        <v>7858</v>
      </c>
      <c r="B3636" s="11" t="s">
        <v>7858</v>
      </c>
      <c r="C3636" s="11" t="s">
        <v>17</v>
      </c>
      <c r="D3636" s="11" t="s">
        <v>18</v>
      </c>
      <c r="E3636" s="12" t="s">
        <v>168</v>
      </c>
      <c r="F3636" s="12" t="s">
        <v>169</v>
      </c>
      <c r="G3636" s="12" t="s">
        <v>46</v>
      </c>
      <c r="H3636" s="11" t="s">
        <v>22</v>
      </c>
      <c r="I3636" s="13" t="s">
        <v>7863</v>
      </c>
      <c r="J3636" s="14" t="str">
        <f>HYPERLINK("https://www.boe.es/gazeta/dias/1839/07/12/pdfs/GMD-1839-1700.pdf#page=3","Abrir facsímil")</f>
        <v>Abrir facsímil</v>
      </c>
      <c r="K3636" s="12" t="s">
        <v>24</v>
      </c>
    </row>
    <row r="3637" spans="1:11" ht="40.049999999999997" customHeight="1" x14ac:dyDescent="0.25">
      <c r="A3637" s="11" t="s">
        <v>7864</v>
      </c>
      <c r="B3637" s="11" t="s">
        <v>7865</v>
      </c>
      <c r="C3637" s="11" t="s">
        <v>59</v>
      </c>
      <c r="D3637" s="11" t="s">
        <v>60</v>
      </c>
      <c r="E3637" s="12" t="s">
        <v>2205</v>
      </c>
      <c r="F3637" s="12" t="s">
        <v>2206</v>
      </c>
      <c r="G3637" s="12" t="s">
        <v>40</v>
      </c>
      <c r="H3637" s="11" t="s">
        <v>63</v>
      </c>
      <c r="I3637" s="13" t="s">
        <v>7866</v>
      </c>
      <c r="J3637" s="14" t="str">
        <f>HYPERLINK("https://www.boe.es/gazeta/dias/1839/07/11/pdfs/GMD-1839-1699.pdf#page=2","Abrir facsímil")</f>
        <v>Abrir facsímil</v>
      </c>
      <c r="K3637" s="12" t="s">
        <v>65</v>
      </c>
    </row>
    <row r="3638" spans="1:11" ht="40.049999999999997" customHeight="1" x14ac:dyDescent="0.25">
      <c r="A3638" s="11" t="s">
        <v>7867</v>
      </c>
      <c r="B3638" s="11" t="s">
        <v>7868</v>
      </c>
      <c r="C3638" s="11" t="s">
        <v>59</v>
      </c>
      <c r="D3638" s="11" t="s">
        <v>60</v>
      </c>
      <c r="E3638" s="12" t="s">
        <v>369</v>
      </c>
      <c r="F3638" s="12" t="s">
        <v>370</v>
      </c>
      <c r="G3638" s="12" t="s">
        <v>29</v>
      </c>
      <c r="H3638" s="11" t="s">
        <v>63</v>
      </c>
      <c r="I3638" s="13" t="s">
        <v>7869</v>
      </c>
      <c r="J3638" s="14" t="str">
        <f>HYPERLINK("https://www.boe.es/gazeta/dias/1839/11/01/pdfs/GMD-1839-1818.pdf#page=1","Abrir facsímil")</f>
        <v>Abrir facsímil</v>
      </c>
      <c r="K3638" s="12" t="s">
        <v>65</v>
      </c>
    </row>
    <row r="3639" spans="1:11" ht="40.049999999999997" customHeight="1" x14ac:dyDescent="0.25">
      <c r="A3639" s="11" t="s">
        <v>7870</v>
      </c>
      <c r="B3639" s="11" t="s">
        <v>7871</v>
      </c>
      <c r="C3639" s="11" t="s">
        <v>17</v>
      </c>
      <c r="D3639" s="11" t="s">
        <v>18</v>
      </c>
      <c r="E3639" s="12" t="s">
        <v>1779</v>
      </c>
      <c r="F3639" s="12" t="s">
        <v>1780</v>
      </c>
      <c r="G3639" s="12" t="s">
        <v>21</v>
      </c>
      <c r="H3639" s="11" t="s">
        <v>63</v>
      </c>
      <c r="I3639" s="13" t="s">
        <v>7872</v>
      </c>
      <c r="J3639" s="14" t="str">
        <f>HYPERLINK("https://www.boe.es/gazeta/dias/1839/03/18/pdfs/GMD-1839-1584.pdf#page=4","Abrir facsímil")</f>
        <v>Abrir facsímil</v>
      </c>
      <c r="K3639" s="12" t="s">
        <v>65</v>
      </c>
    </row>
    <row r="3640" spans="1:11" ht="40.049999999999997" customHeight="1" x14ac:dyDescent="0.25">
      <c r="A3640" s="11" t="s">
        <v>7873</v>
      </c>
      <c r="B3640" s="11" t="s">
        <v>7874</v>
      </c>
      <c r="C3640" s="11" t="s">
        <v>80</v>
      </c>
      <c r="D3640" s="11" t="s">
        <v>18</v>
      </c>
      <c r="E3640" s="12" t="s">
        <v>1813</v>
      </c>
      <c r="F3640" s="12" t="s">
        <v>1814</v>
      </c>
      <c r="G3640" s="12" t="s">
        <v>21</v>
      </c>
      <c r="H3640" s="11" t="s">
        <v>63</v>
      </c>
      <c r="I3640" s="13" t="s">
        <v>7875</v>
      </c>
      <c r="J3640" s="14" t="str">
        <f>HYPERLINK("https://www.boe.es/gazeta/dias/1839/09/02/pdfs/GMD-1839-1754.pdf#page=4","Abrir facsímil")</f>
        <v>Abrir facsímil</v>
      </c>
      <c r="K3640" s="12" t="s">
        <v>65</v>
      </c>
    </row>
    <row r="3641" spans="1:11" ht="40.049999999999997" customHeight="1" x14ac:dyDescent="0.25">
      <c r="A3641" s="11" t="s">
        <v>7873</v>
      </c>
      <c r="B3641" s="11" t="s">
        <v>7874</v>
      </c>
      <c r="C3641" s="11" t="s">
        <v>101</v>
      </c>
      <c r="D3641" s="11" t="s">
        <v>43</v>
      </c>
      <c r="E3641" s="12" t="s">
        <v>108</v>
      </c>
      <c r="F3641" s="12" t="s">
        <v>109</v>
      </c>
      <c r="G3641" s="12" t="s">
        <v>40</v>
      </c>
      <c r="H3641" s="11" t="s">
        <v>63</v>
      </c>
      <c r="I3641" s="13" t="s">
        <v>7876</v>
      </c>
      <c r="J3641" s="14" t="str">
        <f>HYPERLINK("https://www.boe.es/gazeta/dias/1839/01/04/pdfs/GMD-1839-1511.pdf#page=2","Abrir facsímil")</f>
        <v>Abrir facsímil</v>
      </c>
      <c r="K3641" s="12" t="s">
        <v>65</v>
      </c>
    </row>
    <row r="3642" spans="1:11" ht="40.049999999999997" customHeight="1" x14ac:dyDescent="0.25">
      <c r="A3642" s="11" t="s">
        <v>7873</v>
      </c>
      <c r="B3642" s="11" t="s">
        <v>7874</v>
      </c>
      <c r="C3642" s="11" t="s">
        <v>101</v>
      </c>
      <c r="D3642" s="11" t="s">
        <v>43</v>
      </c>
      <c r="E3642" s="12" t="s">
        <v>2210</v>
      </c>
      <c r="F3642" s="12" t="s">
        <v>2211</v>
      </c>
      <c r="G3642" s="12" t="s">
        <v>46</v>
      </c>
      <c r="H3642" s="11" t="s">
        <v>63</v>
      </c>
      <c r="I3642" s="13" t="s">
        <v>7877</v>
      </c>
      <c r="J3642" s="14" t="str">
        <f>HYPERLINK("https://www.boe.es/gazeta/dias/1839/09/05/pdfs/GMD-1839-1758.pdf#page=3","Abrir facsímil")</f>
        <v>Abrir facsímil</v>
      </c>
      <c r="K3642" s="12" t="s">
        <v>65</v>
      </c>
    </row>
    <row r="3643" spans="1:11" ht="40.049999999999997" customHeight="1" x14ac:dyDescent="0.25">
      <c r="A3643" s="11" t="s">
        <v>7873</v>
      </c>
      <c r="B3643" s="11" t="s">
        <v>7874</v>
      </c>
      <c r="C3643" s="11" t="s">
        <v>17</v>
      </c>
      <c r="D3643" s="11" t="s">
        <v>18</v>
      </c>
      <c r="E3643" s="12" t="s">
        <v>160</v>
      </c>
      <c r="F3643" s="12" t="s">
        <v>161</v>
      </c>
      <c r="G3643" s="12" t="s">
        <v>40</v>
      </c>
      <c r="H3643" s="11" t="s">
        <v>63</v>
      </c>
      <c r="I3643" s="13" t="s">
        <v>7878</v>
      </c>
      <c r="J3643" s="14" t="str">
        <f>HYPERLINK("https://www.boe.es/gazeta/dias/1839/01/10/pdfs/GMD-1839-1517.pdf#page=2","Abrir facsímil")</f>
        <v>Abrir facsímil</v>
      </c>
      <c r="K3643" s="12" t="s">
        <v>65</v>
      </c>
    </row>
    <row r="3644" spans="1:11" ht="40.049999999999997" customHeight="1" x14ac:dyDescent="0.25">
      <c r="A3644" s="11" t="s">
        <v>7873</v>
      </c>
      <c r="B3644" s="11" t="s">
        <v>7874</v>
      </c>
      <c r="C3644" s="11" t="s">
        <v>17</v>
      </c>
      <c r="D3644" s="11" t="s">
        <v>18</v>
      </c>
      <c r="E3644" s="12" t="s">
        <v>269</v>
      </c>
      <c r="F3644" s="12" t="s">
        <v>270</v>
      </c>
      <c r="G3644" s="12" t="s">
        <v>46</v>
      </c>
      <c r="H3644" s="11" t="s">
        <v>63</v>
      </c>
      <c r="I3644" s="13" t="s">
        <v>7879</v>
      </c>
      <c r="J3644" s="14" t="str">
        <f>HYPERLINK("https://www.boe.es/gazeta/dias/1839/02/10/pdfs/GMD-1839-1548.pdf#page=3","Abrir facsímil")</f>
        <v>Abrir facsímil</v>
      </c>
      <c r="K3644" s="12" t="s">
        <v>65</v>
      </c>
    </row>
    <row r="3645" spans="1:11" ht="40.049999999999997" customHeight="1" x14ac:dyDescent="0.25">
      <c r="A3645" s="11" t="s">
        <v>7873</v>
      </c>
      <c r="B3645" s="11" t="s">
        <v>7874</v>
      </c>
      <c r="C3645" s="11" t="s">
        <v>137</v>
      </c>
      <c r="D3645" s="11" t="s">
        <v>18</v>
      </c>
      <c r="E3645" s="12" t="s">
        <v>254</v>
      </c>
      <c r="F3645" s="12" t="s">
        <v>255</v>
      </c>
      <c r="G3645" s="12" t="s">
        <v>40</v>
      </c>
      <c r="H3645" s="11" t="s">
        <v>63</v>
      </c>
      <c r="I3645" s="13" t="s">
        <v>7880</v>
      </c>
      <c r="J3645" s="14" t="str">
        <f>HYPERLINK("https://www.boe.es/gazeta/dias/1839/09/12/pdfs/GMD-1839-1765.pdf#page=2","Abrir facsímil")</f>
        <v>Abrir facsímil</v>
      </c>
      <c r="K3645" s="12" t="s">
        <v>65</v>
      </c>
    </row>
    <row r="3646" spans="1:11" ht="40.049999999999997" customHeight="1" x14ac:dyDescent="0.25">
      <c r="A3646" s="11" t="s">
        <v>7873</v>
      </c>
      <c r="B3646" s="11" t="s">
        <v>7874</v>
      </c>
      <c r="C3646" s="11" t="s">
        <v>80</v>
      </c>
      <c r="D3646" s="11" t="s">
        <v>18</v>
      </c>
      <c r="E3646" s="12" t="s">
        <v>834</v>
      </c>
      <c r="F3646" s="12" t="s">
        <v>835</v>
      </c>
      <c r="G3646" s="12" t="s">
        <v>40</v>
      </c>
      <c r="H3646" s="11" t="s">
        <v>63</v>
      </c>
      <c r="I3646" s="13" t="s">
        <v>7881</v>
      </c>
      <c r="J3646" s="14" t="str">
        <f>HYPERLINK("https://www.boe.es/gazeta/dias/1839/08/17/pdfs/GMD-1839-1737.pdf#page=2","Abrir facsímil")</f>
        <v>Abrir facsímil</v>
      </c>
      <c r="K3646" s="12" t="s">
        <v>65</v>
      </c>
    </row>
    <row r="3647" spans="1:11" ht="40.049999999999997" customHeight="1" x14ac:dyDescent="0.25">
      <c r="A3647" s="11" t="s">
        <v>7873</v>
      </c>
      <c r="B3647" s="11" t="s">
        <v>7874</v>
      </c>
      <c r="C3647" s="11" t="s">
        <v>17</v>
      </c>
      <c r="D3647" s="11" t="s">
        <v>18</v>
      </c>
      <c r="E3647" s="12" t="s">
        <v>3668</v>
      </c>
      <c r="F3647" s="12" t="s">
        <v>3669</v>
      </c>
      <c r="G3647" s="12" t="s">
        <v>29</v>
      </c>
      <c r="H3647" s="11" t="s">
        <v>63</v>
      </c>
      <c r="I3647" s="13" t="s">
        <v>7882</v>
      </c>
      <c r="J3647" s="14" t="str">
        <f>HYPERLINK("https://www.boe.es/gazeta/dias/1839/05/19/pdfs/GMD-1839-1646.pdf#page=1","Abrir facsímil")</f>
        <v>Abrir facsímil</v>
      </c>
      <c r="K3647" s="12" t="s">
        <v>65</v>
      </c>
    </row>
    <row r="3648" spans="1:11" ht="40.049999999999997" customHeight="1" x14ac:dyDescent="0.25">
      <c r="A3648" s="11" t="s">
        <v>7873</v>
      </c>
      <c r="B3648" s="11" t="s">
        <v>7874</v>
      </c>
      <c r="C3648" s="11" t="s">
        <v>17</v>
      </c>
      <c r="D3648" s="11" t="s">
        <v>18</v>
      </c>
      <c r="E3648" s="12" t="s">
        <v>1076</v>
      </c>
      <c r="F3648" s="12" t="s">
        <v>1077</v>
      </c>
      <c r="G3648" s="12" t="s">
        <v>29</v>
      </c>
      <c r="H3648" s="11" t="s">
        <v>63</v>
      </c>
      <c r="I3648" s="13" t="s">
        <v>7883</v>
      </c>
      <c r="J3648" s="14" t="str">
        <f>HYPERLINK("https://www.boe.es/gazeta/dias/1839/10/19/pdfs/GMD-1839-1805.pdf#page=1","Abrir facsímil")</f>
        <v>Abrir facsímil</v>
      </c>
      <c r="K3648" s="12" t="s">
        <v>65</v>
      </c>
    </row>
    <row r="3649" spans="1:11" ht="40.049999999999997" customHeight="1" x14ac:dyDescent="0.25">
      <c r="A3649" s="11" t="s">
        <v>7873</v>
      </c>
      <c r="B3649" s="11" t="s">
        <v>7874</v>
      </c>
      <c r="C3649" s="11" t="s">
        <v>17</v>
      </c>
      <c r="D3649" s="11" t="s">
        <v>18</v>
      </c>
      <c r="E3649" s="12" t="s">
        <v>280</v>
      </c>
      <c r="F3649" s="12" t="s">
        <v>281</v>
      </c>
      <c r="G3649" s="12" t="s">
        <v>29</v>
      </c>
      <c r="H3649" s="11" t="s">
        <v>63</v>
      </c>
      <c r="I3649" s="13" t="s">
        <v>7884</v>
      </c>
      <c r="J3649" s="14" t="str">
        <f>HYPERLINK("https://www.boe.es/gazeta/dias/1839/08/21/pdfs/GMD-1839-1742.pdf#page=1","Abrir facsímil")</f>
        <v>Abrir facsímil</v>
      </c>
      <c r="K3649" s="12" t="s">
        <v>65</v>
      </c>
    </row>
    <row r="3650" spans="1:11" ht="40.049999999999997" customHeight="1" x14ac:dyDescent="0.25">
      <c r="A3650" s="11" t="s">
        <v>7873</v>
      </c>
      <c r="B3650" s="11" t="s">
        <v>7874</v>
      </c>
      <c r="C3650" s="11" t="s">
        <v>17</v>
      </c>
      <c r="D3650" s="11" t="s">
        <v>43</v>
      </c>
      <c r="E3650" s="12" t="s">
        <v>7119</v>
      </c>
      <c r="F3650" s="12" t="s">
        <v>7120</v>
      </c>
      <c r="G3650" s="12" t="s">
        <v>46</v>
      </c>
      <c r="H3650" s="11" t="s">
        <v>63</v>
      </c>
      <c r="I3650" s="13" t="s">
        <v>7885</v>
      </c>
      <c r="J3650" s="14" t="str">
        <f>HYPERLINK("https://www.boe.es/gazeta/dias/1839/05/22/pdfs/GMD-1839-1649.pdf#page=3","Abrir facsímil")</f>
        <v>Abrir facsímil</v>
      </c>
      <c r="K3650" s="12" t="s">
        <v>65</v>
      </c>
    </row>
    <row r="3651" spans="1:11" ht="40.049999999999997" customHeight="1" x14ac:dyDescent="0.25">
      <c r="A3651" s="11" t="s">
        <v>7873</v>
      </c>
      <c r="B3651" s="11" t="s">
        <v>7874</v>
      </c>
      <c r="C3651" s="11" t="s">
        <v>137</v>
      </c>
      <c r="D3651" s="11" t="s">
        <v>18</v>
      </c>
      <c r="E3651" s="12" t="s">
        <v>276</v>
      </c>
      <c r="F3651" s="12" t="s">
        <v>277</v>
      </c>
      <c r="G3651" s="12" t="s">
        <v>46</v>
      </c>
      <c r="H3651" s="11" t="s">
        <v>63</v>
      </c>
      <c r="I3651" s="13" t="s">
        <v>7886</v>
      </c>
      <c r="J3651" s="14" t="str">
        <f>HYPERLINK("https://www.boe.es/gazeta/dias/1839/09/24/pdfs/GMD-1839-1780.pdf#page=3","Abrir facsímil")</f>
        <v>Abrir facsímil</v>
      </c>
      <c r="K3651" s="12" t="s">
        <v>65</v>
      </c>
    </row>
    <row r="3652" spans="1:11" ht="40.049999999999997" customHeight="1" x14ac:dyDescent="0.25">
      <c r="A3652" s="11" t="s">
        <v>7873</v>
      </c>
      <c r="B3652" s="11" t="s">
        <v>7874</v>
      </c>
      <c r="C3652" s="11" t="s">
        <v>17</v>
      </c>
      <c r="D3652" s="11" t="s">
        <v>18</v>
      </c>
      <c r="E3652" s="12" t="s">
        <v>1685</v>
      </c>
      <c r="F3652" s="12" t="s">
        <v>1686</v>
      </c>
      <c r="G3652" s="12" t="s">
        <v>40</v>
      </c>
      <c r="H3652" s="11" t="s">
        <v>63</v>
      </c>
      <c r="I3652" s="13" t="s">
        <v>7887</v>
      </c>
      <c r="J3652" s="14" t="str">
        <f>HYPERLINK("https://www.boe.es/gazeta/dias/1839/04/27/pdfs/GMD-1839-1624.pdf#page=2","Abrir facsímil")</f>
        <v>Abrir facsímil</v>
      </c>
      <c r="K3652" s="12" t="s">
        <v>65</v>
      </c>
    </row>
    <row r="3653" spans="1:11" ht="40.049999999999997" customHeight="1" x14ac:dyDescent="0.25">
      <c r="A3653" s="11" t="s">
        <v>7873</v>
      </c>
      <c r="B3653" s="11" t="s">
        <v>7874</v>
      </c>
      <c r="C3653" s="11" t="s">
        <v>17</v>
      </c>
      <c r="D3653" s="11" t="s">
        <v>18</v>
      </c>
      <c r="E3653" s="12" t="s">
        <v>2658</v>
      </c>
      <c r="F3653" s="12" t="s">
        <v>2659</v>
      </c>
      <c r="G3653" s="12" t="s">
        <v>29</v>
      </c>
      <c r="H3653" s="11" t="s">
        <v>63</v>
      </c>
      <c r="I3653" s="13" t="s">
        <v>7888</v>
      </c>
      <c r="J3653" s="14" t="str">
        <f>HYPERLINK("https://www.boe.es/gazeta/dias/1839/06/27/pdfs/GMD-1839-1685.pdf#page=1","Abrir facsímil")</f>
        <v>Abrir facsímil</v>
      </c>
      <c r="K3653" s="12" t="s">
        <v>65</v>
      </c>
    </row>
    <row r="3654" spans="1:11" ht="40.049999999999997" customHeight="1" x14ac:dyDescent="0.25">
      <c r="A3654" s="11" t="s">
        <v>7873</v>
      </c>
      <c r="B3654" s="11" t="s">
        <v>7874</v>
      </c>
      <c r="C3654" s="11" t="s">
        <v>17</v>
      </c>
      <c r="D3654" s="11" t="s">
        <v>18</v>
      </c>
      <c r="E3654" s="12" t="s">
        <v>1909</v>
      </c>
      <c r="F3654" s="12" t="s">
        <v>1910</v>
      </c>
      <c r="G3654" s="12" t="s">
        <v>40</v>
      </c>
      <c r="H3654" s="11" t="s">
        <v>63</v>
      </c>
      <c r="I3654" s="13" t="s">
        <v>7889</v>
      </c>
      <c r="J3654" s="14" t="str">
        <f>HYPERLINK("https://www.boe.es/gazeta/dias/1839/10/27/pdfs/GMD-1839-1813.pdf#page=2","Abrir facsímil")</f>
        <v>Abrir facsímil</v>
      </c>
      <c r="K3654" s="12" t="s">
        <v>65</v>
      </c>
    </row>
    <row r="3655" spans="1:11" ht="40.049999999999997" customHeight="1" x14ac:dyDescent="0.25">
      <c r="A3655" s="11" t="s">
        <v>7873</v>
      </c>
      <c r="B3655" s="11" t="s">
        <v>7874</v>
      </c>
      <c r="C3655" s="11" t="s">
        <v>59</v>
      </c>
      <c r="D3655" s="11" t="s">
        <v>60</v>
      </c>
      <c r="E3655" s="12" t="s">
        <v>1523</v>
      </c>
      <c r="F3655" s="12" t="s">
        <v>1524</v>
      </c>
      <c r="G3655" s="12" t="s">
        <v>29</v>
      </c>
      <c r="H3655" s="11" t="s">
        <v>63</v>
      </c>
      <c r="I3655" s="13" t="s">
        <v>7890</v>
      </c>
      <c r="J3655" s="14" t="str">
        <f>HYPERLINK("https://www.boe.es/gazeta/dias/1839/08/29/pdfs/GMD-1839-1750.pdf#page=1","Abrir facsímil")</f>
        <v>Abrir facsímil</v>
      </c>
      <c r="K3655" s="12" t="s">
        <v>65</v>
      </c>
    </row>
    <row r="3656" spans="1:11" ht="40.049999999999997" customHeight="1" x14ac:dyDescent="0.25">
      <c r="A3656" s="11" t="s">
        <v>7873</v>
      </c>
      <c r="B3656" s="11" t="s">
        <v>7874</v>
      </c>
      <c r="C3656" s="11" t="s">
        <v>17</v>
      </c>
      <c r="D3656" s="11" t="s">
        <v>18</v>
      </c>
      <c r="E3656" s="12" t="s">
        <v>653</v>
      </c>
      <c r="F3656" s="12" t="s">
        <v>654</v>
      </c>
      <c r="G3656" s="12" t="s">
        <v>29</v>
      </c>
      <c r="H3656" s="11" t="s">
        <v>63</v>
      </c>
      <c r="I3656" s="13" t="s">
        <v>7891</v>
      </c>
      <c r="J3656" s="14" t="str">
        <f>HYPERLINK("https://www.boe.es/gazeta/dias/1839/10/31/pdfs/GMD-1839-1817.pdf#page=1","Abrir facsímil")</f>
        <v>Abrir facsímil</v>
      </c>
      <c r="K3656" s="12" t="s">
        <v>65</v>
      </c>
    </row>
    <row r="3657" spans="1:11" ht="40.049999999999997" customHeight="1" x14ac:dyDescent="0.25">
      <c r="A3657" s="11" t="s">
        <v>7892</v>
      </c>
      <c r="B3657" s="11" t="s">
        <v>7893</v>
      </c>
      <c r="C3657" s="11" t="s">
        <v>101</v>
      </c>
      <c r="D3657" s="11" t="s">
        <v>43</v>
      </c>
      <c r="E3657" s="12" t="s">
        <v>448</v>
      </c>
      <c r="F3657" s="12" t="s">
        <v>449</v>
      </c>
      <c r="G3657" s="12" t="s">
        <v>40</v>
      </c>
      <c r="H3657" s="11" t="s">
        <v>63</v>
      </c>
      <c r="I3657" s="13" t="s">
        <v>7894</v>
      </c>
      <c r="J3657" s="14" t="str">
        <f>HYPERLINK("https://www.boe.es/gazeta/dias/1839/02/06/pdfs/GMD-1839-1544.pdf#page=2","Abrir facsímil")</f>
        <v>Abrir facsímil</v>
      </c>
      <c r="K3657" s="12" t="s">
        <v>65</v>
      </c>
    </row>
    <row r="3658" spans="1:11" ht="40.049999999999997" customHeight="1" x14ac:dyDescent="0.25">
      <c r="A3658" s="11" t="s">
        <v>7895</v>
      </c>
      <c r="B3658" s="11" t="s">
        <v>7896</v>
      </c>
      <c r="C3658" s="11" t="s">
        <v>17</v>
      </c>
      <c r="D3658" s="11" t="s">
        <v>18</v>
      </c>
      <c r="E3658" s="12" t="s">
        <v>1523</v>
      </c>
      <c r="F3658" s="12" t="s">
        <v>1524</v>
      </c>
      <c r="G3658" s="12" t="s">
        <v>29</v>
      </c>
      <c r="H3658" s="11" t="s">
        <v>63</v>
      </c>
      <c r="I3658" s="13" t="s">
        <v>7897</v>
      </c>
      <c r="J3658" s="14" t="str">
        <f>HYPERLINK("https://www.boe.es/gazeta/dias/1839/08/29/pdfs/GMD-1839-1750.pdf#page=1","Abrir facsímil")</f>
        <v>Abrir facsímil</v>
      </c>
      <c r="K3658" s="12" t="s">
        <v>65</v>
      </c>
    </row>
    <row r="3659" spans="1:11" ht="40.049999999999997" customHeight="1" x14ac:dyDescent="0.25">
      <c r="A3659" s="11" t="s">
        <v>7898</v>
      </c>
      <c r="B3659" s="11" t="s">
        <v>7899</v>
      </c>
      <c r="C3659" s="11" t="s">
        <v>17</v>
      </c>
      <c r="D3659" s="11" t="s">
        <v>18</v>
      </c>
      <c r="E3659" s="12" t="s">
        <v>496</v>
      </c>
      <c r="F3659" s="12" t="s">
        <v>497</v>
      </c>
      <c r="G3659" s="12" t="s">
        <v>46</v>
      </c>
      <c r="H3659" s="11" t="s">
        <v>63</v>
      </c>
      <c r="I3659" s="13" t="s">
        <v>7900</v>
      </c>
      <c r="J3659" s="14" t="str">
        <f>HYPERLINK("https://www.boe.es/gazeta/dias/1839/11/23/pdfs/GMD-1839-1840.pdf#page=3","Abrir facsímil")</f>
        <v>Abrir facsímil</v>
      </c>
      <c r="K3659" s="12" t="s">
        <v>65</v>
      </c>
    </row>
    <row r="3660" spans="1:11" ht="40.049999999999997" customHeight="1" x14ac:dyDescent="0.25">
      <c r="A3660" s="11" t="s">
        <v>7901</v>
      </c>
      <c r="B3660" s="11" t="s">
        <v>7902</v>
      </c>
      <c r="C3660" s="11" t="s">
        <v>17</v>
      </c>
      <c r="D3660" s="11" t="s">
        <v>18</v>
      </c>
      <c r="E3660" s="12" t="s">
        <v>1374</v>
      </c>
      <c r="F3660" s="12" t="s">
        <v>1375</v>
      </c>
      <c r="G3660" s="12" t="s">
        <v>29</v>
      </c>
      <c r="H3660" s="11" t="s">
        <v>63</v>
      </c>
      <c r="I3660" s="13" t="s">
        <v>7903</v>
      </c>
      <c r="J3660" s="14" t="str">
        <f>HYPERLINK("https://www.boe.es/gazeta/dias/1839/07/20/pdfs/GMD-1839-1708.pdf#page=1","Abrir facsímil")</f>
        <v>Abrir facsímil</v>
      </c>
      <c r="K3660" s="12" t="s">
        <v>65</v>
      </c>
    </row>
    <row r="3661" spans="1:11" ht="40.049999999999997" customHeight="1" x14ac:dyDescent="0.25">
      <c r="A3661" s="11" t="s">
        <v>7904</v>
      </c>
      <c r="B3661" s="11" t="s">
        <v>7905</v>
      </c>
      <c r="C3661" s="11" t="s">
        <v>17</v>
      </c>
      <c r="D3661" s="11" t="s">
        <v>18</v>
      </c>
      <c r="E3661" s="12" t="s">
        <v>775</v>
      </c>
      <c r="F3661" s="12" t="s">
        <v>776</v>
      </c>
      <c r="G3661" s="12" t="s">
        <v>29</v>
      </c>
      <c r="H3661" s="11" t="s">
        <v>63</v>
      </c>
      <c r="I3661" s="13" t="s">
        <v>7906</v>
      </c>
      <c r="J3661" s="14" t="str">
        <f>HYPERLINK("https://www.boe.es/gazeta/dias/1839/02/25/pdfs/GMD-1839-1563.pdf#page=1","Abrir facsímil")</f>
        <v>Abrir facsímil</v>
      </c>
      <c r="K3661" s="12" t="s">
        <v>65</v>
      </c>
    </row>
    <row r="3662" spans="1:11" ht="40.049999999999997" customHeight="1" x14ac:dyDescent="0.25">
      <c r="A3662" s="11" t="s">
        <v>7907</v>
      </c>
      <c r="B3662" s="11" t="s">
        <v>7908</v>
      </c>
      <c r="C3662" s="11" t="s">
        <v>80</v>
      </c>
      <c r="D3662" s="11" t="s">
        <v>18</v>
      </c>
      <c r="E3662" s="12" t="s">
        <v>181</v>
      </c>
      <c r="F3662" s="12" t="s">
        <v>182</v>
      </c>
      <c r="G3662" s="12" t="s">
        <v>29</v>
      </c>
      <c r="H3662" s="11" t="s">
        <v>63</v>
      </c>
      <c r="I3662" s="13" t="s">
        <v>7909</v>
      </c>
      <c r="J3662" s="14" t="str">
        <f>HYPERLINK("https://www.boe.es/gazeta/dias/1839/01/11/pdfs/GMD-1839-1518.pdf#page=1","Abrir facsímil")</f>
        <v>Abrir facsímil</v>
      </c>
      <c r="K3662" s="12" t="s">
        <v>65</v>
      </c>
    </row>
    <row r="3663" spans="1:11" ht="40.049999999999997" customHeight="1" x14ac:dyDescent="0.25">
      <c r="A3663" s="11" t="s">
        <v>7910</v>
      </c>
      <c r="B3663" s="11" t="s">
        <v>7911</v>
      </c>
      <c r="C3663" s="11" t="s">
        <v>59</v>
      </c>
      <c r="D3663" s="11" t="s">
        <v>60</v>
      </c>
      <c r="E3663" s="12" t="s">
        <v>2021</v>
      </c>
      <c r="F3663" s="12" t="s">
        <v>2022</v>
      </c>
      <c r="G3663" s="12" t="s">
        <v>46</v>
      </c>
      <c r="H3663" s="11" t="s">
        <v>63</v>
      </c>
      <c r="I3663" s="13" t="s">
        <v>7912</v>
      </c>
      <c r="J3663" s="14" t="str">
        <f>HYPERLINK("https://www.boe.es/gazeta/dias/1839/02/17/pdfs/GMD-1839-1555.pdf#page=3","Abrir facsímil")</f>
        <v>Abrir facsímil</v>
      </c>
      <c r="K3663" s="12" t="s">
        <v>65</v>
      </c>
    </row>
    <row r="3664" spans="1:11" ht="40.049999999999997" customHeight="1" x14ac:dyDescent="0.25">
      <c r="A3664" s="11" t="s">
        <v>7913</v>
      </c>
      <c r="B3664" s="11" t="s">
        <v>7914</v>
      </c>
      <c r="C3664" s="11" t="s">
        <v>101</v>
      </c>
      <c r="D3664" s="11" t="s">
        <v>102</v>
      </c>
      <c r="E3664" s="12" t="s">
        <v>246</v>
      </c>
      <c r="F3664" s="12" t="s">
        <v>247</v>
      </c>
      <c r="G3664" s="12" t="s">
        <v>40</v>
      </c>
      <c r="H3664" s="11" t="s">
        <v>63</v>
      </c>
      <c r="I3664" s="13" t="s">
        <v>7915</v>
      </c>
      <c r="J3664" s="14" t="str">
        <f>HYPERLINK("https://www.boe.es/gazeta/dias/1839/11/24/pdfs/GMD-1839-1841.pdf#page=2","Abrir facsímil")</f>
        <v>Abrir facsímil</v>
      </c>
      <c r="K3664" s="12" t="s">
        <v>65</v>
      </c>
    </row>
    <row r="3665" spans="1:11" ht="40.049999999999997" customHeight="1" x14ac:dyDescent="0.25">
      <c r="A3665" s="11" t="s">
        <v>7916</v>
      </c>
      <c r="B3665" s="11" t="s">
        <v>7917</v>
      </c>
      <c r="C3665" s="11" t="s">
        <v>59</v>
      </c>
      <c r="D3665" s="11" t="s">
        <v>60</v>
      </c>
      <c r="E3665" s="12" t="s">
        <v>2215</v>
      </c>
      <c r="F3665" s="12" t="s">
        <v>2216</v>
      </c>
      <c r="G3665" s="12" t="s">
        <v>46</v>
      </c>
      <c r="H3665" s="11" t="s">
        <v>63</v>
      </c>
      <c r="I3665" s="13" t="s">
        <v>7918</v>
      </c>
      <c r="J3665" s="14" t="str">
        <f>HYPERLINK("https://www.boe.es/gazeta/dias/1839/07/21/pdfs/GMD-1839-1709.pdf#page=3","Abrir facsímil")</f>
        <v>Abrir facsímil</v>
      </c>
      <c r="K3665" s="12" t="s">
        <v>65</v>
      </c>
    </row>
    <row r="3666" spans="1:11" ht="40.049999999999997" customHeight="1" x14ac:dyDescent="0.25">
      <c r="A3666" s="11" t="s">
        <v>7919</v>
      </c>
      <c r="B3666" s="11" t="s">
        <v>7920</v>
      </c>
      <c r="C3666" s="11" t="s">
        <v>17</v>
      </c>
      <c r="D3666" s="11" t="s">
        <v>18</v>
      </c>
      <c r="E3666" s="12" t="s">
        <v>1512</v>
      </c>
      <c r="F3666" s="12" t="s">
        <v>1513</v>
      </c>
      <c r="G3666" s="12" t="s">
        <v>29</v>
      </c>
      <c r="H3666" s="11" t="s">
        <v>63</v>
      </c>
      <c r="I3666" s="13" t="s">
        <v>7921</v>
      </c>
      <c r="J3666" s="14" t="str">
        <f>HYPERLINK("https://www.boe.es/gazeta/dias/1839/04/13/pdfs/GMD-1839-1610.pdf#page=1","Abrir facsímil")</f>
        <v>Abrir facsímil</v>
      </c>
      <c r="K3666" s="12" t="s">
        <v>65</v>
      </c>
    </row>
    <row r="3667" spans="1:11" ht="40.049999999999997" customHeight="1" x14ac:dyDescent="0.25">
      <c r="A3667" s="11" t="s">
        <v>7919</v>
      </c>
      <c r="B3667" s="11" t="s">
        <v>7920</v>
      </c>
      <c r="C3667" s="11" t="s">
        <v>17</v>
      </c>
      <c r="D3667" s="11" t="s">
        <v>18</v>
      </c>
      <c r="E3667" s="12" t="s">
        <v>4550</v>
      </c>
      <c r="F3667" s="12" t="s">
        <v>4551</v>
      </c>
      <c r="G3667" s="12" t="s">
        <v>29</v>
      </c>
      <c r="H3667" s="11" t="s">
        <v>63</v>
      </c>
      <c r="I3667" s="13" t="s">
        <v>7922</v>
      </c>
      <c r="J3667" s="14" t="str">
        <f>HYPERLINK("https://www.boe.es/gazeta/dias/1839/04/17/pdfs/GMD-1839-1614.pdf#page=1","Abrir facsímil")</f>
        <v>Abrir facsímil</v>
      </c>
      <c r="K3667" s="12" t="s">
        <v>65</v>
      </c>
    </row>
    <row r="3668" spans="1:11" ht="40.049999999999997" customHeight="1" x14ac:dyDescent="0.25">
      <c r="A3668" s="11" t="s">
        <v>7923</v>
      </c>
      <c r="B3668" s="11" t="s">
        <v>7924</v>
      </c>
      <c r="C3668" s="11" t="s">
        <v>17</v>
      </c>
      <c r="D3668" s="11" t="s">
        <v>18</v>
      </c>
      <c r="E3668" s="12" t="s">
        <v>111</v>
      </c>
      <c r="F3668" s="12" t="s">
        <v>112</v>
      </c>
      <c r="G3668" s="12" t="s">
        <v>29</v>
      </c>
      <c r="H3668" s="11" t="s">
        <v>63</v>
      </c>
      <c r="I3668" s="13" t="s">
        <v>7925</v>
      </c>
      <c r="J3668" s="14" t="str">
        <f>HYPERLINK("https://www.boe.es/gazeta/dias/1839/07/25/pdfs/GMD-1839-1714.pdf#page=1","Abrir facsímil")</f>
        <v>Abrir facsímil</v>
      </c>
      <c r="K3668" s="12" t="s">
        <v>65</v>
      </c>
    </row>
    <row r="3669" spans="1:11" ht="40.049999999999997" customHeight="1" x14ac:dyDescent="0.25">
      <c r="A3669" s="11" t="s">
        <v>7926</v>
      </c>
      <c r="B3669" s="11" t="s">
        <v>7927</v>
      </c>
      <c r="C3669" s="11" t="s">
        <v>80</v>
      </c>
      <c r="D3669" s="11" t="s">
        <v>18</v>
      </c>
      <c r="E3669" s="12" t="s">
        <v>1027</v>
      </c>
      <c r="F3669" s="12" t="s">
        <v>1028</v>
      </c>
      <c r="G3669" s="12" t="s">
        <v>21</v>
      </c>
      <c r="H3669" s="11" t="s">
        <v>63</v>
      </c>
      <c r="I3669" s="13" t="s">
        <v>7928</v>
      </c>
      <c r="J3669" s="14" t="str">
        <f>HYPERLINK("https://www.boe.es/gazeta/dias/1839/08/16/pdfs/GMD-1839-1736.pdf#page=4","Abrir facsímil")</f>
        <v>Abrir facsímil</v>
      </c>
      <c r="K3669" s="12" t="s">
        <v>65</v>
      </c>
    </row>
    <row r="3670" spans="1:11" ht="40.049999999999997" customHeight="1" x14ac:dyDescent="0.25">
      <c r="A3670" s="11" t="s">
        <v>7929</v>
      </c>
      <c r="B3670" s="11" t="s">
        <v>7930</v>
      </c>
      <c r="C3670" s="11" t="s">
        <v>137</v>
      </c>
      <c r="D3670" s="11" t="s">
        <v>18</v>
      </c>
      <c r="E3670" s="12" t="s">
        <v>1523</v>
      </c>
      <c r="F3670" s="12" t="s">
        <v>1524</v>
      </c>
      <c r="G3670" s="12" t="s">
        <v>29</v>
      </c>
      <c r="H3670" s="11" t="s">
        <v>63</v>
      </c>
      <c r="I3670" s="13" t="s">
        <v>7931</v>
      </c>
      <c r="J3670" s="14" t="str">
        <f>HYPERLINK("https://www.boe.es/gazeta/dias/1839/08/29/pdfs/GMD-1839-1750.pdf#page=1","Abrir facsímil")</f>
        <v>Abrir facsímil</v>
      </c>
      <c r="K3670" s="12" t="s">
        <v>65</v>
      </c>
    </row>
    <row r="3671" spans="1:11" ht="40.049999999999997" customHeight="1" x14ac:dyDescent="0.25">
      <c r="A3671" s="11" t="s">
        <v>7932</v>
      </c>
      <c r="B3671" s="11" t="s">
        <v>7933</v>
      </c>
      <c r="C3671" s="11" t="s">
        <v>17</v>
      </c>
      <c r="D3671" s="11" t="s">
        <v>18</v>
      </c>
      <c r="E3671" s="12" t="s">
        <v>756</v>
      </c>
      <c r="F3671" s="12" t="s">
        <v>757</v>
      </c>
      <c r="G3671" s="12" t="s">
        <v>21</v>
      </c>
      <c r="H3671" s="11" t="s">
        <v>63</v>
      </c>
      <c r="I3671" s="13" t="s">
        <v>7934</v>
      </c>
      <c r="J3671" s="14" t="str">
        <f>HYPERLINK("https://www.boe.es/gazeta/dias/1839/12/17/pdfs/GMD-1839-1864.pdf#page=4","Abrir facsímil")</f>
        <v>Abrir facsímil</v>
      </c>
      <c r="K3671" s="12" t="s">
        <v>65</v>
      </c>
    </row>
    <row r="3672" spans="1:11" ht="40.049999999999997" customHeight="1" x14ac:dyDescent="0.25">
      <c r="A3672" s="11" t="s">
        <v>7935</v>
      </c>
      <c r="B3672" s="11" t="s">
        <v>7936</v>
      </c>
      <c r="C3672" s="11" t="s">
        <v>17</v>
      </c>
      <c r="D3672" s="11" t="s">
        <v>18</v>
      </c>
      <c r="E3672" s="12" t="s">
        <v>500</v>
      </c>
      <c r="F3672" s="12" t="s">
        <v>501</v>
      </c>
      <c r="G3672" s="12" t="s">
        <v>21</v>
      </c>
      <c r="H3672" s="11" t="s">
        <v>63</v>
      </c>
      <c r="I3672" s="13" t="s">
        <v>7937</v>
      </c>
      <c r="J3672" s="14" t="str">
        <f>HYPERLINK("https://www.boe.es/gazeta/dias/1839/11/06/pdfs/GMD-1839-1823.pdf#page=4","Abrir facsímil")</f>
        <v>Abrir facsímil</v>
      </c>
      <c r="K3672" s="12" t="s">
        <v>65</v>
      </c>
    </row>
    <row r="3673" spans="1:11" ht="40.049999999999997" customHeight="1" x14ac:dyDescent="0.25">
      <c r="A3673" s="11" t="s">
        <v>7938</v>
      </c>
      <c r="B3673" s="11" t="s">
        <v>7939</v>
      </c>
      <c r="C3673" s="11" t="s">
        <v>17</v>
      </c>
      <c r="D3673" s="11" t="s">
        <v>18</v>
      </c>
      <c r="E3673" s="12" t="s">
        <v>138</v>
      </c>
      <c r="F3673" s="12" t="s">
        <v>139</v>
      </c>
      <c r="G3673" s="12" t="s">
        <v>21</v>
      </c>
      <c r="H3673" s="11" t="s">
        <v>63</v>
      </c>
      <c r="I3673" s="13" t="s">
        <v>7940</v>
      </c>
      <c r="J3673" s="14" t="str">
        <f>HYPERLINK("https://www.boe.es/gazeta/dias/1839/10/09/pdfs/GMD-1839-1795.pdf#page=4","Abrir facsímil")</f>
        <v>Abrir facsímil</v>
      </c>
      <c r="K3673" s="12" t="s">
        <v>65</v>
      </c>
    </row>
    <row r="3674" spans="1:11" ht="40.049999999999997" customHeight="1" x14ac:dyDescent="0.25">
      <c r="A3674" s="11" t="s">
        <v>7941</v>
      </c>
      <c r="B3674" s="11" t="s">
        <v>7942</v>
      </c>
      <c r="C3674" s="11" t="s">
        <v>101</v>
      </c>
      <c r="D3674" s="11" t="s">
        <v>102</v>
      </c>
      <c r="E3674" s="12" t="s">
        <v>111</v>
      </c>
      <c r="F3674" s="12" t="s">
        <v>112</v>
      </c>
      <c r="G3674" s="12" t="s">
        <v>29</v>
      </c>
      <c r="H3674" s="11" t="s">
        <v>63</v>
      </c>
      <c r="I3674" s="13" t="s">
        <v>7943</v>
      </c>
      <c r="J3674" s="14" t="str">
        <f>HYPERLINK("https://www.boe.es/gazeta/dias/1839/07/25/pdfs/GMD-1839-1714.pdf#page=1","Abrir facsímil")</f>
        <v>Abrir facsímil</v>
      </c>
      <c r="K3674" s="12" t="s">
        <v>65</v>
      </c>
    </row>
    <row r="3675" spans="1:11" ht="40.049999999999997" customHeight="1" x14ac:dyDescent="0.25">
      <c r="A3675" s="11" t="s">
        <v>7944</v>
      </c>
      <c r="B3675" s="11" t="s">
        <v>7945</v>
      </c>
      <c r="C3675" s="11" t="s">
        <v>101</v>
      </c>
      <c r="D3675" s="11" t="s">
        <v>102</v>
      </c>
      <c r="E3675" s="12" t="s">
        <v>2829</v>
      </c>
      <c r="F3675" s="12" t="s">
        <v>2830</v>
      </c>
      <c r="G3675" s="12" t="s">
        <v>46</v>
      </c>
      <c r="H3675" s="11" t="s">
        <v>63</v>
      </c>
      <c r="I3675" s="13" t="s">
        <v>7946</v>
      </c>
      <c r="J3675" s="14" t="str">
        <f>HYPERLINK("https://www.boe.es/gazeta/dias/1839/07/01/pdfs/GMD-1839-1689.pdf#page=3","Abrir facsímil")</f>
        <v>Abrir facsímil</v>
      </c>
      <c r="K3675" s="12" t="s">
        <v>65</v>
      </c>
    </row>
    <row r="3676" spans="1:11" ht="40.049999999999997" customHeight="1" x14ac:dyDescent="0.25">
      <c r="A3676" s="11" t="s">
        <v>7947</v>
      </c>
      <c r="B3676" s="11" t="s">
        <v>7948</v>
      </c>
      <c r="C3676" s="11" t="s">
        <v>137</v>
      </c>
      <c r="D3676" s="11" t="s">
        <v>18</v>
      </c>
      <c r="E3676" s="12" t="s">
        <v>1027</v>
      </c>
      <c r="F3676" s="12" t="s">
        <v>1028</v>
      </c>
      <c r="G3676" s="12" t="s">
        <v>21</v>
      </c>
      <c r="H3676" s="11" t="s">
        <v>63</v>
      </c>
      <c r="I3676" s="13" t="s">
        <v>7949</v>
      </c>
      <c r="J3676" s="14" t="str">
        <f>HYPERLINK("https://www.boe.es/gazeta/dias/1839/08/16/pdfs/GMD-1839-1736.pdf#page=4","Abrir facsímil")</f>
        <v>Abrir facsímil</v>
      </c>
      <c r="K3676" s="12" t="s">
        <v>65</v>
      </c>
    </row>
    <row r="3677" spans="1:11" ht="40.049999999999997" customHeight="1" x14ac:dyDescent="0.25">
      <c r="A3677" s="11" t="s">
        <v>7950</v>
      </c>
      <c r="B3677" s="11" t="s">
        <v>7951</v>
      </c>
      <c r="C3677" s="11" t="s">
        <v>17</v>
      </c>
      <c r="D3677" s="11" t="s">
        <v>18</v>
      </c>
      <c r="E3677" s="12" t="s">
        <v>4957</v>
      </c>
      <c r="F3677" s="12" t="s">
        <v>4958</v>
      </c>
      <c r="G3677" s="12" t="s">
        <v>40</v>
      </c>
      <c r="H3677" s="11" t="s">
        <v>63</v>
      </c>
      <c r="I3677" s="13" t="s">
        <v>7952</v>
      </c>
      <c r="J3677" s="14" t="str">
        <f>HYPERLINK("https://www.boe.es/gazeta/dias/1839/11/04/pdfs/GMD-1839-1821.pdf#page=2","Abrir facsímil")</f>
        <v>Abrir facsímil</v>
      </c>
      <c r="K3677" s="12" t="s">
        <v>65</v>
      </c>
    </row>
    <row r="3678" spans="1:11" ht="40.049999999999997" customHeight="1" x14ac:dyDescent="0.25">
      <c r="A3678" s="11" t="s">
        <v>7953</v>
      </c>
      <c r="B3678" s="11" t="s">
        <v>7954</v>
      </c>
      <c r="C3678" s="11" t="s">
        <v>80</v>
      </c>
      <c r="D3678" s="11" t="s">
        <v>18</v>
      </c>
      <c r="E3678" s="12" t="s">
        <v>469</v>
      </c>
      <c r="F3678" s="12" t="s">
        <v>470</v>
      </c>
      <c r="G3678" s="12" t="s">
        <v>21</v>
      </c>
      <c r="H3678" s="11" t="s">
        <v>63</v>
      </c>
      <c r="I3678" s="13" t="s">
        <v>7955</v>
      </c>
      <c r="J3678" s="14" t="str">
        <f>HYPERLINK("https://www.boe.es/gazeta/dias/1839/08/20/pdfs/GMD-1839-1741.pdf#page=4","Abrir facsímil")</f>
        <v>Abrir facsímil</v>
      </c>
      <c r="K3678" s="12" t="s">
        <v>65</v>
      </c>
    </row>
    <row r="3679" spans="1:11" ht="40.049999999999997" customHeight="1" x14ac:dyDescent="0.25">
      <c r="A3679" s="11" t="s">
        <v>7956</v>
      </c>
      <c r="B3679" s="11" t="s">
        <v>7957</v>
      </c>
      <c r="C3679" s="11" t="s">
        <v>59</v>
      </c>
      <c r="D3679" s="11" t="s">
        <v>60</v>
      </c>
      <c r="E3679" s="12" t="s">
        <v>1391</v>
      </c>
      <c r="F3679" s="12" t="s">
        <v>1392</v>
      </c>
      <c r="G3679" s="12" t="s">
        <v>21</v>
      </c>
      <c r="H3679" s="11" t="s">
        <v>63</v>
      </c>
      <c r="I3679" s="13" t="s">
        <v>7958</v>
      </c>
      <c r="J3679" s="14" t="str">
        <f>HYPERLINK("https://www.boe.es/gazeta/dias/1839/05/12/pdfs/GMD-1839-1639.pdf#page=4","Abrir facsímil")</f>
        <v>Abrir facsímil</v>
      </c>
      <c r="K3679" s="12" t="s">
        <v>65</v>
      </c>
    </row>
    <row r="3680" spans="1:11" ht="40.049999999999997" customHeight="1" x14ac:dyDescent="0.25">
      <c r="A3680" s="11" t="s">
        <v>7959</v>
      </c>
      <c r="B3680" s="11" t="s">
        <v>7960</v>
      </c>
      <c r="C3680" s="11" t="s">
        <v>17</v>
      </c>
      <c r="D3680" s="11" t="s">
        <v>18</v>
      </c>
      <c r="E3680" s="12" t="s">
        <v>230</v>
      </c>
      <c r="F3680" s="12" t="s">
        <v>231</v>
      </c>
      <c r="G3680" s="12" t="s">
        <v>29</v>
      </c>
      <c r="H3680" s="11" t="s">
        <v>63</v>
      </c>
      <c r="I3680" s="13" t="s">
        <v>7961</v>
      </c>
      <c r="J3680" s="14" t="str">
        <f>HYPERLINK("https://www.boe.es/gazeta/dias/1839/09/16/pdfs/GMD-1839-1769.pdf#page=1","Abrir facsímil")</f>
        <v>Abrir facsímil</v>
      </c>
      <c r="K3680" s="12" t="s">
        <v>65</v>
      </c>
    </row>
    <row r="3681" spans="1:11" ht="40.049999999999997" customHeight="1" x14ac:dyDescent="0.25">
      <c r="A3681" s="11" t="s">
        <v>7962</v>
      </c>
      <c r="B3681" s="11" t="s">
        <v>7963</v>
      </c>
      <c r="C3681" s="11" t="s">
        <v>17</v>
      </c>
      <c r="D3681" s="11" t="s">
        <v>18</v>
      </c>
      <c r="E3681" s="12" t="s">
        <v>222</v>
      </c>
      <c r="F3681" s="12" t="s">
        <v>223</v>
      </c>
      <c r="G3681" s="12" t="s">
        <v>21</v>
      </c>
      <c r="H3681" s="11" t="s">
        <v>63</v>
      </c>
      <c r="I3681" s="13" t="s">
        <v>7964</v>
      </c>
      <c r="J3681" s="14" t="str">
        <f>HYPERLINK("https://www.boe.es/gazeta/dias/1839/06/22/pdfs/GMD-1839-1680.pdf#page=4","Abrir facsímil")</f>
        <v>Abrir facsímil</v>
      </c>
      <c r="K3681" s="12" t="s">
        <v>65</v>
      </c>
    </row>
    <row r="3682" spans="1:11" ht="40.049999999999997" customHeight="1" x14ac:dyDescent="0.25">
      <c r="A3682" s="11" t="s">
        <v>7965</v>
      </c>
      <c r="B3682" s="11" t="s">
        <v>7966</v>
      </c>
      <c r="C3682" s="11" t="s">
        <v>101</v>
      </c>
      <c r="D3682" s="11" t="s">
        <v>102</v>
      </c>
      <c r="E3682" s="12" t="s">
        <v>857</v>
      </c>
      <c r="F3682" s="12" t="s">
        <v>858</v>
      </c>
      <c r="G3682" s="12" t="s">
        <v>29</v>
      </c>
      <c r="H3682" s="11" t="s">
        <v>63</v>
      </c>
      <c r="I3682" s="13" t="s">
        <v>7967</v>
      </c>
      <c r="J3682" s="14" t="str">
        <f>HYPERLINK("https://www.boe.es/gazeta/dias/1839/11/21/pdfs/GMD-1839-1838.pdf#page=1","Abrir facsímil")</f>
        <v>Abrir facsímil</v>
      </c>
      <c r="K3682" s="12" t="s">
        <v>65</v>
      </c>
    </row>
    <row r="3683" spans="1:11" ht="40.049999999999997" customHeight="1" x14ac:dyDescent="0.25">
      <c r="A3683" s="11" t="s">
        <v>7968</v>
      </c>
      <c r="B3683" s="11" t="s">
        <v>7969</v>
      </c>
      <c r="C3683" s="11" t="s">
        <v>17</v>
      </c>
      <c r="D3683" s="11" t="s">
        <v>18</v>
      </c>
      <c r="E3683" s="12" t="s">
        <v>94</v>
      </c>
      <c r="F3683" s="12" t="s">
        <v>95</v>
      </c>
      <c r="G3683" s="12" t="s">
        <v>40</v>
      </c>
      <c r="H3683" s="11" t="s">
        <v>63</v>
      </c>
      <c r="I3683" s="13" t="s">
        <v>7970</v>
      </c>
      <c r="J3683" s="14" t="str">
        <f>HYPERLINK("https://www.boe.es/gazeta/dias/1839/02/24/pdfs/GMD-1839-1562.pdf#page=2","Abrir facsímil")</f>
        <v>Abrir facsímil</v>
      </c>
      <c r="K3683" s="12" t="s">
        <v>65</v>
      </c>
    </row>
    <row r="3684" spans="1:11" ht="40.049999999999997" customHeight="1" x14ac:dyDescent="0.25">
      <c r="A3684" s="11" t="s">
        <v>7971</v>
      </c>
      <c r="B3684" s="11" t="s">
        <v>7972</v>
      </c>
      <c r="C3684" s="11" t="s">
        <v>80</v>
      </c>
      <c r="D3684" s="11" t="s">
        <v>18</v>
      </c>
      <c r="E3684" s="12" t="s">
        <v>695</v>
      </c>
      <c r="F3684" s="12" t="s">
        <v>696</v>
      </c>
      <c r="G3684" s="12" t="s">
        <v>46</v>
      </c>
      <c r="H3684" s="11" t="s">
        <v>63</v>
      </c>
      <c r="I3684" s="13" t="s">
        <v>7973</v>
      </c>
      <c r="J3684" s="14" t="str">
        <f>HYPERLINK("https://www.boe.es/gazeta/dias/1839/12/19/pdfs/GMD-1839-1866.pdf#page=3","Abrir facsímil")</f>
        <v>Abrir facsímil</v>
      </c>
      <c r="K3684" s="12" t="s">
        <v>65</v>
      </c>
    </row>
    <row r="3685" spans="1:11" ht="40.049999999999997" customHeight="1" x14ac:dyDescent="0.25">
      <c r="A3685" s="11" t="s">
        <v>7974</v>
      </c>
      <c r="B3685" s="11" t="s">
        <v>7975</v>
      </c>
      <c r="C3685" s="11" t="s">
        <v>17</v>
      </c>
      <c r="D3685" s="11" t="s">
        <v>18</v>
      </c>
      <c r="E3685" s="12" t="s">
        <v>262</v>
      </c>
      <c r="F3685" s="12" t="s">
        <v>263</v>
      </c>
      <c r="G3685" s="12" t="s">
        <v>46</v>
      </c>
      <c r="H3685" s="11" t="s">
        <v>63</v>
      </c>
      <c r="I3685" s="13" t="s">
        <v>7976</v>
      </c>
      <c r="J3685" s="14" t="str">
        <f>HYPERLINK("https://www.boe.es/gazeta/dias/1839/01/01/pdfs/GMD-1839-1508.pdf#page=3","Abrir facsímil")</f>
        <v>Abrir facsímil</v>
      </c>
      <c r="K3685" s="12" t="s">
        <v>65</v>
      </c>
    </row>
    <row r="3686" spans="1:11" ht="40.049999999999997" customHeight="1" x14ac:dyDescent="0.25">
      <c r="A3686" s="11" t="s">
        <v>7974</v>
      </c>
      <c r="B3686" s="11" t="s">
        <v>7975</v>
      </c>
      <c r="C3686" s="11" t="s">
        <v>17</v>
      </c>
      <c r="D3686" s="11" t="s">
        <v>18</v>
      </c>
      <c r="E3686" s="12" t="s">
        <v>770</v>
      </c>
      <c r="F3686" s="12" t="s">
        <v>771</v>
      </c>
      <c r="G3686" s="12" t="s">
        <v>40</v>
      </c>
      <c r="H3686" s="11" t="s">
        <v>63</v>
      </c>
      <c r="I3686" s="13" t="s">
        <v>7977</v>
      </c>
      <c r="J3686" s="14" t="str">
        <f>HYPERLINK("https://www.boe.es/gazeta/dias/1839/12/05/pdfs/GMD-1839-1852.pdf#page=2","Abrir facsímil")</f>
        <v>Abrir facsímil</v>
      </c>
      <c r="K3686" s="12" t="s">
        <v>65</v>
      </c>
    </row>
    <row r="3687" spans="1:11" ht="40.049999999999997" customHeight="1" x14ac:dyDescent="0.25">
      <c r="A3687" s="11" t="s">
        <v>7978</v>
      </c>
      <c r="B3687" s="11" t="s">
        <v>7979</v>
      </c>
      <c r="C3687" s="11" t="s">
        <v>17</v>
      </c>
      <c r="D3687" s="11" t="s">
        <v>18</v>
      </c>
      <c r="E3687" s="12" t="s">
        <v>516</v>
      </c>
      <c r="F3687" s="12" t="s">
        <v>517</v>
      </c>
      <c r="G3687" s="12" t="s">
        <v>21</v>
      </c>
      <c r="H3687" s="11" t="s">
        <v>63</v>
      </c>
      <c r="I3687" s="13" t="s">
        <v>7980</v>
      </c>
      <c r="J3687" s="14" t="str">
        <f>HYPERLINK("https://www.boe.es/gazeta/dias/1839/06/21/pdfs/GMD-1839-1679.pdf#page=4","Abrir facsímil")</f>
        <v>Abrir facsímil</v>
      </c>
      <c r="K3687" s="12" t="s">
        <v>65</v>
      </c>
    </row>
    <row r="3688" spans="1:11" ht="40.049999999999997" customHeight="1" x14ac:dyDescent="0.25">
      <c r="A3688" s="11" t="s">
        <v>7981</v>
      </c>
      <c r="B3688" s="11" t="s">
        <v>7982</v>
      </c>
      <c r="C3688" s="11" t="s">
        <v>17</v>
      </c>
      <c r="D3688" s="11" t="s">
        <v>43</v>
      </c>
      <c r="E3688" s="12" t="s">
        <v>239</v>
      </c>
      <c r="F3688" s="12" t="s">
        <v>240</v>
      </c>
      <c r="G3688" s="12" t="s">
        <v>46</v>
      </c>
      <c r="H3688" s="11" t="s">
        <v>63</v>
      </c>
      <c r="I3688" s="13" t="s">
        <v>7983</v>
      </c>
      <c r="J3688" s="14" t="str">
        <f>HYPERLINK("https://www.boe.es/gazeta/dias/1839/09/22/pdfs/GMD-1839-1777.pdf#page=3","Abrir facsímil")</f>
        <v>Abrir facsímil</v>
      </c>
      <c r="K3688" s="12" t="s">
        <v>65</v>
      </c>
    </row>
    <row r="3689" spans="1:11" ht="40.049999999999997" customHeight="1" x14ac:dyDescent="0.25">
      <c r="A3689" s="11" t="s">
        <v>7984</v>
      </c>
      <c r="B3689" s="11" t="s">
        <v>7985</v>
      </c>
      <c r="C3689" s="11" t="s">
        <v>101</v>
      </c>
      <c r="D3689" s="11" t="s">
        <v>102</v>
      </c>
      <c r="E3689" s="12" t="s">
        <v>355</v>
      </c>
      <c r="F3689" s="12" t="s">
        <v>356</v>
      </c>
      <c r="G3689" s="12" t="s">
        <v>21</v>
      </c>
      <c r="H3689" s="11" t="s">
        <v>63</v>
      </c>
      <c r="I3689" s="13" t="s">
        <v>7986</v>
      </c>
      <c r="J3689" s="14" t="str">
        <f>HYPERLINK("https://www.boe.es/gazeta/dias/1839/05/31/pdfs/GMD-1839-1658.pdf#page=4","Abrir facsímil")</f>
        <v>Abrir facsímil</v>
      </c>
      <c r="K3689" s="12" t="s">
        <v>65</v>
      </c>
    </row>
    <row r="3690" spans="1:11" ht="40.049999999999997" customHeight="1" x14ac:dyDescent="0.25">
      <c r="A3690" s="11" t="s">
        <v>7987</v>
      </c>
      <c r="B3690" s="11" t="s">
        <v>7988</v>
      </c>
      <c r="C3690" s="11" t="s">
        <v>80</v>
      </c>
      <c r="D3690" s="11" t="s">
        <v>18</v>
      </c>
      <c r="E3690" s="12" t="s">
        <v>1183</v>
      </c>
      <c r="F3690" s="12" t="s">
        <v>1184</v>
      </c>
      <c r="G3690" s="12" t="s">
        <v>46</v>
      </c>
      <c r="H3690" s="11" t="s">
        <v>63</v>
      </c>
      <c r="I3690" s="13" t="s">
        <v>7989</v>
      </c>
      <c r="J3690" s="14" t="str">
        <f>HYPERLINK("https://www.boe.es/gazeta/dias/1839/07/26/pdfs/GMD-1839-1715.pdf#page=3","Abrir facsímil")</f>
        <v>Abrir facsímil</v>
      </c>
      <c r="K3690" s="12" t="s">
        <v>65</v>
      </c>
    </row>
    <row r="3691" spans="1:11" ht="40.049999999999997" customHeight="1" x14ac:dyDescent="0.25">
      <c r="A3691" s="11" t="s">
        <v>7990</v>
      </c>
      <c r="B3691" s="11" t="s">
        <v>7991</v>
      </c>
      <c r="C3691" s="11" t="s">
        <v>80</v>
      </c>
      <c r="D3691" s="11" t="s">
        <v>18</v>
      </c>
      <c r="E3691" s="12" t="s">
        <v>1891</v>
      </c>
      <c r="F3691" s="12" t="s">
        <v>1892</v>
      </c>
      <c r="G3691" s="12" t="s">
        <v>21</v>
      </c>
      <c r="H3691" s="11" t="s">
        <v>22</v>
      </c>
      <c r="I3691" s="13" t="s">
        <v>7992</v>
      </c>
      <c r="J3691" s="14" t="str">
        <f>HYPERLINK("https://www.boe.es/gazeta/dias/1839/12/14/pdfs/GMD-1839-1861.pdf#page=4","Abrir facsímil")</f>
        <v>Abrir facsímil</v>
      </c>
      <c r="K3691" s="12" t="s">
        <v>24</v>
      </c>
    </row>
    <row r="3692" spans="1:11" ht="40.049999999999997" customHeight="1" x14ac:dyDescent="0.25">
      <c r="A3692" s="11" t="s">
        <v>7993</v>
      </c>
      <c r="B3692" s="11" t="s">
        <v>7994</v>
      </c>
      <c r="C3692" s="11" t="s">
        <v>59</v>
      </c>
      <c r="D3692" s="11" t="s">
        <v>60</v>
      </c>
      <c r="E3692" s="12" t="s">
        <v>138</v>
      </c>
      <c r="F3692" s="12" t="s">
        <v>139</v>
      </c>
      <c r="G3692" s="12" t="s">
        <v>46</v>
      </c>
      <c r="H3692" s="11" t="s">
        <v>63</v>
      </c>
      <c r="I3692" s="13" t="s">
        <v>7995</v>
      </c>
      <c r="J3692" s="14" t="str">
        <f>HYPERLINK("https://www.boe.es/gazeta/dias/1839/10/09/pdfs/GMD-1839-1795.pdf#page=3","Abrir facsímil")</f>
        <v>Abrir facsímil</v>
      </c>
      <c r="K3692" s="12" t="s">
        <v>65</v>
      </c>
    </row>
    <row r="3693" spans="1:11" ht="40.049999999999997" customHeight="1" x14ac:dyDescent="0.25">
      <c r="A3693" s="11" t="s">
        <v>7996</v>
      </c>
      <c r="B3693" s="11" t="s">
        <v>7997</v>
      </c>
      <c r="C3693" s="11" t="s">
        <v>17</v>
      </c>
      <c r="D3693" s="11" t="s">
        <v>18</v>
      </c>
      <c r="E3693" s="12" t="s">
        <v>61</v>
      </c>
      <c r="F3693" s="12" t="s">
        <v>62</v>
      </c>
      <c r="G3693" s="12" t="s">
        <v>21</v>
      </c>
      <c r="H3693" s="11" t="s">
        <v>63</v>
      </c>
      <c r="I3693" s="13" t="s">
        <v>7998</v>
      </c>
      <c r="J3693" s="14" t="str">
        <f>HYPERLINK("https://www.boe.es/gazeta/dias/1839/09/10/pdfs/GMD-1839-1763.pdf#page=4","Abrir facsímil")</f>
        <v>Abrir facsímil</v>
      </c>
      <c r="K3693" s="12" t="s">
        <v>65</v>
      </c>
    </row>
    <row r="3694" spans="1:11" ht="40.049999999999997" customHeight="1" x14ac:dyDescent="0.25">
      <c r="A3694" s="11" t="s">
        <v>7999</v>
      </c>
      <c r="B3694" s="11" t="s">
        <v>8000</v>
      </c>
      <c r="C3694" s="11" t="s">
        <v>137</v>
      </c>
      <c r="D3694" s="11" t="s">
        <v>18</v>
      </c>
      <c r="E3694" s="12" t="s">
        <v>2658</v>
      </c>
      <c r="F3694" s="12" t="s">
        <v>2659</v>
      </c>
      <c r="G3694" s="12" t="s">
        <v>40</v>
      </c>
      <c r="H3694" s="11" t="s">
        <v>22</v>
      </c>
      <c r="I3694" s="13" t="s">
        <v>8001</v>
      </c>
      <c r="J3694" s="14" t="str">
        <f>HYPERLINK("https://www.boe.es/gazeta/dias/1839/06/27/pdfs/GMD-1839-1685.pdf#page=2","Abrir facsímil")</f>
        <v>Abrir facsímil</v>
      </c>
      <c r="K3694" s="12" t="s">
        <v>24</v>
      </c>
    </row>
    <row r="3695" spans="1:11" ht="40.049999999999997" customHeight="1" x14ac:dyDescent="0.25">
      <c r="A3695" s="11" t="s">
        <v>8002</v>
      </c>
      <c r="B3695" s="11" t="s">
        <v>8003</v>
      </c>
      <c r="C3695" s="11" t="s">
        <v>17</v>
      </c>
      <c r="D3695" s="11" t="s">
        <v>18</v>
      </c>
      <c r="E3695" s="12" t="s">
        <v>474</v>
      </c>
      <c r="F3695" s="12" t="s">
        <v>475</v>
      </c>
      <c r="G3695" s="12" t="s">
        <v>46</v>
      </c>
      <c r="H3695" s="11" t="s">
        <v>63</v>
      </c>
      <c r="I3695" s="13" t="s">
        <v>8004</v>
      </c>
      <c r="J3695" s="14" t="str">
        <f>HYPERLINK("https://www.boe.es/gazeta/dias/1839/03/31/pdfs/GMD-1839-1597.pdf#page=3","Abrir facsímil")</f>
        <v>Abrir facsímil</v>
      </c>
      <c r="K3695" s="12" t="s">
        <v>65</v>
      </c>
    </row>
    <row r="3696" spans="1:11" ht="40.049999999999997" customHeight="1" x14ac:dyDescent="0.25">
      <c r="A3696" s="11" t="s">
        <v>8005</v>
      </c>
      <c r="B3696" s="11" t="s">
        <v>8006</v>
      </c>
      <c r="C3696" s="11" t="s">
        <v>137</v>
      </c>
      <c r="D3696" s="11" t="s">
        <v>18</v>
      </c>
      <c r="E3696" s="12" t="s">
        <v>785</v>
      </c>
      <c r="F3696" s="12" t="s">
        <v>786</v>
      </c>
      <c r="G3696" s="12" t="s">
        <v>21</v>
      </c>
      <c r="H3696" s="11" t="s">
        <v>63</v>
      </c>
      <c r="I3696" s="13" t="s">
        <v>8007</v>
      </c>
      <c r="J3696" s="14" t="str">
        <f>HYPERLINK("https://www.boe.es/gazeta/dias/1839/07/13/pdfs/GMD-1839-1701.pdf#page=4","Abrir facsímil")</f>
        <v>Abrir facsímil</v>
      </c>
      <c r="K3696" s="12" t="s">
        <v>65</v>
      </c>
    </row>
    <row r="3697" spans="1:11" ht="40.049999999999997" customHeight="1" x14ac:dyDescent="0.25">
      <c r="A3697" s="11" t="s">
        <v>8008</v>
      </c>
      <c r="B3697" s="11" t="s">
        <v>8009</v>
      </c>
      <c r="C3697" s="11" t="s">
        <v>17</v>
      </c>
      <c r="D3697" s="11" t="s">
        <v>18</v>
      </c>
      <c r="E3697" s="12" t="s">
        <v>723</v>
      </c>
      <c r="F3697" s="12" t="s">
        <v>724</v>
      </c>
      <c r="G3697" s="12" t="s">
        <v>29</v>
      </c>
      <c r="H3697" s="11" t="s">
        <v>63</v>
      </c>
      <c r="I3697" s="13" t="s">
        <v>8010</v>
      </c>
      <c r="J3697" s="14" t="str">
        <f>HYPERLINK("https://www.boe.es/gazeta/dias/1839/09/26/pdfs/GMD-1839-1782.pdf#page=1","Abrir facsímil")</f>
        <v>Abrir facsímil</v>
      </c>
      <c r="K3697" s="12" t="s">
        <v>65</v>
      </c>
    </row>
    <row r="3698" spans="1:11" ht="40.049999999999997" customHeight="1" x14ac:dyDescent="0.25">
      <c r="A3698" s="11" t="s">
        <v>8011</v>
      </c>
      <c r="B3698" s="11" t="s">
        <v>8012</v>
      </c>
      <c r="C3698" s="11" t="s">
        <v>17</v>
      </c>
      <c r="D3698" s="11" t="s">
        <v>18</v>
      </c>
      <c r="E3698" s="12" t="s">
        <v>303</v>
      </c>
      <c r="F3698" s="12" t="s">
        <v>304</v>
      </c>
      <c r="G3698" s="12" t="s">
        <v>305</v>
      </c>
      <c r="H3698" s="11" t="s">
        <v>63</v>
      </c>
      <c r="I3698" s="13" t="s">
        <v>8013</v>
      </c>
      <c r="J3698" s="14" t="str">
        <f>HYPERLINK("https://www.boe.es/gazeta/dias/1839/10/06/pdfs/GMD-1839-1792.pdf#page=6","Abrir facsímil")</f>
        <v>Abrir facsímil</v>
      </c>
      <c r="K3698" s="12" t="s">
        <v>65</v>
      </c>
    </row>
    <row r="3699" spans="1:11" ht="40.049999999999997" customHeight="1" x14ac:dyDescent="0.25">
      <c r="A3699" s="11" t="s">
        <v>8014</v>
      </c>
      <c r="B3699" s="11" t="s">
        <v>8015</v>
      </c>
      <c r="C3699" s="11" t="s">
        <v>17</v>
      </c>
      <c r="D3699" s="11" t="s">
        <v>18</v>
      </c>
      <c r="E3699" s="12" t="s">
        <v>1794</v>
      </c>
      <c r="F3699" s="12" t="s">
        <v>1795</v>
      </c>
      <c r="G3699" s="12" t="s">
        <v>21</v>
      </c>
      <c r="H3699" s="11" t="s">
        <v>63</v>
      </c>
      <c r="I3699" s="13" t="s">
        <v>8016</v>
      </c>
      <c r="J3699" s="14" t="str">
        <f>HYPERLINK("https://www.boe.es/gazeta/dias/1839/02/22/pdfs/GMD-1839-1560.pdf#page=4","Abrir facsímil")</f>
        <v>Abrir facsímil</v>
      </c>
      <c r="K3699" s="12" t="s">
        <v>65</v>
      </c>
    </row>
    <row r="3700" spans="1:11" ht="40.049999999999997" customHeight="1" x14ac:dyDescent="0.25">
      <c r="A3700" s="11" t="s">
        <v>8017</v>
      </c>
      <c r="B3700" s="11" t="s">
        <v>8018</v>
      </c>
      <c r="C3700" s="11" t="s">
        <v>17</v>
      </c>
      <c r="D3700" s="11" t="s">
        <v>18</v>
      </c>
      <c r="E3700" s="12" t="s">
        <v>291</v>
      </c>
      <c r="F3700" s="12" t="s">
        <v>292</v>
      </c>
      <c r="G3700" s="12" t="s">
        <v>46</v>
      </c>
      <c r="H3700" s="11" t="s">
        <v>63</v>
      </c>
      <c r="I3700" s="13" t="s">
        <v>8019</v>
      </c>
      <c r="J3700" s="14" t="str">
        <f>HYPERLINK("https://www.boe.es/gazeta/dias/1839/09/04/pdfs/GMD-1839-1757.pdf#page=3","Abrir facsímil")</f>
        <v>Abrir facsímil</v>
      </c>
      <c r="K3700" s="12" t="s">
        <v>65</v>
      </c>
    </row>
    <row r="3701" spans="1:11" ht="40.049999999999997" customHeight="1" x14ac:dyDescent="0.25">
      <c r="A3701" s="11" t="s">
        <v>8020</v>
      </c>
      <c r="B3701" s="11" t="s">
        <v>8021</v>
      </c>
      <c r="C3701" s="11" t="s">
        <v>17</v>
      </c>
      <c r="D3701" s="11" t="s">
        <v>18</v>
      </c>
      <c r="E3701" s="12" t="s">
        <v>834</v>
      </c>
      <c r="F3701" s="12" t="s">
        <v>835</v>
      </c>
      <c r="G3701" s="12" t="s">
        <v>21</v>
      </c>
      <c r="H3701" s="11" t="s">
        <v>63</v>
      </c>
      <c r="I3701" s="13" t="s">
        <v>8022</v>
      </c>
      <c r="J3701" s="14" t="str">
        <f>HYPERLINK("https://www.boe.es/gazeta/dias/1839/08/17/pdfs/GMD-1839-1737.pdf#page=4","Abrir facsímil")</f>
        <v>Abrir facsímil</v>
      </c>
      <c r="K3701" s="12" t="s">
        <v>65</v>
      </c>
    </row>
    <row r="3702" spans="1:11" ht="40.049999999999997" customHeight="1" x14ac:dyDescent="0.25">
      <c r="A3702" s="11" t="s">
        <v>8023</v>
      </c>
      <c r="B3702" s="11" t="s">
        <v>8024</v>
      </c>
      <c r="C3702" s="11" t="s">
        <v>80</v>
      </c>
      <c r="D3702" s="11" t="s">
        <v>18</v>
      </c>
      <c r="E3702" s="12" t="s">
        <v>690</v>
      </c>
      <c r="F3702" s="12" t="s">
        <v>691</v>
      </c>
      <c r="G3702" s="12" t="s">
        <v>21</v>
      </c>
      <c r="H3702" s="11" t="s">
        <v>63</v>
      </c>
      <c r="I3702" s="13" t="s">
        <v>8025</v>
      </c>
      <c r="J3702" s="14" t="str">
        <f>HYPERLINK("https://www.boe.es/gazeta/dias/1839/12/08/pdfs/GMD-1839-1855.pdf#page=4","Abrir facsímil")</f>
        <v>Abrir facsímil</v>
      </c>
      <c r="K3702" s="12" t="s">
        <v>65</v>
      </c>
    </row>
    <row r="3703" spans="1:11" ht="40.049999999999997" customHeight="1" x14ac:dyDescent="0.25">
      <c r="A3703" s="11" t="s">
        <v>8026</v>
      </c>
      <c r="B3703" s="11" t="s">
        <v>8027</v>
      </c>
      <c r="C3703" s="11" t="s">
        <v>17</v>
      </c>
      <c r="D3703" s="11" t="s">
        <v>18</v>
      </c>
      <c r="E3703" s="12" t="s">
        <v>782</v>
      </c>
      <c r="F3703" s="12" t="s">
        <v>783</v>
      </c>
      <c r="G3703" s="12" t="s">
        <v>21</v>
      </c>
      <c r="H3703" s="11" t="s">
        <v>63</v>
      </c>
      <c r="I3703" s="13" t="s">
        <v>8028</v>
      </c>
      <c r="J3703" s="14" t="str">
        <f>HYPERLINK("https://www.boe.es/gazeta/dias/1839/05/09/pdfs/GMD-1839-1636.pdf#page=4","Abrir facsímil")</f>
        <v>Abrir facsímil</v>
      </c>
      <c r="K3703" s="12" t="s">
        <v>65</v>
      </c>
    </row>
    <row r="3704" spans="1:11" ht="40.049999999999997" customHeight="1" x14ac:dyDescent="0.25">
      <c r="A3704" s="11" t="s">
        <v>8029</v>
      </c>
      <c r="B3704" s="11" t="s">
        <v>8030</v>
      </c>
      <c r="C3704" s="11" t="s">
        <v>17</v>
      </c>
      <c r="D3704" s="11" t="s">
        <v>18</v>
      </c>
      <c r="E3704" s="12" t="s">
        <v>1523</v>
      </c>
      <c r="F3704" s="12" t="s">
        <v>1524</v>
      </c>
      <c r="G3704" s="12" t="s">
        <v>29</v>
      </c>
      <c r="H3704" s="11" t="s">
        <v>63</v>
      </c>
      <c r="I3704" s="13" t="s">
        <v>8031</v>
      </c>
      <c r="J3704" s="14" t="str">
        <f>HYPERLINK("https://www.boe.es/gazeta/dias/1839/08/29/pdfs/GMD-1839-1750.pdf#page=1","Abrir facsímil")</f>
        <v>Abrir facsímil</v>
      </c>
      <c r="K3704" s="12" t="s">
        <v>65</v>
      </c>
    </row>
    <row r="3705" spans="1:11" ht="40.049999999999997" customHeight="1" x14ac:dyDescent="0.25">
      <c r="A3705" s="11" t="s">
        <v>8032</v>
      </c>
      <c r="B3705" s="11" t="s">
        <v>8033</v>
      </c>
      <c r="C3705" s="11" t="s">
        <v>59</v>
      </c>
      <c r="D3705" s="11" t="s">
        <v>60</v>
      </c>
      <c r="E3705" s="12" t="s">
        <v>160</v>
      </c>
      <c r="F3705" s="12" t="s">
        <v>161</v>
      </c>
      <c r="G3705" s="12" t="s">
        <v>29</v>
      </c>
      <c r="H3705" s="11" t="s">
        <v>63</v>
      </c>
      <c r="I3705" s="13" t="s">
        <v>8034</v>
      </c>
      <c r="J3705" s="14" t="str">
        <f>HYPERLINK("https://www.boe.es/gazeta/dias/1839/01/10/pdfs/GMD-1839-1517.pdf#page=1","Abrir facsímil")</f>
        <v>Abrir facsímil</v>
      </c>
      <c r="K3705" s="12" t="s">
        <v>65</v>
      </c>
    </row>
    <row r="3706" spans="1:11" ht="40.049999999999997" customHeight="1" x14ac:dyDescent="0.25">
      <c r="A3706" s="11" t="s">
        <v>8035</v>
      </c>
      <c r="B3706" s="11" t="s">
        <v>8036</v>
      </c>
      <c r="C3706" s="11" t="s">
        <v>17</v>
      </c>
      <c r="D3706" s="11" t="s">
        <v>18</v>
      </c>
      <c r="E3706" s="12" t="s">
        <v>3224</v>
      </c>
      <c r="F3706" s="12" t="s">
        <v>3225</v>
      </c>
      <c r="G3706" s="12" t="s">
        <v>46</v>
      </c>
      <c r="H3706" s="11" t="s">
        <v>63</v>
      </c>
      <c r="I3706" s="13" t="s">
        <v>8037</v>
      </c>
      <c r="J3706" s="14" t="str">
        <f>HYPERLINK("https://www.boe.es/gazeta/dias/1839/06/03/pdfs/GMD-1839-1661.pdf#page=3","Abrir facsímil")</f>
        <v>Abrir facsímil</v>
      </c>
      <c r="K3706" s="12" t="s">
        <v>65</v>
      </c>
    </row>
    <row r="3707" spans="1:11" ht="40.049999999999997" customHeight="1" x14ac:dyDescent="0.25">
      <c r="A3707" s="11" t="s">
        <v>8038</v>
      </c>
      <c r="B3707" s="11" t="s">
        <v>8039</v>
      </c>
      <c r="C3707" s="11" t="s">
        <v>17</v>
      </c>
      <c r="D3707" s="11" t="s">
        <v>18</v>
      </c>
      <c r="E3707" s="12" t="s">
        <v>844</v>
      </c>
      <c r="F3707" s="12" t="s">
        <v>845</v>
      </c>
      <c r="G3707" s="12" t="s">
        <v>21</v>
      </c>
      <c r="H3707" s="11" t="s">
        <v>63</v>
      </c>
      <c r="I3707" s="13" t="s">
        <v>8040</v>
      </c>
      <c r="J3707" s="14" t="str">
        <f>HYPERLINK("https://www.boe.es/gazeta/dias/1839/12/24/pdfs/GMD-1839-1871.pdf#page=4","Abrir facsímil")</f>
        <v>Abrir facsímil</v>
      </c>
      <c r="K3707" s="12" t="s">
        <v>65</v>
      </c>
    </row>
    <row r="3708" spans="1:11" ht="40.049999999999997" customHeight="1" x14ac:dyDescent="0.25">
      <c r="A3708" s="11" t="s">
        <v>8041</v>
      </c>
      <c r="B3708" s="11" t="s">
        <v>8042</v>
      </c>
      <c r="C3708" s="11" t="s">
        <v>80</v>
      </c>
      <c r="D3708" s="11" t="s">
        <v>18</v>
      </c>
      <c r="E3708" s="12" t="s">
        <v>416</v>
      </c>
      <c r="F3708" s="12" t="s">
        <v>417</v>
      </c>
      <c r="G3708" s="12" t="s">
        <v>21</v>
      </c>
      <c r="H3708" s="11" t="s">
        <v>22</v>
      </c>
      <c r="I3708" s="13" t="s">
        <v>8043</v>
      </c>
      <c r="J3708" s="14" t="str">
        <f>HYPERLINK("https://www.boe.es/gazeta/dias/1839/10/24/pdfs/GMD-1839-1810.pdf#page=4","Abrir facsímil")</f>
        <v>Abrir facsímil</v>
      </c>
      <c r="K3708" s="12" t="s">
        <v>24</v>
      </c>
    </row>
    <row r="3709" spans="1:11" ht="40.049999999999997" customHeight="1" x14ac:dyDescent="0.25">
      <c r="A3709" s="11" t="s">
        <v>8044</v>
      </c>
      <c r="B3709" s="11" t="s">
        <v>8045</v>
      </c>
      <c r="C3709" s="11" t="s">
        <v>17</v>
      </c>
      <c r="D3709" s="11" t="s">
        <v>18</v>
      </c>
      <c r="E3709" s="12" t="s">
        <v>103</v>
      </c>
      <c r="F3709" s="12" t="s">
        <v>104</v>
      </c>
      <c r="G3709" s="12" t="s">
        <v>21</v>
      </c>
      <c r="H3709" s="11" t="s">
        <v>63</v>
      </c>
      <c r="I3709" s="13" t="s">
        <v>8046</v>
      </c>
      <c r="J3709" s="14" t="str">
        <f>HYPERLINK("https://www.boe.es/gazeta/dias/1839/10/12/pdfs/GMD-1839-1798.pdf#page=4","Abrir facsímil")</f>
        <v>Abrir facsímil</v>
      </c>
      <c r="K3709" s="12" t="s">
        <v>65</v>
      </c>
    </row>
    <row r="3710" spans="1:11" ht="40.049999999999997" customHeight="1" x14ac:dyDescent="0.25">
      <c r="A3710" s="11" t="s">
        <v>8047</v>
      </c>
      <c r="B3710" s="11" t="s">
        <v>8048</v>
      </c>
      <c r="C3710" s="11" t="s">
        <v>101</v>
      </c>
      <c r="D3710" s="11" t="s">
        <v>43</v>
      </c>
      <c r="E3710" s="12" t="s">
        <v>1179</v>
      </c>
      <c r="F3710" s="12" t="s">
        <v>1180</v>
      </c>
      <c r="G3710" s="12" t="s">
        <v>46</v>
      </c>
      <c r="H3710" s="11" t="s">
        <v>63</v>
      </c>
      <c r="I3710" s="13" t="s">
        <v>8049</v>
      </c>
      <c r="J3710" s="14" t="str">
        <f>HYPERLINK("https://www.boe.es/gazeta/dias/1839/10/18/pdfs/GMD-1839-1804.pdf#page=3","Abrir facsímil")</f>
        <v>Abrir facsímil</v>
      </c>
      <c r="K3710" s="12" t="s">
        <v>65</v>
      </c>
    </row>
    <row r="3711" spans="1:11" ht="40.049999999999997" customHeight="1" x14ac:dyDescent="0.25">
      <c r="A3711" s="11" t="s">
        <v>8050</v>
      </c>
      <c r="B3711" s="11" t="s">
        <v>8051</v>
      </c>
      <c r="C3711" s="11" t="s">
        <v>101</v>
      </c>
      <c r="D3711" s="11" t="s">
        <v>43</v>
      </c>
      <c r="E3711" s="12" t="s">
        <v>266</v>
      </c>
      <c r="F3711" s="12" t="s">
        <v>267</v>
      </c>
      <c r="G3711" s="12" t="s">
        <v>40</v>
      </c>
      <c r="H3711" s="11" t="s">
        <v>63</v>
      </c>
      <c r="I3711" s="13" t="s">
        <v>8052</v>
      </c>
      <c r="J3711" s="14" t="str">
        <f>HYPERLINK("https://www.boe.es/gazeta/dias/1839/01/03/pdfs/GMD-1839-1510.pdf#page=2","Abrir facsímil")</f>
        <v>Abrir facsímil</v>
      </c>
      <c r="K3711" s="12" t="s">
        <v>65</v>
      </c>
    </row>
    <row r="3712" spans="1:11" ht="40.049999999999997" customHeight="1" x14ac:dyDescent="0.25">
      <c r="A3712" s="11" t="s">
        <v>8050</v>
      </c>
      <c r="B3712" s="11" t="s">
        <v>8051</v>
      </c>
      <c r="C3712" s="11" t="s">
        <v>101</v>
      </c>
      <c r="D3712" s="11" t="s">
        <v>102</v>
      </c>
      <c r="E3712" s="12" t="s">
        <v>5399</v>
      </c>
      <c r="F3712" s="12" t="s">
        <v>5400</v>
      </c>
      <c r="G3712" s="12" t="s">
        <v>40</v>
      </c>
      <c r="H3712" s="11" t="s">
        <v>63</v>
      </c>
      <c r="I3712" s="13" t="s">
        <v>8053</v>
      </c>
      <c r="J3712" s="14" t="str">
        <f>HYPERLINK("https://www.boe.es/gazeta/dias/1839/10/14/pdfs/GMD-1839-1800.pdf#page=2","Abrir facsímil")</f>
        <v>Abrir facsímil</v>
      </c>
      <c r="K3712" s="12" t="s">
        <v>65</v>
      </c>
    </row>
    <row r="3713" spans="1:11" ht="40.049999999999997" customHeight="1" x14ac:dyDescent="0.25">
      <c r="A3713" s="11" t="s">
        <v>8050</v>
      </c>
      <c r="B3713" s="11" t="s">
        <v>8051</v>
      </c>
      <c r="C3713" s="11" t="s">
        <v>17</v>
      </c>
      <c r="D3713" s="11" t="s">
        <v>43</v>
      </c>
      <c r="E3713" s="12" t="s">
        <v>638</v>
      </c>
      <c r="F3713" s="12" t="s">
        <v>639</v>
      </c>
      <c r="G3713" s="12" t="s">
        <v>46</v>
      </c>
      <c r="H3713" s="11" t="s">
        <v>63</v>
      </c>
      <c r="I3713" s="13" t="s">
        <v>8054</v>
      </c>
      <c r="J3713" s="14" t="str">
        <f>HYPERLINK("https://www.boe.es/gazeta/dias/1839/08/26/pdfs/GMD-1839-1747.pdf#page=3","Abrir facsímil")</f>
        <v>Abrir facsímil</v>
      </c>
      <c r="K3713" s="12" t="s">
        <v>65</v>
      </c>
    </row>
    <row r="3714" spans="1:11" ht="40.049999999999997" customHeight="1" x14ac:dyDescent="0.25">
      <c r="A3714" s="11" t="s">
        <v>8055</v>
      </c>
      <c r="B3714" s="11" t="s">
        <v>8056</v>
      </c>
      <c r="C3714" s="11" t="s">
        <v>17</v>
      </c>
      <c r="D3714" s="11" t="s">
        <v>18</v>
      </c>
      <c r="E3714" s="12" t="s">
        <v>197</v>
      </c>
      <c r="F3714" s="12" t="s">
        <v>198</v>
      </c>
      <c r="G3714" s="12" t="s">
        <v>46</v>
      </c>
      <c r="H3714" s="11" t="s">
        <v>63</v>
      </c>
      <c r="I3714" s="13" t="s">
        <v>8057</v>
      </c>
      <c r="J3714" s="14" t="str">
        <f>HYPERLINK("https://www.boe.es/gazeta/dias/1839/10/04/pdfs/GMD-1839-1790.pdf#page=3","Abrir facsímil")</f>
        <v>Abrir facsímil</v>
      </c>
      <c r="K3714" s="12" t="s">
        <v>65</v>
      </c>
    </row>
    <row r="3715" spans="1:11" ht="40.049999999999997" customHeight="1" x14ac:dyDescent="0.25">
      <c r="A3715" s="11" t="s">
        <v>8058</v>
      </c>
      <c r="B3715" s="11" t="s">
        <v>8059</v>
      </c>
      <c r="C3715" s="11" t="s">
        <v>137</v>
      </c>
      <c r="D3715" s="11" t="s">
        <v>18</v>
      </c>
      <c r="E3715" s="12" t="s">
        <v>291</v>
      </c>
      <c r="F3715" s="12" t="s">
        <v>292</v>
      </c>
      <c r="G3715" s="12" t="s">
        <v>21</v>
      </c>
      <c r="H3715" s="11" t="s">
        <v>63</v>
      </c>
      <c r="I3715" s="13" t="s">
        <v>8060</v>
      </c>
      <c r="J3715" s="14" t="str">
        <f>HYPERLINK("https://www.boe.es/gazeta/dias/1839/09/04/pdfs/GMD-1839-1757.pdf#page=4","Abrir facsímil")</f>
        <v>Abrir facsímil</v>
      </c>
      <c r="K3715" s="12" t="s">
        <v>65</v>
      </c>
    </row>
    <row r="3716" spans="1:11" ht="40.049999999999997" customHeight="1" x14ac:dyDescent="0.25">
      <c r="A3716" s="11" t="s">
        <v>8058</v>
      </c>
      <c r="B3716" s="11" t="s">
        <v>8059</v>
      </c>
      <c r="C3716" s="11" t="s">
        <v>17</v>
      </c>
      <c r="D3716" s="11" t="s">
        <v>18</v>
      </c>
      <c r="E3716" s="12" t="s">
        <v>226</v>
      </c>
      <c r="F3716" s="12" t="s">
        <v>227</v>
      </c>
      <c r="G3716" s="12" t="s">
        <v>21</v>
      </c>
      <c r="H3716" s="11" t="s">
        <v>63</v>
      </c>
      <c r="I3716" s="13" t="s">
        <v>8061</v>
      </c>
      <c r="J3716" s="14" t="str">
        <f>HYPERLINK("https://www.boe.es/gazeta/dias/1839/06/09/pdfs/GMD-1839-1667.pdf#page=4","Abrir facsímil")</f>
        <v>Abrir facsímil</v>
      </c>
      <c r="K3716" s="12" t="s">
        <v>65</v>
      </c>
    </row>
    <row r="3717" spans="1:11" ht="40.049999999999997" customHeight="1" x14ac:dyDescent="0.25">
      <c r="A3717" s="11" t="s">
        <v>8058</v>
      </c>
      <c r="B3717" s="11" t="s">
        <v>8059</v>
      </c>
      <c r="C3717" s="11" t="s">
        <v>137</v>
      </c>
      <c r="D3717" s="11" t="s">
        <v>18</v>
      </c>
      <c r="E3717" s="12" t="s">
        <v>181</v>
      </c>
      <c r="F3717" s="12" t="s">
        <v>182</v>
      </c>
      <c r="G3717" s="12" t="s">
        <v>29</v>
      </c>
      <c r="H3717" s="11" t="s">
        <v>63</v>
      </c>
      <c r="I3717" s="13" t="s">
        <v>8062</v>
      </c>
      <c r="J3717" s="14" t="str">
        <f>HYPERLINK("https://www.boe.es/gazeta/dias/1839/01/11/pdfs/GMD-1839-1518.pdf#page=1","Abrir facsímil")</f>
        <v>Abrir facsímil</v>
      </c>
      <c r="K3717" s="12" t="s">
        <v>65</v>
      </c>
    </row>
    <row r="3718" spans="1:11" ht="40.049999999999997" customHeight="1" x14ac:dyDescent="0.25">
      <c r="A3718" s="11" t="s">
        <v>8058</v>
      </c>
      <c r="B3718" s="11" t="s">
        <v>8059</v>
      </c>
      <c r="C3718" s="11" t="s">
        <v>137</v>
      </c>
      <c r="D3718" s="11" t="s">
        <v>18</v>
      </c>
      <c r="E3718" s="12" t="s">
        <v>168</v>
      </c>
      <c r="F3718" s="12" t="s">
        <v>169</v>
      </c>
      <c r="G3718" s="12" t="s">
        <v>21</v>
      </c>
      <c r="H3718" s="11" t="s">
        <v>63</v>
      </c>
      <c r="I3718" s="13" t="s">
        <v>8063</v>
      </c>
      <c r="J3718" s="14" t="str">
        <f>HYPERLINK("https://www.boe.es/gazeta/dias/1839/07/12/pdfs/GMD-1839-1700.pdf#page=4","Abrir facsímil")</f>
        <v>Abrir facsímil</v>
      </c>
      <c r="K3718" s="12" t="s">
        <v>65</v>
      </c>
    </row>
    <row r="3719" spans="1:11" ht="40.049999999999997" customHeight="1" x14ac:dyDescent="0.25">
      <c r="A3719" s="11" t="s">
        <v>8058</v>
      </c>
      <c r="B3719" s="11" t="s">
        <v>8059</v>
      </c>
      <c r="C3719" s="11" t="s">
        <v>137</v>
      </c>
      <c r="D3719" s="11" t="s">
        <v>18</v>
      </c>
      <c r="E3719" s="12" t="s">
        <v>785</v>
      </c>
      <c r="F3719" s="12" t="s">
        <v>786</v>
      </c>
      <c r="G3719" s="12" t="s">
        <v>21</v>
      </c>
      <c r="H3719" s="11" t="s">
        <v>63</v>
      </c>
      <c r="I3719" s="13" t="s">
        <v>8064</v>
      </c>
      <c r="J3719" s="14" t="str">
        <f>HYPERLINK("https://www.boe.es/gazeta/dias/1839/07/13/pdfs/GMD-1839-1701.pdf#page=4","Abrir facsímil")</f>
        <v>Abrir facsímil</v>
      </c>
      <c r="K3719" s="12" t="s">
        <v>65</v>
      </c>
    </row>
    <row r="3720" spans="1:11" ht="40.049999999999997" customHeight="1" x14ac:dyDescent="0.25">
      <c r="A3720" s="11" t="s">
        <v>8058</v>
      </c>
      <c r="B3720" s="11" t="s">
        <v>8059</v>
      </c>
      <c r="C3720" s="11" t="s">
        <v>137</v>
      </c>
      <c r="D3720" s="11" t="s">
        <v>18</v>
      </c>
      <c r="E3720" s="12" t="s">
        <v>222</v>
      </c>
      <c r="F3720" s="12" t="s">
        <v>223</v>
      </c>
      <c r="G3720" s="12" t="s">
        <v>21</v>
      </c>
      <c r="H3720" s="11" t="s">
        <v>63</v>
      </c>
      <c r="I3720" s="13" t="s">
        <v>8065</v>
      </c>
      <c r="J3720" s="14" t="str">
        <f>HYPERLINK("https://www.boe.es/gazeta/dias/1839/06/22/pdfs/GMD-1839-1680.pdf#page=4","Abrir facsímil")</f>
        <v>Abrir facsímil</v>
      </c>
      <c r="K3720" s="12" t="s">
        <v>65</v>
      </c>
    </row>
    <row r="3721" spans="1:11" ht="40.049999999999997" customHeight="1" x14ac:dyDescent="0.25">
      <c r="A3721" s="11" t="s">
        <v>8058</v>
      </c>
      <c r="B3721" s="11" t="s">
        <v>8059</v>
      </c>
      <c r="C3721" s="11" t="s">
        <v>17</v>
      </c>
      <c r="D3721" s="11" t="s">
        <v>18</v>
      </c>
      <c r="E3721" s="12" t="s">
        <v>405</v>
      </c>
      <c r="F3721" s="12" t="s">
        <v>406</v>
      </c>
      <c r="G3721" s="12" t="s">
        <v>29</v>
      </c>
      <c r="H3721" s="11" t="s">
        <v>63</v>
      </c>
      <c r="I3721" s="13" t="s">
        <v>8066</v>
      </c>
      <c r="J3721" s="14" t="str">
        <f>HYPERLINK("https://www.boe.es/gazeta/dias/1839/03/25/pdfs/GMD-1839-1591.pdf#page=1","Abrir facsímil")</f>
        <v>Abrir facsímil</v>
      </c>
      <c r="K3721" s="12" t="s">
        <v>65</v>
      </c>
    </row>
    <row r="3722" spans="1:11" ht="40.049999999999997" customHeight="1" x14ac:dyDescent="0.25">
      <c r="A3722" s="11" t="s">
        <v>8058</v>
      </c>
      <c r="B3722" s="11" t="s">
        <v>8059</v>
      </c>
      <c r="C3722" s="11" t="s">
        <v>137</v>
      </c>
      <c r="D3722" s="11" t="s">
        <v>18</v>
      </c>
      <c r="E3722" s="12" t="s">
        <v>4528</v>
      </c>
      <c r="F3722" s="12" t="s">
        <v>4529</v>
      </c>
      <c r="G3722" s="12" t="s">
        <v>46</v>
      </c>
      <c r="H3722" s="11" t="s">
        <v>63</v>
      </c>
      <c r="I3722" s="13" t="s">
        <v>8067</v>
      </c>
      <c r="J3722" s="14" t="str">
        <f>HYPERLINK("https://www.boe.es/gazeta/dias/1839/01/28/pdfs/GMD-1839-1535.pdf#page=3","Abrir facsímil")</f>
        <v>Abrir facsímil</v>
      </c>
      <c r="K3722" s="12" t="s">
        <v>65</v>
      </c>
    </row>
    <row r="3723" spans="1:11" ht="40.049999999999997" customHeight="1" x14ac:dyDescent="0.25">
      <c r="A3723" s="11" t="s">
        <v>8058</v>
      </c>
      <c r="B3723" s="11" t="s">
        <v>8059</v>
      </c>
      <c r="C3723" s="11" t="s">
        <v>17</v>
      </c>
      <c r="D3723" s="11" t="s">
        <v>18</v>
      </c>
      <c r="E3723" s="12" t="s">
        <v>1749</v>
      </c>
      <c r="F3723" s="12" t="s">
        <v>1750</v>
      </c>
      <c r="G3723" s="12" t="s">
        <v>46</v>
      </c>
      <c r="H3723" s="11" t="s">
        <v>63</v>
      </c>
      <c r="I3723" s="13" t="s">
        <v>8068</v>
      </c>
      <c r="J3723" s="14" t="str">
        <f>HYPERLINK("https://www.boe.es/gazeta/dias/1839/06/28/pdfs/GMD-1839-1686.pdf#page=3","Abrir facsímil")</f>
        <v>Abrir facsímil</v>
      </c>
      <c r="K3723" s="12" t="s">
        <v>65</v>
      </c>
    </row>
    <row r="3724" spans="1:11" ht="40.049999999999997" customHeight="1" x14ac:dyDescent="0.25">
      <c r="A3724" s="11" t="s">
        <v>8058</v>
      </c>
      <c r="B3724" s="11" t="s">
        <v>8059</v>
      </c>
      <c r="C3724" s="11" t="s">
        <v>137</v>
      </c>
      <c r="D3724" s="11" t="s">
        <v>18</v>
      </c>
      <c r="E3724" s="12" t="s">
        <v>89</v>
      </c>
      <c r="F3724" s="12" t="s">
        <v>90</v>
      </c>
      <c r="G3724" s="12" t="s">
        <v>21</v>
      </c>
      <c r="H3724" s="11" t="s">
        <v>63</v>
      </c>
      <c r="I3724" s="13" t="s">
        <v>8069</v>
      </c>
      <c r="J3724" s="14" t="str">
        <f>HYPERLINK("https://www.boe.es/gazeta/dias/1839/11/28/pdfs/GMD-1839-1845.pdf#page=4","Abrir facsímil")</f>
        <v>Abrir facsímil</v>
      </c>
      <c r="K3724" s="12" t="s">
        <v>65</v>
      </c>
    </row>
    <row r="3725" spans="1:11" ht="40.049999999999997" customHeight="1" x14ac:dyDescent="0.25">
      <c r="A3725" s="11" t="s">
        <v>8058</v>
      </c>
      <c r="B3725" s="11" t="s">
        <v>8059</v>
      </c>
      <c r="C3725" s="11" t="s">
        <v>137</v>
      </c>
      <c r="D3725" s="11" t="s">
        <v>18</v>
      </c>
      <c r="E3725" s="12" t="s">
        <v>3391</v>
      </c>
      <c r="F3725" s="12" t="s">
        <v>3392</v>
      </c>
      <c r="G3725" s="12" t="s">
        <v>21</v>
      </c>
      <c r="H3725" s="11" t="s">
        <v>63</v>
      </c>
      <c r="I3725" s="13" t="s">
        <v>8070</v>
      </c>
      <c r="J3725" s="14" t="str">
        <f>HYPERLINK("https://www.boe.es/gazeta/dias/1839/12/31/pdfs/GMD-1839-1878.pdf#page=4","Abrir facsímil")</f>
        <v>Abrir facsímil</v>
      </c>
      <c r="K3725" s="12" t="s">
        <v>65</v>
      </c>
    </row>
    <row r="3726" spans="1:11" ht="40.049999999999997" customHeight="1" x14ac:dyDescent="0.25">
      <c r="A3726" s="11" t="s">
        <v>8071</v>
      </c>
      <c r="B3726" s="11" t="s">
        <v>8072</v>
      </c>
      <c r="C3726" s="11" t="s">
        <v>17</v>
      </c>
      <c r="D3726" s="11" t="s">
        <v>18</v>
      </c>
      <c r="E3726" s="12" t="s">
        <v>1100</v>
      </c>
      <c r="F3726" s="12" t="s">
        <v>1101</v>
      </c>
      <c r="G3726" s="12" t="s">
        <v>29</v>
      </c>
      <c r="H3726" s="11" t="s">
        <v>63</v>
      </c>
      <c r="I3726" s="13" t="s">
        <v>8073</v>
      </c>
      <c r="J3726" s="14" t="str">
        <f>HYPERLINK("https://www.boe.es/gazeta/dias/1839/09/13/pdfs/GMD-1839-1766.pdf#page=1","Abrir facsímil")</f>
        <v>Abrir facsímil</v>
      </c>
      <c r="K3726" s="12" t="s">
        <v>65</v>
      </c>
    </row>
    <row r="3727" spans="1:11" ht="40.049999999999997" customHeight="1" x14ac:dyDescent="0.25">
      <c r="A3727" s="11" t="s">
        <v>8074</v>
      </c>
      <c r="B3727" s="11" t="s">
        <v>8075</v>
      </c>
      <c r="C3727" s="11" t="s">
        <v>17</v>
      </c>
      <c r="D3727" s="11" t="s">
        <v>18</v>
      </c>
      <c r="E3727" s="12" t="s">
        <v>222</v>
      </c>
      <c r="F3727" s="12" t="s">
        <v>223</v>
      </c>
      <c r="G3727" s="12" t="s">
        <v>21</v>
      </c>
      <c r="H3727" s="11" t="s">
        <v>63</v>
      </c>
      <c r="I3727" s="13" t="s">
        <v>8076</v>
      </c>
      <c r="J3727" s="14" t="str">
        <f>HYPERLINK("https://www.boe.es/gazeta/dias/1839/06/22/pdfs/GMD-1839-1680.pdf#page=4","Abrir facsímil")</f>
        <v>Abrir facsímil</v>
      </c>
      <c r="K3727" s="12" t="s">
        <v>65</v>
      </c>
    </row>
    <row r="3728" spans="1:11" ht="40.049999999999997" customHeight="1" x14ac:dyDescent="0.25">
      <c r="A3728" s="11" t="s">
        <v>8077</v>
      </c>
      <c r="B3728" s="11" t="s">
        <v>8078</v>
      </c>
      <c r="C3728" s="11" t="s">
        <v>80</v>
      </c>
      <c r="D3728" s="11" t="s">
        <v>18</v>
      </c>
      <c r="E3728" s="12" t="s">
        <v>61</v>
      </c>
      <c r="F3728" s="12" t="s">
        <v>62</v>
      </c>
      <c r="G3728" s="12" t="s">
        <v>21</v>
      </c>
      <c r="H3728" s="11" t="s">
        <v>63</v>
      </c>
      <c r="I3728" s="13" t="s">
        <v>8079</v>
      </c>
      <c r="J3728" s="14" t="str">
        <f>HYPERLINK("https://www.boe.es/gazeta/dias/1839/09/10/pdfs/GMD-1839-1763.pdf#page=4","Abrir facsímil")</f>
        <v>Abrir facsímil</v>
      </c>
      <c r="K3728" s="12" t="s">
        <v>65</v>
      </c>
    </row>
    <row r="3729" spans="1:11" ht="40.049999999999997" customHeight="1" x14ac:dyDescent="0.25">
      <c r="A3729" s="11" t="s">
        <v>8080</v>
      </c>
      <c r="B3729" s="11" t="s">
        <v>8081</v>
      </c>
      <c r="C3729" s="11" t="s">
        <v>17</v>
      </c>
      <c r="D3729" s="11" t="s">
        <v>18</v>
      </c>
      <c r="E3729" s="12" t="s">
        <v>1654</v>
      </c>
      <c r="F3729" s="12" t="s">
        <v>1655</v>
      </c>
      <c r="G3729" s="12" t="s">
        <v>21</v>
      </c>
      <c r="H3729" s="11" t="s">
        <v>22</v>
      </c>
      <c r="I3729" s="13" t="s">
        <v>8082</v>
      </c>
      <c r="J3729" s="14" t="str">
        <f>HYPERLINK("https://www.boe.es/gazeta/dias/1839/11/19/pdfs/GMD-1839-1836.pdf#page=4","Abrir facsímil")</f>
        <v>Abrir facsímil</v>
      </c>
      <c r="K3729" s="12" t="s">
        <v>24</v>
      </c>
    </row>
    <row r="3730" spans="1:11" ht="40.049999999999997" customHeight="1" x14ac:dyDescent="0.25">
      <c r="A3730" s="11" t="s">
        <v>8083</v>
      </c>
      <c r="B3730" s="11" t="s">
        <v>8084</v>
      </c>
      <c r="C3730" s="11" t="s">
        <v>101</v>
      </c>
      <c r="D3730" s="11" t="s">
        <v>102</v>
      </c>
      <c r="E3730" s="12" t="s">
        <v>44</v>
      </c>
      <c r="F3730" s="12" t="s">
        <v>45</v>
      </c>
      <c r="G3730" s="12" t="s">
        <v>40</v>
      </c>
      <c r="H3730" s="11" t="s">
        <v>63</v>
      </c>
      <c r="I3730" s="13" t="s">
        <v>8085</v>
      </c>
      <c r="J3730" s="14" t="str">
        <f>HYPERLINK("https://www.boe.es/gazeta/dias/1839/11/15/pdfs/GMD-1839-1832.pdf#page=2","Abrir facsímil")</f>
        <v>Abrir facsímil</v>
      </c>
      <c r="K3730" s="12" t="s">
        <v>65</v>
      </c>
    </row>
    <row r="3731" spans="1:11" ht="40.049999999999997" customHeight="1" x14ac:dyDescent="0.25">
      <c r="A3731" s="11" t="s">
        <v>8086</v>
      </c>
      <c r="B3731" s="11" t="s">
        <v>8087</v>
      </c>
      <c r="C3731" s="11" t="s">
        <v>17</v>
      </c>
      <c r="D3731" s="11" t="s">
        <v>18</v>
      </c>
      <c r="E3731" s="12" t="s">
        <v>1479</v>
      </c>
      <c r="F3731" s="12" t="s">
        <v>1480</v>
      </c>
      <c r="G3731" s="12" t="s">
        <v>40</v>
      </c>
      <c r="H3731" s="11" t="s">
        <v>63</v>
      </c>
      <c r="I3731" s="13" t="s">
        <v>8088</v>
      </c>
      <c r="J3731" s="14" t="str">
        <f>HYPERLINK("https://www.boe.es/gazeta/dias/1839/04/09/pdfs/GMD-1839-1606.pdf#page=2","Abrir facsímil")</f>
        <v>Abrir facsímil</v>
      </c>
      <c r="K3731" s="12" t="s">
        <v>65</v>
      </c>
    </row>
    <row r="3732" spans="1:11" ht="40.049999999999997" customHeight="1" x14ac:dyDescent="0.25">
      <c r="A3732" s="11" t="s">
        <v>8089</v>
      </c>
      <c r="B3732" s="11" t="s">
        <v>8090</v>
      </c>
      <c r="C3732" s="11" t="s">
        <v>17</v>
      </c>
      <c r="D3732" s="11" t="s">
        <v>18</v>
      </c>
      <c r="E3732" s="12" t="s">
        <v>912</v>
      </c>
      <c r="F3732" s="12" t="s">
        <v>913</v>
      </c>
      <c r="G3732" s="12" t="s">
        <v>46</v>
      </c>
      <c r="H3732" s="11" t="s">
        <v>63</v>
      </c>
      <c r="I3732" s="13" t="s">
        <v>8091</v>
      </c>
      <c r="J3732" s="14" t="str">
        <f>HYPERLINK("https://www.boe.es/gazeta/dias/1839/04/30/pdfs/GMD-1839-1627.pdf#page=3","Abrir facsímil")</f>
        <v>Abrir facsímil</v>
      </c>
      <c r="K3732" s="12" t="s">
        <v>65</v>
      </c>
    </row>
    <row r="3733" spans="1:11" ht="40.049999999999997" customHeight="1" x14ac:dyDescent="0.25">
      <c r="A3733" s="11" t="s">
        <v>8092</v>
      </c>
      <c r="B3733" s="11" t="s">
        <v>8093</v>
      </c>
      <c r="C3733" s="11" t="s">
        <v>101</v>
      </c>
      <c r="D3733" s="11" t="s">
        <v>43</v>
      </c>
      <c r="E3733" s="12" t="s">
        <v>346</v>
      </c>
      <c r="F3733" s="12" t="s">
        <v>347</v>
      </c>
      <c r="G3733" s="12" t="s">
        <v>46</v>
      </c>
      <c r="H3733" s="11" t="s">
        <v>63</v>
      </c>
      <c r="I3733" s="13" t="s">
        <v>8094</v>
      </c>
      <c r="J3733" s="14" t="str">
        <f>HYPERLINK("https://www.boe.es/gazeta/dias/1839/03/24/pdfs/GMD-1839-1590.pdf#page=3","Abrir facsímil")</f>
        <v>Abrir facsímil</v>
      </c>
      <c r="K3733" s="12" t="s">
        <v>65</v>
      </c>
    </row>
    <row r="3734" spans="1:11" ht="40.049999999999997" customHeight="1" x14ac:dyDescent="0.25">
      <c r="A3734" s="11" t="s">
        <v>8095</v>
      </c>
      <c r="B3734" s="11" t="s">
        <v>8096</v>
      </c>
      <c r="C3734" s="11" t="s">
        <v>101</v>
      </c>
      <c r="D3734" s="11" t="s">
        <v>102</v>
      </c>
      <c r="E3734" s="12" t="s">
        <v>500</v>
      </c>
      <c r="F3734" s="12" t="s">
        <v>501</v>
      </c>
      <c r="G3734" s="12" t="s">
        <v>46</v>
      </c>
      <c r="H3734" s="11" t="s">
        <v>63</v>
      </c>
      <c r="I3734" s="13" t="s">
        <v>8097</v>
      </c>
      <c r="J3734" s="14" t="str">
        <f>HYPERLINK("https://www.boe.es/gazeta/dias/1839/11/06/pdfs/GMD-1839-1823.pdf#page=3","Abrir facsímil")</f>
        <v>Abrir facsímil</v>
      </c>
      <c r="K3734" s="12" t="s">
        <v>65</v>
      </c>
    </row>
    <row r="3735" spans="1:11" ht="40.049999999999997" customHeight="1" x14ac:dyDescent="0.25">
      <c r="A3735" s="11" t="s">
        <v>8098</v>
      </c>
      <c r="B3735" s="11" t="s">
        <v>8099</v>
      </c>
      <c r="C3735" s="11" t="s">
        <v>101</v>
      </c>
      <c r="D3735" s="11" t="s">
        <v>102</v>
      </c>
      <c r="E3735" s="12" t="s">
        <v>132</v>
      </c>
      <c r="F3735" s="12" t="s">
        <v>133</v>
      </c>
      <c r="G3735" s="12" t="s">
        <v>46</v>
      </c>
      <c r="H3735" s="11" t="s">
        <v>63</v>
      </c>
      <c r="I3735" s="13" t="s">
        <v>8100</v>
      </c>
      <c r="J3735" s="14" t="str">
        <f>HYPERLINK("https://www.boe.es/gazeta/dias/1839/08/02/pdfs/GMD-1839-1722.pdf#page=3","Abrir facsímil")</f>
        <v>Abrir facsímil</v>
      </c>
      <c r="K3735" s="12" t="s">
        <v>65</v>
      </c>
    </row>
    <row r="3736" spans="1:11" ht="40.049999999999997" customHeight="1" x14ac:dyDescent="0.25">
      <c r="A3736" s="11" t="s">
        <v>8101</v>
      </c>
      <c r="B3736" s="11" t="s">
        <v>8102</v>
      </c>
      <c r="C3736" s="11" t="s">
        <v>59</v>
      </c>
      <c r="D3736" s="11" t="s">
        <v>60</v>
      </c>
      <c r="E3736" s="12" t="s">
        <v>1019</v>
      </c>
      <c r="F3736" s="12" t="s">
        <v>1020</v>
      </c>
      <c r="G3736" s="12" t="s">
        <v>21</v>
      </c>
      <c r="H3736" s="11" t="s">
        <v>63</v>
      </c>
      <c r="I3736" s="13" t="s">
        <v>8103</v>
      </c>
      <c r="J3736" s="14" t="str">
        <f>HYPERLINK("https://www.boe.es/gazeta/dias/1839/07/15/pdfs/GMD-1839-1703.pdf#page=4","Abrir facsímil")</f>
        <v>Abrir facsímil</v>
      </c>
      <c r="K3736" s="12" t="s">
        <v>65</v>
      </c>
    </row>
    <row r="3737" spans="1:11" ht="40.049999999999997" customHeight="1" x14ac:dyDescent="0.25">
      <c r="A3737" s="11" t="s">
        <v>8104</v>
      </c>
      <c r="B3737" s="11" t="s">
        <v>8105</v>
      </c>
      <c r="C3737" s="11" t="s">
        <v>17</v>
      </c>
      <c r="D3737" s="11" t="s">
        <v>18</v>
      </c>
      <c r="E3737" s="12" t="s">
        <v>1725</v>
      </c>
      <c r="F3737" s="12" t="s">
        <v>1726</v>
      </c>
      <c r="G3737" s="12" t="s">
        <v>29</v>
      </c>
      <c r="H3737" s="11" t="s">
        <v>63</v>
      </c>
      <c r="I3737" s="13" t="s">
        <v>8106</v>
      </c>
      <c r="J3737" s="14" t="str">
        <f>HYPERLINK("https://www.boe.es/gazeta/dias/1839/11/17/pdfs/GMD-1839-1834.pdf#page=1","Abrir facsímil")</f>
        <v>Abrir facsímil</v>
      </c>
      <c r="K3737" s="12" t="s">
        <v>65</v>
      </c>
    </row>
    <row r="3738" spans="1:11" ht="40.049999999999997" customHeight="1" x14ac:dyDescent="0.25">
      <c r="A3738" s="11" t="s">
        <v>8107</v>
      </c>
      <c r="B3738" s="11" t="s">
        <v>8108</v>
      </c>
      <c r="C3738" s="11" t="s">
        <v>17</v>
      </c>
      <c r="D3738" s="11" t="s">
        <v>18</v>
      </c>
      <c r="E3738" s="12" t="s">
        <v>84</v>
      </c>
      <c r="F3738" s="12" t="s">
        <v>85</v>
      </c>
      <c r="G3738" s="12" t="s">
        <v>29</v>
      </c>
      <c r="H3738" s="11" t="s">
        <v>63</v>
      </c>
      <c r="I3738" s="13" t="s">
        <v>8109</v>
      </c>
      <c r="J3738" s="14" t="str">
        <f>HYPERLINK("https://www.boe.es/gazeta/dias/1839/03/11/pdfs/GMD-1839-1577.pdf#page=1","Abrir facsímil")</f>
        <v>Abrir facsímil</v>
      </c>
      <c r="K3738" s="12" t="s">
        <v>65</v>
      </c>
    </row>
    <row r="3739" spans="1:11" ht="40.049999999999997" customHeight="1" x14ac:dyDescent="0.25">
      <c r="A3739" s="11" t="s">
        <v>8110</v>
      </c>
      <c r="B3739" s="11" t="s">
        <v>8111</v>
      </c>
      <c r="C3739" s="11" t="s">
        <v>137</v>
      </c>
      <c r="D3739" s="11" t="s">
        <v>18</v>
      </c>
      <c r="E3739" s="12" t="s">
        <v>834</v>
      </c>
      <c r="F3739" s="12" t="s">
        <v>835</v>
      </c>
      <c r="G3739" s="12" t="s">
        <v>21</v>
      </c>
      <c r="H3739" s="11" t="s">
        <v>63</v>
      </c>
      <c r="I3739" s="13" t="s">
        <v>8112</v>
      </c>
      <c r="J3739" s="14" t="str">
        <f>HYPERLINK("https://www.boe.es/gazeta/dias/1839/08/17/pdfs/GMD-1839-1737.pdf#page=4","Abrir facsímil")</f>
        <v>Abrir facsímil</v>
      </c>
      <c r="K3739" s="12" t="s">
        <v>65</v>
      </c>
    </row>
    <row r="3740" spans="1:11" ht="40.049999999999997" customHeight="1" x14ac:dyDescent="0.25">
      <c r="A3740" s="11" t="s">
        <v>8113</v>
      </c>
      <c r="B3740" s="11" t="s">
        <v>8114</v>
      </c>
      <c r="C3740" s="11" t="s">
        <v>137</v>
      </c>
      <c r="D3740" s="11" t="s">
        <v>18</v>
      </c>
      <c r="E3740" s="12" t="s">
        <v>222</v>
      </c>
      <c r="F3740" s="12" t="s">
        <v>223</v>
      </c>
      <c r="G3740" s="12" t="s">
        <v>40</v>
      </c>
      <c r="H3740" s="11" t="s">
        <v>63</v>
      </c>
      <c r="I3740" s="13" t="s">
        <v>8115</v>
      </c>
      <c r="J3740" s="14" t="str">
        <f>HYPERLINK("https://www.boe.es/gazeta/dias/1839/06/22/pdfs/GMD-1839-1680.pdf#page=2","Abrir facsímil")</f>
        <v>Abrir facsímil</v>
      </c>
      <c r="K3740" s="12" t="s">
        <v>65</v>
      </c>
    </row>
    <row r="3741" spans="1:11" ht="40.049999999999997" customHeight="1" x14ac:dyDescent="0.25">
      <c r="A3741" s="11" t="s">
        <v>8116</v>
      </c>
      <c r="B3741" s="11" t="s">
        <v>8117</v>
      </c>
      <c r="C3741" s="11" t="s">
        <v>101</v>
      </c>
      <c r="D3741" s="11" t="s">
        <v>43</v>
      </c>
      <c r="E3741" s="12" t="s">
        <v>94</v>
      </c>
      <c r="F3741" s="12" t="s">
        <v>95</v>
      </c>
      <c r="G3741" s="12" t="s">
        <v>40</v>
      </c>
      <c r="H3741" s="11" t="s">
        <v>22</v>
      </c>
      <c r="I3741" s="13" t="s">
        <v>8118</v>
      </c>
      <c r="J3741" s="14" t="str">
        <f>HYPERLINK("https://www.boe.es/gazeta/dias/1839/02/24/pdfs/GMD-1839-1562.pdf#page=2","Abrir facsímil")</f>
        <v>Abrir facsímil</v>
      </c>
      <c r="K3741" s="12" t="s">
        <v>24</v>
      </c>
    </row>
    <row r="3742" spans="1:11" ht="40.049999999999997" customHeight="1" x14ac:dyDescent="0.25">
      <c r="A3742" s="11" t="s">
        <v>8119</v>
      </c>
      <c r="B3742" s="11" t="s">
        <v>8120</v>
      </c>
      <c r="C3742" s="11" t="s">
        <v>17</v>
      </c>
      <c r="D3742" s="11" t="s">
        <v>18</v>
      </c>
      <c r="E3742" s="12" t="s">
        <v>94</v>
      </c>
      <c r="F3742" s="12" t="s">
        <v>95</v>
      </c>
      <c r="G3742" s="12" t="s">
        <v>29</v>
      </c>
      <c r="H3742" s="11" t="s">
        <v>63</v>
      </c>
      <c r="I3742" s="13" t="s">
        <v>8121</v>
      </c>
      <c r="J3742" s="14" t="str">
        <f>HYPERLINK("https://www.boe.es/gazeta/dias/1839/02/24/pdfs/GMD-1839-1562.pdf#page=1","Abrir facsímil")</f>
        <v>Abrir facsímil</v>
      </c>
      <c r="K3742" s="12" t="s">
        <v>65</v>
      </c>
    </row>
    <row r="3743" spans="1:11" ht="40.049999999999997" customHeight="1" x14ac:dyDescent="0.25">
      <c r="A3743" s="11" t="s">
        <v>8122</v>
      </c>
      <c r="B3743" s="11" t="s">
        <v>8123</v>
      </c>
      <c r="C3743" s="11" t="s">
        <v>17</v>
      </c>
      <c r="D3743" s="11" t="s">
        <v>18</v>
      </c>
      <c r="E3743" s="12" t="s">
        <v>809</v>
      </c>
      <c r="F3743" s="12" t="s">
        <v>810</v>
      </c>
      <c r="G3743" s="12" t="s">
        <v>29</v>
      </c>
      <c r="H3743" s="11" t="s">
        <v>63</v>
      </c>
      <c r="I3743" s="13" t="s">
        <v>8124</v>
      </c>
      <c r="J3743" s="14" t="str">
        <f>HYPERLINK("https://www.boe.es/gazeta/dias/1839/02/11/pdfs/GMD-1839-1549.pdf#page=1","Abrir facsímil")</f>
        <v>Abrir facsímil</v>
      </c>
      <c r="K3743" s="12" t="s">
        <v>65</v>
      </c>
    </row>
    <row r="3744" spans="1:11" ht="40.049999999999997" customHeight="1" x14ac:dyDescent="0.25">
      <c r="A3744" s="11" t="s">
        <v>8125</v>
      </c>
      <c r="B3744" s="11" t="s">
        <v>8126</v>
      </c>
      <c r="C3744" s="11" t="s">
        <v>59</v>
      </c>
      <c r="D3744" s="11" t="s">
        <v>60</v>
      </c>
      <c r="E3744" s="12" t="s">
        <v>704</v>
      </c>
      <c r="F3744" s="12" t="s">
        <v>705</v>
      </c>
      <c r="G3744" s="12" t="s">
        <v>40</v>
      </c>
      <c r="H3744" s="11" t="s">
        <v>63</v>
      </c>
      <c r="I3744" s="13" t="s">
        <v>8127</v>
      </c>
      <c r="J3744" s="14" t="str">
        <f>HYPERLINK("https://www.boe.es/gazeta/dias/1839/03/02/pdfs/GMD-1839-1568.pdf#page=2","Abrir facsímil")</f>
        <v>Abrir facsímil</v>
      </c>
      <c r="K3744" s="12" t="s">
        <v>65</v>
      </c>
    </row>
    <row r="3745" spans="1:11" ht="40.049999999999997" customHeight="1" x14ac:dyDescent="0.25">
      <c r="A3745" s="11" t="s">
        <v>8128</v>
      </c>
      <c r="B3745" s="11" t="s">
        <v>8129</v>
      </c>
      <c r="C3745" s="11" t="s">
        <v>17</v>
      </c>
      <c r="D3745" s="11" t="s">
        <v>18</v>
      </c>
      <c r="E3745" s="12" t="s">
        <v>2449</v>
      </c>
      <c r="F3745" s="12" t="s">
        <v>2450</v>
      </c>
      <c r="G3745" s="12" t="s">
        <v>40</v>
      </c>
      <c r="H3745" s="11" t="s">
        <v>22</v>
      </c>
      <c r="I3745" s="13" t="s">
        <v>8130</v>
      </c>
      <c r="J3745" s="14" t="str">
        <f>HYPERLINK("https://www.boe.es/gazeta/dias/1839/12/11/pdfs/GMD-1839-1858.pdf#page=2","Abrir facsímil")</f>
        <v>Abrir facsímil</v>
      </c>
      <c r="K3745" s="12" t="s">
        <v>24</v>
      </c>
    </row>
    <row r="3746" spans="1:11" ht="40.049999999999997" customHeight="1" x14ac:dyDescent="0.25">
      <c r="A3746" s="11" t="s">
        <v>8131</v>
      </c>
      <c r="B3746" s="11" t="s">
        <v>8132</v>
      </c>
      <c r="C3746" s="11" t="s">
        <v>17</v>
      </c>
      <c r="D3746" s="11" t="s">
        <v>18</v>
      </c>
      <c r="E3746" s="12" t="s">
        <v>1813</v>
      </c>
      <c r="F3746" s="12" t="s">
        <v>1814</v>
      </c>
      <c r="G3746" s="12" t="s">
        <v>21</v>
      </c>
      <c r="H3746" s="11" t="s">
        <v>22</v>
      </c>
      <c r="I3746" s="13" t="s">
        <v>8133</v>
      </c>
      <c r="J3746" s="14" t="str">
        <f>HYPERLINK("https://www.boe.es/gazeta/dias/1839/09/02/pdfs/GMD-1839-1754.pdf#page=4","Abrir facsímil")</f>
        <v>Abrir facsímil</v>
      </c>
      <c r="K3746" s="12" t="s">
        <v>24</v>
      </c>
    </row>
    <row r="3747" spans="1:11" ht="40.049999999999997" customHeight="1" x14ac:dyDescent="0.25">
      <c r="A3747" s="11" t="s">
        <v>8134</v>
      </c>
      <c r="B3747" s="11" t="s">
        <v>8135</v>
      </c>
      <c r="C3747" s="11" t="s">
        <v>59</v>
      </c>
      <c r="D3747" s="11" t="s">
        <v>60</v>
      </c>
      <c r="E3747" s="12" t="s">
        <v>1252</v>
      </c>
      <c r="F3747" s="12" t="s">
        <v>1253</v>
      </c>
      <c r="G3747" s="12" t="s">
        <v>21</v>
      </c>
      <c r="H3747" s="11" t="s">
        <v>63</v>
      </c>
      <c r="I3747" s="13" t="s">
        <v>8136</v>
      </c>
      <c r="J3747" s="14" t="str">
        <f>HYPERLINK("https://www.boe.es/gazeta/dias/1839/06/15/pdfs/GMD-1839-1673.pdf#page=4","Abrir facsímil")</f>
        <v>Abrir facsímil</v>
      </c>
      <c r="K3747" s="12" t="s">
        <v>65</v>
      </c>
    </row>
    <row r="3748" spans="1:11" ht="40.049999999999997" customHeight="1" x14ac:dyDescent="0.25">
      <c r="A3748" s="11" t="s">
        <v>8137</v>
      </c>
      <c r="B3748" s="11" t="s">
        <v>8138</v>
      </c>
      <c r="C3748" s="11" t="s">
        <v>101</v>
      </c>
      <c r="D3748" s="11" t="s">
        <v>43</v>
      </c>
      <c r="E3748" s="12" t="s">
        <v>68</v>
      </c>
      <c r="F3748" s="12" t="s">
        <v>69</v>
      </c>
      <c r="G3748" s="12" t="s">
        <v>29</v>
      </c>
      <c r="H3748" s="11" t="s">
        <v>63</v>
      </c>
      <c r="I3748" s="13" t="s">
        <v>8139</v>
      </c>
      <c r="J3748" s="14" t="str">
        <f>HYPERLINK("https://www.boe.es/gazeta/dias/1839/02/09/pdfs/GMD-1839-1547.pdf#page=1","Abrir facsímil")</f>
        <v>Abrir facsímil</v>
      </c>
      <c r="K3748" s="12" t="s">
        <v>65</v>
      </c>
    </row>
    <row r="3749" spans="1:11" ht="40.049999999999997" customHeight="1" x14ac:dyDescent="0.25">
      <c r="A3749" s="11" t="s">
        <v>8140</v>
      </c>
      <c r="B3749" s="11" t="s">
        <v>8141</v>
      </c>
      <c r="C3749" s="11" t="s">
        <v>17</v>
      </c>
      <c r="D3749" s="11" t="s">
        <v>18</v>
      </c>
      <c r="E3749" s="12" t="s">
        <v>1252</v>
      </c>
      <c r="F3749" s="12" t="s">
        <v>1253</v>
      </c>
      <c r="G3749" s="12" t="s">
        <v>29</v>
      </c>
      <c r="H3749" s="11" t="s">
        <v>63</v>
      </c>
      <c r="I3749" s="13" t="s">
        <v>8142</v>
      </c>
      <c r="J3749" s="14" t="str">
        <f>HYPERLINK("https://www.boe.es/gazeta/dias/1839/06/15/pdfs/GMD-1839-1673.pdf#page=1","Abrir facsímil")</f>
        <v>Abrir facsímil</v>
      </c>
      <c r="K3749" s="12" t="s">
        <v>65</v>
      </c>
    </row>
    <row r="3750" spans="1:11" ht="40.049999999999997" customHeight="1" x14ac:dyDescent="0.25">
      <c r="A3750" s="11" t="s">
        <v>8143</v>
      </c>
      <c r="B3750" s="11" t="s">
        <v>8144</v>
      </c>
      <c r="C3750" s="11" t="s">
        <v>17</v>
      </c>
      <c r="D3750" s="11" t="s">
        <v>18</v>
      </c>
      <c r="E3750" s="12" t="s">
        <v>269</v>
      </c>
      <c r="F3750" s="12" t="s">
        <v>270</v>
      </c>
      <c r="G3750" s="12" t="s">
        <v>40</v>
      </c>
      <c r="H3750" s="11" t="s">
        <v>63</v>
      </c>
      <c r="I3750" s="13" t="s">
        <v>8145</v>
      </c>
      <c r="J3750" s="14" t="str">
        <f>HYPERLINK("https://www.boe.es/gazeta/dias/1839/02/10/pdfs/GMD-1839-1548.pdf#page=2","Abrir facsímil")</f>
        <v>Abrir facsímil</v>
      </c>
      <c r="K3750" s="12" t="s">
        <v>65</v>
      </c>
    </row>
    <row r="3751" spans="1:11" ht="40.049999999999997" customHeight="1" x14ac:dyDescent="0.25">
      <c r="A3751" s="11" t="s">
        <v>8146</v>
      </c>
      <c r="B3751" s="11" t="s">
        <v>8147</v>
      </c>
      <c r="C3751" s="11" t="s">
        <v>137</v>
      </c>
      <c r="D3751" s="11" t="s">
        <v>18</v>
      </c>
      <c r="E3751" s="12" t="s">
        <v>3114</v>
      </c>
      <c r="F3751" s="12" t="s">
        <v>3115</v>
      </c>
      <c r="G3751" s="12" t="s">
        <v>21</v>
      </c>
      <c r="H3751" s="11" t="s">
        <v>63</v>
      </c>
      <c r="I3751" s="13" t="s">
        <v>8148</v>
      </c>
      <c r="J3751" s="14" t="str">
        <f>HYPERLINK("https://www.boe.es/gazeta/dias/1839/05/15/pdfs/GMD-1839-1642.pdf#page=4","Abrir facsímil")</f>
        <v>Abrir facsímil</v>
      </c>
      <c r="K3751" s="12" t="s">
        <v>65</v>
      </c>
    </row>
    <row r="3752" spans="1:11" ht="40.049999999999997" customHeight="1" x14ac:dyDescent="0.25">
      <c r="A3752" s="11" t="s">
        <v>8149</v>
      </c>
      <c r="B3752" s="11" t="s">
        <v>8150</v>
      </c>
      <c r="C3752" s="11" t="s">
        <v>17</v>
      </c>
      <c r="D3752" s="11" t="s">
        <v>18</v>
      </c>
      <c r="E3752" s="12" t="s">
        <v>503</v>
      </c>
      <c r="F3752" s="12" t="s">
        <v>504</v>
      </c>
      <c r="G3752" s="12" t="s">
        <v>46</v>
      </c>
      <c r="H3752" s="11" t="s">
        <v>63</v>
      </c>
      <c r="I3752" s="13" t="s">
        <v>8151</v>
      </c>
      <c r="J3752" s="14" t="str">
        <f>HYPERLINK("https://www.boe.es/gazeta/dias/1839/06/07/pdfs/GMD-1839-1665.pdf#page=3","Abrir facsímil")</f>
        <v>Abrir facsímil</v>
      </c>
      <c r="K3752" s="12" t="s">
        <v>65</v>
      </c>
    </row>
    <row r="3753" spans="1:11" ht="40.049999999999997" customHeight="1" x14ac:dyDescent="0.25">
      <c r="A3753" s="11" t="s">
        <v>8152</v>
      </c>
      <c r="B3753" s="11" t="s">
        <v>8153</v>
      </c>
      <c r="C3753" s="11" t="s">
        <v>137</v>
      </c>
      <c r="D3753" s="11" t="s">
        <v>18</v>
      </c>
      <c r="E3753" s="12" t="s">
        <v>668</v>
      </c>
      <c r="F3753" s="12" t="s">
        <v>669</v>
      </c>
      <c r="G3753" s="12" t="s">
        <v>46</v>
      </c>
      <c r="H3753" s="11" t="s">
        <v>63</v>
      </c>
      <c r="I3753" s="13" t="s">
        <v>8154</v>
      </c>
      <c r="J3753" s="14" t="str">
        <f>HYPERLINK("https://www.boe.es/gazeta/dias/1839/03/28/pdfs/GMD-1839-1594.pdf#page=3","Abrir facsímil")</f>
        <v>Abrir facsímil</v>
      </c>
      <c r="K3753" s="12" t="s">
        <v>65</v>
      </c>
    </row>
    <row r="3754" spans="1:11" ht="40.049999999999997" customHeight="1" x14ac:dyDescent="0.25">
      <c r="A3754" s="11" t="s">
        <v>8155</v>
      </c>
      <c r="B3754" s="11" t="s">
        <v>8156</v>
      </c>
      <c r="C3754" s="11" t="s">
        <v>17</v>
      </c>
      <c r="D3754" s="11" t="s">
        <v>18</v>
      </c>
      <c r="E3754" s="12" t="s">
        <v>857</v>
      </c>
      <c r="F3754" s="12" t="s">
        <v>858</v>
      </c>
      <c r="G3754" s="12" t="s">
        <v>29</v>
      </c>
      <c r="H3754" s="11" t="s">
        <v>63</v>
      </c>
      <c r="I3754" s="13" t="s">
        <v>8157</v>
      </c>
      <c r="J3754" s="14" t="str">
        <f>HYPERLINK("https://www.boe.es/gazeta/dias/1839/11/21/pdfs/GMD-1839-1838.pdf#page=1","Abrir facsímil")</f>
        <v>Abrir facsímil</v>
      </c>
      <c r="K3754" s="12" t="s">
        <v>65</v>
      </c>
    </row>
    <row r="3755" spans="1:11" ht="40.049999999999997" customHeight="1" x14ac:dyDescent="0.25">
      <c r="A3755" s="11" t="s">
        <v>8158</v>
      </c>
      <c r="B3755" s="11" t="s">
        <v>8159</v>
      </c>
      <c r="C3755" s="11" t="s">
        <v>101</v>
      </c>
      <c r="D3755" s="11" t="s">
        <v>43</v>
      </c>
      <c r="E3755" s="12" t="s">
        <v>486</v>
      </c>
      <c r="F3755" s="12" t="s">
        <v>487</v>
      </c>
      <c r="G3755" s="12" t="s">
        <v>29</v>
      </c>
      <c r="H3755" s="11" t="s">
        <v>63</v>
      </c>
      <c r="I3755" s="13" t="s">
        <v>8160</v>
      </c>
      <c r="J3755" s="14" t="str">
        <f>HYPERLINK("https://www.boe.es/gazeta/dias/1839/04/19/pdfs/GMD-1839-1616.pdf#page=1","Abrir facsímil")</f>
        <v>Abrir facsímil</v>
      </c>
      <c r="K3755" s="12" t="s">
        <v>65</v>
      </c>
    </row>
    <row r="3756" spans="1:11" ht="40.049999999999997" customHeight="1" x14ac:dyDescent="0.25">
      <c r="A3756" s="11" t="s">
        <v>8161</v>
      </c>
      <c r="B3756" s="11" t="s">
        <v>8162</v>
      </c>
      <c r="C3756" s="11" t="s">
        <v>17</v>
      </c>
      <c r="D3756" s="11" t="s">
        <v>18</v>
      </c>
      <c r="E3756" s="12" t="s">
        <v>258</v>
      </c>
      <c r="F3756" s="12" t="s">
        <v>259</v>
      </c>
      <c r="G3756" s="12" t="s">
        <v>46</v>
      </c>
      <c r="H3756" s="11" t="s">
        <v>22</v>
      </c>
      <c r="I3756" s="13" t="s">
        <v>8163</v>
      </c>
      <c r="J3756" s="14" t="str">
        <f>HYPERLINK("https://www.boe.es/gazeta/dias/1839/01/02/pdfs/GMD-1839-1509.pdf#page=3","Abrir facsímil")</f>
        <v>Abrir facsímil</v>
      </c>
      <c r="K3756" s="12" t="s">
        <v>24</v>
      </c>
    </row>
    <row r="3757" spans="1:11" ht="40.049999999999997" customHeight="1" x14ac:dyDescent="0.25">
      <c r="A3757" s="11" t="s">
        <v>8164</v>
      </c>
      <c r="B3757" s="11" t="s">
        <v>8165</v>
      </c>
      <c r="C3757" s="11" t="s">
        <v>17</v>
      </c>
      <c r="D3757" s="11" t="s">
        <v>18</v>
      </c>
      <c r="E3757" s="12" t="s">
        <v>744</v>
      </c>
      <c r="F3757" s="12" t="s">
        <v>745</v>
      </c>
      <c r="G3757" s="12" t="s">
        <v>21</v>
      </c>
      <c r="H3757" s="11" t="s">
        <v>63</v>
      </c>
      <c r="I3757" s="13" t="s">
        <v>8166</v>
      </c>
      <c r="J3757" s="14" t="str">
        <f>HYPERLINK("https://www.boe.es/gazeta/dias/1839/12/09/pdfs/GMD-1839-1856.pdf#page=4","Abrir facsímil")</f>
        <v>Abrir facsímil</v>
      </c>
      <c r="K3757" s="12" t="s">
        <v>65</v>
      </c>
    </row>
    <row r="3758" spans="1:11" ht="40.049999999999997" customHeight="1" x14ac:dyDescent="0.25">
      <c r="A3758" s="11" t="s">
        <v>8167</v>
      </c>
      <c r="B3758" s="11" t="s">
        <v>8167</v>
      </c>
      <c r="C3758" s="11" t="s">
        <v>17</v>
      </c>
      <c r="D3758" s="11" t="s">
        <v>18</v>
      </c>
      <c r="E3758" s="12" t="s">
        <v>1611</v>
      </c>
      <c r="F3758" s="12" t="s">
        <v>1612</v>
      </c>
      <c r="G3758" s="12" t="s">
        <v>40</v>
      </c>
      <c r="H3758" s="11" t="s">
        <v>22</v>
      </c>
      <c r="I3758" s="13" t="s">
        <v>8168</v>
      </c>
      <c r="J3758" s="14" t="str">
        <f>HYPERLINK("https://www.boe.es/gazeta/dias/1839/05/03/pdfs/GMD-1839-1630.pdf#page=2","Abrir facsímil")</f>
        <v>Abrir facsímil</v>
      </c>
      <c r="K3758" s="12" t="s">
        <v>24</v>
      </c>
    </row>
    <row r="3759" spans="1:11" ht="40.049999999999997" customHeight="1" x14ac:dyDescent="0.25">
      <c r="A3759" s="11" t="s">
        <v>8167</v>
      </c>
      <c r="B3759" s="11" t="s">
        <v>8167</v>
      </c>
      <c r="C3759" s="11" t="s">
        <v>17</v>
      </c>
      <c r="D3759" s="11" t="s">
        <v>18</v>
      </c>
      <c r="E3759" s="12" t="s">
        <v>217</v>
      </c>
      <c r="F3759" s="12" t="s">
        <v>218</v>
      </c>
      <c r="G3759" s="12" t="s">
        <v>46</v>
      </c>
      <c r="H3759" s="11" t="s">
        <v>22</v>
      </c>
      <c r="I3759" s="13" t="s">
        <v>8169</v>
      </c>
      <c r="J3759" s="14" t="str">
        <f>HYPERLINK("https://www.boe.es/gazeta/dias/1839/08/06/pdfs/GMD-1839-1726.pdf#page=3","Abrir facsímil")</f>
        <v>Abrir facsímil</v>
      </c>
      <c r="K3759" s="12" t="s">
        <v>24</v>
      </c>
    </row>
    <row r="3760" spans="1:11" ht="40.049999999999997" customHeight="1" x14ac:dyDescent="0.25">
      <c r="A3760" s="11" t="s">
        <v>8167</v>
      </c>
      <c r="B3760" s="11" t="s">
        <v>8167</v>
      </c>
      <c r="C3760" s="11" t="s">
        <v>59</v>
      </c>
      <c r="D3760" s="11" t="s">
        <v>60</v>
      </c>
      <c r="E3760" s="12" t="s">
        <v>918</v>
      </c>
      <c r="F3760" s="12" t="s">
        <v>919</v>
      </c>
      <c r="G3760" s="12" t="s">
        <v>40</v>
      </c>
      <c r="H3760" s="11" t="s">
        <v>22</v>
      </c>
      <c r="I3760" s="13" t="s">
        <v>8170</v>
      </c>
      <c r="J3760" s="14" t="str">
        <f>HYPERLINK("https://www.boe.es/gazeta/dias/1839/12/07/pdfs/GMD-1839-1854.pdf#page=2","Abrir facsímil")</f>
        <v>Abrir facsímil</v>
      </c>
      <c r="K3760" s="12" t="s">
        <v>24</v>
      </c>
    </row>
    <row r="3761" spans="1:11" ht="40.049999999999997" customHeight="1" x14ac:dyDescent="0.25">
      <c r="A3761" s="11" t="s">
        <v>8167</v>
      </c>
      <c r="B3761" s="11" t="s">
        <v>8167</v>
      </c>
      <c r="C3761" s="11" t="s">
        <v>17</v>
      </c>
      <c r="D3761" s="11" t="s">
        <v>18</v>
      </c>
      <c r="E3761" s="12" t="s">
        <v>138</v>
      </c>
      <c r="F3761" s="12" t="s">
        <v>139</v>
      </c>
      <c r="G3761" s="12" t="s">
        <v>29</v>
      </c>
      <c r="H3761" s="11" t="s">
        <v>22</v>
      </c>
      <c r="I3761" s="13" t="s">
        <v>8171</v>
      </c>
      <c r="J3761" s="14" t="str">
        <f>HYPERLINK("https://www.boe.es/gazeta/dias/1839/10/09/pdfs/GMD-1839-1795.pdf#page=1","Abrir facsímil")</f>
        <v>Abrir facsímil</v>
      </c>
      <c r="K3761" s="12" t="s">
        <v>24</v>
      </c>
    </row>
    <row r="3762" spans="1:11" ht="40.049999999999997" customHeight="1" x14ac:dyDescent="0.25">
      <c r="A3762" s="11" t="s">
        <v>8167</v>
      </c>
      <c r="B3762" s="11" t="s">
        <v>8167</v>
      </c>
      <c r="C3762" s="11" t="s">
        <v>59</v>
      </c>
      <c r="D3762" s="11" t="s">
        <v>60</v>
      </c>
      <c r="E3762" s="12" t="s">
        <v>2262</v>
      </c>
      <c r="F3762" s="12" t="s">
        <v>2263</v>
      </c>
      <c r="G3762" s="12" t="s">
        <v>40</v>
      </c>
      <c r="H3762" s="11" t="s">
        <v>22</v>
      </c>
      <c r="I3762" s="13" t="s">
        <v>8172</v>
      </c>
      <c r="J3762" s="14" t="str">
        <f>HYPERLINK("https://www.boe.es/gazeta/dias/1839/03/16/pdfs/GMD-1839-1582.pdf#page=2","Abrir facsímil")</f>
        <v>Abrir facsímil</v>
      </c>
      <c r="K3762" s="12" t="s">
        <v>24</v>
      </c>
    </row>
    <row r="3763" spans="1:11" ht="40.049999999999997" customHeight="1" x14ac:dyDescent="0.25">
      <c r="A3763" s="11" t="s">
        <v>8167</v>
      </c>
      <c r="B3763" s="11" t="s">
        <v>8167</v>
      </c>
      <c r="C3763" s="11" t="s">
        <v>80</v>
      </c>
      <c r="D3763" s="11" t="s">
        <v>18</v>
      </c>
      <c r="E3763" s="12" t="s">
        <v>2851</v>
      </c>
      <c r="F3763" s="12" t="s">
        <v>2852</v>
      </c>
      <c r="G3763" s="12" t="s">
        <v>29</v>
      </c>
      <c r="H3763" s="11" t="s">
        <v>22</v>
      </c>
      <c r="I3763" s="13" t="s">
        <v>8173</v>
      </c>
      <c r="J3763" s="14" t="str">
        <f>HYPERLINK("https://www.boe.es/gazeta/dias/1839/05/16/pdfs/GMD-1839-1643.pdf#page=1","Abrir facsímil")</f>
        <v>Abrir facsímil</v>
      </c>
      <c r="K3763" s="12" t="s">
        <v>24</v>
      </c>
    </row>
    <row r="3764" spans="1:11" ht="40.049999999999997" customHeight="1" x14ac:dyDescent="0.25">
      <c r="A3764" s="11" t="s">
        <v>8167</v>
      </c>
      <c r="B3764" s="11" t="s">
        <v>8167</v>
      </c>
      <c r="C3764" s="11" t="s">
        <v>17</v>
      </c>
      <c r="D3764" s="11" t="s">
        <v>18</v>
      </c>
      <c r="E3764" s="12" t="s">
        <v>821</v>
      </c>
      <c r="F3764" s="12" t="s">
        <v>822</v>
      </c>
      <c r="G3764" s="12" t="s">
        <v>29</v>
      </c>
      <c r="H3764" s="11" t="s">
        <v>22</v>
      </c>
      <c r="I3764" s="13" t="s">
        <v>8174</v>
      </c>
      <c r="J3764" s="14" t="str">
        <f>HYPERLINK("https://www.boe.es/gazeta/dias/1839/09/20/pdfs/GMD-1839-1775.pdf#page=1","Abrir facsímil")</f>
        <v>Abrir facsímil</v>
      </c>
      <c r="K3764" s="12" t="s">
        <v>24</v>
      </c>
    </row>
    <row r="3765" spans="1:11" ht="40.049999999999997" customHeight="1" x14ac:dyDescent="0.25">
      <c r="A3765" s="11" t="s">
        <v>8167</v>
      </c>
      <c r="B3765" s="11" t="s">
        <v>8167</v>
      </c>
      <c r="C3765" s="11" t="s">
        <v>80</v>
      </c>
      <c r="D3765" s="11" t="s">
        <v>18</v>
      </c>
      <c r="E3765" s="12" t="s">
        <v>601</v>
      </c>
      <c r="F3765" s="12" t="s">
        <v>602</v>
      </c>
      <c r="G3765" s="12" t="s">
        <v>21</v>
      </c>
      <c r="H3765" s="11" t="s">
        <v>22</v>
      </c>
      <c r="I3765" s="13" t="s">
        <v>8175</v>
      </c>
      <c r="J3765" s="14" t="str">
        <f>HYPERLINK("https://www.boe.es/gazeta/dias/1839/04/21/pdfs/GMD-1839-1618.pdf#page=4","Abrir facsímil")</f>
        <v>Abrir facsímil</v>
      </c>
      <c r="K3765" s="12" t="s">
        <v>24</v>
      </c>
    </row>
    <row r="3766" spans="1:11" ht="40.049999999999997" customHeight="1" x14ac:dyDescent="0.25">
      <c r="A3766" s="11" t="s">
        <v>8167</v>
      </c>
      <c r="B3766" s="11" t="s">
        <v>8167</v>
      </c>
      <c r="C3766" s="11" t="s">
        <v>17</v>
      </c>
      <c r="D3766" s="11" t="s">
        <v>18</v>
      </c>
      <c r="E3766" s="12" t="s">
        <v>912</v>
      </c>
      <c r="F3766" s="12" t="s">
        <v>913</v>
      </c>
      <c r="G3766" s="12" t="s">
        <v>29</v>
      </c>
      <c r="H3766" s="11" t="s">
        <v>22</v>
      </c>
      <c r="I3766" s="13" t="s">
        <v>8176</v>
      </c>
      <c r="J3766" s="14" t="str">
        <f>HYPERLINK("https://www.boe.es/gazeta/dias/1839/04/30/pdfs/GMD-1839-1627.pdf#page=1","Abrir facsímil")</f>
        <v>Abrir facsímil</v>
      </c>
      <c r="K3766" s="12" t="s">
        <v>24</v>
      </c>
    </row>
    <row r="3767" spans="1:11" ht="40.049999999999997" customHeight="1" x14ac:dyDescent="0.25">
      <c r="A3767" s="11" t="s">
        <v>8177</v>
      </c>
      <c r="B3767" s="11" t="s">
        <v>8178</v>
      </c>
      <c r="C3767" s="11" t="s">
        <v>17</v>
      </c>
      <c r="D3767" s="11" t="s">
        <v>18</v>
      </c>
      <c r="E3767" s="12" t="s">
        <v>1183</v>
      </c>
      <c r="F3767" s="12" t="s">
        <v>1184</v>
      </c>
      <c r="G3767" s="12" t="s">
        <v>21</v>
      </c>
      <c r="H3767" s="11" t="s">
        <v>63</v>
      </c>
      <c r="I3767" s="13" t="s">
        <v>8179</v>
      </c>
      <c r="J3767" s="14" t="str">
        <f>HYPERLINK("https://www.boe.es/gazeta/dias/1839/07/26/pdfs/GMD-1839-1715.pdf#page=4","Abrir facsímil")</f>
        <v>Abrir facsímil</v>
      </c>
      <c r="K3767" s="12" t="s">
        <v>65</v>
      </c>
    </row>
    <row r="3768" spans="1:11" ht="40.049999999999997" customHeight="1" x14ac:dyDescent="0.25">
      <c r="A3768" s="11" t="s">
        <v>8180</v>
      </c>
      <c r="B3768" s="11" t="s">
        <v>8181</v>
      </c>
      <c r="C3768" s="11" t="s">
        <v>17</v>
      </c>
      <c r="D3768" s="11" t="s">
        <v>18</v>
      </c>
      <c r="E3768" s="12" t="s">
        <v>500</v>
      </c>
      <c r="F3768" s="12" t="s">
        <v>501</v>
      </c>
      <c r="G3768" s="12" t="s">
        <v>46</v>
      </c>
      <c r="H3768" s="11" t="s">
        <v>63</v>
      </c>
      <c r="I3768" s="13" t="s">
        <v>8182</v>
      </c>
      <c r="J3768" s="14" t="str">
        <f>HYPERLINK("https://www.boe.es/gazeta/dias/1839/11/06/pdfs/GMD-1839-1823.pdf#page=3","Abrir facsímil")</f>
        <v>Abrir facsímil</v>
      </c>
      <c r="K3768" s="12" t="s">
        <v>65</v>
      </c>
    </row>
    <row r="3769" spans="1:11" ht="40.049999999999997" customHeight="1" x14ac:dyDescent="0.25">
      <c r="A3769" s="11" t="s">
        <v>8183</v>
      </c>
      <c r="B3769" s="11" t="s">
        <v>8184</v>
      </c>
      <c r="C3769" s="11" t="s">
        <v>80</v>
      </c>
      <c r="D3769" s="11" t="s">
        <v>18</v>
      </c>
      <c r="E3769" s="12" t="s">
        <v>1027</v>
      </c>
      <c r="F3769" s="12" t="s">
        <v>1028</v>
      </c>
      <c r="G3769" s="12" t="s">
        <v>21</v>
      </c>
      <c r="H3769" s="11" t="s">
        <v>63</v>
      </c>
      <c r="I3769" s="13" t="s">
        <v>8185</v>
      </c>
      <c r="J3769" s="14" t="str">
        <f>HYPERLINK("https://www.boe.es/gazeta/dias/1839/08/16/pdfs/GMD-1839-1736.pdf#page=4","Abrir facsímil")</f>
        <v>Abrir facsímil</v>
      </c>
      <c r="K3769" s="12" t="s">
        <v>65</v>
      </c>
    </row>
    <row r="3770" spans="1:11" ht="40.049999999999997" customHeight="1" x14ac:dyDescent="0.25">
      <c r="A3770" s="11" t="s">
        <v>8186</v>
      </c>
      <c r="B3770" s="11" t="s">
        <v>8187</v>
      </c>
      <c r="C3770" s="11" t="s">
        <v>137</v>
      </c>
      <c r="D3770" s="11" t="s">
        <v>18</v>
      </c>
      <c r="E3770" s="12" t="s">
        <v>606</v>
      </c>
      <c r="F3770" s="12" t="s">
        <v>607</v>
      </c>
      <c r="G3770" s="12" t="s">
        <v>29</v>
      </c>
      <c r="H3770" s="11" t="s">
        <v>63</v>
      </c>
      <c r="I3770" s="13" t="s">
        <v>8188</v>
      </c>
      <c r="J3770" s="14" t="str">
        <f>HYPERLINK("https://www.boe.es/gazeta/dias/1839/04/02/pdfs/GMD-1839-1599.pdf#page=1","Abrir facsímil")</f>
        <v>Abrir facsímil</v>
      </c>
      <c r="K3770" s="12" t="s">
        <v>65</v>
      </c>
    </row>
    <row r="3771" spans="1:11" ht="40.049999999999997" customHeight="1" x14ac:dyDescent="0.25">
      <c r="A3771" s="11" t="s">
        <v>8189</v>
      </c>
      <c r="B3771" s="11" t="s">
        <v>8190</v>
      </c>
      <c r="C3771" s="11" t="s">
        <v>17</v>
      </c>
      <c r="D3771" s="11" t="s">
        <v>18</v>
      </c>
      <c r="E3771" s="12" t="s">
        <v>1008</v>
      </c>
      <c r="F3771" s="12" t="s">
        <v>1009</v>
      </c>
      <c r="G3771" s="12" t="s">
        <v>21</v>
      </c>
      <c r="H3771" s="11" t="s">
        <v>63</v>
      </c>
      <c r="I3771" s="13" t="s">
        <v>8191</v>
      </c>
      <c r="J3771" s="14" t="str">
        <f>HYPERLINK("https://www.boe.es/gazeta/dias/1839/09/07/pdfs/GMD-1839-1760.pdf#page=4","Abrir facsímil")</f>
        <v>Abrir facsímil</v>
      </c>
      <c r="K3771" s="12" t="s">
        <v>65</v>
      </c>
    </row>
    <row r="3772" spans="1:11" ht="40.049999999999997" customHeight="1" x14ac:dyDescent="0.25">
      <c r="A3772" s="11" t="s">
        <v>8189</v>
      </c>
      <c r="B3772" s="11" t="s">
        <v>8190</v>
      </c>
      <c r="C3772" s="11" t="s">
        <v>101</v>
      </c>
      <c r="D3772" s="11" t="s">
        <v>43</v>
      </c>
      <c r="E3772" s="12" t="s">
        <v>61</v>
      </c>
      <c r="F3772" s="12" t="s">
        <v>62</v>
      </c>
      <c r="G3772" s="12" t="s">
        <v>40</v>
      </c>
      <c r="H3772" s="11" t="s">
        <v>63</v>
      </c>
      <c r="I3772" s="13" t="s">
        <v>8192</v>
      </c>
      <c r="J3772" s="14" t="str">
        <f>HYPERLINK("https://www.boe.es/gazeta/dias/1839/09/10/pdfs/GMD-1839-1763.pdf#page=2","Abrir facsímil")</f>
        <v>Abrir facsímil</v>
      </c>
      <c r="K3772" s="12" t="s">
        <v>65</v>
      </c>
    </row>
    <row r="3773" spans="1:11" ht="40.049999999999997" customHeight="1" x14ac:dyDescent="0.25">
      <c r="A3773" s="11" t="s">
        <v>8189</v>
      </c>
      <c r="B3773" s="11" t="s">
        <v>8190</v>
      </c>
      <c r="C3773" s="11" t="s">
        <v>17</v>
      </c>
      <c r="D3773" s="11" t="s">
        <v>18</v>
      </c>
      <c r="E3773" s="12" t="s">
        <v>1867</v>
      </c>
      <c r="F3773" s="12" t="s">
        <v>1868</v>
      </c>
      <c r="G3773" s="12" t="s">
        <v>40</v>
      </c>
      <c r="H3773" s="11" t="s">
        <v>63</v>
      </c>
      <c r="I3773" s="13" t="s">
        <v>8193</v>
      </c>
      <c r="J3773" s="14" t="str">
        <f>HYPERLINK("https://www.boe.es/gazeta/dias/1839/01/30/pdfs/GMD-1839-1537.pdf#page=2","Abrir facsímil")</f>
        <v>Abrir facsímil</v>
      </c>
      <c r="K3773" s="12" t="s">
        <v>65</v>
      </c>
    </row>
    <row r="3774" spans="1:11" ht="40.049999999999997" customHeight="1" x14ac:dyDescent="0.25">
      <c r="A3774" s="11" t="s">
        <v>8194</v>
      </c>
      <c r="B3774" s="11" t="s">
        <v>8195</v>
      </c>
      <c r="C3774" s="11" t="s">
        <v>17</v>
      </c>
      <c r="D3774" s="11" t="s">
        <v>18</v>
      </c>
      <c r="E3774" s="12" t="s">
        <v>700</v>
      </c>
      <c r="F3774" s="12" t="s">
        <v>701</v>
      </c>
      <c r="G3774" s="12" t="s">
        <v>21</v>
      </c>
      <c r="H3774" s="11" t="s">
        <v>63</v>
      </c>
      <c r="I3774" s="13" t="s">
        <v>8196</v>
      </c>
      <c r="J3774" s="14" t="str">
        <f>HYPERLINK("https://www.boe.es/gazeta/dias/1839/09/01/pdfs/GMD-1839-1753.pdf#page=4","Abrir facsímil")</f>
        <v>Abrir facsímil</v>
      </c>
      <c r="K3774" s="12" t="s">
        <v>65</v>
      </c>
    </row>
    <row r="3775" spans="1:11" ht="40.049999999999997" customHeight="1" x14ac:dyDescent="0.25">
      <c r="A3775" s="11" t="s">
        <v>8197</v>
      </c>
      <c r="B3775" s="11" t="s">
        <v>8198</v>
      </c>
      <c r="C3775" s="11" t="s">
        <v>137</v>
      </c>
      <c r="D3775" s="11" t="s">
        <v>18</v>
      </c>
      <c r="E3775" s="12" t="s">
        <v>1012</v>
      </c>
      <c r="F3775" s="12" t="s">
        <v>1013</v>
      </c>
      <c r="G3775" s="12" t="s">
        <v>46</v>
      </c>
      <c r="H3775" s="11" t="s">
        <v>22</v>
      </c>
      <c r="I3775" s="13" t="s">
        <v>8199</v>
      </c>
      <c r="J3775" s="14" t="str">
        <f>HYPERLINK("https://www.boe.es/gazeta/dias/1839/11/22/pdfs/GMD-1839-1839.pdf#page=3","Abrir facsímil")</f>
        <v>Abrir facsímil</v>
      </c>
      <c r="K3775" s="12" t="s">
        <v>24</v>
      </c>
    </row>
    <row r="3776" spans="1:11" ht="40.049999999999997" customHeight="1" x14ac:dyDescent="0.25">
      <c r="A3776" s="11" t="s">
        <v>8200</v>
      </c>
      <c r="B3776" s="11" t="s">
        <v>8201</v>
      </c>
      <c r="C3776" s="11" t="s">
        <v>80</v>
      </c>
      <c r="D3776" s="11" t="s">
        <v>18</v>
      </c>
      <c r="E3776" s="12" t="s">
        <v>280</v>
      </c>
      <c r="F3776" s="12" t="s">
        <v>281</v>
      </c>
      <c r="G3776" s="12" t="s">
        <v>29</v>
      </c>
      <c r="H3776" s="11" t="s">
        <v>63</v>
      </c>
      <c r="I3776" s="13" t="s">
        <v>8202</v>
      </c>
      <c r="J3776" s="14" t="str">
        <f>HYPERLINK("https://www.boe.es/gazeta/dias/1839/08/21/pdfs/GMD-1839-1742.pdf#page=1","Abrir facsímil")</f>
        <v>Abrir facsímil</v>
      </c>
      <c r="K3776" s="12" t="s">
        <v>65</v>
      </c>
    </row>
    <row r="3777" spans="1:11" ht="40.049999999999997" customHeight="1" x14ac:dyDescent="0.25">
      <c r="A3777" s="11" t="s">
        <v>8203</v>
      </c>
      <c r="B3777" s="11" t="s">
        <v>8204</v>
      </c>
      <c r="C3777" s="11" t="s">
        <v>80</v>
      </c>
      <c r="D3777" s="11" t="s">
        <v>18</v>
      </c>
      <c r="E3777" s="12" t="s">
        <v>89</v>
      </c>
      <c r="F3777" s="12" t="s">
        <v>90</v>
      </c>
      <c r="G3777" s="12" t="s">
        <v>21</v>
      </c>
      <c r="H3777" s="11" t="s">
        <v>63</v>
      </c>
      <c r="I3777" s="13" t="s">
        <v>8205</v>
      </c>
      <c r="J3777" s="14" t="str">
        <f>HYPERLINK("https://www.boe.es/gazeta/dias/1839/11/28/pdfs/GMD-1839-1845.pdf#page=4","Abrir facsímil")</f>
        <v>Abrir facsímil</v>
      </c>
      <c r="K3777" s="12" t="s">
        <v>65</v>
      </c>
    </row>
    <row r="3778" spans="1:11" ht="40.049999999999997" customHeight="1" x14ac:dyDescent="0.25">
      <c r="A3778" s="11" t="s">
        <v>8206</v>
      </c>
      <c r="B3778" s="11" t="s">
        <v>8207</v>
      </c>
      <c r="C3778" s="11" t="s">
        <v>17</v>
      </c>
      <c r="D3778" s="11" t="s">
        <v>18</v>
      </c>
      <c r="E3778" s="12" t="s">
        <v>76</v>
      </c>
      <c r="F3778" s="12" t="s">
        <v>77</v>
      </c>
      <c r="G3778" s="12" t="s">
        <v>40</v>
      </c>
      <c r="H3778" s="11" t="s">
        <v>63</v>
      </c>
      <c r="I3778" s="13" t="s">
        <v>8208</v>
      </c>
      <c r="J3778" s="14" t="str">
        <f>HYPERLINK("https://www.boe.es/gazeta/dias/1839/03/13/pdfs/GMD-1839-1579.pdf#page=2","Abrir facsímil")</f>
        <v>Abrir facsímil</v>
      </c>
      <c r="K3778" s="12" t="s">
        <v>65</v>
      </c>
    </row>
    <row r="3779" spans="1:11" ht="40.049999999999997" customHeight="1" x14ac:dyDescent="0.25">
      <c r="A3779" s="11" t="s">
        <v>8209</v>
      </c>
      <c r="B3779" s="11" t="s">
        <v>8210</v>
      </c>
      <c r="C3779" s="11" t="s">
        <v>17</v>
      </c>
      <c r="D3779" s="11" t="s">
        <v>18</v>
      </c>
      <c r="E3779" s="12" t="s">
        <v>821</v>
      </c>
      <c r="F3779" s="12" t="s">
        <v>822</v>
      </c>
      <c r="G3779" s="12" t="s">
        <v>40</v>
      </c>
      <c r="H3779" s="11" t="s">
        <v>22</v>
      </c>
      <c r="I3779" s="13" t="s">
        <v>8211</v>
      </c>
      <c r="J3779" s="14" t="str">
        <f>HYPERLINK("https://www.boe.es/gazeta/dias/1839/09/20/pdfs/GMD-1839-1775.pdf#page=2","Abrir facsímil")</f>
        <v>Abrir facsímil</v>
      </c>
      <c r="K3779" s="12" t="s">
        <v>24</v>
      </c>
    </row>
    <row r="3780" spans="1:11" ht="40.049999999999997" customHeight="1" x14ac:dyDescent="0.25">
      <c r="A3780" s="11" t="s">
        <v>8212</v>
      </c>
      <c r="B3780" s="11" t="s">
        <v>8213</v>
      </c>
      <c r="C3780" s="11" t="s">
        <v>80</v>
      </c>
      <c r="D3780" s="11" t="s">
        <v>18</v>
      </c>
      <c r="E3780" s="12" t="s">
        <v>222</v>
      </c>
      <c r="F3780" s="12" t="s">
        <v>223</v>
      </c>
      <c r="G3780" s="12" t="s">
        <v>21</v>
      </c>
      <c r="H3780" s="11" t="s">
        <v>63</v>
      </c>
      <c r="I3780" s="13" t="s">
        <v>8214</v>
      </c>
      <c r="J3780" s="14" t="str">
        <f>HYPERLINK("https://www.boe.es/gazeta/dias/1839/06/22/pdfs/GMD-1839-1680.pdf#page=4","Abrir facsímil")</f>
        <v>Abrir facsímil</v>
      </c>
      <c r="K3780" s="12" t="s">
        <v>65</v>
      </c>
    </row>
    <row r="3781" spans="1:11" ht="40.049999999999997" customHeight="1" x14ac:dyDescent="0.25">
      <c r="A3781" s="11" t="s">
        <v>8215</v>
      </c>
      <c r="B3781" s="11" t="s">
        <v>8216</v>
      </c>
      <c r="C3781" s="11" t="s">
        <v>17</v>
      </c>
      <c r="D3781" s="11" t="s">
        <v>18</v>
      </c>
      <c r="E3781" s="12" t="s">
        <v>388</v>
      </c>
      <c r="F3781" s="12" t="s">
        <v>389</v>
      </c>
      <c r="G3781" s="12" t="s">
        <v>21</v>
      </c>
      <c r="H3781" s="11" t="s">
        <v>63</v>
      </c>
      <c r="I3781" s="13" t="s">
        <v>8217</v>
      </c>
      <c r="J3781" s="14" t="str">
        <f>HYPERLINK("https://www.boe.es/gazeta/dias/1839/08/07/pdfs/GMD-1839-1727.pdf#page=4","Abrir facsímil")</f>
        <v>Abrir facsímil</v>
      </c>
      <c r="K3781" s="12" t="s">
        <v>65</v>
      </c>
    </row>
    <row r="3782" spans="1:11" ht="40.049999999999997" customHeight="1" x14ac:dyDescent="0.25">
      <c r="A3782" s="11" t="s">
        <v>8218</v>
      </c>
      <c r="B3782" s="11" t="s">
        <v>8219</v>
      </c>
      <c r="C3782" s="11" t="s">
        <v>17</v>
      </c>
      <c r="D3782" s="11" t="s">
        <v>18</v>
      </c>
      <c r="E3782" s="12" t="s">
        <v>355</v>
      </c>
      <c r="F3782" s="12" t="s">
        <v>356</v>
      </c>
      <c r="G3782" s="12" t="s">
        <v>29</v>
      </c>
      <c r="H3782" s="11" t="s">
        <v>63</v>
      </c>
      <c r="I3782" s="13" t="s">
        <v>8220</v>
      </c>
      <c r="J3782" s="14" t="str">
        <f>HYPERLINK("https://www.boe.es/gazeta/dias/1839/05/31/pdfs/GMD-1839-1658.pdf#page=1","Abrir facsímil")</f>
        <v>Abrir facsímil</v>
      </c>
      <c r="K3782" s="12" t="s">
        <v>65</v>
      </c>
    </row>
    <row r="3783" spans="1:11" ht="40.049999999999997" customHeight="1" x14ac:dyDescent="0.25">
      <c r="A3783" s="11" t="s">
        <v>8221</v>
      </c>
      <c r="B3783" s="11" t="s">
        <v>8222</v>
      </c>
      <c r="C3783" s="11" t="s">
        <v>17</v>
      </c>
      <c r="D3783" s="11" t="s">
        <v>18</v>
      </c>
      <c r="E3783" s="12" t="s">
        <v>2021</v>
      </c>
      <c r="F3783" s="12" t="s">
        <v>2022</v>
      </c>
      <c r="G3783" s="12" t="s">
        <v>29</v>
      </c>
      <c r="H3783" s="11" t="s">
        <v>63</v>
      </c>
      <c r="I3783" s="13" t="s">
        <v>8223</v>
      </c>
      <c r="J3783" s="14" t="str">
        <f>HYPERLINK("https://www.boe.es/gazeta/dias/1839/02/17/pdfs/GMD-1839-1555.pdf#page=1","Abrir facsímil")</f>
        <v>Abrir facsímil</v>
      </c>
      <c r="K3783" s="12" t="s">
        <v>65</v>
      </c>
    </row>
    <row r="3784" spans="1:11" ht="40.049999999999997" customHeight="1" x14ac:dyDescent="0.25">
      <c r="A3784" s="11" t="s">
        <v>8224</v>
      </c>
      <c r="B3784" s="11" t="s">
        <v>8225</v>
      </c>
      <c r="C3784" s="11" t="s">
        <v>17</v>
      </c>
      <c r="D3784" s="11" t="s">
        <v>18</v>
      </c>
      <c r="E3784" s="12" t="s">
        <v>1072</v>
      </c>
      <c r="F3784" s="12" t="s">
        <v>1073</v>
      </c>
      <c r="G3784" s="12" t="s">
        <v>21</v>
      </c>
      <c r="H3784" s="11" t="s">
        <v>63</v>
      </c>
      <c r="I3784" s="13" t="s">
        <v>8226</v>
      </c>
      <c r="J3784" s="14" t="str">
        <f>HYPERLINK("https://www.boe.es/gazeta/dias/1839/01/18/pdfs/GMD-1839-1525.pdf#page=4","Abrir facsímil")</f>
        <v>Abrir facsímil</v>
      </c>
      <c r="K3784" s="12" t="s">
        <v>65</v>
      </c>
    </row>
    <row r="3785" spans="1:11" ht="40.049999999999997" customHeight="1" x14ac:dyDescent="0.25">
      <c r="A3785" s="11" t="s">
        <v>8227</v>
      </c>
      <c r="B3785" s="11" t="s">
        <v>8228</v>
      </c>
      <c r="C3785" s="11" t="s">
        <v>101</v>
      </c>
      <c r="D3785" s="11" t="s">
        <v>102</v>
      </c>
      <c r="E3785" s="12" t="s">
        <v>503</v>
      </c>
      <c r="F3785" s="12" t="s">
        <v>504</v>
      </c>
      <c r="G3785" s="12" t="s">
        <v>46</v>
      </c>
      <c r="H3785" s="11" t="s">
        <v>63</v>
      </c>
      <c r="I3785" s="13" t="s">
        <v>8229</v>
      </c>
      <c r="J3785" s="14" t="str">
        <f>HYPERLINK("https://www.boe.es/gazeta/dias/1839/06/07/pdfs/GMD-1839-1665.pdf#page=3","Abrir facsímil")</f>
        <v>Abrir facsímil</v>
      </c>
      <c r="K3785" s="12" t="s">
        <v>65</v>
      </c>
    </row>
    <row r="3786" spans="1:11" ht="40.049999999999997" customHeight="1" x14ac:dyDescent="0.25">
      <c r="A3786" s="11" t="s">
        <v>8227</v>
      </c>
      <c r="B3786" s="11" t="s">
        <v>8228</v>
      </c>
      <c r="C3786" s="11" t="s">
        <v>137</v>
      </c>
      <c r="D3786" s="11" t="s">
        <v>18</v>
      </c>
      <c r="E3786" s="12" t="s">
        <v>128</v>
      </c>
      <c r="F3786" s="12" t="s">
        <v>129</v>
      </c>
      <c r="G3786" s="12" t="s">
        <v>46</v>
      </c>
      <c r="H3786" s="11" t="s">
        <v>63</v>
      </c>
      <c r="I3786" s="13" t="s">
        <v>8230</v>
      </c>
      <c r="J3786" s="14" t="str">
        <f>HYPERLINK("https://www.boe.es/gazeta/dias/1839/05/25/pdfs/GMD-1839-1652.pdf#page=3","Abrir facsímil")</f>
        <v>Abrir facsímil</v>
      </c>
      <c r="K3786" s="12" t="s">
        <v>65</v>
      </c>
    </row>
    <row r="3787" spans="1:11" ht="40.049999999999997" customHeight="1" x14ac:dyDescent="0.25">
      <c r="A3787" s="11" t="s">
        <v>8231</v>
      </c>
      <c r="B3787" s="11" t="s">
        <v>8232</v>
      </c>
      <c r="C3787" s="11" t="s">
        <v>59</v>
      </c>
      <c r="D3787" s="11" t="s">
        <v>60</v>
      </c>
      <c r="E3787" s="12" t="s">
        <v>489</v>
      </c>
      <c r="F3787" s="12" t="s">
        <v>490</v>
      </c>
      <c r="G3787" s="12" t="s">
        <v>21</v>
      </c>
      <c r="H3787" s="11" t="s">
        <v>22</v>
      </c>
      <c r="I3787" s="13" t="s">
        <v>8233</v>
      </c>
      <c r="J3787" s="14" t="str">
        <f>HYPERLINK("https://www.boe.es/gazeta/dias/1839/06/29/pdfs/GMD-1839-1687.pdf#page=4","Abrir facsímil")</f>
        <v>Abrir facsímil</v>
      </c>
      <c r="K3787" s="12" t="s">
        <v>24</v>
      </c>
    </row>
    <row r="3788" spans="1:11" ht="40.049999999999997" customHeight="1" x14ac:dyDescent="0.25">
      <c r="A3788" s="11" t="s">
        <v>8234</v>
      </c>
      <c r="B3788" s="11" t="s">
        <v>8235</v>
      </c>
      <c r="C3788" s="11" t="s">
        <v>17</v>
      </c>
      <c r="D3788" s="11" t="s">
        <v>18</v>
      </c>
      <c r="E3788" s="12" t="s">
        <v>4921</v>
      </c>
      <c r="F3788" s="12" t="s">
        <v>4922</v>
      </c>
      <c r="G3788" s="12" t="s">
        <v>40</v>
      </c>
      <c r="H3788" s="11" t="s">
        <v>22</v>
      </c>
      <c r="I3788" s="13" t="s">
        <v>8236</v>
      </c>
      <c r="J3788" s="14" t="str">
        <f>HYPERLINK("https://www.boe.es/gazeta/dias/1839/11/05/pdfs/GMD-1839-1822.pdf#page=2","Abrir facsímil")</f>
        <v>Abrir facsímil</v>
      </c>
      <c r="K3788" s="12" t="s">
        <v>24</v>
      </c>
    </row>
    <row r="3789" spans="1:11" ht="40.049999999999997" customHeight="1" x14ac:dyDescent="0.25">
      <c r="A3789" s="11" t="s">
        <v>8237</v>
      </c>
      <c r="B3789" s="11" t="s">
        <v>8238</v>
      </c>
      <c r="C3789" s="11" t="s">
        <v>101</v>
      </c>
      <c r="D3789" s="11" t="s">
        <v>102</v>
      </c>
      <c r="E3789" s="12" t="s">
        <v>785</v>
      </c>
      <c r="F3789" s="12" t="s">
        <v>786</v>
      </c>
      <c r="G3789" s="12" t="s">
        <v>40</v>
      </c>
      <c r="H3789" s="11" t="s">
        <v>63</v>
      </c>
      <c r="I3789" s="13" t="s">
        <v>8239</v>
      </c>
      <c r="J3789" s="14" t="str">
        <f>HYPERLINK("https://www.boe.es/gazeta/dias/1839/07/13/pdfs/GMD-1839-1701.pdf#page=2","Abrir facsímil")</f>
        <v>Abrir facsímil</v>
      </c>
      <c r="K3789" s="12" t="s">
        <v>65</v>
      </c>
    </row>
    <row r="3790" spans="1:11" ht="40.049999999999997" customHeight="1" x14ac:dyDescent="0.25">
      <c r="A3790" s="11" t="s">
        <v>8240</v>
      </c>
      <c r="B3790" s="11" t="s">
        <v>8241</v>
      </c>
      <c r="C3790" s="11" t="s">
        <v>59</v>
      </c>
      <c r="D3790" s="11" t="s">
        <v>60</v>
      </c>
      <c r="E3790" s="12" t="s">
        <v>785</v>
      </c>
      <c r="F3790" s="12" t="s">
        <v>786</v>
      </c>
      <c r="G3790" s="12" t="s">
        <v>29</v>
      </c>
      <c r="H3790" s="11" t="s">
        <v>63</v>
      </c>
      <c r="I3790" s="13" t="s">
        <v>8242</v>
      </c>
      <c r="J3790" s="14" t="str">
        <f>HYPERLINK("https://www.boe.es/gazeta/dias/1839/07/13/pdfs/GMD-1839-1701.pdf#page=1","Abrir facsímil")</f>
        <v>Abrir facsímil</v>
      </c>
      <c r="K3790" s="12" t="s">
        <v>65</v>
      </c>
    </row>
    <row r="3791" spans="1:11" ht="40.049999999999997" customHeight="1" x14ac:dyDescent="0.25">
      <c r="A3791" s="11" t="s">
        <v>8240</v>
      </c>
      <c r="B3791" s="11" t="s">
        <v>8241</v>
      </c>
      <c r="C3791" s="11" t="s">
        <v>137</v>
      </c>
      <c r="D3791" s="11" t="s">
        <v>18</v>
      </c>
      <c r="E3791" s="12" t="s">
        <v>785</v>
      </c>
      <c r="F3791" s="12" t="s">
        <v>786</v>
      </c>
      <c r="G3791" s="12" t="s">
        <v>40</v>
      </c>
      <c r="H3791" s="11" t="s">
        <v>63</v>
      </c>
      <c r="I3791" s="13" t="s">
        <v>8243</v>
      </c>
      <c r="J3791" s="14" t="str">
        <f>HYPERLINK("https://www.boe.es/gazeta/dias/1839/07/13/pdfs/GMD-1839-1701.pdf#page=2","Abrir facsímil")</f>
        <v>Abrir facsímil</v>
      </c>
      <c r="K3791" s="12" t="s">
        <v>65</v>
      </c>
    </row>
    <row r="3792" spans="1:11" ht="40.049999999999997" customHeight="1" x14ac:dyDescent="0.25">
      <c r="A3792" s="11" t="s">
        <v>8240</v>
      </c>
      <c r="B3792" s="11" t="s">
        <v>8241</v>
      </c>
      <c r="C3792" s="11" t="s">
        <v>101</v>
      </c>
      <c r="D3792" s="11" t="s">
        <v>102</v>
      </c>
      <c r="E3792" s="12" t="s">
        <v>222</v>
      </c>
      <c r="F3792" s="12" t="s">
        <v>223</v>
      </c>
      <c r="G3792" s="12" t="s">
        <v>46</v>
      </c>
      <c r="H3792" s="11" t="s">
        <v>63</v>
      </c>
      <c r="I3792" s="13" t="s">
        <v>8244</v>
      </c>
      <c r="J3792" s="14" t="str">
        <f>HYPERLINK("https://www.boe.es/gazeta/dias/1839/06/22/pdfs/GMD-1839-1680.pdf#page=3","Abrir facsímil")</f>
        <v>Abrir facsímil</v>
      </c>
      <c r="K3792" s="12" t="s">
        <v>65</v>
      </c>
    </row>
    <row r="3793" spans="1:11" ht="40.049999999999997" customHeight="1" x14ac:dyDescent="0.25">
      <c r="A3793" s="11" t="s">
        <v>8240</v>
      </c>
      <c r="B3793" s="11" t="s">
        <v>8241</v>
      </c>
      <c r="C3793" s="11" t="s">
        <v>17</v>
      </c>
      <c r="D3793" s="11" t="s">
        <v>18</v>
      </c>
      <c r="E3793" s="12" t="s">
        <v>1685</v>
      </c>
      <c r="F3793" s="12" t="s">
        <v>1686</v>
      </c>
      <c r="G3793" s="12" t="s">
        <v>40</v>
      </c>
      <c r="H3793" s="11" t="s">
        <v>63</v>
      </c>
      <c r="I3793" s="13" t="s">
        <v>8245</v>
      </c>
      <c r="J3793" s="14" t="str">
        <f>HYPERLINK("https://www.boe.es/gazeta/dias/1839/04/27/pdfs/GMD-1839-1624.pdf#page=2","Abrir facsímil")</f>
        <v>Abrir facsímil</v>
      </c>
      <c r="K3793" s="12" t="s">
        <v>65</v>
      </c>
    </row>
    <row r="3794" spans="1:11" ht="40.049999999999997" customHeight="1" x14ac:dyDescent="0.25">
      <c r="A3794" s="11" t="s">
        <v>8246</v>
      </c>
      <c r="B3794" s="11" t="s">
        <v>8247</v>
      </c>
      <c r="C3794" s="11" t="s">
        <v>17</v>
      </c>
      <c r="D3794" s="11" t="s">
        <v>18</v>
      </c>
      <c r="E3794" s="12" t="s">
        <v>1685</v>
      </c>
      <c r="F3794" s="12" t="s">
        <v>1686</v>
      </c>
      <c r="G3794" s="12" t="s">
        <v>46</v>
      </c>
      <c r="H3794" s="11" t="s">
        <v>63</v>
      </c>
      <c r="I3794" s="13" t="s">
        <v>8248</v>
      </c>
      <c r="J3794" s="14" t="str">
        <f>HYPERLINK("https://www.boe.es/gazeta/dias/1839/04/27/pdfs/GMD-1839-1624.pdf#page=3","Abrir facsímil")</f>
        <v>Abrir facsímil</v>
      </c>
      <c r="K3794" s="12" t="s">
        <v>65</v>
      </c>
    </row>
    <row r="3795" spans="1:11" ht="40.049999999999997" customHeight="1" x14ac:dyDescent="0.25">
      <c r="A3795" s="11" t="s">
        <v>8249</v>
      </c>
      <c r="B3795" s="11" t="s">
        <v>8250</v>
      </c>
      <c r="C3795" s="11" t="s">
        <v>17</v>
      </c>
      <c r="D3795" s="11" t="s">
        <v>18</v>
      </c>
      <c r="E3795" s="12" t="s">
        <v>907</v>
      </c>
      <c r="F3795" s="12" t="s">
        <v>908</v>
      </c>
      <c r="G3795" s="12" t="s">
        <v>29</v>
      </c>
      <c r="H3795" s="11" t="s">
        <v>63</v>
      </c>
      <c r="I3795" s="13" t="s">
        <v>8251</v>
      </c>
      <c r="J3795" s="14" t="str">
        <f>HYPERLINK("https://www.boe.es/gazeta/dias/1839/07/31/pdfs/GMD-1839-1720.pdf#page=1","Abrir facsímil")</f>
        <v>Abrir facsímil</v>
      </c>
      <c r="K3795" s="12" t="s">
        <v>65</v>
      </c>
    </row>
    <row r="3796" spans="1:11" ht="40.049999999999997" customHeight="1" x14ac:dyDescent="0.25">
      <c r="A3796" s="11" t="s">
        <v>8252</v>
      </c>
      <c r="B3796" s="11" t="s">
        <v>8253</v>
      </c>
      <c r="C3796" s="11" t="s">
        <v>80</v>
      </c>
      <c r="D3796" s="11" t="s">
        <v>18</v>
      </c>
      <c r="E3796" s="12" t="s">
        <v>1336</v>
      </c>
      <c r="F3796" s="12" t="s">
        <v>1337</v>
      </c>
      <c r="G3796" s="12" t="s">
        <v>21</v>
      </c>
      <c r="H3796" s="11" t="s">
        <v>63</v>
      </c>
      <c r="I3796" s="13" t="s">
        <v>8254</v>
      </c>
      <c r="J3796" s="14" t="str">
        <f>HYPERLINK("https://www.boe.es/gazeta/dias/1839/02/26/pdfs/GMD-1839-1564.pdf#page=4","Abrir facsímil")</f>
        <v>Abrir facsímil</v>
      </c>
      <c r="K3796" s="12" t="s">
        <v>65</v>
      </c>
    </row>
    <row r="3797" spans="1:11" ht="40.049999999999997" customHeight="1" x14ac:dyDescent="0.25">
      <c r="A3797" s="11" t="s">
        <v>8255</v>
      </c>
      <c r="B3797" s="11" t="s">
        <v>8256</v>
      </c>
      <c r="C3797" s="11" t="s">
        <v>17</v>
      </c>
      <c r="D3797" s="11" t="s">
        <v>18</v>
      </c>
      <c r="E3797" s="12" t="s">
        <v>751</v>
      </c>
      <c r="F3797" s="12" t="s">
        <v>752</v>
      </c>
      <c r="G3797" s="12" t="s">
        <v>29</v>
      </c>
      <c r="H3797" s="11" t="s">
        <v>63</v>
      </c>
      <c r="I3797" s="13" t="s">
        <v>8257</v>
      </c>
      <c r="J3797" s="14" t="str">
        <f>HYPERLINK("https://www.boe.es/gazeta/dias/1839/02/05/pdfs/GMD-1839-1543.pdf#page=1","Abrir facsímil")</f>
        <v>Abrir facsímil</v>
      </c>
      <c r="K3797" s="12" t="s">
        <v>65</v>
      </c>
    </row>
    <row r="3798" spans="1:11" ht="40.049999999999997" customHeight="1" x14ac:dyDescent="0.25">
      <c r="A3798" s="11" t="s">
        <v>8258</v>
      </c>
      <c r="B3798" s="11" t="s">
        <v>8259</v>
      </c>
      <c r="C3798" s="11" t="s">
        <v>17</v>
      </c>
      <c r="D3798" s="11" t="s">
        <v>18</v>
      </c>
      <c r="E3798" s="12" t="s">
        <v>2658</v>
      </c>
      <c r="F3798" s="12" t="s">
        <v>2659</v>
      </c>
      <c r="G3798" s="12" t="s">
        <v>40</v>
      </c>
      <c r="H3798" s="11" t="s">
        <v>22</v>
      </c>
      <c r="I3798" s="13" t="s">
        <v>8260</v>
      </c>
      <c r="J3798" s="14" t="str">
        <f>HYPERLINK("https://www.boe.es/gazeta/dias/1839/06/27/pdfs/GMD-1839-1685.pdf#page=2","Abrir facsímil")</f>
        <v>Abrir facsímil</v>
      </c>
      <c r="K3798" s="12" t="s">
        <v>24</v>
      </c>
    </row>
    <row r="3799" spans="1:11" ht="40.049999999999997" customHeight="1" x14ac:dyDescent="0.25">
      <c r="A3799" s="11" t="s">
        <v>8261</v>
      </c>
      <c r="B3799" s="11" t="s">
        <v>8262</v>
      </c>
      <c r="C3799" s="11" t="s">
        <v>80</v>
      </c>
      <c r="D3799" s="11" t="s">
        <v>18</v>
      </c>
      <c r="E3799" s="12" t="s">
        <v>116</v>
      </c>
      <c r="F3799" s="12" t="s">
        <v>117</v>
      </c>
      <c r="G3799" s="12" t="s">
        <v>46</v>
      </c>
      <c r="H3799" s="11" t="s">
        <v>63</v>
      </c>
      <c r="I3799" s="13" t="s">
        <v>8263</v>
      </c>
      <c r="J3799" s="14" t="str">
        <f>HYPERLINK("https://www.boe.es/gazeta/dias/1839/10/10/pdfs/GMD-1839-1796.pdf#page=3","Abrir facsímil")</f>
        <v>Abrir facsímil</v>
      </c>
      <c r="K3799" s="12" t="s">
        <v>65</v>
      </c>
    </row>
    <row r="3800" spans="1:11" ht="40.049999999999997" customHeight="1" x14ac:dyDescent="0.25">
      <c r="A3800" s="11" t="s">
        <v>8264</v>
      </c>
      <c r="B3800" s="11" t="s">
        <v>8265</v>
      </c>
      <c r="C3800" s="11" t="s">
        <v>59</v>
      </c>
      <c r="D3800" s="11" t="s">
        <v>60</v>
      </c>
      <c r="E3800" s="12" t="s">
        <v>246</v>
      </c>
      <c r="F3800" s="12" t="s">
        <v>247</v>
      </c>
      <c r="G3800" s="12" t="s">
        <v>21</v>
      </c>
      <c r="H3800" s="11" t="s">
        <v>63</v>
      </c>
      <c r="I3800" s="13" t="s">
        <v>8266</v>
      </c>
      <c r="J3800" s="14" t="str">
        <f>HYPERLINK("https://www.boe.es/gazeta/dias/1839/11/24/pdfs/GMD-1839-1841.pdf#page=4","Abrir facsímil")</f>
        <v>Abrir facsímil</v>
      </c>
      <c r="K3800" s="12" t="s">
        <v>65</v>
      </c>
    </row>
    <row r="3801" spans="1:11" ht="40.049999999999997" customHeight="1" x14ac:dyDescent="0.25">
      <c r="A3801" s="11" t="s">
        <v>8267</v>
      </c>
      <c r="B3801" s="11" t="s">
        <v>8268</v>
      </c>
      <c r="C3801" s="11" t="s">
        <v>137</v>
      </c>
      <c r="D3801" s="11" t="s">
        <v>18</v>
      </c>
      <c r="E3801" s="12" t="s">
        <v>951</v>
      </c>
      <c r="F3801" s="12" t="s">
        <v>952</v>
      </c>
      <c r="G3801" s="12" t="s">
        <v>21</v>
      </c>
      <c r="H3801" s="11" t="s">
        <v>63</v>
      </c>
      <c r="I3801" s="13" t="s">
        <v>8269</v>
      </c>
      <c r="J3801" s="14" t="str">
        <f>HYPERLINK("https://www.boe.es/gazeta/dias/1839/12/30/pdfs/GMD-1839-1877.pdf#page=4","Abrir facsímil")</f>
        <v>Abrir facsímil</v>
      </c>
      <c r="K3801" s="12" t="s">
        <v>65</v>
      </c>
    </row>
    <row r="3802" spans="1:11" ht="40.049999999999997" customHeight="1" x14ac:dyDescent="0.25">
      <c r="A3802" s="11" t="s">
        <v>8270</v>
      </c>
      <c r="B3802" s="11" t="s">
        <v>8271</v>
      </c>
      <c r="C3802" s="11" t="s">
        <v>137</v>
      </c>
      <c r="D3802" s="11" t="s">
        <v>18</v>
      </c>
      <c r="E3802" s="12" t="s">
        <v>690</v>
      </c>
      <c r="F3802" s="12" t="s">
        <v>691</v>
      </c>
      <c r="G3802" s="12" t="s">
        <v>21</v>
      </c>
      <c r="H3802" s="11" t="s">
        <v>22</v>
      </c>
      <c r="I3802" s="13" t="s">
        <v>8272</v>
      </c>
      <c r="J3802" s="14" t="str">
        <f>HYPERLINK("https://www.boe.es/gazeta/dias/1839/12/08/pdfs/GMD-1839-1855.pdf#page=4","Abrir facsímil")</f>
        <v>Abrir facsímil</v>
      </c>
      <c r="K3802" s="12" t="s">
        <v>24</v>
      </c>
    </row>
    <row r="3803" spans="1:11" ht="40.049999999999997" customHeight="1" x14ac:dyDescent="0.25">
      <c r="A3803" s="11" t="s">
        <v>8273</v>
      </c>
      <c r="B3803" s="11" t="s">
        <v>8274</v>
      </c>
      <c r="C3803" s="11" t="s">
        <v>17</v>
      </c>
      <c r="D3803" s="11" t="s">
        <v>18</v>
      </c>
      <c r="E3803" s="12" t="s">
        <v>592</v>
      </c>
      <c r="F3803" s="12" t="s">
        <v>593</v>
      </c>
      <c r="G3803" s="12" t="s">
        <v>29</v>
      </c>
      <c r="H3803" s="11" t="s">
        <v>63</v>
      </c>
      <c r="I3803" s="13" t="s">
        <v>8275</v>
      </c>
      <c r="J3803" s="14" t="str">
        <f>HYPERLINK("https://www.boe.es/gazeta/dias/1839/09/14/pdfs/GMD-1839-1767.pdf#page=1","Abrir facsímil")</f>
        <v>Abrir facsímil</v>
      </c>
      <c r="K3803" s="12" t="s">
        <v>65</v>
      </c>
    </row>
    <row r="3804" spans="1:11" ht="40.049999999999997" customHeight="1" x14ac:dyDescent="0.25">
      <c r="A3804" s="11" t="s">
        <v>8273</v>
      </c>
      <c r="B3804" s="11" t="s">
        <v>8274</v>
      </c>
      <c r="C3804" s="11" t="s">
        <v>17</v>
      </c>
      <c r="D3804" s="11" t="s">
        <v>18</v>
      </c>
      <c r="E3804" s="12" t="s">
        <v>713</v>
      </c>
      <c r="F3804" s="12" t="s">
        <v>714</v>
      </c>
      <c r="G3804" s="12" t="s">
        <v>46</v>
      </c>
      <c r="H3804" s="11" t="s">
        <v>63</v>
      </c>
      <c r="I3804" s="13" t="s">
        <v>8276</v>
      </c>
      <c r="J3804" s="14" t="str">
        <f>HYPERLINK("https://www.boe.es/gazeta/dias/1839/12/18/pdfs/GMD-1839-1865.pdf#page=3","Abrir facsímil")</f>
        <v>Abrir facsímil</v>
      </c>
      <c r="K3804" s="12" t="s">
        <v>65</v>
      </c>
    </row>
    <row r="3805" spans="1:11" ht="40.049999999999997" customHeight="1" x14ac:dyDescent="0.25">
      <c r="A3805" s="11" t="s">
        <v>8273</v>
      </c>
      <c r="B3805" s="11" t="s">
        <v>8274</v>
      </c>
      <c r="C3805" s="11" t="s">
        <v>17</v>
      </c>
      <c r="D3805" s="11" t="s">
        <v>18</v>
      </c>
      <c r="E3805" s="12" t="s">
        <v>2069</v>
      </c>
      <c r="F3805" s="12" t="s">
        <v>2070</v>
      </c>
      <c r="G3805" s="12" t="s">
        <v>29</v>
      </c>
      <c r="H3805" s="11" t="s">
        <v>63</v>
      </c>
      <c r="I3805" s="13" t="s">
        <v>8277</v>
      </c>
      <c r="J3805" s="14" t="str">
        <f>HYPERLINK("https://www.boe.es/gazeta/dias/1839/10/20/pdfs/GMD-1839-1806.pdf#page=1","Abrir facsímil")</f>
        <v>Abrir facsímil</v>
      </c>
      <c r="K3805" s="12" t="s">
        <v>65</v>
      </c>
    </row>
    <row r="3806" spans="1:11" ht="40.049999999999997" customHeight="1" x14ac:dyDescent="0.25">
      <c r="A3806" s="11" t="s">
        <v>8278</v>
      </c>
      <c r="B3806" s="11" t="s">
        <v>8279</v>
      </c>
      <c r="C3806" s="11" t="s">
        <v>101</v>
      </c>
      <c r="D3806" s="11" t="s">
        <v>43</v>
      </c>
      <c r="E3806" s="12" t="s">
        <v>611</v>
      </c>
      <c r="F3806" s="12" t="s">
        <v>612</v>
      </c>
      <c r="G3806" s="12" t="s">
        <v>21</v>
      </c>
      <c r="H3806" s="11" t="s">
        <v>63</v>
      </c>
      <c r="I3806" s="13" t="s">
        <v>8280</v>
      </c>
      <c r="J3806" s="14" t="str">
        <f>HYPERLINK("https://www.boe.es/gazeta/dias/1839/07/22/pdfs/GMD-1839-1710.pdf#page=4","Abrir facsímil")</f>
        <v>Abrir facsímil</v>
      </c>
      <c r="K3806" s="12" t="s">
        <v>65</v>
      </c>
    </row>
    <row r="3807" spans="1:11" ht="40.049999999999997" customHeight="1" x14ac:dyDescent="0.25">
      <c r="A3807" s="11" t="s">
        <v>8281</v>
      </c>
      <c r="B3807" s="11" t="s">
        <v>8282</v>
      </c>
      <c r="C3807" s="11" t="s">
        <v>137</v>
      </c>
      <c r="D3807" s="11" t="s">
        <v>18</v>
      </c>
      <c r="E3807" s="12" t="s">
        <v>907</v>
      </c>
      <c r="F3807" s="12" t="s">
        <v>908</v>
      </c>
      <c r="G3807" s="12" t="s">
        <v>21</v>
      </c>
      <c r="H3807" s="11" t="s">
        <v>63</v>
      </c>
      <c r="I3807" s="13" t="s">
        <v>8283</v>
      </c>
      <c r="J3807" s="14" t="str">
        <f>HYPERLINK("https://www.boe.es/gazeta/dias/1839/07/31/pdfs/GMD-1839-1720.pdf#page=4","Abrir facsímil")</f>
        <v>Abrir facsímil</v>
      </c>
      <c r="K3807" s="12" t="s">
        <v>65</v>
      </c>
    </row>
    <row r="3808" spans="1:11" ht="40.049999999999997" customHeight="1" x14ac:dyDescent="0.25">
      <c r="A3808" s="11" t="s">
        <v>8284</v>
      </c>
      <c r="B3808" s="11" t="s">
        <v>8285</v>
      </c>
      <c r="C3808" s="11" t="s">
        <v>101</v>
      </c>
      <c r="D3808" s="11" t="s">
        <v>102</v>
      </c>
      <c r="E3808" s="12" t="s">
        <v>870</v>
      </c>
      <c r="F3808" s="12" t="s">
        <v>871</v>
      </c>
      <c r="G3808" s="12" t="s">
        <v>29</v>
      </c>
      <c r="H3808" s="11" t="s">
        <v>63</v>
      </c>
      <c r="I3808" s="13" t="s">
        <v>8286</v>
      </c>
      <c r="J3808" s="14" t="str">
        <f>HYPERLINK("https://www.boe.es/gazeta/dias/1839/04/18/pdfs/GMD-1839-1615.pdf#page=1","Abrir facsímil")</f>
        <v>Abrir facsímil</v>
      </c>
      <c r="K3808" s="12" t="s">
        <v>65</v>
      </c>
    </row>
    <row r="3809" spans="1:11" ht="40.049999999999997" customHeight="1" x14ac:dyDescent="0.25">
      <c r="A3809" s="11" t="s">
        <v>8287</v>
      </c>
      <c r="B3809" s="11" t="s">
        <v>8288</v>
      </c>
      <c r="C3809" s="11" t="s">
        <v>17</v>
      </c>
      <c r="D3809" s="11" t="s">
        <v>18</v>
      </c>
      <c r="E3809" s="12" t="s">
        <v>3114</v>
      </c>
      <c r="F3809" s="12" t="s">
        <v>3115</v>
      </c>
      <c r="G3809" s="12" t="s">
        <v>29</v>
      </c>
      <c r="H3809" s="11" t="s">
        <v>63</v>
      </c>
      <c r="I3809" s="13" t="s">
        <v>8289</v>
      </c>
      <c r="J3809" s="14" t="str">
        <f>HYPERLINK("https://www.boe.es/gazeta/dias/1839/05/15/pdfs/GMD-1839-1642.pdf#page=1","Abrir facsímil")</f>
        <v>Abrir facsímil</v>
      </c>
      <c r="K3809" s="12" t="s">
        <v>65</v>
      </c>
    </row>
    <row r="3810" spans="1:11" ht="40.049999999999997" customHeight="1" x14ac:dyDescent="0.25">
      <c r="A3810" s="11" t="s">
        <v>8290</v>
      </c>
      <c r="B3810" s="11" t="s">
        <v>8291</v>
      </c>
      <c r="C3810" s="11" t="s">
        <v>17</v>
      </c>
      <c r="D3810" s="11" t="s">
        <v>18</v>
      </c>
      <c r="E3810" s="12" t="s">
        <v>1497</v>
      </c>
      <c r="F3810" s="12" t="s">
        <v>1498</v>
      </c>
      <c r="G3810" s="12" t="s">
        <v>21</v>
      </c>
      <c r="H3810" s="11" t="s">
        <v>63</v>
      </c>
      <c r="I3810" s="13" t="s">
        <v>8292</v>
      </c>
      <c r="J3810" s="14" t="str">
        <f>HYPERLINK("https://www.boe.es/gazeta/dias/1839/08/23/pdfs/GMD-1839-1744.pdf#page=4","Abrir facsímil")</f>
        <v>Abrir facsímil</v>
      </c>
      <c r="K3810" s="12" t="s">
        <v>65</v>
      </c>
    </row>
    <row r="3811" spans="1:11" ht="40.049999999999997" customHeight="1" x14ac:dyDescent="0.25">
      <c r="A3811" s="11" t="s">
        <v>8293</v>
      </c>
      <c r="B3811" s="11" t="s">
        <v>8294</v>
      </c>
      <c r="C3811" s="11" t="s">
        <v>17</v>
      </c>
      <c r="D3811" s="11" t="s">
        <v>18</v>
      </c>
      <c r="E3811" s="12" t="s">
        <v>1072</v>
      </c>
      <c r="F3811" s="12" t="s">
        <v>1073</v>
      </c>
      <c r="G3811" s="12" t="s">
        <v>21</v>
      </c>
      <c r="H3811" s="11" t="s">
        <v>22</v>
      </c>
      <c r="I3811" s="13" t="s">
        <v>8295</v>
      </c>
      <c r="J3811" s="14" t="str">
        <f>HYPERLINK("https://www.boe.es/gazeta/dias/1839/01/18/pdfs/GMD-1839-1525.pdf#page=4","Abrir facsímil")</f>
        <v>Abrir facsímil</v>
      </c>
      <c r="K3811" s="12" t="s">
        <v>24</v>
      </c>
    </row>
    <row r="3812" spans="1:11" ht="40.049999999999997" customHeight="1" x14ac:dyDescent="0.25">
      <c r="A3812" s="11" t="s">
        <v>8296</v>
      </c>
      <c r="B3812" s="11" t="s">
        <v>8297</v>
      </c>
      <c r="C3812" s="11" t="s">
        <v>17</v>
      </c>
      <c r="D3812" s="11" t="s">
        <v>18</v>
      </c>
      <c r="E3812" s="12" t="s">
        <v>695</v>
      </c>
      <c r="F3812" s="12" t="s">
        <v>696</v>
      </c>
      <c r="G3812" s="12" t="s">
        <v>29</v>
      </c>
      <c r="H3812" s="11" t="s">
        <v>63</v>
      </c>
      <c r="I3812" s="13" t="s">
        <v>8298</v>
      </c>
      <c r="J3812" s="14" t="str">
        <f>HYPERLINK("https://www.boe.es/gazeta/dias/1839/12/19/pdfs/GMD-1839-1866.pdf#page=1","Abrir facsímil")</f>
        <v>Abrir facsímil</v>
      </c>
      <c r="K3812" s="12" t="s">
        <v>65</v>
      </c>
    </row>
    <row r="3813" spans="1:11" ht="40.049999999999997" customHeight="1" x14ac:dyDescent="0.25">
      <c r="A3813" s="11" t="s">
        <v>8299</v>
      </c>
      <c r="B3813" s="11" t="s">
        <v>8300</v>
      </c>
      <c r="C3813" s="11" t="s">
        <v>17</v>
      </c>
      <c r="D3813" s="11" t="s">
        <v>18</v>
      </c>
      <c r="E3813" s="12" t="s">
        <v>2222</v>
      </c>
      <c r="F3813" s="12" t="s">
        <v>2223</v>
      </c>
      <c r="G3813" s="12" t="s">
        <v>40</v>
      </c>
      <c r="H3813" s="11" t="s">
        <v>63</v>
      </c>
      <c r="I3813" s="13" t="s">
        <v>8301</v>
      </c>
      <c r="J3813" s="14" t="str">
        <f>HYPERLINK("https://www.boe.es/gazeta/dias/1839/09/19/pdfs/GMD-1839-1773.pdf#page=2","Abrir facsímil")</f>
        <v>Abrir facsímil</v>
      </c>
      <c r="K3813" s="12" t="s">
        <v>65</v>
      </c>
    </row>
    <row r="3814" spans="1:11" ht="40.049999999999997" customHeight="1" x14ac:dyDescent="0.25">
      <c r="A3814" s="11" t="s">
        <v>8302</v>
      </c>
      <c r="B3814" s="11" t="s">
        <v>8303</v>
      </c>
      <c r="C3814" s="11" t="s">
        <v>17</v>
      </c>
      <c r="D3814" s="11" t="s">
        <v>18</v>
      </c>
      <c r="E3814" s="12" t="s">
        <v>405</v>
      </c>
      <c r="F3814" s="12" t="s">
        <v>406</v>
      </c>
      <c r="G3814" s="12" t="s">
        <v>29</v>
      </c>
      <c r="H3814" s="11" t="s">
        <v>22</v>
      </c>
      <c r="I3814" s="13" t="s">
        <v>8304</v>
      </c>
      <c r="J3814" s="14" t="str">
        <f>HYPERLINK("https://www.boe.es/gazeta/dias/1839/03/25/pdfs/GMD-1839-1591.pdf#page=1","Abrir facsímil")</f>
        <v>Abrir facsímil</v>
      </c>
      <c r="K3814" s="12" t="s">
        <v>24</v>
      </c>
    </row>
    <row r="3815" spans="1:11" ht="40.049999999999997" customHeight="1" x14ac:dyDescent="0.25">
      <c r="A3815" s="11" t="s">
        <v>8305</v>
      </c>
      <c r="B3815" s="11" t="s">
        <v>8306</v>
      </c>
      <c r="C3815" s="11" t="s">
        <v>17</v>
      </c>
      <c r="D3815" s="11" t="s">
        <v>18</v>
      </c>
      <c r="E3815" s="12" t="s">
        <v>1685</v>
      </c>
      <c r="F3815" s="12" t="s">
        <v>1686</v>
      </c>
      <c r="G3815" s="12" t="s">
        <v>40</v>
      </c>
      <c r="H3815" s="11" t="s">
        <v>63</v>
      </c>
      <c r="I3815" s="13" t="s">
        <v>8307</v>
      </c>
      <c r="J3815" s="14" t="str">
        <f>HYPERLINK("https://www.boe.es/gazeta/dias/1839/04/27/pdfs/GMD-1839-1624.pdf#page=2","Abrir facsímil")</f>
        <v>Abrir facsímil</v>
      </c>
      <c r="K3815" s="12" t="s">
        <v>65</v>
      </c>
    </row>
    <row r="3816" spans="1:11" ht="40.049999999999997" customHeight="1" x14ac:dyDescent="0.25">
      <c r="A3816" s="11" t="s">
        <v>8308</v>
      </c>
      <c r="B3816" s="11" t="s">
        <v>8309</v>
      </c>
      <c r="C3816" s="11" t="s">
        <v>17</v>
      </c>
      <c r="D3816" s="11" t="s">
        <v>18</v>
      </c>
      <c r="E3816" s="12" t="s">
        <v>500</v>
      </c>
      <c r="F3816" s="12" t="s">
        <v>501</v>
      </c>
      <c r="G3816" s="12" t="s">
        <v>46</v>
      </c>
      <c r="H3816" s="11" t="s">
        <v>63</v>
      </c>
      <c r="I3816" s="13" t="s">
        <v>8310</v>
      </c>
      <c r="J3816" s="14" t="str">
        <f>HYPERLINK("https://www.boe.es/gazeta/dias/1839/11/06/pdfs/GMD-1839-1823.pdf#page=3","Abrir facsímil")</f>
        <v>Abrir facsímil</v>
      </c>
      <c r="K3816" s="12" t="s">
        <v>65</v>
      </c>
    </row>
    <row r="3817" spans="1:11" ht="40.049999999999997" customHeight="1" x14ac:dyDescent="0.25">
      <c r="A3817" s="11" t="s">
        <v>8311</v>
      </c>
      <c r="B3817" s="11" t="s">
        <v>8312</v>
      </c>
      <c r="C3817" s="11" t="s">
        <v>17</v>
      </c>
      <c r="D3817" s="11" t="s">
        <v>18</v>
      </c>
      <c r="E3817" s="12" t="s">
        <v>775</v>
      </c>
      <c r="F3817" s="12" t="s">
        <v>776</v>
      </c>
      <c r="G3817" s="12" t="s">
        <v>29</v>
      </c>
      <c r="H3817" s="11" t="s">
        <v>63</v>
      </c>
      <c r="I3817" s="13" t="s">
        <v>8313</v>
      </c>
      <c r="J3817" s="14" t="str">
        <f>HYPERLINK("https://www.boe.es/gazeta/dias/1839/02/25/pdfs/GMD-1839-1563.pdf#page=1","Abrir facsímil")</f>
        <v>Abrir facsímil</v>
      </c>
      <c r="K3817" s="12" t="s">
        <v>65</v>
      </c>
    </row>
    <row r="3818" spans="1:11" ht="40.049999999999997" customHeight="1" x14ac:dyDescent="0.25">
      <c r="A3818" s="11" t="s">
        <v>8314</v>
      </c>
      <c r="B3818" s="11" t="s">
        <v>8315</v>
      </c>
      <c r="C3818" s="11" t="s">
        <v>59</v>
      </c>
      <c r="D3818" s="11" t="s">
        <v>60</v>
      </c>
      <c r="E3818" s="12" t="s">
        <v>197</v>
      </c>
      <c r="F3818" s="12" t="s">
        <v>198</v>
      </c>
      <c r="G3818" s="12" t="s">
        <v>46</v>
      </c>
      <c r="H3818" s="11" t="s">
        <v>63</v>
      </c>
      <c r="I3818" s="13" t="s">
        <v>8316</v>
      </c>
      <c r="J3818" s="14" t="str">
        <f>HYPERLINK("https://www.boe.es/gazeta/dias/1839/10/04/pdfs/GMD-1839-1790.pdf#page=3","Abrir facsímil")</f>
        <v>Abrir facsímil</v>
      </c>
      <c r="K3818" s="12" t="s">
        <v>65</v>
      </c>
    </row>
    <row r="3819" spans="1:11" ht="40.049999999999997" customHeight="1" x14ac:dyDescent="0.25">
      <c r="A3819" s="11" t="s">
        <v>8317</v>
      </c>
      <c r="B3819" s="11" t="s">
        <v>8318</v>
      </c>
      <c r="C3819" s="11" t="s">
        <v>17</v>
      </c>
      <c r="D3819" s="11" t="s">
        <v>18</v>
      </c>
      <c r="E3819" s="12" t="s">
        <v>1144</v>
      </c>
      <c r="F3819" s="12" t="s">
        <v>1145</v>
      </c>
      <c r="G3819" s="12" t="s">
        <v>21</v>
      </c>
      <c r="H3819" s="11" t="s">
        <v>63</v>
      </c>
      <c r="I3819" s="13" t="s">
        <v>8319</v>
      </c>
      <c r="J3819" s="14" t="str">
        <f>HYPERLINK("https://www.boe.es/gazeta/dias/1839/08/13/pdfs/GMD-1839-1733.pdf#page=4","Abrir facsímil")</f>
        <v>Abrir facsímil</v>
      </c>
      <c r="K3819" s="12" t="s">
        <v>65</v>
      </c>
    </row>
    <row r="3820" spans="1:11" ht="40.049999999999997" customHeight="1" x14ac:dyDescent="0.25">
      <c r="A3820" s="11" t="s">
        <v>8317</v>
      </c>
      <c r="B3820" s="11" t="s">
        <v>8318</v>
      </c>
      <c r="C3820" s="11" t="s">
        <v>17</v>
      </c>
      <c r="D3820" s="11" t="s">
        <v>18</v>
      </c>
      <c r="E3820" s="12" t="s">
        <v>360</v>
      </c>
      <c r="F3820" s="12" t="s">
        <v>361</v>
      </c>
      <c r="G3820" s="12" t="s">
        <v>46</v>
      </c>
      <c r="H3820" s="11" t="s">
        <v>63</v>
      </c>
      <c r="I3820" s="13" t="s">
        <v>8320</v>
      </c>
      <c r="J3820" s="14" t="str">
        <f>HYPERLINK("https://www.boe.es/gazeta/dias/1839/08/22/pdfs/GMD-1839-1743.pdf#page=3","Abrir facsímil")</f>
        <v>Abrir facsímil</v>
      </c>
      <c r="K3820" s="12" t="s">
        <v>65</v>
      </c>
    </row>
    <row r="3821" spans="1:11" ht="40.049999999999997" customHeight="1" x14ac:dyDescent="0.25">
      <c r="A3821" s="11" t="s">
        <v>8321</v>
      </c>
      <c r="B3821" s="11" t="s">
        <v>8322</v>
      </c>
      <c r="C3821" s="11" t="s">
        <v>17</v>
      </c>
      <c r="D3821" s="11" t="s">
        <v>18</v>
      </c>
      <c r="E3821" s="12" t="s">
        <v>1072</v>
      </c>
      <c r="F3821" s="12" t="s">
        <v>1073</v>
      </c>
      <c r="G3821" s="12" t="s">
        <v>29</v>
      </c>
      <c r="H3821" s="11" t="s">
        <v>63</v>
      </c>
      <c r="I3821" s="13" t="s">
        <v>8323</v>
      </c>
      <c r="J3821" s="14" t="str">
        <f>HYPERLINK("https://www.boe.es/gazeta/dias/1839/01/18/pdfs/GMD-1839-1525.pdf#page=1","Abrir facsímil")</f>
        <v>Abrir facsímil</v>
      </c>
      <c r="K3821" s="12" t="s">
        <v>65</v>
      </c>
    </row>
    <row r="3822" spans="1:11" ht="40.049999999999997" customHeight="1" x14ac:dyDescent="0.25">
      <c r="A3822" s="11" t="s">
        <v>8324</v>
      </c>
      <c r="B3822" s="11" t="s">
        <v>8325</v>
      </c>
      <c r="C3822" s="11" t="s">
        <v>17</v>
      </c>
      <c r="D3822" s="11" t="s">
        <v>18</v>
      </c>
      <c r="E3822" s="12" t="s">
        <v>222</v>
      </c>
      <c r="F3822" s="12" t="s">
        <v>223</v>
      </c>
      <c r="G3822" s="12" t="s">
        <v>21</v>
      </c>
      <c r="H3822" s="11" t="s">
        <v>63</v>
      </c>
      <c r="I3822" s="13" t="s">
        <v>8326</v>
      </c>
      <c r="J3822" s="14" t="str">
        <f>HYPERLINK("https://www.boe.es/gazeta/dias/1839/06/22/pdfs/GMD-1839-1680.pdf#page=4","Abrir facsímil")</f>
        <v>Abrir facsímil</v>
      </c>
      <c r="K3822" s="12" t="s">
        <v>65</v>
      </c>
    </row>
    <row r="3823" spans="1:11" ht="40.049999999999997" customHeight="1" x14ac:dyDescent="0.25">
      <c r="A3823" s="11" t="s">
        <v>8327</v>
      </c>
      <c r="B3823" s="11" t="s">
        <v>8328</v>
      </c>
      <c r="C3823" s="11" t="s">
        <v>59</v>
      </c>
      <c r="D3823" s="11" t="s">
        <v>60</v>
      </c>
      <c r="E3823" s="12" t="s">
        <v>606</v>
      </c>
      <c r="F3823" s="12" t="s">
        <v>607</v>
      </c>
      <c r="G3823" s="12" t="s">
        <v>29</v>
      </c>
      <c r="H3823" s="11" t="s">
        <v>63</v>
      </c>
      <c r="I3823" s="13" t="s">
        <v>8329</v>
      </c>
      <c r="J3823" s="14" t="str">
        <f>HYPERLINK("https://www.boe.es/gazeta/dias/1839/04/02/pdfs/GMD-1839-1599.pdf#page=1","Abrir facsímil")</f>
        <v>Abrir facsímil</v>
      </c>
      <c r="K3823" s="12" t="s">
        <v>65</v>
      </c>
    </row>
    <row r="3824" spans="1:11" ht="40.049999999999997" customHeight="1" x14ac:dyDescent="0.25">
      <c r="A3824" s="11" t="s">
        <v>8330</v>
      </c>
      <c r="B3824" s="11" t="s">
        <v>8331</v>
      </c>
      <c r="C3824" s="11" t="s">
        <v>101</v>
      </c>
      <c r="D3824" s="11" t="s">
        <v>102</v>
      </c>
      <c r="E3824" s="12" t="s">
        <v>5806</v>
      </c>
      <c r="F3824" s="12" t="s">
        <v>5807</v>
      </c>
      <c r="G3824" s="12" t="s">
        <v>29</v>
      </c>
      <c r="H3824" s="11" t="s">
        <v>63</v>
      </c>
      <c r="I3824" s="13" t="s">
        <v>8332</v>
      </c>
      <c r="J3824" s="14" t="str">
        <f>HYPERLINK("https://www.boe.es/gazeta/dias/1839/02/16/pdfs/GMD-1839-1554.pdf#page=1","Abrir facsímil")</f>
        <v>Abrir facsímil</v>
      </c>
      <c r="K3824" s="12" t="s">
        <v>65</v>
      </c>
    </row>
    <row r="3825" spans="1:11" ht="40.049999999999997" customHeight="1" x14ac:dyDescent="0.25">
      <c r="A3825" s="11" t="s">
        <v>8333</v>
      </c>
      <c r="B3825" s="11" t="s">
        <v>8334</v>
      </c>
      <c r="C3825" s="11" t="s">
        <v>17</v>
      </c>
      <c r="D3825" s="11" t="s">
        <v>18</v>
      </c>
      <c r="E3825" s="12" t="s">
        <v>2021</v>
      </c>
      <c r="F3825" s="12" t="s">
        <v>2022</v>
      </c>
      <c r="G3825" s="12" t="s">
        <v>29</v>
      </c>
      <c r="H3825" s="11" t="s">
        <v>63</v>
      </c>
      <c r="I3825" s="13" t="s">
        <v>8335</v>
      </c>
      <c r="J3825" s="14" t="str">
        <f>HYPERLINK("https://www.boe.es/gazeta/dias/1839/02/17/pdfs/GMD-1839-1555.pdf#page=1","Abrir facsímil")</f>
        <v>Abrir facsímil</v>
      </c>
      <c r="K3825" s="12" t="s">
        <v>65</v>
      </c>
    </row>
    <row r="3826" spans="1:11" ht="40.049999999999997" customHeight="1" x14ac:dyDescent="0.25">
      <c r="A3826" s="11" t="s">
        <v>8336</v>
      </c>
      <c r="B3826" s="11" t="s">
        <v>8337</v>
      </c>
      <c r="C3826" s="11" t="s">
        <v>137</v>
      </c>
      <c r="D3826" s="11" t="s">
        <v>18</v>
      </c>
      <c r="E3826" s="12" t="s">
        <v>2919</v>
      </c>
      <c r="F3826" s="12" t="s">
        <v>2920</v>
      </c>
      <c r="G3826" s="12" t="s">
        <v>21</v>
      </c>
      <c r="H3826" s="11" t="s">
        <v>22</v>
      </c>
      <c r="I3826" s="13" t="s">
        <v>8338</v>
      </c>
      <c r="J3826" s="14" t="str">
        <f>HYPERLINK("https://www.boe.es/gazeta/dias/1839/11/12/pdfs/GMD-1839-1829.pdf#page=4","Abrir facsímil")</f>
        <v>Abrir facsímil</v>
      </c>
      <c r="K3826" s="12" t="s">
        <v>24</v>
      </c>
    </row>
    <row r="3827" spans="1:11" ht="40.049999999999997" customHeight="1" x14ac:dyDescent="0.25">
      <c r="A3827" s="11" t="s">
        <v>8339</v>
      </c>
      <c r="B3827" s="11" t="s">
        <v>8340</v>
      </c>
      <c r="C3827" s="11" t="s">
        <v>59</v>
      </c>
      <c r="D3827" s="11" t="s">
        <v>60</v>
      </c>
      <c r="E3827" s="12" t="s">
        <v>222</v>
      </c>
      <c r="F3827" s="12" t="s">
        <v>223</v>
      </c>
      <c r="G3827" s="12" t="s">
        <v>46</v>
      </c>
      <c r="H3827" s="11" t="s">
        <v>63</v>
      </c>
      <c r="I3827" s="13" t="s">
        <v>8341</v>
      </c>
      <c r="J3827" s="14" t="str">
        <f>HYPERLINK("https://www.boe.es/gazeta/dias/1839/06/22/pdfs/GMD-1839-1680.pdf#page=3","Abrir facsímil")</f>
        <v>Abrir facsímil</v>
      </c>
      <c r="K3827" s="12" t="s">
        <v>65</v>
      </c>
    </row>
    <row r="3828" spans="1:11" ht="40.049999999999997" customHeight="1" x14ac:dyDescent="0.25">
      <c r="A3828" s="11" t="s">
        <v>8342</v>
      </c>
      <c r="B3828" s="11" t="s">
        <v>8343</v>
      </c>
      <c r="C3828" s="11" t="s">
        <v>59</v>
      </c>
      <c r="D3828" s="11" t="s">
        <v>60</v>
      </c>
      <c r="E3828" s="12" t="s">
        <v>197</v>
      </c>
      <c r="F3828" s="12" t="s">
        <v>198</v>
      </c>
      <c r="G3828" s="12" t="s">
        <v>46</v>
      </c>
      <c r="H3828" s="11" t="s">
        <v>63</v>
      </c>
      <c r="I3828" s="13" t="s">
        <v>8344</v>
      </c>
      <c r="J3828" s="14" t="str">
        <f>HYPERLINK("https://www.boe.es/gazeta/dias/1839/10/04/pdfs/GMD-1839-1790.pdf#page=3","Abrir facsímil")</f>
        <v>Abrir facsímil</v>
      </c>
      <c r="K3828" s="12" t="s">
        <v>65</v>
      </c>
    </row>
    <row r="3829" spans="1:11" ht="40.049999999999997" customHeight="1" x14ac:dyDescent="0.25">
      <c r="A3829" s="11" t="s">
        <v>8345</v>
      </c>
      <c r="B3829" s="11" t="s">
        <v>8346</v>
      </c>
      <c r="C3829" s="11" t="s">
        <v>80</v>
      </c>
      <c r="D3829" s="11" t="s">
        <v>18</v>
      </c>
      <c r="E3829" s="12" t="s">
        <v>998</v>
      </c>
      <c r="F3829" s="12" t="s">
        <v>999</v>
      </c>
      <c r="G3829" s="12" t="s">
        <v>29</v>
      </c>
      <c r="H3829" s="11" t="s">
        <v>63</v>
      </c>
      <c r="I3829" s="13" t="s">
        <v>8347</v>
      </c>
      <c r="J3829" s="14" t="str">
        <f>HYPERLINK("https://www.boe.es/gazeta/dias/1839/05/06/pdfs/GMD-1839-1633.pdf#page=1","Abrir facsímil")</f>
        <v>Abrir facsímil</v>
      </c>
      <c r="K3829" s="12" t="s">
        <v>65</v>
      </c>
    </row>
    <row r="3830" spans="1:11" ht="40.049999999999997" customHeight="1" x14ac:dyDescent="0.25">
      <c r="A3830" s="11" t="s">
        <v>8348</v>
      </c>
      <c r="B3830" s="11" t="s">
        <v>8349</v>
      </c>
      <c r="C3830" s="11" t="s">
        <v>17</v>
      </c>
      <c r="D3830" s="11" t="s">
        <v>18</v>
      </c>
      <c r="E3830" s="12" t="s">
        <v>3668</v>
      </c>
      <c r="F3830" s="12" t="s">
        <v>3669</v>
      </c>
      <c r="G3830" s="12" t="s">
        <v>46</v>
      </c>
      <c r="H3830" s="11" t="s">
        <v>63</v>
      </c>
      <c r="I3830" s="13" t="s">
        <v>8350</v>
      </c>
      <c r="J3830" s="14" t="str">
        <f>HYPERLINK("https://www.boe.es/gazeta/dias/1839/05/19/pdfs/GMD-1839-1646.pdf#page=3","Abrir facsímil")</f>
        <v>Abrir facsímil</v>
      </c>
      <c r="K3830" s="12" t="s">
        <v>65</v>
      </c>
    </row>
    <row r="3831" spans="1:11" ht="40.049999999999997" customHeight="1" x14ac:dyDescent="0.25">
      <c r="A3831" s="11" t="s">
        <v>8351</v>
      </c>
      <c r="B3831" s="11" t="s">
        <v>8352</v>
      </c>
      <c r="C3831" s="11" t="s">
        <v>17</v>
      </c>
      <c r="D3831" s="11" t="s">
        <v>18</v>
      </c>
      <c r="E3831" s="12" t="s">
        <v>27</v>
      </c>
      <c r="F3831" s="12" t="s">
        <v>28</v>
      </c>
      <c r="G3831" s="12" t="s">
        <v>21</v>
      </c>
      <c r="H3831" s="11" t="s">
        <v>63</v>
      </c>
      <c r="I3831" s="13" t="s">
        <v>8353</v>
      </c>
      <c r="J3831" s="14" t="str">
        <f>HYPERLINK("https://www.boe.es/gazeta/dias/1839/07/28/pdfs/GMD-1839-1717.pdf#page=4","Abrir facsímil")</f>
        <v>Abrir facsímil</v>
      </c>
      <c r="K3831" s="12" t="s">
        <v>65</v>
      </c>
    </row>
    <row r="3832" spans="1:11" ht="40.049999999999997" customHeight="1" x14ac:dyDescent="0.25">
      <c r="A3832" s="11" t="s">
        <v>8354</v>
      </c>
      <c r="B3832" s="11" t="s">
        <v>8355</v>
      </c>
      <c r="C3832" s="11" t="s">
        <v>59</v>
      </c>
      <c r="D3832" s="11" t="s">
        <v>60</v>
      </c>
      <c r="E3832" s="12" t="s">
        <v>116</v>
      </c>
      <c r="F3832" s="12" t="s">
        <v>117</v>
      </c>
      <c r="G3832" s="12" t="s">
        <v>40</v>
      </c>
      <c r="H3832" s="11" t="s">
        <v>63</v>
      </c>
      <c r="I3832" s="13" t="s">
        <v>8356</v>
      </c>
      <c r="J3832" s="14" t="str">
        <f>HYPERLINK("https://www.boe.es/gazeta/dias/1839/10/10/pdfs/GMD-1839-1796.pdf#page=2","Abrir facsímil")</f>
        <v>Abrir facsímil</v>
      </c>
      <c r="K3832" s="12" t="s">
        <v>65</v>
      </c>
    </row>
    <row r="3833" spans="1:11" ht="40.049999999999997" customHeight="1" x14ac:dyDescent="0.25">
      <c r="A3833" s="11" t="s">
        <v>8357</v>
      </c>
      <c r="B3833" s="11" t="s">
        <v>8358</v>
      </c>
      <c r="C3833" s="11" t="s">
        <v>17</v>
      </c>
      <c r="D3833" s="11" t="s">
        <v>18</v>
      </c>
      <c r="E3833" s="12" t="s">
        <v>2270</v>
      </c>
      <c r="F3833" s="12" t="s">
        <v>2271</v>
      </c>
      <c r="G3833" s="12" t="s">
        <v>40</v>
      </c>
      <c r="H3833" s="11" t="s">
        <v>63</v>
      </c>
      <c r="I3833" s="13" t="s">
        <v>8359</v>
      </c>
      <c r="J3833" s="14" t="str">
        <f>HYPERLINK("https://www.boe.es/gazeta/dias/1839/06/13/pdfs/GMD-1839-1671.pdf#page=2","Abrir facsímil")</f>
        <v>Abrir facsímil</v>
      </c>
      <c r="K3833" s="12" t="s">
        <v>65</v>
      </c>
    </row>
    <row r="3834" spans="1:11" ht="40.049999999999997" customHeight="1" x14ac:dyDescent="0.25">
      <c r="A3834" s="11" t="s">
        <v>8360</v>
      </c>
      <c r="B3834" s="11" t="s">
        <v>8361</v>
      </c>
      <c r="C3834" s="11" t="s">
        <v>101</v>
      </c>
      <c r="D3834" s="11" t="s">
        <v>43</v>
      </c>
      <c r="E3834" s="12" t="s">
        <v>2378</v>
      </c>
      <c r="F3834" s="12" t="s">
        <v>2379</v>
      </c>
      <c r="G3834" s="12" t="s">
        <v>21</v>
      </c>
      <c r="H3834" s="11" t="s">
        <v>63</v>
      </c>
      <c r="I3834" s="13" t="s">
        <v>8362</v>
      </c>
      <c r="J3834" s="14" t="str">
        <f>HYPERLINK("https://www.boe.es/gazeta/dias/1839/06/20/pdfs/GMD-1839-1678.pdf#page=4","Abrir facsímil")</f>
        <v>Abrir facsímil</v>
      </c>
      <c r="K3834" s="12" t="s">
        <v>65</v>
      </c>
    </row>
    <row r="3835" spans="1:11" ht="40.049999999999997" customHeight="1" x14ac:dyDescent="0.25">
      <c r="A3835" s="11" t="s">
        <v>8360</v>
      </c>
      <c r="B3835" s="11" t="s">
        <v>8361</v>
      </c>
      <c r="C3835" s="11" t="s">
        <v>101</v>
      </c>
      <c r="D3835" s="11" t="s">
        <v>43</v>
      </c>
      <c r="E3835" s="12" t="s">
        <v>222</v>
      </c>
      <c r="F3835" s="12" t="s">
        <v>223</v>
      </c>
      <c r="G3835" s="12" t="s">
        <v>21</v>
      </c>
      <c r="H3835" s="11" t="s">
        <v>63</v>
      </c>
      <c r="I3835" s="13" t="s">
        <v>8363</v>
      </c>
      <c r="J3835" s="14" t="str">
        <f>HYPERLINK("https://www.boe.es/gazeta/dias/1839/06/22/pdfs/GMD-1839-1680.pdf#page=4","Abrir facsímil")</f>
        <v>Abrir facsímil</v>
      </c>
      <c r="K3835" s="12" t="s">
        <v>65</v>
      </c>
    </row>
    <row r="3836" spans="1:11" ht="40.049999999999997" customHeight="1" x14ac:dyDescent="0.25">
      <c r="A3836" s="11" t="s">
        <v>8364</v>
      </c>
      <c r="B3836" s="11" t="s">
        <v>8365</v>
      </c>
      <c r="C3836" s="11" t="s">
        <v>17</v>
      </c>
      <c r="D3836" s="11" t="s">
        <v>18</v>
      </c>
      <c r="E3836" s="12" t="s">
        <v>239</v>
      </c>
      <c r="F3836" s="12" t="s">
        <v>240</v>
      </c>
      <c r="G3836" s="12" t="s">
        <v>46</v>
      </c>
      <c r="H3836" s="11" t="s">
        <v>22</v>
      </c>
      <c r="I3836" s="13" t="s">
        <v>8366</v>
      </c>
      <c r="J3836" s="14" t="str">
        <f>HYPERLINK("https://www.boe.es/gazeta/dias/1839/09/22/pdfs/GMD-1839-1777.pdf#page=3","Abrir facsímil")</f>
        <v>Abrir facsímil</v>
      </c>
      <c r="K3836" s="12" t="s">
        <v>24</v>
      </c>
    </row>
    <row r="3837" spans="1:11" ht="40.049999999999997" customHeight="1" x14ac:dyDescent="0.25">
      <c r="A3837" s="11" t="s">
        <v>8367</v>
      </c>
      <c r="B3837" s="11" t="s">
        <v>8368</v>
      </c>
      <c r="C3837" s="11" t="s">
        <v>17</v>
      </c>
      <c r="D3837" s="11" t="s">
        <v>18</v>
      </c>
      <c r="E3837" s="12" t="s">
        <v>163</v>
      </c>
      <c r="F3837" s="12" t="s">
        <v>164</v>
      </c>
      <c r="G3837" s="12" t="s">
        <v>40</v>
      </c>
      <c r="H3837" s="11" t="s">
        <v>63</v>
      </c>
      <c r="I3837" s="13" t="s">
        <v>8369</v>
      </c>
      <c r="J3837" s="14" t="str">
        <f>HYPERLINK("https://www.boe.es/gazeta/dias/1839/01/13/pdfs/GMD-1839-1520.pdf#page=2","Abrir facsímil")</f>
        <v>Abrir facsímil</v>
      </c>
      <c r="K3837" s="12" t="s">
        <v>65</v>
      </c>
    </row>
    <row r="3838" spans="1:11" ht="40.049999999999997" customHeight="1" x14ac:dyDescent="0.25">
      <c r="A3838" s="11" t="s">
        <v>8370</v>
      </c>
      <c r="B3838" s="11" t="s">
        <v>8371</v>
      </c>
      <c r="C3838" s="11" t="s">
        <v>17</v>
      </c>
      <c r="D3838" s="11" t="s">
        <v>18</v>
      </c>
      <c r="E3838" s="12" t="s">
        <v>192</v>
      </c>
      <c r="F3838" s="12" t="s">
        <v>193</v>
      </c>
      <c r="G3838" s="12" t="s">
        <v>46</v>
      </c>
      <c r="H3838" s="11" t="s">
        <v>63</v>
      </c>
      <c r="I3838" s="13" t="s">
        <v>8372</v>
      </c>
      <c r="J3838" s="14" t="str">
        <f>HYPERLINK("https://www.boe.es/gazeta/dias/1839/01/12/pdfs/GMD-1839-1519.pdf#page=3","Abrir facsímil")</f>
        <v>Abrir facsímil</v>
      </c>
      <c r="K3838" s="12" t="s">
        <v>65</v>
      </c>
    </row>
    <row r="3839" spans="1:11" ht="40.049999999999997" customHeight="1" x14ac:dyDescent="0.25">
      <c r="A3839" s="11" t="s">
        <v>8373</v>
      </c>
      <c r="B3839" s="11" t="s">
        <v>8374</v>
      </c>
      <c r="C3839" s="11" t="s">
        <v>17</v>
      </c>
      <c r="D3839" s="11" t="s">
        <v>18</v>
      </c>
      <c r="E3839" s="12" t="s">
        <v>1378</v>
      </c>
      <c r="F3839" s="12" t="s">
        <v>1379</v>
      </c>
      <c r="G3839" s="12" t="s">
        <v>21</v>
      </c>
      <c r="H3839" s="11" t="s">
        <v>63</v>
      </c>
      <c r="I3839" s="13" t="s">
        <v>8375</v>
      </c>
      <c r="J3839" s="14" t="str">
        <f>HYPERLINK("https://www.boe.es/gazeta/dias/1839/05/18/pdfs/GMD-1839-1645.pdf#page=4","Abrir facsímil")</f>
        <v>Abrir facsímil</v>
      </c>
      <c r="K3839" s="12" t="s">
        <v>65</v>
      </c>
    </row>
    <row r="3840" spans="1:11" ht="40.049999999999997" customHeight="1" x14ac:dyDescent="0.25">
      <c r="A3840" s="11" t="s">
        <v>8376</v>
      </c>
      <c r="B3840" s="11" t="s">
        <v>8377</v>
      </c>
      <c r="C3840" s="11" t="s">
        <v>137</v>
      </c>
      <c r="D3840" s="11" t="s">
        <v>18</v>
      </c>
      <c r="E3840" s="12" t="s">
        <v>2222</v>
      </c>
      <c r="F3840" s="12" t="s">
        <v>2223</v>
      </c>
      <c r="G3840" s="12" t="s">
        <v>40</v>
      </c>
      <c r="H3840" s="11" t="s">
        <v>63</v>
      </c>
      <c r="I3840" s="13" t="s">
        <v>8378</v>
      </c>
      <c r="J3840" s="14" t="str">
        <f>HYPERLINK("https://www.boe.es/gazeta/dias/1839/09/19/pdfs/GMD-1839-1773.pdf#page=2","Abrir facsímil")</f>
        <v>Abrir facsímil</v>
      </c>
      <c r="K3840" s="12" t="s">
        <v>65</v>
      </c>
    </row>
    <row r="3841" spans="1:11" ht="40.049999999999997" customHeight="1" x14ac:dyDescent="0.25">
      <c r="A3841" s="11" t="s">
        <v>8379</v>
      </c>
      <c r="B3841" s="11" t="s">
        <v>8380</v>
      </c>
      <c r="C3841" s="11" t="s">
        <v>17</v>
      </c>
      <c r="D3841" s="11" t="s">
        <v>18</v>
      </c>
      <c r="E3841" s="12" t="s">
        <v>1108</v>
      </c>
      <c r="F3841" s="12" t="s">
        <v>1109</v>
      </c>
      <c r="G3841" s="12" t="s">
        <v>40</v>
      </c>
      <c r="H3841" s="11" t="s">
        <v>22</v>
      </c>
      <c r="I3841" s="13" t="s">
        <v>8381</v>
      </c>
      <c r="J3841" s="14" t="str">
        <f>HYPERLINK("https://www.boe.es/gazeta/dias/1839/09/21/pdfs/GMD-1839-1776.pdf#page=2","Abrir facsímil")</f>
        <v>Abrir facsímil</v>
      </c>
      <c r="K3841" s="12" t="s">
        <v>24</v>
      </c>
    </row>
    <row r="3842" spans="1:11" ht="40.049999999999997" customHeight="1" x14ac:dyDescent="0.25">
      <c r="A3842" s="11" t="s">
        <v>8376</v>
      </c>
      <c r="B3842" s="11" t="s">
        <v>8377</v>
      </c>
      <c r="C3842" s="11" t="s">
        <v>59</v>
      </c>
      <c r="D3842" s="11" t="s">
        <v>60</v>
      </c>
      <c r="E3842" s="12" t="s">
        <v>596</v>
      </c>
      <c r="F3842" s="12" t="s">
        <v>597</v>
      </c>
      <c r="G3842" s="12" t="s">
        <v>46</v>
      </c>
      <c r="H3842" s="11" t="s">
        <v>63</v>
      </c>
      <c r="I3842" s="13" t="s">
        <v>8382</v>
      </c>
      <c r="J3842" s="14" t="str">
        <f>HYPERLINK("https://www.boe.es/gazeta/dias/1839/01/23/pdfs/GMD-1839-1530.pdf#page=3","Abrir facsímil")</f>
        <v>Abrir facsímil</v>
      </c>
      <c r="K3842" s="12" t="s">
        <v>65</v>
      </c>
    </row>
    <row r="3843" spans="1:11" ht="40.049999999999997" customHeight="1" x14ac:dyDescent="0.25">
      <c r="A3843" s="11" t="s">
        <v>8383</v>
      </c>
      <c r="B3843" s="11" t="s">
        <v>8384</v>
      </c>
      <c r="C3843" s="11" t="s">
        <v>17</v>
      </c>
      <c r="D3843" s="11" t="s">
        <v>18</v>
      </c>
      <c r="E3843" s="12" t="s">
        <v>2069</v>
      </c>
      <c r="F3843" s="12" t="s">
        <v>2070</v>
      </c>
      <c r="G3843" s="12" t="s">
        <v>305</v>
      </c>
      <c r="H3843" s="11" t="s">
        <v>63</v>
      </c>
      <c r="I3843" s="13" t="s">
        <v>8385</v>
      </c>
      <c r="J3843" s="14" t="str">
        <f>HYPERLINK("https://www.boe.es/gazeta/dias/1839/10/20/pdfs/GMD-1839-1806.pdf#page=6","Abrir facsímil")</f>
        <v>Abrir facsímil</v>
      </c>
      <c r="K3843" s="12" t="s">
        <v>65</v>
      </c>
    </row>
    <row r="3844" spans="1:11" ht="40.049999999999997" customHeight="1" x14ac:dyDescent="0.25">
      <c r="A3844" s="11" t="s">
        <v>8386</v>
      </c>
      <c r="B3844" s="11" t="s">
        <v>8387</v>
      </c>
      <c r="C3844" s="11" t="s">
        <v>17</v>
      </c>
      <c r="D3844" s="11" t="s">
        <v>18</v>
      </c>
      <c r="E3844" s="12" t="s">
        <v>132</v>
      </c>
      <c r="F3844" s="12" t="s">
        <v>133</v>
      </c>
      <c r="G3844" s="12" t="s">
        <v>46</v>
      </c>
      <c r="H3844" s="11" t="s">
        <v>63</v>
      </c>
      <c r="I3844" s="13" t="s">
        <v>8388</v>
      </c>
      <c r="J3844" s="14" t="str">
        <f>HYPERLINK("https://www.boe.es/gazeta/dias/1839/08/02/pdfs/GMD-1839-1722.pdf#page=3","Abrir facsímil")</f>
        <v>Abrir facsímil</v>
      </c>
      <c r="K3844" s="12" t="s">
        <v>65</v>
      </c>
    </row>
    <row r="3845" spans="1:11" ht="40.049999999999997" customHeight="1" x14ac:dyDescent="0.25">
      <c r="A3845" s="11" t="s">
        <v>8389</v>
      </c>
      <c r="B3845" s="11" t="s">
        <v>8390</v>
      </c>
      <c r="C3845" s="11" t="s">
        <v>17</v>
      </c>
      <c r="D3845" s="11" t="s">
        <v>18</v>
      </c>
      <c r="E3845" s="12" t="s">
        <v>433</v>
      </c>
      <c r="F3845" s="12" t="s">
        <v>434</v>
      </c>
      <c r="G3845" s="12" t="s">
        <v>40</v>
      </c>
      <c r="H3845" s="11" t="s">
        <v>63</v>
      </c>
      <c r="I3845" s="13" t="s">
        <v>8391</v>
      </c>
      <c r="J3845" s="14" t="str">
        <f>HYPERLINK("https://www.boe.es/gazeta/dias/1839/01/20/pdfs/GMD-1839-1527.pdf#page=2","Abrir facsímil")</f>
        <v>Abrir facsímil</v>
      </c>
      <c r="K3845" s="12" t="s">
        <v>65</v>
      </c>
    </row>
    <row r="3846" spans="1:11" ht="40.049999999999997" customHeight="1" x14ac:dyDescent="0.25">
      <c r="A3846" s="11" t="s">
        <v>8392</v>
      </c>
      <c r="B3846" s="11" t="s">
        <v>8393</v>
      </c>
      <c r="C3846" s="11" t="s">
        <v>17</v>
      </c>
      <c r="D3846" s="11" t="s">
        <v>18</v>
      </c>
      <c r="E3846" s="12" t="s">
        <v>141</v>
      </c>
      <c r="F3846" s="12" t="s">
        <v>142</v>
      </c>
      <c r="G3846" s="12" t="s">
        <v>21</v>
      </c>
      <c r="H3846" s="11" t="s">
        <v>63</v>
      </c>
      <c r="I3846" s="13" t="s">
        <v>8394</v>
      </c>
      <c r="J3846" s="14" t="str">
        <f>HYPERLINK("https://www.boe.es/gazeta/dias/1839/11/10/pdfs/GMD-1839-1827.pdf#page=4","Abrir facsímil")</f>
        <v>Abrir facsímil</v>
      </c>
      <c r="K3846" s="12" t="s">
        <v>65</v>
      </c>
    </row>
    <row r="3847" spans="1:11" ht="40.049999999999997" customHeight="1" x14ac:dyDescent="0.25">
      <c r="A3847" s="11" t="s">
        <v>8395</v>
      </c>
      <c r="B3847" s="11" t="s">
        <v>8396</v>
      </c>
      <c r="C3847" s="11" t="s">
        <v>80</v>
      </c>
      <c r="D3847" s="11" t="s">
        <v>18</v>
      </c>
      <c r="E3847" s="12" t="s">
        <v>690</v>
      </c>
      <c r="F3847" s="12" t="s">
        <v>691</v>
      </c>
      <c r="G3847" s="12" t="s">
        <v>21</v>
      </c>
      <c r="H3847" s="11" t="s">
        <v>63</v>
      </c>
      <c r="I3847" s="13" t="s">
        <v>8397</v>
      </c>
      <c r="J3847" s="14" t="str">
        <f>HYPERLINK("https://www.boe.es/gazeta/dias/1839/12/08/pdfs/GMD-1839-1855.pdf#page=4","Abrir facsímil")</f>
        <v>Abrir facsímil</v>
      </c>
      <c r="K3847" s="12" t="s">
        <v>65</v>
      </c>
    </row>
    <row r="3848" spans="1:11" ht="40.049999999999997" customHeight="1" x14ac:dyDescent="0.25">
      <c r="A3848" s="11" t="s">
        <v>8395</v>
      </c>
      <c r="B3848" s="11" t="s">
        <v>8396</v>
      </c>
      <c r="C3848" s="11" t="s">
        <v>137</v>
      </c>
      <c r="D3848" s="11" t="s">
        <v>18</v>
      </c>
      <c r="E3848" s="12" t="s">
        <v>2270</v>
      </c>
      <c r="F3848" s="12" t="s">
        <v>2271</v>
      </c>
      <c r="G3848" s="12" t="s">
        <v>40</v>
      </c>
      <c r="H3848" s="11" t="s">
        <v>63</v>
      </c>
      <c r="I3848" s="13" t="s">
        <v>8398</v>
      </c>
      <c r="J3848" s="14" t="str">
        <f>HYPERLINK("https://www.boe.es/gazeta/dias/1839/06/13/pdfs/GMD-1839-1671.pdf#page=2","Abrir facsímil")</f>
        <v>Abrir facsímil</v>
      </c>
      <c r="K3848" s="12" t="s">
        <v>65</v>
      </c>
    </row>
    <row r="3849" spans="1:11" ht="40.049999999999997" customHeight="1" x14ac:dyDescent="0.25">
      <c r="A3849" s="11" t="s">
        <v>8399</v>
      </c>
      <c r="B3849" s="11" t="s">
        <v>8400</v>
      </c>
      <c r="C3849" s="11" t="s">
        <v>80</v>
      </c>
      <c r="D3849" s="11" t="s">
        <v>18</v>
      </c>
      <c r="E3849" s="12" t="s">
        <v>1179</v>
      </c>
      <c r="F3849" s="12" t="s">
        <v>1180</v>
      </c>
      <c r="G3849" s="12" t="s">
        <v>305</v>
      </c>
      <c r="H3849" s="11" t="s">
        <v>63</v>
      </c>
      <c r="I3849" s="13" t="s">
        <v>8401</v>
      </c>
      <c r="J3849" s="14" t="str">
        <f>HYPERLINK("https://www.boe.es/gazeta/dias/1839/10/18/pdfs/GMD-1839-1804.pdf#page=6","Abrir facsímil")</f>
        <v>Abrir facsímil</v>
      </c>
      <c r="K3849" s="12" t="s">
        <v>65</v>
      </c>
    </row>
    <row r="3850" spans="1:11" ht="40.049999999999997" customHeight="1" x14ac:dyDescent="0.25">
      <c r="A3850" s="11" t="s">
        <v>8402</v>
      </c>
      <c r="B3850" s="11" t="s">
        <v>8403</v>
      </c>
      <c r="C3850" s="11" t="s">
        <v>59</v>
      </c>
      <c r="D3850" s="11" t="s">
        <v>60</v>
      </c>
      <c r="E3850" s="12" t="s">
        <v>308</v>
      </c>
      <c r="F3850" s="12" t="s">
        <v>309</v>
      </c>
      <c r="G3850" s="12" t="s">
        <v>29</v>
      </c>
      <c r="H3850" s="11" t="s">
        <v>63</v>
      </c>
      <c r="I3850" s="13" t="s">
        <v>8404</v>
      </c>
      <c r="J3850" s="14" t="str">
        <f>HYPERLINK("https://www.boe.es/gazeta/dias/1839/07/29/pdfs/GMD-1839-1718.pdf#page=1","Abrir facsímil")</f>
        <v>Abrir facsímil</v>
      </c>
      <c r="K3850" s="12" t="s">
        <v>65</v>
      </c>
    </row>
    <row r="3851" spans="1:11" ht="40.049999999999997" customHeight="1" x14ac:dyDescent="0.25">
      <c r="A3851" s="11" t="s">
        <v>8405</v>
      </c>
      <c r="B3851" s="11" t="s">
        <v>8406</v>
      </c>
      <c r="C3851" s="11" t="s">
        <v>137</v>
      </c>
      <c r="D3851" s="11" t="s">
        <v>18</v>
      </c>
      <c r="E3851" s="12" t="s">
        <v>185</v>
      </c>
      <c r="F3851" s="12" t="s">
        <v>186</v>
      </c>
      <c r="G3851" s="12" t="s">
        <v>21</v>
      </c>
      <c r="H3851" s="11" t="s">
        <v>63</v>
      </c>
      <c r="I3851" s="13" t="s">
        <v>8407</v>
      </c>
      <c r="J3851" s="14" t="str">
        <f>HYPERLINK("https://www.boe.es/gazeta/dias/1839/01/15/pdfs/GMD-1839-1522.pdf#page=4","Abrir facsímil")</f>
        <v>Abrir facsímil</v>
      </c>
      <c r="K3851" s="12" t="s">
        <v>65</v>
      </c>
    </row>
    <row r="3852" spans="1:11" ht="40.049999999999997" customHeight="1" x14ac:dyDescent="0.25">
      <c r="A3852" s="11" t="s">
        <v>8408</v>
      </c>
      <c r="B3852" s="11" t="s">
        <v>8409</v>
      </c>
      <c r="C3852" s="11" t="s">
        <v>17</v>
      </c>
      <c r="D3852" s="11" t="s">
        <v>43</v>
      </c>
      <c r="E3852" s="12" t="s">
        <v>1057</v>
      </c>
      <c r="F3852" s="12" t="s">
        <v>1058</v>
      </c>
      <c r="G3852" s="12" t="s">
        <v>29</v>
      </c>
      <c r="H3852" s="11" t="s">
        <v>63</v>
      </c>
      <c r="I3852" s="13" t="s">
        <v>8410</v>
      </c>
      <c r="J3852" s="14" t="str">
        <f>HYPERLINK("https://www.boe.es/gazeta/dias/1839/10/01/pdfs/GMD-1839-1787.pdf#page=1","Abrir facsímil")</f>
        <v>Abrir facsímil</v>
      </c>
      <c r="K3852" s="12" t="s">
        <v>65</v>
      </c>
    </row>
    <row r="3853" spans="1:11" ht="40.049999999999997" customHeight="1" x14ac:dyDescent="0.25">
      <c r="A3853" s="11" t="s">
        <v>8411</v>
      </c>
      <c r="B3853" s="11" t="s">
        <v>8412</v>
      </c>
      <c r="C3853" s="11" t="s">
        <v>17</v>
      </c>
      <c r="D3853" s="11" t="s">
        <v>18</v>
      </c>
      <c r="E3853" s="12" t="s">
        <v>2650</v>
      </c>
      <c r="F3853" s="12" t="s">
        <v>2651</v>
      </c>
      <c r="G3853" s="12" t="s">
        <v>21</v>
      </c>
      <c r="H3853" s="11" t="s">
        <v>63</v>
      </c>
      <c r="I3853" s="13" t="s">
        <v>8413</v>
      </c>
      <c r="J3853" s="14" t="str">
        <f>HYPERLINK("https://www.boe.es/gazeta/dias/1839/09/15/pdfs/GMD-1839-1768.pdf#page=4","Abrir facsímil")</f>
        <v>Abrir facsímil</v>
      </c>
      <c r="K3853" s="12" t="s">
        <v>65</v>
      </c>
    </row>
    <row r="3854" spans="1:11" ht="40.049999999999997" customHeight="1" x14ac:dyDescent="0.25">
      <c r="A3854" s="11" t="s">
        <v>8414</v>
      </c>
      <c r="B3854" s="11" t="s">
        <v>8415</v>
      </c>
      <c r="C3854" s="11" t="s">
        <v>80</v>
      </c>
      <c r="D3854" s="11" t="s">
        <v>18</v>
      </c>
      <c r="E3854" s="12" t="s">
        <v>695</v>
      </c>
      <c r="F3854" s="12" t="s">
        <v>696</v>
      </c>
      <c r="G3854" s="12" t="s">
        <v>21</v>
      </c>
      <c r="H3854" s="11" t="s">
        <v>63</v>
      </c>
      <c r="I3854" s="13" t="s">
        <v>8416</v>
      </c>
      <c r="J3854" s="14" t="str">
        <f>HYPERLINK("https://www.boe.es/gazeta/dias/1839/12/19/pdfs/GMD-1839-1866.pdf#page=4","Abrir facsímil")</f>
        <v>Abrir facsímil</v>
      </c>
      <c r="K3854" s="12" t="s">
        <v>65</v>
      </c>
    </row>
    <row r="3855" spans="1:11" ht="40.049999999999997" customHeight="1" x14ac:dyDescent="0.25">
      <c r="A3855" s="11" t="s">
        <v>8417</v>
      </c>
      <c r="B3855" s="11" t="s">
        <v>8418</v>
      </c>
      <c r="C3855" s="11" t="s">
        <v>80</v>
      </c>
      <c r="D3855" s="11" t="s">
        <v>18</v>
      </c>
      <c r="E3855" s="12" t="s">
        <v>141</v>
      </c>
      <c r="F3855" s="12" t="s">
        <v>142</v>
      </c>
      <c r="G3855" s="12" t="s">
        <v>21</v>
      </c>
      <c r="H3855" s="11" t="s">
        <v>63</v>
      </c>
      <c r="I3855" s="13" t="s">
        <v>8419</v>
      </c>
      <c r="J3855" s="14" t="str">
        <f>HYPERLINK("https://www.boe.es/gazeta/dias/1839/11/10/pdfs/GMD-1839-1827.pdf#page=4","Abrir facsímil")</f>
        <v>Abrir facsímil</v>
      </c>
      <c r="K3855" s="12" t="s">
        <v>65</v>
      </c>
    </row>
    <row r="3856" spans="1:11" ht="40.049999999999997" customHeight="1" x14ac:dyDescent="0.25">
      <c r="A3856" s="11" t="s">
        <v>8420</v>
      </c>
      <c r="B3856" s="11" t="s">
        <v>8421</v>
      </c>
      <c r="C3856" s="11" t="s">
        <v>17</v>
      </c>
      <c r="D3856" s="11" t="s">
        <v>18</v>
      </c>
      <c r="E3856" s="12" t="s">
        <v>4055</v>
      </c>
      <c r="F3856" s="12" t="s">
        <v>4056</v>
      </c>
      <c r="G3856" s="12" t="s">
        <v>21</v>
      </c>
      <c r="H3856" s="11" t="s">
        <v>22</v>
      </c>
      <c r="I3856" s="13" t="s">
        <v>8422</v>
      </c>
      <c r="J3856" s="14" t="str">
        <f>HYPERLINK("https://www.boe.es/gazeta/dias/1839/03/07/pdfs/GMD-1839-1573.pdf#page=4","Abrir facsímil")</f>
        <v>Abrir facsímil</v>
      </c>
      <c r="K3856" s="12" t="s">
        <v>24</v>
      </c>
    </row>
    <row r="3857" spans="1:11" ht="40.049999999999997" customHeight="1" x14ac:dyDescent="0.25">
      <c r="A3857" s="11" t="s">
        <v>8423</v>
      </c>
      <c r="B3857" s="11" t="s">
        <v>8424</v>
      </c>
      <c r="C3857" s="11" t="s">
        <v>59</v>
      </c>
      <c r="D3857" s="11" t="s">
        <v>60</v>
      </c>
      <c r="E3857" s="12" t="s">
        <v>2919</v>
      </c>
      <c r="F3857" s="12" t="s">
        <v>2920</v>
      </c>
      <c r="G3857" s="12" t="s">
        <v>21</v>
      </c>
      <c r="H3857" s="11" t="s">
        <v>22</v>
      </c>
      <c r="I3857" s="13" t="s">
        <v>8425</v>
      </c>
      <c r="J3857" s="14" t="str">
        <f>HYPERLINK("https://www.boe.es/gazeta/dias/1839/11/12/pdfs/GMD-1839-1829.pdf#page=4","Abrir facsímil")</f>
        <v>Abrir facsímil</v>
      </c>
      <c r="K3857" s="12" t="s">
        <v>24</v>
      </c>
    </row>
    <row r="3858" spans="1:11" ht="40.049999999999997" customHeight="1" x14ac:dyDescent="0.25">
      <c r="A3858" s="11" t="s">
        <v>8426</v>
      </c>
      <c r="B3858" s="11" t="s">
        <v>8427</v>
      </c>
      <c r="C3858" s="11" t="s">
        <v>17</v>
      </c>
      <c r="D3858" s="11" t="s">
        <v>18</v>
      </c>
      <c r="E3858" s="12" t="s">
        <v>375</v>
      </c>
      <c r="F3858" s="12" t="s">
        <v>376</v>
      </c>
      <c r="G3858" s="12" t="s">
        <v>21</v>
      </c>
      <c r="H3858" s="11" t="s">
        <v>22</v>
      </c>
      <c r="I3858" s="13" t="s">
        <v>8428</v>
      </c>
      <c r="J3858" s="14" t="str">
        <f>HYPERLINK("https://www.boe.es/gazeta/dias/1839/11/25/pdfs/GMD-1839-1842.pdf#page=4","Abrir facsímil")</f>
        <v>Abrir facsímil</v>
      </c>
      <c r="K3858" s="12" t="s">
        <v>24</v>
      </c>
    </row>
    <row r="3859" spans="1:11" ht="40.049999999999997" customHeight="1" x14ac:dyDescent="0.25">
      <c r="A3859" s="11" t="s">
        <v>8429</v>
      </c>
      <c r="B3859" s="11" t="s">
        <v>8430</v>
      </c>
      <c r="C3859" s="11" t="s">
        <v>80</v>
      </c>
      <c r="D3859" s="11" t="s">
        <v>18</v>
      </c>
      <c r="E3859" s="12" t="s">
        <v>2205</v>
      </c>
      <c r="F3859" s="12" t="s">
        <v>2206</v>
      </c>
      <c r="G3859" s="12" t="s">
        <v>21</v>
      </c>
      <c r="H3859" s="11" t="s">
        <v>63</v>
      </c>
      <c r="I3859" s="13" t="s">
        <v>8431</v>
      </c>
      <c r="J3859" s="14" t="str">
        <f>HYPERLINK("https://www.boe.es/gazeta/dias/1839/07/11/pdfs/GMD-1839-1699.pdf#page=4","Abrir facsímil")</f>
        <v>Abrir facsímil</v>
      </c>
      <c r="K3859" s="12" t="s">
        <v>65</v>
      </c>
    </row>
    <row r="3860" spans="1:11" ht="40.049999999999997" customHeight="1" x14ac:dyDescent="0.25">
      <c r="A3860" s="11" t="s">
        <v>8432</v>
      </c>
      <c r="B3860" s="11" t="s">
        <v>8433</v>
      </c>
      <c r="C3860" s="11" t="s">
        <v>101</v>
      </c>
      <c r="D3860" s="11" t="s">
        <v>43</v>
      </c>
      <c r="E3860" s="12" t="s">
        <v>695</v>
      </c>
      <c r="F3860" s="12" t="s">
        <v>696</v>
      </c>
      <c r="G3860" s="12" t="s">
        <v>46</v>
      </c>
      <c r="H3860" s="11" t="s">
        <v>22</v>
      </c>
      <c r="I3860" s="13" t="s">
        <v>8434</v>
      </c>
      <c r="J3860" s="14" t="str">
        <f>HYPERLINK("https://www.boe.es/gazeta/dias/1839/12/19/pdfs/GMD-1839-1866.pdf#page=3","Abrir facsímil")</f>
        <v>Abrir facsímil</v>
      </c>
      <c r="K3860" s="12" t="s">
        <v>24</v>
      </c>
    </row>
    <row r="3861" spans="1:11" ht="40.049999999999997" customHeight="1" x14ac:dyDescent="0.25">
      <c r="A3861" s="11" t="s">
        <v>8435</v>
      </c>
      <c r="B3861" s="11" t="s">
        <v>8436</v>
      </c>
      <c r="C3861" s="11" t="s">
        <v>101</v>
      </c>
      <c r="D3861" s="11" t="s">
        <v>43</v>
      </c>
      <c r="E3861" s="12" t="s">
        <v>513</v>
      </c>
      <c r="F3861" s="12" t="s">
        <v>514</v>
      </c>
      <c r="G3861" s="12" t="s">
        <v>40</v>
      </c>
      <c r="H3861" s="11" t="s">
        <v>22</v>
      </c>
      <c r="I3861" s="13" t="s">
        <v>8437</v>
      </c>
      <c r="J3861" s="14" t="str">
        <f>HYPERLINK("https://www.boe.es/gazeta/dias/1839/03/17/pdfs/GMD-1839-1583.pdf#page=2","Abrir facsímil")</f>
        <v>Abrir facsímil</v>
      </c>
      <c r="K3861" s="12" t="s">
        <v>24</v>
      </c>
    </row>
    <row r="3862" spans="1:11" ht="40.049999999999997" customHeight="1" x14ac:dyDescent="0.25">
      <c r="A3862" s="11" t="s">
        <v>8435</v>
      </c>
      <c r="B3862" s="11" t="s">
        <v>8436</v>
      </c>
      <c r="C3862" s="11" t="s">
        <v>17</v>
      </c>
      <c r="D3862" s="11" t="s">
        <v>18</v>
      </c>
      <c r="E3862" s="12" t="s">
        <v>438</v>
      </c>
      <c r="F3862" s="12" t="s">
        <v>439</v>
      </c>
      <c r="G3862" s="12" t="s">
        <v>40</v>
      </c>
      <c r="H3862" s="11" t="s">
        <v>22</v>
      </c>
      <c r="I3862" s="13" t="s">
        <v>8438</v>
      </c>
      <c r="J3862" s="14" t="str">
        <f>HYPERLINK("https://www.boe.es/gazeta/dias/1839/07/17/pdfs/GMD-1839-1705.pdf#page=2","Abrir facsímil")</f>
        <v>Abrir facsímil</v>
      </c>
      <c r="K3862" s="12" t="s">
        <v>24</v>
      </c>
    </row>
    <row r="3863" spans="1:11" ht="40.049999999999997" customHeight="1" x14ac:dyDescent="0.25">
      <c r="A3863" s="11" t="s">
        <v>8439</v>
      </c>
      <c r="B3863" s="11" t="s">
        <v>8440</v>
      </c>
      <c r="C3863" s="11" t="s">
        <v>59</v>
      </c>
      <c r="D3863" s="11" t="s">
        <v>60</v>
      </c>
      <c r="E3863" s="12" t="s">
        <v>1252</v>
      </c>
      <c r="F3863" s="12" t="s">
        <v>1253</v>
      </c>
      <c r="G3863" s="12" t="s">
        <v>21</v>
      </c>
      <c r="H3863" s="11" t="s">
        <v>63</v>
      </c>
      <c r="I3863" s="13" t="s">
        <v>8441</v>
      </c>
      <c r="J3863" s="14" t="str">
        <f>HYPERLINK("https://www.boe.es/gazeta/dias/1839/06/15/pdfs/GMD-1839-1673.pdf#page=4","Abrir facsímil")</f>
        <v>Abrir facsímil</v>
      </c>
      <c r="K3863" s="12" t="s">
        <v>65</v>
      </c>
    </row>
    <row r="3864" spans="1:11" ht="40.049999999999997" customHeight="1" x14ac:dyDescent="0.25">
      <c r="A3864" s="11" t="s">
        <v>8439</v>
      </c>
      <c r="B3864" s="11" t="s">
        <v>8440</v>
      </c>
      <c r="C3864" s="11" t="s">
        <v>17</v>
      </c>
      <c r="D3864" s="11" t="s">
        <v>18</v>
      </c>
      <c r="E3864" s="12" t="s">
        <v>94</v>
      </c>
      <c r="F3864" s="12" t="s">
        <v>95</v>
      </c>
      <c r="G3864" s="12" t="s">
        <v>29</v>
      </c>
      <c r="H3864" s="11" t="s">
        <v>63</v>
      </c>
      <c r="I3864" s="13" t="s">
        <v>8442</v>
      </c>
      <c r="J3864" s="14" t="str">
        <f>HYPERLINK("https://www.boe.es/gazeta/dias/1839/02/24/pdfs/GMD-1839-1562.pdf#page=1","Abrir facsímil")</f>
        <v>Abrir facsímil</v>
      </c>
      <c r="K3864" s="12" t="s">
        <v>65</v>
      </c>
    </row>
    <row r="3865" spans="1:11" ht="40.049999999999997" customHeight="1" x14ac:dyDescent="0.25">
      <c r="A3865" s="11" t="s">
        <v>8443</v>
      </c>
      <c r="B3865" s="11" t="s">
        <v>8444</v>
      </c>
      <c r="C3865" s="11" t="s">
        <v>80</v>
      </c>
      <c r="D3865" s="11" t="s">
        <v>173</v>
      </c>
      <c r="E3865" s="12" t="s">
        <v>513</v>
      </c>
      <c r="F3865" s="12" t="s">
        <v>514</v>
      </c>
      <c r="G3865" s="12" t="s">
        <v>29</v>
      </c>
      <c r="H3865" s="11" t="s">
        <v>63</v>
      </c>
      <c r="I3865" s="13" t="s">
        <v>8445</v>
      </c>
      <c r="J3865" s="14" t="str">
        <f>HYPERLINK("https://www.boe.es/gazeta/dias/1839/03/17/pdfs/GMD-1839-1583.pdf#page=1","Abrir facsímil")</f>
        <v>Abrir facsímil</v>
      </c>
      <c r="K3865" s="12" t="s">
        <v>65</v>
      </c>
    </row>
    <row r="3866" spans="1:11" ht="40.049999999999997" customHeight="1" x14ac:dyDescent="0.25">
      <c r="A3866" s="11" t="s">
        <v>8443</v>
      </c>
      <c r="B3866" s="11" t="s">
        <v>8444</v>
      </c>
      <c r="C3866" s="11" t="s">
        <v>17</v>
      </c>
      <c r="D3866" s="11" t="s">
        <v>18</v>
      </c>
      <c r="E3866" s="12" t="s">
        <v>1565</v>
      </c>
      <c r="F3866" s="12" t="s">
        <v>1566</v>
      </c>
      <c r="G3866" s="12" t="s">
        <v>21</v>
      </c>
      <c r="H3866" s="11" t="s">
        <v>63</v>
      </c>
      <c r="I3866" s="13" t="s">
        <v>8446</v>
      </c>
      <c r="J3866" s="14" t="str">
        <f>HYPERLINK("https://www.boe.es/gazeta/dias/1839/06/17/pdfs/GMD-1839-1675.pdf#page=4","Abrir facsímil")</f>
        <v>Abrir facsímil</v>
      </c>
      <c r="K3866" s="12" t="s">
        <v>65</v>
      </c>
    </row>
    <row r="3867" spans="1:11" ht="40.049999999999997" customHeight="1" x14ac:dyDescent="0.25">
      <c r="A3867" s="11" t="s">
        <v>8447</v>
      </c>
      <c r="B3867" s="11" t="s">
        <v>8448</v>
      </c>
      <c r="C3867" s="11" t="s">
        <v>80</v>
      </c>
      <c r="D3867" s="11" t="s">
        <v>18</v>
      </c>
      <c r="E3867" s="12" t="s">
        <v>4485</v>
      </c>
      <c r="F3867" s="12" t="s">
        <v>4486</v>
      </c>
      <c r="G3867" s="12" t="s">
        <v>21</v>
      </c>
      <c r="H3867" s="11" t="s">
        <v>63</v>
      </c>
      <c r="I3867" s="13" t="s">
        <v>8449</v>
      </c>
      <c r="J3867" s="14" t="str">
        <f>HYPERLINK("https://www.boe.es/gazeta/dias/1839/07/08/pdfs/GMD-1839-1696.pdf#page=4","Abrir facsímil")</f>
        <v>Abrir facsímil</v>
      </c>
      <c r="K3867" s="12" t="s">
        <v>65</v>
      </c>
    </row>
    <row r="3868" spans="1:11" ht="40.049999999999997" customHeight="1" x14ac:dyDescent="0.25">
      <c r="A3868" s="11" t="s">
        <v>8450</v>
      </c>
      <c r="B3868" s="11" t="s">
        <v>8451</v>
      </c>
      <c r="C3868" s="11" t="s">
        <v>17</v>
      </c>
      <c r="D3868" s="11" t="s">
        <v>18</v>
      </c>
      <c r="E3868" s="12" t="s">
        <v>2262</v>
      </c>
      <c r="F3868" s="12" t="s">
        <v>2263</v>
      </c>
      <c r="G3868" s="12" t="s">
        <v>21</v>
      </c>
      <c r="H3868" s="11" t="s">
        <v>63</v>
      </c>
      <c r="I3868" s="13" t="s">
        <v>8452</v>
      </c>
      <c r="J3868" s="14" t="str">
        <f>HYPERLINK("https://www.boe.es/gazeta/dias/1839/03/16/pdfs/GMD-1839-1582.pdf#page=4","Abrir facsímil")</f>
        <v>Abrir facsímil</v>
      </c>
      <c r="K3868" s="12" t="s">
        <v>65</v>
      </c>
    </row>
    <row r="3869" spans="1:11" ht="40.049999999999997" customHeight="1" x14ac:dyDescent="0.25">
      <c r="A3869" s="11" t="s">
        <v>8453</v>
      </c>
      <c r="B3869" s="11" t="s">
        <v>8454</v>
      </c>
      <c r="C3869" s="11" t="s">
        <v>17</v>
      </c>
      <c r="D3869" s="11" t="s">
        <v>18</v>
      </c>
      <c r="E3869" s="12" t="s">
        <v>2215</v>
      </c>
      <c r="F3869" s="12" t="s">
        <v>2216</v>
      </c>
      <c r="G3869" s="12" t="s">
        <v>21</v>
      </c>
      <c r="H3869" s="11" t="s">
        <v>63</v>
      </c>
      <c r="I3869" s="13" t="s">
        <v>8455</v>
      </c>
      <c r="J3869" s="14" t="str">
        <f>HYPERLINK("https://www.boe.es/gazeta/dias/1839/07/21/pdfs/GMD-1839-1709.pdf#page=4","Abrir facsímil")</f>
        <v>Abrir facsímil</v>
      </c>
      <c r="K3869" s="12" t="s">
        <v>65</v>
      </c>
    </row>
    <row r="3870" spans="1:11" ht="40.049999999999997" customHeight="1" x14ac:dyDescent="0.25">
      <c r="A3870" s="11" t="s">
        <v>8456</v>
      </c>
      <c r="B3870" s="11" t="s">
        <v>8457</v>
      </c>
      <c r="C3870" s="11" t="s">
        <v>59</v>
      </c>
      <c r="D3870" s="11" t="s">
        <v>60</v>
      </c>
      <c r="E3870" s="12" t="s">
        <v>327</v>
      </c>
      <c r="F3870" s="12" t="s">
        <v>328</v>
      </c>
      <c r="G3870" s="12" t="s">
        <v>21</v>
      </c>
      <c r="H3870" s="11" t="s">
        <v>63</v>
      </c>
      <c r="I3870" s="13" t="s">
        <v>8458</v>
      </c>
      <c r="J3870" s="14" t="str">
        <f>HYPERLINK("https://www.boe.es/gazeta/dias/1839/08/05/pdfs/GMD-1839-1725.pdf#page=4","Abrir facsímil")</f>
        <v>Abrir facsímil</v>
      </c>
      <c r="K3870" s="12" t="s">
        <v>65</v>
      </c>
    </row>
    <row r="3871" spans="1:11" ht="40.049999999999997" customHeight="1" x14ac:dyDescent="0.25">
      <c r="A3871" s="11" t="s">
        <v>8459</v>
      </c>
      <c r="B3871" s="11" t="s">
        <v>8460</v>
      </c>
      <c r="C3871" s="11" t="s">
        <v>17</v>
      </c>
      <c r="D3871" s="11" t="s">
        <v>18</v>
      </c>
      <c r="E3871" s="12" t="s">
        <v>1523</v>
      </c>
      <c r="F3871" s="12" t="s">
        <v>1524</v>
      </c>
      <c r="G3871" s="12" t="s">
        <v>29</v>
      </c>
      <c r="H3871" s="11" t="s">
        <v>63</v>
      </c>
      <c r="I3871" s="13" t="s">
        <v>8461</v>
      </c>
      <c r="J3871" s="14" t="str">
        <f>HYPERLINK("https://www.boe.es/gazeta/dias/1839/08/29/pdfs/GMD-1839-1750.pdf#page=1","Abrir facsímil")</f>
        <v>Abrir facsímil</v>
      </c>
      <c r="K3871" s="12" t="s">
        <v>65</v>
      </c>
    </row>
    <row r="3872" spans="1:11" ht="40.049999999999997" customHeight="1" x14ac:dyDescent="0.25">
      <c r="A3872" s="11" t="s">
        <v>8462</v>
      </c>
      <c r="B3872" s="11" t="s">
        <v>8463</v>
      </c>
      <c r="C3872" s="11" t="s">
        <v>17</v>
      </c>
      <c r="D3872" s="11" t="s">
        <v>18</v>
      </c>
      <c r="E3872" s="12" t="s">
        <v>2851</v>
      </c>
      <c r="F3872" s="12" t="s">
        <v>2852</v>
      </c>
      <c r="G3872" s="12" t="s">
        <v>46</v>
      </c>
      <c r="H3872" s="11" t="s">
        <v>22</v>
      </c>
      <c r="I3872" s="13" t="s">
        <v>8464</v>
      </c>
      <c r="J3872" s="14" t="str">
        <f>HYPERLINK("https://www.boe.es/gazeta/dias/1839/05/16/pdfs/GMD-1839-1643.pdf#page=3","Abrir facsímil")</f>
        <v>Abrir facsímil</v>
      </c>
      <c r="K3872" s="12" t="s">
        <v>24</v>
      </c>
    </row>
    <row r="3873" spans="1:11" ht="40.049999999999997" customHeight="1" x14ac:dyDescent="0.25">
      <c r="A3873" s="11" t="s">
        <v>8465</v>
      </c>
      <c r="B3873" s="11" t="s">
        <v>8466</v>
      </c>
      <c r="C3873" s="11" t="s">
        <v>17</v>
      </c>
      <c r="D3873" s="11" t="s">
        <v>18</v>
      </c>
      <c r="E3873" s="12" t="s">
        <v>258</v>
      </c>
      <c r="F3873" s="12" t="s">
        <v>259</v>
      </c>
      <c r="G3873" s="12" t="s">
        <v>46</v>
      </c>
      <c r="H3873" s="11" t="s">
        <v>22</v>
      </c>
      <c r="I3873" s="13" t="s">
        <v>8467</v>
      </c>
      <c r="J3873" s="14" t="str">
        <f>HYPERLINK("https://www.boe.es/gazeta/dias/1839/01/02/pdfs/GMD-1839-1509.pdf#page=3","Abrir facsímil")</f>
        <v>Abrir facsímil</v>
      </c>
      <c r="K3873" s="12" t="s">
        <v>24</v>
      </c>
    </row>
    <row r="3874" spans="1:11" ht="40.049999999999997" customHeight="1" x14ac:dyDescent="0.25">
      <c r="A3874" s="11" t="s">
        <v>8468</v>
      </c>
      <c r="B3874" s="11" t="s">
        <v>8469</v>
      </c>
      <c r="C3874" s="11" t="s">
        <v>17</v>
      </c>
      <c r="D3874" s="11" t="s">
        <v>18</v>
      </c>
      <c r="E3874" s="12" t="s">
        <v>1179</v>
      </c>
      <c r="F3874" s="12" t="s">
        <v>1180</v>
      </c>
      <c r="G3874" s="12" t="s">
        <v>305</v>
      </c>
      <c r="H3874" s="11" t="s">
        <v>63</v>
      </c>
      <c r="I3874" s="13" t="s">
        <v>8470</v>
      </c>
      <c r="J3874" s="14" t="str">
        <f>HYPERLINK("https://www.boe.es/gazeta/dias/1839/10/18/pdfs/GMD-1839-1804.pdf#page=6","Abrir facsímil")</f>
        <v>Abrir facsímil</v>
      </c>
      <c r="K3874" s="12" t="s">
        <v>65</v>
      </c>
    </row>
    <row r="3875" spans="1:11" ht="40.049999999999997" customHeight="1" x14ac:dyDescent="0.25">
      <c r="A3875" s="11" t="s">
        <v>8471</v>
      </c>
      <c r="B3875" s="11" t="s">
        <v>8472</v>
      </c>
      <c r="C3875" s="11" t="s">
        <v>17</v>
      </c>
      <c r="D3875" s="11" t="s">
        <v>18</v>
      </c>
      <c r="E3875" s="12" t="s">
        <v>3614</v>
      </c>
      <c r="F3875" s="12" t="s">
        <v>3615</v>
      </c>
      <c r="G3875" s="12" t="s">
        <v>21</v>
      </c>
      <c r="H3875" s="11" t="s">
        <v>22</v>
      </c>
      <c r="I3875" s="13" t="s">
        <v>8473</v>
      </c>
      <c r="J3875" s="14" t="str">
        <f>HYPERLINK("https://www.boe.es/gazeta/dias/1839/04/04/pdfs/GMD-1839-1601.pdf#page=4","Abrir facsímil")</f>
        <v>Abrir facsímil</v>
      </c>
      <c r="K3875" s="12" t="s">
        <v>24</v>
      </c>
    </row>
    <row r="3876" spans="1:11" ht="40.049999999999997" customHeight="1" x14ac:dyDescent="0.25">
      <c r="A3876" s="11" t="s">
        <v>8474</v>
      </c>
      <c r="B3876" s="11" t="s">
        <v>8475</v>
      </c>
      <c r="C3876" s="11" t="s">
        <v>17</v>
      </c>
      <c r="D3876" s="11" t="s">
        <v>18</v>
      </c>
      <c r="E3876" s="12" t="s">
        <v>84</v>
      </c>
      <c r="F3876" s="12" t="s">
        <v>85</v>
      </c>
      <c r="G3876" s="12" t="s">
        <v>29</v>
      </c>
      <c r="H3876" s="11" t="s">
        <v>63</v>
      </c>
      <c r="I3876" s="13" t="s">
        <v>8476</v>
      </c>
      <c r="J3876" s="14" t="str">
        <f>HYPERLINK("https://www.boe.es/gazeta/dias/1839/03/11/pdfs/GMD-1839-1577.pdf#page=1","Abrir facsímil")</f>
        <v>Abrir facsímil</v>
      </c>
      <c r="K3876" s="12" t="s">
        <v>65</v>
      </c>
    </row>
    <row r="3877" spans="1:11" ht="40.049999999999997" customHeight="1" x14ac:dyDescent="0.25">
      <c r="A3877" s="11" t="s">
        <v>8477</v>
      </c>
      <c r="B3877" s="11" t="s">
        <v>8478</v>
      </c>
      <c r="C3877" s="11" t="s">
        <v>80</v>
      </c>
      <c r="D3877" s="11" t="s">
        <v>18</v>
      </c>
      <c r="E3877" s="12" t="s">
        <v>462</v>
      </c>
      <c r="F3877" s="12" t="s">
        <v>463</v>
      </c>
      <c r="G3877" s="12" t="s">
        <v>21</v>
      </c>
      <c r="H3877" s="11" t="s">
        <v>22</v>
      </c>
      <c r="I3877" s="13" t="s">
        <v>8479</v>
      </c>
      <c r="J3877" s="14" t="str">
        <f>HYPERLINK("https://www.boe.es/gazeta/dias/1839/06/19/pdfs/GMD-1839-1677.pdf#page=4","Abrir facsímil")</f>
        <v>Abrir facsímil</v>
      </c>
      <c r="K3877" s="12" t="s">
        <v>24</v>
      </c>
    </row>
    <row r="3878" spans="1:11" ht="40.049999999999997" customHeight="1" x14ac:dyDescent="0.25">
      <c r="A3878" s="11" t="s">
        <v>8480</v>
      </c>
      <c r="B3878" s="11" t="s">
        <v>8481</v>
      </c>
      <c r="C3878" s="11" t="s">
        <v>101</v>
      </c>
      <c r="D3878" s="11" t="s">
        <v>43</v>
      </c>
      <c r="E3878" s="12" t="s">
        <v>160</v>
      </c>
      <c r="F3878" s="12" t="s">
        <v>161</v>
      </c>
      <c r="G3878" s="12" t="s">
        <v>40</v>
      </c>
      <c r="H3878" s="11" t="s">
        <v>22</v>
      </c>
      <c r="I3878" s="13" t="s">
        <v>8482</v>
      </c>
      <c r="J3878" s="14" t="str">
        <f>HYPERLINK("https://www.boe.es/gazeta/dias/1839/01/10/pdfs/GMD-1839-1517.pdf#page=2","Abrir facsímil")</f>
        <v>Abrir facsímil</v>
      </c>
      <c r="K3878" s="12" t="s">
        <v>24</v>
      </c>
    </row>
    <row r="3879" spans="1:11" ht="40.049999999999997" customHeight="1" x14ac:dyDescent="0.25">
      <c r="A3879" s="11" t="s">
        <v>8483</v>
      </c>
      <c r="B3879" s="11" t="s">
        <v>8484</v>
      </c>
      <c r="C3879" s="11" t="s">
        <v>17</v>
      </c>
      <c r="D3879" s="11" t="s">
        <v>18</v>
      </c>
      <c r="E3879" s="12" t="s">
        <v>2995</v>
      </c>
      <c r="F3879" s="12" t="s">
        <v>2996</v>
      </c>
      <c r="G3879" s="12" t="s">
        <v>21</v>
      </c>
      <c r="H3879" s="11" t="s">
        <v>22</v>
      </c>
      <c r="I3879" s="13" t="s">
        <v>8485</v>
      </c>
      <c r="J3879" s="14" t="str">
        <f>HYPERLINK("https://www.boe.es/gazeta/dias/1839/06/16/pdfs/GMD-1839-1674.pdf#page=4","Abrir facsímil")</f>
        <v>Abrir facsímil</v>
      </c>
      <c r="K3879" s="12" t="s">
        <v>24</v>
      </c>
    </row>
    <row r="3880" spans="1:11" ht="40.049999999999997" customHeight="1" x14ac:dyDescent="0.25">
      <c r="A3880" s="11" t="s">
        <v>8486</v>
      </c>
      <c r="B3880" s="11" t="s">
        <v>8487</v>
      </c>
      <c r="C3880" s="11" t="s">
        <v>17</v>
      </c>
      <c r="D3880" s="11" t="s">
        <v>18</v>
      </c>
      <c r="E3880" s="12" t="s">
        <v>632</v>
      </c>
      <c r="F3880" s="12" t="s">
        <v>633</v>
      </c>
      <c r="G3880" s="12" t="s">
        <v>21</v>
      </c>
      <c r="H3880" s="11" t="s">
        <v>63</v>
      </c>
      <c r="I3880" s="13" t="s">
        <v>8488</v>
      </c>
      <c r="J3880" s="14" t="str">
        <f>HYPERLINK("https://www.boe.es/gazeta/dias/1839/04/06/pdfs/GMD-1839-1603.pdf#page=4","Abrir facsímil")</f>
        <v>Abrir facsímil</v>
      </c>
      <c r="K3880" s="12" t="s">
        <v>65</v>
      </c>
    </row>
    <row r="3881" spans="1:11" ht="40.049999999999997" customHeight="1" x14ac:dyDescent="0.25">
      <c r="A3881" s="11" t="s">
        <v>8489</v>
      </c>
      <c r="B3881" s="11" t="s">
        <v>8490</v>
      </c>
      <c r="C3881" s="11" t="s">
        <v>17</v>
      </c>
      <c r="D3881" s="11" t="s">
        <v>18</v>
      </c>
      <c r="E3881" s="12" t="s">
        <v>395</v>
      </c>
      <c r="F3881" s="12" t="s">
        <v>396</v>
      </c>
      <c r="G3881" s="12" t="s">
        <v>21</v>
      </c>
      <c r="H3881" s="11" t="s">
        <v>22</v>
      </c>
      <c r="I3881" s="13" t="s">
        <v>8491</v>
      </c>
      <c r="J3881" s="14" t="str">
        <f>HYPERLINK("https://www.boe.es/gazeta/dias/1839/03/15/pdfs/GMD-1839-1581.pdf#page=4","Abrir facsímil")</f>
        <v>Abrir facsímil</v>
      </c>
      <c r="K3881" s="12" t="s">
        <v>24</v>
      </c>
    </row>
    <row r="3882" spans="1:11" ht="40.049999999999997" customHeight="1" x14ac:dyDescent="0.25">
      <c r="A3882" s="11" t="s">
        <v>8489</v>
      </c>
      <c r="B3882" s="11" t="s">
        <v>8490</v>
      </c>
      <c r="C3882" s="11" t="s">
        <v>17</v>
      </c>
      <c r="D3882" s="11" t="s">
        <v>18</v>
      </c>
      <c r="E3882" s="12" t="s">
        <v>1779</v>
      </c>
      <c r="F3882" s="12" t="s">
        <v>1780</v>
      </c>
      <c r="G3882" s="12" t="s">
        <v>21</v>
      </c>
      <c r="H3882" s="11" t="s">
        <v>22</v>
      </c>
      <c r="I3882" s="13" t="s">
        <v>8492</v>
      </c>
      <c r="J3882" s="14" t="str">
        <f>HYPERLINK("https://www.boe.es/gazeta/dias/1839/03/18/pdfs/GMD-1839-1584.pdf#page=4","Abrir facsímil")</f>
        <v>Abrir facsímil</v>
      </c>
      <c r="K3882" s="12" t="s">
        <v>24</v>
      </c>
    </row>
    <row r="3883" spans="1:11" ht="40.049999999999997" customHeight="1" x14ac:dyDescent="0.25">
      <c r="A3883" s="11" t="s">
        <v>8493</v>
      </c>
      <c r="B3883" s="11" t="s">
        <v>8494</v>
      </c>
      <c r="C3883" s="11" t="s">
        <v>80</v>
      </c>
      <c r="D3883" s="11" t="s">
        <v>18</v>
      </c>
      <c r="E3883" s="12" t="s">
        <v>1139</v>
      </c>
      <c r="F3883" s="12" t="s">
        <v>1140</v>
      </c>
      <c r="G3883" s="12" t="s">
        <v>21</v>
      </c>
      <c r="H3883" s="11" t="s">
        <v>63</v>
      </c>
      <c r="I3883" s="13" t="s">
        <v>8495</v>
      </c>
      <c r="J3883" s="14" t="str">
        <f>HYPERLINK("https://www.boe.es/gazeta/dias/1839/02/15/pdfs/GMD-1839-1553.pdf#page=4","Abrir facsímil")</f>
        <v>Abrir facsímil</v>
      </c>
      <c r="K3883" s="12" t="s">
        <v>65</v>
      </c>
    </row>
    <row r="3884" spans="1:11" ht="40.049999999999997" customHeight="1" x14ac:dyDescent="0.25">
      <c r="A3884" s="11" t="s">
        <v>8496</v>
      </c>
      <c r="B3884" s="11" t="s">
        <v>8497</v>
      </c>
      <c r="C3884" s="11" t="s">
        <v>80</v>
      </c>
      <c r="D3884" s="11" t="s">
        <v>18</v>
      </c>
      <c r="E3884" s="12" t="s">
        <v>817</v>
      </c>
      <c r="F3884" s="12" t="s">
        <v>818</v>
      </c>
      <c r="G3884" s="12" t="s">
        <v>21</v>
      </c>
      <c r="H3884" s="11" t="s">
        <v>63</v>
      </c>
      <c r="I3884" s="13" t="s">
        <v>8498</v>
      </c>
      <c r="J3884" s="14" t="str">
        <f>HYPERLINK("https://www.boe.es/gazeta/dias/1839/05/28/pdfs/GMD-1839-1655.pdf#page=4","Abrir facsímil")</f>
        <v>Abrir facsímil</v>
      </c>
      <c r="K3884" s="12" t="s">
        <v>65</v>
      </c>
    </row>
    <row r="3885" spans="1:11" ht="40.049999999999997" customHeight="1" x14ac:dyDescent="0.25">
      <c r="A3885" s="11" t="s">
        <v>8499</v>
      </c>
      <c r="B3885" s="11" t="s">
        <v>8500</v>
      </c>
      <c r="C3885" s="11" t="s">
        <v>59</v>
      </c>
      <c r="D3885" s="11" t="s">
        <v>60</v>
      </c>
      <c r="E3885" s="12" t="s">
        <v>2463</v>
      </c>
      <c r="F3885" s="12" t="s">
        <v>2464</v>
      </c>
      <c r="G3885" s="12" t="s">
        <v>21</v>
      </c>
      <c r="H3885" s="11" t="s">
        <v>63</v>
      </c>
      <c r="I3885" s="13" t="s">
        <v>8501</v>
      </c>
      <c r="J3885" s="14" t="str">
        <f>HYPERLINK("https://www.boe.es/gazeta/dias/1839/04/26/pdfs/GMD-1839-1623.pdf#page=4","Abrir facsímil")</f>
        <v>Abrir facsímil</v>
      </c>
      <c r="K3885" s="12" t="s">
        <v>65</v>
      </c>
    </row>
    <row r="3886" spans="1:11" ht="40.049999999999997" customHeight="1" x14ac:dyDescent="0.25">
      <c r="A3886" s="11" t="s">
        <v>8502</v>
      </c>
      <c r="B3886" s="11" t="s">
        <v>8503</v>
      </c>
      <c r="C3886" s="11" t="s">
        <v>17</v>
      </c>
      <c r="D3886" s="11" t="s">
        <v>18</v>
      </c>
      <c r="E3886" s="12" t="s">
        <v>2050</v>
      </c>
      <c r="F3886" s="12" t="s">
        <v>2051</v>
      </c>
      <c r="G3886" s="12" t="s">
        <v>29</v>
      </c>
      <c r="H3886" s="11" t="s">
        <v>63</v>
      </c>
      <c r="I3886" s="13" t="s">
        <v>8504</v>
      </c>
      <c r="J3886" s="14" t="str">
        <f>HYPERLINK("https://www.boe.es/gazeta/dias/1839/01/09/pdfs/GMD-1839-1516.pdf#page=1","Abrir facsímil")</f>
        <v>Abrir facsímil</v>
      </c>
      <c r="K3886" s="12" t="s">
        <v>65</v>
      </c>
    </row>
    <row r="3887" spans="1:11" ht="40.049999999999997" customHeight="1" x14ac:dyDescent="0.25">
      <c r="A3887" s="11" t="s">
        <v>8505</v>
      </c>
      <c r="B3887" s="11" t="s">
        <v>8506</v>
      </c>
      <c r="C3887" s="11" t="s">
        <v>17</v>
      </c>
      <c r="D3887" s="11" t="s">
        <v>18</v>
      </c>
      <c r="E3887" s="12" t="s">
        <v>141</v>
      </c>
      <c r="F3887" s="12" t="s">
        <v>142</v>
      </c>
      <c r="G3887" s="12" t="s">
        <v>46</v>
      </c>
      <c r="H3887" s="11" t="s">
        <v>63</v>
      </c>
      <c r="I3887" s="13" t="s">
        <v>8507</v>
      </c>
      <c r="J3887" s="14" t="str">
        <f>HYPERLINK("https://www.boe.es/gazeta/dias/1839/11/10/pdfs/GMD-1839-1827.pdf#page=3","Abrir facsímil")</f>
        <v>Abrir facsímil</v>
      </c>
      <c r="K3887" s="12" t="s">
        <v>65</v>
      </c>
    </row>
    <row r="3888" spans="1:11" ht="40.049999999999997" customHeight="1" x14ac:dyDescent="0.25">
      <c r="A3888" s="11" t="s">
        <v>8508</v>
      </c>
      <c r="B3888" s="11" t="s">
        <v>8509</v>
      </c>
      <c r="C3888" s="11" t="s">
        <v>59</v>
      </c>
      <c r="D3888" s="11" t="s">
        <v>60</v>
      </c>
      <c r="E3888" s="12" t="s">
        <v>785</v>
      </c>
      <c r="F3888" s="12" t="s">
        <v>786</v>
      </c>
      <c r="G3888" s="12" t="s">
        <v>29</v>
      </c>
      <c r="H3888" s="11" t="s">
        <v>63</v>
      </c>
      <c r="I3888" s="13" t="s">
        <v>8510</v>
      </c>
      <c r="J3888" s="14" t="str">
        <f>HYPERLINK("https://www.boe.es/gazeta/dias/1839/07/13/pdfs/GMD-1839-1701.pdf#page=1","Abrir facsímil")</f>
        <v>Abrir facsímil</v>
      </c>
      <c r="K3888" s="12" t="s">
        <v>65</v>
      </c>
    </row>
    <row r="3889" spans="1:11" ht="40.049999999999997" customHeight="1" x14ac:dyDescent="0.25">
      <c r="A3889" s="11" t="s">
        <v>8511</v>
      </c>
      <c r="B3889" s="11" t="s">
        <v>8512</v>
      </c>
      <c r="C3889" s="11" t="s">
        <v>59</v>
      </c>
      <c r="D3889" s="11" t="s">
        <v>60</v>
      </c>
      <c r="E3889" s="12" t="s">
        <v>643</v>
      </c>
      <c r="F3889" s="12" t="s">
        <v>644</v>
      </c>
      <c r="G3889" s="12" t="s">
        <v>29</v>
      </c>
      <c r="H3889" s="11" t="s">
        <v>63</v>
      </c>
      <c r="I3889" s="13" t="s">
        <v>8513</v>
      </c>
      <c r="J3889" s="14" t="str">
        <f>HYPERLINK("https://www.boe.es/gazeta/dias/1839/03/20/pdfs/GMD-1839-1586.pdf#page=1","Abrir facsímil")</f>
        <v>Abrir facsímil</v>
      </c>
      <c r="K3889" s="12" t="s">
        <v>65</v>
      </c>
    </row>
    <row r="3890" spans="1:11" ht="40.049999999999997" customHeight="1" x14ac:dyDescent="0.25">
      <c r="A3890" s="11" t="s">
        <v>8514</v>
      </c>
      <c r="B3890" s="11" t="s">
        <v>8515</v>
      </c>
      <c r="C3890" s="11" t="s">
        <v>17</v>
      </c>
      <c r="D3890" s="11" t="s">
        <v>18</v>
      </c>
      <c r="E3890" s="12" t="s">
        <v>1123</v>
      </c>
      <c r="F3890" s="12" t="s">
        <v>1124</v>
      </c>
      <c r="G3890" s="12" t="s">
        <v>21</v>
      </c>
      <c r="H3890" s="11" t="s">
        <v>63</v>
      </c>
      <c r="I3890" s="13" t="s">
        <v>8516</v>
      </c>
      <c r="J3890" s="14" t="str">
        <f>HYPERLINK("https://www.boe.es/gazeta/dias/1839/08/10/pdfs/GMD-1839-1730.pdf#page=4","Abrir facsímil")</f>
        <v>Abrir facsímil</v>
      </c>
      <c r="K3890" s="12" t="s">
        <v>65</v>
      </c>
    </row>
    <row r="3891" spans="1:11" ht="40.049999999999997" customHeight="1" x14ac:dyDescent="0.25">
      <c r="A3891" s="11" t="s">
        <v>8517</v>
      </c>
      <c r="B3891" s="11" t="s">
        <v>8518</v>
      </c>
      <c r="C3891" s="11" t="s">
        <v>137</v>
      </c>
      <c r="D3891" s="11" t="s">
        <v>18</v>
      </c>
      <c r="E3891" s="12" t="s">
        <v>76</v>
      </c>
      <c r="F3891" s="12" t="s">
        <v>77</v>
      </c>
      <c r="G3891" s="12" t="s">
        <v>40</v>
      </c>
      <c r="H3891" s="11" t="s">
        <v>63</v>
      </c>
      <c r="I3891" s="13" t="s">
        <v>8519</v>
      </c>
      <c r="J3891" s="14" t="str">
        <f>HYPERLINK("https://www.boe.es/gazeta/dias/1839/03/13/pdfs/GMD-1839-1579.pdf#page=2","Abrir facsímil")</f>
        <v>Abrir facsímil</v>
      </c>
      <c r="K3891" s="12" t="s">
        <v>65</v>
      </c>
    </row>
    <row r="3892" spans="1:11" ht="40.049999999999997" customHeight="1" x14ac:dyDescent="0.25">
      <c r="A3892" s="11" t="s">
        <v>8520</v>
      </c>
      <c r="B3892" s="11" t="s">
        <v>8521</v>
      </c>
      <c r="C3892" s="11" t="s">
        <v>17</v>
      </c>
      <c r="D3892" s="11" t="s">
        <v>18</v>
      </c>
      <c r="E3892" s="12" t="s">
        <v>1623</v>
      </c>
      <c r="F3892" s="12" t="s">
        <v>1624</v>
      </c>
      <c r="G3892" s="12" t="s">
        <v>40</v>
      </c>
      <c r="H3892" s="11" t="s">
        <v>63</v>
      </c>
      <c r="I3892" s="13" t="s">
        <v>8522</v>
      </c>
      <c r="J3892" s="14" t="str">
        <f>HYPERLINK("https://www.boe.es/gazeta/dias/1839/04/07/pdfs/GMD-1839-1604.pdf#page=2","Abrir facsímil")</f>
        <v>Abrir facsímil</v>
      </c>
      <c r="K3892" s="12" t="s">
        <v>65</v>
      </c>
    </row>
    <row r="3893" spans="1:11" ht="40.049999999999997" customHeight="1" x14ac:dyDescent="0.25">
      <c r="A3893" s="11" t="s">
        <v>8523</v>
      </c>
      <c r="B3893" s="11" t="s">
        <v>8524</v>
      </c>
      <c r="C3893" s="11" t="s">
        <v>17</v>
      </c>
      <c r="D3893" s="11" t="s">
        <v>18</v>
      </c>
      <c r="E3893" s="12" t="s">
        <v>2919</v>
      </c>
      <c r="F3893" s="12" t="s">
        <v>2920</v>
      </c>
      <c r="G3893" s="12" t="s">
        <v>21</v>
      </c>
      <c r="H3893" s="11" t="s">
        <v>22</v>
      </c>
      <c r="I3893" s="13" t="s">
        <v>8525</v>
      </c>
      <c r="J3893" s="14" t="str">
        <f>HYPERLINK("https://www.boe.es/gazeta/dias/1839/11/12/pdfs/GMD-1839-1829.pdf#page=4","Abrir facsímil")</f>
        <v>Abrir facsímil</v>
      </c>
      <c r="K3893" s="12" t="s">
        <v>24</v>
      </c>
    </row>
    <row r="3894" spans="1:11" ht="40.049999999999997" customHeight="1" x14ac:dyDescent="0.25">
      <c r="A3894" s="11" t="s">
        <v>8526</v>
      </c>
      <c r="B3894" s="11" t="s">
        <v>8527</v>
      </c>
      <c r="C3894" s="11" t="s">
        <v>137</v>
      </c>
      <c r="D3894" s="11" t="s">
        <v>18</v>
      </c>
      <c r="E3894" s="12" t="s">
        <v>3114</v>
      </c>
      <c r="F3894" s="12" t="s">
        <v>3115</v>
      </c>
      <c r="G3894" s="12" t="s">
        <v>40</v>
      </c>
      <c r="H3894" s="11" t="s">
        <v>22</v>
      </c>
      <c r="I3894" s="13" t="s">
        <v>8528</v>
      </c>
      <c r="J3894" s="14" t="str">
        <f>HYPERLINK("https://www.boe.es/gazeta/dias/1839/05/15/pdfs/GMD-1839-1642.pdf#page=2","Abrir facsímil")</f>
        <v>Abrir facsímil</v>
      </c>
      <c r="K3894" s="12" t="s">
        <v>24</v>
      </c>
    </row>
    <row r="3895" spans="1:11" ht="40.049999999999997" customHeight="1" x14ac:dyDescent="0.25">
      <c r="A3895" s="11" t="s">
        <v>8529</v>
      </c>
      <c r="B3895" s="11" t="s">
        <v>8530</v>
      </c>
      <c r="C3895" s="11" t="s">
        <v>17</v>
      </c>
      <c r="D3895" s="11" t="s">
        <v>18</v>
      </c>
      <c r="E3895" s="12" t="s">
        <v>2349</v>
      </c>
      <c r="F3895" s="12" t="s">
        <v>2350</v>
      </c>
      <c r="G3895" s="12" t="s">
        <v>21</v>
      </c>
      <c r="H3895" s="11" t="s">
        <v>63</v>
      </c>
      <c r="I3895" s="13" t="s">
        <v>8531</v>
      </c>
      <c r="J3895" s="14" t="str">
        <f>HYPERLINK("https://www.boe.es/gazeta/dias/1839/09/29/pdfs/GMD-1839-1785.pdf#page=4","Abrir facsímil")</f>
        <v>Abrir facsímil</v>
      </c>
      <c r="K3895" s="12" t="s">
        <v>65</v>
      </c>
    </row>
    <row r="3896" spans="1:11" ht="40.049999999999997" customHeight="1" x14ac:dyDescent="0.25">
      <c r="A3896" s="11" t="s">
        <v>8532</v>
      </c>
      <c r="B3896" s="11" t="s">
        <v>8533</v>
      </c>
      <c r="C3896" s="11" t="s">
        <v>17</v>
      </c>
      <c r="D3896" s="11" t="s">
        <v>18</v>
      </c>
      <c r="E3896" s="12" t="s">
        <v>5806</v>
      </c>
      <c r="F3896" s="12" t="s">
        <v>5807</v>
      </c>
      <c r="G3896" s="12" t="s">
        <v>29</v>
      </c>
      <c r="H3896" s="11" t="s">
        <v>63</v>
      </c>
      <c r="I3896" s="13" t="s">
        <v>8534</v>
      </c>
      <c r="J3896" s="14" t="str">
        <f>HYPERLINK("https://www.boe.es/gazeta/dias/1839/02/16/pdfs/GMD-1839-1554.pdf#page=1","Abrir facsímil")</f>
        <v>Abrir facsímil</v>
      </c>
      <c r="K3896" s="12" t="s">
        <v>65</v>
      </c>
    </row>
    <row r="3897" spans="1:11" ht="40.049999999999997" customHeight="1" x14ac:dyDescent="0.25">
      <c r="A3897" s="11" t="s">
        <v>8535</v>
      </c>
      <c r="B3897" s="11" t="s">
        <v>8536</v>
      </c>
      <c r="C3897" s="11" t="s">
        <v>59</v>
      </c>
      <c r="D3897" s="11" t="s">
        <v>60</v>
      </c>
      <c r="E3897" s="12" t="s">
        <v>138</v>
      </c>
      <c r="F3897" s="12" t="s">
        <v>139</v>
      </c>
      <c r="G3897" s="12" t="s">
        <v>40</v>
      </c>
      <c r="H3897" s="11" t="s">
        <v>63</v>
      </c>
      <c r="I3897" s="13" t="s">
        <v>8537</v>
      </c>
      <c r="J3897" s="14" t="str">
        <f>HYPERLINK("https://www.boe.es/gazeta/dias/1839/10/09/pdfs/GMD-1839-1795.pdf#page=2","Abrir facsímil")</f>
        <v>Abrir facsímil</v>
      </c>
      <c r="K3897" s="12" t="s">
        <v>65</v>
      </c>
    </row>
    <row r="3898" spans="1:11" ht="40.049999999999997" customHeight="1" x14ac:dyDescent="0.25">
      <c r="A3898" s="11" t="s">
        <v>8538</v>
      </c>
      <c r="B3898" s="11" t="s">
        <v>8539</v>
      </c>
      <c r="C3898" s="11" t="s">
        <v>17</v>
      </c>
      <c r="D3898" s="11" t="s">
        <v>18</v>
      </c>
      <c r="E3898" s="12" t="s">
        <v>1460</v>
      </c>
      <c r="F3898" s="12" t="s">
        <v>1461</v>
      </c>
      <c r="G3898" s="12" t="s">
        <v>46</v>
      </c>
      <c r="H3898" s="11" t="s">
        <v>63</v>
      </c>
      <c r="I3898" s="13" t="s">
        <v>8540</v>
      </c>
      <c r="J3898" s="14" t="str">
        <f>HYPERLINK("https://www.boe.es/gazeta/dias/1839/03/01/pdfs/GMD-1839-1567.pdf#page=3","Abrir facsímil")</f>
        <v>Abrir facsímil</v>
      </c>
      <c r="K3898" s="12" t="s">
        <v>65</v>
      </c>
    </row>
    <row r="3899" spans="1:11" ht="40.049999999999997" customHeight="1" x14ac:dyDescent="0.25">
      <c r="A3899" s="11" t="s">
        <v>8538</v>
      </c>
      <c r="B3899" s="11" t="s">
        <v>8539</v>
      </c>
      <c r="C3899" s="11" t="s">
        <v>17</v>
      </c>
      <c r="D3899" s="11" t="s">
        <v>18</v>
      </c>
      <c r="E3899" s="12" t="s">
        <v>1460</v>
      </c>
      <c r="F3899" s="12" t="s">
        <v>1461</v>
      </c>
      <c r="G3899" s="12" t="s">
        <v>21</v>
      </c>
      <c r="H3899" s="11" t="s">
        <v>63</v>
      </c>
      <c r="I3899" s="13" t="s">
        <v>8541</v>
      </c>
      <c r="J3899" s="14" t="str">
        <f>HYPERLINK("https://www.boe.es/gazeta/dias/1839/03/01/pdfs/GMD-1839-1567.pdf#page=4","Abrir facsímil")</f>
        <v>Abrir facsímil</v>
      </c>
      <c r="K3899" s="12" t="s">
        <v>65</v>
      </c>
    </row>
    <row r="3900" spans="1:11" ht="40.049999999999997" customHeight="1" x14ac:dyDescent="0.25">
      <c r="A3900" s="11" t="s">
        <v>8538</v>
      </c>
      <c r="B3900" s="11" t="s">
        <v>8539</v>
      </c>
      <c r="C3900" s="11" t="s">
        <v>80</v>
      </c>
      <c r="D3900" s="11" t="s">
        <v>18</v>
      </c>
      <c r="E3900" s="12" t="s">
        <v>1366</v>
      </c>
      <c r="F3900" s="12" t="s">
        <v>1367</v>
      </c>
      <c r="G3900" s="12" t="s">
        <v>21</v>
      </c>
      <c r="H3900" s="11" t="s">
        <v>63</v>
      </c>
      <c r="I3900" s="13" t="s">
        <v>8542</v>
      </c>
      <c r="J3900" s="14" t="str">
        <f>HYPERLINK("https://www.boe.es/gazeta/dias/1839/09/09/pdfs/GMD-1839-1762.pdf#page=4","Abrir facsímil")</f>
        <v>Abrir facsímil</v>
      </c>
      <c r="K3900" s="12" t="s">
        <v>65</v>
      </c>
    </row>
    <row r="3901" spans="1:11" ht="40.049999999999997" customHeight="1" x14ac:dyDescent="0.25">
      <c r="A3901" s="11" t="s">
        <v>8543</v>
      </c>
      <c r="B3901" s="11" t="s">
        <v>8544</v>
      </c>
      <c r="C3901" s="11" t="s">
        <v>17</v>
      </c>
      <c r="D3901" s="11" t="s">
        <v>18</v>
      </c>
      <c r="E3901" s="12" t="s">
        <v>1374</v>
      </c>
      <c r="F3901" s="12" t="s">
        <v>1375</v>
      </c>
      <c r="G3901" s="12" t="s">
        <v>46</v>
      </c>
      <c r="H3901" s="11" t="s">
        <v>63</v>
      </c>
      <c r="I3901" s="13" t="s">
        <v>8545</v>
      </c>
      <c r="J3901" s="14" t="str">
        <f>HYPERLINK("https://www.boe.es/gazeta/dias/1839/07/20/pdfs/GMD-1839-1708.pdf#page=3","Abrir facsímil")</f>
        <v>Abrir facsímil</v>
      </c>
      <c r="K3901" s="12" t="s">
        <v>65</v>
      </c>
    </row>
    <row r="3902" spans="1:11" ht="40.049999999999997" customHeight="1" x14ac:dyDescent="0.25">
      <c r="A3902" s="11" t="s">
        <v>8546</v>
      </c>
      <c r="B3902" s="11" t="s">
        <v>8547</v>
      </c>
      <c r="C3902" s="11" t="s">
        <v>17</v>
      </c>
      <c r="D3902" s="11" t="s">
        <v>18</v>
      </c>
      <c r="E3902" s="12" t="s">
        <v>2995</v>
      </c>
      <c r="F3902" s="12" t="s">
        <v>2996</v>
      </c>
      <c r="G3902" s="12" t="s">
        <v>21</v>
      </c>
      <c r="H3902" s="11" t="s">
        <v>63</v>
      </c>
      <c r="I3902" s="13" t="s">
        <v>8548</v>
      </c>
      <c r="J3902" s="14" t="str">
        <f>HYPERLINK("https://www.boe.es/gazeta/dias/1839/06/16/pdfs/GMD-1839-1674.pdf#page=4","Abrir facsímil")</f>
        <v>Abrir facsímil</v>
      </c>
      <c r="K3902" s="12" t="s">
        <v>65</v>
      </c>
    </row>
    <row r="3903" spans="1:11" ht="40.049999999999997" customHeight="1" x14ac:dyDescent="0.25">
      <c r="A3903" s="11" t="s">
        <v>8549</v>
      </c>
      <c r="B3903" s="11" t="s">
        <v>8550</v>
      </c>
      <c r="C3903" s="11" t="s">
        <v>80</v>
      </c>
      <c r="D3903" s="11" t="s">
        <v>173</v>
      </c>
      <c r="E3903" s="12" t="s">
        <v>1528</v>
      </c>
      <c r="F3903" s="12" t="s">
        <v>1529</v>
      </c>
      <c r="G3903" s="12" t="s">
        <v>21</v>
      </c>
      <c r="H3903" s="11" t="s">
        <v>63</v>
      </c>
      <c r="I3903" s="13" t="s">
        <v>8551</v>
      </c>
      <c r="J3903" s="14" t="str">
        <f>HYPERLINK("https://www.boe.es/gazeta/dias/1839/12/15/pdfs/GMD-1839-1862.pdf#page=4","Abrir facsímil")</f>
        <v>Abrir facsímil</v>
      </c>
      <c r="K3903" s="12" t="s">
        <v>65</v>
      </c>
    </row>
    <row r="3904" spans="1:11" ht="40.049999999999997" customHeight="1" x14ac:dyDescent="0.25">
      <c r="A3904" s="11" t="s">
        <v>8552</v>
      </c>
      <c r="B3904" s="11" t="s">
        <v>8553</v>
      </c>
      <c r="C3904" s="11" t="s">
        <v>59</v>
      </c>
      <c r="D3904" s="11" t="s">
        <v>60</v>
      </c>
      <c r="E3904" s="12" t="s">
        <v>664</v>
      </c>
      <c r="F3904" s="12" t="s">
        <v>665</v>
      </c>
      <c r="G3904" s="12" t="s">
        <v>46</v>
      </c>
      <c r="H3904" s="11" t="s">
        <v>63</v>
      </c>
      <c r="I3904" s="13" t="s">
        <v>8554</v>
      </c>
      <c r="J3904" s="14" t="str">
        <f>HYPERLINK("https://www.boe.es/gazeta/dias/1839/01/24/pdfs/GMD-1839-1531.pdf#page=3","Abrir facsímil")</f>
        <v>Abrir facsímil</v>
      </c>
      <c r="K3904" s="12" t="s">
        <v>65</v>
      </c>
    </row>
    <row r="3905" spans="1:11" ht="40.049999999999997" customHeight="1" x14ac:dyDescent="0.25">
      <c r="A3905" s="11" t="s">
        <v>8555</v>
      </c>
      <c r="B3905" s="11" t="s">
        <v>8556</v>
      </c>
      <c r="C3905" s="11" t="s">
        <v>17</v>
      </c>
      <c r="D3905" s="11" t="s">
        <v>18</v>
      </c>
      <c r="E3905" s="12" t="s">
        <v>303</v>
      </c>
      <c r="F3905" s="12" t="s">
        <v>304</v>
      </c>
      <c r="G3905" s="12" t="s">
        <v>305</v>
      </c>
      <c r="H3905" s="11" t="s">
        <v>22</v>
      </c>
      <c r="I3905" s="13" t="s">
        <v>8557</v>
      </c>
      <c r="J3905" s="14" t="str">
        <f>HYPERLINK("https://www.boe.es/gazeta/dias/1839/10/06/pdfs/GMD-1839-1792.pdf#page=6","Abrir facsímil")</f>
        <v>Abrir facsímil</v>
      </c>
      <c r="K3905" s="12" t="s">
        <v>24</v>
      </c>
    </row>
    <row r="3906" spans="1:11" ht="40.049999999999997" customHeight="1" x14ac:dyDescent="0.25">
      <c r="A3906" s="11" t="s">
        <v>8558</v>
      </c>
      <c r="B3906" s="11" t="s">
        <v>8559</v>
      </c>
      <c r="C3906" s="11" t="s">
        <v>137</v>
      </c>
      <c r="D3906" s="11" t="s">
        <v>18</v>
      </c>
      <c r="E3906" s="12" t="s">
        <v>794</v>
      </c>
      <c r="F3906" s="12" t="s">
        <v>795</v>
      </c>
      <c r="G3906" s="12" t="s">
        <v>29</v>
      </c>
      <c r="H3906" s="11" t="s">
        <v>22</v>
      </c>
      <c r="I3906" s="13" t="s">
        <v>8560</v>
      </c>
      <c r="J3906" s="14" t="str">
        <f>HYPERLINK("https://www.boe.es/gazeta/dias/1839/01/22/pdfs/GMD-1839-1529.pdf#page=1","Abrir facsímil")</f>
        <v>Abrir facsímil</v>
      </c>
      <c r="K3906" s="12" t="s">
        <v>24</v>
      </c>
    </row>
    <row r="3907" spans="1:11" ht="40.049999999999997" customHeight="1" x14ac:dyDescent="0.25">
      <c r="A3907" s="11" t="s">
        <v>8561</v>
      </c>
      <c r="B3907" s="11" t="s">
        <v>8562</v>
      </c>
      <c r="C3907" s="11" t="s">
        <v>80</v>
      </c>
      <c r="D3907" s="11" t="s">
        <v>18</v>
      </c>
      <c r="E3907" s="12" t="s">
        <v>621</v>
      </c>
      <c r="F3907" s="12" t="s">
        <v>622</v>
      </c>
      <c r="G3907" s="12" t="s">
        <v>29</v>
      </c>
      <c r="H3907" s="11" t="s">
        <v>63</v>
      </c>
      <c r="I3907" s="13" t="s">
        <v>8563</v>
      </c>
      <c r="J3907" s="14" t="str">
        <f>HYPERLINK("https://www.boe.es/gazeta/dias/1839/04/14/pdfs/GMD-1839-1611.pdf#page=1","Abrir facsímil")</f>
        <v>Abrir facsímil</v>
      </c>
      <c r="K3907" s="12" t="s">
        <v>65</v>
      </c>
    </row>
    <row r="3908" spans="1:11" ht="40.049999999999997" customHeight="1" x14ac:dyDescent="0.25">
      <c r="A3908" s="11" t="s">
        <v>8564</v>
      </c>
      <c r="B3908" s="11" t="s">
        <v>8565</v>
      </c>
      <c r="C3908" s="11" t="s">
        <v>17</v>
      </c>
      <c r="D3908" s="11" t="s">
        <v>18</v>
      </c>
      <c r="E3908" s="12" t="s">
        <v>2658</v>
      </c>
      <c r="F3908" s="12" t="s">
        <v>2659</v>
      </c>
      <c r="G3908" s="12" t="s">
        <v>46</v>
      </c>
      <c r="H3908" s="11" t="s">
        <v>63</v>
      </c>
      <c r="I3908" s="13" t="s">
        <v>8566</v>
      </c>
      <c r="J3908" s="14" t="str">
        <f>HYPERLINK("https://www.boe.es/gazeta/dias/1839/06/27/pdfs/GMD-1839-1685.pdf#page=3","Abrir facsímil")</f>
        <v>Abrir facsímil</v>
      </c>
      <c r="K3908" s="12" t="s">
        <v>65</v>
      </c>
    </row>
    <row r="3909" spans="1:11" ht="40.049999999999997" customHeight="1" x14ac:dyDescent="0.25">
      <c r="A3909" s="11" t="s">
        <v>8567</v>
      </c>
      <c r="B3909" s="11" t="s">
        <v>8568</v>
      </c>
      <c r="C3909" s="11" t="s">
        <v>59</v>
      </c>
      <c r="D3909" s="11" t="s">
        <v>60</v>
      </c>
      <c r="E3909" s="12" t="s">
        <v>1356</v>
      </c>
      <c r="F3909" s="12" t="s">
        <v>1357</v>
      </c>
      <c r="G3909" s="12" t="s">
        <v>29</v>
      </c>
      <c r="H3909" s="11" t="s">
        <v>63</v>
      </c>
      <c r="I3909" s="13" t="s">
        <v>8569</v>
      </c>
      <c r="J3909" s="14" t="str">
        <f>HYPERLINK("https://www.boe.es/gazeta/dias/1839/06/05/pdfs/GMD-1839-1663.pdf#page=1","Abrir facsímil")</f>
        <v>Abrir facsímil</v>
      </c>
      <c r="K3909" s="12" t="s">
        <v>65</v>
      </c>
    </row>
    <row r="3910" spans="1:11" ht="40.049999999999997" customHeight="1" x14ac:dyDescent="0.25">
      <c r="A3910" s="11" t="s">
        <v>8570</v>
      </c>
      <c r="B3910" s="11" t="s">
        <v>8571</v>
      </c>
      <c r="C3910" s="11" t="s">
        <v>101</v>
      </c>
      <c r="D3910" s="11" t="s">
        <v>43</v>
      </c>
      <c r="E3910" s="12" t="s">
        <v>154</v>
      </c>
      <c r="F3910" s="12" t="s">
        <v>155</v>
      </c>
      <c r="G3910" s="12" t="s">
        <v>46</v>
      </c>
      <c r="H3910" s="11" t="s">
        <v>63</v>
      </c>
      <c r="I3910" s="13" t="s">
        <v>8572</v>
      </c>
      <c r="J3910" s="14" t="str">
        <f>HYPERLINK("https://www.boe.es/gazeta/dias/1839/02/02/pdfs/GMD-1839-1540.pdf#page=3","Abrir facsímil")</f>
        <v>Abrir facsímil</v>
      </c>
      <c r="K3910" s="12" t="s">
        <v>65</v>
      </c>
    </row>
    <row r="3911" spans="1:11" ht="40.049999999999997" customHeight="1" x14ac:dyDescent="0.25">
      <c r="A3911" s="11" t="s">
        <v>8573</v>
      </c>
      <c r="B3911" s="11" t="s">
        <v>8574</v>
      </c>
      <c r="C3911" s="11" t="s">
        <v>59</v>
      </c>
      <c r="D3911" s="11" t="s">
        <v>60</v>
      </c>
      <c r="E3911" s="12" t="s">
        <v>548</v>
      </c>
      <c r="F3911" s="12" t="s">
        <v>549</v>
      </c>
      <c r="G3911" s="12" t="s">
        <v>40</v>
      </c>
      <c r="H3911" s="11" t="s">
        <v>63</v>
      </c>
      <c r="I3911" s="13" t="s">
        <v>8575</v>
      </c>
      <c r="J3911" s="14" t="str">
        <f>HYPERLINK("https://www.boe.es/gazeta/dias/1839/06/06/pdfs/GMD-1839-1664.pdf#page=2","Abrir facsímil")</f>
        <v>Abrir facsímil</v>
      </c>
      <c r="K3911" s="12" t="s">
        <v>65</v>
      </c>
    </row>
    <row r="3912" spans="1:11" ht="40.049999999999997" customHeight="1" x14ac:dyDescent="0.25">
      <c r="A3912" s="11" t="s">
        <v>8576</v>
      </c>
      <c r="B3912" s="11" t="s">
        <v>8577</v>
      </c>
      <c r="C3912" s="11" t="s">
        <v>17</v>
      </c>
      <c r="D3912" s="11" t="s">
        <v>18</v>
      </c>
      <c r="E3912" s="12" t="s">
        <v>700</v>
      </c>
      <c r="F3912" s="12" t="s">
        <v>701</v>
      </c>
      <c r="G3912" s="12" t="s">
        <v>40</v>
      </c>
      <c r="H3912" s="11" t="s">
        <v>63</v>
      </c>
      <c r="I3912" s="13" t="s">
        <v>8578</v>
      </c>
      <c r="J3912" s="14" t="str">
        <f>HYPERLINK("https://www.boe.es/gazeta/dias/1839/09/01/pdfs/GMD-1839-1753.pdf#page=2","Abrir facsímil")</f>
        <v>Abrir facsímil</v>
      </c>
      <c r="K3912" s="12" t="s">
        <v>65</v>
      </c>
    </row>
    <row r="3913" spans="1:11" ht="40.049999999999997" customHeight="1" x14ac:dyDescent="0.25">
      <c r="A3913" s="11" t="s">
        <v>8579</v>
      </c>
      <c r="B3913" s="11" t="s">
        <v>8580</v>
      </c>
      <c r="C3913" s="11" t="s">
        <v>17</v>
      </c>
      <c r="D3913" s="11" t="s">
        <v>18</v>
      </c>
      <c r="E3913" s="12" t="s">
        <v>84</v>
      </c>
      <c r="F3913" s="12" t="s">
        <v>85</v>
      </c>
      <c r="G3913" s="12" t="s">
        <v>21</v>
      </c>
      <c r="H3913" s="11" t="s">
        <v>63</v>
      </c>
      <c r="I3913" s="13" t="s">
        <v>8581</v>
      </c>
      <c r="J3913" s="14" t="str">
        <f>HYPERLINK("https://www.boe.es/gazeta/dias/1839/03/11/pdfs/GMD-1839-1577.pdf#page=4","Abrir facsímil")</f>
        <v>Abrir facsímil</v>
      </c>
      <c r="K3913" s="12" t="s">
        <v>65</v>
      </c>
    </row>
    <row r="3914" spans="1:11" ht="40.049999999999997" customHeight="1" x14ac:dyDescent="0.25">
      <c r="A3914" s="11" t="s">
        <v>8582</v>
      </c>
      <c r="B3914" s="11" t="s">
        <v>8583</v>
      </c>
      <c r="C3914" s="11" t="s">
        <v>80</v>
      </c>
      <c r="D3914" s="11" t="s">
        <v>18</v>
      </c>
      <c r="E3914" s="12" t="s">
        <v>2210</v>
      </c>
      <c r="F3914" s="12" t="s">
        <v>2211</v>
      </c>
      <c r="G3914" s="12" t="s">
        <v>21</v>
      </c>
      <c r="H3914" s="11" t="s">
        <v>63</v>
      </c>
      <c r="I3914" s="13" t="s">
        <v>8584</v>
      </c>
      <c r="J3914" s="14" t="str">
        <f>HYPERLINK("https://www.boe.es/gazeta/dias/1839/09/05/pdfs/GMD-1839-1758.pdf#page=4","Abrir facsímil")</f>
        <v>Abrir facsímil</v>
      </c>
      <c r="K3914" s="12" t="s">
        <v>65</v>
      </c>
    </row>
    <row r="3915" spans="1:11" ht="40.049999999999997" customHeight="1" x14ac:dyDescent="0.25">
      <c r="A3915" s="11" t="s">
        <v>8585</v>
      </c>
      <c r="B3915" s="11" t="s">
        <v>8586</v>
      </c>
      <c r="C3915" s="11" t="s">
        <v>17</v>
      </c>
      <c r="D3915" s="11" t="s">
        <v>18</v>
      </c>
      <c r="E3915" s="12" t="s">
        <v>132</v>
      </c>
      <c r="F3915" s="12" t="s">
        <v>133</v>
      </c>
      <c r="G3915" s="12" t="s">
        <v>46</v>
      </c>
      <c r="H3915" s="11" t="s">
        <v>63</v>
      </c>
      <c r="I3915" s="13" t="s">
        <v>8587</v>
      </c>
      <c r="J3915" s="14" t="str">
        <f>HYPERLINK("https://www.boe.es/gazeta/dias/1839/08/02/pdfs/GMD-1839-1722.pdf#page=3","Abrir facsímil")</f>
        <v>Abrir facsímil</v>
      </c>
      <c r="K3915" s="12" t="s">
        <v>65</v>
      </c>
    </row>
    <row r="3916" spans="1:11" ht="40.049999999999997" customHeight="1" x14ac:dyDescent="0.25">
      <c r="A3916" s="11" t="s">
        <v>8588</v>
      </c>
      <c r="B3916" s="11" t="s">
        <v>8589</v>
      </c>
      <c r="C3916" s="11" t="s">
        <v>17</v>
      </c>
      <c r="D3916" s="11" t="s">
        <v>18</v>
      </c>
      <c r="E3916" s="12" t="s">
        <v>116</v>
      </c>
      <c r="F3916" s="12" t="s">
        <v>117</v>
      </c>
      <c r="G3916" s="12" t="s">
        <v>46</v>
      </c>
      <c r="H3916" s="11" t="s">
        <v>63</v>
      </c>
      <c r="I3916" s="13" t="s">
        <v>8590</v>
      </c>
      <c r="J3916" s="14" t="str">
        <f>HYPERLINK("https://www.boe.es/gazeta/dias/1839/10/10/pdfs/GMD-1839-1796.pdf#page=3","Abrir facsímil")</f>
        <v>Abrir facsímil</v>
      </c>
      <c r="K3916" s="12" t="s">
        <v>65</v>
      </c>
    </row>
    <row r="3917" spans="1:11" ht="40.049999999999997" customHeight="1" x14ac:dyDescent="0.25">
      <c r="A3917" s="11" t="s">
        <v>8588</v>
      </c>
      <c r="B3917" s="11" t="s">
        <v>8589</v>
      </c>
      <c r="C3917" s="11" t="s">
        <v>17</v>
      </c>
      <c r="D3917" s="11" t="s">
        <v>18</v>
      </c>
      <c r="E3917" s="12" t="s">
        <v>1696</v>
      </c>
      <c r="F3917" s="12" t="s">
        <v>1697</v>
      </c>
      <c r="G3917" s="12" t="s">
        <v>21</v>
      </c>
      <c r="H3917" s="11" t="s">
        <v>63</v>
      </c>
      <c r="I3917" s="13" t="s">
        <v>8591</v>
      </c>
      <c r="J3917" s="14" t="str">
        <f>HYPERLINK("https://www.boe.es/gazeta/dias/1839/08/31/pdfs/GMD-1839-1752.pdf#page=4","Abrir facsímil")</f>
        <v>Abrir facsímil</v>
      </c>
      <c r="K3917" s="12" t="s">
        <v>65</v>
      </c>
    </row>
    <row r="3918" spans="1:11" ht="40.049999999999997" customHeight="1" x14ac:dyDescent="0.25">
      <c r="A3918" s="11" t="s">
        <v>8592</v>
      </c>
      <c r="B3918" s="11" t="s">
        <v>8593</v>
      </c>
      <c r="C3918" s="11" t="s">
        <v>17</v>
      </c>
      <c r="D3918" s="11" t="s">
        <v>18</v>
      </c>
      <c r="E3918" s="12" t="s">
        <v>3668</v>
      </c>
      <c r="F3918" s="12" t="s">
        <v>3669</v>
      </c>
      <c r="G3918" s="12" t="s">
        <v>46</v>
      </c>
      <c r="H3918" s="11" t="s">
        <v>63</v>
      </c>
      <c r="I3918" s="13" t="s">
        <v>8594</v>
      </c>
      <c r="J3918" s="14" t="str">
        <f>HYPERLINK("https://www.boe.es/gazeta/dias/1839/05/19/pdfs/GMD-1839-1646.pdf#page=3","Abrir facsímil")</f>
        <v>Abrir facsímil</v>
      </c>
      <c r="K3918" s="12" t="s">
        <v>65</v>
      </c>
    </row>
    <row r="3919" spans="1:11" ht="40.049999999999997" customHeight="1" x14ac:dyDescent="0.25">
      <c r="A3919" s="11" t="s">
        <v>8595</v>
      </c>
      <c r="B3919" s="11" t="s">
        <v>8596</v>
      </c>
      <c r="C3919" s="11" t="s">
        <v>17</v>
      </c>
      <c r="D3919" s="11" t="s">
        <v>18</v>
      </c>
      <c r="E3919" s="12" t="s">
        <v>544</v>
      </c>
      <c r="F3919" s="12" t="s">
        <v>545</v>
      </c>
      <c r="G3919" s="12" t="s">
        <v>46</v>
      </c>
      <c r="H3919" s="11" t="s">
        <v>63</v>
      </c>
      <c r="I3919" s="13" t="s">
        <v>8597</v>
      </c>
      <c r="J3919" s="14" t="str">
        <f>HYPERLINK("https://www.boe.es/gazeta/dias/1839/11/11/pdfs/GMD-1839-1828.pdf#page=3","Abrir facsímil")</f>
        <v>Abrir facsímil</v>
      </c>
      <c r="K3919" s="12" t="s">
        <v>65</v>
      </c>
    </row>
    <row r="3920" spans="1:11" ht="40.049999999999997" customHeight="1" x14ac:dyDescent="0.25">
      <c r="A3920" s="11" t="s">
        <v>8598</v>
      </c>
      <c r="B3920" s="11" t="s">
        <v>8599</v>
      </c>
      <c r="C3920" s="11" t="s">
        <v>17</v>
      </c>
      <c r="D3920" s="11" t="s">
        <v>18</v>
      </c>
      <c r="E3920" s="12" t="s">
        <v>2443</v>
      </c>
      <c r="F3920" s="12" t="s">
        <v>2444</v>
      </c>
      <c r="G3920" s="12" t="s">
        <v>29</v>
      </c>
      <c r="H3920" s="11" t="s">
        <v>63</v>
      </c>
      <c r="I3920" s="13" t="s">
        <v>8600</v>
      </c>
      <c r="J3920" s="14" t="str">
        <f>HYPERLINK("https://www.boe.es/gazeta/dias/1839/11/02/pdfs/GMD-1839-1819.pdf#page=1","Abrir facsímil")</f>
        <v>Abrir facsímil</v>
      </c>
      <c r="K3920" s="12" t="s">
        <v>65</v>
      </c>
    </row>
    <row r="3921" spans="1:11" ht="40.049999999999997" customHeight="1" x14ac:dyDescent="0.25">
      <c r="A3921" s="11" t="s">
        <v>8601</v>
      </c>
      <c r="B3921" s="11" t="s">
        <v>8602</v>
      </c>
      <c r="C3921" s="11" t="s">
        <v>17</v>
      </c>
      <c r="D3921" s="11" t="s">
        <v>18</v>
      </c>
      <c r="E3921" s="12" t="s">
        <v>212</v>
      </c>
      <c r="F3921" s="12" t="s">
        <v>213</v>
      </c>
      <c r="G3921" s="12" t="s">
        <v>46</v>
      </c>
      <c r="H3921" s="11" t="s">
        <v>63</v>
      </c>
      <c r="I3921" s="13" t="s">
        <v>8603</v>
      </c>
      <c r="J3921" s="14" t="str">
        <f>HYPERLINK("https://www.boe.es/gazeta/dias/1839/10/03/pdfs/GMD-1839-1789.pdf#page=3","Abrir facsímil")</f>
        <v>Abrir facsímil</v>
      </c>
      <c r="K3921" s="12" t="s">
        <v>65</v>
      </c>
    </row>
    <row r="3922" spans="1:11" ht="40.049999999999997" customHeight="1" x14ac:dyDescent="0.25">
      <c r="A3922" s="11" t="s">
        <v>8601</v>
      </c>
      <c r="B3922" s="11" t="s">
        <v>8602</v>
      </c>
      <c r="C3922" s="11" t="s">
        <v>17</v>
      </c>
      <c r="D3922" s="11" t="s">
        <v>18</v>
      </c>
      <c r="E3922" s="12" t="s">
        <v>38</v>
      </c>
      <c r="F3922" s="12" t="s">
        <v>39</v>
      </c>
      <c r="G3922" s="12" t="s">
        <v>46</v>
      </c>
      <c r="H3922" s="11" t="s">
        <v>63</v>
      </c>
      <c r="I3922" s="13" t="s">
        <v>8604</v>
      </c>
      <c r="J3922" s="14" t="str">
        <f>HYPERLINK("https://www.boe.es/gazeta/dias/1839/08/08/pdfs/GMD-1839-1728.pdf#page=3","Abrir facsímil")</f>
        <v>Abrir facsímil</v>
      </c>
      <c r="K3922" s="12" t="s">
        <v>65</v>
      </c>
    </row>
    <row r="3923" spans="1:11" ht="40.049999999999997" customHeight="1" x14ac:dyDescent="0.25">
      <c r="A3923" s="11" t="s">
        <v>8601</v>
      </c>
      <c r="B3923" s="11" t="s">
        <v>8602</v>
      </c>
      <c r="C3923" s="11" t="s">
        <v>137</v>
      </c>
      <c r="D3923" s="11" t="s">
        <v>18</v>
      </c>
      <c r="E3923" s="12" t="s">
        <v>564</v>
      </c>
      <c r="F3923" s="12" t="s">
        <v>565</v>
      </c>
      <c r="G3923" s="12" t="s">
        <v>46</v>
      </c>
      <c r="H3923" s="11" t="s">
        <v>63</v>
      </c>
      <c r="I3923" s="13" t="s">
        <v>8605</v>
      </c>
      <c r="J3923" s="14" t="str">
        <f>HYPERLINK("https://www.boe.es/gazeta/dias/1839/10/17/pdfs/GMD-1839-1803.pdf#page=3","Abrir facsímil")</f>
        <v>Abrir facsímil</v>
      </c>
      <c r="K3923" s="12" t="s">
        <v>65</v>
      </c>
    </row>
    <row r="3924" spans="1:11" ht="40.049999999999997" customHeight="1" x14ac:dyDescent="0.25">
      <c r="A3924" s="11" t="s">
        <v>8606</v>
      </c>
      <c r="B3924" s="11" t="s">
        <v>8607</v>
      </c>
      <c r="C3924" s="11" t="s">
        <v>101</v>
      </c>
      <c r="D3924" s="11" t="s">
        <v>43</v>
      </c>
      <c r="E3924" s="12" t="s">
        <v>108</v>
      </c>
      <c r="F3924" s="12" t="s">
        <v>109</v>
      </c>
      <c r="G3924" s="12" t="s">
        <v>46</v>
      </c>
      <c r="H3924" s="11" t="s">
        <v>63</v>
      </c>
      <c r="I3924" s="13" t="s">
        <v>8608</v>
      </c>
      <c r="J3924" s="14" t="str">
        <f>HYPERLINK("https://www.boe.es/gazeta/dias/1839/01/04/pdfs/GMD-1839-1511.pdf#page=3","Abrir facsímil")</f>
        <v>Abrir facsímil</v>
      </c>
      <c r="K3924" s="12" t="s">
        <v>65</v>
      </c>
    </row>
    <row r="3925" spans="1:11" ht="40.049999999999997" customHeight="1" x14ac:dyDescent="0.25">
      <c r="A3925" s="11" t="s">
        <v>8609</v>
      </c>
      <c r="B3925" s="11" t="s">
        <v>8610</v>
      </c>
      <c r="C3925" s="11" t="s">
        <v>101</v>
      </c>
      <c r="D3925" s="11" t="s">
        <v>43</v>
      </c>
      <c r="E3925" s="12" t="s">
        <v>1069</v>
      </c>
      <c r="F3925" s="12" t="s">
        <v>1070</v>
      </c>
      <c r="G3925" s="12" t="s">
        <v>46</v>
      </c>
      <c r="H3925" s="11" t="s">
        <v>63</v>
      </c>
      <c r="I3925" s="13" t="s">
        <v>8611</v>
      </c>
      <c r="J3925" s="14" t="str">
        <f>HYPERLINK("https://www.boe.es/gazeta/dias/1839/10/15/pdfs/GMD-1839-1801.pdf#page=3","Abrir facsímil")</f>
        <v>Abrir facsímil</v>
      </c>
      <c r="K3925" s="12" t="s">
        <v>65</v>
      </c>
    </row>
    <row r="3926" spans="1:11" ht="40.049999999999997" customHeight="1" x14ac:dyDescent="0.25">
      <c r="A3926" s="11" t="s">
        <v>8609</v>
      </c>
      <c r="B3926" s="11" t="s">
        <v>8610</v>
      </c>
      <c r="C3926" s="11" t="s">
        <v>17</v>
      </c>
      <c r="D3926" s="11" t="s">
        <v>18</v>
      </c>
      <c r="E3926" s="12" t="s">
        <v>653</v>
      </c>
      <c r="F3926" s="12" t="s">
        <v>654</v>
      </c>
      <c r="G3926" s="12" t="s">
        <v>40</v>
      </c>
      <c r="H3926" s="11" t="s">
        <v>63</v>
      </c>
      <c r="I3926" s="13" t="s">
        <v>8612</v>
      </c>
      <c r="J3926" s="14" t="str">
        <f>HYPERLINK("https://www.boe.es/gazeta/dias/1839/10/31/pdfs/GMD-1839-1817.pdf#page=2","Abrir facsímil")</f>
        <v>Abrir facsímil</v>
      </c>
      <c r="K3926" s="12" t="s">
        <v>65</v>
      </c>
    </row>
    <row r="3927" spans="1:11" ht="40.049999999999997" customHeight="1" x14ac:dyDescent="0.25">
      <c r="A3927" s="11" t="s">
        <v>8613</v>
      </c>
      <c r="B3927" s="11" t="s">
        <v>8614</v>
      </c>
      <c r="C3927" s="11" t="s">
        <v>17</v>
      </c>
      <c r="D3927" s="11" t="s">
        <v>18</v>
      </c>
      <c r="E3927" s="12" t="s">
        <v>38</v>
      </c>
      <c r="F3927" s="12" t="s">
        <v>39</v>
      </c>
      <c r="G3927" s="12" t="s">
        <v>40</v>
      </c>
      <c r="H3927" s="11" t="s">
        <v>63</v>
      </c>
      <c r="I3927" s="13" t="s">
        <v>8615</v>
      </c>
      <c r="J3927" s="14" t="str">
        <f>HYPERLINK("https://www.boe.es/gazeta/dias/1839/08/08/pdfs/GMD-1839-1728.pdf#page=2","Abrir facsímil")</f>
        <v>Abrir facsímil</v>
      </c>
      <c r="K3927" s="12" t="s">
        <v>65</v>
      </c>
    </row>
    <row r="3928" spans="1:11" ht="40.049999999999997" customHeight="1" x14ac:dyDescent="0.25">
      <c r="A3928" s="11" t="s">
        <v>8616</v>
      </c>
      <c r="B3928" s="11" t="s">
        <v>8617</v>
      </c>
      <c r="C3928" s="11" t="s">
        <v>137</v>
      </c>
      <c r="D3928" s="11" t="s">
        <v>18</v>
      </c>
      <c r="E3928" s="12" t="s">
        <v>388</v>
      </c>
      <c r="F3928" s="12" t="s">
        <v>389</v>
      </c>
      <c r="G3928" s="12" t="s">
        <v>21</v>
      </c>
      <c r="H3928" s="11" t="s">
        <v>63</v>
      </c>
      <c r="I3928" s="13" t="s">
        <v>8618</v>
      </c>
      <c r="J3928" s="14" t="str">
        <f>HYPERLINK("https://www.boe.es/gazeta/dias/1839/08/07/pdfs/GMD-1839-1727.pdf#page=4","Abrir facsímil")</f>
        <v>Abrir facsímil</v>
      </c>
      <c r="K3928" s="12" t="s">
        <v>65</v>
      </c>
    </row>
    <row r="3929" spans="1:11" ht="40.049999999999997" customHeight="1" x14ac:dyDescent="0.25">
      <c r="A3929" s="11" t="s">
        <v>8619</v>
      </c>
      <c r="B3929" s="11" t="s">
        <v>8620</v>
      </c>
      <c r="C3929" s="11" t="s">
        <v>80</v>
      </c>
      <c r="D3929" s="11" t="s">
        <v>18</v>
      </c>
      <c r="E3929" s="12" t="s">
        <v>779</v>
      </c>
      <c r="F3929" s="12" t="s">
        <v>780</v>
      </c>
      <c r="G3929" s="12" t="s">
        <v>29</v>
      </c>
      <c r="H3929" s="11" t="s">
        <v>63</v>
      </c>
      <c r="I3929" s="13" t="s">
        <v>8621</v>
      </c>
      <c r="J3929" s="14" t="str">
        <f>HYPERLINK("https://www.boe.es/gazeta/dias/1839/02/03/pdfs/GMD-1839-1541.pdf#page=1","Abrir facsímil")</f>
        <v>Abrir facsímil</v>
      </c>
      <c r="K3929" s="12" t="s">
        <v>65</v>
      </c>
    </row>
    <row r="3930" spans="1:11" ht="40.049999999999997" customHeight="1" x14ac:dyDescent="0.25">
      <c r="A3930" s="11" t="s">
        <v>8619</v>
      </c>
      <c r="B3930" s="11" t="s">
        <v>8620</v>
      </c>
      <c r="C3930" s="11" t="s">
        <v>101</v>
      </c>
      <c r="D3930" s="11" t="s">
        <v>102</v>
      </c>
      <c r="E3930" s="12" t="s">
        <v>883</v>
      </c>
      <c r="F3930" s="12" t="s">
        <v>884</v>
      </c>
      <c r="G3930" s="12" t="s">
        <v>46</v>
      </c>
      <c r="H3930" s="11" t="s">
        <v>63</v>
      </c>
      <c r="I3930" s="13" t="s">
        <v>8622</v>
      </c>
      <c r="J3930" s="14" t="str">
        <f>HYPERLINK("https://www.boe.es/gazeta/dias/1839/11/03/pdfs/GMD-1839-1820.pdf#page=3","Abrir facsímil")</f>
        <v>Abrir facsímil</v>
      </c>
      <c r="K3930" s="12" t="s">
        <v>65</v>
      </c>
    </row>
    <row r="3931" spans="1:11" ht="40.049999999999997" customHeight="1" x14ac:dyDescent="0.25">
      <c r="A3931" s="11" t="s">
        <v>8619</v>
      </c>
      <c r="B3931" s="11" t="s">
        <v>8620</v>
      </c>
      <c r="C3931" s="11" t="s">
        <v>101</v>
      </c>
      <c r="D3931" s="11" t="s">
        <v>43</v>
      </c>
      <c r="E3931" s="12" t="s">
        <v>2262</v>
      </c>
      <c r="F3931" s="12" t="s">
        <v>2263</v>
      </c>
      <c r="G3931" s="12" t="s">
        <v>40</v>
      </c>
      <c r="H3931" s="11" t="s">
        <v>63</v>
      </c>
      <c r="I3931" s="13" t="s">
        <v>8623</v>
      </c>
      <c r="J3931" s="14" t="str">
        <f>HYPERLINK("https://www.boe.es/gazeta/dias/1839/03/16/pdfs/GMD-1839-1582.pdf#page=2","Abrir facsímil")</f>
        <v>Abrir facsímil</v>
      </c>
      <c r="K3931" s="12" t="s">
        <v>65</v>
      </c>
    </row>
    <row r="3932" spans="1:11" ht="40.049999999999997" customHeight="1" x14ac:dyDescent="0.25">
      <c r="A3932" s="11" t="s">
        <v>8619</v>
      </c>
      <c r="B3932" s="11" t="s">
        <v>8620</v>
      </c>
      <c r="C3932" s="11" t="s">
        <v>17</v>
      </c>
      <c r="D3932" s="11" t="s">
        <v>18</v>
      </c>
      <c r="E3932" s="12" t="s">
        <v>1236</v>
      </c>
      <c r="F3932" s="12" t="s">
        <v>1237</v>
      </c>
      <c r="G3932" s="12" t="s">
        <v>29</v>
      </c>
      <c r="H3932" s="11" t="s">
        <v>63</v>
      </c>
      <c r="I3932" s="13" t="s">
        <v>8624</v>
      </c>
      <c r="J3932" s="14" t="str">
        <f>HYPERLINK("https://www.boe.es/gazeta/dias/1839/10/16/pdfs/GMD-1839-1802.pdf#page=1","Abrir facsímil")</f>
        <v>Abrir facsímil</v>
      </c>
      <c r="K3932" s="12" t="s">
        <v>65</v>
      </c>
    </row>
    <row r="3933" spans="1:11" ht="40.049999999999997" customHeight="1" x14ac:dyDescent="0.25">
      <c r="A3933" s="11" t="s">
        <v>8619</v>
      </c>
      <c r="B3933" s="11" t="s">
        <v>8620</v>
      </c>
      <c r="C3933" s="11" t="s">
        <v>17</v>
      </c>
      <c r="D3933" s="11" t="s">
        <v>18</v>
      </c>
      <c r="E3933" s="12" t="s">
        <v>713</v>
      </c>
      <c r="F3933" s="12" t="s">
        <v>714</v>
      </c>
      <c r="G3933" s="12" t="s">
        <v>46</v>
      </c>
      <c r="H3933" s="11" t="s">
        <v>63</v>
      </c>
      <c r="I3933" s="13" t="s">
        <v>8625</v>
      </c>
      <c r="J3933" s="14" t="str">
        <f>HYPERLINK("https://www.boe.es/gazeta/dias/1839/12/18/pdfs/GMD-1839-1865.pdf#page=3","Abrir facsímil")</f>
        <v>Abrir facsímil</v>
      </c>
      <c r="K3933" s="12" t="s">
        <v>65</v>
      </c>
    </row>
    <row r="3934" spans="1:11" ht="40.049999999999997" customHeight="1" x14ac:dyDescent="0.25">
      <c r="A3934" s="11" t="s">
        <v>8626</v>
      </c>
      <c r="B3934" s="11" t="s">
        <v>8627</v>
      </c>
      <c r="C3934" s="11" t="s">
        <v>17</v>
      </c>
      <c r="D3934" s="11" t="s">
        <v>18</v>
      </c>
      <c r="E3934" s="12" t="s">
        <v>1584</v>
      </c>
      <c r="F3934" s="12" t="s">
        <v>1585</v>
      </c>
      <c r="G3934" s="12" t="s">
        <v>46</v>
      </c>
      <c r="H3934" s="11" t="s">
        <v>63</v>
      </c>
      <c r="I3934" s="13" t="s">
        <v>8628</v>
      </c>
      <c r="J3934" s="14" t="str">
        <f>HYPERLINK("https://www.boe.es/gazeta/dias/1839/11/20/pdfs/GMD-1839-1837.pdf#page=3","Abrir facsímil")</f>
        <v>Abrir facsímil</v>
      </c>
      <c r="K3934" s="12" t="s">
        <v>65</v>
      </c>
    </row>
    <row r="3935" spans="1:11" ht="40.049999999999997" customHeight="1" x14ac:dyDescent="0.25">
      <c r="A3935" s="11" t="s">
        <v>8629</v>
      </c>
      <c r="B3935" s="11" t="s">
        <v>8630</v>
      </c>
      <c r="C3935" s="11" t="s">
        <v>17</v>
      </c>
      <c r="D3935" s="11" t="s">
        <v>18</v>
      </c>
      <c r="E3935" s="12" t="s">
        <v>111</v>
      </c>
      <c r="F3935" s="12" t="s">
        <v>112</v>
      </c>
      <c r="G3935" s="12" t="s">
        <v>21</v>
      </c>
      <c r="H3935" s="11" t="s">
        <v>63</v>
      </c>
      <c r="I3935" s="13" t="s">
        <v>8631</v>
      </c>
      <c r="J3935" s="14" t="str">
        <f>HYPERLINK("https://www.boe.es/gazeta/dias/1839/07/25/pdfs/GMD-1839-1714.pdf#page=4","Abrir facsímil")</f>
        <v>Abrir facsímil</v>
      </c>
      <c r="K3935" s="12" t="s">
        <v>65</v>
      </c>
    </row>
    <row r="3936" spans="1:11" ht="40.049999999999997" customHeight="1" x14ac:dyDescent="0.25">
      <c r="A3936" s="11" t="s">
        <v>8632</v>
      </c>
      <c r="B3936" s="11" t="s">
        <v>8633</v>
      </c>
      <c r="C3936" s="11" t="s">
        <v>17</v>
      </c>
      <c r="D3936" s="11" t="s">
        <v>18</v>
      </c>
      <c r="E3936" s="12" t="s">
        <v>809</v>
      </c>
      <c r="F3936" s="12" t="s">
        <v>810</v>
      </c>
      <c r="G3936" s="12" t="s">
        <v>29</v>
      </c>
      <c r="H3936" s="11" t="s">
        <v>63</v>
      </c>
      <c r="I3936" s="13" t="s">
        <v>8634</v>
      </c>
      <c r="J3936" s="14" t="str">
        <f>HYPERLINK("https://www.boe.es/gazeta/dias/1839/02/11/pdfs/GMD-1839-1549.pdf#page=1","Abrir facsímil")</f>
        <v>Abrir facsímil</v>
      </c>
      <c r="K3936" s="12" t="s">
        <v>65</v>
      </c>
    </row>
    <row r="3937" spans="1:11" ht="40.049999999999997" customHeight="1" x14ac:dyDescent="0.25">
      <c r="A3937" s="11" t="s">
        <v>8635</v>
      </c>
      <c r="B3937" s="11" t="s">
        <v>8636</v>
      </c>
      <c r="C3937" s="11" t="s">
        <v>101</v>
      </c>
      <c r="D3937" s="11" t="s">
        <v>43</v>
      </c>
      <c r="E3937" s="12" t="s">
        <v>1867</v>
      </c>
      <c r="F3937" s="12" t="s">
        <v>1868</v>
      </c>
      <c r="G3937" s="12" t="s">
        <v>40</v>
      </c>
      <c r="H3937" s="11" t="s">
        <v>63</v>
      </c>
      <c r="I3937" s="13" t="s">
        <v>8637</v>
      </c>
      <c r="J3937" s="14" t="str">
        <f>HYPERLINK("https://www.boe.es/gazeta/dias/1839/01/30/pdfs/GMD-1839-1537.pdf#page=2","Abrir facsímil")</f>
        <v>Abrir facsímil</v>
      </c>
      <c r="K3937" s="12" t="s">
        <v>65</v>
      </c>
    </row>
    <row r="3938" spans="1:11" ht="40.049999999999997" customHeight="1" x14ac:dyDescent="0.25">
      <c r="A3938" s="11" t="s">
        <v>8638</v>
      </c>
      <c r="B3938" s="11" t="s">
        <v>8639</v>
      </c>
      <c r="C3938" s="11" t="s">
        <v>17</v>
      </c>
      <c r="D3938" s="11" t="s">
        <v>18</v>
      </c>
      <c r="E3938" s="12" t="s">
        <v>299</v>
      </c>
      <c r="F3938" s="12" t="s">
        <v>300</v>
      </c>
      <c r="G3938" s="12" t="s">
        <v>46</v>
      </c>
      <c r="H3938" s="11" t="s">
        <v>63</v>
      </c>
      <c r="I3938" s="13" t="s">
        <v>8640</v>
      </c>
      <c r="J3938" s="14" t="str">
        <f>HYPERLINK("https://www.boe.es/gazeta/dias/1839/02/14/pdfs/GMD-1839-1552.pdf#page=3","Abrir facsímil")</f>
        <v>Abrir facsímil</v>
      </c>
      <c r="K3938" s="12" t="s">
        <v>65</v>
      </c>
    </row>
    <row r="3939" spans="1:11" ht="40.049999999999997" customHeight="1" x14ac:dyDescent="0.25">
      <c r="A3939" s="11" t="s">
        <v>8641</v>
      </c>
      <c r="B3939" s="11" t="s">
        <v>8642</v>
      </c>
      <c r="C3939" s="11" t="s">
        <v>17</v>
      </c>
      <c r="D3939" s="11" t="s">
        <v>18</v>
      </c>
      <c r="E3939" s="12" t="s">
        <v>785</v>
      </c>
      <c r="F3939" s="12" t="s">
        <v>786</v>
      </c>
      <c r="G3939" s="12" t="s">
        <v>40</v>
      </c>
      <c r="H3939" s="11" t="s">
        <v>63</v>
      </c>
      <c r="I3939" s="13" t="s">
        <v>8643</v>
      </c>
      <c r="J3939" s="14" t="str">
        <f>HYPERLINK("https://www.boe.es/gazeta/dias/1839/07/13/pdfs/GMD-1839-1701.pdf#page=2","Abrir facsímil")</f>
        <v>Abrir facsímil</v>
      </c>
      <c r="K3939" s="12" t="s">
        <v>65</v>
      </c>
    </row>
    <row r="3940" spans="1:11" ht="40.049999999999997" customHeight="1" x14ac:dyDescent="0.25">
      <c r="A3940" s="11" t="s">
        <v>8644</v>
      </c>
      <c r="B3940" s="11" t="s">
        <v>8645</v>
      </c>
      <c r="C3940" s="11" t="s">
        <v>17</v>
      </c>
      <c r="D3940" s="11" t="s">
        <v>18</v>
      </c>
      <c r="E3940" s="12" t="s">
        <v>1867</v>
      </c>
      <c r="F3940" s="12" t="s">
        <v>1868</v>
      </c>
      <c r="G3940" s="12" t="s">
        <v>46</v>
      </c>
      <c r="H3940" s="11" t="s">
        <v>63</v>
      </c>
      <c r="I3940" s="13" t="s">
        <v>8646</v>
      </c>
      <c r="J3940" s="14" t="str">
        <f>HYPERLINK("https://www.boe.es/gazeta/dias/1839/01/30/pdfs/GMD-1839-1537.pdf#page=3","Abrir facsímil")</f>
        <v>Abrir facsímil</v>
      </c>
      <c r="K3940" s="12" t="s">
        <v>65</v>
      </c>
    </row>
    <row r="3941" spans="1:11" ht="40.049999999999997" customHeight="1" x14ac:dyDescent="0.25">
      <c r="A3941" s="11" t="s">
        <v>8647</v>
      </c>
      <c r="B3941" s="11" t="s">
        <v>8648</v>
      </c>
      <c r="C3941" s="11" t="s">
        <v>101</v>
      </c>
      <c r="D3941" s="11" t="s">
        <v>43</v>
      </c>
      <c r="E3941" s="12" t="s">
        <v>1076</v>
      </c>
      <c r="F3941" s="12" t="s">
        <v>1077</v>
      </c>
      <c r="G3941" s="12" t="s">
        <v>21</v>
      </c>
      <c r="H3941" s="11" t="s">
        <v>63</v>
      </c>
      <c r="I3941" s="13" t="s">
        <v>8649</v>
      </c>
      <c r="J3941" s="14" t="str">
        <f>HYPERLINK("https://www.boe.es/gazeta/dias/1839/10/19/pdfs/GMD-1839-1805.pdf#page=4","Abrir facsímil")</f>
        <v>Abrir facsímil</v>
      </c>
      <c r="K3941" s="12" t="s">
        <v>65</v>
      </c>
    </row>
    <row r="3942" spans="1:11" ht="40.049999999999997" customHeight="1" x14ac:dyDescent="0.25">
      <c r="A3942" s="11" t="s">
        <v>8650</v>
      </c>
      <c r="B3942" s="11" t="s">
        <v>8651</v>
      </c>
      <c r="C3942" s="11" t="s">
        <v>17</v>
      </c>
      <c r="D3942" s="11" t="s">
        <v>18</v>
      </c>
      <c r="E3942" s="12" t="s">
        <v>448</v>
      </c>
      <c r="F3942" s="12" t="s">
        <v>449</v>
      </c>
      <c r="G3942" s="12" t="s">
        <v>46</v>
      </c>
      <c r="H3942" s="11" t="s">
        <v>63</v>
      </c>
      <c r="I3942" s="13" t="s">
        <v>8652</v>
      </c>
      <c r="J3942" s="14" t="str">
        <f>HYPERLINK("https://www.boe.es/gazeta/dias/1839/02/06/pdfs/GMD-1839-1544.pdf#page=3","Abrir facsímil")</f>
        <v>Abrir facsímil</v>
      </c>
      <c r="K3942" s="12" t="s">
        <v>65</v>
      </c>
    </row>
    <row r="3943" spans="1:11" ht="40.049999999999997" customHeight="1" x14ac:dyDescent="0.25">
      <c r="A3943" s="11" t="s">
        <v>8650</v>
      </c>
      <c r="B3943" s="11" t="s">
        <v>8651</v>
      </c>
      <c r="C3943" s="11" t="s">
        <v>59</v>
      </c>
      <c r="D3943" s="11" t="s">
        <v>60</v>
      </c>
      <c r="E3943" s="12" t="s">
        <v>1679</v>
      </c>
      <c r="F3943" s="12" t="s">
        <v>1680</v>
      </c>
      <c r="G3943" s="12" t="s">
        <v>46</v>
      </c>
      <c r="H3943" s="11" t="s">
        <v>63</v>
      </c>
      <c r="I3943" s="13" t="s">
        <v>8653</v>
      </c>
      <c r="J3943" s="14" t="str">
        <f>HYPERLINK("https://www.boe.es/gazeta/dias/1839/01/26/pdfs/GMD-1839-1533.pdf#page=3","Abrir facsímil")</f>
        <v>Abrir facsímil</v>
      </c>
      <c r="K3943" s="12" t="s">
        <v>65</v>
      </c>
    </row>
    <row r="3944" spans="1:11" ht="40.049999999999997" customHeight="1" x14ac:dyDescent="0.25">
      <c r="A3944" s="11" t="s">
        <v>8654</v>
      </c>
      <c r="B3944" s="11" t="s">
        <v>8655</v>
      </c>
      <c r="C3944" s="11" t="s">
        <v>17</v>
      </c>
      <c r="D3944" s="11" t="s">
        <v>18</v>
      </c>
      <c r="E3944" s="12" t="s">
        <v>448</v>
      </c>
      <c r="F3944" s="12" t="s">
        <v>449</v>
      </c>
      <c r="G3944" s="12" t="s">
        <v>46</v>
      </c>
      <c r="H3944" s="11" t="s">
        <v>63</v>
      </c>
      <c r="I3944" s="13" t="s">
        <v>8656</v>
      </c>
      <c r="J3944" s="14" t="str">
        <f>HYPERLINK("https://www.boe.es/gazeta/dias/1839/02/06/pdfs/GMD-1839-1544.pdf#page=3","Abrir facsímil")</f>
        <v>Abrir facsímil</v>
      </c>
      <c r="K3944" s="12" t="s">
        <v>65</v>
      </c>
    </row>
    <row r="3945" spans="1:11" ht="40.049999999999997" customHeight="1" x14ac:dyDescent="0.25">
      <c r="A3945" s="11" t="s">
        <v>8654</v>
      </c>
      <c r="B3945" s="11" t="s">
        <v>8655</v>
      </c>
      <c r="C3945" s="11" t="s">
        <v>80</v>
      </c>
      <c r="D3945" s="11" t="s">
        <v>18</v>
      </c>
      <c r="E3945" s="12" t="s">
        <v>185</v>
      </c>
      <c r="F3945" s="12" t="s">
        <v>186</v>
      </c>
      <c r="G3945" s="12" t="s">
        <v>29</v>
      </c>
      <c r="H3945" s="11" t="s">
        <v>63</v>
      </c>
      <c r="I3945" s="13" t="s">
        <v>8657</v>
      </c>
      <c r="J3945" s="14" t="str">
        <f>HYPERLINK("https://www.boe.es/gazeta/dias/1839/01/15/pdfs/GMD-1839-1522.pdf#page=1","Abrir facsímil")</f>
        <v>Abrir facsímil</v>
      </c>
      <c r="K3945" s="12" t="s">
        <v>65</v>
      </c>
    </row>
    <row r="3946" spans="1:11" ht="40.049999999999997" customHeight="1" x14ac:dyDescent="0.25">
      <c r="A3946" s="11" t="s">
        <v>8658</v>
      </c>
      <c r="B3946" s="11" t="s">
        <v>8659</v>
      </c>
      <c r="C3946" s="11" t="s">
        <v>80</v>
      </c>
      <c r="D3946" s="11" t="s">
        <v>18</v>
      </c>
      <c r="E3946" s="12" t="s">
        <v>2069</v>
      </c>
      <c r="F3946" s="12" t="s">
        <v>2070</v>
      </c>
      <c r="G3946" s="12" t="s">
        <v>305</v>
      </c>
      <c r="H3946" s="11" t="s">
        <v>63</v>
      </c>
      <c r="I3946" s="13" t="s">
        <v>8660</v>
      </c>
      <c r="J3946" s="14" t="str">
        <f>HYPERLINK("https://www.boe.es/gazeta/dias/1839/10/20/pdfs/GMD-1839-1806.pdf#page=6","Abrir facsímil")</f>
        <v>Abrir facsímil</v>
      </c>
      <c r="K3946" s="12" t="s">
        <v>65</v>
      </c>
    </row>
    <row r="3947" spans="1:11" ht="40.049999999999997" customHeight="1" x14ac:dyDescent="0.25">
      <c r="A3947" s="11" t="s">
        <v>8661</v>
      </c>
      <c r="B3947" s="11" t="s">
        <v>8662</v>
      </c>
      <c r="C3947" s="11" t="s">
        <v>59</v>
      </c>
      <c r="D3947" s="11" t="s">
        <v>60</v>
      </c>
      <c r="E3947" s="12" t="s">
        <v>388</v>
      </c>
      <c r="F3947" s="12" t="s">
        <v>389</v>
      </c>
      <c r="G3947" s="12" t="s">
        <v>21</v>
      </c>
      <c r="H3947" s="11" t="s">
        <v>63</v>
      </c>
      <c r="I3947" s="13" t="s">
        <v>8663</v>
      </c>
      <c r="J3947" s="14" t="str">
        <f>HYPERLINK("https://www.boe.es/gazeta/dias/1839/08/07/pdfs/GMD-1839-1727.pdf#page=4","Abrir facsímil")</f>
        <v>Abrir facsímil</v>
      </c>
      <c r="K3947" s="12" t="s">
        <v>65</v>
      </c>
    </row>
    <row r="3948" spans="1:11" ht="40.049999999999997" customHeight="1" x14ac:dyDescent="0.25">
      <c r="A3948" s="11" t="s">
        <v>8664</v>
      </c>
      <c r="B3948" s="11" t="s">
        <v>8665</v>
      </c>
      <c r="C3948" s="11" t="s">
        <v>17</v>
      </c>
      <c r="D3948" s="11" t="s">
        <v>18</v>
      </c>
      <c r="E3948" s="12" t="s">
        <v>212</v>
      </c>
      <c r="F3948" s="12" t="s">
        <v>213</v>
      </c>
      <c r="G3948" s="12" t="s">
        <v>21</v>
      </c>
      <c r="H3948" s="11" t="s">
        <v>63</v>
      </c>
      <c r="I3948" s="13" t="s">
        <v>8666</v>
      </c>
      <c r="J3948" s="14" t="str">
        <f>HYPERLINK("https://www.boe.es/gazeta/dias/1839/10/03/pdfs/GMD-1839-1789.pdf#page=4","Abrir facsímil")</f>
        <v>Abrir facsímil</v>
      </c>
      <c r="K3948" s="12" t="s">
        <v>65</v>
      </c>
    </row>
    <row r="3949" spans="1:11" ht="40.049999999999997" customHeight="1" x14ac:dyDescent="0.25">
      <c r="A3949" s="11" t="s">
        <v>8667</v>
      </c>
      <c r="B3949" s="11" t="s">
        <v>8668</v>
      </c>
      <c r="C3949" s="11" t="s">
        <v>17</v>
      </c>
      <c r="D3949" s="11" t="s">
        <v>18</v>
      </c>
      <c r="E3949" s="12" t="s">
        <v>1332</v>
      </c>
      <c r="F3949" s="12" t="s">
        <v>1333</v>
      </c>
      <c r="G3949" s="12" t="s">
        <v>46</v>
      </c>
      <c r="H3949" s="11" t="s">
        <v>63</v>
      </c>
      <c r="I3949" s="13" t="s">
        <v>8669</v>
      </c>
      <c r="J3949" s="14" t="str">
        <f>HYPERLINK("https://www.boe.es/gazeta/dias/1839/05/04/pdfs/GMD-1839-1631.pdf#page=3","Abrir facsímil")</f>
        <v>Abrir facsímil</v>
      </c>
      <c r="K3949" s="12" t="s">
        <v>65</v>
      </c>
    </row>
    <row r="3950" spans="1:11" ht="40.049999999999997" customHeight="1" x14ac:dyDescent="0.25">
      <c r="A3950" s="11" t="s">
        <v>8670</v>
      </c>
      <c r="B3950" s="11" t="s">
        <v>8671</v>
      </c>
      <c r="C3950" s="11" t="s">
        <v>80</v>
      </c>
      <c r="D3950" s="11" t="s">
        <v>18</v>
      </c>
      <c r="E3950" s="12" t="s">
        <v>4550</v>
      </c>
      <c r="F3950" s="12" t="s">
        <v>4551</v>
      </c>
      <c r="G3950" s="12" t="s">
        <v>29</v>
      </c>
      <c r="H3950" s="11" t="s">
        <v>63</v>
      </c>
      <c r="I3950" s="13" t="s">
        <v>8672</v>
      </c>
      <c r="J3950" s="14" t="str">
        <f>HYPERLINK("https://www.boe.es/gazeta/dias/1839/04/17/pdfs/GMD-1839-1614.pdf#page=1","Abrir facsímil")</f>
        <v>Abrir facsímil</v>
      </c>
      <c r="K3950" s="12" t="s">
        <v>65</v>
      </c>
    </row>
    <row r="3951" spans="1:11" ht="40.049999999999997" customHeight="1" x14ac:dyDescent="0.25">
      <c r="A3951" s="11" t="s">
        <v>8673</v>
      </c>
      <c r="B3951" s="11" t="s">
        <v>8674</v>
      </c>
      <c r="C3951" s="11" t="s">
        <v>17</v>
      </c>
      <c r="D3951" s="11" t="s">
        <v>18</v>
      </c>
      <c r="E3951" s="12" t="s">
        <v>49</v>
      </c>
      <c r="F3951" s="12" t="s">
        <v>50</v>
      </c>
      <c r="G3951" s="12" t="s">
        <v>46</v>
      </c>
      <c r="H3951" s="11" t="s">
        <v>63</v>
      </c>
      <c r="I3951" s="13" t="s">
        <v>8675</v>
      </c>
      <c r="J3951" s="14" t="str">
        <f>HYPERLINK("https://www.boe.es/gazeta/dias/1839/01/05/pdfs/GMD-1839-1512.pdf#page=3","Abrir facsímil")</f>
        <v>Abrir facsímil</v>
      </c>
      <c r="K3951" s="12" t="s">
        <v>65</v>
      </c>
    </row>
    <row r="3952" spans="1:11" ht="40.049999999999997" customHeight="1" x14ac:dyDescent="0.25">
      <c r="A3952" s="11" t="s">
        <v>8673</v>
      </c>
      <c r="B3952" s="11" t="s">
        <v>8674</v>
      </c>
      <c r="C3952" s="11" t="s">
        <v>137</v>
      </c>
      <c r="D3952" s="11" t="s">
        <v>18</v>
      </c>
      <c r="E3952" s="12" t="s">
        <v>185</v>
      </c>
      <c r="F3952" s="12" t="s">
        <v>186</v>
      </c>
      <c r="G3952" s="12" t="s">
        <v>40</v>
      </c>
      <c r="H3952" s="11" t="s">
        <v>63</v>
      </c>
      <c r="I3952" s="13" t="s">
        <v>8676</v>
      </c>
      <c r="J3952" s="14" t="str">
        <f>HYPERLINK("https://www.boe.es/gazeta/dias/1839/01/15/pdfs/GMD-1839-1522.pdf#page=2","Abrir facsímil")</f>
        <v>Abrir facsímil</v>
      </c>
      <c r="K3952" s="12" t="s">
        <v>65</v>
      </c>
    </row>
    <row r="3953" spans="1:11" ht="40.049999999999997" customHeight="1" x14ac:dyDescent="0.25">
      <c r="A3953" s="11" t="s">
        <v>8677</v>
      </c>
      <c r="B3953" s="11" t="s">
        <v>8678</v>
      </c>
      <c r="C3953" s="11" t="s">
        <v>101</v>
      </c>
      <c r="D3953" s="11" t="s">
        <v>102</v>
      </c>
      <c r="E3953" s="12" t="s">
        <v>128</v>
      </c>
      <c r="F3953" s="12" t="s">
        <v>129</v>
      </c>
      <c r="G3953" s="12" t="s">
        <v>21</v>
      </c>
      <c r="H3953" s="11" t="s">
        <v>63</v>
      </c>
      <c r="I3953" s="13" t="s">
        <v>8679</v>
      </c>
      <c r="J3953" s="14" t="str">
        <f>HYPERLINK("https://www.boe.es/gazeta/dias/1839/05/25/pdfs/GMD-1839-1652.pdf#page=4","Abrir facsímil")</f>
        <v>Abrir facsímil</v>
      </c>
      <c r="K3953" s="12" t="s">
        <v>65</v>
      </c>
    </row>
    <row r="3954" spans="1:11" ht="40.049999999999997" customHeight="1" x14ac:dyDescent="0.25">
      <c r="A3954" s="11" t="s">
        <v>8680</v>
      </c>
      <c r="B3954" s="11" t="s">
        <v>8681</v>
      </c>
      <c r="C3954" s="11" t="s">
        <v>17</v>
      </c>
      <c r="D3954" s="11" t="s">
        <v>18</v>
      </c>
      <c r="E3954" s="12" t="s">
        <v>157</v>
      </c>
      <c r="F3954" s="12" t="s">
        <v>158</v>
      </c>
      <c r="G3954" s="12" t="s">
        <v>29</v>
      </c>
      <c r="H3954" s="11" t="s">
        <v>63</v>
      </c>
      <c r="I3954" s="13" t="s">
        <v>8682</v>
      </c>
      <c r="J3954" s="14" t="str">
        <f>HYPERLINK("https://www.boe.es/gazeta/dias/1839/02/08/pdfs/GMD-1839-1546.pdf#page=1","Abrir facsímil")</f>
        <v>Abrir facsímil</v>
      </c>
      <c r="K3954" s="12" t="s">
        <v>65</v>
      </c>
    </row>
    <row r="3955" spans="1:11" ht="40.049999999999997" customHeight="1" x14ac:dyDescent="0.25">
      <c r="A3955" s="11" t="s">
        <v>8683</v>
      </c>
      <c r="B3955" s="11" t="s">
        <v>8684</v>
      </c>
      <c r="C3955" s="11" t="s">
        <v>59</v>
      </c>
      <c r="D3955" s="11" t="s">
        <v>60</v>
      </c>
      <c r="E3955" s="12" t="s">
        <v>775</v>
      </c>
      <c r="F3955" s="12" t="s">
        <v>776</v>
      </c>
      <c r="G3955" s="12" t="s">
        <v>29</v>
      </c>
      <c r="H3955" s="11" t="s">
        <v>63</v>
      </c>
      <c r="I3955" s="13" t="s">
        <v>8685</v>
      </c>
      <c r="J3955" s="14" t="str">
        <f>HYPERLINK("https://www.boe.es/gazeta/dias/1839/02/25/pdfs/GMD-1839-1563.pdf#page=1","Abrir facsímil")</f>
        <v>Abrir facsímil</v>
      </c>
      <c r="K3955" s="12" t="s">
        <v>65</v>
      </c>
    </row>
    <row r="3956" spans="1:11" ht="40.049999999999997" customHeight="1" x14ac:dyDescent="0.25">
      <c r="A3956" s="11" t="s">
        <v>8686</v>
      </c>
      <c r="B3956" s="11" t="s">
        <v>8687</v>
      </c>
      <c r="C3956" s="11" t="s">
        <v>17</v>
      </c>
      <c r="D3956" s="11" t="s">
        <v>18</v>
      </c>
      <c r="E3956" s="12" t="s">
        <v>1551</v>
      </c>
      <c r="F3956" s="12" t="s">
        <v>1552</v>
      </c>
      <c r="G3956" s="12" t="s">
        <v>40</v>
      </c>
      <c r="H3956" s="11" t="s">
        <v>63</v>
      </c>
      <c r="I3956" s="13" t="s">
        <v>8688</v>
      </c>
      <c r="J3956" s="14" t="str">
        <f>HYPERLINK("https://www.boe.es/gazeta/dias/1839/06/30/pdfs/GMD-1839-1688.pdf#page=2","Abrir facsímil")</f>
        <v>Abrir facsímil</v>
      </c>
      <c r="K3956" s="12" t="s">
        <v>65</v>
      </c>
    </row>
    <row r="3957" spans="1:11" ht="40.049999999999997" customHeight="1" x14ac:dyDescent="0.25">
      <c r="A3957" s="11" t="s">
        <v>8689</v>
      </c>
      <c r="B3957" s="11" t="s">
        <v>8690</v>
      </c>
      <c r="C3957" s="11" t="s">
        <v>80</v>
      </c>
      <c r="D3957" s="11" t="s">
        <v>18</v>
      </c>
      <c r="E3957" s="12" t="s">
        <v>1891</v>
      </c>
      <c r="F3957" s="12" t="s">
        <v>1892</v>
      </c>
      <c r="G3957" s="12" t="s">
        <v>21</v>
      </c>
      <c r="H3957" s="11" t="s">
        <v>63</v>
      </c>
      <c r="I3957" s="13" t="s">
        <v>8691</v>
      </c>
      <c r="J3957" s="14" t="str">
        <f>HYPERLINK("https://www.boe.es/gazeta/dias/1839/12/14/pdfs/GMD-1839-1861.pdf#page=4","Abrir facsímil")</f>
        <v>Abrir facsímil</v>
      </c>
      <c r="K3957" s="12" t="s">
        <v>65</v>
      </c>
    </row>
    <row r="3958" spans="1:11" ht="40.049999999999997" customHeight="1" x14ac:dyDescent="0.25">
      <c r="A3958" s="11" t="s">
        <v>8689</v>
      </c>
      <c r="B3958" s="11" t="s">
        <v>8690</v>
      </c>
      <c r="C3958" s="11" t="s">
        <v>17</v>
      </c>
      <c r="D3958" s="11" t="s">
        <v>18</v>
      </c>
      <c r="E3958" s="12" t="s">
        <v>1528</v>
      </c>
      <c r="F3958" s="12" t="s">
        <v>1529</v>
      </c>
      <c r="G3958" s="12" t="s">
        <v>21</v>
      </c>
      <c r="H3958" s="11" t="s">
        <v>63</v>
      </c>
      <c r="I3958" s="13" t="s">
        <v>8692</v>
      </c>
      <c r="J3958" s="14" t="str">
        <f>HYPERLINK("https://www.boe.es/gazeta/dias/1839/12/15/pdfs/GMD-1839-1862.pdf#page=4","Abrir facsímil")</f>
        <v>Abrir facsímil</v>
      </c>
      <c r="K3958" s="12" t="s">
        <v>65</v>
      </c>
    </row>
    <row r="3959" spans="1:11" ht="40.049999999999997" customHeight="1" x14ac:dyDescent="0.25">
      <c r="A3959" s="11" t="s">
        <v>8689</v>
      </c>
      <c r="B3959" s="11" t="s">
        <v>8690</v>
      </c>
      <c r="C3959" s="11" t="s">
        <v>17</v>
      </c>
      <c r="D3959" s="11" t="s">
        <v>18</v>
      </c>
      <c r="E3959" s="12" t="s">
        <v>1537</v>
      </c>
      <c r="F3959" s="12" t="s">
        <v>1538</v>
      </c>
      <c r="G3959" s="12" t="s">
        <v>21</v>
      </c>
      <c r="H3959" s="11" t="s">
        <v>63</v>
      </c>
      <c r="I3959" s="13" t="s">
        <v>8693</v>
      </c>
      <c r="J3959" s="14" t="str">
        <f>HYPERLINK("https://www.boe.es/gazeta/dias/1839/12/16/pdfs/GMD-1839-1863.pdf#page=4","Abrir facsímil")</f>
        <v>Abrir facsímil</v>
      </c>
      <c r="K3959" s="12" t="s">
        <v>65</v>
      </c>
    </row>
    <row r="3960" spans="1:11" ht="40.049999999999997" customHeight="1" x14ac:dyDescent="0.25">
      <c r="A3960" s="11" t="s">
        <v>8694</v>
      </c>
      <c r="B3960" s="11" t="s">
        <v>8695</v>
      </c>
      <c r="C3960" s="11" t="s">
        <v>17</v>
      </c>
      <c r="D3960" s="11" t="s">
        <v>18</v>
      </c>
      <c r="E3960" s="12" t="s">
        <v>1679</v>
      </c>
      <c r="F3960" s="12" t="s">
        <v>1680</v>
      </c>
      <c r="G3960" s="12" t="s">
        <v>40</v>
      </c>
      <c r="H3960" s="11" t="s">
        <v>63</v>
      </c>
      <c r="I3960" s="13" t="s">
        <v>8696</v>
      </c>
      <c r="J3960" s="14" t="str">
        <f>HYPERLINK("https://www.boe.es/gazeta/dias/1839/01/26/pdfs/GMD-1839-1533.pdf#page=2","Abrir facsímil")</f>
        <v>Abrir facsímil</v>
      </c>
      <c r="K3960" s="12" t="s">
        <v>65</v>
      </c>
    </row>
    <row r="3961" spans="1:11" ht="40.049999999999997" customHeight="1" x14ac:dyDescent="0.25">
      <c r="A3961" s="11" t="s">
        <v>8697</v>
      </c>
      <c r="B3961" s="11" t="s">
        <v>8698</v>
      </c>
      <c r="C3961" s="11" t="s">
        <v>17</v>
      </c>
      <c r="D3961" s="11" t="s">
        <v>18</v>
      </c>
      <c r="E3961" s="12" t="s">
        <v>1236</v>
      </c>
      <c r="F3961" s="12" t="s">
        <v>1237</v>
      </c>
      <c r="G3961" s="12" t="s">
        <v>40</v>
      </c>
      <c r="H3961" s="11" t="s">
        <v>63</v>
      </c>
      <c r="I3961" s="13" t="s">
        <v>8699</v>
      </c>
      <c r="J3961" s="14" t="str">
        <f>HYPERLINK("https://www.boe.es/gazeta/dias/1839/10/16/pdfs/GMD-1839-1802.pdf#page=2","Abrir facsímil")</f>
        <v>Abrir facsímil</v>
      </c>
      <c r="K3961" s="12" t="s">
        <v>65</v>
      </c>
    </row>
    <row r="3962" spans="1:11" ht="40.049999999999997" customHeight="1" x14ac:dyDescent="0.25">
      <c r="A3962" s="11" t="s">
        <v>8697</v>
      </c>
      <c r="B3962" s="11" t="s">
        <v>8698</v>
      </c>
      <c r="C3962" s="11" t="s">
        <v>17</v>
      </c>
      <c r="D3962" s="11" t="s">
        <v>18</v>
      </c>
      <c r="E3962" s="12" t="s">
        <v>1108</v>
      </c>
      <c r="F3962" s="12" t="s">
        <v>1109</v>
      </c>
      <c r="G3962" s="12" t="s">
        <v>21</v>
      </c>
      <c r="H3962" s="11" t="s">
        <v>63</v>
      </c>
      <c r="I3962" s="13" t="s">
        <v>8700</v>
      </c>
      <c r="J3962" s="14" t="str">
        <f>HYPERLINK("https://www.boe.es/gazeta/dias/1839/09/21/pdfs/GMD-1839-1776.pdf#page=4","Abrir facsímil")</f>
        <v>Abrir facsímil</v>
      </c>
      <c r="K3962" s="12" t="s">
        <v>65</v>
      </c>
    </row>
    <row r="3963" spans="1:11" ht="40.049999999999997" customHeight="1" x14ac:dyDescent="0.25">
      <c r="A3963" s="11" t="s">
        <v>8701</v>
      </c>
      <c r="B3963" s="11" t="s">
        <v>8702</v>
      </c>
      <c r="C3963" s="11" t="s">
        <v>80</v>
      </c>
      <c r="D3963" s="11" t="s">
        <v>18</v>
      </c>
      <c r="E3963" s="12" t="s">
        <v>217</v>
      </c>
      <c r="F3963" s="12" t="s">
        <v>218</v>
      </c>
      <c r="G3963" s="12" t="s">
        <v>46</v>
      </c>
      <c r="H3963" s="11" t="s">
        <v>63</v>
      </c>
      <c r="I3963" s="13" t="s">
        <v>8703</v>
      </c>
      <c r="J3963" s="14" t="str">
        <f>HYPERLINK("https://www.boe.es/gazeta/dias/1839/08/06/pdfs/GMD-1839-1726.pdf#page=3","Abrir facsímil")</f>
        <v>Abrir facsímil</v>
      </c>
      <c r="K3963" s="12" t="s">
        <v>65</v>
      </c>
    </row>
    <row r="3964" spans="1:11" ht="40.049999999999997" customHeight="1" x14ac:dyDescent="0.25">
      <c r="A3964" s="11" t="s">
        <v>8701</v>
      </c>
      <c r="B3964" s="11" t="s">
        <v>8702</v>
      </c>
      <c r="C3964" s="11" t="s">
        <v>17</v>
      </c>
      <c r="D3964" s="11" t="s">
        <v>18</v>
      </c>
      <c r="E3964" s="12" t="s">
        <v>1685</v>
      </c>
      <c r="F3964" s="12" t="s">
        <v>1686</v>
      </c>
      <c r="G3964" s="12" t="s">
        <v>46</v>
      </c>
      <c r="H3964" s="11" t="s">
        <v>63</v>
      </c>
      <c r="I3964" s="13" t="s">
        <v>8704</v>
      </c>
      <c r="J3964" s="14" t="str">
        <f>HYPERLINK("https://www.boe.es/gazeta/dias/1839/04/27/pdfs/GMD-1839-1624.pdf#page=3","Abrir facsímil")</f>
        <v>Abrir facsímil</v>
      </c>
      <c r="K3964" s="12" t="s">
        <v>65</v>
      </c>
    </row>
    <row r="3965" spans="1:11" ht="40.049999999999997" customHeight="1" x14ac:dyDescent="0.25">
      <c r="A3965" s="11" t="s">
        <v>8705</v>
      </c>
      <c r="B3965" s="11" t="s">
        <v>8706</v>
      </c>
      <c r="C3965" s="11" t="s">
        <v>17</v>
      </c>
      <c r="D3965" s="11" t="s">
        <v>18</v>
      </c>
      <c r="E3965" s="12" t="s">
        <v>1623</v>
      </c>
      <c r="F3965" s="12" t="s">
        <v>1624</v>
      </c>
      <c r="G3965" s="12" t="s">
        <v>21</v>
      </c>
      <c r="H3965" s="11" t="s">
        <v>63</v>
      </c>
      <c r="I3965" s="13" t="s">
        <v>8707</v>
      </c>
      <c r="J3965" s="14" t="str">
        <f>HYPERLINK("https://www.boe.es/gazeta/dias/1839/04/07/pdfs/GMD-1839-1604.pdf#page=4","Abrir facsímil")</f>
        <v>Abrir facsímil</v>
      </c>
      <c r="K3965" s="12" t="s">
        <v>65</v>
      </c>
    </row>
    <row r="3966" spans="1:11" ht="40.049999999999997" customHeight="1" x14ac:dyDescent="0.25">
      <c r="A3966" s="11" t="s">
        <v>8708</v>
      </c>
      <c r="B3966" s="11" t="s">
        <v>8709</v>
      </c>
      <c r="C3966" s="11" t="s">
        <v>59</v>
      </c>
      <c r="D3966" s="11" t="s">
        <v>60</v>
      </c>
      <c r="E3966" s="12" t="s">
        <v>385</v>
      </c>
      <c r="F3966" s="12" t="s">
        <v>386</v>
      </c>
      <c r="G3966" s="12" t="s">
        <v>40</v>
      </c>
      <c r="H3966" s="11" t="s">
        <v>63</v>
      </c>
      <c r="I3966" s="13" t="s">
        <v>8710</v>
      </c>
      <c r="J3966" s="14" t="str">
        <f>HYPERLINK("https://www.boe.es/gazeta/dias/1839/08/01/pdfs/GMD-1839-1721.pdf#page=2","Abrir facsímil")</f>
        <v>Abrir facsímil</v>
      </c>
      <c r="K3966" s="12" t="s">
        <v>65</v>
      </c>
    </row>
    <row r="3967" spans="1:11" ht="40.049999999999997" customHeight="1" x14ac:dyDescent="0.25">
      <c r="A3967" s="11" t="s">
        <v>8711</v>
      </c>
      <c r="B3967" s="11" t="s">
        <v>8712</v>
      </c>
      <c r="C3967" s="11" t="s">
        <v>80</v>
      </c>
      <c r="D3967" s="11" t="s">
        <v>18</v>
      </c>
      <c r="E3967" s="12" t="s">
        <v>121</v>
      </c>
      <c r="F3967" s="12" t="s">
        <v>122</v>
      </c>
      <c r="G3967" s="12" t="s">
        <v>21</v>
      </c>
      <c r="H3967" s="11" t="s">
        <v>63</v>
      </c>
      <c r="I3967" s="13" t="s">
        <v>8713</v>
      </c>
      <c r="J3967" s="14" t="str">
        <f>HYPERLINK("https://www.boe.es/gazeta/dias/1839/06/08/pdfs/GMD-1839-1666.pdf#page=4","Abrir facsímil")</f>
        <v>Abrir facsímil</v>
      </c>
      <c r="K3967" s="12" t="s">
        <v>65</v>
      </c>
    </row>
    <row r="3968" spans="1:11" ht="40.049999999999997" customHeight="1" x14ac:dyDescent="0.25">
      <c r="A3968" s="11" t="s">
        <v>8711</v>
      </c>
      <c r="B3968" s="11" t="s">
        <v>8712</v>
      </c>
      <c r="C3968" s="11" t="s">
        <v>17</v>
      </c>
      <c r="D3968" s="11" t="s">
        <v>18</v>
      </c>
      <c r="E3968" s="12" t="s">
        <v>907</v>
      </c>
      <c r="F3968" s="12" t="s">
        <v>908</v>
      </c>
      <c r="G3968" s="12" t="s">
        <v>21</v>
      </c>
      <c r="H3968" s="11" t="s">
        <v>63</v>
      </c>
      <c r="I3968" s="13" t="s">
        <v>8714</v>
      </c>
      <c r="J3968" s="14" t="str">
        <f>HYPERLINK("https://www.boe.es/gazeta/dias/1839/07/31/pdfs/GMD-1839-1720.pdf#page=4","Abrir facsímil")</f>
        <v>Abrir facsímil</v>
      </c>
      <c r="K3968" s="12" t="s">
        <v>65</v>
      </c>
    </row>
    <row r="3969" spans="1:11" ht="40.049999999999997" customHeight="1" x14ac:dyDescent="0.25">
      <c r="A3969" s="11" t="s">
        <v>8715</v>
      </c>
      <c r="B3969" s="11" t="s">
        <v>8716</v>
      </c>
      <c r="C3969" s="11" t="s">
        <v>17</v>
      </c>
      <c r="D3969" s="11" t="s">
        <v>18</v>
      </c>
      <c r="E3969" s="12" t="s">
        <v>548</v>
      </c>
      <c r="F3969" s="12" t="s">
        <v>549</v>
      </c>
      <c r="G3969" s="12" t="s">
        <v>40</v>
      </c>
      <c r="H3969" s="11" t="s">
        <v>63</v>
      </c>
      <c r="I3969" s="13" t="s">
        <v>8717</v>
      </c>
      <c r="J3969" s="14" t="str">
        <f>HYPERLINK("https://www.boe.es/gazeta/dias/1839/06/06/pdfs/GMD-1839-1664.pdf#page=2","Abrir facsímil")</f>
        <v>Abrir facsímil</v>
      </c>
      <c r="K3969" s="12" t="s">
        <v>65</v>
      </c>
    </row>
    <row r="3970" spans="1:11" ht="40.049999999999997" customHeight="1" x14ac:dyDescent="0.25">
      <c r="A3970" s="11" t="s">
        <v>8718</v>
      </c>
      <c r="B3970" s="11" t="s">
        <v>8719</v>
      </c>
      <c r="C3970" s="11" t="s">
        <v>17</v>
      </c>
      <c r="D3970" s="11" t="s">
        <v>18</v>
      </c>
      <c r="E3970" s="12" t="s">
        <v>236</v>
      </c>
      <c r="F3970" s="12" t="s">
        <v>237</v>
      </c>
      <c r="G3970" s="12" t="s">
        <v>46</v>
      </c>
      <c r="H3970" s="11" t="s">
        <v>63</v>
      </c>
      <c r="I3970" s="13" t="s">
        <v>8720</v>
      </c>
      <c r="J3970" s="14" t="str">
        <f>HYPERLINK("https://www.boe.es/gazeta/dias/1839/09/18/pdfs/GMD-1839-1771.pdf#page=3","Abrir facsímil")</f>
        <v>Abrir facsímil</v>
      </c>
      <c r="K3970" s="12" t="s">
        <v>65</v>
      </c>
    </row>
    <row r="3971" spans="1:11" ht="40.049999999999997" customHeight="1" x14ac:dyDescent="0.25">
      <c r="A3971" s="11" t="s">
        <v>8721</v>
      </c>
      <c r="B3971" s="11" t="s">
        <v>8722</v>
      </c>
      <c r="C3971" s="11" t="s">
        <v>137</v>
      </c>
      <c r="D3971" s="11" t="s">
        <v>18</v>
      </c>
      <c r="E3971" s="12" t="s">
        <v>266</v>
      </c>
      <c r="F3971" s="12" t="s">
        <v>267</v>
      </c>
      <c r="G3971" s="12" t="s">
        <v>21</v>
      </c>
      <c r="H3971" s="11" t="s">
        <v>63</v>
      </c>
      <c r="I3971" s="13" t="s">
        <v>8723</v>
      </c>
      <c r="J3971" s="14" t="str">
        <f>HYPERLINK("https://www.boe.es/gazeta/dias/1839/01/03/pdfs/GMD-1839-1510.pdf#page=4","Abrir facsímil")</f>
        <v>Abrir facsímil</v>
      </c>
      <c r="K3971" s="12" t="s">
        <v>65</v>
      </c>
    </row>
    <row r="3972" spans="1:11" ht="40.049999999999997" customHeight="1" x14ac:dyDescent="0.25">
      <c r="A3972" s="11" t="s">
        <v>8724</v>
      </c>
      <c r="B3972" s="11" t="s">
        <v>8725</v>
      </c>
      <c r="C3972" s="11" t="s">
        <v>17</v>
      </c>
      <c r="D3972" s="11" t="s">
        <v>18</v>
      </c>
      <c r="E3972" s="12" t="s">
        <v>2449</v>
      </c>
      <c r="F3972" s="12" t="s">
        <v>2450</v>
      </c>
      <c r="G3972" s="12" t="s">
        <v>40</v>
      </c>
      <c r="H3972" s="11" t="s">
        <v>63</v>
      </c>
      <c r="I3972" s="13" t="s">
        <v>8726</v>
      </c>
      <c r="J3972" s="14" t="str">
        <f>HYPERLINK("https://www.boe.es/gazeta/dias/1839/12/11/pdfs/GMD-1839-1858.pdf#page=2","Abrir facsímil")</f>
        <v>Abrir facsímil</v>
      </c>
      <c r="K3972" s="12" t="s">
        <v>65</v>
      </c>
    </row>
    <row r="3973" spans="1:11" ht="40.049999999999997" customHeight="1" x14ac:dyDescent="0.25">
      <c r="A3973" s="11" t="s">
        <v>8727</v>
      </c>
      <c r="B3973" s="11" t="s">
        <v>8728</v>
      </c>
      <c r="C3973" s="11" t="s">
        <v>17</v>
      </c>
      <c r="D3973" s="11" t="s">
        <v>18</v>
      </c>
      <c r="E3973" s="12" t="s">
        <v>258</v>
      </c>
      <c r="F3973" s="12" t="s">
        <v>259</v>
      </c>
      <c r="G3973" s="12" t="s">
        <v>21</v>
      </c>
      <c r="H3973" s="11" t="s">
        <v>63</v>
      </c>
      <c r="I3973" s="13" t="s">
        <v>8729</v>
      </c>
      <c r="J3973" s="14" t="str">
        <f>HYPERLINK("https://www.boe.es/gazeta/dias/1839/01/02/pdfs/GMD-1839-1509.pdf#page=4","Abrir facsímil")</f>
        <v>Abrir facsímil</v>
      </c>
      <c r="K3973" s="12" t="s">
        <v>65</v>
      </c>
    </row>
    <row r="3974" spans="1:11" ht="40.049999999999997" customHeight="1" x14ac:dyDescent="0.25">
      <c r="A3974" s="11" t="s">
        <v>8730</v>
      </c>
      <c r="B3974" s="11" t="s">
        <v>8731</v>
      </c>
      <c r="C3974" s="11" t="s">
        <v>137</v>
      </c>
      <c r="D3974" s="11" t="s">
        <v>18</v>
      </c>
      <c r="E3974" s="12" t="s">
        <v>3289</v>
      </c>
      <c r="F3974" s="12" t="s">
        <v>3290</v>
      </c>
      <c r="G3974" s="12" t="s">
        <v>29</v>
      </c>
      <c r="H3974" s="11" t="s">
        <v>63</v>
      </c>
      <c r="I3974" s="13" t="s">
        <v>8732</v>
      </c>
      <c r="J3974" s="14" t="str">
        <f>HYPERLINK("https://www.boe.es/gazeta/dias/1839/12/10/pdfs/GMD-1839-1857.pdf#page=1","Abrir facsímil")</f>
        <v>Abrir facsímil</v>
      </c>
      <c r="K3974" s="12" t="s">
        <v>65</v>
      </c>
    </row>
    <row r="3975" spans="1:11" ht="40.049999999999997" customHeight="1" x14ac:dyDescent="0.25">
      <c r="A3975" s="11" t="s">
        <v>8733</v>
      </c>
      <c r="B3975" s="11" t="s">
        <v>8734</v>
      </c>
      <c r="C3975" s="11" t="s">
        <v>80</v>
      </c>
      <c r="D3975" s="11" t="s">
        <v>18</v>
      </c>
      <c r="E3975" s="12" t="s">
        <v>794</v>
      </c>
      <c r="F3975" s="12" t="s">
        <v>795</v>
      </c>
      <c r="G3975" s="12" t="s">
        <v>21</v>
      </c>
      <c r="H3975" s="11" t="s">
        <v>63</v>
      </c>
      <c r="I3975" s="13" t="s">
        <v>8735</v>
      </c>
      <c r="J3975" s="14" t="str">
        <f>HYPERLINK("https://www.boe.es/gazeta/dias/1839/01/22/pdfs/GMD-1839-1529.pdf#page=4","Abrir facsímil")</f>
        <v>Abrir facsímil</v>
      </c>
      <c r="K3975" s="12" t="s">
        <v>65</v>
      </c>
    </row>
    <row r="3976" spans="1:11" ht="40.049999999999997" customHeight="1" x14ac:dyDescent="0.25">
      <c r="A3976" s="11" t="s">
        <v>8736</v>
      </c>
      <c r="B3976" s="11" t="s">
        <v>8737</v>
      </c>
      <c r="C3976" s="11" t="s">
        <v>137</v>
      </c>
      <c r="D3976" s="11" t="s">
        <v>18</v>
      </c>
      <c r="E3976" s="12" t="s">
        <v>862</v>
      </c>
      <c r="F3976" s="12" t="s">
        <v>863</v>
      </c>
      <c r="G3976" s="12" t="s">
        <v>21</v>
      </c>
      <c r="H3976" s="11" t="s">
        <v>63</v>
      </c>
      <c r="I3976" s="13" t="s">
        <v>8738</v>
      </c>
      <c r="J3976" s="14" t="str">
        <f>HYPERLINK("https://www.boe.es/gazeta/dias/1839/10/28/pdfs/GMD-1839-1814.pdf#page=4","Abrir facsímil")</f>
        <v>Abrir facsímil</v>
      </c>
      <c r="K3976" s="12" t="s">
        <v>65</v>
      </c>
    </row>
    <row r="3977" spans="1:11" ht="40.049999999999997" customHeight="1" x14ac:dyDescent="0.25">
      <c r="A3977" s="11" t="s">
        <v>8739</v>
      </c>
      <c r="B3977" s="11" t="s">
        <v>8740</v>
      </c>
      <c r="C3977" s="11" t="s">
        <v>137</v>
      </c>
      <c r="D3977" s="11" t="s">
        <v>18</v>
      </c>
      <c r="E3977" s="12" t="s">
        <v>903</v>
      </c>
      <c r="F3977" s="12" t="s">
        <v>904</v>
      </c>
      <c r="G3977" s="12" t="s">
        <v>46</v>
      </c>
      <c r="H3977" s="11" t="s">
        <v>63</v>
      </c>
      <c r="I3977" s="13" t="s">
        <v>8741</v>
      </c>
      <c r="J3977" s="14" t="str">
        <f>HYPERLINK("https://www.boe.es/gazeta/dias/1839/03/14/pdfs/GMD-1839-1580.pdf#page=3","Abrir facsímil")</f>
        <v>Abrir facsímil</v>
      </c>
      <c r="K3977" s="12" t="s">
        <v>65</v>
      </c>
    </row>
    <row r="3978" spans="1:11" ht="40.049999999999997" customHeight="1" x14ac:dyDescent="0.25">
      <c r="A3978" s="11" t="s">
        <v>8742</v>
      </c>
      <c r="B3978" s="11" t="s">
        <v>8743</v>
      </c>
      <c r="C3978" s="11" t="s">
        <v>101</v>
      </c>
      <c r="D3978" s="11" t="s">
        <v>43</v>
      </c>
      <c r="E3978" s="12" t="s">
        <v>254</v>
      </c>
      <c r="F3978" s="12" t="s">
        <v>255</v>
      </c>
      <c r="G3978" s="12" t="s">
        <v>40</v>
      </c>
      <c r="H3978" s="11" t="s">
        <v>63</v>
      </c>
      <c r="I3978" s="13" t="s">
        <v>8744</v>
      </c>
      <c r="J3978" s="14" t="str">
        <f>HYPERLINK("https://www.boe.es/gazeta/dias/1839/09/12/pdfs/GMD-1839-1765.pdf#page=2","Abrir facsímil")</f>
        <v>Abrir facsímil</v>
      </c>
      <c r="K3978" s="12" t="s">
        <v>65</v>
      </c>
    </row>
    <row r="3979" spans="1:11" ht="40.049999999999997" customHeight="1" x14ac:dyDescent="0.25">
      <c r="A3979" s="11" t="s">
        <v>8745</v>
      </c>
      <c r="B3979" s="11" t="s">
        <v>8746</v>
      </c>
      <c r="C3979" s="11" t="s">
        <v>17</v>
      </c>
      <c r="D3979" s="11" t="s">
        <v>18</v>
      </c>
      <c r="E3979" s="12" t="s">
        <v>405</v>
      </c>
      <c r="F3979" s="12" t="s">
        <v>406</v>
      </c>
      <c r="G3979" s="12" t="s">
        <v>29</v>
      </c>
      <c r="H3979" s="11" t="s">
        <v>63</v>
      </c>
      <c r="I3979" s="13" t="s">
        <v>8747</v>
      </c>
      <c r="J3979" s="14" t="str">
        <f>HYPERLINK("https://www.boe.es/gazeta/dias/1839/03/25/pdfs/GMD-1839-1591.pdf#page=1","Abrir facsímil")</f>
        <v>Abrir facsímil</v>
      </c>
      <c r="K3979" s="12" t="s">
        <v>65</v>
      </c>
    </row>
    <row r="3980" spans="1:11" ht="40.049999999999997" customHeight="1" x14ac:dyDescent="0.25">
      <c r="A3980" s="11" t="s">
        <v>8748</v>
      </c>
      <c r="B3980" s="11" t="s">
        <v>8749</v>
      </c>
      <c r="C3980" s="11" t="s">
        <v>137</v>
      </c>
      <c r="D3980" s="11" t="s">
        <v>18</v>
      </c>
      <c r="E3980" s="12" t="s">
        <v>258</v>
      </c>
      <c r="F3980" s="12" t="s">
        <v>259</v>
      </c>
      <c r="G3980" s="12" t="s">
        <v>40</v>
      </c>
      <c r="H3980" s="11" t="s">
        <v>63</v>
      </c>
      <c r="I3980" s="13" t="s">
        <v>8750</v>
      </c>
      <c r="J3980" s="14" t="str">
        <f>HYPERLINK("https://www.boe.es/gazeta/dias/1839/01/02/pdfs/GMD-1839-1509.pdf#page=2","Abrir facsímil")</f>
        <v>Abrir facsímil</v>
      </c>
      <c r="K3980" s="12" t="s">
        <v>65</v>
      </c>
    </row>
    <row r="3981" spans="1:11" ht="40.049999999999997" customHeight="1" x14ac:dyDescent="0.25">
      <c r="A3981" s="11" t="s">
        <v>8751</v>
      </c>
      <c r="B3981" s="11" t="s">
        <v>8752</v>
      </c>
      <c r="C3981" s="11" t="s">
        <v>17</v>
      </c>
      <c r="D3981" s="11" t="s">
        <v>18</v>
      </c>
      <c r="E3981" s="12" t="s">
        <v>736</v>
      </c>
      <c r="F3981" s="12" t="s">
        <v>737</v>
      </c>
      <c r="G3981" s="12" t="s">
        <v>29</v>
      </c>
      <c r="H3981" s="11" t="s">
        <v>63</v>
      </c>
      <c r="I3981" s="13" t="s">
        <v>8753</v>
      </c>
      <c r="J3981" s="14" t="str">
        <f>HYPERLINK("https://www.boe.es/gazeta/dias/1839/10/13/pdfs/GMD-1839-1799.pdf#page=1","Abrir facsímil")</f>
        <v>Abrir facsímil</v>
      </c>
      <c r="K3981" s="12" t="s">
        <v>65</v>
      </c>
    </row>
    <row r="3982" spans="1:11" ht="40.049999999999997" customHeight="1" x14ac:dyDescent="0.25">
      <c r="A3982" s="11" t="s">
        <v>8754</v>
      </c>
      <c r="B3982" s="11" t="s">
        <v>8755</v>
      </c>
      <c r="C3982" s="11" t="s">
        <v>137</v>
      </c>
      <c r="D3982" s="11" t="s">
        <v>18</v>
      </c>
      <c r="E3982" s="12" t="s">
        <v>723</v>
      </c>
      <c r="F3982" s="12" t="s">
        <v>724</v>
      </c>
      <c r="G3982" s="12" t="s">
        <v>40</v>
      </c>
      <c r="H3982" s="11" t="s">
        <v>63</v>
      </c>
      <c r="I3982" s="13" t="s">
        <v>8756</v>
      </c>
      <c r="J3982" s="14" t="str">
        <f>HYPERLINK("https://www.boe.es/gazeta/dias/1839/09/26/pdfs/GMD-1839-1782.pdf#page=2","Abrir facsímil")</f>
        <v>Abrir facsímil</v>
      </c>
      <c r="K3982" s="12" t="s">
        <v>65</v>
      </c>
    </row>
    <row r="3983" spans="1:11" ht="40.049999999999997" customHeight="1" x14ac:dyDescent="0.25">
      <c r="A3983" s="11" t="s">
        <v>8757</v>
      </c>
      <c r="B3983" s="11" t="s">
        <v>8758</v>
      </c>
      <c r="C3983" s="11" t="s">
        <v>17</v>
      </c>
      <c r="D3983" s="11" t="s">
        <v>18</v>
      </c>
      <c r="E3983" s="12" t="s">
        <v>4472</v>
      </c>
      <c r="F3983" s="12" t="s">
        <v>4473</v>
      </c>
      <c r="G3983" s="12" t="s">
        <v>40</v>
      </c>
      <c r="H3983" s="11" t="s">
        <v>63</v>
      </c>
      <c r="I3983" s="13" t="s">
        <v>8759</v>
      </c>
      <c r="J3983" s="14" t="str">
        <f>HYPERLINK("https://www.boe.es/gazeta/dias/1839/08/03/pdfs/GMD-1839-1723.pdf#page=2","Abrir facsímil")</f>
        <v>Abrir facsímil</v>
      </c>
      <c r="K3983" s="12" t="s">
        <v>65</v>
      </c>
    </row>
    <row r="3984" spans="1:11" ht="40.049999999999997" customHeight="1" x14ac:dyDescent="0.25">
      <c r="A3984" s="11" t="s">
        <v>8757</v>
      </c>
      <c r="B3984" s="11" t="s">
        <v>8758</v>
      </c>
      <c r="C3984" s="11" t="s">
        <v>17</v>
      </c>
      <c r="D3984" s="11" t="s">
        <v>18</v>
      </c>
      <c r="E3984" s="12" t="s">
        <v>782</v>
      </c>
      <c r="F3984" s="12" t="s">
        <v>783</v>
      </c>
      <c r="G3984" s="12" t="s">
        <v>29</v>
      </c>
      <c r="H3984" s="11" t="s">
        <v>63</v>
      </c>
      <c r="I3984" s="13" t="s">
        <v>8760</v>
      </c>
      <c r="J3984" s="14" t="str">
        <f>HYPERLINK("https://www.boe.es/gazeta/dias/1839/05/09/pdfs/GMD-1839-1636.pdf#page=1","Abrir facsímil")</f>
        <v>Abrir facsímil</v>
      </c>
      <c r="K3984" s="12" t="s">
        <v>65</v>
      </c>
    </row>
    <row r="3985" spans="1:11" ht="40.049999999999997" customHeight="1" x14ac:dyDescent="0.25">
      <c r="A3985" s="11" t="s">
        <v>8757</v>
      </c>
      <c r="B3985" s="11" t="s">
        <v>8758</v>
      </c>
      <c r="C3985" s="11" t="s">
        <v>17</v>
      </c>
      <c r="D3985" s="11" t="s">
        <v>43</v>
      </c>
      <c r="E3985" s="12" t="s">
        <v>1123</v>
      </c>
      <c r="F3985" s="12" t="s">
        <v>1124</v>
      </c>
      <c r="G3985" s="12" t="s">
        <v>21</v>
      </c>
      <c r="H3985" s="11" t="s">
        <v>63</v>
      </c>
      <c r="I3985" s="13" t="s">
        <v>8761</v>
      </c>
      <c r="J3985" s="14" t="str">
        <f>HYPERLINK("https://www.boe.es/gazeta/dias/1839/08/10/pdfs/GMD-1839-1730.pdf#page=4","Abrir facsímil")</f>
        <v>Abrir facsímil</v>
      </c>
      <c r="K3985" s="12" t="s">
        <v>65</v>
      </c>
    </row>
    <row r="3986" spans="1:11" ht="40.049999999999997" customHeight="1" x14ac:dyDescent="0.25">
      <c r="A3986" s="11" t="s">
        <v>8757</v>
      </c>
      <c r="B3986" s="11" t="s">
        <v>8758</v>
      </c>
      <c r="C3986" s="11" t="s">
        <v>17</v>
      </c>
      <c r="D3986" s="11" t="s">
        <v>18</v>
      </c>
      <c r="E3986" s="12" t="s">
        <v>3391</v>
      </c>
      <c r="F3986" s="12" t="s">
        <v>3392</v>
      </c>
      <c r="G3986" s="12" t="s">
        <v>40</v>
      </c>
      <c r="H3986" s="11" t="s">
        <v>63</v>
      </c>
      <c r="I3986" s="13" t="s">
        <v>8762</v>
      </c>
      <c r="J3986" s="14" t="str">
        <f>HYPERLINK("https://www.boe.es/gazeta/dias/1839/12/31/pdfs/GMD-1839-1878.pdf#page=2","Abrir facsímil")</f>
        <v>Abrir facsímil</v>
      </c>
      <c r="K3986" s="12" t="s">
        <v>65</v>
      </c>
    </row>
    <row r="3987" spans="1:11" ht="40.049999999999997" customHeight="1" x14ac:dyDescent="0.25">
      <c r="A3987" s="11" t="s">
        <v>8763</v>
      </c>
      <c r="B3987" s="11" t="s">
        <v>8764</v>
      </c>
      <c r="C3987" s="11" t="s">
        <v>17</v>
      </c>
      <c r="D3987" s="11" t="s">
        <v>18</v>
      </c>
      <c r="E3987" s="12" t="s">
        <v>2839</v>
      </c>
      <c r="F3987" s="12" t="s">
        <v>2840</v>
      </c>
      <c r="G3987" s="12" t="s">
        <v>29</v>
      </c>
      <c r="H3987" s="11" t="s">
        <v>63</v>
      </c>
      <c r="I3987" s="13" t="s">
        <v>8765</v>
      </c>
      <c r="J3987" s="14" t="str">
        <f>HYPERLINK("https://www.boe.es/gazeta/dias/1839/03/06/pdfs/GMD-1839-1572.pdf#page=1","Abrir facsímil")</f>
        <v>Abrir facsímil</v>
      </c>
      <c r="K3987" s="12" t="s">
        <v>65</v>
      </c>
    </row>
    <row r="3988" spans="1:11" ht="40.049999999999997" customHeight="1" x14ac:dyDescent="0.25">
      <c r="A3988" s="11" t="s">
        <v>8763</v>
      </c>
      <c r="B3988" s="11" t="s">
        <v>8764</v>
      </c>
      <c r="C3988" s="11" t="s">
        <v>137</v>
      </c>
      <c r="D3988" s="11" t="s">
        <v>18</v>
      </c>
      <c r="E3988" s="12" t="s">
        <v>1406</v>
      </c>
      <c r="F3988" s="12" t="s">
        <v>1407</v>
      </c>
      <c r="G3988" s="12" t="s">
        <v>21</v>
      </c>
      <c r="H3988" s="11" t="s">
        <v>63</v>
      </c>
      <c r="I3988" s="13" t="s">
        <v>8766</v>
      </c>
      <c r="J3988" s="14" t="str">
        <f>HYPERLINK("https://www.boe.es/gazeta/dias/1839/07/18/pdfs/GMD-1839-1706.pdf#page=4","Abrir facsímil")</f>
        <v>Abrir facsímil</v>
      </c>
      <c r="K3988" s="12" t="s">
        <v>65</v>
      </c>
    </row>
    <row r="3989" spans="1:11" ht="40.049999999999997" customHeight="1" x14ac:dyDescent="0.25">
      <c r="A3989" s="11" t="s">
        <v>8767</v>
      </c>
      <c r="B3989" s="11" t="s">
        <v>8768</v>
      </c>
      <c r="C3989" s="11" t="s">
        <v>101</v>
      </c>
      <c r="D3989" s="11" t="s">
        <v>102</v>
      </c>
      <c r="E3989" s="12" t="s">
        <v>848</v>
      </c>
      <c r="F3989" s="12" t="s">
        <v>849</v>
      </c>
      <c r="G3989" s="12" t="s">
        <v>29</v>
      </c>
      <c r="H3989" s="11" t="s">
        <v>63</v>
      </c>
      <c r="I3989" s="13" t="s">
        <v>8769</v>
      </c>
      <c r="J3989" s="14" t="str">
        <f>HYPERLINK("https://www.boe.es/gazeta/dias/1839/08/04/pdfs/GMD-1839-1724.pdf#page=1","Abrir facsímil")</f>
        <v>Abrir facsímil</v>
      </c>
      <c r="K3989" s="12" t="s">
        <v>65</v>
      </c>
    </row>
    <row r="3990" spans="1:11" ht="40.049999999999997" customHeight="1" x14ac:dyDescent="0.25">
      <c r="A3990" s="11" t="s">
        <v>8770</v>
      </c>
      <c r="B3990" s="11" t="s">
        <v>8771</v>
      </c>
      <c r="C3990" s="11" t="s">
        <v>17</v>
      </c>
      <c r="D3990" s="11" t="s">
        <v>18</v>
      </c>
      <c r="E3990" s="12" t="s">
        <v>844</v>
      </c>
      <c r="F3990" s="12" t="s">
        <v>845</v>
      </c>
      <c r="G3990" s="12" t="s">
        <v>21</v>
      </c>
      <c r="H3990" s="11" t="s">
        <v>63</v>
      </c>
      <c r="I3990" s="13" t="s">
        <v>8772</v>
      </c>
      <c r="J3990" s="14" t="str">
        <f>HYPERLINK("https://www.boe.es/gazeta/dias/1839/12/24/pdfs/GMD-1839-1871.pdf#page=4","Abrir facsímil")</f>
        <v>Abrir facsímil</v>
      </c>
      <c r="K3990" s="12" t="s">
        <v>65</v>
      </c>
    </row>
    <row r="3991" spans="1:11" ht="40.049999999999997" customHeight="1" x14ac:dyDescent="0.25">
      <c r="A3991" s="11" t="s">
        <v>8773</v>
      </c>
      <c r="B3991" s="11" t="s">
        <v>8774</v>
      </c>
      <c r="C3991" s="11" t="s">
        <v>80</v>
      </c>
      <c r="D3991" s="11" t="s">
        <v>18</v>
      </c>
      <c r="E3991" s="12" t="s">
        <v>2270</v>
      </c>
      <c r="F3991" s="12" t="s">
        <v>2271</v>
      </c>
      <c r="G3991" s="12" t="s">
        <v>29</v>
      </c>
      <c r="H3991" s="11" t="s">
        <v>63</v>
      </c>
      <c r="I3991" s="13" t="s">
        <v>8775</v>
      </c>
      <c r="J3991" s="14" t="str">
        <f>HYPERLINK("https://www.boe.es/gazeta/dias/1839/06/13/pdfs/GMD-1839-1671.pdf#page=1","Abrir facsímil")</f>
        <v>Abrir facsímil</v>
      </c>
      <c r="K3991" s="12" t="s">
        <v>65</v>
      </c>
    </row>
    <row r="3992" spans="1:11" ht="40.049999999999997" customHeight="1" x14ac:dyDescent="0.25">
      <c r="A3992" s="11" t="s">
        <v>8776</v>
      </c>
      <c r="B3992" s="11" t="s">
        <v>8777</v>
      </c>
      <c r="C3992" s="11" t="s">
        <v>59</v>
      </c>
      <c r="D3992" s="11" t="s">
        <v>60</v>
      </c>
      <c r="E3992" s="12" t="s">
        <v>19</v>
      </c>
      <c r="F3992" s="12" t="s">
        <v>20</v>
      </c>
      <c r="G3992" s="12" t="s">
        <v>29</v>
      </c>
      <c r="H3992" s="11" t="s">
        <v>63</v>
      </c>
      <c r="I3992" s="13" t="s">
        <v>8778</v>
      </c>
      <c r="J3992" s="14" t="str">
        <f>HYPERLINK("https://www.boe.es/gazeta/dias/1839/01/19/pdfs/GMD-1839-1526.pdf#page=1","Abrir facsímil")</f>
        <v>Abrir facsímil</v>
      </c>
      <c r="K3992" s="12" t="s">
        <v>65</v>
      </c>
    </row>
    <row r="3993" spans="1:11" ht="40.049999999999997" customHeight="1" x14ac:dyDescent="0.25">
      <c r="A3993" s="11" t="s">
        <v>8779</v>
      </c>
      <c r="B3993" s="11" t="s">
        <v>8780</v>
      </c>
      <c r="C3993" s="11" t="s">
        <v>137</v>
      </c>
      <c r="D3993" s="11" t="s">
        <v>18</v>
      </c>
      <c r="E3993" s="12" t="s">
        <v>185</v>
      </c>
      <c r="F3993" s="12" t="s">
        <v>186</v>
      </c>
      <c r="G3993" s="12" t="s">
        <v>40</v>
      </c>
      <c r="H3993" s="11" t="s">
        <v>63</v>
      </c>
      <c r="I3993" s="13" t="s">
        <v>8781</v>
      </c>
      <c r="J3993" s="14" t="str">
        <f>HYPERLINK("https://www.boe.es/gazeta/dias/1839/01/15/pdfs/GMD-1839-1522.pdf#page=2","Abrir facsímil")</f>
        <v>Abrir facsímil</v>
      </c>
      <c r="K3993" s="12" t="s">
        <v>65</v>
      </c>
    </row>
    <row r="3994" spans="1:11" ht="40.049999999999997" customHeight="1" x14ac:dyDescent="0.25">
      <c r="A3994" s="11" t="s">
        <v>8782</v>
      </c>
      <c r="B3994" s="11" t="s">
        <v>8783</v>
      </c>
      <c r="C3994" s="11" t="s">
        <v>101</v>
      </c>
      <c r="D3994" s="11" t="s">
        <v>43</v>
      </c>
      <c r="E3994" s="12" t="s">
        <v>185</v>
      </c>
      <c r="F3994" s="12" t="s">
        <v>186</v>
      </c>
      <c r="G3994" s="12" t="s">
        <v>40</v>
      </c>
      <c r="H3994" s="11" t="s">
        <v>63</v>
      </c>
      <c r="I3994" s="13" t="s">
        <v>8784</v>
      </c>
      <c r="J3994" s="14" t="str">
        <f>HYPERLINK("https://www.boe.es/gazeta/dias/1839/01/15/pdfs/GMD-1839-1522.pdf#page=2","Abrir facsímil")</f>
        <v>Abrir facsímil</v>
      </c>
      <c r="K3994" s="12" t="s">
        <v>65</v>
      </c>
    </row>
    <row r="3995" spans="1:11" ht="40.049999999999997" customHeight="1" x14ac:dyDescent="0.25">
      <c r="A3995" s="11" t="s">
        <v>8785</v>
      </c>
      <c r="B3995" s="11" t="s">
        <v>8786</v>
      </c>
      <c r="C3995" s="11" t="s">
        <v>17</v>
      </c>
      <c r="D3995" s="11" t="s">
        <v>18</v>
      </c>
      <c r="E3995" s="12" t="s">
        <v>433</v>
      </c>
      <c r="F3995" s="12" t="s">
        <v>434</v>
      </c>
      <c r="G3995" s="12" t="s">
        <v>46</v>
      </c>
      <c r="H3995" s="11" t="s">
        <v>63</v>
      </c>
      <c r="I3995" s="13" t="s">
        <v>8787</v>
      </c>
      <c r="J3995" s="14" t="str">
        <f>HYPERLINK("https://www.boe.es/gazeta/dias/1839/01/20/pdfs/GMD-1839-1527.pdf#page=3","Abrir facsímil")</f>
        <v>Abrir facsímil</v>
      </c>
      <c r="K3995" s="12" t="s">
        <v>65</v>
      </c>
    </row>
    <row r="3996" spans="1:11" ht="40.049999999999997" customHeight="1" x14ac:dyDescent="0.25">
      <c r="A3996" s="11" t="s">
        <v>8788</v>
      </c>
      <c r="B3996" s="11" t="s">
        <v>8789</v>
      </c>
      <c r="C3996" s="11" t="s">
        <v>80</v>
      </c>
      <c r="D3996" s="11" t="s">
        <v>18</v>
      </c>
      <c r="E3996" s="12" t="s">
        <v>76</v>
      </c>
      <c r="F3996" s="12" t="s">
        <v>77</v>
      </c>
      <c r="G3996" s="12" t="s">
        <v>46</v>
      </c>
      <c r="H3996" s="11" t="s">
        <v>63</v>
      </c>
      <c r="I3996" s="13" t="s">
        <v>8790</v>
      </c>
      <c r="J3996" s="14" t="str">
        <f>HYPERLINK("https://www.boe.es/gazeta/dias/1839/03/13/pdfs/GMD-1839-1579.pdf#page=3","Abrir facsímil")</f>
        <v>Abrir facsímil</v>
      </c>
      <c r="K3996" s="12" t="s">
        <v>65</v>
      </c>
    </row>
    <row r="3997" spans="1:11" ht="40.049999999999997" customHeight="1" x14ac:dyDescent="0.25">
      <c r="A3997" s="11" t="s">
        <v>8791</v>
      </c>
      <c r="B3997" s="11" t="s">
        <v>8792</v>
      </c>
      <c r="C3997" s="11" t="s">
        <v>137</v>
      </c>
      <c r="D3997" s="11" t="s">
        <v>18</v>
      </c>
      <c r="E3997" s="12" t="s">
        <v>4957</v>
      </c>
      <c r="F3997" s="12" t="s">
        <v>4958</v>
      </c>
      <c r="G3997" s="12" t="s">
        <v>40</v>
      </c>
      <c r="H3997" s="11" t="s">
        <v>63</v>
      </c>
      <c r="I3997" s="13" t="s">
        <v>8793</v>
      </c>
      <c r="J3997" s="14" t="str">
        <f>HYPERLINK("https://www.boe.es/gazeta/dias/1839/11/04/pdfs/GMD-1839-1821.pdf#page=2","Abrir facsímil")</f>
        <v>Abrir facsímil</v>
      </c>
      <c r="K3997" s="12" t="s">
        <v>65</v>
      </c>
    </row>
    <row r="3998" spans="1:11" ht="40.049999999999997" customHeight="1" x14ac:dyDescent="0.25">
      <c r="A3998" s="11" t="s">
        <v>8794</v>
      </c>
      <c r="B3998" s="11" t="s">
        <v>8795</v>
      </c>
      <c r="C3998" s="11" t="s">
        <v>17</v>
      </c>
      <c r="D3998" s="11" t="s">
        <v>18</v>
      </c>
      <c r="E3998" s="12" t="s">
        <v>1100</v>
      </c>
      <c r="F3998" s="12" t="s">
        <v>1101</v>
      </c>
      <c r="G3998" s="12" t="s">
        <v>40</v>
      </c>
      <c r="H3998" s="11" t="s">
        <v>63</v>
      </c>
      <c r="I3998" s="13" t="s">
        <v>8796</v>
      </c>
      <c r="J3998" s="14" t="str">
        <f>HYPERLINK("https://www.boe.es/gazeta/dias/1839/09/13/pdfs/GMD-1839-1766.pdf#page=2","Abrir facsímil")</f>
        <v>Abrir facsímil</v>
      </c>
      <c r="K3998" s="12" t="s">
        <v>65</v>
      </c>
    </row>
    <row r="3999" spans="1:11" ht="40.049999999999997" customHeight="1" x14ac:dyDescent="0.25">
      <c r="A3999" s="11" t="s">
        <v>8797</v>
      </c>
      <c r="B3999" s="11" t="s">
        <v>8798</v>
      </c>
      <c r="C3999" s="11" t="s">
        <v>137</v>
      </c>
      <c r="D3999" s="11" t="s">
        <v>18</v>
      </c>
      <c r="E3999" s="12" t="s">
        <v>239</v>
      </c>
      <c r="F3999" s="12" t="s">
        <v>240</v>
      </c>
      <c r="G3999" s="12" t="s">
        <v>40</v>
      </c>
      <c r="H3999" s="11" t="s">
        <v>22</v>
      </c>
      <c r="I3999" s="13" t="s">
        <v>8799</v>
      </c>
      <c r="J3999" s="14" t="str">
        <f>HYPERLINK("https://www.boe.es/gazeta/dias/1839/09/22/pdfs/GMD-1839-1777.pdf#page=2","Abrir facsímil")</f>
        <v>Abrir facsímil</v>
      </c>
      <c r="K3999" s="12" t="s">
        <v>24</v>
      </c>
    </row>
    <row r="4000" spans="1:11" ht="40.049999999999997" customHeight="1" x14ac:dyDescent="0.25">
      <c r="A4000" s="11" t="s">
        <v>8800</v>
      </c>
      <c r="B4000" s="11" t="s">
        <v>8801</v>
      </c>
      <c r="C4000" s="11" t="s">
        <v>17</v>
      </c>
      <c r="D4000" s="11" t="s">
        <v>18</v>
      </c>
      <c r="E4000" s="12" t="s">
        <v>1310</v>
      </c>
      <c r="F4000" s="12" t="s">
        <v>1311</v>
      </c>
      <c r="G4000" s="12" t="s">
        <v>40</v>
      </c>
      <c r="H4000" s="11" t="s">
        <v>63</v>
      </c>
      <c r="I4000" s="13" t="s">
        <v>8802</v>
      </c>
      <c r="J4000" s="14" t="str">
        <f>HYPERLINK("https://www.boe.es/gazeta/dias/1839/04/23/pdfs/GMD-1839-1620.pdf#page=2","Abrir facsímil")</f>
        <v>Abrir facsímil</v>
      </c>
      <c r="K4000" s="12" t="s">
        <v>65</v>
      </c>
    </row>
    <row r="4001" spans="1:11" ht="40.049999999999997" customHeight="1" x14ac:dyDescent="0.25">
      <c r="A4001" s="11" t="s">
        <v>8803</v>
      </c>
      <c r="B4001" s="11" t="s">
        <v>8804</v>
      </c>
      <c r="C4001" s="11" t="s">
        <v>137</v>
      </c>
      <c r="D4001" s="11" t="s">
        <v>18</v>
      </c>
      <c r="E4001" s="12" t="s">
        <v>2155</v>
      </c>
      <c r="F4001" s="12" t="s">
        <v>2156</v>
      </c>
      <c r="G4001" s="12" t="s">
        <v>29</v>
      </c>
      <c r="H4001" s="11" t="s">
        <v>22</v>
      </c>
      <c r="I4001" s="13" t="s">
        <v>8805</v>
      </c>
      <c r="J4001" s="14" t="str">
        <f>HYPERLINK("https://www.boe.es/gazeta/dias/1839/01/17/pdfs/GMD-1839-1524.pdf#page=1","Abrir facsímil")</f>
        <v>Abrir facsímil</v>
      </c>
      <c r="K4001" s="12" t="s">
        <v>24</v>
      </c>
    </row>
    <row r="4002" spans="1:11" ht="40.049999999999997" customHeight="1" x14ac:dyDescent="0.25">
      <c r="A4002" s="11" t="s">
        <v>8806</v>
      </c>
      <c r="B4002" s="11" t="s">
        <v>8807</v>
      </c>
      <c r="C4002" s="11" t="s">
        <v>101</v>
      </c>
      <c r="D4002" s="11" t="s">
        <v>102</v>
      </c>
      <c r="E4002" s="12" t="s">
        <v>280</v>
      </c>
      <c r="F4002" s="12" t="s">
        <v>281</v>
      </c>
      <c r="G4002" s="12" t="s">
        <v>29</v>
      </c>
      <c r="H4002" s="11" t="s">
        <v>63</v>
      </c>
      <c r="I4002" s="13" t="s">
        <v>8808</v>
      </c>
      <c r="J4002" s="14" t="str">
        <f>HYPERLINK("https://www.boe.es/gazeta/dias/1839/08/21/pdfs/GMD-1839-1742.pdf#page=1","Abrir facsímil")</f>
        <v>Abrir facsímil</v>
      </c>
      <c r="K4002" s="12" t="s">
        <v>65</v>
      </c>
    </row>
    <row r="4003" spans="1:11" ht="40.049999999999997" customHeight="1" x14ac:dyDescent="0.25">
      <c r="A4003" s="11" t="s">
        <v>8809</v>
      </c>
      <c r="B4003" s="11" t="s">
        <v>8810</v>
      </c>
      <c r="C4003" s="11" t="s">
        <v>17</v>
      </c>
      <c r="D4003" s="11" t="s">
        <v>18</v>
      </c>
      <c r="E4003" s="12" t="s">
        <v>2050</v>
      </c>
      <c r="F4003" s="12" t="s">
        <v>2051</v>
      </c>
      <c r="G4003" s="12" t="s">
        <v>29</v>
      </c>
      <c r="H4003" s="11" t="s">
        <v>63</v>
      </c>
      <c r="I4003" s="13" t="s">
        <v>8811</v>
      </c>
      <c r="J4003" s="14" t="str">
        <f>HYPERLINK("https://www.boe.es/gazeta/dias/1839/01/09/pdfs/GMD-1839-1516.pdf#page=1","Abrir facsímil")</f>
        <v>Abrir facsímil</v>
      </c>
      <c r="K4003" s="12" t="s">
        <v>65</v>
      </c>
    </row>
    <row r="4004" spans="1:11" ht="40.049999999999997" customHeight="1" x14ac:dyDescent="0.25">
      <c r="A4004" s="11" t="s">
        <v>8812</v>
      </c>
      <c r="B4004" s="11" t="s">
        <v>8813</v>
      </c>
      <c r="C4004" s="11" t="s">
        <v>80</v>
      </c>
      <c r="D4004" s="11" t="s">
        <v>18</v>
      </c>
      <c r="E4004" s="12" t="s">
        <v>3766</v>
      </c>
      <c r="F4004" s="12" t="s">
        <v>3767</v>
      </c>
      <c r="G4004" s="12" t="s">
        <v>21</v>
      </c>
      <c r="H4004" s="11" t="s">
        <v>63</v>
      </c>
      <c r="I4004" s="13" t="s">
        <v>8814</v>
      </c>
      <c r="J4004" s="14" t="str">
        <f>HYPERLINK("https://www.boe.es/gazeta/dias/1839/06/10/pdfs/GMD-1839-1668.pdf#page=4","Abrir facsímil")</f>
        <v>Abrir facsímil</v>
      </c>
      <c r="K4004" s="12" t="s">
        <v>65</v>
      </c>
    </row>
    <row r="4005" spans="1:11" ht="40.049999999999997" customHeight="1" x14ac:dyDescent="0.25">
      <c r="A4005" s="11" t="s">
        <v>8815</v>
      </c>
      <c r="B4005" s="11" t="s">
        <v>8816</v>
      </c>
      <c r="C4005" s="11" t="s">
        <v>101</v>
      </c>
      <c r="D4005" s="11" t="s">
        <v>43</v>
      </c>
      <c r="E4005" s="12" t="s">
        <v>1179</v>
      </c>
      <c r="F4005" s="12" t="s">
        <v>1180</v>
      </c>
      <c r="G4005" s="12" t="s">
        <v>46</v>
      </c>
      <c r="H4005" s="11" t="s">
        <v>63</v>
      </c>
      <c r="I4005" s="13" t="s">
        <v>8817</v>
      </c>
      <c r="J4005" s="14" t="str">
        <f>HYPERLINK("https://www.boe.es/gazeta/dias/1839/10/18/pdfs/GMD-1839-1804.pdf#page=3","Abrir facsímil")</f>
        <v>Abrir facsímil</v>
      </c>
      <c r="K4005" s="12" t="s">
        <v>65</v>
      </c>
    </row>
    <row r="4006" spans="1:11" ht="40.049999999999997" customHeight="1" x14ac:dyDescent="0.25">
      <c r="A4006" s="11" t="s">
        <v>8818</v>
      </c>
      <c r="B4006" s="11" t="s">
        <v>8819</v>
      </c>
      <c r="C4006" s="11" t="s">
        <v>137</v>
      </c>
      <c r="D4006" s="11" t="s">
        <v>18</v>
      </c>
      <c r="E4006" s="12" t="s">
        <v>254</v>
      </c>
      <c r="F4006" s="12" t="s">
        <v>255</v>
      </c>
      <c r="G4006" s="12" t="s">
        <v>40</v>
      </c>
      <c r="H4006" s="11" t="s">
        <v>63</v>
      </c>
      <c r="I4006" s="13" t="s">
        <v>8820</v>
      </c>
      <c r="J4006" s="14" t="str">
        <f>HYPERLINK("https://www.boe.es/gazeta/dias/1839/09/12/pdfs/GMD-1839-1765.pdf#page=2","Abrir facsímil")</f>
        <v>Abrir facsímil</v>
      </c>
      <c r="K4006" s="12" t="s">
        <v>65</v>
      </c>
    </row>
    <row r="4007" spans="1:11" ht="40.049999999999997" customHeight="1" x14ac:dyDescent="0.25">
      <c r="A4007" s="11" t="s">
        <v>8821</v>
      </c>
      <c r="B4007" s="11" t="s">
        <v>8822</v>
      </c>
      <c r="C4007" s="11" t="s">
        <v>137</v>
      </c>
      <c r="D4007" s="11" t="s">
        <v>18</v>
      </c>
      <c r="E4007" s="12" t="s">
        <v>462</v>
      </c>
      <c r="F4007" s="12" t="s">
        <v>463</v>
      </c>
      <c r="G4007" s="12" t="s">
        <v>21</v>
      </c>
      <c r="H4007" s="11" t="s">
        <v>63</v>
      </c>
      <c r="I4007" s="13" t="s">
        <v>8823</v>
      </c>
      <c r="J4007" s="14" t="str">
        <f>HYPERLINK("https://www.boe.es/gazeta/dias/1839/06/19/pdfs/GMD-1839-1677.pdf#page=4","Abrir facsímil")</f>
        <v>Abrir facsímil</v>
      </c>
      <c r="K4007" s="12" t="s">
        <v>65</v>
      </c>
    </row>
    <row r="4008" spans="1:11" ht="40.049999999999997" customHeight="1" x14ac:dyDescent="0.25">
      <c r="A4008" s="11" t="s">
        <v>8824</v>
      </c>
      <c r="B4008" s="11" t="s">
        <v>8825</v>
      </c>
      <c r="C4008" s="11" t="s">
        <v>17</v>
      </c>
      <c r="D4008" s="11" t="s">
        <v>18</v>
      </c>
      <c r="E4008" s="12" t="s">
        <v>2658</v>
      </c>
      <c r="F4008" s="12" t="s">
        <v>2659</v>
      </c>
      <c r="G4008" s="12" t="s">
        <v>46</v>
      </c>
      <c r="H4008" s="11" t="s">
        <v>63</v>
      </c>
      <c r="I4008" s="13" t="s">
        <v>8826</v>
      </c>
      <c r="J4008" s="14" t="str">
        <f>HYPERLINK("https://www.boe.es/gazeta/dias/1839/06/27/pdfs/GMD-1839-1685.pdf#page=3","Abrir facsímil")</f>
        <v>Abrir facsímil</v>
      </c>
      <c r="K4008" s="12" t="s">
        <v>65</v>
      </c>
    </row>
    <row r="4009" spans="1:11" ht="40.049999999999997" customHeight="1" x14ac:dyDescent="0.25">
      <c r="A4009" s="11" t="s">
        <v>8827</v>
      </c>
      <c r="B4009" s="11" t="s">
        <v>8828</v>
      </c>
      <c r="C4009" s="11" t="s">
        <v>17</v>
      </c>
      <c r="D4009" s="11" t="s">
        <v>18</v>
      </c>
      <c r="E4009" s="12" t="s">
        <v>1123</v>
      </c>
      <c r="F4009" s="12" t="s">
        <v>1124</v>
      </c>
      <c r="G4009" s="12" t="s">
        <v>21</v>
      </c>
      <c r="H4009" s="11" t="s">
        <v>22</v>
      </c>
      <c r="I4009" s="13" t="s">
        <v>8829</v>
      </c>
      <c r="J4009" s="14" t="str">
        <f>HYPERLINK("https://www.boe.es/gazeta/dias/1839/08/10/pdfs/GMD-1839-1730.pdf#page=4","Abrir facsímil")</f>
        <v>Abrir facsímil</v>
      </c>
      <c r="K4009" s="12" t="s">
        <v>24</v>
      </c>
    </row>
    <row r="4010" spans="1:11" ht="40.049999999999997" customHeight="1" x14ac:dyDescent="0.25">
      <c r="A4010" s="11" t="s">
        <v>8830</v>
      </c>
      <c r="B4010" s="11" t="s">
        <v>8831</v>
      </c>
      <c r="C4010" s="11" t="s">
        <v>17</v>
      </c>
      <c r="D4010" s="11" t="s">
        <v>18</v>
      </c>
      <c r="E4010" s="12" t="s">
        <v>4472</v>
      </c>
      <c r="F4010" s="12" t="s">
        <v>4473</v>
      </c>
      <c r="G4010" s="12" t="s">
        <v>29</v>
      </c>
      <c r="H4010" s="11" t="s">
        <v>63</v>
      </c>
      <c r="I4010" s="13" t="s">
        <v>8832</v>
      </c>
      <c r="J4010" s="14" t="str">
        <f>HYPERLINK("https://www.boe.es/gazeta/dias/1839/08/03/pdfs/GMD-1839-1723.pdf#page=1","Abrir facsímil")</f>
        <v>Abrir facsímil</v>
      </c>
      <c r="K4010" s="12" t="s">
        <v>65</v>
      </c>
    </row>
    <row r="4011" spans="1:11" ht="40.049999999999997" customHeight="1" x14ac:dyDescent="0.25">
      <c r="A4011" s="11" t="s">
        <v>8833</v>
      </c>
      <c r="B4011" s="11" t="s">
        <v>8834</v>
      </c>
      <c r="C4011" s="11" t="s">
        <v>59</v>
      </c>
      <c r="D4011" s="11" t="s">
        <v>60</v>
      </c>
      <c r="E4011" s="12" t="s">
        <v>848</v>
      </c>
      <c r="F4011" s="12" t="s">
        <v>849</v>
      </c>
      <c r="G4011" s="12" t="s">
        <v>29</v>
      </c>
      <c r="H4011" s="11" t="s">
        <v>63</v>
      </c>
      <c r="I4011" s="13" t="s">
        <v>8835</v>
      </c>
      <c r="J4011" s="14" t="str">
        <f>HYPERLINK("https://www.boe.es/gazeta/dias/1839/08/04/pdfs/GMD-1839-1724.pdf#page=1","Abrir facsímil")</f>
        <v>Abrir facsímil</v>
      </c>
      <c r="K4011" s="12" t="s">
        <v>65</v>
      </c>
    </row>
    <row r="4012" spans="1:11" ht="40.049999999999997" customHeight="1" x14ac:dyDescent="0.25">
      <c r="A4012" s="11" t="s">
        <v>8833</v>
      </c>
      <c r="B4012" s="11" t="s">
        <v>8834</v>
      </c>
      <c r="C4012" s="11" t="s">
        <v>17</v>
      </c>
      <c r="D4012" s="11" t="s">
        <v>18</v>
      </c>
      <c r="E4012" s="12" t="s">
        <v>3566</v>
      </c>
      <c r="F4012" s="12" t="s">
        <v>3567</v>
      </c>
      <c r="G4012" s="12" t="s">
        <v>46</v>
      </c>
      <c r="H4012" s="11" t="s">
        <v>63</v>
      </c>
      <c r="I4012" s="13" t="s">
        <v>8836</v>
      </c>
      <c r="J4012" s="14" t="str">
        <f>HYPERLINK("https://www.boe.es/gazeta/dias/1839/07/06/pdfs/GMD-1839-1694.pdf#page=3","Abrir facsímil")</f>
        <v>Abrir facsímil</v>
      </c>
      <c r="K4012" s="12" t="s">
        <v>65</v>
      </c>
    </row>
    <row r="4013" spans="1:11" ht="40.049999999999997" customHeight="1" x14ac:dyDescent="0.25">
      <c r="A4013" s="11" t="s">
        <v>8833</v>
      </c>
      <c r="B4013" s="11" t="s">
        <v>8834</v>
      </c>
      <c r="C4013" s="11" t="s">
        <v>80</v>
      </c>
      <c r="D4013" s="11" t="s">
        <v>18</v>
      </c>
      <c r="E4013" s="12" t="s">
        <v>500</v>
      </c>
      <c r="F4013" s="12" t="s">
        <v>501</v>
      </c>
      <c r="G4013" s="12" t="s">
        <v>21</v>
      </c>
      <c r="H4013" s="11" t="s">
        <v>63</v>
      </c>
      <c r="I4013" s="13" t="s">
        <v>8837</v>
      </c>
      <c r="J4013" s="14" t="str">
        <f>HYPERLINK("https://www.boe.es/gazeta/dias/1839/11/06/pdfs/GMD-1839-1823.pdf#page=4","Abrir facsímil")</f>
        <v>Abrir facsímil</v>
      </c>
      <c r="K4013" s="12" t="s">
        <v>65</v>
      </c>
    </row>
    <row r="4014" spans="1:11" ht="40.049999999999997" customHeight="1" x14ac:dyDescent="0.25">
      <c r="A4014" s="11" t="s">
        <v>8833</v>
      </c>
      <c r="B4014" s="11" t="s">
        <v>8834</v>
      </c>
      <c r="C4014" s="11" t="s">
        <v>59</v>
      </c>
      <c r="D4014" s="11" t="s">
        <v>60</v>
      </c>
      <c r="E4014" s="12" t="s">
        <v>2658</v>
      </c>
      <c r="F4014" s="12" t="s">
        <v>2659</v>
      </c>
      <c r="G4014" s="12" t="s">
        <v>21</v>
      </c>
      <c r="H4014" s="11" t="s">
        <v>63</v>
      </c>
      <c r="I4014" s="13" t="s">
        <v>8838</v>
      </c>
      <c r="J4014" s="14" t="str">
        <f>HYPERLINK("https://www.boe.es/gazeta/dias/1839/06/27/pdfs/GMD-1839-1685.pdf#page=4","Abrir facsímil")</f>
        <v>Abrir facsímil</v>
      </c>
      <c r="K4014" s="12" t="s">
        <v>65</v>
      </c>
    </row>
    <row r="4015" spans="1:11" ht="40.049999999999997" customHeight="1" x14ac:dyDescent="0.25">
      <c r="A4015" s="11" t="s">
        <v>8839</v>
      </c>
      <c r="B4015" s="11" t="s">
        <v>8840</v>
      </c>
      <c r="C4015" s="11" t="s">
        <v>17</v>
      </c>
      <c r="D4015" s="11" t="s">
        <v>18</v>
      </c>
      <c r="E4015" s="12" t="s">
        <v>685</v>
      </c>
      <c r="F4015" s="12" t="s">
        <v>686</v>
      </c>
      <c r="G4015" s="12" t="s">
        <v>21</v>
      </c>
      <c r="H4015" s="11" t="s">
        <v>63</v>
      </c>
      <c r="I4015" s="13" t="s">
        <v>8841</v>
      </c>
      <c r="J4015" s="14" t="str">
        <f>HYPERLINK("https://www.boe.es/gazeta/dias/1839/06/18/pdfs/GMD-1839-1676.pdf#page=4","Abrir facsímil")</f>
        <v>Abrir facsímil</v>
      </c>
      <c r="K4015" s="12" t="s">
        <v>65</v>
      </c>
    </row>
    <row r="4016" spans="1:11" ht="40.049999999999997" customHeight="1" x14ac:dyDescent="0.25">
      <c r="A4016" s="11" t="s">
        <v>8842</v>
      </c>
      <c r="B4016" s="11" t="s">
        <v>8843</v>
      </c>
      <c r="C4016" s="11" t="s">
        <v>59</v>
      </c>
      <c r="D4016" s="11" t="s">
        <v>60</v>
      </c>
      <c r="E4016" s="12" t="s">
        <v>1406</v>
      </c>
      <c r="F4016" s="12" t="s">
        <v>1407</v>
      </c>
      <c r="G4016" s="12" t="s">
        <v>21</v>
      </c>
      <c r="H4016" s="11" t="s">
        <v>63</v>
      </c>
      <c r="I4016" s="13" t="s">
        <v>8844</v>
      </c>
      <c r="J4016" s="14" t="str">
        <f>HYPERLINK("https://www.boe.es/gazeta/dias/1839/07/18/pdfs/GMD-1839-1706.pdf#page=4","Abrir facsímil")</f>
        <v>Abrir facsímil</v>
      </c>
      <c r="K4016" s="12" t="s">
        <v>65</v>
      </c>
    </row>
    <row r="4017" spans="1:11" ht="40.049999999999997" customHeight="1" x14ac:dyDescent="0.25">
      <c r="A4017" s="11" t="s">
        <v>8842</v>
      </c>
      <c r="B4017" s="11" t="s">
        <v>8843</v>
      </c>
      <c r="C4017" s="11" t="s">
        <v>17</v>
      </c>
      <c r="D4017" s="11" t="s">
        <v>18</v>
      </c>
      <c r="E4017" s="12" t="s">
        <v>360</v>
      </c>
      <c r="F4017" s="12" t="s">
        <v>361</v>
      </c>
      <c r="G4017" s="12" t="s">
        <v>29</v>
      </c>
      <c r="H4017" s="11" t="s">
        <v>63</v>
      </c>
      <c r="I4017" s="13" t="s">
        <v>8845</v>
      </c>
      <c r="J4017" s="14" t="str">
        <f>HYPERLINK("https://www.boe.es/gazeta/dias/1839/08/22/pdfs/GMD-1839-1743.pdf#page=1","Abrir facsímil")</f>
        <v>Abrir facsímil</v>
      </c>
      <c r="K4017" s="12" t="s">
        <v>65</v>
      </c>
    </row>
    <row r="4018" spans="1:11" ht="40.049999999999997" customHeight="1" x14ac:dyDescent="0.25">
      <c r="A4018" s="11" t="s">
        <v>8846</v>
      </c>
      <c r="B4018" s="11" t="s">
        <v>8847</v>
      </c>
      <c r="C4018" s="11" t="s">
        <v>80</v>
      </c>
      <c r="D4018" s="11" t="s">
        <v>18</v>
      </c>
      <c r="E4018" s="12" t="s">
        <v>19</v>
      </c>
      <c r="F4018" s="12" t="s">
        <v>20</v>
      </c>
      <c r="G4018" s="12" t="s">
        <v>21</v>
      </c>
      <c r="H4018" s="11" t="s">
        <v>63</v>
      </c>
      <c r="I4018" s="13" t="s">
        <v>8848</v>
      </c>
      <c r="J4018" s="14" t="str">
        <f>HYPERLINK("https://www.boe.es/gazeta/dias/1839/01/19/pdfs/GMD-1839-1526.pdf#page=4","Abrir facsímil")</f>
        <v>Abrir facsímil</v>
      </c>
      <c r="K4018" s="12" t="s">
        <v>65</v>
      </c>
    </row>
    <row r="4019" spans="1:11" ht="40.049999999999997" customHeight="1" x14ac:dyDescent="0.25">
      <c r="A4019" s="11" t="s">
        <v>8849</v>
      </c>
      <c r="B4019" s="11" t="s">
        <v>8850</v>
      </c>
      <c r="C4019" s="11" t="s">
        <v>80</v>
      </c>
      <c r="D4019" s="11" t="s">
        <v>173</v>
      </c>
      <c r="E4019" s="12" t="s">
        <v>2165</v>
      </c>
      <c r="F4019" s="12" t="s">
        <v>2166</v>
      </c>
      <c r="G4019" s="12" t="s">
        <v>40</v>
      </c>
      <c r="H4019" s="11" t="s">
        <v>63</v>
      </c>
      <c r="I4019" s="13" t="s">
        <v>8851</v>
      </c>
      <c r="J4019" s="14" t="str">
        <f>HYPERLINK("https://www.boe.es/gazeta/dias/1839/01/06/pdfs/GMD-1839-1513.pdf#page=2","Abrir facsímil")</f>
        <v>Abrir facsímil</v>
      </c>
      <c r="K4019" s="12" t="s">
        <v>65</v>
      </c>
    </row>
    <row r="4020" spans="1:11" ht="40.049999999999997" customHeight="1" x14ac:dyDescent="0.25">
      <c r="A4020" s="11" t="s">
        <v>8852</v>
      </c>
      <c r="B4020" s="11" t="s">
        <v>8853</v>
      </c>
      <c r="C4020" s="11" t="s">
        <v>17</v>
      </c>
      <c r="D4020" s="11" t="s">
        <v>18</v>
      </c>
      <c r="E4020" s="12" t="s">
        <v>3289</v>
      </c>
      <c r="F4020" s="12" t="s">
        <v>3290</v>
      </c>
      <c r="G4020" s="12" t="s">
        <v>40</v>
      </c>
      <c r="H4020" s="11" t="s">
        <v>22</v>
      </c>
      <c r="I4020" s="13" t="s">
        <v>8854</v>
      </c>
      <c r="J4020" s="14" t="str">
        <f>HYPERLINK("https://www.boe.es/gazeta/dias/1839/12/10/pdfs/GMD-1839-1857.pdf#page=2","Abrir facsímil")</f>
        <v>Abrir facsímil</v>
      </c>
      <c r="K4020" s="12" t="s">
        <v>24</v>
      </c>
    </row>
    <row r="4021" spans="1:11" ht="40.049999999999997" customHeight="1" x14ac:dyDescent="0.25">
      <c r="A4021" s="11" t="s">
        <v>8855</v>
      </c>
      <c r="B4021" s="11" t="s">
        <v>8856</v>
      </c>
      <c r="C4021" s="11" t="s">
        <v>17</v>
      </c>
      <c r="D4021" s="11" t="s">
        <v>18</v>
      </c>
      <c r="E4021" s="12" t="s">
        <v>258</v>
      </c>
      <c r="F4021" s="12" t="s">
        <v>259</v>
      </c>
      <c r="G4021" s="12" t="s">
        <v>46</v>
      </c>
      <c r="H4021" s="11" t="s">
        <v>22</v>
      </c>
      <c r="I4021" s="13" t="s">
        <v>8857</v>
      </c>
      <c r="J4021" s="14" t="str">
        <f>HYPERLINK("https://www.boe.es/gazeta/dias/1839/01/02/pdfs/GMD-1839-1509.pdf#page=3","Abrir facsímil")</f>
        <v>Abrir facsímil</v>
      </c>
      <c r="K4021" s="12" t="s">
        <v>24</v>
      </c>
    </row>
    <row r="4022" spans="1:11" ht="40.049999999999997" customHeight="1" x14ac:dyDescent="0.25">
      <c r="A4022" s="11" t="s">
        <v>8858</v>
      </c>
      <c r="B4022" s="11" t="s">
        <v>8859</v>
      </c>
      <c r="C4022" s="11" t="s">
        <v>137</v>
      </c>
      <c r="D4022" s="11" t="s">
        <v>18</v>
      </c>
      <c r="E4022" s="12" t="s">
        <v>116</v>
      </c>
      <c r="F4022" s="12" t="s">
        <v>117</v>
      </c>
      <c r="G4022" s="12" t="s">
        <v>29</v>
      </c>
      <c r="H4022" s="11" t="s">
        <v>22</v>
      </c>
      <c r="I4022" s="13" t="s">
        <v>8860</v>
      </c>
      <c r="J4022" s="14" t="str">
        <f>HYPERLINK("https://www.boe.es/gazeta/dias/1839/10/10/pdfs/GMD-1839-1796.pdf#page=1","Abrir facsímil")</f>
        <v>Abrir facsímil</v>
      </c>
      <c r="K4022" s="12" t="s">
        <v>24</v>
      </c>
    </row>
    <row r="4023" spans="1:11" ht="40.049999999999997" customHeight="1" x14ac:dyDescent="0.25">
      <c r="A4023" s="11" t="s">
        <v>8861</v>
      </c>
      <c r="B4023" s="11" t="s">
        <v>8862</v>
      </c>
      <c r="C4023" s="11" t="s">
        <v>80</v>
      </c>
      <c r="D4023" s="11" t="s">
        <v>18</v>
      </c>
      <c r="E4023" s="12" t="s">
        <v>1891</v>
      </c>
      <c r="F4023" s="12" t="s">
        <v>1892</v>
      </c>
      <c r="G4023" s="12" t="s">
        <v>21</v>
      </c>
      <c r="H4023" s="11" t="s">
        <v>22</v>
      </c>
      <c r="I4023" s="13" t="s">
        <v>8863</v>
      </c>
      <c r="J4023" s="14" t="str">
        <f>HYPERLINK("https://www.boe.es/gazeta/dias/1839/12/14/pdfs/GMD-1839-1861.pdf#page=4","Abrir facsímil")</f>
        <v>Abrir facsímil</v>
      </c>
      <c r="K4023" s="12" t="s">
        <v>24</v>
      </c>
    </row>
    <row r="4024" spans="1:11" ht="40.049999999999997" customHeight="1" x14ac:dyDescent="0.25">
      <c r="A4024" s="11" t="s">
        <v>8864</v>
      </c>
      <c r="B4024" s="11" t="s">
        <v>8865</v>
      </c>
      <c r="C4024" s="11" t="s">
        <v>17</v>
      </c>
      <c r="D4024" s="11" t="s">
        <v>18</v>
      </c>
      <c r="E4024" s="12" t="s">
        <v>1012</v>
      </c>
      <c r="F4024" s="12" t="s">
        <v>1013</v>
      </c>
      <c r="G4024" s="12" t="s">
        <v>46</v>
      </c>
      <c r="H4024" s="11" t="s">
        <v>22</v>
      </c>
      <c r="I4024" s="13" t="s">
        <v>8866</v>
      </c>
      <c r="J4024" s="14" t="str">
        <f>HYPERLINK("https://www.boe.es/gazeta/dias/1839/11/22/pdfs/GMD-1839-1839.pdf#page=3","Abrir facsímil")</f>
        <v>Abrir facsímil</v>
      </c>
      <c r="K4024" s="12" t="s">
        <v>24</v>
      </c>
    </row>
    <row r="4025" spans="1:11" ht="40.049999999999997" customHeight="1" x14ac:dyDescent="0.25">
      <c r="A4025" s="11" t="s">
        <v>8867</v>
      </c>
      <c r="B4025" s="11" t="s">
        <v>8868</v>
      </c>
      <c r="C4025" s="11" t="s">
        <v>17</v>
      </c>
      <c r="D4025" s="11" t="s">
        <v>18</v>
      </c>
      <c r="E4025" s="12" t="s">
        <v>1136</v>
      </c>
      <c r="F4025" s="12" t="s">
        <v>1137</v>
      </c>
      <c r="G4025" s="12" t="s">
        <v>46</v>
      </c>
      <c r="H4025" s="11" t="s">
        <v>22</v>
      </c>
      <c r="I4025" s="13" t="s">
        <v>8869</v>
      </c>
      <c r="J4025" s="14" t="str">
        <f>HYPERLINK("https://www.boe.es/gazeta/dias/1839/04/03/pdfs/GMD-1839-1600.pdf#page=3","Abrir facsímil")</f>
        <v>Abrir facsímil</v>
      </c>
      <c r="K4025" s="12" t="s">
        <v>24</v>
      </c>
    </row>
    <row r="4026" spans="1:11" ht="40.049999999999997" customHeight="1" x14ac:dyDescent="0.25">
      <c r="A4026" s="11" t="s">
        <v>8870</v>
      </c>
      <c r="B4026" s="11" t="s">
        <v>8871</v>
      </c>
      <c r="C4026" s="11" t="s">
        <v>80</v>
      </c>
      <c r="D4026" s="11" t="s">
        <v>18</v>
      </c>
      <c r="E4026" s="12" t="s">
        <v>1891</v>
      </c>
      <c r="F4026" s="12" t="s">
        <v>1892</v>
      </c>
      <c r="G4026" s="12" t="s">
        <v>21</v>
      </c>
      <c r="H4026" s="11" t="s">
        <v>22</v>
      </c>
      <c r="I4026" s="13" t="s">
        <v>8872</v>
      </c>
      <c r="J4026" s="14" t="str">
        <f>HYPERLINK("https://www.boe.es/gazeta/dias/1839/12/14/pdfs/GMD-1839-1861.pdf#page=4","Abrir facsímil")</f>
        <v>Abrir facsímil</v>
      </c>
      <c r="K4026" s="12" t="s">
        <v>24</v>
      </c>
    </row>
    <row r="4027" spans="1:11" ht="40.049999999999997" customHeight="1" x14ac:dyDescent="0.25">
      <c r="A4027" s="11" t="s">
        <v>8873</v>
      </c>
      <c r="B4027" s="11" t="s">
        <v>8874</v>
      </c>
      <c r="C4027" s="11" t="s">
        <v>101</v>
      </c>
      <c r="D4027" s="11" t="s">
        <v>43</v>
      </c>
      <c r="E4027" s="12" t="s">
        <v>258</v>
      </c>
      <c r="F4027" s="12" t="s">
        <v>259</v>
      </c>
      <c r="G4027" s="12" t="s">
        <v>21</v>
      </c>
      <c r="H4027" s="11" t="s">
        <v>22</v>
      </c>
      <c r="I4027" s="13" t="s">
        <v>8875</v>
      </c>
      <c r="J4027" s="14" t="str">
        <f>HYPERLINK("https://www.boe.es/gazeta/dias/1839/01/02/pdfs/GMD-1839-1509.pdf#page=4","Abrir facsímil")</f>
        <v>Abrir facsímil</v>
      </c>
      <c r="K4027" s="12" t="s">
        <v>24</v>
      </c>
    </row>
    <row r="4028" spans="1:11" ht="40.049999999999997" customHeight="1" x14ac:dyDescent="0.25">
      <c r="A4028" s="11" t="s">
        <v>8876</v>
      </c>
      <c r="B4028" s="11" t="s">
        <v>8877</v>
      </c>
      <c r="C4028" s="11" t="s">
        <v>17</v>
      </c>
      <c r="D4028" s="11" t="s">
        <v>18</v>
      </c>
      <c r="E4028" s="12" t="s">
        <v>3114</v>
      </c>
      <c r="F4028" s="12" t="s">
        <v>3115</v>
      </c>
      <c r="G4028" s="12" t="s">
        <v>21</v>
      </c>
      <c r="H4028" s="11" t="s">
        <v>22</v>
      </c>
      <c r="I4028" s="13" t="s">
        <v>8878</v>
      </c>
      <c r="J4028" s="14" t="str">
        <f>HYPERLINK("https://www.boe.es/gazeta/dias/1839/05/15/pdfs/GMD-1839-1642.pdf#page=4","Abrir facsímil")</f>
        <v>Abrir facsímil</v>
      </c>
      <c r="K4028" s="12" t="s">
        <v>24</v>
      </c>
    </row>
    <row r="4029" spans="1:11" ht="40.049999999999997" customHeight="1" x14ac:dyDescent="0.25">
      <c r="A4029" s="11" t="s">
        <v>8879</v>
      </c>
      <c r="B4029" s="11" t="s">
        <v>8880</v>
      </c>
      <c r="C4029" s="11" t="s">
        <v>17</v>
      </c>
      <c r="D4029" s="11" t="s">
        <v>18</v>
      </c>
      <c r="E4029" s="12" t="s">
        <v>160</v>
      </c>
      <c r="F4029" s="12" t="s">
        <v>161</v>
      </c>
      <c r="G4029" s="12" t="s">
        <v>29</v>
      </c>
      <c r="H4029" s="11" t="s">
        <v>22</v>
      </c>
      <c r="I4029" s="13" t="s">
        <v>8881</v>
      </c>
      <c r="J4029" s="14" t="str">
        <f>HYPERLINK("https://www.boe.es/gazeta/dias/1839/01/10/pdfs/GMD-1839-1517.pdf#page=1","Abrir facsímil")</f>
        <v>Abrir facsímil</v>
      </c>
      <c r="K4029" s="12" t="s">
        <v>24</v>
      </c>
    </row>
    <row r="4030" spans="1:11" ht="40.049999999999997" customHeight="1" x14ac:dyDescent="0.25">
      <c r="A4030" s="11" t="s">
        <v>8882</v>
      </c>
      <c r="B4030" s="11" t="s">
        <v>8883</v>
      </c>
      <c r="C4030" s="11" t="s">
        <v>137</v>
      </c>
      <c r="D4030" s="11" t="s">
        <v>18</v>
      </c>
      <c r="E4030" s="12" t="s">
        <v>1891</v>
      </c>
      <c r="F4030" s="12" t="s">
        <v>1892</v>
      </c>
      <c r="G4030" s="12" t="s">
        <v>21</v>
      </c>
      <c r="H4030" s="11" t="s">
        <v>22</v>
      </c>
      <c r="I4030" s="13" t="s">
        <v>8884</v>
      </c>
      <c r="J4030" s="14" t="str">
        <f>HYPERLINK("https://www.boe.es/gazeta/dias/1839/12/14/pdfs/GMD-1839-1861.pdf#page=4","Abrir facsímil")</f>
        <v>Abrir facsímil</v>
      </c>
      <c r="K4030" s="12" t="s">
        <v>24</v>
      </c>
    </row>
    <row r="4031" spans="1:11" ht="40.049999999999997" customHeight="1" x14ac:dyDescent="0.25">
      <c r="A4031" s="11" t="s">
        <v>8885</v>
      </c>
      <c r="B4031" s="11" t="s">
        <v>8886</v>
      </c>
      <c r="C4031" s="11" t="s">
        <v>17</v>
      </c>
      <c r="D4031" s="11" t="s">
        <v>18</v>
      </c>
      <c r="E4031" s="12" t="s">
        <v>462</v>
      </c>
      <c r="F4031" s="12" t="s">
        <v>463</v>
      </c>
      <c r="G4031" s="12" t="s">
        <v>21</v>
      </c>
      <c r="H4031" s="11" t="s">
        <v>22</v>
      </c>
      <c r="I4031" s="13" t="s">
        <v>8887</v>
      </c>
      <c r="J4031" s="14" t="str">
        <f>HYPERLINK("https://www.boe.es/gazeta/dias/1839/06/19/pdfs/GMD-1839-1677.pdf#page=4","Abrir facsímil")</f>
        <v>Abrir facsímil</v>
      </c>
      <c r="K4031" s="12" t="s">
        <v>24</v>
      </c>
    </row>
    <row r="4032" spans="1:11" ht="40.049999999999997" customHeight="1" x14ac:dyDescent="0.25">
      <c r="A4032" s="11" t="s">
        <v>8888</v>
      </c>
      <c r="B4032" s="11" t="s">
        <v>8889</v>
      </c>
      <c r="C4032" s="11" t="s">
        <v>17</v>
      </c>
      <c r="D4032" s="11" t="s">
        <v>18</v>
      </c>
      <c r="E4032" s="12" t="s">
        <v>462</v>
      </c>
      <c r="F4032" s="12" t="s">
        <v>463</v>
      </c>
      <c r="G4032" s="12" t="s">
        <v>46</v>
      </c>
      <c r="H4032" s="11" t="s">
        <v>22</v>
      </c>
      <c r="I4032" s="13" t="s">
        <v>8890</v>
      </c>
      <c r="J4032" s="14" t="str">
        <f>HYPERLINK("https://www.boe.es/gazeta/dias/1839/06/19/pdfs/GMD-1839-1677.pdf#page=3","Abrir facsímil")</f>
        <v>Abrir facsímil</v>
      </c>
      <c r="K4032" s="12" t="s">
        <v>24</v>
      </c>
    </row>
    <row r="4033" spans="1:11" ht="40.049999999999997" customHeight="1" x14ac:dyDescent="0.25">
      <c r="A4033" s="11" t="s">
        <v>8891</v>
      </c>
      <c r="B4033" s="11" t="s">
        <v>8892</v>
      </c>
      <c r="C4033" s="11" t="s">
        <v>101</v>
      </c>
      <c r="D4033" s="11" t="s">
        <v>43</v>
      </c>
      <c r="E4033" s="12" t="s">
        <v>462</v>
      </c>
      <c r="F4033" s="12" t="s">
        <v>463</v>
      </c>
      <c r="G4033" s="12" t="s">
        <v>46</v>
      </c>
      <c r="H4033" s="11" t="s">
        <v>22</v>
      </c>
      <c r="I4033" s="13" t="s">
        <v>8893</v>
      </c>
      <c r="J4033" s="14" t="str">
        <f>HYPERLINK("https://www.boe.es/gazeta/dias/1839/06/19/pdfs/GMD-1839-1677.pdf#page=3","Abrir facsímil")</f>
        <v>Abrir facsímil</v>
      </c>
      <c r="K4033" s="12" t="s">
        <v>24</v>
      </c>
    </row>
    <row r="4034" spans="1:11" ht="40.049999999999997" customHeight="1" x14ac:dyDescent="0.25">
      <c r="A4034" s="11" t="s">
        <v>8894</v>
      </c>
      <c r="B4034" s="11" t="s">
        <v>8895</v>
      </c>
      <c r="C4034" s="11" t="s">
        <v>17</v>
      </c>
      <c r="D4034" s="11" t="s">
        <v>18</v>
      </c>
      <c r="E4034" s="12" t="s">
        <v>258</v>
      </c>
      <c r="F4034" s="12" t="s">
        <v>259</v>
      </c>
      <c r="G4034" s="12" t="s">
        <v>46</v>
      </c>
      <c r="H4034" s="11" t="s">
        <v>22</v>
      </c>
      <c r="I4034" s="13" t="s">
        <v>8896</v>
      </c>
      <c r="J4034" s="14" t="str">
        <f>HYPERLINK("https://www.boe.es/gazeta/dias/1839/01/02/pdfs/GMD-1839-1509.pdf#page=3","Abrir facsímil")</f>
        <v>Abrir facsímil</v>
      </c>
      <c r="K4034" s="12" t="s">
        <v>24</v>
      </c>
    </row>
    <row r="4035" spans="1:11" ht="40.049999999999997" customHeight="1" x14ac:dyDescent="0.25">
      <c r="A4035" s="11" t="s">
        <v>8897</v>
      </c>
      <c r="B4035" s="11" t="s">
        <v>8898</v>
      </c>
      <c r="C4035" s="11" t="s">
        <v>17</v>
      </c>
      <c r="D4035" s="11" t="s">
        <v>43</v>
      </c>
      <c r="E4035" s="12" t="s">
        <v>486</v>
      </c>
      <c r="F4035" s="12" t="s">
        <v>487</v>
      </c>
      <c r="G4035" s="12" t="s">
        <v>21</v>
      </c>
      <c r="H4035" s="11" t="s">
        <v>22</v>
      </c>
      <c r="I4035" s="13" t="s">
        <v>8899</v>
      </c>
      <c r="J4035" s="14" t="str">
        <f>HYPERLINK("https://www.boe.es/gazeta/dias/1839/04/19/pdfs/GMD-1839-1616.pdf#page=4","Abrir facsímil")</f>
        <v>Abrir facsímil</v>
      </c>
      <c r="K4035" s="12" t="s">
        <v>24</v>
      </c>
    </row>
    <row r="4036" spans="1:11" ht="40.049999999999997" customHeight="1" x14ac:dyDescent="0.25">
      <c r="A4036" s="11" t="s">
        <v>8900</v>
      </c>
      <c r="B4036" s="11" t="s">
        <v>8901</v>
      </c>
      <c r="C4036" s="11" t="s">
        <v>101</v>
      </c>
      <c r="D4036" s="11" t="s">
        <v>43</v>
      </c>
      <c r="E4036" s="12" t="s">
        <v>258</v>
      </c>
      <c r="F4036" s="12" t="s">
        <v>259</v>
      </c>
      <c r="G4036" s="12" t="s">
        <v>46</v>
      </c>
      <c r="H4036" s="11" t="s">
        <v>22</v>
      </c>
      <c r="I4036" s="13" t="s">
        <v>8902</v>
      </c>
      <c r="J4036" s="14" t="str">
        <f>HYPERLINK("https://www.boe.es/gazeta/dias/1839/01/02/pdfs/GMD-1839-1509.pdf#page=3","Abrir facsímil")</f>
        <v>Abrir facsímil</v>
      </c>
      <c r="K4036" s="12" t="s">
        <v>24</v>
      </c>
    </row>
    <row r="4037" spans="1:11" ht="40.049999999999997" customHeight="1" x14ac:dyDescent="0.25">
      <c r="A4037" s="11" t="s">
        <v>8903</v>
      </c>
      <c r="B4037" s="11" t="s">
        <v>8904</v>
      </c>
      <c r="C4037" s="11" t="s">
        <v>17</v>
      </c>
      <c r="D4037" s="11" t="s">
        <v>18</v>
      </c>
      <c r="E4037" s="12" t="s">
        <v>1520</v>
      </c>
      <c r="F4037" s="12" t="s">
        <v>1521</v>
      </c>
      <c r="G4037" s="12" t="s">
        <v>46</v>
      </c>
      <c r="H4037" s="11" t="s">
        <v>22</v>
      </c>
      <c r="I4037" s="13" t="s">
        <v>8905</v>
      </c>
      <c r="J4037" s="14" t="str">
        <f>HYPERLINK("https://www.boe.es/gazeta/dias/1839/12/27/pdfs/GMD-1839-1874.pdf#page=3","Abrir facsímil")</f>
        <v>Abrir facsímil</v>
      </c>
      <c r="K4037" s="12" t="s">
        <v>24</v>
      </c>
    </row>
    <row r="4038" spans="1:11" ht="40.049999999999997" customHeight="1" x14ac:dyDescent="0.25">
      <c r="A4038" s="11" t="s">
        <v>8906</v>
      </c>
      <c r="B4038" s="11" t="s">
        <v>8907</v>
      </c>
      <c r="C4038" s="11" t="s">
        <v>80</v>
      </c>
      <c r="D4038" s="11" t="s">
        <v>18</v>
      </c>
      <c r="E4038" s="12" t="s">
        <v>462</v>
      </c>
      <c r="F4038" s="12" t="s">
        <v>463</v>
      </c>
      <c r="G4038" s="12" t="s">
        <v>21</v>
      </c>
      <c r="H4038" s="11" t="s">
        <v>22</v>
      </c>
      <c r="I4038" s="13" t="s">
        <v>8908</v>
      </c>
      <c r="J4038" s="14" t="str">
        <f>HYPERLINK("https://www.boe.es/gazeta/dias/1839/06/19/pdfs/GMD-1839-1677.pdf#page=4","Abrir facsímil")</f>
        <v>Abrir facsímil</v>
      </c>
      <c r="K4038" s="12" t="s">
        <v>24</v>
      </c>
    </row>
    <row r="4039" spans="1:11" ht="40.049999999999997" customHeight="1" x14ac:dyDescent="0.25">
      <c r="A4039" s="11" t="s">
        <v>8909</v>
      </c>
      <c r="B4039" s="11" t="s">
        <v>8910</v>
      </c>
      <c r="C4039" s="11" t="s">
        <v>80</v>
      </c>
      <c r="D4039" s="11" t="s">
        <v>18</v>
      </c>
      <c r="E4039" s="12" t="s">
        <v>713</v>
      </c>
      <c r="F4039" s="12" t="s">
        <v>714</v>
      </c>
      <c r="G4039" s="12" t="s">
        <v>21</v>
      </c>
      <c r="H4039" s="11" t="s">
        <v>22</v>
      </c>
      <c r="I4039" s="13" t="s">
        <v>8911</v>
      </c>
      <c r="J4039" s="14" t="str">
        <f>HYPERLINK("https://www.boe.es/gazeta/dias/1839/12/18/pdfs/GMD-1839-1865.pdf#page=4","Abrir facsímil")</f>
        <v>Abrir facsímil</v>
      </c>
      <c r="K4039" s="12" t="s">
        <v>24</v>
      </c>
    </row>
    <row r="4040" spans="1:11" ht="40.049999999999997" customHeight="1" x14ac:dyDescent="0.25">
      <c r="A4040" s="11" t="s">
        <v>8912</v>
      </c>
      <c r="B4040" s="11" t="s">
        <v>8913</v>
      </c>
      <c r="C4040" s="11" t="s">
        <v>137</v>
      </c>
      <c r="D4040" s="11" t="s">
        <v>18</v>
      </c>
      <c r="E4040" s="12" t="s">
        <v>1891</v>
      </c>
      <c r="F4040" s="12" t="s">
        <v>1892</v>
      </c>
      <c r="G4040" s="12" t="s">
        <v>21</v>
      </c>
      <c r="H4040" s="11" t="s">
        <v>22</v>
      </c>
      <c r="I4040" s="13" t="s">
        <v>8914</v>
      </c>
      <c r="J4040" s="14" t="str">
        <f>HYPERLINK("https://www.boe.es/gazeta/dias/1839/12/14/pdfs/GMD-1839-1861.pdf#page=4","Abrir facsímil")</f>
        <v>Abrir facsímil</v>
      </c>
      <c r="K4040" s="12" t="s">
        <v>24</v>
      </c>
    </row>
    <row r="4041" spans="1:11" ht="40.049999999999997" customHeight="1" x14ac:dyDescent="0.25">
      <c r="A4041" s="11" t="s">
        <v>8915</v>
      </c>
      <c r="B4041" s="11" t="s">
        <v>8916</v>
      </c>
      <c r="C4041" s="11" t="s">
        <v>80</v>
      </c>
      <c r="D4041" s="11" t="s">
        <v>18</v>
      </c>
      <c r="E4041" s="12" t="s">
        <v>2215</v>
      </c>
      <c r="F4041" s="12" t="s">
        <v>2216</v>
      </c>
      <c r="G4041" s="12" t="s">
        <v>46</v>
      </c>
      <c r="H4041" s="11" t="s">
        <v>22</v>
      </c>
      <c r="I4041" s="13" t="s">
        <v>8917</v>
      </c>
      <c r="J4041" s="14" t="str">
        <f>HYPERLINK("https://www.boe.es/gazeta/dias/1839/07/21/pdfs/GMD-1839-1709.pdf#page=3","Abrir facsímil")</f>
        <v>Abrir facsímil</v>
      </c>
      <c r="K4041" s="12" t="s">
        <v>24</v>
      </c>
    </row>
    <row r="4042" spans="1:11" ht="40.049999999999997" customHeight="1" x14ac:dyDescent="0.25">
      <c r="A4042" s="11" t="s">
        <v>8918</v>
      </c>
      <c r="B4042" s="11" t="s">
        <v>8919</v>
      </c>
      <c r="C4042" s="11" t="s">
        <v>17</v>
      </c>
      <c r="D4042" s="11" t="s">
        <v>18</v>
      </c>
      <c r="E4042" s="12" t="s">
        <v>44</v>
      </c>
      <c r="F4042" s="12" t="s">
        <v>45</v>
      </c>
      <c r="G4042" s="12" t="s">
        <v>40</v>
      </c>
      <c r="H4042" s="11" t="s">
        <v>63</v>
      </c>
      <c r="I4042" s="13" t="s">
        <v>8920</v>
      </c>
      <c r="J4042" s="14" t="str">
        <f>HYPERLINK("https://www.boe.es/gazeta/dias/1839/11/15/pdfs/GMD-1839-1832.pdf#page=2","Abrir facsímil")</f>
        <v>Abrir facsímil</v>
      </c>
      <c r="K4042" s="12" t="s">
        <v>65</v>
      </c>
    </row>
    <row r="4043" spans="1:11" ht="40.049999999999997" customHeight="1" x14ac:dyDescent="0.25">
      <c r="A4043" s="11" t="s">
        <v>8921</v>
      </c>
      <c r="B4043" s="11" t="s">
        <v>8922</v>
      </c>
      <c r="C4043" s="11" t="s">
        <v>137</v>
      </c>
      <c r="D4043" s="11" t="s">
        <v>18</v>
      </c>
      <c r="E4043" s="12" t="s">
        <v>1512</v>
      </c>
      <c r="F4043" s="12" t="s">
        <v>1513</v>
      </c>
      <c r="G4043" s="12" t="s">
        <v>40</v>
      </c>
      <c r="H4043" s="11" t="s">
        <v>63</v>
      </c>
      <c r="I4043" s="13" t="s">
        <v>8923</v>
      </c>
      <c r="J4043" s="14" t="str">
        <f>HYPERLINK("https://www.boe.es/gazeta/dias/1839/04/13/pdfs/GMD-1839-1610.pdf#page=2","Abrir facsímil")</f>
        <v>Abrir facsímil</v>
      </c>
      <c r="K4043" s="12" t="s">
        <v>65</v>
      </c>
    </row>
    <row r="4044" spans="1:11" ht="40.049999999999997" customHeight="1" x14ac:dyDescent="0.25">
      <c r="A4044" s="11" t="s">
        <v>8924</v>
      </c>
      <c r="B4044" s="11" t="s">
        <v>8925</v>
      </c>
      <c r="C4044" s="11" t="s">
        <v>80</v>
      </c>
      <c r="D4044" s="11" t="s">
        <v>18</v>
      </c>
      <c r="E4044" s="12" t="s">
        <v>690</v>
      </c>
      <c r="F4044" s="12" t="s">
        <v>691</v>
      </c>
      <c r="G4044" s="12" t="s">
        <v>21</v>
      </c>
      <c r="H4044" s="11" t="s">
        <v>63</v>
      </c>
      <c r="I4044" s="13" t="s">
        <v>8926</v>
      </c>
      <c r="J4044" s="14" t="str">
        <f>HYPERLINK("https://www.boe.es/gazeta/dias/1839/12/08/pdfs/GMD-1839-1855.pdf#page=4","Abrir facsímil")</f>
        <v>Abrir facsímil</v>
      </c>
      <c r="K4044" s="12" t="s">
        <v>65</v>
      </c>
    </row>
    <row r="4045" spans="1:11" ht="40.049999999999997" customHeight="1" x14ac:dyDescent="0.25">
      <c r="A4045" s="11" t="s">
        <v>8927</v>
      </c>
      <c r="B4045" s="11" t="s">
        <v>8928</v>
      </c>
      <c r="C4045" s="11" t="s">
        <v>80</v>
      </c>
      <c r="D4045" s="11" t="s">
        <v>18</v>
      </c>
      <c r="E4045" s="12" t="s">
        <v>798</v>
      </c>
      <c r="F4045" s="12" t="s">
        <v>799</v>
      </c>
      <c r="G4045" s="12" t="s">
        <v>21</v>
      </c>
      <c r="H4045" s="11" t="s">
        <v>63</v>
      </c>
      <c r="I4045" s="13" t="s">
        <v>8929</v>
      </c>
      <c r="J4045" s="14" t="str">
        <f>HYPERLINK("https://www.boe.es/gazeta/dias/1839/09/03/pdfs/GMD-1839-1755.pdf#page=4","Abrir facsímil")</f>
        <v>Abrir facsímil</v>
      </c>
      <c r="K4045" s="12" t="s">
        <v>65</v>
      </c>
    </row>
    <row r="4046" spans="1:11" ht="40.049999999999997" customHeight="1" x14ac:dyDescent="0.25">
      <c r="A4046" s="11" t="s">
        <v>8930</v>
      </c>
      <c r="B4046" s="11" t="s">
        <v>8931</v>
      </c>
      <c r="C4046" s="11" t="s">
        <v>80</v>
      </c>
      <c r="D4046" s="11" t="s">
        <v>173</v>
      </c>
      <c r="E4046" s="12" t="s">
        <v>405</v>
      </c>
      <c r="F4046" s="12" t="s">
        <v>406</v>
      </c>
      <c r="G4046" s="12" t="s">
        <v>29</v>
      </c>
      <c r="H4046" s="11" t="s">
        <v>63</v>
      </c>
      <c r="I4046" s="13" t="s">
        <v>8932</v>
      </c>
      <c r="J4046" s="14" t="str">
        <f>HYPERLINK("https://www.boe.es/gazeta/dias/1839/03/25/pdfs/GMD-1839-1591.pdf#page=1","Abrir facsímil")</f>
        <v>Abrir facsímil</v>
      </c>
      <c r="K4046" s="12" t="s">
        <v>65</v>
      </c>
    </row>
    <row r="4047" spans="1:11" ht="40.049999999999997" customHeight="1" x14ac:dyDescent="0.25">
      <c r="A4047" s="11" t="s">
        <v>8933</v>
      </c>
      <c r="B4047" s="11" t="s">
        <v>8934</v>
      </c>
      <c r="C4047" s="11" t="s">
        <v>17</v>
      </c>
      <c r="D4047" s="11" t="s">
        <v>18</v>
      </c>
      <c r="E4047" s="12" t="s">
        <v>1284</v>
      </c>
      <c r="F4047" s="12" t="s">
        <v>1285</v>
      </c>
      <c r="G4047" s="12" t="s">
        <v>29</v>
      </c>
      <c r="H4047" s="11" t="s">
        <v>22</v>
      </c>
      <c r="I4047" s="13" t="s">
        <v>8935</v>
      </c>
      <c r="J4047" s="14" t="str">
        <f>HYPERLINK("https://www.boe.es/gazeta/dias/1839/03/27/pdfs/GMD-1839-1593.pdf#page=1","Abrir facsímil")</f>
        <v>Abrir facsímil</v>
      </c>
      <c r="K4047" s="12" t="s">
        <v>24</v>
      </c>
    </row>
    <row r="4048" spans="1:11" ht="40.049999999999997" customHeight="1" x14ac:dyDescent="0.25">
      <c r="A4048" s="11" t="s">
        <v>8936</v>
      </c>
      <c r="B4048" s="11" t="s">
        <v>8937</v>
      </c>
      <c r="C4048" s="11" t="s">
        <v>17</v>
      </c>
      <c r="D4048" s="11" t="s">
        <v>18</v>
      </c>
      <c r="E4048" s="12" t="s">
        <v>713</v>
      </c>
      <c r="F4048" s="12" t="s">
        <v>714</v>
      </c>
      <c r="G4048" s="12" t="s">
        <v>21</v>
      </c>
      <c r="H4048" s="11" t="s">
        <v>63</v>
      </c>
      <c r="I4048" s="13" t="s">
        <v>8938</v>
      </c>
      <c r="J4048" s="14" t="str">
        <f>HYPERLINK("https://www.boe.es/gazeta/dias/1839/12/18/pdfs/GMD-1839-1865.pdf#page=4","Abrir facsímil")</f>
        <v>Abrir facsímil</v>
      </c>
      <c r="K4048" s="12" t="s">
        <v>65</v>
      </c>
    </row>
    <row r="4049" spans="1:11" ht="40.049999999999997" customHeight="1" x14ac:dyDescent="0.25">
      <c r="A4049" s="11" t="s">
        <v>8939</v>
      </c>
      <c r="B4049" s="11" t="s">
        <v>8940</v>
      </c>
      <c r="C4049" s="11" t="s">
        <v>17</v>
      </c>
      <c r="D4049" s="11" t="s">
        <v>18</v>
      </c>
      <c r="E4049" s="12" t="s">
        <v>1929</v>
      </c>
      <c r="F4049" s="12" t="s">
        <v>1930</v>
      </c>
      <c r="G4049" s="12" t="s">
        <v>46</v>
      </c>
      <c r="H4049" s="11" t="s">
        <v>63</v>
      </c>
      <c r="I4049" s="13" t="s">
        <v>8941</v>
      </c>
      <c r="J4049" s="14" t="str">
        <f>HYPERLINK("https://www.boe.es/gazeta/dias/1839/02/01/pdfs/GMD-1839-1539.pdf#page=3","Abrir facsímil")</f>
        <v>Abrir facsímil</v>
      </c>
      <c r="K4049" s="12" t="s">
        <v>65</v>
      </c>
    </row>
    <row r="4050" spans="1:11" ht="40.049999999999997" customHeight="1" x14ac:dyDescent="0.25">
      <c r="A4050" s="11" t="s">
        <v>8939</v>
      </c>
      <c r="B4050" s="11" t="s">
        <v>8940</v>
      </c>
      <c r="C4050" s="11" t="s">
        <v>101</v>
      </c>
      <c r="D4050" s="11" t="s">
        <v>43</v>
      </c>
      <c r="E4050" s="12" t="s">
        <v>154</v>
      </c>
      <c r="F4050" s="12" t="s">
        <v>155</v>
      </c>
      <c r="G4050" s="12" t="s">
        <v>40</v>
      </c>
      <c r="H4050" s="11" t="s">
        <v>63</v>
      </c>
      <c r="I4050" s="13" t="s">
        <v>8942</v>
      </c>
      <c r="J4050" s="14" t="str">
        <f>HYPERLINK("https://www.boe.es/gazeta/dias/1839/02/02/pdfs/GMD-1839-1540.pdf#page=2","Abrir facsímil")</f>
        <v>Abrir facsímil</v>
      </c>
      <c r="K4050" s="12" t="s">
        <v>65</v>
      </c>
    </row>
    <row r="4051" spans="1:11" ht="40.049999999999997" customHeight="1" x14ac:dyDescent="0.25">
      <c r="A4051" s="11" t="s">
        <v>8939</v>
      </c>
      <c r="B4051" s="11" t="s">
        <v>8940</v>
      </c>
      <c r="C4051" s="11" t="s">
        <v>17</v>
      </c>
      <c r="D4051" s="11" t="s">
        <v>18</v>
      </c>
      <c r="E4051" s="12" t="s">
        <v>266</v>
      </c>
      <c r="F4051" s="12" t="s">
        <v>267</v>
      </c>
      <c r="G4051" s="12" t="s">
        <v>21</v>
      </c>
      <c r="H4051" s="11" t="s">
        <v>63</v>
      </c>
      <c r="I4051" s="13" t="s">
        <v>8943</v>
      </c>
      <c r="J4051" s="14" t="str">
        <f>HYPERLINK("https://www.boe.es/gazeta/dias/1839/01/03/pdfs/GMD-1839-1510.pdf#page=4","Abrir facsímil")</f>
        <v>Abrir facsímil</v>
      </c>
      <c r="K4051" s="12" t="s">
        <v>65</v>
      </c>
    </row>
    <row r="4052" spans="1:11" ht="40.049999999999997" customHeight="1" x14ac:dyDescent="0.25">
      <c r="A4052" s="11" t="s">
        <v>8939</v>
      </c>
      <c r="B4052" s="11" t="s">
        <v>8940</v>
      </c>
      <c r="C4052" s="11" t="s">
        <v>59</v>
      </c>
      <c r="D4052" s="11" t="s">
        <v>60</v>
      </c>
      <c r="E4052" s="12" t="s">
        <v>2227</v>
      </c>
      <c r="F4052" s="12" t="s">
        <v>2228</v>
      </c>
      <c r="G4052" s="12" t="s">
        <v>29</v>
      </c>
      <c r="H4052" s="11" t="s">
        <v>63</v>
      </c>
      <c r="I4052" s="13" t="s">
        <v>8944</v>
      </c>
      <c r="J4052" s="14" t="str">
        <f>HYPERLINK("https://www.boe.es/gazeta/dias/1839/12/04/pdfs/GMD-1839-1851.pdf#page=1","Abrir facsímil")</f>
        <v>Abrir facsímil</v>
      </c>
      <c r="K4052" s="12" t="s">
        <v>65</v>
      </c>
    </row>
    <row r="4053" spans="1:11" ht="40.049999999999997" customHeight="1" x14ac:dyDescent="0.25">
      <c r="A4053" s="11" t="s">
        <v>8939</v>
      </c>
      <c r="B4053" s="11" t="s">
        <v>8940</v>
      </c>
      <c r="C4053" s="11" t="s">
        <v>17</v>
      </c>
      <c r="D4053" s="11" t="s">
        <v>18</v>
      </c>
      <c r="E4053" s="12" t="s">
        <v>751</v>
      </c>
      <c r="F4053" s="12" t="s">
        <v>752</v>
      </c>
      <c r="G4053" s="12" t="s">
        <v>46</v>
      </c>
      <c r="H4053" s="11" t="s">
        <v>63</v>
      </c>
      <c r="I4053" s="13" t="s">
        <v>8945</v>
      </c>
      <c r="J4053" s="14" t="str">
        <f>HYPERLINK("https://www.boe.es/gazeta/dias/1839/02/05/pdfs/GMD-1839-1543.pdf#page=3","Abrir facsímil")</f>
        <v>Abrir facsímil</v>
      </c>
      <c r="K4053" s="12" t="s">
        <v>65</v>
      </c>
    </row>
    <row r="4054" spans="1:11" ht="40.049999999999997" customHeight="1" x14ac:dyDescent="0.25">
      <c r="A4054" s="11" t="s">
        <v>8939</v>
      </c>
      <c r="B4054" s="11" t="s">
        <v>8940</v>
      </c>
      <c r="C4054" s="11" t="s">
        <v>17</v>
      </c>
      <c r="D4054" s="11" t="s">
        <v>18</v>
      </c>
      <c r="E4054" s="12" t="s">
        <v>2165</v>
      </c>
      <c r="F4054" s="12" t="s">
        <v>2166</v>
      </c>
      <c r="G4054" s="12" t="s">
        <v>46</v>
      </c>
      <c r="H4054" s="11" t="s">
        <v>63</v>
      </c>
      <c r="I4054" s="13" t="s">
        <v>8946</v>
      </c>
      <c r="J4054" s="14" t="str">
        <f>HYPERLINK("https://www.boe.es/gazeta/dias/1839/01/06/pdfs/GMD-1839-1513.pdf#page=3","Abrir facsímil")</f>
        <v>Abrir facsímil</v>
      </c>
      <c r="K4054" s="12" t="s">
        <v>65</v>
      </c>
    </row>
    <row r="4055" spans="1:11" ht="40.049999999999997" customHeight="1" x14ac:dyDescent="0.25">
      <c r="A4055" s="11" t="s">
        <v>8939</v>
      </c>
      <c r="B4055" s="11" t="s">
        <v>8940</v>
      </c>
      <c r="C4055" s="11" t="s">
        <v>80</v>
      </c>
      <c r="D4055" s="11" t="s">
        <v>18</v>
      </c>
      <c r="E4055" s="12" t="s">
        <v>2165</v>
      </c>
      <c r="F4055" s="12" t="s">
        <v>2166</v>
      </c>
      <c r="G4055" s="12" t="s">
        <v>21</v>
      </c>
      <c r="H4055" s="11" t="s">
        <v>63</v>
      </c>
      <c r="I4055" s="13" t="s">
        <v>8947</v>
      </c>
      <c r="J4055" s="14" t="str">
        <f>HYPERLINK("https://www.boe.es/gazeta/dias/1839/01/06/pdfs/GMD-1839-1513.pdf#page=4","Abrir facsímil")</f>
        <v>Abrir facsímil</v>
      </c>
      <c r="K4055" s="12" t="s">
        <v>65</v>
      </c>
    </row>
    <row r="4056" spans="1:11" ht="40.049999999999997" customHeight="1" x14ac:dyDescent="0.25">
      <c r="A4056" s="11" t="s">
        <v>8939</v>
      </c>
      <c r="B4056" s="11" t="s">
        <v>8940</v>
      </c>
      <c r="C4056" s="11" t="s">
        <v>17</v>
      </c>
      <c r="D4056" s="11" t="s">
        <v>18</v>
      </c>
      <c r="E4056" s="12" t="s">
        <v>804</v>
      </c>
      <c r="F4056" s="12" t="s">
        <v>805</v>
      </c>
      <c r="G4056" s="12" t="s">
        <v>40</v>
      </c>
      <c r="H4056" s="11" t="s">
        <v>63</v>
      </c>
      <c r="I4056" s="13" t="s">
        <v>8948</v>
      </c>
      <c r="J4056" s="14" t="str">
        <f>HYPERLINK("https://www.boe.es/gazeta/dias/1839/01/08/pdfs/GMD-1839-1515.pdf#page=2","Abrir facsímil")</f>
        <v>Abrir facsímil</v>
      </c>
      <c r="K4056" s="12" t="s">
        <v>65</v>
      </c>
    </row>
    <row r="4057" spans="1:11" ht="40.049999999999997" customHeight="1" x14ac:dyDescent="0.25">
      <c r="A4057" s="11" t="s">
        <v>8939</v>
      </c>
      <c r="B4057" s="11" t="s">
        <v>8940</v>
      </c>
      <c r="C4057" s="11" t="s">
        <v>17</v>
      </c>
      <c r="D4057" s="11" t="s">
        <v>18</v>
      </c>
      <c r="E4057" s="12" t="s">
        <v>2881</v>
      </c>
      <c r="F4057" s="12" t="s">
        <v>2882</v>
      </c>
      <c r="G4057" s="12" t="s">
        <v>40</v>
      </c>
      <c r="H4057" s="11" t="s">
        <v>63</v>
      </c>
      <c r="I4057" s="13" t="s">
        <v>8949</v>
      </c>
      <c r="J4057" s="14" t="str">
        <f>HYPERLINK("https://www.boe.es/gazeta/dias/1839/05/08/pdfs/GMD-1839-1635.pdf#page=2","Abrir facsímil")</f>
        <v>Abrir facsímil</v>
      </c>
      <c r="K4057" s="12" t="s">
        <v>65</v>
      </c>
    </row>
    <row r="4058" spans="1:11" ht="40.049999999999997" customHeight="1" x14ac:dyDescent="0.25">
      <c r="A4058" s="11" t="s">
        <v>8939</v>
      </c>
      <c r="B4058" s="11" t="s">
        <v>8940</v>
      </c>
      <c r="C4058" s="11" t="s">
        <v>17</v>
      </c>
      <c r="D4058" s="11" t="s">
        <v>18</v>
      </c>
      <c r="E4058" s="12" t="s">
        <v>181</v>
      </c>
      <c r="F4058" s="12" t="s">
        <v>182</v>
      </c>
      <c r="G4058" s="12" t="s">
        <v>40</v>
      </c>
      <c r="H4058" s="11" t="s">
        <v>63</v>
      </c>
      <c r="I4058" s="13" t="s">
        <v>8950</v>
      </c>
      <c r="J4058" s="14" t="str">
        <f>HYPERLINK("https://www.boe.es/gazeta/dias/1839/01/11/pdfs/GMD-1839-1518.pdf#page=2","Abrir facsímil")</f>
        <v>Abrir facsímil</v>
      </c>
      <c r="K4058" s="12" t="s">
        <v>65</v>
      </c>
    </row>
    <row r="4059" spans="1:11" ht="40.049999999999997" customHeight="1" x14ac:dyDescent="0.25">
      <c r="A4059" s="11" t="s">
        <v>8939</v>
      </c>
      <c r="B4059" s="11" t="s">
        <v>8940</v>
      </c>
      <c r="C4059" s="11" t="s">
        <v>101</v>
      </c>
      <c r="D4059" s="11" t="s">
        <v>43</v>
      </c>
      <c r="E4059" s="12" t="s">
        <v>192</v>
      </c>
      <c r="F4059" s="12" t="s">
        <v>193</v>
      </c>
      <c r="G4059" s="12" t="s">
        <v>46</v>
      </c>
      <c r="H4059" s="11" t="s">
        <v>63</v>
      </c>
      <c r="I4059" s="13" t="s">
        <v>8951</v>
      </c>
      <c r="J4059" s="14" t="str">
        <f>HYPERLINK("https://www.boe.es/gazeta/dias/1839/01/12/pdfs/GMD-1839-1519.pdf#page=3","Abrir facsímil")</f>
        <v>Abrir facsímil</v>
      </c>
      <c r="K4059" s="12" t="s">
        <v>65</v>
      </c>
    </row>
    <row r="4060" spans="1:11" ht="40.049999999999997" customHeight="1" x14ac:dyDescent="0.25">
      <c r="A4060" s="11" t="s">
        <v>8939</v>
      </c>
      <c r="B4060" s="11" t="s">
        <v>8940</v>
      </c>
      <c r="C4060" s="11" t="s">
        <v>137</v>
      </c>
      <c r="D4060" s="11" t="s">
        <v>18</v>
      </c>
      <c r="E4060" s="12" t="s">
        <v>192</v>
      </c>
      <c r="F4060" s="12" t="s">
        <v>193</v>
      </c>
      <c r="G4060" s="12" t="s">
        <v>21</v>
      </c>
      <c r="H4060" s="11" t="s">
        <v>63</v>
      </c>
      <c r="I4060" s="13" t="s">
        <v>8952</v>
      </c>
      <c r="J4060" s="14" t="str">
        <f>HYPERLINK("https://www.boe.es/gazeta/dias/1839/01/12/pdfs/GMD-1839-1519.pdf#page=4","Abrir facsímil")</f>
        <v>Abrir facsímil</v>
      </c>
      <c r="K4060" s="12" t="s">
        <v>65</v>
      </c>
    </row>
    <row r="4061" spans="1:11" ht="40.049999999999997" customHeight="1" x14ac:dyDescent="0.25">
      <c r="A4061" s="11" t="s">
        <v>8939</v>
      </c>
      <c r="B4061" s="11" t="s">
        <v>8940</v>
      </c>
      <c r="C4061" s="11" t="s">
        <v>17</v>
      </c>
      <c r="D4061" s="11" t="s">
        <v>18</v>
      </c>
      <c r="E4061" s="12" t="s">
        <v>2650</v>
      </c>
      <c r="F4061" s="12" t="s">
        <v>2651</v>
      </c>
      <c r="G4061" s="12" t="s">
        <v>40</v>
      </c>
      <c r="H4061" s="11" t="s">
        <v>63</v>
      </c>
      <c r="I4061" s="13" t="s">
        <v>8953</v>
      </c>
      <c r="J4061" s="14" t="str">
        <f>HYPERLINK("https://www.boe.es/gazeta/dias/1839/09/15/pdfs/GMD-1839-1768.pdf#page=2","Abrir facsímil")</f>
        <v>Abrir facsímil</v>
      </c>
      <c r="K4061" s="12" t="s">
        <v>65</v>
      </c>
    </row>
    <row r="4062" spans="1:11" ht="40.049999999999997" customHeight="1" x14ac:dyDescent="0.25">
      <c r="A4062" s="11" t="s">
        <v>8939</v>
      </c>
      <c r="B4062" s="11" t="s">
        <v>8940</v>
      </c>
      <c r="C4062" s="11" t="s">
        <v>101</v>
      </c>
      <c r="D4062" s="11" t="s">
        <v>43</v>
      </c>
      <c r="E4062" s="12" t="s">
        <v>2650</v>
      </c>
      <c r="F4062" s="12" t="s">
        <v>2651</v>
      </c>
      <c r="G4062" s="12" t="s">
        <v>46</v>
      </c>
      <c r="H4062" s="11" t="s">
        <v>63</v>
      </c>
      <c r="I4062" s="13" t="s">
        <v>8954</v>
      </c>
      <c r="J4062" s="14" t="str">
        <f>HYPERLINK("https://www.boe.es/gazeta/dias/1839/09/15/pdfs/GMD-1839-1768.pdf#page=3","Abrir facsímil")</f>
        <v>Abrir facsímil</v>
      </c>
      <c r="K4062" s="12" t="s">
        <v>65</v>
      </c>
    </row>
    <row r="4063" spans="1:11" ht="40.049999999999997" customHeight="1" x14ac:dyDescent="0.25">
      <c r="A4063" s="11" t="s">
        <v>8939</v>
      </c>
      <c r="B4063" s="11" t="s">
        <v>8940</v>
      </c>
      <c r="C4063" s="11" t="s">
        <v>101</v>
      </c>
      <c r="D4063" s="11" t="s">
        <v>43</v>
      </c>
      <c r="E4063" s="12" t="s">
        <v>175</v>
      </c>
      <c r="F4063" s="12" t="s">
        <v>176</v>
      </c>
      <c r="G4063" s="12" t="s">
        <v>46</v>
      </c>
      <c r="H4063" s="11" t="s">
        <v>63</v>
      </c>
      <c r="I4063" s="13" t="s">
        <v>8955</v>
      </c>
      <c r="J4063" s="14" t="str">
        <f>HYPERLINK("https://www.boe.es/gazeta/dias/1839/01/16/pdfs/GMD-1839-1523.pdf#page=3","Abrir facsímil")</f>
        <v>Abrir facsímil</v>
      </c>
      <c r="K4063" s="12" t="s">
        <v>65</v>
      </c>
    </row>
    <row r="4064" spans="1:11" ht="40.049999999999997" customHeight="1" x14ac:dyDescent="0.25">
      <c r="A4064" s="11" t="s">
        <v>8939</v>
      </c>
      <c r="B4064" s="11" t="s">
        <v>8940</v>
      </c>
      <c r="C4064" s="11" t="s">
        <v>17</v>
      </c>
      <c r="D4064" s="11" t="s">
        <v>18</v>
      </c>
      <c r="E4064" s="12" t="s">
        <v>230</v>
      </c>
      <c r="F4064" s="12" t="s">
        <v>231</v>
      </c>
      <c r="G4064" s="12" t="s">
        <v>40</v>
      </c>
      <c r="H4064" s="11" t="s">
        <v>63</v>
      </c>
      <c r="I4064" s="13" t="s">
        <v>8956</v>
      </c>
      <c r="J4064" s="14" t="str">
        <f>HYPERLINK("https://www.boe.es/gazeta/dias/1839/09/16/pdfs/GMD-1839-1769.pdf#page=2","Abrir facsímil")</f>
        <v>Abrir facsímil</v>
      </c>
      <c r="K4064" s="12" t="s">
        <v>65</v>
      </c>
    </row>
    <row r="4065" spans="1:11" ht="40.049999999999997" customHeight="1" x14ac:dyDescent="0.25">
      <c r="A4065" s="11" t="s">
        <v>8939</v>
      </c>
      <c r="B4065" s="11" t="s">
        <v>8940</v>
      </c>
      <c r="C4065" s="11" t="s">
        <v>80</v>
      </c>
      <c r="D4065" s="11" t="s">
        <v>18</v>
      </c>
      <c r="E4065" s="12" t="s">
        <v>1657</v>
      </c>
      <c r="F4065" s="12" t="s">
        <v>1658</v>
      </c>
      <c r="G4065" s="12" t="s">
        <v>21</v>
      </c>
      <c r="H4065" s="11" t="s">
        <v>63</v>
      </c>
      <c r="I4065" s="13" t="s">
        <v>8957</v>
      </c>
      <c r="J4065" s="14" t="str">
        <f>HYPERLINK("https://www.boe.es/gazeta/dias/1839/02/21/pdfs/GMD-1839-1559.pdf#page=4","Abrir facsímil")</f>
        <v>Abrir facsímil</v>
      </c>
      <c r="K4065" s="12" t="s">
        <v>65</v>
      </c>
    </row>
    <row r="4066" spans="1:11" ht="40.049999999999997" customHeight="1" x14ac:dyDescent="0.25">
      <c r="A4066" s="11" t="s">
        <v>8939</v>
      </c>
      <c r="B4066" s="11" t="s">
        <v>8940</v>
      </c>
      <c r="C4066" s="11" t="s">
        <v>17</v>
      </c>
      <c r="D4066" s="11" t="s">
        <v>18</v>
      </c>
      <c r="E4066" s="12" t="s">
        <v>284</v>
      </c>
      <c r="F4066" s="12" t="s">
        <v>285</v>
      </c>
      <c r="G4066" s="12" t="s">
        <v>46</v>
      </c>
      <c r="H4066" s="11" t="s">
        <v>63</v>
      </c>
      <c r="I4066" s="13" t="s">
        <v>8958</v>
      </c>
      <c r="J4066" s="14" t="str">
        <f>HYPERLINK("https://www.boe.es/gazeta/dias/1839/01/27/pdfs/GMD-1839-1534.pdf#page=3","Abrir facsímil")</f>
        <v>Abrir facsímil</v>
      </c>
      <c r="K4066" s="12" t="s">
        <v>65</v>
      </c>
    </row>
    <row r="4067" spans="1:11" ht="40.049999999999997" customHeight="1" x14ac:dyDescent="0.25">
      <c r="A4067" s="11" t="s">
        <v>8959</v>
      </c>
      <c r="B4067" s="11" t="s">
        <v>8960</v>
      </c>
      <c r="C4067" s="11" t="s">
        <v>17</v>
      </c>
      <c r="D4067" s="11" t="s">
        <v>18</v>
      </c>
      <c r="E4067" s="12" t="s">
        <v>236</v>
      </c>
      <c r="F4067" s="12" t="s">
        <v>8961</v>
      </c>
      <c r="G4067" s="12" t="s">
        <v>29</v>
      </c>
      <c r="H4067" s="11" t="s">
        <v>63</v>
      </c>
      <c r="I4067" s="13" t="s">
        <v>8962</v>
      </c>
      <c r="J4067" s="14" t="str">
        <f>HYPERLINK("https://www.boe.es/datos/pdfs/BOE//1839/1772/E00001-00001.pdf#page=1","Abrir facsímil")</f>
        <v>Abrir facsímil</v>
      </c>
      <c r="K4067" s="12" t="s">
        <v>65</v>
      </c>
    </row>
    <row r="4068" spans="1:11" ht="40.049999999999997" customHeight="1" x14ac:dyDescent="0.25">
      <c r="A4068" s="11" t="s">
        <v>8963</v>
      </c>
      <c r="B4068" s="11" t="s">
        <v>8964</v>
      </c>
      <c r="C4068" s="11" t="s">
        <v>137</v>
      </c>
      <c r="D4068" s="11" t="s">
        <v>18</v>
      </c>
      <c r="E4068" s="12" t="s">
        <v>2117</v>
      </c>
      <c r="F4068" s="12" t="s">
        <v>2118</v>
      </c>
      <c r="G4068" s="12" t="s">
        <v>29</v>
      </c>
      <c r="H4068" s="11" t="s">
        <v>63</v>
      </c>
      <c r="I4068" s="13" t="s">
        <v>8965</v>
      </c>
      <c r="J4068" s="14" t="str">
        <f>HYPERLINK("https://www.boe.es/gazeta/dias/1839/06/23/pdfs/GMD-1839-1681.pdf#page=1","Abrir facsímil")</f>
        <v>Abrir facsímil</v>
      </c>
      <c r="K4068" s="12" t="s">
        <v>65</v>
      </c>
    </row>
    <row r="4069" spans="1:11" ht="40.049999999999997" customHeight="1" x14ac:dyDescent="0.25">
      <c r="A4069" s="11" t="s">
        <v>8963</v>
      </c>
      <c r="B4069" s="11" t="s">
        <v>8964</v>
      </c>
      <c r="C4069" s="11" t="s">
        <v>137</v>
      </c>
      <c r="D4069" s="11" t="s">
        <v>18</v>
      </c>
      <c r="E4069" s="12" t="s">
        <v>912</v>
      </c>
      <c r="F4069" s="12" t="s">
        <v>913</v>
      </c>
      <c r="G4069" s="12" t="s">
        <v>46</v>
      </c>
      <c r="H4069" s="11" t="s">
        <v>63</v>
      </c>
      <c r="I4069" s="13" t="s">
        <v>8966</v>
      </c>
      <c r="J4069" s="14" t="str">
        <f>HYPERLINK("https://www.boe.es/gazeta/dias/1839/04/30/pdfs/GMD-1839-1627.pdf#page=3","Abrir facsímil")</f>
        <v>Abrir facsímil</v>
      </c>
      <c r="K4069" s="12" t="s">
        <v>65</v>
      </c>
    </row>
    <row r="4070" spans="1:11" ht="40.049999999999997" customHeight="1" x14ac:dyDescent="0.25">
      <c r="A4070" s="11" t="s">
        <v>8967</v>
      </c>
      <c r="B4070" s="11" t="s">
        <v>8968</v>
      </c>
      <c r="C4070" s="11" t="s">
        <v>17</v>
      </c>
      <c r="D4070" s="11" t="s">
        <v>18</v>
      </c>
      <c r="E4070" s="12" t="s">
        <v>611</v>
      </c>
      <c r="F4070" s="12" t="s">
        <v>612</v>
      </c>
      <c r="G4070" s="12" t="s">
        <v>29</v>
      </c>
      <c r="H4070" s="11" t="s">
        <v>63</v>
      </c>
      <c r="I4070" s="13" t="s">
        <v>8969</v>
      </c>
      <c r="J4070" s="14" t="str">
        <f>HYPERLINK("https://www.boe.es/gazeta/dias/1839/07/22/pdfs/GMD-1839-1710.pdf#page=1","Abrir facsímil")</f>
        <v>Abrir facsímil</v>
      </c>
      <c r="K4070" s="12" t="s">
        <v>65</v>
      </c>
    </row>
    <row r="4071" spans="1:11" ht="40.049999999999997" customHeight="1" x14ac:dyDescent="0.25">
      <c r="A4071" s="11" t="s">
        <v>8970</v>
      </c>
      <c r="B4071" s="11" t="s">
        <v>8971</v>
      </c>
      <c r="C4071" s="11" t="s">
        <v>17</v>
      </c>
      <c r="D4071" s="11" t="s">
        <v>18</v>
      </c>
      <c r="E4071" s="12" t="s">
        <v>500</v>
      </c>
      <c r="F4071" s="12" t="s">
        <v>501</v>
      </c>
      <c r="G4071" s="12" t="s">
        <v>21</v>
      </c>
      <c r="H4071" s="11" t="s">
        <v>63</v>
      </c>
      <c r="I4071" s="13" t="s">
        <v>8972</v>
      </c>
      <c r="J4071" s="14" t="str">
        <f>HYPERLINK("https://www.boe.es/gazeta/dias/1839/11/06/pdfs/GMD-1839-1823.pdf#page=4","Abrir facsímil")</f>
        <v>Abrir facsímil</v>
      </c>
      <c r="K4071" s="12" t="s">
        <v>65</v>
      </c>
    </row>
    <row r="4072" spans="1:11" ht="40.049999999999997" customHeight="1" x14ac:dyDescent="0.25">
      <c r="A4072" s="11" t="s">
        <v>8970</v>
      </c>
      <c r="B4072" s="11" t="s">
        <v>8971</v>
      </c>
      <c r="C4072" s="11" t="s">
        <v>137</v>
      </c>
      <c r="D4072" s="11" t="s">
        <v>18</v>
      </c>
      <c r="E4072" s="12" t="s">
        <v>1391</v>
      </c>
      <c r="F4072" s="12" t="s">
        <v>1392</v>
      </c>
      <c r="G4072" s="12" t="s">
        <v>29</v>
      </c>
      <c r="H4072" s="11" t="s">
        <v>63</v>
      </c>
      <c r="I4072" s="13" t="s">
        <v>8973</v>
      </c>
      <c r="J4072" s="14" t="str">
        <f>HYPERLINK("https://www.boe.es/gazeta/dias/1839/05/12/pdfs/GMD-1839-1639.pdf#page=1","Abrir facsímil")</f>
        <v>Abrir facsímil</v>
      </c>
      <c r="K4072" s="12" t="s">
        <v>65</v>
      </c>
    </row>
    <row r="4073" spans="1:11" ht="40.049999999999997" customHeight="1" x14ac:dyDescent="0.25">
      <c r="A4073" s="11" t="s">
        <v>8970</v>
      </c>
      <c r="B4073" s="11" t="s">
        <v>8971</v>
      </c>
      <c r="C4073" s="11" t="s">
        <v>80</v>
      </c>
      <c r="D4073" s="11" t="s">
        <v>18</v>
      </c>
      <c r="E4073" s="12" t="s">
        <v>621</v>
      </c>
      <c r="F4073" s="12" t="s">
        <v>622</v>
      </c>
      <c r="G4073" s="12" t="s">
        <v>29</v>
      </c>
      <c r="H4073" s="11" t="s">
        <v>63</v>
      </c>
      <c r="I4073" s="13" t="s">
        <v>8974</v>
      </c>
      <c r="J4073" s="14" t="str">
        <f>HYPERLINK("https://www.boe.es/gazeta/dias/1839/04/14/pdfs/GMD-1839-1611.pdf#page=1","Abrir facsímil")</f>
        <v>Abrir facsímil</v>
      </c>
      <c r="K4073" s="12" t="s">
        <v>65</v>
      </c>
    </row>
    <row r="4074" spans="1:11" ht="40.049999999999997" customHeight="1" x14ac:dyDescent="0.25">
      <c r="A4074" s="11" t="s">
        <v>8970</v>
      </c>
      <c r="B4074" s="11" t="s">
        <v>8971</v>
      </c>
      <c r="C4074" s="11" t="s">
        <v>137</v>
      </c>
      <c r="D4074" s="11" t="s">
        <v>18</v>
      </c>
      <c r="E4074" s="12" t="s">
        <v>713</v>
      </c>
      <c r="F4074" s="12" t="s">
        <v>714</v>
      </c>
      <c r="G4074" s="12" t="s">
        <v>21</v>
      </c>
      <c r="H4074" s="11" t="s">
        <v>63</v>
      </c>
      <c r="I4074" s="13" t="s">
        <v>8975</v>
      </c>
      <c r="J4074" s="14" t="str">
        <f>HYPERLINK("https://www.boe.es/gazeta/dias/1839/12/18/pdfs/GMD-1839-1865.pdf#page=4","Abrir facsímil")</f>
        <v>Abrir facsímil</v>
      </c>
      <c r="K4074" s="12" t="s">
        <v>65</v>
      </c>
    </row>
    <row r="4075" spans="1:11" ht="40.049999999999997" customHeight="1" x14ac:dyDescent="0.25">
      <c r="A4075" s="11" t="s">
        <v>8970</v>
      </c>
      <c r="B4075" s="11" t="s">
        <v>8971</v>
      </c>
      <c r="C4075" s="11" t="s">
        <v>101</v>
      </c>
      <c r="D4075" s="11" t="s">
        <v>102</v>
      </c>
      <c r="E4075" s="12" t="s">
        <v>638</v>
      </c>
      <c r="F4075" s="12" t="s">
        <v>639</v>
      </c>
      <c r="G4075" s="12" t="s">
        <v>21</v>
      </c>
      <c r="H4075" s="11" t="s">
        <v>63</v>
      </c>
      <c r="I4075" s="13" t="s">
        <v>8976</v>
      </c>
      <c r="J4075" s="14" t="str">
        <f>HYPERLINK("https://www.boe.es/gazeta/dias/1839/08/26/pdfs/GMD-1839-1747.pdf#page=4","Abrir facsímil")</f>
        <v>Abrir facsímil</v>
      </c>
      <c r="K4075" s="12" t="s">
        <v>65</v>
      </c>
    </row>
    <row r="4076" spans="1:11" ht="40.049999999999997" customHeight="1" x14ac:dyDescent="0.25">
      <c r="A4076" s="11" t="s">
        <v>8970</v>
      </c>
      <c r="B4076" s="11" t="s">
        <v>8971</v>
      </c>
      <c r="C4076" s="11" t="s">
        <v>17</v>
      </c>
      <c r="D4076" s="11" t="s">
        <v>18</v>
      </c>
      <c r="E4076" s="12" t="s">
        <v>27</v>
      </c>
      <c r="F4076" s="12" t="s">
        <v>28</v>
      </c>
      <c r="G4076" s="12" t="s">
        <v>21</v>
      </c>
      <c r="H4076" s="11" t="s">
        <v>63</v>
      </c>
      <c r="I4076" s="13" t="s">
        <v>8977</v>
      </c>
      <c r="J4076" s="14" t="str">
        <f>HYPERLINK("https://www.boe.es/gazeta/dias/1839/07/28/pdfs/GMD-1839-1717.pdf#page=4","Abrir facsímil")</f>
        <v>Abrir facsímil</v>
      </c>
      <c r="K4076" s="12" t="s">
        <v>65</v>
      </c>
    </row>
    <row r="4077" spans="1:11" ht="40.049999999999997" customHeight="1" x14ac:dyDescent="0.25">
      <c r="A4077" s="11" t="s">
        <v>8978</v>
      </c>
      <c r="B4077" s="11" t="s">
        <v>8979</v>
      </c>
      <c r="C4077" s="11" t="s">
        <v>101</v>
      </c>
      <c r="D4077" s="11" t="s">
        <v>102</v>
      </c>
      <c r="E4077" s="12" t="s">
        <v>756</v>
      </c>
      <c r="F4077" s="12" t="s">
        <v>757</v>
      </c>
      <c r="G4077" s="12" t="s">
        <v>46</v>
      </c>
      <c r="H4077" s="11" t="s">
        <v>63</v>
      </c>
      <c r="I4077" s="13" t="s">
        <v>8980</v>
      </c>
      <c r="J4077" s="14" t="str">
        <f>HYPERLINK("https://www.boe.es/gazeta/dias/1839/12/17/pdfs/GMD-1839-1864.pdf#page=3","Abrir facsímil")</f>
        <v>Abrir facsímil</v>
      </c>
      <c r="K4077" s="12" t="s">
        <v>65</v>
      </c>
    </row>
    <row r="4078" spans="1:11" ht="40.049999999999997" customHeight="1" x14ac:dyDescent="0.25">
      <c r="A4078" s="11" t="s">
        <v>8981</v>
      </c>
      <c r="B4078" s="11" t="s">
        <v>8982</v>
      </c>
      <c r="C4078" s="11" t="s">
        <v>101</v>
      </c>
      <c r="D4078" s="11" t="s">
        <v>102</v>
      </c>
      <c r="E4078" s="12" t="s">
        <v>4055</v>
      </c>
      <c r="F4078" s="12" t="s">
        <v>4056</v>
      </c>
      <c r="G4078" s="12" t="s">
        <v>21</v>
      </c>
      <c r="H4078" s="11" t="s">
        <v>63</v>
      </c>
      <c r="I4078" s="13" t="s">
        <v>8983</v>
      </c>
      <c r="J4078" s="14" t="str">
        <f>HYPERLINK("https://www.boe.es/gazeta/dias/1839/03/07/pdfs/GMD-1839-1573.pdf#page=4","Abrir facsímil")</f>
        <v>Abrir facsímil</v>
      </c>
      <c r="K4078" s="12" t="s">
        <v>65</v>
      </c>
    </row>
    <row r="4079" spans="1:11" ht="40.049999999999997" customHeight="1" x14ac:dyDescent="0.25">
      <c r="A4079" s="11" t="s">
        <v>8984</v>
      </c>
      <c r="B4079" s="11" t="s">
        <v>8985</v>
      </c>
      <c r="C4079" s="11" t="s">
        <v>17</v>
      </c>
      <c r="D4079" s="11" t="s">
        <v>18</v>
      </c>
      <c r="E4079" s="12" t="s">
        <v>157</v>
      </c>
      <c r="F4079" s="12" t="s">
        <v>158</v>
      </c>
      <c r="G4079" s="12" t="s">
        <v>40</v>
      </c>
      <c r="H4079" s="11" t="s">
        <v>22</v>
      </c>
      <c r="I4079" s="13" t="s">
        <v>8986</v>
      </c>
      <c r="J4079" s="14" t="str">
        <f>HYPERLINK("https://www.boe.es/gazeta/dias/1839/02/08/pdfs/GMD-1839-1546.pdf#page=2","Abrir facsímil")</f>
        <v>Abrir facsímil</v>
      </c>
      <c r="K4079" s="12" t="s">
        <v>24</v>
      </c>
    </row>
    <row r="4080" spans="1:11" ht="40.049999999999997" customHeight="1" x14ac:dyDescent="0.25">
      <c r="A4080" s="11" t="s">
        <v>8984</v>
      </c>
      <c r="B4080" s="11" t="s">
        <v>8985</v>
      </c>
      <c r="C4080" s="11" t="s">
        <v>101</v>
      </c>
      <c r="D4080" s="11" t="s">
        <v>43</v>
      </c>
      <c r="E4080" s="12" t="s">
        <v>163</v>
      </c>
      <c r="F4080" s="12" t="s">
        <v>164</v>
      </c>
      <c r="G4080" s="12" t="s">
        <v>29</v>
      </c>
      <c r="H4080" s="11" t="s">
        <v>22</v>
      </c>
      <c r="I4080" s="13" t="s">
        <v>8987</v>
      </c>
      <c r="J4080" s="14" t="str">
        <f>HYPERLINK("https://www.boe.es/gazeta/dias/1839/01/13/pdfs/GMD-1839-1520.pdf#page=1","Abrir facsímil")</f>
        <v>Abrir facsímil</v>
      </c>
      <c r="K4080" s="12" t="s">
        <v>24</v>
      </c>
    </row>
    <row r="4081" spans="1:11" ht="40.049999999999997" customHeight="1" x14ac:dyDescent="0.25">
      <c r="A4081" s="11" t="s">
        <v>8984</v>
      </c>
      <c r="B4081" s="11" t="s">
        <v>8985</v>
      </c>
      <c r="C4081" s="11" t="s">
        <v>80</v>
      </c>
      <c r="D4081" s="11" t="s">
        <v>18</v>
      </c>
      <c r="E4081" s="12" t="s">
        <v>1807</v>
      </c>
      <c r="F4081" s="12" t="s">
        <v>1808</v>
      </c>
      <c r="G4081" s="12" t="s">
        <v>29</v>
      </c>
      <c r="H4081" s="11" t="s">
        <v>22</v>
      </c>
      <c r="I4081" s="13" t="s">
        <v>8988</v>
      </c>
      <c r="J4081" s="14" t="str">
        <f>HYPERLINK("https://www.boe.es/gazeta/dias/1839/01/29/pdfs/GMD-1839-1536.pdf#page=1","Abrir facsímil")</f>
        <v>Abrir facsímil</v>
      </c>
      <c r="K4081" s="12" t="s">
        <v>24</v>
      </c>
    </row>
    <row r="4082" spans="1:11" ht="40.049999999999997" customHeight="1" x14ac:dyDescent="0.25">
      <c r="A4082" s="11" t="s">
        <v>8989</v>
      </c>
      <c r="B4082" s="11" t="s">
        <v>8990</v>
      </c>
      <c r="C4082" s="11" t="s">
        <v>17</v>
      </c>
      <c r="D4082" s="11" t="s">
        <v>18</v>
      </c>
      <c r="E4082" s="12" t="s">
        <v>1366</v>
      </c>
      <c r="F4082" s="12" t="s">
        <v>1367</v>
      </c>
      <c r="G4082" s="12" t="s">
        <v>40</v>
      </c>
      <c r="H4082" s="11" t="s">
        <v>63</v>
      </c>
      <c r="I4082" s="13" t="s">
        <v>8991</v>
      </c>
      <c r="J4082" s="14" t="str">
        <f>HYPERLINK("https://www.boe.es/gazeta/dias/1839/09/09/pdfs/GMD-1839-1762.pdf#page=2","Abrir facsímil")</f>
        <v>Abrir facsímil</v>
      </c>
      <c r="K4082" s="12" t="s">
        <v>65</v>
      </c>
    </row>
    <row r="4083" spans="1:11" ht="40.049999999999997" customHeight="1" x14ac:dyDescent="0.25">
      <c r="A4083" s="11" t="s">
        <v>8989</v>
      </c>
      <c r="B4083" s="11" t="s">
        <v>8990</v>
      </c>
      <c r="C4083" s="11" t="s">
        <v>17</v>
      </c>
      <c r="D4083" s="11" t="s">
        <v>18</v>
      </c>
      <c r="E4083" s="12" t="s">
        <v>564</v>
      </c>
      <c r="F4083" s="12" t="s">
        <v>565</v>
      </c>
      <c r="G4083" s="12" t="s">
        <v>46</v>
      </c>
      <c r="H4083" s="11" t="s">
        <v>63</v>
      </c>
      <c r="I4083" s="13" t="s">
        <v>8992</v>
      </c>
      <c r="J4083" s="14" t="str">
        <f>HYPERLINK("https://www.boe.es/gazeta/dias/1839/10/17/pdfs/GMD-1839-1803.pdf#page=3","Abrir facsímil")</f>
        <v>Abrir facsímil</v>
      </c>
      <c r="K4083" s="12" t="s">
        <v>65</v>
      </c>
    </row>
    <row r="4084" spans="1:11" ht="40.049999999999997" customHeight="1" x14ac:dyDescent="0.25">
      <c r="A4084" s="11" t="s">
        <v>8989</v>
      </c>
      <c r="B4084" s="11" t="s">
        <v>8990</v>
      </c>
      <c r="C4084" s="11" t="s">
        <v>17</v>
      </c>
      <c r="D4084" s="11" t="s">
        <v>18</v>
      </c>
      <c r="E4084" s="12" t="s">
        <v>1807</v>
      </c>
      <c r="F4084" s="12" t="s">
        <v>1808</v>
      </c>
      <c r="G4084" s="12" t="s">
        <v>40</v>
      </c>
      <c r="H4084" s="11" t="s">
        <v>63</v>
      </c>
      <c r="I4084" s="13" t="s">
        <v>8993</v>
      </c>
      <c r="J4084" s="14" t="str">
        <f>HYPERLINK("https://www.boe.es/gazeta/dias/1839/01/29/pdfs/GMD-1839-1536.pdf#page=2","Abrir facsímil")</f>
        <v>Abrir facsímil</v>
      </c>
      <c r="K4084" s="12" t="s">
        <v>65</v>
      </c>
    </row>
    <row r="4085" spans="1:11" ht="40.049999999999997" customHeight="1" x14ac:dyDescent="0.25">
      <c r="A4085" s="11" t="s">
        <v>8994</v>
      </c>
      <c r="B4085" s="11" t="s">
        <v>8995</v>
      </c>
      <c r="C4085" s="11" t="s">
        <v>101</v>
      </c>
      <c r="D4085" s="11" t="s">
        <v>102</v>
      </c>
      <c r="E4085" s="12" t="s">
        <v>2374</v>
      </c>
      <c r="F4085" s="12" t="s">
        <v>2375</v>
      </c>
      <c r="G4085" s="12" t="s">
        <v>29</v>
      </c>
      <c r="H4085" s="11" t="s">
        <v>63</v>
      </c>
      <c r="I4085" s="13" t="s">
        <v>8996</v>
      </c>
      <c r="J4085" s="14" t="str">
        <f>HYPERLINK("https://www.boe.es/gazeta/dias/1839/06/14/pdfs/GMD-1839-1672.pdf#page=1","Abrir facsímil")</f>
        <v>Abrir facsímil</v>
      </c>
      <c r="K4085" s="12" t="s">
        <v>65</v>
      </c>
    </row>
    <row r="4086" spans="1:11" ht="40.049999999999997" customHeight="1" x14ac:dyDescent="0.25">
      <c r="A4086" s="11" t="s">
        <v>8997</v>
      </c>
      <c r="B4086" s="11" t="s">
        <v>8998</v>
      </c>
      <c r="C4086" s="11" t="s">
        <v>17</v>
      </c>
      <c r="D4086" s="11" t="s">
        <v>18</v>
      </c>
      <c r="E4086" s="12" t="s">
        <v>513</v>
      </c>
      <c r="F4086" s="12" t="s">
        <v>514</v>
      </c>
      <c r="G4086" s="12" t="s">
        <v>29</v>
      </c>
      <c r="H4086" s="11" t="s">
        <v>63</v>
      </c>
      <c r="I4086" s="13" t="s">
        <v>8999</v>
      </c>
      <c r="J4086" s="14" t="str">
        <f>HYPERLINK("https://www.boe.es/gazeta/dias/1839/03/17/pdfs/GMD-1839-1583.pdf#page=1","Abrir facsímil")</f>
        <v>Abrir facsímil</v>
      </c>
      <c r="K4086" s="12" t="s">
        <v>65</v>
      </c>
    </row>
    <row r="4087" spans="1:11" ht="40.049999999999997" customHeight="1" x14ac:dyDescent="0.25">
      <c r="A4087" s="11" t="s">
        <v>9000</v>
      </c>
      <c r="B4087" s="11" t="s">
        <v>9001</v>
      </c>
      <c r="C4087" s="11" t="s">
        <v>137</v>
      </c>
      <c r="D4087" s="11" t="s">
        <v>18</v>
      </c>
      <c r="E4087" s="12" t="s">
        <v>469</v>
      </c>
      <c r="F4087" s="12" t="s">
        <v>470</v>
      </c>
      <c r="G4087" s="12" t="s">
        <v>29</v>
      </c>
      <c r="H4087" s="11" t="s">
        <v>63</v>
      </c>
      <c r="I4087" s="13" t="s">
        <v>9002</v>
      </c>
      <c r="J4087" s="14" t="str">
        <f>HYPERLINK("https://www.boe.es/gazeta/dias/1839/08/20/pdfs/GMD-1839-1741.pdf#page=1","Abrir facsímil")</f>
        <v>Abrir facsímil</v>
      </c>
      <c r="K4087" s="12" t="s">
        <v>65</v>
      </c>
    </row>
    <row r="4088" spans="1:11" ht="40.049999999999997" customHeight="1" x14ac:dyDescent="0.25">
      <c r="A4088" s="11" t="s">
        <v>9003</v>
      </c>
      <c r="B4088" s="11" t="s">
        <v>9004</v>
      </c>
      <c r="C4088" s="11" t="s">
        <v>17</v>
      </c>
      <c r="D4088" s="11" t="s">
        <v>18</v>
      </c>
      <c r="E4088" s="12" t="s">
        <v>433</v>
      </c>
      <c r="F4088" s="12" t="s">
        <v>434</v>
      </c>
      <c r="G4088" s="12" t="s">
        <v>21</v>
      </c>
      <c r="H4088" s="11" t="s">
        <v>63</v>
      </c>
      <c r="I4088" s="13" t="s">
        <v>9005</v>
      </c>
      <c r="J4088" s="14" t="str">
        <f>HYPERLINK("https://www.boe.es/gazeta/dias/1839/01/20/pdfs/GMD-1839-1527.pdf#page=4","Abrir facsímil")</f>
        <v>Abrir facsímil</v>
      </c>
      <c r="K4088" s="12" t="s">
        <v>65</v>
      </c>
    </row>
    <row r="4089" spans="1:11" ht="40.049999999999997" customHeight="1" x14ac:dyDescent="0.25">
      <c r="A4089" s="11" t="s">
        <v>9006</v>
      </c>
      <c r="B4089" s="11" t="s">
        <v>9007</v>
      </c>
      <c r="C4089" s="11" t="s">
        <v>59</v>
      </c>
      <c r="D4089" s="11" t="s">
        <v>60</v>
      </c>
      <c r="E4089" s="12" t="s">
        <v>202</v>
      </c>
      <c r="F4089" s="12" t="s">
        <v>203</v>
      </c>
      <c r="G4089" s="12" t="s">
        <v>46</v>
      </c>
      <c r="H4089" s="11" t="s">
        <v>63</v>
      </c>
      <c r="I4089" s="13" t="s">
        <v>9008</v>
      </c>
      <c r="J4089" s="14" t="str">
        <f>HYPERLINK("https://www.boe.es/gazeta/dias/1839/04/05/pdfs/GMD-1839-1602.pdf#page=3","Abrir facsímil")</f>
        <v>Abrir facsímil</v>
      </c>
      <c r="K4089" s="12" t="s">
        <v>65</v>
      </c>
    </row>
    <row r="4090" spans="1:11" ht="40.049999999999997" customHeight="1" x14ac:dyDescent="0.25">
      <c r="A4090" s="11" t="s">
        <v>9006</v>
      </c>
      <c r="B4090" s="11" t="s">
        <v>9007</v>
      </c>
      <c r="C4090" s="11" t="s">
        <v>17</v>
      </c>
      <c r="D4090" s="11" t="s">
        <v>18</v>
      </c>
      <c r="E4090" s="12" t="s">
        <v>1562</v>
      </c>
      <c r="F4090" s="12" t="s">
        <v>1563</v>
      </c>
      <c r="G4090" s="12" t="s">
        <v>46</v>
      </c>
      <c r="H4090" s="11" t="s">
        <v>63</v>
      </c>
      <c r="I4090" s="13" t="s">
        <v>9009</v>
      </c>
      <c r="J4090" s="14" t="str">
        <f>HYPERLINK("https://www.boe.es/gazeta/dias/1839/04/08/pdfs/GMD-1839-1605.pdf#page=3","Abrir facsímil")</f>
        <v>Abrir facsímil</v>
      </c>
      <c r="K4090" s="12" t="s">
        <v>65</v>
      </c>
    </row>
    <row r="4091" spans="1:11" ht="40.049999999999997" customHeight="1" x14ac:dyDescent="0.25">
      <c r="A4091" s="11" t="s">
        <v>9006</v>
      </c>
      <c r="B4091" s="11" t="s">
        <v>9007</v>
      </c>
      <c r="C4091" s="11" t="s">
        <v>137</v>
      </c>
      <c r="D4091" s="11" t="s">
        <v>18</v>
      </c>
      <c r="E4091" s="12" t="s">
        <v>1144</v>
      </c>
      <c r="F4091" s="12" t="s">
        <v>1145</v>
      </c>
      <c r="G4091" s="12" t="s">
        <v>29</v>
      </c>
      <c r="H4091" s="11" t="s">
        <v>63</v>
      </c>
      <c r="I4091" s="13" t="s">
        <v>9010</v>
      </c>
      <c r="J4091" s="14" t="str">
        <f>HYPERLINK("https://www.boe.es/gazeta/dias/1839/08/13/pdfs/GMD-1839-1733.pdf#page=1","Abrir facsímil")</f>
        <v>Abrir facsímil</v>
      </c>
      <c r="K4091" s="12" t="s">
        <v>65</v>
      </c>
    </row>
    <row r="4092" spans="1:11" ht="40.049999999999997" customHeight="1" x14ac:dyDescent="0.25">
      <c r="A4092" s="11" t="s">
        <v>9006</v>
      </c>
      <c r="B4092" s="11" t="s">
        <v>9007</v>
      </c>
      <c r="C4092" s="11" t="s">
        <v>59</v>
      </c>
      <c r="D4092" s="11" t="s">
        <v>60</v>
      </c>
      <c r="E4092" s="12" t="s">
        <v>3009</v>
      </c>
      <c r="F4092" s="12" t="s">
        <v>3010</v>
      </c>
      <c r="G4092" s="12" t="s">
        <v>40</v>
      </c>
      <c r="H4092" s="11" t="s">
        <v>63</v>
      </c>
      <c r="I4092" s="13" t="s">
        <v>9011</v>
      </c>
      <c r="J4092" s="14" t="str">
        <f>HYPERLINK("https://www.boe.es/gazeta/dias/1839/04/20/pdfs/GMD-1839-1617.pdf#page=2","Abrir facsímil")</f>
        <v>Abrir facsímil</v>
      </c>
      <c r="K4092" s="12" t="s">
        <v>65</v>
      </c>
    </row>
    <row r="4093" spans="1:11" ht="40.049999999999997" customHeight="1" x14ac:dyDescent="0.25">
      <c r="A4093" s="11" t="s">
        <v>9012</v>
      </c>
      <c r="B4093" s="11" t="s">
        <v>9013</v>
      </c>
      <c r="C4093" s="11" t="s">
        <v>59</v>
      </c>
      <c r="D4093" s="11" t="s">
        <v>60</v>
      </c>
      <c r="E4093" s="12" t="s">
        <v>385</v>
      </c>
      <c r="F4093" s="12" t="s">
        <v>386</v>
      </c>
      <c r="G4093" s="12" t="s">
        <v>40</v>
      </c>
      <c r="H4093" s="11" t="s">
        <v>63</v>
      </c>
      <c r="I4093" s="13" t="s">
        <v>9014</v>
      </c>
      <c r="J4093" s="14" t="str">
        <f>HYPERLINK("https://www.boe.es/gazeta/dias/1839/08/01/pdfs/GMD-1839-1721.pdf#page=2","Abrir facsímil")</f>
        <v>Abrir facsímil</v>
      </c>
      <c r="K4093" s="12" t="s">
        <v>65</v>
      </c>
    </row>
    <row r="4094" spans="1:11" ht="40.049999999999997" customHeight="1" x14ac:dyDescent="0.25">
      <c r="A4094" s="11" t="s">
        <v>9015</v>
      </c>
      <c r="B4094" s="11" t="s">
        <v>9016</v>
      </c>
      <c r="C4094" s="11" t="s">
        <v>59</v>
      </c>
      <c r="D4094" s="11" t="s">
        <v>60</v>
      </c>
      <c r="E4094" s="12" t="s">
        <v>756</v>
      </c>
      <c r="F4094" s="12" t="s">
        <v>757</v>
      </c>
      <c r="G4094" s="12" t="s">
        <v>29</v>
      </c>
      <c r="H4094" s="11" t="s">
        <v>63</v>
      </c>
      <c r="I4094" s="13" t="s">
        <v>9017</v>
      </c>
      <c r="J4094" s="14" t="str">
        <f>HYPERLINK("https://www.boe.es/gazeta/dias/1839/12/17/pdfs/GMD-1839-1864.pdf#page=1","Abrir facsímil")</f>
        <v>Abrir facsímil</v>
      </c>
      <c r="K4094" s="12" t="s">
        <v>65</v>
      </c>
    </row>
    <row r="4095" spans="1:11" ht="40.049999999999997" customHeight="1" x14ac:dyDescent="0.25">
      <c r="A4095" s="11" t="s">
        <v>9018</v>
      </c>
      <c r="B4095" s="11" t="s">
        <v>9019</v>
      </c>
      <c r="C4095" s="11" t="s">
        <v>80</v>
      </c>
      <c r="D4095" s="11" t="s">
        <v>173</v>
      </c>
      <c r="E4095" s="12" t="s">
        <v>3114</v>
      </c>
      <c r="F4095" s="12" t="s">
        <v>3115</v>
      </c>
      <c r="G4095" s="12" t="s">
        <v>21</v>
      </c>
      <c r="H4095" s="11" t="s">
        <v>63</v>
      </c>
      <c r="I4095" s="13" t="s">
        <v>9020</v>
      </c>
      <c r="J4095" s="14" t="str">
        <f>HYPERLINK("https://www.boe.es/gazeta/dias/1839/05/15/pdfs/GMD-1839-1642.pdf#page=4","Abrir facsímil")</f>
        <v>Abrir facsímil</v>
      </c>
      <c r="K4095" s="12" t="s">
        <v>65</v>
      </c>
    </row>
    <row r="4096" spans="1:11" ht="40.049999999999997" customHeight="1" x14ac:dyDescent="0.25">
      <c r="A4096" s="11" t="s">
        <v>9021</v>
      </c>
      <c r="B4096" s="11" t="s">
        <v>9022</v>
      </c>
      <c r="C4096" s="11" t="s">
        <v>137</v>
      </c>
      <c r="D4096" s="11" t="s">
        <v>18</v>
      </c>
      <c r="E4096" s="12" t="s">
        <v>61</v>
      </c>
      <c r="F4096" s="12" t="s">
        <v>62</v>
      </c>
      <c r="G4096" s="12" t="s">
        <v>21</v>
      </c>
      <c r="H4096" s="11" t="s">
        <v>63</v>
      </c>
      <c r="I4096" s="13" t="s">
        <v>9023</v>
      </c>
      <c r="J4096" s="14" t="str">
        <f>HYPERLINK("https://www.boe.es/gazeta/dias/1839/09/10/pdfs/GMD-1839-1763.pdf#page=4","Abrir facsímil")</f>
        <v>Abrir facsímil</v>
      </c>
      <c r="K4096" s="12" t="s">
        <v>65</v>
      </c>
    </row>
    <row r="4097" spans="1:11" ht="40.049999999999997" customHeight="1" x14ac:dyDescent="0.25">
      <c r="A4097" s="11" t="s">
        <v>9024</v>
      </c>
      <c r="B4097" s="11" t="s">
        <v>9025</v>
      </c>
      <c r="C4097" s="11" t="s">
        <v>17</v>
      </c>
      <c r="D4097" s="11" t="s">
        <v>18</v>
      </c>
      <c r="E4097" s="12" t="s">
        <v>1685</v>
      </c>
      <c r="F4097" s="12" t="s">
        <v>1686</v>
      </c>
      <c r="G4097" s="12" t="s">
        <v>21</v>
      </c>
      <c r="H4097" s="11" t="s">
        <v>63</v>
      </c>
      <c r="I4097" s="13" t="s">
        <v>9026</v>
      </c>
      <c r="J4097" s="14" t="str">
        <f>HYPERLINK("https://www.boe.es/gazeta/dias/1839/04/27/pdfs/GMD-1839-1624.pdf#page=4","Abrir facsímil")</f>
        <v>Abrir facsímil</v>
      </c>
      <c r="K4097" s="12" t="s">
        <v>65</v>
      </c>
    </row>
    <row r="4098" spans="1:11" ht="40.049999999999997" customHeight="1" x14ac:dyDescent="0.25">
      <c r="A4098" s="11" t="s">
        <v>9027</v>
      </c>
      <c r="B4098" s="11" t="s">
        <v>9028</v>
      </c>
      <c r="C4098" s="11" t="s">
        <v>80</v>
      </c>
      <c r="D4098" s="11" t="s">
        <v>173</v>
      </c>
      <c r="E4098" s="12" t="s">
        <v>946</v>
      </c>
      <c r="F4098" s="12" t="s">
        <v>947</v>
      </c>
      <c r="G4098" s="12" t="s">
        <v>21</v>
      </c>
      <c r="H4098" s="11" t="s">
        <v>22</v>
      </c>
      <c r="I4098" s="13" t="s">
        <v>9029</v>
      </c>
      <c r="J4098" s="14" t="str">
        <f>HYPERLINK("https://www.boe.es/gazeta/dias/1839/04/15/pdfs/GMD-1839-1612.pdf#page=4","Abrir facsímil")</f>
        <v>Abrir facsímil</v>
      </c>
      <c r="K4098" s="12" t="s">
        <v>24</v>
      </c>
    </row>
    <row r="4099" spans="1:11" ht="40.049999999999997" customHeight="1" x14ac:dyDescent="0.25">
      <c r="A4099" s="11" t="s">
        <v>9030</v>
      </c>
      <c r="B4099" s="11" t="s">
        <v>9031</v>
      </c>
      <c r="C4099" s="11" t="s">
        <v>80</v>
      </c>
      <c r="D4099" s="11" t="s">
        <v>173</v>
      </c>
      <c r="E4099" s="12" t="s">
        <v>4475</v>
      </c>
      <c r="F4099" s="12" t="s">
        <v>4476</v>
      </c>
      <c r="G4099" s="12" t="s">
        <v>21</v>
      </c>
      <c r="H4099" s="11" t="s">
        <v>63</v>
      </c>
      <c r="I4099" s="13" t="s">
        <v>9032</v>
      </c>
      <c r="J4099" s="14" t="str">
        <f>HYPERLINK("https://www.boe.es/gazeta/dias/1839/07/04/pdfs/GMD-1839-1692.pdf#page=4","Abrir facsímil")</f>
        <v>Abrir facsímil</v>
      </c>
      <c r="K4099" s="12" t="s">
        <v>65</v>
      </c>
    </row>
    <row r="4100" spans="1:11" ht="40.049999999999997" customHeight="1" x14ac:dyDescent="0.25">
      <c r="A4100" s="11" t="s">
        <v>9033</v>
      </c>
      <c r="B4100" s="11" t="s">
        <v>9034</v>
      </c>
      <c r="C4100" s="11" t="s">
        <v>17</v>
      </c>
      <c r="D4100" s="11" t="s">
        <v>18</v>
      </c>
      <c r="E4100" s="12" t="s">
        <v>3391</v>
      </c>
      <c r="F4100" s="12" t="s">
        <v>3392</v>
      </c>
      <c r="G4100" s="12" t="s">
        <v>40</v>
      </c>
      <c r="H4100" s="11" t="s">
        <v>63</v>
      </c>
      <c r="I4100" s="13" t="s">
        <v>9035</v>
      </c>
      <c r="J4100" s="14" t="str">
        <f>HYPERLINK("https://www.boe.es/gazeta/dias/1839/12/31/pdfs/GMD-1839-1878.pdf#page=2","Abrir facsímil")</f>
        <v>Abrir facsímil</v>
      </c>
      <c r="K4100" s="12" t="s">
        <v>65</v>
      </c>
    </row>
    <row r="4101" spans="1:11" ht="40.049999999999997" customHeight="1" x14ac:dyDescent="0.25">
      <c r="A4101" s="11" t="s">
        <v>9036</v>
      </c>
      <c r="B4101" s="11" t="s">
        <v>9037</v>
      </c>
      <c r="C4101" s="11" t="s">
        <v>59</v>
      </c>
      <c r="D4101" s="11" t="s">
        <v>60</v>
      </c>
      <c r="E4101" s="12" t="s">
        <v>121</v>
      </c>
      <c r="F4101" s="12" t="s">
        <v>122</v>
      </c>
      <c r="G4101" s="12" t="s">
        <v>29</v>
      </c>
      <c r="H4101" s="11" t="s">
        <v>63</v>
      </c>
      <c r="I4101" s="13" t="s">
        <v>9038</v>
      </c>
      <c r="J4101" s="14" t="str">
        <f>HYPERLINK("https://www.boe.es/gazeta/dias/1839/06/08/pdfs/GMD-1839-1666.pdf#page=1","Abrir facsímil")</f>
        <v>Abrir facsímil</v>
      </c>
      <c r="K4101" s="12" t="s">
        <v>65</v>
      </c>
    </row>
    <row r="4102" spans="1:11" ht="40.049999999999997" customHeight="1" x14ac:dyDescent="0.25">
      <c r="A4102" s="11" t="s">
        <v>9039</v>
      </c>
      <c r="B4102" s="11" t="s">
        <v>9040</v>
      </c>
      <c r="C4102" s="11" t="s">
        <v>101</v>
      </c>
      <c r="D4102" s="11" t="s">
        <v>43</v>
      </c>
      <c r="E4102" s="12" t="s">
        <v>3614</v>
      </c>
      <c r="F4102" s="12" t="s">
        <v>3615</v>
      </c>
      <c r="G4102" s="12" t="s">
        <v>46</v>
      </c>
      <c r="H4102" s="11" t="s">
        <v>63</v>
      </c>
      <c r="I4102" s="13" t="s">
        <v>9041</v>
      </c>
      <c r="J4102" s="14" t="str">
        <f>HYPERLINK("https://www.boe.es/gazeta/dias/1839/04/04/pdfs/GMD-1839-1601.pdf#page=3","Abrir facsímil")</f>
        <v>Abrir facsímil</v>
      </c>
      <c r="K4102" s="12" t="s">
        <v>65</v>
      </c>
    </row>
    <row r="4103" spans="1:11" ht="40.049999999999997" customHeight="1" x14ac:dyDescent="0.25">
      <c r="A4103" s="11" t="s">
        <v>9039</v>
      </c>
      <c r="B4103" s="11" t="s">
        <v>9040</v>
      </c>
      <c r="C4103" s="11" t="s">
        <v>80</v>
      </c>
      <c r="D4103" s="11" t="s">
        <v>18</v>
      </c>
      <c r="E4103" s="12" t="s">
        <v>3614</v>
      </c>
      <c r="F4103" s="12" t="s">
        <v>3615</v>
      </c>
      <c r="G4103" s="12" t="s">
        <v>21</v>
      </c>
      <c r="H4103" s="11" t="s">
        <v>63</v>
      </c>
      <c r="I4103" s="13" t="s">
        <v>9042</v>
      </c>
      <c r="J4103" s="14" t="str">
        <f>HYPERLINK("https://www.boe.es/gazeta/dias/1839/04/04/pdfs/GMD-1839-1601.pdf#page=4","Abrir facsímil")</f>
        <v>Abrir facsímil</v>
      </c>
      <c r="K4103" s="12" t="s">
        <v>65</v>
      </c>
    </row>
    <row r="4104" spans="1:11" ht="40.049999999999997" customHeight="1" x14ac:dyDescent="0.25">
      <c r="A4104" s="11" t="s">
        <v>9039</v>
      </c>
      <c r="B4104" s="11" t="s">
        <v>9040</v>
      </c>
      <c r="C4104" s="11" t="s">
        <v>137</v>
      </c>
      <c r="D4104" s="11" t="s">
        <v>18</v>
      </c>
      <c r="E4104" s="12" t="s">
        <v>76</v>
      </c>
      <c r="F4104" s="12" t="s">
        <v>77</v>
      </c>
      <c r="G4104" s="12" t="s">
        <v>46</v>
      </c>
      <c r="H4104" s="11" t="s">
        <v>63</v>
      </c>
      <c r="I4104" s="13" t="s">
        <v>9043</v>
      </c>
      <c r="J4104" s="14" t="str">
        <f>HYPERLINK("https://www.boe.es/gazeta/dias/1839/03/13/pdfs/GMD-1839-1579.pdf#page=3","Abrir facsímil")</f>
        <v>Abrir facsímil</v>
      </c>
      <c r="K4104" s="12" t="s">
        <v>65</v>
      </c>
    </row>
    <row r="4105" spans="1:11" ht="40.049999999999997" customHeight="1" x14ac:dyDescent="0.25">
      <c r="A4105" s="11" t="s">
        <v>9044</v>
      </c>
      <c r="B4105" s="11" t="s">
        <v>9045</v>
      </c>
      <c r="C4105" s="11" t="s">
        <v>17</v>
      </c>
      <c r="D4105" s="11" t="s">
        <v>18</v>
      </c>
      <c r="E4105" s="12" t="s">
        <v>1807</v>
      </c>
      <c r="F4105" s="12" t="s">
        <v>1808</v>
      </c>
      <c r="G4105" s="12" t="s">
        <v>40</v>
      </c>
      <c r="H4105" s="11" t="s">
        <v>63</v>
      </c>
      <c r="I4105" s="13" t="s">
        <v>9046</v>
      </c>
      <c r="J4105" s="14" t="str">
        <f>HYPERLINK("https://www.boe.es/gazeta/dias/1839/01/29/pdfs/GMD-1839-1536.pdf#page=2","Abrir facsímil")</f>
        <v>Abrir facsímil</v>
      </c>
      <c r="K4105" s="12" t="s">
        <v>65</v>
      </c>
    </row>
    <row r="4106" spans="1:11" ht="40.049999999999997" customHeight="1" x14ac:dyDescent="0.25">
      <c r="A4106" s="11" t="s">
        <v>9047</v>
      </c>
      <c r="B4106" s="11" t="s">
        <v>9048</v>
      </c>
      <c r="C4106" s="11" t="s">
        <v>59</v>
      </c>
      <c r="D4106" s="11" t="s">
        <v>60</v>
      </c>
      <c r="E4106" s="12" t="s">
        <v>2301</v>
      </c>
      <c r="F4106" s="12" t="s">
        <v>2302</v>
      </c>
      <c r="G4106" s="12" t="s">
        <v>29</v>
      </c>
      <c r="H4106" s="11" t="s">
        <v>22</v>
      </c>
      <c r="I4106" s="13" t="s">
        <v>9049</v>
      </c>
      <c r="J4106" s="14" t="str">
        <f>HYPERLINK("https://www.boe.es/gazeta/dias/1839/09/08/pdfs/GMD-1839-1761.pdf#page=1","Abrir facsímil")</f>
        <v>Abrir facsímil</v>
      </c>
      <c r="K4106" s="12" t="s">
        <v>24</v>
      </c>
    </row>
    <row r="4107" spans="1:11" ht="40.049999999999997" customHeight="1" x14ac:dyDescent="0.25">
      <c r="A4107" s="11" t="s">
        <v>9047</v>
      </c>
      <c r="B4107" s="11" t="s">
        <v>9048</v>
      </c>
      <c r="C4107" s="11" t="s">
        <v>17</v>
      </c>
      <c r="D4107" s="11" t="s">
        <v>18</v>
      </c>
      <c r="E4107" s="12" t="s">
        <v>3114</v>
      </c>
      <c r="F4107" s="12" t="s">
        <v>3115</v>
      </c>
      <c r="G4107" s="12" t="s">
        <v>29</v>
      </c>
      <c r="H4107" s="11" t="s">
        <v>22</v>
      </c>
      <c r="I4107" s="13" t="s">
        <v>9050</v>
      </c>
      <c r="J4107" s="14" t="str">
        <f>HYPERLINK("https://www.boe.es/gazeta/dias/1839/05/15/pdfs/GMD-1839-1642.pdf#page=1","Abrir facsímil")</f>
        <v>Abrir facsímil</v>
      </c>
      <c r="K4107" s="12" t="s">
        <v>24</v>
      </c>
    </row>
    <row r="4108" spans="1:11" ht="40.049999999999997" customHeight="1" x14ac:dyDescent="0.25">
      <c r="A4108" s="11" t="s">
        <v>9047</v>
      </c>
      <c r="B4108" s="11" t="s">
        <v>9048</v>
      </c>
      <c r="C4108" s="11" t="s">
        <v>137</v>
      </c>
      <c r="D4108" s="11" t="s">
        <v>18</v>
      </c>
      <c r="E4108" s="12" t="s">
        <v>1076</v>
      </c>
      <c r="F4108" s="12" t="s">
        <v>1077</v>
      </c>
      <c r="G4108" s="12" t="s">
        <v>29</v>
      </c>
      <c r="H4108" s="11" t="s">
        <v>22</v>
      </c>
      <c r="I4108" s="13" t="s">
        <v>9051</v>
      </c>
      <c r="J4108" s="14" t="str">
        <f>HYPERLINK("https://www.boe.es/gazeta/dias/1839/10/19/pdfs/GMD-1839-1805.pdf#page=1","Abrir facsímil")</f>
        <v>Abrir facsímil</v>
      </c>
      <c r="K4108" s="12" t="s">
        <v>24</v>
      </c>
    </row>
    <row r="4109" spans="1:11" ht="40.049999999999997" customHeight="1" x14ac:dyDescent="0.25">
      <c r="A4109" s="11" t="s">
        <v>9047</v>
      </c>
      <c r="B4109" s="11" t="s">
        <v>9048</v>
      </c>
      <c r="C4109" s="11" t="s">
        <v>59</v>
      </c>
      <c r="D4109" s="11" t="s">
        <v>60</v>
      </c>
      <c r="E4109" s="12" t="s">
        <v>596</v>
      </c>
      <c r="F4109" s="12" t="s">
        <v>597</v>
      </c>
      <c r="G4109" s="12" t="s">
        <v>40</v>
      </c>
      <c r="H4109" s="11" t="s">
        <v>22</v>
      </c>
      <c r="I4109" s="13" t="s">
        <v>9052</v>
      </c>
      <c r="J4109" s="14" t="str">
        <f>HYPERLINK("https://www.boe.es/gazeta/dias/1839/01/23/pdfs/GMD-1839-1530.pdf#page=2","Abrir facsímil")</f>
        <v>Abrir facsímil</v>
      </c>
      <c r="K4109" s="12" t="s">
        <v>24</v>
      </c>
    </row>
    <row r="4110" spans="1:11" ht="40.049999999999997" customHeight="1" x14ac:dyDescent="0.25">
      <c r="A4110" s="11" t="s">
        <v>9047</v>
      </c>
      <c r="B4110" s="11" t="s">
        <v>9048</v>
      </c>
      <c r="C4110" s="11" t="s">
        <v>17</v>
      </c>
      <c r="D4110" s="11" t="s">
        <v>18</v>
      </c>
      <c r="E4110" s="12" t="s">
        <v>638</v>
      </c>
      <c r="F4110" s="12" t="s">
        <v>639</v>
      </c>
      <c r="G4110" s="12" t="s">
        <v>29</v>
      </c>
      <c r="H4110" s="11" t="s">
        <v>22</v>
      </c>
      <c r="I4110" s="13" t="s">
        <v>9053</v>
      </c>
      <c r="J4110" s="14" t="str">
        <f>HYPERLINK("https://www.boe.es/gazeta/dias/1839/08/26/pdfs/GMD-1839-1747.pdf#page=1","Abrir facsímil")</f>
        <v>Abrir facsímil</v>
      </c>
      <c r="K4110" s="12" t="s">
        <v>24</v>
      </c>
    </row>
    <row r="4111" spans="1:11" ht="40.049999999999997" customHeight="1" x14ac:dyDescent="0.25">
      <c r="A4111" s="11" t="s">
        <v>9054</v>
      </c>
      <c r="B4111" s="11" t="s">
        <v>9055</v>
      </c>
      <c r="C4111" s="11" t="s">
        <v>17</v>
      </c>
      <c r="D4111" s="11" t="s">
        <v>18</v>
      </c>
      <c r="E4111" s="12" t="s">
        <v>798</v>
      </c>
      <c r="F4111" s="12" t="s">
        <v>799</v>
      </c>
      <c r="G4111" s="12" t="s">
        <v>29</v>
      </c>
      <c r="H4111" s="11" t="s">
        <v>22</v>
      </c>
      <c r="I4111" s="13" t="s">
        <v>9056</v>
      </c>
      <c r="J4111" s="14" t="str">
        <f>HYPERLINK("https://www.boe.es/gazeta/dias/1839/09/03/pdfs/GMD-1839-1755.pdf#page=1","Abrir facsímil")</f>
        <v>Abrir facsímil</v>
      </c>
      <c r="K4111" s="12" t="s">
        <v>24</v>
      </c>
    </row>
    <row r="4112" spans="1:11" ht="40.049999999999997" customHeight="1" x14ac:dyDescent="0.25">
      <c r="A4112" s="11" t="s">
        <v>9054</v>
      </c>
      <c r="B4112" s="11" t="s">
        <v>9055</v>
      </c>
      <c r="C4112" s="11" t="s">
        <v>101</v>
      </c>
      <c r="D4112" s="11" t="s">
        <v>43</v>
      </c>
      <c r="E4112" s="12" t="s">
        <v>254</v>
      </c>
      <c r="F4112" s="12" t="s">
        <v>255</v>
      </c>
      <c r="G4112" s="12" t="s">
        <v>40</v>
      </c>
      <c r="H4112" s="11" t="s">
        <v>22</v>
      </c>
      <c r="I4112" s="13" t="s">
        <v>9057</v>
      </c>
      <c r="J4112" s="14" t="str">
        <f>HYPERLINK("https://www.boe.es/gazeta/dias/1839/09/12/pdfs/GMD-1839-1765.pdf#page=2","Abrir facsímil")</f>
        <v>Abrir facsímil</v>
      </c>
      <c r="K4112" s="12" t="s">
        <v>24</v>
      </c>
    </row>
    <row r="4113" spans="1:11" ht="40.049999999999997" customHeight="1" x14ac:dyDescent="0.25">
      <c r="A4113" s="11" t="s">
        <v>9054</v>
      </c>
      <c r="B4113" s="11" t="s">
        <v>9055</v>
      </c>
      <c r="C4113" s="11" t="s">
        <v>17</v>
      </c>
      <c r="D4113" s="11" t="s">
        <v>18</v>
      </c>
      <c r="E4113" s="12" t="s">
        <v>596</v>
      </c>
      <c r="F4113" s="12" t="s">
        <v>597</v>
      </c>
      <c r="G4113" s="12" t="s">
        <v>46</v>
      </c>
      <c r="H4113" s="11" t="s">
        <v>22</v>
      </c>
      <c r="I4113" s="13" t="s">
        <v>9058</v>
      </c>
      <c r="J4113" s="14" t="str">
        <f>HYPERLINK("https://www.boe.es/gazeta/dias/1839/01/23/pdfs/GMD-1839-1530.pdf#page=3","Abrir facsímil")</f>
        <v>Abrir facsímil</v>
      </c>
      <c r="K4113" s="12" t="s">
        <v>24</v>
      </c>
    </row>
    <row r="4114" spans="1:11" ht="40.049999999999997" customHeight="1" x14ac:dyDescent="0.25">
      <c r="A4114" s="11" t="s">
        <v>9054</v>
      </c>
      <c r="B4114" s="11" t="s">
        <v>9055</v>
      </c>
      <c r="C4114" s="11" t="s">
        <v>17</v>
      </c>
      <c r="D4114" s="11" t="s">
        <v>18</v>
      </c>
      <c r="E4114" s="12" t="s">
        <v>1287</v>
      </c>
      <c r="F4114" s="12" t="s">
        <v>1288</v>
      </c>
      <c r="G4114" s="12" t="s">
        <v>40</v>
      </c>
      <c r="H4114" s="11" t="s">
        <v>22</v>
      </c>
      <c r="I4114" s="13" t="s">
        <v>9059</v>
      </c>
      <c r="J4114" s="14" t="str">
        <f>HYPERLINK("https://www.boe.es/gazeta/dias/1839/10/30/pdfs/GMD-1839-1816.pdf#page=2","Abrir facsímil")</f>
        <v>Abrir facsímil</v>
      </c>
      <c r="K4114" s="12" t="s">
        <v>24</v>
      </c>
    </row>
    <row r="4115" spans="1:11" ht="40.049999999999997" customHeight="1" x14ac:dyDescent="0.25">
      <c r="A4115" s="11" t="s">
        <v>9060</v>
      </c>
      <c r="B4115" s="11" t="s">
        <v>9061</v>
      </c>
      <c r="C4115" s="11" t="s">
        <v>137</v>
      </c>
      <c r="D4115" s="11" t="s">
        <v>18</v>
      </c>
      <c r="E4115" s="12" t="s">
        <v>1794</v>
      </c>
      <c r="F4115" s="12" t="s">
        <v>1795</v>
      </c>
      <c r="G4115" s="12" t="s">
        <v>29</v>
      </c>
      <c r="H4115" s="11" t="s">
        <v>63</v>
      </c>
      <c r="I4115" s="13" t="s">
        <v>9062</v>
      </c>
      <c r="J4115" s="14" t="str">
        <f>HYPERLINK("https://www.boe.es/gazeta/dias/1839/02/22/pdfs/GMD-1839-1560.pdf#page=1","Abrir facsímil")</f>
        <v>Abrir facsímil</v>
      </c>
      <c r="K4115" s="12" t="s">
        <v>65</v>
      </c>
    </row>
    <row r="4116" spans="1:11" ht="40.049999999999997" customHeight="1" x14ac:dyDescent="0.25">
      <c r="A4116" s="11" t="s">
        <v>9063</v>
      </c>
      <c r="B4116" s="11" t="s">
        <v>9064</v>
      </c>
      <c r="C4116" s="11" t="s">
        <v>17</v>
      </c>
      <c r="D4116" s="11" t="s">
        <v>18</v>
      </c>
      <c r="E4116" s="12" t="s">
        <v>1512</v>
      </c>
      <c r="F4116" s="12" t="s">
        <v>1513</v>
      </c>
      <c r="G4116" s="12" t="s">
        <v>29</v>
      </c>
      <c r="H4116" s="11" t="s">
        <v>63</v>
      </c>
      <c r="I4116" s="13" t="s">
        <v>9065</v>
      </c>
      <c r="J4116" s="14" t="str">
        <f>HYPERLINK("https://www.boe.es/gazeta/dias/1839/04/13/pdfs/GMD-1839-1610.pdf#page=1","Abrir facsímil")</f>
        <v>Abrir facsímil</v>
      </c>
      <c r="K4116" s="12" t="s">
        <v>65</v>
      </c>
    </row>
    <row r="4117" spans="1:11" ht="40.049999999999997" customHeight="1" x14ac:dyDescent="0.25">
      <c r="A4117" s="11" t="s">
        <v>9063</v>
      </c>
      <c r="B4117" s="11" t="s">
        <v>9064</v>
      </c>
      <c r="C4117" s="11" t="s">
        <v>59</v>
      </c>
      <c r="D4117" s="11" t="s">
        <v>60</v>
      </c>
      <c r="E4117" s="12" t="s">
        <v>1644</v>
      </c>
      <c r="F4117" s="12" t="s">
        <v>1645</v>
      </c>
      <c r="G4117" s="12" t="s">
        <v>29</v>
      </c>
      <c r="H4117" s="11" t="s">
        <v>63</v>
      </c>
      <c r="I4117" s="13" t="s">
        <v>9066</v>
      </c>
      <c r="J4117" s="14" t="str">
        <f>HYPERLINK("https://www.boe.es/gazeta/dias/1839/04/16/pdfs/GMD-1839-1613.pdf#page=1","Abrir facsímil")</f>
        <v>Abrir facsímil</v>
      </c>
      <c r="K4117" s="12" t="s">
        <v>65</v>
      </c>
    </row>
    <row r="4118" spans="1:11" ht="40.049999999999997" customHeight="1" x14ac:dyDescent="0.25">
      <c r="A4118" s="11" t="s">
        <v>9067</v>
      </c>
      <c r="B4118" s="11" t="s">
        <v>9068</v>
      </c>
      <c r="C4118" s="11" t="s">
        <v>17</v>
      </c>
      <c r="D4118" s="11" t="s">
        <v>18</v>
      </c>
      <c r="E4118" s="12" t="s">
        <v>1584</v>
      </c>
      <c r="F4118" s="12" t="s">
        <v>1585</v>
      </c>
      <c r="G4118" s="12" t="s">
        <v>29</v>
      </c>
      <c r="H4118" s="11" t="s">
        <v>22</v>
      </c>
      <c r="I4118" s="13" t="s">
        <v>9069</v>
      </c>
      <c r="J4118" s="14" t="str">
        <f>HYPERLINK("https://www.boe.es/gazeta/dias/1839/11/20/pdfs/GMD-1839-1837.pdf#page=1","Abrir facsímil")</f>
        <v>Abrir facsímil</v>
      </c>
      <c r="K4118" s="12" t="s">
        <v>24</v>
      </c>
    </row>
    <row r="4119" spans="1:11" ht="40.049999999999997" customHeight="1" x14ac:dyDescent="0.25">
      <c r="A4119" s="11" t="s">
        <v>9070</v>
      </c>
      <c r="B4119" s="11" t="s">
        <v>9071</v>
      </c>
      <c r="C4119" s="11" t="s">
        <v>17</v>
      </c>
      <c r="D4119" s="11" t="s">
        <v>18</v>
      </c>
      <c r="E4119" s="12" t="s">
        <v>2881</v>
      </c>
      <c r="F4119" s="12" t="s">
        <v>2882</v>
      </c>
      <c r="G4119" s="12" t="s">
        <v>29</v>
      </c>
      <c r="H4119" s="11" t="s">
        <v>22</v>
      </c>
      <c r="I4119" s="13" t="s">
        <v>9072</v>
      </c>
      <c r="J4119" s="14" t="str">
        <f>HYPERLINK("https://www.boe.es/gazeta/dias/1839/05/08/pdfs/GMD-1839-1635.pdf#page=1","Abrir facsímil")</f>
        <v>Abrir facsímil</v>
      </c>
      <c r="K4119" s="12" t="s">
        <v>24</v>
      </c>
    </row>
    <row r="4120" spans="1:11" ht="40.049999999999997" customHeight="1" x14ac:dyDescent="0.25">
      <c r="A4120" s="11" t="s">
        <v>9073</v>
      </c>
      <c r="B4120" s="11" t="s">
        <v>9074</v>
      </c>
      <c r="C4120" s="11" t="s">
        <v>17</v>
      </c>
      <c r="D4120" s="11" t="s">
        <v>18</v>
      </c>
      <c r="E4120" s="12" t="s">
        <v>1606</v>
      </c>
      <c r="F4120" s="12" t="s">
        <v>1607</v>
      </c>
      <c r="G4120" s="12" t="s">
        <v>29</v>
      </c>
      <c r="H4120" s="11" t="s">
        <v>22</v>
      </c>
      <c r="I4120" s="13" t="s">
        <v>9075</v>
      </c>
      <c r="J4120" s="14" t="str">
        <f>HYPERLINK("https://www.boe.es/gazeta/dias/1839/07/02/pdfs/GMD-1839-1690.pdf#page=1","Abrir facsímil")</f>
        <v>Abrir facsímil</v>
      </c>
      <c r="K4120" s="12" t="s">
        <v>24</v>
      </c>
    </row>
    <row r="4121" spans="1:11" ht="40.049999999999997" customHeight="1" x14ac:dyDescent="0.25">
      <c r="A4121" s="11" t="s">
        <v>9076</v>
      </c>
      <c r="B4121" s="11" t="s">
        <v>9077</v>
      </c>
      <c r="C4121" s="11" t="s">
        <v>17</v>
      </c>
      <c r="D4121" s="11" t="s">
        <v>18</v>
      </c>
      <c r="E4121" s="12" t="s">
        <v>4957</v>
      </c>
      <c r="F4121" s="12" t="s">
        <v>4958</v>
      </c>
      <c r="G4121" s="12" t="s">
        <v>29</v>
      </c>
      <c r="H4121" s="11" t="s">
        <v>22</v>
      </c>
      <c r="I4121" s="13" t="s">
        <v>9078</v>
      </c>
      <c r="J4121" s="14" t="str">
        <f>HYPERLINK("https://www.boe.es/gazeta/dias/1839/11/04/pdfs/GMD-1839-1821.pdf#page=1","Abrir facsímil")</f>
        <v>Abrir facsímil</v>
      </c>
      <c r="K4121" s="12" t="s">
        <v>24</v>
      </c>
    </row>
    <row r="4122" spans="1:11" ht="40.049999999999997" customHeight="1" x14ac:dyDescent="0.25">
      <c r="A4122" s="11" t="s">
        <v>9076</v>
      </c>
      <c r="B4122" s="11" t="s">
        <v>9077</v>
      </c>
      <c r="C4122" s="11" t="s">
        <v>17</v>
      </c>
      <c r="D4122" s="11" t="s">
        <v>18</v>
      </c>
      <c r="E4122" s="12" t="s">
        <v>664</v>
      </c>
      <c r="F4122" s="12" t="s">
        <v>665</v>
      </c>
      <c r="G4122" s="12" t="s">
        <v>40</v>
      </c>
      <c r="H4122" s="11" t="s">
        <v>22</v>
      </c>
      <c r="I4122" s="13" t="s">
        <v>9079</v>
      </c>
      <c r="J4122" s="14" t="str">
        <f>HYPERLINK("https://www.boe.es/gazeta/dias/1839/01/24/pdfs/GMD-1839-1531.pdf#page=2","Abrir facsímil")</f>
        <v>Abrir facsímil</v>
      </c>
      <c r="K4122" s="12" t="s">
        <v>24</v>
      </c>
    </row>
    <row r="4123" spans="1:11" ht="40.049999999999997" customHeight="1" x14ac:dyDescent="0.25">
      <c r="A4123" s="11" t="s">
        <v>9080</v>
      </c>
      <c r="B4123" s="11" t="s">
        <v>9081</v>
      </c>
      <c r="C4123" s="11" t="s">
        <v>17</v>
      </c>
      <c r="D4123" s="11" t="s">
        <v>18</v>
      </c>
      <c r="E4123" s="12" t="s">
        <v>1772</v>
      </c>
      <c r="F4123" s="12" t="s">
        <v>1773</v>
      </c>
      <c r="G4123" s="12" t="s">
        <v>29</v>
      </c>
      <c r="H4123" s="11" t="s">
        <v>22</v>
      </c>
      <c r="I4123" s="13" t="s">
        <v>9082</v>
      </c>
      <c r="J4123" s="14" t="str">
        <f>HYPERLINK("https://www.boe.es/gazeta/dias/1839/05/07/pdfs/GMD-1839-1634.pdf#page=1","Abrir facsímil")</f>
        <v>Abrir facsímil</v>
      </c>
      <c r="K4123" s="12" t="s">
        <v>24</v>
      </c>
    </row>
    <row r="4124" spans="1:11" ht="40.049999999999997" customHeight="1" x14ac:dyDescent="0.25">
      <c r="A4124" s="11" t="s">
        <v>9083</v>
      </c>
      <c r="B4124" s="11" t="s">
        <v>9084</v>
      </c>
      <c r="C4124" s="11" t="s">
        <v>17</v>
      </c>
      <c r="D4124" s="11" t="s">
        <v>18</v>
      </c>
      <c r="E4124" s="12" t="s">
        <v>420</v>
      </c>
      <c r="F4124" s="12" t="s">
        <v>421</v>
      </c>
      <c r="G4124" s="12" t="s">
        <v>29</v>
      </c>
      <c r="H4124" s="11" t="s">
        <v>22</v>
      </c>
      <c r="I4124" s="13" t="s">
        <v>9085</v>
      </c>
      <c r="J4124" s="14" t="str">
        <f>HYPERLINK("https://www.boe.es/gazeta/dias/1839/03/12/pdfs/GMD-1839-1578.pdf#page=1","Abrir facsímil")</f>
        <v>Abrir facsímil</v>
      </c>
      <c r="K4124" s="12" t="s">
        <v>24</v>
      </c>
    </row>
    <row r="4125" spans="1:11" ht="40.049999999999997" customHeight="1" x14ac:dyDescent="0.25">
      <c r="A4125" s="11" t="s">
        <v>9086</v>
      </c>
      <c r="B4125" s="11" t="s">
        <v>9087</v>
      </c>
      <c r="C4125" s="11" t="s">
        <v>17</v>
      </c>
      <c r="D4125" s="11" t="s">
        <v>18</v>
      </c>
      <c r="E4125" s="12" t="s">
        <v>809</v>
      </c>
      <c r="F4125" s="12" t="s">
        <v>810</v>
      </c>
      <c r="G4125" s="12" t="s">
        <v>29</v>
      </c>
      <c r="H4125" s="11" t="s">
        <v>22</v>
      </c>
      <c r="I4125" s="13" t="s">
        <v>9088</v>
      </c>
      <c r="J4125" s="14" t="str">
        <f>HYPERLINK("https://www.boe.es/gazeta/dias/1839/02/11/pdfs/GMD-1839-1549.pdf#page=1","Abrir facsímil")</f>
        <v>Abrir facsímil</v>
      </c>
      <c r="K4125" s="12" t="s">
        <v>24</v>
      </c>
    </row>
    <row r="4126" spans="1:11" ht="40.049999999999997" customHeight="1" x14ac:dyDescent="0.25">
      <c r="A4126" s="11" t="s">
        <v>9086</v>
      </c>
      <c r="B4126" s="11" t="s">
        <v>9087</v>
      </c>
      <c r="C4126" s="11" t="s">
        <v>17</v>
      </c>
      <c r="D4126" s="11" t="s">
        <v>18</v>
      </c>
      <c r="E4126" s="12" t="s">
        <v>4186</v>
      </c>
      <c r="F4126" s="12" t="s">
        <v>4187</v>
      </c>
      <c r="G4126" s="12" t="s">
        <v>29</v>
      </c>
      <c r="H4126" s="11" t="s">
        <v>22</v>
      </c>
      <c r="I4126" s="13" t="s">
        <v>9089</v>
      </c>
      <c r="J4126" s="14" t="str">
        <f>HYPERLINK("https://www.boe.es/gazeta/dias/1839/12/12/pdfs/GMD-1839-1859.pdf#page=1","Abrir facsímil")</f>
        <v>Abrir facsímil</v>
      </c>
      <c r="K4126" s="12" t="s">
        <v>24</v>
      </c>
    </row>
    <row r="4127" spans="1:11" ht="40.049999999999997" customHeight="1" x14ac:dyDescent="0.25">
      <c r="A4127" s="11" t="s">
        <v>9090</v>
      </c>
      <c r="B4127" s="11" t="s">
        <v>9091</v>
      </c>
      <c r="C4127" s="11" t="s">
        <v>17</v>
      </c>
      <c r="D4127" s="11" t="s">
        <v>18</v>
      </c>
      <c r="E4127" s="12" t="s">
        <v>1388</v>
      </c>
      <c r="F4127" s="12" t="s">
        <v>1389</v>
      </c>
      <c r="G4127" s="12" t="s">
        <v>46</v>
      </c>
      <c r="H4127" s="11" t="s">
        <v>63</v>
      </c>
      <c r="I4127" s="13" t="s">
        <v>9092</v>
      </c>
      <c r="J4127" s="14" t="str">
        <f>HYPERLINK("https://www.boe.es/gazeta/dias/1839/06/04/pdfs/GMD-1839-1662.pdf#page=3","Abrir facsímil")</f>
        <v>Abrir facsímil</v>
      </c>
      <c r="K4127" s="12" t="s">
        <v>65</v>
      </c>
    </row>
    <row r="4128" spans="1:11" ht="40.049999999999997" customHeight="1" x14ac:dyDescent="0.25">
      <c r="A4128" s="11" t="s">
        <v>9090</v>
      </c>
      <c r="B4128" s="11" t="s">
        <v>9091</v>
      </c>
      <c r="C4128" s="11" t="s">
        <v>17</v>
      </c>
      <c r="D4128" s="11" t="s">
        <v>18</v>
      </c>
      <c r="E4128" s="12" t="s">
        <v>340</v>
      </c>
      <c r="F4128" s="12" t="s">
        <v>341</v>
      </c>
      <c r="G4128" s="12" t="s">
        <v>21</v>
      </c>
      <c r="H4128" s="11" t="s">
        <v>63</v>
      </c>
      <c r="I4128" s="13" t="s">
        <v>9093</v>
      </c>
      <c r="J4128" s="14" t="str">
        <f>HYPERLINK("https://www.boe.es/gazeta/dias/1839/03/19/pdfs/GMD-1839-1585.pdf#page=4","Abrir facsímil")</f>
        <v>Abrir facsímil</v>
      </c>
      <c r="K4128" s="12" t="s">
        <v>65</v>
      </c>
    </row>
    <row r="4129" spans="1:11" ht="40.049999999999997" customHeight="1" x14ac:dyDescent="0.25">
      <c r="A4129" s="11" t="s">
        <v>9094</v>
      </c>
      <c r="B4129" s="11" t="s">
        <v>9095</v>
      </c>
      <c r="C4129" s="11" t="s">
        <v>17</v>
      </c>
      <c r="D4129" s="11" t="s">
        <v>18</v>
      </c>
      <c r="E4129" s="12" t="s">
        <v>299</v>
      </c>
      <c r="F4129" s="12" t="s">
        <v>300</v>
      </c>
      <c r="G4129" s="12" t="s">
        <v>46</v>
      </c>
      <c r="H4129" s="11" t="s">
        <v>63</v>
      </c>
      <c r="I4129" s="13" t="s">
        <v>9096</v>
      </c>
      <c r="J4129" s="14" t="str">
        <f>HYPERLINK("https://www.boe.es/gazeta/dias/1839/02/14/pdfs/GMD-1839-1552.pdf#page=3","Abrir facsímil")</f>
        <v>Abrir facsímil</v>
      </c>
      <c r="K4129" s="12" t="s">
        <v>65</v>
      </c>
    </row>
    <row r="4130" spans="1:11" ht="40.049999999999997" customHeight="1" x14ac:dyDescent="0.25">
      <c r="A4130" s="11" t="s">
        <v>9097</v>
      </c>
      <c r="B4130" s="11" t="s">
        <v>9098</v>
      </c>
      <c r="C4130" s="11" t="s">
        <v>137</v>
      </c>
      <c r="D4130" s="11" t="s">
        <v>18</v>
      </c>
      <c r="E4130" s="12" t="s">
        <v>1497</v>
      </c>
      <c r="F4130" s="12" t="s">
        <v>1498</v>
      </c>
      <c r="G4130" s="12" t="s">
        <v>21</v>
      </c>
      <c r="H4130" s="11" t="s">
        <v>63</v>
      </c>
      <c r="I4130" s="13" t="s">
        <v>9099</v>
      </c>
      <c r="J4130" s="14" t="str">
        <f>HYPERLINK("https://www.boe.es/gazeta/dias/1839/08/23/pdfs/GMD-1839-1744.pdf#page=4","Abrir facsímil")</f>
        <v>Abrir facsímil</v>
      </c>
      <c r="K4130" s="12" t="s">
        <v>65</v>
      </c>
    </row>
    <row r="4131" spans="1:11" ht="40.049999999999997" customHeight="1" x14ac:dyDescent="0.25">
      <c r="A4131" s="11" t="s">
        <v>9100</v>
      </c>
      <c r="B4131" s="11" t="s">
        <v>9101</v>
      </c>
      <c r="C4131" s="11" t="s">
        <v>101</v>
      </c>
      <c r="D4131" s="11" t="s">
        <v>43</v>
      </c>
      <c r="E4131" s="12" t="s">
        <v>775</v>
      </c>
      <c r="F4131" s="12" t="s">
        <v>776</v>
      </c>
      <c r="G4131" s="12" t="s">
        <v>46</v>
      </c>
      <c r="H4131" s="11" t="s">
        <v>63</v>
      </c>
      <c r="I4131" s="13" t="s">
        <v>9102</v>
      </c>
      <c r="J4131" s="14" t="str">
        <f>HYPERLINK("https://www.boe.es/gazeta/dias/1839/02/25/pdfs/GMD-1839-1563.pdf#page=3","Abrir facsímil")</f>
        <v>Abrir facsímil</v>
      </c>
      <c r="K4131" s="12" t="s">
        <v>65</v>
      </c>
    </row>
    <row r="4132" spans="1:11" ht="40.049999999999997" customHeight="1" x14ac:dyDescent="0.25">
      <c r="A4132" s="11" t="s">
        <v>9103</v>
      </c>
      <c r="B4132" s="11" t="s">
        <v>9104</v>
      </c>
      <c r="C4132" s="11" t="s">
        <v>137</v>
      </c>
      <c r="D4132" s="11" t="s">
        <v>18</v>
      </c>
      <c r="E4132" s="12" t="s">
        <v>2227</v>
      </c>
      <c r="F4132" s="12" t="s">
        <v>2228</v>
      </c>
      <c r="G4132" s="12" t="s">
        <v>40</v>
      </c>
      <c r="H4132" s="11" t="s">
        <v>63</v>
      </c>
      <c r="I4132" s="13" t="s">
        <v>9105</v>
      </c>
      <c r="J4132" s="14" t="str">
        <f>HYPERLINK("https://www.boe.es/gazeta/dias/1839/12/04/pdfs/GMD-1839-1851.pdf#page=2","Abrir facsímil")</f>
        <v>Abrir facsímil</v>
      </c>
      <c r="K4132" s="12" t="s">
        <v>65</v>
      </c>
    </row>
    <row r="4133" spans="1:11" ht="40.049999999999997" customHeight="1" x14ac:dyDescent="0.25">
      <c r="A4133" s="11" t="s">
        <v>9106</v>
      </c>
      <c r="B4133" s="11" t="s">
        <v>9107</v>
      </c>
      <c r="C4133" s="11" t="s">
        <v>17</v>
      </c>
      <c r="D4133" s="11" t="s">
        <v>18</v>
      </c>
      <c r="E4133" s="12" t="s">
        <v>111</v>
      </c>
      <c r="F4133" s="12" t="s">
        <v>112</v>
      </c>
      <c r="G4133" s="12" t="s">
        <v>29</v>
      </c>
      <c r="H4133" s="11" t="s">
        <v>63</v>
      </c>
      <c r="I4133" s="13" t="s">
        <v>9108</v>
      </c>
      <c r="J4133" s="14" t="str">
        <f>HYPERLINK("https://www.boe.es/gazeta/dias/1839/07/25/pdfs/GMD-1839-1714.pdf#page=1","Abrir facsímil")</f>
        <v>Abrir facsímil</v>
      </c>
      <c r="K4133" s="12" t="s">
        <v>65</v>
      </c>
    </row>
    <row r="4134" spans="1:11" ht="40.049999999999997" customHeight="1" x14ac:dyDescent="0.25">
      <c r="A4134" s="11" t="s">
        <v>9109</v>
      </c>
      <c r="B4134" s="11" t="s">
        <v>9110</v>
      </c>
      <c r="C4134" s="11" t="s">
        <v>137</v>
      </c>
      <c r="D4134" s="11" t="s">
        <v>18</v>
      </c>
      <c r="E4134" s="12" t="s">
        <v>76</v>
      </c>
      <c r="F4134" s="12" t="s">
        <v>77</v>
      </c>
      <c r="G4134" s="12" t="s">
        <v>40</v>
      </c>
      <c r="H4134" s="11" t="s">
        <v>63</v>
      </c>
      <c r="I4134" s="13" t="s">
        <v>9111</v>
      </c>
      <c r="J4134" s="14" t="str">
        <f>HYPERLINK("https://www.boe.es/gazeta/dias/1839/03/13/pdfs/GMD-1839-1579.pdf#page=2","Abrir facsímil")</f>
        <v>Abrir facsímil</v>
      </c>
      <c r="K4134" s="12" t="s">
        <v>65</v>
      </c>
    </row>
    <row r="4135" spans="1:11" ht="40.049999999999997" customHeight="1" x14ac:dyDescent="0.25">
      <c r="A4135" s="11" t="s">
        <v>9109</v>
      </c>
      <c r="B4135" s="11" t="s">
        <v>9110</v>
      </c>
      <c r="C4135" s="11" t="s">
        <v>17</v>
      </c>
      <c r="D4135" s="11" t="s">
        <v>18</v>
      </c>
      <c r="E4135" s="12" t="s">
        <v>736</v>
      </c>
      <c r="F4135" s="12" t="s">
        <v>737</v>
      </c>
      <c r="G4135" s="12" t="s">
        <v>46</v>
      </c>
      <c r="H4135" s="11" t="s">
        <v>63</v>
      </c>
      <c r="I4135" s="13" t="s">
        <v>9112</v>
      </c>
      <c r="J4135" s="14" t="str">
        <f>HYPERLINK("https://www.boe.es/gazeta/dias/1839/10/13/pdfs/GMD-1839-1799.pdf#page=3","Abrir facsímil")</f>
        <v>Abrir facsímil</v>
      </c>
      <c r="K4135" s="12" t="s">
        <v>65</v>
      </c>
    </row>
    <row r="4136" spans="1:11" ht="40.049999999999997" customHeight="1" x14ac:dyDescent="0.25">
      <c r="A4136" s="11" t="s">
        <v>9113</v>
      </c>
      <c r="B4136" s="11" t="s">
        <v>9114</v>
      </c>
      <c r="C4136" s="11" t="s">
        <v>101</v>
      </c>
      <c r="D4136" s="11" t="s">
        <v>102</v>
      </c>
      <c r="E4136" s="12" t="s">
        <v>2919</v>
      </c>
      <c r="F4136" s="12" t="s">
        <v>2920</v>
      </c>
      <c r="G4136" s="12" t="s">
        <v>40</v>
      </c>
      <c r="H4136" s="11" t="s">
        <v>63</v>
      </c>
      <c r="I4136" s="13" t="s">
        <v>9115</v>
      </c>
      <c r="J4136" s="14" t="str">
        <f>HYPERLINK("https://www.boe.es/gazeta/dias/1839/11/12/pdfs/GMD-1839-1829.pdf#page=2","Abrir facsímil")</f>
        <v>Abrir facsímil</v>
      </c>
      <c r="K4136" s="12" t="s">
        <v>65</v>
      </c>
    </row>
    <row r="4137" spans="1:11" ht="40.049999999999997" customHeight="1" x14ac:dyDescent="0.25">
      <c r="A4137" s="11" t="s">
        <v>9116</v>
      </c>
      <c r="B4137" s="11" t="s">
        <v>9117</v>
      </c>
      <c r="C4137" s="11" t="s">
        <v>137</v>
      </c>
      <c r="D4137" s="11" t="s">
        <v>18</v>
      </c>
      <c r="E4137" s="12" t="s">
        <v>744</v>
      </c>
      <c r="F4137" s="12" t="s">
        <v>745</v>
      </c>
      <c r="G4137" s="12" t="s">
        <v>21</v>
      </c>
      <c r="H4137" s="11" t="s">
        <v>63</v>
      </c>
      <c r="I4137" s="13" t="s">
        <v>9118</v>
      </c>
      <c r="J4137" s="14" t="str">
        <f>HYPERLINK("https://www.boe.es/gazeta/dias/1839/12/09/pdfs/GMD-1839-1856.pdf#page=4","Abrir facsímil")</f>
        <v>Abrir facsímil</v>
      </c>
      <c r="K4137" s="12" t="s">
        <v>65</v>
      </c>
    </row>
    <row r="4138" spans="1:11" ht="40.049999999999997" customHeight="1" x14ac:dyDescent="0.25">
      <c r="A4138" s="11" t="s">
        <v>9116</v>
      </c>
      <c r="B4138" s="11" t="s">
        <v>9117</v>
      </c>
      <c r="C4138" s="11" t="s">
        <v>17</v>
      </c>
      <c r="D4138" s="11" t="s">
        <v>18</v>
      </c>
      <c r="E4138" s="12" t="s">
        <v>1284</v>
      </c>
      <c r="F4138" s="12" t="s">
        <v>1285</v>
      </c>
      <c r="G4138" s="12" t="s">
        <v>21</v>
      </c>
      <c r="H4138" s="11" t="s">
        <v>63</v>
      </c>
      <c r="I4138" s="13" t="s">
        <v>9119</v>
      </c>
      <c r="J4138" s="14" t="str">
        <f>HYPERLINK("https://www.boe.es/gazeta/dias/1839/03/27/pdfs/GMD-1839-1593.pdf#page=4","Abrir facsímil")</f>
        <v>Abrir facsímil</v>
      </c>
      <c r="K4138" s="12" t="s">
        <v>65</v>
      </c>
    </row>
    <row r="4139" spans="1:11" ht="40.049999999999997" customHeight="1" x14ac:dyDescent="0.25">
      <c r="A4139" s="11" t="s">
        <v>9120</v>
      </c>
      <c r="B4139" s="11" t="s">
        <v>9121</v>
      </c>
      <c r="C4139" s="11" t="s">
        <v>59</v>
      </c>
      <c r="D4139" s="11" t="s">
        <v>60</v>
      </c>
      <c r="E4139" s="12" t="s">
        <v>1388</v>
      </c>
      <c r="F4139" s="12" t="s">
        <v>1389</v>
      </c>
      <c r="G4139" s="12" t="s">
        <v>29</v>
      </c>
      <c r="H4139" s="11" t="s">
        <v>63</v>
      </c>
      <c r="I4139" s="13" t="s">
        <v>9122</v>
      </c>
      <c r="J4139" s="14" t="str">
        <f>HYPERLINK("https://www.boe.es/gazeta/dias/1839/06/04/pdfs/GMD-1839-1662.pdf#page=1","Abrir facsímil")</f>
        <v>Abrir facsímil</v>
      </c>
      <c r="K4139" s="12" t="s">
        <v>65</v>
      </c>
    </row>
    <row r="4140" spans="1:11" ht="40.049999999999997" customHeight="1" x14ac:dyDescent="0.25">
      <c r="A4140" s="11" t="s">
        <v>9123</v>
      </c>
      <c r="B4140" s="11" t="s">
        <v>9124</v>
      </c>
      <c r="C4140" s="11" t="s">
        <v>17</v>
      </c>
      <c r="D4140" s="11" t="s">
        <v>18</v>
      </c>
      <c r="E4140" s="12" t="s">
        <v>222</v>
      </c>
      <c r="F4140" s="12" t="s">
        <v>223</v>
      </c>
      <c r="G4140" s="12" t="s">
        <v>21</v>
      </c>
      <c r="H4140" s="11" t="s">
        <v>63</v>
      </c>
      <c r="I4140" s="13" t="s">
        <v>9125</v>
      </c>
      <c r="J4140" s="14" t="str">
        <f>HYPERLINK("https://www.boe.es/gazeta/dias/1839/06/22/pdfs/GMD-1839-1680.pdf#page=4","Abrir facsímil")</f>
        <v>Abrir facsímil</v>
      </c>
      <c r="K4140" s="12" t="s">
        <v>65</v>
      </c>
    </row>
    <row r="4141" spans="1:11" ht="40.049999999999997" customHeight="1" x14ac:dyDescent="0.25">
      <c r="A4141" s="11" t="s">
        <v>9126</v>
      </c>
      <c r="B4141" s="11" t="s">
        <v>9127</v>
      </c>
      <c r="C4141" s="11" t="s">
        <v>17</v>
      </c>
      <c r="D4141" s="11" t="s">
        <v>43</v>
      </c>
      <c r="E4141" s="12" t="s">
        <v>821</v>
      </c>
      <c r="F4141" s="12" t="s">
        <v>822</v>
      </c>
      <c r="G4141" s="12" t="s">
        <v>21</v>
      </c>
      <c r="H4141" s="11" t="s">
        <v>63</v>
      </c>
      <c r="I4141" s="13" t="s">
        <v>9128</v>
      </c>
      <c r="J4141" s="14" t="str">
        <f>HYPERLINK("https://www.boe.es/gazeta/dias/1839/09/20/pdfs/GMD-1839-1775.pdf#page=4","Abrir facsímil")</f>
        <v>Abrir facsímil</v>
      </c>
      <c r="K4141" s="12" t="s">
        <v>65</v>
      </c>
    </row>
    <row r="4142" spans="1:11" ht="40.049999999999997" customHeight="1" x14ac:dyDescent="0.25">
      <c r="A4142" s="11" t="s">
        <v>9129</v>
      </c>
      <c r="B4142" s="11" t="s">
        <v>9130</v>
      </c>
      <c r="C4142" s="11" t="s">
        <v>17</v>
      </c>
      <c r="D4142" s="11" t="s">
        <v>18</v>
      </c>
      <c r="E4142" s="12" t="s">
        <v>212</v>
      </c>
      <c r="F4142" s="12" t="s">
        <v>213</v>
      </c>
      <c r="G4142" s="12" t="s">
        <v>29</v>
      </c>
      <c r="H4142" s="11" t="s">
        <v>63</v>
      </c>
      <c r="I4142" s="13" t="s">
        <v>9131</v>
      </c>
      <c r="J4142" s="14" t="str">
        <f>HYPERLINK("https://www.boe.es/gazeta/dias/1839/10/03/pdfs/GMD-1839-1789.pdf#page=1","Abrir facsímil")</f>
        <v>Abrir facsímil</v>
      </c>
      <c r="K4142" s="12" t="s">
        <v>65</v>
      </c>
    </row>
    <row r="4143" spans="1:11" ht="40.049999999999997" customHeight="1" x14ac:dyDescent="0.25">
      <c r="A4143" s="11" t="s">
        <v>9129</v>
      </c>
      <c r="B4143" s="11" t="s">
        <v>9130</v>
      </c>
      <c r="C4143" s="11" t="s">
        <v>101</v>
      </c>
      <c r="D4143" s="11" t="s">
        <v>102</v>
      </c>
      <c r="E4143" s="12" t="s">
        <v>1725</v>
      </c>
      <c r="F4143" s="12" t="s">
        <v>1726</v>
      </c>
      <c r="G4143" s="12" t="s">
        <v>29</v>
      </c>
      <c r="H4143" s="11" t="s">
        <v>63</v>
      </c>
      <c r="I4143" s="13" t="s">
        <v>9132</v>
      </c>
      <c r="J4143" s="14" t="str">
        <f>HYPERLINK("https://www.boe.es/gazeta/dias/1839/11/17/pdfs/GMD-1839-1834.pdf#page=1","Abrir facsímil")</f>
        <v>Abrir facsímil</v>
      </c>
      <c r="K4143" s="12" t="s">
        <v>65</v>
      </c>
    </row>
    <row r="4144" spans="1:11" ht="40.049999999999997" customHeight="1" x14ac:dyDescent="0.25">
      <c r="A4144" s="11" t="s">
        <v>9129</v>
      </c>
      <c r="B4144" s="11" t="s">
        <v>9130</v>
      </c>
      <c r="C4144" s="11" t="s">
        <v>101</v>
      </c>
      <c r="D4144" s="11" t="s">
        <v>43</v>
      </c>
      <c r="E4144" s="12" t="s">
        <v>483</v>
      </c>
      <c r="F4144" s="12" t="s">
        <v>484</v>
      </c>
      <c r="G4144" s="12" t="s">
        <v>29</v>
      </c>
      <c r="H4144" s="11" t="s">
        <v>63</v>
      </c>
      <c r="I4144" s="13" t="s">
        <v>9133</v>
      </c>
      <c r="J4144" s="14" t="str">
        <f>HYPERLINK("https://www.boe.es/gazeta/dias/1839/11/18/pdfs/GMD-1839-1835.pdf#page=1","Abrir facsímil")</f>
        <v>Abrir facsímil</v>
      </c>
      <c r="K4144" s="12" t="s">
        <v>65</v>
      </c>
    </row>
    <row r="4145" spans="1:11" ht="40.049999999999997" customHeight="1" x14ac:dyDescent="0.25">
      <c r="A4145" s="11" t="s">
        <v>9129</v>
      </c>
      <c r="B4145" s="11" t="s">
        <v>9130</v>
      </c>
      <c r="C4145" s="11" t="s">
        <v>17</v>
      </c>
      <c r="D4145" s="11" t="s">
        <v>18</v>
      </c>
      <c r="E4145" s="12" t="s">
        <v>1584</v>
      </c>
      <c r="F4145" s="12" t="s">
        <v>1585</v>
      </c>
      <c r="G4145" s="12" t="s">
        <v>46</v>
      </c>
      <c r="H4145" s="11" t="s">
        <v>63</v>
      </c>
      <c r="I4145" s="13" t="s">
        <v>9134</v>
      </c>
      <c r="J4145" s="14" t="str">
        <f>HYPERLINK("https://www.boe.es/gazeta/dias/1839/11/20/pdfs/GMD-1839-1837.pdf#page=3","Abrir facsímil")</f>
        <v>Abrir facsímil</v>
      </c>
      <c r="K4145" s="12" t="s">
        <v>65</v>
      </c>
    </row>
    <row r="4146" spans="1:11" ht="40.049999999999997" customHeight="1" x14ac:dyDescent="0.25">
      <c r="A4146" s="11" t="s">
        <v>9135</v>
      </c>
      <c r="B4146" s="11" t="s">
        <v>9136</v>
      </c>
      <c r="C4146" s="11" t="s">
        <v>17</v>
      </c>
      <c r="D4146" s="11" t="s">
        <v>18</v>
      </c>
      <c r="E4146" s="12" t="s">
        <v>4292</v>
      </c>
      <c r="F4146" s="12" t="s">
        <v>4293</v>
      </c>
      <c r="G4146" s="12" t="s">
        <v>29</v>
      </c>
      <c r="H4146" s="11" t="s">
        <v>63</v>
      </c>
      <c r="I4146" s="13" t="s">
        <v>9137</v>
      </c>
      <c r="J4146" s="14" t="str">
        <f>HYPERLINK("https://www.boe.es/gazeta/dias/1839/11/29/pdfs/GMD-1839-1846.pdf#page=1","Abrir facsímil")</f>
        <v>Abrir facsímil</v>
      </c>
      <c r="K4146" s="12" t="s">
        <v>65</v>
      </c>
    </row>
    <row r="4147" spans="1:11" ht="40.049999999999997" customHeight="1" x14ac:dyDescent="0.25">
      <c r="A4147" s="11" t="s">
        <v>9138</v>
      </c>
      <c r="B4147" s="11" t="s">
        <v>9139</v>
      </c>
      <c r="C4147" s="11" t="s">
        <v>17</v>
      </c>
      <c r="D4147" s="11" t="s">
        <v>18</v>
      </c>
      <c r="E4147" s="12" t="s">
        <v>1118</v>
      </c>
      <c r="F4147" s="12" t="s">
        <v>1119</v>
      </c>
      <c r="G4147" s="12" t="s">
        <v>21</v>
      </c>
      <c r="H4147" s="11" t="s">
        <v>63</v>
      </c>
      <c r="I4147" s="13" t="s">
        <v>9140</v>
      </c>
      <c r="J4147" s="14" t="str">
        <f>HYPERLINK("https://www.boe.es/gazeta/dias/1839/08/30/pdfs/GMD-1839-1751.pdf#page=4","Abrir facsímil")</f>
        <v>Abrir facsímil</v>
      </c>
      <c r="K4147" s="12" t="s">
        <v>65</v>
      </c>
    </row>
    <row r="4148" spans="1:11" ht="40.049999999999997" customHeight="1" x14ac:dyDescent="0.25">
      <c r="A4148" s="11" t="s">
        <v>9141</v>
      </c>
      <c r="B4148" s="11" t="s">
        <v>9142</v>
      </c>
      <c r="C4148" s="11" t="s">
        <v>17</v>
      </c>
      <c r="D4148" s="11" t="s">
        <v>18</v>
      </c>
      <c r="E4148" s="12" t="s">
        <v>1136</v>
      </c>
      <c r="F4148" s="12" t="s">
        <v>1137</v>
      </c>
      <c r="G4148" s="12" t="s">
        <v>46</v>
      </c>
      <c r="H4148" s="11" t="s">
        <v>63</v>
      </c>
      <c r="I4148" s="13" t="s">
        <v>9143</v>
      </c>
      <c r="J4148" s="14" t="str">
        <f>HYPERLINK("https://www.boe.es/gazeta/dias/1839/04/03/pdfs/GMD-1839-1600.pdf#page=3","Abrir facsímil")</f>
        <v>Abrir facsímil</v>
      </c>
      <c r="K4148" s="12" t="s">
        <v>65</v>
      </c>
    </row>
    <row r="4149" spans="1:11" ht="40.049999999999997" customHeight="1" x14ac:dyDescent="0.25">
      <c r="A4149" s="11" t="s">
        <v>9141</v>
      </c>
      <c r="B4149" s="11" t="s">
        <v>9142</v>
      </c>
      <c r="C4149" s="11" t="s">
        <v>17</v>
      </c>
      <c r="D4149" s="11" t="s">
        <v>18</v>
      </c>
      <c r="E4149" s="12" t="s">
        <v>346</v>
      </c>
      <c r="F4149" s="12" t="s">
        <v>347</v>
      </c>
      <c r="G4149" s="12" t="s">
        <v>29</v>
      </c>
      <c r="H4149" s="11" t="s">
        <v>63</v>
      </c>
      <c r="I4149" s="13" t="s">
        <v>9144</v>
      </c>
      <c r="J4149" s="14" t="str">
        <f>HYPERLINK("https://www.boe.es/gazeta/dias/1839/03/24/pdfs/GMD-1839-1590.pdf#page=1","Abrir facsímil")</f>
        <v>Abrir facsímil</v>
      </c>
      <c r="K4149" s="12" t="s">
        <v>65</v>
      </c>
    </row>
    <row r="4150" spans="1:11" ht="40.049999999999997" customHeight="1" x14ac:dyDescent="0.25">
      <c r="A4150" s="11" t="s">
        <v>9145</v>
      </c>
      <c r="B4150" s="11" t="s">
        <v>9146</v>
      </c>
      <c r="C4150" s="11" t="s">
        <v>80</v>
      </c>
      <c r="D4150" s="11" t="s">
        <v>18</v>
      </c>
      <c r="E4150" s="12" t="s">
        <v>303</v>
      </c>
      <c r="F4150" s="12" t="s">
        <v>304</v>
      </c>
      <c r="G4150" s="12" t="s">
        <v>305</v>
      </c>
      <c r="H4150" s="11" t="s">
        <v>22</v>
      </c>
      <c r="I4150" s="13" t="s">
        <v>9147</v>
      </c>
      <c r="J4150" s="14" t="str">
        <f>HYPERLINK("https://www.boe.es/gazeta/dias/1839/10/06/pdfs/GMD-1839-1792.pdf#page=6","Abrir facsímil")</f>
        <v>Abrir facsímil</v>
      </c>
      <c r="K4150" s="12" t="s">
        <v>24</v>
      </c>
    </row>
    <row r="4151" spans="1:11" ht="40.049999999999997" customHeight="1" x14ac:dyDescent="0.25">
      <c r="A4151" s="11" t="s">
        <v>9148</v>
      </c>
      <c r="B4151" s="11" t="s">
        <v>9149</v>
      </c>
      <c r="C4151" s="11" t="s">
        <v>80</v>
      </c>
      <c r="D4151" s="11" t="s">
        <v>18</v>
      </c>
      <c r="E4151" s="12" t="s">
        <v>262</v>
      </c>
      <c r="F4151" s="12" t="s">
        <v>263</v>
      </c>
      <c r="G4151" s="12" t="s">
        <v>21</v>
      </c>
      <c r="H4151" s="11" t="s">
        <v>63</v>
      </c>
      <c r="I4151" s="13" t="s">
        <v>9150</v>
      </c>
      <c r="J4151" s="14" t="str">
        <f>HYPERLINK("https://www.boe.es/gazeta/dias/1839/01/01/pdfs/GMD-1839-1508.pdf#page=4","Abrir facsímil")</f>
        <v>Abrir facsímil</v>
      </c>
      <c r="K4151" s="12" t="s">
        <v>65</v>
      </c>
    </row>
    <row r="4152" spans="1:11" ht="40.049999999999997" customHeight="1" x14ac:dyDescent="0.25">
      <c r="A4152" s="11" t="s">
        <v>9151</v>
      </c>
      <c r="B4152" s="11" t="s">
        <v>9152</v>
      </c>
      <c r="C4152" s="11" t="s">
        <v>17</v>
      </c>
      <c r="D4152" s="11" t="s">
        <v>18</v>
      </c>
      <c r="E4152" s="12" t="s">
        <v>998</v>
      </c>
      <c r="F4152" s="12" t="s">
        <v>999</v>
      </c>
      <c r="G4152" s="12" t="s">
        <v>29</v>
      </c>
      <c r="H4152" s="11" t="s">
        <v>63</v>
      </c>
      <c r="I4152" s="13" t="s">
        <v>9153</v>
      </c>
      <c r="J4152" s="14" t="str">
        <f>HYPERLINK("https://www.boe.es/gazeta/dias/1839/05/06/pdfs/GMD-1839-1633.pdf#page=1","Abrir facsímil")</f>
        <v>Abrir facsímil</v>
      </c>
      <c r="K4152" s="12" t="s">
        <v>65</v>
      </c>
    </row>
    <row r="4153" spans="1:11" ht="40.049999999999997" customHeight="1" x14ac:dyDescent="0.25">
      <c r="A4153" s="11" t="s">
        <v>9154</v>
      </c>
      <c r="B4153" s="11" t="s">
        <v>9155</v>
      </c>
      <c r="C4153" s="11" t="s">
        <v>137</v>
      </c>
      <c r="D4153" s="11" t="s">
        <v>18</v>
      </c>
      <c r="E4153" s="12" t="s">
        <v>926</v>
      </c>
      <c r="F4153" s="12" t="s">
        <v>927</v>
      </c>
      <c r="G4153" s="12" t="s">
        <v>29</v>
      </c>
      <c r="H4153" s="11" t="s">
        <v>63</v>
      </c>
      <c r="I4153" s="13" t="s">
        <v>9156</v>
      </c>
      <c r="J4153" s="14" t="str">
        <f>HYPERLINK("https://www.boe.es/gazeta/dias/1839/01/25/pdfs/GMD-1839-1532.pdf#page=1","Abrir facsímil")</f>
        <v>Abrir facsímil</v>
      </c>
      <c r="K4153" s="12" t="s">
        <v>65</v>
      </c>
    </row>
    <row r="4154" spans="1:11" ht="40.049999999999997" customHeight="1" x14ac:dyDescent="0.25">
      <c r="A4154" s="11" t="s">
        <v>9157</v>
      </c>
      <c r="B4154" s="11" t="s">
        <v>9158</v>
      </c>
      <c r="C4154" s="11" t="s">
        <v>80</v>
      </c>
      <c r="D4154" s="11" t="s">
        <v>18</v>
      </c>
      <c r="E4154" s="12" t="s">
        <v>513</v>
      </c>
      <c r="F4154" s="12" t="s">
        <v>514</v>
      </c>
      <c r="G4154" s="12" t="s">
        <v>29</v>
      </c>
      <c r="H4154" s="11" t="s">
        <v>63</v>
      </c>
      <c r="I4154" s="13" t="s">
        <v>9159</v>
      </c>
      <c r="J4154" s="14" t="str">
        <f>HYPERLINK("https://www.boe.es/gazeta/dias/1839/03/17/pdfs/GMD-1839-1583.pdf#page=1","Abrir facsímil")</f>
        <v>Abrir facsímil</v>
      </c>
      <c r="K4154" s="12" t="s">
        <v>65</v>
      </c>
    </row>
    <row r="4155" spans="1:11" ht="40.049999999999997" customHeight="1" x14ac:dyDescent="0.25">
      <c r="A4155" s="11" t="s">
        <v>9160</v>
      </c>
      <c r="B4155" s="11" t="s">
        <v>9161</v>
      </c>
      <c r="C4155" s="11" t="s">
        <v>59</v>
      </c>
      <c r="D4155" s="11" t="s">
        <v>60</v>
      </c>
      <c r="E4155" s="12" t="s">
        <v>89</v>
      </c>
      <c r="F4155" s="12" t="s">
        <v>90</v>
      </c>
      <c r="G4155" s="12" t="s">
        <v>46</v>
      </c>
      <c r="H4155" s="11" t="s">
        <v>63</v>
      </c>
      <c r="I4155" s="13" t="s">
        <v>9162</v>
      </c>
      <c r="J4155" s="14" t="str">
        <f>HYPERLINK("https://www.boe.es/gazeta/dias/1839/11/28/pdfs/GMD-1839-1845.pdf#page=3","Abrir facsímil")</f>
        <v>Abrir facsímil</v>
      </c>
      <c r="K4155" s="12" t="s">
        <v>65</v>
      </c>
    </row>
    <row r="4156" spans="1:11" ht="40.049999999999997" customHeight="1" x14ac:dyDescent="0.25">
      <c r="A4156" s="11" t="s">
        <v>9163</v>
      </c>
      <c r="B4156" s="11" t="s">
        <v>9164</v>
      </c>
      <c r="C4156" s="11" t="s">
        <v>17</v>
      </c>
      <c r="D4156" s="11" t="s">
        <v>18</v>
      </c>
      <c r="E4156" s="12" t="s">
        <v>299</v>
      </c>
      <c r="F4156" s="12" t="s">
        <v>300</v>
      </c>
      <c r="G4156" s="12" t="s">
        <v>40</v>
      </c>
      <c r="H4156" s="11" t="s">
        <v>63</v>
      </c>
      <c r="I4156" s="13" t="s">
        <v>9165</v>
      </c>
      <c r="J4156" s="14" t="str">
        <f>HYPERLINK("https://www.boe.es/gazeta/dias/1839/02/14/pdfs/GMD-1839-1552.pdf#page=2","Abrir facsímil")</f>
        <v>Abrir facsímil</v>
      </c>
      <c r="K4156" s="12" t="s">
        <v>65</v>
      </c>
    </row>
    <row r="4157" spans="1:11" ht="40.049999999999997" customHeight="1" x14ac:dyDescent="0.25">
      <c r="A4157" s="11" t="s">
        <v>9166</v>
      </c>
      <c r="B4157" s="11" t="s">
        <v>9167</v>
      </c>
      <c r="C4157" s="11" t="s">
        <v>80</v>
      </c>
      <c r="D4157" s="11" t="s">
        <v>18</v>
      </c>
      <c r="E4157" s="12" t="s">
        <v>798</v>
      </c>
      <c r="F4157" s="12" t="s">
        <v>799</v>
      </c>
      <c r="G4157" s="12" t="s">
        <v>40</v>
      </c>
      <c r="H4157" s="11" t="s">
        <v>63</v>
      </c>
      <c r="I4157" s="13" t="s">
        <v>9168</v>
      </c>
      <c r="J4157" s="14" t="str">
        <f>HYPERLINK("https://www.boe.es/gazeta/dias/1839/09/03/pdfs/GMD-1839-1755.pdf#page=2","Abrir facsímil")</f>
        <v>Abrir facsímil</v>
      </c>
      <c r="K4157" s="12" t="s">
        <v>65</v>
      </c>
    </row>
    <row r="4158" spans="1:11" ht="40.049999999999997" customHeight="1" x14ac:dyDescent="0.25">
      <c r="A4158" s="11" t="s">
        <v>9169</v>
      </c>
      <c r="B4158" s="11" t="s">
        <v>9170</v>
      </c>
      <c r="C4158" s="11" t="s">
        <v>17</v>
      </c>
      <c r="D4158" s="11" t="s">
        <v>18</v>
      </c>
      <c r="E4158" s="12" t="s">
        <v>571</v>
      </c>
      <c r="F4158" s="12" t="s">
        <v>572</v>
      </c>
      <c r="G4158" s="12" t="s">
        <v>21</v>
      </c>
      <c r="H4158" s="11" t="s">
        <v>63</v>
      </c>
      <c r="I4158" s="13" t="s">
        <v>9171</v>
      </c>
      <c r="J4158" s="14" t="str">
        <f>HYPERLINK("https://www.boe.es/gazeta/dias/1839/09/27/pdfs/GMD-1839-1783.pdf#page=4","Abrir facsímil")</f>
        <v>Abrir facsímil</v>
      </c>
      <c r="K4158" s="12" t="s">
        <v>65</v>
      </c>
    </row>
    <row r="4159" spans="1:11" ht="40.049999999999997" customHeight="1" x14ac:dyDescent="0.25">
      <c r="A4159" s="11" t="s">
        <v>9172</v>
      </c>
      <c r="B4159" s="11" t="s">
        <v>9173</v>
      </c>
      <c r="C4159" s="11" t="s">
        <v>80</v>
      </c>
      <c r="D4159" s="11" t="s">
        <v>18</v>
      </c>
      <c r="E4159" s="12" t="s">
        <v>785</v>
      </c>
      <c r="F4159" s="12" t="s">
        <v>786</v>
      </c>
      <c r="G4159" s="12" t="s">
        <v>21</v>
      </c>
      <c r="H4159" s="11" t="s">
        <v>63</v>
      </c>
      <c r="I4159" s="13" t="s">
        <v>9174</v>
      </c>
      <c r="J4159" s="14" t="str">
        <f>HYPERLINK("https://www.boe.es/gazeta/dias/1839/07/13/pdfs/GMD-1839-1701.pdf#page=4","Abrir facsímil")</f>
        <v>Abrir facsímil</v>
      </c>
      <c r="K4159" s="12" t="s">
        <v>65</v>
      </c>
    </row>
    <row r="4160" spans="1:11" ht="40.049999999999997" customHeight="1" x14ac:dyDescent="0.25">
      <c r="A4160" s="11" t="s">
        <v>9175</v>
      </c>
      <c r="B4160" s="11" t="s">
        <v>9176</v>
      </c>
      <c r="C4160" s="11" t="s">
        <v>17</v>
      </c>
      <c r="D4160" s="11" t="s">
        <v>18</v>
      </c>
      <c r="E4160" s="12" t="s">
        <v>809</v>
      </c>
      <c r="F4160" s="12" t="s">
        <v>810</v>
      </c>
      <c r="G4160" s="12" t="s">
        <v>29</v>
      </c>
      <c r="H4160" s="11" t="s">
        <v>63</v>
      </c>
      <c r="I4160" s="13" t="s">
        <v>9177</v>
      </c>
      <c r="J4160" s="14" t="str">
        <f>HYPERLINK("https://www.boe.es/gazeta/dias/1839/02/11/pdfs/GMD-1839-1549.pdf#page=1","Abrir facsímil")</f>
        <v>Abrir facsímil</v>
      </c>
      <c r="K4160" s="12" t="s">
        <v>65</v>
      </c>
    </row>
    <row r="4161" spans="1:11" ht="40.049999999999997" customHeight="1" x14ac:dyDescent="0.25">
      <c r="A4161" s="11" t="s">
        <v>9178</v>
      </c>
      <c r="B4161" s="11" t="s">
        <v>9179</v>
      </c>
      <c r="C4161" s="11" t="s">
        <v>17</v>
      </c>
      <c r="D4161" s="11" t="s">
        <v>18</v>
      </c>
      <c r="E4161" s="12" t="s">
        <v>160</v>
      </c>
      <c r="F4161" s="12" t="s">
        <v>161</v>
      </c>
      <c r="G4161" s="12" t="s">
        <v>21</v>
      </c>
      <c r="H4161" s="11" t="s">
        <v>63</v>
      </c>
      <c r="I4161" s="13" t="s">
        <v>9180</v>
      </c>
      <c r="J4161" s="14" t="str">
        <f>HYPERLINK("https://www.boe.es/gazeta/dias/1839/01/10/pdfs/GMD-1839-1517.pdf#page=4","Abrir facsímil")</f>
        <v>Abrir facsímil</v>
      </c>
      <c r="K4161" s="12" t="s">
        <v>65</v>
      </c>
    </row>
    <row r="4162" spans="1:11" ht="40.049999999999997" customHeight="1" x14ac:dyDescent="0.25">
      <c r="A4162" s="11" t="s">
        <v>9181</v>
      </c>
      <c r="B4162" s="11" t="s">
        <v>9182</v>
      </c>
      <c r="C4162" s="11" t="s">
        <v>59</v>
      </c>
      <c r="D4162" s="11" t="s">
        <v>60</v>
      </c>
      <c r="E4162" s="12" t="s">
        <v>1374</v>
      </c>
      <c r="F4162" s="12" t="s">
        <v>1375</v>
      </c>
      <c r="G4162" s="12" t="s">
        <v>21</v>
      </c>
      <c r="H4162" s="11" t="s">
        <v>63</v>
      </c>
      <c r="I4162" s="13" t="s">
        <v>9183</v>
      </c>
      <c r="J4162" s="14" t="str">
        <f>HYPERLINK("https://www.boe.es/gazeta/dias/1839/07/20/pdfs/GMD-1839-1708.pdf#page=4","Abrir facsímil")</f>
        <v>Abrir facsímil</v>
      </c>
      <c r="K4162" s="12" t="s">
        <v>65</v>
      </c>
    </row>
    <row r="4163" spans="1:11" ht="40.049999999999997" customHeight="1" x14ac:dyDescent="0.25">
      <c r="A4163" s="11" t="s">
        <v>9184</v>
      </c>
      <c r="B4163" s="11" t="s">
        <v>9185</v>
      </c>
      <c r="C4163" s="11" t="s">
        <v>17</v>
      </c>
      <c r="D4163" s="11" t="s">
        <v>18</v>
      </c>
      <c r="E4163" s="12" t="s">
        <v>907</v>
      </c>
      <c r="F4163" s="12" t="s">
        <v>908</v>
      </c>
      <c r="G4163" s="12" t="s">
        <v>21</v>
      </c>
      <c r="H4163" s="11" t="s">
        <v>63</v>
      </c>
      <c r="I4163" s="13" t="s">
        <v>9186</v>
      </c>
      <c r="J4163" s="14" t="str">
        <f>HYPERLINK("https://www.boe.es/gazeta/dias/1839/07/31/pdfs/GMD-1839-1720.pdf#page=4","Abrir facsímil")</f>
        <v>Abrir facsímil</v>
      </c>
      <c r="K4163" s="12" t="s">
        <v>65</v>
      </c>
    </row>
    <row r="4164" spans="1:11" ht="40.049999999999997" customHeight="1" x14ac:dyDescent="0.25">
      <c r="A4164" s="11" t="s">
        <v>9187</v>
      </c>
      <c r="B4164" s="11" t="s">
        <v>9188</v>
      </c>
      <c r="C4164" s="11" t="s">
        <v>59</v>
      </c>
      <c r="D4164" s="11" t="s">
        <v>60</v>
      </c>
      <c r="E4164" s="12" t="s">
        <v>287</v>
      </c>
      <c r="F4164" s="12" t="s">
        <v>288</v>
      </c>
      <c r="G4164" s="12" t="s">
        <v>46</v>
      </c>
      <c r="H4164" s="11" t="s">
        <v>63</v>
      </c>
      <c r="I4164" s="13" t="s">
        <v>9189</v>
      </c>
      <c r="J4164" s="14" t="str">
        <f>HYPERLINK("https://www.boe.es/gazeta/dias/1839/11/27/pdfs/GMD-1839-1844.pdf#page=3","Abrir facsímil")</f>
        <v>Abrir facsímil</v>
      </c>
      <c r="K4164" s="12" t="s">
        <v>65</v>
      </c>
    </row>
    <row r="4165" spans="1:11" ht="40.049999999999997" customHeight="1" x14ac:dyDescent="0.25">
      <c r="A4165" s="11" t="s">
        <v>9190</v>
      </c>
      <c r="B4165" s="11" t="s">
        <v>9191</v>
      </c>
      <c r="C4165" s="11" t="s">
        <v>17</v>
      </c>
      <c r="D4165" s="11" t="s">
        <v>18</v>
      </c>
      <c r="E4165" s="12" t="s">
        <v>448</v>
      </c>
      <c r="F4165" s="12" t="s">
        <v>449</v>
      </c>
      <c r="G4165" s="12" t="s">
        <v>21</v>
      </c>
      <c r="H4165" s="11" t="s">
        <v>63</v>
      </c>
      <c r="I4165" s="13" t="s">
        <v>9192</v>
      </c>
      <c r="J4165" s="14" t="str">
        <f>HYPERLINK("https://www.boe.es/gazeta/dias/1839/02/06/pdfs/GMD-1839-1544.pdf#page=4","Abrir facsímil")</f>
        <v>Abrir facsímil</v>
      </c>
      <c r="K4165" s="12" t="s">
        <v>65</v>
      </c>
    </row>
    <row r="4166" spans="1:11" ht="40.049999999999997" customHeight="1" x14ac:dyDescent="0.25">
      <c r="A4166" s="11" t="s">
        <v>9190</v>
      </c>
      <c r="B4166" s="11" t="s">
        <v>9191</v>
      </c>
      <c r="C4166" s="11" t="s">
        <v>17</v>
      </c>
      <c r="D4166" s="11" t="s">
        <v>43</v>
      </c>
      <c r="E4166" s="12" t="s">
        <v>1909</v>
      </c>
      <c r="F4166" s="12" t="s">
        <v>1910</v>
      </c>
      <c r="G4166" s="12" t="s">
        <v>40</v>
      </c>
      <c r="H4166" s="11" t="s">
        <v>63</v>
      </c>
      <c r="I4166" s="13" t="s">
        <v>9193</v>
      </c>
      <c r="J4166" s="14" t="str">
        <f>HYPERLINK("https://www.boe.es/gazeta/dias/1839/10/27/pdfs/GMD-1839-1813.pdf#page=2","Abrir facsímil")</f>
        <v>Abrir facsímil</v>
      </c>
      <c r="K4166" s="12" t="s">
        <v>65</v>
      </c>
    </row>
    <row r="4167" spans="1:11" ht="40.049999999999997" customHeight="1" x14ac:dyDescent="0.25">
      <c r="A4167" s="11" t="s">
        <v>9194</v>
      </c>
      <c r="B4167" s="11" t="s">
        <v>9195</v>
      </c>
      <c r="C4167" s="11" t="s">
        <v>17</v>
      </c>
      <c r="D4167" s="11" t="s">
        <v>18</v>
      </c>
      <c r="E4167" s="12" t="s">
        <v>352</v>
      </c>
      <c r="F4167" s="12" t="s">
        <v>353</v>
      </c>
      <c r="G4167" s="12" t="s">
        <v>40</v>
      </c>
      <c r="H4167" s="11" t="s">
        <v>63</v>
      </c>
      <c r="I4167" s="13" t="s">
        <v>9196</v>
      </c>
      <c r="J4167" s="14" t="str">
        <f>HYPERLINK("https://www.boe.es/gazeta/dias/1839/03/30/pdfs/GMD-1839-1596.pdf#page=2","Abrir facsímil")</f>
        <v>Abrir facsímil</v>
      </c>
      <c r="K4167" s="12" t="s">
        <v>65</v>
      </c>
    </row>
    <row r="4168" spans="1:11" ht="40.049999999999997" customHeight="1" x14ac:dyDescent="0.25">
      <c r="A4168" s="11" t="s">
        <v>9197</v>
      </c>
      <c r="B4168" s="11" t="s">
        <v>9198</v>
      </c>
      <c r="C4168" s="11" t="s">
        <v>17</v>
      </c>
      <c r="D4168" s="11" t="s">
        <v>18</v>
      </c>
      <c r="E4168" s="12" t="s">
        <v>2415</v>
      </c>
      <c r="F4168" s="12" t="s">
        <v>2416</v>
      </c>
      <c r="G4168" s="12" t="s">
        <v>21</v>
      </c>
      <c r="H4168" s="11" t="s">
        <v>22</v>
      </c>
      <c r="I4168" s="13" t="s">
        <v>9199</v>
      </c>
      <c r="J4168" s="14" t="str">
        <f>HYPERLINK("https://www.boe.es/gazeta/dias/1839/12/22/pdfs/GMD-1839-1869.pdf#page=4","Abrir facsímil")</f>
        <v>Abrir facsímil</v>
      </c>
      <c r="K4168" s="12" t="s">
        <v>24</v>
      </c>
    </row>
    <row r="4169" spans="1:11" ht="40.049999999999997" customHeight="1" x14ac:dyDescent="0.25">
      <c r="A4169" s="11" t="s">
        <v>9200</v>
      </c>
      <c r="B4169" s="11" t="s">
        <v>9201</v>
      </c>
      <c r="C4169" s="11" t="s">
        <v>101</v>
      </c>
      <c r="D4169" s="11" t="s">
        <v>102</v>
      </c>
      <c r="E4169" s="12" t="s">
        <v>959</v>
      </c>
      <c r="F4169" s="12" t="s">
        <v>960</v>
      </c>
      <c r="G4169" s="12" t="s">
        <v>40</v>
      </c>
      <c r="H4169" s="11" t="s">
        <v>63</v>
      </c>
      <c r="I4169" s="13" t="s">
        <v>9202</v>
      </c>
      <c r="J4169" s="14" t="str">
        <f>HYPERLINK("https://www.boe.es/gazeta/dias/1839/12/06/pdfs/GMD-1839-1853.pdf#page=2","Abrir facsímil")</f>
        <v>Abrir facsímil</v>
      </c>
      <c r="K4169" s="12" t="s">
        <v>65</v>
      </c>
    </row>
    <row r="4170" spans="1:11" ht="40.049999999999997" customHeight="1" x14ac:dyDescent="0.25">
      <c r="A4170" s="11" t="s">
        <v>9203</v>
      </c>
      <c r="B4170" s="11" t="s">
        <v>9204</v>
      </c>
      <c r="C4170" s="11" t="s">
        <v>17</v>
      </c>
      <c r="D4170" s="11" t="s">
        <v>18</v>
      </c>
      <c r="E4170" s="12" t="s">
        <v>1027</v>
      </c>
      <c r="F4170" s="12" t="s">
        <v>1028</v>
      </c>
      <c r="G4170" s="12" t="s">
        <v>21</v>
      </c>
      <c r="H4170" s="11" t="s">
        <v>63</v>
      </c>
      <c r="I4170" s="13" t="s">
        <v>9205</v>
      </c>
      <c r="J4170" s="14" t="str">
        <f>HYPERLINK("https://www.boe.es/gazeta/dias/1839/08/16/pdfs/GMD-1839-1736.pdf#page=4","Abrir facsímil")</f>
        <v>Abrir facsímil</v>
      </c>
      <c r="K4170" s="12" t="s">
        <v>65</v>
      </c>
    </row>
    <row r="4171" spans="1:11" ht="40.049999999999997" customHeight="1" x14ac:dyDescent="0.25">
      <c r="A4171" s="11" t="s">
        <v>9206</v>
      </c>
      <c r="B4171" s="11" t="s">
        <v>9207</v>
      </c>
      <c r="C4171" s="11" t="s">
        <v>17</v>
      </c>
      <c r="D4171" s="11" t="s">
        <v>18</v>
      </c>
      <c r="E4171" s="12" t="s">
        <v>1332</v>
      </c>
      <c r="F4171" s="12" t="s">
        <v>1333</v>
      </c>
      <c r="G4171" s="12" t="s">
        <v>46</v>
      </c>
      <c r="H4171" s="11" t="s">
        <v>63</v>
      </c>
      <c r="I4171" s="13" t="s">
        <v>9208</v>
      </c>
      <c r="J4171" s="14" t="str">
        <f>HYPERLINK("https://www.boe.es/gazeta/dias/1839/05/04/pdfs/GMD-1839-1631.pdf#page=3","Abrir facsímil")</f>
        <v>Abrir facsímil</v>
      </c>
      <c r="K4171" s="12" t="s">
        <v>65</v>
      </c>
    </row>
    <row r="4172" spans="1:11" ht="40.049999999999997" customHeight="1" x14ac:dyDescent="0.25">
      <c r="A4172" s="11" t="s">
        <v>9206</v>
      </c>
      <c r="B4172" s="11" t="s">
        <v>9207</v>
      </c>
      <c r="C4172" s="11" t="s">
        <v>17</v>
      </c>
      <c r="D4172" s="11" t="s">
        <v>18</v>
      </c>
      <c r="E4172" s="12" t="s">
        <v>197</v>
      </c>
      <c r="F4172" s="12" t="s">
        <v>198</v>
      </c>
      <c r="G4172" s="12" t="s">
        <v>46</v>
      </c>
      <c r="H4172" s="11" t="s">
        <v>63</v>
      </c>
      <c r="I4172" s="13" t="s">
        <v>9209</v>
      </c>
      <c r="J4172" s="14" t="str">
        <f>HYPERLINK("https://www.boe.es/gazeta/dias/1839/10/04/pdfs/GMD-1839-1790.pdf#page=3","Abrir facsímil")</f>
        <v>Abrir facsímil</v>
      </c>
      <c r="K4172" s="12" t="s">
        <v>65</v>
      </c>
    </row>
    <row r="4173" spans="1:11" ht="40.049999999999997" customHeight="1" x14ac:dyDescent="0.25">
      <c r="A4173" s="11" t="s">
        <v>9206</v>
      </c>
      <c r="B4173" s="11" t="s">
        <v>9207</v>
      </c>
      <c r="C4173" s="11" t="s">
        <v>59</v>
      </c>
      <c r="D4173" s="11" t="s">
        <v>60</v>
      </c>
      <c r="E4173" s="12" t="s">
        <v>327</v>
      </c>
      <c r="F4173" s="12" t="s">
        <v>328</v>
      </c>
      <c r="G4173" s="12" t="s">
        <v>40</v>
      </c>
      <c r="H4173" s="11" t="s">
        <v>63</v>
      </c>
      <c r="I4173" s="13" t="s">
        <v>9210</v>
      </c>
      <c r="J4173" s="14" t="str">
        <f>HYPERLINK("https://www.boe.es/gazeta/dias/1839/08/05/pdfs/GMD-1839-1725.pdf#page=2","Abrir facsímil")</f>
        <v>Abrir facsímil</v>
      </c>
      <c r="K4173" s="12" t="s">
        <v>65</v>
      </c>
    </row>
    <row r="4174" spans="1:11" ht="40.049999999999997" customHeight="1" x14ac:dyDescent="0.25">
      <c r="A4174" s="11" t="s">
        <v>9206</v>
      </c>
      <c r="B4174" s="11" t="s">
        <v>9207</v>
      </c>
      <c r="C4174" s="11" t="s">
        <v>17</v>
      </c>
      <c r="D4174" s="11" t="s">
        <v>18</v>
      </c>
      <c r="E4174" s="12" t="s">
        <v>1123</v>
      </c>
      <c r="F4174" s="12" t="s">
        <v>1124</v>
      </c>
      <c r="G4174" s="12" t="s">
        <v>21</v>
      </c>
      <c r="H4174" s="11" t="s">
        <v>63</v>
      </c>
      <c r="I4174" s="13" t="s">
        <v>9211</v>
      </c>
      <c r="J4174" s="14" t="str">
        <f>HYPERLINK("https://www.boe.es/gazeta/dias/1839/08/10/pdfs/GMD-1839-1730.pdf#page=4","Abrir facsímil")</f>
        <v>Abrir facsímil</v>
      </c>
      <c r="K4174" s="12" t="s">
        <v>65</v>
      </c>
    </row>
    <row r="4175" spans="1:11" ht="40.049999999999997" customHeight="1" x14ac:dyDescent="0.25">
      <c r="A4175" s="11" t="s">
        <v>9206</v>
      </c>
      <c r="B4175" s="11" t="s">
        <v>9207</v>
      </c>
      <c r="C4175" s="11" t="s">
        <v>17</v>
      </c>
      <c r="D4175" s="11" t="s">
        <v>18</v>
      </c>
      <c r="E4175" s="12" t="s">
        <v>507</v>
      </c>
      <c r="F4175" s="12" t="s">
        <v>508</v>
      </c>
      <c r="G4175" s="12" t="s">
        <v>21</v>
      </c>
      <c r="H4175" s="11" t="s">
        <v>63</v>
      </c>
      <c r="I4175" s="13" t="s">
        <v>9212</v>
      </c>
      <c r="J4175" s="14" t="str">
        <f>HYPERLINK("https://www.boe.es/gazeta/dias/1839/08/12/pdfs/GMD-1839-1732.pdf#page=4","Abrir facsímil")</f>
        <v>Abrir facsímil</v>
      </c>
      <c r="K4175" s="12" t="s">
        <v>65</v>
      </c>
    </row>
    <row r="4176" spans="1:11" ht="40.049999999999997" customHeight="1" x14ac:dyDescent="0.25">
      <c r="A4176" s="11" t="s">
        <v>9206</v>
      </c>
      <c r="B4176" s="11" t="s">
        <v>9207</v>
      </c>
      <c r="C4176" s="11" t="s">
        <v>80</v>
      </c>
      <c r="D4176" s="11" t="s">
        <v>18</v>
      </c>
      <c r="E4176" s="12" t="s">
        <v>510</v>
      </c>
      <c r="F4176" s="12" t="s">
        <v>511</v>
      </c>
      <c r="G4176" s="12" t="s">
        <v>21</v>
      </c>
      <c r="H4176" s="11" t="s">
        <v>63</v>
      </c>
      <c r="I4176" s="13" t="s">
        <v>9213</v>
      </c>
      <c r="J4176" s="14" t="str">
        <f>HYPERLINK("https://www.boe.es/gazeta/dias/1839/05/13/pdfs/GMD-1839-1640.pdf#page=4","Abrir facsímil")</f>
        <v>Abrir facsímil</v>
      </c>
      <c r="K4176" s="12" t="s">
        <v>65</v>
      </c>
    </row>
    <row r="4177" spans="1:11" ht="40.049999999999997" customHeight="1" x14ac:dyDescent="0.25">
      <c r="A4177" s="11" t="s">
        <v>9206</v>
      </c>
      <c r="B4177" s="11" t="s">
        <v>9207</v>
      </c>
      <c r="C4177" s="11" t="s">
        <v>17</v>
      </c>
      <c r="D4177" s="11" t="s">
        <v>18</v>
      </c>
      <c r="E4177" s="12" t="s">
        <v>1100</v>
      </c>
      <c r="F4177" s="12" t="s">
        <v>1101</v>
      </c>
      <c r="G4177" s="12" t="s">
        <v>21</v>
      </c>
      <c r="H4177" s="11" t="s">
        <v>63</v>
      </c>
      <c r="I4177" s="13" t="s">
        <v>9214</v>
      </c>
      <c r="J4177" s="14" t="str">
        <f>HYPERLINK("https://www.boe.es/gazeta/dias/1839/09/13/pdfs/GMD-1839-1766.pdf#page=4","Abrir facsímil")</f>
        <v>Abrir facsímil</v>
      </c>
      <c r="K4177" s="12" t="s">
        <v>65</v>
      </c>
    </row>
    <row r="4178" spans="1:11" ht="40.049999999999997" customHeight="1" x14ac:dyDescent="0.25">
      <c r="A4178" s="11" t="s">
        <v>9206</v>
      </c>
      <c r="B4178" s="11" t="s">
        <v>9207</v>
      </c>
      <c r="C4178" s="11" t="s">
        <v>137</v>
      </c>
      <c r="D4178" s="11" t="s">
        <v>18</v>
      </c>
      <c r="E4178" s="12" t="s">
        <v>4550</v>
      </c>
      <c r="F4178" s="12" t="s">
        <v>4551</v>
      </c>
      <c r="G4178" s="12" t="s">
        <v>29</v>
      </c>
      <c r="H4178" s="11" t="s">
        <v>63</v>
      </c>
      <c r="I4178" s="13" t="s">
        <v>9215</v>
      </c>
      <c r="J4178" s="14" t="str">
        <f>HYPERLINK("https://www.boe.es/gazeta/dias/1839/04/17/pdfs/GMD-1839-1614.pdf#page=1","Abrir facsímil")</f>
        <v>Abrir facsímil</v>
      </c>
      <c r="K4178" s="12" t="s">
        <v>65</v>
      </c>
    </row>
    <row r="4179" spans="1:11" ht="40.049999999999997" customHeight="1" x14ac:dyDescent="0.25">
      <c r="A4179" s="11" t="s">
        <v>9206</v>
      </c>
      <c r="B4179" s="11" t="s">
        <v>9207</v>
      </c>
      <c r="C4179" s="11" t="s">
        <v>17</v>
      </c>
      <c r="D4179" s="11" t="s">
        <v>18</v>
      </c>
      <c r="E4179" s="12" t="s">
        <v>564</v>
      </c>
      <c r="F4179" s="12" t="s">
        <v>565</v>
      </c>
      <c r="G4179" s="12" t="s">
        <v>46</v>
      </c>
      <c r="H4179" s="11" t="s">
        <v>63</v>
      </c>
      <c r="I4179" s="13" t="s">
        <v>9216</v>
      </c>
      <c r="J4179" s="14" t="str">
        <f>HYPERLINK("https://www.boe.es/gazeta/dias/1839/10/17/pdfs/GMD-1839-1803.pdf#page=3","Abrir facsímil")</f>
        <v>Abrir facsímil</v>
      </c>
      <c r="K4179" s="12" t="s">
        <v>65</v>
      </c>
    </row>
    <row r="4180" spans="1:11" ht="40.049999999999997" customHeight="1" x14ac:dyDescent="0.25">
      <c r="A4180" s="11" t="s">
        <v>9206</v>
      </c>
      <c r="B4180" s="11" t="s">
        <v>9207</v>
      </c>
      <c r="C4180" s="11" t="s">
        <v>17</v>
      </c>
      <c r="D4180" s="11" t="s">
        <v>18</v>
      </c>
      <c r="E4180" s="12" t="s">
        <v>1179</v>
      </c>
      <c r="F4180" s="12" t="s">
        <v>1180</v>
      </c>
      <c r="G4180" s="12" t="s">
        <v>40</v>
      </c>
      <c r="H4180" s="11" t="s">
        <v>63</v>
      </c>
      <c r="I4180" s="13" t="s">
        <v>9217</v>
      </c>
      <c r="J4180" s="14" t="str">
        <f>HYPERLINK("https://www.boe.es/gazeta/dias/1839/10/18/pdfs/GMD-1839-1804.pdf#page=2","Abrir facsímil")</f>
        <v>Abrir facsímil</v>
      </c>
      <c r="K4180" s="12" t="s">
        <v>65</v>
      </c>
    </row>
    <row r="4181" spans="1:11" ht="40.049999999999997" customHeight="1" x14ac:dyDescent="0.25">
      <c r="A4181" s="11" t="s">
        <v>9206</v>
      </c>
      <c r="B4181" s="11" t="s">
        <v>9207</v>
      </c>
      <c r="C4181" s="11" t="s">
        <v>101</v>
      </c>
      <c r="D4181" s="11" t="s">
        <v>43</v>
      </c>
      <c r="E4181" s="12" t="s">
        <v>1179</v>
      </c>
      <c r="F4181" s="12" t="s">
        <v>1180</v>
      </c>
      <c r="G4181" s="12" t="s">
        <v>46</v>
      </c>
      <c r="H4181" s="11" t="s">
        <v>63</v>
      </c>
      <c r="I4181" s="13" t="s">
        <v>9218</v>
      </c>
      <c r="J4181" s="14" t="str">
        <f>HYPERLINK("https://www.boe.es/gazeta/dias/1839/10/18/pdfs/GMD-1839-1804.pdf#page=3","Abrir facsímil")</f>
        <v>Abrir facsímil</v>
      </c>
      <c r="K4181" s="12" t="s">
        <v>65</v>
      </c>
    </row>
    <row r="4182" spans="1:11" ht="40.049999999999997" customHeight="1" x14ac:dyDescent="0.25">
      <c r="A4182" s="11" t="s">
        <v>9206</v>
      </c>
      <c r="B4182" s="11" t="s">
        <v>9207</v>
      </c>
      <c r="C4182" s="11" t="s">
        <v>17</v>
      </c>
      <c r="D4182" s="11" t="s">
        <v>43</v>
      </c>
      <c r="E4182" s="12" t="s">
        <v>2222</v>
      </c>
      <c r="F4182" s="12" t="s">
        <v>2223</v>
      </c>
      <c r="G4182" s="12" t="s">
        <v>21</v>
      </c>
      <c r="H4182" s="11" t="s">
        <v>63</v>
      </c>
      <c r="I4182" s="13" t="s">
        <v>9219</v>
      </c>
      <c r="J4182" s="14" t="str">
        <f>HYPERLINK("https://www.boe.es/gazeta/dias/1839/09/19/pdfs/GMD-1839-1773.pdf#page=4","Abrir facsímil")</f>
        <v>Abrir facsímil</v>
      </c>
      <c r="K4182" s="12" t="s">
        <v>65</v>
      </c>
    </row>
    <row r="4183" spans="1:11" ht="40.049999999999997" customHeight="1" x14ac:dyDescent="0.25">
      <c r="A4183" s="11" t="s">
        <v>9206</v>
      </c>
      <c r="B4183" s="11" t="s">
        <v>9207</v>
      </c>
      <c r="C4183" s="11" t="s">
        <v>59</v>
      </c>
      <c r="D4183" s="11" t="s">
        <v>60</v>
      </c>
      <c r="E4183" s="12" t="s">
        <v>1672</v>
      </c>
      <c r="F4183" s="12" t="s">
        <v>1673</v>
      </c>
      <c r="G4183" s="12" t="s">
        <v>21</v>
      </c>
      <c r="H4183" s="11" t="s">
        <v>63</v>
      </c>
      <c r="I4183" s="13" t="s">
        <v>9220</v>
      </c>
      <c r="J4183" s="14" t="str">
        <f>HYPERLINK("https://www.boe.es/gazeta/dias/1839/08/24/pdfs/GMD-1839-1745.pdf#page=4","Abrir facsímil")</f>
        <v>Abrir facsímil</v>
      </c>
      <c r="K4183" s="12" t="s">
        <v>65</v>
      </c>
    </row>
    <row r="4184" spans="1:11" ht="40.049999999999997" customHeight="1" x14ac:dyDescent="0.25">
      <c r="A4184" s="11" t="s">
        <v>9206</v>
      </c>
      <c r="B4184" s="11" t="s">
        <v>9207</v>
      </c>
      <c r="C4184" s="11" t="s">
        <v>17</v>
      </c>
      <c r="D4184" s="11" t="s">
        <v>18</v>
      </c>
      <c r="E4184" s="12" t="s">
        <v>844</v>
      </c>
      <c r="F4184" s="12" t="s">
        <v>845</v>
      </c>
      <c r="G4184" s="12" t="s">
        <v>21</v>
      </c>
      <c r="H4184" s="11" t="s">
        <v>63</v>
      </c>
      <c r="I4184" s="13" t="s">
        <v>9221</v>
      </c>
      <c r="J4184" s="14" t="str">
        <f>HYPERLINK("https://www.boe.es/gazeta/dias/1839/12/24/pdfs/GMD-1839-1871.pdf#page=4","Abrir facsímil")</f>
        <v>Abrir facsímil</v>
      </c>
      <c r="K4184" s="12" t="s">
        <v>65</v>
      </c>
    </row>
    <row r="4185" spans="1:11" ht="40.049999999999997" customHeight="1" x14ac:dyDescent="0.25">
      <c r="A4185" s="11" t="s">
        <v>9206</v>
      </c>
      <c r="B4185" s="11" t="s">
        <v>9207</v>
      </c>
      <c r="C4185" s="11" t="s">
        <v>17</v>
      </c>
      <c r="D4185" s="11" t="s">
        <v>18</v>
      </c>
      <c r="E4185" s="12" t="s">
        <v>1446</v>
      </c>
      <c r="F4185" s="12" t="s">
        <v>1447</v>
      </c>
      <c r="G4185" s="12" t="s">
        <v>29</v>
      </c>
      <c r="H4185" s="11" t="s">
        <v>63</v>
      </c>
      <c r="I4185" s="13" t="s">
        <v>9222</v>
      </c>
      <c r="J4185" s="14" t="str">
        <f>HYPERLINK("https://www.boe.es/gazeta/dias/1839/08/25/pdfs/GMD-1839-1746.pdf#page=1","Abrir facsímil")</f>
        <v>Abrir facsímil</v>
      </c>
      <c r="K4185" s="12" t="s">
        <v>65</v>
      </c>
    </row>
    <row r="4186" spans="1:11" ht="40.049999999999997" customHeight="1" x14ac:dyDescent="0.25">
      <c r="A4186" s="11" t="s">
        <v>9206</v>
      </c>
      <c r="B4186" s="11" t="s">
        <v>9207</v>
      </c>
      <c r="C4186" s="11" t="s">
        <v>17</v>
      </c>
      <c r="D4186" s="11" t="s">
        <v>18</v>
      </c>
      <c r="E4186" s="12" t="s">
        <v>1749</v>
      </c>
      <c r="F4186" s="12" t="s">
        <v>1750</v>
      </c>
      <c r="G4186" s="12" t="s">
        <v>46</v>
      </c>
      <c r="H4186" s="11" t="s">
        <v>63</v>
      </c>
      <c r="I4186" s="13" t="s">
        <v>9223</v>
      </c>
      <c r="J4186" s="14" t="str">
        <f>HYPERLINK("https://www.boe.es/gazeta/dias/1839/06/28/pdfs/GMD-1839-1686.pdf#page=3","Abrir facsímil")</f>
        <v>Abrir facsímil</v>
      </c>
      <c r="K4186" s="12" t="s">
        <v>65</v>
      </c>
    </row>
    <row r="4187" spans="1:11" ht="40.049999999999997" customHeight="1" x14ac:dyDescent="0.25">
      <c r="A4187" s="11" t="s">
        <v>9224</v>
      </c>
      <c r="B4187" s="11" t="s">
        <v>9225</v>
      </c>
      <c r="C4187" s="11" t="s">
        <v>17</v>
      </c>
      <c r="D4187" s="11" t="s">
        <v>18</v>
      </c>
      <c r="E4187" s="12" t="s">
        <v>2949</v>
      </c>
      <c r="F4187" s="12" t="s">
        <v>2950</v>
      </c>
      <c r="G4187" s="12" t="s">
        <v>29</v>
      </c>
      <c r="H4187" s="11" t="s">
        <v>63</v>
      </c>
      <c r="I4187" s="13" t="s">
        <v>9226</v>
      </c>
      <c r="J4187" s="14" t="str">
        <f>HYPERLINK("https://www.boe.es/gazeta/dias/1839/10/21/pdfs/GMD-1839-1807.pdf#page=1","Abrir facsímil")</f>
        <v>Abrir facsímil</v>
      </c>
      <c r="K4187" s="12" t="s">
        <v>65</v>
      </c>
    </row>
    <row r="4188" spans="1:11" ht="40.049999999999997" customHeight="1" x14ac:dyDescent="0.25">
      <c r="A4188" s="11" t="s">
        <v>9227</v>
      </c>
      <c r="B4188" s="11" t="s">
        <v>9228</v>
      </c>
      <c r="C4188" s="11" t="s">
        <v>80</v>
      </c>
      <c r="D4188" s="11" t="s">
        <v>18</v>
      </c>
      <c r="E4188" s="12" t="s">
        <v>984</v>
      </c>
      <c r="F4188" s="12" t="s">
        <v>985</v>
      </c>
      <c r="G4188" s="12" t="s">
        <v>46</v>
      </c>
      <c r="H4188" s="11" t="s">
        <v>63</v>
      </c>
      <c r="I4188" s="13" t="s">
        <v>9229</v>
      </c>
      <c r="J4188" s="14" t="str">
        <f>HYPERLINK("https://www.boe.es/gazeta/dias/1839/04/10/pdfs/GMD-1839-1607.pdf#page=3","Abrir facsímil")</f>
        <v>Abrir facsímil</v>
      </c>
      <c r="K4188" s="12" t="s">
        <v>65</v>
      </c>
    </row>
    <row r="4189" spans="1:11" ht="40.049999999999997" customHeight="1" x14ac:dyDescent="0.25">
      <c r="A4189" s="11" t="s">
        <v>9230</v>
      </c>
      <c r="B4189" s="11" t="s">
        <v>9231</v>
      </c>
      <c r="C4189" s="11" t="s">
        <v>17</v>
      </c>
      <c r="D4189" s="11" t="s">
        <v>18</v>
      </c>
      <c r="E4189" s="12" t="s">
        <v>564</v>
      </c>
      <c r="F4189" s="12" t="s">
        <v>565</v>
      </c>
      <c r="G4189" s="12" t="s">
        <v>305</v>
      </c>
      <c r="H4189" s="11" t="s">
        <v>63</v>
      </c>
      <c r="I4189" s="13" t="s">
        <v>9232</v>
      </c>
      <c r="J4189" s="14" t="str">
        <f>HYPERLINK("https://www.boe.es/gazeta/dias/1839/10/17/pdfs/GMD-1839-1803.pdf#page=6","Abrir facsímil")</f>
        <v>Abrir facsímil</v>
      </c>
      <c r="K4189" s="12" t="s">
        <v>65</v>
      </c>
    </row>
    <row r="4190" spans="1:11" ht="40.049999999999997" customHeight="1" x14ac:dyDescent="0.25">
      <c r="A4190" s="11" t="s">
        <v>9233</v>
      </c>
      <c r="B4190" s="11" t="s">
        <v>9234</v>
      </c>
      <c r="C4190" s="11" t="s">
        <v>17</v>
      </c>
      <c r="D4190" s="11" t="s">
        <v>43</v>
      </c>
      <c r="E4190" s="12" t="s">
        <v>2919</v>
      </c>
      <c r="F4190" s="12" t="s">
        <v>2920</v>
      </c>
      <c r="G4190" s="12" t="s">
        <v>21</v>
      </c>
      <c r="H4190" s="11" t="s">
        <v>63</v>
      </c>
      <c r="I4190" s="13" t="s">
        <v>9235</v>
      </c>
      <c r="J4190" s="14" t="str">
        <f>HYPERLINK("https://www.boe.es/gazeta/dias/1839/11/12/pdfs/GMD-1839-1829.pdf#page=4","Abrir facsímil")</f>
        <v>Abrir facsímil</v>
      </c>
      <c r="K4190" s="12" t="s">
        <v>65</v>
      </c>
    </row>
    <row r="4191" spans="1:11" ht="40.049999999999997" customHeight="1" x14ac:dyDescent="0.25">
      <c r="A4191" s="11" t="s">
        <v>9236</v>
      </c>
      <c r="B4191" s="11" t="s">
        <v>9237</v>
      </c>
      <c r="C4191" s="11" t="s">
        <v>17</v>
      </c>
      <c r="D4191" s="11" t="s">
        <v>18</v>
      </c>
      <c r="E4191" s="12" t="s">
        <v>821</v>
      </c>
      <c r="F4191" s="12" t="s">
        <v>822</v>
      </c>
      <c r="G4191" s="12" t="s">
        <v>21</v>
      </c>
      <c r="H4191" s="11" t="s">
        <v>63</v>
      </c>
      <c r="I4191" s="13" t="s">
        <v>9238</v>
      </c>
      <c r="J4191" s="14" t="str">
        <f>HYPERLINK("https://www.boe.es/gazeta/dias/1839/09/20/pdfs/GMD-1839-1775.pdf#page=4","Abrir facsímil")</f>
        <v>Abrir facsímil</v>
      </c>
      <c r="K4191" s="12" t="s">
        <v>65</v>
      </c>
    </row>
    <row r="4192" spans="1:11" ht="40.049999999999997" customHeight="1" x14ac:dyDescent="0.25">
      <c r="A4192" s="11" t="s">
        <v>9236</v>
      </c>
      <c r="B4192" s="11" t="s">
        <v>9237</v>
      </c>
      <c r="C4192" s="11" t="s">
        <v>17</v>
      </c>
      <c r="D4192" s="11" t="s">
        <v>18</v>
      </c>
      <c r="E4192" s="12" t="s">
        <v>638</v>
      </c>
      <c r="F4192" s="12" t="s">
        <v>639</v>
      </c>
      <c r="G4192" s="12" t="s">
        <v>21</v>
      </c>
      <c r="H4192" s="11" t="s">
        <v>63</v>
      </c>
      <c r="I4192" s="13" t="s">
        <v>9239</v>
      </c>
      <c r="J4192" s="14" t="str">
        <f>HYPERLINK("https://www.boe.es/gazeta/dias/1839/08/26/pdfs/GMD-1839-1747.pdf#page=4","Abrir facsímil")</f>
        <v>Abrir facsímil</v>
      </c>
      <c r="K4192" s="12" t="s">
        <v>65</v>
      </c>
    </row>
    <row r="4193" spans="1:11" ht="40.049999999999997" customHeight="1" x14ac:dyDescent="0.25">
      <c r="A4193" s="11" t="s">
        <v>9240</v>
      </c>
      <c r="B4193" s="11" t="s">
        <v>9241</v>
      </c>
      <c r="C4193" s="11" t="s">
        <v>101</v>
      </c>
      <c r="D4193" s="11" t="s">
        <v>102</v>
      </c>
      <c r="E4193" s="12" t="s">
        <v>141</v>
      </c>
      <c r="F4193" s="12" t="s">
        <v>142</v>
      </c>
      <c r="G4193" s="12" t="s">
        <v>21</v>
      </c>
      <c r="H4193" s="11" t="s">
        <v>63</v>
      </c>
      <c r="I4193" s="13" t="s">
        <v>9242</v>
      </c>
      <c r="J4193" s="14" t="str">
        <f>HYPERLINK("https://www.boe.es/gazeta/dias/1839/11/10/pdfs/GMD-1839-1827.pdf#page=4","Abrir facsímil")</f>
        <v>Abrir facsímil</v>
      </c>
      <c r="K4193" s="12" t="s">
        <v>65</v>
      </c>
    </row>
    <row r="4194" spans="1:11" ht="40.049999999999997" customHeight="1" x14ac:dyDescent="0.25">
      <c r="A4194" s="11" t="s">
        <v>9243</v>
      </c>
      <c r="B4194" s="11" t="s">
        <v>9244</v>
      </c>
      <c r="C4194" s="11" t="s">
        <v>80</v>
      </c>
      <c r="D4194" s="11" t="s">
        <v>18</v>
      </c>
      <c r="E4194" s="12" t="s">
        <v>1159</v>
      </c>
      <c r="F4194" s="12" t="s">
        <v>1160</v>
      </c>
      <c r="G4194" s="12" t="s">
        <v>21</v>
      </c>
      <c r="H4194" s="11" t="s">
        <v>63</v>
      </c>
      <c r="I4194" s="13" t="s">
        <v>9245</v>
      </c>
      <c r="J4194" s="14" t="str">
        <f>HYPERLINK("https://www.boe.es/gazeta/dias/1839/11/26/pdfs/GMD-1839-1843.pdf#page=4","Abrir facsímil")</f>
        <v>Abrir facsímil</v>
      </c>
      <c r="K4194" s="12" t="s">
        <v>65</v>
      </c>
    </row>
    <row r="4195" spans="1:11" ht="40.049999999999997" customHeight="1" x14ac:dyDescent="0.25">
      <c r="A4195" s="11" t="s">
        <v>9246</v>
      </c>
      <c r="B4195" s="11" t="s">
        <v>9247</v>
      </c>
      <c r="C4195" s="11" t="s">
        <v>17</v>
      </c>
      <c r="D4195" s="11" t="s">
        <v>18</v>
      </c>
      <c r="E4195" s="12" t="s">
        <v>2107</v>
      </c>
      <c r="F4195" s="12" t="s">
        <v>2108</v>
      </c>
      <c r="G4195" s="12" t="s">
        <v>21</v>
      </c>
      <c r="H4195" s="11" t="s">
        <v>63</v>
      </c>
      <c r="I4195" s="13" t="s">
        <v>9248</v>
      </c>
      <c r="J4195" s="14" t="str">
        <f>HYPERLINK("https://www.boe.es/gazeta/dias/1839/10/11/pdfs/GMD-1839-1797.pdf#page=4","Abrir facsímil")</f>
        <v>Abrir facsímil</v>
      </c>
      <c r="K4195" s="12" t="s">
        <v>65</v>
      </c>
    </row>
    <row r="4196" spans="1:11" ht="40.049999999999997" customHeight="1" x14ac:dyDescent="0.25">
      <c r="A4196" s="11" t="s">
        <v>9249</v>
      </c>
      <c r="B4196" s="11" t="s">
        <v>9250</v>
      </c>
      <c r="C4196" s="11" t="s">
        <v>80</v>
      </c>
      <c r="D4196" s="11" t="s">
        <v>173</v>
      </c>
      <c r="E4196" s="12" t="s">
        <v>3705</v>
      </c>
      <c r="F4196" s="12" t="s">
        <v>3706</v>
      </c>
      <c r="G4196" s="12" t="s">
        <v>29</v>
      </c>
      <c r="H4196" s="11" t="s">
        <v>63</v>
      </c>
      <c r="I4196" s="13" t="s">
        <v>9251</v>
      </c>
      <c r="J4196" s="14" t="str">
        <f>HYPERLINK("https://www.boe.es/gazeta/dias/1839/03/09/pdfs/GMD-1839-1575.pdf#page=1","Abrir facsímil")</f>
        <v>Abrir facsímil</v>
      </c>
      <c r="K4196" s="12" t="s">
        <v>65</v>
      </c>
    </row>
    <row r="4197" spans="1:11" ht="40.049999999999997" customHeight="1" x14ac:dyDescent="0.25">
      <c r="A4197" s="11" t="s">
        <v>9252</v>
      </c>
      <c r="B4197" s="11" t="s">
        <v>9253</v>
      </c>
      <c r="C4197" s="11" t="s">
        <v>17</v>
      </c>
      <c r="D4197" s="11" t="s">
        <v>18</v>
      </c>
      <c r="E4197" s="12" t="s">
        <v>1069</v>
      </c>
      <c r="F4197" s="12" t="s">
        <v>1070</v>
      </c>
      <c r="G4197" s="12" t="s">
        <v>46</v>
      </c>
      <c r="H4197" s="11" t="s">
        <v>63</v>
      </c>
      <c r="I4197" s="13" t="s">
        <v>9254</v>
      </c>
      <c r="J4197" s="14" t="str">
        <f>HYPERLINK("https://www.boe.es/gazeta/dias/1839/10/15/pdfs/GMD-1839-1801.pdf#page=3","Abrir facsímil")</f>
        <v>Abrir facsímil</v>
      </c>
      <c r="K4197" s="12" t="s">
        <v>65</v>
      </c>
    </row>
    <row r="4198" spans="1:11" ht="40.049999999999997" customHeight="1" x14ac:dyDescent="0.25">
      <c r="A4198" s="11" t="s">
        <v>9255</v>
      </c>
      <c r="B4198" s="11" t="s">
        <v>9256</v>
      </c>
      <c r="C4198" s="11" t="s">
        <v>137</v>
      </c>
      <c r="D4198" s="11" t="s">
        <v>18</v>
      </c>
      <c r="E4198" s="12" t="s">
        <v>2507</v>
      </c>
      <c r="F4198" s="12" t="s">
        <v>2508</v>
      </c>
      <c r="G4198" s="12" t="s">
        <v>46</v>
      </c>
      <c r="H4198" s="11" t="s">
        <v>63</v>
      </c>
      <c r="I4198" s="13" t="s">
        <v>9257</v>
      </c>
      <c r="J4198" s="14" t="str">
        <f>HYPERLINK("https://www.boe.es/gazeta/dias/1839/03/08/pdfs/GMD-1839-1574.pdf#page=3","Abrir facsímil")</f>
        <v>Abrir facsímil</v>
      </c>
      <c r="K4198" s="12" t="s">
        <v>65</v>
      </c>
    </row>
    <row r="4199" spans="1:11" ht="40.049999999999997" customHeight="1" x14ac:dyDescent="0.25">
      <c r="A4199" s="11" t="s">
        <v>9258</v>
      </c>
      <c r="B4199" s="11" t="s">
        <v>9259</v>
      </c>
      <c r="C4199" s="11" t="s">
        <v>17</v>
      </c>
      <c r="D4199" s="11" t="s">
        <v>18</v>
      </c>
      <c r="E4199" s="12" t="s">
        <v>596</v>
      </c>
      <c r="F4199" s="12" t="s">
        <v>597</v>
      </c>
      <c r="G4199" s="12" t="s">
        <v>46</v>
      </c>
      <c r="H4199" s="11" t="s">
        <v>63</v>
      </c>
      <c r="I4199" s="13" t="s">
        <v>9260</v>
      </c>
      <c r="J4199" s="14" t="str">
        <f>HYPERLINK("https://www.boe.es/gazeta/dias/1839/01/23/pdfs/GMD-1839-1530.pdf#page=3","Abrir facsímil")</f>
        <v>Abrir facsímil</v>
      </c>
      <c r="K4199" s="12" t="s">
        <v>65</v>
      </c>
    </row>
    <row r="4200" spans="1:11" ht="40.049999999999997" customHeight="1" x14ac:dyDescent="0.25">
      <c r="A4200" s="11" t="s">
        <v>9261</v>
      </c>
      <c r="B4200" s="11" t="s">
        <v>9262</v>
      </c>
      <c r="C4200" s="11" t="s">
        <v>137</v>
      </c>
      <c r="D4200" s="11" t="s">
        <v>18</v>
      </c>
      <c r="E4200" s="12" t="s">
        <v>266</v>
      </c>
      <c r="F4200" s="12" t="s">
        <v>267</v>
      </c>
      <c r="G4200" s="12" t="s">
        <v>40</v>
      </c>
      <c r="H4200" s="11" t="s">
        <v>63</v>
      </c>
      <c r="I4200" s="13" t="s">
        <v>9263</v>
      </c>
      <c r="J4200" s="14" t="str">
        <f>HYPERLINK("https://www.boe.es/gazeta/dias/1839/01/03/pdfs/GMD-1839-1510.pdf#page=2","Abrir facsímil")</f>
        <v>Abrir facsímil</v>
      </c>
      <c r="K4200" s="12" t="s">
        <v>65</v>
      </c>
    </row>
    <row r="4201" spans="1:11" ht="40.049999999999997" customHeight="1" x14ac:dyDescent="0.25">
      <c r="A4201" s="11" t="s">
        <v>9264</v>
      </c>
      <c r="B4201" s="11" t="s">
        <v>9265</v>
      </c>
      <c r="C4201" s="11" t="s">
        <v>17</v>
      </c>
      <c r="D4201" s="11" t="s">
        <v>18</v>
      </c>
      <c r="E4201" s="12" t="s">
        <v>1467</v>
      </c>
      <c r="F4201" s="12" t="s">
        <v>1468</v>
      </c>
      <c r="G4201" s="12" t="s">
        <v>40</v>
      </c>
      <c r="H4201" s="11" t="s">
        <v>63</v>
      </c>
      <c r="I4201" s="13" t="s">
        <v>9266</v>
      </c>
      <c r="J4201" s="14" t="str">
        <f>HYPERLINK("https://www.boe.es/gazeta/dias/1839/03/05/pdfs/GMD-1839-1571.pdf#page=2","Abrir facsímil")</f>
        <v>Abrir facsímil</v>
      </c>
      <c r="K4201" s="12" t="s">
        <v>65</v>
      </c>
    </row>
    <row r="4202" spans="1:11" ht="40.049999999999997" customHeight="1" x14ac:dyDescent="0.25">
      <c r="A4202" s="11" t="s">
        <v>9264</v>
      </c>
      <c r="B4202" s="11" t="s">
        <v>9265</v>
      </c>
      <c r="C4202" s="11" t="s">
        <v>80</v>
      </c>
      <c r="D4202" s="11" t="s">
        <v>18</v>
      </c>
      <c r="E4202" s="12" t="s">
        <v>857</v>
      </c>
      <c r="F4202" s="12" t="s">
        <v>858</v>
      </c>
      <c r="G4202" s="12" t="s">
        <v>21</v>
      </c>
      <c r="H4202" s="11" t="s">
        <v>63</v>
      </c>
      <c r="I4202" s="13" t="s">
        <v>9267</v>
      </c>
      <c r="J4202" s="14" t="str">
        <f>HYPERLINK("https://www.boe.es/gazeta/dias/1839/11/21/pdfs/GMD-1839-1838.pdf#page=4","Abrir facsímil")</f>
        <v>Abrir facsímil</v>
      </c>
      <c r="K4202" s="12" t="s">
        <v>65</v>
      </c>
    </row>
    <row r="4203" spans="1:11" ht="40.049999999999997" customHeight="1" x14ac:dyDescent="0.25">
      <c r="A4203" s="11" t="s">
        <v>9264</v>
      </c>
      <c r="B4203" s="11" t="s">
        <v>9265</v>
      </c>
      <c r="C4203" s="11" t="s">
        <v>17</v>
      </c>
      <c r="D4203" s="11" t="s">
        <v>18</v>
      </c>
      <c r="E4203" s="12" t="s">
        <v>474</v>
      </c>
      <c r="F4203" s="12" t="s">
        <v>475</v>
      </c>
      <c r="G4203" s="12" t="s">
        <v>21</v>
      </c>
      <c r="H4203" s="11" t="s">
        <v>63</v>
      </c>
      <c r="I4203" s="13" t="s">
        <v>9268</v>
      </c>
      <c r="J4203" s="14" t="str">
        <f>HYPERLINK("https://www.boe.es/gazeta/dias/1839/03/31/pdfs/GMD-1839-1597.pdf#page=4","Abrir facsímil")</f>
        <v>Abrir facsímil</v>
      </c>
      <c r="K4203" s="12" t="s">
        <v>65</v>
      </c>
    </row>
    <row r="4204" spans="1:11" ht="40.049999999999997" customHeight="1" x14ac:dyDescent="0.25">
      <c r="A4204" s="11" t="s">
        <v>9269</v>
      </c>
      <c r="B4204" s="11" t="s">
        <v>9270</v>
      </c>
      <c r="C4204" s="11" t="s">
        <v>80</v>
      </c>
      <c r="D4204" s="11" t="s">
        <v>18</v>
      </c>
      <c r="E4204" s="12" t="s">
        <v>330</v>
      </c>
      <c r="F4204" s="12" t="s">
        <v>331</v>
      </c>
      <c r="G4204" s="12" t="s">
        <v>21</v>
      </c>
      <c r="H4204" s="11" t="s">
        <v>63</v>
      </c>
      <c r="I4204" s="13" t="s">
        <v>9271</v>
      </c>
      <c r="J4204" s="14" t="str">
        <f>HYPERLINK("https://www.boe.es/gazeta/dias/1839/04/11/pdfs/GMD-1839-1608.pdf#page=4","Abrir facsímil")</f>
        <v>Abrir facsímil</v>
      </c>
      <c r="K4204" s="12" t="s">
        <v>65</v>
      </c>
    </row>
    <row r="4205" spans="1:11" ht="40.049999999999997" customHeight="1" x14ac:dyDescent="0.25">
      <c r="A4205" s="11" t="s">
        <v>9272</v>
      </c>
      <c r="B4205" s="11" t="s">
        <v>9273</v>
      </c>
      <c r="C4205" s="11" t="s">
        <v>17</v>
      </c>
      <c r="D4205" s="11" t="s">
        <v>18</v>
      </c>
      <c r="E4205" s="12" t="s">
        <v>303</v>
      </c>
      <c r="F4205" s="12" t="s">
        <v>304</v>
      </c>
      <c r="G4205" s="12" t="s">
        <v>305</v>
      </c>
      <c r="H4205" s="11" t="s">
        <v>22</v>
      </c>
      <c r="I4205" s="13" t="s">
        <v>9274</v>
      </c>
      <c r="J4205" s="14" t="str">
        <f>HYPERLINK("https://www.boe.es/gazeta/dias/1839/10/06/pdfs/GMD-1839-1792.pdf#page=6","Abrir facsímil")</f>
        <v>Abrir facsímil</v>
      </c>
      <c r="K4205" s="12" t="s">
        <v>24</v>
      </c>
    </row>
    <row r="4206" spans="1:11" ht="40.049999999999997" customHeight="1" x14ac:dyDescent="0.25">
      <c r="A4206" s="11" t="s">
        <v>9275</v>
      </c>
      <c r="B4206" s="11" t="s">
        <v>9276</v>
      </c>
      <c r="C4206" s="11" t="s">
        <v>80</v>
      </c>
      <c r="D4206" s="11" t="s">
        <v>18</v>
      </c>
      <c r="E4206" s="12" t="s">
        <v>4186</v>
      </c>
      <c r="F4206" s="12" t="s">
        <v>4187</v>
      </c>
      <c r="G4206" s="12" t="s">
        <v>21</v>
      </c>
      <c r="H4206" s="11" t="s">
        <v>22</v>
      </c>
      <c r="I4206" s="13" t="s">
        <v>9277</v>
      </c>
      <c r="J4206" s="14" t="str">
        <f>HYPERLINK("https://www.boe.es/gazeta/dias/1839/12/12/pdfs/GMD-1839-1859.pdf#page=4","Abrir facsímil")</f>
        <v>Abrir facsímil</v>
      </c>
      <c r="K4206" s="12" t="s">
        <v>24</v>
      </c>
    </row>
    <row r="4207" spans="1:11" ht="40.049999999999997" customHeight="1" x14ac:dyDescent="0.25">
      <c r="A4207" s="11" t="s">
        <v>9278</v>
      </c>
      <c r="B4207" s="11" t="s">
        <v>9279</v>
      </c>
      <c r="C4207" s="11" t="s">
        <v>17</v>
      </c>
      <c r="D4207" s="11" t="s">
        <v>18</v>
      </c>
      <c r="E4207" s="12" t="s">
        <v>1497</v>
      </c>
      <c r="F4207" s="12" t="s">
        <v>1498</v>
      </c>
      <c r="G4207" s="12" t="s">
        <v>21</v>
      </c>
      <c r="H4207" s="11" t="s">
        <v>63</v>
      </c>
      <c r="I4207" s="13" t="s">
        <v>9280</v>
      </c>
      <c r="J4207" s="14" t="str">
        <f>HYPERLINK("https://www.boe.es/gazeta/dias/1839/08/23/pdfs/GMD-1839-1744.pdf#page=4","Abrir facsímil")</f>
        <v>Abrir facsímil</v>
      </c>
      <c r="K4207" s="12" t="s">
        <v>65</v>
      </c>
    </row>
    <row r="4208" spans="1:11" ht="40.049999999999997" customHeight="1" x14ac:dyDescent="0.25">
      <c r="A4208" s="11" t="s">
        <v>9281</v>
      </c>
      <c r="B4208" s="11" t="s">
        <v>9282</v>
      </c>
      <c r="C4208" s="11" t="s">
        <v>137</v>
      </c>
      <c r="D4208" s="11" t="s">
        <v>18</v>
      </c>
      <c r="E4208" s="12" t="s">
        <v>503</v>
      </c>
      <c r="F4208" s="12" t="s">
        <v>504</v>
      </c>
      <c r="G4208" s="12" t="s">
        <v>46</v>
      </c>
      <c r="H4208" s="11" t="s">
        <v>63</v>
      </c>
      <c r="I4208" s="13" t="s">
        <v>9283</v>
      </c>
      <c r="J4208" s="14" t="str">
        <f>HYPERLINK("https://www.boe.es/gazeta/dias/1839/06/07/pdfs/GMD-1839-1665.pdf#page=3","Abrir facsímil")</f>
        <v>Abrir facsímil</v>
      </c>
      <c r="K4208" s="12" t="s">
        <v>65</v>
      </c>
    </row>
    <row r="4209" spans="1:11" ht="40.049999999999997" customHeight="1" x14ac:dyDescent="0.25">
      <c r="A4209" s="11" t="s">
        <v>9284</v>
      </c>
      <c r="B4209" s="11" t="s">
        <v>9285</v>
      </c>
      <c r="C4209" s="11" t="s">
        <v>59</v>
      </c>
      <c r="D4209" s="11" t="s">
        <v>60</v>
      </c>
      <c r="E4209" s="12" t="s">
        <v>1374</v>
      </c>
      <c r="F4209" s="12" t="s">
        <v>1375</v>
      </c>
      <c r="G4209" s="12" t="s">
        <v>29</v>
      </c>
      <c r="H4209" s="11" t="s">
        <v>63</v>
      </c>
      <c r="I4209" s="13" t="s">
        <v>9286</v>
      </c>
      <c r="J4209" s="14" t="str">
        <f>HYPERLINK("https://www.boe.es/gazeta/dias/1839/07/20/pdfs/GMD-1839-1708.pdf#page=1","Abrir facsímil")</f>
        <v>Abrir facsímil</v>
      </c>
      <c r="K4209" s="12" t="s">
        <v>65</v>
      </c>
    </row>
    <row r="4210" spans="1:11" ht="40.049999999999997" customHeight="1" x14ac:dyDescent="0.25">
      <c r="A4210" s="11" t="s">
        <v>9287</v>
      </c>
      <c r="B4210" s="11" t="s">
        <v>9288</v>
      </c>
      <c r="C4210" s="11" t="s">
        <v>17</v>
      </c>
      <c r="D4210" s="11" t="s">
        <v>18</v>
      </c>
      <c r="E4210" s="12" t="s">
        <v>1310</v>
      </c>
      <c r="F4210" s="12" t="s">
        <v>1311</v>
      </c>
      <c r="G4210" s="12" t="s">
        <v>40</v>
      </c>
      <c r="H4210" s="11" t="s">
        <v>63</v>
      </c>
      <c r="I4210" s="13" t="s">
        <v>9289</v>
      </c>
      <c r="J4210" s="14" t="str">
        <f>HYPERLINK("https://www.boe.es/gazeta/dias/1839/04/23/pdfs/GMD-1839-1620.pdf#page=2","Abrir facsímil")</f>
        <v>Abrir facsímil</v>
      </c>
      <c r="K4210" s="12" t="s">
        <v>65</v>
      </c>
    </row>
    <row r="4211" spans="1:11" ht="40.049999999999997" customHeight="1" x14ac:dyDescent="0.25">
      <c r="A4211" s="11" t="s">
        <v>9290</v>
      </c>
      <c r="B4211" s="11" t="s">
        <v>9291</v>
      </c>
      <c r="C4211" s="11" t="s">
        <v>137</v>
      </c>
      <c r="D4211" s="11" t="s">
        <v>18</v>
      </c>
      <c r="E4211" s="12" t="s">
        <v>1497</v>
      </c>
      <c r="F4211" s="12" t="s">
        <v>1498</v>
      </c>
      <c r="G4211" s="12" t="s">
        <v>21</v>
      </c>
      <c r="H4211" s="11" t="s">
        <v>63</v>
      </c>
      <c r="I4211" s="13" t="s">
        <v>9292</v>
      </c>
      <c r="J4211" s="14" t="str">
        <f>HYPERLINK("https://www.boe.es/gazeta/dias/1839/08/23/pdfs/GMD-1839-1744.pdf#page=4","Abrir facsímil")</f>
        <v>Abrir facsímil</v>
      </c>
      <c r="K4211" s="12" t="s">
        <v>65</v>
      </c>
    </row>
    <row r="4212" spans="1:11" ht="40.049999999999997" customHeight="1" x14ac:dyDescent="0.25">
      <c r="A4212" s="11" t="s">
        <v>9293</v>
      </c>
      <c r="B4212" s="11" t="s">
        <v>9294</v>
      </c>
      <c r="C4212" s="11" t="s">
        <v>101</v>
      </c>
      <c r="D4212" s="11" t="s">
        <v>102</v>
      </c>
      <c r="E4212" s="12" t="s">
        <v>2117</v>
      </c>
      <c r="F4212" s="12" t="s">
        <v>2118</v>
      </c>
      <c r="G4212" s="12" t="s">
        <v>40</v>
      </c>
      <c r="H4212" s="11" t="s">
        <v>63</v>
      </c>
      <c r="I4212" s="13" t="s">
        <v>9295</v>
      </c>
      <c r="J4212" s="14" t="str">
        <f>HYPERLINK("https://www.boe.es/gazeta/dias/1839/06/23/pdfs/GMD-1839-1681.pdf#page=2","Abrir facsímil")</f>
        <v>Abrir facsímil</v>
      </c>
      <c r="K4212" s="12" t="s">
        <v>65</v>
      </c>
    </row>
    <row r="4213" spans="1:11" ht="40.049999999999997" customHeight="1" x14ac:dyDescent="0.25">
      <c r="A4213" s="11" t="s">
        <v>9296</v>
      </c>
      <c r="B4213" s="11" t="s">
        <v>9297</v>
      </c>
      <c r="C4213" s="11" t="s">
        <v>17</v>
      </c>
      <c r="D4213" s="11" t="s">
        <v>18</v>
      </c>
      <c r="E4213" s="12" t="s">
        <v>258</v>
      </c>
      <c r="F4213" s="12" t="s">
        <v>259</v>
      </c>
      <c r="G4213" s="12" t="s">
        <v>40</v>
      </c>
      <c r="H4213" s="11" t="s">
        <v>63</v>
      </c>
      <c r="I4213" s="13" t="s">
        <v>9298</v>
      </c>
      <c r="J4213" s="14" t="str">
        <f>HYPERLINK("https://www.boe.es/gazeta/dias/1839/01/02/pdfs/GMD-1839-1509.pdf#page=2","Abrir facsímil")</f>
        <v>Abrir facsímil</v>
      </c>
      <c r="K4213" s="12" t="s">
        <v>65</v>
      </c>
    </row>
    <row r="4214" spans="1:11" ht="40.049999999999997" customHeight="1" x14ac:dyDescent="0.25">
      <c r="A4214" s="11" t="s">
        <v>9299</v>
      </c>
      <c r="B4214" s="11" t="s">
        <v>9300</v>
      </c>
      <c r="C4214" s="11" t="s">
        <v>80</v>
      </c>
      <c r="D4214" s="11" t="s">
        <v>18</v>
      </c>
      <c r="E4214" s="12" t="s">
        <v>291</v>
      </c>
      <c r="F4214" s="12" t="s">
        <v>292</v>
      </c>
      <c r="G4214" s="12" t="s">
        <v>21</v>
      </c>
      <c r="H4214" s="11" t="s">
        <v>63</v>
      </c>
      <c r="I4214" s="13" t="s">
        <v>9301</v>
      </c>
      <c r="J4214" s="14" t="str">
        <f>HYPERLINK("https://www.boe.es/gazeta/dias/1839/09/04/pdfs/GMD-1839-1757.pdf#page=4","Abrir facsímil")</f>
        <v>Abrir facsímil</v>
      </c>
      <c r="K4214" s="12" t="s">
        <v>65</v>
      </c>
    </row>
    <row r="4215" spans="1:11" ht="40.049999999999997" customHeight="1" x14ac:dyDescent="0.25">
      <c r="A4215" s="11" t="s">
        <v>9299</v>
      </c>
      <c r="B4215" s="11" t="s">
        <v>9300</v>
      </c>
      <c r="C4215" s="11" t="s">
        <v>59</v>
      </c>
      <c r="D4215" s="11" t="s">
        <v>60</v>
      </c>
      <c r="E4215" s="12" t="s">
        <v>1644</v>
      </c>
      <c r="F4215" s="12" t="s">
        <v>1645</v>
      </c>
      <c r="G4215" s="12" t="s">
        <v>21</v>
      </c>
      <c r="H4215" s="11" t="s">
        <v>63</v>
      </c>
      <c r="I4215" s="13" t="s">
        <v>9302</v>
      </c>
      <c r="J4215" s="14" t="str">
        <f>HYPERLINK("https://www.boe.es/gazeta/dias/1839/04/16/pdfs/GMD-1839-1613.pdf#page=4","Abrir facsímil")</f>
        <v>Abrir facsímil</v>
      </c>
      <c r="K4215" s="12" t="s">
        <v>65</v>
      </c>
    </row>
    <row r="4216" spans="1:11" ht="40.049999999999997" customHeight="1" x14ac:dyDescent="0.25">
      <c r="A4216" s="11" t="s">
        <v>9299</v>
      </c>
      <c r="B4216" s="11" t="s">
        <v>9300</v>
      </c>
      <c r="C4216" s="11" t="s">
        <v>137</v>
      </c>
      <c r="D4216" s="11" t="s">
        <v>18</v>
      </c>
      <c r="E4216" s="12" t="s">
        <v>1406</v>
      </c>
      <c r="F4216" s="12" t="s">
        <v>1407</v>
      </c>
      <c r="G4216" s="12" t="s">
        <v>21</v>
      </c>
      <c r="H4216" s="11" t="s">
        <v>63</v>
      </c>
      <c r="I4216" s="13" t="s">
        <v>9303</v>
      </c>
      <c r="J4216" s="14" t="str">
        <f>HYPERLINK("https://www.boe.es/gazeta/dias/1839/07/18/pdfs/GMD-1839-1706.pdf#page=4","Abrir facsímil")</f>
        <v>Abrir facsímil</v>
      </c>
      <c r="K4216" s="12" t="s">
        <v>65</v>
      </c>
    </row>
    <row r="4217" spans="1:11" ht="40.049999999999997" customHeight="1" x14ac:dyDescent="0.25">
      <c r="A4217" s="11" t="s">
        <v>9299</v>
      </c>
      <c r="B4217" s="11" t="s">
        <v>9300</v>
      </c>
      <c r="C4217" s="11" t="s">
        <v>80</v>
      </c>
      <c r="D4217" s="11" t="s">
        <v>18</v>
      </c>
      <c r="E4217" s="12" t="s">
        <v>1703</v>
      </c>
      <c r="F4217" s="12" t="s">
        <v>1704</v>
      </c>
      <c r="G4217" s="12" t="s">
        <v>46</v>
      </c>
      <c r="H4217" s="11" t="s">
        <v>63</v>
      </c>
      <c r="I4217" s="13" t="s">
        <v>9304</v>
      </c>
      <c r="J4217" s="14" t="str">
        <f>HYPERLINK("https://www.boe.es/gazeta/dias/1839/01/21/pdfs/GMD-1839-1528.pdf#page=3","Abrir facsímil")</f>
        <v>Abrir facsímil</v>
      </c>
      <c r="K4217" s="12" t="s">
        <v>65</v>
      </c>
    </row>
    <row r="4218" spans="1:11" ht="40.049999999999997" customHeight="1" x14ac:dyDescent="0.25">
      <c r="A4218" s="11" t="s">
        <v>9299</v>
      </c>
      <c r="B4218" s="11" t="s">
        <v>9300</v>
      </c>
      <c r="C4218" s="11" t="s">
        <v>137</v>
      </c>
      <c r="D4218" s="11" t="s">
        <v>18</v>
      </c>
      <c r="E4218" s="12" t="s">
        <v>239</v>
      </c>
      <c r="F4218" s="12" t="s">
        <v>240</v>
      </c>
      <c r="G4218" s="12" t="s">
        <v>21</v>
      </c>
      <c r="H4218" s="11" t="s">
        <v>63</v>
      </c>
      <c r="I4218" s="13" t="s">
        <v>9305</v>
      </c>
      <c r="J4218" s="14" t="str">
        <f>HYPERLINK("https://www.boe.es/gazeta/dias/1839/09/22/pdfs/GMD-1839-1777.pdf#page=4","Abrir facsímil")</f>
        <v>Abrir facsímil</v>
      </c>
      <c r="K4218" s="12" t="s">
        <v>65</v>
      </c>
    </row>
    <row r="4219" spans="1:11" ht="40.049999999999997" customHeight="1" x14ac:dyDescent="0.25">
      <c r="A4219" s="11" t="s">
        <v>9299</v>
      </c>
      <c r="B4219" s="11" t="s">
        <v>9300</v>
      </c>
      <c r="C4219" s="11" t="s">
        <v>80</v>
      </c>
      <c r="D4219" s="11" t="s">
        <v>173</v>
      </c>
      <c r="E4219" s="12" t="s">
        <v>1287</v>
      </c>
      <c r="F4219" s="12" t="s">
        <v>1288</v>
      </c>
      <c r="G4219" s="12" t="s">
        <v>21</v>
      </c>
      <c r="H4219" s="11" t="s">
        <v>63</v>
      </c>
      <c r="I4219" s="13" t="s">
        <v>9306</v>
      </c>
      <c r="J4219" s="14" t="str">
        <f>HYPERLINK("https://www.boe.es/gazeta/dias/1839/10/30/pdfs/GMD-1839-1816.pdf#page=4","Abrir facsímil")</f>
        <v>Abrir facsímil</v>
      </c>
      <c r="K4219" s="12" t="s">
        <v>65</v>
      </c>
    </row>
    <row r="4220" spans="1:11" ht="40.049999999999997" customHeight="1" x14ac:dyDescent="0.25">
      <c r="A4220" s="11" t="s">
        <v>9307</v>
      </c>
      <c r="B4220" s="11" t="s">
        <v>9308</v>
      </c>
      <c r="C4220" s="11" t="s">
        <v>80</v>
      </c>
      <c r="D4220" s="11" t="s">
        <v>18</v>
      </c>
      <c r="E4220" s="12" t="s">
        <v>217</v>
      </c>
      <c r="F4220" s="12" t="s">
        <v>218</v>
      </c>
      <c r="G4220" s="12" t="s">
        <v>46</v>
      </c>
      <c r="H4220" s="11" t="s">
        <v>63</v>
      </c>
      <c r="I4220" s="13" t="s">
        <v>9309</v>
      </c>
      <c r="J4220" s="14" t="str">
        <f>HYPERLINK("https://www.boe.es/gazeta/dias/1839/08/06/pdfs/GMD-1839-1726.pdf#page=3","Abrir facsímil")</f>
        <v>Abrir facsímil</v>
      </c>
      <c r="K4220" s="12" t="s">
        <v>65</v>
      </c>
    </row>
    <row r="4221" spans="1:11" ht="40.049999999999997" customHeight="1" x14ac:dyDescent="0.25">
      <c r="A4221" s="11" t="s">
        <v>9310</v>
      </c>
      <c r="B4221" s="11" t="s">
        <v>9311</v>
      </c>
      <c r="C4221" s="11" t="s">
        <v>17</v>
      </c>
      <c r="D4221" s="11" t="s">
        <v>43</v>
      </c>
      <c r="E4221" s="12" t="s">
        <v>312</v>
      </c>
      <c r="F4221" s="12" t="s">
        <v>313</v>
      </c>
      <c r="G4221" s="12" t="s">
        <v>21</v>
      </c>
      <c r="H4221" s="11" t="s">
        <v>63</v>
      </c>
      <c r="I4221" s="13" t="s">
        <v>9312</v>
      </c>
      <c r="J4221" s="14" t="str">
        <f>HYPERLINK("https://www.boe.es/gazeta/dias/1839/11/30/pdfs/GMD-1839-1847.pdf#page=4","Abrir facsímil")</f>
        <v>Abrir facsímil</v>
      </c>
      <c r="K4221" s="12" t="s">
        <v>65</v>
      </c>
    </row>
    <row r="4222" spans="1:11" ht="40.049999999999997" customHeight="1" x14ac:dyDescent="0.25">
      <c r="A4222" s="11" t="s">
        <v>9313</v>
      </c>
      <c r="B4222" s="11" t="s">
        <v>9314</v>
      </c>
      <c r="C4222" s="11" t="s">
        <v>17</v>
      </c>
      <c r="D4222" s="11" t="s">
        <v>18</v>
      </c>
      <c r="E4222" s="12" t="s">
        <v>568</v>
      </c>
      <c r="F4222" s="12" t="s">
        <v>569</v>
      </c>
      <c r="G4222" s="12" t="s">
        <v>46</v>
      </c>
      <c r="H4222" s="11" t="s">
        <v>63</v>
      </c>
      <c r="I4222" s="13" t="s">
        <v>9315</v>
      </c>
      <c r="J4222" s="14" t="str">
        <f>HYPERLINK("https://www.boe.es/gazeta/dias/1839/10/23/pdfs/GMD-1839-1809.pdf#page=3","Abrir facsímil")</f>
        <v>Abrir facsímil</v>
      </c>
      <c r="K4222" s="12" t="s">
        <v>65</v>
      </c>
    </row>
    <row r="4223" spans="1:11" ht="40.049999999999997" customHeight="1" x14ac:dyDescent="0.25">
      <c r="A4223" s="11" t="s">
        <v>9316</v>
      </c>
      <c r="B4223" s="11" t="s">
        <v>9317</v>
      </c>
      <c r="C4223" s="11" t="s">
        <v>17</v>
      </c>
      <c r="D4223" s="11" t="s">
        <v>18</v>
      </c>
      <c r="E4223" s="12" t="s">
        <v>1366</v>
      </c>
      <c r="F4223" s="12" t="s">
        <v>1367</v>
      </c>
      <c r="G4223" s="12" t="s">
        <v>40</v>
      </c>
      <c r="H4223" s="11" t="s">
        <v>63</v>
      </c>
      <c r="I4223" s="13" t="s">
        <v>9318</v>
      </c>
      <c r="J4223" s="14" t="str">
        <f>HYPERLINK("https://www.boe.es/gazeta/dias/1839/09/09/pdfs/GMD-1839-1762.pdf#page=2","Abrir facsímil")</f>
        <v>Abrir facsímil</v>
      </c>
      <c r="K4223" s="12" t="s">
        <v>65</v>
      </c>
    </row>
    <row r="4224" spans="1:11" ht="40.049999999999997" customHeight="1" x14ac:dyDescent="0.25">
      <c r="A4224" s="11" t="s">
        <v>9319</v>
      </c>
      <c r="B4224" s="11" t="s">
        <v>9320</v>
      </c>
      <c r="C4224" s="11" t="s">
        <v>101</v>
      </c>
      <c r="D4224" s="11" t="s">
        <v>43</v>
      </c>
      <c r="E4224" s="12" t="s">
        <v>2210</v>
      </c>
      <c r="F4224" s="12" t="s">
        <v>2211</v>
      </c>
      <c r="G4224" s="12" t="s">
        <v>46</v>
      </c>
      <c r="H4224" s="11" t="s">
        <v>63</v>
      </c>
      <c r="I4224" s="13" t="s">
        <v>9321</v>
      </c>
      <c r="J4224" s="14" t="str">
        <f>HYPERLINK("https://www.boe.es/gazeta/dias/1839/09/05/pdfs/GMD-1839-1758.pdf#page=3","Abrir facsímil")</f>
        <v>Abrir facsímil</v>
      </c>
      <c r="K4224" s="12" t="s">
        <v>65</v>
      </c>
    </row>
    <row r="4225" spans="1:11" ht="40.049999999999997" customHeight="1" x14ac:dyDescent="0.25">
      <c r="A4225" s="11" t="s">
        <v>9322</v>
      </c>
      <c r="B4225" s="11" t="s">
        <v>9323</v>
      </c>
      <c r="C4225" s="11" t="s">
        <v>17</v>
      </c>
      <c r="D4225" s="11" t="s">
        <v>18</v>
      </c>
      <c r="E4225" s="12" t="s">
        <v>926</v>
      </c>
      <c r="F4225" s="12" t="s">
        <v>927</v>
      </c>
      <c r="G4225" s="12" t="s">
        <v>40</v>
      </c>
      <c r="H4225" s="11" t="s">
        <v>63</v>
      </c>
      <c r="I4225" s="13" t="s">
        <v>9324</v>
      </c>
      <c r="J4225" s="14" t="str">
        <f>HYPERLINK("https://www.boe.es/gazeta/dias/1839/01/25/pdfs/GMD-1839-1532.pdf#page=2","Abrir facsímil")</f>
        <v>Abrir facsímil</v>
      </c>
      <c r="K4225" s="12" t="s">
        <v>65</v>
      </c>
    </row>
    <row r="4226" spans="1:11" ht="40.049999999999997" customHeight="1" x14ac:dyDescent="0.25">
      <c r="A4226" s="11" t="s">
        <v>9325</v>
      </c>
      <c r="B4226" s="11" t="s">
        <v>9326</v>
      </c>
      <c r="C4226" s="11" t="s">
        <v>17</v>
      </c>
      <c r="D4226" s="11" t="s">
        <v>18</v>
      </c>
      <c r="E4226" s="12" t="s">
        <v>448</v>
      </c>
      <c r="F4226" s="12" t="s">
        <v>449</v>
      </c>
      <c r="G4226" s="12" t="s">
        <v>40</v>
      </c>
      <c r="H4226" s="11" t="s">
        <v>63</v>
      </c>
      <c r="I4226" s="13" t="s">
        <v>9327</v>
      </c>
      <c r="J4226" s="14" t="str">
        <f>HYPERLINK("https://www.boe.es/gazeta/dias/1839/02/06/pdfs/GMD-1839-1544.pdf#page=2","Abrir facsímil")</f>
        <v>Abrir facsímil</v>
      </c>
      <c r="K4226" s="12" t="s">
        <v>65</v>
      </c>
    </row>
    <row r="4227" spans="1:11" ht="40.049999999999997" customHeight="1" x14ac:dyDescent="0.25">
      <c r="A4227" s="11" t="s">
        <v>9328</v>
      </c>
      <c r="B4227" s="11" t="s">
        <v>9329</v>
      </c>
      <c r="C4227" s="11" t="s">
        <v>17</v>
      </c>
      <c r="D4227" s="11" t="s">
        <v>18</v>
      </c>
      <c r="E4227" s="12" t="s">
        <v>647</v>
      </c>
      <c r="F4227" s="12" t="s">
        <v>648</v>
      </c>
      <c r="G4227" s="12" t="s">
        <v>29</v>
      </c>
      <c r="H4227" s="11" t="s">
        <v>63</v>
      </c>
      <c r="I4227" s="13" t="s">
        <v>9330</v>
      </c>
      <c r="J4227" s="14" t="str">
        <f>HYPERLINK("https://www.boe.es/gazeta/dias/1839/10/08/pdfs/GMD-1839-1794.pdf#page=1","Abrir facsímil")</f>
        <v>Abrir facsímil</v>
      </c>
      <c r="K4227" s="12" t="s">
        <v>65</v>
      </c>
    </row>
    <row r="4228" spans="1:11" ht="40.049999999999997" customHeight="1" x14ac:dyDescent="0.25">
      <c r="A4228" s="11" t="s">
        <v>9331</v>
      </c>
      <c r="B4228" s="11" t="s">
        <v>9332</v>
      </c>
      <c r="C4228" s="11" t="s">
        <v>17</v>
      </c>
      <c r="D4228" s="11" t="s">
        <v>18</v>
      </c>
      <c r="E4228" s="12" t="s">
        <v>185</v>
      </c>
      <c r="F4228" s="12" t="s">
        <v>186</v>
      </c>
      <c r="G4228" s="12" t="s">
        <v>29</v>
      </c>
      <c r="H4228" s="11" t="s">
        <v>63</v>
      </c>
      <c r="I4228" s="13" t="s">
        <v>9333</v>
      </c>
      <c r="J4228" s="14" t="str">
        <f>HYPERLINK("https://www.boe.es/gazeta/dias/1839/01/15/pdfs/GMD-1839-1522.pdf#page=1","Abrir facsímil")</f>
        <v>Abrir facsímil</v>
      </c>
      <c r="K4228" s="12" t="s">
        <v>65</v>
      </c>
    </row>
    <row r="4229" spans="1:11" ht="40.049999999999997" customHeight="1" x14ac:dyDescent="0.25">
      <c r="A4229" s="11" t="s">
        <v>9331</v>
      </c>
      <c r="B4229" s="11" t="s">
        <v>9332</v>
      </c>
      <c r="C4229" s="11" t="s">
        <v>17</v>
      </c>
      <c r="D4229" s="11" t="s">
        <v>18</v>
      </c>
      <c r="E4229" s="12" t="s">
        <v>1657</v>
      </c>
      <c r="F4229" s="12" t="s">
        <v>1658</v>
      </c>
      <c r="G4229" s="12" t="s">
        <v>21</v>
      </c>
      <c r="H4229" s="11" t="s">
        <v>63</v>
      </c>
      <c r="I4229" s="13" t="s">
        <v>9334</v>
      </c>
      <c r="J4229" s="14" t="str">
        <f>HYPERLINK("https://www.boe.es/gazeta/dias/1839/02/21/pdfs/GMD-1839-1559.pdf#page=4","Abrir facsímil")</f>
        <v>Abrir facsímil</v>
      </c>
      <c r="K4229" s="12" t="s">
        <v>65</v>
      </c>
    </row>
    <row r="4230" spans="1:11" ht="40.049999999999997" customHeight="1" x14ac:dyDescent="0.25">
      <c r="A4230" s="11" t="s">
        <v>9335</v>
      </c>
      <c r="B4230" s="11" t="s">
        <v>9336</v>
      </c>
      <c r="C4230" s="11" t="s">
        <v>17</v>
      </c>
      <c r="D4230" s="11" t="s">
        <v>18</v>
      </c>
      <c r="E4230" s="12" t="s">
        <v>2210</v>
      </c>
      <c r="F4230" s="12" t="s">
        <v>2211</v>
      </c>
      <c r="G4230" s="12" t="s">
        <v>40</v>
      </c>
      <c r="H4230" s="11" t="s">
        <v>63</v>
      </c>
      <c r="I4230" s="13" t="s">
        <v>9337</v>
      </c>
      <c r="J4230" s="14" t="str">
        <f>HYPERLINK("https://www.boe.es/gazeta/dias/1839/09/05/pdfs/GMD-1839-1758.pdf#page=2","Abrir facsímil")</f>
        <v>Abrir facsímil</v>
      </c>
      <c r="K4230" s="12" t="s">
        <v>65</v>
      </c>
    </row>
    <row r="4231" spans="1:11" ht="40.049999999999997" customHeight="1" x14ac:dyDescent="0.25">
      <c r="A4231" s="11" t="s">
        <v>9338</v>
      </c>
      <c r="B4231" s="11" t="s">
        <v>9339</v>
      </c>
      <c r="C4231" s="11" t="s">
        <v>17</v>
      </c>
      <c r="D4231" s="11" t="s">
        <v>18</v>
      </c>
      <c r="E4231" s="12" t="s">
        <v>2738</v>
      </c>
      <c r="F4231" s="12" t="s">
        <v>2739</v>
      </c>
      <c r="G4231" s="12" t="s">
        <v>40</v>
      </c>
      <c r="H4231" s="11" t="s">
        <v>63</v>
      </c>
      <c r="I4231" s="13" t="s">
        <v>9340</v>
      </c>
      <c r="J4231" s="14" t="str">
        <f>HYPERLINK("https://www.boe.es/gazeta/dias/1839/09/06/pdfs/GMD-1839-1759.pdf#page=2","Abrir facsímil")</f>
        <v>Abrir facsímil</v>
      </c>
      <c r="K4231" s="12" t="s">
        <v>65</v>
      </c>
    </row>
    <row r="4232" spans="1:11" ht="40.049999999999997" customHeight="1" x14ac:dyDescent="0.25">
      <c r="A4232" s="11" t="s">
        <v>9341</v>
      </c>
      <c r="B4232" s="11" t="s">
        <v>9342</v>
      </c>
      <c r="C4232" s="11" t="s">
        <v>17</v>
      </c>
      <c r="D4232" s="11" t="s">
        <v>18</v>
      </c>
      <c r="E4232" s="12" t="s">
        <v>804</v>
      </c>
      <c r="F4232" s="12" t="s">
        <v>805</v>
      </c>
      <c r="G4232" s="12" t="s">
        <v>40</v>
      </c>
      <c r="H4232" s="11" t="s">
        <v>63</v>
      </c>
      <c r="I4232" s="13" t="s">
        <v>9343</v>
      </c>
      <c r="J4232" s="14" t="str">
        <f>HYPERLINK("https://www.boe.es/gazeta/dias/1839/01/08/pdfs/GMD-1839-1515.pdf#page=2","Abrir facsímil")</f>
        <v>Abrir facsímil</v>
      </c>
      <c r="K4232" s="12" t="s">
        <v>65</v>
      </c>
    </row>
    <row r="4233" spans="1:11" ht="40.049999999999997" customHeight="1" x14ac:dyDescent="0.25">
      <c r="A4233" s="11" t="s">
        <v>9344</v>
      </c>
      <c r="B4233" s="11" t="s">
        <v>9345</v>
      </c>
      <c r="C4233" s="11" t="s">
        <v>101</v>
      </c>
      <c r="D4233" s="11" t="s">
        <v>43</v>
      </c>
      <c r="E4233" s="12" t="s">
        <v>157</v>
      </c>
      <c r="F4233" s="12" t="s">
        <v>158</v>
      </c>
      <c r="G4233" s="12" t="s">
        <v>21</v>
      </c>
      <c r="H4233" s="11" t="s">
        <v>63</v>
      </c>
      <c r="I4233" s="13" t="s">
        <v>9346</v>
      </c>
      <c r="J4233" s="14" t="str">
        <f>HYPERLINK("https://www.boe.es/gazeta/dias/1839/02/08/pdfs/GMD-1839-1546.pdf#page=4","Abrir facsímil")</f>
        <v>Abrir facsímil</v>
      </c>
      <c r="K4233" s="12" t="s">
        <v>65</v>
      </c>
    </row>
    <row r="4234" spans="1:11" ht="40.049999999999997" customHeight="1" x14ac:dyDescent="0.25">
      <c r="A4234" s="11" t="s">
        <v>9344</v>
      </c>
      <c r="B4234" s="11" t="s">
        <v>9345</v>
      </c>
      <c r="C4234" s="11" t="s">
        <v>17</v>
      </c>
      <c r="D4234" s="11" t="s">
        <v>18</v>
      </c>
      <c r="E4234" s="12" t="s">
        <v>736</v>
      </c>
      <c r="F4234" s="12" t="s">
        <v>737</v>
      </c>
      <c r="G4234" s="12" t="s">
        <v>40</v>
      </c>
      <c r="H4234" s="11" t="s">
        <v>63</v>
      </c>
      <c r="I4234" s="13" t="s">
        <v>9347</v>
      </c>
      <c r="J4234" s="14" t="str">
        <f>HYPERLINK("https://www.boe.es/gazeta/dias/1839/10/13/pdfs/GMD-1839-1799.pdf#page=2","Abrir facsímil")</f>
        <v>Abrir facsímil</v>
      </c>
      <c r="K4234" s="12" t="s">
        <v>65</v>
      </c>
    </row>
    <row r="4235" spans="1:11" ht="40.049999999999997" customHeight="1" x14ac:dyDescent="0.25">
      <c r="A4235" s="11" t="s">
        <v>9348</v>
      </c>
      <c r="B4235" s="11" t="s">
        <v>9349</v>
      </c>
      <c r="C4235" s="11" t="s">
        <v>17</v>
      </c>
      <c r="D4235" s="11" t="s">
        <v>18</v>
      </c>
      <c r="E4235" s="12" t="s">
        <v>621</v>
      </c>
      <c r="F4235" s="12" t="s">
        <v>622</v>
      </c>
      <c r="G4235" s="12" t="s">
        <v>29</v>
      </c>
      <c r="H4235" s="11" t="s">
        <v>63</v>
      </c>
      <c r="I4235" s="13" t="s">
        <v>9350</v>
      </c>
      <c r="J4235" s="14" t="str">
        <f>HYPERLINK("https://www.boe.es/gazeta/dias/1839/04/14/pdfs/GMD-1839-1611.pdf#page=1","Abrir facsímil")</f>
        <v>Abrir facsímil</v>
      </c>
      <c r="K4235" s="12" t="s">
        <v>65</v>
      </c>
    </row>
    <row r="4236" spans="1:11" ht="40.049999999999997" customHeight="1" x14ac:dyDescent="0.25">
      <c r="A4236" s="11" t="s">
        <v>9351</v>
      </c>
      <c r="B4236" s="11" t="s">
        <v>9352</v>
      </c>
      <c r="C4236" s="11" t="s">
        <v>137</v>
      </c>
      <c r="D4236" s="11" t="s">
        <v>18</v>
      </c>
      <c r="E4236" s="12" t="s">
        <v>76</v>
      </c>
      <c r="F4236" s="12" t="s">
        <v>77</v>
      </c>
      <c r="G4236" s="12" t="s">
        <v>46</v>
      </c>
      <c r="H4236" s="11" t="s">
        <v>63</v>
      </c>
      <c r="I4236" s="13" t="s">
        <v>9353</v>
      </c>
      <c r="J4236" s="14" t="str">
        <f>HYPERLINK("https://www.boe.es/gazeta/dias/1839/03/13/pdfs/GMD-1839-1579.pdf#page=3","Abrir facsímil")</f>
        <v>Abrir facsímil</v>
      </c>
      <c r="K4236" s="12" t="s">
        <v>65</v>
      </c>
    </row>
    <row r="4237" spans="1:11" ht="40.049999999999997" customHeight="1" x14ac:dyDescent="0.25">
      <c r="A4237" s="11" t="s">
        <v>9354</v>
      </c>
      <c r="B4237" s="11" t="s">
        <v>9355</v>
      </c>
      <c r="C4237" s="11" t="s">
        <v>80</v>
      </c>
      <c r="D4237" s="11" t="s">
        <v>18</v>
      </c>
      <c r="E4237" s="12" t="s">
        <v>2839</v>
      </c>
      <c r="F4237" s="12" t="s">
        <v>2840</v>
      </c>
      <c r="G4237" s="12" t="s">
        <v>21</v>
      </c>
      <c r="H4237" s="11" t="s">
        <v>22</v>
      </c>
      <c r="I4237" s="13" t="s">
        <v>9356</v>
      </c>
      <c r="J4237" s="14" t="str">
        <f>HYPERLINK("https://www.boe.es/gazeta/dias/1839/03/06/pdfs/GMD-1839-1572.pdf#page=4","Abrir facsímil")</f>
        <v>Abrir facsímil</v>
      </c>
      <c r="K4237" s="12" t="s">
        <v>24</v>
      </c>
    </row>
    <row r="4238" spans="1:11" ht="40.049999999999997" customHeight="1" x14ac:dyDescent="0.25">
      <c r="A4238" s="11" t="s">
        <v>9357</v>
      </c>
      <c r="B4238" s="11" t="s">
        <v>9358</v>
      </c>
      <c r="C4238" s="11" t="s">
        <v>137</v>
      </c>
      <c r="D4238" s="11" t="s">
        <v>18</v>
      </c>
      <c r="E4238" s="12" t="s">
        <v>650</v>
      </c>
      <c r="F4238" s="12" t="s">
        <v>651</v>
      </c>
      <c r="G4238" s="12" t="s">
        <v>40</v>
      </c>
      <c r="H4238" s="11" t="s">
        <v>63</v>
      </c>
      <c r="I4238" s="13" t="s">
        <v>9359</v>
      </c>
      <c r="J4238" s="14" t="str">
        <f>HYPERLINK("https://www.boe.es/gazeta/dias/1839/10/25/pdfs/GMD-1839-1811.pdf#page=2","Abrir facsímil")</f>
        <v>Abrir facsímil</v>
      </c>
      <c r="K4238" s="12" t="s">
        <v>65</v>
      </c>
    </row>
    <row r="4239" spans="1:11" ht="40.049999999999997" customHeight="1" x14ac:dyDescent="0.25">
      <c r="A4239" s="11" t="s">
        <v>9354</v>
      </c>
      <c r="B4239" s="11" t="s">
        <v>9355</v>
      </c>
      <c r="C4239" s="11" t="s">
        <v>17</v>
      </c>
      <c r="D4239" s="11" t="s">
        <v>18</v>
      </c>
      <c r="E4239" s="12" t="s">
        <v>1523</v>
      </c>
      <c r="F4239" s="12" t="s">
        <v>1524</v>
      </c>
      <c r="G4239" s="12" t="s">
        <v>21</v>
      </c>
      <c r="H4239" s="11" t="s">
        <v>22</v>
      </c>
      <c r="I4239" s="13" t="s">
        <v>9360</v>
      </c>
      <c r="J4239" s="14" t="str">
        <f>HYPERLINK("https://www.boe.es/gazeta/dias/1839/08/29/pdfs/GMD-1839-1750.pdf#page=4","Abrir facsímil")</f>
        <v>Abrir facsímil</v>
      </c>
      <c r="K4239" s="12" t="s">
        <v>24</v>
      </c>
    </row>
    <row r="4240" spans="1:11" ht="40.049999999999997" customHeight="1" x14ac:dyDescent="0.25">
      <c r="A4240" s="11" t="s">
        <v>9361</v>
      </c>
      <c r="B4240" s="11" t="s">
        <v>9362</v>
      </c>
      <c r="C4240" s="11" t="s">
        <v>17</v>
      </c>
      <c r="D4240" s="11" t="s">
        <v>18</v>
      </c>
      <c r="E4240" s="12" t="s">
        <v>385</v>
      </c>
      <c r="F4240" s="12" t="s">
        <v>386</v>
      </c>
      <c r="G4240" s="12" t="s">
        <v>29</v>
      </c>
      <c r="H4240" s="11" t="s">
        <v>63</v>
      </c>
      <c r="I4240" s="13" t="s">
        <v>9363</v>
      </c>
      <c r="J4240" s="14" t="str">
        <f>HYPERLINK("https://www.boe.es/gazeta/dias/1839/08/01/pdfs/GMD-1839-1721.pdf#page=1","Abrir facsímil")</f>
        <v>Abrir facsímil</v>
      </c>
      <c r="K4240" s="12" t="s">
        <v>65</v>
      </c>
    </row>
    <row r="4241" spans="1:11" ht="40.049999999999997" customHeight="1" x14ac:dyDescent="0.25">
      <c r="A4241" s="11" t="s">
        <v>9364</v>
      </c>
      <c r="B4241" s="11" t="s">
        <v>9365</v>
      </c>
      <c r="C4241" s="11" t="s">
        <v>17</v>
      </c>
      <c r="D4241" s="11" t="s">
        <v>18</v>
      </c>
      <c r="E4241" s="12" t="s">
        <v>1019</v>
      </c>
      <c r="F4241" s="12" t="s">
        <v>1020</v>
      </c>
      <c r="G4241" s="12" t="s">
        <v>40</v>
      </c>
      <c r="H4241" s="11" t="s">
        <v>63</v>
      </c>
      <c r="I4241" s="13" t="s">
        <v>9366</v>
      </c>
      <c r="J4241" s="14" t="str">
        <f>HYPERLINK("https://www.boe.es/gazeta/dias/1839/07/15/pdfs/GMD-1839-1703.pdf#page=2","Abrir facsímil")</f>
        <v>Abrir facsímil</v>
      </c>
      <c r="K4241" s="12" t="s">
        <v>65</v>
      </c>
    </row>
    <row r="4242" spans="1:11" ht="40.049999999999997" customHeight="1" x14ac:dyDescent="0.25">
      <c r="A4242" s="11" t="s">
        <v>9364</v>
      </c>
      <c r="B4242" s="11" t="s">
        <v>9365</v>
      </c>
      <c r="C4242" s="11" t="s">
        <v>17</v>
      </c>
      <c r="D4242" s="11" t="s">
        <v>18</v>
      </c>
      <c r="E4242" s="12" t="s">
        <v>1685</v>
      </c>
      <c r="F4242" s="12" t="s">
        <v>1686</v>
      </c>
      <c r="G4242" s="12" t="s">
        <v>29</v>
      </c>
      <c r="H4242" s="11" t="s">
        <v>63</v>
      </c>
      <c r="I4242" s="13" t="s">
        <v>9367</v>
      </c>
      <c r="J4242" s="14" t="str">
        <f>HYPERLINK("https://www.boe.es/gazeta/dias/1839/04/27/pdfs/GMD-1839-1624.pdf#page=1","Abrir facsímil")</f>
        <v>Abrir facsímil</v>
      </c>
      <c r="K4242" s="12" t="s">
        <v>65</v>
      </c>
    </row>
    <row r="4243" spans="1:11" ht="40.049999999999997" customHeight="1" x14ac:dyDescent="0.25">
      <c r="A4243" s="11" t="s">
        <v>9368</v>
      </c>
      <c r="B4243" s="11" t="s">
        <v>9369</v>
      </c>
      <c r="C4243" s="11" t="s">
        <v>80</v>
      </c>
      <c r="D4243" s="11" t="s">
        <v>18</v>
      </c>
      <c r="E4243" s="12" t="s">
        <v>1144</v>
      </c>
      <c r="F4243" s="12" t="s">
        <v>1145</v>
      </c>
      <c r="G4243" s="12" t="s">
        <v>40</v>
      </c>
      <c r="H4243" s="11" t="s">
        <v>63</v>
      </c>
      <c r="I4243" s="13" t="s">
        <v>9370</v>
      </c>
      <c r="J4243" s="14" t="str">
        <f>HYPERLINK("https://www.boe.es/gazeta/dias/1839/08/13/pdfs/GMD-1839-1733.pdf#page=2","Abrir facsímil")</f>
        <v>Abrir facsímil</v>
      </c>
      <c r="K4243" s="12" t="s">
        <v>65</v>
      </c>
    </row>
    <row r="4244" spans="1:11" ht="40.049999999999997" customHeight="1" x14ac:dyDescent="0.25">
      <c r="A4244" s="11" t="s">
        <v>9371</v>
      </c>
      <c r="B4244" s="11" t="s">
        <v>9372</v>
      </c>
      <c r="C4244" s="11" t="s">
        <v>17</v>
      </c>
      <c r="D4244" s="11" t="s">
        <v>18</v>
      </c>
      <c r="E4244" s="12" t="s">
        <v>291</v>
      </c>
      <c r="F4244" s="12" t="s">
        <v>292</v>
      </c>
      <c r="G4244" s="12" t="s">
        <v>40</v>
      </c>
      <c r="H4244" s="11" t="s">
        <v>63</v>
      </c>
      <c r="I4244" s="13" t="s">
        <v>9373</v>
      </c>
      <c r="J4244" s="14" t="str">
        <f>HYPERLINK("https://www.boe.es/gazeta/dias/1839/09/04/pdfs/GMD-1839-1757.pdf#page=2","Abrir facsímil")</f>
        <v>Abrir facsímil</v>
      </c>
      <c r="K4244" s="12" t="s">
        <v>65</v>
      </c>
    </row>
    <row r="4245" spans="1:11" ht="40.049999999999997" customHeight="1" x14ac:dyDescent="0.25">
      <c r="A4245" s="11" t="s">
        <v>9374</v>
      </c>
      <c r="B4245" s="11" t="s">
        <v>9375</v>
      </c>
      <c r="C4245" s="11" t="s">
        <v>17</v>
      </c>
      <c r="D4245" s="11" t="s">
        <v>18</v>
      </c>
      <c r="E4245" s="12" t="s">
        <v>568</v>
      </c>
      <c r="F4245" s="12" t="s">
        <v>569</v>
      </c>
      <c r="G4245" s="12" t="s">
        <v>29</v>
      </c>
      <c r="H4245" s="11" t="s">
        <v>63</v>
      </c>
      <c r="I4245" s="13" t="s">
        <v>9376</v>
      </c>
      <c r="J4245" s="14" t="str">
        <f>HYPERLINK("https://www.boe.es/gazeta/dias/1839/10/23/pdfs/GMD-1839-1809.pdf#page=1","Abrir facsímil")</f>
        <v>Abrir facsímil</v>
      </c>
      <c r="K4245" s="12" t="s">
        <v>65</v>
      </c>
    </row>
    <row r="4246" spans="1:11" ht="40.049999999999997" customHeight="1" x14ac:dyDescent="0.25">
      <c r="A4246" s="11" t="s">
        <v>9377</v>
      </c>
      <c r="B4246" s="11" t="s">
        <v>9378</v>
      </c>
      <c r="C4246" s="11" t="s">
        <v>17</v>
      </c>
      <c r="D4246" s="11" t="s">
        <v>18</v>
      </c>
      <c r="E4246" s="12" t="s">
        <v>157</v>
      </c>
      <c r="F4246" s="12" t="s">
        <v>158</v>
      </c>
      <c r="G4246" s="12" t="s">
        <v>29</v>
      </c>
      <c r="H4246" s="11" t="s">
        <v>63</v>
      </c>
      <c r="I4246" s="13" t="s">
        <v>9379</v>
      </c>
      <c r="J4246" s="14" t="str">
        <f>HYPERLINK("https://www.boe.es/gazeta/dias/1839/02/08/pdfs/GMD-1839-1546.pdf#page=1","Abrir facsímil")</f>
        <v>Abrir facsímil</v>
      </c>
      <c r="K4246" s="12" t="s">
        <v>65</v>
      </c>
    </row>
    <row r="4247" spans="1:11" ht="40.049999999999997" customHeight="1" x14ac:dyDescent="0.25">
      <c r="A4247" s="11" t="s">
        <v>9380</v>
      </c>
      <c r="B4247" s="11" t="s">
        <v>9381</v>
      </c>
      <c r="C4247" s="11" t="s">
        <v>101</v>
      </c>
      <c r="D4247" s="11" t="s">
        <v>102</v>
      </c>
      <c r="E4247" s="12" t="s">
        <v>1520</v>
      </c>
      <c r="F4247" s="12" t="s">
        <v>1521</v>
      </c>
      <c r="G4247" s="12" t="s">
        <v>29</v>
      </c>
      <c r="H4247" s="11" t="s">
        <v>63</v>
      </c>
      <c r="I4247" s="13" t="s">
        <v>9382</v>
      </c>
      <c r="J4247" s="14" t="str">
        <f>HYPERLINK("https://www.boe.es/gazeta/dias/1839/12/27/pdfs/GMD-1839-1874.pdf#page=1","Abrir facsímil")</f>
        <v>Abrir facsímil</v>
      </c>
      <c r="K4247" s="12" t="s">
        <v>65</v>
      </c>
    </row>
    <row r="4248" spans="1:11" ht="40.049999999999997" customHeight="1" x14ac:dyDescent="0.25">
      <c r="A4248" s="11" t="s">
        <v>9383</v>
      </c>
      <c r="B4248" s="11" t="s">
        <v>9384</v>
      </c>
      <c r="C4248" s="11" t="s">
        <v>101</v>
      </c>
      <c r="D4248" s="11" t="s">
        <v>102</v>
      </c>
      <c r="E4248" s="12" t="s">
        <v>3614</v>
      </c>
      <c r="F4248" s="12" t="s">
        <v>3615</v>
      </c>
      <c r="G4248" s="12" t="s">
        <v>29</v>
      </c>
      <c r="H4248" s="11" t="s">
        <v>63</v>
      </c>
      <c r="I4248" s="13" t="s">
        <v>9385</v>
      </c>
      <c r="J4248" s="14" t="str">
        <f>HYPERLINK("https://www.boe.es/gazeta/dias/1839/04/04/pdfs/GMD-1839-1601.pdf#page=1","Abrir facsímil")</f>
        <v>Abrir facsímil</v>
      </c>
      <c r="K4248" s="12" t="s">
        <v>65</v>
      </c>
    </row>
    <row r="4249" spans="1:11" ht="40.049999999999997" customHeight="1" x14ac:dyDescent="0.25">
      <c r="A4249" s="11" t="s">
        <v>9386</v>
      </c>
      <c r="B4249" s="11" t="s">
        <v>9387</v>
      </c>
      <c r="C4249" s="11" t="s">
        <v>17</v>
      </c>
      <c r="D4249" s="11" t="s">
        <v>18</v>
      </c>
      <c r="E4249" s="12" t="s">
        <v>2374</v>
      </c>
      <c r="F4249" s="12" t="s">
        <v>2375</v>
      </c>
      <c r="G4249" s="12" t="s">
        <v>46</v>
      </c>
      <c r="H4249" s="11" t="s">
        <v>63</v>
      </c>
      <c r="I4249" s="13" t="s">
        <v>9388</v>
      </c>
      <c r="J4249" s="14" t="str">
        <f>HYPERLINK("https://www.boe.es/gazeta/dias/1839/06/14/pdfs/GMD-1839-1672.pdf#page=3","Abrir facsímil")</f>
        <v>Abrir facsímil</v>
      </c>
      <c r="K4249" s="12" t="s">
        <v>65</v>
      </c>
    </row>
    <row r="4250" spans="1:11" ht="40.049999999999997" customHeight="1" x14ac:dyDescent="0.25">
      <c r="A4250" s="11" t="s">
        <v>9389</v>
      </c>
      <c r="B4250" s="11" t="s">
        <v>9390</v>
      </c>
      <c r="C4250" s="11" t="s">
        <v>17</v>
      </c>
      <c r="D4250" s="11" t="s">
        <v>18</v>
      </c>
      <c r="E4250" s="12" t="s">
        <v>500</v>
      </c>
      <c r="F4250" s="12" t="s">
        <v>501</v>
      </c>
      <c r="G4250" s="12" t="s">
        <v>46</v>
      </c>
      <c r="H4250" s="11" t="s">
        <v>63</v>
      </c>
      <c r="I4250" s="13" t="s">
        <v>9391</v>
      </c>
      <c r="J4250" s="14" t="str">
        <f>HYPERLINK("https://www.boe.es/gazeta/dias/1839/11/06/pdfs/GMD-1839-1823.pdf#page=3","Abrir facsímil")</f>
        <v>Abrir facsímil</v>
      </c>
      <c r="K4250" s="12" t="s">
        <v>65</v>
      </c>
    </row>
    <row r="4251" spans="1:11" ht="40.049999999999997" customHeight="1" x14ac:dyDescent="0.25">
      <c r="A4251" s="11" t="s">
        <v>9392</v>
      </c>
      <c r="B4251" s="11" t="s">
        <v>9393</v>
      </c>
      <c r="C4251" s="11" t="s">
        <v>80</v>
      </c>
      <c r="D4251" s="11" t="s">
        <v>18</v>
      </c>
      <c r="E4251" s="12" t="s">
        <v>883</v>
      </c>
      <c r="F4251" s="12" t="s">
        <v>884</v>
      </c>
      <c r="G4251" s="12" t="s">
        <v>21</v>
      </c>
      <c r="H4251" s="11" t="s">
        <v>63</v>
      </c>
      <c r="I4251" s="13" t="s">
        <v>9394</v>
      </c>
      <c r="J4251" s="14" t="str">
        <f>HYPERLINK("https://www.boe.es/gazeta/dias/1839/11/03/pdfs/GMD-1839-1820.pdf#page=4","Abrir facsímil")</f>
        <v>Abrir facsímil</v>
      </c>
      <c r="K4251" s="12" t="s">
        <v>65</v>
      </c>
    </row>
    <row r="4252" spans="1:11" ht="40.049999999999997" customHeight="1" x14ac:dyDescent="0.25">
      <c r="A4252" s="11" t="s">
        <v>9392</v>
      </c>
      <c r="B4252" s="11" t="s">
        <v>9393</v>
      </c>
      <c r="C4252" s="11" t="s">
        <v>59</v>
      </c>
      <c r="D4252" s="11" t="s">
        <v>60</v>
      </c>
      <c r="E4252" s="12" t="s">
        <v>287</v>
      </c>
      <c r="F4252" s="12" t="s">
        <v>288</v>
      </c>
      <c r="G4252" s="12" t="s">
        <v>21</v>
      </c>
      <c r="H4252" s="11" t="s">
        <v>63</v>
      </c>
      <c r="I4252" s="13" t="s">
        <v>9395</v>
      </c>
      <c r="J4252" s="14" t="str">
        <f>HYPERLINK("https://www.boe.es/gazeta/dias/1839/11/27/pdfs/GMD-1839-1844.pdf#page=4","Abrir facsímil")</f>
        <v>Abrir facsímil</v>
      </c>
      <c r="K4252" s="12" t="s">
        <v>65</v>
      </c>
    </row>
    <row r="4253" spans="1:11" ht="40.049999999999997" customHeight="1" x14ac:dyDescent="0.25">
      <c r="A4253" s="11" t="s">
        <v>9392</v>
      </c>
      <c r="B4253" s="11" t="s">
        <v>9393</v>
      </c>
      <c r="C4253" s="11" t="s">
        <v>80</v>
      </c>
      <c r="D4253" s="11" t="s">
        <v>18</v>
      </c>
      <c r="E4253" s="12" t="s">
        <v>817</v>
      </c>
      <c r="F4253" s="12" t="s">
        <v>818</v>
      </c>
      <c r="G4253" s="12" t="s">
        <v>21</v>
      </c>
      <c r="H4253" s="11" t="s">
        <v>63</v>
      </c>
      <c r="I4253" s="13" t="s">
        <v>9396</v>
      </c>
      <c r="J4253" s="14" t="str">
        <f>HYPERLINK("https://www.boe.es/gazeta/dias/1839/05/28/pdfs/GMD-1839-1655.pdf#page=4","Abrir facsímil")</f>
        <v>Abrir facsímil</v>
      </c>
      <c r="K4253" s="12" t="s">
        <v>65</v>
      </c>
    </row>
    <row r="4254" spans="1:11" ht="40.049999999999997" customHeight="1" x14ac:dyDescent="0.25">
      <c r="A4254" s="11" t="s">
        <v>9397</v>
      </c>
      <c r="B4254" s="11" t="s">
        <v>9398</v>
      </c>
      <c r="C4254" s="11" t="s">
        <v>17</v>
      </c>
      <c r="D4254" s="11" t="s">
        <v>18</v>
      </c>
      <c r="E4254" s="12" t="s">
        <v>233</v>
      </c>
      <c r="F4254" s="12" t="s">
        <v>234</v>
      </c>
      <c r="G4254" s="12" t="s">
        <v>46</v>
      </c>
      <c r="H4254" s="11" t="s">
        <v>63</v>
      </c>
      <c r="I4254" s="13" t="s">
        <v>9399</v>
      </c>
      <c r="J4254" s="14" t="str">
        <f>HYPERLINK("https://www.boe.es/gazeta/dias/1839/09/17/pdfs/GMD-1839-1770.pdf#page=3","Abrir facsímil")</f>
        <v>Abrir facsímil</v>
      </c>
      <c r="K4254" s="12" t="s">
        <v>65</v>
      </c>
    </row>
    <row r="4255" spans="1:11" ht="40.049999999999997" customHeight="1" x14ac:dyDescent="0.25">
      <c r="A4255" s="11" t="s">
        <v>9400</v>
      </c>
      <c r="B4255" s="11" t="s">
        <v>9401</v>
      </c>
      <c r="C4255" s="11" t="s">
        <v>101</v>
      </c>
      <c r="D4255" s="11" t="s">
        <v>43</v>
      </c>
      <c r="E4255" s="12" t="s">
        <v>1072</v>
      </c>
      <c r="F4255" s="12" t="s">
        <v>1073</v>
      </c>
      <c r="G4255" s="12" t="s">
        <v>46</v>
      </c>
      <c r="H4255" s="11" t="s">
        <v>63</v>
      </c>
      <c r="I4255" s="13" t="s">
        <v>9402</v>
      </c>
      <c r="J4255" s="14" t="str">
        <f>HYPERLINK("https://www.boe.es/gazeta/dias/1839/01/18/pdfs/GMD-1839-1525.pdf#page=3","Abrir facsímil")</f>
        <v>Abrir facsímil</v>
      </c>
      <c r="K4255" s="12" t="s">
        <v>65</v>
      </c>
    </row>
    <row r="4256" spans="1:11" ht="40.049999999999997" customHeight="1" x14ac:dyDescent="0.25">
      <c r="A4256" s="11" t="s">
        <v>9403</v>
      </c>
      <c r="B4256" s="11" t="s">
        <v>9404</v>
      </c>
      <c r="C4256" s="11" t="s">
        <v>80</v>
      </c>
      <c r="D4256" s="11" t="s">
        <v>18</v>
      </c>
      <c r="E4256" s="12" t="s">
        <v>89</v>
      </c>
      <c r="F4256" s="12" t="s">
        <v>90</v>
      </c>
      <c r="G4256" s="12" t="s">
        <v>21</v>
      </c>
      <c r="H4256" s="11" t="s">
        <v>63</v>
      </c>
      <c r="I4256" s="13" t="s">
        <v>9405</v>
      </c>
      <c r="J4256" s="14" t="str">
        <f>HYPERLINK("https://www.boe.es/gazeta/dias/1839/11/28/pdfs/GMD-1839-1845.pdf#page=4","Abrir facsímil")</f>
        <v>Abrir facsímil</v>
      </c>
      <c r="K4256" s="12" t="s">
        <v>65</v>
      </c>
    </row>
    <row r="4257" spans="1:11" ht="40.049999999999997" customHeight="1" x14ac:dyDescent="0.25">
      <c r="A4257" s="11" t="s">
        <v>9406</v>
      </c>
      <c r="B4257" s="11" t="s">
        <v>9407</v>
      </c>
      <c r="C4257" s="11" t="s">
        <v>17</v>
      </c>
      <c r="D4257" s="11" t="s">
        <v>18</v>
      </c>
      <c r="E4257" s="12" t="s">
        <v>299</v>
      </c>
      <c r="F4257" s="12" t="s">
        <v>300</v>
      </c>
      <c r="G4257" s="12" t="s">
        <v>29</v>
      </c>
      <c r="H4257" s="11" t="s">
        <v>63</v>
      </c>
      <c r="I4257" s="13" t="s">
        <v>9408</v>
      </c>
      <c r="J4257" s="14" t="str">
        <f>HYPERLINK("https://www.boe.es/gazeta/dias/1839/02/14/pdfs/GMD-1839-1552.pdf#page=1","Abrir facsímil")</f>
        <v>Abrir facsímil</v>
      </c>
      <c r="K4257" s="12" t="s">
        <v>65</v>
      </c>
    </row>
    <row r="4258" spans="1:11" ht="40.049999999999997" customHeight="1" x14ac:dyDescent="0.25">
      <c r="A4258" s="11" t="s">
        <v>9409</v>
      </c>
      <c r="B4258" s="11" t="s">
        <v>9410</v>
      </c>
      <c r="C4258" s="11" t="s">
        <v>17</v>
      </c>
      <c r="D4258" s="11" t="s">
        <v>18</v>
      </c>
      <c r="E4258" s="12" t="s">
        <v>2165</v>
      </c>
      <c r="F4258" s="12" t="s">
        <v>2166</v>
      </c>
      <c r="G4258" s="12" t="s">
        <v>46</v>
      </c>
      <c r="H4258" s="11" t="s">
        <v>63</v>
      </c>
      <c r="I4258" s="13" t="s">
        <v>9411</v>
      </c>
      <c r="J4258" s="14" t="str">
        <f>HYPERLINK("https://www.boe.es/gazeta/dias/1839/01/06/pdfs/GMD-1839-1513.pdf#page=3","Abrir facsímil")</f>
        <v>Abrir facsímil</v>
      </c>
      <c r="K4258" s="12" t="s">
        <v>65</v>
      </c>
    </row>
    <row r="4259" spans="1:11" ht="40.049999999999997" customHeight="1" x14ac:dyDescent="0.25">
      <c r="A4259" s="11" t="s">
        <v>9412</v>
      </c>
      <c r="B4259" s="11" t="s">
        <v>9413</v>
      </c>
      <c r="C4259" s="11" t="s">
        <v>17</v>
      </c>
      <c r="D4259" s="11" t="s">
        <v>18</v>
      </c>
      <c r="E4259" s="12" t="s">
        <v>883</v>
      </c>
      <c r="F4259" s="12" t="s">
        <v>884</v>
      </c>
      <c r="G4259" s="12" t="s">
        <v>21</v>
      </c>
      <c r="H4259" s="11" t="s">
        <v>22</v>
      </c>
      <c r="I4259" s="13" t="s">
        <v>9414</v>
      </c>
      <c r="J4259" s="14" t="str">
        <f>HYPERLINK("https://www.boe.es/gazeta/dias/1839/11/03/pdfs/GMD-1839-1820.pdf#page=4","Abrir facsímil")</f>
        <v>Abrir facsímil</v>
      </c>
      <c r="K4259" s="12" t="s">
        <v>24</v>
      </c>
    </row>
    <row r="4260" spans="1:11" ht="40.049999999999997" customHeight="1" x14ac:dyDescent="0.25">
      <c r="A4260" s="11" t="s">
        <v>9412</v>
      </c>
      <c r="B4260" s="11" t="s">
        <v>9413</v>
      </c>
      <c r="C4260" s="11" t="s">
        <v>137</v>
      </c>
      <c r="D4260" s="11" t="s">
        <v>18</v>
      </c>
      <c r="E4260" s="12" t="s">
        <v>527</v>
      </c>
      <c r="F4260" s="12" t="s">
        <v>528</v>
      </c>
      <c r="G4260" s="12" t="s">
        <v>21</v>
      </c>
      <c r="H4260" s="11" t="s">
        <v>22</v>
      </c>
      <c r="I4260" s="13" t="s">
        <v>9415</v>
      </c>
      <c r="J4260" s="14" t="str">
        <f>HYPERLINK("https://www.boe.es/gazeta/dias/1839/07/10/pdfs/GMD-1839-1698.pdf#page=4","Abrir facsímil")</f>
        <v>Abrir facsímil</v>
      </c>
      <c r="K4260" s="12" t="s">
        <v>24</v>
      </c>
    </row>
    <row r="4261" spans="1:11" ht="40.049999999999997" customHeight="1" x14ac:dyDescent="0.25">
      <c r="A4261" s="11" t="s">
        <v>9416</v>
      </c>
      <c r="B4261" s="11" t="s">
        <v>9417</v>
      </c>
      <c r="C4261" s="11" t="s">
        <v>17</v>
      </c>
      <c r="D4261" s="11" t="s">
        <v>18</v>
      </c>
      <c r="E4261" s="12" t="s">
        <v>303</v>
      </c>
      <c r="F4261" s="12" t="s">
        <v>304</v>
      </c>
      <c r="G4261" s="12" t="s">
        <v>305</v>
      </c>
      <c r="H4261" s="11" t="s">
        <v>22</v>
      </c>
      <c r="I4261" s="13" t="s">
        <v>9418</v>
      </c>
      <c r="J4261" s="14" t="str">
        <f>HYPERLINK("https://www.boe.es/gazeta/dias/1839/10/06/pdfs/GMD-1839-1792.pdf#page=6","Abrir facsímil")</f>
        <v>Abrir facsímil</v>
      </c>
      <c r="K4261" s="12" t="s">
        <v>24</v>
      </c>
    </row>
    <row r="4262" spans="1:11" ht="40.049999999999997" customHeight="1" x14ac:dyDescent="0.25">
      <c r="A4262" s="11" t="s">
        <v>9419</v>
      </c>
      <c r="B4262" s="11" t="s">
        <v>9420</v>
      </c>
      <c r="C4262" s="11" t="s">
        <v>17</v>
      </c>
      <c r="D4262" s="11" t="s">
        <v>18</v>
      </c>
      <c r="E4262" s="12" t="s">
        <v>2839</v>
      </c>
      <c r="F4262" s="12" t="s">
        <v>2840</v>
      </c>
      <c r="G4262" s="12" t="s">
        <v>40</v>
      </c>
      <c r="H4262" s="11" t="s">
        <v>63</v>
      </c>
      <c r="I4262" s="13" t="s">
        <v>9421</v>
      </c>
      <c r="J4262" s="14" t="str">
        <f>HYPERLINK("https://www.boe.es/gazeta/dias/1839/03/06/pdfs/GMD-1839-1572.pdf#page=2","Abrir facsímil")</f>
        <v>Abrir facsímil</v>
      </c>
      <c r="K4262" s="12" t="s">
        <v>65</v>
      </c>
    </row>
    <row r="4263" spans="1:11" ht="40.049999999999997" customHeight="1" x14ac:dyDescent="0.25">
      <c r="A4263" s="11" t="s">
        <v>9422</v>
      </c>
      <c r="B4263" s="11" t="s">
        <v>9423</v>
      </c>
      <c r="C4263" s="11" t="s">
        <v>80</v>
      </c>
      <c r="D4263" s="11" t="s">
        <v>18</v>
      </c>
      <c r="E4263" s="12" t="s">
        <v>695</v>
      </c>
      <c r="F4263" s="12" t="s">
        <v>696</v>
      </c>
      <c r="G4263" s="12" t="s">
        <v>21</v>
      </c>
      <c r="H4263" s="11" t="s">
        <v>63</v>
      </c>
      <c r="I4263" s="13" t="s">
        <v>9424</v>
      </c>
      <c r="J4263" s="14" t="str">
        <f>HYPERLINK("https://www.boe.es/gazeta/dias/1839/12/19/pdfs/GMD-1839-1866.pdf#page=4","Abrir facsímil")</f>
        <v>Abrir facsímil</v>
      </c>
      <c r="K4263" s="12" t="s">
        <v>65</v>
      </c>
    </row>
    <row r="4264" spans="1:11" ht="40.049999999999997" customHeight="1" x14ac:dyDescent="0.25">
      <c r="A4264" s="11" t="s">
        <v>9425</v>
      </c>
      <c r="B4264" s="11" t="s">
        <v>9426</v>
      </c>
      <c r="C4264" s="11" t="s">
        <v>17</v>
      </c>
      <c r="D4264" s="11" t="s">
        <v>18</v>
      </c>
      <c r="E4264" s="12" t="s">
        <v>1696</v>
      </c>
      <c r="F4264" s="12" t="s">
        <v>1697</v>
      </c>
      <c r="G4264" s="12" t="s">
        <v>40</v>
      </c>
      <c r="H4264" s="11" t="s">
        <v>63</v>
      </c>
      <c r="I4264" s="13" t="s">
        <v>9427</v>
      </c>
      <c r="J4264" s="14" t="str">
        <f>HYPERLINK("https://www.boe.es/gazeta/dias/1839/08/31/pdfs/GMD-1839-1752.pdf#page=2","Abrir facsímil")</f>
        <v>Abrir facsímil</v>
      </c>
      <c r="K4264" s="12" t="s">
        <v>65</v>
      </c>
    </row>
    <row r="4265" spans="1:11" ht="40.049999999999997" customHeight="1" x14ac:dyDescent="0.25">
      <c r="A4265" s="11" t="s">
        <v>9428</v>
      </c>
      <c r="B4265" s="11" t="s">
        <v>9429</v>
      </c>
      <c r="C4265" s="11" t="s">
        <v>80</v>
      </c>
      <c r="D4265" s="11" t="s">
        <v>18</v>
      </c>
      <c r="E4265" s="12" t="s">
        <v>197</v>
      </c>
      <c r="F4265" s="12" t="s">
        <v>198</v>
      </c>
      <c r="G4265" s="12" t="s">
        <v>46</v>
      </c>
      <c r="H4265" s="11" t="s">
        <v>63</v>
      </c>
      <c r="I4265" s="13" t="s">
        <v>9430</v>
      </c>
      <c r="J4265" s="14" t="str">
        <f>HYPERLINK("https://www.boe.es/gazeta/dias/1839/10/04/pdfs/GMD-1839-1790.pdf#page=3","Abrir facsímil")</f>
        <v>Abrir facsímil</v>
      </c>
      <c r="K4265" s="12" t="s">
        <v>65</v>
      </c>
    </row>
    <row r="4266" spans="1:11" ht="40.049999999999997" customHeight="1" x14ac:dyDescent="0.25">
      <c r="A4266" s="11" t="s">
        <v>9428</v>
      </c>
      <c r="B4266" s="11" t="s">
        <v>9429</v>
      </c>
      <c r="C4266" s="11" t="s">
        <v>17</v>
      </c>
      <c r="D4266" s="11" t="s">
        <v>18</v>
      </c>
      <c r="E4266" s="12" t="s">
        <v>474</v>
      </c>
      <c r="F4266" s="12" t="s">
        <v>475</v>
      </c>
      <c r="G4266" s="12" t="s">
        <v>21</v>
      </c>
      <c r="H4266" s="11" t="s">
        <v>63</v>
      </c>
      <c r="I4266" s="13" t="s">
        <v>9431</v>
      </c>
      <c r="J4266" s="14" t="str">
        <f>HYPERLINK("https://www.boe.es/gazeta/dias/1839/03/31/pdfs/GMD-1839-1597.pdf#page=4","Abrir facsímil")</f>
        <v>Abrir facsímil</v>
      </c>
      <c r="K4266" s="12" t="s">
        <v>65</v>
      </c>
    </row>
    <row r="4267" spans="1:11" ht="40.049999999999997" customHeight="1" x14ac:dyDescent="0.25">
      <c r="A4267" s="11" t="s">
        <v>9432</v>
      </c>
      <c r="B4267" s="11" t="s">
        <v>9433</v>
      </c>
      <c r="C4267" s="11" t="s">
        <v>101</v>
      </c>
      <c r="D4267" s="11" t="s">
        <v>43</v>
      </c>
      <c r="E4267" s="12" t="s">
        <v>4186</v>
      </c>
      <c r="F4267" s="12" t="s">
        <v>4187</v>
      </c>
      <c r="G4267" s="12" t="s">
        <v>21</v>
      </c>
      <c r="H4267" s="11" t="s">
        <v>63</v>
      </c>
      <c r="I4267" s="13" t="s">
        <v>9434</v>
      </c>
      <c r="J4267" s="14" t="str">
        <f>HYPERLINK("https://www.boe.es/gazeta/dias/1839/12/12/pdfs/GMD-1839-1859.pdf#page=4","Abrir facsímil")</f>
        <v>Abrir facsímil</v>
      </c>
      <c r="K4267" s="12" t="s">
        <v>65</v>
      </c>
    </row>
    <row r="4268" spans="1:11" ht="40.049999999999997" customHeight="1" x14ac:dyDescent="0.25">
      <c r="A4268" s="11" t="s">
        <v>9435</v>
      </c>
      <c r="B4268" s="11" t="s">
        <v>9436</v>
      </c>
      <c r="C4268" s="11" t="s">
        <v>137</v>
      </c>
      <c r="D4268" s="11" t="s">
        <v>18</v>
      </c>
      <c r="E4268" s="12" t="s">
        <v>883</v>
      </c>
      <c r="F4268" s="12" t="s">
        <v>884</v>
      </c>
      <c r="G4268" s="12" t="s">
        <v>46</v>
      </c>
      <c r="H4268" s="11" t="s">
        <v>63</v>
      </c>
      <c r="I4268" s="13" t="s">
        <v>9437</v>
      </c>
      <c r="J4268" s="14" t="str">
        <f>HYPERLINK("https://www.boe.es/gazeta/dias/1839/11/03/pdfs/GMD-1839-1820.pdf#page=3","Abrir facsímil")</f>
        <v>Abrir facsímil</v>
      </c>
      <c r="K4268" s="12" t="s">
        <v>65</v>
      </c>
    </row>
    <row r="4269" spans="1:11" ht="40.049999999999997" customHeight="1" x14ac:dyDescent="0.25">
      <c r="A4269" s="11" t="s">
        <v>9435</v>
      </c>
      <c r="B4269" s="11" t="s">
        <v>9436</v>
      </c>
      <c r="C4269" s="11" t="s">
        <v>17</v>
      </c>
      <c r="D4269" s="11" t="s">
        <v>18</v>
      </c>
      <c r="E4269" s="12" t="s">
        <v>998</v>
      </c>
      <c r="F4269" s="12" t="s">
        <v>999</v>
      </c>
      <c r="G4269" s="12" t="s">
        <v>29</v>
      </c>
      <c r="H4269" s="11" t="s">
        <v>63</v>
      </c>
      <c r="I4269" s="13" t="s">
        <v>9438</v>
      </c>
      <c r="J4269" s="14" t="str">
        <f>HYPERLINK("https://www.boe.es/gazeta/dias/1839/05/06/pdfs/GMD-1839-1633.pdf#page=1","Abrir facsímil")</f>
        <v>Abrir facsímil</v>
      </c>
      <c r="K4269" s="12" t="s">
        <v>65</v>
      </c>
    </row>
    <row r="4270" spans="1:11" ht="40.049999999999997" customHeight="1" x14ac:dyDescent="0.25">
      <c r="A4270" s="11" t="s">
        <v>9435</v>
      </c>
      <c r="B4270" s="11" t="s">
        <v>9436</v>
      </c>
      <c r="C4270" s="11" t="s">
        <v>137</v>
      </c>
      <c r="D4270" s="11" t="s">
        <v>18</v>
      </c>
      <c r="E4270" s="12" t="s">
        <v>1012</v>
      </c>
      <c r="F4270" s="12" t="s">
        <v>1013</v>
      </c>
      <c r="G4270" s="12" t="s">
        <v>46</v>
      </c>
      <c r="H4270" s="11" t="s">
        <v>63</v>
      </c>
      <c r="I4270" s="13" t="s">
        <v>9439</v>
      </c>
      <c r="J4270" s="14" t="str">
        <f>HYPERLINK("https://www.boe.es/gazeta/dias/1839/11/22/pdfs/GMD-1839-1839.pdf#page=3","Abrir facsímil")</f>
        <v>Abrir facsímil</v>
      </c>
      <c r="K4270" s="12" t="s">
        <v>65</v>
      </c>
    </row>
    <row r="4271" spans="1:11" ht="40.049999999999997" customHeight="1" x14ac:dyDescent="0.25">
      <c r="A4271" s="11" t="s">
        <v>9435</v>
      </c>
      <c r="B4271" s="11" t="s">
        <v>9436</v>
      </c>
      <c r="C4271" s="11" t="s">
        <v>17</v>
      </c>
      <c r="D4271" s="11" t="s">
        <v>18</v>
      </c>
      <c r="E4271" s="12" t="s">
        <v>1284</v>
      </c>
      <c r="F4271" s="12" t="s">
        <v>1285</v>
      </c>
      <c r="G4271" s="12" t="s">
        <v>29</v>
      </c>
      <c r="H4271" s="11" t="s">
        <v>63</v>
      </c>
      <c r="I4271" s="13" t="s">
        <v>9440</v>
      </c>
      <c r="J4271" s="14" t="str">
        <f>HYPERLINK("https://www.boe.es/gazeta/dias/1839/03/27/pdfs/GMD-1839-1593.pdf#page=1","Abrir facsímil")</f>
        <v>Abrir facsímil</v>
      </c>
      <c r="K4271" s="12" t="s">
        <v>65</v>
      </c>
    </row>
    <row r="4272" spans="1:11" ht="40.049999999999997" customHeight="1" x14ac:dyDescent="0.25">
      <c r="A4272" s="11" t="s">
        <v>9441</v>
      </c>
      <c r="B4272" s="11" t="s">
        <v>9442</v>
      </c>
      <c r="C4272" s="11" t="s">
        <v>17</v>
      </c>
      <c r="D4272" s="11" t="s">
        <v>18</v>
      </c>
      <c r="E4272" s="12" t="s">
        <v>779</v>
      </c>
      <c r="F4272" s="12" t="s">
        <v>780</v>
      </c>
      <c r="G4272" s="12" t="s">
        <v>29</v>
      </c>
      <c r="H4272" s="11" t="s">
        <v>63</v>
      </c>
      <c r="I4272" s="13" t="s">
        <v>9443</v>
      </c>
      <c r="J4272" s="14" t="str">
        <f>HYPERLINK("https://www.boe.es/gazeta/dias/1839/02/03/pdfs/GMD-1839-1541.pdf#page=1","Abrir facsímil")</f>
        <v>Abrir facsímil</v>
      </c>
      <c r="K4272" s="12" t="s">
        <v>65</v>
      </c>
    </row>
    <row r="4273" spans="1:11" ht="40.049999999999997" customHeight="1" x14ac:dyDescent="0.25">
      <c r="A4273" s="11" t="s">
        <v>9444</v>
      </c>
      <c r="B4273" s="11" t="s">
        <v>9445</v>
      </c>
      <c r="C4273" s="11" t="s">
        <v>17</v>
      </c>
      <c r="D4273" s="11" t="s">
        <v>18</v>
      </c>
      <c r="E4273" s="12" t="s">
        <v>1562</v>
      </c>
      <c r="F4273" s="12" t="s">
        <v>1563</v>
      </c>
      <c r="G4273" s="12" t="s">
        <v>29</v>
      </c>
      <c r="H4273" s="11" t="s">
        <v>63</v>
      </c>
      <c r="I4273" s="13" t="s">
        <v>9446</v>
      </c>
      <c r="J4273" s="14" t="str">
        <f>HYPERLINK("https://www.boe.es/gazeta/dias/1839/04/08/pdfs/GMD-1839-1605.pdf#page=1","Abrir facsímil")</f>
        <v>Abrir facsímil</v>
      </c>
      <c r="K4273" s="12" t="s">
        <v>65</v>
      </c>
    </row>
    <row r="4274" spans="1:11" ht="40.049999999999997" customHeight="1" x14ac:dyDescent="0.25">
      <c r="A4274" s="11" t="s">
        <v>9447</v>
      </c>
      <c r="B4274" s="11" t="s">
        <v>9448</v>
      </c>
      <c r="C4274" s="11" t="s">
        <v>17</v>
      </c>
      <c r="D4274" s="11" t="s">
        <v>18</v>
      </c>
      <c r="E4274" s="12" t="s">
        <v>1079</v>
      </c>
      <c r="F4274" s="12" t="s">
        <v>1080</v>
      </c>
      <c r="G4274" s="12" t="s">
        <v>46</v>
      </c>
      <c r="H4274" s="11" t="s">
        <v>63</v>
      </c>
      <c r="I4274" s="13" t="s">
        <v>9449</v>
      </c>
      <c r="J4274" s="14" t="str">
        <f>HYPERLINK("https://www.boe.es/gazeta/dias/1839/05/24/pdfs/GMD-1839-1651.pdf#page=3","Abrir facsímil")</f>
        <v>Abrir facsímil</v>
      </c>
      <c r="K4274" s="12" t="s">
        <v>65</v>
      </c>
    </row>
    <row r="4275" spans="1:11" ht="40.049999999999997" customHeight="1" x14ac:dyDescent="0.25">
      <c r="A4275" s="11" t="s">
        <v>9450</v>
      </c>
      <c r="B4275" s="11" t="s">
        <v>9451</v>
      </c>
      <c r="C4275" s="11" t="s">
        <v>137</v>
      </c>
      <c r="D4275" s="11" t="s">
        <v>18</v>
      </c>
      <c r="E4275" s="12" t="s">
        <v>1310</v>
      </c>
      <c r="F4275" s="12" t="s">
        <v>1311</v>
      </c>
      <c r="G4275" s="12" t="s">
        <v>40</v>
      </c>
      <c r="H4275" s="11" t="s">
        <v>63</v>
      </c>
      <c r="I4275" s="13" t="s">
        <v>9452</v>
      </c>
      <c r="J4275" s="14" t="str">
        <f>HYPERLINK("https://www.boe.es/gazeta/dias/1839/04/23/pdfs/GMD-1839-1620.pdf#page=2","Abrir facsímil")</f>
        <v>Abrir facsímil</v>
      </c>
      <c r="K4275" s="12" t="s">
        <v>65</v>
      </c>
    </row>
    <row r="4276" spans="1:11" ht="40.049999999999997" customHeight="1" x14ac:dyDescent="0.25">
      <c r="A4276" s="11" t="s">
        <v>9453</v>
      </c>
      <c r="B4276" s="11" t="s">
        <v>9454</v>
      </c>
      <c r="C4276" s="11" t="s">
        <v>17</v>
      </c>
      <c r="D4276" s="11" t="s">
        <v>18</v>
      </c>
      <c r="E4276" s="12" t="s">
        <v>1460</v>
      </c>
      <c r="F4276" s="12" t="s">
        <v>1461</v>
      </c>
      <c r="G4276" s="12" t="s">
        <v>46</v>
      </c>
      <c r="H4276" s="11" t="s">
        <v>63</v>
      </c>
      <c r="I4276" s="13" t="s">
        <v>9455</v>
      </c>
      <c r="J4276" s="14" t="str">
        <f>HYPERLINK("https://www.boe.es/gazeta/dias/1839/03/01/pdfs/GMD-1839-1567.pdf#page=3","Abrir facsímil")</f>
        <v>Abrir facsímil</v>
      </c>
      <c r="K4276" s="12" t="s">
        <v>65</v>
      </c>
    </row>
    <row r="4277" spans="1:11" ht="40.049999999999997" customHeight="1" x14ac:dyDescent="0.25">
      <c r="A4277" s="11" t="s">
        <v>9453</v>
      </c>
      <c r="B4277" s="11" t="s">
        <v>9454</v>
      </c>
      <c r="C4277" s="11" t="s">
        <v>17</v>
      </c>
      <c r="D4277" s="11" t="s">
        <v>18</v>
      </c>
      <c r="E4277" s="12" t="s">
        <v>700</v>
      </c>
      <c r="F4277" s="12" t="s">
        <v>701</v>
      </c>
      <c r="G4277" s="12" t="s">
        <v>40</v>
      </c>
      <c r="H4277" s="11" t="s">
        <v>63</v>
      </c>
      <c r="I4277" s="13" t="s">
        <v>9456</v>
      </c>
      <c r="J4277" s="14" t="str">
        <f>HYPERLINK("https://www.boe.es/gazeta/dias/1839/09/01/pdfs/GMD-1839-1753.pdf#page=2","Abrir facsímil")</f>
        <v>Abrir facsímil</v>
      </c>
      <c r="K4277" s="12" t="s">
        <v>65</v>
      </c>
    </row>
    <row r="4278" spans="1:11" ht="40.049999999999997" customHeight="1" x14ac:dyDescent="0.25">
      <c r="A4278" s="11" t="s">
        <v>9453</v>
      </c>
      <c r="B4278" s="11" t="s">
        <v>9454</v>
      </c>
      <c r="C4278" s="11" t="s">
        <v>137</v>
      </c>
      <c r="D4278" s="11" t="s">
        <v>18</v>
      </c>
      <c r="E4278" s="12" t="s">
        <v>409</v>
      </c>
      <c r="F4278" s="12" t="s">
        <v>410</v>
      </c>
      <c r="G4278" s="12" t="s">
        <v>21</v>
      </c>
      <c r="H4278" s="11" t="s">
        <v>63</v>
      </c>
      <c r="I4278" s="13" t="s">
        <v>9457</v>
      </c>
      <c r="J4278" s="14" t="str">
        <f>HYPERLINK("https://www.boe.es/gazeta/dias/1839/07/05/pdfs/GMD-1839-1693.pdf#page=4","Abrir facsímil")</f>
        <v>Abrir facsímil</v>
      </c>
      <c r="K4278" s="12" t="s">
        <v>65</v>
      </c>
    </row>
    <row r="4279" spans="1:11" ht="40.049999999999997" customHeight="1" x14ac:dyDescent="0.25">
      <c r="A4279" s="11" t="s">
        <v>9453</v>
      </c>
      <c r="B4279" s="11" t="s">
        <v>9454</v>
      </c>
      <c r="C4279" s="11" t="s">
        <v>17</v>
      </c>
      <c r="D4279" s="11" t="s">
        <v>18</v>
      </c>
      <c r="E4279" s="12" t="s">
        <v>1008</v>
      </c>
      <c r="F4279" s="12" t="s">
        <v>1009</v>
      </c>
      <c r="G4279" s="12" t="s">
        <v>29</v>
      </c>
      <c r="H4279" s="11" t="s">
        <v>63</v>
      </c>
      <c r="I4279" s="13" t="s">
        <v>9458</v>
      </c>
      <c r="J4279" s="14" t="str">
        <f>HYPERLINK("https://www.boe.es/gazeta/dias/1839/09/07/pdfs/GMD-1839-1760.pdf#page=1","Abrir facsímil")</f>
        <v>Abrir facsímil</v>
      </c>
      <c r="K4279" s="12" t="s">
        <v>65</v>
      </c>
    </row>
    <row r="4280" spans="1:11" ht="40.049999999999997" customHeight="1" x14ac:dyDescent="0.25">
      <c r="A4280" s="11" t="s">
        <v>9453</v>
      </c>
      <c r="B4280" s="11" t="s">
        <v>9454</v>
      </c>
      <c r="C4280" s="11" t="s">
        <v>80</v>
      </c>
      <c r="D4280" s="11" t="s">
        <v>18</v>
      </c>
      <c r="E4280" s="12" t="s">
        <v>38</v>
      </c>
      <c r="F4280" s="12" t="s">
        <v>39</v>
      </c>
      <c r="G4280" s="12" t="s">
        <v>46</v>
      </c>
      <c r="H4280" s="11" t="s">
        <v>63</v>
      </c>
      <c r="I4280" s="13" t="s">
        <v>9459</v>
      </c>
      <c r="J4280" s="14" t="str">
        <f>HYPERLINK("https://www.boe.es/gazeta/dias/1839/08/08/pdfs/GMD-1839-1728.pdf#page=3","Abrir facsímil")</f>
        <v>Abrir facsímil</v>
      </c>
      <c r="K4280" s="12" t="s">
        <v>65</v>
      </c>
    </row>
    <row r="4281" spans="1:11" ht="40.049999999999997" customHeight="1" x14ac:dyDescent="0.25">
      <c r="A4281" s="11" t="s">
        <v>9453</v>
      </c>
      <c r="B4281" s="11" t="s">
        <v>9454</v>
      </c>
      <c r="C4281" s="11" t="s">
        <v>17</v>
      </c>
      <c r="D4281" s="11" t="s">
        <v>18</v>
      </c>
      <c r="E4281" s="12" t="s">
        <v>690</v>
      </c>
      <c r="F4281" s="12" t="s">
        <v>691</v>
      </c>
      <c r="G4281" s="12" t="s">
        <v>46</v>
      </c>
      <c r="H4281" s="11" t="s">
        <v>63</v>
      </c>
      <c r="I4281" s="13" t="s">
        <v>9460</v>
      </c>
      <c r="J4281" s="14" t="str">
        <f>HYPERLINK("https://www.boe.es/gazeta/dias/1839/12/08/pdfs/GMD-1839-1855.pdf#page=3","Abrir facsímil")</f>
        <v>Abrir facsímil</v>
      </c>
      <c r="K4281" s="12" t="s">
        <v>65</v>
      </c>
    </row>
    <row r="4282" spans="1:11" ht="40.049999999999997" customHeight="1" x14ac:dyDescent="0.25">
      <c r="A4282" s="11" t="s">
        <v>9453</v>
      </c>
      <c r="B4282" s="11" t="s">
        <v>9454</v>
      </c>
      <c r="C4282" s="11" t="s">
        <v>80</v>
      </c>
      <c r="D4282" s="11" t="s">
        <v>18</v>
      </c>
      <c r="E4282" s="12" t="s">
        <v>141</v>
      </c>
      <c r="F4282" s="12" t="s">
        <v>142</v>
      </c>
      <c r="G4282" s="12" t="s">
        <v>21</v>
      </c>
      <c r="H4282" s="11" t="s">
        <v>63</v>
      </c>
      <c r="I4282" s="13" t="s">
        <v>9461</v>
      </c>
      <c r="J4282" s="14" t="str">
        <f>HYPERLINK("https://www.boe.es/gazeta/dias/1839/11/10/pdfs/GMD-1839-1827.pdf#page=4","Abrir facsímil")</f>
        <v>Abrir facsímil</v>
      </c>
      <c r="K4282" s="12" t="s">
        <v>65</v>
      </c>
    </row>
    <row r="4283" spans="1:11" ht="40.049999999999997" customHeight="1" x14ac:dyDescent="0.25">
      <c r="A4283" s="11" t="s">
        <v>9453</v>
      </c>
      <c r="B4283" s="11" t="s">
        <v>9454</v>
      </c>
      <c r="C4283" s="11" t="s">
        <v>17</v>
      </c>
      <c r="D4283" s="11" t="s">
        <v>18</v>
      </c>
      <c r="E4283" s="12" t="s">
        <v>2374</v>
      </c>
      <c r="F4283" s="12" t="s">
        <v>2375</v>
      </c>
      <c r="G4283" s="12" t="s">
        <v>40</v>
      </c>
      <c r="H4283" s="11" t="s">
        <v>63</v>
      </c>
      <c r="I4283" s="13" t="s">
        <v>9462</v>
      </c>
      <c r="J4283" s="14" t="str">
        <f>HYPERLINK("https://www.boe.es/gazeta/dias/1839/06/14/pdfs/GMD-1839-1672.pdf#page=2","Abrir facsímil")</f>
        <v>Abrir facsímil</v>
      </c>
      <c r="K4283" s="12" t="s">
        <v>65</v>
      </c>
    </row>
    <row r="4284" spans="1:11" ht="40.049999999999997" customHeight="1" x14ac:dyDescent="0.25">
      <c r="A4284" s="11" t="s">
        <v>9453</v>
      </c>
      <c r="B4284" s="11" t="s">
        <v>9454</v>
      </c>
      <c r="C4284" s="11" t="s">
        <v>17</v>
      </c>
      <c r="D4284" s="11" t="s">
        <v>18</v>
      </c>
      <c r="E4284" s="12" t="s">
        <v>1528</v>
      </c>
      <c r="F4284" s="12" t="s">
        <v>1529</v>
      </c>
      <c r="G4284" s="12" t="s">
        <v>21</v>
      </c>
      <c r="H4284" s="11" t="s">
        <v>63</v>
      </c>
      <c r="I4284" s="13" t="s">
        <v>9463</v>
      </c>
      <c r="J4284" s="14" t="str">
        <f>HYPERLINK("https://www.boe.es/gazeta/dias/1839/12/15/pdfs/GMD-1839-1862.pdf#page=4","Abrir facsímil")</f>
        <v>Abrir facsímil</v>
      </c>
      <c r="K4284" s="12" t="s">
        <v>65</v>
      </c>
    </row>
    <row r="4285" spans="1:11" ht="40.049999999999997" customHeight="1" x14ac:dyDescent="0.25">
      <c r="A4285" s="11" t="s">
        <v>9453</v>
      </c>
      <c r="B4285" s="11" t="s">
        <v>9454</v>
      </c>
      <c r="C4285" s="11" t="s">
        <v>17</v>
      </c>
      <c r="D4285" s="11" t="s">
        <v>18</v>
      </c>
      <c r="E4285" s="12" t="s">
        <v>230</v>
      </c>
      <c r="F4285" s="12" t="s">
        <v>231</v>
      </c>
      <c r="G4285" s="12" t="s">
        <v>21</v>
      </c>
      <c r="H4285" s="11" t="s">
        <v>63</v>
      </c>
      <c r="I4285" s="13" t="s">
        <v>9464</v>
      </c>
      <c r="J4285" s="14" t="str">
        <f>HYPERLINK("https://www.boe.es/gazeta/dias/1839/09/16/pdfs/GMD-1839-1769.pdf#page=4","Abrir facsímil")</f>
        <v>Abrir facsímil</v>
      </c>
      <c r="K4285" s="12" t="s">
        <v>65</v>
      </c>
    </row>
    <row r="4286" spans="1:11" ht="40.049999999999997" customHeight="1" x14ac:dyDescent="0.25">
      <c r="A4286" s="11" t="s">
        <v>9453</v>
      </c>
      <c r="B4286" s="11" t="s">
        <v>9454</v>
      </c>
      <c r="C4286" s="11" t="s">
        <v>17</v>
      </c>
      <c r="D4286" s="11" t="s">
        <v>43</v>
      </c>
      <c r="E4286" s="12" t="s">
        <v>1406</v>
      </c>
      <c r="F4286" s="12" t="s">
        <v>1407</v>
      </c>
      <c r="G4286" s="12" t="s">
        <v>21</v>
      </c>
      <c r="H4286" s="11" t="s">
        <v>63</v>
      </c>
      <c r="I4286" s="13" t="s">
        <v>9465</v>
      </c>
      <c r="J4286" s="14" t="str">
        <f>HYPERLINK("https://www.boe.es/gazeta/dias/1839/07/18/pdfs/GMD-1839-1706.pdf#page=4","Abrir facsímil")</f>
        <v>Abrir facsímil</v>
      </c>
      <c r="K4286" s="12" t="s">
        <v>65</v>
      </c>
    </row>
    <row r="4287" spans="1:11" ht="40.049999999999997" customHeight="1" x14ac:dyDescent="0.25">
      <c r="A4287" s="11" t="s">
        <v>9453</v>
      </c>
      <c r="B4287" s="11" t="s">
        <v>9454</v>
      </c>
      <c r="C4287" s="11" t="s">
        <v>80</v>
      </c>
      <c r="D4287" s="11" t="s">
        <v>173</v>
      </c>
      <c r="E4287" s="12" t="s">
        <v>1703</v>
      </c>
      <c r="F4287" s="12" t="s">
        <v>1704</v>
      </c>
      <c r="G4287" s="12" t="s">
        <v>46</v>
      </c>
      <c r="H4287" s="11" t="s">
        <v>63</v>
      </c>
      <c r="I4287" s="13" t="s">
        <v>9466</v>
      </c>
      <c r="J4287" s="14" t="str">
        <f>HYPERLINK("https://www.boe.es/gazeta/dias/1839/01/21/pdfs/GMD-1839-1528.pdf#page=3","Abrir facsímil")</f>
        <v>Abrir facsímil</v>
      </c>
      <c r="K4287" s="12" t="s">
        <v>65</v>
      </c>
    </row>
    <row r="4288" spans="1:11" ht="40.049999999999997" customHeight="1" x14ac:dyDescent="0.25">
      <c r="A4288" s="11" t="s">
        <v>9453</v>
      </c>
      <c r="B4288" s="11" t="s">
        <v>9454</v>
      </c>
      <c r="C4288" s="11" t="s">
        <v>80</v>
      </c>
      <c r="D4288" s="11" t="s">
        <v>18</v>
      </c>
      <c r="E4288" s="12" t="s">
        <v>2435</v>
      </c>
      <c r="F4288" s="12" t="s">
        <v>2436</v>
      </c>
      <c r="G4288" s="12" t="s">
        <v>21</v>
      </c>
      <c r="H4288" s="11" t="s">
        <v>63</v>
      </c>
      <c r="I4288" s="13" t="s">
        <v>9467</v>
      </c>
      <c r="J4288" s="14" t="str">
        <f>HYPERLINK("https://www.boe.es/gazeta/dias/1839/07/24/pdfs/GMD-1839-1713.pdf#page=4","Abrir facsímil")</f>
        <v>Abrir facsímil</v>
      </c>
      <c r="K4288" s="12" t="s">
        <v>65</v>
      </c>
    </row>
    <row r="4289" spans="1:11" ht="40.049999999999997" customHeight="1" x14ac:dyDescent="0.25">
      <c r="A4289" s="11" t="s">
        <v>9453</v>
      </c>
      <c r="B4289" s="11" t="s">
        <v>9454</v>
      </c>
      <c r="C4289" s="11" t="s">
        <v>17</v>
      </c>
      <c r="D4289" s="11" t="s">
        <v>18</v>
      </c>
      <c r="E4289" s="12" t="s">
        <v>4292</v>
      </c>
      <c r="F4289" s="12" t="s">
        <v>4293</v>
      </c>
      <c r="G4289" s="12" t="s">
        <v>29</v>
      </c>
      <c r="H4289" s="11" t="s">
        <v>63</v>
      </c>
      <c r="I4289" s="13" t="s">
        <v>9468</v>
      </c>
      <c r="J4289" s="14" t="str">
        <f>HYPERLINK("https://www.boe.es/gazeta/dias/1839/11/29/pdfs/GMD-1839-1846.pdf#page=1","Abrir facsímil")</f>
        <v>Abrir facsímil</v>
      </c>
      <c r="K4289" s="12" t="s">
        <v>65</v>
      </c>
    </row>
    <row r="4290" spans="1:11" ht="40.049999999999997" customHeight="1" x14ac:dyDescent="0.25">
      <c r="A4290" s="11" t="s">
        <v>9469</v>
      </c>
      <c r="B4290" s="11" t="s">
        <v>9470</v>
      </c>
      <c r="C4290" s="11" t="s">
        <v>17</v>
      </c>
      <c r="D4290" s="11" t="s">
        <v>18</v>
      </c>
      <c r="E4290" s="12" t="s">
        <v>1509</v>
      </c>
      <c r="F4290" s="12" t="s">
        <v>1510</v>
      </c>
      <c r="G4290" s="12" t="s">
        <v>305</v>
      </c>
      <c r="H4290" s="11" t="s">
        <v>63</v>
      </c>
      <c r="I4290" s="13" t="s">
        <v>9471</v>
      </c>
      <c r="J4290" s="14" t="str">
        <f>HYPERLINK("https://www.boe.es/gazeta/dias/1839/10/07/pdfs/GMD-1839-1793.pdf#page=6","Abrir facsímil")</f>
        <v>Abrir facsímil</v>
      </c>
      <c r="K4290" s="12" t="s">
        <v>65</v>
      </c>
    </row>
    <row r="4291" spans="1:11" ht="40.049999999999997" customHeight="1" x14ac:dyDescent="0.25">
      <c r="A4291" s="11" t="s">
        <v>9472</v>
      </c>
      <c r="B4291" s="11" t="s">
        <v>9473</v>
      </c>
      <c r="C4291" s="11" t="s">
        <v>17</v>
      </c>
      <c r="D4291" s="11" t="s">
        <v>18</v>
      </c>
      <c r="E4291" s="12" t="s">
        <v>756</v>
      </c>
      <c r="F4291" s="12" t="s">
        <v>757</v>
      </c>
      <c r="G4291" s="12" t="s">
        <v>21</v>
      </c>
      <c r="H4291" s="11" t="s">
        <v>63</v>
      </c>
      <c r="I4291" s="13" t="s">
        <v>9474</v>
      </c>
      <c r="J4291" s="14" t="str">
        <f>HYPERLINK("https://www.boe.es/gazeta/dias/1839/12/17/pdfs/GMD-1839-1864.pdf#page=4","Abrir facsímil")</f>
        <v>Abrir facsímil</v>
      </c>
      <c r="K4291" s="12" t="s">
        <v>65</v>
      </c>
    </row>
    <row r="4292" spans="1:11" ht="40.049999999999997" customHeight="1" x14ac:dyDescent="0.25">
      <c r="A4292" s="11" t="s">
        <v>9475</v>
      </c>
      <c r="B4292" s="11" t="s">
        <v>9476</v>
      </c>
      <c r="C4292" s="11" t="s">
        <v>17</v>
      </c>
      <c r="D4292" s="11" t="s">
        <v>18</v>
      </c>
      <c r="E4292" s="12" t="s">
        <v>587</v>
      </c>
      <c r="F4292" s="12" t="s">
        <v>588</v>
      </c>
      <c r="G4292" s="12" t="s">
        <v>29</v>
      </c>
      <c r="H4292" s="11" t="s">
        <v>63</v>
      </c>
      <c r="I4292" s="13" t="s">
        <v>9477</v>
      </c>
      <c r="J4292" s="14" t="str">
        <f>HYPERLINK("https://www.boe.es/gazeta/dias/1839/05/02/pdfs/GMD-1839-1629.pdf#page=1","Abrir facsímil")</f>
        <v>Abrir facsímil</v>
      </c>
      <c r="K4292" s="12" t="s">
        <v>65</v>
      </c>
    </row>
    <row r="4293" spans="1:11" ht="40.049999999999997" customHeight="1" x14ac:dyDescent="0.25">
      <c r="A4293" s="11" t="s">
        <v>9478</v>
      </c>
      <c r="B4293" s="11" t="s">
        <v>9479</v>
      </c>
      <c r="C4293" s="11" t="s">
        <v>17</v>
      </c>
      <c r="D4293" s="11" t="s">
        <v>18</v>
      </c>
      <c r="E4293" s="12" t="s">
        <v>592</v>
      </c>
      <c r="F4293" s="12" t="s">
        <v>593</v>
      </c>
      <c r="G4293" s="12" t="s">
        <v>29</v>
      </c>
      <c r="H4293" s="11" t="s">
        <v>63</v>
      </c>
      <c r="I4293" s="13" t="s">
        <v>9480</v>
      </c>
      <c r="J4293" s="14" t="str">
        <f>HYPERLINK("https://www.boe.es/gazeta/dias/1839/09/14/pdfs/GMD-1839-1767.pdf#page=1","Abrir facsímil")</f>
        <v>Abrir facsímil</v>
      </c>
      <c r="K4293" s="12" t="s">
        <v>65</v>
      </c>
    </row>
    <row r="4294" spans="1:11" ht="40.049999999999997" customHeight="1" x14ac:dyDescent="0.25">
      <c r="A4294" s="11" t="s">
        <v>9481</v>
      </c>
      <c r="B4294" s="11" t="s">
        <v>9482</v>
      </c>
      <c r="C4294" s="11" t="s">
        <v>59</v>
      </c>
      <c r="D4294" s="11" t="s">
        <v>60</v>
      </c>
      <c r="E4294" s="12" t="s">
        <v>2117</v>
      </c>
      <c r="F4294" s="12" t="s">
        <v>2118</v>
      </c>
      <c r="G4294" s="12" t="s">
        <v>21</v>
      </c>
      <c r="H4294" s="11" t="s">
        <v>63</v>
      </c>
      <c r="I4294" s="13" t="s">
        <v>9483</v>
      </c>
      <c r="J4294" s="14" t="str">
        <f>HYPERLINK("https://www.boe.es/gazeta/dias/1839/06/23/pdfs/GMD-1839-1681.pdf#page=4","Abrir facsímil")</f>
        <v>Abrir facsímil</v>
      </c>
      <c r="K4294" s="12" t="s">
        <v>65</v>
      </c>
    </row>
    <row r="4295" spans="1:11" ht="40.049999999999997" customHeight="1" x14ac:dyDescent="0.25">
      <c r="A4295" s="11" t="s">
        <v>9484</v>
      </c>
      <c r="B4295" s="11" t="s">
        <v>9485</v>
      </c>
      <c r="C4295" s="11" t="s">
        <v>101</v>
      </c>
      <c r="D4295" s="11" t="s">
        <v>43</v>
      </c>
      <c r="E4295" s="12" t="s">
        <v>984</v>
      </c>
      <c r="F4295" s="12" t="s">
        <v>985</v>
      </c>
      <c r="G4295" s="12" t="s">
        <v>29</v>
      </c>
      <c r="H4295" s="11" t="s">
        <v>63</v>
      </c>
      <c r="I4295" s="13" t="s">
        <v>9486</v>
      </c>
      <c r="J4295" s="14" t="str">
        <f>HYPERLINK("https://www.boe.es/gazeta/dias/1839/04/10/pdfs/GMD-1839-1607.pdf#page=1","Abrir facsímil")</f>
        <v>Abrir facsímil</v>
      </c>
      <c r="K4295" s="12" t="s">
        <v>65</v>
      </c>
    </row>
    <row r="4296" spans="1:11" ht="40.049999999999997" customHeight="1" x14ac:dyDescent="0.25">
      <c r="A4296" s="11" t="s">
        <v>9487</v>
      </c>
      <c r="B4296" s="11" t="s">
        <v>9488</v>
      </c>
      <c r="C4296" s="11" t="s">
        <v>80</v>
      </c>
      <c r="D4296" s="11" t="s">
        <v>18</v>
      </c>
      <c r="E4296" s="12" t="s">
        <v>489</v>
      </c>
      <c r="F4296" s="12" t="s">
        <v>490</v>
      </c>
      <c r="G4296" s="12" t="s">
        <v>21</v>
      </c>
      <c r="H4296" s="11" t="s">
        <v>63</v>
      </c>
      <c r="I4296" s="13" t="s">
        <v>9489</v>
      </c>
      <c r="J4296" s="14" t="str">
        <f>HYPERLINK("https://www.boe.es/gazeta/dias/1839/06/29/pdfs/GMD-1839-1687.pdf#page=4","Abrir facsímil")</f>
        <v>Abrir facsímil</v>
      </c>
      <c r="K4296" s="12" t="s">
        <v>65</v>
      </c>
    </row>
    <row r="4297" spans="1:11" ht="40.049999999999997" customHeight="1" x14ac:dyDescent="0.25">
      <c r="A4297" s="11" t="s">
        <v>9490</v>
      </c>
      <c r="B4297" s="11" t="s">
        <v>9491</v>
      </c>
      <c r="C4297" s="11" t="s">
        <v>17</v>
      </c>
      <c r="D4297" s="11" t="s">
        <v>43</v>
      </c>
      <c r="E4297" s="12" t="s">
        <v>1139</v>
      </c>
      <c r="F4297" s="12" t="s">
        <v>1140</v>
      </c>
      <c r="G4297" s="12" t="s">
        <v>21</v>
      </c>
      <c r="H4297" s="11" t="s">
        <v>63</v>
      </c>
      <c r="I4297" s="13" t="s">
        <v>9492</v>
      </c>
      <c r="J4297" s="14" t="str">
        <f>HYPERLINK("https://www.boe.es/gazeta/dias/1839/02/15/pdfs/GMD-1839-1553.pdf#page=4","Abrir facsímil")</f>
        <v>Abrir facsímil</v>
      </c>
      <c r="K4297" s="12" t="s">
        <v>65</v>
      </c>
    </row>
    <row r="4298" spans="1:11" ht="40.049999999999997" customHeight="1" x14ac:dyDescent="0.25">
      <c r="A4298" s="11" t="s">
        <v>9493</v>
      </c>
      <c r="B4298" s="11" t="s">
        <v>9494</v>
      </c>
      <c r="C4298" s="11" t="s">
        <v>17</v>
      </c>
      <c r="D4298" s="11" t="s">
        <v>18</v>
      </c>
      <c r="E4298" s="12" t="s">
        <v>258</v>
      </c>
      <c r="F4298" s="12" t="s">
        <v>259</v>
      </c>
      <c r="G4298" s="12" t="s">
        <v>46</v>
      </c>
      <c r="H4298" s="11" t="s">
        <v>22</v>
      </c>
      <c r="I4298" s="13" t="s">
        <v>9495</v>
      </c>
      <c r="J4298" s="14" t="str">
        <f>HYPERLINK("https://www.boe.es/gazeta/dias/1839/01/02/pdfs/GMD-1839-1509.pdf#page=3","Abrir facsímil")</f>
        <v>Abrir facsímil</v>
      </c>
      <c r="K4298" s="12" t="s">
        <v>24</v>
      </c>
    </row>
    <row r="4299" spans="1:11" ht="40.049999999999997" customHeight="1" x14ac:dyDescent="0.25">
      <c r="A4299" s="11" t="s">
        <v>9496</v>
      </c>
      <c r="B4299" s="11" t="s">
        <v>9497</v>
      </c>
      <c r="C4299" s="11" t="s">
        <v>17</v>
      </c>
      <c r="D4299" s="11" t="s">
        <v>18</v>
      </c>
      <c r="E4299" s="12" t="s">
        <v>474</v>
      </c>
      <c r="F4299" s="12" t="s">
        <v>475</v>
      </c>
      <c r="G4299" s="12" t="s">
        <v>21</v>
      </c>
      <c r="H4299" s="11" t="s">
        <v>63</v>
      </c>
      <c r="I4299" s="13" t="s">
        <v>9498</v>
      </c>
      <c r="J4299" s="14" t="str">
        <f>HYPERLINK("https://www.boe.es/gazeta/dias/1839/03/31/pdfs/GMD-1839-1597.pdf#page=4","Abrir facsímil")</f>
        <v>Abrir facsímil</v>
      </c>
      <c r="K4299" s="12" t="s">
        <v>65</v>
      </c>
    </row>
    <row r="4300" spans="1:11" ht="40.049999999999997" customHeight="1" x14ac:dyDescent="0.25">
      <c r="A4300" s="11" t="s">
        <v>9499</v>
      </c>
      <c r="B4300" s="11" t="s">
        <v>9500</v>
      </c>
      <c r="C4300" s="11" t="s">
        <v>80</v>
      </c>
      <c r="D4300" s="11" t="s">
        <v>18</v>
      </c>
      <c r="E4300" s="12" t="s">
        <v>1406</v>
      </c>
      <c r="F4300" s="12" t="s">
        <v>1407</v>
      </c>
      <c r="G4300" s="12" t="s">
        <v>21</v>
      </c>
      <c r="H4300" s="11" t="s">
        <v>63</v>
      </c>
      <c r="I4300" s="13" t="s">
        <v>9501</v>
      </c>
      <c r="J4300" s="14" t="str">
        <f>HYPERLINK("https://www.boe.es/gazeta/dias/1839/07/18/pdfs/GMD-1839-1706.pdf#page=4","Abrir facsímil")</f>
        <v>Abrir facsímil</v>
      </c>
      <c r="K4300" s="12" t="s">
        <v>65</v>
      </c>
    </row>
    <row r="4301" spans="1:11" ht="40.049999999999997" customHeight="1" x14ac:dyDescent="0.25">
      <c r="A4301" s="11" t="s">
        <v>9502</v>
      </c>
      <c r="B4301" s="11" t="s">
        <v>9503</v>
      </c>
      <c r="C4301" s="11" t="s">
        <v>80</v>
      </c>
      <c r="D4301" s="11" t="s">
        <v>173</v>
      </c>
      <c r="E4301" s="12" t="s">
        <v>1406</v>
      </c>
      <c r="F4301" s="12" t="s">
        <v>1407</v>
      </c>
      <c r="G4301" s="12" t="s">
        <v>21</v>
      </c>
      <c r="H4301" s="11" t="s">
        <v>22</v>
      </c>
      <c r="I4301" s="13" t="s">
        <v>9504</v>
      </c>
      <c r="J4301" s="14" t="str">
        <f>HYPERLINK("https://www.boe.es/gazeta/dias/1839/07/18/pdfs/GMD-1839-1706.pdf#page=4","Abrir facsímil")</f>
        <v>Abrir facsímil</v>
      </c>
      <c r="K4301" s="12" t="s">
        <v>24</v>
      </c>
    </row>
    <row r="4302" spans="1:11" ht="40.049999999999997" customHeight="1" x14ac:dyDescent="0.25">
      <c r="A4302" s="11" t="s">
        <v>9505</v>
      </c>
      <c r="B4302" s="11" t="s">
        <v>9506</v>
      </c>
      <c r="C4302" s="11" t="s">
        <v>17</v>
      </c>
      <c r="D4302" s="11" t="s">
        <v>18</v>
      </c>
      <c r="E4302" s="12" t="s">
        <v>744</v>
      </c>
      <c r="F4302" s="12" t="s">
        <v>745</v>
      </c>
      <c r="G4302" s="12" t="s">
        <v>21</v>
      </c>
      <c r="H4302" s="11" t="s">
        <v>63</v>
      </c>
      <c r="I4302" s="13" t="s">
        <v>9507</v>
      </c>
      <c r="J4302" s="14" t="str">
        <f>HYPERLINK("https://www.boe.es/gazeta/dias/1839/12/09/pdfs/GMD-1839-1856.pdf#page=4","Abrir facsímil")</f>
        <v>Abrir facsímil</v>
      </c>
      <c r="K4302" s="12" t="s">
        <v>65</v>
      </c>
    </row>
    <row r="4303" spans="1:11" ht="40.049999999999997" customHeight="1" x14ac:dyDescent="0.25">
      <c r="A4303" s="11" t="s">
        <v>9505</v>
      </c>
      <c r="B4303" s="11" t="s">
        <v>9506</v>
      </c>
      <c r="C4303" s="11" t="s">
        <v>17</v>
      </c>
      <c r="D4303" s="11" t="s">
        <v>18</v>
      </c>
      <c r="E4303" s="12" t="s">
        <v>479</v>
      </c>
      <c r="F4303" s="12" t="s">
        <v>480</v>
      </c>
      <c r="G4303" s="12" t="s">
        <v>29</v>
      </c>
      <c r="H4303" s="11" t="s">
        <v>63</v>
      </c>
      <c r="I4303" s="13" t="s">
        <v>9508</v>
      </c>
      <c r="J4303" s="14" t="str">
        <f>HYPERLINK("https://www.boe.es/gazeta/dias/1839/06/24/pdfs/GMD-1839-1682.pdf#page=1","Abrir facsímil")</f>
        <v>Abrir facsímil</v>
      </c>
      <c r="K4303" s="12" t="s">
        <v>65</v>
      </c>
    </row>
    <row r="4304" spans="1:11" ht="40.049999999999997" customHeight="1" x14ac:dyDescent="0.25">
      <c r="A4304" s="11" t="s">
        <v>9505</v>
      </c>
      <c r="B4304" s="11" t="s">
        <v>9506</v>
      </c>
      <c r="C4304" s="11" t="s">
        <v>17</v>
      </c>
      <c r="D4304" s="11" t="s">
        <v>18</v>
      </c>
      <c r="E4304" s="12" t="s">
        <v>668</v>
      </c>
      <c r="F4304" s="12" t="s">
        <v>669</v>
      </c>
      <c r="G4304" s="12" t="s">
        <v>46</v>
      </c>
      <c r="H4304" s="11" t="s">
        <v>63</v>
      </c>
      <c r="I4304" s="13" t="s">
        <v>9509</v>
      </c>
      <c r="J4304" s="14" t="str">
        <f>HYPERLINK("https://www.boe.es/gazeta/dias/1839/03/28/pdfs/GMD-1839-1594.pdf#page=3","Abrir facsímil")</f>
        <v>Abrir facsímil</v>
      </c>
      <c r="K4304" s="12" t="s">
        <v>65</v>
      </c>
    </row>
    <row r="4305" spans="1:11" ht="40.049999999999997" customHeight="1" x14ac:dyDescent="0.25">
      <c r="A4305" s="11" t="s">
        <v>9510</v>
      </c>
      <c r="B4305" s="11" t="s">
        <v>9511</v>
      </c>
      <c r="C4305" s="11" t="s">
        <v>137</v>
      </c>
      <c r="D4305" s="11" t="s">
        <v>18</v>
      </c>
      <c r="E4305" s="12" t="s">
        <v>320</v>
      </c>
      <c r="F4305" s="12" t="s">
        <v>321</v>
      </c>
      <c r="G4305" s="12" t="s">
        <v>29</v>
      </c>
      <c r="H4305" s="11" t="s">
        <v>63</v>
      </c>
      <c r="I4305" s="13" t="s">
        <v>9512</v>
      </c>
      <c r="J4305" s="14" t="str">
        <f>HYPERLINK("https://www.boe.es/gazeta/dias/1839/05/11/pdfs/GMD-1839-1638.pdf#page=1","Abrir facsímil")</f>
        <v>Abrir facsímil</v>
      </c>
      <c r="K4305" s="12" t="s">
        <v>65</v>
      </c>
    </row>
    <row r="4306" spans="1:11" ht="40.049999999999997" customHeight="1" x14ac:dyDescent="0.25">
      <c r="A4306" s="11" t="s">
        <v>9513</v>
      </c>
      <c r="B4306" s="11" t="s">
        <v>9514</v>
      </c>
      <c r="C4306" s="11" t="s">
        <v>17</v>
      </c>
      <c r="D4306" s="11" t="s">
        <v>18</v>
      </c>
      <c r="E4306" s="12" t="s">
        <v>1692</v>
      </c>
      <c r="F4306" s="12" t="s">
        <v>1693</v>
      </c>
      <c r="G4306" s="12" t="s">
        <v>21</v>
      </c>
      <c r="H4306" s="11" t="s">
        <v>63</v>
      </c>
      <c r="I4306" s="13" t="s">
        <v>9515</v>
      </c>
      <c r="J4306" s="14" t="str">
        <f>HYPERLINK("https://www.boe.es/gazeta/dias/1839/05/30/pdfs/GMD-1839-1657.pdf#page=4","Abrir facsímil")</f>
        <v>Abrir facsímil</v>
      </c>
      <c r="K4306" s="12" t="s">
        <v>65</v>
      </c>
    </row>
    <row r="4307" spans="1:11" ht="40.049999999999997" customHeight="1" x14ac:dyDescent="0.25">
      <c r="A4307" s="11" t="s">
        <v>9516</v>
      </c>
      <c r="B4307" s="11" t="s">
        <v>9517</v>
      </c>
      <c r="C4307" s="11" t="s">
        <v>80</v>
      </c>
      <c r="D4307" s="11" t="s">
        <v>18</v>
      </c>
      <c r="E4307" s="12" t="s">
        <v>744</v>
      </c>
      <c r="F4307" s="12" t="s">
        <v>745</v>
      </c>
      <c r="G4307" s="12" t="s">
        <v>21</v>
      </c>
      <c r="H4307" s="11" t="s">
        <v>63</v>
      </c>
      <c r="I4307" s="13" t="s">
        <v>9518</v>
      </c>
      <c r="J4307" s="14" t="str">
        <f>HYPERLINK("https://www.boe.es/gazeta/dias/1839/12/09/pdfs/GMD-1839-1856.pdf#page=4","Abrir facsímil")</f>
        <v>Abrir facsímil</v>
      </c>
      <c r="K4307" s="12" t="s">
        <v>65</v>
      </c>
    </row>
    <row r="4308" spans="1:11" ht="40.049999999999997" customHeight="1" x14ac:dyDescent="0.25">
      <c r="A4308" s="11" t="s">
        <v>9516</v>
      </c>
      <c r="B4308" s="11" t="s">
        <v>9517</v>
      </c>
      <c r="C4308" s="11" t="s">
        <v>137</v>
      </c>
      <c r="D4308" s="11" t="s">
        <v>18</v>
      </c>
      <c r="E4308" s="12" t="s">
        <v>462</v>
      </c>
      <c r="F4308" s="12" t="s">
        <v>463</v>
      </c>
      <c r="G4308" s="12" t="s">
        <v>21</v>
      </c>
      <c r="H4308" s="11" t="s">
        <v>63</v>
      </c>
      <c r="I4308" s="13" t="s">
        <v>9519</v>
      </c>
      <c r="J4308" s="14" t="str">
        <f>HYPERLINK("https://www.boe.es/gazeta/dias/1839/06/19/pdfs/GMD-1839-1677.pdf#page=4","Abrir facsímil")</f>
        <v>Abrir facsímil</v>
      </c>
      <c r="K4308" s="12" t="s">
        <v>65</v>
      </c>
    </row>
    <row r="4309" spans="1:11" ht="40.049999999999997" customHeight="1" x14ac:dyDescent="0.25">
      <c r="A4309" s="11" t="s">
        <v>9520</v>
      </c>
      <c r="B4309" s="11" t="s">
        <v>9521</v>
      </c>
      <c r="C4309" s="11" t="s">
        <v>80</v>
      </c>
      <c r="D4309" s="11" t="s">
        <v>18</v>
      </c>
      <c r="E4309" s="12" t="s">
        <v>138</v>
      </c>
      <c r="F4309" s="12" t="s">
        <v>139</v>
      </c>
      <c r="G4309" s="12" t="s">
        <v>29</v>
      </c>
      <c r="H4309" s="11" t="s">
        <v>63</v>
      </c>
      <c r="I4309" s="13" t="s">
        <v>9522</v>
      </c>
      <c r="J4309" s="14" t="str">
        <f>HYPERLINK("https://www.boe.es/gazeta/dias/1839/10/09/pdfs/GMD-1839-1795.pdf#page=1","Abrir facsímil")</f>
        <v>Abrir facsímil</v>
      </c>
      <c r="K4309" s="12" t="s">
        <v>65</v>
      </c>
    </row>
    <row r="4310" spans="1:11" ht="40.049999999999997" customHeight="1" x14ac:dyDescent="0.25">
      <c r="A4310" s="11" t="s">
        <v>9523</v>
      </c>
      <c r="B4310" s="11" t="s">
        <v>9524</v>
      </c>
      <c r="C4310" s="11" t="s">
        <v>17</v>
      </c>
      <c r="D4310" s="11" t="s">
        <v>18</v>
      </c>
      <c r="E4310" s="12" t="s">
        <v>276</v>
      </c>
      <c r="F4310" s="12" t="s">
        <v>277</v>
      </c>
      <c r="G4310" s="12" t="s">
        <v>46</v>
      </c>
      <c r="H4310" s="11" t="s">
        <v>63</v>
      </c>
      <c r="I4310" s="13" t="s">
        <v>9525</v>
      </c>
      <c r="J4310" s="14" t="str">
        <f>HYPERLINK("https://www.boe.es/gazeta/dias/1839/09/24/pdfs/GMD-1839-1780.pdf#page=3","Abrir facsímil")</f>
        <v>Abrir facsímil</v>
      </c>
      <c r="K4310" s="12" t="s">
        <v>65</v>
      </c>
    </row>
    <row r="4311" spans="1:11" ht="40.049999999999997" customHeight="1" x14ac:dyDescent="0.25">
      <c r="A4311" s="11" t="s">
        <v>9526</v>
      </c>
      <c r="B4311" s="11" t="s">
        <v>9527</v>
      </c>
      <c r="C4311" s="11" t="s">
        <v>17</v>
      </c>
      <c r="D4311" s="11" t="s">
        <v>18</v>
      </c>
      <c r="E4311" s="12" t="s">
        <v>1012</v>
      </c>
      <c r="F4311" s="12" t="s">
        <v>1013</v>
      </c>
      <c r="G4311" s="12" t="s">
        <v>46</v>
      </c>
      <c r="H4311" s="11" t="s">
        <v>63</v>
      </c>
      <c r="I4311" s="13" t="s">
        <v>9528</v>
      </c>
      <c r="J4311" s="14" t="str">
        <f>HYPERLINK("https://www.boe.es/gazeta/dias/1839/11/22/pdfs/GMD-1839-1839.pdf#page=3","Abrir facsímil")</f>
        <v>Abrir facsímil</v>
      </c>
      <c r="K4311" s="12" t="s">
        <v>65</v>
      </c>
    </row>
    <row r="4312" spans="1:11" ht="40.049999999999997" customHeight="1" x14ac:dyDescent="0.25">
      <c r="A4312" s="11" t="s">
        <v>9529</v>
      </c>
      <c r="B4312" s="11" t="s">
        <v>9530</v>
      </c>
      <c r="C4312" s="11" t="s">
        <v>17</v>
      </c>
      <c r="D4312" s="11" t="s">
        <v>18</v>
      </c>
      <c r="E4312" s="12" t="s">
        <v>713</v>
      </c>
      <c r="F4312" s="12" t="s">
        <v>714</v>
      </c>
      <c r="G4312" s="12" t="s">
        <v>21</v>
      </c>
      <c r="H4312" s="11" t="s">
        <v>63</v>
      </c>
      <c r="I4312" s="13" t="s">
        <v>9531</v>
      </c>
      <c r="J4312" s="14" t="str">
        <f>HYPERLINK("https://www.boe.es/gazeta/dias/1839/12/18/pdfs/GMD-1839-1865.pdf#page=4","Abrir facsímil")</f>
        <v>Abrir facsímil</v>
      </c>
      <c r="K4312" s="12" t="s">
        <v>65</v>
      </c>
    </row>
    <row r="4313" spans="1:11" ht="40.049999999999997" customHeight="1" x14ac:dyDescent="0.25">
      <c r="A4313" s="11" t="s">
        <v>9532</v>
      </c>
      <c r="B4313" s="11" t="s">
        <v>9533</v>
      </c>
      <c r="C4313" s="11" t="s">
        <v>59</v>
      </c>
      <c r="D4313" s="11" t="s">
        <v>60</v>
      </c>
      <c r="E4313" s="12" t="s">
        <v>246</v>
      </c>
      <c r="F4313" s="12" t="s">
        <v>247</v>
      </c>
      <c r="G4313" s="12" t="s">
        <v>21</v>
      </c>
      <c r="H4313" s="11" t="s">
        <v>63</v>
      </c>
      <c r="I4313" s="13" t="s">
        <v>9534</v>
      </c>
      <c r="J4313" s="14" t="str">
        <f>HYPERLINK("https://www.boe.es/gazeta/dias/1839/11/24/pdfs/GMD-1839-1841.pdf#page=4","Abrir facsímil")</f>
        <v>Abrir facsímil</v>
      </c>
      <c r="K4313" s="12" t="s">
        <v>65</v>
      </c>
    </row>
    <row r="4314" spans="1:11" ht="40.049999999999997" customHeight="1" x14ac:dyDescent="0.25">
      <c r="A4314" s="11" t="s">
        <v>9535</v>
      </c>
      <c r="B4314" s="11" t="s">
        <v>9536</v>
      </c>
      <c r="C4314" s="11" t="s">
        <v>101</v>
      </c>
      <c r="D4314" s="11" t="s">
        <v>43</v>
      </c>
      <c r="E4314" s="12" t="s">
        <v>81</v>
      </c>
      <c r="F4314" s="12" t="s">
        <v>82</v>
      </c>
      <c r="G4314" s="12" t="s">
        <v>40</v>
      </c>
      <c r="H4314" s="11" t="s">
        <v>22</v>
      </c>
      <c r="I4314" s="13" t="s">
        <v>9537</v>
      </c>
      <c r="J4314" s="14" t="str">
        <f>HYPERLINK("https://www.boe.es/gazeta/dias/1839/03/03/pdfs/GMD-1839-1569.pdf#page=2","Abrir facsímil")</f>
        <v>Abrir facsímil</v>
      </c>
      <c r="K4314" s="12" t="s">
        <v>24</v>
      </c>
    </row>
    <row r="4315" spans="1:11" ht="40.049999999999997" customHeight="1" x14ac:dyDescent="0.25">
      <c r="A4315" s="11" t="s">
        <v>9538</v>
      </c>
      <c r="B4315" s="11" t="s">
        <v>9539</v>
      </c>
      <c r="C4315" s="11" t="s">
        <v>17</v>
      </c>
      <c r="D4315" s="11" t="s">
        <v>18</v>
      </c>
      <c r="E4315" s="12" t="s">
        <v>262</v>
      </c>
      <c r="F4315" s="12" t="s">
        <v>263</v>
      </c>
      <c r="G4315" s="12" t="s">
        <v>29</v>
      </c>
      <c r="H4315" s="11" t="s">
        <v>63</v>
      </c>
      <c r="I4315" s="13" t="s">
        <v>9540</v>
      </c>
      <c r="J4315" s="14" t="str">
        <f>HYPERLINK("https://www.boe.es/gazeta/dias/1839/01/01/pdfs/GMD-1839-1508.pdf#page=1","Abrir facsímil")</f>
        <v>Abrir facsímil</v>
      </c>
      <c r="K4315" s="12" t="s">
        <v>65</v>
      </c>
    </row>
    <row r="4316" spans="1:11" ht="40.049999999999997" customHeight="1" x14ac:dyDescent="0.25">
      <c r="A4316" s="11" t="s">
        <v>9538</v>
      </c>
      <c r="B4316" s="11" t="s">
        <v>9539</v>
      </c>
      <c r="C4316" s="11" t="s">
        <v>80</v>
      </c>
      <c r="D4316" s="11" t="s">
        <v>18</v>
      </c>
      <c r="E4316" s="12" t="s">
        <v>2491</v>
      </c>
      <c r="F4316" s="12" t="s">
        <v>2492</v>
      </c>
      <c r="G4316" s="12" t="s">
        <v>21</v>
      </c>
      <c r="H4316" s="11" t="s">
        <v>63</v>
      </c>
      <c r="I4316" s="13" t="s">
        <v>9541</v>
      </c>
      <c r="J4316" s="14" t="str">
        <f>HYPERLINK("https://www.boe.es/gazeta/dias/1839/05/01/pdfs/GMD-1839-1628.pdf#page=4","Abrir facsímil")</f>
        <v>Abrir facsímil</v>
      </c>
      <c r="K4316" s="12" t="s">
        <v>65</v>
      </c>
    </row>
    <row r="4317" spans="1:11" ht="40.049999999999997" customHeight="1" x14ac:dyDescent="0.25">
      <c r="A4317" s="11" t="s">
        <v>9538</v>
      </c>
      <c r="B4317" s="11" t="s">
        <v>9539</v>
      </c>
      <c r="C4317" s="11" t="s">
        <v>17</v>
      </c>
      <c r="D4317" s="11" t="s">
        <v>18</v>
      </c>
      <c r="E4317" s="12" t="s">
        <v>258</v>
      </c>
      <c r="F4317" s="12" t="s">
        <v>259</v>
      </c>
      <c r="G4317" s="12" t="s">
        <v>40</v>
      </c>
      <c r="H4317" s="11" t="s">
        <v>63</v>
      </c>
      <c r="I4317" s="13" t="s">
        <v>9542</v>
      </c>
      <c r="J4317" s="14" t="str">
        <f>HYPERLINK("https://www.boe.es/gazeta/dias/1839/01/02/pdfs/GMD-1839-1509.pdf#page=2","Abrir facsímil")</f>
        <v>Abrir facsímil</v>
      </c>
      <c r="K4317" s="12" t="s">
        <v>65</v>
      </c>
    </row>
    <row r="4318" spans="1:11" ht="40.049999999999997" customHeight="1" x14ac:dyDescent="0.25">
      <c r="A4318" s="11" t="s">
        <v>9538</v>
      </c>
      <c r="B4318" s="11" t="s">
        <v>9539</v>
      </c>
      <c r="C4318" s="11" t="s">
        <v>17</v>
      </c>
      <c r="D4318" s="11" t="s">
        <v>18</v>
      </c>
      <c r="E4318" s="12" t="s">
        <v>381</v>
      </c>
      <c r="F4318" s="12" t="s">
        <v>382</v>
      </c>
      <c r="G4318" s="12" t="s">
        <v>21</v>
      </c>
      <c r="H4318" s="11" t="s">
        <v>63</v>
      </c>
      <c r="I4318" s="13" t="s">
        <v>9543</v>
      </c>
      <c r="J4318" s="14" t="str">
        <f>HYPERLINK("https://www.boe.es/gazeta/dias/1839/06/02/pdfs/GMD-1839-1660.pdf#page=4","Abrir facsímil")</f>
        <v>Abrir facsímil</v>
      </c>
      <c r="K4318" s="12" t="s">
        <v>65</v>
      </c>
    </row>
    <row r="4319" spans="1:11" ht="40.049999999999997" customHeight="1" x14ac:dyDescent="0.25">
      <c r="A4319" s="11" t="s">
        <v>9538</v>
      </c>
      <c r="B4319" s="11" t="s">
        <v>9539</v>
      </c>
      <c r="C4319" s="11" t="s">
        <v>17</v>
      </c>
      <c r="D4319" s="11" t="s">
        <v>18</v>
      </c>
      <c r="E4319" s="12" t="s">
        <v>770</v>
      </c>
      <c r="F4319" s="12" t="s">
        <v>771</v>
      </c>
      <c r="G4319" s="12" t="s">
        <v>46</v>
      </c>
      <c r="H4319" s="11" t="s">
        <v>63</v>
      </c>
      <c r="I4319" s="13" t="s">
        <v>9544</v>
      </c>
      <c r="J4319" s="14" t="str">
        <f>HYPERLINK("https://www.boe.es/gazeta/dias/1839/12/05/pdfs/GMD-1839-1852.pdf#page=3","Abrir facsímil")</f>
        <v>Abrir facsímil</v>
      </c>
      <c r="K4319" s="12" t="s">
        <v>65</v>
      </c>
    </row>
    <row r="4320" spans="1:11" ht="40.049999999999997" customHeight="1" x14ac:dyDescent="0.25">
      <c r="A4320" s="11" t="s">
        <v>9538</v>
      </c>
      <c r="B4320" s="11" t="s">
        <v>9539</v>
      </c>
      <c r="C4320" s="11" t="s">
        <v>17</v>
      </c>
      <c r="D4320" s="11" t="s">
        <v>18</v>
      </c>
      <c r="E4320" s="12" t="s">
        <v>4055</v>
      </c>
      <c r="F4320" s="12" t="s">
        <v>4056</v>
      </c>
      <c r="G4320" s="12" t="s">
        <v>21</v>
      </c>
      <c r="H4320" s="11" t="s">
        <v>63</v>
      </c>
      <c r="I4320" s="13" t="s">
        <v>9545</v>
      </c>
      <c r="J4320" s="14" t="str">
        <f>HYPERLINK("https://www.boe.es/gazeta/dias/1839/03/07/pdfs/GMD-1839-1573.pdf#page=4","Abrir facsímil")</f>
        <v>Abrir facsímil</v>
      </c>
      <c r="K4320" s="12" t="s">
        <v>65</v>
      </c>
    </row>
    <row r="4321" spans="1:11" ht="40.049999999999997" customHeight="1" x14ac:dyDescent="0.25">
      <c r="A4321" s="11" t="s">
        <v>9538</v>
      </c>
      <c r="B4321" s="11" t="s">
        <v>9539</v>
      </c>
      <c r="C4321" s="11" t="s">
        <v>17</v>
      </c>
      <c r="D4321" s="11" t="s">
        <v>18</v>
      </c>
      <c r="E4321" s="12" t="s">
        <v>121</v>
      </c>
      <c r="F4321" s="12" t="s">
        <v>122</v>
      </c>
      <c r="G4321" s="12" t="s">
        <v>21</v>
      </c>
      <c r="H4321" s="11" t="s">
        <v>63</v>
      </c>
      <c r="I4321" s="13" t="s">
        <v>9546</v>
      </c>
      <c r="J4321" s="14" t="str">
        <f>HYPERLINK("https://www.boe.es/gazeta/dias/1839/06/08/pdfs/GMD-1839-1666.pdf#page=4","Abrir facsímil")</f>
        <v>Abrir facsímil</v>
      </c>
      <c r="K4321" s="12" t="s">
        <v>65</v>
      </c>
    </row>
    <row r="4322" spans="1:11" ht="40.049999999999997" customHeight="1" x14ac:dyDescent="0.25">
      <c r="A4322" s="11" t="s">
        <v>9538</v>
      </c>
      <c r="B4322" s="11" t="s">
        <v>9539</v>
      </c>
      <c r="C4322" s="11" t="s">
        <v>59</v>
      </c>
      <c r="D4322" s="11" t="s">
        <v>60</v>
      </c>
      <c r="E4322" s="12" t="s">
        <v>1391</v>
      </c>
      <c r="F4322" s="12" t="s">
        <v>1392</v>
      </c>
      <c r="G4322" s="12" t="s">
        <v>21</v>
      </c>
      <c r="H4322" s="11" t="s">
        <v>63</v>
      </c>
      <c r="I4322" s="13" t="s">
        <v>9547</v>
      </c>
      <c r="J4322" s="14" t="str">
        <f>HYPERLINK("https://www.boe.es/gazeta/dias/1839/05/12/pdfs/GMD-1839-1639.pdf#page=4","Abrir facsímil")</f>
        <v>Abrir facsímil</v>
      </c>
      <c r="K4322" s="12" t="s">
        <v>65</v>
      </c>
    </row>
    <row r="4323" spans="1:11" ht="40.049999999999997" customHeight="1" x14ac:dyDescent="0.25">
      <c r="A4323" s="11" t="s">
        <v>9538</v>
      </c>
      <c r="B4323" s="11" t="s">
        <v>9539</v>
      </c>
      <c r="C4323" s="11" t="s">
        <v>17</v>
      </c>
      <c r="D4323" s="11" t="s">
        <v>18</v>
      </c>
      <c r="E4323" s="12" t="s">
        <v>1252</v>
      </c>
      <c r="F4323" s="12" t="s">
        <v>1253</v>
      </c>
      <c r="G4323" s="12" t="s">
        <v>46</v>
      </c>
      <c r="H4323" s="11" t="s">
        <v>63</v>
      </c>
      <c r="I4323" s="13" t="s">
        <v>9548</v>
      </c>
      <c r="J4323" s="14" t="str">
        <f>HYPERLINK("https://www.boe.es/gazeta/dias/1839/06/15/pdfs/GMD-1839-1673.pdf#page=3","Abrir facsímil")</f>
        <v>Abrir facsímil</v>
      </c>
      <c r="K4323" s="12" t="s">
        <v>65</v>
      </c>
    </row>
    <row r="4324" spans="1:11" ht="40.049999999999997" customHeight="1" x14ac:dyDescent="0.25">
      <c r="A4324" s="11" t="s">
        <v>9538</v>
      </c>
      <c r="B4324" s="11" t="s">
        <v>9539</v>
      </c>
      <c r="C4324" s="11" t="s">
        <v>17</v>
      </c>
      <c r="D4324" s="11" t="s">
        <v>18</v>
      </c>
      <c r="E4324" s="12" t="s">
        <v>2650</v>
      </c>
      <c r="F4324" s="12" t="s">
        <v>2651</v>
      </c>
      <c r="G4324" s="12" t="s">
        <v>21</v>
      </c>
      <c r="H4324" s="11" t="s">
        <v>63</v>
      </c>
      <c r="I4324" s="13" t="s">
        <v>9549</v>
      </c>
      <c r="J4324" s="14" t="str">
        <f>HYPERLINK("https://www.boe.es/gazeta/dias/1839/09/15/pdfs/GMD-1839-1768.pdf#page=4","Abrir facsímil")</f>
        <v>Abrir facsímil</v>
      </c>
      <c r="K4324" s="12" t="s">
        <v>65</v>
      </c>
    </row>
    <row r="4325" spans="1:11" ht="40.049999999999997" customHeight="1" x14ac:dyDescent="0.25">
      <c r="A4325" s="11" t="s">
        <v>9538</v>
      </c>
      <c r="B4325" s="11" t="s">
        <v>9539</v>
      </c>
      <c r="C4325" s="11" t="s">
        <v>17</v>
      </c>
      <c r="D4325" s="11" t="s">
        <v>18</v>
      </c>
      <c r="E4325" s="12" t="s">
        <v>834</v>
      </c>
      <c r="F4325" s="12" t="s">
        <v>835</v>
      </c>
      <c r="G4325" s="12" t="s">
        <v>21</v>
      </c>
      <c r="H4325" s="11" t="s">
        <v>63</v>
      </c>
      <c r="I4325" s="13" t="s">
        <v>9550</v>
      </c>
      <c r="J4325" s="14" t="str">
        <f>HYPERLINK("https://www.boe.es/gazeta/dias/1839/08/17/pdfs/GMD-1839-1737.pdf#page=4","Abrir facsímil")</f>
        <v>Abrir facsímil</v>
      </c>
      <c r="K4325" s="12" t="s">
        <v>65</v>
      </c>
    </row>
    <row r="4326" spans="1:11" ht="40.049999999999997" customHeight="1" x14ac:dyDescent="0.25">
      <c r="A4326" s="11" t="s">
        <v>9538</v>
      </c>
      <c r="B4326" s="11" t="s">
        <v>9539</v>
      </c>
      <c r="C4326" s="11" t="s">
        <v>17</v>
      </c>
      <c r="D4326" s="11" t="s">
        <v>18</v>
      </c>
      <c r="E4326" s="12" t="s">
        <v>870</v>
      </c>
      <c r="F4326" s="12" t="s">
        <v>871</v>
      </c>
      <c r="G4326" s="12" t="s">
        <v>21</v>
      </c>
      <c r="H4326" s="11" t="s">
        <v>63</v>
      </c>
      <c r="I4326" s="13" t="s">
        <v>9551</v>
      </c>
      <c r="J4326" s="14" t="str">
        <f>HYPERLINK("https://www.boe.es/gazeta/dias/1839/04/18/pdfs/GMD-1839-1615.pdf#page=4","Abrir facsímil")</f>
        <v>Abrir facsímil</v>
      </c>
      <c r="K4326" s="12" t="s">
        <v>65</v>
      </c>
    </row>
    <row r="4327" spans="1:11" ht="40.049999999999997" customHeight="1" x14ac:dyDescent="0.25">
      <c r="A4327" s="11" t="s">
        <v>9538</v>
      </c>
      <c r="B4327" s="11" t="s">
        <v>9539</v>
      </c>
      <c r="C4327" s="11" t="s">
        <v>17</v>
      </c>
      <c r="D4327" s="11" t="s">
        <v>18</v>
      </c>
      <c r="E4327" s="12" t="s">
        <v>857</v>
      </c>
      <c r="F4327" s="12" t="s">
        <v>858</v>
      </c>
      <c r="G4327" s="12" t="s">
        <v>46</v>
      </c>
      <c r="H4327" s="11" t="s">
        <v>63</v>
      </c>
      <c r="I4327" s="13" t="s">
        <v>9552</v>
      </c>
      <c r="J4327" s="14" t="str">
        <f>HYPERLINK("https://www.boe.es/gazeta/dias/1839/11/21/pdfs/GMD-1839-1838.pdf#page=3","Abrir facsímil")</f>
        <v>Abrir facsímil</v>
      </c>
      <c r="K4327" s="12" t="s">
        <v>65</v>
      </c>
    </row>
    <row r="4328" spans="1:11" ht="40.049999999999997" customHeight="1" x14ac:dyDescent="0.25">
      <c r="A4328" s="11" t="s">
        <v>9538</v>
      </c>
      <c r="B4328" s="11" t="s">
        <v>9539</v>
      </c>
      <c r="C4328" s="11" t="s">
        <v>80</v>
      </c>
      <c r="D4328" s="11" t="s">
        <v>18</v>
      </c>
      <c r="E4328" s="12" t="s">
        <v>1012</v>
      </c>
      <c r="F4328" s="12" t="s">
        <v>1013</v>
      </c>
      <c r="G4328" s="12" t="s">
        <v>46</v>
      </c>
      <c r="H4328" s="11" t="s">
        <v>63</v>
      </c>
      <c r="I4328" s="13" t="s">
        <v>9553</v>
      </c>
      <c r="J4328" s="14" t="str">
        <f>HYPERLINK("https://www.boe.es/gazeta/dias/1839/11/22/pdfs/GMD-1839-1839.pdf#page=3","Abrir facsímil")</f>
        <v>Abrir facsímil</v>
      </c>
      <c r="K4328" s="12" t="s">
        <v>65</v>
      </c>
    </row>
    <row r="4329" spans="1:11" ht="40.049999999999997" customHeight="1" x14ac:dyDescent="0.25">
      <c r="A4329" s="11" t="s">
        <v>9538</v>
      </c>
      <c r="B4329" s="11" t="s">
        <v>9539</v>
      </c>
      <c r="C4329" s="11" t="s">
        <v>17</v>
      </c>
      <c r="D4329" s="11" t="s">
        <v>18</v>
      </c>
      <c r="E4329" s="12" t="s">
        <v>496</v>
      </c>
      <c r="F4329" s="12" t="s">
        <v>497</v>
      </c>
      <c r="G4329" s="12" t="s">
        <v>21</v>
      </c>
      <c r="H4329" s="11" t="s">
        <v>63</v>
      </c>
      <c r="I4329" s="13" t="s">
        <v>9554</v>
      </c>
      <c r="J4329" s="14" t="str">
        <f>HYPERLINK("https://www.boe.es/gazeta/dias/1839/11/23/pdfs/GMD-1839-1840.pdf#page=4","Abrir facsímil")</f>
        <v>Abrir facsímil</v>
      </c>
      <c r="K4329" s="12" t="s">
        <v>65</v>
      </c>
    </row>
    <row r="4330" spans="1:11" ht="40.049999999999997" customHeight="1" x14ac:dyDescent="0.25">
      <c r="A4330" s="11" t="s">
        <v>9538</v>
      </c>
      <c r="B4330" s="11" t="s">
        <v>9539</v>
      </c>
      <c r="C4330" s="11" t="s">
        <v>80</v>
      </c>
      <c r="D4330" s="11" t="s">
        <v>18</v>
      </c>
      <c r="E4330" s="12" t="s">
        <v>844</v>
      </c>
      <c r="F4330" s="12" t="s">
        <v>845</v>
      </c>
      <c r="G4330" s="12" t="s">
        <v>21</v>
      </c>
      <c r="H4330" s="11" t="s">
        <v>63</v>
      </c>
      <c r="I4330" s="13" t="s">
        <v>9555</v>
      </c>
      <c r="J4330" s="14" t="str">
        <f>HYPERLINK("https://www.boe.es/gazeta/dias/1839/12/24/pdfs/GMD-1839-1871.pdf#page=4","Abrir facsímil")</f>
        <v>Abrir facsímil</v>
      </c>
      <c r="K4330" s="12" t="s">
        <v>65</v>
      </c>
    </row>
    <row r="4331" spans="1:11" ht="40.049999999999997" customHeight="1" x14ac:dyDescent="0.25">
      <c r="A4331" s="11" t="s">
        <v>9538</v>
      </c>
      <c r="B4331" s="11" t="s">
        <v>9539</v>
      </c>
      <c r="C4331" s="11" t="s">
        <v>17</v>
      </c>
      <c r="D4331" s="11" t="s">
        <v>18</v>
      </c>
      <c r="E4331" s="12" t="s">
        <v>1685</v>
      </c>
      <c r="F4331" s="12" t="s">
        <v>1686</v>
      </c>
      <c r="G4331" s="12" t="s">
        <v>21</v>
      </c>
      <c r="H4331" s="11" t="s">
        <v>63</v>
      </c>
      <c r="I4331" s="13" t="s">
        <v>9556</v>
      </c>
      <c r="J4331" s="14" t="str">
        <f>HYPERLINK("https://www.boe.es/gazeta/dias/1839/04/27/pdfs/GMD-1839-1624.pdf#page=4","Abrir facsímil")</f>
        <v>Abrir facsímil</v>
      </c>
      <c r="K4331" s="12" t="s">
        <v>65</v>
      </c>
    </row>
    <row r="4332" spans="1:11" ht="40.049999999999997" customHeight="1" x14ac:dyDescent="0.25">
      <c r="A4332" s="11" t="s">
        <v>9538</v>
      </c>
      <c r="B4332" s="11" t="s">
        <v>9539</v>
      </c>
      <c r="C4332" s="11" t="s">
        <v>137</v>
      </c>
      <c r="D4332" s="11" t="s">
        <v>18</v>
      </c>
      <c r="E4332" s="12" t="s">
        <v>308</v>
      </c>
      <c r="F4332" s="12" t="s">
        <v>309</v>
      </c>
      <c r="G4332" s="12" t="s">
        <v>29</v>
      </c>
      <c r="H4332" s="11" t="s">
        <v>63</v>
      </c>
      <c r="I4332" s="13" t="s">
        <v>9557</v>
      </c>
      <c r="J4332" s="14" t="str">
        <f>HYPERLINK("https://www.boe.es/gazeta/dias/1839/07/29/pdfs/GMD-1839-1718.pdf#page=1","Abrir facsímil")</f>
        <v>Abrir facsímil</v>
      </c>
      <c r="K4332" s="12" t="s">
        <v>65</v>
      </c>
    </row>
    <row r="4333" spans="1:11" ht="40.049999999999997" customHeight="1" x14ac:dyDescent="0.25">
      <c r="A4333" s="11" t="s">
        <v>9538</v>
      </c>
      <c r="B4333" s="11" t="s">
        <v>9539</v>
      </c>
      <c r="C4333" s="11" t="s">
        <v>17</v>
      </c>
      <c r="D4333" s="11" t="s">
        <v>18</v>
      </c>
      <c r="E4333" s="12" t="s">
        <v>312</v>
      </c>
      <c r="F4333" s="12" t="s">
        <v>313</v>
      </c>
      <c r="G4333" s="12" t="s">
        <v>46</v>
      </c>
      <c r="H4333" s="11" t="s">
        <v>63</v>
      </c>
      <c r="I4333" s="13" t="s">
        <v>9558</v>
      </c>
      <c r="J4333" s="14" t="str">
        <f>HYPERLINK("https://www.boe.es/gazeta/dias/1839/11/30/pdfs/GMD-1839-1847.pdf#page=3","Abrir facsímil")</f>
        <v>Abrir facsímil</v>
      </c>
      <c r="K4333" s="12" t="s">
        <v>65</v>
      </c>
    </row>
    <row r="4334" spans="1:11" ht="40.049999999999997" customHeight="1" x14ac:dyDescent="0.25">
      <c r="A4334" s="11" t="s">
        <v>9538</v>
      </c>
      <c r="B4334" s="11" t="s">
        <v>9539</v>
      </c>
      <c r="C4334" s="11" t="s">
        <v>17</v>
      </c>
      <c r="D4334" s="11" t="s">
        <v>18</v>
      </c>
      <c r="E4334" s="12" t="s">
        <v>312</v>
      </c>
      <c r="F4334" s="12" t="s">
        <v>313</v>
      </c>
      <c r="G4334" s="12" t="s">
        <v>21</v>
      </c>
      <c r="H4334" s="11" t="s">
        <v>63</v>
      </c>
      <c r="I4334" s="13" t="s">
        <v>9559</v>
      </c>
      <c r="J4334" s="14" t="str">
        <f>HYPERLINK("https://www.boe.es/gazeta/dias/1839/11/30/pdfs/GMD-1839-1847.pdf#page=4","Abrir facsímil")</f>
        <v>Abrir facsímil</v>
      </c>
      <c r="K4334" s="12" t="s">
        <v>65</v>
      </c>
    </row>
    <row r="4335" spans="1:11" ht="40.049999999999997" customHeight="1" x14ac:dyDescent="0.25">
      <c r="A4335" s="11" t="s">
        <v>9560</v>
      </c>
      <c r="B4335" s="11" t="s">
        <v>9561</v>
      </c>
      <c r="C4335" s="11" t="s">
        <v>80</v>
      </c>
      <c r="D4335" s="11" t="s">
        <v>173</v>
      </c>
      <c r="E4335" s="12" t="s">
        <v>1528</v>
      </c>
      <c r="F4335" s="12" t="s">
        <v>1529</v>
      </c>
      <c r="G4335" s="12" t="s">
        <v>21</v>
      </c>
      <c r="H4335" s="11" t="s">
        <v>63</v>
      </c>
      <c r="I4335" s="13" t="s">
        <v>9562</v>
      </c>
      <c r="J4335" s="14" t="str">
        <f>HYPERLINK("https://www.boe.es/gazeta/dias/1839/12/15/pdfs/GMD-1839-1862.pdf#page=4","Abrir facsímil")</f>
        <v>Abrir facsímil</v>
      </c>
      <c r="K4335" s="12" t="s">
        <v>65</v>
      </c>
    </row>
    <row r="4336" spans="1:11" ht="40.049999999999997" customHeight="1" x14ac:dyDescent="0.25">
      <c r="A4336" s="11" t="s">
        <v>9563</v>
      </c>
      <c r="B4336" s="11" t="s">
        <v>9564</v>
      </c>
      <c r="C4336" s="11" t="s">
        <v>17</v>
      </c>
      <c r="D4336" s="11" t="s">
        <v>18</v>
      </c>
      <c r="E4336" s="12" t="s">
        <v>1332</v>
      </c>
      <c r="F4336" s="12" t="s">
        <v>1333</v>
      </c>
      <c r="G4336" s="12" t="s">
        <v>21</v>
      </c>
      <c r="H4336" s="11" t="s">
        <v>63</v>
      </c>
      <c r="I4336" s="13" t="s">
        <v>9565</v>
      </c>
      <c r="J4336" s="14" t="str">
        <f>HYPERLINK("https://www.boe.es/gazeta/dias/1839/05/04/pdfs/GMD-1839-1631.pdf#page=4","Abrir facsímil")</f>
        <v>Abrir facsímil</v>
      </c>
      <c r="K4336" s="12" t="s">
        <v>65</v>
      </c>
    </row>
    <row r="4337" spans="1:11" ht="40.049999999999997" customHeight="1" x14ac:dyDescent="0.25">
      <c r="A4337" s="11" t="s">
        <v>9566</v>
      </c>
      <c r="B4337" s="11" t="s">
        <v>9567</v>
      </c>
      <c r="C4337" s="11" t="s">
        <v>80</v>
      </c>
      <c r="D4337" s="11" t="s">
        <v>18</v>
      </c>
      <c r="E4337" s="12" t="s">
        <v>500</v>
      </c>
      <c r="F4337" s="12" t="s">
        <v>501</v>
      </c>
      <c r="G4337" s="12" t="s">
        <v>21</v>
      </c>
      <c r="H4337" s="11" t="s">
        <v>63</v>
      </c>
      <c r="I4337" s="13" t="s">
        <v>9568</v>
      </c>
      <c r="J4337" s="14" t="str">
        <f>HYPERLINK("https://www.boe.es/gazeta/dias/1839/11/06/pdfs/GMD-1839-1823.pdf#page=4","Abrir facsímil")</f>
        <v>Abrir facsímil</v>
      </c>
      <c r="K4337" s="12" t="s">
        <v>65</v>
      </c>
    </row>
    <row r="4338" spans="1:11" ht="40.049999999999997" customHeight="1" x14ac:dyDescent="0.25">
      <c r="A4338" s="11" t="s">
        <v>9569</v>
      </c>
      <c r="B4338" s="11" t="s">
        <v>9570</v>
      </c>
      <c r="C4338" s="11" t="s">
        <v>17</v>
      </c>
      <c r="D4338" s="11" t="s">
        <v>18</v>
      </c>
      <c r="E4338" s="12" t="s">
        <v>4550</v>
      </c>
      <c r="F4338" s="12" t="s">
        <v>4551</v>
      </c>
      <c r="G4338" s="12" t="s">
        <v>46</v>
      </c>
      <c r="H4338" s="11" t="s">
        <v>63</v>
      </c>
      <c r="I4338" s="13" t="s">
        <v>9571</v>
      </c>
      <c r="J4338" s="14" t="str">
        <f>HYPERLINK("https://www.boe.es/gazeta/dias/1839/04/17/pdfs/GMD-1839-1614.pdf#page=3","Abrir facsímil")</f>
        <v>Abrir facsímil</v>
      </c>
      <c r="K4338" s="12" t="s">
        <v>65</v>
      </c>
    </row>
    <row r="4339" spans="1:11" ht="40.049999999999997" customHeight="1" x14ac:dyDescent="0.25">
      <c r="A4339" s="11" t="s">
        <v>9572</v>
      </c>
      <c r="B4339" s="11" t="s">
        <v>9573</v>
      </c>
      <c r="C4339" s="11" t="s">
        <v>17</v>
      </c>
      <c r="D4339" s="11" t="s">
        <v>18</v>
      </c>
      <c r="E4339" s="12" t="s">
        <v>1606</v>
      </c>
      <c r="F4339" s="12" t="s">
        <v>1607</v>
      </c>
      <c r="G4339" s="12" t="s">
        <v>21</v>
      </c>
      <c r="H4339" s="11" t="s">
        <v>63</v>
      </c>
      <c r="I4339" s="13" t="s">
        <v>9574</v>
      </c>
      <c r="J4339" s="14" t="str">
        <f>HYPERLINK("https://www.boe.es/gazeta/dias/1839/07/02/pdfs/GMD-1839-1690.pdf#page=4","Abrir facsímil")</f>
        <v>Abrir facsímil</v>
      </c>
      <c r="K4339" s="12" t="s">
        <v>65</v>
      </c>
    </row>
    <row r="4340" spans="1:11" ht="40.049999999999997" customHeight="1" x14ac:dyDescent="0.25">
      <c r="A4340" s="11" t="s">
        <v>9575</v>
      </c>
      <c r="B4340" s="11" t="s">
        <v>9576</v>
      </c>
      <c r="C4340" s="11" t="s">
        <v>80</v>
      </c>
      <c r="D4340" s="11" t="s">
        <v>18</v>
      </c>
      <c r="E4340" s="12" t="s">
        <v>690</v>
      </c>
      <c r="F4340" s="12" t="s">
        <v>691</v>
      </c>
      <c r="G4340" s="12" t="s">
        <v>21</v>
      </c>
      <c r="H4340" s="11" t="s">
        <v>63</v>
      </c>
      <c r="I4340" s="13" t="s">
        <v>9577</v>
      </c>
      <c r="J4340" s="14" t="str">
        <f>HYPERLINK("https://www.boe.es/gazeta/dias/1839/12/08/pdfs/GMD-1839-1855.pdf#page=4","Abrir facsímil")</f>
        <v>Abrir facsímil</v>
      </c>
      <c r="K4340" s="12" t="s">
        <v>65</v>
      </c>
    </row>
    <row r="4341" spans="1:11" ht="40.049999999999997" customHeight="1" x14ac:dyDescent="0.25">
      <c r="A4341" s="11" t="s">
        <v>9575</v>
      </c>
      <c r="B4341" s="11" t="s">
        <v>9576</v>
      </c>
      <c r="C4341" s="11" t="s">
        <v>17</v>
      </c>
      <c r="D4341" s="11" t="s">
        <v>18</v>
      </c>
      <c r="E4341" s="12" t="s">
        <v>1123</v>
      </c>
      <c r="F4341" s="12" t="s">
        <v>1124</v>
      </c>
      <c r="G4341" s="12" t="s">
        <v>21</v>
      </c>
      <c r="H4341" s="11" t="s">
        <v>63</v>
      </c>
      <c r="I4341" s="13" t="s">
        <v>9578</v>
      </c>
      <c r="J4341" s="14" t="str">
        <f>HYPERLINK("https://www.boe.es/gazeta/dias/1839/08/10/pdfs/GMD-1839-1730.pdf#page=4","Abrir facsímil")</f>
        <v>Abrir facsímil</v>
      </c>
      <c r="K4341" s="12" t="s">
        <v>65</v>
      </c>
    </row>
    <row r="4342" spans="1:11" ht="40.049999999999997" customHeight="1" x14ac:dyDescent="0.25">
      <c r="A4342" s="11" t="s">
        <v>9575</v>
      </c>
      <c r="B4342" s="11" t="s">
        <v>9576</v>
      </c>
      <c r="C4342" s="11" t="s">
        <v>80</v>
      </c>
      <c r="D4342" s="11" t="s">
        <v>18</v>
      </c>
      <c r="E4342" s="12" t="s">
        <v>89</v>
      </c>
      <c r="F4342" s="12" t="s">
        <v>90</v>
      </c>
      <c r="G4342" s="12" t="s">
        <v>21</v>
      </c>
      <c r="H4342" s="11" t="s">
        <v>63</v>
      </c>
      <c r="I4342" s="13" t="s">
        <v>9579</v>
      </c>
      <c r="J4342" s="14" t="str">
        <f>HYPERLINK("https://www.boe.es/gazeta/dias/1839/11/28/pdfs/GMD-1839-1845.pdf#page=4","Abrir facsímil")</f>
        <v>Abrir facsímil</v>
      </c>
      <c r="K4342" s="12" t="s">
        <v>65</v>
      </c>
    </row>
    <row r="4343" spans="1:11" ht="40.049999999999997" customHeight="1" x14ac:dyDescent="0.25">
      <c r="A4343" s="11" t="s">
        <v>9580</v>
      </c>
      <c r="B4343" s="11" t="s">
        <v>9581</v>
      </c>
      <c r="C4343" s="11" t="s">
        <v>80</v>
      </c>
      <c r="D4343" s="11" t="s">
        <v>18</v>
      </c>
      <c r="E4343" s="12" t="s">
        <v>1725</v>
      </c>
      <c r="F4343" s="12" t="s">
        <v>1726</v>
      </c>
      <c r="G4343" s="12" t="s">
        <v>40</v>
      </c>
      <c r="H4343" s="11" t="s">
        <v>63</v>
      </c>
      <c r="I4343" s="13" t="s">
        <v>9582</v>
      </c>
      <c r="J4343" s="14" t="str">
        <f>HYPERLINK("https://www.boe.es/gazeta/dias/1839/11/17/pdfs/GMD-1839-1834.pdf#page=2","Abrir facsímil")</f>
        <v>Abrir facsímil</v>
      </c>
      <c r="K4343" s="12" t="s">
        <v>65</v>
      </c>
    </row>
    <row r="4344" spans="1:11" ht="40.049999999999997" customHeight="1" x14ac:dyDescent="0.25">
      <c r="A4344" s="11" t="s">
        <v>9580</v>
      </c>
      <c r="B4344" s="11" t="s">
        <v>9581</v>
      </c>
      <c r="C4344" s="11" t="s">
        <v>17</v>
      </c>
      <c r="D4344" s="11" t="s">
        <v>18</v>
      </c>
      <c r="E4344" s="12" t="s">
        <v>1395</v>
      </c>
      <c r="F4344" s="12" t="s">
        <v>1396</v>
      </c>
      <c r="G4344" s="12" t="s">
        <v>46</v>
      </c>
      <c r="H4344" s="11" t="s">
        <v>63</v>
      </c>
      <c r="I4344" s="13" t="s">
        <v>9583</v>
      </c>
      <c r="J4344" s="14" t="str">
        <f>HYPERLINK("https://www.boe.es/gazeta/dias/1839/06/26/pdfs/GMD-1839-1684.pdf#page=3","Abrir facsímil")</f>
        <v>Abrir facsímil</v>
      </c>
      <c r="K4344" s="12" t="s">
        <v>65</v>
      </c>
    </row>
    <row r="4345" spans="1:11" ht="40.049999999999997" customHeight="1" x14ac:dyDescent="0.25">
      <c r="A4345" s="11" t="s">
        <v>9584</v>
      </c>
      <c r="B4345" s="11" t="s">
        <v>9585</v>
      </c>
      <c r="C4345" s="11" t="s">
        <v>17</v>
      </c>
      <c r="D4345" s="11" t="s">
        <v>18</v>
      </c>
      <c r="E4345" s="12" t="s">
        <v>258</v>
      </c>
      <c r="F4345" s="12" t="s">
        <v>259</v>
      </c>
      <c r="G4345" s="12" t="s">
        <v>46</v>
      </c>
      <c r="H4345" s="11" t="s">
        <v>22</v>
      </c>
      <c r="I4345" s="13" t="s">
        <v>9586</v>
      </c>
      <c r="J4345" s="14" t="str">
        <f>HYPERLINK("https://www.boe.es/gazeta/dias/1839/01/02/pdfs/GMD-1839-1509.pdf#page=3","Abrir facsímil")</f>
        <v>Abrir facsímil</v>
      </c>
      <c r="K4345" s="12" t="s">
        <v>24</v>
      </c>
    </row>
    <row r="4346" spans="1:11" ht="40.049999999999997" customHeight="1" x14ac:dyDescent="0.25">
      <c r="A4346" s="11" t="s">
        <v>9587</v>
      </c>
      <c r="B4346" s="11" t="s">
        <v>9588</v>
      </c>
      <c r="C4346" s="11" t="s">
        <v>101</v>
      </c>
      <c r="D4346" s="11" t="s">
        <v>43</v>
      </c>
      <c r="E4346" s="12" t="s">
        <v>1356</v>
      </c>
      <c r="F4346" s="12" t="s">
        <v>1357</v>
      </c>
      <c r="G4346" s="12" t="s">
        <v>21</v>
      </c>
      <c r="H4346" s="11" t="s">
        <v>63</v>
      </c>
      <c r="I4346" s="13" t="s">
        <v>9589</v>
      </c>
      <c r="J4346" s="14" t="str">
        <f>HYPERLINK("https://www.boe.es/gazeta/dias/1839/06/05/pdfs/GMD-1839-1663.pdf#page=4","Abrir facsímil")</f>
        <v>Abrir facsímil</v>
      </c>
      <c r="K4346" s="12" t="s">
        <v>65</v>
      </c>
    </row>
    <row r="4347" spans="1:11" ht="40.049999999999997" customHeight="1" x14ac:dyDescent="0.25">
      <c r="A4347" s="11" t="s">
        <v>9590</v>
      </c>
      <c r="B4347" s="11" t="s">
        <v>9591</v>
      </c>
      <c r="C4347" s="11" t="s">
        <v>80</v>
      </c>
      <c r="D4347" s="11" t="s">
        <v>18</v>
      </c>
      <c r="E4347" s="12" t="s">
        <v>4475</v>
      </c>
      <c r="F4347" s="12" t="s">
        <v>4476</v>
      </c>
      <c r="G4347" s="12" t="s">
        <v>21</v>
      </c>
      <c r="H4347" s="11" t="s">
        <v>63</v>
      </c>
      <c r="I4347" s="13" t="s">
        <v>9592</v>
      </c>
      <c r="J4347" s="14" t="str">
        <f>HYPERLINK("https://www.boe.es/gazeta/dias/1839/07/04/pdfs/GMD-1839-1692.pdf#page=4","Abrir facsímil")</f>
        <v>Abrir facsímil</v>
      </c>
      <c r="K4347" s="12" t="s">
        <v>65</v>
      </c>
    </row>
    <row r="4348" spans="1:11" ht="40.049999999999997" customHeight="1" x14ac:dyDescent="0.25">
      <c r="A4348" s="11" t="s">
        <v>9593</v>
      </c>
      <c r="B4348" s="11" t="s">
        <v>9594</v>
      </c>
      <c r="C4348" s="11" t="s">
        <v>17</v>
      </c>
      <c r="D4348" s="11" t="s">
        <v>18</v>
      </c>
      <c r="E4348" s="12" t="s">
        <v>1528</v>
      </c>
      <c r="F4348" s="12" t="s">
        <v>1529</v>
      </c>
      <c r="G4348" s="12" t="s">
        <v>21</v>
      </c>
      <c r="H4348" s="11" t="s">
        <v>63</v>
      </c>
      <c r="I4348" s="13" t="s">
        <v>9595</v>
      </c>
      <c r="J4348" s="14" t="str">
        <f>HYPERLINK("https://www.boe.es/gazeta/dias/1839/12/15/pdfs/GMD-1839-1862.pdf#page=4","Abrir facsímil")</f>
        <v>Abrir facsímil</v>
      </c>
      <c r="K4348" s="12" t="s">
        <v>65</v>
      </c>
    </row>
    <row r="4349" spans="1:11" ht="40.049999999999997" customHeight="1" x14ac:dyDescent="0.25">
      <c r="A4349" s="11" t="s">
        <v>9596</v>
      </c>
      <c r="B4349" s="11" t="s">
        <v>9597</v>
      </c>
      <c r="C4349" s="11" t="s">
        <v>17</v>
      </c>
      <c r="D4349" s="11" t="s">
        <v>18</v>
      </c>
      <c r="E4349" s="12" t="s">
        <v>369</v>
      </c>
      <c r="F4349" s="12" t="s">
        <v>370</v>
      </c>
      <c r="G4349" s="12" t="s">
        <v>21</v>
      </c>
      <c r="H4349" s="11" t="s">
        <v>22</v>
      </c>
      <c r="I4349" s="13" t="s">
        <v>9598</v>
      </c>
      <c r="J4349" s="14" t="str">
        <f>HYPERLINK("https://www.boe.es/gazeta/dias/1839/11/01/pdfs/GMD-1839-1818.pdf#page=4","Abrir facsímil")</f>
        <v>Abrir facsímil</v>
      </c>
      <c r="K4349" s="12" t="s">
        <v>24</v>
      </c>
    </row>
    <row r="4350" spans="1:11" ht="40.049999999999997" customHeight="1" x14ac:dyDescent="0.25">
      <c r="A4350" s="11" t="s">
        <v>9599</v>
      </c>
      <c r="B4350" s="11" t="s">
        <v>9600</v>
      </c>
      <c r="C4350" s="11" t="s">
        <v>17</v>
      </c>
      <c r="D4350" s="11" t="s">
        <v>18</v>
      </c>
      <c r="E4350" s="12" t="s">
        <v>2349</v>
      </c>
      <c r="F4350" s="12" t="s">
        <v>2350</v>
      </c>
      <c r="G4350" s="12" t="s">
        <v>29</v>
      </c>
      <c r="H4350" s="11" t="s">
        <v>22</v>
      </c>
      <c r="I4350" s="13" t="s">
        <v>9601</v>
      </c>
      <c r="J4350" s="14" t="str">
        <f>HYPERLINK("https://www.boe.es/gazeta/dias/1839/09/29/pdfs/GMD-1839-1785.pdf#page=1","Abrir facsímil")</f>
        <v>Abrir facsímil</v>
      </c>
      <c r="K4350" s="12" t="s">
        <v>24</v>
      </c>
    </row>
    <row r="4351" spans="1:11" ht="40.049999999999997" customHeight="1" x14ac:dyDescent="0.25">
      <c r="A4351" s="11" t="s">
        <v>9602</v>
      </c>
      <c r="B4351" s="11" t="s">
        <v>9603</v>
      </c>
      <c r="C4351" s="11" t="s">
        <v>17</v>
      </c>
      <c r="D4351" s="11" t="s">
        <v>43</v>
      </c>
      <c r="E4351" s="12" t="s">
        <v>312</v>
      </c>
      <c r="F4351" s="12" t="s">
        <v>313</v>
      </c>
      <c r="G4351" s="12" t="s">
        <v>21</v>
      </c>
      <c r="H4351" s="11" t="s">
        <v>63</v>
      </c>
      <c r="I4351" s="13" t="s">
        <v>9604</v>
      </c>
      <c r="J4351" s="14" t="str">
        <f>HYPERLINK("https://www.boe.es/gazeta/dias/1839/11/30/pdfs/GMD-1839-1847.pdf#page=4","Abrir facsímil")</f>
        <v>Abrir facsímil</v>
      </c>
      <c r="K4351" s="12" t="s">
        <v>65</v>
      </c>
    </row>
    <row r="4352" spans="1:11" ht="40.049999999999997" customHeight="1" x14ac:dyDescent="0.25">
      <c r="A4352" s="11" t="s">
        <v>9605</v>
      </c>
      <c r="B4352" s="11" t="s">
        <v>9606</v>
      </c>
      <c r="C4352" s="11" t="s">
        <v>17</v>
      </c>
      <c r="D4352" s="11" t="s">
        <v>18</v>
      </c>
      <c r="E4352" s="12" t="s">
        <v>312</v>
      </c>
      <c r="F4352" s="12" t="s">
        <v>313</v>
      </c>
      <c r="G4352" s="12" t="s">
        <v>21</v>
      </c>
      <c r="H4352" s="11" t="s">
        <v>63</v>
      </c>
      <c r="I4352" s="13" t="s">
        <v>9607</v>
      </c>
      <c r="J4352" s="14" t="str">
        <f>HYPERLINK("https://www.boe.es/gazeta/dias/1839/11/30/pdfs/GMD-1839-1847.pdf#page=4","Abrir facsímil")</f>
        <v>Abrir facsímil</v>
      </c>
      <c r="K4352" s="12" t="s">
        <v>65</v>
      </c>
    </row>
    <row r="4353" spans="1:11" ht="40.049999999999997" customHeight="1" x14ac:dyDescent="0.25">
      <c r="A4353" s="11" t="s">
        <v>9608</v>
      </c>
      <c r="B4353" s="11" t="s">
        <v>9609</v>
      </c>
      <c r="C4353" s="11" t="s">
        <v>17</v>
      </c>
      <c r="D4353" s="11" t="s">
        <v>18</v>
      </c>
      <c r="E4353" s="12" t="s">
        <v>258</v>
      </c>
      <c r="F4353" s="12" t="s">
        <v>259</v>
      </c>
      <c r="G4353" s="12" t="s">
        <v>21</v>
      </c>
      <c r="H4353" s="11" t="s">
        <v>63</v>
      </c>
      <c r="I4353" s="13" t="s">
        <v>9610</v>
      </c>
      <c r="J4353" s="14" t="str">
        <f>HYPERLINK("https://www.boe.es/gazeta/dias/1839/01/02/pdfs/GMD-1839-1509.pdf#page=4","Abrir facsímil")</f>
        <v>Abrir facsímil</v>
      </c>
      <c r="K4353" s="12" t="s">
        <v>65</v>
      </c>
    </row>
    <row r="4354" spans="1:11" ht="40.049999999999997" customHeight="1" x14ac:dyDescent="0.25">
      <c r="A4354" s="11" t="s">
        <v>9611</v>
      </c>
      <c r="B4354" s="11" t="s">
        <v>9612</v>
      </c>
      <c r="C4354" s="11" t="s">
        <v>59</v>
      </c>
      <c r="D4354" s="11" t="s">
        <v>60</v>
      </c>
      <c r="E4354" s="12" t="s">
        <v>1374</v>
      </c>
      <c r="F4354" s="12" t="s">
        <v>1375</v>
      </c>
      <c r="G4354" s="12" t="s">
        <v>40</v>
      </c>
      <c r="H4354" s="11" t="s">
        <v>63</v>
      </c>
      <c r="I4354" s="13" t="s">
        <v>9613</v>
      </c>
      <c r="J4354" s="14" t="str">
        <f>HYPERLINK("https://www.boe.es/gazeta/dias/1839/07/20/pdfs/GMD-1839-1708.pdf#page=2","Abrir facsímil")</f>
        <v>Abrir facsímil</v>
      </c>
      <c r="K4354" s="12" t="s">
        <v>65</v>
      </c>
    </row>
    <row r="4355" spans="1:11" ht="40.049999999999997" customHeight="1" x14ac:dyDescent="0.25">
      <c r="A4355" s="11" t="s">
        <v>9614</v>
      </c>
      <c r="B4355" s="11" t="s">
        <v>9615</v>
      </c>
      <c r="C4355" s="11" t="s">
        <v>17</v>
      </c>
      <c r="D4355" s="11" t="s">
        <v>18</v>
      </c>
      <c r="E4355" s="12" t="s">
        <v>474</v>
      </c>
      <c r="F4355" s="12" t="s">
        <v>475</v>
      </c>
      <c r="G4355" s="12" t="s">
        <v>21</v>
      </c>
      <c r="H4355" s="11" t="s">
        <v>63</v>
      </c>
      <c r="I4355" s="13" t="s">
        <v>9616</v>
      </c>
      <c r="J4355" s="14" t="str">
        <f>HYPERLINK("https://www.boe.es/gazeta/dias/1839/03/31/pdfs/GMD-1839-1597.pdf#page=4","Abrir facsímil")</f>
        <v>Abrir facsímil</v>
      </c>
      <c r="K4355" s="12" t="s">
        <v>65</v>
      </c>
    </row>
    <row r="4356" spans="1:11" ht="40.049999999999997" customHeight="1" x14ac:dyDescent="0.25">
      <c r="A4356" s="11" t="s">
        <v>9617</v>
      </c>
      <c r="B4356" s="11" t="s">
        <v>9618</v>
      </c>
      <c r="C4356" s="11" t="s">
        <v>17</v>
      </c>
      <c r="D4356" s="11" t="s">
        <v>18</v>
      </c>
      <c r="E4356" s="12" t="s">
        <v>1479</v>
      </c>
      <c r="F4356" s="12" t="s">
        <v>1480</v>
      </c>
      <c r="G4356" s="12" t="s">
        <v>46</v>
      </c>
      <c r="H4356" s="11" t="s">
        <v>63</v>
      </c>
      <c r="I4356" s="13" t="s">
        <v>9619</v>
      </c>
      <c r="J4356" s="14" t="str">
        <f>HYPERLINK("https://www.boe.es/gazeta/dias/1839/04/09/pdfs/GMD-1839-1606.pdf#page=3","Abrir facsímil")</f>
        <v>Abrir facsímil</v>
      </c>
      <c r="K4356" s="12" t="s">
        <v>65</v>
      </c>
    </row>
    <row r="4357" spans="1:11" ht="40.049999999999997" customHeight="1" x14ac:dyDescent="0.25">
      <c r="A4357" s="11" t="s">
        <v>9620</v>
      </c>
      <c r="B4357" s="11" t="s">
        <v>9621</v>
      </c>
      <c r="C4357" s="11" t="s">
        <v>17</v>
      </c>
      <c r="D4357" s="11" t="s">
        <v>18</v>
      </c>
      <c r="E4357" s="12" t="s">
        <v>2449</v>
      </c>
      <c r="F4357" s="12" t="s">
        <v>2450</v>
      </c>
      <c r="G4357" s="12" t="s">
        <v>46</v>
      </c>
      <c r="H4357" s="11" t="s">
        <v>63</v>
      </c>
      <c r="I4357" s="13" t="s">
        <v>9622</v>
      </c>
      <c r="J4357" s="14" t="str">
        <f>HYPERLINK("https://www.boe.es/gazeta/dias/1839/12/11/pdfs/GMD-1839-1858.pdf#page=3","Abrir facsímil")</f>
        <v>Abrir facsímil</v>
      </c>
      <c r="K4357" s="12" t="s">
        <v>65</v>
      </c>
    </row>
    <row r="4358" spans="1:11" ht="40.049999999999997" customHeight="1" x14ac:dyDescent="0.25">
      <c r="A4358" s="11" t="s">
        <v>9623</v>
      </c>
      <c r="B4358" s="11" t="s">
        <v>9624</v>
      </c>
      <c r="C4358" s="11" t="s">
        <v>17</v>
      </c>
      <c r="D4358" s="11" t="s">
        <v>18</v>
      </c>
      <c r="E4358" s="12" t="s">
        <v>601</v>
      </c>
      <c r="F4358" s="12" t="s">
        <v>602</v>
      </c>
      <c r="G4358" s="12" t="s">
        <v>21</v>
      </c>
      <c r="H4358" s="11" t="s">
        <v>63</v>
      </c>
      <c r="I4358" s="13" t="s">
        <v>9625</v>
      </c>
      <c r="J4358" s="14" t="str">
        <f>HYPERLINK("https://www.boe.es/gazeta/dias/1839/04/21/pdfs/GMD-1839-1618.pdf#page=4","Abrir facsímil")</f>
        <v>Abrir facsímil</v>
      </c>
      <c r="K4358" s="12" t="s">
        <v>65</v>
      </c>
    </row>
    <row r="4359" spans="1:11" ht="40.049999999999997" customHeight="1" x14ac:dyDescent="0.25">
      <c r="A4359" s="11" t="s">
        <v>9623</v>
      </c>
      <c r="B4359" s="11" t="s">
        <v>9624</v>
      </c>
      <c r="C4359" s="11" t="s">
        <v>101</v>
      </c>
      <c r="D4359" s="11" t="s">
        <v>43</v>
      </c>
      <c r="E4359" s="12" t="s">
        <v>1666</v>
      </c>
      <c r="F4359" s="12" t="s">
        <v>1667</v>
      </c>
      <c r="G4359" s="12" t="s">
        <v>21</v>
      </c>
      <c r="H4359" s="11" t="s">
        <v>63</v>
      </c>
      <c r="I4359" s="13" t="s">
        <v>9626</v>
      </c>
      <c r="J4359" s="14" t="str">
        <f>HYPERLINK("https://www.boe.es/gazeta/dias/1839/04/22/pdfs/GMD-1839-1619.pdf#page=4","Abrir facsímil")</f>
        <v>Abrir facsímil</v>
      </c>
      <c r="K4359" s="12" t="s">
        <v>65</v>
      </c>
    </row>
    <row r="4360" spans="1:11" ht="40.049999999999997" customHeight="1" x14ac:dyDescent="0.25">
      <c r="A4360" s="11" t="s">
        <v>9623</v>
      </c>
      <c r="B4360" s="11" t="s">
        <v>9624</v>
      </c>
      <c r="C4360" s="11" t="s">
        <v>17</v>
      </c>
      <c r="D4360" s="11" t="s">
        <v>18</v>
      </c>
      <c r="E4360" s="12" t="s">
        <v>1310</v>
      </c>
      <c r="F4360" s="12" t="s">
        <v>1311</v>
      </c>
      <c r="G4360" s="12" t="s">
        <v>21</v>
      </c>
      <c r="H4360" s="11" t="s">
        <v>63</v>
      </c>
      <c r="I4360" s="13" t="s">
        <v>9627</v>
      </c>
      <c r="J4360" s="14" t="str">
        <f>HYPERLINK("https://www.boe.es/gazeta/dias/1839/04/23/pdfs/GMD-1839-1620.pdf#page=4","Abrir facsímil")</f>
        <v>Abrir facsímil</v>
      </c>
      <c r="K4360" s="12" t="s">
        <v>65</v>
      </c>
    </row>
    <row r="4361" spans="1:11" ht="40.049999999999997" customHeight="1" x14ac:dyDescent="0.25">
      <c r="A4361" s="11" t="s">
        <v>9623</v>
      </c>
      <c r="B4361" s="11" t="s">
        <v>9624</v>
      </c>
      <c r="C4361" s="11" t="s">
        <v>17</v>
      </c>
      <c r="D4361" s="11" t="s">
        <v>18</v>
      </c>
      <c r="E4361" s="12" t="s">
        <v>1729</v>
      </c>
      <c r="F4361" s="12" t="s">
        <v>1730</v>
      </c>
      <c r="G4361" s="12" t="s">
        <v>21</v>
      </c>
      <c r="H4361" s="11" t="s">
        <v>63</v>
      </c>
      <c r="I4361" s="13" t="s">
        <v>9628</v>
      </c>
      <c r="J4361" s="14" t="str">
        <f>HYPERLINK("https://www.boe.es/gazeta/dias/1839/04/25/pdfs/GMD-1839-1622.pdf#page=4","Abrir facsímil")</f>
        <v>Abrir facsímil</v>
      </c>
      <c r="K4361" s="12" t="s">
        <v>65</v>
      </c>
    </row>
    <row r="4362" spans="1:11" ht="40.049999999999997" customHeight="1" x14ac:dyDescent="0.25">
      <c r="A4362" s="11" t="s">
        <v>9623</v>
      </c>
      <c r="B4362" s="11" t="s">
        <v>9624</v>
      </c>
      <c r="C4362" s="11" t="s">
        <v>17</v>
      </c>
      <c r="D4362" s="11" t="s">
        <v>18</v>
      </c>
      <c r="E4362" s="12" t="s">
        <v>2463</v>
      </c>
      <c r="F4362" s="12" t="s">
        <v>2464</v>
      </c>
      <c r="G4362" s="12" t="s">
        <v>21</v>
      </c>
      <c r="H4362" s="11" t="s">
        <v>63</v>
      </c>
      <c r="I4362" s="13" t="s">
        <v>9629</v>
      </c>
      <c r="J4362" s="14" t="str">
        <f>HYPERLINK("https://www.boe.es/gazeta/dias/1839/04/26/pdfs/GMD-1839-1623.pdf#page=4","Abrir facsímil")</f>
        <v>Abrir facsímil</v>
      </c>
      <c r="K4362" s="12" t="s">
        <v>65</v>
      </c>
    </row>
    <row r="4363" spans="1:11" ht="40.049999999999997" customHeight="1" x14ac:dyDescent="0.25">
      <c r="A4363" s="11" t="s">
        <v>9630</v>
      </c>
      <c r="B4363" s="11" t="s">
        <v>9631</v>
      </c>
      <c r="C4363" s="11" t="s">
        <v>17</v>
      </c>
      <c r="D4363" s="11" t="s">
        <v>18</v>
      </c>
      <c r="E4363" s="12" t="s">
        <v>1682</v>
      </c>
      <c r="F4363" s="12" t="s">
        <v>1683</v>
      </c>
      <c r="G4363" s="12" t="s">
        <v>40</v>
      </c>
      <c r="H4363" s="11" t="s">
        <v>63</v>
      </c>
      <c r="I4363" s="13" t="s">
        <v>9632</v>
      </c>
      <c r="J4363" s="14" t="str">
        <f>HYPERLINK("https://www.boe.es/gazeta/dias/1839/12/26/pdfs/GMD-1839-1873.pdf#page=2","Abrir facsímil")</f>
        <v>Abrir facsímil</v>
      </c>
      <c r="K4363" s="12" t="s">
        <v>65</v>
      </c>
    </row>
    <row r="4364" spans="1:11" ht="40.049999999999997" customHeight="1" x14ac:dyDescent="0.25">
      <c r="A4364" s="11" t="s">
        <v>9633</v>
      </c>
      <c r="B4364" s="11" t="s">
        <v>9634</v>
      </c>
      <c r="C4364" s="11" t="s">
        <v>17</v>
      </c>
      <c r="D4364" s="11" t="s">
        <v>18</v>
      </c>
      <c r="E4364" s="12" t="s">
        <v>312</v>
      </c>
      <c r="F4364" s="12" t="s">
        <v>313</v>
      </c>
      <c r="G4364" s="12" t="s">
        <v>21</v>
      </c>
      <c r="H4364" s="11" t="s">
        <v>63</v>
      </c>
      <c r="I4364" s="13" t="s">
        <v>9635</v>
      </c>
      <c r="J4364" s="14" t="str">
        <f>HYPERLINK("https://www.boe.es/gazeta/dias/1839/11/30/pdfs/GMD-1839-1847.pdf#page=4","Abrir facsímil")</f>
        <v>Abrir facsímil</v>
      </c>
      <c r="K4364" s="12" t="s">
        <v>65</v>
      </c>
    </row>
    <row r="4365" spans="1:11" ht="40.049999999999997" customHeight="1" x14ac:dyDescent="0.25">
      <c r="A4365" s="11" t="s">
        <v>9636</v>
      </c>
      <c r="B4365" s="11" t="s">
        <v>9637</v>
      </c>
      <c r="C4365" s="11" t="s">
        <v>137</v>
      </c>
      <c r="D4365" s="11" t="s">
        <v>18</v>
      </c>
      <c r="E4365" s="12" t="s">
        <v>197</v>
      </c>
      <c r="F4365" s="12" t="s">
        <v>198</v>
      </c>
      <c r="G4365" s="12" t="s">
        <v>21</v>
      </c>
      <c r="H4365" s="11" t="s">
        <v>63</v>
      </c>
      <c r="I4365" s="13" t="s">
        <v>9638</v>
      </c>
      <c r="J4365" s="14" t="str">
        <f>HYPERLINK("https://www.boe.es/gazeta/dias/1839/10/04/pdfs/GMD-1839-1790.pdf#page=4","Abrir facsímil")</f>
        <v>Abrir facsímil</v>
      </c>
      <c r="K4365" s="12" t="s">
        <v>65</v>
      </c>
    </row>
    <row r="4366" spans="1:11" ht="40.049999999999997" customHeight="1" x14ac:dyDescent="0.25">
      <c r="A4366" s="11" t="s">
        <v>9639</v>
      </c>
      <c r="B4366" s="11" t="s">
        <v>9640</v>
      </c>
      <c r="C4366" s="11" t="s">
        <v>17</v>
      </c>
      <c r="D4366" s="11" t="s">
        <v>18</v>
      </c>
      <c r="E4366" s="12" t="s">
        <v>1551</v>
      </c>
      <c r="F4366" s="12" t="s">
        <v>1552</v>
      </c>
      <c r="G4366" s="12" t="s">
        <v>21</v>
      </c>
      <c r="H4366" s="11" t="s">
        <v>63</v>
      </c>
      <c r="I4366" s="13" t="s">
        <v>9641</v>
      </c>
      <c r="J4366" s="14" t="str">
        <f>HYPERLINK("https://www.boe.es/gazeta/dias/1839/06/30/pdfs/GMD-1839-1688.pdf#page=4","Abrir facsímil")</f>
        <v>Abrir facsímil</v>
      </c>
      <c r="K4366" s="12" t="s">
        <v>65</v>
      </c>
    </row>
    <row r="4367" spans="1:11" ht="40.049999999999997" customHeight="1" x14ac:dyDescent="0.25">
      <c r="A4367" s="11" t="s">
        <v>9642</v>
      </c>
      <c r="B4367" s="11" t="s">
        <v>9643</v>
      </c>
      <c r="C4367" s="11" t="s">
        <v>17</v>
      </c>
      <c r="D4367" s="11" t="s">
        <v>18</v>
      </c>
      <c r="E4367" s="12" t="s">
        <v>291</v>
      </c>
      <c r="F4367" s="12" t="s">
        <v>292</v>
      </c>
      <c r="G4367" s="12" t="s">
        <v>21</v>
      </c>
      <c r="H4367" s="11" t="s">
        <v>63</v>
      </c>
      <c r="I4367" s="13" t="s">
        <v>9644</v>
      </c>
      <c r="J4367" s="14" t="str">
        <f>HYPERLINK("https://www.boe.es/gazeta/dias/1839/09/04/pdfs/GMD-1839-1757.pdf#page=4","Abrir facsímil")</f>
        <v>Abrir facsímil</v>
      </c>
      <c r="K4367" s="12" t="s">
        <v>65</v>
      </c>
    </row>
    <row r="4368" spans="1:11" ht="40.049999999999997" customHeight="1" x14ac:dyDescent="0.25">
      <c r="A4368" s="11" t="s">
        <v>9645</v>
      </c>
      <c r="B4368" s="11" t="s">
        <v>9646</v>
      </c>
      <c r="C4368" s="11" t="s">
        <v>59</v>
      </c>
      <c r="D4368" s="11" t="s">
        <v>60</v>
      </c>
      <c r="E4368" s="12" t="s">
        <v>2839</v>
      </c>
      <c r="F4368" s="12" t="s">
        <v>2840</v>
      </c>
      <c r="G4368" s="12" t="s">
        <v>29</v>
      </c>
      <c r="H4368" s="11" t="s">
        <v>63</v>
      </c>
      <c r="I4368" s="13" t="s">
        <v>9647</v>
      </c>
      <c r="J4368" s="14" t="str">
        <f>HYPERLINK("https://www.boe.es/gazeta/dias/1839/03/06/pdfs/GMD-1839-1572.pdf#page=1","Abrir facsímil")</f>
        <v>Abrir facsímil</v>
      </c>
      <c r="K4368" s="12" t="s">
        <v>65</v>
      </c>
    </row>
    <row r="4369" spans="1:11" ht="40.049999999999997" customHeight="1" x14ac:dyDescent="0.25">
      <c r="A4369" s="11" t="s">
        <v>9648</v>
      </c>
      <c r="B4369" s="11" t="s">
        <v>9649</v>
      </c>
      <c r="C4369" s="11" t="s">
        <v>17</v>
      </c>
      <c r="D4369" s="11" t="s">
        <v>18</v>
      </c>
      <c r="E4369" s="12" t="s">
        <v>1479</v>
      </c>
      <c r="F4369" s="12" t="s">
        <v>1480</v>
      </c>
      <c r="G4369" s="12" t="s">
        <v>46</v>
      </c>
      <c r="H4369" s="11" t="s">
        <v>63</v>
      </c>
      <c r="I4369" s="13" t="s">
        <v>9650</v>
      </c>
      <c r="J4369" s="14" t="str">
        <f>HYPERLINK("https://www.boe.es/gazeta/dias/1839/04/09/pdfs/GMD-1839-1606.pdf#page=3","Abrir facsímil")</f>
        <v>Abrir facsímil</v>
      </c>
      <c r="K4369" s="12" t="s">
        <v>65</v>
      </c>
    </row>
    <row r="4370" spans="1:11" ht="40.049999999999997" customHeight="1" x14ac:dyDescent="0.25">
      <c r="A4370" s="11" t="s">
        <v>9651</v>
      </c>
      <c r="B4370" s="11" t="s">
        <v>9652</v>
      </c>
      <c r="C4370" s="11" t="s">
        <v>137</v>
      </c>
      <c r="D4370" s="11" t="s">
        <v>18</v>
      </c>
      <c r="E4370" s="12" t="s">
        <v>346</v>
      </c>
      <c r="F4370" s="12" t="s">
        <v>347</v>
      </c>
      <c r="G4370" s="12" t="s">
        <v>29</v>
      </c>
      <c r="H4370" s="11" t="s">
        <v>63</v>
      </c>
      <c r="I4370" s="13" t="s">
        <v>9653</v>
      </c>
      <c r="J4370" s="14" t="str">
        <f>HYPERLINK("https://www.boe.es/gazeta/dias/1839/03/24/pdfs/GMD-1839-1590.pdf#page=1","Abrir facsímil")</f>
        <v>Abrir facsímil</v>
      </c>
      <c r="K4370" s="12" t="s">
        <v>65</v>
      </c>
    </row>
    <row r="4371" spans="1:11" ht="40.049999999999997" customHeight="1" x14ac:dyDescent="0.25">
      <c r="A4371" s="11" t="s">
        <v>9654</v>
      </c>
      <c r="B4371" s="11" t="s">
        <v>9655</v>
      </c>
      <c r="C4371" s="11" t="s">
        <v>101</v>
      </c>
      <c r="D4371" s="11" t="s">
        <v>43</v>
      </c>
      <c r="E4371" s="12" t="s">
        <v>1069</v>
      </c>
      <c r="F4371" s="12" t="s">
        <v>1070</v>
      </c>
      <c r="G4371" s="12" t="s">
        <v>46</v>
      </c>
      <c r="H4371" s="11" t="s">
        <v>63</v>
      </c>
      <c r="I4371" s="13" t="s">
        <v>9656</v>
      </c>
      <c r="J4371" s="14" t="str">
        <f>HYPERLINK("https://www.boe.es/gazeta/dias/1839/10/15/pdfs/GMD-1839-1801.pdf#page=3","Abrir facsímil")</f>
        <v>Abrir facsímil</v>
      </c>
      <c r="K4371" s="12" t="s">
        <v>65</v>
      </c>
    </row>
    <row r="4372" spans="1:11" ht="40.049999999999997" customHeight="1" x14ac:dyDescent="0.25">
      <c r="A4372" s="11" t="s">
        <v>9657</v>
      </c>
      <c r="B4372" s="11" t="s">
        <v>9658</v>
      </c>
      <c r="C4372" s="11" t="s">
        <v>80</v>
      </c>
      <c r="D4372" s="11" t="s">
        <v>173</v>
      </c>
      <c r="E4372" s="12" t="s">
        <v>19</v>
      </c>
      <c r="F4372" s="12" t="s">
        <v>20</v>
      </c>
      <c r="G4372" s="12" t="s">
        <v>21</v>
      </c>
      <c r="H4372" s="11" t="s">
        <v>63</v>
      </c>
      <c r="I4372" s="13" t="s">
        <v>9659</v>
      </c>
      <c r="J4372" s="14" t="str">
        <f>HYPERLINK("https://www.boe.es/gazeta/dias/1839/01/19/pdfs/GMD-1839-1526.pdf#page=4","Abrir facsímil")</f>
        <v>Abrir facsímil</v>
      </c>
      <c r="K4372" s="12" t="s">
        <v>65</v>
      </c>
    </row>
    <row r="4373" spans="1:11" ht="40.049999999999997" customHeight="1" x14ac:dyDescent="0.25">
      <c r="A4373" s="11" t="s">
        <v>9660</v>
      </c>
      <c r="B4373" s="11" t="s">
        <v>9661</v>
      </c>
      <c r="C4373" s="11" t="s">
        <v>17</v>
      </c>
      <c r="D4373" s="11" t="s">
        <v>18</v>
      </c>
      <c r="E4373" s="12" t="s">
        <v>1100</v>
      </c>
      <c r="F4373" s="12" t="s">
        <v>1101</v>
      </c>
      <c r="G4373" s="12" t="s">
        <v>46</v>
      </c>
      <c r="H4373" s="11" t="s">
        <v>63</v>
      </c>
      <c r="I4373" s="13" t="s">
        <v>9662</v>
      </c>
      <c r="J4373" s="14" t="str">
        <f>HYPERLINK("https://www.boe.es/gazeta/dias/1839/09/13/pdfs/GMD-1839-1766.pdf#page=3","Abrir facsímil")</f>
        <v>Abrir facsímil</v>
      </c>
      <c r="K4373" s="12" t="s">
        <v>65</v>
      </c>
    </row>
    <row r="4374" spans="1:11" ht="40.049999999999997" customHeight="1" x14ac:dyDescent="0.25">
      <c r="A4374" s="11" t="s">
        <v>9660</v>
      </c>
      <c r="B4374" s="11" t="s">
        <v>9661</v>
      </c>
      <c r="C4374" s="11" t="s">
        <v>137</v>
      </c>
      <c r="D4374" s="11" t="s">
        <v>18</v>
      </c>
      <c r="E4374" s="12" t="s">
        <v>650</v>
      </c>
      <c r="F4374" s="12" t="s">
        <v>651</v>
      </c>
      <c r="G4374" s="12" t="s">
        <v>21</v>
      </c>
      <c r="H4374" s="11" t="s">
        <v>63</v>
      </c>
      <c r="I4374" s="13" t="s">
        <v>9663</v>
      </c>
      <c r="J4374" s="14" t="str">
        <f>HYPERLINK("https://www.boe.es/gazeta/dias/1839/10/25/pdfs/GMD-1839-1811.pdf#page=4","Abrir facsímil")</f>
        <v>Abrir facsímil</v>
      </c>
      <c r="K4374" s="12" t="s">
        <v>65</v>
      </c>
    </row>
    <row r="4375" spans="1:11" ht="40.049999999999997" customHeight="1" x14ac:dyDescent="0.25">
      <c r="A4375" s="11" t="s">
        <v>9660</v>
      </c>
      <c r="B4375" s="11" t="s">
        <v>9661</v>
      </c>
      <c r="C4375" s="11" t="s">
        <v>101</v>
      </c>
      <c r="D4375" s="11" t="s">
        <v>43</v>
      </c>
      <c r="E4375" s="12" t="s">
        <v>1086</v>
      </c>
      <c r="F4375" s="12" t="s">
        <v>1087</v>
      </c>
      <c r="G4375" s="12" t="s">
        <v>46</v>
      </c>
      <c r="H4375" s="11" t="s">
        <v>63</v>
      </c>
      <c r="I4375" s="13" t="s">
        <v>9664</v>
      </c>
      <c r="J4375" s="14" t="str">
        <f>HYPERLINK("https://www.boe.es/gazeta/dias/1839/10/26/pdfs/GMD-1839-1812.pdf#page=3","Abrir facsímil")</f>
        <v>Abrir facsímil</v>
      </c>
      <c r="K4375" s="12" t="s">
        <v>65</v>
      </c>
    </row>
    <row r="4376" spans="1:11" ht="40.049999999999997" customHeight="1" x14ac:dyDescent="0.25">
      <c r="A4376" s="11" t="s">
        <v>9660</v>
      </c>
      <c r="B4376" s="11" t="s">
        <v>9661</v>
      </c>
      <c r="C4376" s="11" t="s">
        <v>137</v>
      </c>
      <c r="D4376" s="11" t="s">
        <v>18</v>
      </c>
      <c r="E4376" s="12" t="s">
        <v>1988</v>
      </c>
      <c r="F4376" s="12" t="s">
        <v>1989</v>
      </c>
      <c r="G4376" s="12" t="s">
        <v>566</v>
      </c>
      <c r="H4376" s="11" t="s">
        <v>63</v>
      </c>
      <c r="I4376" s="13" t="s">
        <v>9665</v>
      </c>
      <c r="J4376" s="14" t="str">
        <f>HYPERLINK("https://www.boe.es/gazeta/dias/1839/10/29/pdfs/GMD-1839-1815.pdf#page=5","Abrir facsímil")</f>
        <v>Abrir facsímil</v>
      </c>
      <c r="K4376" s="12" t="s">
        <v>65</v>
      </c>
    </row>
    <row r="4377" spans="1:11" ht="40.049999999999997" customHeight="1" x14ac:dyDescent="0.25">
      <c r="A4377" s="11" t="s">
        <v>9666</v>
      </c>
      <c r="B4377" s="11" t="s">
        <v>9667</v>
      </c>
      <c r="C4377" s="11" t="s">
        <v>101</v>
      </c>
      <c r="D4377" s="11" t="s">
        <v>43</v>
      </c>
      <c r="E4377" s="12" t="s">
        <v>433</v>
      </c>
      <c r="F4377" s="12" t="s">
        <v>434</v>
      </c>
      <c r="G4377" s="12" t="s">
        <v>46</v>
      </c>
      <c r="H4377" s="11" t="s">
        <v>63</v>
      </c>
      <c r="I4377" s="13" t="s">
        <v>9668</v>
      </c>
      <c r="J4377" s="14" t="str">
        <f>HYPERLINK("https://www.boe.es/gazeta/dias/1839/01/20/pdfs/GMD-1839-1527.pdf#page=3","Abrir facsímil")</f>
        <v>Abrir facsímil</v>
      </c>
      <c r="K4377" s="12" t="s">
        <v>65</v>
      </c>
    </row>
    <row r="4378" spans="1:11" ht="40.049999999999997" customHeight="1" x14ac:dyDescent="0.25">
      <c r="A4378" s="11" t="s">
        <v>9669</v>
      </c>
      <c r="B4378" s="11" t="s">
        <v>9670</v>
      </c>
      <c r="C4378" s="11" t="s">
        <v>80</v>
      </c>
      <c r="D4378" s="11" t="s">
        <v>18</v>
      </c>
      <c r="E4378" s="12" t="s">
        <v>2452</v>
      </c>
      <c r="F4378" s="12" t="s">
        <v>2453</v>
      </c>
      <c r="G4378" s="12" t="s">
        <v>46</v>
      </c>
      <c r="H4378" s="11" t="s">
        <v>22</v>
      </c>
      <c r="I4378" s="13" t="s">
        <v>9671</v>
      </c>
      <c r="J4378" s="14" t="str">
        <f>HYPERLINK("https://www.boe.es/gazeta/dias/1839/11/14/pdfs/GMD-1839-1831.pdf#page=3","Abrir facsímil")</f>
        <v>Abrir facsímil</v>
      </c>
      <c r="K4378" s="12" t="s">
        <v>24</v>
      </c>
    </row>
    <row r="4379" spans="1:11" ht="40.049999999999997" customHeight="1" x14ac:dyDescent="0.25">
      <c r="A4379" s="11" t="s">
        <v>9669</v>
      </c>
      <c r="B4379" s="11" t="s">
        <v>9670</v>
      </c>
      <c r="C4379" s="11" t="s">
        <v>17</v>
      </c>
      <c r="D4379" s="11" t="s">
        <v>18</v>
      </c>
      <c r="E4379" s="12" t="s">
        <v>1252</v>
      </c>
      <c r="F4379" s="12" t="s">
        <v>1253</v>
      </c>
      <c r="G4379" s="12" t="s">
        <v>46</v>
      </c>
      <c r="H4379" s="11" t="s">
        <v>22</v>
      </c>
      <c r="I4379" s="13" t="s">
        <v>9672</v>
      </c>
      <c r="J4379" s="14" t="str">
        <f>HYPERLINK("https://www.boe.es/gazeta/dias/1839/06/15/pdfs/GMD-1839-1673.pdf#page=3","Abrir facsímil")</f>
        <v>Abrir facsímil</v>
      </c>
      <c r="K4379" s="12" t="s">
        <v>24</v>
      </c>
    </row>
    <row r="4380" spans="1:11" ht="40.049999999999997" customHeight="1" x14ac:dyDescent="0.25">
      <c r="A4380" s="11" t="s">
        <v>9669</v>
      </c>
      <c r="B4380" s="11" t="s">
        <v>9670</v>
      </c>
      <c r="C4380" s="11" t="s">
        <v>17</v>
      </c>
      <c r="D4380" s="11" t="s">
        <v>18</v>
      </c>
      <c r="E4380" s="12" t="s">
        <v>246</v>
      </c>
      <c r="F4380" s="12" t="s">
        <v>247</v>
      </c>
      <c r="G4380" s="12" t="s">
        <v>46</v>
      </c>
      <c r="H4380" s="11" t="s">
        <v>22</v>
      </c>
      <c r="I4380" s="13" t="s">
        <v>9673</v>
      </c>
      <c r="J4380" s="14" t="str">
        <f>HYPERLINK("https://www.boe.es/gazeta/dias/1839/11/24/pdfs/GMD-1839-1841.pdf#page=3","Abrir facsímil")</f>
        <v>Abrir facsímil</v>
      </c>
      <c r="K4380" s="12" t="s">
        <v>24</v>
      </c>
    </row>
    <row r="4381" spans="1:11" ht="40.049999999999997" customHeight="1" x14ac:dyDescent="0.25">
      <c r="A4381" s="11" t="s">
        <v>9674</v>
      </c>
      <c r="B4381" s="11" t="s">
        <v>9675</v>
      </c>
      <c r="C4381" s="11" t="s">
        <v>17</v>
      </c>
      <c r="D4381" s="11" t="s">
        <v>18</v>
      </c>
      <c r="E4381" s="12" t="s">
        <v>372</v>
      </c>
      <c r="F4381" s="12" t="s">
        <v>373</v>
      </c>
      <c r="G4381" s="12" t="s">
        <v>46</v>
      </c>
      <c r="H4381" s="11" t="s">
        <v>63</v>
      </c>
      <c r="I4381" s="13" t="s">
        <v>9676</v>
      </c>
      <c r="J4381" s="14" t="str">
        <f>HYPERLINK("https://www.boe.es/gazeta/dias/1839/11/08/pdfs/GMD-1839-1825.pdf#page=3","Abrir facsímil")</f>
        <v>Abrir facsímil</v>
      </c>
      <c r="K4381" s="12" t="s">
        <v>65</v>
      </c>
    </row>
    <row r="4382" spans="1:11" ht="40.049999999999997" customHeight="1" x14ac:dyDescent="0.25">
      <c r="A4382" s="11" t="s">
        <v>9677</v>
      </c>
      <c r="B4382" s="11" t="s">
        <v>9678</v>
      </c>
      <c r="C4382" s="11" t="s">
        <v>17</v>
      </c>
      <c r="D4382" s="11" t="s">
        <v>18</v>
      </c>
      <c r="E4382" s="12" t="s">
        <v>826</v>
      </c>
      <c r="F4382" s="12" t="s">
        <v>827</v>
      </c>
      <c r="G4382" s="12" t="s">
        <v>21</v>
      </c>
      <c r="H4382" s="11" t="s">
        <v>63</v>
      </c>
      <c r="I4382" s="13" t="s">
        <v>9679</v>
      </c>
      <c r="J4382" s="14" t="str">
        <f>HYPERLINK("https://www.boe.es/gazeta/dias/1839/09/25/pdfs/GMD-1839-1781.pdf#page=4","Abrir facsímil")</f>
        <v>Abrir facsímil</v>
      </c>
      <c r="K4382" s="12" t="s">
        <v>65</v>
      </c>
    </row>
    <row r="4383" spans="1:11" ht="40.049999999999997" customHeight="1" x14ac:dyDescent="0.25">
      <c r="A4383" s="11" t="s">
        <v>9680</v>
      </c>
      <c r="B4383" s="11" t="s">
        <v>9681</v>
      </c>
      <c r="C4383" s="11" t="s">
        <v>17</v>
      </c>
      <c r="D4383" s="11" t="s">
        <v>18</v>
      </c>
      <c r="E4383" s="12" t="s">
        <v>303</v>
      </c>
      <c r="F4383" s="12" t="s">
        <v>304</v>
      </c>
      <c r="G4383" s="12" t="s">
        <v>305</v>
      </c>
      <c r="H4383" s="11" t="s">
        <v>63</v>
      </c>
      <c r="I4383" s="13" t="s">
        <v>9682</v>
      </c>
      <c r="J4383" s="14" t="str">
        <f>HYPERLINK("https://www.boe.es/gazeta/dias/1839/10/06/pdfs/GMD-1839-1792.pdf#page=6","Abrir facsímil")</f>
        <v>Abrir facsímil</v>
      </c>
      <c r="K4383" s="12" t="s">
        <v>65</v>
      </c>
    </row>
    <row r="4384" spans="1:11" ht="40.049999999999997" customHeight="1" x14ac:dyDescent="0.25">
      <c r="A4384" s="11" t="s">
        <v>9680</v>
      </c>
      <c r="B4384" s="11" t="s">
        <v>9681</v>
      </c>
      <c r="C4384" s="11" t="s">
        <v>17</v>
      </c>
      <c r="D4384" s="11" t="s">
        <v>18</v>
      </c>
      <c r="E4384" s="12" t="s">
        <v>1562</v>
      </c>
      <c r="F4384" s="12" t="s">
        <v>1563</v>
      </c>
      <c r="G4384" s="12" t="s">
        <v>21</v>
      </c>
      <c r="H4384" s="11" t="s">
        <v>63</v>
      </c>
      <c r="I4384" s="13" t="s">
        <v>9683</v>
      </c>
      <c r="J4384" s="14" t="str">
        <f>HYPERLINK("https://www.boe.es/gazeta/dias/1839/04/08/pdfs/GMD-1839-1605.pdf#page=4","Abrir facsímil")</f>
        <v>Abrir facsímil</v>
      </c>
      <c r="K4384" s="12" t="s">
        <v>65</v>
      </c>
    </row>
    <row r="4385" spans="1:11" ht="40.049999999999997" customHeight="1" x14ac:dyDescent="0.25">
      <c r="A4385" s="11" t="s">
        <v>9680</v>
      </c>
      <c r="B4385" s="11" t="s">
        <v>9681</v>
      </c>
      <c r="C4385" s="11" t="s">
        <v>17</v>
      </c>
      <c r="D4385" s="11" t="s">
        <v>18</v>
      </c>
      <c r="E4385" s="12" t="s">
        <v>809</v>
      </c>
      <c r="F4385" s="12" t="s">
        <v>810</v>
      </c>
      <c r="G4385" s="12" t="s">
        <v>29</v>
      </c>
      <c r="H4385" s="11" t="s">
        <v>63</v>
      </c>
      <c r="I4385" s="13" t="s">
        <v>9684</v>
      </c>
      <c r="J4385" s="14" t="str">
        <f>HYPERLINK("https://www.boe.es/gazeta/dias/1839/02/11/pdfs/GMD-1839-1549.pdf#page=1","Abrir facsímil")</f>
        <v>Abrir facsímil</v>
      </c>
      <c r="K4385" s="12" t="s">
        <v>65</v>
      </c>
    </row>
    <row r="4386" spans="1:11" ht="40.049999999999997" customHeight="1" x14ac:dyDescent="0.25">
      <c r="A4386" s="11" t="s">
        <v>9680</v>
      </c>
      <c r="B4386" s="11" t="s">
        <v>9681</v>
      </c>
      <c r="C4386" s="11" t="s">
        <v>80</v>
      </c>
      <c r="D4386" s="11" t="s">
        <v>18</v>
      </c>
      <c r="E4386" s="12" t="s">
        <v>621</v>
      </c>
      <c r="F4386" s="12" t="s">
        <v>622</v>
      </c>
      <c r="G4386" s="12" t="s">
        <v>29</v>
      </c>
      <c r="H4386" s="11" t="s">
        <v>63</v>
      </c>
      <c r="I4386" s="13" t="s">
        <v>9685</v>
      </c>
      <c r="J4386" s="14" t="str">
        <f>HYPERLINK("https://www.boe.es/gazeta/dias/1839/04/14/pdfs/GMD-1839-1611.pdf#page=1","Abrir facsímil")</f>
        <v>Abrir facsímil</v>
      </c>
      <c r="K4386" s="12" t="s">
        <v>65</v>
      </c>
    </row>
    <row r="4387" spans="1:11" ht="40.049999999999997" customHeight="1" x14ac:dyDescent="0.25">
      <c r="A4387" s="11" t="s">
        <v>9680</v>
      </c>
      <c r="B4387" s="11" t="s">
        <v>9681</v>
      </c>
      <c r="C4387" s="11" t="s">
        <v>17</v>
      </c>
      <c r="D4387" s="11" t="s">
        <v>18</v>
      </c>
      <c r="E4387" s="12" t="s">
        <v>834</v>
      </c>
      <c r="F4387" s="12" t="s">
        <v>835</v>
      </c>
      <c r="G4387" s="12" t="s">
        <v>40</v>
      </c>
      <c r="H4387" s="11" t="s">
        <v>63</v>
      </c>
      <c r="I4387" s="13" t="s">
        <v>9686</v>
      </c>
      <c r="J4387" s="14" t="str">
        <f>HYPERLINK("https://www.boe.es/gazeta/dias/1839/08/17/pdfs/GMD-1839-1737.pdf#page=2","Abrir facsímil")</f>
        <v>Abrir facsímil</v>
      </c>
      <c r="K4387" s="12" t="s">
        <v>65</v>
      </c>
    </row>
    <row r="4388" spans="1:11" ht="40.049999999999997" customHeight="1" x14ac:dyDescent="0.25">
      <c r="A4388" s="11" t="s">
        <v>9680</v>
      </c>
      <c r="B4388" s="11" t="s">
        <v>9681</v>
      </c>
      <c r="C4388" s="11" t="s">
        <v>137</v>
      </c>
      <c r="D4388" s="11" t="s">
        <v>18</v>
      </c>
      <c r="E4388" s="12" t="s">
        <v>516</v>
      </c>
      <c r="F4388" s="12" t="s">
        <v>517</v>
      </c>
      <c r="G4388" s="12" t="s">
        <v>21</v>
      </c>
      <c r="H4388" s="11" t="s">
        <v>63</v>
      </c>
      <c r="I4388" s="13" t="s">
        <v>9687</v>
      </c>
      <c r="J4388" s="14" t="str">
        <f>HYPERLINK("https://www.boe.es/gazeta/dias/1839/06/21/pdfs/GMD-1839-1679.pdf#page=4","Abrir facsímil")</f>
        <v>Abrir facsímil</v>
      </c>
      <c r="K4388" s="12" t="s">
        <v>65</v>
      </c>
    </row>
    <row r="4389" spans="1:11" ht="40.049999999999997" customHeight="1" x14ac:dyDescent="0.25">
      <c r="A4389" s="11" t="s">
        <v>9680</v>
      </c>
      <c r="B4389" s="11" t="s">
        <v>9681</v>
      </c>
      <c r="C4389" s="11" t="s">
        <v>137</v>
      </c>
      <c r="D4389" s="11" t="s">
        <v>18</v>
      </c>
      <c r="E4389" s="12" t="s">
        <v>1663</v>
      </c>
      <c r="F4389" s="12" t="s">
        <v>1664</v>
      </c>
      <c r="G4389" s="12" t="s">
        <v>21</v>
      </c>
      <c r="H4389" s="11" t="s">
        <v>63</v>
      </c>
      <c r="I4389" s="13" t="s">
        <v>9688</v>
      </c>
      <c r="J4389" s="14" t="str">
        <f>HYPERLINK("https://www.boe.es/gazeta/dias/1839/03/22/pdfs/GMD-1839-1588.pdf#page=4","Abrir facsímil")</f>
        <v>Abrir facsímil</v>
      </c>
      <c r="K4389" s="12" t="s">
        <v>65</v>
      </c>
    </row>
    <row r="4390" spans="1:11" ht="40.049999999999997" customHeight="1" x14ac:dyDescent="0.25">
      <c r="A4390" s="11" t="s">
        <v>9680</v>
      </c>
      <c r="B4390" s="11" t="s">
        <v>9681</v>
      </c>
      <c r="C4390" s="11" t="s">
        <v>80</v>
      </c>
      <c r="D4390" s="11" t="s">
        <v>18</v>
      </c>
      <c r="E4390" s="12" t="s">
        <v>1446</v>
      </c>
      <c r="F4390" s="12" t="s">
        <v>1447</v>
      </c>
      <c r="G4390" s="12" t="s">
        <v>21</v>
      </c>
      <c r="H4390" s="11" t="s">
        <v>63</v>
      </c>
      <c r="I4390" s="13" t="s">
        <v>9689</v>
      </c>
      <c r="J4390" s="14" t="str">
        <f>HYPERLINK("https://www.boe.es/gazeta/dias/1839/08/25/pdfs/GMD-1839-1746.pdf#page=4","Abrir facsímil")</f>
        <v>Abrir facsímil</v>
      </c>
      <c r="K4390" s="12" t="s">
        <v>65</v>
      </c>
    </row>
    <row r="4391" spans="1:11" ht="40.049999999999997" customHeight="1" x14ac:dyDescent="0.25">
      <c r="A4391" s="11" t="s">
        <v>9690</v>
      </c>
      <c r="B4391" s="11" t="s">
        <v>9691</v>
      </c>
      <c r="C4391" s="11" t="s">
        <v>17</v>
      </c>
      <c r="D4391" s="11" t="s">
        <v>18</v>
      </c>
      <c r="E4391" s="12" t="s">
        <v>3566</v>
      </c>
      <c r="F4391" s="12" t="s">
        <v>3567</v>
      </c>
      <c r="G4391" s="12" t="s">
        <v>21</v>
      </c>
      <c r="H4391" s="11" t="s">
        <v>63</v>
      </c>
      <c r="I4391" s="13" t="s">
        <v>9692</v>
      </c>
      <c r="J4391" s="14" t="str">
        <f>HYPERLINK("https://www.boe.es/gazeta/dias/1839/07/06/pdfs/GMD-1839-1694.pdf#page=4","Abrir facsímil")</f>
        <v>Abrir facsímil</v>
      </c>
      <c r="K4391" s="12" t="s">
        <v>65</v>
      </c>
    </row>
    <row r="4392" spans="1:11" ht="40.049999999999997" customHeight="1" x14ac:dyDescent="0.25">
      <c r="A4392" s="11" t="s">
        <v>9693</v>
      </c>
      <c r="B4392" s="11" t="s">
        <v>9694</v>
      </c>
      <c r="C4392" s="11" t="s">
        <v>17</v>
      </c>
      <c r="D4392" s="11" t="s">
        <v>18</v>
      </c>
      <c r="E4392" s="12" t="s">
        <v>1123</v>
      </c>
      <c r="F4392" s="12" t="s">
        <v>1124</v>
      </c>
      <c r="G4392" s="12" t="s">
        <v>21</v>
      </c>
      <c r="H4392" s="11" t="s">
        <v>63</v>
      </c>
      <c r="I4392" s="13" t="s">
        <v>9695</v>
      </c>
      <c r="J4392" s="14" t="str">
        <f>HYPERLINK("https://www.boe.es/gazeta/dias/1839/08/10/pdfs/GMD-1839-1730.pdf#page=4","Abrir facsímil")</f>
        <v>Abrir facsímil</v>
      </c>
      <c r="K4392" s="12" t="s">
        <v>65</v>
      </c>
    </row>
    <row r="4393" spans="1:11" ht="40.049999999999997" customHeight="1" x14ac:dyDescent="0.25">
      <c r="A4393" s="11" t="s">
        <v>9696</v>
      </c>
      <c r="B4393" s="11" t="s">
        <v>9697</v>
      </c>
      <c r="C4393" s="11" t="s">
        <v>137</v>
      </c>
      <c r="D4393" s="11" t="s">
        <v>18</v>
      </c>
      <c r="E4393" s="12" t="s">
        <v>197</v>
      </c>
      <c r="F4393" s="12" t="s">
        <v>198</v>
      </c>
      <c r="G4393" s="12" t="s">
        <v>46</v>
      </c>
      <c r="H4393" s="11" t="s">
        <v>63</v>
      </c>
      <c r="I4393" s="13" t="s">
        <v>9698</v>
      </c>
      <c r="J4393" s="14" t="str">
        <f>HYPERLINK("https://www.boe.es/gazeta/dias/1839/10/04/pdfs/GMD-1839-1790.pdf#page=3","Abrir facsímil")</f>
        <v>Abrir facsímil</v>
      </c>
      <c r="K4393" s="12" t="s">
        <v>65</v>
      </c>
    </row>
    <row r="4394" spans="1:11" ht="40.049999999999997" customHeight="1" x14ac:dyDescent="0.25">
      <c r="A4394" s="11" t="s">
        <v>9699</v>
      </c>
      <c r="B4394" s="11" t="s">
        <v>9700</v>
      </c>
      <c r="C4394" s="11" t="s">
        <v>59</v>
      </c>
      <c r="D4394" s="11" t="s">
        <v>60</v>
      </c>
      <c r="E4394" s="12" t="s">
        <v>111</v>
      </c>
      <c r="F4394" s="12" t="s">
        <v>112</v>
      </c>
      <c r="G4394" s="12" t="s">
        <v>21</v>
      </c>
      <c r="H4394" s="11" t="s">
        <v>63</v>
      </c>
      <c r="I4394" s="13" t="s">
        <v>9701</v>
      </c>
      <c r="J4394" s="14" t="str">
        <f>HYPERLINK("https://www.boe.es/gazeta/dias/1839/07/25/pdfs/GMD-1839-1714.pdf#page=4","Abrir facsímil")</f>
        <v>Abrir facsímil</v>
      </c>
      <c r="K4394" s="12" t="s">
        <v>65</v>
      </c>
    </row>
    <row r="4395" spans="1:11" ht="40.049999999999997" customHeight="1" x14ac:dyDescent="0.25">
      <c r="A4395" s="11" t="s">
        <v>9702</v>
      </c>
      <c r="B4395" s="11" t="s">
        <v>9703</v>
      </c>
      <c r="C4395" s="11" t="s">
        <v>80</v>
      </c>
      <c r="D4395" s="11" t="s">
        <v>18</v>
      </c>
      <c r="E4395" s="12" t="s">
        <v>834</v>
      </c>
      <c r="F4395" s="12" t="s">
        <v>835</v>
      </c>
      <c r="G4395" s="12" t="s">
        <v>21</v>
      </c>
      <c r="H4395" s="11" t="s">
        <v>63</v>
      </c>
      <c r="I4395" s="13" t="s">
        <v>9704</v>
      </c>
      <c r="J4395" s="14" t="str">
        <f>HYPERLINK("https://www.boe.es/gazeta/dias/1839/08/17/pdfs/GMD-1839-1737.pdf#page=4","Abrir facsímil")</f>
        <v>Abrir facsímil</v>
      </c>
      <c r="K4395" s="12" t="s">
        <v>65</v>
      </c>
    </row>
    <row r="4396" spans="1:11" ht="40.049999999999997" customHeight="1" x14ac:dyDescent="0.25">
      <c r="A4396" s="11" t="s">
        <v>9705</v>
      </c>
      <c r="B4396" s="11" t="s">
        <v>9706</v>
      </c>
      <c r="C4396" s="11" t="s">
        <v>59</v>
      </c>
      <c r="D4396" s="11" t="s">
        <v>60</v>
      </c>
      <c r="E4396" s="12" t="s">
        <v>197</v>
      </c>
      <c r="F4396" s="12" t="s">
        <v>198</v>
      </c>
      <c r="G4396" s="12" t="s">
        <v>46</v>
      </c>
      <c r="H4396" s="11" t="s">
        <v>63</v>
      </c>
      <c r="I4396" s="13" t="s">
        <v>9707</v>
      </c>
      <c r="J4396" s="14" t="str">
        <f>HYPERLINK("https://www.boe.es/gazeta/dias/1839/10/04/pdfs/GMD-1839-1790.pdf#page=3","Abrir facsímil")</f>
        <v>Abrir facsímil</v>
      </c>
      <c r="K4396" s="12" t="s">
        <v>65</v>
      </c>
    </row>
    <row r="4397" spans="1:11" ht="40.049999999999997" customHeight="1" x14ac:dyDescent="0.25">
      <c r="A4397" s="11" t="s">
        <v>9708</v>
      </c>
      <c r="B4397" s="11" t="s">
        <v>9709</v>
      </c>
      <c r="C4397" s="11" t="s">
        <v>137</v>
      </c>
      <c r="D4397" s="11" t="s">
        <v>18</v>
      </c>
      <c r="E4397" s="12" t="s">
        <v>103</v>
      </c>
      <c r="F4397" s="12" t="s">
        <v>104</v>
      </c>
      <c r="G4397" s="12" t="s">
        <v>21</v>
      </c>
      <c r="H4397" s="11" t="s">
        <v>63</v>
      </c>
      <c r="I4397" s="13" t="s">
        <v>9710</v>
      </c>
      <c r="J4397" s="14" t="str">
        <f>HYPERLINK("https://www.boe.es/gazeta/dias/1839/10/12/pdfs/GMD-1839-1798.pdf#page=4","Abrir facsímil")</f>
        <v>Abrir facsímil</v>
      </c>
      <c r="K4397" s="12" t="s">
        <v>65</v>
      </c>
    </row>
    <row r="4398" spans="1:11" ht="40.049999999999997" customHeight="1" x14ac:dyDescent="0.25">
      <c r="A4398" s="11" t="s">
        <v>9711</v>
      </c>
      <c r="B4398" s="11" t="s">
        <v>9712</v>
      </c>
      <c r="C4398" s="11" t="s">
        <v>17</v>
      </c>
      <c r="D4398" s="11" t="s">
        <v>18</v>
      </c>
      <c r="E4398" s="12" t="s">
        <v>2658</v>
      </c>
      <c r="F4398" s="12" t="s">
        <v>2659</v>
      </c>
      <c r="G4398" s="12" t="s">
        <v>40</v>
      </c>
      <c r="H4398" s="11" t="s">
        <v>63</v>
      </c>
      <c r="I4398" s="13" t="s">
        <v>9713</v>
      </c>
      <c r="J4398" s="14" t="str">
        <f>HYPERLINK("https://www.boe.es/gazeta/dias/1839/06/27/pdfs/GMD-1839-1685.pdf#page=2","Abrir facsímil")</f>
        <v>Abrir facsímil</v>
      </c>
      <c r="K4398" s="12" t="s">
        <v>65</v>
      </c>
    </row>
    <row r="4399" spans="1:11" ht="40.049999999999997" customHeight="1" x14ac:dyDescent="0.25">
      <c r="A4399" s="11" t="s">
        <v>9714</v>
      </c>
      <c r="B4399" s="11" t="s">
        <v>9715</v>
      </c>
      <c r="C4399" s="11" t="s">
        <v>17</v>
      </c>
      <c r="D4399" s="11" t="s">
        <v>43</v>
      </c>
      <c r="E4399" s="12" t="s">
        <v>1144</v>
      </c>
      <c r="F4399" s="12" t="s">
        <v>1145</v>
      </c>
      <c r="G4399" s="12" t="s">
        <v>21</v>
      </c>
      <c r="H4399" s="11" t="s">
        <v>63</v>
      </c>
      <c r="I4399" s="13" t="s">
        <v>9716</v>
      </c>
      <c r="J4399" s="14" t="str">
        <f>HYPERLINK("https://www.boe.es/gazeta/dias/1839/08/13/pdfs/GMD-1839-1733.pdf#page=4","Abrir facsímil")</f>
        <v>Abrir facsímil</v>
      </c>
      <c r="K4399" s="12" t="s">
        <v>65</v>
      </c>
    </row>
    <row r="4400" spans="1:11" ht="40.049999999999997" customHeight="1" x14ac:dyDescent="0.25">
      <c r="A4400" s="11" t="s">
        <v>9717</v>
      </c>
      <c r="B4400" s="11" t="s">
        <v>9718</v>
      </c>
      <c r="C4400" s="11" t="s">
        <v>137</v>
      </c>
      <c r="D4400" s="11" t="s">
        <v>18</v>
      </c>
      <c r="E4400" s="12" t="s">
        <v>287</v>
      </c>
      <c r="F4400" s="12" t="s">
        <v>288</v>
      </c>
      <c r="G4400" s="12" t="s">
        <v>46</v>
      </c>
      <c r="H4400" s="11" t="s">
        <v>63</v>
      </c>
      <c r="I4400" s="13" t="s">
        <v>9719</v>
      </c>
      <c r="J4400" s="14" t="str">
        <f>HYPERLINK("https://www.boe.es/gazeta/dias/1839/11/27/pdfs/GMD-1839-1844.pdf#page=3","Abrir facsímil")</f>
        <v>Abrir facsímil</v>
      </c>
      <c r="K4400" s="12" t="s">
        <v>65</v>
      </c>
    </row>
    <row r="4401" spans="1:11" ht="40.049999999999997" customHeight="1" x14ac:dyDescent="0.25">
      <c r="A4401" s="11" t="s">
        <v>9720</v>
      </c>
      <c r="B4401" s="11" t="s">
        <v>9721</v>
      </c>
      <c r="C4401" s="11" t="s">
        <v>137</v>
      </c>
      <c r="D4401" s="11" t="s">
        <v>18</v>
      </c>
      <c r="E4401" s="12" t="s">
        <v>38</v>
      </c>
      <c r="F4401" s="12" t="s">
        <v>39</v>
      </c>
      <c r="G4401" s="12" t="s">
        <v>21</v>
      </c>
      <c r="H4401" s="11" t="s">
        <v>63</v>
      </c>
      <c r="I4401" s="13" t="s">
        <v>9722</v>
      </c>
      <c r="J4401" s="14" t="str">
        <f>HYPERLINK("https://www.boe.es/gazeta/dias/1839/08/08/pdfs/GMD-1839-1728.pdf#page=4","Abrir facsímil")</f>
        <v>Abrir facsímil</v>
      </c>
      <c r="K4401" s="12" t="s">
        <v>65</v>
      </c>
    </row>
    <row r="4402" spans="1:11" ht="40.049999999999997" customHeight="1" x14ac:dyDescent="0.25">
      <c r="A4402" s="11" t="s">
        <v>9723</v>
      </c>
      <c r="B4402" s="11" t="s">
        <v>9724</v>
      </c>
      <c r="C4402" s="11" t="s">
        <v>17</v>
      </c>
      <c r="D4402" s="11" t="s">
        <v>18</v>
      </c>
      <c r="E4402" s="12" t="s">
        <v>5138</v>
      </c>
      <c r="F4402" s="12" t="s">
        <v>5139</v>
      </c>
      <c r="G4402" s="12" t="s">
        <v>46</v>
      </c>
      <c r="H4402" s="11" t="s">
        <v>63</v>
      </c>
      <c r="I4402" s="13" t="s">
        <v>9725</v>
      </c>
      <c r="J4402" s="14" t="str">
        <f>HYPERLINK("https://www.boe.es/gazeta/dias/1839/08/15/pdfs/GMD-1839-1735.pdf#page=3","Abrir facsímil")</f>
        <v>Abrir facsímil</v>
      </c>
      <c r="K4402" s="12" t="s">
        <v>65</v>
      </c>
    </row>
    <row r="4403" spans="1:11" ht="40.049999999999997" customHeight="1" x14ac:dyDescent="0.25">
      <c r="A4403" s="11" t="s">
        <v>9726</v>
      </c>
      <c r="B4403" s="11" t="s">
        <v>9727</v>
      </c>
      <c r="C4403" s="11" t="s">
        <v>80</v>
      </c>
      <c r="D4403" s="11" t="s">
        <v>18</v>
      </c>
      <c r="E4403" s="12" t="s">
        <v>1012</v>
      </c>
      <c r="F4403" s="12" t="s">
        <v>1013</v>
      </c>
      <c r="G4403" s="12" t="s">
        <v>46</v>
      </c>
      <c r="H4403" s="11" t="s">
        <v>63</v>
      </c>
      <c r="I4403" s="13" t="s">
        <v>9728</v>
      </c>
      <c r="J4403" s="14" t="str">
        <f>HYPERLINK("https://www.boe.es/gazeta/dias/1839/11/22/pdfs/GMD-1839-1839.pdf#page=3","Abrir facsímil")</f>
        <v>Abrir facsímil</v>
      </c>
      <c r="K4403" s="12" t="s">
        <v>65</v>
      </c>
    </row>
    <row r="4404" spans="1:11" ht="40.049999999999997" customHeight="1" x14ac:dyDescent="0.25">
      <c r="A4404" s="11" t="s">
        <v>9729</v>
      </c>
      <c r="B4404" s="11" t="s">
        <v>9730</v>
      </c>
      <c r="C4404" s="11" t="s">
        <v>59</v>
      </c>
      <c r="D4404" s="11" t="s">
        <v>60</v>
      </c>
      <c r="E4404" s="12" t="s">
        <v>385</v>
      </c>
      <c r="F4404" s="12" t="s">
        <v>386</v>
      </c>
      <c r="G4404" s="12" t="s">
        <v>40</v>
      </c>
      <c r="H4404" s="11" t="s">
        <v>63</v>
      </c>
      <c r="I4404" s="13" t="s">
        <v>9731</v>
      </c>
      <c r="J4404" s="14" t="str">
        <f>HYPERLINK("https://www.boe.es/gazeta/dias/1839/08/01/pdfs/GMD-1839-1721.pdf#page=2","Abrir facsímil")</f>
        <v>Abrir facsímil</v>
      </c>
      <c r="K4404" s="12" t="s">
        <v>65</v>
      </c>
    </row>
    <row r="4405" spans="1:11" ht="40.049999999999997" customHeight="1" x14ac:dyDescent="0.25">
      <c r="A4405" s="11" t="s">
        <v>9732</v>
      </c>
      <c r="B4405" s="11" t="s">
        <v>9733</v>
      </c>
      <c r="C4405" s="11" t="s">
        <v>80</v>
      </c>
      <c r="D4405" s="11" t="s">
        <v>18</v>
      </c>
      <c r="E4405" s="12" t="s">
        <v>76</v>
      </c>
      <c r="F4405" s="12" t="s">
        <v>77</v>
      </c>
      <c r="G4405" s="12" t="s">
        <v>46</v>
      </c>
      <c r="H4405" s="11" t="s">
        <v>63</v>
      </c>
      <c r="I4405" s="13" t="s">
        <v>9734</v>
      </c>
      <c r="J4405" s="14" t="str">
        <f>HYPERLINK("https://www.boe.es/gazeta/dias/1839/03/13/pdfs/GMD-1839-1579.pdf#page=3","Abrir facsímil")</f>
        <v>Abrir facsímil</v>
      </c>
      <c r="K4405" s="12" t="s">
        <v>65</v>
      </c>
    </row>
    <row r="4406" spans="1:11" ht="40.049999999999997" customHeight="1" x14ac:dyDescent="0.25">
      <c r="A4406" s="11" t="s">
        <v>9735</v>
      </c>
      <c r="B4406" s="11" t="s">
        <v>9736</v>
      </c>
      <c r="C4406" s="11" t="s">
        <v>137</v>
      </c>
      <c r="D4406" s="11" t="s">
        <v>18</v>
      </c>
      <c r="E4406" s="12" t="s">
        <v>1310</v>
      </c>
      <c r="F4406" s="12" t="s">
        <v>1311</v>
      </c>
      <c r="G4406" s="12" t="s">
        <v>40</v>
      </c>
      <c r="H4406" s="11" t="s">
        <v>63</v>
      </c>
      <c r="I4406" s="13" t="s">
        <v>9737</v>
      </c>
      <c r="J4406" s="14" t="str">
        <f>HYPERLINK("https://www.boe.es/gazeta/dias/1839/04/23/pdfs/GMD-1839-1620.pdf#page=2","Abrir facsímil")</f>
        <v>Abrir facsímil</v>
      </c>
      <c r="K4406" s="12" t="s">
        <v>65</v>
      </c>
    </row>
    <row r="4407" spans="1:11" ht="40.049999999999997" customHeight="1" x14ac:dyDescent="0.25">
      <c r="A4407" s="11" t="s">
        <v>9738</v>
      </c>
      <c r="B4407" s="11" t="s">
        <v>9739</v>
      </c>
      <c r="C4407" s="11" t="s">
        <v>80</v>
      </c>
      <c r="D4407" s="11" t="s">
        <v>18</v>
      </c>
      <c r="E4407" s="12" t="s">
        <v>372</v>
      </c>
      <c r="F4407" s="12" t="s">
        <v>373</v>
      </c>
      <c r="G4407" s="12" t="s">
        <v>21</v>
      </c>
      <c r="H4407" s="11" t="s">
        <v>63</v>
      </c>
      <c r="I4407" s="13" t="s">
        <v>9740</v>
      </c>
      <c r="J4407" s="14" t="str">
        <f>HYPERLINK("https://www.boe.es/gazeta/dias/1839/11/08/pdfs/GMD-1839-1825.pdf#page=4","Abrir facsímil")</f>
        <v>Abrir facsímil</v>
      </c>
      <c r="K4407" s="12" t="s">
        <v>65</v>
      </c>
    </row>
    <row r="4408" spans="1:11" ht="40.049999999999997" customHeight="1" x14ac:dyDescent="0.25">
      <c r="A4408" s="11" t="s">
        <v>9741</v>
      </c>
      <c r="B4408" s="11" t="s">
        <v>9742</v>
      </c>
      <c r="C4408" s="11" t="s">
        <v>80</v>
      </c>
      <c r="D4408" s="11" t="s">
        <v>18</v>
      </c>
      <c r="E4408" s="12" t="s">
        <v>2138</v>
      </c>
      <c r="F4408" s="12" t="s">
        <v>2139</v>
      </c>
      <c r="G4408" s="12" t="s">
        <v>305</v>
      </c>
      <c r="H4408" s="11" t="s">
        <v>63</v>
      </c>
      <c r="I4408" s="13" t="s">
        <v>9743</v>
      </c>
      <c r="J4408" s="14" t="str">
        <f>HYPERLINK("https://www.boe.es/gazeta/dias/1839/10/02/pdfs/GMD-1839-1788.pdf#page=6","Abrir facsímil")</f>
        <v>Abrir facsímil</v>
      </c>
      <c r="K4408" s="12" t="s">
        <v>65</v>
      </c>
    </row>
    <row r="4409" spans="1:11" ht="40.049999999999997" customHeight="1" x14ac:dyDescent="0.25">
      <c r="A4409" s="11" t="s">
        <v>9744</v>
      </c>
      <c r="B4409" s="11" t="s">
        <v>9745</v>
      </c>
      <c r="C4409" s="11" t="s">
        <v>17</v>
      </c>
      <c r="D4409" s="11" t="s">
        <v>18</v>
      </c>
      <c r="E4409" s="12" t="s">
        <v>1891</v>
      </c>
      <c r="F4409" s="12" t="s">
        <v>1892</v>
      </c>
      <c r="G4409" s="12" t="s">
        <v>21</v>
      </c>
      <c r="H4409" s="11" t="s">
        <v>63</v>
      </c>
      <c r="I4409" s="13" t="s">
        <v>9746</v>
      </c>
      <c r="J4409" s="14" t="str">
        <f>HYPERLINK("https://www.boe.es/gazeta/dias/1839/12/14/pdfs/GMD-1839-1861.pdf#page=4","Abrir facsímil")</f>
        <v>Abrir facsímil</v>
      </c>
      <c r="K4409" s="12" t="s">
        <v>65</v>
      </c>
    </row>
    <row r="4410" spans="1:11" ht="40.049999999999997" customHeight="1" x14ac:dyDescent="0.25">
      <c r="A4410" s="11" t="s">
        <v>9747</v>
      </c>
      <c r="B4410" s="11" t="s">
        <v>9748</v>
      </c>
      <c r="C4410" s="11" t="s">
        <v>17</v>
      </c>
      <c r="D4410" s="11" t="s">
        <v>18</v>
      </c>
      <c r="E4410" s="12" t="s">
        <v>647</v>
      </c>
      <c r="F4410" s="12" t="s">
        <v>648</v>
      </c>
      <c r="G4410" s="12" t="s">
        <v>305</v>
      </c>
      <c r="H4410" s="11" t="s">
        <v>63</v>
      </c>
      <c r="I4410" s="13" t="s">
        <v>9749</v>
      </c>
      <c r="J4410" s="14" t="str">
        <f>HYPERLINK("https://www.boe.es/gazeta/dias/1839/10/08/pdfs/GMD-1839-1794.pdf#page=6","Abrir facsímil")</f>
        <v>Abrir facsímil</v>
      </c>
      <c r="K4410" s="12" t="s">
        <v>65</v>
      </c>
    </row>
    <row r="4411" spans="1:11" ht="40.049999999999997" customHeight="1" x14ac:dyDescent="0.25">
      <c r="A4411" s="11" t="s">
        <v>9750</v>
      </c>
      <c r="B4411" s="11" t="s">
        <v>9751</v>
      </c>
      <c r="C4411" s="11" t="s">
        <v>80</v>
      </c>
      <c r="D4411" s="11" t="s">
        <v>18</v>
      </c>
      <c r="E4411" s="12" t="s">
        <v>4472</v>
      </c>
      <c r="F4411" s="12" t="s">
        <v>4473</v>
      </c>
      <c r="G4411" s="12" t="s">
        <v>21</v>
      </c>
      <c r="H4411" s="11" t="s">
        <v>63</v>
      </c>
      <c r="I4411" s="13" t="s">
        <v>9752</v>
      </c>
      <c r="J4411" s="14" t="str">
        <f>HYPERLINK("https://www.boe.es/gazeta/dias/1839/08/03/pdfs/GMD-1839-1723.pdf#page=4","Abrir facsímil")</f>
        <v>Abrir facsímil</v>
      </c>
      <c r="K4411" s="12" t="s">
        <v>65</v>
      </c>
    </row>
    <row r="4412" spans="1:11" ht="40.049999999999997" customHeight="1" x14ac:dyDescent="0.25">
      <c r="A4412" s="11" t="s">
        <v>9753</v>
      </c>
      <c r="B4412" s="11" t="s">
        <v>9754</v>
      </c>
      <c r="C4412" s="11" t="s">
        <v>101</v>
      </c>
      <c r="D4412" s="11" t="s">
        <v>43</v>
      </c>
      <c r="E4412" s="12" t="s">
        <v>720</v>
      </c>
      <c r="F4412" s="12" t="s">
        <v>721</v>
      </c>
      <c r="G4412" s="12" t="s">
        <v>40</v>
      </c>
      <c r="H4412" s="11" t="s">
        <v>63</v>
      </c>
      <c r="I4412" s="13" t="s">
        <v>9755</v>
      </c>
      <c r="J4412" s="14" t="str">
        <f>HYPERLINK("https://www.boe.es/gazeta/dias/1839/01/14/pdfs/GMD-1839-1521.pdf#page=2","Abrir facsímil")</f>
        <v>Abrir facsímil</v>
      </c>
      <c r="K4412" s="12" t="s">
        <v>65</v>
      </c>
    </row>
    <row r="4413" spans="1:11" ht="40.049999999999997" customHeight="1" x14ac:dyDescent="0.25">
      <c r="A4413" s="11" t="s">
        <v>9756</v>
      </c>
      <c r="B4413" s="11" t="s">
        <v>9757</v>
      </c>
      <c r="C4413" s="11" t="s">
        <v>17</v>
      </c>
      <c r="D4413" s="11" t="s">
        <v>18</v>
      </c>
      <c r="E4413" s="12" t="s">
        <v>5138</v>
      </c>
      <c r="F4413" s="12" t="s">
        <v>5139</v>
      </c>
      <c r="G4413" s="12" t="s">
        <v>46</v>
      </c>
      <c r="H4413" s="11" t="s">
        <v>63</v>
      </c>
      <c r="I4413" s="13" t="s">
        <v>9758</v>
      </c>
      <c r="J4413" s="14" t="str">
        <f>HYPERLINK("https://www.boe.es/gazeta/dias/1839/08/15/pdfs/GMD-1839-1735.pdf#page=3","Abrir facsímil")</f>
        <v>Abrir facsímil</v>
      </c>
      <c r="K4413" s="12" t="s">
        <v>65</v>
      </c>
    </row>
    <row r="4414" spans="1:11" ht="40.049999999999997" customHeight="1" x14ac:dyDescent="0.25">
      <c r="A4414" s="11" t="s">
        <v>9759</v>
      </c>
      <c r="B4414" s="11" t="s">
        <v>9760</v>
      </c>
      <c r="C4414" s="11" t="s">
        <v>17</v>
      </c>
      <c r="D4414" s="11" t="s">
        <v>18</v>
      </c>
      <c r="E4414" s="12" t="s">
        <v>284</v>
      </c>
      <c r="F4414" s="12" t="s">
        <v>285</v>
      </c>
      <c r="G4414" s="12" t="s">
        <v>46</v>
      </c>
      <c r="H4414" s="11" t="s">
        <v>63</v>
      </c>
      <c r="I4414" s="13" t="s">
        <v>9761</v>
      </c>
      <c r="J4414" s="14" t="str">
        <f>HYPERLINK("https://www.boe.es/gazeta/dias/1839/01/27/pdfs/GMD-1839-1534.pdf#page=3","Abrir facsímil")</f>
        <v>Abrir facsímil</v>
      </c>
      <c r="K4414" s="12" t="s">
        <v>65</v>
      </c>
    </row>
    <row r="4415" spans="1:11" ht="40.049999999999997" customHeight="1" x14ac:dyDescent="0.25">
      <c r="A4415" s="11" t="s">
        <v>9762</v>
      </c>
      <c r="B4415" s="11" t="s">
        <v>9763</v>
      </c>
      <c r="C4415" s="11" t="s">
        <v>80</v>
      </c>
      <c r="D4415" s="11" t="s">
        <v>18</v>
      </c>
      <c r="E4415" s="12" t="s">
        <v>3614</v>
      </c>
      <c r="F4415" s="12" t="s">
        <v>3615</v>
      </c>
      <c r="G4415" s="12" t="s">
        <v>21</v>
      </c>
      <c r="H4415" s="11" t="s">
        <v>63</v>
      </c>
      <c r="I4415" s="13" t="s">
        <v>9764</v>
      </c>
      <c r="J4415" s="14" t="str">
        <f>HYPERLINK("https://www.boe.es/gazeta/dias/1839/04/04/pdfs/GMD-1839-1601.pdf#page=4","Abrir facsímil")</f>
        <v>Abrir facsímil</v>
      </c>
      <c r="K4415" s="12" t="s">
        <v>65</v>
      </c>
    </row>
    <row r="4416" spans="1:11" ht="40.049999999999997" customHeight="1" x14ac:dyDescent="0.25">
      <c r="A4416" s="11" t="s">
        <v>9762</v>
      </c>
      <c r="B4416" s="11" t="s">
        <v>9763</v>
      </c>
      <c r="C4416" s="11" t="s">
        <v>80</v>
      </c>
      <c r="D4416" s="11" t="s">
        <v>18</v>
      </c>
      <c r="E4416" s="12" t="s">
        <v>959</v>
      </c>
      <c r="F4416" s="12" t="s">
        <v>960</v>
      </c>
      <c r="G4416" s="12" t="s">
        <v>40</v>
      </c>
      <c r="H4416" s="11" t="s">
        <v>63</v>
      </c>
      <c r="I4416" s="13" t="s">
        <v>9765</v>
      </c>
      <c r="J4416" s="14" t="str">
        <f>HYPERLINK("https://www.boe.es/gazeta/dias/1839/12/06/pdfs/GMD-1839-1853.pdf#page=2","Abrir facsímil")</f>
        <v>Abrir facsímil</v>
      </c>
      <c r="K4416" s="12" t="s">
        <v>65</v>
      </c>
    </row>
    <row r="4417" spans="1:11" ht="40.049999999999997" customHeight="1" x14ac:dyDescent="0.25">
      <c r="A4417" s="11" t="s">
        <v>9762</v>
      </c>
      <c r="B4417" s="11" t="s">
        <v>9763</v>
      </c>
      <c r="C4417" s="11" t="s">
        <v>59</v>
      </c>
      <c r="D4417" s="11" t="s">
        <v>60</v>
      </c>
      <c r="E4417" s="12" t="s">
        <v>160</v>
      </c>
      <c r="F4417" s="12" t="s">
        <v>161</v>
      </c>
      <c r="G4417" s="12" t="s">
        <v>40</v>
      </c>
      <c r="H4417" s="11" t="s">
        <v>63</v>
      </c>
      <c r="I4417" s="13" t="s">
        <v>9766</v>
      </c>
      <c r="J4417" s="14" t="str">
        <f>HYPERLINK("https://www.boe.es/gazeta/dias/1839/01/10/pdfs/GMD-1839-1517.pdf#page=2","Abrir facsímil")</f>
        <v>Abrir facsímil</v>
      </c>
      <c r="K4417" s="12" t="s">
        <v>65</v>
      </c>
    </row>
    <row r="4418" spans="1:11" ht="40.049999999999997" customHeight="1" x14ac:dyDescent="0.25">
      <c r="A4418" s="11" t="s">
        <v>9762</v>
      </c>
      <c r="B4418" s="11" t="s">
        <v>9763</v>
      </c>
      <c r="C4418" s="11" t="s">
        <v>17</v>
      </c>
      <c r="D4418" s="11" t="s">
        <v>18</v>
      </c>
      <c r="E4418" s="12" t="s">
        <v>1123</v>
      </c>
      <c r="F4418" s="12" t="s">
        <v>1124</v>
      </c>
      <c r="G4418" s="12" t="s">
        <v>21</v>
      </c>
      <c r="H4418" s="11" t="s">
        <v>63</v>
      </c>
      <c r="I4418" s="13" t="s">
        <v>9767</v>
      </c>
      <c r="J4418" s="14" t="str">
        <f>HYPERLINK("https://www.boe.es/gazeta/dias/1839/08/10/pdfs/GMD-1839-1730.pdf#page=4","Abrir facsímil")</f>
        <v>Abrir facsímil</v>
      </c>
      <c r="K4418" s="12" t="s">
        <v>65</v>
      </c>
    </row>
    <row r="4419" spans="1:11" ht="40.049999999999997" customHeight="1" x14ac:dyDescent="0.25">
      <c r="A4419" s="11" t="s">
        <v>9762</v>
      </c>
      <c r="B4419" s="11" t="s">
        <v>9763</v>
      </c>
      <c r="C4419" s="11" t="s">
        <v>137</v>
      </c>
      <c r="D4419" s="11" t="s">
        <v>18</v>
      </c>
      <c r="E4419" s="12" t="s">
        <v>272</v>
      </c>
      <c r="F4419" s="12" t="s">
        <v>273</v>
      </c>
      <c r="G4419" s="12" t="s">
        <v>29</v>
      </c>
      <c r="H4419" s="11" t="s">
        <v>63</v>
      </c>
      <c r="I4419" s="13" t="s">
        <v>9768</v>
      </c>
      <c r="J4419" s="14" t="str">
        <f>HYPERLINK("https://www.boe.es/gazeta/dias/1839/02/12/pdfs/GMD-1839-1550.pdf#page=1","Abrir facsímil")</f>
        <v>Abrir facsímil</v>
      </c>
      <c r="K4419" s="12" t="s">
        <v>65</v>
      </c>
    </row>
    <row r="4420" spans="1:11" ht="40.049999999999997" customHeight="1" x14ac:dyDescent="0.25">
      <c r="A4420" s="11" t="s">
        <v>9762</v>
      </c>
      <c r="B4420" s="11" t="s">
        <v>9763</v>
      </c>
      <c r="C4420" s="11" t="s">
        <v>17</v>
      </c>
      <c r="D4420" s="11" t="s">
        <v>18</v>
      </c>
      <c r="E4420" s="12" t="s">
        <v>1027</v>
      </c>
      <c r="F4420" s="12" t="s">
        <v>1028</v>
      </c>
      <c r="G4420" s="12" t="s">
        <v>21</v>
      </c>
      <c r="H4420" s="11" t="s">
        <v>63</v>
      </c>
      <c r="I4420" s="13" t="s">
        <v>9769</v>
      </c>
      <c r="J4420" s="14" t="str">
        <f>HYPERLINK("https://www.boe.es/gazeta/dias/1839/08/16/pdfs/GMD-1839-1736.pdf#page=4","Abrir facsímil")</f>
        <v>Abrir facsímil</v>
      </c>
      <c r="K4420" s="12" t="s">
        <v>65</v>
      </c>
    </row>
    <row r="4421" spans="1:11" ht="40.049999999999997" customHeight="1" x14ac:dyDescent="0.25">
      <c r="A4421" s="11" t="s">
        <v>9762</v>
      </c>
      <c r="B4421" s="11" t="s">
        <v>9763</v>
      </c>
      <c r="C4421" s="11" t="s">
        <v>137</v>
      </c>
      <c r="D4421" s="11" t="s">
        <v>18</v>
      </c>
      <c r="E4421" s="12" t="s">
        <v>516</v>
      </c>
      <c r="F4421" s="12" t="s">
        <v>517</v>
      </c>
      <c r="G4421" s="12" t="s">
        <v>21</v>
      </c>
      <c r="H4421" s="11" t="s">
        <v>63</v>
      </c>
      <c r="I4421" s="13" t="s">
        <v>9770</v>
      </c>
      <c r="J4421" s="14" t="str">
        <f>HYPERLINK("https://www.boe.es/gazeta/dias/1839/06/21/pdfs/GMD-1839-1679.pdf#page=4","Abrir facsímil")</f>
        <v>Abrir facsímil</v>
      </c>
      <c r="K4421" s="12" t="s">
        <v>65</v>
      </c>
    </row>
    <row r="4422" spans="1:11" ht="40.049999999999997" customHeight="1" x14ac:dyDescent="0.25">
      <c r="A4422" s="11" t="s">
        <v>9762</v>
      </c>
      <c r="B4422" s="11" t="s">
        <v>9763</v>
      </c>
      <c r="C4422" s="11" t="s">
        <v>17</v>
      </c>
      <c r="D4422" s="11" t="s">
        <v>18</v>
      </c>
      <c r="E4422" s="12" t="s">
        <v>1433</v>
      </c>
      <c r="F4422" s="12" t="s">
        <v>1434</v>
      </c>
      <c r="G4422" s="12" t="s">
        <v>40</v>
      </c>
      <c r="H4422" s="11" t="s">
        <v>63</v>
      </c>
      <c r="I4422" s="13" t="s">
        <v>9771</v>
      </c>
      <c r="J4422" s="14" t="str">
        <f>HYPERLINK("https://www.boe.es/gazeta/dias/1839/10/22/pdfs/GMD-1839-1808.pdf#page=2","Abrir facsímil")</f>
        <v>Abrir facsímil</v>
      </c>
      <c r="K4422" s="12" t="s">
        <v>65</v>
      </c>
    </row>
    <row r="4423" spans="1:11" ht="40.049999999999997" customHeight="1" x14ac:dyDescent="0.25">
      <c r="A4423" s="11" t="s">
        <v>9772</v>
      </c>
      <c r="B4423" s="11" t="s">
        <v>9773</v>
      </c>
      <c r="C4423" s="11" t="s">
        <v>59</v>
      </c>
      <c r="D4423" s="11" t="s">
        <v>60</v>
      </c>
      <c r="E4423" s="12" t="s">
        <v>4055</v>
      </c>
      <c r="F4423" s="12" t="s">
        <v>4056</v>
      </c>
      <c r="G4423" s="12" t="s">
        <v>29</v>
      </c>
      <c r="H4423" s="11" t="s">
        <v>63</v>
      </c>
      <c r="I4423" s="13" t="s">
        <v>9774</v>
      </c>
      <c r="J4423" s="14" t="str">
        <f>HYPERLINK("https://www.boe.es/gazeta/dias/1839/03/07/pdfs/GMD-1839-1573.pdf#page=1","Abrir facsímil")</f>
        <v>Abrir facsímil</v>
      </c>
      <c r="K4423" s="12" t="s">
        <v>65</v>
      </c>
    </row>
    <row r="4424" spans="1:11" ht="40.049999999999997" customHeight="1" x14ac:dyDescent="0.25">
      <c r="A4424" s="11" t="s">
        <v>9772</v>
      </c>
      <c r="B4424" s="11" t="s">
        <v>9773</v>
      </c>
      <c r="C4424" s="11" t="s">
        <v>59</v>
      </c>
      <c r="D4424" s="11" t="s">
        <v>60</v>
      </c>
      <c r="E4424" s="12" t="s">
        <v>1072</v>
      </c>
      <c r="F4424" s="12" t="s">
        <v>1073</v>
      </c>
      <c r="G4424" s="12" t="s">
        <v>29</v>
      </c>
      <c r="H4424" s="11" t="s">
        <v>63</v>
      </c>
      <c r="I4424" s="13" t="s">
        <v>9775</v>
      </c>
      <c r="J4424" s="14" t="str">
        <f>HYPERLINK("https://www.boe.es/gazeta/dias/1839/01/18/pdfs/GMD-1839-1525.pdf#page=1","Abrir facsímil")</f>
        <v>Abrir facsímil</v>
      </c>
      <c r="K4424" s="12" t="s">
        <v>65</v>
      </c>
    </row>
    <row r="4425" spans="1:11" ht="40.049999999999997" customHeight="1" x14ac:dyDescent="0.25">
      <c r="A4425" s="11" t="s">
        <v>9772</v>
      </c>
      <c r="B4425" s="11" t="s">
        <v>9773</v>
      </c>
      <c r="C4425" s="11" t="s">
        <v>80</v>
      </c>
      <c r="D4425" s="11" t="s">
        <v>173</v>
      </c>
      <c r="E4425" s="12" t="s">
        <v>1679</v>
      </c>
      <c r="F4425" s="12" t="s">
        <v>1680</v>
      </c>
      <c r="G4425" s="12" t="s">
        <v>29</v>
      </c>
      <c r="H4425" s="11" t="s">
        <v>63</v>
      </c>
      <c r="I4425" s="13" t="s">
        <v>9776</v>
      </c>
      <c r="J4425" s="14" t="str">
        <f>HYPERLINK("https://www.boe.es/gazeta/dias/1839/01/26/pdfs/GMD-1839-1533.pdf#page=1","Abrir facsímil")</f>
        <v>Abrir facsímil</v>
      </c>
      <c r="K4425" s="12" t="s">
        <v>65</v>
      </c>
    </row>
    <row r="4426" spans="1:11" ht="40.049999999999997" customHeight="1" x14ac:dyDescent="0.25">
      <c r="A4426" s="11" t="s">
        <v>9777</v>
      </c>
      <c r="B4426" s="11" t="s">
        <v>9778</v>
      </c>
      <c r="C4426" s="11" t="s">
        <v>17</v>
      </c>
      <c r="D4426" s="11" t="s">
        <v>18</v>
      </c>
      <c r="E4426" s="12" t="s">
        <v>1395</v>
      </c>
      <c r="F4426" s="12" t="s">
        <v>1396</v>
      </c>
      <c r="G4426" s="12" t="s">
        <v>21</v>
      </c>
      <c r="H4426" s="11" t="s">
        <v>63</v>
      </c>
      <c r="I4426" s="13" t="s">
        <v>9779</v>
      </c>
      <c r="J4426" s="14" t="str">
        <f>HYPERLINK("https://www.boe.es/gazeta/dias/1839/06/26/pdfs/GMD-1839-1684.pdf#page=4","Abrir facsímil")</f>
        <v>Abrir facsímil</v>
      </c>
      <c r="K4426" s="12" t="s">
        <v>65</v>
      </c>
    </row>
    <row r="4427" spans="1:11" ht="40.049999999999997" customHeight="1" x14ac:dyDescent="0.25">
      <c r="A4427" s="11" t="s">
        <v>9780</v>
      </c>
      <c r="B4427" s="11" t="s">
        <v>9781</v>
      </c>
      <c r="C4427" s="11" t="s">
        <v>80</v>
      </c>
      <c r="D4427" s="11" t="s">
        <v>18</v>
      </c>
      <c r="E4427" s="12" t="s">
        <v>821</v>
      </c>
      <c r="F4427" s="12" t="s">
        <v>822</v>
      </c>
      <c r="G4427" s="12" t="s">
        <v>21</v>
      </c>
      <c r="H4427" s="11" t="s">
        <v>63</v>
      </c>
      <c r="I4427" s="13" t="s">
        <v>9782</v>
      </c>
      <c r="J4427" s="14" t="str">
        <f>HYPERLINK("https://www.boe.es/gazeta/dias/1839/09/20/pdfs/GMD-1839-1775.pdf#page=4","Abrir facsímil")</f>
        <v>Abrir facsímil</v>
      </c>
      <c r="K4427" s="12" t="s">
        <v>65</v>
      </c>
    </row>
    <row r="4428" spans="1:11" ht="40.049999999999997" customHeight="1" x14ac:dyDescent="0.25">
      <c r="A4428" s="11" t="s">
        <v>9783</v>
      </c>
      <c r="B4428" s="11" t="s">
        <v>9784</v>
      </c>
      <c r="C4428" s="11" t="s">
        <v>137</v>
      </c>
      <c r="D4428" s="11" t="s">
        <v>18</v>
      </c>
      <c r="E4428" s="12" t="s">
        <v>736</v>
      </c>
      <c r="F4428" s="12" t="s">
        <v>737</v>
      </c>
      <c r="G4428" s="12" t="s">
        <v>21</v>
      </c>
      <c r="H4428" s="11" t="s">
        <v>63</v>
      </c>
      <c r="I4428" s="13" t="s">
        <v>9785</v>
      </c>
      <c r="J4428" s="14" t="str">
        <f>HYPERLINK("https://www.boe.es/gazeta/dias/1839/10/13/pdfs/GMD-1839-1799.pdf#page=4","Abrir facsímil")</f>
        <v>Abrir facsímil</v>
      </c>
      <c r="K4428" s="12" t="s">
        <v>65</v>
      </c>
    </row>
    <row r="4429" spans="1:11" ht="40.049999999999997" customHeight="1" x14ac:dyDescent="0.25">
      <c r="A4429" s="11" t="s">
        <v>9783</v>
      </c>
      <c r="B4429" s="11" t="s">
        <v>9784</v>
      </c>
      <c r="C4429" s="11" t="s">
        <v>17</v>
      </c>
      <c r="D4429" s="11" t="s">
        <v>18</v>
      </c>
      <c r="E4429" s="12" t="s">
        <v>1988</v>
      </c>
      <c r="F4429" s="12" t="s">
        <v>1989</v>
      </c>
      <c r="G4429" s="12" t="s">
        <v>566</v>
      </c>
      <c r="H4429" s="11" t="s">
        <v>63</v>
      </c>
      <c r="I4429" s="13" t="s">
        <v>9786</v>
      </c>
      <c r="J4429" s="14" t="str">
        <f>HYPERLINK("https://www.boe.es/gazeta/dias/1839/10/29/pdfs/GMD-1839-1815.pdf#page=5","Abrir facsímil")</f>
        <v>Abrir facsímil</v>
      </c>
      <c r="K4429" s="12" t="s">
        <v>65</v>
      </c>
    </row>
    <row r="4430" spans="1:11" ht="40.049999999999997" customHeight="1" x14ac:dyDescent="0.25">
      <c r="A4430" s="11" t="s">
        <v>9787</v>
      </c>
      <c r="B4430" s="11" t="s">
        <v>9788</v>
      </c>
      <c r="C4430" s="11" t="s">
        <v>17</v>
      </c>
      <c r="D4430" s="11" t="s">
        <v>18</v>
      </c>
      <c r="E4430" s="12" t="s">
        <v>269</v>
      </c>
      <c r="F4430" s="12" t="s">
        <v>270</v>
      </c>
      <c r="G4430" s="12" t="s">
        <v>21</v>
      </c>
      <c r="H4430" s="11" t="s">
        <v>63</v>
      </c>
      <c r="I4430" s="13" t="s">
        <v>9789</v>
      </c>
      <c r="J4430" s="14" t="str">
        <f>HYPERLINK("https://www.boe.es/gazeta/dias/1839/02/10/pdfs/GMD-1839-1548.pdf#page=4","Abrir facsímil")</f>
        <v>Abrir facsímil</v>
      </c>
      <c r="K4430" s="12" t="s">
        <v>65</v>
      </c>
    </row>
    <row r="4431" spans="1:11" ht="40.049999999999997" customHeight="1" x14ac:dyDescent="0.25">
      <c r="A4431" s="11" t="s">
        <v>9790</v>
      </c>
      <c r="B4431" s="11" t="s">
        <v>9791</v>
      </c>
      <c r="C4431" s="11" t="s">
        <v>101</v>
      </c>
      <c r="D4431" s="11" t="s">
        <v>43</v>
      </c>
      <c r="E4431" s="12" t="s">
        <v>355</v>
      </c>
      <c r="F4431" s="12" t="s">
        <v>356</v>
      </c>
      <c r="G4431" s="12" t="s">
        <v>21</v>
      </c>
      <c r="H4431" s="11" t="s">
        <v>63</v>
      </c>
      <c r="I4431" s="13" t="s">
        <v>9792</v>
      </c>
      <c r="J4431" s="14" t="str">
        <f>HYPERLINK("https://www.boe.es/gazeta/dias/1839/05/31/pdfs/GMD-1839-1658.pdf#page=4","Abrir facsímil")</f>
        <v>Abrir facsímil</v>
      </c>
      <c r="K4431" s="12" t="s">
        <v>65</v>
      </c>
    </row>
    <row r="4432" spans="1:11" ht="40.049999999999997" customHeight="1" x14ac:dyDescent="0.25">
      <c r="A4432" s="11" t="s">
        <v>9793</v>
      </c>
      <c r="B4432" s="11" t="s">
        <v>9794</v>
      </c>
      <c r="C4432" s="11" t="s">
        <v>59</v>
      </c>
      <c r="D4432" s="11" t="s">
        <v>60</v>
      </c>
      <c r="E4432" s="12" t="s">
        <v>4108</v>
      </c>
      <c r="F4432" s="12" t="s">
        <v>4109</v>
      </c>
      <c r="G4432" s="12" t="s">
        <v>46</v>
      </c>
      <c r="H4432" s="11" t="s">
        <v>63</v>
      </c>
      <c r="I4432" s="13" t="s">
        <v>9795</v>
      </c>
      <c r="J4432" s="14" t="str">
        <f>HYPERLINK("https://www.boe.es/gazeta/dias/1839/03/23/pdfs/GMD-1839-1589.pdf#page=3","Abrir facsímil")</f>
        <v>Abrir facsímil</v>
      </c>
      <c r="K4432" s="12" t="s">
        <v>65</v>
      </c>
    </row>
    <row r="4433" spans="1:11" ht="40.049999999999997" customHeight="1" x14ac:dyDescent="0.25">
      <c r="A4433" s="11" t="s">
        <v>9796</v>
      </c>
      <c r="B4433" s="11" t="s">
        <v>9797</v>
      </c>
      <c r="C4433" s="11" t="s">
        <v>17</v>
      </c>
      <c r="D4433" s="11" t="s">
        <v>18</v>
      </c>
      <c r="E4433" s="12" t="s">
        <v>496</v>
      </c>
      <c r="F4433" s="12" t="s">
        <v>497</v>
      </c>
      <c r="G4433" s="12" t="s">
        <v>21</v>
      </c>
      <c r="H4433" s="11" t="s">
        <v>63</v>
      </c>
      <c r="I4433" s="13" t="s">
        <v>9798</v>
      </c>
      <c r="J4433" s="14" t="str">
        <f>HYPERLINK("https://www.boe.es/gazeta/dias/1839/11/23/pdfs/GMD-1839-1840.pdf#page=4","Abrir facsímil")</f>
        <v>Abrir facsímil</v>
      </c>
      <c r="K4433" s="12" t="s">
        <v>65</v>
      </c>
    </row>
    <row r="4434" spans="1:11" ht="40.049999999999997" customHeight="1" x14ac:dyDescent="0.25">
      <c r="A4434" s="11" t="s">
        <v>9799</v>
      </c>
      <c r="B4434" s="11" t="s">
        <v>9800</v>
      </c>
      <c r="C4434" s="11" t="s">
        <v>17</v>
      </c>
      <c r="D4434" s="11" t="s">
        <v>18</v>
      </c>
      <c r="E4434" s="12" t="s">
        <v>834</v>
      </c>
      <c r="F4434" s="12" t="s">
        <v>835</v>
      </c>
      <c r="G4434" s="12" t="s">
        <v>40</v>
      </c>
      <c r="H4434" s="11" t="s">
        <v>63</v>
      </c>
      <c r="I4434" s="13" t="s">
        <v>9801</v>
      </c>
      <c r="J4434" s="14" t="str">
        <f>HYPERLINK("https://www.boe.es/gazeta/dias/1839/08/17/pdfs/GMD-1839-1737.pdf#page=2","Abrir facsímil")</f>
        <v>Abrir facsímil</v>
      </c>
      <c r="K4434" s="12" t="s">
        <v>65</v>
      </c>
    </row>
    <row r="4435" spans="1:11" ht="40.049999999999997" customHeight="1" x14ac:dyDescent="0.25">
      <c r="A4435" s="11" t="s">
        <v>9802</v>
      </c>
      <c r="B4435" s="11" t="s">
        <v>9803</v>
      </c>
      <c r="C4435" s="11" t="s">
        <v>17</v>
      </c>
      <c r="D4435" s="11" t="s">
        <v>18</v>
      </c>
      <c r="E4435" s="12" t="s">
        <v>160</v>
      </c>
      <c r="F4435" s="12" t="s">
        <v>161</v>
      </c>
      <c r="G4435" s="12" t="s">
        <v>29</v>
      </c>
      <c r="H4435" s="11" t="s">
        <v>63</v>
      </c>
      <c r="I4435" s="13" t="s">
        <v>9804</v>
      </c>
      <c r="J4435" s="14" t="str">
        <f>HYPERLINK("https://www.boe.es/gazeta/dias/1839/01/10/pdfs/GMD-1839-1517.pdf#page=1","Abrir facsímil")</f>
        <v>Abrir facsímil</v>
      </c>
      <c r="K4435" s="12" t="s">
        <v>65</v>
      </c>
    </row>
    <row r="4436" spans="1:11" ht="40.049999999999997" customHeight="1" x14ac:dyDescent="0.25">
      <c r="A4436" s="11" t="s">
        <v>9805</v>
      </c>
      <c r="B4436" s="11" t="s">
        <v>9806</v>
      </c>
      <c r="C4436" s="11" t="s">
        <v>17</v>
      </c>
      <c r="D4436" s="11" t="s">
        <v>18</v>
      </c>
      <c r="E4436" s="12" t="s">
        <v>262</v>
      </c>
      <c r="F4436" s="12" t="s">
        <v>263</v>
      </c>
      <c r="G4436" s="12" t="s">
        <v>46</v>
      </c>
      <c r="H4436" s="11" t="s">
        <v>63</v>
      </c>
      <c r="I4436" s="13" t="s">
        <v>9807</v>
      </c>
      <c r="J4436" s="14" t="str">
        <f>HYPERLINK("https://www.boe.es/gazeta/dias/1839/01/01/pdfs/GMD-1839-1508.pdf#page=3","Abrir facsímil")</f>
        <v>Abrir facsímil</v>
      </c>
      <c r="K4436" s="12" t="s">
        <v>65</v>
      </c>
    </row>
    <row r="4437" spans="1:11" ht="40.049999999999997" customHeight="1" x14ac:dyDescent="0.25">
      <c r="A4437" s="11" t="s">
        <v>9805</v>
      </c>
      <c r="B4437" s="11" t="s">
        <v>9806</v>
      </c>
      <c r="C4437" s="11" t="s">
        <v>101</v>
      </c>
      <c r="D4437" s="11" t="s">
        <v>43</v>
      </c>
      <c r="E4437" s="12" t="s">
        <v>1929</v>
      </c>
      <c r="F4437" s="12" t="s">
        <v>1930</v>
      </c>
      <c r="G4437" s="12" t="s">
        <v>40</v>
      </c>
      <c r="H4437" s="11" t="s">
        <v>63</v>
      </c>
      <c r="I4437" s="13" t="s">
        <v>9808</v>
      </c>
      <c r="J4437" s="14" t="str">
        <f>HYPERLINK("https://www.boe.es/gazeta/dias/1839/02/01/pdfs/GMD-1839-1539.pdf#page=2","Abrir facsímil")</f>
        <v>Abrir facsímil</v>
      </c>
      <c r="K4437" s="12" t="s">
        <v>65</v>
      </c>
    </row>
    <row r="4438" spans="1:11" ht="40.049999999999997" customHeight="1" x14ac:dyDescent="0.25">
      <c r="A4438" s="11" t="s">
        <v>9805</v>
      </c>
      <c r="B4438" s="11" t="s">
        <v>9806</v>
      </c>
      <c r="C4438" s="11" t="s">
        <v>101</v>
      </c>
      <c r="D4438" s="11" t="s">
        <v>43</v>
      </c>
      <c r="E4438" s="12" t="s">
        <v>1929</v>
      </c>
      <c r="F4438" s="12" t="s">
        <v>1930</v>
      </c>
      <c r="G4438" s="12" t="s">
        <v>46</v>
      </c>
      <c r="H4438" s="11" t="s">
        <v>63</v>
      </c>
      <c r="I4438" s="13" t="s">
        <v>9809</v>
      </c>
      <c r="J4438" s="14" t="str">
        <f>HYPERLINK("https://www.boe.es/gazeta/dias/1839/02/01/pdfs/GMD-1839-1539.pdf#page=3","Abrir facsímil")</f>
        <v>Abrir facsímil</v>
      </c>
      <c r="K4438" s="12" t="s">
        <v>65</v>
      </c>
    </row>
    <row r="4439" spans="1:11" ht="40.049999999999997" customHeight="1" x14ac:dyDescent="0.25">
      <c r="A4439" s="11" t="s">
        <v>9805</v>
      </c>
      <c r="B4439" s="11" t="s">
        <v>9806</v>
      </c>
      <c r="C4439" s="11" t="s">
        <v>17</v>
      </c>
      <c r="D4439" s="11" t="s">
        <v>18</v>
      </c>
      <c r="E4439" s="12" t="s">
        <v>385</v>
      </c>
      <c r="F4439" s="12" t="s">
        <v>386</v>
      </c>
      <c r="G4439" s="12" t="s">
        <v>29</v>
      </c>
      <c r="H4439" s="11" t="s">
        <v>63</v>
      </c>
      <c r="I4439" s="13" t="s">
        <v>9810</v>
      </c>
      <c r="J4439" s="14" t="str">
        <f>HYPERLINK("https://www.boe.es/gazeta/dias/1839/08/01/pdfs/GMD-1839-1721.pdf#page=1","Abrir facsímil")</f>
        <v>Abrir facsímil</v>
      </c>
      <c r="K4439" s="12" t="s">
        <v>65</v>
      </c>
    </row>
    <row r="4440" spans="1:11" ht="40.049999999999997" customHeight="1" x14ac:dyDescent="0.25">
      <c r="A4440" s="11" t="s">
        <v>9805</v>
      </c>
      <c r="B4440" s="11" t="s">
        <v>9806</v>
      </c>
      <c r="C4440" s="11" t="s">
        <v>17</v>
      </c>
      <c r="D4440" s="11" t="s">
        <v>18</v>
      </c>
      <c r="E4440" s="12" t="s">
        <v>1057</v>
      </c>
      <c r="F4440" s="12" t="s">
        <v>1058</v>
      </c>
      <c r="G4440" s="12" t="s">
        <v>40</v>
      </c>
      <c r="H4440" s="11" t="s">
        <v>63</v>
      </c>
      <c r="I4440" s="13" t="s">
        <v>9811</v>
      </c>
      <c r="J4440" s="14" t="str">
        <f>HYPERLINK("https://www.boe.es/gazeta/dias/1839/10/01/pdfs/GMD-1839-1787.pdf#page=2","Abrir facsímil")</f>
        <v>Abrir facsímil</v>
      </c>
      <c r="K4440" s="12" t="s">
        <v>65</v>
      </c>
    </row>
    <row r="4441" spans="1:11" ht="40.049999999999997" customHeight="1" x14ac:dyDescent="0.25">
      <c r="A4441" s="11" t="s">
        <v>9805</v>
      </c>
      <c r="B4441" s="11" t="s">
        <v>9806</v>
      </c>
      <c r="C4441" s="11" t="s">
        <v>17</v>
      </c>
      <c r="D4441" s="11" t="s">
        <v>18</v>
      </c>
      <c r="E4441" s="12" t="s">
        <v>1057</v>
      </c>
      <c r="F4441" s="12" t="s">
        <v>1058</v>
      </c>
      <c r="G4441" s="12" t="s">
        <v>46</v>
      </c>
      <c r="H4441" s="11" t="s">
        <v>63</v>
      </c>
      <c r="I4441" s="13" t="s">
        <v>9812</v>
      </c>
      <c r="J4441" s="14" t="str">
        <f>HYPERLINK("https://www.boe.es/gazeta/dias/1839/10/01/pdfs/GMD-1839-1787.pdf#page=3","Abrir facsímil")</f>
        <v>Abrir facsímil</v>
      </c>
      <c r="K4441" s="12" t="s">
        <v>65</v>
      </c>
    </row>
    <row r="4442" spans="1:11" ht="40.049999999999997" customHeight="1" x14ac:dyDescent="0.25">
      <c r="A4442" s="11" t="s">
        <v>9805</v>
      </c>
      <c r="B4442" s="11" t="s">
        <v>9806</v>
      </c>
      <c r="C4442" s="11" t="s">
        <v>17</v>
      </c>
      <c r="D4442" s="11" t="s">
        <v>18</v>
      </c>
      <c r="E4442" s="12" t="s">
        <v>369</v>
      </c>
      <c r="F4442" s="12" t="s">
        <v>370</v>
      </c>
      <c r="G4442" s="12" t="s">
        <v>40</v>
      </c>
      <c r="H4442" s="11" t="s">
        <v>63</v>
      </c>
      <c r="I4442" s="13" t="s">
        <v>9813</v>
      </c>
      <c r="J4442" s="14" t="str">
        <f>HYPERLINK("https://www.boe.es/gazeta/dias/1839/11/01/pdfs/GMD-1839-1818.pdf#page=2","Abrir facsímil")</f>
        <v>Abrir facsímil</v>
      </c>
      <c r="K4442" s="12" t="s">
        <v>65</v>
      </c>
    </row>
    <row r="4443" spans="1:11" ht="40.049999999999997" customHeight="1" x14ac:dyDescent="0.25">
      <c r="A4443" s="11" t="s">
        <v>9805</v>
      </c>
      <c r="B4443" s="11" t="s">
        <v>9806</v>
      </c>
      <c r="C4443" s="11" t="s">
        <v>17</v>
      </c>
      <c r="D4443" s="11" t="s">
        <v>18</v>
      </c>
      <c r="E4443" s="12" t="s">
        <v>2138</v>
      </c>
      <c r="F4443" s="12" t="s">
        <v>2139</v>
      </c>
      <c r="G4443" s="12" t="s">
        <v>46</v>
      </c>
      <c r="H4443" s="11" t="s">
        <v>63</v>
      </c>
      <c r="I4443" s="13" t="s">
        <v>9814</v>
      </c>
      <c r="J4443" s="14" t="str">
        <f>HYPERLINK("https://www.boe.es/gazeta/dias/1839/10/02/pdfs/GMD-1839-1788.pdf#page=3","Abrir facsímil")</f>
        <v>Abrir facsímil</v>
      </c>
      <c r="K4443" s="12" t="s">
        <v>65</v>
      </c>
    </row>
    <row r="4444" spans="1:11" ht="40.049999999999997" customHeight="1" x14ac:dyDescent="0.25">
      <c r="A4444" s="11" t="s">
        <v>9805</v>
      </c>
      <c r="B4444" s="11" t="s">
        <v>9806</v>
      </c>
      <c r="C4444" s="11" t="s">
        <v>17</v>
      </c>
      <c r="D4444" s="11" t="s">
        <v>18</v>
      </c>
      <c r="E4444" s="12" t="s">
        <v>266</v>
      </c>
      <c r="F4444" s="12" t="s">
        <v>267</v>
      </c>
      <c r="G4444" s="12" t="s">
        <v>40</v>
      </c>
      <c r="H4444" s="11" t="s">
        <v>63</v>
      </c>
      <c r="I4444" s="13" t="s">
        <v>9815</v>
      </c>
      <c r="J4444" s="14" t="str">
        <f>HYPERLINK("https://www.boe.es/gazeta/dias/1839/01/03/pdfs/GMD-1839-1510.pdf#page=2","Abrir facsímil")</f>
        <v>Abrir facsímil</v>
      </c>
      <c r="K4444" s="12" t="s">
        <v>65</v>
      </c>
    </row>
    <row r="4445" spans="1:11" ht="40.049999999999997" customHeight="1" x14ac:dyDescent="0.25">
      <c r="A4445" s="11" t="s">
        <v>9805</v>
      </c>
      <c r="B4445" s="11" t="s">
        <v>9806</v>
      </c>
      <c r="C4445" s="11" t="s">
        <v>137</v>
      </c>
      <c r="D4445" s="11" t="s">
        <v>18</v>
      </c>
      <c r="E4445" s="12" t="s">
        <v>212</v>
      </c>
      <c r="F4445" s="12" t="s">
        <v>213</v>
      </c>
      <c r="G4445" s="12" t="s">
        <v>46</v>
      </c>
      <c r="H4445" s="11" t="s">
        <v>63</v>
      </c>
      <c r="I4445" s="13" t="s">
        <v>9816</v>
      </c>
      <c r="J4445" s="14" t="str">
        <f>HYPERLINK("https://www.boe.es/gazeta/dias/1839/10/03/pdfs/GMD-1839-1789.pdf#page=3","Abrir facsímil")</f>
        <v>Abrir facsímil</v>
      </c>
      <c r="K4445" s="12" t="s">
        <v>65</v>
      </c>
    </row>
    <row r="4446" spans="1:11" ht="40.049999999999997" customHeight="1" x14ac:dyDescent="0.25">
      <c r="A4446" s="11" t="s">
        <v>9805</v>
      </c>
      <c r="B4446" s="11" t="s">
        <v>9806</v>
      </c>
      <c r="C4446" s="11" t="s">
        <v>17</v>
      </c>
      <c r="D4446" s="11" t="s">
        <v>18</v>
      </c>
      <c r="E4446" s="12" t="s">
        <v>212</v>
      </c>
      <c r="F4446" s="12" t="s">
        <v>213</v>
      </c>
      <c r="G4446" s="12" t="s">
        <v>21</v>
      </c>
      <c r="H4446" s="11" t="s">
        <v>63</v>
      </c>
      <c r="I4446" s="13" t="s">
        <v>9817</v>
      </c>
      <c r="J4446" s="14" t="str">
        <f>HYPERLINK("https://www.boe.es/gazeta/dias/1839/10/03/pdfs/GMD-1839-1789.pdf#page=4","Abrir facsímil")</f>
        <v>Abrir facsímil</v>
      </c>
      <c r="K4446" s="12" t="s">
        <v>65</v>
      </c>
    </row>
    <row r="4447" spans="1:11" ht="40.049999999999997" customHeight="1" x14ac:dyDescent="0.25">
      <c r="A4447" s="11" t="s">
        <v>9805</v>
      </c>
      <c r="B4447" s="11" t="s">
        <v>9806</v>
      </c>
      <c r="C4447" s="11" t="s">
        <v>17</v>
      </c>
      <c r="D4447" s="11" t="s">
        <v>18</v>
      </c>
      <c r="E4447" s="12" t="s">
        <v>108</v>
      </c>
      <c r="F4447" s="12" t="s">
        <v>109</v>
      </c>
      <c r="G4447" s="12" t="s">
        <v>46</v>
      </c>
      <c r="H4447" s="11" t="s">
        <v>63</v>
      </c>
      <c r="I4447" s="13" t="s">
        <v>9818</v>
      </c>
      <c r="J4447" s="14" t="str">
        <f>HYPERLINK("https://www.boe.es/gazeta/dias/1839/01/04/pdfs/GMD-1839-1511.pdf#page=3","Abrir facsímil")</f>
        <v>Abrir facsímil</v>
      </c>
      <c r="K4447" s="12" t="s">
        <v>65</v>
      </c>
    </row>
    <row r="4448" spans="1:11" ht="40.049999999999997" customHeight="1" x14ac:dyDescent="0.25">
      <c r="A4448" s="11" t="s">
        <v>9805</v>
      </c>
      <c r="B4448" s="11" t="s">
        <v>9806</v>
      </c>
      <c r="C4448" s="11" t="s">
        <v>17</v>
      </c>
      <c r="D4448" s="11" t="s">
        <v>18</v>
      </c>
      <c r="E4448" s="12" t="s">
        <v>108</v>
      </c>
      <c r="F4448" s="12" t="s">
        <v>109</v>
      </c>
      <c r="G4448" s="12" t="s">
        <v>21</v>
      </c>
      <c r="H4448" s="11" t="s">
        <v>63</v>
      </c>
      <c r="I4448" s="13" t="s">
        <v>9819</v>
      </c>
      <c r="J4448" s="14" t="str">
        <f>HYPERLINK("https://www.boe.es/gazeta/dias/1839/01/04/pdfs/GMD-1839-1511.pdf#page=4","Abrir facsímil")</f>
        <v>Abrir facsímil</v>
      </c>
      <c r="K4448" s="12" t="s">
        <v>65</v>
      </c>
    </row>
    <row r="4449" spans="1:11" ht="40.049999999999997" customHeight="1" x14ac:dyDescent="0.25">
      <c r="A4449" s="11" t="s">
        <v>9805</v>
      </c>
      <c r="B4449" s="11" t="s">
        <v>9806</v>
      </c>
      <c r="C4449" s="11" t="s">
        <v>59</v>
      </c>
      <c r="D4449" s="11" t="s">
        <v>60</v>
      </c>
      <c r="E4449" s="12" t="s">
        <v>4957</v>
      </c>
      <c r="F4449" s="12" t="s">
        <v>4958</v>
      </c>
      <c r="G4449" s="12" t="s">
        <v>40</v>
      </c>
      <c r="H4449" s="11" t="s">
        <v>63</v>
      </c>
      <c r="I4449" s="13" t="s">
        <v>9820</v>
      </c>
      <c r="J4449" s="14" t="str">
        <f>HYPERLINK("https://www.boe.es/gazeta/dias/1839/11/04/pdfs/GMD-1839-1821.pdf#page=2","Abrir facsímil")</f>
        <v>Abrir facsímil</v>
      </c>
      <c r="K4449" s="12" t="s">
        <v>65</v>
      </c>
    </row>
    <row r="4450" spans="1:11" ht="40.049999999999997" customHeight="1" x14ac:dyDescent="0.25">
      <c r="A4450" s="11" t="s">
        <v>9805</v>
      </c>
      <c r="B4450" s="11" t="s">
        <v>9806</v>
      </c>
      <c r="C4450" s="11" t="s">
        <v>80</v>
      </c>
      <c r="D4450" s="11" t="s">
        <v>18</v>
      </c>
      <c r="E4450" s="12" t="s">
        <v>751</v>
      </c>
      <c r="F4450" s="12" t="s">
        <v>752</v>
      </c>
      <c r="G4450" s="12" t="s">
        <v>21</v>
      </c>
      <c r="H4450" s="11" t="s">
        <v>63</v>
      </c>
      <c r="I4450" s="13" t="s">
        <v>9821</v>
      </c>
      <c r="J4450" s="14" t="str">
        <f>HYPERLINK("https://www.boe.es/gazeta/dias/1839/02/05/pdfs/GMD-1839-1543.pdf#page=4","Abrir facsímil")</f>
        <v>Abrir facsímil</v>
      </c>
      <c r="K4450" s="12" t="s">
        <v>65</v>
      </c>
    </row>
    <row r="4451" spans="1:11" ht="40.049999999999997" customHeight="1" x14ac:dyDescent="0.25">
      <c r="A4451" s="11" t="s">
        <v>9805</v>
      </c>
      <c r="B4451" s="11" t="s">
        <v>9806</v>
      </c>
      <c r="C4451" s="11" t="s">
        <v>17</v>
      </c>
      <c r="D4451" s="11" t="s">
        <v>18</v>
      </c>
      <c r="E4451" s="12" t="s">
        <v>327</v>
      </c>
      <c r="F4451" s="12" t="s">
        <v>328</v>
      </c>
      <c r="G4451" s="12" t="s">
        <v>29</v>
      </c>
      <c r="H4451" s="11" t="s">
        <v>63</v>
      </c>
      <c r="I4451" s="13" t="s">
        <v>9822</v>
      </c>
      <c r="J4451" s="14" t="str">
        <f>HYPERLINK("https://www.boe.es/gazeta/dias/1839/08/05/pdfs/GMD-1839-1725.pdf#page=1","Abrir facsímil")</f>
        <v>Abrir facsímil</v>
      </c>
      <c r="K4451" s="12" t="s">
        <v>65</v>
      </c>
    </row>
    <row r="4452" spans="1:11" ht="40.049999999999997" customHeight="1" x14ac:dyDescent="0.25">
      <c r="A4452" s="11" t="s">
        <v>9805</v>
      </c>
      <c r="B4452" s="11" t="s">
        <v>9806</v>
      </c>
      <c r="C4452" s="11" t="s">
        <v>80</v>
      </c>
      <c r="D4452" s="11" t="s">
        <v>18</v>
      </c>
      <c r="E4452" s="12" t="s">
        <v>2210</v>
      </c>
      <c r="F4452" s="12" t="s">
        <v>2211</v>
      </c>
      <c r="G4452" s="12" t="s">
        <v>40</v>
      </c>
      <c r="H4452" s="11" t="s">
        <v>63</v>
      </c>
      <c r="I4452" s="13" t="s">
        <v>9823</v>
      </c>
      <c r="J4452" s="14" t="str">
        <f>HYPERLINK("https://www.boe.es/gazeta/dias/1839/09/05/pdfs/GMD-1839-1758.pdf#page=2","Abrir facsímil")</f>
        <v>Abrir facsímil</v>
      </c>
      <c r="K4452" s="12" t="s">
        <v>65</v>
      </c>
    </row>
    <row r="4453" spans="1:11" ht="40.049999999999997" customHeight="1" x14ac:dyDescent="0.25">
      <c r="A4453" s="11" t="s">
        <v>9805</v>
      </c>
      <c r="B4453" s="11" t="s">
        <v>9806</v>
      </c>
      <c r="C4453" s="11" t="s">
        <v>17</v>
      </c>
      <c r="D4453" s="11" t="s">
        <v>18</v>
      </c>
      <c r="E4453" s="12" t="s">
        <v>54</v>
      </c>
      <c r="F4453" s="12" t="s">
        <v>55</v>
      </c>
      <c r="G4453" s="12" t="s">
        <v>46</v>
      </c>
      <c r="H4453" s="11" t="s">
        <v>63</v>
      </c>
      <c r="I4453" s="13" t="s">
        <v>9824</v>
      </c>
      <c r="J4453" s="14" t="str">
        <f>HYPERLINK("https://www.boe.es/gazeta/dias/1839/10/05/pdfs/GMD-1839-1791.pdf#page=3","Abrir facsímil")</f>
        <v>Abrir facsímil</v>
      </c>
      <c r="K4453" s="12" t="s">
        <v>65</v>
      </c>
    </row>
    <row r="4454" spans="1:11" ht="40.049999999999997" customHeight="1" x14ac:dyDescent="0.25">
      <c r="A4454" s="11" t="s">
        <v>9805</v>
      </c>
      <c r="B4454" s="11" t="s">
        <v>9806</v>
      </c>
      <c r="C4454" s="11" t="s">
        <v>17</v>
      </c>
      <c r="D4454" s="11" t="s">
        <v>18</v>
      </c>
      <c r="E4454" s="12" t="s">
        <v>2165</v>
      </c>
      <c r="F4454" s="12" t="s">
        <v>2166</v>
      </c>
      <c r="G4454" s="12" t="s">
        <v>46</v>
      </c>
      <c r="H4454" s="11" t="s">
        <v>63</v>
      </c>
      <c r="I4454" s="13" t="s">
        <v>9825</v>
      </c>
      <c r="J4454" s="14" t="str">
        <f>HYPERLINK("https://www.boe.es/gazeta/dias/1839/01/06/pdfs/GMD-1839-1513.pdf#page=3","Abrir facsímil")</f>
        <v>Abrir facsímil</v>
      </c>
      <c r="K4454" s="12" t="s">
        <v>65</v>
      </c>
    </row>
    <row r="4455" spans="1:11" ht="40.049999999999997" customHeight="1" x14ac:dyDescent="0.25">
      <c r="A4455" s="11" t="s">
        <v>9805</v>
      </c>
      <c r="B4455" s="11" t="s">
        <v>9806</v>
      </c>
      <c r="C4455" s="11" t="s">
        <v>17</v>
      </c>
      <c r="D4455" s="11" t="s">
        <v>18</v>
      </c>
      <c r="E4455" s="12" t="s">
        <v>303</v>
      </c>
      <c r="F4455" s="12" t="s">
        <v>304</v>
      </c>
      <c r="G4455" s="12" t="s">
        <v>40</v>
      </c>
      <c r="H4455" s="11" t="s">
        <v>63</v>
      </c>
      <c r="I4455" s="13" t="s">
        <v>9826</v>
      </c>
      <c r="J4455" s="14" t="str">
        <f>HYPERLINK("https://www.boe.es/gazeta/dias/1839/10/06/pdfs/GMD-1839-1792.pdf#page=2","Abrir facsímil")</f>
        <v>Abrir facsímil</v>
      </c>
      <c r="K4455" s="12" t="s">
        <v>65</v>
      </c>
    </row>
    <row r="4456" spans="1:11" ht="40.049999999999997" customHeight="1" x14ac:dyDescent="0.25">
      <c r="A4456" s="11" t="s">
        <v>9805</v>
      </c>
      <c r="B4456" s="11" t="s">
        <v>9806</v>
      </c>
      <c r="C4456" s="11" t="s">
        <v>17</v>
      </c>
      <c r="D4456" s="11" t="s">
        <v>18</v>
      </c>
      <c r="E4456" s="12" t="s">
        <v>453</v>
      </c>
      <c r="F4456" s="12" t="s">
        <v>454</v>
      </c>
      <c r="G4456" s="12" t="s">
        <v>40</v>
      </c>
      <c r="H4456" s="11" t="s">
        <v>63</v>
      </c>
      <c r="I4456" s="13" t="s">
        <v>9827</v>
      </c>
      <c r="J4456" s="14" t="str">
        <f>HYPERLINK("https://www.boe.es/gazeta/dias/1839/02/07/pdfs/GMD-1839-1545.pdf#page=2","Abrir facsímil")</f>
        <v>Abrir facsímil</v>
      </c>
      <c r="K4456" s="12" t="s">
        <v>65</v>
      </c>
    </row>
    <row r="4457" spans="1:11" ht="40.049999999999997" customHeight="1" x14ac:dyDescent="0.25">
      <c r="A4457" s="11" t="s">
        <v>9805</v>
      </c>
      <c r="B4457" s="11" t="s">
        <v>9806</v>
      </c>
      <c r="C4457" s="11" t="s">
        <v>59</v>
      </c>
      <c r="D4457" s="11" t="s">
        <v>60</v>
      </c>
      <c r="E4457" s="12" t="s">
        <v>804</v>
      </c>
      <c r="F4457" s="12" t="s">
        <v>805</v>
      </c>
      <c r="G4457" s="12" t="s">
        <v>21</v>
      </c>
      <c r="H4457" s="11" t="s">
        <v>63</v>
      </c>
      <c r="I4457" s="13" t="s">
        <v>9828</v>
      </c>
      <c r="J4457" s="14" t="str">
        <f>HYPERLINK("https://www.boe.es/gazeta/dias/1839/01/08/pdfs/GMD-1839-1515.pdf#page=4","Abrir facsímil")</f>
        <v>Abrir facsímil</v>
      </c>
      <c r="K4457" s="12" t="s">
        <v>65</v>
      </c>
    </row>
    <row r="4458" spans="1:11" ht="40.049999999999997" customHeight="1" x14ac:dyDescent="0.25">
      <c r="A4458" s="11" t="s">
        <v>9805</v>
      </c>
      <c r="B4458" s="11" t="s">
        <v>9806</v>
      </c>
      <c r="C4458" s="11" t="s">
        <v>17</v>
      </c>
      <c r="D4458" s="11" t="s">
        <v>18</v>
      </c>
      <c r="E4458" s="12" t="s">
        <v>157</v>
      </c>
      <c r="F4458" s="12" t="s">
        <v>158</v>
      </c>
      <c r="G4458" s="12" t="s">
        <v>46</v>
      </c>
      <c r="H4458" s="11" t="s">
        <v>63</v>
      </c>
      <c r="I4458" s="13" t="s">
        <v>9829</v>
      </c>
      <c r="J4458" s="14" t="str">
        <f>HYPERLINK("https://www.boe.es/gazeta/dias/1839/02/08/pdfs/GMD-1839-1546.pdf#page=3","Abrir facsímil")</f>
        <v>Abrir facsímil</v>
      </c>
      <c r="K4458" s="12" t="s">
        <v>65</v>
      </c>
    </row>
    <row r="4459" spans="1:11" ht="40.049999999999997" customHeight="1" x14ac:dyDescent="0.25">
      <c r="A4459" s="11" t="s">
        <v>9805</v>
      </c>
      <c r="B4459" s="11" t="s">
        <v>9806</v>
      </c>
      <c r="C4459" s="11" t="s">
        <v>17</v>
      </c>
      <c r="D4459" s="11" t="s">
        <v>18</v>
      </c>
      <c r="E4459" s="12" t="s">
        <v>157</v>
      </c>
      <c r="F4459" s="12" t="s">
        <v>158</v>
      </c>
      <c r="G4459" s="12" t="s">
        <v>21</v>
      </c>
      <c r="H4459" s="11" t="s">
        <v>63</v>
      </c>
      <c r="I4459" s="13" t="s">
        <v>9830</v>
      </c>
      <c r="J4459" s="14" t="str">
        <f>HYPERLINK("https://www.boe.es/gazeta/dias/1839/02/08/pdfs/GMD-1839-1546.pdf#page=4","Abrir facsímil")</f>
        <v>Abrir facsímil</v>
      </c>
      <c r="K4459" s="12" t="s">
        <v>65</v>
      </c>
    </row>
    <row r="4460" spans="1:11" ht="40.049999999999997" customHeight="1" x14ac:dyDescent="0.25">
      <c r="A4460" s="11" t="s">
        <v>9805</v>
      </c>
      <c r="B4460" s="11" t="s">
        <v>9806</v>
      </c>
      <c r="C4460" s="11" t="s">
        <v>137</v>
      </c>
      <c r="D4460" s="11" t="s">
        <v>18</v>
      </c>
      <c r="E4460" s="12" t="s">
        <v>647</v>
      </c>
      <c r="F4460" s="12" t="s">
        <v>648</v>
      </c>
      <c r="G4460" s="12" t="s">
        <v>46</v>
      </c>
      <c r="H4460" s="11" t="s">
        <v>63</v>
      </c>
      <c r="I4460" s="13" t="s">
        <v>9831</v>
      </c>
      <c r="J4460" s="14" t="str">
        <f>HYPERLINK("https://www.boe.es/gazeta/dias/1839/10/08/pdfs/GMD-1839-1794.pdf#page=3","Abrir facsímil")</f>
        <v>Abrir facsímil</v>
      </c>
      <c r="K4460" s="12" t="s">
        <v>65</v>
      </c>
    </row>
    <row r="4461" spans="1:11" ht="40.049999999999997" customHeight="1" x14ac:dyDescent="0.25">
      <c r="A4461" s="11" t="s">
        <v>9805</v>
      </c>
      <c r="B4461" s="11" t="s">
        <v>9806</v>
      </c>
      <c r="C4461" s="11" t="s">
        <v>17</v>
      </c>
      <c r="D4461" s="11" t="s">
        <v>18</v>
      </c>
      <c r="E4461" s="12" t="s">
        <v>647</v>
      </c>
      <c r="F4461" s="12" t="s">
        <v>648</v>
      </c>
      <c r="G4461" s="12" t="s">
        <v>566</v>
      </c>
      <c r="H4461" s="11" t="s">
        <v>63</v>
      </c>
      <c r="I4461" s="13" t="s">
        <v>9832</v>
      </c>
      <c r="J4461" s="14" t="str">
        <f>HYPERLINK("https://www.boe.es/gazeta/dias/1839/10/08/pdfs/GMD-1839-1794.pdf#page=5","Abrir facsímil")</f>
        <v>Abrir facsímil</v>
      </c>
      <c r="K4461" s="12" t="s">
        <v>65</v>
      </c>
    </row>
    <row r="4462" spans="1:11" ht="40.049999999999997" customHeight="1" x14ac:dyDescent="0.25">
      <c r="A4462" s="11" t="s">
        <v>9805</v>
      </c>
      <c r="B4462" s="11" t="s">
        <v>9806</v>
      </c>
      <c r="C4462" s="11" t="s">
        <v>17</v>
      </c>
      <c r="D4462" s="11" t="s">
        <v>18</v>
      </c>
      <c r="E4462" s="12" t="s">
        <v>269</v>
      </c>
      <c r="F4462" s="12" t="s">
        <v>270</v>
      </c>
      <c r="G4462" s="12" t="s">
        <v>46</v>
      </c>
      <c r="H4462" s="11" t="s">
        <v>63</v>
      </c>
      <c r="I4462" s="13" t="s">
        <v>9833</v>
      </c>
      <c r="J4462" s="14" t="str">
        <f>HYPERLINK("https://www.boe.es/gazeta/dias/1839/02/10/pdfs/GMD-1839-1548.pdf#page=3","Abrir facsímil")</f>
        <v>Abrir facsímil</v>
      </c>
      <c r="K4462" s="12" t="s">
        <v>65</v>
      </c>
    </row>
    <row r="4463" spans="1:11" ht="40.049999999999997" customHeight="1" x14ac:dyDescent="0.25">
      <c r="A4463" s="11" t="s">
        <v>9805</v>
      </c>
      <c r="B4463" s="11" t="s">
        <v>9806</v>
      </c>
      <c r="C4463" s="11" t="s">
        <v>17</v>
      </c>
      <c r="D4463" s="11" t="s">
        <v>18</v>
      </c>
      <c r="E4463" s="12" t="s">
        <v>809</v>
      </c>
      <c r="F4463" s="12" t="s">
        <v>810</v>
      </c>
      <c r="G4463" s="12" t="s">
        <v>46</v>
      </c>
      <c r="H4463" s="11" t="s">
        <v>63</v>
      </c>
      <c r="I4463" s="13" t="s">
        <v>9834</v>
      </c>
      <c r="J4463" s="14" t="str">
        <f>HYPERLINK("https://www.boe.es/gazeta/dias/1839/02/11/pdfs/GMD-1839-1549.pdf#page=3","Abrir facsímil")</f>
        <v>Abrir facsímil</v>
      </c>
      <c r="K4463" s="12" t="s">
        <v>65</v>
      </c>
    </row>
    <row r="4464" spans="1:11" ht="40.049999999999997" customHeight="1" x14ac:dyDescent="0.25">
      <c r="A4464" s="11" t="s">
        <v>9805</v>
      </c>
      <c r="B4464" s="11" t="s">
        <v>9806</v>
      </c>
      <c r="C4464" s="11" t="s">
        <v>17</v>
      </c>
      <c r="D4464" s="11" t="s">
        <v>18</v>
      </c>
      <c r="E4464" s="12" t="s">
        <v>163</v>
      </c>
      <c r="F4464" s="12" t="s">
        <v>164</v>
      </c>
      <c r="G4464" s="12" t="s">
        <v>40</v>
      </c>
      <c r="H4464" s="11" t="s">
        <v>63</v>
      </c>
      <c r="I4464" s="13" t="s">
        <v>9835</v>
      </c>
      <c r="J4464" s="14" t="str">
        <f>HYPERLINK("https://www.boe.es/gazeta/dias/1839/01/13/pdfs/GMD-1839-1520.pdf#page=2","Abrir facsímil")</f>
        <v>Abrir facsímil</v>
      </c>
      <c r="K4464" s="12" t="s">
        <v>65</v>
      </c>
    </row>
    <row r="4465" spans="1:11" ht="40.049999999999997" customHeight="1" x14ac:dyDescent="0.25">
      <c r="A4465" s="11" t="s">
        <v>9805</v>
      </c>
      <c r="B4465" s="11" t="s">
        <v>9806</v>
      </c>
      <c r="C4465" s="11" t="s">
        <v>80</v>
      </c>
      <c r="D4465" s="11" t="s">
        <v>18</v>
      </c>
      <c r="E4465" s="12" t="s">
        <v>4189</v>
      </c>
      <c r="F4465" s="12" t="s">
        <v>4190</v>
      </c>
      <c r="G4465" s="12" t="s">
        <v>46</v>
      </c>
      <c r="H4465" s="11" t="s">
        <v>63</v>
      </c>
      <c r="I4465" s="13" t="s">
        <v>9836</v>
      </c>
      <c r="J4465" s="14" t="str">
        <f>HYPERLINK("https://www.boe.es/gazeta/dias/1839/02/13/pdfs/GMD-1839-1551.pdf#page=3","Abrir facsímil")</f>
        <v>Abrir facsímil</v>
      </c>
      <c r="K4465" s="12" t="s">
        <v>65</v>
      </c>
    </row>
    <row r="4466" spans="1:11" ht="40.049999999999997" customHeight="1" x14ac:dyDescent="0.25">
      <c r="A4466" s="11" t="s">
        <v>9805</v>
      </c>
      <c r="B4466" s="11" t="s">
        <v>9806</v>
      </c>
      <c r="C4466" s="11" t="s">
        <v>137</v>
      </c>
      <c r="D4466" s="11" t="s">
        <v>18</v>
      </c>
      <c r="E4466" s="12" t="s">
        <v>1100</v>
      </c>
      <c r="F4466" s="12" t="s">
        <v>1101</v>
      </c>
      <c r="G4466" s="12" t="s">
        <v>40</v>
      </c>
      <c r="H4466" s="11" t="s">
        <v>63</v>
      </c>
      <c r="I4466" s="13" t="s">
        <v>9837</v>
      </c>
      <c r="J4466" s="14" t="str">
        <f>HYPERLINK("https://www.boe.es/gazeta/dias/1839/09/13/pdfs/GMD-1839-1766.pdf#page=2","Abrir facsímil")</f>
        <v>Abrir facsímil</v>
      </c>
      <c r="K4466" s="12" t="s">
        <v>65</v>
      </c>
    </row>
    <row r="4467" spans="1:11" ht="40.049999999999997" customHeight="1" x14ac:dyDescent="0.25">
      <c r="A4467" s="11" t="s">
        <v>9805</v>
      </c>
      <c r="B4467" s="11" t="s">
        <v>9806</v>
      </c>
      <c r="C4467" s="11" t="s">
        <v>17</v>
      </c>
      <c r="D4467" s="11" t="s">
        <v>18</v>
      </c>
      <c r="E4467" s="12" t="s">
        <v>736</v>
      </c>
      <c r="F4467" s="12" t="s">
        <v>737</v>
      </c>
      <c r="G4467" s="12" t="s">
        <v>40</v>
      </c>
      <c r="H4467" s="11" t="s">
        <v>63</v>
      </c>
      <c r="I4467" s="13" t="s">
        <v>9838</v>
      </c>
      <c r="J4467" s="14" t="str">
        <f>HYPERLINK("https://www.boe.es/gazeta/dias/1839/10/13/pdfs/GMD-1839-1799.pdf#page=2","Abrir facsímil")</f>
        <v>Abrir facsímil</v>
      </c>
      <c r="K4467" s="12" t="s">
        <v>65</v>
      </c>
    </row>
    <row r="4468" spans="1:11" ht="40.049999999999997" customHeight="1" x14ac:dyDescent="0.25">
      <c r="A4468" s="11" t="s">
        <v>9805</v>
      </c>
      <c r="B4468" s="11" t="s">
        <v>9806</v>
      </c>
      <c r="C4468" s="11" t="s">
        <v>17</v>
      </c>
      <c r="D4468" s="11" t="s">
        <v>18</v>
      </c>
      <c r="E4468" s="12" t="s">
        <v>736</v>
      </c>
      <c r="F4468" s="12" t="s">
        <v>737</v>
      </c>
      <c r="G4468" s="12" t="s">
        <v>46</v>
      </c>
      <c r="H4468" s="11" t="s">
        <v>63</v>
      </c>
      <c r="I4468" s="13" t="s">
        <v>9839</v>
      </c>
      <c r="J4468" s="14" t="str">
        <f>HYPERLINK("https://www.boe.es/gazeta/dias/1839/10/13/pdfs/GMD-1839-1799.pdf#page=3","Abrir facsímil")</f>
        <v>Abrir facsímil</v>
      </c>
      <c r="K4468" s="12" t="s">
        <v>65</v>
      </c>
    </row>
    <row r="4469" spans="1:11" ht="40.049999999999997" customHeight="1" x14ac:dyDescent="0.25">
      <c r="A4469" s="11" t="s">
        <v>9805</v>
      </c>
      <c r="B4469" s="11" t="s">
        <v>9806</v>
      </c>
      <c r="C4469" s="11" t="s">
        <v>17</v>
      </c>
      <c r="D4469" s="11" t="s">
        <v>18</v>
      </c>
      <c r="E4469" s="12" t="s">
        <v>185</v>
      </c>
      <c r="F4469" s="12" t="s">
        <v>186</v>
      </c>
      <c r="G4469" s="12" t="s">
        <v>40</v>
      </c>
      <c r="H4469" s="11" t="s">
        <v>63</v>
      </c>
      <c r="I4469" s="13" t="s">
        <v>9840</v>
      </c>
      <c r="J4469" s="14" t="str">
        <f>HYPERLINK("https://www.boe.es/gazeta/dias/1839/01/15/pdfs/GMD-1839-1522.pdf#page=2","Abrir facsímil")</f>
        <v>Abrir facsímil</v>
      </c>
      <c r="K4469" s="12" t="s">
        <v>65</v>
      </c>
    </row>
    <row r="4470" spans="1:11" ht="40.049999999999997" customHeight="1" x14ac:dyDescent="0.25">
      <c r="A4470" s="11" t="s">
        <v>9805</v>
      </c>
      <c r="B4470" s="11" t="s">
        <v>9806</v>
      </c>
      <c r="C4470" s="11" t="s">
        <v>59</v>
      </c>
      <c r="D4470" s="11" t="s">
        <v>60</v>
      </c>
      <c r="E4470" s="12" t="s">
        <v>185</v>
      </c>
      <c r="F4470" s="12" t="s">
        <v>186</v>
      </c>
      <c r="G4470" s="12" t="s">
        <v>46</v>
      </c>
      <c r="H4470" s="11" t="s">
        <v>63</v>
      </c>
      <c r="I4470" s="13" t="s">
        <v>9841</v>
      </c>
      <c r="J4470" s="14" t="str">
        <f>HYPERLINK("https://www.boe.es/gazeta/dias/1839/01/15/pdfs/GMD-1839-1522.pdf#page=3","Abrir facsímil")</f>
        <v>Abrir facsímil</v>
      </c>
      <c r="K4470" s="12" t="s">
        <v>65</v>
      </c>
    </row>
    <row r="4471" spans="1:11" ht="40.049999999999997" customHeight="1" x14ac:dyDescent="0.25">
      <c r="A4471" s="11" t="s">
        <v>9805</v>
      </c>
      <c r="B4471" s="11" t="s">
        <v>9806</v>
      </c>
      <c r="C4471" s="11" t="s">
        <v>80</v>
      </c>
      <c r="D4471" s="11" t="s">
        <v>18</v>
      </c>
      <c r="E4471" s="12" t="s">
        <v>1139</v>
      </c>
      <c r="F4471" s="12" t="s">
        <v>1140</v>
      </c>
      <c r="G4471" s="12" t="s">
        <v>46</v>
      </c>
      <c r="H4471" s="11" t="s">
        <v>63</v>
      </c>
      <c r="I4471" s="13" t="s">
        <v>9842</v>
      </c>
      <c r="J4471" s="14" t="str">
        <f>HYPERLINK("https://www.boe.es/gazeta/dias/1839/02/15/pdfs/GMD-1839-1553.pdf#page=3","Abrir facsímil")</f>
        <v>Abrir facsímil</v>
      </c>
      <c r="K4471" s="12" t="s">
        <v>65</v>
      </c>
    </row>
    <row r="4472" spans="1:11" ht="40.049999999999997" customHeight="1" x14ac:dyDescent="0.25">
      <c r="A4472" s="11" t="s">
        <v>9805</v>
      </c>
      <c r="B4472" s="11" t="s">
        <v>9806</v>
      </c>
      <c r="C4472" s="11" t="s">
        <v>17</v>
      </c>
      <c r="D4472" s="11" t="s">
        <v>43</v>
      </c>
      <c r="E4472" s="12" t="s">
        <v>44</v>
      </c>
      <c r="F4472" s="12" t="s">
        <v>45</v>
      </c>
      <c r="G4472" s="12" t="s">
        <v>46</v>
      </c>
      <c r="H4472" s="11" t="s">
        <v>63</v>
      </c>
      <c r="I4472" s="13" t="s">
        <v>9843</v>
      </c>
      <c r="J4472" s="14" t="str">
        <f>HYPERLINK("https://www.boe.es/gazeta/dias/1839/11/15/pdfs/GMD-1839-1832.pdf#page=3","Abrir facsímil")</f>
        <v>Abrir facsímil</v>
      </c>
      <c r="K4472" s="12" t="s">
        <v>65</v>
      </c>
    </row>
    <row r="4473" spans="1:11" ht="40.049999999999997" customHeight="1" x14ac:dyDescent="0.25">
      <c r="A4473" s="11" t="s">
        <v>9805</v>
      </c>
      <c r="B4473" s="11" t="s">
        <v>9806</v>
      </c>
      <c r="C4473" s="11" t="s">
        <v>101</v>
      </c>
      <c r="D4473" s="11" t="s">
        <v>43</v>
      </c>
      <c r="E4473" s="12" t="s">
        <v>1236</v>
      </c>
      <c r="F4473" s="12" t="s">
        <v>1237</v>
      </c>
      <c r="G4473" s="12" t="s">
        <v>40</v>
      </c>
      <c r="H4473" s="11" t="s">
        <v>63</v>
      </c>
      <c r="I4473" s="13" t="s">
        <v>9844</v>
      </c>
      <c r="J4473" s="14" t="str">
        <f>HYPERLINK("https://www.boe.es/gazeta/dias/1839/10/16/pdfs/GMD-1839-1802.pdf#page=2","Abrir facsímil")</f>
        <v>Abrir facsímil</v>
      </c>
      <c r="K4473" s="12" t="s">
        <v>65</v>
      </c>
    </row>
    <row r="4474" spans="1:11" ht="40.049999999999997" customHeight="1" x14ac:dyDescent="0.25">
      <c r="A4474" s="11" t="s">
        <v>9805</v>
      </c>
      <c r="B4474" s="11" t="s">
        <v>9806</v>
      </c>
      <c r="C4474" s="11" t="s">
        <v>101</v>
      </c>
      <c r="D4474" s="11" t="s">
        <v>43</v>
      </c>
      <c r="E4474" s="12" t="s">
        <v>1179</v>
      </c>
      <c r="F4474" s="12" t="s">
        <v>1180</v>
      </c>
      <c r="G4474" s="12" t="s">
        <v>21</v>
      </c>
      <c r="H4474" s="11" t="s">
        <v>63</v>
      </c>
      <c r="I4474" s="13" t="s">
        <v>9845</v>
      </c>
      <c r="J4474" s="14" t="str">
        <f>HYPERLINK("https://www.boe.es/gazeta/dias/1839/10/18/pdfs/GMD-1839-1804.pdf#page=4","Abrir facsímil")</f>
        <v>Abrir facsímil</v>
      </c>
      <c r="K4474" s="12" t="s">
        <v>65</v>
      </c>
    </row>
    <row r="4475" spans="1:11" ht="40.049999999999997" customHeight="1" x14ac:dyDescent="0.25">
      <c r="A4475" s="11" t="s">
        <v>9805</v>
      </c>
      <c r="B4475" s="11" t="s">
        <v>9806</v>
      </c>
      <c r="C4475" s="11" t="s">
        <v>17</v>
      </c>
      <c r="D4475" s="11" t="s">
        <v>18</v>
      </c>
      <c r="E4475" s="12" t="s">
        <v>19</v>
      </c>
      <c r="F4475" s="12" t="s">
        <v>20</v>
      </c>
      <c r="G4475" s="12" t="s">
        <v>46</v>
      </c>
      <c r="H4475" s="11" t="s">
        <v>63</v>
      </c>
      <c r="I4475" s="13" t="s">
        <v>9846</v>
      </c>
      <c r="J4475" s="14" t="str">
        <f>HYPERLINK("https://www.boe.es/gazeta/dias/1839/01/19/pdfs/GMD-1839-1526.pdf#page=3","Abrir facsímil")</f>
        <v>Abrir facsímil</v>
      </c>
      <c r="K4475" s="12" t="s">
        <v>65</v>
      </c>
    </row>
    <row r="4476" spans="1:11" ht="40.049999999999997" customHeight="1" x14ac:dyDescent="0.25">
      <c r="A4476" s="11" t="s">
        <v>9805</v>
      </c>
      <c r="B4476" s="11" t="s">
        <v>9806</v>
      </c>
      <c r="C4476" s="11" t="s">
        <v>17</v>
      </c>
      <c r="D4476" s="11" t="s">
        <v>18</v>
      </c>
      <c r="E4476" s="12" t="s">
        <v>2222</v>
      </c>
      <c r="F4476" s="12" t="s">
        <v>2223</v>
      </c>
      <c r="G4476" s="12" t="s">
        <v>40</v>
      </c>
      <c r="H4476" s="11" t="s">
        <v>63</v>
      </c>
      <c r="I4476" s="13" t="s">
        <v>9847</v>
      </c>
      <c r="J4476" s="14" t="str">
        <f>HYPERLINK("https://www.boe.es/gazeta/dias/1839/09/19/pdfs/GMD-1839-1773.pdf#page=2","Abrir facsímil")</f>
        <v>Abrir facsímil</v>
      </c>
      <c r="K4476" s="12" t="s">
        <v>65</v>
      </c>
    </row>
    <row r="4477" spans="1:11" ht="40.049999999999997" customHeight="1" x14ac:dyDescent="0.25">
      <c r="A4477" s="11" t="s">
        <v>9805</v>
      </c>
      <c r="B4477" s="11" t="s">
        <v>9806</v>
      </c>
      <c r="C4477" s="11" t="s">
        <v>17</v>
      </c>
      <c r="D4477" s="11" t="s">
        <v>18</v>
      </c>
      <c r="E4477" s="12" t="s">
        <v>2222</v>
      </c>
      <c r="F4477" s="12" t="s">
        <v>2223</v>
      </c>
      <c r="G4477" s="12" t="s">
        <v>21</v>
      </c>
      <c r="H4477" s="11" t="s">
        <v>63</v>
      </c>
      <c r="I4477" s="13" t="s">
        <v>9848</v>
      </c>
      <c r="J4477" s="14" t="str">
        <f>HYPERLINK("https://www.boe.es/gazeta/dias/1839/09/19/pdfs/GMD-1839-1773.pdf#page=4","Abrir facsímil")</f>
        <v>Abrir facsímil</v>
      </c>
      <c r="K4477" s="12" t="s">
        <v>65</v>
      </c>
    </row>
    <row r="4478" spans="1:11" ht="40.049999999999997" customHeight="1" x14ac:dyDescent="0.25">
      <c r="A4478" s="11" t="s">
        <v>9805</v>
      </c>
      <c r="B4478" s="11" t="s">
        <v>9806</v>
      </c>
      <c r="C4478" s="11" t="s">
        <v>101</v>
      </c>
      <c r="D4478" s="11" t="s">
        <v>43</v>
      </c>
      <c r="E4478" s="12" t="s">
        <v>433</v>
      </c>
      <c r="F4478" s="12" t="s">
        <v>434</v>
      </c>
      <c r="G4478" s="12" t="s">
        <v>46</v>
      </c>
      <c r="H4478" s="11" t="s">
        <v>63</v>
      </c>
      <c r="I4478" s="13" t="s">
        <v>9849</v>
      </c>
      <c r="J4478" s="14" t="str">
        <f>HYPERLINK("https://www.boe.es/gazeta/dias/1839/01/20/pdfs/GMD-1839-1527.pdf#page=3","Abrir facsímil")</f>
        <v>Abrir facsímil</v>
      </c>
      <c r="K4478" s="12" t="s">
        <v>65</v>
      </c>
    </row>
    <row r="4479" spans="1:11" ht="40.049999999999997" customHeight="1" x14ac:dyDescent="0.25">
      <c r="A4479" s="11" t="s">
        <v>9805</v>
      </c>
      <c r="B4479" s="11" t="s">
        <v>9806</v>
      </c>
      <c r="C4479" s="11" t="s">
        <v>101</v>
      </c>
      <c r="D4479" s="11" t="s">
        <v>43</v>
      </c>
      <c r="E4479" s="12" t="s">
        <v>433</v>
      </c>
      <c r="F4479" s="12" t="s">
        <v>434</v>
      </c>
      <c r="G4479" s="12" t="s">
        <v>21</v>
      </c>
      <c r="H4479" s="11" t="s">
        <v>63</v>
      </c>
      <c r="I4479" s="13" t="s">
        <v>9850</v>
      </c>
      <c r="J4479" s="14" t="str">
        <f>HYPERLINK("https://www.boe.es/gazeta/dias/1839/01/20/pdfs/GMD-1839-1527.pdf#page=4","Abrir facsímil")</f>
        <v>Abrir facsímil</v>
      </c>
      <c r="K4479" s="12" t="s">
        <v>65</v>
      </c>
    </row>
    <row r="4480" spans="1:11" ht="40.049999999999997" customHeight="1" x14ac:dyDescent="0.25">
      <c r="A4480" s="11" t="s">
        <v>9805</v>
      </c>
      <c r="B4480" s="11" t="s">
        <v>9806</v>
      </c>
      <c r="C4480" s="11" t="s">
        <v>17</v>
      </c>
      <c r="D4480" s="11" t="s">
        <v>18</v>
      </c>
      <c r="E4480" s="12" t="s">
        <v>794</v>
      </c>
      <c r="F4480" s="12" t="s">
        <v>795</v>
      </c>
      <c r="G4480" s="12" t="s">
        <v>46</v>
      </c>
      <c r="H4480" s="11" t="s">
        <v>63</v>
      </c>
      <c r="I4480" s="13" t="s">
        <v>9851</v>
      </c>
      <c r="J4480" s="14" t="str">
        <f>HYPERLINK("https://www.boe.es/gazeta/dias/1839/01/22/pdfs/GMD-1839-1529.pdf#page=3","Abrir facsímil")</f>
        <v>Abrir facsímil</v>
      </c>
      <c r="K4480" s="12" t="s">
        <v>65</v>
      </c>
    </row>
    <row r="4481" spans="1:11" ht="40.049999999999997" customHeight="1" x14ac:dyDescent="0.25">
      <c r="A4481" s="11" t="s">
        <v>9805</v>
      </c>
      <c r="B4481" s="11" t="s">
        <v>9806</v>
      </c>
      <c r="C4481" s="11" t="s">
        <v>17</v>
      </c>
      <c r="D4481" s="11" t="s">
        <v>18</v>
      </c>
      <c r="E4481" s="12" t="s">
        <v>239</v>
      </c>
      <c r="F4481" s="12" t="s">
        <v>240</v>
      </c>
      <c r="G4481" s="12" t="s">
        <v>29</v>
      </c>
      <c r="H4481" s="11" t="s">
        <v>63</v>
      </c>
      <c r="I4481" s="13" t="s">
        <v>9852</v>
      </c>
      <c r="J4481" s="14" t="str">
        <f>HYPERLINK("https://www.boe.es/gazeta/dias/1839/09/22/pdfs/GMD-1839-1777.pdf#page=1","Abrir facsímil")</f>
        <v>Abrir facsímil</v>
      </c>
      <c r="K4481" s="12" t="s">
        <v>65</v>
      </c>
    </row>
    <row r="4482" spans="1:11" ht="40.049999999999997" customHeight="1" x14ac:dyDescent="0.25">
      <c r="A4482" s="11" t="s">
        <v>9805</v>
      </c>
      <c r="B4482" s="11" t="s">
        <v>9806</v>
      </c>
      <c r="C4482" s="11" t="s">
        <v>101</v>
      </c>
      <c r="D4482" s="11" t="s">
        <v>43</v>
      </c>
      <c r="E4482" s="12" t="s">
        <v>1012</v>
      </c>
      <c r="F4482" s="12" t="s">
        <v>1013</v>
      </c>
      <c r="G4482" s="12" t="s">
        <v>29</v>
      </c>
      <c r="H4482" s="11" t="s">
        <v>63</v>
      </c>
      <c r="I4482" s="13" t="s">
        <v>9853</v>
      </c>
      <c r="J4482" s="14" t="str">
        <f>HYPERLINK("https://www.boe.es/gazeta/dias/1839/11/22/pdfs/GMD-1839-1839.pdf#page=1","Abrir facsímil")</f>
        <v>Abrir facsímil</v>
      </c>
      <c r="K4482" s="12" t="s">
        <v>65</v>
      </c>
    </row>
    <row r="4483" spans="1:11" ht="40.049999999999997" customHeight="1" x14ac:dyDescent="0.25">
      <c r="A4483" s="11" t="s">
        <v>9805</v>
      </c>
      <c r="B4483" s="11" t="s">
        <v>9806</v>
      </c>
      <c r="C4483" s="11" t="s">
        <v>59</v>
      </c>
      <c r="D4483" s="11" t="s">
        <v>60</v>
      </c>
      <c r="E4483" s="12" t="s">
        <v>596</v>
      </c>
      <c r="F4483" s="12" t="s">
        <v>597</v>
      </c>
      <c r="G4483" s="12" t="s">
        <v>46</v>
      </c>
      <c r="H4483" s="11" t="s">
        <v>63</v>
      </c>
      <c r="I4483" s="13" t="s">
        <v>9854</v>
      </c>
      <c r="J4483" s="14" t="str">
        <f>HYPERLINK("https://www.boe.es/gazeta/dias/1839/01/23/pdfs/GMD-1839-1530.pdf#page=3","Abrir facsímil")</f>
        <v>Abrir facsímil</v>
      </c>
      <c r="K4483" s="12" t="s">
        <v>65</v>
      </c>
    </row>
    <row r="4484" spans="1:11" ht="40.049999999999997" customHeight="1" x14ac:dyDescent="0.25">
      <c r="A4484" s="11" t="s">
        <v>9805</v>
      </c>
      <c r="B4484" s="11" t="s">
        <v>9806</v>
      </c>
      <c r="C4484" s="11" t="s">
        <v>101</v>
      </c>
      <c r="D4484" s="11" t="s">
        <v>43</v>
      </c>
      <c r="E4484" s="12" t="s">
        <v>568</v>
      </c>
      <c r="F4484" s="12" t="s">
        <v>569</v>
      </c>
      <c r="G4484" s="12" t="s">
        <v>46</v>
      </c>
      <c r="H4484" s="11" t="s">
        <v>63</v>
      </c>
      <c r="I4484" s="13" t="s">
        <v>9855</v>
      </c>
      <c r="J4484" s="14" t="str">
        <f>HYPERLINK("https://www.boe.es/gazeta/dias/1839/10/23/pdfs/GMD-1839-1809.pdf#page=3","Abrir facsímil")</f>
        <v>Abrir facsímil</v>
      </c>
      <c r="K4484" s="12" t="s">
        <v>65</v>
      </c>
    </row>
    <row r="4485" spans="1:11" ht="40.049999999999997" customHeight="1" x14ac:dyDescent="0.25">
      <c r="A4485" s="11" t="s">
        <v>9805</v>
      </c>
      <c r="B4485" s="11" t="s">
        <v>9806</v>
      </c>
      <c r="C4485" s="11" t="s">
        <v>17</v>
      </c>
      <c r="D4485" s="11" t="s">
        <v>18</v>
      </c>
      <c r="E4485" s="12" t="s">
        <v>479</v>
      </c>
      <c r="F4485" s="12" t="s">
        <v>480</v>
      </c>
      <c r="G4485" s="12" t="s">
        <v>29</v>
      </c>
      <c r="H4485" s="11" t="s">
        <v>63</v>
      </c>
      <c r="I4485" s="13" t="s">
        <v>9856</v>
      </c>
      <c r="J4485" s="14" t="str">
        <f>HYPERLINK("https://www.boe.es/gazeta/dias/1839/06/24/pdfs/GMD-1839-1682.pdf#page=1","Abrir facsímil")</f>
        <v>Abrir facsímil</v>
      </c>
      <c r="K4485" s="12" t="s">
        <v>65</v>
      </c>
    </row>
    <row r="4486" spans="1:11" ht="40.049999999999997" customHeight="1" x14ac:dyDescent="0.25">
      <c r="A4486" s="11" t="s">
        <v>9805</v>
      </c>
      <c r="B4486" s="11" t="s">
        <v>9806</v>
      </c>
      <c r="C4486" s="11" t="s">
        <v>17</v>
      </c>
      <c r="D4486" s="11" t="s">
        <v>18</v>
      </c>
      <c r="E4486" s="12" t="s">
        <v>650</v>
      </c>
      <c r="F4486" s="12" t="s">
        <v>651</v>
      </c>
      <c r="G4486" s="12" t="s">
        <v>40</v>
      </c>
      <c r="H4486" s="11" t="s">
        <v>63</v>
      </c>
      <c r="I4486" s="13" t="s">
        <v>9857</v>
      </c>
      <c r="J4486" s="14" t="str">
        <f>HYPERLINK("https://www.boe.es/gazeta/dias/1839/10/25/pdfs/GMD-1839-1811.pdf#page=2","Abrir facsímil")</f>
        <v>Abrir facsímil</v>
      </c>
      <c r="K4486" s="12" t="s">
        <v>65</v>
      </c>
    </row>
    <row r="4487" spans="1:11" ht="40.049999999999997" customHeight="1" x14ac:dyDescent="0.25">
      <c r="A4487" s="11" t="s">
        <v>9805</v>
      </c>
      <c r="B4487" s="11" t="s">
        <v>9806</v>
      </c>
      <c r="C4487" s="11" t="s">
        <v>137</v>
      </c>
      <c r="D4487" s="11" t="s">
        <v>18</v>
      </c>
      <c r="E4487" s="12" t="s">
        <v>650</v>
      </c>
      <c r="F4487" s="12" t="s">
        <v>651</v>
      </c>
      <c r="G4487" s="12" t="s">
        <v>46</v>
      </c>
      <c r="H4487" s="11" t="s">
        <v>63</v>
      </c>
      <c r="I4487" s="13" t="s">
        <v>9858</v>
      </c>
      <c r="J4487" s="14" t="str">
        <f>HYPERLINK("https://www.boe.es/gazeta/dias/1839/10/25/pdfs/GMD-1839-1811.pdf#page=3","Abrir facsímil")</f>
        <v>Abrir facsímil</v>
      </c>
      <c r="K4487" s="12" t="s">
        <v>65</v>
      </c>
    </row>
    <row r="4488" spans="1:11" ht="40.049999999999997" customHeight="1" x14ac:dyDescent="0.25">
      <c r="A4488" s="11" t="s">
        <v>9805</v>
      </c>
      <c r="B4488" s="11" t="s">
        <v>9806</v>
      </c>
      <c r="C4488" s="11" t="s">
        <v>17</v>
      </c>
      <c r="D4488" s="11" t="s">
        <v>18</v>
      </c>
      <c r="E4488" s="12" t="s">
        <v>650</v>
      </c>
      <c r="F4488" s="12" t="s">
        <v>651</v>
      </c>
      <c r="G4488" s="12" t="s">
        <v>21</v>
      </c>
      <c r="H4488" s="11" t="s">
        <v>63</v>
      </c>
      <c r="I4488" s="13" t="s">
        <v>9859</v>
      </c>
      <c r="J4488" s="14" t="str">
        <f>HYPERLINK("https://www.boe.es/gazeta/dias/1839/10/25/pdfs/GMD-1839-1811.pdf#page=4","Abrir facsímil")</f>
        <v>Abrir facsímil</v>
      </c>
      <c r="K4488" s="12" t="s">
        <v>65</v>
      </c>
    </row>
    <row r="4489" spans="1:11" ht="40.049999999999997" customHeight="1" x14ac:dyDescent="0.25">
      <c r="A4489" s="11" t="s">
        <v>9805</v>
      </c>
      <c r="B4489" s="11" t="s">
        <v>9806</v>
      </c>
      <c r="C4489" s="11" t="s">
        <v>137</v>
      </c>
      <c r="D4489" s="11" t="s">
        <v>18</v>
      </c>
      <c r="E4489" s="12" t="s">
        <v>1086</v>
      </c>
      <c r="F4489" s="12" t="s">
        <v>1087</v>
      </c>
      <c r="G4489" s="12" t="s">
        <v>46</v>
      </c>
      <c r="H4489" s="11" t="s">
        <v>63</v>
      </c>
      <c r="I4489" s="13" t="s">
        <v>9860</v>
      </c>
      <c r="J4489" s="14" t="str">
        <f>HYPERLINK("https://www.boe.es/gazeta/dias/1839/10/26/pdfs/GMD-1839-1812.pdf#page=3","Abrir facsímil")</f>
        <v>Abrir facsímil</v>
      </c>
      <c r="K4489" s="12" t="s">
        <v>65</v>
      </c>
    </row>
    <row r="4490" spans="1:11" ht="40.049999999999997" customHeight="1" x14ac:dyDescent="0.25">
      <c r="A4490" s="11" t="s">
        <v>9805</v>
      </c>
      <c r="B4490" s="11" t="s">
        <v>9806</v>
      </c>
      <c r="C4490" s="11" t="s">
        <v>17</v>
      </c>
      <c r="D4490" s="11" t="s">
        <v>18</v>
      </c>
      <c r="E4490" s="12" t="s">
        <v>1086</v>
      </c>
      <c r="F4490" s="12" t="s">
        <v>1087</v>
      </c>
      <c r="G4490" s="12" t="s">
        <v>21</v>
      </c>
      <c r="H4490" s="11" t="s">
        <v>63</v>
      </c>
      <c r="I4490" s="13" t="s">
        <v>9861</v>
      </c>
      <c r="J4490" s="14" t="str">
        <f>HYPERLINK("https://www.boe.es/gazeta/dias/1839/10/26/pdfs/GMD-1839-1812.pdf#page=4","Abrir facsímil")</f>
        <v>Abrir facsímil</v>
      </c>
      <c r="K4490" s="12" t="s">
        <v>65</v>
      </c>
    </row>
    <row r="4491" spans="1:11" ht="40.049999999999997" customHeight="1" x14ac:dyDescent="0.25">
      <c r="A4491" s="11" t="s">
        <v>9805</v>
      </c>
      <c r="B4491" s="11" t="s">
        <v>9806</v>
      </c>
      <c r="C4491" s="11" t="s">
        <v>17</v>
      </c>
      <c r="D4491" s="11" t="s">
        <v>18</v>
      </c>
      <c r="E4491" s="12" t="s">
        <v>1909</v>
      </c>
      <c r="F4491" s="12" t="s">
        <v>1910</v>
      </c>
      <c r="G4491" s="12" t="s">
        <v>29</v>
      </c>
      <c r="H4491" s="11" t="s">
        <v>63</v>
      </c>
      <c r="I4491" s="13" t="s">
        <v>9862</v>
      </c>
      <c r="J4491" s="14" t="str">
        <f>HYPERLINK("https://www.boe.es/gazeta/dias/1839/10/27/pdfs/GMD-1839-1813.pdf#page=1","Abrir facsímil")</f>
        <v>Abrir facsímil</v>
      </c>
      <c r="K4491" s="12" t="s">
        <v>65</v>
      </c>
    </row>
    <row r="4492" spans="1:11" ht="40.049999999999997" customHeight="1" x14ac:dyDescent="0.25">
      <c r="A4492" s="11" t="s">
        <v>9805</v>
      </c>
      <c r="B4492" s="11" t="s">
        <v>9806</v>
      </c>
      <c r="C4492" s="11" t="s">
        <v>17</v>
      </c>
      <c r="D4492" s="11" t="s">
        <v>18</v>
      </c>
      <c r="E4492" s="12" t="s">
        <v>1909</v>
      </c>
      <c r="F4492" s="12" t="s">
        <v>1910</v>
      </c>
      <c r="G4492" s="12" t="s">
        <v>46</v>
      </c>
      <c r="H4492" s="11" t="s">
        <v>63</v>
      </c>
      <c r="I4492" s="13" t="s">
        <v>9863</v>
      </c>
      <c r="J4492" s="14" t="str">
        <f>HYPERLINK("https://www.boe.es/gazeta/dias/1839/10/27/pdfs/GMD-1839-1813.pdf#page=3","Abrir facsímil")</f>
        <v>Abrir facsímil</v>
      </c>
      <c r="K4492" s="12" t="s">
        <v>65</v>
      </c>
    </row>
    <row r="4493" spans="1:11" ht="40.049999999999997" customHeight="1" x14ac:dyDescent="0.25">
      <c r="A4493" s="11" t="s">
        <v>9805</v>
      </c>
      <c r="B4493" s="11" t="s">
        <v>9806</v>
      </c>
      <c r="C4493" s="11" t="s">
        <v>101</v>
      </c>
      <c r="D4493" s="11" t="s">
        <v>43</v>
      </c>
      <c r="E4493" s="12" t="s">
        <v>574</v>
      </c>
      <c r="F4493" s="12" t="s">
        <v>575</v>
      </c>
      <c r="G4493" s="12" t="s">
        <v>40</v>
      </c>
      <c r="H4493" s="11" t="s">
        <v>63</v>
      </c>
      <c r="I4493" s="13" t="s">
        <v>9864</v>
      </c>
      <c r="J4493" s="14" t="str">
        <f>HYPERLINK("https://www.boe.es/gazeta/dias/1839/09/28/pdfs/GMD-1839-1784.pdf#page=2","Abrir facsímil")</f>
        <v>Abrir facsímil</v>
      </c>
      <c r="K4493" s="12" t="s">
        <v>65</v>
      </c>
    </row>
    <row r="4494" spans="1:11" ht="40.049999999999997" customHeight="1" x14ac:dyDescent="0.25">
      <c r="A4494" s="11" t="s">
        <v>9805</v>
      </c>
      <c r="B4494" s="11" t="s">
        <v>9806</v>
      </c>
      <c r="C4494" s="11" t="s">
        <v>17</v>
      </c>
      <c r="D4494" s="11" t="s">
        <v>18</v>
      </c>
      <c r="E4494" s="12" t="s">
        <v>1988</v>
      </c>
      <c r="F4494" s="12" t="s">
        <v>1989</v>
      </c>
      <c r="G4494" s="12" t="s">
        <v>46</v>
      </c>
      <c r="H4494" s="11" t="s">
        <v>63</v>
      </c>
      <c r="I4494" s="13" t="s">
        <v>9865</v>
      </c>
      <c r="J4494" s="14" t="str">
        <f>HYPERLINK("https://www.boe.es/gazeta/dias/1839/10/29/pdfs/GMD-1839-1815.pdf#page=3","Abrir facsímil")</f>
        <v>Abrir facsímil</v>
      </c>
      <c r="K4494" s="12" t="s">
        <v>65</v>
      </c>
    </row>
    <row r="4495" spans="1:11" ht="40.049999999999997" customHeight="1" x14ac:dyDescent="0.25">
      <c r="A4495" s="11" t="s">
        <v>9805</v>
      </c>
      <c r="B4495" s="11" t="s">
        <v>9806</v>
      </c>
      <c r="C4495" s="11" t="s">
        <v>137</v>
      </c>
      <c r="D4495" s="11" t="s">
        <v>18</v>
      </c>
      <c r="E4495" s="12" t="s">
        <v>1988</v>
      </c>
      <c r="F4495" s="12" t="s">
        <v>1989</v>
      </c>
      <c r="G4495" s="12" t="s">
        <v>21</v>
      </c>
      <c r="H4495" s="11" t="s">
        <v>63</v>
      </c>
      <c r="I4495" s="13" t="s">
        <v>9866</v>
      </c>
      <c r="J4495" s="14" t="str">
        <f>HYPERLINK("https://www.boe.es/gazeta/dias/1839/10/29/pdfs/GMD-1839-1815.pdf#page=4","Abrir facsímil")</f>
        <v>Abrir facsímil</v>
      </c>
      <c r="K4495" s="12" t="s">
        <v>65</v>
      </c>
    </row>
    <row r="4496" spans="1:11" ht="40.049999999999997" customHeight="1" x14ac:dyDescent="0.25">
      <c r="A4496" s="11" t="s">
        <v>9805</v>
      </c>
      <c r="B4496" s="11" t="s">
        <v>9806</v>
      </c>
      <c r="C4496" s="11" t="s">
        <v>101</v>
      </c>
      <c r="D4496" s="11" t="s">
        <v>43</v>
      </c>
      <c r="E4496" s="12" t="s">
        <v>1867</v>
      </c>
      <c r="F4496" s="12" t="s">
        <v>1868</v>
      </c>
      <c r="G4496" s="12" t="s">
        <v>40</v>
      </c>
      <c r="H4496" s="11" t="s">
        <v>63</v>
      </c>
      <c r="I4496" s="13" t="s">
        <v>9867</v>
      </c>
      <c r="J4496" s="14" t="str">
        <f>HYPERLINK("https://www.boe.es/gazeta/dias/1839/01/30/pdfs/GMD-1839-1537.pdf#page=2","Abrir facsímil")</f>
        <v>Abrir facsímil</v>
      </c>
      <c r="K4496" s="12" t="s">
        <v>65</v>
      </c>
    </row>
    <row r="4497" spans="1:11" ht="40.049999999999997" customHeight="1" x14ac:dyDescent="0.25">
      <c r="A4497" s="11" t="s">
        <v>9805</v>
      </c>
      <c r="B4497" s="11" t="s">
        <v>9806</v>
      </c>
      <c r="C4497" s="11" t="s">
        <v>17</v>
      </c>
      <c r="D4497" s="11" t="s">
        <v>18</v>
      </c>
      <c r="E4497" s="12" t="s">
        <v>1867</v>
      </c>
      <c r="F4497" s="12" t="s">
        <v>1868</v>
      </c>
      <c r="G4497" s="12" t="s">
        <v>46</v>
      </c>
      <c r="H4497" s="11" t="s">
        <v>63</v>
      </c>
      <c r="I4497" s="13" t="s">
        <v>9868</v>
      </c>
      <c r="J4497" s="14" t="str">
        <f>HYPERLINK("https://www.boe.es/gazeta/dias/1839/01/30/pdfs/GMD-1839-1537.pdf#page=3","Abrir facsímil")</f>
        <v>Abrir facsímil</v>
      </c>
      <c r="K4497" s="12" t="s">
        <v>65</v>
      </c>
    </row>
    <row r="4498" spans="1:11" ht="40.049999999999997" customHeight="1" x14ac:dyDescent="0.25">
      <c r="A4498" s="11" t="s">
        <v>9805</v>
      </c>
      <c r="B4498" s="11" t="s">
        <v>9806</v>
      </c>
      <c r="C4498" s="11" t="s">
        <v>101</v>
      </c>
      <c r="D4498" s="11" t="s">
        <v>102</v>
      </c>
      <c r="E4498" s="12" t="s">
        <v>474</v>
      </c>
      <c r="F4498" s="12" t="s">
        <v>475</v>
      </c>
      <c r="G4498" s="12" t="s">
        <v>29</v>
      </c>
      <c r="H4498" s="11" t="s">
        <v>63</v>
      </c>
      <c r="I4498" s="13" t="s">
        <v>9869</v>
      </c>
      <c r="J4498" s="14" t="str">
        <f>HYPERLINK("https://www.boe.es/gazeta/dias/1839/03/31/pdfs/GMD-1839-1597.pdf#page=1","Abrir facsímil")</f>
        <v>Abrir facsímil</v>
      </c>
      <c r="K4498" s="12" t="s">
        <v>65</v>
      </c>
    </row>
    <row r="4499" spans="1:11" ht="40.049999999999997" customHeight="1" x14ac:dyDescent="0.25">
      <c r="A4499" s="11" t="s">
        <v>9805</v>
      </c>
      <c r="B4499" s="11" t="s">
        <v>9806</v>
      </c>
      <c r="C4499" s="11" t="s">
        <v>137</v>
      </c>
      <c r="D4499" s="11" t="s">
        <v>18</v>
      </c>
      <c r="E4499" s="12" t="s">
        <v>653</v>
      </c>
      <c r="F4499" s="12" t="s">
        <v>654</v>
      </c>
      <c r="G4499" s="12" t="s">
        <v>40</v>
      </c>
      <c r="H4499" s="11" t="s">
        <v>63</v>
      </c>
      <c r="I4499" s="13" t="s">
        <v>9870</v>
      </c>
      <c r="J4499" s="14" t="str">
        <f>HYPERLINK("https://www.boe.es/gazeta/dias/1839/10/31/pdfs/GMD-1839-1817.pdf#page=2","Abrir facsímil")</f>
        <v>Abrir facsímil</v>
      </c>
      <c r="K4499" s="12" t="s">
        <v>65</v>
      </c>
    </row>
    <row r="4500" spans="1:11" ht="40.049999999999997" customHeight="1" x14ac:dyDescent="0.25">
      <c r="A4500" s="11" t="s">
        <v>9805</v>
      </c>
      <c r="B4500" s="11" t="s">
        <v>9806</v>
      </c>
      <c r="C4500" s="11" t="s">
        <v>101</v>
      </c>
      <c r="D4500" s="11" t="s">
        <v>43</v>
      </c>
      <c r="E4500" s="12" t="s">
        <v>653</v>
      </c>
      <c r="F4500" s="12" t="s">
        <v>654</v>
      </c>
      <c r="G4500" s="12" t="s">
        <v>46</v>
      </c>
      <c r="H4500" s="11" t="s">
        <v>63</v>
      </c>
      <c r="I4500" s="13" t="s">
        <v>9871</v>
      </c>
      <c r="J4500" s="14" t="str">
        <f>HYPERLINK("https://www.boe.es/gazeta/dias/1839/10/31/pdfs/GMD-1839-1817.pdf#page=3","Abrir facsímil")</f>
        <v>Abrir facsímil</v>
      </c>
      <c r="K4500" s="12" t="s">
        <v>65</v>
      </c>
    </row>
    <row r="4501" spans="1:11" ht="40.049999999999997" customHeight="1" x14ac:dyDescent="0.25">
      <c r="A4501" s="11" t="s">
        <v>9805</v>
      </c>
      <c r="B4501" s="11" t="s">
        <v>9806</v>
      </c>
      <c r="C4501" s="11" t="s">
        <v>17</v>
      </c>
      <c r="D4501" s="11" t="s">
        <v>18</v>
      </c>
      <c r="E4501" s="12" t="s">
        <v>653</v>
      </c>
      <c r="F4501" s="12" t="s">
        <v>654</v>
      </c>
      <c r="G4501" s="12" t="s">
        <v>21</v>
      </c>
      <c r="H4501" s="11" t="s">
        <v>63</v>
      </c>
      <c r="I4501" s="13" t="s">
        <v>9872</v>
      </c>
      <c r="J4501" s="14" t="str">
        <f>HYPERLINK("https://www.boe.es/gazeta/dias/1839/10/31/pdfs/GMD-1839-1817.pdf#page=4","Abrir facsímil")</f>
        <v>Abrir facsímil</v>
      </c>
      <c r="K4501" s="12" t="s">
        <v>65</v>
      </c>
    </row>
    <row r="4502" spans="1:11" ht="40.049999999999997" customHeight="1" x14ac:dyDescent="0.25">
      <c r="A4502" s="11" t="s">
        <v>9873</v>
      </c>
      <c r="B4502" s="11" t="s">
        <v>9874</v>
      </c>
      <c r="C4502" s="11" t="s">
        <v>101</v>
      </c>
      <c r="D4502" s="11" t="s">
        <v>43</v>
      </c>
      <c r="E4502" s="12" t="s">
        <v>1909</v>
      </c>
      <c r="F4502" s="12" t="s">
        <v>1910</v>
      </c>
      <c r="G4502" s="12" t="s">
        <v>46</v>
      </c>
      <c r="H4502" s="11" t="s">
        <v>63</v>
      </c>
      <c r="I4502" s="13" t="s">
        <v>9875</v>
      </c>
      <c r="J4502" s="14" t="str">
        <f>HYPERLINK("https://www.boe.es/gazeta/dias/1839/10/27/pdfs/GMD-1839-1813.pdf#page=3","Abrir facsímil")</f>
        <v>Abrir facsímil</v>
      </c>
      <c r="K4502" s="12" t="s">
        <v>65</v>
      </c>
    </row>
    <row r="4503" spans="1:11" ht="40.049999999999997" customHeight="1" x14ac:dyDescent="0.25">
      <c r="A4503" s="11" t="s">
        <v>9876</v>
      </c>
      <c r="B4503" s="11" t="s">
        <v>9877</v>
      </c>
      <c r="C4503" s="11" t="s">
        <v>17</v>
      </c>
      <c r="D4503" s="11" t="s">
        <v>18</v>
      </c>
      <c r="E4503" s="12" t="s">
        <v>1086</v>
      </c>
      <c r="F4503" s="12" t="s">
        <v>1087</v>
      </c>
      <c r="G4503" s="12" t="s">
        <v>46</v>
      </c>
      <c r="H4503" s="11" t="s">
        <v>63</v>
      </c>
      <c r="I4503" s="13" t="s">
        <v>9878</v>
      </c>
      <c r="J4503" s="14" t="str">
        <f>HYPERLINK("https://www.boe.es/gazeta/dias/1839/10/26/pdfs/GMD-1839-1812.pdf#page=3","Abrir facsímil")</f>
        <v>Abrir facsímil</v>
      </c>
      <c r="K4503" s="12" t="s">
        <v>65</v>
      </c>
    </row>
    <row r="4504" spans="1:11" ht="40.049999999999997" customHeight="1" x14ac:dyDescent="0.25">
      <c r="A4504" s="11" t="s">
        <v>9879</v>
      </c>
      <c r="B4504" s="11" t="s">
        <v>9880</v>
      </c>
      <c r="C4504" s="11" t="s">
        <v>101</v>
      </c>
      <c r="D4504" s="11" t="s">
        <v>43</v>
      </c>
      <c r="E4504" s="12" t="s">
        <v>269</v>
      </c>
      <c r="F4504" s="12" t="s">
        <v>270</v>
      </c>
      <c r="G4504" s="12" t="s">
        <v>46</v>
      </c>
      <c r="H4504" s="11" t="s">
        <v>63</v>
      </c>
      <c r="I4504" s="13" t="s">
        <v>9881</v>
      </c>
      <c r="J4504" s="14" t="str">
        <f>HYPERLINK("https://www.boe.es/gazeta/dias/1839/02/10/pdfs/GMD-1839-1548.pdf#page=3","Abrir facsímil")</f>
        <v>Abrir facsímil</v>
      </c>
      <c r="K4504" s="12" t="s">
        <v>65</v>
      </c>
    </row>
    <row r="4505" spans="1:11" ht="40.049999999999997" customHeight="1" x14ac:dyDescent="0.25">
      <c r="A4505" s="11" t="s">
        <v>9882</v>
      </c>
      <c r="B4505" s="11" t="s">
        <v>9883</v>
      </c>
      <c r="C4505" s="11" t="s">
        <v>137</v>
      </c>
      <c r="D4505" s="11" t="s">
        <v>18</v>
      </c>
      <c r="E4505" s="12" t="s">
        <v>647</v>
      </c>
      <c r="F4505" s="12" t="s">
        <v>648</v>
      </c>
      <c r="G4505" s="12" t="s">
        <v>566</v>
      </c>
      <c r="H4505" s="11" t="s">
        <v>63</v>
      </c>
      <c r="I4505" s="13" t="s">
        <v>9884</v>
      </c>
      <c r="J4505" s="14" t="str">
        <f>HYPERLINK("https://www.boe.es/gazeta/dias/1839/10/08/pdfs/GMD-1839-1794.pdf#page=5","Abrir facsímil")</f>
        <v>Abrir facsímil</v>
      </c>
      <c r="K4505" s="12" t="s">
        <v>65</v>
      </c>
    </row>
    <row r="4506" spans="1:11" ht="40.049999999999997" customHeight="1" x14ac:dyDescent="0.25">
      <c r="A4506" s="11" t="s">
        <v>9885</v>
      </c>
      <c r="B4506" s="11" t="s">
        <v>9886</v>
      </c>
      <c r="C4506" s="11" t="s">
        <v>17</v>
      </c>
      <c r="D4506" s="11" t="s">
        <v>18</v>
      </c>
      <c r="E4506" s="12" t="s">
        <v>340</v>
      </c>
      <c r="F4506" s="12" t="s">
        <v>341</v>
      </c>
      <c r="G4506" s="12" t="s">
        <v>46</v>
      </c>
      <c r="H4506" s="11" t="s">
        <v>63</v>
      </c>
      <c r="I4506" s="13" t="s">
        <v>9887</v>
      </c>
      <c r="J4506" s="14" t="str">
        <f>HYPERLINK("https://www.boe.es/gazeta/dias/1839/03/19/pdfs/GMD-1839-1585.pdf#page=3","Abrir facsímil")</f>
        <v>Abrir facsímil</v>
      </c>
      <c r="K4506" s="12" t="s">
        <v>65</v>
      </c>
    </row>
    <row r="4507" spans="1:11" ht="40.049999999999997" customHeight="1" x14ac:dyDescent="0.25">
      <c r="A4507" s="11" t="s">
        <v>9888</v>
      </c>
      <c r="B4507" s="11" t="s">
        <v>9889</v>
      </c>
      <c r="C4507" s="11" t="s">
        <v>101</v>
      </c>
      <c r="D4507" s="11" t="s">
        <v>43</v>
      </c>
      <c r="E4507" s="12" t="s">
        <v>262</v>
      </c>
      <c r="F4507" s="12" t="s">
        <v>263</v>
      </c>
      <c r="G4507" s="12" t="s">
        <v>46</v>
      </c>
      <c r="H4507" s="11" t="s">
        <v>63</v>
      </c>
      <c r="I4507" s="13" t="s">
        <v>9890</v>
      </c>
      <c r="J4507" s="14" t="str">
        <f>HYPERLINK("https://www.boe.es/gazeta/dias/1839/01/01/pdfs/GMD-1839-1508.pdf#page=3","Abrir facsímil")</f>
        <v>Abrir facsímil</v>
      </c>
      <c r="K4507" s="12" t="s">
        <v>65</v>
      </c>
    </row>
    <row r="4508" spans="1:11" ht="40.049999999999997" customHeight="1" x14ac:dyDescent="0.25">
      <c r="A4508" s="11" t="s">
        <v>9891</v>
      </c>
      <c r="B4508" s="11" t="s">
        <v>9892</v>
      </c>
      <c r="C4508" s="11" t="s">
        <v>59</v>
      </c>
      <c r="D4508" s="11" t="s">
        <v>60</v>
      </c>
      <c r="E4508" s="12" t="s">
        <v>809</v>
      </c>
      <c r="F4508" s="12" t="s">
        <v>810</v>
      </c>
      <c r="G4508" s="12" t="s">
        <v>21</v>
      </c>
      <c r="H4508" s="11" t="s">
        <v>63</v>
      </c>
      <c r="I4508" s="13" t="s">
        <v>9893</v>
      </c>
      <c r="J4508" s="14" t="str">
        <f>HYPERLINK("https://www.boe.es/gazeta/dias/1839/02/11/pdfs/GMD-1839-1549.pdf#page=4","Abrir facsímil")</f>
        <v>Abrir facsímil</v>
      </c>
      <c r="K4508" s="12" t="s">
        <v>65</v>
      </c>
    </row>
    <row r="4509" spans="1:11" ht="40.049999999999997" customHeight="1" x14ac:dyDescent="0.25">
      <c r="A4509" s="11" t="s">
        <v>9894</v>
      </c>
      <c r="B4509" s="11" t="s">
        <v>9895</v>
      </c>
      <c r="C4509" s="11" t="s">
        <v>17</v>
      </c>
      <c r="D4509" s="11" t="s">
        <v>18</v>
      </c>
      <c r="E4509" s="12" t="s">
        <v>2210</v>
      </c>
      <c r="F4509" s="12" t="s">
        <v>2211</v>
      </c>
      <c r="G4509" s="12" t="s">
        <v>46</v>
      </c>
      <c r="H4509" s="11" t="s">
        <v>63</v>
      </c>
      <c r="I4509" s="13" t="s">
        <v>9896</v>
      </c>
      <c r="J4509" s="14" t="str">
        <f>HYPERLINK("https://www.boe.es/gazeta/dias/1839/09/05/pdfs/GMD-1839-1758.pdf#page=3","Abrir facsímil")</f>
        <v>Abrir facsímil</v>
      </c>
      <c r="K4509" s="12" t="s">
        <v>65</v>
      </c>
    </row>
    <row r="4510" spans="1:11" ht="40.049999999999997" customHeight="1" x14ac:dyDescent="0.25">
      <c r="A4510" s="11" t="s">
        <v>9897</v>
      </c>
      <c r="B4510" s="11" t="s">
        <v>9898</v>
      </c>
      <c r="C4510" s="11" t="s">
        <v>101</v>
      </c>
      <c r="D4510" s="11" t="s">
        <v>43</v>
      </c>
      <c r="E4510" s="12" t="s">
        <v>160</v>
      </c>
      <c r="F4510" s="12" t="s">
        <v>161</v>
      </c>
      <c r="G4510" s="12" t="s">
        <v>46</v>
      </c>
      <c r="H4510" s="11" t="s">
        <v>63</v>
      </c>
      <c r="I4510" s="13" t="s">
        <v>9899</v>
      </c>
      <c r="J4510" s="14" t="str">
        <f>HYPERLINK("https://www.boe.es/gazeta/dias/1839/01/10/pdfs/GMD-1839-1517.pdf#page=3","Abrir facsímil")</f>
        <v>Abrir facsímil</v>
      </c>
      <c r="K4510" s="12" t="s">
        <v>65</v>
      </c>
    </row>
    <row r="4511" spans="1:11" ht="40.049999999999997" customHeight="1" x14ac:dyDescent="0.25">
      <c r="A4511" s="11" t="s">
        <v>9900</v>
      </c>
      <c r="B4511" s="11" t="s">
        <v>9901</v>
      </c>
      <c r="C4511" s="11" t="s">
        <v>80</v>
      </c>
      <c r="D4511" s="11" t="s">
        <v>18</v>
      </c>
      <c r="E4511" s="12" t="s">
        <v>2320</v>
      </c>
      <c r="F4511" s="12" t="s">
        <v>2321</v>
      </c>
      <c r="G4511" s="12" t="s">
        <v>21</v>
      </c>
      <c r="H4511" s="11" t="s">
        <v>63</v>
      </c>
      <c r="I4511" s="13" t="s">
        <v>9902</v>
      </c>
      <c r="J4511" s="14" t="str">
        <f>HYPERLINK("https://www.boe.es/gazeta/dias/1839/11/13/pdfs/GMD-1839-1830.pdf#page=4","Abrir facsímil")</f>
        <v>Abrir facsímil</v>
      </c>
      <c r="K4511" s="12" t="s">
        <v>65</v>
      </c>
    </row>
    <row r="4512" spans="1:11" ht="40.049999999999997" customHeight="1" x14ac:dyDescent="0.25">
      <c r="A4512" s="11" t="s">
        <v>9903</v>
      </c>
      <c r="B4512" s="11" t="s">
        <v>9904</v>
      </c>
      <c r="C4512" s="11" t="s">
        <v>17</v>
      </c>
      <c r="D4512" s="11" t="s">
        <v>18</v>
      </c>
      <c r="E4512" s="12" t="s">
        <v>1183</v>
      </c>
      <c r="F4512" s="12" t="s">
        <v>1184</v>
      </c>
      <c r="G4512" s="12" t="s">
        <v>21</v>
      </c>
      <c r="H4512" s="11" t="s">
        <v>63</v>
      </c>
      <c r="I4512" s="13" t="s">
        <v>9905</v>
      </c>
      <c r="J4512" s="14" t="str">
        <f>HYPERLINK("https://www.boe.es/gazeta/dias/1839/07/26/pdfs/GMD-1839-1715.pdf#page=4","Abrir facsímil")</f>
        <v>Abrir facsímil</v>
      </c>
      <c r="K4512" s="12" t="s">
        <v>65</v>
      </c>
    </row>
    <row r="4513" spans="1:11" ht="40.049999999999997" customHeight="1" x14ac:dyDescent="0.25">
      <c r="A4513" s="11" t="s">
        <v>9906</v>
      </c>
      <c r="B4513" s="11" t="s">
        <v>9907</v>
      </c>
      <c r="C4513" s="11" t="s">
        <v>17</v>
      </c>
      <c r="D4513" s="11" t="s">
        <v>18</v>
      </c>
      <c r="E4513" s="12" t="s">
        <v>474</v>
      </c>
      <c r="F4513" s="12" t="s">
        <v>475</v>
      </c>
      <c r="G4513" s="12" t="s">
        <v>46</v>
      </c>
      <c r="H4513" s="11" t="s">
        <v>63</v>
      </c>
      <c r="I4513" s="13" t="s">
        <v>9908</v>
      </c>
      <c r="J4513" s="14" t="str">
        <f>HYPERLINK("https://www.boe.es/gazeta/dias/1839/03/31/pdfs/GMD-1839-1597.pdf#page=3","Abrir facsímil")</f>
        <v>Abrir facsímil</v>
      </c>
      <c r="K4513" s="12" t="s">
        <v>65</v>
      </c>
    </row>
    <row r="4514" spans="1:11" ht="40.049999999999997" customHeight="1" x14ac:dyDescent="0.25">
      <c r="A4514" s="11" t="s">
        <v>9909</v>
      </c>
      <c r="B4514" s="11" t="s">
        <v>9910</v>
      </c>
      <c r="C4514" s="11" t="s">
        <v>80</v>
      </c>
      <c r="D4514" s="11" t="s">
        <v>18</v>
      </c>
      <c r="E4514" s="12" t="s">
        <v>1179</v>
      </c>
      <c r="F4514" s="12" t="s">
        <v>1180</v>
      </c>
      <c r="G4514" s="12" t="s">
        <v>305</v>
      </c>
      <c r="H4514" s="11" t="s">
        <v>63</v>
      </c>
      <c r="I4514" s="13" t="s">
        <v>9911</v>
      </c>
      <c r="J4514" s="14" t="str">
        <f>HYPERLINK("https://www.boe.es/gazeta/dias/1839/10/18/pdfs/GMD-1839-1804.pdf#page=6","Abrir facsímil")</f>
        <v>Abrir facsímil</v>
      </c>
      <c r="K4514" s="12" t="s">
        <v>65</v>
      </c>
    </row>
    <row r="4515" spans="1:11" ht="40.049999999999997" customHeight="1" x14ac:dyDescent="0.25">
      <c r="A4515" s="11" t="s">
        <v>9909</v>
      </c>
      <c r="B4515" s="11" t="s">
        <v>9910</v>
      </c>
      <c r="C4515" s="11" t="s">
        <v>137</v>
      </c>
      <c r="D4515" s="11" t="s">
        <v>18</v>
      </c>
      <c r="E4515" s="12" t="s">
        <v>1672</v>
      </c>
      <c r="F4515" s="12" t="s">
        <v>1673</v>
      </c>
      <c r="G4515" s="12" t="s">
        <v>21</v>
      </c>
      <c r="H4515" s="11" t="s">
        <v>63</v>
      </c>
      <c r="I4515" s="13" t="s">
        <v>9912</v>
      </c>
      <c r="J4515" s="14" t="str">
        <f>HYPERLINK("https://www.boe.es/gazeta/dias/1839/08/24/pdfs/GMD-1839-1745.pdf#page=4","Abrir facsímil")</f>
        <v>Abrir facsímil</v>
      </c>
      <c r="K4515" s="12" t="s">
        <v>65</v>
      </c>
    </row>
    <row r="4516" spans="1:11" ht="40.049999999999997" customHeight="1" x14ac:dyDescent="0.25">
      <c r="A4516" s="11" t="s">
        <v>9913</v>
      </c>
      <c r="B4516" s="11" t="s">
        <v>9914</v>
      </c>
      <c r="C4516" s="11" t="s">
        <v>59</v>
      </c>
      <c r="D4516" s="11" t="s">
        <v>60</v>
      </c>
      <c r="E4516" s="12" t="s">
        <v>1008</v>
      </c>
      <c r="F4516" s="12" t="s">
        <v>1009</v>
      </c>
      <c r="G4516" s="12" t="s">
        <v>40</v>
      </c>
      <c r="H4516" s="11" t="s">
        <v>22</v>
      </c>
      <c r="I4516" s="13" t="s">
        <v>9915</v>
      </c>
      <c r="J4516" s="14" t="str">
        <f>HYPERLINK("https://www.boe.es/gazeta/dias/1839/09/07/pdfs/GMD-1839-1760.pdf#page=2","Abrir facsímil")</f>
        <v>Abrir facsímil</v>
      </c>
      <c r="K4516" s="12" t="s">
        <v>24</v>
      </c>
    </row>
    <row r="4517" spans="1:11" ht="40.049999999999997" customHeight="1" x14ac:dyDescent="0.25">
      <c r="A4517" s="11" t="s">
        <v>9916</v>
      </c>
      <c r="B4517" s="11" t="s">
        <v>9917</v>
      </c>
      <c r="C4517" s="11" t="s">
        <v>101</v>
      </c>
      <c r="D4517" s="11" t="s">
        <v>43</v>
      </c>
      <c r="E4517" s="12" t="s">
        <v>2949</v>
      </c>
      <c r="F4517" s="12" t="s">
        <v>2950</v>
      </c>
      <c r="G4517" s="12" t="s">
        <v>29</v>
      </c>
      <c r="H4517" s="11" t="s">
        <v>63</v>
      </c>
      <c r="I4517" s="13" t="s">
        <v>9918</v>
      </c>
      <c r="J4517" s="14" t="str">
        <f>HYPERLINK("https://www.boe.es/gazeta/dias/1839/10/21/pdfs/GMD-1839-1807.pdf#page=1","Abrir facsímil")</f>
        <v>Abrir facsímil</v>
      </c>
      <c r="K4517" s="12" t="s">
        <v>65</v>
      </c>
    </row>
    <row r="4518" spans="1:11" ht="40.049999999999997" customHeight="1" x14ac:dyDescent="0.25">
      <c r="A4518" s="11" t="s">
        <v>9919</v>
      </c>
      <c r="B4518" s="11" t="s">
        <v>9920</v>
      </c>
      <c r="C4518" s="11" t="s">
        <v>101</v>
      </c>
      <c r="D4518" s="11" t="s">
        <v>43</v>
      </c>
      <c r="E4518" s="12" t="s">
        <v>647</v>
      </c>
      <c r="F4518" s="12" t="s">
        <v>648</v>
      </c>
      <c r="G4518" s="12" t="s">
        <v>566</v>
      </c>
      <c r="H4518" s="11" t="s">
        <v>63</v>
      </c>
      <c r="I4518" s="13" t="s">
        <v>9921</v>
      </c>
      <c r="J4518" s="14" t="str">
        <f>HYPERLINK("https://www.boe.es/gazeta/dias/1839/10/08/pdfs/GMD-1839-1794.pdf#page=5","Abrir facsímil")</f>
        <v>Abrir facsímil</v>
      </c>
      <c r="K4518" s="12" t="s">
        <v>65</v>
      </c>
    </row>
    <row r="4519" spans="1:11" ht="40.049999999999997" customHeight="1" x14ac:dyDescent="0.25">
      <c r="A4519" s="11" t="s">
        <v>9919</v>
      </c>
      <c r="B4519" s="11" t="s">
        <v>9920</v>
      </c>
      <c r="C4519" s="11" t="s">
        <v>17</v>
      </c>
      <c r="D4519" s="11" t="s">
        <v>18</v>
      </c>
      <c r="E4519" s="12" t="s">
        <v>653</v>
      </c>
      <c r="F4519" s="12" t="s">
        <v>654</v>
      </c>
      <c r="G4519" s="12" t="s">
        <v>21</v>
      </c>
      <c r="H4519" s="11" t="s">
        <v>63</v>
      </c>
      <c r="I4519" s="13" t="s">
        <v>9922</v>
      </c>
      <c r="J4519" s="14" t="str">
        <f>HYPERLINK("https://www.boe.es/gazeta/dias/1839/10/31/pdfs/GMD-1839-1817.pdf#page=4","Abrir facsímil")</f>
        <v>Abrir facsímil</v>
      </c>
      <c r="K4519" s="12" t="s">
        <v>65</v>
      </c>
    </row>
    <row r="4520" spans="1:11" ht="40.049999999999997" customHeight="1" x14ac:dyDescent="0.25">
      <c r="A4520" s="11" t="s">
        <v>9923</v>
      </c>
      <c r="B4520" s="11" t="s">
        <v>9924</v>
      </c>
      <c r="C4520" s="11" t="s">
        <v>17</v>
      </c>
      <c r="D4520" s="11" t="s">
        <v>18</v>
      </c>
      <c r="E4520" s="12" t="s">
        <v>713</v>
      </c>
      <c r="F4520" s="12" t="s">
        <v>714</v>
      </c>
      <c r="G4520" s="12" t="s">
        <v>21</v>
      </c>
      <c r="H4520" s="11" t="s">
        <v>63</v>
      </c>
      <c r="I4520" s="13" t="s">
        <v>9925</v>
      </c>
      <c r="J4520" s="14" t="str">
        <f>HYPERLINK("https://www.boe.es/gazeta/dias/1839/12/18/pdfs/GMD-1839-1865.pdf#page=4","Abrir facsímil")</f>
        <v>Abrir facsímil</v>
      </c>
      <c r="K4520" s="12" t="s">
        <v>65</v>
      </c>
    </row>
    <row r="4521" spans="1:11" ht="40.049999999999997" customHeight="1" x14ac:dyDescent="0.25">
      <c r="A4521" s="11" t="s">
        <v>9926</v>
      </c>
      <c r="B4521" s="11" t="s">
        <v>9927</v>
      </c>
      <c r="C4521" s="11" t="s">
        <v>17</v>
      </c>
      <c r="D4521" s="11" t="s">
        <v>18</v>
      </c>
      <c r="E4521" s="12" t="s">
        <v>258</v>
      </c>
      <c r="F4521" s="12" t="s">
        <v>259</v>
      </c>
      <c r="G4521" s="12" t="s">
        <v>40</v>
      </c>
      <c r="H4521" s="11" t="s">
        <v>22</v>
      </c>
      <c r="I4521" s="13" t="s">
        <v>9928</v>
      </c>
      <c r="J4521" s="14" t="str">
        <f>HYPERLINK("https://www.boe.es/gazeta/dias/1839/01/02/pdfs/GMD-1839-1509.pdf#page=2","Abrir facsímil")</f>
        <v>Abrir facsímil</v>
      </c>
      <c r="K4521" s="12" t="s">
        <v>24</v>
      </c>
    </row>
    <row r="4522" spans="1:11" ht="40.049999999999997" customHeight="1" x14ac:dyDescent="0.25">
      <c r="A4522" s="11" t="s">
        <v>9929</v>
      </c>
      <c r="B4522" s="11" t="s">
        <v>9930</v>
      </c>
      <c r="C4522" s="11" t="s">
        <v>80</v>
      </c>
      <c r="D4522" s="11" t="s">
        <v>18</v>
      </c>
      <c r="E4522" s="12" t="s">
        <v>4472</v>
      </c>
      <c r="F4522" s="12" t="s">
        <v>4473</v>
      </c>
      <c r="G4522" s="12" t="s">
        <v>29</v>
      </c>
      <c r="H4522" s="11" t="s">
        <v>63</v>
      </c>
      <c r="I4522" s="13" t="s">
        <v>9931</v>
      </c>
      <c r="J4522" s="14" t="str">
        <f>HYPERLINK("https://www.boe.es/gazeta/dias/1839/08/03/pdfs/GMD-1839-1723.pdf#page=1","Abrir facsímil")</f>
        <v>Abrir facsímil</v>
      </c>
      <c r="K4522" s="12" t="s">
        <v>65</v>
      </c>
    </row>
    <row r="4523" spans="1:11" ht="40.049999999999997" customHeight="1" x14ac:dyDescent="0.25">
      <c r="A4523" s="11" t="s">
        <v>9932</v>
      </c>
      <c r="B4523" s="11" t="s">
        <v>9933</v>
      </c>
      <c r="C4523" s="11" t="s">
        <v>17</v>
      </c>
      <c r="D4523" s="11" t="s">
        <v>18</v>
      </c>
      <c r="E4523" s="12" t="s">
        <v>1301</v>
      </c>
      <c r="F4523" s="12" t="s">
        <v>1302</v>
      </c>
      <c r="G4523" s="12" t="s">
        <v>40</v>
      </c>
      <c r="H4523" s="11" t="s">
        <v>63</v>
      </c>
      <c r="I4523" s="13" t="s">
        <v>9934</v>
      </c>
      <c r="J4523" s="14" t="str">
        <f>HYPERLINK("https://www.boe.es/gazeta/dias/1839/11/16/pdfs/GMD-1839-1833.pdf#page=2","Abrir facsímil")</f>
        <v>Abrir facsímil</v>
      </c>
      <c r="K4523" s="12" t="s">
        <v>65</v>
      </c>
    </row>
    <row r="4524" spans="1:11" ht="40.049999999999997" customHeight="1" x14ac:dyDescent="0.25">
      <c r="A4524" s="11" t="s">
        <v>9935</v>
      </c>
      <c r="B4524" s="11" t="s">
        <v>9936</v>
      </c>
      <c r="C4524" s="11" t="s">
        <v>17</v>
      </c>
      <c r="D4524" s="11" t="s">
        <v>18</v>
      </c>
      <c r="E4524" s="12" t="s">
        <v>121</v>
      </c>
      <c r="F4524" s="12" t="s">
        <v>122</v>
      </c>
      <c r="G4524" s="12" t="s">
        <v>29</v>
      </c>
      <c r="H4524" s="11" t="s">
        <v>63</v>
      </c>
      <c r="I4524" s="13" t="s">
        <v>9937</v>
      </c>
      <c r="J4524" s="14" t="str">
        <f>HYPERLINK("https://www.boe.es/gazeta/dias/1839/06/08/pdfs/GMD-1839-1666.pdf#page=1","Abrir facsímil")</f>
        <v>Abrir facsímil</v>
      </c>
      <c r="K4524" s="12" t="s">
        <v>65</v>
      </c>
    </row>
    <row r="4525" spans="1:11" ht="40.049999999999997" customHeight="1" x14ac:dyDescent="0.25">
      <c r="A4525" s="11" t="s">
        <v>9938</v>
      </c>
      <c r="B4525" s="11" t="s">
        <v>9939</v>
      </c>
      <c r="C4525" s="11" t="s">
        <v>59</v>
      </c>
      <c r="D4525" s="11" t="s">
        <v>60</v>
      </c>
      <c r="E4525" s="12" t="s">
        <v>246</v>
      </c>
      <c r="F4525" s="12" t="s">
        <v>247</v>
      </c>
      <c r="G4525" s="12" t="s">
        <v>46</v>
      </c>
      <c r="H4525" s="11" t="s">
        <v>63</v>
      </c>
      <c r="I4525" s="13" t="s">
        <v>9940</v>
      </c>
      <c r="J4525" s="14" t="str">
        <f>HYPERLINK("https://www.boe.es/gazeta/dias/1839/11/24/pdfs/GMD-1839-1841.pdf#page=3","Abrir facsímil")</f>
        <v>Abrir facsímil</v>
      </c>
      <c r="K4525" s="12" t="s">
        <v>65</v>
      </c>
    </row>
    <row r="4526" spans="1:11" ht="40.049999999999997" customHeight="1" x14ac:dyDescent="0.25">
      <c r="A4526" s="11" t="s">
        <v>9941</v>
      </c>
      <c r="B4526" s="11" t="s">
        <v>9942</v>
      </c>
      <c r="C4526" s="11" t="s">
        <v>137</v>
      </c>
      <c r="D4526" s="11" t="s">
        <v>18</v>
      </c>
      <c r="E4526" s="12" t="s">
        <v>197</v>
      </c>
      <c r="F4526" s="12" t="s">
        <v>198</v>
      </c>
      <c r="G4526" s="12" t="s">
        <v>21</v>
      </c>
      <c r="H4526" s="11" t="s">
        <v>63</v>
      </c>
      <c r="I4526" s="13" t="s">
        <v>9943</v>
      </c>
      <c r="J4526" s="14" t="str">
        <f>HYPERLINK("https://www.boe.es/gazeta/dias/1839/10/04/pdfs/GMD-1839-1790.pdf#page=4","Abrir facsímil")</f>
        <v>Abrir facsímil</v>
      </c>
      <c r="K4526" s="12" t="s">
        <v>65</v>
      </c>
    </row>
    <row r="4527" spans="1:11" ht="40.049999999999997" customHeight="1" x14ac:dyDescent="0.25">
      <c r="A4527" s="11" t="s">
        <v>9944</v>
      </c>
      <c r="B4527" s="11" t="s">
        <v>9945</v>
      </c>
      <c r="C4527" s="11" t="s">
        <v>17</v>
      </c>
      <c r="D4527" s="11" t="s">
        <v>18</v>
      </c>
      <c r="E4527" s="12" t="s">
        <v>197</v>
      </c>
      <c r="F4527" s="12" t="s">
        <v>198</v>
      </c>
      <c r="G4527" s="12" t="s">
        <v>21</v>
      </c>
      <c r="H4527" s="11" t="s">
        <v>63</v>
      </c>
      <c r="I4527" s="13" t="s">
        <v>9946</v>
      </c>
      <c r="J4527" s="14" t="str">
        <f>HYPERLINK("https://www.boe.es/gazeta/dias/1839/10/04/pdfs/GMD-1839-1790.pdf#page=4","Abrir facsímil")</f>
        <v>Abrir facsímil</v>
      </c>
      <c r="K4527" s="12" t="s">
        <v>65</v>
      </c>
    </row>
    <row r="4528" spans="1:11" ht="40.049999999999997" customHeight="1" x14ac:dyDescent="0.25">
      <c r="A4528" s="11" t="s">
        <v>9944</v>
      </c>
      <c r="B4528" s="11" t="s">
        <v>9945</v>
      </c>
      <c r="C4528" s="11" t="s">
        <v>137</v>
      </c>
      <c r="D4528" s="11" t="s">
        <v>18</v>
      </c>
      <c r="E4528" s="12" t="s">
        <v>157</v>
      </c>
      <c r="F4528" s="12" t="s">
        <v>158</v>
      </c>
      <c r="G4528" s="12" t="s">
        <v>29</v>
      </c>
      <c r="H4528" s="11" t="s">
        <v>63</v>
      </c>
      <c r="I4528" s="13" t="s">
        <v>9947</v>
      </c>
      <c r="J4528" s="14" t="str">
        <f>HYPERLINK("https://www.boe.es/gazeta/dias/1839/02/08/pdfs/GMD-1839-1546.pdf#page=1","Abrir facsímil")</f>
        <v>Abrir facsímil</v>
      </c>
      <c r="K4528" s="12" t="s">
        <v>65</v>
      </c>
    </row>
    <row r="4529" spans="1:11" ht="40.049999999999997" customHeight="1" x14ac:dyDescent="0.25">
      <c r="A4529" s="11" t="s">
        <v>9948</v>
      </c>
      <c r="B4529" s="11" t="s">
        <v>9949</v>
      </c>
      <c r="C4529" s="11" t="s">
        <v>17</v>
      </c>
      <c r="D4529" s="11" t="s">
        <v>18</v>
      </c>
      <c r="E4529" s="12" t="s">
        <v>3224</v>
      </c>
      <c r="F4529" s="12" t="s">
        <v>3225</v>
      </c>
      <c r="G4529" s="12" t="s">
        <v>46</v>
      </c>
      <c r="H4529" s="11" t="s">
        <v>63</v>
      </c>
      <c r="I4529" s="13" t="s">
        <v>9950</v>
      </c>
      <c r="J4529" s="14" t="str">
        <f>HYPERLINK("https://www.boe.es/gazeta/dias/1839/06/03/pdfs/GMD-1839-1661.pdf#page=3","Abrir facsímil")</f>
        <v>Abrir facsímil</v>
      </c>
      <c r="K4529" s="12" t="s">
        <v>65</v>
      </c>
    </row>
    <row r="4530" spans="1:11" ht="40.049999999999997" customHeight="1" x14ac:dyDescent="0.25">
      <c r="A4530" s="11" t="s">
        <v>9948</v>
      </c>
      <c r="B4530" s="11" t="s">
        <v>9949</v>
      </c>
      <c r="C4530" s="11" t="s">
        <v>17</v>
      </c>
      <c r="D4530" s="11" t="s">
        <v>18</v>
      </c>
      <c r="E4530" s="12" t="s">
        <v>1388</v>
      </c>
      <c r="F4530" s="12" t="s">
        <v>1389</v>
      </c>
      <c r="G4530" s="12" t="s">
        <v>40</v>
      </c>
      <c r="H4530" s="11" t="s">
        <v>63</v>
      </c>
      <c r="I4530" s="13" t="s">
        <v>9951</v>
      </c>
      <c r="J4530" s="14" t="str">
        <f>HYPERLINK("https://www.boe.es/gazeta/dias/1839/06/04/pdfs/GMD-1839-1662.pdf#page=2","Abrir facsímil")</f>
        <v>Abrir facsímil</v>
      </c>
      <c r="K4530" s="12" t="s">
        <v>65</v>
      </c>
    </row>
    <row r="4531" spans="1:11" ht="40.049999999999997" customHeight="1" x14ac:dyDescent="0.25">
      <c r="A4531" s="11" t="s">
        <v>9948</v>
      </c>
      <c r="B4531" s="11" t="s">
        <v>9949</v>
      </c>
      <c r="C4531" s="11" t="s">
        <v>80</v>
      </c>
      <c r="D4531" s="11" t="s">
        <v>18</v>
      </c>
      <c r="E4531" s="12" t="s">
        <v>934</v>
      </c>
      <c r="F4531" s="12" t="s">
        <v>935</v>
      </c>
      <c r="G4531" s="12" t="s">
        <v>21</v>
      </c>
      <c r="H4531" s="11" t="s">
        <v>63</v>
      </c>
      <c r="I4531" s="13" t="s">
        <v>9952</v>
      </c>
      <c r="J4531" s="14" t="str">
        <f>HYPERLINK("https://www.boe.es/gazeta/dias/1839/11/07/pdfs/GMD-1839-1824.pdf#page=4","Abrir facsímil")</f>
        <v>Abrir facsímil</v>
      </c>
      <c r="K4531" s="12" t="s">
        <v>65</v>
      </c>
    </row>
    <row r="4532" spans="1:11" ht="40.049999999999997" customHeight="1" x14ac:dyDescent="0.25">
      <c r="A4532" s="11" t="s">
        <v>9948</v>
      </c>
      <c r="B4532" s="11" t="s">
        <v>9949</v>
      </c>
      <c r="C4532" s="11" t="s">
        <v>17</v>
      </c>
      <c r="D4532" s="11" t="s">
        <v>18</v>
      </c>
      <c r="E4532" s="12" t="s">
        <v>744</v>
      </c>
      <c r="F4532" s="12" t="s">
        <v>745</v>
      </c>
      <c r="G4532" s="12" t="s">
        <v>46</v>
      </c>
      <c r="H4532" s="11" t="s">
        <v>63</v>
      </c>
      <c r="I4532" s="13" t="s">
        <v>9953</v>
      </c>
      <c r="J4532" s="14" t="str">
        <f>HYPERLINK("https://www.boe.es/gazeta/dias/1839/12/09/pdfs/GMD-1839-1856.pdf#page=3","Abrir facsímil")</f>
        <v>Abrir facsímil</v>
      </c>
      <c r="K4532" s="12" t="s">
        <v>65</v>
      </c>
    </row>
    <row r="4533" spans="1:11" ht="40.049999999999997" customHeight="1" x14ac:dyDescent="0.25">
      <c r="A4533" s="11" t="s">
        <v>9948</v>
      </c>
      <c r="B4533" s="11" t="s">
        <v>9949</v>
      </c>
      <c r="C4533" s="11" t="s">
        <v>17</v>
      </c>
      <c r="D4533" s="11" t="s">
        <v>18</v>
      </c>
      <c r="E4533" s="12" t="s">
        <v>76</v>
      </c>
      <c r="F4533" s="12" t="s">
        <v>77</v>
      </c>
      <c r="G4533" s="12" t="s">
        <v>29</v>
      </c>
      <c r="H4533" s="11" t="s">
        <v>63</v>
      </c>
      <c r="I4533" s="13" t="s">
        <v>9954</v>
      </c>
      <c r="J4533" s="14" t="str">
        <f>HYPERLINK("https://www.boe.es/gazeta/dias/1839/03/13/pdfs/GMD-1839-1579.pdf#page=1","Abrir facsímil")</f>
        <v>Abrir facsímil</v>
      </c>
      <c r="K4533" s="12" t="s">
        <v>65</v>
      </c>
    </row>
    <row r="4534" spans="1:11" ht="40.049999999999997" customHeight="1" x14ac:dyDescent="0.25">
      <c r="A4534" s="11" t="s">
        <v>9948</v>
      </c>
      <c r="B4534" s="11" t="s">
        <v>9949</v>
      </c>
      <c r="C4534" s="11" t="s">
        <v>137</v>
      </c>
      <c r="D4534" s="11" t="s">
        <v>18</v>
      </c>
      <c r="E4534" s="12" t="s">
        <v>992</v>
      </c>
      <c r="F4534" s="12" t="s">
        <v>993</v>
      </c>
      <c r="G4534" s="12" t="s">
        <v>29</v>
      </c>
      <c r="H4534" s="11" t="s">
        <v>63</v>
      </c>
      <c r="I4534" s="13" t="s">
        <v>9955</v>
      </c>
      <c r="J4534" s="14" t="str">
        <f>HYPERLINK("https://www.boe.es/gazeta/dias/1839/02/18/pdfs/GMD-1839-1556.pdf#page=1","Abrir facsímil")</f>
        <v>Abrir facsímil</v>
      </c>
      <c r="K4534" s="12" t="s">
        <v>65</v>
      </c>
    </row>
    <row r="4535" spans="1:11" ht="40.049999999999997" customHeight="1" x14ac:dyDescent="0.25">
      <c r="A4535" s="11" t="s">
        <v>9948</v>
      </c>
      <c r="B4535" s="11" t="s">
        <v>9949</v>
      </c>
      <c r="C4535" s="11" t="s">
        <v>59</v>
      </c>
      <c r="D4535" s="11" t="s">
        <v>60</v>
      </c>
      <c r="E4535" s="12" t="s">
        <v>1497</v>
      </c>
      <c r="F4535" s="12" t="s">
        <v>1498</v>
      </c>
      <c r="G4535" s="12" t="s">
        <v>40</v>
      </c>
      <c r="H4535" s="11" t="s">
        <v>63</v>
      </c>
      <c r="I4535" s="13" t="s">
        <v>9956</v>
      </c>
      <c r="J4535" s="14" t="str">
        <f>HYPERLINK("https://www.boe.es/gazeta/dias/1839/08/23/pdfs/GMD-1839-1744.pdf#page=2","Abrir facsímil")</f>
        <v>Abrir facsímil</v>
      </c>
      <c r="K4535" s="12" t="s">
        <v>65</v>
      </c>
    </row>
    <row r="4536" spans="1:11" ht="40.049999999999997" customHeight="1" x14ac:dyDescent="0.25">
      <c r="A4536" s="11" t="s">
        <v>9957</v>
      </c>
      <c r="B4536" s="11" t="s">
        <v>9958</v>
      </c>
      <c r="C4536" s="11" t="s">
        <v>17</v>
      </c>
      <c r="D4536" s="11" t="s">
        <v>43</v>
      </c>
      <c r="E4536" s="12" t="s">
        <v>1144</v>
      </c>
      <c r="F4536" s="12" t="s">
        <v>1145</v>
      </c>
      <c r="G4536" s="12" t="s">
        <v>21</v>
      </c>
      <c r="H4536" s="11" t="s">
        <v>63</v>
      </c>
      <c r="I4536" s="13" t="s">
        <v>9959</v>
      </c>
      <c r="J4536" s="14" t="str">
        <f>HYPERLINK("https://www.boe.es/gazeta/dias/1839/08/13/pdfs/GMD-1839-1733.pdf#page=4","Abrir facsímil")</f>
        <v>Abrir facsímil</v>
      </c>
      <c r="K4536" s="12" t="s">
        <v>65</v>
      </c>
    </row>
    <row r="4537" spans="1:11" ht="40.049999999999997" customHeight="1" x14ac:dyDescent="0.25">
      <c r="A4537" s="11" t="s">
        <v>9960</v>
      </c>
      <c r="B4537" s="11" t="s">
        <v>9961</v>
      </c>
      <c r="C4537" s="11" t="s">
        <v>17</v>
      </c>
      <c r="D4537" s="11" t="s">
        <v>18</v>
      </c>
      <c r="E4537" s="12" t="s">
        <v>27</v>
      </c>
      <c r="F4537" s="12" t="s">
        <v>28</v>
      </c>
      <c r="G4537" s="12" t="s">
        <v>21</v>
      </c>
      <c r="H4537" s="11" t="s">
        <v>63</v>
      </c>
      <c r="I4537" s="13" t="s">
        <v>9962</v>
      </c>
      <c r="J4537" s="14" t="str">
        <f>HYPERLINK("https://www.boe.es/gazeta/dias/1839/07/28/pdfs/GMD-1839-1717.pdf#page=4","Abrir facsímil")</f>
        <v>Abrir facsímil</v>
      </c>
      <c r="K4537" s="12" t="s">
        <v>65</v>
      </c>
    </row>
    <row r="4538" spans="1:11" ht="40.049999999999997" customHeight="1" x14ac:dyDescent="0.25">
      <c r="A4538" s="11" t="s">
        <v>9963</v>
      </c>
      <c r="B4538" s="11" t="s">
        <v>9964</v>
      </c>
      <c r="C4538" s="11" t="s">
        <v>17</v>
      </c>
      <c r="D4538" s="11" t="s">
        <v>18</v>
      </c>
      <c r="E4538" s="12" t="s">
        <v>2107</v>
      </c>
      <c r="F4538" s="12" t="s">
        <v>2108</v>
      </c>
      <c r="G4538" s="12" t="s">
        <v>21</v>
      </c>
      <c r="H4538" s="11" t="s">
        <v>63</v>
      </c>
      <c r="I4538" s="13" t="s">
        <v>9965</v>
      </c>
      <c r="J4538" s="14" t="str">
        <f>HYPERLINK("https://www.boe.es/gazeta/dias/1839/10/11/pdfs/GMD-1839-1797.pdf#page=4","Abrir facsímil")</f>
        <v>Abrir facsímil</v>
      </c>
      <c r="K4538" s="12" t="s">
        <v>65</v>
      </c>
    </row>
    <row r="4539" spans="1:11" ht="40.049999999999997" customHeight="1" x14ac:dyDescent="0.25">
      <c r="A4539" s="11" t="s">
        <v>9966</v>
      </c>
      <c r="B4539" s="11" t="s">
        <v>9967</v>
      </c>
      <c r="C4539" s="11" t="s">
        <v>137</v>
      </c>
      <c r="D4539" s="11" t="s">
        <v>18</v>
      </c>
      <c r="E4539" s="12" t="s">
        <v>592</v>
      </c>
      <c r="F4539" s="12" t="s">
        <v>593</v>
      </c>
      <c r="G4539" s="12" t="s">
        <v>29</v>
      </c>
      <c r="H4539" s="11" t="s">
        <v>63</v>
      </c>
      <c r="I4539" s="13" t="s">
        <v>9968</v>
      </c>
      <c r="J4539" s="14" t="str">
        <f>HYPERLINK("https://www.boe.es/gazeta/dias/1839/09/14/pdfs/GMD-1839-1767.pdf#page=1","Abrir facsímil")</f>
        <v>Abrir facsímil</v>
      </c>
      <c r="K4539" s="12" t="s">
        <v>65</v>
      </c>
    </row>
    <row r="4540" spans="1:11" ht="40.049999999999997" customHeight="1" x14ac:dyDescent="0.25">
      <c r="A4540" s="11" t="s">
        <v>9969</v>
      </c>
      <c r="B4540" s="11" t="s">
        <v>9970</v>
      </c>
      <c r="C4540" s="11" t="s">
        <v>17</v>
      </c>
      <c r="D4540" s="11" t="s">
        <v>18</v>
      </c>
      <c r="E4540" s="12" t="s">
        <v>1388</v>
      </c>
      <c r="F4540" s="12" t="s">
        <v>1389</v>
      </c>
      <c r="G4540" s="12" t="s">
        <v>21</v>
      </c>
      <c r="H4540" s="11" t="s">
        <v>63</v>
      </c>
      <c r="I4540" s="13" t="s">
        <v>9971</v>
      </c>
      <c r="J4540" s="14" t="str">
        <f>HYPERLINK("https://www.boe.es/gazeta/dias/1839/06/04/pdfs/GMD-1839-1662.pdf#page=4","Abrir facsímil")</f>
        <v>Abrir facsímil</v>
      </c>
      <c r="K4540" s="12" t="s">
        <v>65</v>
      </c>
    </row>
    <row r="4541" spans="1:11" ht="40.049999999999997" customHeight="1" x14ac:dyDescent="0.25">
      <c r="A4541" s="11" t="s">
        <v>9972</v>
      </c>
      <c r="B4541" s="11" t="s">
        <v>9973</v>
      </c>
      <c r="C4541" s="11" t="s">
        <v>137</v>
      </c>
      <c r="D4541" s="11" t="s">
        <v>18</v>
      </c>
      <c r="E4541" s="12" t="s">
        <v>1628</v>
      </c>
      <c r="F4541" s="12" t="s">
        <v>1629</v>
      </c>
      <c r="G4541" s="12" t="s">
        <v>29</v>
      </c>
      <c r="H4541" s="11" t="s">
        <v>63</v>
      </c>
      <c r="I4541" s="13" t="s">
        <v>9974</v>
      </c>
      <c r="J4541" s="14" t="str">
        <f>HYPERLINK("https://www.boe.es/gazeta/dias/1839/03/10/pdfs/GMD-1839-1576.pdf#page=1","Abrir facsímil")</f>
        <v>Abrir facsímil</v>
      </c>
      <c r="K4541" s="12" t="s">
        <v>65</v>
      </c>
    </row>
    <row r="4542" spans="1:11" ht="40.049999999999997" customHeight="1" x14ac:dyDescent="0.25">
      <c r="A4542" s="11" t="s">
        <v>9975</v>
      </c>
      <c r="B4542" s="11" t="s">
        <v>9976</v>
      </c>
      <c r="C4542" s="11" t="s">
        <v>17</v>
      </c>
      <c r="D4542" s="11" t="s">
        <v>18</v>
      </c>
      <c r="E4542" s="12" t="s">
        <v>1551</v>
      </c>
      <c r="F4542" s="12" t="s">
        <v>1552</v>
      </c>
      <c r="G4542" s="12" t="s">
        <v>46</v>
      </c>
      <c r="H4542" s="11" t="s">
        <v>63</v>
      </c>
      <c r="I4542" s="13" t="s">
        <v>9977</v>
      </c>
      <c r="J4542" s="14" t="str">
        <f>HYPERLINK("https://www.boe.es/gazeta/dias/1839/06/30/pdfs/GMD-1839-1688.pdf#page=3","Abrir facsímil")</f>
        <v>Abrir facsímil</v>
      </c>
      <c r="K4542" s="12" t="s">
        <v>65</v>
      </c>
    </row>
    <row r="4543" spans="1:11" ht="40.049999999999997" customHeight="1" x14ac:dyDescent="0.25">
      <c r="A4543" s="11" t="s">
        <v>9978</v>
      </c>
      <c r="B4543" s="11" t="s">
        <v>9979</v>
      </c>
      <c r="C4543" s="11" t="s">
        <v>17</v>
      </c>
      <c r="D4543" s="11" t="s">
        <v>18</v>
      </c>
      <c r="E4543" s="12" t="s">
        <v>2050</v>
      </c>
      <c r="F4543" s="12" t="s">
        <v>2051</v>
      </c>
      <c r="G4543" s="12" t="s">
        <v>46</v>
      </c>
      <c r="H4543" s="11" t="s">
        <v>63</v>
      </c>
      <c r="I4543" s="13" t="s">
        <v>9980</v>
      </c>
      <c r="J4543" s="14" t="str">
        <f>HYPERLINK("https://www.boe.es/gazeta/dias/1839/01/09/pdfs/GMD-1839-1516.pdf#page=3","Abrir facsímil")</f>
        <v>Abrir facsímil</v>
      </c>
      <c r="K4543" s="12" t="s">
        <v>65</v>
      </c>
    </row>
    <row r="4544" spans="1:11" ht="40.049999999999997" customHeight="1" x14ac:dyDescent="0.25">
      <c r="A4544" s="11" t="s">
        <v>9978</v>
      </c>
      <c r="B4544" s="11" t="s">
        <v>9979</v>
      </c>
      <c r="C4544" s="11" t="s">
        <v>101</v>
      </c>
      <c r="D4544" s="11" t="s">
        <v>43</v>
      </c>
      <c r="E4544" s="12" t="s">
        <v>68</v>
      </c>
      <c r="F4544" s="12" t="s">
        <v>69</v>
      </c>
      <c r="G4544" s="12" t="s">
        <v>46</v>
      </c>
      <c r="H4544" s="11" t="s">
        <v>63</v>
      </c>
      <c r="I4544" s="13" t="s">
        <v>9981</v>
      </c>
      <c r="J4544" s="14" t="str">
        <f>HYPERLINK("https://www.boe.es/gazeta/dias/1839/02/09/pdfs/GMD-1839-1547.pdf#page=3","Abrir facsímil")</f>
        <v>Abrir facsímil</v>
      </c>
      <c r="K4544" s="12" t="s">
        <v>65</v>
      </c>
    </row>
    <row r="4545" spans="1:11" ht="40.049999999999997" customHeight="1" x14ac:dyDescent="0.25">
      <c r="A4545" s="11" t="s">
        <v>9978</v>
      </c>
      <c r="B4545" s="11" t="s">
        <v>9979</v>
      </c>
      <c r="C4545" s="11" t="s">
        <v>17</v>
      </c>
      <c r="D4545" s="11" t="s">
        <v>18</v>
      </c>
      <c r="E4545" s="12" t="s">
        <v>61</v>
      </c>
      <c r="F4545" s="12" t="s">
        <v>62</v>
      </c>
      <c r="G4545" s="12" t="s">
        <v>40</v>
      </c>
      <c r="H4545" s="11" t="s">
        <v>63</v>
      </c>
      <c r="I4545" s="13" t="s">
        <v>9982</v>
      </c>
      <c r="J4545" s="14" t="str">
        <f>HYPERLINK("https://www.boe.es/gazeta/dias/1839/09/10/pdfs/GMD-1839-1763.pdf#page=2","Abrir facsímil")</f>
        <v>Abrir facsímil</v>
      </c>
      <c r="K4545" s="12" t="s">
        <v>65</v>
      </c>
    </row>
    <row r="4546" spans="1:11" ht="40.049999999999997" customHeight="1" x14ac:dyDescent="0.25">
      <c r="A4546" s="11" t="s">
        <v>9983</v>
      </c>
      <c r="B4546" s="11" t="s">
        <v>9984</v>
      </c>
      <c r="C4546" s="11" t="s">
        <v>17</v>
      </c>
      <c r="D4546" s="11" t="s">
        <v>18</v>
      </c>
      <c r="E4546" s="12" t="s">
        <v>736</v>
      </c>
      <c r="F4546" s="12" t="s">
        <v>737</v>
      </c>
      <c r="G4546" s="12" t="s">
        <v>40</v>
      </c>
      <c r="H4546" s="11" t="s">
        <v>22</v>
      </c>
      <c r="I4546" s="13" t="s">
        <v>9985</v>
      </c>
      <c r="J4546" s="14" t="str">
        <f>HYPERLINK("https://www.boe.es/gazeta/dias/1839/10/13/pdfs/GMD-1839-1799.pdf#page=2","Abrir facsímil")</f>
        <v>Abrir facsímil</v>
      </c>
      <c r="K4546" s="12" t="s">
        <v>24</v>
      </c>
    </row>
    <row r="4547" spans="1:11" ht="40.049999999999997" customHeight="1" x14ac:dyDescent="0.25">
      <c r="A4547" s="11" t="s">
        <v>9983</v>
      </c>
      <c r="B4547" s="11" t="s">
        <v>9984</v>
      </c>
      <c r="C4547" s="11" t="s">
        <v>137</v>
      </c>
      <c r="D4547" s="11" t="s">
        <v>18</v>
      </c>
      <c r="E4547" s="12" t="s">
        <v>736</v>
      </c>
      <c r="F4547" s="12" t="s">
        <v>737</v>
      </c>
      <c r="G4547" s="12" t="s">
        <v>46</v>
      </c>
      <c r="H4547" s="11" t="s">
        <v>22</v>
      </c>
      <c r="I4547" s="13" t="s">
        <v>9986</v>
      </c>
      <c r="J4547" s="14" t="str">
        <f>HYPERLINK("https://www.boe.es/gazeta/dias/1839/10/13/pdfs/GMD-1839-1799.pdf#page=3","Abrir facsímil")</f>
        <v>Abrir facsímil</v>
      </c>
      <c r="K4547" s="12" t="s">
        <v>24</v>
      </c>
    </row>
    <row r="4548" spans="1:11" ht="40.049999999999997" customHeight="1" x14ac:dyDescent="0.25">
      <c r="A4548" s="11" t="s">
        <v>9978</v>
      </c>
      <c r="B4548" s="11" t="s">
        <v>9979</v>
      </c>
      <c r="C4548" s="11" t="s">
        <v>17</v>
      </c>
      <c r="D4548" s="11" t="s">
        <v>18</v>
      </c>
      <c r="E4548" s="12" t="s">
        <v>175</v>
      </c>
      <c r="F4548" s="12" t="s">
        <v>176</v>
      </c>
      <c r="G4548" s="12" t="s">
        <v>40</v>
      </c>
      <c r="H4548" s="11" t="s">
        <v>63</v>
      </c>
      <c r="I4548" s="13" t="s">
        <v>9987</v>
      </c>
      <c r="J4548" s="14" t="str">
        <f>HYPERLINK("https://www.boe.es/gazeta/dias/1839/01/16/pdfs/GMD-1839-1523.pdf#page=2","Abrir facsímil")</f>
        <v>Abrir facsímil</v>
      </c>
      <c r="K4548" s="12" t="s">
        <v>65</v>
      </c>
    </row>
    <row r="4549" spans="1:11" ht="40.049999999999997" customHeight="1" x14ac:dyDescent="0.25">
      <c r="A4549" s="11" t="s">
        <v>9983</v>
      </c>
      <c r="B4549" s="11" t="s">
        <v>9984</v>
      </c>
      <c r="C4549" s="11" t="s">
        <v>17</v>
      </c>
      <c r="D4549" s="11" t="s">
        <v>18</v>
      </c>
      <c r="E4549" s="12" t="s">
        <v>239</v>
      </c>
      <c r="F4549" s="12" t="s">
        <v>240</v>
      </c>
      <c r="G4549" s="12" t="s">
        <v>40</v>
      </c>
      <c r="H4549" s="11" t="s">
        <v>22</v>
      </c>
      <c r="I4549" s="13" t="s">
        <v>9988</v>
      </c>
      <c r="J4549" s="14" t="str">
        <f>HYPERLINK("https://www.boe.es/gazeta/dias/1839/09/22/pdfs/GMD-1839-1777.pdf#page=2","Abrir facsímil")</f>
        <v>Abrir facsímil</v>
      </c>
      <c r="K4549" s="12" t="s">
        <v>24</v>
      </c>
    </row>
    <row r="4550" spans="1:11" ht="40.049999999999997" customHeight="1" x14ac:dyDescent="0.25">
      <c r="A4550" s="11" t="s">
        <v>9978</v>
      </c>
      <c r="B4550" s="11" t="s">
        <v>9979</v>
      </c>
      <c r="C4550" s="11" t="s">
        <v>101</v>
      </c>
      <c r="D4550" s="11" t="s">
        <v>43</v>
      </c>
      <c r="E4550" s="12" t="s">
        <v>826</v>
      </c>
      <c r="F4550" s="12" t="s">
        <v>827</v>
      </c>
      <c r="G4550" s="12" t="s">
        <v>46</v>
      </c>
      <c r="H4550" s="11" t="s">
        <v>63</v>
      </c>
      <c r="I4550" s="13" t="s">
        <v>9989</v>
      </c>
      <c r="J4550" s="14" t="str">
        <f>HYPERLINK("https://www.boe.es/gazeta/dias/1839/09/25/pdfs/GMD-1839-1781.pdf#page=3","Abrir facsímil")</f>
        <v>Abrir facsímil</v>
      </c>
      <c r="K4550" s="12" t="s">
        <v>65</v>
      </c>
    </row>
    <row r="4551" spans="1:11" ht="40.049999999999997" customHeight="1" x14ac:dyDescent="0.25">
      <c r="A4551" s="11" t="s">
        <v>9978</v>
      </c>
      <c r="B4551" s="11" t="s">
        <v>9979</v>
      </c>
      <c r="C4551" s="11" t="s">
        <v>101</v>
      </c>
      <c r="D4551" s="11" t="s">
        <v>43</v>
      </c>
      <c r="E4551" s="12" t="s">
        <v>2349</v>
      </c>
      <c r="F4551" s="12" t="s">
        <v>2350</v>
      </c>
      <c r="G4551" s="12" t="s">
        <v>46</v>
      </c>
      <c r="H4551" s="11" t="s">
        <v>63</v>
      </c>
      <c r="I4551" s="13" t="s">
        <v>9990</v>
      </c>
      <c r="J4551" s="14" t="str">
        <f>HYPERLINK("https://www.boe.es/gazeta/dias/1839/09/29/pdfs/GMD-1839-1785.pdf#page=3","Abrir facsímil")</f>
        <v>Abrir facsímil</v>
      </c>
      <c r="K4551" s="12" t="s">
        <v>65</v>
      </c>
    </row>
    <row r="4552" spans="1:11" ht="40.049999999999997" customHeight="1" x14ac:dyDescent="0.25">
      <c r="A4552" s="11" t="s">
        <v>9978</v>
      </c>
      <c r="B4552" s="11" t="s">
        <v>9979</v>
      </c>
      <c r="C4552" s="11" t="s">
        <v>80</v>
      </c>
      <c r="D4552" s="11" t="s">
        <v>18</v>
      </c>
      <c r="E4552" s="12" t="s">
        <v>1867</v>
      </c>
      <c r="F4552" s="12" t="s">
        <v>1868</v>
      </c>
      <c r="G4552" s="12" t="s">
        <v>40</v>
      </c>
      <c r="H4552" s="11" t="s">
        <v>63</v>
      </c>
      <c r="I4552" s="13" t="s">
        <v>9991</v>
      </c>
      <c r="J4552" s="14" t="str">
        <f>HYPERLINK("https://www.boe.es/gazeta/dias/1839/01/30/pdfs/GMD-1839-1537.pdf#page=2","Abrir facsímil")</f>
        <v>Abrir facsímil</v>
      </c>
      <c r="K4552" s="12" t="s">
        <v>65</v>
      </c>
    </row>
    <row r="4553" spans="1:11" ht="40.049999999999997" customHeight="1" x14ac:dyDescent="0.25">
      <c r="A4553" s="11" t="s">
        <v>9978</v>
      </c>
      <c r="B4553" s="11" t="s">
        <v>9979</v>
      </c>
      <c r="C4553" s="11" t="s">
        <v>101</v>
      </c>
      <c r="D4553" s="11" t="s">
        <v>43</v>
      </c>
      <c r="E4553" s="12" t="s">
        <v>1867</v>
      </c>
      <c r="F4553" s="12" t="s">
        <v>1868</v>
      </c>
      <c r="G4553" s="12" t="s">
        <v>46</v>
      </c>
      <c r="H4553" s="11" t="s">
        <v>63</v>
      </c>
      <c r="I4553" s="13" t="s">
        <v>9992</v>
      </c>
      <c r="J4553" s="14" t="str">
        <f>HYPERLINK("https://www.boe.es/gazeta/dias/1839/01/30/pdfs/GMD-1839-1537.pdf#page=3","Abrir facsímil")</f>
        <v>Abrir facsímil</v>
      </c>
      <c r="K4553" s="12" t="s">
        <v>65</v>
      </c>
    </row>
    <row r="4554" spans="1:11" ht="40.049999999999997" customHeight="1" x14ac:dyDescent="0.25">
      <c r="A4554" s="11" t="s">
        <v>9993</v>
      </c>
      <c r="B4554" s="11" t="s">
        <v>9994</v>
      </c>
      <c r="C4554" s="11" t="s">
        <v>80</v>
      </c>
      <c r="D4554" s="11" t="s">
        <v>18</v>
      </c>
      <c r="E4554" s="12" t="s">
        <v>2374</v>
      </c>
      <c r="F4554" s="12" t="s">
        <v>2375</v>
      </c>
      <c r="G4554" s="12" t="s">
        <v>21</v>
      </c>
      <c r="H4554" s="11" t="s">
        <v>63</v>
      </c>
      <c r="I4554" s="13" t="s">
        <v>9995</v>
      </c>
      <c r="J4554" s="14" t="str">
        <f>HYPERLINK("https://www.boe.es/gazeta/dias/1839/06/14/pdfs/GMD-1839-1672.pdf#page=4","Abrir facsímil")</f>
        <v>Abrir facsímil</v>
      </c>
      <c r="K4554" s="12" t="s">
        <v>65</v>
      </c>
    </row>
    <row r="4555" spans="1:11" ht="40.049999999999997" customHeight="1" x14ac:dyDescent="0.25">
      <c r="A4555" s="11" t="s">
        <v>9996</v>
      </c>
      <c r="B4555" s="11" t="s">
        <v>9997</v>
      </c>
      <c r="C4555" s="11" t="s">
        <v>80</v>
      </c>
      <c r="D4555" s="11" t="s">
        <v>18</v>
      </c>
      <c r="E4555" s="12" t="s">
        <v>312</v>
      </c>
      <c r="F4555" s="12" t="s">
        <v>313</v>
      </c>
      <c r="G4555" s="12" t="s">
        <v>21</v>
      </c>
      <c r="H4555" s="11" t="s">
        <v>63</v>
      </c>
      <c r="I4555" s="13" t="s">
        <v>9998</v>
      </c>
      <c r="J4555" s="14" t="str">
        <f>HYPERLINK("https://www.boe.es/gazeta/dias/1839/11/30/pdfs/GMD-1839-1847.pdf#page=4","Abrir facsímil")</f>
        <v>Abrir facsímil</v>
      </c>
      <c r="K4555" s="12" t="s">
        <v>65</v>
      </c>
    </row>
    <row r="4556" spans="1:11" ht="40.049999999999997" customHeight="1" x14ac:dyDescent="0.25">
      <c r="A4556" s="11" t="s">
        <v>9999</v>
      </c>
      <c r="B4556" s="11" t="s">
        <v>10000</v>
      </c>
      <c r="C4556" s="11" t="s">
        <v>17</v>
      </c>
      <c r="D4556" s="11" t="s">
        <v>18</v>
      </c>
      <c r="E4556" s="12" t="s">
        <v>148</v>
      </c>
      <c r="F4556" s="12" t="s">
        <v>149</v>
      </c>
      <c r="G4556" s="12" t="s">
        <v>40</v>
      </c>
      <c r="H4556" s="11" t="s">
        <v>63</v>
      </c>
      <c r="I4556" s="13" t="s">
        <v>10001</v>
      </c>
      <c r="J4556" s="14" t="str">
        <f>HYPERLINK("https://www.boe.es/gazeta/dias/1839/07/16/pdfs/GMD-1839-1704.pdf#page=2","Abrir facsímil")</f>
        <v>Abrir facsímil</v>
      </c>
      <c r="K4556" s="12" t="s">
        <v>65</v>
      </c>
    </row>
    <row r="4557" spans="1:11" ht="40.049999999999997" customHeight="1" x14ac:dyDescent="0.25">
      <c r="A4557" s="11" t="s">
        <v>10002</v>
      </c>
      <c r="B4557" s="11" t="s">
        <v>10003</v>
      </c>
      <c r="C4557" s="11" t="s">
        <v>101</v>
      </c>
      <c r="D4557" s="11" t="s">
        <v>43</v>
      </c>
      <c r="E4557" s="12" t="s">
        <v>568</v>
      </c>
      <c r="F4557" s="12" t="s">
        <v>569</v>
      </c>
      <c r="G4557" s="12" t="s">
        <v>21</v>
      </c>
      <c r="H4557" s="11" t="s">
        <v>63</v>
      </c>
      <c r="I4557" s="13" t="s">
        <v>10004</v>
      </c>
      <c r="J4557" s="14" t="str">
        <f>HYPERLINK("https://www.boe.es/gazeta/dias/1839/10/23/pdfs/GMD-1839-1809.pdf#page=4","Abrir facsímil")</f>
        <v>Abrir facsímil</v>
      </c>
      <c r="K4557" s="12" t="s">
        <v>65</v>
      </c>
    </row>
    <row r="4558" spans="1:11" ht="40.049999999999997" customHeight="1" x14ac:dyDescent="0.25">
      <c r="A4558" s="11" t="s">
        <v>10005</v>
      </c>
      <c r="B4558" s="11" t="s">
        <v>10006</v>
      </c>
      <c r="C4558" s="11" t="s">
        <v>101</v>
      </c>
      <c r="D4558" s="11" t="s">
        <v>102</v>
      </c>
      <c r="E4558" s="12" t="s">
        <v>1551</v>
      </c>
      <c r="F4558" s="12" t="s">
        <v>1552</v>
      </c>
      <c r="G4558" s="12" t="s">
        <v>40</v>
      </c>
      <c r="H4558" s="11" t="s">
        <v>63</v>
      </c>
      <c r="I4558" s="13" t="s">
        <v>10007</v>
      </c>
      <c r="J4558" s="14" t="str">
        <f>HYPERLINK("https://www.boe.es/gazeta/dias/1839/06/30/pdfs/GMD-1839-1688.pdf#page=2","Abrir facsímil")</f>
        <v>Abrir facsímil</v>
      </c>
      <c r="K4558" s="12" t="s">
        <v>65</v>
      </c>
    </row>
    <row r="4559" spans="1:11" ht="40.049999999999997" customHeight="1" x14ac:dyDescent="0.25">
      <c r="A4559" s="11" t="s">
        <v>10008</v>
      </c>
      <c r="B4559" s="11" t="s">
        <v>10009</v>
      </c>
      <c r="C4559" s="11" t="s">
        <v>17</v>
      </c>
      <c r="D4559" s="11" t="s">
        <v>18</v>
      </c>
      <c r="E4559" s="12" t="s">
        <v>343</v>
      </c>
      <c r="F4559" s="12" t="s">
        <v>344</v>
      </c>
      <c r="G4559" s="12" t="s">
        <v>29</v>
      </c>
      <c r="H4559" s="11" t="s">
        <v>63</v>
      </c>
      <c r="I4559" s="13" t="s">
        <v>10010</v>
      </c>
      <c r="J4559" s="14" t="str">
        <f>HYPERLINK("https://www.boe.es/gazeta/dias/1839/05/20/pdfs/GMD-1839-1647.pdf#page=1","Abrir facsímil")</f>
        <v>Abrir facsímil</v>
      </c>
      <c r="K4559" s="12" t="s">
        <v>65</v>
      </c>
    </row>
    <row r="4560" spans="1:11" ht="40.049999999999997" customHeight="1" x14ac:dyDescent="0.25">
      <c r="A4560" s="11" t="s">
        <v>10011</v>
      </c>
      <c r="B4560" s="11" t="s">
        <v>10012</v>
      </c>
      <c r="C4560" s="11" t="s">
        <v>17</v>
      </c>
      <c r="D4560" s="11" t="s">
        <v>18</v>
      </c>
      <c r="E4560" s="12" t="s">
        <v>1284</v>
      </c>
      <c r="F4560" s="12" t="s">
        <v>1285</v>
      </c>
      <c r="G4560" s="12" t="s">
        <v>40</v>
      </c>
      <c r="H4560" s="11" t="s">
        <v>63</v>
      </c>
      <c r="I4560" s="13" t="s">
        <v>10013</v>
      </c>
      <c r="J4560" s="14" t="str">
        <f>HYPERLINK("https://www.boe.es/gazeta/dias/1839/03/27/pdfs/GMD-1839-1593.pdf#page=2","Abrir facsímil")</f>
        <v>Abrir facsímil</v>
      </c>
      <c r="K4560" s="12" t="s">
        <v>65</v>
      </c>
    </row>
    <row r="4561" spans="1:11" ht="40.049999999999997" customHeight="1" x14ac:dyDescent="0.25">
      <c r="A4561" s="11" t="s">
        <v>10014</v>
      </c>
      <c r="B4561" s="11" t="s">
        <v>10015</v>
      </c>
      <c r="C4561" s="11" t="s">
        <v>59</v>
      </c>
      <c r="D4561" s="11" t="s">
        <v>60</v>
      </c>
      <c r="E4561" s="12" t="s">
        <v>27</v>
      </c>
      <c r="F4561" s="12" t="s">
        <v>28</v>
      </c>
      <c r="G4561" s="12" t="s">
        <v>29</v>
      </c>
      <c r="H4561" s="11" t="s">
        <v>63</v>
      </c>
      <c r="I4561" s="13" t="s">
        <v>10016</v>
      </c>
      <c r="J4561" s="14" t="str">
        <f>HYPERLINK("https://www.boe.es/gazeta/dias/1839/07/28/pdfs/GMD-1839-1717.pdf#page=1","Abrir facsímil")</f>
        <v>Abrir facsímil</v>
      </c>
      <c r="K4561" s="12" t="s">
        <v>65</v>
      </c>
    </row>
    <row r="4562" spans="1:11" ht="40.049999999999997" customHeight="1" x14ac:dyDescent="0.25">
      <c r="A4562" s="11" t="s">
        <v>10017</v>
      </c>
      <c r="B4562" s="11" t="s">
        <v>10018</v>
      </c>
      <c r="C4562" s="11" t="s">
        <v>17</v>
      </c>
      <c r="D4562" s="11" t="s">
        <v>18</v>
      </c>
      <c r="E4562" s="12" t="s">
        <v>121</v>
      </c>
      <c r="F4562" s="12" t="s">
        <v>122</v>
      </c>
      <c r="G4562" s="12" t="s">
        <v>21</v>
      </c>
      <c r="H4562" s="11" t="s">
        <v>63</v>
      </c>
      <c r="I4562" s="13" t="s">
        <v>10019</v>
      </c>
      <c r="J4562" s="14" t="str">
        <f>HYPERLINK("https://www.boe.es/gazeta/dias/1839/06/08/pdfs/GMD-1839-1666.pdf#page=4","Abrir facsímil")</f>
        <v>Abrir facsímil</v>
      </c>
      <c r="K4562" s="12" t="s">
        <v>65</v>
      </c>
    </row>
    <row r="4563" spans="1:11" ht="40.049999999999997" customHeight="1" x14ac:dyDescent="0.25">
      <c r="A4563" s="11" t="s">
        <v>10017</v>
      </c>
      <c r="B4563" s="11" t="s">
        <v>10018</v>
      </c>
      <c r="C4563" s="11" t="s">
        <v>17</v>
      </c>
      <c r="D4563" s="11" t="s">
        <v>18</v>
      </c>
      <c r="E4563" s="12" t="s">
        <v>395</v>
      </c>
      <c r="F4563" s="12" t="s">
        <v>396</v>
      </c>
      <c r="G4563" s="12" t="s">
        <v>29</v>
      </c>
      <c r="H4563" s="11" t="s">
        <v>63</v>
      </c>
      <c r="I4563" s="13" t="s">
        <v>10020</v>
      </c>
      <c r="J4563" s="14" t="str">
        <f>HYPERLINK("https://www.boe.es/gazeta/dias/1839/03/15/pdfs/GMD-1839-1581.pdf#page=1","Abrir facsímil")</f>
        <v>Abrir facsímil</v>
      </c>
      <c r="K4563" s="12" t="s">
        <v>65</v>
      </c>
    </row>
    <row r="4564" spans="1:11" ht="40.049999999999997" customHeight="1" x14ac:dyDescent="0.25">
      <c r="A4564" s="11" t="s">
        <v>10017</v>
      </c>
      <c r="B4564" s="11" t="s">
        <v>10018</v>
      </c>
      <c r="C4564" s="11" t="s">
        <v>101</v>
      </c>
      <c r="D4564" s="11" t="s">
        <v>102</v>
      </c>
      <c r="E4564" s="12" t="s">
        <v>486</v>
      </c>
      <c r="F4564" s="12" t="s">
        <v>487</v>
      </c>
      <c r="G4564" s="12" t="s">
        <v>29</v>
      </c>
      <c r="H4564" s="11" t="s">
        <v>63</v>
      </c>
      <c r="I4564" s="13" t="s">
        <v>10021</v>
      </c>
      <c r="J4564" s="14" t="str">
        <f>HYPERLINK("https://www.boe.es/gazeta/dias/1839/04/19/pdfs/GMD-1839-1616.pdf#page=1","Abrir facsímil")</f>
        <v>Abrir facsímil</v>
      </c>
      <c r="K4564" s="12" t="s">
        <v>65</v>
      </c>
    </row>
    <row r="4565" spans="1:11" ht="40.049999999999997" customHeight="1" x14ac:dyDescent="0.25">
      <c r="A4565" s="11" t="s">
        <v>10017</v>
      </c>
      <c r="B4565" s="11" t="s">
        <v>10018</v>
      </c>
      <c r="C4565" s="11" t="s">
        <v>59</v>
      </c>
      <c r="D4565" s="11" t="s">
        <v>60</v>
      </c>
      <c r="E4565" s="12" t="s">
        <v>1474</v>
      </c>
      <c r="F4565" s="12" t="s">
        <v>1475</v>
      </c>
      <c r="G4565" s="12" t="s">
        <v>29</v>
      </c>
      <c r="H4565" s="11" t="s">
        <v>63</v>
      </c>
      <c r="I4565" s="13" t="s">
        <v>10022</v>
      </c>
      <c r="J4565" s="14" t="str">
        <f>HYPERLINK("https://www.boe.es/gazeta/dias/1839/02/28/pdfs/GMD-1839-1566.pdf#page=1","Abrir facsímil")</f>
        <v>Abrir facsímil</v>
      </c>
      <c r="K4565" s="12" t="s">
        <v>65</v>
      </c>
    </row>
    <row r="4566" spans="1:11" ht="40.049999999999997" customHeight="1" x14ac:dyDescent="0.25">
      <c r="A4566" s="11" t="s">
        <v>10023</v>
      </c>
      <c r="B4566" s="11" t="s">
        <v>10024</v>
      </c>
      <c r="C4566" s="11" t="s">
        <v>17</v>
      </c>
      <c r="D4566" s="11" t="s">
        <v>18</v>
      </c>
      <c r="E4566" s="12" t="s">
        <v>138</v>
      </c>
      <c r="F4566" s="12" t="s">
        <v>139</v>
      </c>
      <c r="G4566" s="12" t="s">
        <v>46</v>
      </c>
      <c r="H4566" s="11" t="s">
        <v>63</v>
      </c>
      <c r="I4566" s="13" t="s">
        <v>10025</v>
      </c>
      <c r="J4566" s="14" t="str">
        <f>HYPERLINK("https://www.boe.es/gazeta/dias/1839/10/09/pdfs/GMD-1839-1795.pdf#page=3","Abrir facsímil")</f>
        <v>Abrir facsímil</v>
      </c>
      <c r="K4566" s="12" t="s">
        <v>65</v>
      </c>
    </row>
    <row r="4567" spans="1:11" ht="40.049999999999997" customHeight="1" x14ac:dyDescent="0.25">
      <c r="A4567" s="11" t="s">
        <v>10026</v>
      </c>
      <c r="B4567" s="11" t="s">
        <v>10027</v>
      </c>
      <c r="C4567" s="11" t="s">
        <v>17</v>
      </c>
      <c r="D4567" s="11" t="s">
        <v>18</v>
      </c>
      <c r="E4567" s="12" t="s">
        <v>1395</v>
      </c>
      <c r="F4567" s="12" t="s">
        <v>1396</v>
      </c>
      <c r="G4567" s="12" t="s">
        <v>21</v>
      </c>
      <c r="H4567" s="11" t="s">
        <v>63</v>
      </c>
      <c r="I4567" s="13" t="s">
        <v>10028</v>
      </c>
      <c r="J4567" s="14" t="str">
        <f>HYPERLINK("https://www.boe.es/gazeta/dias/1839/06/26/pdfs/GMD-1839-1684.pdf#page=4","Abrir facsímil")</f>
        <v>Abrir facsímil</v>
      </c>
      <c r="K4567" s="12" t="s">
        <v>65</v>
      </c>
    </row>
    <row r="4568" spans="1:11" ht="40.049999999999997" customHeight="1" x14ac:dyDescent="0.25">
      <c r="A4568" s="11" t="s">
        <v>10029</v>
      </c>
      <c r="B4568" s="11" t="s">
        <v>10030</v>
      </c>
      <c r="C4568" s="11" t="s">
        <v>101</v>
      </c>
      <c r="D4568" s="11" t="s">
        <v>43</v>
      </c>
      <c r="E4568" s="12" t="s">
        <v>160</v>
      </c>
      <c r="F4568" s="12" t="s">
        <v>161</v>
      </c>
      <c r="G4568" s="12" t="s">
        <v>46</v>
      </c>
      <c r="H4568" s="11" t="s">
        <v>63</v>
      </c>
      <c r="I4568" s="13" t="s">
        <v>10031</v>
      </c>
      <c r="J4568" s="14" t="str">
        <f>HYPERLINK("https://www.boe.es/gazeta/dias/1839/01/10/pdfs/GMD-1839-1517.pdf#page=3","Abrir facsímil")</f>
        <v>Abrir facsímil</v>
      </c>
      <c r="K4568" s="12" t="s">
        <v>65</v>
      </c>
    </row>
    <row r="4569" spans="1:11" ht="40.049999999999997" customHeight="1" x14ac:dyDescent="0.25">
      <c r="A4569" s="11" t="s">
        <v>10032</v>
      </c>
      <c r="B4569" s="11" t="s">
        <v>10033</v>
      </c>
      <c r="C4569" s="11" t="s">
        <v>17</v>
      </c>
      <c r="D4569" s="11" t="s">
        <v>18</v>
      </c>
      <c r="E4569" s="12" t="s">
        <v>503</v>
      </c>
      <c r="F4569" s="12" t="s">
        <v>504</v>
      </c>
      <c r="G4569" s="12" t="s">
        <v>21</v>
      </c>
      <c r="H4569" s="11" t="s">
        <v>22</v>
      </c>
      <c r="I4569" s="13" t="s">
        <v>10034</v>
      </c>
      <c r="J4569" s="14" t="str">
        <f>HYPERLINK("https://www.boe.es/gazeta/dias/1839/06/07/pdfs/GMD-1839-1665.pdf#page=4","Abrir facsímil")</f>
        <v>Abrir facsímil</v>
      </c>
      <c r="K4569" s="12" t="s">
        <v>24</v>
      </c>
    </row>
    <row r="4570" spans="1:11" ht="40.049999999999997" customHeight="1" x14ac:dyDescent="0.25">
      <c r="A4570" s="11" t="s">
        <v>10035</v>
      </c>
      <c r="B4570" s="11" t="s">
        <v>10036</v>
      </c>
      <c r="C4570" s="11" t="s">
        <v>101</v>
      </c>
      <c r="D4570" s="11" t="s">
        <v>43</v>
      </c>
      <c r="E4570" s="12" t="s">
        <v>303</v>
      </c>
      <c r="F4570" s="12" t="s">
        <v>304</v>
      </c>
      <c r="G4570" s="12" t="s">
        <v>40</v>
      </c>
      <c r="H4570" s="11" t="s">
        <v>63</v>
      </c>
      <c r="I4570" s="13" t="s">
        <v>10037</v>
      </c>
      <c r="J4570" s="14" t="str">
        <f>HYPERLINK("https://www.boe.es/gazeta/dias/1839/10/06/pdfs/GMD-1839-1792.pdf#page=2","Abrir facsímil")</f>
        <v>Abrir facsímil</v>
      </c>
      <c r="K4570" s="12" t="s">
        <v>65</v>
      </c>
    </row>
    <row r="4571" spans="1:11" ht="40.049999999999997" customHeight="1" x14ac:dyDescent="0.25">
      <c r="A4571" s="11" t="s">
        <v>10038</v>
      </c>
      <c r="B4571" s="11" t="s">
        <v>10039</v>
      </c>
      <c r="C4571" s="11" t="s">
        <v>137</v>
      </c>
      <c r="D4571" s="11" t="s">
        <v>18</v>
      </c>
      <c r="E4571" s="12" t="s">
        <v>233</v>
      </c>
      <c r="F4571" s="12" t="s">
        <v>234</v>
      </c>
      <c r="G4571" s="12" t="s">
        <v>21</v>
      </c>
      <c r="H4571" s="11" t="s">
        <v>63</v>
      </c>
      <c r="I4571" s="13" t="s">
        <v>10040</v>
      </c>
      <c r="J4571" s="14" t="str">
        <f>HYPERLINK("https://www.boe.es/gazeta/dias/1839/09/17/pdfs/GMD-1839-1770.pdf#page=4","Abrir facsímil")</f>
        <v>Abrir facsímil</v>
      </c>
      <c r="K4571" s="12" t="s">
        <v>65</v>
      </c>
    </row>
    <row r="4572" spans="1:11" ht="40.049999999999997" customHeight="1" x14ac:dyDescent="0.25">
      <c r="A4572" s="11" t="s">
        <v>10041</v>
      </c>
      <c r="B4572" s="11" t="s">
        <v>10042</v>
      </c>
      <c r="C4572" s="11" t="s">
        <v>17</v>
      </c>
      <c r="D4572" s="11" t="s">
        <v>43</v>
      </c>
      <c r="E4572" s="12" t="s">
        <v>125</v>
      </c>
      <c r="F4572" s="12" t="s">
        <v>126</v>
      </c>
      <c r="G4572" s="12" t="s">
        <v>21</v>
      </c>
      <c r="H4572" s="11" t="s">
        <v>22</v>
      </c>
      <c r="I4572" s="13" t="s">
        <v>10043</v>
      </c>
      <c r="J4572" s="14" t="str">
        <f>HYPERLINK("https://www.boe.es/gazeta/dias/1839/05/23/pdfs/GMD-1839-1650.pdf#page=4","Abrir facsímil")</f>
        <v>Abrir facsímil</v>
      </c>
      <c r="K4572" s="12" t="s">
        <v>24</v>
      </c>
    </row>
    <row r="4573" spans="1:11" ht="40.049999999999997" customHeight="1" x14ac:dyDescent="0.25">
      <c r="A4573" s="11" t="s">
        <v>10044</v>
      </c>
      <c r="B4573" s="11" t="s">
        <v>10045</v>
      </c>
      <c r="C4573" s="11" t="s">
        <v>59</v>
      </c>
      <c r="D4573" s="11" t="s">
        <v>60</v>
      </c>
      <c r="E4573" s="12" t="s">
        <v>202</v>
      </c>
      <c r="F4573" s="12" t="s">
        <v>203</v>
      </c>
      <c r="G4573" s="12" t="s">
        <v>40</v>
      </c>
      <c r="H4573" s="11" t="s">
        <v>63</v>
      </c>
      <c r="I4573" s="13" t="s">
        <v>10046</v>
      </c>
      <c r="J4573" s="14" t="str">
        <f>HYPERLINK("https://www.boe.es/gazeta/dias/1839/04/05/pdfs/GMD-1839-1602.pdf#page=2","Abrir facsímil")</f>
        <v>Abrir facsímil</v>
      </c>
      <c r="K4573" s="12" t="s">
        <v>65</v>
      </c>
    </row>
    <row r="4574" spans="1:11" ht="40.049999999999997" customHeight="1" x14ac:dyDescent="0.25">
      <c r="A4574" s="11" t="s">
        <v>10047</v>
      </c>
      <c r="B4574" s="11" t="s">
        <v>10048</v>
      </c>
      <c r="C4574" s="11" t="s">
        <v>101</v>
      </c>
      <c r="D4574" s="11" t="s">
        <v>43</v>
      </c>
      <c r="E4574" s="12" t="s">
        <v>1356</v>
      </c>
      <c r="F4574" s="12" t="s">
        <v>1357</v>
      </c>
      <c r="G4574" s="12" t="s">
        <v>21</v>
      </c>
      <c r="H4574" s="11" t="s">
        <v>63</v>
      </c>
      <c r="I4574" s="13" t="s">
        <v>10049</v>
      </c>
      <c r="J4574" s="14" t="str">
        <f>HYPERLINK("https://www.boe.es/gazeta/dias/1839/06/05/pdfs/GMD-1839-1663.pdf#page=4","Abrir facsímil")</f>
        <v>Abrir facsímil</v>
      </c>
      <c r="K4574" s="12" t="s">
        <v>65</v>
      </c>
    </row>
    <row r="4575" spans="1:11" ht="40.049999999999997" customHeight="1" x14ac:dyDescent="0.25">
      <c r="A4575" s="11" t="s">
        <v>10047</v>
      </c>
      <c r="B4575" s="11" t="s">
        <v>10048</v>
      </c>
      <c r="C4575" s="11" t="s">
        <v>17</v>
      </c>
      <c r="D4575" s="11" t="s">
        <v>18</v>
      </c>
      <c r="E4575" s="12" t="s">
        <v>1123</v>
      </c>
      <c r="F4575" s="12" t="s">
        <v>1124</v>
      </c>
      <c r="G4575" s="12" t="s">
        <v>21</v>
      </c>
      <c r="H4575" s="11" t="s">
        <v>63</v>
      </c>
      <c r="I4575" s="13" t="s">
        <v>10050</v>
      </c>
      <c r="J4575" s="14" t="str">
        <f>HYPERLINK("https://www.boe.es/gazeta/dias/1839/08/10/pdfs/GMD-1839-1730.pdf#page=4","Abrir facsímil")</f>
        <v>Abrir facsímil</v>
      </c>
      <c r="K4575" s="12" t="s">
        <v>65</v>
      </c>
    </row>
    <row r="4576" spans="1:11" ht="40.049999999999997" customHeight="1" x14ac:dyDescent="0.25">
      <c r="A4576" s="11" t="s">
        <v>10047</v>
      </c>
      <c r="B4576" s="11" t="s">
        <v>10048</v>
      </c>
      <c r="C4576" s="11" t="s">
        <v>137</v>
      </c>
      <c r="D4576" s="11" t="s">
        <v>18</v>
      </c>
      <c r="E4576" s="12" t="s">
        <v>857</v>
      </c>
      <c r="F4576" s="12" t="s">
        <v>858</v>
      </c>
      <c r="G4576" s="12" t="s">
        <v>21</v>
      </c>
      <c r="H4576" s="11" t="s">
        <v>63</v>
      </c>
      <c r="I4576" s="13" t="s">
        <v>10051</v>
      </c>
      <c r="J4576" s="14" t="str">
        <f>HYPERLINK("https://www.boe.es/gazeta/dias/1839/11/21/pdfs/GMD-1839-1838.pdf#page=4","Abrir facsímil")</f>
        <v>Abrir facsímil</v>
      </c>
      <c r="K4576" s="12" t="s">
        <v>65</v>
      </c>
    </row>
    <row r="4577" spans="1:11" ht="40.049999999999997" customHeight="1" x14ac:dyDescent="0.25">
      <c r="A4577" s="11" t="s">
        <v>10047</v>
      </c>
      <c r="B4577" s="11" t="s">
        <v>10048</v>
      </c>
      <c r="C4577" s="11" t="s">
        <v>80</v>
      </c>
      <c r="D4577" s="11" t="s">
        <v>18</v>
      </c>
      <c r="E4577" s="12" t="s">
        <v>125</v>
      </c>
      <c r="F4577" s="12" t="s">
        <v>126</v>
      </c>
      <c r="G4577" s="12" t="s">
        <v>46</v>
      </c>
      <c r="H4577" s="11" t="s">
        <v>63</v>
      </c>
      <c r="I4577" s="13" t="s">
        <v>10052</v>
      </c>
      <c r="J4577" s="14" t="str">
        <f>HYPERLINK("https://www.boe.es/gazeta/dias/1839/05/23/pdfs/GMD-1839-1650.pdf#page=3","Abrir facsímil")</f>
        <v>Abrir facsímil</v>
      </c>
      <c r="K4577" s="12" t="s">
        <v>65</v>
      </c>
    </row>
    <row r="4578" spans="1:11" ht="40.049999999999997" customHeight="1" x14ac:dyDescent="0.25">
      <c r="A4578" s="11" t="s">
        <v>10047</v>
      </c>
      <c r="B4578" s="11" t="s">
        <v>10048</v>
      </c>
      <c r="C4578" s="11" t="s">
        <v>59</v>
      </c>
      <c r="D4578" s="11" t="s">
        <v>60</v>
      </c>
      <c r="E4578" s="12" t="s">
        <v>474</v>
      </c>
      <c r="F4578" s="12" t="s">
        <v>475</v>
      </c>
      <c r="G4578" s="12" t="s">
        <v>21</v>
      </c>
      <c r="H4578" s="11" t="s">
        <v>63</v>
      </c>
      <c r="I4578" s="13" t="s">
        <v>10053</v>
      </c>
      <c r="J4578" s="14" t="str">
        <f>HYPERLINK("https://www.boe.es/gazeta/dias/1839/03/31/pdfs/GMD-1839-1597.pdf#page=4","Abrir facsímil")</f>
        <v>Abrir facsímil</v>
      </c>
      <c r="K4578" s="12" t="s">
        <v>65</v>
      </c>
    </row>
    <row r="4579" spans="1:11" ht="40.049999999999997" customHeight="1" x14ac:dyDescent="0.25">
      <c r="A4579" s="11" t="s">
        <v>10054</v>
      </c>
      <c r="B4579" s="11" t="s">
        <v>10055</v>
      </c>
      <c r="C4579" s="11" t="s">
        <v>59</v>
      </c>
      <c r="D4579" s="11" t="s">
        <v>60</v>
      </c>
      <c r="E4579" s="12" t="s">
        <v>1208</v>
      </c>
      <c r="F4579" s="12" t="s">
        <v>1209</v>
      </c>
      <c r="G4579" s="12" t="s">
        <v>29</v>
      </c>
      <c r="H4579" s="11" t="s">
        <v>63</v>
      </c>
      <c r="I4579" s="13" t="s">
        <v>10056</v>
      </c>
      <c r="J4579" s="14" t="str">
        <f>HYPERLINK("https://www.boe.es/gazeta/dias/1839/04/24/pdfs/GMD-1839-1621.pdf#page=1","Abrir facsímil")</f>
        <v>Abrir facsímil</v>
      </c>
      <c r="K4579" s="12" t="s">
        <v>65</v>
      </c>
    </row>
    <row r="4580" spans="1:11" ht="40.049999999999997" customHeight="1" x14ac:dyDescent="0.25">
      <c r="A4580" s="11" t="s">
        <v>10057</v>
      </c>
      <c r="B4580" s="11" t="s">
        <v>10058</v>
      </c>
      <c r="C4580" s="11" t="s">
        <v>17</v>
      </c>
      <c r="D4580" s="11" t="s">
        <v>18</v>
      </c>
      <c r="E4580" s="12" t="s">
        <v>1183</v>
      </c>
      <c r="F4580" s="12" t="s">
        <v>1184</v>
      </c>
      <c r="G4580" s="12" t="s">
        <v>21</v>
      </c>
      <c r="H4580" s="11" t="s">
        <v>63</v>
      </c>
      <c r="I4580" s="13" t="s">
        <v>10059</v>
      </c>
      <c r="J4580" s="14" t="str">
        <f>HYPERLINK("https://www.boe.es/gazeta/dias/1839/07/26/pdfs/GMD-1839-1715.pdf#page=4","Abrir facsímil")</f>
        <v>Abrir facsímil</v>
      </c>
      <c r="K4580" s="12" t="s">
        <v>65</v>
      </c>
    </row>
    <row r="4581" spans="1:11" ht="40.049999999999997" customHeight="1" x14ac:dyDescent="0.25">
      <c r="A4581" s="11" t="s">
        <v>10060</v>
      </c>
      <c r="B4581" s="11" t="s">
        <v>10061</v>
      </c>
      <c r="C4581" s="11" t="s">
        <v>59</v>
      </c>
      <c r="D4581" s="11" t="s">
        <v>60</v>
      </c>
      <c r="E4581" s="12" t="s">
        <v>202</v>
      </c>
      <c r="F4581" s="12" t="s">
        <v>203</v>
      </c>
      <c r="G4581" s="12" t="s">
        <v>46</v>
      </c>
      <c r="H4581" s="11" t="s">
        <v>63</v>
      </c>
      <c r="I4581" s="13" t="s">
        <v>10062</v>
      </c>
      <c r="J4581" s="14" t="str">
        <f>HYPERLINK("https://www.boe.es/gazeta/dias/1839/04/05/pdfs/GMD-1839-1602.pdf#page=3","Abrir facsímil")</f>
        <v>Abrir facsímil</v>
      </c>
      <c r="K4581" s="12" t="s">
        <v>65</v>
      </c>
    </row>
    <row r="4582" spans="1:11" ht="40.049999999999997" customHeight="1" x14ac:dyDescent="0.25">
      <c r="A4582" s="11" t="s">
        <v>10063</v>
      </c>
      <c r="B4582" s="11" t="s">
        <v>10064</v>
      </c>
      <c r="C4582" s="11" t="s">
        <v>101</v>
      </c>
      <c r="D4582" s="11" t="s">
        <v>43</v>
      </c>
      <c r="E4582" s="12" t="s">
        <v>1433</v>
      </c>
      <c r="F4582" s="12" t="s">
        <v>1434</v>
      </c>
      <c r="G4582" s="12" t="s">
        <v>46</v>
      </c>
      <c r="H4582" s="11" t="s">
        <v>63</v>
      </c>
      <c r="I4582" s="13" t="s">
        <v>10065</v>
      </c>
      <c r="J4582" s="14" t="str">
        <f>HYPERLINK("https://www.boe.es/gazeta/dias/1839/10/22/pdfs/GMD-1839-1808.pdf#page=3","Abrir facsímil")</f>
        <v>Abrir facsímil</v>
      </c>
      <c r="K4582" s="12" t="s">
        <v>65</v>
      </c>
    </row>
    <row r="4583" spans="1:11" ht="40.049999999999997" customHeight="1" x14ac:dyDescent="0.25">
      <c r="A4583" s="11" t="s">
        <v>10066</v>
      </c>
      <c r="B4583" s="11" t="s">
        <v>10067</v>
      </c>
      <c r="C4583" s="11" t="s">
        <v>17</v>
      </c>
      <c r="D4583" s="11" t="s">
        <v>18</v>
      </c>
      <c r="E4583" s="12" t="s">
        <v>276</v>
      </c>
      <c r="F4583" s="12" t="s">
        <v>277</v>
      </c>
      <c r="G4583" s="12" t="s">
        <v>46</v>
      </c>
      <c r="H4583" s="11" t="s">
        <v>63</v>
      </c>
      <c r="I4583" s="13" t="s">
        <v>10068</v>
      </c>
      <c r="J4583" s="14" t="str">
        <f>HYPERLINK("https://www.boe.es/gazeta/dias/1839/09/24/pdfs/GMD-1839-1780.pdf#page=3","Abrir facsímil")</f>
        <v>Abrir facsímil</v>
      </c>
      <c r="K4583" s="12" t="s">
        <v>65</v>
      </c>
    </row>
    <row r="4584" spans="1:11" ht="40.049999999999997" customHeight="1" x14ac:dyDescent="0.25">
      <c r="A4584" s="11" t="s">
        <v>10069</v>
      </c>
      <c r="B4584" s="11" t="s">
        <v>10070</v>
      </c>
      <c r="C4584" s="11" t="s">
        <v>17</v>
      </c>
      <c r="D4584" s="11" t="s">
        <v>18</v>
      </c>
      <c r="E4584" s="12" t="s">
        <v>175</v>
      </c>
      <c r="F4584" s="12" t="s">
        <v>176</v>
      </c>
      <c r="G4584" s="12" t="s">
        <v>40</v>
      </c>
      <c r="H4584" s="11" t="s">
        <v>63</v>
      </c>
      <c r="I4584" s="13" t="s">
        <v>10071</v>
      </c>
      <c r="J4584" s="14" t="str">
        <f>HYPERLINK("https://www.boe.es/gazeta/dias/1839/01/16/pdfs/GMD-1839-1523.pdf#page=2","Abrir facsímil")</f>
        <v>Abrir facsímil</v>
      </c>
      <c r="K4584" s="12" t="s">
        <v>65</v>
      </c>
    </row>
    <row r="4585" spans="1:11" ht="40.049999999999997" customHeight="1" x14ac:dyDescent="0.25">
      <c r="A4585" s="11" t="s">
        <v>10069</v>
      </c>
      <c r="B4585" s="11" t="s">
        <v>10070</v>
      </c>
      <c r="C4585" s="11" t="s">
        <v>101</v>
      </c>
      <c r="D4585" s="11" t="s">
        <v>43</v>
      </c>
      <c r="E4585" s="12" t="s">
        <v>1072</v>
      </c>
      <c r="F4585" s="12" t="s">
        <v>1073</v>
      </c>
      <c r="G4585" s="12" t="s">
        <v>29</v>
      </c>
      <c r="H4585" s="11" t="s">
        <v>63</v>
      </c>
      <c r="I4585" s="13" t="s">
        <v>10072</v>
      </c>
      <c r="J4585" s="14" t="str">
        <f>HYPERLINK("https://www.boe.es/gazeta/dias/1839/01/18/pdfs/GMD-1839-1525.pdf#page=1","Abrir facsímil")</f>
        <v>Abrir facsímil</v>
      </c>
      <c r="K4585" s="12" t="s">
        <v>65</v>
      </c>
    </row>
    <row r="4586" spans="1:11" ht="40.049999999999997" customHeight="1" x14ac:dyDescent="0.25">
      <c r="A4586" s="11" t="s">
        <v>10069</v>
      </c>
      <c r="B4586" s="11" t="s">
        <v>10070</v>
      </c>
      <c r="C4586" s="11" t="s">
        <v>101</v>
      </c>
      <c r="D4586" s="11" t="s">
        <v>43</v>
      </c>
      <c r="E4586" s="12" t="s">
        <v>1867</v>
      </c>
      <c r="F4586" s="12" t="s">
        <v>1868</v>
      </c>
      <c r="G4586" s="12" t="s">
        <v>40</v>
      </c>
      <c r="H4586" s="11" t="s">
        <v>63</v>
      </c>
      <c r="I4586" s="13" t="s">
        <v>10073</v>
      </c>
      <c r="J4586" s="14" t="str">
        <f>HYPERLINK("https://www.boe.es/gazeta/dias/1839/01/30/pdfs/GMD-1839-1537.pdf#page=2","Abrir facsímil")</f>
        <v>Abrir facsímil</v>
      </c>
      <c r="K4586" s="12" t="s">
        <v>65</v>
      </c>
    </row>
    <row r="4587" spans="1:11" ht="40.049999999999997" customHeight="1" x14ac:dyDescent="0.25">
      <c r="A4587" s="11" t="s">
        <v>10069</v>
      </c>
      <c r="B4587" s="11" t="s">
        <v>10070</v>
      </c>
      <c r="C4587" s="11" t="s">
        <v>17</v>
      </c>
      <c r="D4587" s="11" t="s">
        <v>18</v>
      </c>
      <c r="E4587" s="12" t="s">
        <v>1867</v>
      </c>
      <c r="F4587" s="12" t="s">
        <v>1868</v>
      </c>
      <c r="G4587" s="12" t="s">
        <v>46</v>
      </c>
      <c r="H4587" s="11" t="s">
        <v>63</v>
      </c>
      <c r="I4587" s="13" t="s">
        <v>10074</v>
      </c>
      <c r="J4587" s="14" t="str">
        <f>HYPERLINK("https://www.boe.es/gazeta/dias/1839/01/30/pdfs/GMD-1839-1537.pdf#page=3","Abrir facsímil")</f>
        <v>Abrir facsímil</v>
      </c>
      <c r="K4587" s="12" t="s">
        <v>65</v>
      </c>
    </row>
    <row r="4588" spans="1:11" ht="40.049999999999997" customHeight="1" x14ac:dyDescent="0.25">
      <c r="A4588" s="11" t="s">
        <v>10075</v>
      </c>
      <c r="B4588" s="11" t="s">
        <v>10076</v>
      </c>
      <c r="C4588" s="11" t="s">
        <v>137</v>
      </c>
      <c r="D4588" s="11" t="s">
        <v>18</v>
      </c>
      <c r="E4588" s="12" t="s">
        <v>1867</v>
      </c>
      <c r="F4588" s="12" t="s">
        <v>1868</v>
      </c>
      <c r="G4588" s="12" t="s">
        <v>46</v>
      </c>
      <c r="H4588" s="11" t="s">
        <v>63</v>
      </c>
      <c r="I4588" s="13" t="s">
        <v>10077</v>
      </c>
      <c r="J4588" s="14" t="str">
        <f>HYPERLINK("https://www.boe.es/gazeta/dias/1839/01/30/pdfs/GMD-1839-1537.pdf#page=3","Abrir facsímil")</f>
        <v>Abrir facsímil</v>
      </c>
      <c r="K4588" s="12" t="s">
        <v>65</v>
      </c>
    </row>
    <row r="4589" spans="1:11" ht="40.049999999999997" customHeight="1" x14ac:dyDescent="0.25">
      <c r="A4589" s="11" t="s">
        <v>10078</v>
      </c>
      <c r="B4589" s="11" t="s">
        <v>10079</v>
      </c>
      <c r="C4589" s="11" t="s">
        <v>17</v>
      </c>
      <c r="D4589" s="11" t="s">
        <v>18</v>
      </c>
      <c r="E4589" s="12" t="s">
        <v>2138</v>
      </c>
      <c r="F4589" s="12" t="s">
        <v>2139</v>
      </c>
      <c r="G4589" s="12" t="s">
        <v>305</v>
      </c>
      <c r="H4589" s="11" t="s">
        <v>63</v>
      </c>
      <c r="I4589" s="13" t="s">
        <v>10080</v>
      </c>
      <c r="J4589" s="14" t="str">
        <f>HYPERLINK("https://www.boe.es/gazeta/dias/1839/10/02/pdfs/GMD-1839-1788.pdf#page=6","Abrir facsímil")</f>
        <v>Abrir facsímil</v>
      </c>
      <c r="K4589" s="12" t="s">
        <v>65</v>
      </c>
    </row>
    <row r="4590" spans="1:11" ht="40.049999999999997" customHeight="1" x14ac:dyDescent="0.25">
      <c r="A4590" s="11" t="s">
        <v>10078</v>
      </c>
      <c r="B4590" s="11" t="s">
        <v>10079</v>
      </c>
      <c r="C4590" s="11" t="s">
        <v>137</v>
      </c>
      <c r="D4590" s="11" t="s">
        <v>18</v>
      </c>
      <c r="E4590" s="12" t="s">
        <v>1528</v>
      </c>
      <c r="F4590" s="12" t="s">
        <v>1529</v>
      </c>
      <c r="G4590" s="12" t="s">
        <v>21</v>
      </c>
      <c r="H4590" s="11" t="s">
        <v>63</v>
      </c>
      <c r="I4590" s="13" t="s">
        <v>10081</v>
      </c>
      <c r="J4590" s="14" t="str">
        <f>HYPERLINK("https://www.boe.es/gazeta/dias/1839/12/15/pdfs/GMD-1839-1862.pdf#page=4","Abrir facsímil")</f>
        <v>Abrir facsímil</v>
      </c>
      <c r="K4590" s="12" t="s">
        <v>65</v>
      </c>
    </row>
    <row r="4591" spans="1:11" ht="40.049999999999997" customHeight="1" x14ac:dyDescent="0.25">
      <c r="A4591" s="11" t="s">
        <v>10078</v>
      </c>
      <c r="B4591" s="11" t="s">
        <v>10079</v>
      </c>
      <c r="C4591" s="11" t="s">
        <v>17</v>
      </c>
      <c r="D4591" s="11" t="s">
        <v>18</v>
      </c>
      <c r="E4591" s="12" t="s">
        <v>1988</v>
      </c>
      <c r="F4591" s="12" t="s">
        <v>1989</v>
      </c>
      <c r="G4591" s="12" t="s">
        <v>566</v>
      </c>
      <c r="H4591" s="11" t="s">
        <v>63</v>
      </c>
      <c r="I4591" s="13" t="s">
        <v>10082</v>
      </c>
      <c r="J4591" s="14" t="str">
        <f>HYPERLINK("https://www.boe.es/gazeta/dias/1839/10/29/pdfs/GMD-1839-1815.pdf#page=5","Abrir facsímil")</f>
        <v>Abrir facsímil</v>
      </c>
      <c r="K4591" s="12" t="s">
        <v>65</v>
      </c>
    </row>
    <row r="4592" spans="1:11" ht="40.049999999999997" customHeight="1" x14ac:dyDescent="0.25">
      <c r="A4592" s="11" t="s">
        <v>10083</v>
      </c>
      <c r="B4592" s="11" t="s">
        <v>10084</v>
      </c>
      <c r="C4592" s="11" t="s">
        <v>17</v>
      </c>
      <c r="D4592" s="11" t="s">
        <v>18</v>
      </c>
      <c r="E4592" s="12" t="s">
        <v>621</v>
      </c>
      <c r="F4592" s="12" t="s">
        <v>622</v>
      </c>
      <c r="G4592" s="12" t="s">
        <v>29</v>
      </c>
      <c r="H4592" s="11" t="s">
        <v>63</v>
      </c>
      <c r="I4592" s="13" t="s">
        <v>10085</v>
      </c>
      <c r="J4592" s="14" t="str">
        <f>HYPERLINK("https://www.boe.es/gazeta/dias/1839/04/14/pdfs/GMD-1839-1611.pdf#page=1","Abrir facsímil")</f>
        <v>Abrir facsímil</v>
      </c>
      <c r="K4592" s="12" t="s">
        <v>65</v>
      </c>
    </row>
    <row r="4593" spans="1:11" ht="40.049999999999997" customHeight="1" x14ac:dyDescent="0.25">
      <c r="A4593" s="11" t="s">
        <v>10083</v>
      </c>
      <c r="B4593" s="11" t="s">
        <v>10084</v>
      </c>
      <c r="C4593" s="11" t="s">
        <v>59</v>
      </c>
      <c r="D4593" s="11" t="s">
        <v>60</v>
      </c>
      <c r="E4593" s="12" t="s">
        <v>870</v>
      </c>
      <c r="F4593" s="12" t="s">
        <v>871</v>
      </c>
      <c r="G4593" s="12" t="s">
        <v>21</v>
      </c>
      <c r="H4593" s="11" t="s">
        <v>63</v>
      </c>
      <c r="I4593" s="13" t="s">
        <v>10086</v>
      </c>
      <c r="J4593" s="14" t="str">
        <f>HYPERLINK("https://www.boe.es/gazeta/dias/1839/04/18/pdfs/GMD-1839-1615.pdf#page=4","Abrir facsímil")</f>
        <v>Abrir facsímil</v>
      </c>
      <c r="K4593" s="12" t="s">
        <v>65</v>
      </c>
    </row>
    <row r="4594" spans="1:11" ht="40.049999999999997" customHeight="1" x14ac:dyDescent="0.25">
      <c r="A4594" s="11" t="s">
        <v>10087</v>
      </c>
      <c r="B4594" s="11" t="s">
        <v>10088</v>
      </c>
      <c r="C4594" s="11" t="s">
        <v>17</v>
      </c>
      <c r="D4594" s="11" t="s">
        <v>18</v>
      </c>
      <c r="E4594" s="12" t="s">
        <v>1310</v>
      </c>
      <c r="F4594" s="12" t="s">
        <v>1311</v>
      </c>
      <c r="G4594" s="12" t="s">
        <v>40</v>
      </c>
      <c r="H4594" s="11" t="s">
        <v>63</v>
      </c>
      <c r="I4594" s="13" t="s">
        <v>10089</v>
      </c>
      <c r="J4594" s="14" t="str">
        <f>HYPERLINK("https://www.boe.es/gazeta/dias/1839/04/23/pdfs/GMD-1839-1620.pdf#page=2","Abrir facsímil")</f>
        <v>Abrir facsímil</v>
      </c>
      <c r="K4594" s="12" t="s">
        <v>65</v>
      </c>
    </row>
    <row r="4595" spans="1:11" ht="40.049999999999997" customHeight="1" x14ac:dyDescent="0.25">
      <c r="A4595" s="11" t="s">
        <v>10090</v>
      </c>
      <c r="B4595" s="11" t="s">
        <v>10091</v>
      </c>
      <c r="C4595" s="11" t="s">
        <v>17</v>
      </c>
      <c r="D4595" s="11" t="s">
        <v>18</v>
      </c>
      <c r="E4595" s="12" t="s">
        <v>3601</v>
      </c>
      <c r="F4595" s="12" t="s">
        <v>3602</v>
      </c>
      <c r="G4595" s="12" t="s">
        <v>29</v>
      </c>
      <c r="H4595" s="11" t="s">
        <v>63</v>
      </c>
      <c r="I4595" s="13" t="s">
        <v>10092</v>
      </c>
      <c r="J4595" s="14" t="str">
        <f>HYPERLINK("https://www.boe.es/gazeta/dias/1839/03/21/pdfs/GMD-1839-1587.pdf#page=1","Abrir facsímil")</f>
        <v>Abrir facsímil</v>
      </c>
      <c r="K4595" s="12" t="s">
        <v>65</v>
      </c>
    </row>
    <row r="4596" spans="1:11" ht="40.049999999999997" customHeight="1" x14ac:dyDescent="0.25">
      <c r="A4596" s="11" t="s">
        <v>10093</v>
      </c>
      <c r="B4596" s="11" t="s">
        <v>10094</v>
      </c>
      <c r="C4596" s="11" t="s">
        <v>17</v>
      </c>
      <c r="D4596" s="11" t="s">
        <v>18</v>
      </c>
      <c r="E4596" s="12" t="s">
        <v>606</v>
      </c>
      <c r="F4596" s="12" t="s">
        <v>607</v>
      </c>
      <c r="G4596" s="12" t="s">
        <v>29</v>
      </c>
      <c r="H4596" s="11" t="s">
        <v>63</v>
      </c>
      <c r="I4596" s="13" t="s">
        <v>10095</v>
      </c>
      <c r="J4596" s="14" t="str">
        <f>HYPERLINK("https://www.boe.es/gazeta/dias/1839/04/02/pdfs/GMD-1839-1599.pdf#page=1","Abrir facsímil")</f>
        <v>Abrir facsímil</v>
      </c>
      <c r="K4596" s="12" t="s">
        <v>65</v>
      </c>
    </row>
    <row r="4597" spans="1:11" ht="40.049999999999997" customHeight="1" x14ac:dyDescent="0.25">
      <c r="A4597" s="11" t="s">
        <v>10093</v>
      </c>
      <c r="B4597" s="11" t="s">
        <v>10094</v>
      </c>
      <c r="C4597" s="11" t="s">
        <v>80</v>
      </c>
      <c r="D4597" s="11" t="s">
        <v>18</v>
      </c>
      <c r="E4597" s="12" t="s">
        <v>81</v>
      </c>
      <c r="F4597" s="12" t="s">
        <v>82</v>
      </c>
      <c r="G4597" s="12" t="s">
        <v>29</v>
      </c>
      <c r="H4597" s="11" t="s">
        <v>63</v>
      </c>
      <c r="I4597" s="13" t="s">
        <v>10096</v>
      </c>
      <c r="J4597" s="14" t="str">
        <f>HYPERLINK("https://www.boe.es/gazeta/dias/1839/03/03/pdfs/GMD-1839-1569.pdf#page=1","Abrir facsímil")</f>
        <v>Abrir facsímil</v>
      </c>
      <c r="K4597" s="12" t="s">
        <v>65</v>
      </c>
    </row>
    <row r="4598" spans="1:11" ht="40.049999999999997" customHeight="1" x14ac:dyDescent="0.25">
      <c r="A4598" s="11" t="s">
        <v>10097</v>
      </c>
      <c r="B4598" s="11" t="s">
        <v>10098</v>
      </c>
      <c r="C4598" s="11" t="s">
        <v>17</v>
      </c>
      <c r="D4598" s="11" t="s">
        <v>18</v>
      </c>
      <c r="E4598" s="12" t="s">
        <v>1685</v>
      </c>
      <c r="F4598" s="12" t="s">
        <v>1686</v>
      </c>
      <c r="G4598" s="12" t="s">
        <v>46</v>
      </c>
      <c r="H4598" s="11" t="s">
        <v>63</v>
      </c>
      <c r="I4598" s="13" t="s">
        <v>10099</v>
      </c>
      <c r="J4598" s="14" t="str">
        <f>HYPERLINK("https://www.boe.es/gazeta/dias/1839/04/27/pdfs/GMD-1839-1624.pdf#page=3","Abrir facsímil")</f>
        <v>Abrir facsímil</v>
      </c>
      <c r="K4598" s="12" t="s">
        <v>65</v>
      </c>
    </row>
    <row r="4599" spans="1:11" ht="40.049999999999997" customHeight="1" x14ac:dyDescent="0.25">
      <c r="A4599" s="11" t="s">
        <v>10100</v>
      </c>
      <c r="B4599" s="11" t="s">
        <v>10101</v>
      </c>
      <c r="C4599" s="11" t="s">
        <v>59</v>
      </c>
      <c r="D4599" s="11" t="s">
        <v>60</v>
      </c>
      <c r="E4599" s="12" t="s">
        <v>1108</v>
      </c>
      <c r="F4599" s="12" t="s">
        <v>1109</v>
      </c>
      <c r="G4599" s="12" t="s">
        <v>40</v>
      </c>
      <c r="H4599" s="11" t="s">
        <v>63</v>
      </c>
      <c r="I4599" s="13" t="s">
        <v>10102</v>
      </c>
      <c r="J4599" s="14" t="str">
        <f>HYPERLINK("https://www.boe.es/gazeta/dias/1839/09/21/pdfs/GMD-1839-1776.pdf#page=2","Abrir facsímil")</f>
        <v>Abrir facsímil</v>
      </c>
      <c r="K4599" s="12" t="s">
        <v>65</v>
      </c>
    </row>
    <row r="4600" spans="1:11" ht="40.049999999999997" customHeight="1" x14ac:dyDescent="0.25">
      <c r="A4600" s="11" t="s">
        <v>10103</v>
      </c>
      <c r="B4600" s="11" t="s">
        <v>10104</v>
      </c>
      <c r="C4600" s="11" t="s">
        <v>17</v>
      </c>
      <c r="D4600" s="11" t="s">
        <v>18</v>
      </c>
      <c r="E4600" s="12" t="s">
        <v>94</v>
      </c>
      <c r="F4600" s="12" t="s">
        <v>95</v>
      </c>
      <c r="G4600" s="12" t="s">
        <v>40</v>
      </c>
      <c r="H4600" s="11" t="s">
        <v>63</v>
      </c>
      <c r="I4600" s="13" t="s">
        <v>10105</v>
      </c>
      <c r="J4600" s="14" t="str">
        <f>HYPERLINK("https://www.boe.es/gazeta/dias/1839/02/24/pdfs/GMD-1839-1562.pdf#page=2","Abrir facsímil")</f>
        <v>Abrir facsímil</v>
      </c>
      <c r="K4600" s="12" t="s">
        <v>65</v>
      </c>
    </row>
    <row r="4601" spans="1:11" ht="40.049999999999997" customHeight="1" x14ac:dyDescent="0.25">
      <c r="A4601" s="11" t="s">
        <v>10106</v>
      </c>
      <c r="B4601" s="11" t="s">
        <v>10107</v>
      </c>
      <c r="C4601" s="11" t="s">
        <v>59</v>
      </c>
      <c r="D4601" s="11" t="s">
        <v>60</v>
      </c>
      <c r="E4601" s="12" t="s">
        <v>2482</v>
      </c>
      <c r="F4601" s="12" t="s">
        <v>2483</v>
      </c>
      <c r="G4601" s="12" t="s">
        <v>40</v>
      </c>
      <c r="H4601" s="11" t="s">
        <v>63</v>
      </c>
      <c r="I4601" s="13" t="s">
        <v>10108</v>
      </c>
      <c r="J4601" s="14" t="str">
        <f>HYPERLINK("https://www.boe.es/gazeta/dias/1839/07/07/pdfs/GMD-1839-1695.pdf#page=2","Abrir facsímil")</f>
        <v>Abrir facsímil</v>
      </c>
      <c r="K4601" s="12" t="s">
        <v>65</v>
      </c>
    </row>
    <row r="4602" spans="1:11" ht="40.049999999999997" customHeight="1" x14ac:dyDescent="0.25">
      <c r="A4602" s="11" t="s">
        <v>10109</v>
      </c>
      <c r="B4602" s="11" t="s">
        <v>10110</v>
      </c>
      <c r="C4602" s="11" t="s">
        <v>17</v>
      </c>
      <c r="D4602" s="11" t="s">
        <v>18</v>
      </c>
      <c r="E4602" s="12" t="s">
        <v>1929</v>
      </c>
      <c r="F4602" s="12" t="s">
        <v>1930</v>
      </c>
      <c r="G4602" s="12" t="s">
        <v>46</v>
      </c>
      <c r="H4602" s="11" t="s">
        <v>63</v>
      </c>
      <c r="I4602" s="13" t="s">
        <v>10111</v>
      </c>
      <c r="J4602" s="14" t="str">
        <f>HYPERLINK("https://www.boe.es/gazeta/dias/1839/02/01/pdfs/GMD-1839-1539.pdf#page=3","Abrir facsímil")</f>
        <v>Abrir facsímil</v>
      </c>
      <c r="K4602" s="12" t="s">
        <v>65</v>
      </c>
    </row>
    <row r="4603" spans="1:11" ht="40.049999999999997" customHeight="1" x14ac:dyDescent="0.25">
      <c r="A4603" s="11" t="s">
        <v>10109</v>
      </c>
      <c r="B4603" s="11" t="s">
        <v>10110</v>
      </c>
      <c r="C4603" s="11" t="s">
        <v>17</v>
      </c>
      <c r="D4603" s="11" t="s">
        <v>18</v>
      </c>
      <c r="E4603" s="12" t="s">
        <v>108</v>
      </c>
      <c r="F4603" s="12" t="s">
        <v>109</v>
      </c>
      <c r="G4603" s="12" t="s">
        <v>40</v>
      </c>
      <c r="H4603" s="11" t="s">
        <v>63</v>
      </c>
      <c r="I4603" s="13" t="s">
        <v>10112</v>
      </c>
      <c r="J4603" s="14" t="str">
        <f>HYPERLINK("https://www.boe.es/gazeta/dias/1839/01/04/pdfs/GMD-1839-1511.pdf#page=2","Abrir facsímil")</f>
        <v>Abrir facsímil</v>
      </c>
      <c r="K4603" s="12" t="s">
        <v>65</v>
      </c>
    </row>
    <row r="4604" spans="1:11" ht="40.049999999999997" customHeight="1" x14ac:dyDescent="0.25">
      <c r="A4604" s="11" t="s">
        <v>10109</v>
      </c>
      <c r="B4604" s="11" t="s">
        <v>10110</v>
      </c>
      <c r="C4604" s="11" t="s">
        <v>17</v>
      </c>
      <c r="D4604" s="11" t="s">
        <v>18</v>
      </c>
      <c r="E4604" s="12" t="s">
        <v>2165</v>
      </c>
      <c r="F4604" s="12" t="s">
        <v>2166</v>
      </c>
      <c r="G4604" s="12" t="s">
        <v>46</v>
      </c>
      <c r="H4604" s="11" t="s">
        <v>63</v>
      </c>
      <c r="I4604" s="13" t="s">
        <v>10113</v>
      </c>
      <c r="J4604" s="14" t="str">
        <f>HYPERLINK("https://www.boe.es/gazeta/dias/1839/01/06/pdfs/GMD-1839-1513.pdf#page=3","Abrir facsímil")</f>
        <v>Abrir facsímil</v>
      </c>
      <c r="K4604" s="12" t="s">
        <v>65</v>
      </c>
    </row>
    <row r="4605" spans="1:11" ht="40.049999999999997" customHeight="1" x14ac:dyDescent="0.25">
      <c r="A4605" s="11" t="s">
        <v>10109</v>
      </c>
      <c r="B4605" s="11" t="s">
        <v>10110</v>
      </c>
      <c r="C4605" s="11" t="s">
        <v>137</v>
      </c>
      <c r="D4605" s="11" t="s">
        <v>18</v>
      </c>
      <c r="E4605" s="12" t="s">
        <v>2050</v>
      </c>
      <c r="F4605" s="12" t="s">
        <v>2051</v>
      </c>
      <c r="G4605" s="12" t="s">
        <v>40</v>
      </c>
      <c r="H4605" s="11" t="s">
        <v>63</v>
      </c>
      <c r="I4605" s="13" t="s">
        <v>10114</v>
      </c>
      <c r="J4605" s="14" t="str">
        <f>HYPERLINK("https://www.boe.es/gazeta/dias/1839/01/09/pdfs/GMD-1839-1516.pdf#page=2","Abrir facsímil")</f>
        <v>Abrir facsímil</v>
      </c>
      <c r="K4605" s="12" t="s">
        <v>65</v>
      </c>
    </row>
    <row r="4606" spans="1:11" ht="40.049999999999997" customHeight="1" x14ac:dyDescent="0.25">
      <c r="A4606" s="11" t="s">
        <v>10109</v>
      </c>
      <c r="B4606" s="11" t="s">
        <v>10110</v>
      </c>
      <c r="C4606" s="11" t="s">
        <v>17</v>
      </c>
      <c r="D4606" s="11" t="s">
        <v>18</v>
      </c>
      <c r="E4606" s="12" t="s">
        <v>116</v>
      </c>
      <c r="F4606" s="12" t="s">
        <v>117</v>
      </c>
      <c r="G4606" s="12" t="s">
        <v>40</v>
      </c>
      <c r="H4606" s="11" t="s">
        <v>63</v>
      </c>
      <c r="I4606" s="13" t="s">
        <v>10115</v>
      </c>
      <c r="J4606" s="14" t="str">
        <f>HYPERLINK("https://www.boe.es/gazeta/dias/1839/10/10/pdfs/GMD-1839-1796.pdf#page=2","Abrir facsímil")</f>
        <v>Abrir facsímil</v>
      </c>
      <c r="K4606" s="12" t="s">
        <v>65</v>
      </c>
    </row>
    <row r="4607" spans="1:11" ht="40.049999999999997" customHeight="1" x14ac:dyDescent="0.25">
      <c r="A4607" s="11" t="s">
        <v>10109</v>
      </c>
      <c r="B4607" s="11" t="s">
        <v>10110</v>
      </c>
      <c r="C4607" s="11" t="s">
        <v>17</v>
      </c>
      <c r="D4607" s="11" t="s">
        <v>18</v>
      </c>
      <c r="E4607" s="12" t="s">
        <v>1236</v>
      </c>
      <c r="F4607" s="12" t="s">
        <v>1237</v>
      </c>
      <c r="G4607" s="12" t="s">
        <v>29</v>
      </c>
      <c r="H4607" s="11" t="s">
        <v>63</v>
      </c>
      <c r="I4607" s="13" t="s">
        <v>10116</v>
      </c>
      <c r="J4607" s="14" t="str">
        <f>HYPERLINK("https://www.boe.es/gazeta/dias/1839/10/16/pdfs/GMD-1839-1802.pdf#page=1","Abrir facsímil")</f>
        <v>Abrir facsímil</v>
      </c>
      <c r="K4607" s="12" t="s">
        <v>65</v>
      </c>
    </row>
    <row r="4608" spans="1:11" ht="40.049999999999997" customHeight="1" x14ac:dyDescent="0.25">
      <c r="A4608" s="11" t="s">
        <v>10109</v>
      </c>
      <c r="B4608" s="11" t="s">
        <v>10110</v>
      </c>
      <c r="C4608" s="11" t="s">
        <v>101</v>
      </c>
      <c r="D4608" s="11" t="s">
        <v>43</v>
      </c>
      <c r="E4608" s="12" t="s">
        <v>1236</v>
      </c>
      <c r="F4608" s="12" t="s">
        <v>1237</v>
      </c>
      <c r="G4608" s="12" t="s">
        <v>21</v>
      </c>
      <c r="H4608" s="11" t="s">
        <v>63</v>
      </c>
      <c r="I4608" s="13" t="s">
        <v>10117</v>
      </c>
      <c r="J4608" s="14" t="str">
        <f>HYPERLINK("https://www.boe.es/gazeta/dias/1839/10/16/pdfs/GMD-1839-1802.pdf#page=4","Abrir facsímil")</f>
        <v>Abrir facsímil</v>
      </c>
      <c r="K4608" s="12" t="s">
        <v>65</v>
      </c>
    </row>
    <row r="4609" spans="1:11" ht="40.049999999999997" customHeight="1" x14ac:dyDescent="0.25">
      <c r="A4609" s="11" t="s">
        <v>10118</v>
      </c>
      <c r="B4609" s="11" t="s">
        <v>10119</v>
      </c>
      <c r="C4609" s="11" t="s">
        <v>17</v>
      </c>
      <c r="D4609" s="11" t="s">
        <v>18</v>
      </c>
      <c r="E4609" s="12" t="s">
        <v>1988</v>
      </c>
      <c r="F4609" s="12" t="s">
        <v>1989</v>
      </c>
      <c r="G4609" s="12" t="s">
        <v>40</v>
      </c>
      <c r="H4609" s="11" t="s">
        <v>22</v>
      </c>
      <c r="I4609" s="13" t="s">
        <v>10120</v>
      </c>
      <c r="J4609" s="14" t="str">
        <f>HYPERLINK("https://www.boe.es/gazeta/dias/1839/10/29/pdfs/GMD-1839-1815.pdf#page=2","Abrir facsímil")</f>
        <v>Abrir facsímil</v>
      </c>
      <c r="K4609" s="12" t="s">
        <v>24</v>
      </c>
    </row>
    <row r="4610" spans="1:11" ht="40.049999999999997" customHeight="1" x14ac:dyDescent="0.25">
      <c r="A4610" s="11" t="s">
        <v>10118</v>
      </c>
      <c r="B4610" s="11" t="s">
        <v>10119</v>
      </c>
      <c r="C4610" s="11" t="s">
        <v>101</v>
      </c>
      <c r="D4610" s="11" t="s">
        <v>43</v>
      </c>
      <c r="E4610" s="12" t="s">
        <v>1867</v>
      </c>
      <c r="F4610" s="12" t="s">
        <v>1868</v>
      </c>
      <c r="G4610" s="12" t="s">
        <v>29</v>
      </c>
      <c r="H4610" s="11" t="s">
        <v>22</v>
      </c>
      <c r="I4610" s="13" t="s">
        <v>10121</v>
      </c>
      <c r="J4610" s="14" t="str">
        <f>HYPERLINK("https://www.boe.es/gazeta/dias/1839/01/30/pdfs/GMD-1839-1537.pdf#page=1","Abrir facsímil")</f>
        <v>Abrir facsímil</v>
      </c>
      <c r="K4610" s="12" t="s">
        <v>24</v>
      </c>
    </row>
    <row r="4611" spans="1:11" ht="40.049999999999997" customHeight="1" x14ac:dyDescent="0.25">
      <c r="A4611" s="11" t="s">
        <v>10109</v>
      </c>
      <c r="B4611" s="11" t="s">
        <v>10110</v>
      </c>
      <c r="C4611" s="11" t="s">
        <v>137</v>
      </c>
      <c r="D4611" s="11" t="s">
        <v>18</v>
      </c>
      <c r="E4611" s="12" t="s">
        <v>1692</v>
      </c>
      <c r="F4611" s="12" t="s">
        <v>1693</v>
      </c>
      <c r="G4611" s="12" t="s">
        <v>46</v>
      </c>
      <c r="H4611" s="11" t="s">
        <v>63</v>
      </c>
      <c r="I4611" s="13" t="s">
        <v>10122</v>
      </c>
      <c r="J4611" s="14" t="str">
        <f>HYPERLINK("https://www.boe.es/gazeta/dias/1839/05/30/pdfs/GMD-1839-1657.pdf#page=3","Abrir facsímil")</f>
        <v>Abrir facsímil</v>
      </c>
      <c r="K4611" s="12" t="s">
        <v>65</v>
      </c>
    </row>
    <row r="4612" spans="1:11" ht="40.049999999999997" customHeight="1" x14ac:dyDescent="0.25">
      <c r="A4612" s="11" t="s">
        <v>10123</v>
      </c>
      <c r="B4612" s="11" t="s">
        <v>10124</v>
      </c>
      <c r="C4612" s="11" t="s">
        <v>17</v>
      </c>
      <c r="D4612" s="11" t="s">
        <v>18</v>
      </c>
      <c r="E4612" s="12" t="s">
        <v>185</v>
      </c>
      <c r="F4612" s="12" t="s">
        <v>186</v>
      </c>
      <c r="G4612" s="12" t="s">
        <v>21</v>
      </c>
      <c r="H4612" s="11" t="s">
        <v>63</v>
      </c>
      <c r="I4612" s="13" t="s">
        <v>10125</v>
      </c>
      <c r="J4612" s="14" t="str">
        <f>HYPERLINK("https://www.boe.es/gazeta/dias/1839/01/15/pdfs/GMD-1839-1522.pdf#page=4","Abrir facsímil")</f>
        <v>Abrir facsímil</v>
      </c>
      <c r="K4612" s="12" t="s">
        <v>65</v>
      </c>
    </row>
    <row r="4613" spans="1:11" ht="40.049999999999997" customHeight="1" x14ac:dyDescent="0.25">
      <c r="A4613" s="11" t="s">
        <v>10126</v>
      </c>
      <c r="B4613" s="11" t="s">
        <v>10127</v>
      </c>
      <c r="C4613" s="11" t="s">
        <v>137</v>
      </c>
      <c r="D4613" s="11" t="s">
        <v>18</v>
      </c>
      <c r="E4613" s="12" t="s">
        <v>510</v>
      </c>
      <c r="F4613" s="12" t="s">
        <v>511</v>
      </c>
      <c r="G4613" s="12" t="s">
        <v>21</v>
      </c>
      <c r="H4613" s="11" t="s">
        <v>22</v>
      </c>
      <c r="I4613" s="13" t="s">
        <v>10128</v>
      </c>
      <c r="J4613" s="14" t="str">
        <f>HYPERLINK("https://www.boe.es/gazeta/dias/1839/05/13/pdfs/GMD-1839-1640.pdf#page=4","Abrir facsímil")</f>
        <v>Abrir facsímil</v>
      </c>
      <c r="K4613" s="12" t="s">
        <v>24</v>
      </c>
    </row>
    <row r="4614" spans="1:11" ht="40.049999999999997" customHeight="1" x14ac:dyDescent="0.25">
      <c r="A4614" s="11" t="s">
        <v>10126</v>
      </c>
      <c r="B4614" s="11" t="s">
        <v>10127</v>
      </c>
      <c r="C4614" s="11" t="s">
        <v>17</v>
      </c>
      <c r="D4614" s="11" t="s">
        <v>18</v>
      </c>
      <c r="E4614" s="12" t="s">
        <v>621</v>
      </c>
      <c r="F4614" s="12" t="s">
        <v>622</v>
      </c>
      <c r="G4614" s="12" t="s">
        <v>21</v>
      </c>
      <c r="H4614" s="11" t="s">
        <v>22</v>
      </c>
      <c r="I4614" s="13" t="s">
        <v>10129</v>
      </c>
      <c r="J4614" s="14" t="str">
        <f>HYPERLINK("https://www.boe.es/gazeta/dias/1839/04/14/pdfs/GMD-1839-1611.pdf#page=4","Abrir facsímil")</f>
        <v>Abrir facsímil</v>
      </c>
      <c r="K4614" s="12" t="s">
        <v>24</v>
      </c>
    </row>
    <row r="4615" spans="1:11" ht="40.049999999999997" customHeight="1" x14ac:dyDescent="0.25">
      <c r="A4615" s="11" t="s">
        <v>10126</v>
      </c>
      <c r="B4615" s="11" t="s">
        <v>10127</v>
      </c>
      <c r="C4615" s="11" t="s">
        <v>80</v>
      </c>
      <c r="D4615" s="11" t="s">
        <v>173</v>
      </c>
      <c r="E4615" s="12" t="s">
        <v>89</v>
      </c>
      <c r="F4615" s="12" t="s">
        <v>90</v>
      </c>
      <c r="G4615" s="12" t="s">
        <v>21</v>
      </c>
      <c r="H4615" s="11" t="s">
        <v>22</v>
      </c>
      <c r="I4615" s="13" t="s">
        <v>10130</v>
      </c>
      <c r="J4615" s="14" t="str">
        <f>HYPERLINK("https://www.boe.es/gazeta/dias/1839/11/28/pdfs/GMD-1839-1845.pdf#page=4","Abrir facsímil")</f>
        <v>Abrir facsímil</v>
      </c>
      <c r="K4615" s="12" t="s">
        <v>24</v>
      </c>
    </row>
    <row r="4616" spans="1:11" ht="40.049999999999997" customHeight="1" x14ac:dyDescent="0.25">
      <c r="A4616" s="11" t="s">
        <v>10131</v>
      </c>
      <c r="B4616" s="11" t="s">
        <v>10132</v>
      </c>
      <c r="C4616" s="11" t="s">
        <v>137</v>
      </c>
      <c r="D4616" s="11" t="s">
        <v>18</v>
      </c>
      <c r="E4616" s="12" t="s">
        <v>168</v>
      </c>
      <c r="F4616" s="12" t="s">
        <v>169</v>
      </c>
      <c r="G4616" s="12" t="s">
        <v>21</v>
      </c>
      <c r="H4616" s="11" t="s">
        <v>22</v>
      </c>
      <c r="I4616" s="13" t="s">
        <v>10133</v>
      </c>
      <c r="J4616" s="14" t="str">
        <f>HYPERLINK("https://www.boe.es/gazeta/dias/1839/07/12/pdfs/GMD-1839-1700.pdf#page=4","Abrir facsímil")</f>
        <v>Abrir facsímil</v>
      </c>
      <c r="K4616" s="12" t="s">
        <v>24</v>
      </c>
    </row>
    <row r="4617" spans="1:11" ht="40.049999999999997" customHeight="1" x14ac:dyDescent="0.25">
      <c r="A4617" s="11" t="s">
        <v>10134</v>
      </c>
      <c r="B4617" s="11" t="s">
        <v>10135</v>
      </c>
      <c r="C4617" s="11" t="s">
        <v>17</v>
      </c>
      <c r="D4617" s="11" t="s">
        <v>18</v>
      </c>
      <c r="E4617" s="12" t="s">
        <v>272</v>
      </c>
      <c r="F4617" s="12" t="s">
        <v>273</v>
      </c>
      <c r="G4617" s="12" t="s">
        <v>46</v>
      </c>
      <c r="H4617" s="11" t="s">
        <v>63</v>
      </c>
      <c r="I4617" s="13" t="s">
        <v>10136</v>
      </c>
      <c r="J4617" s="14" t="str">
        <f>HYPERLINK("https://www.boe.es/gazeta/dias/1839/02/12/pdfs/GMD-1839-1550.pdf#page=3","Abrir facsímil")</f>
        <v>Abrir facsímil</v>
      </c>
      <c r="K4617" s="12" t="s">
        <v>65</v>
      </c>
    </row>
    <row r="4618" spans="1:11" ht="40.049999999999997" customHeight="1" x14ac:dyDescent="0.25">
      <c r="A4618" s="11" t="s">
        <v>10137</v>
      </c>
      <c r="B4618" s="11" t="s">
        <v>10138</v>
      </c>
      <c r="C4618" s="11" t="s">
        <v>17</v>
      </c>
      <c r="D4618" s="11" t="s">
        <v>18</v>
      </c>
      <c r="E4618" s="12" t="s">
        <v>1310</v>
      </c>
      <c r="F4618" s="12" t="s">
        <v>1311</v>
      </c>
      <c r="G4618" s="12" t="s">
        <v>40</v>
      </c>
      <c r="H4618" s="11" t="s">
        <v>63</v>
      </c>
      <c r="I4618" s="13" t="s">
        <v>10139</v>
      </c>
      <c r="J4618" s="14" t="str">
        <f>HYPERLINK("https://www.boe.es/gazeta/dias/1839/04/23/pdfs/GMD-1839-1620.pdf#page=2","Abrir facsímil")</f>
        <v>Abrir facsímil</v>
      </c>
      <c r="K4618" s="12" t="s">
        <v>65</v>
      </c>
    </row>
    <row r="4619" spans="1:11" ht="40.049999999999997" customHeight="1" x14ac:dyDescent="0.25">
      <c r="A4619" s="11" t="s">
        <v>10140</v>
      </c>
      <c r="B4619" s="11" t="s">
        <v>10141</v>
      </c>
      <c r="C4619" s="11" t="s">
        <v>17</v>
      </c>
      <c r="D4619" s="11" t="s">
        <v>18</v>
      </c>
      <c r="E4619" s="12" t="s">
        <v>2069</v>
      </c>
      <c r="F4619" s="12" t="s">
        <v>2070</v>
      </c>
      <c r="G4619" s="12" t="s">
        <v>566</v>
      </c>
      <c r="H4619" s="11" t="s">
        <v>22</v>
      </c>
      <c r="I4619" s="13" t="s">
        <v>10142</v>
      </c>
      <c r="J4619" s="14" t="str">
        <f>HYPERLINK("https://www.boe.es/gazeta/dias/1839/10/20/pdfs/GMD-1839-1806.pdf#page=5","Abrir facsímil")</f>
        <v>Abrir facsímil</v>
      </c>
      <c r="K4619" s="12" t="s">
        <v>24</v>
      </c>
    </row>
    <row r="4620" spans="1:11" ht="40.049999999999997" customHeight="1" x14ac:dyDescent="0.25">
      <c r="A4620" s="11" t="s">
        <v>10140</v>
      </c>
      <c r="B4620" s="11" t="s">
        <v>10141</v>
      </c>
      <c r="C4620" s="11" t="s">
        <v>101</v>
      </c>
      <c r="D4620" s="11" t="s">
        <v>43</v>
      </c>
      <c r="E4620" s="12" t="s">
        <v>568</v>
      </c>
      <c r="F4620" s="12" t="s">
        <v>569</v>
      </c>
      <c r="G4620" s="12" t="s">
        <v>21</v>
      </c>
      <c r="H4620" s="11" t="s">
        <v>22</v>
      </c>
      <c r="I4620" s="13" t="s">
        <v>10143</v>
      </c>
      <c r="J4620" s="14" t="str">
        <f>HYPERLINK("https://www.boe.es/gazeta/dias/1839/10/23/pdfs/GMD-1839-1809.pdf#page=4","Abrir facsímil")</f>
        <v>Abrir facsímil</v>
      </c>
      <c r="K4620" s="12" t="s">
        <v>24</v>
      </c>
    </row>
    <row r="4621" spans="1:11" ht="40.049999999999997" customHeight="1" x14ac:dyDescent="0.25">
      <c r="A4621" s="11" t="s">
        <v>10144</v>
      </c>
      <c r="B4621" s="11" t="s">
        <v>10145</v>
      </c>
      <c r="C4621" s="11" t="s">
        <v>17</v>
      </c>
      <c r="D4621" s="11" t="s">
        <v>18</v>
      </c>
      <c r="E4621" s="12" t="s">
        <v>212</v>
      </c>
      <c r="F4621" s="12" t="s">
        <v>213</v>
      </c>
      <c r="G4621" s="12" t="s">
        <v>46</v>
      </c>
      <c r="H4621" s="11" t="s">
        <v>63</v>
      </c>
      <c r="I4621" s="13" t="s">
        <v>10146</v>
      </c>
      <c r="J4621" s="14" t="str">
        <f>HYPERLINK("https://www.boe.es/gazeta/dias/1839/10/03/pdfs/GMD-1839-1789.pdf#page=3","Abrir facsímil")</f>
        <v>Abrir facsímil</v>
      </c>
      <c r="K4621" s="12" t="s">
        <v>65</v>
      </c>
    </row>
    <row r="4622" spans="1:11" ht="40.049999999999997" customHeight="1" x14ac:dyDescent="0.25">
      <c r="A4622" s="11" t="s">
        <v>10144</v>
      </c>
      <c r="B4622" s="11" t="s">
        <v>10145</v>
      </c>
      <c r="C4622" s="11" t="s">
        <v>137</v>
      </c>
      <c r="D4622" s="11" t="s">
        <v>18</v>
      </c>
      <c r="E4622" s="12" t="s">
        <v>647</v>
      </c>
      <c r="F4622" s="12" t="s">
        <v>648</v>
      </c>
      <c r="G4622" s="12" t="s">
        <v>21</v>
      </c>
      <c r="H4622" s="11" t="s">
        <v>63</v>
      </c>
      <c r="I4622" s="13" t="s">
        <v>10147</v>
      </c>
      <c r="J4622" s="14" t="str">
        <f>HYPERLINK("https://www.boe.es/gazeta/dias/1839/10/08/pdfs/GMD-1839-1794.pdf#page=4","Abrir facsímil")</f>
        <v>Abrir facsímil</v>
      </c>
      <c r="K4622" s="12" t="s">
        <v>65</v>
      </c>
    </row>
    <row r="4623" spans="1:11" ht="40.049999999999997" customHeight="1" x14ac:dyDescent="0.25">
      <c r="A4623" s="11" t="s">
        <v>10144</v>
      </c>
      <c r="B4623" s="11" t="s">
        <v>10145</v>
      </c>
      <c r="C4623" s="11" t="s">
        <v>59</v>
      </c>
      <c r="D4623" s="11" t="s">
        <v>60</v>
      </c>
      <c r="E4623" s="12" t="s">
        <v>1682</v>
      </c>
      <c r="F4623" s="12" t="s">
        <v>1683</v>
      </c>
      <c r="G4623" s="12" t="s">
        <v>40</v>
      </c>
      <c r="H4623" s="11" t="s">
        <v>63</v>
      </c>
      <c r="I4623" s="13" t="s">
        <v>10148</v>
      </c>
      <c r="J4623" s="14" t="str">
        <f>HYPERLINK("https://www.boe.es/gazeta/dias/1839/12/26/pdfs/GMD-1839-1873.pdf#page=2","Abrir facsímil")</f>
        <v>Abrir facsímil</v>
      </c>
      <c r="K4623" s="12" t="s">
        <v>65</v>
      </c>
    </row>
    <row r="4624" spans="1:11" ht="40.049999999999997" customHeight="1" x14ac:dyDescent="0.25">
      <c r="A4624" s="11" t="s">
        <v>10149</v>
      </c>
      <c r="B4624" s="11" t="s">
        <v>10150</v>
      </c>
      <c r="C4624" s="11" t="s">
        <v>59</v>
      </c>
      <c r="D4624" s="11" t="s">
        <v>60</v>
      </c>
      <c r="E4624" s="12" t="s">
        <v>1614</v>
      </c>
      <c r="F4624" s="12" t="s">
        <v>1615</v>
      </c>
      <c r="G4624" s="12" t="s">
        <v>29</v>
      </c>
      <c r="H4624" s="11" t="s">
        <v>63</v>
      </c>
      <c r="I4624" s="13" t="s">
        <v>10151</v>
      </c>
      <c r="J4624" s="14" t="str">
        <f>HYPERLINK("https://www.boe.es/gazeta/dias/1839/07/03/pdfs/GMD-1839-1691.pdf#page=1","Abrir facsímil")</f>
        <v>Abrir facsímil</v>
      </c>
      <c r="K4624" s="12" t="s">
        <v>65</v>
      </c>
    </row>
    <row r="4625" spans="1:11" ht="40.049999999999997" customHeight="1" x14ac:dyDescent="0.25">
      <c r="A4625" s="11" t="s">
        <v>10152</v>
      </c>
      <c r="B4625" s="11" t="s">
        <v>10153</v>
      </c>
      <c r="C4625" s="11" t="s">
        <v>59</v>
      </c>
      <c r="D4625" s="11" t="s">
        <v>60</v>
      </c>
      <c r="E4625" s="12" t="s">
        <v>372</v>
      </c>
      <c r="F4625" s="12" t="s">
        <v>373</v>
      </c>
      <c r="G4625" s="12" t="s">
        <v>21</v>
      </c>
      <c r="H4625" s="11" t="s">
        <v>63</v>
      </c>
      <c r="I4625" s="13" t="s">
        <v>10154</v>
      </c>
      <c r="J4625" s="14" t="str">
        <f>HYPERLINK("https://www.boe.es/gazeta/dias/1839/11/08/pdfs/GMD-1839-1825.pdf#page=4","Abrir facsímil")</f>
        <v>Abrir facsímil</v>
      </c>
      <c r="K4625" s="12" t="s">
        <v>65</v>
      </c>
    </row>
    <row r="4626" spans="1:11" ht="40.049999999999997" customHeight="1" x14ac:dyDescent="0.25">
      <c r="A4626" s="11" t="s">
        <v>10155</v>
      </c>
      <c r="B4626" s="11" t="s">
        <v>10156</v>
      </c>
      <c r="C4626" s="11" t="s">
        <v>17</v>
      </c>
      <c r="D4626" s="11" t="s">
        <v>18</v>
      </c>
      <c r="E4626" s="12" t="s">
        <v>284</v>
      </c>
      <c r="F4626" s="12" t="s">
        <v>285</v>
      </c>
      <c r="G4626" s="12" t="s">
        <v>21</v>
      </c>
      <c r="H4626" s="11" t="s">
        <v>63</v>
      </c>
      <c r="I4626" s="13" t="s">
        <v>10157</v>
      </c>
      <c r="J4626" s="14" t="str">
        <f>HYPERLINK("https://www.boe.es/gazeta/dias/1839/01/27/pdfs/GMD-1839-1534.pdf#page=4","Abrir facsímil")</f>
        <v>Abrir facsímil</v>
      </c>
      <c r="K4626" s="12" t="s">
        <v>65</v>
      </c>
    </row>
    <row r="4627" spans="1:11" ht="40.049999999999997" customHeight="1" x14ac:dyDescent="0.25">
      <c r="A4627" s="11" t="s">
        <v>10158</v>
      </c>
      <c r="B4627" s="11" t="s">
        <v>10159</v>
      </c>
      <c r="C4627" s="11" t="s">
        <v>80</v>
      </c>
      <c r="D4627" s="11" t="s">
        <v>18</v>
      </c>
      <c r="E4627" s="12" t="s">
        <v>695</v>
      </c>
      <c r="F4627" s="12" t="s">
        <v>696</v>
      </c>
      <c r="G4627" s="12" t="s">
        <v>46</v>
      </c>
      <c r="H4627" s="11" t="s">
        <v>63</v>
      </c>
      <c r="I4627" s="13" t="s">
        <v>10160</v>
      </c>
      <c r="J4627" s="14" t="str">
        <f>HYPERLINK("https://www.boe.es/gazeta/dias/1839/12/19/pdfs/GMD-1839-1866.pdf#page=3","Abrir facsímil")</f>
        <v>Abrir facsímil</v>
      </c>
      <c r="K4627" s="12" t="s">
        <v>65</v>
      </c>
    </row>
    <row r="4628" spans="1:11" ht="40.049999999999997" customHeight="1" x14ac:dyDescent="0.25">
      <c r="A4628" s="11" t="s">
        <v>10161</v>
      </c>
      <c r="B4628" s="11" t="s">
        <v>10162</v>
      </c>
      <c r="C4628" s="11" t="s">
        <v>137</v>
      </c>
      <c r="D4628" s="11" t="s">
        <v>18</v>
      </c>
      <c r="E4628" s="12" t="s">
        <v>2069</v>
      </c>
      <c r="F4628" s="12" t="s">
        <v>2070</v>
      </c>
      <c r="G4628" s="12" t="s">
        <v>305</v>
      </c>
      <c r="H4628" s="11" t="s">
        <v>63</v>
      </c>
      <c r="I4628" s="13" t="s">
        <v>10163</v>
      </c>
      <c r="J4628" s="14" t="str">
        <f>HYPERLINK("https://www.boe.es/gazeta/dias/1839/10/20/pdfs/GMD-1839-1806.pdf#page=6","Abrir facsímil")</f>
        <v>Abrir facsímil</v>
      </c>
      <c r="K4628" s="12" t="s">
        <v>65</v>
      </c>
    </row>
    <row r="4629" spans="1:11" ht="40.049999999999997" customHeight="1" x14ac:dyDescent="0.25">
      <c r="A4629" s="11" t="s">
        <v>10164</v>
      </c>
      <c r="B4629" s="11" t="s">
        <v>10165</v>
      </c>
      <c r="C4629" s="11" t="s">
        <v>17</v>
      </c>
      <c r="D4629" s="11" t="s">
        <v>18</v>
      </c>
      <c r="E4629" s="12" t="s">
        <v>1929</v>
      </c>
      <c r="F4629" s="12" t="s">
        <v>1930</v>
      </c>
      <c r="G4629" s="12" t="s">
        <v>46</v>
      </c>
      <c r="H4629" s="11" t="s">
        <v>63</v>
      </c>
      <c r="I4629" s="13" t="s">
        <v>10166</v>
      </c>
      <c r="J4629" s="14" t="str">
        <f>HYPERLINK("https://www.boe.es/gazeta/dias/1839/02/01/pdfs/GMD-1839-1539.pdf#page=3","Abrir facsímil")</f>
        <v>Abrir facsímil</v>
      </c>
      <c r="K4629" s="12" t="s">
        <v>65</v>
      </c>
    </row>
    <row r="4630" spans="1:11" ht="40.049999999999997" customHeight="1" x14ac:dyDescent="0.25">
      <c r="A4630" s="11" t="s">
        <v>10164</v>
      </c>
      <c r="B4630" s="11" t="s">
        <v>10165</v>
      </c>
      <c r="C4630" s="11" t="s">
        <v>17</v>
      </c>
      <c r="D4630" s="11" t="s">
        <v>18</v>
      </c>
      <c r="E4630" s="12" t="s">
        <v>1813</v>
      </c>
      <c r="F4630" s="12" t="s">
        <v>1814</v>
      </c>
      <c r="G4630" s="12" t="s">
        <v>21</v>
      </c>
      <c r="H4630" s="11" t="s">
        <v>63</v>
      </c>
      <c r="I4630" s="13" t="s">
        <v>10167</v>
      </c>
      <c r="J4630" s="14" t="str">
        <f>HYPERLINK("https://www.boe.es/gazeta/dias/1839/09/02/pdfs/GMD-1839-1754.pdf#page=4","Abrir facsímil")</f>
        <v>Abrir facsímil</v>
      </c>
      <c r="K4630" s="12" t="s">
        <v>65</v>
      </c>
    </row>
    <row r="4631" spans="1:11" ht="40.049999999999997" customHeight="1" x14ac:dyDescent="0.25">
      <c r="A4631" s="11" t="s">
        <v>10164</v>
      </c>
      <c r="B4631" s="11" t="s">
        <v>10165</v>
      </c>
      <c r="C4631" s="11" t="s">
        <v>17</v>
      </c>
      <c r="D4631" s="11" t="s">
        <v>18</v>
      </c>
      <c r="E4631" s="12" t="s">
        <v>266</v>
      </c>
      <c r="F4631" s="12" t="s">
        <v>267</v>
      </c>
      <c r="G4631" s="12" t="s">
        <v>21</v>
      </c>
      <c r="H4631" s="11" t="s">
        <v>63</v>
      </c>
      <c r="I4631" s="13" t="s">
        <v>10168</v>
      </c>
      <c r="J4631" s="14" t="str">
        <f>HYPERLINK("https://www.boe.es/gazeta/dias/1839/01/03/pdfs/GMD-1839-1510.pdf#page=4","Abrir facsímil")</f>
        <v>Abrir facsímil</v>
      </c>
      <c r="K4631" s="12" t="s">
        <v>65</v>
      </c>
    </row>
    <row r="4632" spans="1:11" ht="40.049999999999997" customHeight="1" x14ac:dyDescent="0.25">
      <c r="A4632" s="11" t="s">
        <v>10164</v>
      </c>
      <c r="B4632" s="11" t="s">
        <v>10165</v>
      </c>
      <c r="C4632" s="11" t="s">
        <v>17</v>
      </c>
      <c r="D4632" s="11" t="s">
        <v>18</v>
      </c>
      <c r="E4632" s="12" t="s">
        <v>798</v>
      </c>
      <c r="F4632" s="12" t="s">
        <v>799</v>
      </c>
      <c r="G4632" s="12" t="s">
        <v>40</v>
      </c>
      <c r="H4632" s="11" t="s">
        <v>63</v>
      </c>
      <c r="I4632" s="13" t="s">
        <v>10169</v>
      </c>
      <c r="J4632" s="14" t="str">
        <f>HYPERLINK("https://www.boe.es/gazeta/dias/1839/09/03/pdfs/GMD-1839-1755.pdf#page=2","Abrir facsímil")</f>
        <v>Abrir facsímil</v>
      </c>
      <c r="K4632" s="12" t="s">
        <v>65</v>
      </c>
    </row>
    <row r="4633" spans="1:11" ht="40.049999999999997" customHeight="1" x14ac:dyDescent="0.25">
      <c r="A4633" s="11" t="s">
        <v>10164</v>
      </c>
      <c r="B4633" s="11" t="s">
        <v>10165</v>
      </c>
      <c r="C4633" s="11" t="s">
        <v>17</v>
      </c>
      <c r="D4633" s="11" t="s">
        <v>18</v>
      </c>
      <c r="E4633" s="12" t="s">
        <v>108</v>
      </c>
      <c r="F4633" s="12" t="s">
        <v>109</v>
      </c>
      <c r="G4633" s="12" t="s">
        <v>40</v>
      </c>
      <c r="H4633" s="11" t="s">
        <v>63</v>
      </c>
      <c r="I4633" s="13" t="s">
        <v>10170</v>
      </c>
      <c r="J4633" s="14" t="str">
        <f>HYPERLINK("https://www.boe.es/gazeta/dias/1839/01/04/pdfs/GMD-1839-1511.pdf#page=2","Abrir facsímil")</f>
        <v>Abrir facsímil</v>
      </c>
      <c r="K4633" s="12" t="s">
        <v>65</v>
      </c>
    </row>
    <row r="4634" spans="1:11" ht="40.049999999999997" customHeight="1" x14ac:dyDescent="0.25">
      <c r="A4634" s="11" t="s">
        <v>10164</v>
      </c>
      <c r="B4634" s="11" t="s">
        <v>10165</v>
      </c>
      <c r="C4634" s="11" t="s">
        <v>17</v>
      </c>
      <c r="D4634" s="11" t="s">
        <v>18</v>
      </c>
      <c r="E4634" s="12" t="s">
        <v>324</v>
      </c>
      <c r="F4634" s="12" t="s">
        <v>325</v>
      </c>
      <c r="G4634" s="12" t="s">
        <v>46</v>
      </c>
      <c r="H4634" s="11" t="s">
        <v>63</v>
      </c>
      <c r="I4634" s="13" t="s">
        <v>10171</v>
      </c>
      <c r="J4634" s="14" t="str">
        <f>HYPERLINK("https://www.boe.es/gazeta/dias/1839/02/04/pdfs/GMD-1839-1542.pdf#page=3","Abrir facsímil")</f>
        <v>Abrir facsímil</v>
      </c>
      <c r="K4634" s="12" t="s">
        <v>65</v>
      </c>
    </row>
    <row r="4635" spans="1:11" ht="40.049999999999997" customHeight="1" x14ac:dyDescent="0.25">
      <c r="A4635" s="11" t="s">
        <v>10164</v>
      </c>
      <c r="B4635" s="11" t="s">
        <v>10165</v>
      </c>
      <c r="C4635" s="11" t="s">
        <v>59</v>
      </c>
      <c r="D4635" s="11" t="s">
        <v>60</v>
      </c>
      <c r="E4635" s="12" t="s">
        <v>291</v>
      </c>
      <c r="F4635" s="12" t="s">
        <v>292</v>
      </c>
      <c r="G4635" s="12" t="s">
        <v>29</v>
      </c>
      <c r="H4635" s="11" t="s">
        <v>63</v>
      </c>
      <c r="I4635" s="13" t="s">
        <v>10172</v>
      </c>
      <c r="J4635" s="14" t="str">
        <f>HYPERLINK("https://www.boe.es/gazeta/dias/1839/09/04/pdfs/GMD-1839-1757.pdf#page=1","Abrir facsímil")</f>
        <v>Abrir facsímil</v>
      </c>
      <c r="K4635" s="12" t="s">
        <v>65</v>
      </c>
    </row>
    <row r="4636" spans="1:11" ht="40.049999999999997" customHeight="1" x14ac:dyDescent="0.25">
      <c r="A4636" s="11" t="s">
        <v>10164</v>
      </c>
      <c r="B4636" s="11" t="s">
        <v>10165</v>
      </c>
      <c r="C4636" s="11" t="s">
        <v>80</v>
      </c>
      <c r="D4636" s="11" t="s">
        <v>18</v>
      </c>
      <c r="E4636" s="12" t="s">
        <v>4957</v>
      </c>
      <c r="F4636" s="12" t="s">
        <v>4958</v>
      </c>
      <c r="G4636" s="12" t="s">
        <v>40</v>
      </c>
      <c r="H4636" s="11" t="s">
        <v>63</v>
      </c>
      <c r="I4636" s="13" t="s">
        <v>10173</v>
      </c>
      <c r="J4636" s="14" t="str">
        <f>HYPERLINK("https://www.boe.es/gazeta/dias/1839/11/04/pdfs/GMD-1839-1821.pdf#page=2","Abrir facsímil")</f>
        <v>Abrir facsímil</v>
      </c>
      <c r="K4636" s="12" t="s">
        <v>65</v>
      </c>
    </row>
    <row r="4637" spans="1:11" ht="40.049999999999997" customHeight="1" x14ac:dyDescent="0.25">
      <c r="A4637" s="11" t="s">
        <v>10164</v>
      </c>
      <c r="B4637" s="11" t="s">
        <v>10165</v>
      </c>
      <c r="C4637" s="11" t="s">
        <v>59</v>
      </c>
      <c r="D4637" s="11" t="s">
        <v>60</v>
      </c>
      <c r="E4637" s="12" t="s">
        <v>2227</v>
      </c>
      <c r="F4637" s="12" t="s">
        <v>2228</v>
      </c>
      <c r="G4637" s="12" t="s">
        <v>29</v>
      </c>
      <c r="H4637" s="11" t="s">
        <v>63</v>
      </c>
      <c r="I4637" s="13" t="s">
        <v>10174</v>
      </c>
      <c r="J4637" s="14" t="str">
        <f>HYPERLINK("https://www.boe.es/gazeta/dias/1839/12/04/pdfs/GMD-1839-1851.pdf#page=1","Abrir facsímil")</f>
        <v>Abrir facsímil</v>
      </c>
      <c r="K4637" s="12" t="s">
        <v>65</v>
      </c>
    </row>
    <row r="4638" spans="1:11" ht="40.049999999999997" customHeight="1" x14ac:dyDescent="0.25">
      <c r="A4638" s="11" t="s">
        <v>10164</v>
      </c>
      <c r="B4638" s="11" t="s">
        <v>10165</v>
      </c>
      <c r="C4638" s="11" t="s">
        <v>17</v>
      </c>
      <c r="D4638" s="11" t="s">
        <v>18</v>
      </c>
      <c r="E4638" s="12" t="s">
        <v>49</v>
      </c>
      <c r="F4638" s="12" t="s">
        <v>50</v>
      </c>
      <c r="G4638" s="12" t="s">
        <v>21</v>
      </c>
      <c r="H4638" s="11" t="s">
        <v>63</v>
      </c>
      <c r="I4638" s="13" t="s">
        <v>10175</v>
      </c>
      <c r="J4638" s="14" t="str">
        <f>HYPERLINK("https://www.boe.es/gazeta/dias/1839/01/05/pdfs/GMD-1839-1512.pdf#page=4","Abrir facsímil")</f>
        <v>Abrir facsímil</v>
      </c>
      <c r="K4638" s="12" t="s">
        <v>65</v>
      </c>
    </row>
    <row r="4639" spans="1:11" ht="40.049999999999997" customHeight="1" x14ac:dyDescent="0.25">
      <c r="A4639" s="11" t="s">
        <v>10164</v>
      </c>
      <c r="B4639" s="11" t="s">
        <v>10165</v>
      </c>
      <c r="C4639" s="11" t="s">
        <v>17</v>
      </c>
      <c r="D4639" s="11" t="s">
        <v>18</v>
      </c>
      <c r="E4639" s="12" t="s">
        <v>751</v>
      </c>
      <c r="F4639" s="12" t="s">
        <v>752</v>
      </c>
      <c r="G4639" s="12" t="s">
        <v>46</v>
      </c>
      <c r="H4639" s="11" t="s">
        <v>63</v>
      </c>
      <c r="I4639" s="13" t="s">
        <v>10176</v>
      </c>
      <c r="J4639" s="14" t="str">
        <f>HYPERLINK("https://www.boe.es/gazeta/dias/1839/02/05/pdfs/GMD-1839-1543.pdf#page=3","Abrir facsímil")</f>
        <v>Abrir facsímil</v>
      </c>
      <c r="K4639" s="12" t="s">
        <v>65</v>
      </c>
    </row>
    <row r="4640" spans="1:11" ht="40.049999999999997" customHeight="1" x14ac:dyDescent="0.25">
      <c r="A4640" s="11" t="s">
        <v>10164</v>
      </c>
      <c r="B4640" s="11" t="s">
        <v>10165</v>
      </c>
      <c r="C4640" s="11" t="s">
        <v>17</v>
      </c>
      <c r="D4640" s="11" t="s">
        <v>18</v>
      </c>
      <c r="E4640" s="12" t="s">
        <v>327</v>
      </c>
      <c r="F4640" s="12" t="s">
        <v>328</v>
      </c>
      <c r="G4640" s="12" t="s">
        <v>29</v>
      </c>
      <c r="H4640" s="11" t="s">
        <v>63</v>
      </c>
      <c r="I4640" s="13" t="s">
        <v>10177</v>
      </c>
      <c r="J4640" s="14" t="str">
        <f>HYPERLINK("https://www.boe.es/gazeta/dias/1839/08/05/pdfs/GMD-1839-1725.pdf#page=1","Abrir facsímil")</f>
        <v>Abrir facsímil</v>
      </c>
      <c r="K4640" s="12" t="s">
        <v>65</v>
      </c>
    </row>
    <row r="4641" spans="1:11" ht="40.049999999999997" customHeight="1" x14ac:dyDescent="0.25">
      <c r="A4641" s="11" t="s">
        <v>10164</v>
      </c>
      <c r="B4641" s="11" t="s">
        <v>10165</v>
      </c>
      <c r="C4641" s="11" t="s">
        <v>17</v>
      </c>
      <c r="D4641" s="11" t="s">
        <v>18</v>
      </c>
      <c r="E4641" s="12" t="s">
        <v>2165</v>
      </c>
      <c r="F4641" s="12" t="s">
        <v>2166</v>
      </c>
      <c r="G4641" s="12" t="s">
        <v>46</v>
      </c>
      <c r="H4641" s="11" t="s">
        <v>63</v>
      </c>
      <c r="I4641" s="13" t="s">
        <v>10178</v>
      </c>
      <c r="J4641" s="14" t="str">
        <f>HYPERLINK("https://www.boe.es/gazeta/dias/1839/01/06/pdfs/GMD-1839-1513.pdf#page=3","Abrir facsímil")</f>
        <v>Abrir facsímil</v>
      </c>
      <c r="K4641" s="12" t="s">
        <v>65</v>
      </c>
    </row>
    <row r="4642" spans="1:11" ht="40.049999999999997" customHeight="1" x14ac:dyDescent="0.25">
      <c r="A4642" s="11" t="s">
        <v>10164</v>
      </c>
      <c r="B4642" s="11" t="s">
        <v>10165</v>
      </c>
      <c r="C4642" s="11" t="s">
        <v>80</v>
      </c>
      <c r="D4642" s="11" t="s">
        <v>18</v>
      </c>
      <c r="E4642" s="12" t="s">
        <v>2165</v>
      </c>
      <c r="F4642" s="12" t="s">
        <v>2166</v>
      </c>
      <c r="G4642" s="12" t="s">
        <v>21</v>
      </c>
      <c r="H4642" s="11" t="s">
        <v>63</v>
      </c>
      <c r="I4642" s="13" t="s">
        <v>10179</v>
      </c>
      <c r="J4642" s="14" t="str">
        <f>HYPERLINK("https://www.boe.es/gazeta/dias/1839/01/06/pdfs/GMD-1839-1513.pdf#page=4","Abrir facsímil")</f>
        <v>Abrir facsímil</v>
      </c>
      <c r="K4642" s="12" t="s">
        <v>65</v>
      </c>
    </row>
    <row r="4643" spans="1:11" ht="40.049999999999997" customHeight="1" x14ac:dyDescent="0.25">
      <c r="A4643" s="11" t="s">
        <v>10164</v>
      </c>
      <c r="B4643" s="11" t="s">
        <v>10165</v>
      </c>
      <c r="C4643" s="11" t="s">
        <v>101</v>
      </c>
      <c r="D4643" s="11" t="s">
        <v>43</v>
      </c>
      <c r="E4643" s="12" t="s">
        <v>2738</v>
      </c>
      <c r="F4643" s="12" t="s">
        <v>2739</v>
      </c>
      <c r="G4643" s="12" t="s">
        <v>40</v>
      </c>
      <c r="H4643" s="11" t="s">
        <v>63</v>
      </c>
      <c r="I4643" s="13" t="s">
        <v>10180</v>
      </c>
      <c r="J4643" s="14" t="str">
        <f>HYPERLINK("https://www.boe.es/gazeta/dias/1839/09/06/pdfs/GMD-1839-1759.pdf#page=2","Abrir facsímil")</f>
        <v>Abrir facsímil</v>
      </c>
      <c r="K4643" s="12" t="s">
        <v>65</v>
      </c>
    </row>
    <row r="4644" spans="1:11" ht="40.049999999999997" customHeight="1" x14ac:dyDescent="0.25">
      <c r="A4644" s="11" t="s">
        <v>10164</v>
      </c>
      <c r="B4644" s="11" t="s">
        <v>10165</v>
      </c>
      <c r="C4644" s="11" t="s">
        <v>101</v>
      </c>
      <c r="D4644" s="11" t="s">
        <v>43</v>
      </c>
      <c r="E4644" s="12" t="s">
        <v>303</v>
      </c>
      <c r="F4644" s="12" t="s">
        <v>304</v>
      </c>
      <c r="G4644" s="12" t="s">
        <v>29</v>
      </c>
      <c r="H4644" s="11" t="s">
        <v>63</v>
      </c>
      <c r="I4644" s="13" t="s">
        <v>10181</v>
      </c>
      <c r="J4644" s="14" t="str">
        <f>HYPERLINK("https://www.boe.es/gazeta/dias/1839/10/06/pdfs/GMD-1839-1792.pdf#page=1","Abrir facsímil")</f>
        <v>Abrir facsímil</v>
      </c>
      <c r="K4644" s="12" t="s">
        <v>65</v>
      </c>
    </row>
    <row r="4645" spans="1:11" ht="40.049999999999997" customHeight="1" x14ac:dyDescent="0.25">
      <c r="A4645" s="11" t="s">
        <v>10164</v>
      </c>
      <c r="B4645" s="11" t="s">
        <v>10165</v>
      </c>
      <c r="C4645" s="11" t="s">
        <v>137</v>
      </c>
      <c r="D4645" s="11" t="s">
        <v>18</v>
      </c>
      <c r="E4645" s="12" t="s">
        <v>1772</v>
      </c>
      <c r="F4645" s="12" t="s">
        <v>1773</v>
      </c>
      <c r="G4645" s="12" t="s">
        <v>40</v>
      </c>
      <c r="H4645" s="11" t="s">
        <v>63</v>
      </c>
      <c r="I4645" s="13" t="s">
        <v>10182</v>
      </c>
      <c r="J4645" s="14" t="str">
        <f>HYPERLINK("https://www.boe.es/gazeta/dias/1839/05/07/pdfs/GMD-1839-1634.pdf#page=2","Abrir facsímil")</f>
        <v>Abrir facsímil</v>
      </c>
      <c r="K4645" s="12" t="s">
        <v>65</v>
      </c>
    </row>
    <row r="4646" spans="1:11" ht="40.049999999999997" customHeight="1" x14ac:dyDescent="0.25">
      <c r="A4646" s="11" t="s">
        <v>10164</v>
      </c>
      <c r="B4646" s="11" t="s">
        <v>10165</v>
      </c>
      <c r="C4646" s="11" t="s">
        <v>137</v>
      </c>
      <c r="D4646" s="11" t="s">
        <v>18</v>
      </c>
      <c r="E4646" s="12" t="s">
        <v>1509</v>
      </c>
      <c r="F4646" s="12" t="s">
        <v>1510</v>
      </c>
      <c r="G4646" s="12" t="s">
        <v>29</v>
      </c>
      <c r="H4646" s="11" t="s">
        <v>63</v>
      </c>
      <c r="I4646" s="13" t="s">
        <v>10183</v>
      </c>
      <c r="J4646" s="14" t="str">
        <f>HYPERLINK("https://www.boe.es/gazeta/dias/1839/10/07/pdfs/GMD-1839-1793.pdf#page=1","Abrir facsímil")</f>
        <v>Abrir facsímil</v>
      </c>
      <c r="K4646" s="12" t="s">
        <v>65</v>
      </c>
    </row>
    <row r="4647" spans="1:11" ht="40.049999999999997" customHeight="1" x14ac:dyDescent="0.25">
      <c r="A4647" s="11" t="s">
        <v>10164</v>
      </c>
      <c r="B4647" s="11" t="s">
        <v>10165</v>
      </c>
      <c r="C4647" s="11" t="s">
        <v>17</v>
      </c>
      <c r="D4647" s="11" t="s">
        <v>18</v>
      </c>
      <c r="E4647" s="12" t="s">
        <v>804</v>
      </c>
      <c r="F4647" s="12" t="s">
        <v>805</v>
      </c>
      <c r="G4647" s="12" t="s">
        <v>40</v>
      </c>
      <c r="H4647" s="11" t="s">
        <v>63</v>
      </c>
      <c r="I4647" s="13" t="s">
        <v>10184</v>
      </c>
      <c r="J4647" s="14" t="str">
        <f>HYPERLINK("https://www.boe.es/gazeta/dias/1839/01/08/pdfs/GMD-1839-1515.pdf#page=2","Abrir facsímil")</f>
        <v>Abrir facsímil</v>
      </c>
      <c r="K4647" s="12" t="s">
        <v>65</v>
      </c>
    </row>
    <row r="4648" spans="1:11" ht="40.049999999999997" customHeight="1" x14ac:dyDescent="0.25">
      <c r="A4648" s="11" t="s">
        <v>10164</v>
      </c>
      <c r="B4648" s="11" t="s">
        <v>10165</v>
      </c>
      <c r="C4648" s="11" t="s">
        <v>17</v>
      </c>
      <c r="D4648" s="11" t="s">
        <v>18</v>
      </c>
      <c r="E4648" s="12" t="s">
        <v>2881</v>
      </c>
      <c r="F4648" s="12" t="s">
        <v>2882</v>
      </c>
      <c r="G4648" s="12" t="s">
        <v>40</v>
      </c>
      <c r="H4648" s="11" t="s">
        <v>63</v>
      </c>
      <c r="I4648" s="13" t="s">
        <v>10185</v>
      </c>
      <c r="J4648" s="14" t="str">
        <f>HYPERLINK("https://www.boe.es/gazeta/dias/1839/05/08/pdfs/GMD-1839-1635.pdf#page=2","Abrir facsímil")</f>
        <v>Abrir facsímil</v>
      </c>
      <c r="K4648" s="12" t="s">
        <v>65</v>
      </c>
    </row>
    <row r="4649" spans="1:11" ht="40.049999999999997" customHeight="1" x14ac:dyDescent="0.25">
      <c r="A4649" s="11" t="s">
        <v>10164</v>
      </c>
      <c r="B4649" s="11" t="s">
        <v>10165</v>
      </c>
      <c r="C4649" s="11" t="s">
        <v>17</v>
      </c>
      <c r="D4649" s="11" t="s">
        <v>18</v>
      </c>
      <c r="E4649" s="12" t="s">
        <v>2301</v>
      </c>
      <c r="F4649" s="12" t="s">
        <v>2302</v>
      </c>
      <c r="G4649" s="12" t="s">
        <v>40</v>
      </c>
      <c r="H4649" s="11" t="s">
        <v>63</v>
      </c>
      <c r="I4649" s="13" t="s">
        <v>10186</v>
      </c>
      <c r="J4649" s="14" t="str">
        <f>HYPERLINK("https://www.boe.es/gazeta/dias/1839/09/08/pdfs/GMD-1839-1761.pdf#page=2","Abrir facsímil")</f>
        <v>Abrir facsímil</v>
      </c>
      <c r="K4649" s="12" t="s">
        <v>65</v>
      </c>
    </row>
    <row r="4650" spans="1:11" ht="40.049999999999997" customHeight="1" x14ac:dyDescent="0.25">
      <c r="A4650" s="11" t="s">
        <v>10164</v>
      </c>
      <c r="B4650" s="11" t="s">
        <v>10165</v>
      </c>
      <c r="C4650" s="11" t="s">
        <v>101</v>
      </c>
      <c r="D4650" s="11" t="s">
        <v>43</v>
      </c>
      <c r="E4650" s="12" t="s">
        <v>2050</v>
      </c>
      <c r="F4650" s="12" t="s">
        <v>2051</v>
      </c>
      <c r="G4650" s="12" t="s">
        <v>40</v>
      </c>
      <c r="H4650" s="11" t="s">
        <v>63</v>
      </c>
      <c r="I4650" s="13" t="s">
        <v>10187</v>
      </c>
      <c r="J4650" s="14" t="str">
        <f>HYPERLINK("https://www.boe.es/gazeta/dias/1839/01/09/pdfs/GMD-1839-1516.pdf#page=2","Abrir facsímil")</f>
        <v>Abrir facsímil</v>
      </c>
      <c r="K4650" s="12" t="s">
        <v>65</v>
      </c>
    </row>
    <row r="4651" spans="1:11" ht="40.049999999999997" customHeight="1" x14ac:dyDescent="0.25">
      <c r="A4651" s="11" t="s">
        <v>10164</v>
      </c>
      <c r="B4651" s="11" t="s">
        <v>10165</v>
      </c>
      <c r="C4651" s="11" t="s">
        <v>17</v>
      </c>
      <c r="D4651" s="11" t="s">
        <v>18</v>
      </c>
      <c r="E4651" s="12" t="s">
        <v>2050</v>
      </c>
      <c r="F4651" s="12" t="s">
        <v>2051</v>
      </c>
      <c r="G4651" s="12" t="s">
        <v>46</v>
      </c>
      <c r="H4651" s="11" t="s">
        <v>63</v>
      </c>
      <c r="I4651" s="13" t="s">
        <v>10188</v>
      </c>
      <c r="J4651" s="14" t="str">
        <f>HYPERLINK("https://www.boe.es/gazeta/dias/1839/01/09/pdfs/GMD-1839-1516.pdf#page=3","Abrir facsímil")</f>
        <v>Abrir facsímil</v>
      </c>
      <c r="K4651" s="12" t="s">
        <v>65</v>
      </c>
    </row>
    <row r="4652" spans="1:11" ht="40.049999999999997" customHeight="1" x14ac:dyDescent="0.25">
      <c r="A4652" s="11" t="s">
        <v>10164</v>
      </c>
      <c r="B4652" s="11" t="s">
        <v>10165</v>
      </c>
      <c r="C4652" s="11" t="s">
        <v>101</v>
      </c>
      <c r="D4652" s="11" t="s">
        <v>43</v>
      </c>
      <c r="E4652" s="12" t="s">
        <v>68</v>
      </c>
      <c r="F4652" s="12" t="s">
        <v>69</v>
      </c>
      <c r="G4652" s="12" t="s">
        <v>46</v>
      </c>
      <c r="H4652" s="11" t="s">
        <v>63</v>
      </c>
      <c r="I4652" s="13" t="s">
        <v>10189</v>
      </c>
      <c r="J4652" s="14" t="str">
        <f>HYPERLINK("https://www.boe.es/gazeta/dias/1839/02/09/pdfs/GMD-1839-1547.pdf#page=3","Abrir facsímil")</f>
        <v>Abrir facsímil</v>
      </c>
      <c r="K4652" s="12" t="s">
        <v>65</v>
      </c>
    </row>
    <row r="4653" spans="1:11" ht="40.049999999999997" customHeight="1" x14ac:dyDescent="0.25">
      <c r="A4653" s="11" t="s">
        <v>10164</v>
      </c>
      <c r="B4653" s="11" t="s">
        <v>10165</v>
      </c>
      <c r="C4653" s="11" t="s">
        <v>17</v>
      </c>
      <c r="D4653" s="11" t="s">
        <v>18</v>
      </c>
      <c r="E4653" s="12" t="s">
        <v>1479</v>
      </c>
      <c r="F4653" s="12" t="s">
        <v>1480</v>
      </c>
      <c r="G4653" s="12" t="s">
        <v>29</v>
      </c>
      <c r="H4653" s="11" t="s">
        <v>63</v>
      </c>
      <c r="I4653" s="13" t="s">
        <v>10190</v>
      </c>
      <c r="J4653" s="14" t="str">
        <f>HYPERLINK("https://www.boe.es/gazeta/dias/1839/04/09/pdfs/GMD-1839-1606.pdf#page=1","Abrir facsímil")</f>
        <v>Abrir facsímil</v>
      </c>
      <c r="K4653" s="12" t="s">
        <v>65</v>
      </c>
    </row>
    <row r="4654" spans="1:11" ht="40.049999999999997" customHeight="1" x14ac:dyDescent="0.25">
      <c r="A4654" s="11" t="s">
        <v>10164</v>
      </c>
      <c r="B4654" s="11" t="s">
        <v>10165</v>
      </c>
      <c r="C4654" s="11" t="s">
        <v>17</v>
      </c>
      <c r="D4654" s="11" t="s">
        <v>18</v>
      </c>
      <c r="E4654" s="12" t="s">
        <v>1479</v>
      </c>
      <c r="F4654" s="12" t="s">
        <v>1480</v>
      </c>
      <c r="G4654" s="12" t="s">
        <v>40</v>
      </c>
      <c r="H4654" s="11" t="s">
        <v>63</v>
      </c>
      <c r="I4654" s="13" t="s">
        <v>10191</v>
      </c>
      <c r="J4654" s="14" t="str">
        <f>HYPERLINK("https://www.boe.es/gazeta/dias/1839/04/09/pdfs/GMD-1839-1606.pdf#page=2","Abrir facsímil")</f>
        <v>Abrir facsímil</v>
      </c>
      <c r="K4654" s="12" t="s">
        <v>65</v>
      </c>
    </row>
    <row r="4655" spans="1:11" ht="40.049999999999997" customHeight="1" x14ac:dyDescent="0.25">
      <c r="A4655" s="11" t="s">
        <v>10164</v>
      </c>
      <c r="B4655" s="11" t="s">
        <v>10165</v>
      </c>
      <c r="C4655" s="11" t="s">
        <v>17</v>
      </c>
      <c r="D4655" s="11" t="s">
        <v>18</v>
      </c>
      <c r="E4655" s="12" t="s">
        <v>1366</v>
      </c>
      <c r="F4655" s="12" t="s">
        <v>1367</v>
      </c>
      <c r="G4655" s="12" t="s">
        <v>40</v>
      </c>
      <c r="H4655" s="11" t="s">
        <v>63</v>
      </c>
      <c r="I4655" s="13" t="s">
        <v>10192</v>
      </c>
      <c r="J4655" s="14" t="str">
        <f>HYPERLINK("https://www.boe.es/gazeta/dias/1839/09/09/pdfs/GMD-1839-1762.pdf#page=2","Abrir facsímil")</f>
        <v>Abrir facsímil</v>
      </c>
      <c r="K4655" s="12" t="s">
        <v>65</v>
      </c>
    </row>
    <row r="4656" spans="1:11" ht="40.049999999999997" customHeight="1" x14ac:dyDescent="0.25">
      <c r="A4656" s="11" t="s">
        <v>10164</v>
      </c>
      <c r="B4656" s="11" t="s">
        <v>10165</v>
      </c>
      <c r="C4656" s="11" t="s">
        <v>80</v>
      </c>
      <c r="D4656" s="11" t="s">
        <v>18</v>
      </c>
      <c r="E4656" s="12" t="s">
        <v>3289</v>
      </c>
      <c r="F4656" s="12" t="s">
        <v>3290</v>
      </c>
      <c r="G4656" s="12" t="s">
        <v>29</v>
      </c>
      <c r="H4656" s="11" t="s">
        <v>63</v>
      </c>
      <c r="I4656" s="13" t="s">
        <v>10193</v>
      </c>
      <c r="J4656" s="14" t="str">
        <f>HYPERLINK("https://www.boe.es/gazeta/dias/1839/12/10/pdfs/GMD-1839-1857.pdf#page=1","Abrir facsímil")</f>
        <v>Abrir facsímil</v>
      </c>
      <c r="K4656" s="12" t="s">
        <v>65</v>
      </c>
    </row>
    <row r="4657" spans="1:11" ht="40.049999999999997" customHeight="1" x14ac:dyDescent="0.25">
      <c r="A4657" s="11" t="s">
        <v>10164</v>
      </c>
      <c r="B4657" s="11" t="s">
        <v>10165</v>
      </c>
      <c r="C4657" s="11" t="s">
        <v>17</v>
      </c>
      <c r="D4657" s="11" t="s">
        <v>18</v>
      </c>
      <c r="E4657" s="12" t="s">
        <v>181</v>
      </c>
      <c r="F4657" s="12" t="s">
        <v>182</v>
      </c>
      <c r="G4657" s="12" t="s">
        <v>40</v>
      </c>
      <c r="H4657" s="11" t="s">
        <v>63</v>
      </c>
      <c r="I4657" s="13" t="s">
        <v>10194</v>
      </c>
      <c r="J4657" s="14" t="str">
        <f>HYPERLINK("https://www.boe.es/gazeta/dias/1839/01/11/pdfs/GMD-1839-1518.pdf#page=2","Abrir facsímil")</f>
        <v>Abrir facsímil</v>
      </c>
      <c r="K4657" s="12" t="s">
        <v>65</v>
      </c>
    </row>
    <row r="4658" spans="1:11" ht="40.049999999999997" customHeight="1" x14ac:dyDescent="0.25">
      <c r="A4658" s="11" t="s">
        <v>10164</v>
      </c>
      <c r="B4658" s="11" t="s">
        <v>10165</v>
      </c>
      <c r="C4658" s="11" t="s">
        <v>101</v>
      </c>
      <c r="D4658" s="11" t="s">
        <v>43</v>
      </c>
      <c r="E4658" s="12" t="s">
        <v>561</v>
      </c>
      <c r="F4658" s="12" t="s">
        <v>562</v>
      </c>
      <c r="G4658" s="12" t="s">
        <v>40</v>
      </c>
      <c r="H4658" s="11" t="s">
        <v>63</v>
      </c>
      <c r="I4658" s="13" t="s">
        <v>10195</v>
      </c>
      <c r="J4658" s="14" t="str">
        <f>HYPERLINK("https://www.boe.es/gazeta/dias/1839/09/11/pdfs/GMD-1839-1764.pdf#page=2","Abrir facsímil")</f>
        <v>Abrir facsímil</v>
      </c>
      <c r="K4658" s="12" t="s">
        <v>65</v>
      </c>
    </row>
    <row r="4659" spans="1:11" ht="40.049999999999997" customHeight="1" x14ac:dyDescent="0.25">
      <c r="A4659" s="11" t="s">
        <v>10164</v>
      </c>
      <c r="B4659" s="11" t="s">
        <v>10165</v>
      </c>
      <c r="C4659" s="11" t="s">
        <v>137</v>
      </c>
      <c r="D4659" s="11" t="s">
        <v>18</v>
      </c>
      <c r="E4659" s="12" t="s">
        <v>192</v>
      </c>
      <c r="F4659" s="12" t="s">
        <v>193</v>
      </c>
      <c r="G4659" s="12" t="s">
        <v>21</v>
      </c>
      <c r="H4659" s="11" t="s">
        <v>63</v>
      </c>
      <c r="I4659" s="13" t="s">
        <v>10196</v>
      </c>
      <c r="J4659" s="14" t="str">
        <f>HYPERLINK("https://www.boe.es/gazeta/dias/1839/01/12/pdfs/GMD-1839-1519.pdf#page=4","Abrir facsímil")</f>
        <v>Abrir facsímil</v>
      </c>
      <c r="K4659" s="12" t="s">
        <v>65</v>
      </c>
    </row>
    <row r="4660" spans="1:11" ht="40.049999999999997" customHeight="1" x14ac:dyDescent="0.25">
      <c r="A4660" s="11" t="s">
        <v>10164</v>
      </c>
      <c r="B4660" s="11" t="s">
        <v>10165</v>
      </c>
      <c r="C4660" s="11" t="s">
        <v>101</v>
      </c>
      <c r="D4660" s="11" t="s">
        <v>43</v>
      </c>
      <c r="E4660" s="12" t="s">
        <v>254</v>
      </c>
      <c r="F4660" s="12" t="s">
        <v>255</v>
      </c>
      <c r="G4660" s="12" t="s">
        <v>40</v>
      </c>
      <c r="H4660" s="11" t="s">
        <v>63</v>
      </c>
      <c r="I4660" s="13" t="s">
        <v>10197</v>
      </c>
      <c r="J4660" s="14" t="str">
        <f>HYPERLINK("https://www.boe.es/gazeta/dias/1839/09/12/pdfs/GMD-1839-1765.pdf#page=2","Abrir facsímil")</f>
        <v>Abrir facsímil</v>
      </c>
      <c r="K4660" s="12" t="s">
        <v>65</v>
      </c>
    </row>
    <row r="4661" spans="1:11" ht="40.049999999999997" customHeight="1" x14ac:dyDescent="0.25">
      <c r="A4661" s="11" t="s">
        <v>10164</v>
      </c>
      <c r="B4661" s="11" t="s">
        <v>10165</v>
      </c>
      <c r="C4661" s="11" t="s">
        <v>137</v>
      </c>
      <c r="D4661" s="11" t="s">
        <v>18</v>
      </c>
      <c r="E4661" s="12" t="s">
        <v>254</v>
      </c>
      <c r="F4661" s="12" t="s">
        <v>255</v>
      </c>
      <c r="G4661" s="12" t="s">
        <v>46</v>
      </c>
      <c r="H4661" s="11" t="s">
        <v>63</v>
      </c>
      <c r="I4661" s="13" t="s">
        <v>10198</v>
      </c>
      <c r="J4661" s="14" t="str">
        <f>HYPERLINK("https://www.boe.es/gazeta/dias/1839/09/12/pdfs/GMD-1839-1765.pdf#page=3","Abrir facsímil")</f>
        <v>Abrir facsímil</v>
      </c>
      <c r="K4661" s="12" t="s">
        <v>65</v>
      </c>
    </row>
    <row r="4662" spans="1:11" ht="40.049999999999997" customHeight="1" x14ac:dyDescent="0.25">
      <c r="A4662" s="11" t="s">
        <v>10164</v>
      </c>
      <c r="B4662" s="11" t="s">
        <v>10165</v>
      </c>
      <c r="C4662" s="11" t="s">
        <v>17</v>
      </c>
      <c r="D4662" s="11" t="s">
        <v>18</v>
      </c>
      <c r="E4662" s="12" t="s">
        <v>163</v>
      </c>
      <c r="F4662" s="12" t="s">
        <v>164</v>
      </c>
      <c r="G4662" s="12" t="s">
        <v>46</v>
      </c>
      <c r="H4662" s="11" t="s">
        <v>63</v>
      </c>
      <c r="I4662" s="13" t="s">
        <v>10199</v>
      </c>
      <c r="J4662" s="14" t="str">
        <f>HYPERLINK("https://www.boe.es/gazeta/dias/1839/01/13/pdfs/GMD-1839-1520.pdf#page=3","Abrir facsímil")</f>
        <v>Abrir facsímil</v>
      </c>
      <c r="K4662" s="12" t="s">
        <v>65</v>
      </c>
    </row>
    <row r="4663" spans="1:11" ht="40.049999999999997" customHeight="1" x14ac:dyDescent="0.25">
      <c r="A4663" s="11" t="s">
        <v>10164</v>
      </c>
      <c r="B4663" s="11" t="s">
        <v>10165</v>
      </c>
      <c r="C4663" s="11" t="s">
        <v>17</v>
      </c>
      <c r="D4663" s="11" t="s">
        <v>18</v>
      </c>
      <c r="E4663" s="12" t="s">
        <v>5399</v>
      </c>
      <c r="F4663" s="12" t="s">
        <v>5400</v>
      </c>
      <c r="G4663" s="12" t="s">
        <v>46</v>
      </c>
      <c r="H4663" s="11" t="s">
        <v>63</v>
      </c>
      <c r="I4663" s="13" t="s">
        <v>10200</v>
      </c>
      <c r="J4663" s="14" t="str">
        <f>HYPERLINK("https://www.boe.es/gazeta/dias/1839/10/14/pdfs/GMD-1839-1800.pdf#page=3","Abrir facsímil")</f>
        <v>Abrir facsímil</v>
      </c>
      <c r="K4663" s="12" t="s">
        <v>65</v>
      </c>
    </row>
    <row r="4664" spans="1:11" ht="40.049999999999997" customHeight="1" x14ac:dyDescent="0.25">
      <c r="A4664" s="11" t="s">
        <v>10164</v>
      </c>
      <c r="B4664" s="11" t="s">
        <v>10165</v>
      </c>
      <c r="C4664" s="11" t="s">
        <v>80</v>
      </c>
      <c r="D4664" s="11" t="s">
        <v>18</v>
      </c>
      <c r="E4664" s="12" t="s">
        <v>185</v>
      </c>
      <c r="F4664" s="12" t="s">
        <v>186</v>
      </c>
      <c r="G4664" s="12" t="s">
        <v>29</v>
      </c>
      <c r="H4664" s="11" t="s">
        <v>63</v>
      </c>
      <c r="I4664" s="13" t="s">
        <v>10201</v>
      </c>
      <c r="J4664" s="14" t="str">
        <f>HYPERLINK("https://www.boe.es/gazeta/dias/1839/01/15/pdfs/GMD-1839-1522.pdf#page=1","Abrir facsímil")</f>
        <v>Abrir facsímil</v>
      </c>
      <c r="K4664" s="12" t="s">
        <v>65</v>
      </c>
    </row>
    <row r="4665" spans="1:11" ht="40.049999999999997" customHeight="1" x14ac:dyDescent="0.25">
      <c r="A4665" s="11" t="s">
        <v>10164</v>
      </c>
      <c r="B4665" s="11" t="s">
        <v>10165</v>
      </c>
      <c r="C4665" s="11" t="s">
        <v>17</v>
      </c>
      <c r="D4665" s="11" t="s">
        <v>18</v>
      </c>
      <c r="E4665" s="12" t="s">
        <v>395</v>
      </c>
      <c r="F4665" s="12" t="s">
        <v>396</v>
      </c>
      <c r="G4665" s="12" t="s">
        <v>29</v>
      </c>
      <c r="H4665" s="11" t="s">
        <v>63</v>
      </c>
      <c r="I4665" s="13" t="s">
        <v>10202</v>
      </c>
      <c r="J4665" s="14" t="str">
        <f>HYPERLINK("https://www.boe.es/gazeta/dias/1839/03/15/pdfs/GMD-1839-1581.pdf#page=1","Abrir facsímil")</f>
        <v>Abrir facsímil</v>
      </c>
      <c r="K4665" s="12" t="s">
        <v>65</v>
      </c>
    </row>
    <row r="4666" spans="1:11" ht="40.049999999999997" customHeight="1" x14ac:dyDescent="0.25">
      <c r="A4666" s="11" t="s">
        <v>10164</v>
      </c>
      <c r="B4666" s="11" t="s">
        <v>10165</v>
      </c>
      <c r="C4666" s="11" t="s">
        <v>17</v>
      </c>
      <c r="D4666" s="11" t="s">
        <v>18</v>
      </c>
      <c r="E4666" s="12" t="s">
        <v>2650</v>
      </c>
      <c r="F4666" s="12" t="s">
        <v>2651</v>
      </c>
      <c r="G4666" s="12" t="s">
        <v>40</v>
      </c>
      <c r="H4666" s="11" t="s">
        <v>63</v>
      </c>
      <c r="I4666" s="13" t="s">
        <v>10203</v>
      </c>
      <c r="J4666" s="14" t="str">
        <f>HYPERLINK("https://www.boe.es/gazeta/dias/1839/09/15/pdfs/GMD-1839-1768.pdf#page=2","Abrir facsímil")</f>
        <v>Abrir facsímil</v>
      </c>
      <c r="K4666" s="12" t="s">
        <v>65</v>
      </c>
    </row>
    <row r="4667" spans="1:11" ht="40.049999999999997" customHeight="1" x14ac:dyDescent="0.25">
      <c r="A4667" s="11" t="s">
        <v>10164</v>
      </c>
      <c r="B4667" s="11" t="s">
        <v>10165</v>
      </c>
      <c r="C4667" s="11" t="s">
        <v>101</v>
      </c>
      <c r="D4667" s="11" t="s">
        <v>43</v>
      </c>
      <c r="E4667" s="12" t="s">
        <v>2650</v>
      </c>
      <c r="F4667" s="12" t="s">
        <v>2651</v>
      </c>
      <c r="G4667" s="12" t="s">
        <v>46</v>
      </c>
      <c r="H4667" s="11" t="s">
        <v>63</v>
      </c>
      <c r="I4667" s="13" t="s">
        <v>10204</v>
      </c>
      <c r="J4667" s="14" t="str">
        <f>HYPERLINK("https://www.boe.es/gazeta/dias/1839/09/15/pdfs/GMD-1839-1768.pdf#page=3","Abrir facsímil")</f>
        <v>Abrir facsímil</v>
      </c>
      <c r="K4667" s="12" t="s">
        <v>65</v>
      </c>
    </row>
    <row r="4668" spans="1:11" ht="40.049999999999997" customHeight="1" x14ac:dyDescent="0.25">
      <c r="A4668" s="11" t="s">
        <v>10164</v>
      </c>
      <c r="B4668" s="11" t="s">
        <v>10165</v>
      </c>
      <c r="C4668" s="11" t="s">
        <v>101</v>
      </c>
      <c r="D4668" s="11" t="s">
        <v>43</v>
      </c>
      <c r="E4668" s="12" t="s">
        <v>175</v>
      </c>
      <c r="F4668" s="12" t="s">
        <v>176</v>
      </c>
      <c r="G4668" s="12" t="s">
        <v>46</v>
      </c>
      <c r="H4668" s="11" t="s">
        <v>63</v>
      </c>
      <c r="I4668" s="13" t="s">
        <v>10205</v>
      </c>
      <c r="J4668" s="14" t="str">
        <f>HYPERLINK("https://www.boe.es/gazeta/dias/1839/01/16/pdfs/GMD-1839-1523.pdf#page=3","Abrir facsímil")</f>
        <v>Abrir facsímil</v>
      </c>
      <c r="K4668" s="12" t="s">
        <v>65</v>
      </c>
    </row>
    <row r="4669" spans="1:11" ht="40.049999999999997" customHeight="1" x14ac:dyDescent="0.25">
      <c r="A4669" s="11" t="s">
        <v>10164</v>
      </c>
      <c r="B4669" s="11" t="s">
        <v>10165</v>
      </c>
      <c r="C4669" s="11" t="s">
        <v>17</v>
      </c>
      <c r="D4669" s="11" t="s">
        <v>18</v>
      </c>
      <c r="E4669" s="12" t="s">
        <v>230</v>
      </c>
      <c r="F4669" s="12" t="s">
        <v>231</v>
      </c>
      <c r="G4669" s="12" t="s">
        <v>40</v>
      </c>
      <c r="H4669" s="11" t="s">
        <v>63</v>
      </c>
      <c r="I4669" s="13" t="s">
        <v>10206</v>
      </c>
      <c r="J4669" s="14" t="str">
        <f>HYPERLINK("https://www.boe.es/gazeta/dias/1839/09/16/pdfs/GMD-1839-1769.pdf#page=2","Abrir facsímil")</f>
        <v>Abrir facsímil</v>
      </c>
      <c r="K4669" s="12" t="s">
        <v>65</v>
      </c>
    </row>
    <row r="4670" spans="1:11" ht="40.049999999999997" customHeight="1" x14ac:dyDescent="0.25">
      <c r="A4670" s="11" t="s">
        <v>10164</v>
      </c>
      <c r="B4670" s="11" t="s">
        <v>10165</v>
      </c>
      <c r="C4670" s="11" t="s">
        <v>17</v>
      </c>
      <c r="D4670" s="11" t="s">
        <v>18</v>
      </c>
      <c r="E4670" s="12" t="s">
        <v>2155</v>
      </c>
      <c r="F4670" s="12" t="s">
        <v>2156</v>
      </c>
      <c r="G4670" s="12" t="s">
        <v>21</v>
      </c>
      <c r="H4670" s="11" t="s">
        <v>63</v>
      </c>
      <c r="I4670" s="13" t="s">
        <v>10207</v>
      </c>
      <c r="J4670" s="14" t="str">
        <f>HYPERLINK("https://www.boe.es/gazeta/dias/1839/01/17/pdfs/GMD-1839-1524.pdf#page=4","Abrir facsímil")</f>
        <v>Abrir facsímil</v>
      </c>
      <c r="K4670" s="12" t="s">
        <v>65</v>
      </c>
    </row>
    <row r="4671" spans="1:11" ht="40.049999999999997" customHeight="1" x14ac:dyDescent="0.25">
      <c r="A4671" s="11" t="s">
        <v>10164</v>
      </c>
      <c r="B4671" s="11" t="s">
        <v>10165</v>
      </c>
      <c r="C4671" s="11" t="s">
        <v>17</v>
      </c>
      <c r="D4671" s="11" t="s">
        <v>18</v>
      </c>
      <c r="E4671" s="12" t="s">
        <v>4550</v>
      </c>
      <c r="F4671" s="12" t="s">
        <v>4551</v>
      </c>
      <c r="G4671" s="12" t="s">
        <v>29</v>
      </c>
      <c r="H4671" s="11" t="s">
        <v>63</v>
      </c>
      <c r="I4671" s="13" t="s">
        <v>10208</v>
      </c>
      <c r="J4671" s="14" t="str">
        <f>HYPERLINK("https://www.boe.es/gazeta/dias/1839/04/17/pdfs/GMD-1839-1614.pdf#page=1","Abrir facsímil")</f>
        <v>Abrir facsímil</v>
      </c>
      <c r="K4671" s="12" t="s">
        <v>65</v>
      </c>
    </row>
    <row r="4672" spans="1:11" ht="40.049999999999997" customHeight="1" x14ac:dyDescent="0.25">
      <c r="A4672" s="11" t="s">
        <v>10164</v>
      </c>
      <c r="B4672" s="11" t="s">
        <v>10165</v>
      </c>
      <c r="C4672" s="11" t="s">
        <v>17</v>
      </c>
      <c r="D4672" s="11" t="s">
        <v>18</v>
      </c>
      <c r="E4672" s="12" t="s">
        <v>398</v>
      </c>
      <c r="F4672" s="12" t="s">
        <v>399</v>
      </c>
      <c r="G4672" s="12" t="s">
        <v>29</v>
      </c>
      <c r="H4672" s="11" t="s">
        <v>63</v>
      </c>
      <c r="I4672" s="13" t="s">
        <v>10209</v>
      </c>
      <c r="J4672" s="14" t="str">
        <f>HYPERLINK("https://www.boe.es/gazeta/dias/1839/05/17/pdfs/GMD-1839-1644.pdf#page=1","Abrir facsímil")</f>
        <v>Abrir facsímil</v>
      </c>
      <c r="K4672" s="12" t="s">
        <v>65</v>
      </c>
    </row>
    <row r="4673" spans="1:11" ht="40.049999999999997" customHeight="1" x14ac:dyDescent="0.25">
      <c r="A4673" s="11" t="s">
        <v>10164</v>
      </c>
      <c r="B4673" s="11" t="s">
        <v>10165</v>
      </c>
      <c r="C4673" s="11" t="s">
        <v>17</v>
      </c>
      <c r="D4673" s="11" t="s">
        <v>18</v>
      </c>
      <c r="E4673" s="12" t="s">
        <v>1565</v>
      </c>
      <c r="F4673" s="12" t="s">
        <v>1566</v>
      </c>
      <c r="G4673" s="12" t="s">
        <v>21</v>
      </c>
      <c r="H4673" s="11" t="s">
        <v>63</v>
      </c>
      <c r="I4673" s="13" t="s">
        <v>10210</v>
      </c>
      <c r="J4673" s="14" t="str">
        <f>HYPERLINK("https://www.boe.es/gazeta/dias/1839/06/17/pdfs/GMD-1839-1675.pdf#page=4","Abrir facsímil")</f>
        <v>Abrir facsímil</v>
      </c>
      <c r="K4673" s="12" t="s">
        <v>65</v>
      </c>
    </row>
    <row r="4674" spans="1:11" ht="40.049999999999997" customHeight="1" x14ac:dyDescent="0.25">
      <c r="A4674" s="11" t="s">
        <v>10164</v>
      </c>
      <c r="B4674" s="11" t="s">
        <v>10165</v>
      </c>
      <c r="C4674" s="11" t="s">
        <v>17</v>
      </c>
      <c r="D4674" s="11" t="s">
        <v>18</v>
      </c>
      <c r="E4674" s="12" t="s">
        <v>233</v>
      </c>
      <c r="F4674" s="12" t="s">
        <v>234</v>
      </c>
      <c r="G4674" s="12" t="s">
        <v>40</v>
      </c>
      <c r="H4674" s="11" t="s">
        <v>63</v>
      </c>
      <c r="I4674" s="13" t="s">
        <v>10211</v>
      </c>
      <c r="J4674" s="14" t="str">
        <f>HYPERLINK("https://www.boe.es/gazeta/dias/1839/09/17/pdfs/GMD-1839-1770.pdf#page=2","Abrir facsímil")</f>
        <v>Abrir facsímil</v>
      </c>
      <c r="K4674" s="12" t="s">
        <v>65</v>
      </c>
    </row>
    <row r="4675" spans="1:11" ht="40.049999999999997" customHeight="1" x14ac:dyDescent="0.25">
      <c r="A4675" s="11" t="s">
        <v>10164</v>
      </c>
      <c r="B4675" s="11" t="s">
        <v>10165</v>
      </c>
      <c r="C4675" s="11" t="s">
        <v>17</v>
      </c>
      <c r="D4675" s="11" t="s">
        <v>18</v>
      </c>
      <c r="E4675" s="12" t="s">
        <v>1072</v>
      </c>
      <c r="F4675" s="12" t="s">
        <v>1073</v>
      </c>
      <c r="G4675" s="12" t="s">
        <v>29</v>
      </c>
      <c r="H4675" s="11" t="s">
        <v>63</v>
      </c>
      <c r="I4675" s="13" t="s">
        <v>10212</v>
      </c>
      <c r="J4675" s="14" t="str">
        <f>HYPERLINK("https://www.boe.es/gazeta/dias/1839/01/18/pdfs/GMD-1839-1525.pdf#page=1","Abrir facsímil")</f>
        <v>Abrir facsímil</v>
      </c>
      <c r="K4675" s="12" t="s">
        <v>65</v>
      </c>
    </row>
    <row r="4676" spans="1:11" ht="40.049999999999997" customHeight="1" x14ac:dyDescent="0.25">
      <c r="A4676" s="11" t="s">
        <v>10164</v>
      </c>
      <c r="B4676" s="11" t="s">
        <v>10165</v>
      </c>
      <c r="C4676" s="11" t="s">
        <v>59</v>
      </c>
      <c r="D4676" s="11" t="s">
        <v>60</v>
      </c>
      <c r="E4676" s="12" t="s">
        <v>1378</v>
      </c>
      <c r="F4676" s="12" t="s">
        <v>1379</v>
      </c>
      <c r="G4676" s="12" t="s">
        <v>21</v>
      </c>
      <c r="H4676" s="11" t="s">
        <v>63</v>
      </c>
      <c r="I4676" s="13" t="s">
        <v>10213</v>
      </c>
      <c r="J4676" s="14" t="str">
        <f>HYPERLINK("https://www.boe.es/gazeta/dias/1839/05/18/pdfs/GMD-1839-1645.pdf#page=4","Abrir facsímil")</f>
        <v>Abrir facsímil</v>
      </c>
      <c r="K4676" s="12" t="s">
        <v>65</v>
      </c>
    </row>
    <row r="4677" spans="1:11" ht="40.049999999999997" customHeight="1" x14ac:dyDescent="0.25">
      <c r="A4677" s="11" t="s">
        <v>10164</v>
      </c>
      <c r="B4677" s="11" t="s">
        <v>10165</v>
      </c>
      <c r="C4677" s="11" t="s">
        <v>59</v>
      </c>
      <c r="D4677" s="11" t="s">
        <v>60</v>
      </c>
      <c r="E4677" s="12" t="s">
        <v>2222</v>
      </c>
      <c r="F4677" s="12" t="s">
        <v>10214</v>
      </c>
      <c r="G4677" s="12" t="s">
        <v>29</v>
      </c>
      <c r="H4677" s="11" t="s">
        <v>63</v>
      </c>
      <c r="I4677" s="13" t="s">
        <v>10215</v>
      </c>
      <c r="J4677" s="14" t="str">
        <f>HYPERLINK("https://www.boe.es/datos/pdfs/BOE//1839/1774/E00001-00001.pdf#page=1","Abrir facsímil")</f>
        <v>Abrir facsímil</v>
      </c>
      <c r="K4677" s="12" t="s">
        <v>65</v>
      </c>
    </row>
    <row r="4678" spans="1:11" ht="40.049999999999997" customHeight="1" x14ac:dyDescent="0.25">
      <c r="A4678" s="11" t="s">
        <v>10164</v>
      </c>
      <c r="B4678" s="11" t="s">
        <v>10165</v>
      </c>
      <c r="C4678" s="11" t="s">
        <v>17</v>
      </c>
      <c r="D4678" s="11" t="s">
        <v>18</v>
      </c>
      <c r="E4678" s="12" t="s">
        <v>695</v>
      </c>
      <c r="F4678" s="12" t="s">
        <v>696</v>
      </c>
      <c r="G4678" s="12" t="s">
        <v>29</v>
      </c>
      <c r="H4678" s="11" t="s">
        <v>63</v>
      </c>
      <c r="I4678" s="13" t="s">
        <v>10216</v>
      </c>
      <c r="J4678" s="14" t="str">
        <f>HYPERLINK("https://www.boe.es/gazeta/dias/1839/12/19/pdfs/GMD-1839-1866.pdf#page=1","Abrir facsímil")</f>
        <v>Abrir facsímil</v>
      </c>
      <c r="K4678" s="12" t="s">
        <v>65</v>
      </c>
    </row>
    <row r="4679" spans="1:11" ht="40.049999999999997" customHeight="1" x14ac:dyDescent="0.25">
      <c r="A4679" s="11" t="s">
        <v>10164</v>
      </c>
      <c r="B4679" s="11" t="s">
        <v>10165</v>
      </c>
      <c r="C4679" s="11" t="s">
        <v>17</v>
      </c>
      <c r="D4679" s="11" t="s">
        <v>18</v>
      </c>
      <c r="E4679" s="12" t="s">
        <v>433</v>
      </c>
      <c r="F4679" s="12" t="s">
        <v>434</v>
      </c>
      <c r="G4679" s="12" t="s">
        <v>40</v>
      </c>
      <c r="H4679" s="11" t="s">
        <v>63</v>
      </c>
      <c r="I4679" s="13" t="s">
        <v>10217</v>
      </c>
      <c r="J4679" s="14" t="str">
        <f>HYPERLINK("https://www.boe.es/gazeta/dias/1839/01/20/pdfs/GMD-1839-1527.pdf#page=2","Abrir facsímil")</f>
        <v>Abrir facsímil</v>
      </c>
      <c r="K4679" s="12" t="s">
        <v>65</v>
      </c>
    </row>
    <row r="4680" spans="1:11" ht="40.049999999999997" customHeight="1" x14ac:dyDescent="0.25">
      <c r="A4680" s="11" t="s">
        <v>10164</v>
      </c>
      <c r="B4680" s="11" t="s">
        <v>10165</v>
      </c>
      <c r="C4680" s="11" t="s">
        <v>17</v>
      </c>
      <c r="D4680" s="11" t="s">
        <v>18</v>
      </c>
      <c r="E4680" s="12" t="s">
        <v>821</v>
      </c>
      <c r="F4680" s="12" t="s">
        <v>822</v>
      </c>
      <c r="G4680" s="12" t="s">
        <v>29</v>
      </c>
      <c r="H4680" s="11" t="s">
        <v>63</v>
      </c>
      <c r="I4680" s="13" t="s">
        <v>10218</v>
      </c>
      <c r="J4680" s="14" t="str">
        <f>HYPERLINK("https://www.boe.es/gazeta/dias/1839/09/20/pdfs/GMD-1839-1775.pdf#page=1","Abrir facsímil")</f>
        <v>Abrir facsímil</v>
      </c>
      <c r="K4680" s="12" t="s">
        <v>65</v>
      </c>
    </row>
    <row r="4681" spans="1:11" ht="40.049999999999997" customHeight="1" x14ac:dyDescent="0.25">
      <c r="A4681" s="11" t="s">
        <v>10164</v>
      </c>
      <c r="B4681" s="11" t="s">
        <v>10165</v>
      </c>
      <c r="C4681" s="11" t="s">
        <v>80</v>
      </c>
      <c r="D4681" s="11" t="s">
        <v>18</v>
      </c>
      <c r="E4681" s="12" t="s">
        <v>1657</v>
      </c>
      <c r="F4681" s="12" t="s">
        <v>1658</v>
      </c>
      <c r="G4681" s="12" t="s">
        <v>21</v>
      </c>
      <c r="H4681" s="11" t="s">
        <v>63</v>
      </c>
      <c r="I4681" s="13" t="s">
        <v>10219</v>
      </c>
      <c r="J4681" s="14" t="str">
        <f>HYPERLINK("https://www.boe.es/gazeta/dias/1839/02/21/pdfs/GMD-1839-1559.pdf#page=4","Abrir facsímil")</f>
        <v>Abrir facsímil</v>
      </c>
      <c r="K4681" s="12" t="s">
        <v>65</v>
      </c>
    </row>
    <row r="4682" spans="1:11" ht="40.049999999999997" customHeight="1" x14ac:dyDescent="0.25">
      <c r="A4682" s="11" t="s">
        <v>10164</v>
      </c>
      <c r="B4682" s="11" t="s">
        <v>10165</v>
      </c>
      <c r="C4682" s="11" t="s">
        <v>17</v>
      </c>
      <c r="D4682" s="11" t="s">
        <v>18</v>
      </c>
      <c r="E4682" s="12" t="s">
        <v>3601</v>
      </c>
      <c r="F4682" s="12" t="s">
        <v>3602</v>
      </c>
      <c r="G4682" s="12" t="s">
        <v>29</v>
      </c>
      <c r="H4682" s="11" t="s">
        <v>63</v>
      </c>
      <c r="I4682" s="13" t="s">
        <v>10220</v>
      </c>
      <c r="J4682" s="14" t="str">
        <f>HYPERLINK("https://www.boe.es/gazeta/dias/1839/03/21/pdfs/GMD-1839-1587.pdf#page=1","Abrir facsímil")</f>
        <v>Abrir facsímil</v>
      </c>
      <c r="K4682" s="12" t="s">
        <v>65</v>
      </c>
    </row>
    <row r="4683" spans="1:11" ht="40.049999999999997" customHeight="1" x14ac:dyDescent="0.25">
      <c r="A4683" s="11" t="s">
        <v>10164</v>
      </c>
      <c r="B4683" s="11" t="s">
        <v>10165</v>
      </c>
      <c r="C4683" s="11" t="s">
        <v>101</v>
      </c>
      <c r="D4683" s="11" t="s">
        <v>43</v>
      </c>
      <c r="E4683" s="12" t="s">
        <v>2949</v>
      </c>
      <c r="F4683" s="12" t="s">
        <v>2950</v>
      </c>
      <c r="G4683" s="12" t="s">
        <v>21</v>
      </c>
      <c r="H4683" s="11" t="s">
        <v>63</v>
      </c>
      <c r="I4683" s="13" t="s">
        <v>10221</v>
      </c>
      <c r="J4683" s="14" t="str">
        <f>HYPERLINK("https://www.boe.es/gazeta/dias/1839/10/21/pdfs/GMD-1839-1807.pdf#page=4","Abrir facsímil")</f>
        <v>Abrir facsímil</v>
      </c>
      <c r="K4683" s="12" t="s">
        <v>65</v>
      </c>
    </row>
    <row r="4684" spans="1:11" ht="40.049999999999997" customHeight="1" x14ac:dyDescent="0.25">
      <c r="A4684" s="11" t="s">
        <v>10164</v>
      </c>
      <c r="B4684" s="11" t="s">
        <v>10165</v>
      </c>
      <c r="C4684" s="11" t="s">
        <v>17</v>
      </c>
      <c r="D4684" s="11" t="s">
        <v>18</v>
      </c>
      <c r="E4684" s="12" t="s">
        <v>794</v>
      </c>
      <c r="F4684" s="12" t="s">
        <v>795</v>
      </c>
      <c r="G4684" s="12" t="s">
        <v>46</v>
      </c>
      <c r="H4684" s="11" t="s">
        <v>63</v>
      </c>
      <c r="I4684" s="13" t="s">
        <v>10222</v>
      </c>
      <c r="J4684" s="14" t="str">
        <f>HYPERLINK("https://www.boe.es/gazeta/dias/1839/01/22/pdfs/GMD-1839-1529.pdf#page=3","Abrir facsímil")</f>
        <v>Abrir facsímil</v>
      </c>
      <c r="K4684" s="12" t="s">
        <v>65</v>
      </c>
    </row>
    <row r="4685" spans="1:11" ht="40.049999999999997" customHeight="1" x14ac:dyDescent="0.25">
      <c r="A4685" s="11" t="s">
        <v>10164</v>
      </c>
      <c r="B4685" s="11" t="s">
        <v>10165</v>
      </c>
      <c r="C4685" s="11" t="s">
        <v>137</v>
      </c>
      <c r="D4685" s="11" t="s">
        <v>18</v>
      </c>
      <c r="E4685" s="12" t="s">
        <v>2117</v>
      </c>
      <c r="F4685" s="12" t="s">
        <v>2118</v>
      </c>
      <c r="G4685" s="12" t="s">
        <v>29</v>
      </c>
      <c r="H4685" s="11" t="s">
        <v>63</v>
      </c>
      <c r="I4685" s="13" t="s">
        <v>10223</v>
      </c>
      <c r="J4685" s="14" t="str">
        <f>HYPERLINK("https://www.boe.es/gazeta/dias/1839/06/23/pdfs/GMD-1839-1681.pdf#page=1","Abrir facsímil")</f>
        <v>Abrir facsímil</v>
      </c>
      <c r="K4685" s="12" t="s">
        <v>65</v>
      </c>
    </row>
    <row r="4686" spans="1:11" ht="40.049999999999997" customHeight="1" x14ac:dyDescent="0.25">
      <c r="A4686" s="11" t="s">
        <v>10164</v>
      </c>
      <c r="B4686" s="11" t="s">
        <v>10165</v>
      </c>
      <c r="C4686" s="11" t="s">
        <v>17</v>
      </c>
      <c r="D4686" s="11" t="s">
        <v>18</v>
      </c>
      <c r="E4686" s="12" t="s">
        <v>2432</v>
      </c>
      <c r="F4686" s="12" t="s">
        <v>2581</v>
      </c>
      <c r="G4686" s="12" t="s">
        <v>29</v>
      </c>
      <c r="H4686" s="11" t="s">
        <v>63</v>
      </c>
      <c r="I4686" s="13" t="s">
        <v>10224</v>
      </c>
      <c r="J4686" s="14" t="str">
        <f>HYPERLINK("https://www.boe.es/gazeta/dias/1839/07/23/pdfs/GMD-1839-1711.pdf#page=1","Abrir facsímil")</f>
        <v>Abrir facsímil</v>
      </c>
      <c r="K4686" s="12" t="s">
        <v>65</v>
      </c>
    </row>
    <row r="4687" spans="1:11" ht="40.049999999999997" customHeight="1" x14ac:dyDescent="0.25">
      <c r="A4687" s="11" t="s">
        <v>10164</v>
      </c>
      <c r="B4687" s="11" t="s">
        <v>10165</v>
      </c>
      <c r="C4687" s="11" t="s">
        <v>80</v>
      </c>
      <c r="D4687" s="11" t="s">
        <v>18</v>
      </c>
      <c r="E4687" s="12" t="s">
        <v>1079</v>
      </c>
      <c r="F4687" s="12" t="s">
        <v>1080</v>
      </c>
      <c r="G4687" s="12" t="s">
        <v>21</v>
      </c>
      <c r="H4687" s="11" t="s">
        <v>63</v>
      </c>
      <c r="I4687" s="13" t="s">
        <v>10225</v>
      </c>
      <c r="J4687" s="14" t="str">
        <f>HYPERLINK("https://www.boe.es/gazeta/dias/1839/05/24/pdfs/GMD-1839-1651.pdf#page=4","Abrir facsímil")</f>
        <v>Abrir facsímil</v>
      </c>
      <c r="K4687" s="12" t="s">
        <v>65</v>
      </c>
    </row>
    <row r="4688" spans="1:11" ht="40.049999999999997" customHeight="1" x14ac:dyDescent="0.25">
      <c r="A4688" s="11" t="s">
        <v>10164</v>
      </c>
      <c r="B4688" s="11" t="s">
        <v>10165</v>
      </c>
      <c r="C4688" s="11" t="s">
        <v>17</v>
      </c>
      <c r="D4688" s="11" t="s">
        <v>18</v>
      </c>
      <c r="E4688" s="12" t="s">
        <v>128</v>
      </c>
      <c r="F4688" s="12" t="s">
        <v>129</v>
      </c>
      <c r="G4688" s="12" t="s">
        <v>29</v>
      </c>
      <c r="H4688" s="11" t="s">
        <v>63</v>
      </c>
      <c r="I4688" s="13" t="s">
        <v>10226</v>
      </c>
      <c r="J4688" s="14" t="str">
        <f>HYPERLINK("https://www.boe.es/gazeta/dias/1839/05/25/pdfs/GMD-1839-1652.pdf#page=1","Abrir facsímil")</f>
        <v>Abrir facsímil</v>
      </c>
      <c r="K4688" s="12" t="s">
        <v>65</v>
      </c>
    </row>
    <row r="4689" spans="1:11" ht="40.049999999999997" customHeight="1" x14ac:dyDescent="0.25">
      <c r="A4689" s="11" t="s">
        <v>10164</v>
      </c>
      <c r="B4689" s="11" t="s">
        <v>10165</v>
      </c>
      <c r="C4689" s="11" t="s">
        <v>17</v>
      </c>
      <c r="D4689" s="11" t="s">
        <v>18</v>
      </c>
      <c r="E4689" s="12" t="s">
        <v>650</v>
      </c>
      <c r="F4689" s="12" t="s">
        <v>651</v>
      </c>
      <c r="G4689" s="12" t="s">
        <v>46</v>
      </c>
      <c r="H4689" s="11" t="s">
        <v>63</v>
      </c>
      <c r="I4689" s="13" t="s">
        <v>10227</v>
      </c>
      <c r="J4689" s="14" t="str">
        <f>HYPERLINK("https://www.boe.es/gazeta/dias/1839/10/25/pdfs/GMD-1839-1811.pdf#page=3","Abrir facsímil")</f>
        <v>Abrir facsímil</v>
      </c>
      <c r="K4689" s="12" t="s">
        <v>65</v>
      </c>
    </row>
    <row r="4690" spans="1:11" ht="40.049999999999997" customHeight="1" x14ac:dyDescent="0.25">
      <c r="A4690" s="11" t="s">
        <v>10164</v>
      </c>
      <c r="B4690" s="11" t="s">
        <v>10165</v>
      </c>
      <c r="C4690" s="11" t="s">
        <v>17</v>
      </c>
      <c r="D4690" s="11" t="s">
        <v>18</v>
      </c>
      <c r="E4690" s="12" t="s">
        <v>1679</v>
      </c>
      <c r="F4690" s="12" t="s">
        <v>1680</v>
      </c>
      <c r="G4690" s="12" t="s">
        <v>46</v>
      </c>
      <c r="H4690" s="11" t="s">
        <v>63</v>
      </c>
      <c r="I4690" s="13" t="s">
        <v>10228</v>
      </c>
      <c r="J4690" s="14" t="str">
        <f>HYPERLINK("https://www.boe.es/gazeta/dias/1839/01/26/pdfs/GMD-1839-1533.pdf#page=3","Abrir facsímil")</f>
        <v>Abrir facsímil</v>
      </c>
      <c r="K4690" s="12" t="s">
        <v>65</v>
      </c>
    </row>
    <row r="4691" spans="1:11" ht="40.049999999999997" customHeight="1" x14ac:dyDescent="0.25">
      <c r="A4691" s="11" t="s">
        <v>10164</v>
      </c>
      <c r="B4691" s="11" t="s">
        <v>10165</v>
      </c>
      <c r="C4691" s="11" t="s">
        <v>17</v>
      </c>
      <c r="D4691" s="11" t="s">
        <v>18</v>
      </c>
      <c r="E4691" s="12" t="s">
        <v>4787</v>
      </c>
      <c r="F4691" s="12" t="s">
        <v>4788</v>
      </c>
      <c r="G4691" s="12" t="s">
        <v>29</v>
      </c>
      <c r="H4691" s="11" t="s">
        <v>63</v>
      </c>
      <c r="I4691" s="13" t="s">
        <v>10229</v>
      </c>
      <c r="J4691" s="14" t="str">
        <f>HYPERLINK("https://www.boe.es/gazeta/dias/1839/05/26/pdfs/GMD-1839-1653.pdf#page=1","Abrir facsímil")</f>
        <v>Abrir facsímil</v>
      </c>
      <c r="K4691" s="12" t="s">
        <v>65</v>
      </c>
    </row>
    <row r="4692" spans="1:11" ht="40.049999999999997" customHeight="1" x14ac:dyDescent="0.25">
      <c r="A4692" s="11" t="s">
        <v>10164</v>
      </c>
      <c r="B4692" s="11" t="s">
        <v>10165</v>
      </c>
      <c r="C4692" s="11" t="s">
        <v>137</v>
      </c>
      <c r="D4692" s="11" t="s">
        <v>18</v>
      </c>
      <c r="E4692" s="12" t="s">
        <v>284</v>
      </c>
      <c r="F4692" s="12" t="s">
        <v>285</v>
      </c>
      <c r="G4692" s="12" t="s">
        <v>46</v>
      </c>
      <c r="H4692" s="11" t="s">
        <v>63</v>
      </c>
      <c r="I4692" s="13" t="s">
        <v>10230</v>
      </c>
      <c r="J4692" s="14" t="str">
        <f>HYPERLINK("https://www.boe.es/gazeta/dias/1839/01/27/pdfs/GMD-1839-1534.pdf#page=3","Abrir facsímil")</f>
        <v>Abrir facsímil</v>
      </c>
      <c r="K4692" s="12" t="s">
        <v>65</v>
      </c>
    </row>
    <row r="4693" spans="1:11" ht="40.049999999999997" customHeight="1" x14ac:dyDescent="0.25">
      <c r="A4693" s="11" t="s">
        <v>10164</v>
      </c>
      <c r="B4693" s="11" t="s">
        <v>10165</v>
      </c>
      <c r="C4693" s="11" t="s">
        <v>17</v>
      </c>
      <c r="D4693" s="11" t="s">
        <v>18</v>
      </c>
      <c r="E4693" s="12" t="s">
        <v>1398</v>
      </c>
      <c r="F4693" s="12" t="s">
        <v>1399</v>
      </c>
      <c r="G4693" s="12" t="s">
        <v>29</v>
      </c>
      <c r="H4693" s="11" t="s">
        <v>63</v>
      </c>
      <c r="I4693" s="13" t="s">
        <v>10231</v>
      </c>
      <c r="J4693" s="14" t="str">
        <f>HYPERLINK("https://www.boe.es/gazeta/dias/1839/05/27/pdfs/GMD-1839-1654.pdf#page=1","Abrir facsímil")</f>
        <v>Abrir facsímil</v>
      </c>
      <c r="K4693" s="12" t="s">
        <v>65</v>
      </c>
    </row>
    <row r="4694" spans="1:11" ht="40.049999999999997" customHeight="1" x14ac:dyDescent="0.25">
      <c r="A4694" s="11" t="s">
        <v>10164</v>
      </c>
      <c r="B4694" s="11" t="s">
        <v>10165</v>
      </c>
      <c r="C4694" s="11" t="s">
        <v>17</v>
      </c>
      <c r="D4694" s="11" t="s">
        <v>18</v>
      </c>
      <c r="E4694" s="12" t="s">
        <v>522</v>
      </c>
      <c r="F4694" s="12" t="s">
        <v>523</v>
      </c>
      <c r="G4694" s="12" t="s">
        <v>566</v>
      </c>
      <c r="H4694" s="11" t="s">
        <v>63</v>
      </c>
      <c r="I4694" s="13" t="s">
        <v>10232</v>
      </c>
      <c r="J4694" s="14" t="str">
        <f>HYPERLINK("https://www.boe.es/gazeta/dias/1839/08/27/pdfs/GMD-1839-1748.pdf#page=5","Abrir facsímil")</f>
        <v>Abrir facsímil</v>
      </c>
      <c r="K4694" s="12" t="s">
        <v>65</v>
      </c>
    </row>
    <row r="4695" spans="1:11" ht="40.049999999999997" customHeight="1" x14ac:dyDescent="0.25">
      <c r="A4695" s="11" t="s">
        <v>10164</v>
      </c>
      <c r="B4695" s="11" t="s">
        <v>10165</v>
      </c>
      <c r="C4695" s="11" t="s">
        <v>17</v>
      </c>
      <c r="D4695" s="11" t="s">
        <v>18</v>
      </c>
      <c r="E4695" s="12" t="s">
        <v>668</v>
      </c>
      <c r="F4695" s="12" t="s">
        <v>669</v>
      </c>
      <c r="G4695" s="12" t="s">
        <v>29</v>
      </c>
      <c r="H4695" s="11" t="s">
        <v>63</v>
      </c>
      <c r="I4695" s="13" t="s">
        <v>10233</v>
      </c>
      <c r="J4695" s="14" t="str">
        <f>HYPERLINK("https://www.boe.es/gazeta/dias/1839/03/28/pdfs/GMD-1839-1594.pdf#page=1","Abrir facsímil")</f>
        <v>Abrir facsímil</v>
      </c>
      <c r="K4695" s="12" t="s">
        <v>65</v>
      </c>
    </row>
    <row r="4696" spans="1:11" ht="40.049999999999997" customHeight="1" x14ac:dyDescent="0.25">
      <c r="A4696" s="11" t="s">
        <v>10164</v>
      </c>
      <c r="B4696" s="11" t="s">
        <v>10165</v>
      </c>
      <c r="C4696" s="11" t="s">
        <v>17</v>
      </c>
      <c r="D4696" s="11" t="s">
        <v>18</v>
      </c>
      <c r="E4696" s="12" t="s">
        <v>862</v>
      </c>
      <c r="F4696" s="12" t="s">
        <v>863</v>
      </c>
      <c r="G4696" s="12" t="s">
        <v>29</v>
      </c>
      <c r="H4696" s="11" t="s">
        <v>63</v>
      </c>
      <c r="I4696" s="13" t="s">
        <v>10234</v>
      </c>
      <c r="J4696" s="14" t="str">
        <f>HYPERLINK("https://www.boe.es/gazeta/dias/1839/10/28/pdfs/GMD-1839-1814.pdf#page=1","Abrir facsímil")</f>
        <v>Abrir facsímil</v>
      </c>
      <c r="K4696" s="12" t="s">
        <v>65</v>
      </c>
    </row>
    <row r="4697" spans="1:11" ht="40.049999999999997" customHeight="1" x14ac:dyDescent="0.25">
      <c r="A4697" s="11" t="s">
        <v>10164</v>
      </c>
      <c r="B4697" s="11" t="s">
        <v>10165</v>
      </c>
      <c r="C4697" s="11" t="s">
        <v>17</v>
      </c>
      <c r="D4697" s="11" t="s">
        <v>18</v>
      </c>
      <c r="E4697" s="12" t="s">
        <v>1807</v>
      </c>
      <c r="F4697" s="12" t="s">
        <v>1808</v>
      </c>
      <c r="G4697" s="12" t="s">
        <v>40</v>
      </c>
      <c r="H4697" s="11" t="s">
        <v>63</v>
      </c>
      <c r="I4697" s="13" t="s">
        <v>10235</v>
      </c>
      <c r="J4697" s="14" t="str">
        <f>HYPERLINK("https://www.boe.es/gazeta/dias/1839/01/29/pdfs/GMD-1839-1536.pdf#page=2","Abrir facsímil")</f>
        <v>Abrir facsímil</v>
      </c>
      <c r="K4697" s="12" t="s">
        <v>65</v>
      </c>
    </row>
    <row r="4698" spans="1:11" ht="40.049999999999997" customHeight="1" x14ac:dyDescent="0.25">
      <c r="A4698" s="11" t="s">
        <v>10164</v>
      </c>
      <c r="B4698" s="11" t="s">
        <v>10165</v>
      </c>
      <c r="C4698" s="11" t="s">
        <v>137</v>
      </c>
      <c r="D4698" s="11" t="s">
        <v>18</v>
      </c>
      <c r="E4698" s="12" t="s">
        <v>912</v>
      </c>
      <c r="F4698" s="12" t="s">
        <v>913</v>
      </c>
      <c r="G4698" s="12" t="s">
        <v>46</v>
      </c>
      <c r="H4698" s="11" t="s">
        <v>63</v>
      </c>
      <c r="I4698" s="13" t="s">
        <v>10236</v>
      </c>
      <c r="J4698" s="14" t="str">
        <f>HYPERLINK("https://www.boe.es/gazeta/dias/1839/04/30/pdfs/GMD-1839-1627.pdf#page=3","Abrir facsímil")</f>
        <v>Abrir facsímil</v>
      </c>
      <c r="K4698" s="12" t="s">
        <v>65</v>
      </c>
    </row>
    <row r="4699" spans="1:11" ht="40.049999999999997" customHeight="1" x14ac:dyDescent="0.25">
      <c r="A4699" s="11" t="s">
        <v>10164</v>
      </c>
      <c r="B4699" s="11" t="s">
        <v>10165</v>
      </c>
      <c r="C4699" s="11" t="s">
        <v>17</v>
      </c>
      <c r="D4699" s="11" t="s">
        <v>18</v>
      </c>
      <c r="E4699" s="12" t="s">
        <v>1551</v>
      </c>
      <c r="F4699" s="12" t="s">
        <v>1552</v>
      </c>
      <c r="G4699" s="12" t="s">
        <v>29</v>
      </c>
      <c r="H4699" s="11" t="s">
        <v>63</v>
      </c>
      <c r="I4699" s="13" t="s">
        <v>10237</v>
      </c>
      <c r="J4699" s="14" t="str">
        <f>HYPERLINK("https://www.boe.es/gazeta/dias/1839/06/30/pdfs/GMD-1839-1688.pdf#page=1","Abrir facsímil")</f>
        <v>Abrir facsímil</v>
      </c>
      <c r="K4699" s="12" t="s">
        <v>65</v>
      </c>
    </row>
    <row r="4700" spans="1:11" ht="40.049999999999997" customHeight="1" x14ac:dyDescent="0.25">
      <c r="A4700" s="11" t="s">
        <v>10164</v>
      </c>
      <c r="B4700" s="11" t="s">
        <v>10165</v>
      </c>
      <c r="C4700" s="11" t="s">
        <v>17</v>
      </c>
      <c r="D4700" s="11" t="s">
        <v>18</v>
      </c>
      <c r="E4700" s="12" t="s">
        <v>1118</v>
      </c>
      <c r="F4700" s="12" t="s">
        <v>1119</v>
      </c>
      <c r="G4700" s="12" t="s">
        <v>21</v>
      </c>
      <c r="H4700" s="11" t="s">
        <v>63</v>
      </c>
      <c r="I4700" s="13" t="s">
        <v>10238</v>
      </c>
      <c r="J4700" s="14" t="str">
        <f>HYPERLINK("https://www.boe.es/gazeta/dias/1839/08/30/pdfs/GMD-1839-1751.pdf#page=4","Abrir facsímil")</f>
        <v>Abrir facsímil</v>
      </c>
      <c r="K4700" s="12" t="s">
        <v>65</v>
      </c>
    </row>
    <row r="4701" spans="1:11" ht="40.049999999999997" customHeight="1" x14ac:dyDescent="0.25">
      <c r="A4701" s="11" t="s">
        <v>10239</v>
      </c>
      <c r="B4701" s="11" t="s">
        <v>10240</v>
      </c>
      <c r="C4701" s="11" t="s">
        <v>80</v>
      </c>
      <c r="D4701" s="11" t="s">
        <v>18</v>
      </c>
      <c r="E4701" s="12" t="s">
        <v>1479</v>
      </c>
      <c r="F4701" s="12" t="s">
        <v>1480</v>
      </c>
      <c r="G4701" s="12" t="s">
        <v>40</v>
      </c>
      <c r="H4701" s="11" t="s">
        <v>63</v>
      </c>
      <c r="I4701" s="13" t="s">
        <v>10241</v>
      </c>
      <c r="J4701" s="14" t="str">
        <f>HYPERLINK("https://www.boe.es/gazeta/dias/1839/04/09/pdfs/GMD-1839-1606.pdf#page=2","Abrir facsímil")</f>
        <v>Abrir facsímil</v>
      </c>
      <c r="K4701" s="12" t="s">
        <v>65</v>
      </c>
    </row>
    <row r="4702" spans="1:11" ht="40.049999999999997" customHeight="1" x14ac:dyDescent="0.25">
      <c r="A4702" s="11" t="s">
        <v>10239</v>
      </c>
      <c r="B4702" s="11" t="s">
        <v>10240</v>
      </c>
      <c r="C4702" s="11" t="s">
        <v>59</v>
      </c>
      <c r="D4702" s="11" t="s">
        <v>60</v>
      </c>
      <c r="E4702" s="12" t="s">
        <v>1374</v>
      </c>
      <c r="F4702" s="12" t="s">
        <v>1375</v>
      </c>
      <c r="G4702" s="12" t="s">
        <v>40</v>
      </c>
      <c r="H4702" s="11" t="s">
        <v>63</v>
      </c>
      <c r="I4702" s="13" t="s">
        <v>10242</v>
      </c>
      <c r="J4702" s="14" t="str">
        <f>HYPERLINK("https://www.boe.es/gazeta/dias/1839/07/20/pdfs/GMD-1839-1708.pdf#page=2","Abrir facsímil")</f>
        <v>Abrir facsímil</v>
      </c>
      <c r="K4702" s="12" t="s">
        <v>65</v>
      </c>
    </row>
    <row r="4703" spans="1:11" ht="40.049999999999997" customHeight="1" x14ac:dyDescent="0.25">
      <c r="A4703" s="11" t="s">
        <v>10239</v>
      </c>
      <c r="B4703" s="11" t="s">
        <v>10240</v>
      </c>
      <c r="C4703" s="11" t="s">
        <v>80</v>
      </c>
      <c r="D4703" s="11" t="s">
        <v>18</v>
      </c>
      <c r="E4703" s="12" t="s">
        <v>1794</v>
      </c>
      <c r="F4703" s="12" t="s">
        <v>1795</v>
      </c>
      <c r="G4703" s="12" t="s">
        <v>40</v>
      </c>
      <c r="H4703" s="11" t="s">
        <v>63</v>
      </c>
      <c r="I4703" s="13" t="s">
        <v>10243</v>
      </c>
      <c r="J4703" s="14" t="str">
        <f>HYPERLINK("https://www.boe.es/gazeta/dias/1839/02/22/pdfs/GMD-1839-1560.pdf#page=2","Abrir facsímil")</f>
        <v>Abrir facsímil</v>
      </c>
      <c r="K4703" s="12" t="s">
        <v>65</v>
      </c>
    </row>
    <row r="4704" spans="1:11" ht="40.049999999999997" customHeight="1" x14ac:dyDescent="0.25">
      <c r="A4704" s="11" t="s">
        <v>10244</v>
      </c>
      <c r="B4704" s="11" t="s">
        <v>10245</v>
      </c>
      <c r="C4704" s="11" t="s">
        <v>17</v>
      </c>
      <c r="D4704" s="11" t="s">
        <v>18</v>
      </c>
      <c r="E4704" s="12" t="s">
        <v>185</v>
      </c>
      <c r="F4704" s="12" t="s">
        <v>186</v>
      </c>
      <c r="G4704" s="12" t="s">
        <v>21</v>
      </c>
      <c r="H4704" s="11" t="s">
        <v>63</v>
      </c>
      <c r="I4704" s="13" t="s">
        <v>10246</v>
      </c>
      <c r="J4704" s="14" t="str">
        <f>HYPERLINK("https://www.boe.es/gazeta/dias/1839/01/15/pdfs/GMD-1839-1522.pdf#page=4","Abrir facsímil")</f>
        <v>Abrir facsímil</v>
      </c>
      <c r="K4704" s="12" t="s">
        <v>65</v>
      </c>
    </row>
    <row r="4705" spans="1:11" ht="40.049999999999997" customHeight="1" x14ac:dyDescent="0.25">
      <c r="A4705" s="11" t="s">
        <v>10247</v>
      </c>
      <c r="B4705" s="11" t="s">
        <v>10248</v>
      </c>
      <c r="C4705" s="11" t="s">
        <v>80</v>
      </c>
      <c r="D4705" s="11" t="s">
        <v>18</v>
      </c>
      <c r="E4705" s="12" t="s">
        <v>1794</v>
      </c>
      <c r="F4705" s="12" t="s">
        <v>1795</v>
      </c>
      <c r="G4705" s="12" t="s">
        <v>40</v>
      </c>
      <c r="H4705" s="11" t="s">
        <v>63</v>
      </c>
      <c r="I4705" s="13" t="s">
        <v>10249</v>
      </c>
      <c r="J4705" s="14" t="str">
        <f>HYPERLINK("https://www.boe.es/gazeta/dias/1839/02/22/pdfs/GMD-1839-1560.pdf#page=2","Abrir facsímil")</f>
        <v>Abrir facsímil</v>
      </c>
      <c r="K4705" s="12" t="s">
        <v>65</v>
      </c>
    </row>
    <row r="4706" spans="1:11" ht="40.049999999999997" customHeight="1" x14ac:dyDescent="0.25">
      <c r="A4706" s="11" t="s">
        <v>10250</v>
      </c>
      <c r="B4706" s="11" t="s">
        <v>10251</v>
      </c>
      <c r="C4706" s="11" t="s">
        <v>17</v>
      </c>
      <c r="D4706" s="11" t="s">
        <v>18</v>
      </c>
      <c r="E4706" s="12" t="s">
        <v>596</v>
      </c>
      <c r="F4706" s="12" t="s">
        <v>597</v>
      </c>
      <c r="G4706" s="12" t="s">
        <v>40</v>
      </c>
      <c r="H4706" s="11" t="s">
        <v>63</v>
      </c>
      <c r="I4706" s="13" t="s">
        <v>10252</v>
      </c>
      <c r="J4706" s="14" t="str">
        <f>HYPERLINK("https://www.boe.es/gazeta/dias/1839/01/23/pdfs/GMD-1839-1530.pdf#page=2","Abrir facsímil")</f>
        <v>Abrir facsímil</v>
      </c>
      <c r="K4706" s="12" t="s">
        <v>65</v>
      </c>
    </row>
    <row r="4707" spans="1:11" ht="40.049999999999997" customHeight="1" x14ac:dyDescent="0.25">
      <c r="A4707" s="11" t="s">
        <v>10253</v>
      </c>
      <c r="B4707" s="11" t="s">
        <v>10254</v>
      </c>
      <c r="C4707" s="11" t="s">
        <v>17</v>
      </c>
      <c r="D4707" s="11" t="s">
        <v>43</v>
      </c>
      <c r="E4707" s="12" t="s">
        <v>527</v>
      </c>
      <c r="F4707" s="12" t="s">
        <v>528</v>
      </c>
      <c r="G4707" s="12" t="s">
        <v>40</v>
      </c>
      <c r="H4707" s="11" t="s">
        <v>63</v>
      </c>
      <c r="I4707" s="13" t="s">
        <v>10255</v>
      </c>
      <c r="J4707" s="14" t="str">
        <f>HYPERLINK("https://www.boe.es/gazeta/dias/1839/07/10/pdfs/GMD-1839-1698.pdf#page=2","Abrir facsímil")</f>
        <v>Abrir facsímil</v>
      </c>
      <c r="K4707" s="12" t="s">
        <v>65</v>
      </c>
    </row>
    <row r="4708" spans="1:11" ht="40.049999999999997" customHeight="1" x14ac:dyDescent="0.25">
      <c r="A4708" s="11" t="s">
        <v>10256</v>
      </c>
      <c r="B4708" s="11" t="s">
        <v>10257</v>
      </c>
      <c r="C4708" s="11" t="s">
        <v>101</v>
      </c>
      <c r="D4708" s="11" t="s">
        <v>43</v>
      </c>
      <c r="E4708" s="12" t="s">
        <v>571</v>
      </c>
      <c r="F4708" s="12" t="s">
        <v>572</v>
      </c>
      <c r="G4708" s="12" t="s">
        <v>40</v>
      </c>
      <c r="H4708" s="11" t="s">
        <v>63</v>
      </c>
      <c r="I4708" s="13" t="s">
        <v>10258</v>
      </c>
      <c r="J4708" s="14" t="str">
        <f>HYPERLINK("https://www.boe.es/gazeta/dias/1839/09/27/pdfs/GMD-1839-1783.pdf#page=2","Abrir facsímil")</f>
        <v>Abrir facsímil</v>
      </c>
      <c r="K4708" s="12" t="s">
        <v>65</v>
      </c>
    </row>
    <row r="4709" spans="1:11" ht="40.049999999999997" customHeight="1" x14ac:dyDescent="0.25">
      <c r="A4709" s="11" t="s">
        <v>10259</v>
      </c>
      <c r="B4709" s="11" t="s">
        <v>10260</v>
      </c>
      <c r="C4709" s="11" t="s">
        <v>17</v>
      </c>
      <c r="D4709" s="11" t="s">
        <v>18</v>
      </c>
      <c r="E4709" s="12" t="s">
        <v>2738</v>
      </c>
      <c r="F4709" s="12" t="s">
        <v>2739</v>
      </c>
      <c r="G4709" s="12" t="s">
        <v>40</v>
      </c>
      <c r="H4709" s="11" t="s">
        <v>63</v>
      </c>
      <c r="I4709" s="13" t="s">
        <v>10261</v>
      </c>
      <c r="J4709" s="14" t="str">
        <f>HYPERLINK("https://www.boe.es/gazeta/dias/1839/09/06/pdfs/GMD-1839-1759.pdf#page=2","Abrir facsímil")</f>
        <v>Abrir facsímil</v>
      </c>
      <c r="K4709" s="12" t="s">
        <v>65</v>
      </c>
    </row>
    <row r="4710" spans="1:11" ht="40.049999999999997" customHeight="1" x14ac:dyDescent="0.25">
      <c r="A4710" s="11" t="s">
        <v>10262</v>
      </c>
      <c r="B4710" s="11" t="s">
        <v>10263</v>
      </c>
      <c r="C4710" s="11" t="s">
        <v>17</v>
      </c>
      <c r="D4710" s="11" t="s">
        <v>18</v>
      </c>
      <c r="E4710" s="12" t="s">
        <v>1644</v>
      </c>
      <c r="F4710" s="12" t="s">
        <v>1645</v>
      </c>
      <c r="G4710" s="12" t="s">
        <v>40</v>
      </c>
      <c r="H4710" s="11" t="s">
        <v>63</v>
      </c>
      <c r="I4710" s="13" t="s">
        <v>10264</v>
      </c>
      <c r="J4710" s="14" t="str">
        <f>HYPERLINK("https://www.boe.es/gazeta/dias/1839/04/16/pdfs/GMD-1839-1613.pdf#page=2","Abrir facsímil")</f>
        <v>Abrir facsímil</v>
      </c>
      <c r="K4710" s="12" t="s">
        <v>65</v>
      </c>
    </row>
    <row r="4711" spans="1:11" ht="40.049999999999997" customHeight="1" x14ac:dyDescent="0.25">
      <c r="A4711" s="11" t="s">
        <v>10265</v>
      </c>
      <c r="B4711" s="11" t="s">
        <v>10266</v>
      </c>
      <c r="C4711" s="11" t="s">
        <v>17</v>
      </c>
      <c r="D4711" s="11" t="s">
        <v>18</v>
      </c>
      <c r="E4711" s="12" t="s">
        <v>2491</v>
      </c>
      <c r="F4711" s="12" t="s">
        <v>2492</v>
      </c>
      <c r="G4711" s="12" t="s">
        <v>46</v>
      </c>
      <c r="H4711" s="11" t="s">
        <v>63</v>
      </c>
      <c r="I4711" s="13" t="s">
        <v>10267</v>
      </c>
      <c r="J4711" s="14" t="str">
        <f>HYPERLINK("https://www.boe.es/gazeta/dias/1839/05/01/pdfs/GMD-1839-1628.pdf#page=3","Abrir facsímil")</f>
        <v>Abrir facsímil</v>
      </c>
      <c r="K4711" s="12" t="s">
        <v>65</v>
      </c>
    </row>
    <row r="4712" spans="1:11" ht="40.049999999999997" customHeight="1" x14ac:dyDescent="0.25">
      <c r="A4712" s="11" t="s">
        <v>10268</v>
      </c>
      <c r="B4712" s="11" t="s">
        <v>10269</v>
      </c>
      <c r="C4712" s="11" t="s">
        <v>80</v>
      </c>
      <c r="D4712" s="11" t="s">
        <v>18</v>
      </c>
      <c r="E4712" s="12" t="s">
        <v>401</v>
      </c>
      <c r="F4712" s="12" t="s">
        <v>402</v>
      </c>
      <c r="G4712" s="12" t="s">
        <v>29</v>
      </c>
      <c r="H4712" s="11" t="s">
        <v>63</v>
      </c>
      <c r="I4712" s="13" t="s">
        <v>10270</v>
      </c>
      <c r="J4712" s="14" t="str">
        <f>HYPERLINK("https://www.boe.es/gazeta/dias/1839/03/29/pdfs/GMD-1839-1595.pdf#page=1","Abrir facsímil")</f>
        <v>Abrir facsímil</v>
      </c>
      <c r="K4712" s="12" t="s">
        <v>65</v>
      </c>
    </row>
    <row r="4713" spans="1:11" ht="40.049999999999997" customHeight="1" x14ac:dyDescent="0.25">
      <c r="A4713" s="11" t="s">
        <v>10271</v>
      </c>
      <c r="B4713" s="11" t="s">
        <v>10272</v>
      </c>
      <c r="C4713" s="11" t="s">
        <v>17</v>
      </c>
      <c r="D4713" s="11" t="s">
        <v>18</v>
      </c>
      <c r="E4713" s="12" t="s">
        <v>108</v>
      </c>
      <c r="F4713" s="12" t="s">
        <v>109</v>
      </c>
      <c r="G4713" s="12" t="s">
        <v>21</v>
      </c>
      <c r="H4713" s="11" t="s">
        <v>63</v>
      </c>
      <c r="I4713" s="13" t="s">
        <v>10273</v>
      </c>
      <c r="J4713" s="14" t="str">
        <f>HYPERLINK("https://www.boe.es/gazeta/dias/1839/01/04/pdfs/GMD-1839-1511.pdf#page=4","Abrir facsímil")</f>
        <v>Abrir facsímil</v>
      </c>
      <c r="K4713" s="12" t="s">
        <v>65</v>
      </c>
    </row>
    <row r="4714" spans="1:11" ht="40.049999999999997" customHeight="1" x14ac:dyDescent="0.25">
      <c r="A4714" s="11" t="s">
        <v>10271</v>
      </c>
      <c r="B4714" s="11" t="s">
        <v>10272</v>
      </c>
      <c r="C4714" s="11" t="s">
        <v>17</v>
      </c>
      <c r="D4714" s="11" t="s">
        <v>18</v>
      </c>
      <c r="E4714" s="12" t="s">
        <v>1108</v>
      </c>
      <c r="F4714" s="12" t="s">
        <v>1109</v>
      </c>
      <c r="G4714" s="12" t="s">
        <v>46</v>
      </c>
      <c r="H4714" s="11" t="s">
        <v>63</v>
      </c>
      <c r="I4714" s="13" t="s">
        <v>10274</v>
      </c>
      <c r="J4714" s="14" t="str">
        <f>HYPERLINK("https://www.boe.es/gazeta/dias/1839/09/21/pdfs/GMD-1839-1776.pdf#page=3","Abrir facsímil")</f>
        <v>Abrir facsímil</v>
      </c>
      <c r="K4714" s="12" t="s">
        <v>65</v>
      </c>
    </row>
    <row r="4715" spans="1:11" ht="40.049999999999997" customHeight="1" x14ac:dyDescent="0.25">
      <c r="A4715" s="11" t="s">
        <v>10271</v>
      </c>
      <c r="B4715" s="11" t="s">
        <v>10272</v>
      </c>
      <c r="C4715" s="11" t="s">
        <v>17</v>
      </c>
      <c r="D4715" s="11" t="s">
        <v>18</v>
      </c>
      <c r="E4715" s="12" t="s">
        <v>1433</v>
      </c>
      <c r="F4715" s="12" t="s">
        <v>1434</v>
      </c>
      <c r="G4715" s="12" t="s">
        <v>46</v>
      </c>
      <c r="H4715" s="11" t="s">
        <v>63</v>
      </c>
      <c r="I4715" s="13" t="s">
        <v>10275</v>
      </c>
      <c r="J4715" s="14" t="str">
        <f>HYPERLINK("https://www.boe.es/gazeta/dias/1839/10/22/pdfs/GMD-1839-1808.pdf#page=3","Abrir facsímil")</f>
        <v>Abrir facsímil</v>
      </c>
      <c r="K4715" s="12" t="s">
        <v>65</v>
      </c>
    </row>
    <row r="4716" spans="1:11" ht="40.049999999999997" customHeight="1" x14ac:dyDescent="0.25">
      <c r="A4716" s="11" t="s">
        <v>10276</v>
      </c>
      <c r="B4716" s="11" t="s">
        <v>10277</v>
      </c>
      <c r="C4716" s="11" t="s">
        <v>17</v>
      </c>
      <c r="D4716" s="11" t="s">
        <v>18</v>
      </c>
      <c r="E4716" s="12" t="s">
        <v>84</v>
      </c>
      <c r="F4716" s="12" t="s">
        <v>85</v>
      </c>
      <c r="G4716" s="12" t="s">
        <v>40</v>
      </c>
      <c r="H4716" s="11" t="s">
        <v>22</v>
      </c>
      <c r="I4716" s="13" t="s">
        <v>10278</v>
      </c>
      <c r="J4716" s="14" t="str">
        <f>HYPERLINK("https://www.boe.es/gazeta/dias/1839/03/11/pdfs/GMD-1839-1577.pdf#page=2","Abrir facsímil")</f>
        <v>Abrir facsímil</v>
      </c>
      <c r="K4716" s="12" t="s">
        <v>24</v>
      </c>
    </row>
    <row r="4717" spans="1:11" ht="40.049999999999997" customHeight="1" x14ac:dyDescent="0.25">
      <c r="A4717" s="11" t="s">
        <v>10279</v>
      </c>
      <c r="B4717" s="11" t="s">
        <v>10280</v>
      </c>
      <c r="C4717" s="11" t="s">
        <v>17</v>
      </c>
      <c r="D4717" s="11" t="s">
        <v>18</v>
      </c>
      <c r="E4717" s="12" t="s">
        <v>128</v>
      </c>
      <c r="F4717" s="12" t="s">
        <v>129</v>
      </c>
      <c r="G4717" s="12" t="s">
        <v>21</v>
      </c>
      <c r="H4717" s="11" t="s">
        <v>63</v>
      </c>
      <c r="I4717" s="13" t="s">
        <v>10281</v>
      </c>
      <c r="J4717" s="14" t="str">
        <f>HYPERLINK("https://www.boe.es/gazeta/dias/1839/05/25/pdfs/GMD-1839-1652.pdf#page=4","Abrir facsímil")</f>
        <v>Abrir facsímil</v>
      </c>
      <c r="K4717" s="12" t="s">
        <v>65</v>
      </c>
    </row>
    <row r="4718" spans="1:11" ht="40.049999999999997" customHeight="1" x14ac:dyDescent="0.25">
      <c r="A4718" s="11" t="s">
        <v>10282</v>
      </c>
      <c r="B4718" s="11" t="s">
        <v>10283</v>
      </c>
      <c r="C4718" s="11" t="s">
        <v>80</v>
      </c>
      <c r="D4718" s="11" t="s">
        <v>18</v>
      </c>
      <c r="E4718" s="12" t="s">
        <v>486</v>
      </c>
      <c r="F4718" s="12" t="s">
        <v>487</v>
      </c>
      <c r="G4718" s="12" t="s">
        <v>21</v>
      </c>
      <c r="H4718" s="11" t="s">
        <v>63</v>
      </c>
      <c r="I4718" s="13" t="s">
        <v>10284</v>
      </c>
      <c r="J4718" s="14" t="str">
        <f>HYPERLINK("https://www.boe.es/gazeta/dias/1839/04/19/pdfs/GMD-1839-1616.pdf#page=4","Abrir facsímil")</f>
        <v>Abrir facsímil</v>
      </c>
      <c r="K4718" s="12" t="s">
        <v>65</v>
      </c>
    </row>
    <row r="4719" spans="1:11" ht="40.049999999999997" customHeight="1" x14ac:dyDescent="0.25">
      <c r="A4719" s="11" t="s">
        <v>10285</v>
      </c>
      <c r="B4719" s="11" t="s">
        <v>10286</v>
      </c>
      <c r="C4719" s="11" t="s">
        <v>101</v>
      </c>
      <c r="D4719" s="11" t="s">
        <v>102</v>
      </c>
      <c r="E4719" s="12" t="s">
        <v>138</v>
      </c>
      <c r="F4719" s="12" t="s">
        <v>139</v>
      </c>
      <c r="G4719" s="12" t="s">
        <v>29</v>
      </c>
      <c r="H4719" s="11" t="s">
        <v>63</v>
      </c>
      <c r="I4719" s="13" t="s">
        <v>10287</v>
      </c>
      <c r="J4719" s="14" t="str">
        <f>HYPERLINK("https://www.boe.es/gazeta/dias/1839/10/09/pdfs/GMD-1839-1795.pdf#page=1","Abrir facsímil")</f>
        <v>Abrir facsímil</v>
      </c>
      <c r="K4719" s="12" t="s">
        <v>65</v>
      </c>
    </row>
    <row r="4720" spans="1:11" ht="40.049999999999997" customHeight="1" x14ac:dyDescent="0.25">
      <c r="A4720" s="11" t="s">
        <v>10288</v>
      </c>
      <c r="B4720" s="11" t="s">
        <v>10289</v>
      </c>
      <c r="C4720" s="11" t="s">
        <v>80</v>
      </c>
      <c r="D4720" s="11" t="s">
        <v>18</v>
      </c>
      <c r="E4720" s="12" t="s">
        <v>372</v>
      </c>
      <c r="F4720" s="12" t="s">
        <v>373</v>
      </c>
      <c r="G4720" s="12" t="s">
        <v>21</v>
      </c>
      <c r="H4720" s="11" t="s">
        <v>63</v>
      </c>
      <c r="I4720" s="13" t="s">
        <v>10290</v>
      </c>
      <c r="J4720" s="14" t="str">
        <f>HYPERLINK("https://www.boe.es/gazeta/dias/1839/11/08/pdfs/GMD-1839-1825.pdf#page=4","Abrir facsímil")</f>
        <v>Abrir facsímil</v>
      </c>
      <c r="K4720" s="12" t="s">
        <v>65</v>
      </c>
    </row>
    <row r="4721" spans="1:11" ht="40.049999999999997" customHeight="1" x14ac:dyDescent="0.25">
      <c r="A4721" s="11" t="s">
        <v>10291</v>
      </c>
      <c r="B4721" s="11" t="s">
        <v>10292</v>
      </c>
      <c r="C4721" s="11" t="s">
        <v>59</v>
      </c>
      <c r="D4721" s="11" t="s">
        <v>60</v>
      </c>
      <c r="E4721" s="12" t="s">
        <v>398</v>
      </c>
      <c r="F4721" s="12" t="s">
        <v>399</v>
      </c>
      <c r="G4721" s="12" t="s">
        <v>40</v>
      </c>
      <c r="H4721" s="11" t="s">
        <v>63</v>
      </c>
      <c r="I4721" s="13" t="s">
        <v>10293</v>
      </c>
      <c r="J4721" s="14" t="str">
        <f>HYPERLINK("https://www.boe.es/gazeta/dias/1839/05/17/pdfs/GMD-1839-1644.pdf#page=2","Abrir facsímil")</f>
        <v>Abrir facsímil</v>
      </c>
      <c r="K4721" s="12" t="s">
        <v>65</v>
      </c>
    </row>
    <row r="4722" spans="1:11" ht="40.049999999999997" customHeight="1" x14ac:dyDescent="0.25">
      <c r="A4722" s="11" t="s">
        <v>10294</v>
      </c>
      <c r="B4722" s="11" t="s">
        <v>10295</v>
      </c>
      <c r="C4722" s="11" t="s">
        <v>17</v>
      </c>
      <c r="D4722" s="11" t="s">
        <v>18</v>
      </c>
      <c r="E4722" s="12" t="s">
        <v>352</v>
      </c>
      <c r="F4722" s="12" t="s">
        <v>353</v>
      </c>
      <c r="G4722" s="12" t="s">
        <v>29</v>
      </c>
      <c r="H4722" s="11" t="s">
        <v>63</v>
      </c>
      <c r="I4722" s="13" t="s">
        <v>10296</v>
      </c>
      <c r="J4722" s="14" t="str">
        <f>HYPERLINK("https://www.boe.es/gazeta/dias/1839/03/30/pdfs/GMD-1839-1596.pdf#page=1","Abrir facsímil")</f>
        <v>Abrir facsímil</v>
      </c>
      <c r="K4722" s="12" t="s">
        <v>65</v>
      </c>
    </row>
    <row r="4723" spans="1:11" ht="40.049999999999997" customHeight="1" x14ac:dyDescent="0.25">
      <c r="A4723" s="11" t="s">
        <v>10297</v>
      </c>
      <c r="B4723" s="11" t="s">
        <v>10298</v>
      </c>
      <c r="C4723" s="11" t="s">
        <v>80</v>
      </c>
      <c r="D4723" s="11" t="s">
        <v>18</v>
      </c>
      <c r="E4723" s="12" t="s">
        <v>222</v>
      </c>
      <c r="F4723" s="12" t="s">
        <v>223</v>
      </c>
      <c r="G4723" s="12" t="s">
        <v>21</v>
      </c>
      <c r="H4723" s="11" t="s">
        <v>63</v>
      </c>
      <c r="I4723" s="13" t="s">
        <v>10299</v>
      </c>
      <c r="J4723" s="14" t="str">
        <f>HYPERLINK("https://www.boe.es/gazeta/dias/1839/06/22/pdfs/GMD-1839-1680.pdf#page=4","Abrir facsímil")</f>
        <v>Abrir facsímil</v>
      </c>
      <c r="K4723" s="12" t="s">
        <v>65</v>
      </c>
    </row>
    <row r="4724" spans="1:11" ht="40.049999999999997" customHeight="1" x14ac:dyDescent="0.25">
      <c r="A4724" s="11" t="s">
        <v>10300</v>
      </c>
      <c r="B4724" s="11" t="s">
        <v>10301</v>
      </c>
      <c r="C4724" s="11" t="s">
        <v>17</v>
      </c>
      <c r="D4724" s="11" t="s">
        <v>18</v>
      </c>
      <c r="E4724" s="12" t="s">
        <v>1391</v>
      </c>
      <c r="F4724" s="12" t="s">
        <v>1392</v>
      </c>
      <c r="G4724" s="12" t="s">
        <v>21</v>
      </c>
      <c r="H4724" s="11" t="s">
        <v>63</v>
      </c>
      <c r="I4724" s="13" t="s">
        <v>10302</v>
      </c>
      <c r="J4724" s="14" t="str">
        <f>HYPERLINK("https://www.boe.es/gazeta/dias/1839/05/12/pdfs/GMD-1839-1639.pdf#page=4","Abrir facsímil")</f>
        <v>Abrir facsímil</v>
      </c>
      <c r="K4724" s="12" t="s">
        <v>65</v>
      </c>
    </row>
    <row r="4725" spans="1:11" ht="40.049999999999997" customHeight="1" x14ac:dyDescent="0.25">
      <c r="A4725" s="11" t="s">
        <v>10303</v>
      </c>
      <c r="B4725" s="11" t="s">
        <v>10304</v>
      </c>
      <c r="C4725" s="11" t="s">
        <v>17</v>
      </c>
      <c r="D4725" s="11" t="s">
        <v>18</v>
      </c>
      <c r="E4725" s="12" t="s">
        <v>700</v>
      </c>
      <c r="F4725" s="12" t="s">
        <v>701</v>
      </c>
      <c r="G4725" s="12" t="s">
        <v>40</v>
      </c>
      <c r="H4725" s="11" t="s">
        <v>22</v>
      </c>
      <c r="I4725" s="13" t="s">
        <v>10305</v>
      </c>
      <c r="J4725" s="14" t="str">
        <f>HYPERLINK("https://www.boe.es/gazeta/dias/1839/09/01/pdfs/GMD-1839-1753.pdf#page=2","Abrir facsímil")</f>
        <v>Abrir facsímil</v>
      </c>
      <c r="K4725" s="12" t="s">
        <v>24</v>
      </c>
    </row>
    <row r="4726" spans="1:11" ht="40.049999999999997" customHeight="1" x14ac:dyDescent="0.25">
      <c r="A4726" s="11" t="s">
        <v>10306</v>
      </c>
      <c r="B4726" s="11" t="s">
        <v>10307</v>
      </c>
      <c r="C4726" s="11" t="s">
        <v>101</v>
      </c>
      <c r="D4726" s="11" t="s">
        <v>43</v>
      </c>
      <c r="E4726" s="12" t="s">
        <v>163</v>
      </c>
      <c r="F4726" s="12" t="s">
        <v>164</v>
      </c>
      <c r="G4726" s="12" t="s">
        <v>40</v>
      </c>
      <c r="H4726" s="11" t="s">
        <v>63</v>
      </c>
      <c r="I4726" s="13" t="s">
        <v>10308</v>
      </c>
      <c r="J4726" s="14" t="str">
        <f>HYPERLINK("https://www.boe.es/gazeta/dias/1839/01/13/pdfs/GMD-1839-1520.pdf#page=2","Abrir facsímil")</f>
        <v>Abrir facsímil</v>
      </c>
      <c r="K4726" s="12" t="s">
        <v>65</v>
      </c>
    </row>
    <row r="4727" spans="1:11" ht="40.049999999999997" customHeight="1" x14ac:dyDescent="0.25">
      <c r="A4727" s="11" t="s">
        <v>10309</v>
      </c>
      <c r="B4727" s="11" t="s">
        <v>10310</v>
      </c>
      <c r="C4727" s="11" t="s">
        <v>17</v>
      </c>
      <c r="D4727" s="11" t="s">
        <v>18</v>
      </c>
      <c r="E4727" s="12" t="s">
        <v>794</v>
      </c>
      <c r="F4727" s="12" t="s">
        <v>795</v>
      </c>
      <c r="G4727" s="12" t="s">
        <v>29</v>
      </c>
      <c r="H4727" s="11" t="s">
        <v>63</v>
      </c>
      <c r="I4727" s="13" t="s">
        <v>10311</v>
      </c>
      <c r="J4727" s="14" t="str">
        <f>HYPERLINK("https://www.boe.es/gazeta/dias/1839/01/22/pdfs/GMD-1839-1529.pdf#page=1","Abrir facsímil")</f>
        <v>Abrir facsímil</v>
      </c>
      <c r="K4727" s="12" t="s">
        <v>65</v>
      </c>
    </row>
    <row r="4728" spans="1:11" ht="40.049999999999997" customHeight="1" x14ac:dyDescent="0.25">
      <c r="A4728" s="11" t="s">
        <v>10312</v>
      </c>
      <c r="B4728" s="11" t="s">
        <v>10313</v>
      </c>
      <c r="C4728" s="11" t="s">
        <v>17</v>
      </c>
      <c r="D4728" s="11" t="s">
        <v>18</v>
      </c>
      <c r="E4728" s="12" t="s">
        <v>312</v>
      </c>
      <c r="F4728" s="12" t="s">
        <v>313</v>
      </c>
      <c r="G4728" s="12" t="s">
        <v>21</v>
      </c>
      <c r="H4728" s="11" t="s">
        <v>63</v>
      </c>
      <c r="I4728" s="13" t="s">
        <v>10314</v>
      </c>
      <c r="J4728" s="14" t="str">
        <f>HYPERLINK("https://www.boe.es/gazeta/dias/1839/11/30/pdfs/GMD-1839-1847.pdf#page=4","Abrir facsímil")</f>
        <v>Abrir facsímil</v>
      </c>
      <c r="K4728" s="12" t="s">
        <v>65</v>
      </c>
    </row>
    <row r="4729" spans="1:11" ht="40.049999999999997" customHeight="1" x14ac:dyDescent="0.25">
      <c r="A4729" s="11" t="s">
        <v>10315</v>
      </c>
      <c r="B4729" s="11" t="s">
        <v>10316</v>
      </c>
      <c r="C4729" s="11" t="s">
        <v>80</v>
      </c>
      <c r="D4729" s="11" t="s">
        <v>18</v>
      </c>
      <c r="E4729" s="12" t="s">
        <v>582</v>
      </c>
      <c r="F4729" s="12" t="s">
        <v>583</v>
      </c>
      <c r="G4729" s="12" t="s">
        <v>21</v>
      </c>
      <c r="H4729" s="11" t="s">
        <v>63</v>
      </c>
      <c r="I4729" s="13" t="s">
        <v>10317</v>
      </c>
      <c r="J4729" s="14" t="str">
        <f>HYPERLINK("https://www.boe.es/gazeta/dias/1839/11/09/pdfs/GMD-1839-1826.pdf#page=4","Abrir facsímil")</f>
        <v>Abrir facsímil</v>
      </c>
      <c r="K4729" s="12" t="s">
        <v>65</v>
      </c>
    </row>
    <row r="4730" spans="1:11" ht="40.049999999999997" customHeight="1" x14ac:dyDescent="0.25">
      <c r="A4730" s="11" t="s">
        <v>10318</v>
      </c>
      <c r="B4730" s="11" t="s">
        <v>10319</v>
      </c>
      <c r="C4730" s="11" t="s">
        <v>17</v>
      </c>
      <c r="D4730" s="11" t="s">
        <v>18</v>
      </c>
      <c r="E4730" s="12" t="s">
        <v>946</v>
      </c>
      <c r="F4730" s="12" t="s">
        <v>947</v>
      </c>
      <c r="G4730" s="12" t="s">
        <v>40</v>
      </c>
      <c r="H4730" s="11" t="s">
        <v>63</v>
      </c>
      <c r="I4730" s="13" t="s">
        <v>10320</v>
      </c>
      <c r="J4730" s="14" t="str">
        <f>HYPERLINK("https://www.boe.es/gazeta/dias/1839/04/15/pdfs/GMD-1839-1612.pdf#page=2","Abrir facsímil")</f>
        <v>Abrir facsímil</v>
      </c>
      <c r="K4730" s="12" t="s">
        <v>65</v>
      </c>
    </row>
    <row r="4731" spans="1:11" ht="40.049999999999997" customHeight="1" x14ac:dyDescent="0.25">
      <c r="A4731" s="11" t="s">
        <v>10321</v>
      </c>
      <c r="B4731" s="11" t="s">
        <v>10322</v>
      </c>
      <c r="C4731" s="11" t="s">
        <v>59</v>
      </c>
      <c r="D4731" s="11" t="s">
        <v>60</v>
      </c>
      <c r="E4731" s="12" t="s">
        <v>500</v>
      </c>
      <c r="F4731" s="12" t="s">
        <v>501</v>
      </c>
      <c r="G4731" s="12" t="s">
        <v>40</v>
      </c>
      <c r="H4731" s="11" t="s">
        <v>63</v>
      </c>
      <c r="I4731" s="13" t="s">
        <v>10323</v>
      </c>
      <c r="J4731" s="14" t="str">
        <f>HYPERLINK("https://www.boe.es/gazeta/dias/1839/11/06/pdfs/GMD-1839-1823.pdf#page=2","Abrir facsímil")</f>
        <v>Abrir facsímil</v>
      </c>
      <c r="K4731" s="12" t="s">
        <v>65</v>
      </c>
    </row>
    <row r="4732" spans="1:11" ht="40.049999999999997" customHeight="1" x14ac:dyDescent="0.25">
      <c r="A4732" s="11" t="s">
        <v>10324</v>
      </c>
      <c r="B4732" s="11" t="s">
        <v>10325</v>
      </c>
      <c r="C4732" s="11" t="s">
        <v>80</v>
      </c>
      <c r="D4732" s="11" t="s">
        <v>18</v>
      </c>
      <c r="E4732" s="12" t="s">
        <v>1663</v>
      </c>
      <c r="F4732" s="12" t="s">
        <v>1664</v>
      </c>
      <c r="G4732" s="12" t="s">
        <v>21</v>
      </c>
      <c r="H4732" s="11" t="s">
        <v>63</v>
      </c>
      <c r="I4732" s="13" t="s">
        <v>10326</v>
      </c>
      <c r="J4732" s="14" t="str">
        <f>HYPERLINK("https://www.boe.es/gazeta/dias/1839/03/22/pdfs/GMD-1839-1588.pdf#page=4","Abrir facsímil")</f>
        <v>Abrir facsímil</v>
      </c>
      <c r="K4732" s="12" t="s">
        <v>65</v>
      </c>
    </row>
    <row r="4733" spans="1:11" ht="40.049999999999997" customHeight="1" x14ac:dyDescent="0.25">
      <c r="A4733" s="11" t="s">
        <v>10327</v>
      </c>
      <c r="B4733" s="11" t="s">
        <v>10328</v>
      </c>
      <c r="C4733" s="11" t="s">
        <v>59</v>
      </c>
      <c r="D4733" s="11" t="s">
        <v>60</v>
      </c>
      <c r="E4733" s="12" t="s">
        <v>385</v>
      </c>
      <c r="F4733" s="12" t="s">
        <v>386</v>
      </c>
      <c r="G4733" s="12" t="s">
        <v>40</v>
      </c>
      <c r="H4733" s="11" t="s">
        <v>63</v>
      </c>
      <c r="I4733" s="13" t="s">
        <v>10329</v>
      </c>
      <c r="J4733" s="14" t="str">
        <f>HYPERLINK("https://www.boe.es/gazeta/dias/1839/08/01/pdfs/GMD-1839-1721.pdf#page=2","Abrir facsímil")</f>
        <v>Abrir facsímil</v>
      </c>
      <c r="K4733" s="12" t="s">
        <v>65</v>
      </c>
    </row>
    <row r="4734" spans="1:11" ht="40.049999999999997" customHeight="1" x14ac:dyDescent="0.25">
      <c r="A4734" s="11" t="s">
        <v>10330</v>
      </c>
      <c r="B4734" s="11" t="s">
        <v>10331</v>
      </c>
      <c r="C4734" s="11" t="s">
        <v>101</v>
      </c>
      <c r="D4734" s="11" t="s">
        <v>102</v>
      </c>
      <c r="E4734" s="12" t="s">
        <v>2378</v>
      </c>
      <c r="F4734" s="12" t="s">
        <v>2379</v>
      </c>
      <c r="G4734" s="12" t="s">
        <v>29</v>
      </c>
      <c r="H4734" s="11" t="s">
        <v>63</v>
      </c>
      <c r="I4734" s="13" t="s">
        <v>10332</v>
      </c>
      <c r="J4734" s="14" t="str">
        <f>HYPERLINK("https://www.boe.es/gazeta/dias/1839/06/20/pdfs/GMD-1839-1678.pdf#page=1","Abrir facsímil")</f>
        <v>Abrir facsímil</v>
      </c>
      <c r="K4734" s="12" t="s">
        <v>65</v>
      </c>
    </row>
    <row r="4735" spans="1:11" ht="40.049999999999997" customHeight="1" x14ac:dyDescent="0.25">
      <c r="A4735" s="11" t="s">
        <v>10333</v>
      </c>
      <c r="B4735" s="11" t="s">
        <v>10334</v>
      </c>
      <c r="C4735" s="11" t="s">
        <v>17</v>
      </c>
      <c r="D4735" s="11" t="s">
        <v>18</v>
      </c>
      <c r="E4735" s="12" t="s">
        <v>303</v>
      </c>
      <c r="F4735" s="12" t="s">
        <v>304</v>
      </c>
      <c r="G4735" s="12" t="s">
        <v>305</v>
      </c>
      <c r="H4735" s="11" t="s">
        <v>22</v>
      </c>
      <c r="I4735" s="13" t="s">
        <v>10335</v>
      </c>
      <c r="J4735" s="14" t="str">
        <f>HYPERLINK("https://www.boe.es/gazeta/dias/1839/10/06/pdfs/GMD-1839-1792.pdf#page=6","Abrir facsímil")</f>
        <v>Abrir facsímil</v>
      </c>
      <c r="K4735" s="12" t="s">
        <v>24</v>
      </c>
    </row>
    <row r="4736" spans="1:11" ht="40.049999999999997" customHeight="1" x14ac:dyDescent="0.25">
      <c r="A4736" s="11" t="s">
        <v>10336</v>
      </c>
      <c r="B4736" s="11" t="s">
        <v>10337</v>
      </c>
      <c r="C4736" s="11" t="s">
        <v>17</v>
      </c>
      <c r="D4736" s="11" t="s">
        <v>18</v>
      </c>
      <c r="E4736" s="12" t="s">
        <v>207</v>
      </c>
      <c r="F4736" s="12" t="s">
        <v>208</v>
      </c>
      <c r="G4736" s="12" t="s">
        <v>40</v>
      </c>
      <c r="H4736" s="11" t="s">
        <v>63</v>
      </c>
      <c r="I4736" s="13" t="s">
        <v>10338</v>
      </c>
      <c r="J4736" s="14" t="str">
        <f>HYPERLINK("https://www.boe.es/gazeta/dias/1839/02/19/pdfs/GMD-1839-1557.pdf#page=2","Abrir facsímil")</f>
        <v>Abrir facsímil</v>
      </c>
      <c r="K4736" s="12" t="s">
        <v>65</v>
      </c>
    </row>
    <row r="4737" spans="1:11" ht="40.049999999999997" customHeight="1" x14ac:dyDescent="0.25">
      <c r="A4737" s="11" t="s">
        <v>10339</v>
      </c>
      <c r="B4737" s="11" t="s">
        <v>10340</v>
      </c>
      <c r="C4737" s="11" t="s">
        <v>59</v>
      </c>
      <c r="D4737" s="11" t="s">
        <v>60</v>
      </c>
      <c r="E4737" s="12" t="s">
        <v>821</v>
      </c>
      <c r="F4737" s="12" t="s">
        <v>822</v>
      </c>
      <c r="G4737" s="12" t="s">
        <v>40</v>
      </c>
      <c r="H4737" s="11" t="s">
        <v>63</v>
      </c>
      <c r="I4737" s="13" t="s">
        <v>10341</v>
      </c>
      <c r="J4737" s="14" t="str">
        <f>HYPERLINK("https://www.boe.es/gazeta/dias/1839/09/20/pdfs/GMD-1839-1775.pdf#page=2","Abrir facsímil")</f>
        <v>Abrir facsímil</v>
      </c>
      <c r="K4737" s="12" t="s">
        <v>65</v>
      </c>
    </row>
    <row r="4738" spans="1:11" ht="40.049999999999997" customHeight="1" x14ac:dyDescent="0.25">
      <c r="A4738" s="11" t="s">
        <v>10342</v>
      </c>
      <c r="B4738" s="11" t="s">
        <v>10343</v>
      </c>
      <c r="C4738" s="11" t="s">
        <v>80</v>
      </c>
      <c r="D4738" s="11" t="s">
        <v>18</v>
      </c>
      <c r="E4738" s="12" t="s">
        <v>1356</v>
      </c>
      <c r="F4738" s="12" t="s">
        <v>1357</v>
      </c>
      <c r="G4738" s="12" t="s">
        <v>21</v>
      </c>
      <c r="H4738" s="11" t="s">
        <v>63</v>
      </c>
      <c r="I4738" s="13" t="s">
        <v>10344</v>
      </c>
      <c r="J4738" s="14" t="str">
        <f>HYPERLINK("https://www.boe.es/gazeta/dias/1839/06/05/pdfs/GMD-1839-1663.pdf#page=4","Abrir facsímil")</f>
        <v>Abrir facsímil</v>
      </c>
      <c r="K4738" s="12" t="s">
        <v>65</v>
      </c>
    </row>
    <row r="4739" spans="1:11" ht="40.049999999999997" customHeight="1" x14ac:dyDescent="0.25">
      <c r="A4739" s="11" t="s">
        <v>10342</v>
      </c>
      <c r="B4739" s="11" t="s">
        <v>10343</v>
      </c>
      <c r="C4739" s="11" t="s">
        <v>80</v>
      </c>
      <c r="D4739" s="11" t="s">
        <v>18</v>
      </c>
      <c r="E4739" s="12" t="s">
        <v>438</v>
      </c>
      <c r="F4739" s="12" t="s">
        <v>439</v>
      </c>
      <c r="G4739" s="12" t="s">
        <v>40</v>
      </c>
      <c r="H4739" s="11" t="s">
        <v>63</v>
      </c>
      <c r="I4739" s="13" t="s">
        <v>10345</v>
      </c>
      <c r="J4739" s="14" t="str">
        <f>HYPERLINK("https://www.boe.es/gazeta/dias/1839/07/17/pdfs/GMD-1839-1705.pdf#page=2","Abrir facsímil")</f>
        <v>Abrir facsímil</v>
      </c>
      <c r="K4739" s="12" t="s">
        <v>65</v>
      </c>
    </row>
    <row r="4740" spans="1:11" ht="40.049999999999997" customHeight="1" x14ac:dyDescent="0.25">
      <c r="A4740" s="11" t="s">
        <v>10346</v>
      </c>
      <c r="B4740" s="11" t="s">
        <v>10347</v>
      </c>
      <c r="C4740" s="11" t="s">
        <v>80</v>
      </c>
      <c r="D4740" s="11" t="s">
        <v>18</v>
      </c>
      <c r="E4740" s="12" t="s">
        <v>1252</v>
      </c>
      <c r="F4740" s="12" t="s">
        <v>1253</v>
      </c>
      <c r="G4740" s="12" t="s">
        <v>29</v>
      </c>
      <c r="H4740" s="11" t="s">
        <v>63</v>
      </c>
      <c r="I4740" s="13" t="s">
        <v>10348</v>
      </c>
      <c r="J4740" s="14" t="str">
        <f>HYPERLINK("https://www.boe.es/gazeta/dias/1839/06/15/pdfs/GMD-1839-1673.pdf#page=1","Abrir facsímil")</f>
        <v>Abrir facsímil</v>
      </c>
      <c r="K4740" s="12" t="s">
        <v>65</v>
      </c>
    </row>
    <row r="4741" spans="1:11" ht="40.049999999999997" customHeight="1" x14ac:dyDescent="0.25">
      <c r="A4741" s="11" t="s">
        <v>10349</v>
      </c>
      <c r="B4741" s="11" t="s">
        <v>10350</v>
      </c>
      <c r="C4741" s="11" t="s">
        <v>101</v>
      </c>
      <c r="D4741" s="11" t="s">
        <v>102</v>
      </c>
      <c r="E4741" s="12" t="s">
        <v>892</v>
      </c>
      <c r="F4741" s="12" t="s">
        <v>893</v>
      </c>
      <c r="G4741" s="12" t="s">
        <v>21</v>
      </c>
      <c r="H4741" s="11" t="s">
        <v>63</v>
      </c>
      <c r="I4741" s="13" t="s">
        <v>10351</v>
      </c>
      <c r="J4741" s="14" t="str">
        <f>HYPERLINK("https://www.boe.es/gazeta/dias/1839/12/28/pdfs/GMD-1839-1875.pdf#page=4","Abrir facsímil")</f>
        <v>Abrir facsímil</v>
      </c>
      <c r="K4741" s="12" t="s">
        <v>65</v>
      </c>
    </row>
    <row r="4742" spans="1:11" ht="40.049999999999997" customHeight="1" x14ac:dyDescent="0.25">
      <c r="A4742" s="11" t="s">
        <v>10352</v>
      </c>
      <c r="B4742" s="11" t="s">
        <v>10353</v>
      </c>
      <c r="C4742" s="11" t="s">
        <v>17</v>
      </c>
      <c r="D4742" s="11" t="s">
        <v>18</v>
      </c>
      <c r="E4742" s="12" t="s">
        <v>222</v>
      </c>
      <c r="F4742" s="12" t="s">
        <v>223</v>
      </c>
      <c r="G4742" s="12" t="s">
        <v>21</v>
      </c>
      <c r="H4742" s="11" t="s">
        <v>63</v>
      </c>
      <c r="I4742" s="13" t="s">
        <v>10354</v>
      </c>
      <c r="J4742" s="14" t="str">
        <f>HYPERLINK("https://www.boe.es/gazeta/dias/1839/06/22/pdfs/GMD-1839-1680.pdf#page=4","Abrir facsímil")</f>
        <v>Abrir facsímil</v>
      </c>
      <c r="K4742" s="12" t="s">
        <v>65</v>
      </c>
    </row>
    <row r="4743" spans="1:11" ht="40.049999999999997" customHeight="1" x14ac:dyDescent="0.25">
      <c r="A4743" s="11" t="s">
        <v>10355</v>
      </c>
      <c r="B4743" s="11" t="s">
        <v>10356</v>
      </c>
      <c r="C4743" s="11" t="s">
        <v>59</v>
      </c>
      <c r="D4743" s="11" t="s">
        <v>60</v>
      </c>
      <c r="E4743" s="12" t="s">
        <v>2021</v>
      </c>
      <c r="F4743" s="12" t="s">
        <v>2022</v>
      </c>
      <c r="G4743" s="12" t="s">
        <v>46</v>
      </c>
      <c r="H4743" s="11" t="s">
        <v>63</v>
      </c>
      <c r="I4743" s="13" t="s">
        <v>10357</v>
      </c>
      <c r="J4743" s="14" t="str">
        <f>HYPERLINK("https://www.boe.es/gazeta/dias/1839/02/17/pdfs/GMD-1839-1555.pdf#page=3","Abrir facsímil")</f>
        <v>Abrir facsímil</v>
      </c>
      <c r="K4743" s="12" t="s">
        <v>65</v>
      </c>
    </row>
    <row r="4744" spans="1:11" ht="40.049999999999997" customHeight="1" x14ac:dyDescent="0.25">
      <c r="A4744" s="11" t="s">
        <v>10358</v>
      </c>
      <c r="B4744" s="11" t="s">
        <v>10359</v>
      </c>
      <c r="C4744" s="11" t="s">
        <v>59</v>
      </c>
      <c r="D4744" s="11" t="s">
        <v>60</v>
      </c>
      <c r="E4744" s="12" t="s">
        <v>4055</v>
      </c>
      <c r="F4744" s="12" t="s">
        <v>4056</v>
      </c>
      <c r="G4744" s="12" t="s">
        <v>29</v>
      </c>
      <c r="H4744" s="11" t="s">
        <v>63</v>
      </c>
      <c r="I4744" s="13" t="s">
        <v>10360</v>
      </c>
      <c r="J4744" s="14" t="str">
        <f>HYPERLINK("https://www.boe.es/gazeta/dias/1839/03/07/pdfs/GMD-1839-1573.pdf#page=1","Abrir facsímil")</f>
        <v>Abrir facsímil</v>
      </c>
      <c r="K4744" s="12" t="s">
        <v>65</v>
      </c>
    </row>
    <row r="4745" spans="1:11" ht="40.049999999999997" customHeight="1" x14ac:dyDescent="0.25">
      <c r="A4745" s="11" t="s">
        <v>10358</v>
      </c>
      <c r="B4745" s="11" t="s">
        <v>10359</v>
      </c>
      <c r="C4745" s="11" t="s">
        <v>80</v>
      </c>
      <c r="D4745" s="11" t="s">
        <v>18</v>
      </c>
      <c r="E4745" s="12" t="s">
        <v>1644</v>
      </c>
      <c r="F4745" s="12" t="s">
        <v>1645</v>
      </c>
      <c r="G4745" s="12" t="s">
        <v>29</v>
      </c>
      <c r="H4745" s="11" t="s">
        <v>63</v>
      </c>
      <c r="I4745" s="13" t="s">
        <v>10361</v>
      </c>
      <c r="J4745" s="14" t="str">
        <f>HYPERLINK("https://www.boe.es/gazeta/dias/1839/04/16/pdfs/GMD-1839-1613.pdf#page=1","Abrir facsímil")</f>
        <v>Abrir facsímil</v>
      </c>
      <c r="K4745" s="12" t="s">
        <v>65</v>
      </c>
    </row>
    <row r="4746" spans="1:11" ht="40.049999999999997" customHeight="1" x14ac:dyDescent="0.25">
      <c r="A4746" s="11" t="s">
        <v>10358</v>
      </c>
      <c r="B4746" s="11" t="s">
        <v>10359</v>
      </c>
      <c r="C4746" s="11" t="s">
        <v>137</v>
      </c>
      <c r="D4746" s="11" t="s">
        <v>18</v>
      </c>
      <c r="E4746" s="12" t="s">
        <v>513</v>
      </c>
      <c r="F4746" s="12" t="s">
        <v>514</v>
      </c>
      <c r="G4746" s="12" t="s">
        <v>29</v>
      </c>
      <c r="H4746" s="11" t="s">
        <v>63</v>
      </c>
      <c r="I4746" s="13" t="s">
        <v>10362</v>
      </c>
      <c r="J4746" s="14" t="str">
        <f>HYPERLINK("https://www.boe.es/gazeta/dias/1839/03/17/pdfs/GMD-1839-1583.pdf#page=1","Abrir facsímil")</f>
        <v>Abrir facsímil</v>
      </c>
      <c r="K4746" s="12" t="s">
        <v>65</v>
      </c>
    </row>
    <row r="4747" spans="1:11" ht="40.049999999999997" customHeight="1" x14ac:dyDescent="0.25">
      <c r="A4747" s="11" t="s">
        <v>10363</v>
      </c>
      <c r="B4747" s="11" t="s">
        <v>10364</v>
      </c>
      <c r="C4747" s="11" t="s">
        <v>17</v>
      </c>
      <c r="D4747" s="11" t="s">
        <v>43</v>
      </c>
      <c r="E4747" s="12" t="s">
        <v>700</v>
      </c>
      <c r="F4747" s="12" t="s">
        <v>701</v>
      </c>
      <c r="G4747" s="12" t="s">
        <v>40</v>
      </c>
      <c r="H4747" s="11" t="s">
        <v>63</v>
      </c>
      <c r="I4747" s="13" t="s">
        <v>10365</v>
      </c>
      <c r="J4747" s="14" t="str">
        <f>HYPERLINK("https://www.boe.es/gazeta/dias/1839/09/01/pdfs/GMD-1839-1753.pdf#page=2","Abrir facsímil")</f>
        <v>Abrir facsímil</v>
      </c>
      <c r="K4747" s="12" t="s">
        <v>65</v>
      </c>
    </row>
    <row r="4748" spans="1:11" ht="40.049999999999997" customHeight="1" x14ac:dyDescent="0.25">
      <c r="A4748" s="11" t="s">
        <v>10366</v>
      </c>
      <c r="B4748" s="11" t="s">
        <v>10367</v>
      </c>
      <c r="C4748" s="11" t="s">
        <v>17</v>
      </c>
      <c r="D4748" s="11" t="s">
        <v>18</v>
      </c>
      <c r="E4748" s="12" t="s">
        <v>262</v>
      </c>
      <c r="F4748" s="12" t="s">
        <v>263</v>
      </c>
      <c r="G4748" s="12" t="s">
        <v>21</v>
      </c>
      <c r="H4748" s="11" t="s">
        <v>63</v>
      </c>
      <c r="I4748" s="13" t="s">
        <v>10368</v>
      </c>
      <c r="J4748" s="14" t="str">
        <f>HYPERLINK("https://www.boe.es/gazeta/dias/1839/01/01/pdfs/GMD-1839-1508.pdf#page=4","Abrir facsímil")</f>
        <v>Abrir facsímil</v>
      </c>
      <c r="K4748" s="12" t="s">
        <v>65</v>
      </c>
    </row>
    <row r="4749" spans="1:11" ht="40.049999999999997" customHeight="1" x14ac:dyDescent="0.25">
      <c r="A4749" s="11" t="s">
        <v>10369</v>
      </c>
      <c r="B4749" s="11" t="s">
        <v>10370</v>
      </c>
      <c r="C4749" s="11" t="s">
        <v>17</v>
      </c>
      <c r="D4749" s="11" t="s">
        <v>18</v>
      </c>
      <c r="E4749" s="12" t="s">
        <v>2210</v>
      </c>
      <c r="F4749" s="12" t="s">
        <v>2211</v>
      </c>
      <c r="G4749" s="12" t="s">
        <v>21</v>
      </c>
      <c r="H4749" s="11" t="s">
        <v>63</v>
      </c>
      <c r="I4749" s="13" t="s">
        <v>10371</v>
      </c>
      <c r="J4749" s="14" t="str">
        <f>HYPERLINK("https://www.boe.es/gazeta/dias/1839/09/05/pdfs/GMD-1839-1758.pdf#page=4","Abrir facsímil")</f>
        <v>Abrir facsímil</v>
      </c>
      <c r="K4749" s="12" t="s">
        <v>65</v>
      </c>
    </row>
    <row r="4750" spans="1:11" ht="40.049999999999997" customHeight="1" x14ac:dyDescent="0.25">
      <c r="A4750" s="11" t="s">
        <v>10372</v>
      </c>
      <c r="B4750" s="11" t="s">
        <v>10373</v>
      </c>
      <c r="C4750" s="11" t="s">
        <v>17</v>
      </c>
      <c r="D4750" s="11" t="s">
        <v>18</v>
      </c>
      <c r="E4750" s="12" t="s">
        <v>704</v>
      </c>
      <c r="F4750" s="12" t="s">
        <v>705</v>
      </c>
      <c r="G4750" s="12" t="s">
        <v>29</v>
      </c>
      <c r="H4750" s="11" t="s">
        <v>63</v>
      </c>
      <c r="I4750" s="13" t="s">
        <v>10374</v>
      </c>
      <c r="J4750" s="14" t="str">
        <f>HYPERLINK("https://www.boe.es/gazeta/dias/1839/03/02/pdfs/GMD-1839-1568.pdf#page=1","Abrir facsímil")</f>
        <v>Abrir facsímil</v>
      </c>
      <c r="K4750" s="12" t="s">
        <v>65</v>
      </c>
    </row>
    <row r="4751" spans="1:11" ht="40.049999999999997" customHeight="1" x14ac:dyDescent="0.25">
      <c r="A4751" s="11" t="s">
        <v>10375</v>
      </c>
      <c r="B4751" s="11" t="s">
        <v>10376</v>
      </c>
      <c r="C4751" s="11" t="s">
        <v>59</v>
      </c>
      <c r="D4751" s="11" t="s">
        <v>60</v>
      </c>
      <c r="E4751" s="12" t="s">
        <v>804</v>
      </c>
      <c r="F4751" s="12" t="s">
        <v>805</v>
      </c>
      <c r="G4751" s="12" t="s">
        <v>40</v>
      </c>
      <c r="H4751" s="11" t="s">
        <v>63</v>
      </c>
      <c r="I4751" s="13" t="s">
        <v>10377</v>
      </c>
      <c r="J4751" s="14" t="str">
        <f>HYPERLINK("https://www.boe.es/gazeta/dias/1839/01/08/pdfs/GMD-1839-1515.pdf#page=2","Abrir facsímil")</f>
        <v>Abrir facsímil</v>
      </c>
      <c r="K4751" s="12" t="s">
        <v>65</v>
      </c>
    </row>
    <row r="4752" spans="1:11" ht="40.049999999999997" customHeight="1" x14ac:dyDescent="0.25">
      <c r="A4752" s="11" t="s">
        <v>10378</v>
      </c>
      <c r="B4752" s="11" t="s">
        <v>10379</v>
      </c>
      <c r="C4752" s="11" t="s">
        <v>101</v>
      </c>
      <c r="D4752" s="11" t="s">
        <v>43</v>
      </c>
      <c r="E4752" s="12" t="s">
        <v>723</v>
      </c>
      <c r="F4752" s="12" t="s">
        <v>724</v>
      </c>
      <c r="G4752" s="12" t="s">
        <v>46</v>
      </c>
      <c r="H4752" s="11" t="s">
        <v>63</v>
      </c>
      <c r="I4752" s="13" t="s">
        <v>10380</v>
      </c>
      <c r="J4752" s="14" t="str">
        <f>HYPERLINK("https://www.boe.es/gazeta/dias/1839/09/26/pdfs/GMD-1839-1782.pdf#page=3","Abrir facsímil")</f>
        <v>Abrir facsímil</v>
      </c>
      <c r="K4752" s="12" t="s">
        <v>65</v>
      </c>
    </row>
    <row r="4753" spans="1:11" ht="40.049999999999997" customHeight="1" x14ac:dyDescent="0.25">
      <c r="A4753" s="11" t="s">
        <v>10381</v>
      </c>
      <c r="B4753" s="11" t="s">
        <v>10381</v>
      </c>
      <c r="C4753" s="11" t="s">
        <v>101</v>
      </c>
      <c r="D4753" s="11" t="s">
        <v>102</v>
      </c>
      <c r="E4753" s="12" t="s">
        <v>409</v>
      </c>
      <c r="F4753" s="12" t="s">
        <v>410</v>
      </c>
      <c r="G4753" s="12" t="s">
        <v>29</v>
      </c>
      <c r="H4753" s="11" t="s">
        <v>63</v>
      </c>
      <c r="I4753" s="13" t="s">
        <v>10382</v>
      </c>
      <c r="J4753" s="14" t="str">
        <f>HYPERLINK("https://www.boe.es/gazeta/dias/1839/07/05/pdfs/GMD-1839-1693.pdf#page=1","Abrir facsímil")</f>
        <v>Abrir facsímil</v>
      </c>
      <c r="K4753" s="12" t="s">
        <v>65</v>
      </c>
    </row>
    <row r="4754" spans="1:11" ht="40.049999999999997" customHeight="1" x14ac:dyDescent="0.25">
      <c r="A4754" s="11" t="s">
        <v>10383</v>
      </c>
      <c r="B4754" s="11" t="s">
        <v>10383</v>
      </c>
      <c r="C4754" s="11" t="s">
        <v>101</v>
      </c>
      <c r="D4754" s="11" t="s">
        <v>43</v>
      </c>
      <c r="E4754" s="12" t="s">
        <v>621</v>
      </c>
      <c r="F4754" s="12" t="s">
        <v>622</v>
      </c>
      <c r="G4754" s="12" t="s">
        <v>40</v>
      </c>
      <c r="H4754" s="11" t="s">
        <v>63</v>
      </c>
      <c r="I4754" s="13" t="s">
        <v>10384</v>
      </c>
      <c r="J4754" s="14" t="str">
        <f>HYPERLINK("https://www.boe.es/gazeta/dias/1839/04/14/pdfs/GMD-1839-1611.pdf#page=2","Abrir facsímil")</f>
        <v>Abrir facsímil</v>
      </c>
      <c r="K4754" s="12" t="s">
        <v>65</v>
      </c>
    </row>
    <row r="4755" spans="1:11" ht="40.049999999999997" customHeight="1" x14ac:dyDescent="0.25">
      <c r="A4755" s="11" t="s">
        <v>10385</v>
      </c>
      <c r="B4755" s="11" t="s">
        <v>10385</v>
      </c>
      <c r="C4755" s="11" t="s">
        <v>17</v>
      </c>
      <c r="D4755" s="11" t="s">
        <v>18</v>
      </c>
      <c r="E4755" s="12" t="s">
        <v>883</v>
      </c>
      <c r="F4755" s="12" t="s">
        <v>884</v>
      </c>
      <c r="G4755" s="12" t="s">
        <v>29</v>
      </c>
      <c r="H4755" s="11" t="s">
        <v>63</v>
      </c>
      <c r="I4755" s="13" t="s">
        <v>10386</v>
      </c>
      <c r="J4755" s="14" t="str">
        <f>HYPERLINK("https://www.boe.es/gazeta/dias/1839/11/03/pdfs/GMD-1839-1820.pdf#page=1","Abrir facsímil")</f>
        <v>Abrir facsímil</v>
      </c>
      <c r="K4755" s="12" t="s">
        <v>65</v>
      </c>
    </row>
    <row r="4756" spans="1:11" ht="40.049999999999997" customHeight="1" x14ac:dyDescent="0.25">
      <c r="A4756" s="11" t="s">
        <v>10387</v>
      </c>
      <c r="B4756" s="11" t="s">
        <v>10388</v>
      </c>
      <c r="C4756" s="11" t="s">
        <v>17</v>
      </c>
      <c r="D4756" s="11" t="s">
        <v>18</v>
      </c>
      <c r="E4756" s="12" t="s">
        <v>647</v>
      </c>
      <c r="F4756" s="12" t="s">
        <v>648</v>
      </c>
      <c r="G4756" s="12" t="s">
        <v>305</v>
      </c>
      <c r="H4756" s="11" t="s">
        <v>63</v>
      </c>
      <c r="I4756" s="13" t="s">
        <v>10389</v>
      </c>
      <c r="J4756" s="14" t="str">
        <f>HYPERLINK("https://www.boe.es/gazeta/dias/1839/10/08/pdfs/GMD-1839-1794.pdf#page=6","Abrir facsímil")</f>
        <v>Abrir facsímil</v>
      </c>
      <c r="K4756" s="12" t="s">
        <v>65</v>
      </c>
    </row>
    <row r="4757" spans="1:11" ht="40.049999999999997" customHeight="1" x14ac:dyDescent="0.25">
      <c r="A4757" s="11" t="s">
        <v>10390</v>
      </c>
      <c r="B4757" s="11" t="s">
        <v>10391</v>
      </c>
      <c r="C4757" s="11" t="s">
        <v>17</v>
      </c>
      <c r="D4757" s="11" t="s">
        <v>18</v>
      </c>
      <c r="E4757" s="12" t="s">
        <v>1100</v>
      </c>
      <c r="F4757" s="12" t="s">
        <v>1101</v>
      </c>
      <c r="G4757" s="12" t="s">
        <v>46</v>
      </c>
      <c r="H4757" s="11" t="s">
        <v>63</v>
      </c>
      <c r="I4757" s="13" t="s">
        <v>10392</v>
      </c>
      <c r="J4757" s="14" t="str">
        <f>HYPERLINK("https://www.boe.es/gazeta/dias/1839/09/13/pdfs/GMD-1839-1766.pdf#page=3","Abrir facsímil")</f>
        <v>Abrir facsímil</v>
      </c>
      <c r="K4757" s="12" t="s">
        <v>65</v>
      </c>
    </row>
    <row r="4758" spans="1:11" ht="40.049999999999997" customHeight="1" x14ac:dyDescent="0.25">
      <c r="A4758" s="11" t="s">
        <v>10393</v>
      </c>
      <c r="B4758" s="11" t="s">
        <v>10394</v>
      </c>
      <c r="C4758" s="11" t="s">
        <v>17</v>
      </c>
      <c r="D4758" s="11" t="s">
        <v>18</v>
      </c>
      <c r="E4758" s="12" t="s">
        <v>3224</v>
      </c>
      <c r="F4758" s="12" t="s">
        <v>3225</v>
      </c>
      <c r="G4758" s="12" t="s">
        <v>46</v>
      </c>
      <c r="H4758" s="11" t="s">
        <v>63</v>
      </c>
      <c r="I4758" s="13" t="s">
        <v>10395</v>
      </c>
      <c r="J4758" s="14" t="str">
        <f>HYPERLINK("https://www.boe.es/gazeta/dias/1839/06/03/pdfs/GMD-1839-1661.pdf#page=3","Abrir facsímil")</f>
        <v>Abrir facsímil</v>
      </c>
      <c r="K4758" s="12" t="s">
        <v>65</v>
      </c>
    </row>
    <row r="4759" spans="1:11" ht="40.049999999999997" customHeight="1" x14ac:dyDescent="0.25">
      <c r="A4759" s="11" t="s">
        <v>10396</v>
      </c>
      <c r="B4759" s="11" t="s">
        <v>10397</v>
      </c>
      <c r="C4759" s="11" t="s">
        <v>17</v>
      </c>
      <c r="D4759" s="11" t="s">
        <v>18</v>
      </c>
      <c r="E4759" s="12" t="s">
        <v>202</v>
      </c>
      <c r="F4759" s="12" t="s">
        <v>203</v>
      </c>
      <c r="G4759" s="12" t="s">
        <v>40</v>
      </c>
      <c r="H4759" s="11" t="s">
        <v>63</v>
      </c>
      <c r="I4759" s="13" t="s">
        <v>10398</v>
      </c>
      <c r="J4759" s="14" t="str">
        <f>HYPERLINK("https://www.boe.es/gazeta/dias/1839/04/05/pdfs/GMD-1839-1602.pdf#page=2","Abrir facsímil")</f>
        <v>Abrir facsímil</v>
      </c>
      <c r="K4759" s="12" t="s">
        <v>65</v>
      </c>
    </row>
    <row r="4760" spans="1:11" ht="40.049999999999997" customHeight="1" x14ac:dyDescent="0.25">
      <c r="A4760" s="11" t="s">
        <v>10399</v>
      </c>
      <c r="B4760" s="11" t="s">
        <v>10400</v>
      </c>
      <c r="C4760" s="11" t="s">
        <v>59</v>
      </c>
      <c r="D4760" s="11" t="s">
        <v>60</v>
      </c>
      <c r="E4760" s="12" t="s">
        <v>202</v>
      </c>
      <c r="F4760" s="12" t="s">
        <v>203</v>
      </c>
      <c r="G4760" s="12" t="s">
        <v>40</v>
      </c>
      <c r="H4760" s="11" t="s">
        <v>22</v>
      </c>
      <c r="I4760" s="13" t="s">
        <v>10401</v>
      </c>
      <c r="J4760" s="14" t="str">
        <f>HYPERLINK("https://www.boe.es/gazeta/dias/1839/04/05/pdfs/GMD-1839-1602.pdf#page=2","Abrir facsímil")</f>
        <v>Abrir facsímil</v>
      </c>
      <c r="K4760" s="12" t="s">
        <v>24</v>
      </c>
    </row>
    <row r="4761" spans="1:11" ht="40.049999999999997" customHeight="1" x14ac:dyDescent="0.25">
      <c r="A4761" s="11" t="s">
        <v>10402</v>
      </c>
      <c r="B4761" s="11" t="s">
        <v>10403</v>
      </c>
      <c r="C4761" s="11" t="s">
        <v>17</v>
      </c>
      <c r="D4761" s="11" t="s">
        <v>18</v>
      </c>
      <c r="E4761" s="12" t="s">
        <v>844</v>
      </c>
      <c r="F4761" s="12" t="s">
        <v>845</v>
      </c>
      <c r="G4761" s="12" t="s">
        <v>21</v>
      </c>
      <c r="H4761" s="11" t="s">
        <v>22</v>
      </c>
      <c r="I4761" s="13" t="s">
        <v>10404</v>
      </c>
      <c r="J4761" s="14" t="str">
        <f>HYPERLINK("https://www.boe.es/gazeta/dias/1839/12/24/pdfs/GMD-1839-1871.pdf#page=4","Abrir facsímil")</f>
        <v>Abrir facsímil</v>
      </c>
      <c r="K4761" s="12" t="s">
        <v>24</v>
      </c>
    </row>
    <row r="4762" spans="1:11" ht="40.049999999999997" customHeight="1" x14ac:dyDescent="0.25">
      <c r="A4762" s="11" t="s">
        <v>10405</v>
      </c>
      <c r="B4762" s="11" t="s">
        <v>10405</v>
      </c>
      <c r="C4762" s="11" t="s">
        <v>101</v>
      </c>
      <c r="D4762" s="11" t="s">
        <v>43</v>
      </c>
      <c r="E4762" s="12" t="s">
        <v>2829</v>
      </c>
      <c r="F4762" s="12" t="s">
        <v>2830</v>
      </c>
      <c r="G4762" s="12" t="s">
        <v>40</v>
      </c>
      <c r="H4762" s="11" t="s">
        <v>63</v>
      </c>
      <c r="I4762" s="13" t="s">
        <v>10406</v>
      </c>
      <c r="J4762" s="14" t="str">
        <f>HYPERLINK("https://www.boe.es/gazeta/dias/1839/07/01/pdfs/GMD-1839-1689.pdf#page=2","Abrir facsímil")</f>
        <v>Abrir facsímil</v>
      </c>
      <c r="K4762" s="12" t="s">
        <v>65</v>
      </c>
    </row>
    <row r="4763" spans="1:11" ht="40.049999999999997" customHeight="1" x14ac:dyDescent="0.25">
      <c r="A4763" s="11" t="s">
        <v>10405</v>
      </c>
      <c r="B4763" s="11" t="s">
        <v>10405</v>
      </c>
      <c r="C4763" s="11" t="s">
        <v>59</v>
      </c>
      <c r="D4763" s="11" t="s">
        <v>60</v>
      </c>
      <c r="E4763" s="12" t="s">
        <v>1614</v>
      </c>
      <c r="F4763" s="12" t="s">
        <v>1615</v>
      </c>
      <c r="G4763" s="12" t="s">
        <v>29</v>
      </c>
      <c r="H4763" s="11" t="s">
        <v>63</v>
      </c>
      <c r="I4763" s="13" t="s">
        <v>10407</v>
      </c>
      <c r="J4763" s="14" t="str">
        <f>HYPERLINK("https://www.boe.es/gazeta/dias/1839/07/03/pdfs/GMD-1839-1691.pdf#page=1","Abrir facsímil")</f>
        <v>Abrir facsímil</v>
      </c>
      <c r="K4763" s="12" t="s">
        <v>65</v>
      </c>
    </row>
    <row r="4764" spans="1:11" ht="40.049999999999997" customHeight="1" x14ac:dyDescent="0.25">
      <c r="A4764" s="11" t="s">
        <v>10408</v>
      </c>
      <c r="B4764" s="11" t="s">
        <v>10408</v>
      </c>
      <c r="C4764" s="11" t="s">
        <v>59</v>
      </c>
      <c r="D4764" s="11" t="s">
        <v>60</v>
      </c>
      <c r="E4764" s="12" t="s">
        <v>2117</v>
      </c>
      <c r="F4764" s="12" t="s">
        <v>2118</v>
      </c>
      <c r="G4764" s="12" t="s">
        <v>40</v>
      </c>
      <c r="H4764" s="11" t="s">
        <v>63</v>
      </c>
      <c r="I4764" s="13" t="s">
        <v>10409</v>
      </c>
      <c r="J4764" s="14" t="str">
        <f>HYPERLINK("https://www.boe.es/gazeta/dias/1839/06/23/pdfs/GMD-1839-1681.pdf#page=2","Abrir facsímil")</f>
        <v>Abrir facsímil</v>
      </c>
      <c r="K4764" s="12" t="s">
        <v>65</v>
      </c>
    </row>
    <row r="4765" spans="1:11" ht="40.049999999999997" customHeight="1" x14ac:dyDescent="0.25">
      <c r="A4765" s="11" t="s">
        <v>10410</v>
      </c>
      <c r="B4765" s="11" t="s">
        <v>10411</v>
      </c>
      <c r="C4765" s="11" t="s">
        <v>17</v>
      </c>
      <c r="D4765" s="11" t="s">
        <v>43</v>
      </c>
      <c r="E4765" s="12" t="s">
        <v>862</v>
      </c>
      <c r="F4765" s="12" t="s">
        <v>863</v>
      </c>
      <c r="G4765" s="12" t="s">
        <v>305</v>
      </c>
      <c r="H4765" s="11" t="s">
        <v>63</v>
      </c>
      <c r="I4765" s="13" t="s">
        <v>10412</v>
      </c>
      <c r="J4765" s="14" t="str">
        <f>HYPERLINK("https://www.boe.es/gazeta/dias/1839/10/28/pdfs/GMD-1839-1814.pdf#page=6","Abrir facsímil")</f>
        <v>Abrir facsímil</v>
      </c>
      <c r="K4765" s="12" t="s">
        <v>65</v>
      </c>
    </row>
    <row r="4766" spans="1:11" ht="40.049999999999997" customHeight="1" x14ac:dyDescent="0.25">
      <c r="A4766" s="11" t="s">
        <v>10413</v>
      </c>
      <c r="B4766" s="11" t="s">
        <v>10413</v>
      </c>
      <c r="C4766" s="11" t="s">
        <v>80</v>
      </c>
      <c r="D4766" s="11" t="s">
        <v>18</v>
      </c>
      <c r="E4766" s="12" t="s">
        <v>616</v>
      </c>
      <c r="F4766" s="12" t="s">
        <v>617</v>
      </c>
      <c r="G4766" s="12" t="s">
        <v>21</v>
      </c>
      <c r="H4766" s="11" t="s">
        <v>63</v>
      </c>
      <c r="I4766" s="13" t="s">
        <v>10414</v>
      </c>
      <c r="J4766" s="14" t="str">
        <f>HYPERLINK("https://www.boe.es/gazeta/dias/1839/05/29/pdfs/GMD-1839-1656.pdf#page=4","Abrir facsímil")</f>
        <v>Abrir facsímil</v>
      </c>
      <c r="K4766" s="12" t="s">
        <v>65</v>
      </c>
    </row>
    <row r="4767" spans="1:11" ht="40.049999999999997" customHeight="1" x14ac:dyDescent="0.25">
      <c r="A4767" s="11" t="s">
        <v>10415</v>
      </c>
      <c r="B4767" s="11" t="s">
        <v>10416</v>
      </c>
      <c r="C4767" s="11" t="s">
        <v>17</v>
      </c>
      <c r="D4767" s="11" t="s">
        <v>18</v>
      </c>
      <c r="E4767" s="12" t="s">
        <v>76</v>
      </c>
      <c r="F4767" s="12" t="s">
        <v>77</v>
      </c>
      <c r="G4767" s="12" t="s">
        <v>29</v>
      </c>
      <c r="H4767" s="11" t="s">
        <v>63</v>
      </c>
      <c r="I4767" s="13" t="s">
        <v>10417</v>
      </c>
      <c r="J4767" s="14" t="str">
        <f>HYPERLINK("https://www.boe.es/gazeta/dias/1839/03/13/pdfs/GMD-1839-1579.pdf#page=1","Abrir facsímil")</f>
        <v>Abrir facsímil</v>
      </c>
      <c r="K4767" s="12" t="s">
        <v>65</v>
      </c>
    </row>
    <row r="4768" spans="1:11" ht="40.049999999999997" customHeight="1" x14ac:dyDescent="0.25">
      <c r="A4768" s="11" t="s">
        <v>10418</v>
      </c>
      <c r="B4768" s="11" t="s">
        <v>10419</v>
      </c>
      <c r="C4768" s="11" t="s">
        <v>17</v>
      </c>
      <c r="D4768" s="11" t="s">
        <v>18</v>
      </c>
      <c r="E4768" s="12" t="s">
        <v>621</v>
      </c>
      <c r="F4768" s="12" t="s">
        <v>622</v>
      </c>
      <c r="G4768" s="12" t="s">
        <v>29</v>
      </c>
      <c r="H4768" s="11" t="s">
        <v>22</v>
      </c>
      <c r="I4768" s="13" t="s">
        <v>10420</v>
      </c>
      <c r="J4768" s="14" t="str">
        <f>HYPERLINK("https://www.boe.es/gazeta/dias/1839/04/14/pdfs/GMD-1839-1611.pdf#page=1","Abrir facsímil")</f>
        <v>Abrir facsímil</v>
      </c>
      <c r="K4768" s="12" t="s">
        <v>24</v>
      </c>
    </row>
    <row r="4769" spans="1:11" ht="40.049999999999997" customHeight="1" x14ac:dyDescent="0.25">
      <c r="A4769" s="11" t="s">
        <v>10421</v>
      </c>
      <c r="B4769" s="11" t="s">
        <v>10422</v>
      </c>
      <c r="C4769" s="11" t="s">
        <v>17</v>
      </c>
      <c r="D4769" s="11" t="s">
        <v>18</v>
      </c>
      <c r="E4769" s="12" t="s">
        <v>483</v>
      </c>
      <c r="F4769" s="12" t="s">
        <v>484</v>
      </c>
      <c r="G4769" s="12" t="s">
        <v>46</v>
      </c>
      <c r="H4769" s="11" t="s">
        <v>63</v>
      </c>
      <c r="I4769" s="13" t="s">
        <v>10423</v>
      </c>
      <c r="J4769" s="14" t="str">
        <f>HYPERLINK("https://www.boe.es/gazeta/dias/1839/11/18/pdfs/GMD-1839-1835.pdf#page=3","Abrir facsímil")</f>
        <v>Abrir facsímil</v>
      </c>
      <c r="K4769" s="12" t="s">
        <v>65</v>
      </c>
    </row>
    <row r="4770" spans="1:11" ht="40.049999999999997" customHeight="1" x14ac:dyDescent="0.25">
      <c r="A4770" s="11" t="s">
        <v>10424</v>
      </c>
      <c r="B4770" s="11" t="s">
        <v>10425</v>
      </c>
      <c r="C4770" s="11" t="s">
        <v>137</v>
      </c>
      <c r="D4770" s="11" t="s">
        <v>18</v>
      </c>
      <c r="E4770" s="12" t="s">
        <v>1012</v>
      </c>
      <c r="F4770" s="12" t="s">
        <v>1013</v>
      </c>
      <c r="G4770" s="12" t="s">
        <v>29</v>
      </c>
      <c r="H4770" s="11" t="s">
        <v>63</v>
      </c>
      <c r="I4770" s="13" t="s">
        <v>10426</v>
      </c>
      <c r="J4770" s="14" t="str">
        <f>HYPERLINK("https://www.boe.es/gazeta/dias/1839/11/22/pdfs/GMD-1839-1839.pdf#page=1","Abrir facsímil")</f>
        <v>Abrir facsímil</v>
      </c>
      <c r="K4770" s="12" t="s">
        <v>65</v>
      </c>
    </row>
    <row r="4771" spans="1:11" ht="40.049999999999997" customHeight="1" x14ac:dyDescent="0.25">
      <c r="A4771" s="11" t="s">
        <v>10427</v>
      </c>
      <c r="B4771" s="11" t="s">
        <v>10428</v>
      </c>
      <c r="C4771" s="11" t="s">
        <v>17</v>
      </c>
      <c r="D4771" s="11" t="s">
        <v>18</v>
      </c>
      <c r="E4771" s="12" t="s">
        <v>2210</v>
      </c>
      <c r="F4771" s="12" t="s">
        <v>2211</v>
      </c>
      <c r="G4771" s="12" t="s">
        <v>46</v>
      </c>
      <c r="H4771" s="11" t="s">
        <v>63</v>
      </c>
      <c r="I4771" s="13" t="s">
        <v>10429</v>
      </c>
      <c r="J4771" s="14" t="str">
        <f>HYPERLINK("https://www.boe.es/gazeta/dias/1839/09/05/pdfs/GMD-1839-1758.pdf#page=3","Abrir facsímil")</f>
        <v>Abrir facsímil</v>
      </c>
      <c r="K4771" s="12" t="s">
        <v>65</v>
      </c>
    </row>
    <row r="4772" spans="1:11" ht="40.049999999999997" customHeight="1" x14ac:dyDescent="0.25">
      <c r="A4772" s="11" t="s">
        <v>10430</v>
      </c>
      <c r="B4772" s="11" t="s">
        <v>10430</v>
      </c>
      <c r="C4772" s="11" t="s">
        <v>137</v>
      </c>
      <c r="D4772" s="11" t="s">
        <v>18</v>
      </c>
      <c r="E4772" s="12" t="s">
        <v>125</v>
      </c>
      <c r="F4772" s="12" t="s">
        <v>126</v>
      </c>
      <c r="G4772" s="12" t="s">
        <v>21</v>
      </c>
      <c r="H4772" s="11" t="s">
        <v>63</v>
      </c>
      <c r="I4772" s="13" t="s">
        <v>10431</v>
      </c>
      <c r="J4772" s="14" t="str">
        <f>HYPERLINK("https://www.boe.es/gazeta/dias/1839/05/23/pdfs/GMD-1839-1650.pdf#page=4","Abrir facsímil")</f>
        <v>Abrir facsímil</v>
      </c>
      <c r="K4772" s="12" t="s">
        <v>65</v>
      </c>
    </row>
    <row r="4773" spans="1:11" ht="40.049999999999997" customHeight="1" x14ac:dyDescent="0.25">
      <c r="A4773" s="11" t="s">
        <v>10432</v>
      </c>
      <c r="B4773" s="11" t="s">
        <v>10433</v>
      </c>
      <c r="C4773" s="11" t="s">
        <v>80</v>
      </c>
      <c r="D4773" s="11" t="s">
        <v>18</v>
      </c>
      <c r="E4773" s="12" t="s">
        <v>479</v>
      </c>
      <c r="F4773" s="12" t="s">
        <v>480</v>
      </c>
      <c r="G4773" s="12" t="s">
        <v>21</v>
      </c>
      <c r="H4773" s="11" t="s">
        <v>22</v>
      </c>
      <c r="I4773" s="13" t="s">
        <v>10434</v>
      </c>
      <c r="J4773" s="14" t="str">
        <f>HYPERLINK("https://www.boe.es/gazeta/dias/1839/06/24/pdfs/GMD-1839-1682.pdf#page=4","Abrir facsímil")</f>
        <v>Abrir facsímil</v>
      </c>
      <c r="K4773" s="12" t="s">
        <v>24</v>
      </c>
    </row>
    <row r="4774" spans="1:11" ht="40.049999999999997" customHeight="1" x14ac:dyDescent="0.25">
      <c r="A4774" s="11" t="s">
        <v>10435</v>
      </c>
      <c r="B4774" s="11" t="s">
        <v>10435</v>
      </c>
      <c r="C4774" s="11" t="s">
        <v>80</v>
      </c>
      <c r="D4774" s="11" t="s">
        <v>18</v>
      </c>
      <c r="E4774" s="12" t="s">
        <v>959</v>
      </c>
      <c r="F4774" s="12" t="s">
        <v>960</v>
      </c>
      <c r="G4774" s="12" t="s">
        <v>21</v>
      </c>
      <c r="H4774" s="11" t="s">
        <v>63</v>
      </c>
      <c r="I4774" s="13" t="s">
        <v>10436</v>
      </c>
      <c r="J4774" s="14" t="str">
        <f>HYPERLINK("https://www.boe.es/gazeta/dias/1839/12/06/pdfs/GMD-1839-1853.pdf#page=4","Abrir facsímil")</f>
        <v>Abrir facsímil</v>
      </c>
      <c r="K4774" s="12" t="s">
        <v>65</v>
      </c>
    </row>
    <row r="4775" spans="1:11" ht="40.049999999999997" customHeight="1" x14ac:dyDescent="0.25">
      <c r="A4775" s="11" t="s">
        <v>10437</v>
      </c>
      <c r="B4775" s="11" t="s">
        <v>10438</v>
      </c>
      <c r="C4775" s="11" t="s">
        <v>137</v>
      </c>
      <c r="D4775" s="11" t="s">
        <v>18</v>
      </c>
      <c r="E4775" s="12" t="s">
        <v>951</v>
      </c>
      <c r="F4775" s="12" t="s">
        <v>952</v>
      </c>
      <c r="G4775" s="12" t="s">
        <v>21</v>
      </c>
      <c r="H4775" s="11" t="s">
        <v>63</v>
      </c>
      <c r="I4775" s="13" t="s">
        <v>10439</v>
      </c>
      <c r="J4775" s="14" t="str">
        <f>HYPERLINK("https://www.boe.es/gazeta/dias/1839/12/30/pdfs/GMD-1839-1877.pdf#page=4","Abrir facsímil")</f>
        <v>Abrir facsímil</v>
      </c>
      <c r="K4775" s="12" t="s">
        <v>65</v>
      </c>
    </row>
    <row r="4776" spans="1:11" ht="40.049999999999997" customHeight="1" x14ac:dyDescent="0.25">
      <c r="A4776" s="11" t="s">
        <v>10440</v>
      </c>
      <c r="B4776" s="11" t="s">
        <v>10440</v>
      </c>
      <c r="C4776" s="11" t="s">
        <v>17</v>
      </c>
      <c r="D4776" s="11" t="s">
        <v>18</v>
      </c>
      <c r="E4776" s="12" t="s">
        <v>2491</v>
      </c>
      <c r="F4776" s="12" t="s">
        <v>2492</v>
      </c>
      <c r="G4776" s="12" t="s">
        <v>21</v>
      </c>
      <c r="H4776" s="11" t="s">
        <v>63</v>
      </c>
      <c r="I4776" s="13" t="s">
        <v>10441</v>
      </c>
      <c r="J4776" s="14" t="str">
        <f>HYPERLINK("https://www.boe.es/gazeta/dias/1839/05/01/pdfs/GMD-1839-1628.pdf#page=4","Abrir facsímil")</f>
        <v>Abrir facsímil</v>
      </c>
      <c r="K4776" s="12" t="s">
        <v>65</v>
      </c>
    </row>
    <row r="4777" spans="1:11" ht="40.049999999999997" customHeight="1" x14ac:dyDescent="0.25">
      <c r="A4777" s="11" t="s">
        <v>10442</v>
      </c>
      <c r="B4777" s="11" t="s">
        <v>10443</v>
      </c>
      <c r="C4777" s="11" t="s">
        <v>137</v>
      </c>
      <c r="D4777" s="11" t="s">
        <v>18</v>
      </c>
      <c r="E4777" s="12" t="s">
        <v>1332</v>
      </c>
      <c r="F4777" s="12" t="s">
        <v>1333</v>
      </c>
      <c r="G4777" s="12" t="s">
        <v>21</v>
      </c>
      <c r="H4777" s="11" t="s">
        <v>63</v>
      </c>
      <c r="I4777" s="13" t="s">
        <v>10444</v>
      </c>
      <c r="J4777" s="14" t="str">
        <f>HYPERLINK("https://www.boe.es/gazeta/dias/1839/05/04/pdfs/GMD-1839-1631.pdf#page=4","Abrir facsímil")</f>
        <v>Abrir facsímil</v>
      </c>
      <c r="K4777" s="12" t="s">
        <v>65</v>
      </c>
    </row>
    <row r="4778" spans="1:11" ht="40.049999999999997" customHeight="1" x14ac:dyDescent="0.25">
      <c r="A4778" s="11" t="s">
        <v>10445</v>
      </c>
      <c r="B4778" s="11" t="s">
        <v>10446</v>
      </c>
      <c r="C4778" s="11" t="s">
        <v>137</v>
      </c>
      <c r="D4778" s="11" t="s">
        <v>18</v>
      </c>
      <c r="E4778" s="12" t="s">
        <v>2839</v>
      </c>
      <c r="F4778" s="12" t="s">
        <v>2840</v>
      </c>
      <c r="G4778" s="12" t="s">
        <v>29</v>
      </c>
      <c r="H4778" s="11" t="s">
        <v>63</v>
      </c>
      <c r="I4778" s="13" t="s">
        <v>10447</v>
      </c>
      <c r="J4778" s="14" t="str">
        <f>HYPERLINK("https://www.boe.es/gazeta/dias/1839/03/06/pdfs/GMD-1839-1572.pdf#page=1","Abrir facsímil")</f>
        <v>Abrir facsímil</v>
      </c>
      <c r="K4778" s="12" t="s">
        <v>65</v>
      </c>
    </row>
    <row r="4779" spans="1:11" ht="40.049999999999997" customHeight="1" x14ac:dyDescent="0.25">
      <c r="A4779" s="11" t="s">
        <v>10448</v>
      </c>
      <c r="B4779" s="11" t="s">
        <v>10449</v>
      </c>
      <c r="C4779" s="11" t="s">
        <v>17</v>
      </c>
      <c r="D4779" s="11" t="s">
        <v>18</v>
      </c>
      <c r="E4779" s="12" t="s">
        <v>1562</v>
      </c>
      <c r="F4779" s="12" t="s">
        <v>1563</v>
      </c>
      <c r="G4779" s="12" t="s">
        <v>29</v>
      </c>
      <c r="H4779" s="11" t="s">
        <v>63</v>
      </c>
      <c r="I4779" s="13" t="s">
        <v>10450</v>
      </c>
      <c r="J4779" s="14" t="str">
        <f>HYPERLINK("https://www.boe.es/gazeta/dias/1839/04/08/pdfs/GMD-1839-1605.pdf#page=1","Abrir facsímil")</f>
        <v>Abrir facsímil</v>
      </c>
      <c r="K4779" s="12" t="s">
        <v>65</v>
      </c>
    </row>
    <row r="4780" spans="1:11" ht="40.049999999999997" customHeight="1" x14ac:dyDescent="0.25">
      <c r="A4780" s="11" t="s">
        <v>10451</v>
      </c>
      <c r="B4780" s="11" t="s">
        <v>10451</v>
      </c>
      <c r="C4780" s="11" t="s">
        <v>17</v>
      </c>
      <c r="D4780" s="11" t="s">
        <v>18</v>
      </c>
      <c r="E4780" s="12" t="s">
        <v>5399</v>
      </c>
      <c r="F4780" s="12" t="s">
        <v>5400</v>
      </c>
      <c r="G4780" s="12" t="s">
        <v>40</v>
      </c>
      <c r="H4780" s="11" t="s">
        <v>63</v>
      </c>
      <c r="I4780" s="13" t="s">
        <v>10452</v>
      </c>
      <c r="J4780" s="14" t="str">
        <f>HYPERLINK("https://www.boe.es/gazeta/dias/1839/10/14/pdfs/GMD-1839-1800.pdf#page=2","Abrir facsímil")</f>
        <v>Abrir facsímil</v>
      </c>
      <c r="K4780" s="12" t="s">
        <v>65</v>
      </c>
    </row>
    <row r="4781" spans="1:11" ht="40.049999999999997" customHeight="1" x14ac:dyDescent="0.25">
      <c r="A4781" s="11" t="s">
        <v>10453</v>
      </c>
      <c r="B4781" s="11" t="s">
        <v>10453</v>
      </c>
      <c r="C4781" s="11" t="s">
        <v>59</v>
      </c>
      <c r="D4781" s="11" t="s">
        <v>60</v>
      </c>
      <c r="E4781" s="12" t="s">
        <v>125</v>
      </c>
      <c r="F4781" s="12" t="s">
        <v>126</v>
      </c>
      <c r="G4781" s="12" t="s">
        <v>29</v>
      </c>
      <c r="H4781" s="11" t="s">
        <v>63</v>
      </c>
      <c r="I4781" s="13" t="s">
        <v>10454</v>
      </c>
      <c r="J4781" s="14" t="str">
        <f>HYPERLINK("https://www.boe.es/gazeta/dias/1839/05/23/pdfs/GMD-1839-1650.pdf#page=1","Abrir facsímil")</f>
        <v>Abrir facsímil</v>
      </c>
      <c r="K4781" s="12" t="s">
        <v>65</v>
      </c>
    </row>
    <row r="4782" spans="1:11" ht="40.049999999999997" customHeight="1" x14ac:dyDescent="0.25">
      <c r="A4782" s="11" t="s">
        <v>10455</v>
      </c>
      <c r="B4782" s="11" t="s">
        <v>10455</v>
      </c>
      <c r="C4782" s="11" t="s">
        <v>101</v>
      </c>
      <c r="D4782" s="11" t="s">
        <v>102</v>
      </c>
      <c r="E4782" s="12" t="s">
        <v>1794</v>
      </c>
      <c r="F4782" s="12" t="s">
        <v>1795</v>
      </c>
      <c r="G4782" s="12" t="s">
        <v>21</v>
      </c>
      <c r="H4782" s="11" t="s">
        <v>63</v>
      </c>
      <c r="I4782" s="13" t="s">
        <v>10456</v>
      </c>
      <c r="J4782" s="14" t="str">
        <f>HYPERLINK("https://www.boe.es/gazeta/dias/1839/02/22/pdfs/GMD-1839-1560.pdf#page=4","Abrir facsímil")</f>
        <v>Abrir facsímil</v>
      </c>
      <c r="K4782" s="12" t="s">
        <v>65</v>
      </c>
    </row>
    <row r="4783" spans="1:11" ht="40.049999999999997" customHeight="1" x14ac:dyDescent="0.25">
      <c r="A4783" s="11" t="s">
        <v>10457</v>
      </c>
      <c r="B4783" s="11" t="s">
        <v>10458</v>
      </c>
      <c r="C4783" s="11" t="s">
        <v>17</v>
      </c>
      <c r="D4783" s="11" t="s">
        <v>18</v>
      </c>
      <c r="E4783" s="12" t="s">
        <v>4957</v>
      </c>
      <c r="F4783" s="12" t="s">
        <v>4958</v>
      </c>
      <c r="G4783" s="12" t="s">
        <v>46</v>
      </c>
      <c r="H4783" s="11" t="s">
        <v>22</v>
      </c>
      <c r="I4783" s="13" t="s">
        <v>10459</v>
      </c>
      <c r="J4783" s="14" t="str">
        <f>HYPERLINK("https://www.boe.es/gazeta/dias/1839/11/04/pdfs/GMD-1839-1821.pdf#page=3","Abrir facsímil")</f>
        <v>Abrir facsímil</v>
      </c>
      <c r="K4783" s="12" t="s">
        <v>24</v>
      </c>
    </row>
    <row r="4784" spans="1:11" ht="40.049999999999997" customHeight="1" x14ac:dyDescent="0.25">
      <c r="A4784" s="11" t="s">
        <v>10460</v>
      </c>
      <c r="B4784" s="11" t="s">
        <v>10460</v>
      </c>
      <c r="C4784" s="11" t="s">
        <v>17</v>
      </c>
      <c r="D4784" s="11" t="s">
        <v>18</v>
      </c>
      <c r="E4784" s="12" t="s">
        <v>462</v>
      </c>
      <c r="F4784" s="12" t="s">
        <v>463</v>
      </c>
      <c r="G4784" s="12" t="s">
        <v>21</v>
      </c>
      <c r="H4784" s="11" t="s">
        <v>63</v>
      </c>
      <c r="I4784" s="13" t="s">
        <v>10461</v>
      </c>
      <c r="J4784" s="14" t="str">
        <f>HYPERLINK("https://www.boe.es/gazeta/dias/1839/06/19/pdfs/GMD-1839-1677.pdf#page=4","Abrir facsímil")</f>
        <v>Abrir facsímil</v>
      </c>
      <c r="K4784" s="12" t="s">
        <v>65</v>
      </c>
    </row>
    <row r="4785" spans="1:11" ht="40.049999999999997" customHeight="1" x14ac:dyDescent="0.25">
      <c r="A4785" s="11" t="s">
        <v>10462</v>
      </c>
      <c r="B4785" s="11" t="s">
        <v>10462</v>
      </c>
      <c r="C4785" s="11" t="s">
        <v>101</v>
      </c>
      <c r="D4785" s="11" t="s">
        <v>43</v>
      </c>
      <c r="E4785" s="12" t="s">
        <v>751</v>
      </c>
      <c r="F4785" s="12" t="s">
        <v>752</v>
      </c>
      <c r="G4785" s="12" t="s">
        <v>46</v>
      </c>
      <c r="H4785" s="11" t="s">
        <v>63</v>
      </c>
      <c r="I4785" s="13" t="s">
        <v>10463</v>
      </c>
      <c r="J4785" s="14" t="str">
        <f>HYPERLINK("https://www.boe.es/gazeta/dias/1839/02/05/pdfs/GMD-1839-1543.pdf#page=3","Abrir facsímil")</f>
        <v>Abrir facsímil</v>
      </c>
      <c r="K4785" s="12" t="s">
        <v>65</v>
      </c>
    </row>
    <row r="4786" spans="1:11" ht="40.049999999999997" customHeight="1" x14ac:dyDescent="0.25">
      <c r="A4786" s="11" t="s">
        <v>10462</v>
      </c>
      <c r="B4786" s="11" t="s">
        <v>10462</v>
      </c>
      <c r="C4786" s="11" t="s">
        <v>101</v>
      </c>
      <c r="D4786" s="11" t="s">
        <v>43</v>
      </c>
      <c r="E4786" s="12" t="s">
        <v>181</v>
      </c>
      <c r="F4786" s="12" t="s">
        <v>182</v>
      </c>
      <c r="G4786" s="12" t="s">
        <v>40</v>
      </c>
      <c r="H4786" s="11" t="s">
        <v>63</v>
      </c>
      <c r="I4786" s="13" t="s">
        <v>10464</v>
      </c>
      <c r="J4786" s="14" t="str">
        <f>HYPERLINK("https://www.boe.es/gazeta/dias/1839/01/11/pdfs/GMD-1839-1518.pdf#page=2","Abrir facsímil")</f>
        <v>Abrir facsímil</v>
      </c>
      <c r="K4786" s="12" t="s">
        <v>65</v>
      </c>
    </row>
    <row r="4787" spans="1:11" ht="40.049999999999997" customHeight="1" x14ac:dyDescent="0.25">
      <c r="A4787" s="11" t="s">
        <v>10462</v>
      </c>
      <c r="B4787" s="11" t="s">
        <v>10462</v>
      </c>
      <c r="C4787" s="11" t="s">
        <v>17</v>
      </c>
      <c r="D4787" s="11" t="s">
        <v>18</v>
      </c>
      <c r="E4787" s="12" t="s">
        <v>320</v>
      </c>
      <c r="F4787" s="12" t="s">
        <v>321</v>
      </c>
      <c r="G4787" s="12" t="s">
        <v>29</v>
      </c>
      <c r="H4787" s="11" t="s">
        <v>63</v>
      </c>
      <c r="I4787" s="13" t="s">
        <v>10465</v>
      </c>
      <c r="J4787" s="14" t="str">
        <f>HYPERLINK("https://www.boe.es/gazeta/dias/1839/05/11/pdfs/GMD-1839-1638.pdf#page=1","Abrir facsímil")</f>
        <v>Abrir facsímil</v>
      </c>
      <c r="K4787" s="12" t="s">
        <v>65</v>
      </c>
    </row>
    <row r="4788" spans="1:11" ht="40.049999999999997" customHeight="1" x14ac:dyDescent="0.25">
      <c r="A4788" s="11" t="s">
        <v>10462</v>
      </c>
      <c r="B4788" s="11" t="s">
        <v>10462</v>
      </c>
      <c r="C4788" s="11" t="s">
        <v>59</v>
      </c>
      <c r="D4788" s="11" t="s">
        <v>60</v>
      </c>
      <c r="E4788" s="12" t="s">
        <v>299</v>
      </c>
      <c r="F4788" s="12" t="s">
        <v>300</v>
      </c>
      <c r="G4788" s="12" t="s">
        <v>29</v>
      </c>
      <c r="H4788" s="11" t="s">
        <v>63</v>
      </c>
      <c r="I4788" s="13" t="s">
        <v>10466</v>
      </c>
      <c r="J4788" s="14" t="str">
        <f>HYPERLINK("https://www.boe.es/gazeta/dias/1839/02/14/pdfs/GMD-1839-1552.pdf#page=1","Abrir facsímil")</f>
        <v>Abrir facsímil</v>
      </c>
      <c r="K4788" s="12" t="s">
        <v>65</v>
      </c>
    </row>
    <row r="4789" spans="1:11" ht="40.049999999999997" customHeight="1" x14ac:dyDescent="0.25">
      <c r="A4789" s="11" t="s">
        <v>10462</v>
      </c>
      <c r="B4789" s="11" t="s">
        <v>10462</v>
      </c>
      <c r="C4789" s="11" t="s">
        <v>17</v>
      </c>
      <c r="D4789" s="11" t="s">
        <v>18</v>
      </c>
      <c r="E4789" s="12" t="s">
        <v>1551</v>
      </c>
      <c r="F4789" s="12" t="s">
        <v>1552</v>
      </c>
      <c r="G4789" s="12" t="s">
        <v>29</v>
      </c>
      <c r="H4789" s="11" t="s">
        <v>63</v>
      </c>
      <c r="I4789" s="13" t="s">
        <v>10467</v>
      </c>
      <c r="J4789" s="14" t="str">
        <f>HYPERLINK("https://www.boe.es/gazeta/dias/1839/06/30/pdfs/GMD-1839-1688.pdf#page=1","Abrir facsímil")</f>
        <v>Abrir facsímil</v>
      </c>
      <c r="K4789" s="12" t="s">
        <v>65</v>
      </c>
    </row>
    <row r="4790" spans="1:11" ht="40.049999999999997" customHeight="1" x14ac:dyDescent="0.25">
      <c r="A4790" s="11" t="s">
        <v>10468</v>
      </c>
      <c r="B4790" s="11" t="s">
        <v>10468</v>
      </c>
      <c r="C4790" s="11" t="s">
        <v>80</v>
      </c>
      <c r="D4790" s="11" t="s">
        <v>18</v>
      </c>
      <c r="E4790" s="12" t="s">
        <v>299</v>
      </c>
      <c r="F4790" s="12" t="s">
        <v>300</v>
      </c>
      <c r="G4790" s="12" t="s">
        <v>29</v>
      </c>
      <c r="H4790" s="11" t="s">
        <v>63</v>
      </c>
      <c r="I4790" s="13" t="s">
        <v>10469</v>
      </c>
      <c r="J4790" s="14" t="str">
        <f>HYPERLINK("https://www.boe.es/gazeta/dias/1839/02/14/pdfs/GMD-1839-1552.pdf#page=1","Abrir facsímil")</f>
        <v>Abrir facsímil</v>
      </c>
      <c r="K4790" s="12" t="s">
        <v>65</v>
      </c>
    </row>
    <row r="4791" spans="1:11" ht="40.049999999999997" customHeight="1" x14ac:dyDescent="0.25">
      <c r="A4791" s="11" t="s">
        <v>10470</v>
      </c>
      <c r="B4791" s="11" t="s">
        <v>10470</v>
      </c>
      <c r="C4791" s="11" t="s">
        <v>17</v>
      </c>
      <c r="D4791" s="11" t="s">
        <v>18</v>
      </c>
      <c r="E4791" s="12" t="s">
        <v>821</v>
      </c>
      <c r="F4791" s="12" t="s">
        <v>822</v>
      </c>
      <c r="G4791" s="12" t="s">
        <v>29</v>
      </c>
      <c r="H4791" s="11" t="s">
        <v>63</v>
      </c>
      <c r="I4791" s="13" t="s">
        <v>10471</v>
      </c>
      <c r="J4791" s="14" t="str">
        <f>HYPERLINK("https://www.boe.es/gazeta/dias/1839/09/20/pdfs/GMD-1839-1775.pdf#page=1","Abrir facsímil")</f>
        <v>Abrir facsímil</v>
      </c>
      <c r="K4791" s="12" t="s">
        <v>65</v>
      </c>
    </row>
    <row r="4792" spans="1:11" ht="40.049999999999997" customHeight="1" x14ac:dyDescent="0.25">
      <c r="A4792" s="11" t="s">
        <v>10470</v>
      </c>
      <c r="B4792" s="11" t="s">
        <v>10470</v>
      </c>
      <c r="C4792" s="11" t="s">
        <v>17</v>
      </c>
      <c r="D4792" s="11" t="s">
        <v>18</v>
      </c>
      <c r="E4792" s="12" t="s">
        <v>668</v>
      </c>
      <c r="F4792" s="12" t="s">
        <v>669</v>
      </c>
      <c r="G4792" s="12" t="s">
        <v>29</v>
      </c>
      <c r="H4792" s="11" t="s">
        <v>63</v>
      </c>
      <c r="I4792" s="13" t="s">
        <v>10472</v>
      </c>
      <c r="J4792" s="14" t="str">
        <f>HYPERLINK("https://www.boe.es/gazeta/dias/1839/03/28/pdfs/GMD-1839-1594.pdf#page=1","Abrir facsímil")</f>
        <v>Abrir facsímil</v>
      </c>
      <c r="K4792" s="12" t="s">
        <v>65</v>
      </c>
    </row>
    <row r="4793" spans="1:11" ht="40.049999999999997" customHeight="1" x14ac:dyDescent="0.25">
      <c r="A4793" s="11" t="s">
        <v>10473</v>
      </c>
      <c r="B4793" s="11" t="s">
        <v>10473</v>
      </c>
      <c r="C4793" s="11" t="s">
        <v>17</v>
      </c>
      <c r="D4793" s="11" t="s">
        <v>18</v>
      </c>
      <c r="E4793" s="12" t="s">
        <v>798</v>
      </c>
      <c r="F4793" s="12" t="s">
        <v>799</v>
      </c>
      <c r="G4793" s="12" t="s">
        <v>40</v>
      </c>
      <c r="H4793" s="11" t="s">
        <v>63</v>
      </c>
      <c r="I4793" s="13" t="s">
        <v>10474</v>
      </c>
      <c r="J4793" s="14" t="str">
        <f>HYPERLINK("https://www.boe.es/gazeta/dias/1839/09/03/pdfs/GMD-1839-1755.pdf#page=2","Abrir facsímil")</f>
        <v>Abrir facsímil</v>
      </c>
      <c r="K4793" s="12" t="s">
        <v>65</v>
      </c>
    </row>
    <row r="4794" spans="1:11" ht="40.049999999999997" customHeight="1" x14ac:dyDescent="0.25">
      <c r="A4794" s="11" t="s">
        <v>10473</v>
      </c>
      <c r="B4794" s="11" t="s">
        <v>10473</v>
      </c>
      <c r="C4794" s="11" t="s">
        <v>17</v>
      </c>
      <c r="D4794" s="11" t="s">
        <v>18</v>
      </c>
      <c r="E4794" s="12" t="s">
        <v>108</v>
      </c>
      <c r="F4794" s="12" t="s">
        <v>109</v>
      </c>
      <c r="G4794" s="12" t="s">
        <v>40</v>
      </c>
      <c r="H4794" s="11" t="s">
        <v>63</v>
      </c>
      <c r="I4794" s="13" t="s">
        <v>10475</v>
      </c>
      <c r="J4794" s="14" t="str">
        <f>HYPERLINK("https://www.boe.es/gazeta/dias/1839/01/04/pdfs/GMD-1839-1511.pdf#page=2","Abrir facsímil")</f>
        <v>Abrir facsímil</v>
      </c>
      <c r="K4794" s="12" t="s">
        <v>65</v>
      </c>
    </row>
    <row r="4795" spans="1:11" ht="40.049999999999997" customHeight="1" x14ac:dyDescent="0.25">
      <c r="A4795" s="11" t="s">
        <v>10473</v>
      </c>
      <c r="B4795" s="11" t="s">
        <v>10473</v>
      </c>
      <c r="C4795" s="11" t="s">
        <v>17</v>
      </c>
      <c r="D4795" s="11" t="s">
        <v>18</v>
      </c>
      <c r="E4795" s="12" t="s">
        <v>49</v>
      </c>
      <c r="F4795" s="12" t="s">
        <v>50</v>
      </c>
      <c r="G4795" s="12" t="s">
        <v>21</v>
      </c>
      <c r="H4795" s="11" t="s">
        <v>63</v>
      </c>
      <c r="I4795" s="13" t="s">
        <v>10476</v>
      </c>
      <c r="J4795" s="14" t="str">
        <f>HYPERLINK("https://www.boe.es/gazeta/dias/1839/01/05/pdfs/GMD-1839-1512.pdf#page=4","Abrir facsímil")</f>
        <v>Abrir facsímil</v>
      </c>
      <c r="K4795" s="12" t="s">
        <v>65</v>
      </c>
    </row>
    <row r="4796" spans="1:11" ht="40.049999999999997" customHeight="1" x14ac:dyDescent="0.25">
      <c r="A4796" s="11" t="s">
        <v>10473</v>
      </c>
      <c r="B4796" s="11" t="s">
        <v>10473</v>
      </c>
      <c r="C4796" s="11" t="s">
        <v>17</v>
      </c>
      <c r="D4796" s="11" t="s">
        <v>18</v>
      </c>
      <c r="E4796" s="12" t="s">
        <v>2165</v>
      </c>
      <c r="F4796" s="12" t="s">
        <v>2166</v>
      </c>
      <c r="G4796" s="12" t="s">
        <v>21</v>
      </c>
      <c r="H4796" s="11" t="s">
        <v>63</v>
      </c>
      <c r="I4796" s="13" t="s">
        <v>10477</v>
      </c>
      <c r="J4796" s="14" t="str">
        <f>HYPERLINK("https://www.boe.es/gazeta/dias/1839/01/06/pdfs/GMD-1839-1513.pdf#page=4","Abrir facsímil")</f>
        <v>Abrir facsímil</v>
      </c>
      <c r="K4796" s="12" t="s">
        <v>65</v>
      </c>
    </row>
    <row r="4797" spans="1:11" ht="40.049999999999997" customHeight="1" x14ac:dyDescent="0.25">
      <c r="A4797" s="11" t="s">
        <v>10473</v>
      </c>
      <c r="B4797" s="11" t="s">
        <v>10473</v>
      </c>
      <c r="C4797" s="11" t="s">
        <v>17</v>
      </c>
      <c r="D4797" s="11" t="s">
        <v>18</v>
      </c>
      <c r="E4797" s="12" t="s">
        <v>2301</v>
      </c>
      <c r="F4797" s="12" t="s">
        <v>2302</v>
      </c>
      <c r="G4797" s="12" t="s">
        <v>40</v>
      </c>
      <c r="H4797" s="11" t="s">
        <v>63</v>
      </c>
      <c r="I4797" s="13" t="s">
        <v>10478</v>
      </c>
      <c r="J4797" s="14" t="str">
        <f>HYPERLINK("https://www.boe.es/gazeta/dias/1839/09/08/pdfs/GMD-1839-1761.pdf#page=2","Abrir facsímil")</f>
        <v>Abrir facsímil</v>
      </c>
      <c r="K4797" s="12" t="s">
        <v>65</v>
      </c>
    </row>
    <row r="4798" spans="1:11" ht="40.049999999999997" customHeight="1" x14ac:dyDescent="0.25">
      <c r="A4798" s="11" t="s">
        <v>10473</v>
      </c>
      <c r="B4798" s="11" t="s">
        <v>10473</v>
      </c>
      <c r="C4798" s="11" t="s">
        <v>17</v>
      </c>
      <c r="D4798" s="11" t="s">
        <v>18</v>
      </c>
      <c r="E4798" s="12" t="s">
        <v>181</v>
      </c>
      <c r="F4798" s="12" t="s">
        <v>182</v>
      </c>
      <c r="G4798" s="12" t="s">
        <v>40</v>
      </c>
      <c r="H4798" s="11" t="s">
        <v>63</v>
      </c>
      <c r="I4798" s="13" t="s">
        <v>10479</v>
      </c>
      <c r="J4798" s="14" t="str">
        <f>HYPERLINK("https://www.boe.es/gazeta/dias/1839/01/11/pdfs/GMD-1839-1518.pdf#page=2","Abrir facsímil")</f>
        <v>Abrir facsímil</v>
      </c>
      <c r="K4798" s="12" t="s">
        <v>65</v>
      </c>
    </row>
    <row r="4799" spans="1:11" ht="40.049999999999997" customHeight="1" x14ac:dyDescent="0.25">
      <c r="A4799" s="11" t="s">
        <v>10473</v>
      </c>
      <c r="B4799" s="11" t="s">
        <v>10473</v>
      </c>
      <c r="C4799" s="11" t="s">
        <v>80</v>
      </c>
      <c r="D4799" s="11" t="s">
        <v>18</v>
      </c>
      <c r="E4799" s="12" t="s">
        <v>163</v>
      </c>
      <c r="F4799" s="12" t="s">
        <v>164</v>
      </c>
      <c r="G4799" s="12" t="s">
        <v>46</v>
      </c>
      <c r="H4799" s="11" t="s">
        <v>63</v>
      </c>
      <c r="I4799" s="13" t="s">
        <v>10480</v>
      </c>
      <c r="J4799" s="14" t="str">
        <f>HYPERLINK("https://www.boe.es/gazeta/dias/1839/01/13/pdfs/GMD-1839-1520.pdf#page=3","Abrir facsímil")</f>
        <v>Abrir facsímil</v>
      </c>
      <c r="K4799" s="12" t="s">
        <v>65</v>
      </c>
    </row>
    <row r="4800" spans="1:11" ht="40.049999999999997" customHeight="1" x14ac:dyDescent="0.25">
      <c r="A4800" s="11" t="s">
        <v>10473</v>
      </c>
      <c r="B4800" s="11" t="s">
        <v>10473</v>
      </c>
      <c r="C4800" s="11" t="s">
        <v>17</v>
      </c>
      <c r="D4800" s="11" t="s">
        <v>18</v>
      </c>
      <c r="E4800" s="12" t="s">
        <v>1100</v>
      </c>
      <c r="F4800" s="12" t="s">
        <v>1101</v>
      </c>
      <c r="G4800" s="12" t="s">
        <v>40</v>
      </c>
      <c r="H4800" s="11" t="s">
        <v>63</v>
      </c>
      <c r="I4800" s="13" t="s">
        <v>10481</v>
      </c>
      <c r="J4800" s="14" t="str">
        <f>HYPERLINK("https://www.boe.es/gazeta/dias/1839/09/13/pdfs/GMD-1839-1766.pdf#page=2","Abrir facsímil")</f>
        <v>Abrir facsímil</v>
      </c>
      <c r="K4800" s="12" t="s">
        <v>65</v>
      </c>
    </row>
    <row r="4801" spans="1:11" ht="40.049999999999997" customHeight="1" x14ac:dyDescent="0.25">
      <c r="A4801" s="11" t="s">
        <v>10473</v>
      </c>
      <c r="B4801" s="11" t="s">
        <v>10473</v>
      </c>
      <c r="C4801" s="11" t="s">
        <v>17</v>
      </c>
      <c r="D4801" s="11" t="s">
        <v>18</v>
      </c>
      <c r="E4801" s="12" t="s">
        <v>1072</v>
      </c>
      <c r="F4801" s="12" t="s">
        <v>1073</v>
      </c>
      <c r="G4801" s="12" t="s">
        <v>29</v>
      </c>
      <c r="H4801" s="11" t="s">
        <v>63</v>
      </c>
      <c r="I4801" s="13" t="s">
        <v>10482</v>
      </c>
      <c r="J4801" s="14" t="str">
        <f>HYPERLINK("https://www.boe.es/gazeta/dias/1839/01/18/pdfs/GMD-1839-1525.pdf#page=1","Abrir facsímil")</f>
        <v>Abrir facsímil</v>
      </c>
      <c r="K4801" s="12" t="s">
        <v>65</v>
      </c>
    </row>
    <row r="4802" spans="1:11" ht="40.049999999999997" customHeight="1" x14ac:dyDescent="0.25">
      <c r="A4802" s="11" t="s">
        <v>10473</v>
      </c>
      <c r="B4802" s="11" t="s">
        <v>10473</v>
      </c>
      <c r="C4802" s="11" t="s">
        <v>137</v>
      </c>
      <c r="D4802" s="11" t="s">
        <v>18</v>
      </c>
      <c r="E4802" s="12" t="s">
        <v>571</v>
      </c>
      <c r="F4802" s="12" t="s">
        <v>572</v>
      </c>
      <c r="G4802" s="12" t="s">
        <v>21</v>
      </c>
      <c r="H4802" s="11" t="s">
        <v>63</v>
      </c>
      <c r="I4802" s="13" t="s">
        <v>10483</v>
      </c>
      <c r="J4802" s="14" t="str">
        <f>HYPERLINK("https://www.boe.es/gazeta/dias/1839/09/27/pdfs/GMD-1839-1783.pdf#page=4","Abrir facsímil")</f>
        <v>Abrir facsímil</v>
      </c>
      <c r="K4802" s="12" t="s">
        <v>65</v>
      </c>
    </row>
    <row r="4803" spans="1:11" ht="40.049999999999997" customHeight="1" x14ac:dyDescent="0.25">
      <c r="A4803" s="11" t="s">
        <v>10484</v>
      </c>
      <c r="B4803" s="11" t="s">
        <v>10484</v>
      </c>
      <c r="C4803" s="11" t="s">
        <v>17</v>
      </c>
      <c r="D4803" s="11" t="s">
        <v>18</v>
      </c>
      <c r="E4803" s="12" t="s">
        <v>1696</v>
      </c>
      <c r="F4803" s="12" t="s">
        <v>1697</v>
      </c>
      <c r="G4803" s="12" t="s">
        <v>29</v>
      </c>
      <c r="H4803" s="11" t="s">
        <v>63</v>
      </c>
      <c r="I4803" s="13" t="s">
        <v>10485</v>
      </c>
      <c r="J4803" s="14" t="str">
        <f>HYPERLINK("https://www.boe.es/gazeta/dias/1839/08/31/pdfs/GMD-1839-1752.pdf#page=1","Abrir facsímil")</f>
        <v>Abrir facsímil</v>
      </c>
      <c r="K4803" s="12" t="s">
        <v>65</v>
      </c>
    </row>
    <row r="4804" spans="1:11" ht="40.049999999999997" customHeight="1" x14ac:dyDescent="0.25">
      <c r="A4804" s="11" t="s">
        <v>10486</v>
      </c>
      <c r="B4804" s="11" t="s">
        <v>10486</v>
      </c>
      <c r="C4804" s="11" t="s">
        <v>137</v>
      </c>
      <c r="D4804" s="11" t="s">
        <v>18</v>
      </c>
      <c r="E4804" s="12" t="s">
        <v>1479</v>
      </c>
      <c r="F4804" s="12" t="s">
        <v>1480</v>
      </c>
      <c r="G4804" s="12" t="s">
        <v>40</v>
      </c>
      <c r="H4804" s="11" t="s">
        <v>63</v>
      </c>
      <c r="I4804" s="13" t="s">
        <v>10487</v>
      </c>
      <c r="J4804" s="14" t="str">
        <f>HYPERLINK("https://www.boe.es/gazeta/dias/1839/04/09/pdfs/GMD-1839-1606.pdf#page=2","Abrir facsímil")</f>
        <v>Abrir facsímil</v>
      </c>
      <c r="K4804" s="12" t="s">
        <v>65</v>
      </c>
    </row>
    <row r="4805" spans="1:11" ht="40.049999999999997" customHeight="1" x14ac:dyDescent="0.25">
      <c r="A4805" s="11" t="s">
        <v>10488</v>
      </c>
      <c r="B4805" s="11" t="s">
        <v>10488</v>
      </c>
      <c r="C4805" s="11" t="s">
        <v>17</v>
      </c>
      <c r="D4805" s="11" t="s">
        <v>18</v>
      </c>
      <c r="E4805" s="12" t="s">
        <v>650</v>
      </c>
      <c r="F4805" s="12" t="s">
        <v>651</v>
      </c>
      <c r="G4805" s="12" t="s">
        <v>46</v>
      </c>
      <c r="H4805" s="11" t="s">
        <v>63</v>
      </c>
      <c r="I4805" s="13" t="s">
        <v>10489</v>
      </c>
      <c r="J4805" s="14" t="str">
        <f>HYPERLINK("https://www.boe.es/gazeta/dias/1839/10/25/pdfs/GMD-1839-1811.pdf#page=3","Abrir facsímil")</f>
        <v>Abrir facsímil</v>
      </c>
      <c r="K4805" s="12" t="s">
        <v>65</v>
      </c>
    </row>
    <row r="4806" spans="1:11" ht="40.049999999999997" customHeight="1" x14ac:dyDescent="0.25">
      <c r="A4806" s="11" t="s">
        <v>10490</v>
      </c>
      <c r="B4806" s="11" t="s">
        <v>10490</v>
      </c>
      <c r="C4806" s="11" t="s">
        <v>59</v>
      </c>
      <c r="D4806" s="11" t="s">
        <v>60</v>
      </c>
      <c r="E4806" s="12" t="s">
        <v>1069</v>
      </c>
      <c r="F4806" s="12" t="s">
        <v>1070</v>
      </c>
      <c r="G4806" s="12" t="s">
        <v>21</v>
      </c>
      <c r="H4806" s="11" t="s">
        <v>63</v>
      </c>
      <c r="I4806" s="13" t="s">
        <v>10491</v>
      </c>
      <c r="J4806" s="14" t="str">
        <f>HYPERLINK("https://www.boe.es/gazeta/dias/1839/10/15/pdfs/GMD-1839-1801.pdf#page=4","Abrir facsímil")</f>
        <v>Abrir facsímil</v>
      </c>
      <c r="K4806" s="12" t="s">
        <v>65</v>
      </c>
    </row>
    <row r="4807" spans="1:11" ht="40.049999999999997" customHeight="1" x14ac:dyDescent="0.25">
      <c r="A4807" s="11" t="s">
        <v>10490</v>
      </c>
      <c r="B4807" s="11" t="s">
        <v>10490</v>
      </c>
      <c r="C4807" s="11" t="s">
        <v>17</v>
      </c>
      <c r="D4807" s="11" t="s">
        <v>18</v>
      </c>
      <c r="E4807" s="12" t="s">
        <v>1179</v>
      </c>
      <c r="F4807" s="12" t="s">
        <v>1180</v>
      </c>
      <c r="G4807" s="12" t="s">
        <v>305</v>
      </c>
      <c r="H4807" s="11" t="s">
        <v>63</v>
      </c>
      <c r="I4807" s="13" t="s">
        <v>10492</v>
      </c>
      <c r="J4807" s="14" t="str">
        <f>HYPERLINK("https://www.boe.es/gazeta/dias/1839/10/18/pdfs/GMD-1839-1804.pdf#page=6","Abrir facsímil")</f>
        <v>Abrir facsímil</v>
      </c>
      <c r="K4807" s="12" t="s">
        <v>65</v>
      </c>
    </row>
    <row r="4808" spans="1:11" ht="40.049999999999997" customHeight="1" x14ac:dyDescent="0.25">
      <c r="A4808" s="11" t="s">
        <v>10493</v>
      </c>
      <c r="B4808" s="11" t="s">
        <v>10493</v>
      </c>
      <c r="C4808" s="11" t="s">
        <v>17</v>
      </c>
      <c r="D4808" s="11" t="s">
        <v>18</v>
      </c>
      <c r="E4808" s="12" t="s">
        <v>280</v>
      </c>
      <c r="F4808" s="12" t="s">
        <v>281</v>
      </c>
      <c r="G4808" s="12" t="s">
        <v>40</v>
      </c>
      <c r="H4808" s="11" t="s">
        <v>63</v>
      </c>
      <c r="I4808" s="13" t="s">
        <v>10494</v>
      </c>
      <c r="J4808" s="14" t="str">
        <f>HYPERLINK("https://www.boe.es/gazeta/dias/1839/08/21/pdfs/GMD-1839-1742.pdf#page=2","Abrir facsímil")</f>
        <v>Abrir facsímil</v>
      </c>
      <c r="K4808" s="12" t="s">
        <v>65</v>
      </c>
    </row>
    <row r="4809" spans="1:11" ht="40.049999999999997" customHeight="1" x14ac:dyDescent="0.25">
      <c r="A4809" s="11" t="s">
        <v>10495</v>
      </c>
      <c r="B4809" s="11" t="s">
        <v>10495</v>
      </c>
      <c r="C4809" s="11" t="s">
        <v>17</v>
      </c>
      <c r="D4809" s="11" t="s">
        <v>18</v>
      </c>
      <c r="E4809" s="12" t="s">
        <v>503</v>
      </c>
      <c r="F4809" s="12" t="s">
        <v>504</v>
      </c>
      <c r="G4809" s="12" t="s">
        <v>46</v>
      </c>
      <c r="H4809" s="11" t="s">
        <v>63</v>
      </c>
      <c r="I4809" s="13" t="s">
        <v>10496</v>
      </c>
      <c r="J4809" s="14" t="str">
        <f>HYPERLINK("https://www.boe.es/gazeta/dias/1839/06/07/pdfs/GMD-1839-1665.pdf#page=3","Abrir facsímil")</f>
        <v>Abrir facsímil</v>
      </c>
      <c r="K4809" s="12" t="s">
        <v>65</v>
      </c>
    </row>
    <row r="4810" spans="1:11" ht="40.049999999999997" customHeight="1" x14ac:dyDescent="0.25">
      <c r="A4810" s="11" t="s">
        <v>10497</v>
      </c>
      <c r="B4810" s="11" t="s">
        <v>10497</v>
      </c>
      <c r="C4810" s="11" t="s">
        <v>17</v>
      </c>
      <c r="D4810" s="11" t="s">
        <v>18</v>
      </c>
      <c r="E4810" s="12" t="s">
        <v>2463</v>
      </c>
      <c r="F4810" s="12" t="s">
        <v>2464</v>
      </c>
      <c r="G4810" s="12" t="s">
        <v>40</v>
      </c>
      <c r="H4810" s="11" t="s">
        <v>63</v>
      </c>
      <c r="I4810" s="13" t="s">
        <v>10498</v>
      </c>
      <c r="J4810" s="14" t="str">
        <f>HYPERLINK("https://www.boe.es/gazeta/dias/1839/04/26/pdfs/GMD-1839-1623.pdf#page=2","Abrir facsímil")</f>
        <v>Abrir facsímil</v>
      </c>
      <c r="K4810" s="12" t="s">
        <v>65</v>
      </c>
    </row>
    <row r="4811" spans="1:11" ht="40.049999999999997" customHeight="1" x14ac:dyDescent="0.25">
      <c r="A4811" s="11" t="s">
        <v>10499</v>
      </c>
      <c r="B4811" s="11" t="s">
        <v>10499</v>
      </c>
      <c r="C4811" s="11" t="s">
        <v>17</v>
      </c>
      <c r="D4811" s="11" t="s">
        <v>18</v>
      </c>
      <c r="E4811" s="12" t="s">
        <v>462</v>
      </c>
      <c r="F4811" s="12" t="s">
        <v>463</v>
      </c>
      <c r="G4811" s="12" t="s">
        <v>46</v>
      </c>
      <c r="H4811" s="11" t="s">
        <v>63</v>
      </c>
      <c r="I4811" s="13" t="s">
        <v>10500</v>
      </c>
      <c r="J4811" s="14" t="str">
        <f>HYPERLINK("https://www.boe.es/gazeta/dias/1839/06/19/pdfs/GMD-1839-1677.pdf#page=3","Abrir facsímil")</f>
        <v>Abrir facsímil</v>
      </c>
      <c r="K4811" s="12" t="s">
        <v>65</v>
      </c>
    </row>
    <row r="4812" spans="1:11" ht="40.049999999999997" customHeight="1" x14ac:dyDescent="0.25">
      <c r="A4812" s="11" t="s">
        <v>10501</v>
      </c>
      <c r="B4812" s="11" t="s">
        <v>10502</v>
      </c>
      <c r="C4812" s="11" t="s">
        <v>17</v>
      </c>
      <c r="D4812" s="11" t="s">
        <v>18</v>
      </c>
      <c r="E4812" s="12" t="s">
        <v>1523</v>
      </c>
      <c r="F4812" s="12" t="s">
        <v>1524</v>
      </c>
      <c r="G4812" s="12" t="s">
        <v>40</v>
      </c>
      <c r="H4812" s="11" t="s">
        <v>63</v>
      </c>
      <c r="I4812" s="13" t="s">
        <v>10503</v>
      </c>
      <c r="J4812" s="14" t="str">
        <f>HYPERLINK("https://www.boe.es/gazeta/dias/1839/08/29/pdfs/GMD-1839-1750.pdf#page=2","Abrir facsímil")</f>
        <v>Abrir facsímil</v>
      </c>
      <c r="K4812" s="12" t="s">
        <v>65</v>
      </c>
    </row>
    <row r="4813" spans="1:11" ht="40.049999999999997" customHeight="1" x14ac:dyDescent="0.25">
      <c r="A4813" s="11" t="s">
        <v>10504</v>
      </c>
      <c r="B4813" s="11" t="s">
        <v>10505</v>
      </c>
      <c r="C4813" s="11" t="s">
        <v>17</v>
      </c>
      <c r="D4813" s="11" t="s">
        <v>18</v>
      </c>
      <c r="E4813" s="12" t="s">
        <v>650</v>
      </c>
      <c r="F4813" s="12" t="s">
        <v>651</v>
      </c>
      <c r="G4813" s="12" t="s">
        <v>40</v>
      </c>
      <c r="H4813" s="11" t="s">
        <v>63</v>
      </c>
      <c r="I4813" s="13" t="s">
        <v>10506</v>
      </c>
      <c r="J4813" s="14" t="str">
        <f>HYPERLINK("https://www.boe.es/gazeta/dias/1839/10/25/pdfs/GMD-1839-1811.pdf#page=2","Abrir facsímil")</f>
        <v>Abrir facsímil</v>
      </c>
      <c r="K4813" s="12" t="s">
        <v>65</v>
      </c>
    </row>
    <row r="4814" spans="1:11" ht="40.049999999999997" customHeight="1" x14ac:dyDescent="0.25">
      <c r="A4814" s="11" t="s">
        <v>10507</v>
      </c>
      <c r="B4814" s="11" t="s">
        <v>10508</v>
      </c>
      <c r="C4814" s="11" t="s">
        <v>137</v>
      </c>
      <c r="D4814" s="11" t="s">
        <v>18</v>
      </c>
      <c r="E4814" s="12" t="s">
        <v>38</v>
      </c>
      <c r="F4814" s="12" t="s">
        <v>39</v>
      </c>
      <c r="G4814" s="12" t="s">
        <v>46</v>
      </c>
      <c r="H4814" s="11" t="s">
        <v>63</v>
      </c>
      <c r="I4814" s="13" t="s">
        <v>10509</v>
      </c>
      <c r="J4814" s="14" t="str">
        <f>HYPERLINK("https://www.boe.es/gazeta/dias/1839/08/08/pdfs/GMD-1839-1728.pdf#page=3","Abrir facsímil")</f>
        <v>Abrir facsímil</v>
      </c>
      <c r="K4814" s="12" t="s">
        <v>65</v>
      </c>
    </row>
    <row r="4815" spans="1:11" ht="40.049999999999997" customHeight="1" x14ac:dyDescent="0.25">
      <c r="A4815" s="11" t="s">
        <v>10510</v>
      </c>
      <c r="B4815" s="11" t="s">
        <v>10511</v>
      </c>
      <c r="C4815" s="11" t="s">
        <v>80</v>
      </c>
      <c r="D4815" s="11" t="s">
        <v>18</v>
      </c>
      <c r="E4815" s="12" t="s">
        <v>89</v>
      </c>
      <c r="F4815" s="12" t="s">
        <v>90</v>
      </c>
      <c r="G4815" s="12" t="s">
        <v>21</v>
      </c>
      <c r="H4815" s="11" t="s">
        <v>63</v>
      </c>
      <c r="I4815" s="13" t="s">
        <v>10512</v>
      </c>
      <c r="J4815" s="14" t="str">
        <f>HYPERLINK("https://www.boe.es/gazeta/dias/1839/11/28/pdfs/GMD-1839-1845.pdf#page=4","Abrir facsímil")</f>
        <v>Abrir facsímil</v>
      </c>
      <c r="K4815" s="12" t="s">
        <v>65</v>
      </c>
    </row>
    <row r="4816" spans="1:11" ht="40.049999999999997" customHeight="1" x14ac:dyDescent="0.25">
      <c r="A4816" s="11" t="s">
        <v>10513</v>
      </c>
      <c r="B4816" s="11" t="s">
        <v>10514</v>
      </c>
      <c r="C4816" s="11" t="s">
        <v>101</v>
      </c>
      <c r="D4816" s="11" t="s">
        <v>43</v>
      </c>
      <c r="E4816" s="12" t="s">
        <v>381</v>
      </c>
      <c r="F4816" s="12" t="s">
        <v>382</v>
      </c>
      <c r="G4816" s="12" t="s">
        <v>21</v>
      </c>
      <c r="H4816" s="11" t="s">
        <v>22</v>
      </c>
      <c r="I4816" s="13" t="s">
        <v>10515</v>
      </c>
      <c r="J4816" s="14" t="str">
        <f>HYPERLINK("https://www.boe.es/gazeta/dias/1839/06/02/pdfs/GMD-1839-1660.pdf#page=4","Abrir facsímil")</f>
        <v>Abrir facsímil</v>
      </c>
      <c r="K4816" s="12" t="s">
        <v>24</v>
      </c>
    </row>
    <row r="4817" spans="1:11" ht="40.049999999999997" customHeight="1" x14ac:dyDescent="0.25">
      <c r="A4817" s="11" t="s">
        <v>10516</v>
      </c>
      <c r="B4817" s="11" t="s">
        <v>10517</v>
      </c>
      <c r="C4817" s="11" t="s">
        <v>17</v>
      </c>
      <c r="D4817" s="11" t="s">
        <v>18</v>
      </c>
      <c r="E4817" s="12" t="s">
        <v>76</v>
      </c>
      <c r="F4817" s="12" t="s">
        <v>77</v>
      </c>
      <c r="G4817" s="12" t="s">
        <v>46</v>
      </c>
      <c r="H4817" s="11" t="s">
        <v>63</v>
      </c>
      <c r="I4817" s="13" t="s">
        <v>10518</v>
      </c>
      <c r="J4817" s="14" t="str">
        <f>HYPERLINK("https://www.boe.es/gazeta/dias/1839/03/13/pdfs/GMD-1839-1579.pdf#page=3","Abrir facsímil")</f>
        <v>Abrir facsímil</v>
      </c>
      <c r="K4817" s="12" t="s">
        <v>65</v>
      </c>
    </row>
    <row r="4818" spans="1:11" ht="40.049999999999997" customHeight="1" x14ac:dyDescent="0.25">
      <c r="A4818" s="11" t="s">
        <v>10519</v>
      </c>
      <c r="B4818" s="11" t="s">
        <v>10520</v>
      </c>
      <c r="C4818" s="11" t="s">
        <v>17</v>
      </c>
      <c r="D4818" s="11" t="s">
        <v>18</v>
      </c>
      <c r="E4818" s="12" t="s">
        <v>2138</v>
      </c>
      <c r="F4818" s="12" t="s">
        <v>2139</v>
      </c>
      <c r="G4818" s="12" t="s">
        <v>305</v>
      </c>
      <c r="H4818" s="11" t="s">
        <v>63</v>
      </c>
      <c r="I4818" s="13" t="s">
        <v>10521</v>
      </c>
      <c r="J4818" s="14" t="str">
        <f>HYPERLINK("https://www.boe.es/gazeta/dias/1839/10/02/pdfs/GMD-1839-1788.pdf#page=6","Abrir facsímil")</f>
        <v>Abrir facsímil</v>
      </c>
      <c r="K4818" s="12" t="s">
        <v>65</v>
      </c>
    </row>
    <row r="4819" spans="1:11" ht="40.049999999999997" customHeight="1" x14ac:dyDescent="0.25">
      <c r="A4819" s="11" t="s">
        <v>10522</v>
      </c>
      <c r="B4819" s="11" t="s">
        <v>10522</v>
      </c>
      <c r="C4819" s="11" t="s">
        <v>17</v>
      </c>
      <c r="D4819" s="11" t="s">
        <v>18</v>
      </c>
      <c r="E4819" s="12" t="s">
        <v>2222</v>
      </c>
      <c r="F4819" s="12" t="s">
        <v>2223</v>
      </c>
      <c r="G4819" s="12" t="s">
        <v>46</v>
      </c>
      <c r="H4819" s="11" t="s">
        <v>22</v>
      </c>
      <c r="I4819" s="13" t="s">
        <v>10523</v>
      </c>
      <c r="J4819" s="14" t="str">
        <f>HYPERLINK("https://www.boe.es/gazeta/dias/1839/09/19/pdfs/GMD-1839-1773.pdf#page=3","Abrir facsímil")</f>
        <v>Abrir facsímil</v>
      </c>
      <c r="K4819" s="12" t="s">
        <v>24</v>
      </c>
    </row>
    <row r="4820" spans="1:11" ht="40.049999999999997" customHeight="1" x14ac:dyDescent="0.25">
      <c r="A4820" s="11" t="s">
        <v>10524</v>
      </c>
      <c r="B4820" s="11" t="s">
        <v>10524</v>
      </c>
      <c r="C4820" s="11" t="s">
        <v>59</v>
      </c>
      <c r="D4820" s="11" t="s">
        <v>60</v>
      </c>
      <c r="E4820" s="12" t="s">
        <v>621</v>
      </c>
      <c r="F4820" s="12" t="s">
        <v>622</v>
      </c>
      <c r="G4820" s="12" t="s">
        <v>40</v>
      </c>
      <c r="H4820" s="11" t="s">
        <v>63</v>
      </c>
      <c r="I4820" s="13" t="s">
        <v>10525</v>
      </c>
      <c r="J4820" s="14" t="str">
        <f>HYPERLINK("https://www.boe.es/gazeta/dias/1839/04/14/pdfs/GMD-1839-1611.pdf#page=2","Abrir facsímil")</f>
        <v>Abrir facsímil</v>
      </c>
      <c r="K4820" s="12" t="s">
        <v>65</v>
      </c>
    </row>
    <row r="4821" spans="1:11" ht="40.049999999999997" customHeight="1" x14ac:dyDescent="0.25">
      <c r="A4821" s="11" t="s">
        <v>10526</v>
      </c>
      <c r="B4821" s="11" t="s">
        <v>10526</v>
      </c>
      <c r="C4821" s="11" t="s">
        <v>80</v>
      </c>
      <c r="D4821" s="11" t="s">
        <v>18</v>
      </c>
      <c r="E4821" s="12" t="s">
        <v>222</v>
      </c>
      <c r="F4821" s="12" t="s">
        <v>223</v>
      </c>
      <c r="G4821" s="12" t="s">
        <v>29</v>
      </c>
      <c r="H4821" s="11" t="s">
        <v>63</v>
      </c>
      <c r="I4821" s="13" t="s">
        <v>10527</v>
      </c>
      <c r="J4821" s="14" t="str">
        <f>HYPERLINK("https://www.boe.es/gazeta/dias/1839/06/22/pdfs/GMD-1839-1680.pdf#page=1","Abrir facsímil")</f>
        <v>Abrir facsímil</v>
      </c>
      <c r="K4821" s="12" t="s">
        <v>65</v>
      </c>
    </row>
    <row r="4822" spans="1:11" ht="40.049999999999997" customHeight="1" x14ac:dyDescent="0.25">
      <c r="A4822" s="11" t="s">
        <v>10528</v>
      </c>
      <c r="B4822" s="11" t="s">
        <v>10529</v>
      </c>
      <c r="C4822" s="11" t="s">
        <v>80</v>
      </c>
      <c r="D4822" s="11" t="s">
        <v>18</v>
      </c>
      <c r="E4822" s="12" t="s">
        <v>1123</v>
      </c>
      <c r="F4822" s="12" t="s">
        <v>1124</v>
      </c>
      <c r="G4822" s="12" t="s">
        <v>29</v>
      </c>
      <c r="H4822" s="11" t="s">
        <v>63</v>
      </c>
      <c r="I4822" s="13" t="s">
        <v>10530</v>
      </c>
      <c r="J4822" s="14" t="str">
        <f>HYPERLINK("https://www.boe.es/gazeta/dias/1839/08/10/pdfs/GMD-1839-1730.pdf#page=1","Abrir facsímil")</f>
        <v>Abrir facsímil</v>
      </c>
      <c r="K4822" s="12" t="s">
        <v>65</v>
      </c>
    </row>
    <row r="4823" spans="1:11" ht="40.049999999999997" customHeight="1" x14ac:dyDescent="0.25">
      <c r="A4823" s="11" t="s">
        <v>10531</v>
      </c>
      <c r="B4823" s="11" t="s">
        <v>10532</v>
      </c>
      <c r="C4823" s="11" t="s">
        <v>59</v>
      </c>
      <c r="D4823" s="11" t="s">
        <v>60</v>
      </c>
      <c r="E4823" s="12" t="s">
        <v>3614</v>
      </c>
      <c r="F4823" s="12" t="s">
        <v>3615</v>
      </c>
      <c r="G4823" s="12" t="s">
        <v>21</v>
      </c>
      <c r="H4823" s="11" t="s">
        <v>63</v>
      </c>
      <c r="I4823" s="13" t="s">
        <v>10533</v>
      </c>
      <c r="J4823" s="14" t="str">
        <f>HYPERLINK("https://www.boe.es/gazeta/dias/1839/04/04/pdfs/GMD-1839-1601.pdf#page=4","Abrir facsímil")</f>
        <v>Abrir facsímil</v>
      </c>
      <c r="K4823" s="12" t="s">
        <v>65</v>
      </c>
    </row>
    <row r="4824" spans="1:11" ht="40.049999999999997" customHeight="1" x14ac:dyDescent="0.25">
      <c r="A4824" s="11" t="s">
        <v>10534</v>
      </c>
      <c r="B4824" s="11" t="s">
        <v>10534</v>
      </c>
      <c r="C4824" s="11" t="s">
        <v>80</v>
      </c>
      <c r="D4824" s="11" t="s">
        <v>18</v>
      </c>
      <c r="E4824" s="12" t="s">
        <v>2491</v>
      </c>
      <c r="F4824" s="12" t="s">
        <v>2492</v>
      </c>
      <c r="G4824" s="12" t="s">
        <v>21</v>
      </c>
      <c r="H4824" s="11" t="s">
        <v>63</v>
      </c>
      <c r="I4824" s="13" t="s">
        <v>10535</v>
      </c>
      <c r="J4824" s="14" t="str">
        <f>HYPERLINK("https://www.boe.es/gazeta/dias/1839/05/01/pdfs/GMD-1839-1628.pdf#page=4","Abrir facsímil")</f>
        <v>Abrir facsímil</v>
      </c>
      <c r="K4824" s="12" t="s">
        <v>65</v>
      </c>
    </row>
    <row r="4825" spans="1:11" ht="40.049999999999997" customHeight="1" x14ac:dyDescent="0.25">
      <c r="A4825" s="11" t="s">
        <v>10534</v>
      </c>
      <c r="B4825" s="11" t="s">
        <v>10534</v>
      </c>
      <c r="C4825" s="11" t="s">
        <v>17</v>
      </c>
      <c r="D4825" s="11" t="s">
        <v>18</v>
      </c>
      <c r="E4825" s="12" t="s">
        <v>4055</v>
      </c>
      <c r="F4825" s="12" t="s">
        <v>4056</v>
      </c>
      <c r="G4825" s="12" t="s">
        <v>21</v>
      </c>
      <c r="H4825" s="11" t="s">
        <v>63</v>
      </c>
      <c r="I4825" s="13" t="s">
        <v>10536</v>
      </c>
      <c r="J4825" s="14" t="str">
        <f>HYPERLINK("https://www.boe.es/gazeta/dias/1839/03/07/pdfs/GMD-1839-1573.pdf#page=4","Abrir facsímil")</f>
        <v>Abrir facsímil</v>
      </c>
      <c r="K4825" s="12" t="s">
        <v>65</v>
      </c>
    </row>
    <row r="4826" spans="1:11" ht="40.049999999999997" customHeight="1" x14ac:dyDescent="0.25">
      <c r="A4826" s="11" t="s">
        <v>10534</v>
      </c>
      <c r="B4826" s="11" t="s">
        <v>10534</v>
      </c>
      <c r="C4826" s="11" t="s">
        <v>101</v>
      </c>
      <c r="D4826" s="11" t="s">
        <v>43</v>
      </c>
      <c r="E4826" s="12" t="s">
        <v>299</v>
      </c>
      <c r="F4826" s="12" t="s">
        <v>300</v>
      </c>
      <c r="G4826" s="12" t="s">
        <v>40</v>
      </c>
      <c r="H4826" s="11" t="s">
        <v>63</v>
      </c>
      <c r="I4826" s="13" t="s">
        <v>10537</v>
      </c>
      <c r="J4826" s="14" t="str">
        <f>HYPERLINK("https://www.boe.es/gazeta/dias/1839/02/14/pdfs/GMD-1839-1552.pdf#page=2","Abrir facsímil")</f>
        <v>Abrir facsímil</v>
      </c>
      <c r="K4826" s="12" t="s">
        <v>65</v>
      </c>
    </row>
    <row r="4827" spans="1:11" ht="40.049999999999997" customHeight="1" x14ac:dyDescent="0.25">
      <c r="A4827" s="11" t="s">
        <v>10538</v>
      </c>
      <c r="B4827" s="11" t="s">
        <v>10539</v>
      </c>
      <c r="C4827" s="11" t="s">
        <v>80</v>
      </c>
      <c r="D4827" s="11" t="s">
        <v>18</v>
      </c>
      <c r="E4827" s="12" t="s">
        <v>2650</v>
      </c>
      <c r="F4827" s="12" t="s">
        <v>2651</v>
      </c>
      <c r="G4827" s="12" t="s">
        <v>21</v>
      </c>
      <c r="H4827" s="11" t="s">
        <v>22</v>
      </c>
      <c r="I4827" s="13" t="s">
        <v>10540</v>
      </c>
      <c r="J4827" s="14" t="str">
        <f>HYPERLINK("https://www.boe.es/gazeta/dias/1839/09/15/pdfs/GMD-1839-1768.pdf#page=4","Abrir facsímil")</f>
        <v>Abrir facsímil</v>
      </c>
      <c r="K4827" s="12" t="s">
        <v>24</v>
      </c>
    </row>
    <row r="4828" spans="1:11" ht="40.049999999999997" customHeight="1" x14ac:dyDescent="0.25">
      <c r="A4828" s="11" t="s">
        <v>10541</v>
      </c>
      <c r="B4828" s="11" t="s">
        <v>10541</v>
      </c>
      <c r="C4828" s="11" t="s">
        <v>17</v>
      </c>
      <c r="D4828" s="11" t="s">
        <v>18</v>
      </c>
      <c r="E4828" s="12" t="s">
        <v>1252</v>
      </c>
      <c r="F4828" s="12" t="s">
        <v>1253</v>
      </c>
      <c r="G4828" s="12" t="s">
        <v>21</v>
      </c>
      <c r="H4828" s="11" t="s">
        <v>63</v>
      </c>
      <c r="I4828" s="13" t="s">
        <v>10542</v>
      </c>
      <c r="J4828" s="14" t="str">
        <f>HYPERLINK("https://www.boe.es/gazeta/dias/1839/06/15/pdfs/GMD-1839-1673.pdf#page=4","Abrir facsímil")</f>
        <v>Abrir facsímil</v>
      </c>
      <c r="K4828" s="12" t="s">
        <v>65</v>
      </c>
    </row>
    <row r="4829" spans="1:11" ht="40.049999999999997" customHeight="1" x14ac:dyDescent="0.25">
      <c r="A4829" s="11" t="s">
        <v>10543</v>
      </c>
      <c r="B4829" s="11" t="s">
        <v>10543</v>
      </c>
      <c r="C4829" s="11" t="s">
        <v>17</v>
      </c>
      <c r="D4829" s="11" t="s">
        <v>18</v>
      </c>
      <c r="E4829" s="12" t="s">
        <v>68</v>
      </c>
      <c r="F4829" s="12" t="s">
        <v>69</v>
      </c>
      <c r="G4829" s="12" t="s">
        <v>29</v>
      </c>
      <c r="H4829" s="11" t="s">
        <v>63</v>
      </c>
      <c r="I4829" s="13" t="s">
        <v>10544</v>
      </c>
      <c r="J4829" s="14" t="str">
        <f>HYPERLINK("https://www.boe.es/gazeta/dias/1839/02/09/pdfs/GMD-1839-1547.pdf#page=1","Abrir facsímil")</f>
        <v>Abrir facsímil</v>
      </c>
      <c r="K4829" s="12" t="s">
        <v>65</v>
      </c>
    </row>
    <row r="4830" spans="1:11" ht="40.049999999999997" customHeight="1" x14ac:dyDescent="0.25">
      <c r="A4830" s="11" t="s">
        <v>10545</v>
      </c>
      <c r="B4830" s="11" t="s">
        <v>10545</v>
      </c>
      <c r="C4830" s="11" t="s">
        <v>59</v>
      </c>
      <c r="D4830" s="11" t="s">
        <v>60</v>
      </c>
      <c r="E4830" s="12" t="s">
        <v>779</v>
      </c>
      <c r="F4830" s="12" t="s">
        <v>780</v>
      </c>
      <c r="G4830" s="12" t="s">
        <v>40</v>
      </c>
      <c r="H4830" s="11" t="s">
        <v>63</v>
      </c>
      <c r="I4830" s="13" t="s">
        <v>10546</v>
      </c>
      <c r="J4830" s="14" t="str">
        <f>HYPERLINK("https://www.boe.es/gazeta/dias/1839/02/03/pdfs/GMD-1839-1541.pdf#page=2","Abrir facsímil")</f>
        <v>Abrir facsímil</v>
      </c>
      <c r="K4830" s="12" t="s">
        <v>65</v>
      </c>
    </row>
    <row r="4831" spans="1:11" ht="40.049999999999997" customHeight="1" x14ac:dyDescent="0.25">
      <c r="A4831" s="11" t="s">
        <v>10545</v>
      </c>
      <c r="B4831" s="11" t="s">
        <v>10545</v>
      </c>
      <c r="C4831" s="11" t="s">
        <v>17</v>
      </c>
      <c r="D4831" s="11" t="s">
        <v>18</v>
      </c>
      <c r="E4831" s="12" t="s">
        <v>108</v>
      </c>
      <c r="F4831" s="12" t="s">
        <v>109</v>
      </c>
      <c r="G4831" s="12" t="s">
        <v>40</v>
      </c>
      <c r="H4831" s="11" t="s">
        <v>63</v>
      </c>
      <c r="I4831" s="13" t="s">
        <v>10547</v>
      </c>
      <c r="J4831" s="14" t="str">
        <f>HYPERLINK("https://www.boe.es/gazeta/dias/1839/01/04/pdfs/GMD-1839-1511.pdf#page=2","Abrir facsímil")</f>
        <v>Abrir facsímil</v>
      </c>
      <c r="K4831" s="12" t="s">
        <v>65</v>
      </c>
    </row>
    <row r="4832" spans="1:11" ht="40.049999999999997" customHeight="1" x14ac:dyDescent="0.25">
      <c r="A4832" s="11" t="s">
        <v>10545</v>
      </c>
      <c r="B4832" s="11" t="s">
        <v>10545</v>
      </c>
      <c r="C4832" s="11" t="s">
        <v>17</v>
      </c>
      <c r="D4832" s="11" t="s">
        <v>18</v>
      </c>
      <c r="E4832" s="12" t="s">
        <v>108</v>
      </c>
      <c r="F4832" s="12" t="s">
        <v>109</v>
      </c>
      <c r="G4832" s="12" t="s">
        <v>21</v>
      </c>
      <c r="H4832" s="11" t="s">
        <v>63</v>
      </c>
      <c r="I4832" s="13" t="s">
        <v>10548</v>
      </c>
      <c r="J4832" s="14" t="str">
        <f>HYPERLINK("https://www.boe.es/gazeta/dias/1839/01/04/pdfs/GMD-1839-1511.pdf#page=4","Abrir facsímil")</f>
        <v>Abrir facsímil</v>
      </c>
      <c r="K4832" s="12" t="s">
        <v>65</v>
      </c>
    </row>
    <row r="4833" spans="1:11" ht="40.049999999999997" customHeight="1" x14ac:dyDescent="0.25">
      <c r="A4833" s="11" t="s">
        <v>10545</v>
      </c>
      <c r="B4833" s="11" t="s">
        <v>10545</v>
      </c>
      <c r="C4833" s="11" t="s">
        <v>59</v>
      </c>
      <c r="D4833" s="11" t="s">
        <v>60</v>
      </c>
      <c r="E4833" s="12" t="s">
        <v>1467</v>
      </c>
      <c r="F4833" s="12" t="s">
        <v>1468</v>
      </c>
      <c r="G4833" s="12" t="s">
        <v>46</v>
      </c>
      <c r="H4833" s="11" t="s">
        <v>63</v>
      </c>
      <c r="I4833" s="13" t="s">
        <v>10549</v>
      </c>
      <c r="J4833" s="14" t="str">
        <f>HYPERLINK("https://www.boe.es/gazeta/dias/1839/03/05/pdfs/GMD-1839-1571.pdf#page=3","Abrir facsímil")</f>
        <v>Abrir facsímil</v>
      </c>
      <c r="K4833" s="12" t="s">
        <v>65</v>
      </c>
    </row>
    <row r="4834" spans="1:11" ht="40.049999999999997" customHeight="1" x14ac:dyDescent="0.25">
      <c r="A4834" s="11" t="s">
        <v>10545</v>
      </c>
      <c r="B4834" s="11" t="s">
        <v>10545</v>
      </c>
      <c r="C4834" s="11" t="s">
        <v>17</v>
      </c>
      <c r="D4834" s="11" t="s">
        <v>18</v>
      </c>
      <c r="E4834" s="12" t="s">
        <v>388</v>
      </c>
      <c r="F4834" s="12" t="s">
        <v>389</v>
      </c>
      <c r="G4834" s="12" t="s">
        <v>21</v>
      </c>
      <c r="H4834" s="11" t="s">
        <v>63</v>
      </c>
      <c r="I4834" s="13" t="s">
        <v>10550</v>
      </c>
      <c r="J4834" s="14" t="str">
        <f>HYPERLINK("https://www.boe.es/gazeta/dias/1839/08/07/pdfs/GMD-1839-1727.pdf#page=4","Abrir facsímil")</f>
        <v>Abrir facsímil</v>
      </c>
      <c r="K4834" s="12" t="s">
        <v>65</v>
      </c>
    </row>
    <row r="4835" spans="1:11" ht="40.049999999999997" customHeight="1" x14ac:dyDescent="0.25">
      <c r="A4835" s="11" t="s">
        <v>10545</v>
      </c>
      <c r="B4835" s="11" t="s">
        <v>10545</v>
      </c>
      <c r="C4835" s="11" t="s">
        <v>17</v>
      </c>
      <c r="D4835" s="11" t="s">
        <v>18</v>
      </c>
      <c r="E4835" s="12" t="s">
        <v>804</v>
      </c>
      <c r="F4835" s="12" t="s">
        <v>805</v>
      </c>
      <c r="G4835" s="12" t="s">
        <v>40</v>
      </c>
      <c r="H4835" s="11" t="s">
        <v>63</v>
      </c>
      <c r="I4835" s="13" t="s">
        <v>10551</v>
      </c>
      <c r="J4835" s="14" t="str">
        <f>HYPERLINK("https://www.boe.es/gazeta/dias/1839/01/08/pdfs/GMD-1839-1515.pdf#page=2","Abrir facsímil")</f>
        <v>Abrir facsímil</v>
      </c>
      <c r="K4835" s="12" t="s">
        <v>65</v>
      </c>
    </row>
    <row r="4836" spans="1:11" ht="40.049999999999997" customHeight="1" x14ac:dyDescent="0.25">
      <c r="A4836" s="11" t="s">
        <v>10545</v>
      </c>
      <c r="B4836" s="11" t="s">
        <v>10545</v>
      </c>
      <c r="C4836" s="11" t="s">
        <v>59</v>
      </c>
      <c r="D4836" s="11" t="s">
        <v>60</v>
      </c>
      <c r="E4836" s="12" t="s">
        <v>121</v>
      </c>
      <c r="F4836" s="12" t="s">
        <v>122</v>
      </c>
      <c r="G4836" s="12" t="s">
        <v>29</v>
      </c>
      <c r="H4836" s="11" t="s">
        <v>63</v>
      </c>
      <c r="I4836" s="13" t="s">
        <v>10552</v>
      </c>
      <c r="J4836" s="14" t="str">
        <f>HYPERLINK("https://www.boe.es/gazeta/dias/1839/06/08/pdfs/GMD-1839-1666.pdf#page=1","Abrir facsímil")</f>
        <v>Abrir facsímil</v>
      </c>
      <c r="K4836" s="12" t="s">
        <v>65</v>
      </c>
    </row>
    <row r="4837" spans="1:11" ht="40.049999999999997" customHeight="1" x14ac:dyDescent="0.25">
      <c r="A4837" s="11" t="s">
        <v>10545</v>
      </c>
      <c r="B4837" s="11" t="s">
        <v>10545</v>
      </c>
      <c r="C4837" s="11" t="s">
        <v>17</v>
      </c>
      <c r="D4837" s="11" t="s">
        <v>18</v>
      </c>
      <c r="E4837" s="12" t="s">
        <v>3705</v>
      </c>
      <c r="F4837" s="12" t="s">
        <v>3706</v>
      </c>
      <c r="G4837" s="12" t="s">
        <v>21</v>
      </c>
      <c r="H4837" s="11" t="s">
        <v>63</v>
      </c>
      <c r="I4837" s="13" t="s">
        <v>10553</v>
      </c>
      <c r="J4837" s="14" t="str">
        <f>HYPERLINK("https://www.boe.es/gazeta/dias/1839/03/09/pdfs/GMD-1839-1575.pdf#page=4","Abrir facsímil")</f>
        <v>Abrir facsímil</v>
      </c>
      <c r="K4837" s="12" t="s">
        <v>65</v>
      </c>
    </row>
    <row r="4838" spans="1:11" ht="40.049999999999997" customHeight="1" x14ac:dyDescent="0.25">
      <c r="A4838" s="11" t="s">
        <v>10545</v>
      </c>
      <c r="B4838" s="11" t="s">
        <v>10545</v>
      </c>
      <c r="C4838" s="11" t="s">
        <v>101</v>
      </c>
      <c r="D4838" s="11" t="s">
        <v>43</v>
      </c>
      <c r="E4838" s="12" t="s">
        <v>2449</v>
      </c>
      <c r="F4838" s="12" t="s">
        <v>2450</v>
      </c>
      <c r="G4838" s="12" t="s">
        <v>21</v>
      </c>
      <c r="H4838" s="11" t="s">
        <v>63</v>
      </c>
      <c r="I4838" s="13" t="s">
        <v>10554</v>
      </c>
      <c r="J4838" s="14" t="str">
        <f>HYPERLINK("https://www.boe.es/gazeta/dias/1839/12/11/pdfs/GMD-1839-1858.pdf#page=4","Abrir facsímil")</f>
        <v>Abrir facsímil</v>
      </c>
      <c r="K4838" s="12" t="s">
        <v>65</v>
      </c>
    </row>
    <row r="4839" spans="1:11" ht="40.049999999999997" customHeight="1" x14ac:dyDescent="0.25">
      <c r="A4839" s="11" t="s">
        <v>10545</v>
      </c>
      <c r="B4839" s="11" t="s">
        <v>10545</v>
      </c>
      <c r="C4839" s="11" t="s">
        <v>59</v>
      </c>
      <c r="D4839" s="11" t="s">
        <v>60</v>
      </c>
      <c r="E4839" s="12" t="s">
        <v>1391</v>
      </c>
      <c r="F4839" s="12" t="s">
        <v>1392</v>
      </c>
      <c r="G4839" s="12" t="s">
        <v>29</v>
      </c>
      <c r="H4839" s="11" t="s">
        <v>63</v>
      </c>
      <c r="I4839" s="13" t="s">
        <v>10555</v>
      </c>
      <c r="J4839" s="14" t="str">
        <f>HYPERLINK("https://www.boe.es/gazeta/dias/1839/05/12/pdfs/GMD-1839-1639.pdf#page=1","Abrir facsímil")</f>
        <v>Abrir facsímil</v>
      </c>
      <c r="K4839" s="12" t="s">
        <v>65</v>
      </c>
    </row>
    <row r="4840" spans="1:11" ht="40.049999999999997" customHeight="1" x14ac:dyDescent="0.25">
      <c r="A4840" s="11" t="s">
        <v>10545</v>
      </c>
      <c r="B4840" s="11" t="s">
        <v>10545</v>
      </c>
      <c r="C4840" s="11" t="s">
        <v>17</v>
      </c>
      <c r="D4840" s="11" t="s">
        <v>18</v>
      </c>
      <c r="E4840" s="12" t="s">
        <v>507</v>
      </c>
      <c r="F4840" s="12" t="s">
        <v>508</v>
      </c>
      <c r="G4840" s="12" t="s">
        <v>29</v>
      </c>
      <c r="H4840" s="11" t="s">
        <v>63</v>
      </c>
      <c r="I4840" s="13" t="s">
        <v>10556</v>
      </c>
      <c r="J4840" s="14" t="str">
        <f>HYPERLINK("https://www.boe.es/gazeta/dias/1839/08/12/pdfs/GMD-1839-1732.pdf#page=1","Abrir facsímil")</f>
        <v>Abrir facsímil</v>
      </c>
      <c r="K4840" s="12" t="s">
        <v>65</v>
      </c>
    </row>
    <row r="4841" spans="1:11" ht="40.049999999999997" customHeight="1" x14ac:dyDescent="0.25">
      <c r="A4841" s="11" t="s">
        <v>10545</v>
      </c>
      <c r="B4841" s="11" t="s">
        <v>10545</v>
      </c>
      <c r="C4841" s="11" t="s">
        <v>137</v>
      </c>
      <c r="D4841" s="11" t="s">
        <v>18</v>
      </c>
      <c r="E4841" s="12" t="s">
        <v>2374</v>
      </c>
      <c r="F4841" s="12" t="s">
        <v>2375</v>
      </c>
      <c r="G4841" s="12" t="s">
        <v>40</v>
      </c>
      <c r="H4841" s="11" t="s">
        <v>63</v>
      </c>
      <c r="I4841" s="13" t="s">
        <v>10557</v>
      </c>
      <c r="J4841" s="14" t="str">
        <f>HYPERLINK("https://www.boe.es/gazeta/dias/1839/06/14/pdfs/GMD-1839-1672.pdf#page=2","Abrir facsímil")</f>
        <v>Abrir facsímil</v>
      </c>
      <c r="K4841" s="12" t="s">
        <v>65</v>
      </c>
    </row>
    <row r="4842" spans="1:11" ht="40.049999999999997" customHeight="1" x14ac:dyDescent="0.25">
      <c r="A4842" s="11" t="s">
        <v>10545</v>
      </c>
      <c r="B4842" s="11" t="s">
        <v>10545</v>
      </c>
      <c r="C4842" s="11" t="s">
        <v>17</v>
      </c>
      <c r="D4842" s="11" t="s">
        <v>18</v>
      </c>
      <c r="E4842" s="12" t="s">
        <v>2650</v>
      </c>
      <c r="F4842" s="12" t="s">
        <v>2651</v>
      </c>
      <c r="G4842" s="12" t="s">
        <v>46</v>
      </c>
      <c r="H4842" s="11" t="s">
        <v>63</v>
      </c>
      <c r="I4842" s="13" t="s">
        <v>10558</v>
      </c>
      <c r="J4842" s="14" t="str">
        <f>HYPERLINK("https://www.boe.es/gazeta/dias/1839/09/15/pdfs/GMD-1839-1768.pdf#page=3","Abrir facsímil")</f>
        <v>Abrir facsímil</v>
      </c>
      <c r="K4842" s="12" t="s">
        <v>65</v>
      </c>
    </row>
    <row r="4843" spans="1:11" ht="40.049999999999997" customHeight="1" x14ac:dyDescent="0.25">
      <c r="A4843" s="11" t="s">
        <v>10545</v>
      </c>
      <c r="B4843" s="11" t="s">
        <v>10545</v>
      </c>
      <c r="C4843" s="11" t="s">
        <v>17</v>
      </c>
      <c r="D4843" s="11" t="s">
        <v>18</v>
      </c>
      <c r="E4843" s="12" t="s">
        <v>175</v>
      </c>
      <c r="F4843" s="12" t="s">
        <v>176</v>
      </c>
      <c r="G4843" s="12" t="s">
        <v>40</v>
      </c>
      <c r="H4843" s="11" t="s">
        <v>63</v>
      </c>
      <c r="I4843" s="13" t="s">
        <v>10559</v>
      </c>
      <c r="J4843" s="14" t="str">
        <f>HYPERLINK("https://www.boe.es/gazeta/dias/1839/01/16/pdfs/GMD-1839-1523.pdf#page=2","Abrir facsímil")</f>
        <v>Abrir facsímil</v>
      </c>
      <c r="K4843" s="12" t="s">
        <v>65</v>
      </c>
    </row>
    <row r="4844" spans="1:11" ht="40.049999999999997" customHeight="1" x14ac:dyDescent="0.25">
      <c r="A4844" s="11" t="s">
        <v>10545</v>
      </c>
      <c r="B4844" s="11" t="s">
        <v>10545</v>
      </c>
      <c r="C4844" s="11" t="s">
        <v>17</v>
      </c>
      <c r="D4844" s="11" t="s">
        <v>18</v>
      </c>
      <c r="E4844" s="12" t="s">
        <v>2155</v>
      </c>
      <c r="F4844" s="12" t="s">
        <v>2156</v>
      </c>
      <c r="G4844" s="12" t="s">
        <v>46</v>
      </c>
      <c r="H4844" s="11" t="s">
        <v>63</v>
      </c>
      <c r="I4844" s="13" t="s">
        <v>10560</v>
      </c>
      <c r="J4844" s="14" t="str">
        <f>HYPERLINK("https://www.boe.es/gazeta/dias/1839/01/17/pdfs/GMD-1839-1524.pdf#page=3","Abrir facsímil")</f>
        <v>Abrir facsímil</v>
      </c>
      <c r="K4844" s="12" t="s">
        <v>65</v>
      </c>
    </row>
    <row r="4845" spans="1:11" ht="40.049999999999997" customHeight="1" x14ac:dyDescent="0.25">
      <c r="A4845" s="11" t="s">
        <v>10545</v>
      </c>
      <c r="B4845" s="11" t="s">
        <v>10545</v>
      </c>
      <c r="C4845" s="11" t="s">
        <v>80</v>
      </c>
      <c r="D4845" s="11" t="s">
        <v>18</v>
      </c>
      <c r="E4845" s="12" t="s">
        <v>2962</v>
      </c>
      <c r="F4845" s="12" t="s">
        <v>2963</v>
      </c>
      <c r="G4845" s="12" t="s">
        <v>21</v>
      </c>
      <c r="H4845" s="11" t="s">
        <v>63</v>
      </c>
      <c r="I4845" s="13" t="s">
        <v>10561</v>
      </c>
      <c r="J4845" s="14" t="str">
        <f>HYPERLINK("https://www.boe.es/gazeta/dias/1839/12/21/pdfs/GMD-1839-1868.pdf#page=4","Abrir facsímil")</f>
        <v>Abrir facsímil</v>
      </c>
      <c r="K4845" s="12" t="s">
        <v>65</v>
      </c>
    </row>
    <row r="4846" spans="1:11" ht="40.049999999999997" customHeight="1" x14ac:dyDescent="0.25">
      <c r="A4846" s="11" t="s">
        <v>10545</v>
      </c>
      <c r="B4846" s="11" t="s">
        <v>10545</v>
      </c>
      <c r="C4846" s="11" t="s">
        <v>17</v>
      </c>
      <c r="D4846" s="11" t="s">
        <v>18</v>
      </c>
      <c r="E4846" s="12" t="s">
        <v>1183</v>
      </c>
      <c r="F4846" s="12" t="s">
        <v>1184</v>
      </c>
      <c r="G4846" s="12" t="s">
        <v>21</v>
      </c>
      <c r="H4846" s="11" t="s">
        <v>63</v>
      </c>
      <c r="I4846" s="13" t="s">
        <v>10562</v>
      </c>
      <c r="J4846" s="14" t="str">
        <f>HYPERLINK("https://www.boe.es/gazeta/dias/1839/07/26/pdfs/GMD-1839-1715.pdf#page=4","Abrir facsímil")</f>
        <v>Abrir facsímil</v>
      </c>
      <c r="K4846" s="12" t="s">
        <v>65</v>
      </c>
    </row>
    <row r="4847" spans="1:11" ht="40.049999999999997" customHeight="1" x14ac:dyDescent="0.25">
      <c r="A4847" s="11" t="s">
        <v>10545</v>
      </c>
      <c r="B4847" s="11" t="s">
        <v>10545</v>
      </c>
      <c r="C4847" s="11" t="s">
        <v>17</v>
      </c>
      <c r="D4847" s="11" t="s">
        <v>18</v>
      </c>
      <c r="E4847" s="12" t="s">
        <v>1520</v>
      </c>
      <c r="F4847" s="12" t="s">
        <v>1521</v>
      </c>
      <c r="G4847" s="12" t="s">
        <v>21</v>
      </c>
      <c r="H4847" s="11" t="s">
        <v>63</v>
      </c>
      <c r="I4847" s="13" t="s">
        <v>10563</v>
      </c>
      <c r="J4847" s="14" t="str">
        <f>HYPERLINK("https://www.boe.es/gazeta/dias/1839/12/27/pdfs/GMD-1839-1874.pdf#page=4","Abrir facsímil")</f>
        <v>Abrir facsímil</v>
      </c>
      <c r="K4847" s="12" t="s">
        <v>65</v>
      </c>
    </row>
    <row r="4848" spans="1:11" ht="40.049999999999997" customHeight="1" x14ac:dyDescent="0.25">
      <c r="A4848" s="11" t="s">
        <v>10545</v>
      </c>
      <c r="B4848" s="11" t="s">
        <v>10545</v>
      </c>
      <c r="C4848" s="11" t="s">
        <v>59</v>
      </c>
      <c r="D4848" s="11" t="s">
        <v>60</v>
      </c>
      <c r="E4848" s="12" t="s">
        <v>616</v>
      </c>
      <c r="F4848" s="12" t="s">
        <v>617</v>
      </c>
      <c r="G4848" s="12" t="s">
        <v>29</v>
      </c>
      <c r="H4848" s="11" t="s">
        <v>63</v>
      </c>
      <c r="I4848" s="13" t="s">
        <v>10564</v>
      </c>
      <c r="J4848" s="14" t="str">
        <f>HYPERLINK("https://www.boe.es/gazeta/dias/1839/05/29/pdfs/GMD-1839-1656.pdf#page=1","Abrir facsímil")</f>
        <v>Abrir facsímil</v>
      </c>
      <c r="K4848" s="12" t="s">
        <v>65</v>
      </c>
    </row>
    <row r="4849" spans="1:11" ht="40.049999999999997" customHeight="1" x14ac:dyDescent="0.25">
      <c r="A4849" s="11" t="s">
        <v>10565</v>
      </c>
      <c r="B4849" s="11" t="s">
        <v>10566</v>
      </c>
      <c r="C4849" s="11" t="s">
        <v>80</v>
      </c>
      <c r="D4849" s="11" t="s">
        <v>18</v>
      </c>
      <c r="E4849" s="12" t="s">
        <v>1813</v>
      </c>
      <c r="F4849" s="12" t="s">
        <v>1814</v>
      </c>
      <c r="G4849" s="12" t="s">
        <v>21</v>
      </c>
      <c r="H4849" s="11" t="s">
        <v>22</v>
      </c>
      <c r="I4849" s="13" t="s">
        <v>10567</v>
      </c>
      <c r="J4849" s="14" t="str">
        <f>HYPERLINK("https://www.boe.es/gazeta/dias/1839/09/02/pdfs/GMD-1839-1754.pdf#page=4","Abrir facsímil")</f>
        <v>Abrir facsímil</v>
      </c>
      <c r="K4849" s="12" t="s">
        <v>24</v>
      </c>
    </row>
    <row r="4850" spans="1:11" ht="40.049999999999997" customHeight="1" x14ac:dyDescent="0.25">
      <c r="A4850" s="11" t="s">
        <v>10565</v>
      </c>
      <c r="B4850" s="11" t="s">
        <v>10566</v>
      </c>
      <c r="C4850" s="11" t="s">
        <v>17</v>
      </c>
      <c r="D4850" s="11" t="s">
        <v>18</v>
      </c>
      <c r="E4850" s="12" t="s">
        <v>462</v>
      </c>
      <c r="F4850" s="12" t="s">
        <v>463</v>
      </c>
      <c r="G4850" s="12" t="s">
        <v>46</v>
      </c>
      <c r="H4850" s="11" t="s">
        <v>22</v>
      </c>
      <c r="I4850" s="13" t="s">
        <v>10568</v>
      </c>
      <c r="J4850" s="14" t="str">
        <f>HYPERLINK("https://www.boe.es/gazeta/dias/1839/06/19/pdfs/GMD-1839-1677.pdf#page=3","Abrir facsímil")</f>
        <v>Abrir facsímil</v>
      </c>
      <c r="K4850" s="12" t="s">
        <v>24</v>
      </c>
    </row>
    <row r="4851" spans="1:11" ht="40.049999999999997" customHeight="1" x14ac:dyDescent="0.25">
      <c r="A4851" s="11" t="s">
        <v>10569</v>
      </c>
      <c r="B4851" s="11" t="s">
        <v>10570</v>
      </c>
      <c r="C4851" s="11" t="s">
        <v>17</v>
      </c>
      <c r="D4851" s="11" t="s">
        <v>18</v>
      </c>
      <c r="E4851" s="12" t="s">
        <v>258</v>
      </c>
      <c r="F4851" s="12" t="s">
        <v>259</v>
      </c>
      <c r="G4851" s="12" t="s">
        <v>46</v>
      </c>
      <c r="H4851" s="11" t="s">
        <v>22</v>
      </c>
      <c r="I4851" s="13" t="s">
        <v>10571</v>
      </c>
      <c r="J4851" s="14" t="str">
        <f>HYPERLINK("https://www.boe.es/gazeta/dias/1839/01/02/pdfs/GMD-1839-1509.pdf#page=3","Abrir facsímil")</f>
        <v>Abrir facsímil</v>
      </c>
      <c r="K4851" s="12" t="s">
        <v>24</v>
      </c>
    </row>
    <row r="4852" spans="1:11" ht="40.049999999999997" customHeight="1" x14ac:dyDescent="0.25">
      <c r="A4852" s="11" t="s">
        <v>10572</v>
      </c>
      <c r="B4852" s="11" t="s">
        <v>10572</v>
      </c>
      <c r="C4852" s="11" t="s">
        <v>101</v>
      </c>
      <c r="D4852" s="11" t="s">
        <v>43</v>
      </c>
      <c r="E4852" s="12" t="s">
        <v>462</v>
      </c>
      <c r="F4852" s="12" t="s">
        <v>463</v>
      </c>
      <c r="G4852" s="12" t="s">
        <v>29</v>
      </c>
      <c r="H4852" s="11" t="s">
        <v>63</v>
      </c>
      <c r="I4852" s="13" t="s">
        <v>10573</v>
      </c>
      <c r="J4852" s="14" t="str">
        <f>HYPERLINK("https://www.boe.es/gazeta/dias/1839/06/19/pdfs/GMD-1839-1677.pdf#page=1","Abrir facsímil")</f>
        <v>Abrir facsímil</v>
      </c>
      <c r="K4852" s="12" t="s">
        <v>65</v>
      </c>
    </row>
    <row r="4853" spans="1:11" ht="40.049999999999997" customHeight="1" x14ac:dyDescent="0.25">
      <c r="A4853" s="11" t="s">
        <v>10574</v>
      </c>
      <c r="B4853" s="11" t="s">
        <v>10574</v>
      </c>
      <c r="C4853" s="11" t="s">
        <v>17</v>
      </c>
      <c r="D4853" s="11" t="s">
        <v>18</v>
      </c>
      <c r="E4853" s="12" t="s">
        <v>1467</v>
      </c>
      <c r="F4853" s="12" t="s">
        <v>1468</v>
      </c>
      <c r="G4853" s="12" t="s">
        <v>21</v>
      </c>
      <c r="H4853" s="11" t="s">
        <v>63</v>
      </c>
      <c r="I4853" s="13" t="s">
        <v>10575</v>
      </c>
      <c r="J4853" s="14" t="str">
        <f>HYPERLINK("https://www.boe.es/gazeta/dias/1839/03/05/pdfs/GMD-1839-1571.pdf#page=4","Abrir facsímil")</f>
        <v>Abrir facsímil</v>
      </c>
      <c r="K4853" s="12" t="s">
        <v>65</v>
      </c>
    </row>
    <row r="4854" spans="1:11" ht="40.049999999999997" customHeight="1" x14ac:dyDescent="0.25">
      <c r="A4854" s="11" t="s">
        <v>10574</v>
      </c>
      <c r="B4854" s="11" t="s">
        <v>10574</v>
      </c>
      <c r="C4854" s="11" t="s">
        <v>59</v>
      </c>
      <c r="D4854" s="11" t="s">
        <v>60</v>
      </c>
      <c r="E4854" s="12" t="s">
        <v>2839</v>
      </c>
      <c r="F4854" s="12" t="s">
        <v>2840</v>
      </c>
      <c r="G4854" s="12" t="s">
        <v>21</v>
      </c>
      <c r="H4854" s="11" t="s">
        <v>63</v>
      </c>
      <c r="I4854" s="13" t="s">
        <v>10576</v>
      </c>
      <c r="J4854" s="14" t="str">
        <f>HYPERLINK("https://www.boe.es/gazeta/dias/1839/03/06/pdfs/GMD-1839-1572.pdf#page=4","Abrir facsímil")</f>
        <v>Abrir facsímil</v>
      </c>
      <c r="K4854" s="12" t="s">
        <v>65</v>
      </c>
    </row>
    <row r="4855" spans="1:11" ht="40.049999999999997" customHeight="1" x14ac:dyDescent="0.25">
      <c r="A4855" s="11" t="s">
        <v>10574</v>
      </c>
      <c r="B4855" s="11" t="s">
        <v>10574</v>
      </c>
      <c r="C4855" s="11" t="s">
        <v>17</v>
      </c>
      <c r="D4855" s="11" t="s">
        <v>18</v>
      </c>
      <c r="E4855" s="12" t="s">
        <v>1391</v>
      </c>
      <c r="F4855" s="12" t="s">
        <v>1392</v>
      </c>
      <c r="G4855" s="12" t="s">
        <v>21</v>
      </c>
      <c r="H4855" s="11" t="s">
        <v>63</v>
      </c>
      <c r="I4855" s="13" t="s">
        <v>10577</v>
      </c>
      <c r="J4855" s="14" t="str">
        <f>HYPERLINK("https://www.boe.es/gazeta/dias/1839/05/12/pdfs/GMD-1839-1639.pdf#page=4","Abrir facsímil")</f>
        <v>Abrir facsímil</v>
      </c>
      <c r="K4855" s="12" t="s">
        <v>65</v>
      </c>
    </row>
    <row r="4856" spans="1:11" ht="40.049999999999997" customHeight="1" x14ac:dyDescent="0.25">
      <c r="A4856" s="11" t="s">
        <v>10574</v>
      </c>
      <c r="B4856" s="11" t="s">
        <v>10574</v>
      </c>
      <c r="C4856" s="11" t="s">
        <v>17</v>
      </c>
      <c r="D4856" s="11" t="s">
        <v>18</v>
      </c>
      <c r="E4856" s="12" t="s">
        <v>510</v>
      </c>
      <c r="F4856" s="12" t="s">
        <v>511</v>
      </c>
      <c r="G4856" s="12" t="s">
        <v>21</v>
      </c>
      <c r="H4856" s="11" t="s">
        <v>63</v>
      </c>
      <c r="I4856" s="13" t="s">
        <v>10578</v>
      </c>
      <c r="J4856" s="14" t="str">
        <f>HYPERLINK("https://www.boe.es/gazeta/dias/1839/05/13/pdfs/GMD-1839-1640.pdf#page=4","Abrir facsímil")</f>
        <v>Abrir facsímil</v>
      </c>
      <c r="K4856" s="12" t="s">
        <v>65</v>
      </c>
    </row>
    <row r="4857" spans="1:11" ht="40.049999999999997" customHeight="1" x14ac:dyDescent="0.25">
      <c r="A4857" s="11" t="s">
        <v>10574</v>
      </c>
      <c r="B4857" s="11" t="s">
        <v>10574</v>
      </c>
      <c r="C4857" s="11" t="s">
        <v>137</v>
      </c>
      <c r="D4857" s="11" t="s">
        <v>18</v>
      </c>
      <c r="E4857" s="12" t="s">
        <v>3114</v>
      </c>
      <c r="F4857" s="12" t="s">
        <v>3115</v>
      </c>
      <c r="G4857" s="12" t="s">
        <v>21</v>
      </c>
      <c r="H4857" s="11" t="s">
        <v>63</v>
      </c>
      <c r="I4857" s="13" t="s">
        <v>10579</v>
      </c>
      <c r="J4857" s="14" t="str">
        <f>HYPERLINK("https://www.boe.es/gazeta/dias/1839/05/15/pdfs/GMD-1839-1642.pdf#page=4","Abrir facsímil")</f>
        <v>Abrir facsímil</v>
      </c>
      <c r="K4857" s="12" t="s">
        <v>65</v>
      </c>
    </row>
    <row r="4858" spans="1:11" ht="40.049999999999997" customHeight="1" x14ac:dyDescent="0.25">
      <c r="A4858" s="11" t="s">
        <v>10574</v>
      </c>
      <c r="B4858" s="11" t="s">
        <v>10574</v>
      </c>
      <c r="C4858" s="11" t="s">
        <v>17</v>
      </c>
      <c r="D4858" s="11" t="s">
        <v>18</v>
      </c>
      <c r="E4858" s="12" t="s">
        <v>2851</v>
      </c>
      <c r="F4858" s="12" t="s">
        <v>2852</v>
      </c>
      <c r="G4858" s="12" t="s">
        <v>21</v>
      </c>
      <c r="H4858" s="11" t="s">
        <v>63</v>
      </c>
      <c r="I4858" s="13" t="s">
        <v>10580</v>
      </c>
      <c r="J4858" s="14" t="str">
        <f>HYPERLINK("https://www.boe.es/gazeta/dias/1839/05/16/pdfs/GMD-1839-1643.pdf#page=4","Abrir facsímil")</f>
        <v>Abrir facsímil</v>
      </c>
      <c r="K4858" s="12" t="s">
        <v>65</v>
      </c>
    </row>
    <row r="4859" spans="1:11" ht="40.049999999999997" customHeight="1" x14ac:dyDescent="0.25">
      <c r="A4859" s="11" t="s">
        <v>10574</v>
      </c>
      <c r="B4859" s="11" t="s">
        <v>10574</v>
      </c>
      <c r="C4859" s="11" t="s">
        <v>17</v>
      </c>
      <c r="D4859" s="11" t="s">
        <v>18</v>
      </c>
      <c r="E4859" s="12" t="s">
        <v>1807</v>
      </c>
      <c r="F4859" s="12" t="s">
        <v>1808</v>
      </c>
      <c r="G4859" s="12" t="s">
        <v>40</v>
      </c>
      <c r="H4859" s="11" t="s">
        <v>63</v>
      </c>
      <c r="I4859" s="13" t="s">
        <v>10581</v>
      </c>
      <c r="J4859" s="14" t="str">
        <f>HYPERLINK("https://www.boe.es/gazeta/dias/1839/01/29/pdfs/GMD-1839-1536.pdf#page=2","Abrir facsímil")</f>
        <v>Abrir facsímil</v>
      </c>
      <c r="K4859" s="12" t="s">
        <v>65</v>
      </c>
    </row>
    <row r="4860" spans="1:11" ht="40.049999999999997" customHeight="1" x14ac:dyDescent="0.25">
      <c r="A4860" s="11" t="s">
        <v>10582</v>
      </c>
      <c r="B4860" s="11" t="s">
        <v>10583</v>
      </c>
      <c r="C4860" s="11" t="s">
        <v>17</v>
      </c>
      <c r="D4860" s="11" t="s">
        <v>18</v>
      </c>
      <c r="E4860" s="12" t="s">
        <v>1666</v>
      </c>
      <c r="F4860" s="12" t="s">
        <v>1667</v>
      </c>
      <c r="G4860" s="12" t="s">
        <v>46</v>
      </c>
      <c r="H4860" s="11" t="s">
        <v>63</v>
      </c>
      <c r="I4860" s="13" t="s">
        <v>10584</v>
      </c>
      <c r="J4860" s="14" t="str">
        <f>HYPERLINK("https://www.boe.es/gazeta/dias/1839/04/22/pdfs/GMD-1839-1619.pdf#page=3","Abrir facsímil")</f>
        <v>Abrir facsímil</v>
      </c>
      <c r="K4860" s="12" t="s">
        <v>65</v>
      </c>
    </row>
    <row r="4861" spans="1:11" ht="40.049999999999997" customHeight="1" x14ac:dyDescent="0.25">
      <c r="A4861" s="11" t="s">
        <v>10585</v>
      </c>
      <c r="B4861" s="11" t="s">
        <v>10585</v>
      </c>
      <c r="C4861" s="11" t="s">
        <v>17</v>
      </c>
      <c r="D4861" s="11" t="s">
        <v>18</v>
      </c>
      <c r="E4861" s="12" t="s">
        <v>1076</v>
      </c>
      <c r="F4861" s="12" t="s">
        <v>1077</v>
      </c>
      <c r="G4861" s="12" t="s">
        <v>29</v>
      </c>
      <c r="H4861" s="11" t="s">
        <v>63</v>
      </c>
      <c r="I4861" s="13" t="s">
        <v>10586</v>
      </c>
      <c r="J4861" s="14" t="str">
        <f>HYPERLINK("https://www.boe.es/gazeta/dias/1839/10/19/pdfs/GMD-1839-1805.pdf#page=1","Abrir facsímil")</f>
        <v>Abrir facsímil</v>
      </c>
      <c r="K4861" s="12" t="s">
        <v>65</v>
      </c>
    </row>
    <row r="4862" spans="1:11" ht="40.049999999999997" customHeight="1" x14ac:dyDescent="0.25">
      <c r="A4862" s="11" t="s">
        <v>10587</v>
      </c>
      <c r="B4862" s="11" t="s">
        <v>10587</v>
      </c>
      <c r="C4862" s="11" t="s">
        <v>17</v>
      </c>
      <c r="D4862" s="11" t="s">
        <v>18</v>
      </c>
      <c r="E4862" s="12" t="s">
        <v>568</v>
      </c>
      <c r="F4862" s="12" t="s">
        <v>569</v>
      </c>
      <c r="G4862" s="12" t="s">
        <v>21</v>
      </c>
      <c r="H4862" s="11" t="s">
        <v>63</v>
      </c>
      <c r="I4862" s="13" t="s">
        <v>10588</v>
      </c>
      <c r="J4862" s="14" t="str">
        <f>HYPERLINK("https://www.boe.es/gazeta/dias/1839/10/23/pdfs/GMD-1839-1809.pdf#page=4","Abrir facsímil")</f>
        <v>Abrir facsímil</v>
      </c>
      <c r="K4862" s="12" t="s">
        <v>65</v>
      </c>
    </row>
    <row r="4863" spans="1:11" ht="40.049999999999997" customHeight="1" x14ac:dyDescent="0.25">
      <c r="A4863" s="11" t="s">
        <v>10589</v>
      </c>
      <c r="B4863" s="11" t="s">
        <v>10589</v>
      </c>
      <c r="C4863" s="11" t="s">
        <v>59</v>
      </c>
      <c r="D4863" s="11" t="s">
        <v>60</v>
      </c>
      <c r="E4863" s="12" t="s">
        <v>385</v>
      </c>
      <c r="F4863" s="12" t="s">
        <v>386</v>
      </c>
      <c r="G4863" s="12" t="s">
        <v>40</v>
      </c>
      <c r="H4863" s="11" t="s">
        <v>63</v>
      </c>
      <c r="I4863" s="13" t="s">
        <v>10590</v>
      </c>
      <c r="J4863" s="14" t="str">
        <f>HYPERLINK("https://www.boe.es/gazeta/dias/1839/08/01/pdfs/GMD-1839-1721.pdf#page=2","Abrir facsímil")</f>
        <v>Abrir facsímil</v>
      </c>
      <c r="K4863" s="12" t="s">
        <v>65</v>
      </c>
    </row>
    <row r="4864" spans="1:11" ht="40.049999999999997" customHeight="1" x14ac:dyDescent="0.25">
      <c r="A4864" s="11" t="s">
        <v>10589</v>
      </c>
      <c r="B4864" s="11" t="s">
        <v>10589</v>
      </c>
      <c r="C4864" s="11" t="s">
        <v>17</v>
      </c>
      <c r="D4864" s="11" t="s">
        <v>18</v>
      </c>
      <c r="E4864" s="12" t="s">
        <v>2155</v>
      </c>
      <c r="F4864" s="12" t="s">
        <v>2156</v>
      </c>
      <c r="G4864" s="12" t="s">
        <v>29</v>
      </c>
      <c r="H4864" s="11" t="s">
        <v>63</v>
      </c>
      <c r="I4864" s="13" t="s">
        <v>10591</v>
      </c>
      <c r="J4864" s="14" t="str">
        <f>HYPERLINK("https://www.boe.es/gazeta/dias/1839/01/17/pdfs/GMD-1839-1524.pdf#page=1","Abrir facsímil")</f>
        <v>Abrir facsímil</v>
      </c>
      <c r="K4864" s="12" t="s">
        <v>65</v>
      </c>
    </row>
    <row r="4865" spans="1:11" ht="40.049999999999997" customHeight="1" x14ac:dyDescent="0.25">
      <c r="A4865" s="11" t="s">
        <v>10592</v>
      </c>
      <c r="B4865" s="11" t="s">
        <v>10593</v>
      </c>
      <c r="C4865" s="11" t="s">
        <v>17</v>
      </c>
      <c r="D4865" s="11" t="s">
        <v>18</v>
      </c>
      <c r="E4865" s="12" t="s">
        <v>2463</v>
      </c>
      <c r="F4865" s="12" t="s">
        <v>2464</v>
      </c>
      <c r="G4865" s="12" t="s">
        <v>29</v>
      </c>
      <c r="H4865" s="11" t="s">
        <v>63</v>
      </c>
      <c r="I4865" s="13" t="s">
        <v>10594</v>
      </c>
      <c r="J4865" s="14" t="str">
        <f>HYPERLINK("https://www.boe.es/gazeta/dias/1839/04/26/pdfs/GMD-1839-1623.pdf#page=1","Abrir facsímil")</f>
        <v>Abrir facsímil</v>
      </c>
      <c r="K4865" s="12" t="s">
        <v>65</v>
      </c>
    </row>
    <row r="4866" spans="1:11" ht="40.049999999999997" customHeight="1" x14ac:dyDescent="0.25">
      <c r="A4866" s="11" t="s">
        <v>10595</v>
      </c>
      <c r="B4866" s="11" t="s">
        <v>10596</v>
      </c>
      <c r="C4866" s="11" t="s">
        <v>17</v>
      </c>
      <c r="D4866" s="11" t="s">
        <v>18</v>
      </c>
      <c r="E4866" s="12" t="s">
        <v>1144</v>
      </c>
      <c r="F4866" s="12" t="s">
        <v>1145</v>
      </c>
      <c r="G4866" s="12" t="s">
        <v>40</v>
      </c>
      <c r="H4866" s="11" t="s">
        <v>22</v>
      </c>
      <c r="I4866" s="13" t="s">
        <v>10597</v>
      </c>
      <c r="J4866" s="14" t="str">
        <f>HYPERLINK("https://www.boe.es/gazeta/dias/1839/08/13/pdfs/GMD-1839-1733.pdf#page=2","Abrir facsímil")</f>
        <v>Abrir facsímil</v>
      </c>
      <c r="K4866" s="12" t="s">
        <v>24</v>
      </c>
    </row>
    <row r="4867" spans="1:11" ht="40.049999999999997" customHeight="1" x14ac:dyDescent="0.25">
      <c r="A4867" s="11" t="s">
        <v>10598</v>
      </c>
      <c r="B4867" s="11" t="s">
        <v>10598</v>
      </c>
      <c r="C4867" s="11" t="s">
        <v>17</v>
      </c>
      <c r="D4867" s="11" t="s">
        <v>18</v>
      </c>
      <c r="E4867" s="12" t="s">
        <v>108</v>
      </c>
      <c r="F4867" s="12" t="s">
        <v>109</v>
      </c>
      <c r="G4867" s="12" t="s">
        <v>46</v>
      </c>
      <c r="H4867" s="11" t="s">
        <v>63</v>
      </c>
      <c r="I4867" s="13" t="s">
        <v>10599</v>
      </c>
      <c r="J4867" s="14" t="str">
        <f>HYPERLINK("https://www.boe.es/gazeta/dias/1839/01/04/pdfs/GMD-1839-1511.pdf#page=3","Abrir facsímil")</f>
        <v>Abrir facsímil</v>
      </c>
      <c r="K4867" s="12" t="s">
        <v>65</v>
      </c>
    </row>
    <row r="4868" spans="1:11" ht="40.049999999999997" customHeight="1" x14ac:dyDescent="0.25">
      <c r="A4868" s="11" t="s">
        <v>10598</v>
      </c>
      <c r="B4868" s="11" t="s">
        <v>10598</v>
      </c>
      <c r="C4868" s="11" t="s">
        <v>17</v>
      </c>
      <c r="D4868" s="11" t="s">
        <v>18</v>
      </c>
      <c r="E4868" s="12" t="s">
        <v>284</v>
      </c>
      <c r="F4868" s="12" t="s">
        <v>285</v>
      </c>
      <c r="G4868" s="12" t="s">
        <v>46</v>
      </c>
      <c r="H4868" s="11" t="s">
        <v>63</v>
      </c>
      <c r="I4868" s="13" t="s">
        <v>10600</v>
      </c>
      <c r="J4868" s="14" t="str">
        <f>HYPERLINK("https://www.boe.es/gazeta/dias/1839/01/27/pdfs/GMD-1839-1534.pdf#page=3","Abrir facsímil")</f>
        <v>Abrir facsímil</v>
      </c>
      <c r="K4868" s="12" t="s">
        <v>65</v>
      </c>
    </row>
    <row r="4869" spans="1:11" ht="40.049999999999997" customHeight="1" x14ac:dyDescent="0.25">
      <c r="A4869" s="11" t="s">
        <v>10601</v>
      </c>
      <c r="B4869" s="11" t="s">
        <v>10602</v>
      </c>
      <c r="C4869" s="11" t="s">
        <v>101</v>
      </c>
      <c r="D4869" s="11" t="s">
        <v>43</v>
      </c>
      <c r="E4869" s="12" t="s">
        <v>561</v>
      </c>
      <c r="F4869" s="12" t="s">
        <v>562</v>
      </c>
      <c r="G4869" s="12" t="s">
        <v>46</v>
      </c>
      <c r="H4869" s="11" t="s">
        <v>63</v>
      </c>
      <c r="I4869" s="13" t="s">
        <v>10603</v>
      </c>
      <c r="J4869" s="14" t="str">
        <f>HYPERLINK("https://www.boe.es/gazeta/dias/1839/09/11/pdfs/GMD-1839-1764.pdf#page=3","Abrir facsímil")</f>
        <v>Abrir facsímil</v>
      </c>
      <c r="K4869" s="12" t="s">
        <v>65</v>
      </c>
    </row>
    <row r="4870" spans="1:11" ht="40.049999999999997" customHeight="1" x14ac:dyDescent="0.25">
      <c r="A4870" s="11" t="s">
        <v>10604</v>
      </c>
      <c r="B4870" s="11" t="s">
        <v>10604</v>
      </c>
      <c r="C4870" s="11" t="s">
        <v>59</v>
      </c>
      <c r="D4870" s="11" t="s">
        <v>60</v>
      </c>
      <c r="E4870" s="12" t="s">
        <v>262</v>
      </c>
      <c r="F4870" s="12" t="s">
        <v>263</v>
      </c>
      <c r="G4870" s="12" t="s">
        <v>29</v>
      </c>
      <c r="H4870" s="11" t="s">
        <v>63</v>
      </c>
      <c r="I4870" s="13" t="s">
        <v>10605</v>
      </c>
      <c r="J4870" s="14" t="str">
        <f>HYPERLINK("https://www.boe.es/gazeta/dias/1839/01/01/pdfs/GMD-1839-1508.pdf#page=1","Abrir facsímil")</f>
        <v>Abrir facsímil</v>
      </c>
      <c r="K4870" s="12" t="s">
        <v>65</v>
      </c>
    </row>
    <row r="4871" spans="1:11" ht="40.049999999999997" customHeight="1" x14ac:dyDescent="0.25">
      <c r="A4871" s="11" t="s">
        <v>10604</v>
      </c>
      <c r="B4871" s="11" t="s">
        <v>10604</v>
      </c>
      <c r="C4871" s="11" t="s">
        <v>17</v>
      </c>
      <c r="D4871" s="11" t="s">
        <v>18</v>
      </c>
      <c r="E4871" s="12" t="s">
        <v>262</v>
      </c>
      <c r="F4871" s="12" t="s">
        <v>263</v>
      </c>
      <c r="G4871" s="12" t="s">
        <v>40</v>
      </c>
      <c r="H4871" s="11" t="s">
        <v>63</v>
      </c>
      <c r="I4871" s="13" t="s">
        <v>10606</v>
      </c>
      <c r="J4871" s="14" t="str">
        <f>HYPERLINK("https://www.boe.es/gazeta/dias/1839/01/01/pdfs/GMD-1839-1508.pdf#page=2","Abrir facsímil")</f>
        <v>Abrir facsímil</v>
      </c>
      <c r="K4871" s="12" t="s">
        <v>65</v>
      </c>
    </row>
    <row r="4872" spans="1:11" ht="40.049999999999997" customHeight="1" x14ac:dyDescent="0.25">
      <c r="A4872" s="11" t="s">
        <v>10604</v>
      </c>
      <c r="B4872" s="11" t="s">
        <v>10604</v>
      </c>
      <c r="C4872" s="11" t="s">
        <v>80</v>
      </c>
      <c r="D4872" s="11" t="s">
        <v>173</v>
      </c>
      <c r="E4872" s="12" t="s">
        <v>1929</v>
      </c>
      <c r="F4872" s="12" t="s">
        <v>1930</v>
      </c>
      <c r="G4872" s="12" t="s">
        <v>40</v>
      </c>
      <c r="H4872" s="11" t="s">
        <v>63</v>
      </c>
      <c r="I4872" s="13" t="s">
        <v>10607</v>
      </c>
      <c r="J4872" s="14" t="str">
        <f>HYPERLINK("https://www.boe.es/gazeta/dias/1839/02/01/pdfs/GMD-1839-1539.pdf#page=2","Abrir facsímil")</f>
        <v>Abrir facsímil</v>
      </c>
      <c r="K4872" s="12" t="s">
        <v>65</v>
      </c>
    </row>
    <row r="4873" spans="1:11" ht="40.049999999999997" customHeight="1" x14ac:dyDescent="0.25">
      <c r="A4873" s="11" t="s">
        <v>10604</v>
      </c>
      <c r="B4873" s="11" t="s">
        <v>10604</v>
      </c>
      <c r="C4873" s="11" t="s">
        <v>137</v>
      </c>
      <c r="D4873" s="11" t="s">
        <v>18</v>
      </c>
      <c r="E4873" s="12" t="s">
        <v>266</v>
      </c>
      <c r="F4873" s="12" t="s">
        <v>267</v>
      </c>
      <c r="G4873" s="12" t="s">
        <v>21</v>
      </c>
      <c r="H4873" s="11" t="s">
        <v>63</v>
      </c>
      <c r="I4873" s="13" t="s">
        <v>10608</v>
      </c>
      <c r="J4873" s="14" t="str">
        <f>HYPERLINK("https://www.boe.es/gazeta/dias/1839/01/03/pdfs/GMD-1839-1510.pdf#page=4","Abrir facsímil")</f>
        <v>Abrir facsímil</v>
      </c>
      <c r="K4873" s="12" t="s">
        <v>65</v>
      </c>
    </row>
    <row r="4874" spans="1:11" ht="40.049999999999997" customHeight="1" x14ac:dyDescent="0.25">
      <c r="A4874" s="11" t="s">
        <v>10604</v>
      </c>
      <c r="B4874" s="11" t="s">
        <v>10604</v>
      </c>
      <c r="C4874" s="11" t="s">
        <v>17</v>
      </c>
      <c r="D4874" s="11" t="s">
        <v>18</v>
      </c>
      <c r="E4874" s="12" t="s">
        <v>212</v>
      </c>
      <c r="F4874" s="12" t="s">
        <v>213</v>
      </c>
      <c r="G4874" s="12" t="s">
        <v>21</v>
      </c>
      <c r="H4874" s="11" t="s">
        <v>63</v>
      </c>
      <c r="I4874" s="13" t="s">
        <v>10609</v>
      </c>
      <c r="J4874" s="14" t="str">
        <f>HYPERLINK("https://www.boe.es/gazeta/dias/1839/10/03/pdfs/GMD-1839-1789.pdf#page=4","Abrir facsímil")</f>
        <v>Abrir facsímil</v>
      </c>
      <c r="K4874" s="12" t="s">
        <v>65</v>
      </c>
    </row>
    <row r="4875" spans="1:11" ht="40.049999999999997" customHeight="1" x14ac:dyDescent="0.25">
      <c r="A4875" s="11" t="s">
        <v>10604</v>
      </c>
      <c r="B4875" s="11" t="s">
        <v>10604</v>
      </c>
      <c r="C4875" s="11" t="s">
        <v>101</v>
      </c>
      <c r="D4875" s="11" t="s">
        <v>43</v>
      </c>
      <c r="E4875" s="12" t="s">
        <v>108</v>
      </c>
      <c r="F4875" s="12" t="s">
        <v>109</v>
      </c>
      <c r="G4875" s="12" t="s">
        <v>40</v>
      </c>
      <c r="H4875" s="11" t="s">
        <v>63</v>
      </c>
      <c r="I4875" s="13" t="s">
        <v>10610</v>
      </c>
      <c r="J4875" s="14" t="str">
        <f>HYPERLINK("https://www.boe.es/gazeta/dias/1839/01/04/pdfs/GMD-1839-1511.pdf#page=2","Abrir facsímil")</f>
        <v>Abrir facsímil</v>
      </c>
      <c r="K4875" s="12" t="s">
        <v>65</v>
      </c>
    </row>
    <row r="4876" spans="1:11" ht="40.049999999999997" customHeight="1" x14ac:dyDescent="0.25">
      <c r="A4876" s="11" t="s">
        <v>10604</v>
      </c>
      <c r="B4876" s="11" t="s">
        <v>10604</v>
      </c>
      <c r="C4876" s="11" t="s">
        <v>17</v>
      </c>
      <c r="D4876" s="11" t="s">
        <v>18</v>
      </c>
      <c r="E4876" s="12" t="s">
        <v>108</v>
      </c>
      <c r="F4876" s="12" t="s">
        <v>109</v>
      </c>
      <c r="G4876" s="12" t="s">
        <v>21</v>
      </c>
      <c r="H4876" s="11" t="s">
        <v>63</v>
      </c>
      <c r="I4876" s="13" t="s">
        <v>10611</v>
      </c>
      <c r="J4876" s="14" t="str">
        <f>HYPERLINK("https://www.boe.es/gazeta/dias/1839/01/04/pdfs/GMD-1839-1511.pdf#page=4","Abrir facsímil")</f>
        <v>Abrir facsímil</v>
      </c>
      <c r="K4876" s="12" t="s">
        <v>65</v>
      </c>
    </row>
    <row r="4877" spans="1:11" ht="40.049999999999997" customHeight="1" x14ac:dyDescent="0.25">
      <c r="A4877" s="11" t="s">
        <v>10604</v>
      </c>
      <c r="B4877" s="11" t="s">
        <v>10604</v>
      </c>
      <c r="C4877" s="11" t="s">
        <v>17</v>
      </c>
      <c r="D4877" s="11" t="s">
        <v>18</v>
      </c>
      <c r="E4877" s="12" t="s">
        <v>197</v>
      </c>
      <c r="F4877" s="12" t="s">
        <v>198</v>
      </c>
      <c r="G4877" s="12" t="s">
        <v>40</v>
      </c>
      <c r="H4877" s="11" t="s">
        <v>63</v>
      </c>
      <c r="I4877" s="13" t="s">
        <v>10612</v>
      </c>
      <c r="J4877" s="14" t="str">
        <f>HYPERLINK("https://www.boe.es/gazeta/dias/1839/10/04/pdfs/GMD-1839-1790.pdf#page=2","Abrir facsímil")</f>
        <v>Abrir facsímil</v>
      </c>
      <c r="K4877" s="12" t="s">
        <v>65</v>
      </c>
    </row>
    <row r="4878" spans="1:11" ht="40.049999999999997" customHeight="1" x14ac:dyDescent="0.25">
      <c r="A4878" s="11" t="s">
        <v>10604</v>
      </c>
      <c r="B4878" s="11" t="s">
        <v>10604</v>
      </c>
      <c r="C4878" s="11" t="s">
        <v>137</v>
      </c>
      <c r="D4878" s="11" t="s">
        <v>18</v>
      </c>
      <c r="E4878" s="12" t="s">
        <v>49</v>
      </c>
      <c r="F4878" s="12" t="s">
        <v>50</v>
      </c>
      <c r="G4878" s="12" t="s">
        <v>46</v>
      </c>
      <c r="H4878" s="11" t="s">
        <v>63</v>
      </c>
      <c r="I4878" s="13" t="s">
        <v>10613</v>
      </c>
      <c r="J4878" s="14" t="str">
        <f>HYPERLINK("https://www.boe.es/gazeta/dias/1839/01/05/pdfs/GMD-1839-1512.pdf#page=3","Abrir facsímil")</f>
        <v>Abrir facsímil</v>
      </c>
      <c r="K4878" s="12" t="s">
        <v>65</v>
      </c>
    </row>
    <row r="4879" spans="1:11" ht="40.049999999999997" customHeight="1" x14ac:dyDescent="0.25">
      <c r="A4879" s="11" t="s">
        <v>10604</v>
      </c>
      <c r="B4879" s="11" t="s">
        <v>10604</v>
      </c>
      <c r="C4879" s="11" t="s">
        <v>17</v>
      </c>
      <c r="D4879" s="11" t="s">
        <v>18</v>
      </c>
      <c r="E4879" s="12" t="s">
        <v>2210</v>
      </c>
      <c r="F4879" s="12" t="s">
        <v>2211</v>
      </c>
      <c r="G4879" s="12" t="s">
        <v>46</v>
      </c>
      <c r="H4879" s="11" t="s">
        <v>63</v>
      </c>
      <c r="I4879" s="13" t="s">
        <v>10614</v>
      </c>
      <c r="J4879" s="14" t="str">
        <f>HYPERLINK("https://www.boe.es/gazeta/dias/1839/09/05/pdfs/GMD-1839-1758.pdf#page=3","Abrir facsímil")</f>
        <v>Abrir facsímil</v>
      </c>
      <c r="K4879" s="12" t="s">
        <v>65</v>
      </c>
    </row>
    <row r="4880" spans="1:11" ht="40.049999999999997" customHeight="1" x14ac:dyDescent="0.25">
      <c r="A4880" s="11" t="s">
        <v>10604</v>
      </c>
      <c r="B4880" s="11" t="s">
        <v>10604</v>
      </c>
      <c r="C4880" s="11" t="s">
        <v>59</v>
      </c>
      <c r="D4880" s="11" t="s">
        <v>60</v>
      </c>
      <c r="E4880" s="12" t="s">
        <v>54</v>
      </c>
      <c r="F4880" s="12" t="s">
        <v>55</v>
      </c>
      <c r="G4880" s="12" t="s">
        <v>40</v>
      </c>
      <c r="H4880" s="11" t="s">
        <v>63</v>
      </c>
      <c r="I4880" s="13" t="s">
        <v>10615</v>
      </c>
      <c r="J4880" s="14" t="str">
        <f>HYPERLINK("https://www.boe.es/gazeta/dias/1839/10/05/pdfs/GMD-1839-1791.pdf#page=2","Abrir facsímil")</f>
        <v>Abrir facsímil</v>
      </c>
      <c r="K4880" s="12" t="s">
        <v>65</v>
      </c>
    </row>
    <row r="4881" spans="1:11" ht="40.049999999999997" customHeight="1" x14ac:dyDescent="0.25">
      <c r="A4881" s="11" t="s">
        <v>10604</v>
      </c>
      <c r="B4881" s="11" t="s">
        <v>10604</v>
      </c>
      <c r="C4881" s="11" t="s">
        <v>17</v>
      </c>
      <c r="D4881" s="11" t="s">
        <v>18</v>
      </c>
      <c r="E4881" s="12" t="s">
        <v>54</v>
      </c>
      <c r="F4881" s="12" t="s">
        <v>55</v>
      </c>
      <c r="G4881" s="12" t="s">
        <v>305</v>
      </c>
      <c r="H4881" s="11" t="s">
        <v>63</v>
      </c>
      <c r="I4881" s="13" t="s">
        <v>10616</v>
      </c>
      <c r="J4881" s="14" t="str">
        <f>HYPERLINK("https://www.boe.es/gazeta/dias/1839/10/05/pdfs/GMD-1839-1791.pdf#page=6","Abrir facsímil")</f>
        <v>Abrir facsímil</v>
      </c>
      <c r="K4881" s="12" t="s">
        <v>65</v>
      </c>
    </row>
    <row r="4882" spans="1:11" ht="40.049999999999997" customHeight="1" x14ac:dyDescent="0.25">
      <c r="A4882" s="11" t="s">
        <v>10604</v>
      </c>
      <c r="B4882" s="11" t="s">
        <v>10604</v>
      </c>
      <c r="C4882" s="11" t="s">
        <v>137</v>
      </c>
      <c r="D4882" s="11" t="s">
        <v>18</v>
      </c>
      <c r="E4882" s="12" t="s">
        <v>448</v>
      </c>
      <c r="F4882" s="12" t="s">
        <v>449</v>
      </c>
      <c r="G4882" s="12" t="s">
        <v>40</v>
      </c>
      <c r="H4882" s="11" t="s">
        <v>63</v>
      </c>
      <c r="I4882" s="13" t="s">
        <v>10617</v>
      </c>
      <c r="J4882" s="14" t="str">
        <f>HYPERLINK("https://www.boe.es/gazeta/dias/1839/02/06/pdfs/GMD-1839-1544.pdf#page=2","Abrir facsímil")</f>
        <v>Abrir facsímil</v>
      </c>
      <c r="K4882" s="12" t="s">
        <v>65</v>
      </c>
    </row>
    <row r="4883" spans="1:11" ht="40.049999999999997" customHeight="1" x14ac:dyDescent="0.25">
      <c r="A4883" s="11" t="s">
        <v>10604</v>
      </c>
      <c r="B4883" s="11" t="s">
        <v>10604</v>
      </c>
      <c r="C4883" s="11" t="s">
        <v>80</v>
      </c>
      <c r="D4883" s="11" t="s">
        <v>18</v>
      </c>
      <c r="E4883" s="12" t="s">
        <v>303</v>
      </c>
      <c r="F4883" s="12" t="s">
        <v>304</v>
      </c>
      <c r="G4883" s="12" t="s">
        <v>40</v>
      </c>
      <c r="H4883" s="11" t="s">
        <v>63</v>
      </c>
      <c r="I4883" s="13" t="s">
        <v>10618</v>
      </c>
      <c r="J4883" s="14" t="str">
        <f>HYPERLINK("https://www.boe.es/gazeta/dias/1839/10/06/pdfs/GMD-1839-1792.pdf#page=2","Abrir facsímil")</f>
        <v>Abrir facsímil</v>
      </c>
      <c r="K4883" s="12" t="s">
        <v>65</v>
      </c>
    </row>
    <row r="4884" spans="1:11" ht="40.049999999999997" customHeight="1" x14ac:dyDescent="0.25">
      <c r="A4884" s="11" t="s">
        <v>10604</v>
      </c>
      <c r="B4884" s="11" t="s">
        <v>10604</v>
      </c>
      <c r="C4884" s="11" t="s">
        <v>17</v>
      </c>
      <c r="D4884" s="11" t="s">
        <v>18</v>
      </c>
      <c r="E4884" s="12" t="s">
        <v>1008</v>
      </c>
      <c r="F4884" s="12" t="s">
        <v>1009</v>
      </c>
      <c r="G4884" s="12" t="s">
        <v>46</v>
      </c>
      <c r="H4884" s="11" t="s">
        <v>63</v>
      </c>
      <c r="I4884" s="13" t="s">
        <v>10619</v>
      </c>
      <c r="J4884" s="14" t="str">
        <f>HYPERLINK("https://www.boe.es/gazeta/dias/1839/09/07/pdfs/GMD-1839-1760.pdf#page=3","Abrir facsímil")</f>
        <v>Abrir facsímil</v>
      </c>
      <c r="K4884" s="12" t="s">
        <v>65</v>
      </c>
    </row>
    <row r="4885" spans="1:11" ht="40.049999999999997" customHeight="1" x14ac:dyDescent="0.25">
      <c r="A4885" s="11" t="s">
        <v>10604</v>
      </c>
      <c r="B4885" s="11" t="s">
        <v>10604</v>
      </c>
      <c r="C4885" s="11" t="s">
        <v>17</v>
      </c>
      <c r="D4885" s="11" t="s">
        <v>18</v>
      </c>
      <c r="E4885" s="12" t="s">
        <v>1008</v>
      </c>
      <c r="F4885" s="12" t="s">
        <v>1009</v>
      </c>
      <c r="G4885" s="12" t="s">
        <v>21</v>
      </c>
      <c r="H4885" s="11" t="s">
        <v>63</v>
      </c>
      <c r="I4885" s="13" t="s">
        <v>10620</v>
      </c>
      <c r="J4885" s="14" t="str">
        <f>HYPERLINK("https://www.boe.es/gazeta/dias/1839/09/07/pdfs/GMD-1839-1760.pdf#page=4","Abrir facsímil")</f>
        <v>Abrir facsímil</v>
      </c>
      <c r="K4885" s="12" t="s">
        <v>65</v>
      </c>
    </row>
    <row r="4886" spans="1:11" ht="40.049999999999997" customHeight="1" x14ac:dyDescent="0.25">
      <c r="A4886" s="11" t="s">
        <v>10604</v>
      </c>
      <c r="B4886" s="11" t="s">
        <v>10604</v>
      </c>
      <c r="C4886" s="11" t="s">
        <v>101</v>
      </c>
      <c r="D4886" s="11" t="s">
        <v>43</v>
      </c>
      <c r="E4886" s="12" t="s">
        <v>157</v>
      </c>
      <c r="F4886" s="12" t="s">
        <v>158</v>
      </c>
      <c r="G4886" s="12" t="s">
        <v>46</v>
      </c>
      <c r="H4886" s="11" t="s">
        <v>63</v>
      </c>
      <c r="I4886" s="13" t="s">
        <v>10621</v>
      </c>
      <c r="J4886" s="14" t="str">
        <f>HYPERLINK("https://www.boe.es/gazeta/dias/1839/02/08/pdfs/GMD-1839-1546.pdf#page=3","Abrir facsímil")</f>
        <v>Abrir facsímil</v>
      </c>
      <c r="K4886" s="12" t="s">
        <v>65</v>
      </c>
    </row>
    <row r="4887" spans="1:11" ht="40.049999999999997" customHeight="1" x14ac:dyDescent="0.25">
      <c r="A4887" s="11" t="s">
        <v>10604</v>
      </c>
      <c r="B4887" s="11" t="s">
        <v>10604</v>
      </c>
      <c r="C4887" s="11" t="s">
        <v>17</v>
      </c>
      <c r="D4887" s="11" t="s">
        <v>18</v>
      </c>
      <c r="E4887" s="12" t="s">
        <v>647</v>
      </c>
      <c r="F4887" s="12" t="s">
        <v>648</v>
      </c>
      <c r="G4887" s="12" t="s">
        <v>46</v>
      </c>
      <c r="H4887" s="11" t="s">
        <v>63</v>
      </c>
      <c r="I4887" s="13" t="s">
        <v>10622</v>
      </c>
      <c r="J4887" s="14" t="str">
        <f>HYPERLINK("https://www.boe.es/gazeta/dias/1839/10/08/pdfs/GMD-1839-1794.pdf#page=3","Abrir facsímil")</f>
        <v>Abrir facsímil</v>
      </c>
      <c r="K4887" s="12" t="s">
        <v>65</v>
      </c>
    </row>
    <row r="4888" spans="1:11" ht="40.049999999999997" customHeight="1" x14ac:dyDescent="0.25">
      <c r="A4888" s="11" t="s">
        <v>10604</v>
      </c>
      <c r="B4888" s="11" t="s">
        <v>10604</v>
      </c>
      <c r="C4888" s="11" t="s">
        <v>17</v>
      </c>
      <c r="D4888" s="11" t="s">
        <v>18</v>
      </c>
      <c r="E4888" s="12" t="s">
        <v>1366</v>
      </c>
      <c r="F4888" s="12" t="s">
        <v>1367</v>
      </c>
      <c r="G4888" s="12" t="s">
        <v>40</v>
      </c>
      <c r="H4888" s="11" t="s">
        <v>63</v>
      </c>
      <c r="I4888" s="13" t="s">
        <v>10623</v>
      </c>
      <c r="J4888" s="14" t="str">
        <f>HYPERLINK("https://www.boe.es/gazeta/dias/1839/09/09/pdfs/GMD-1839-1762.pdf#page=2","Abrir facsímil")</f>
        <v>Abrir facsímil</v>
      </c>
      <c r="K4888" s="12" t="s">
        <v>65</v>
      </c>
    </row>
    <row r="4889" spans="1:11" ht="40.049999999999997" customHeight="1" x14ac:dyDescent="0.25">
      <c r="A4889" s="11" t="s">
        <v>10604</v>
      </c>
      <c r="B4889" s="11" t="s">
        <v>10604</v>
      </c>
      <c r="C4889" s="11" t="s">
        <v>17</v>
      </c>
      <c r="D4889" s="11" t="s">
        <v>18</v>
      </c>
      <c r="E4889" s="12" t="s">
        <v>160</v>
      </c>
      <c r="F4889" s="12" t="s">
        <v>161</v>
      </c>
      <c r="G4889" s="12" t="s">
        <v>40</v>
      </c>
      <c r="H4889" s="11" t="s">
        <v>63</v>
      </c>
      <c r="I4889" s="13" t="s">
        <v>10624</v>
      </c>
      <c r="J4889" s="14" t="str">
        <f>HYPERLINK("https://www.boe.es/gazeta/dias/1839/01/10/pdfs/GMD-1839-1517.pdf#page=2","Abrir facsímil")</f>
        <v>Abrir facsímil</v>
      </c>
      <c r="K4889" s="12" t="s">
        <v>65</v>
      </c>
    </row>
    <row r="4890" spans="1:11" ht="40.049999999999997" customHeight="1" x14ac:dyDescent="0.25">
      <c r="A4890" s="11" t="s">
        <v>10604</v>
      </c>
      <c r="B4890" s="11" t="s">
        <v>10604</v>
      </c>
      <c r="C4890" s="11" t="s">
        <v>80</v>
      </c>
      <c r="D4890" s="11" t="s">
        <v>18</v>
      </c>
      <c r="E4890" s="12" t="s">
        <v>61</v>
      </c>
      <c r="F4890" s="12" t="s">
        <v>62</v>
      </c>
      <c r="G4890" s="12" t="s">
        <v>46</v>
      </c>
      <c r="H4890" s="11" t="s">
        <v>63</v>
      </c>
      <c r="I4890" s="13" t="s">
        <v>10625</v>
      </c>
      <c r="J4890" s="14" t="str">
        <f>HYPERLINK("https://www.boe.es/gazeta/dias/1839/09/10/pdfs/GMD-1839-1763.pdf#page=3","Abrir facsímil")</f>
        <v>Abrir facsímil</v>
      </c>
      <c r="K4890" s="12" t="s">
        <v>65</v>
      </c>
    </row>
    <row r="4891" spans="1:11" ht="40.049999999999997" customHeight="1" x14ac:dyDescent="0.25">
      <c r="A4891" s="11" t="s">
        <v>10604</v>
      </c>
      <c r="B4891" s="11" t="s">
        <v>10604</v>
      </c>
      <c r="C4891" s="11" t="s">
        <v>137</v>
      </c>
      <c r="D4891" s="11" t="s">
        <v>18</v>
      </c>
      <c r="E4891" s="12" t="s">
        <v>181</v>
      </c>
      <c r="F4891" s="12" t="s">
        <v>182</v>
      </c>
      <c r="G4891" s="12" t="s">
        <v>40</v>
      </c>
      <c r="H4891" s="11" t="s">
        <v>63</v>
      </c>
      <c r="I4891" s="13" t="s">
        <v>10626</v>
      </c>
      <c r="J4891" s="14" t="str">
        <f>HYPERLINK("https://www.boe.es/gazeta/dias/1839/01/11/pdfs/GMD-1839-1518.pdf#page=2","Abrir facsímil")</f>
        <v>Abrir facsímil</v>
      </c>
      <c r="K4891" s="12" t="s">
        <v>65</v>
      </c>
    </row>
    <row r="4892" spans="1:11" ht="40.049999999999997" customHeight="1" x14ac:dyDescent="0.25">
      <c r="A4892" s="11" t="s">
        <v>10604</v>
      </c>
      <c r="B4892" s="11" t="s">
        <v>10604</v>
      </c>
      <c r="C4892" s="11" t="s">
        <v>137</v>
      </c>
      <c r="D4892" s="11" t="s">
        <v>18</v>
      </c>
      <c r="E4892" s="12" t="s">
        <v>561</v>
      </c>
      <c r="F4892" s="12" t="s">
        <v>562</v>
      </c>
      <c r="G4892" s="12" t="s">
        <v>46</v>
      </c>
      <c r="H4892" s="11" t="s">
        <v>63</v>
      </c>
      <c r="I4892" s="13" t="s">
        <v>10627</v>
      </c>
      <c r="J4892" s="14" t="str">
        <f>HYPERLINK("https://www.boe.es/gazeta/dias/1839/09/11/pdfs/GMD-1839-1764.pdf#page=3","Abrir facsímil")</f>
        <v>Abrir facsímil</v>
      </c>
      <c r="K4892" s="12" t="s">
        <v>65</v>
      </c>
    </row>
    <row r="4893" spans="1:11" ht="40.049999999999997" customHeight="1" x14ac:dyDescent="0.25">
      <c r="A4893" s="11" t="s">
        <v>10604</v>
      </c>
      <c r="B4893" s="11" t="s">
        <v>10604</v>
      </c>
      <c r="C4893" s="11" t="s">
        <v>17</v>
      </c>
      <c r="D4893" s="11" t="s">
        <v>18</v>
      </c>
      <c r="E4893" s="12" t="s">
        <v>561</v>
      </c>
      <c r="F4893" s="12" t="s">
        <v>562</v>
      </c>
      <c r="G4893" s="12" t="s">
        <v>21</v>
      </c>
      <c r="H4893" s="11" t="s">
        <v>63</v>
      </c>
      <c r="I4893" s="13" t="s">
        <v>10628</v>
      </c>
      <c r="J4893" s="14" t="str">
        <f>HYPERLINK("https://www.boe.es/gazeta/dias/1839/09/11/pdfs/GMD-1839-1764.pdf#page=4","Abrir facsímil")</f>
        <v>Abrir facsímil</v>
      </c>
      <c r="K4893" s="12" t="s">
        <v>65</v>
      </c>
    </row>
    <row r="4894" spans="1:11" ht="40.049999999999997" customHeight="1" x14ac:dyDescent="0.25">
      <c r="A4894" s="11" t="s">
        <v>10604</v>
      </c>
      <c r="B4894" s="11" t="s">
        <v>10604</v>
      </c>
      <c r="C4894" s="11" t="s">
        <v>17</v>
      </c>
      <c r="D4894" s="11" t="s">
        <v>18</v>
      </c>
      <c r="E4894" s="12" t="s">
        <v>103</v>
      </c>
      <c r="F4894" s="12" t="s">
        <v>104</v>
      </c>
      <c r="G4894" s="12" t="s">
        <v>46</v>
      </c>
      <c r="H4894" s="11" t="s">
        <v>63</v>
      </c>
      <c r="I4894" s="13" t="s">
        <v>10629</v>
      </c>
      <c r="J4894" s="14" t="str">
        <f>HYPERLINK("https://www.boe.es/gazeta/dias/1839/10/12/pdfs/GMD-1839-1798.pdf#page=3","Abrir facsímil")</f>
        <v>Abrir facsímil</v>
      </c>
      <c r="K4894" s="12" t="s">
        <v>65</v>
      </c>
    </row>
    <row r="4895" spans="1:11" ht="40.049999999999997" customHeight="1" x14ac:dyDescent="0.25">
      <c r="A4895" s="11" t="s">
        <v>10604</v>
      </c>
      <c r="B4895" s="11" t="s">
        <v>10604</v>
      </c>
      <c r="C4895" s="11" t="s">
        <v>17</v>
      </c>
      <c r="D4895" s="11" t="s">
        <v>18</v>
      </c>
      <c r="E4895" s="12" t="s">
        <v>163</v>
      </c>
      <c r="F4895" s="12" t="s">
        <v>164</v>
      </c>
      <c r="G4895" s="12" t="s">
        <v>40</v>
      </c>
      <c r="H4895" s="11" t="s">
        <v>63</v>
      </c>
      <c r="I4895" s="13" t="s">
        <v>10630</v>
      </c>
      <c r="J4895" s="14" t="str">
        <f>HYPERLINK("https://www.boe.es/gazeta/dias/1839/01/13/pdfs/GMD-1839-1520.pdf#page=2","Abrir facsímil")</f>
        <v>Abrir facsímil</v>
      </c>
      <c r="K4895" s="12" t="s">
        <v>65</v>
      </c>
    </row>
    <row r="4896" spans="1:11" ht="40.049999999999997" customHeight="1" x14ac:dyDescent="0.25">
      <c r="A4896" s="11" t="s">
        <v>10604</v>
      </c>
      <c r="B4896" s="11" t="s">
        <v>10604</v>
      </c>
      <c r="C4896" s="11" t="s">
        <v>80</v>
      </c>
      <c r="D4896" s="11" t="s">
        <v>18</v>
      </c>
      <c r="E4896" s="12" t="s">
        <v>163</v>
      </c>
      <c r="F4896" s="12" t="s">
        <v>164</v>
      </c>
      <c r="G4896" s="12" t="s">
        <v>46</v>
      </c>
      <c r="H4896" s="11" t="s">
        <v>63</v>
      </c>
      <c r="I4896" s="13" t="s">
        <v>10631</v>
      </c>
      <c r="J4896" s="14" t="str">
        <f>HYPERLINK("https://www.boe.es/gazeta/dias/1839/01/13/pdfs/GMD-1839-1520.pdf#page=3","Abrir facsímil")</f>
        <v>Abrir facsímil</v>
      </c>
      <c r="K4896" s="12" t="s">
        <v>65</v>
      </c>
    </row>
    <row r="4897" spans="1:11" ht="40.049999999999997" customHeight="1" x14ac:dyDescent="0.25">
      <c r="A4897" s="11" t="s">
        <v>10604</v>
      </c>
      <c r="B4897" s="11" t="s">
        <v>10604</v>
      </c>
      <c r="C4897" s="11" t="s">
        <v>101</v>
      </c>
      <c r="D4897" s="11" t="s">
        <v>102</v>
      </c>
      <c r="E4897" s="12" t="s">
        <v>163</v>
      </c>
      <c r="F4897" s="12" t="s">
        <v>164</v>
      </c>
      <c r="G4897" s="12" t="s">
        <v>21</v>
      </c>
      <c r="H4897" s="11" t="s">
        <v>63</v>
      </c>
      <c r="I4897" s="13" t="s">
        <v>10632</v>
      </c>
      <c r="J4897" s="14" t="str">
        <f>HYPERLINK("https://www.boe.es/gazeta/dias/1839/01/13/pdfs/GMD-1839-1520.pdf#page=4","Abrir facsímil")</f>
        <v>Abrir facsímil</v>
      </c>
      <c r="K4897" s="12" t="s">
        <v>65</v>
      </c>
    </row>
    <row r="4898" spans="1:11" ht="40.049999999999997" customHeight="1" x14ac:dyDescent="0.25">
      <c r="A4898" s="11" t="s">
        <v>10604</v>
      </c>
      <c r="B4898" s="11" t="s">
        <v>10604</v>
      </c>
      <c r="C4898" s="11" t="s">
        <v>17</v>
      </c>
      <c r="D4898" s="11" t="s">
        <v>18</v>
      </c>
      <c r="E4898" s="12" t="s">
        <v>1100</v>
      </c>
      <c r="F4898" s="12" t="s">
        <v>1101</v>
      </c>
      <c r="G4898" s="12" t="s">
        <v>29</v>
      </c>
      <c r="H4898" s="11" t="s">
        <v>63</v>
      </c>
      <c r="I4898" s="13" t="s">
        <v>10633</v>
      </c>
      <c r="J4898" s="14" t="str">
        <f>HYPERLINK("https://www.boe.es/gazeta/dias/1839/09/13/pdfs/GMD-1839-1766.pdf#page=1","Abrir facsímil")</f>
        <v>Abrir facsímil</v>
      </c>
      <c r="K4898" s="12" t="s">
        <v>65</v>
      </c>
    </row>
    <row r="4899" spans="1:11" ht="40.049999999999997" customHeight="1" x14ac:dyDescent="0.25">
      <c r="A4899" s="11" t="s">
        <v>10604</v>
      </c>
      <c r="B4899" s="11" t="s">
        <v>10604</v>
      </c>
      <c r="C4899" s="11" t="s">
        <v>17</v>
      </c>
      <c r="D4899" s="11" t="s">
        <v>18</v>
      </c>
      <c r="E4899" s="12" t="s">
        <v>736</v>
      </c>
      <c r="F4899" s="12" t="s">
        <v>737</v>
      </c>
      <c r="G4899" s="12" t="s">
        <v>40</v>
      </c>
      <c r="H4899" s="11" t="s">
        <v>63</v>
      </c>
      <c r="I4899" s="13" t="s">
        <v>10634</v>
      </c>
      <c r="J4899" s="14" t="str">
        <f>HYPERLINK("https://www.boe.es/gazeta/dias/1839/10/13/pdfs/GMD-1839-1799.pdf#page=2","Abrir facsímil")</f>
        <v>Abrir facsímil</v>
      </c>
      <c r="K4899" s="12" t="s">
        <v>65</v>
      </c>
    </row>
    <row r="4900" spans="1:11" ht="40.049999999999997" customHeight="1" x14ac:dyDescent="0.25">
      <c r="A4900" s="11" t="s">
        <v>10604</v>
      </c>
      <c r="B4900" s="11" t="s">
        <v>10604</v>
      </c>
      <c r="C4900" s="11" t="s">
        <v>17</v>
      </c>
      <c r="D4900" s="11" t="s">
        <v>18</v>
      </c>
      <c r="E4900" s="12" t="s">
        <v>736</v>
      </c>
      <c r="F4900" s="12" t="s">
        <v>737</v>
      </c>
      <c r="G4900" s="12" t="s">
        <v>46</v>
      </c>
      <c r="H4900" s="11" t="s">
        <v>63</v>
      </c>
      <c r="I4900" s="13" t="s">
        <v>10635</v>
      </c>
      <c r="J4900" s="14" t="str">
        <f>HYPERLINK("https://www.boe.es/gazeta/dias/1839/10/13/pdfs/GMD-1839-1799.pdf#page=3","Abrir facsímil")</f>
        <v>Abrir facsímil</v>
      </c>
      <c r="K4900" s="12" t="s">
        <v>65</v>
      </c>
    </row>
    <row r="4901" spans="1:11" ht="40.049999999999997" customHeight="1" x14ac:dyDescent="0.25">
      <c r="A4901" s="11" t="s">
        <v>10604</v>
      </c>
      <c r="B4901" s="11" t="s">
        <v>10604</v>
      </c>
      <c r="C4901" s="11" t="s">
        <v>17</v>
      </c>
      <c r="D4901" s="11" t="s">
        <v>18</v>
      </c>
      <c r="E4901" s="12" t="s">
        <v>185</v>
      </c>
      <c r="F4901" s="12" t="s">
        <v>186</v>
      </c>
      <c r="G4901" s="12" t="s">
        <v>29</v>
      </c>
      <c r="H4901" s="11" t="s">
        <v>63</v>
      </c>
      <c r="I4901" s="13" t="s">
        <v>10636</v>
      </c>
      <c r="J4901" s="14" t="str">
        <f>HYPERLINK("https://www.boe.es/gazeta/dias/1839/01/15/pdfs/GMD-1839-1522.pdf#page=1","Abrir facsímil")</f>
        <v>Abrir facsímil</v>
      </c>
      <c r="K4901" s="12" t="s">
        <v>65</v>
      </c>
    </row>
    <row r="4902" spans="1:11" ht="40.049999999999997" customHeight="1" x14ac:dyDescent="0.25">
      <c r="A4902" s="11" t="s">
        <v>10604</v>
      </c>
      <c r="B4902" s="11" t="s">
        <v>10604</v>
      </c>
      <c r="C4902" s="11" t="s">
        <v>137</v>
      </c>
      <c r="D4902" s="11" t="s">
        <v>18</v>
      </c>
      <c r="E4902" s="12" t="s">
        <v>185</v>
      </c>
      <c r="F4902" s="12" t="s">
        <v>186</v>
      </c>
      <c r="G4902" s="12" t="s">
        <v>40</v>
      </c>
      <c r="H4902" s="11" t="s">
        <v>63</v>
      </c>
      <c r="I4902" s="13" t="s">
        <v>10637</v>
      </c>
      <c r="J4902" s="14" t="str">
        <f>HYPERLINK("https://www.boe.es/gazeta/dias/1839/01/15/pdfs/GMD-1839-1522.pdf#page=2","Abrir facsímil")</f>
        <v>Abrir facsímil</v>
      </c>
      <c r="K4902" s="12" t="s">
        <v>65</v>
      </c>
    </row>
    <row r="4903" spans="1:11" ht="40.049999999999997" customHeight="1" x14ac:dyDescent="0.25">
      <c r="A4903" s="11" t="s">
        <v>10604</v>
      </c>
      <c r="B4903" s="11" t="s">
        <v>10604</v>
      </c>
      <c r="C4903" s="11" t="s">
        <v>17</v>
      </c>
      <c r="D4903" s="11" t="s">
        <v>18</v>
      </c>
      <c r="E4903" s="12" t="s">
        <v>1069</v>
      </c>
      <c r="F4903" s="12" t="s">
        <v>1070</v>
      </c>
      <c r="G4903" s="12" t="s">
        <v>21</v>
      </c>
      <c r="H4903" s="11" t="s">
        <v>63</v>
      </c>
      <c r="I4903" s="13" t="s">
        <v>10638</v>
      </c>
      <c r="J4903" s="14" t="str">
        <f>HYPERLINK("https://www.boe.es/gazeta/dias/1839/10/15/pdfs/GMD-1839-1801.pdf#page=4","Abrir facsímil")</f>
        <v>Abrir facsímil</v>
      </c>
      <c r="K4903" s="12" t="s">
        <v>65</v>
      </c>
    </row>
    <row r="4904" spans="1:11" ht="40.049999999999997" customHeight="1" x14ac:dyDescent="0.25">
      <c r="A4904" s="11" t="s">
        <v>10604</v>
      </c>
      <c r="B4904" s="11" t="s">
        <v>10604</v>
      </c>
      <c r="C4904" s="11" t="s">
        <v>17</v>
      </c>
      <c r="D4904" s="11" t="s">
        <v>18</v>
      </c>
      <c r="E4904" s="12" t="s">
        <v>175</v>
      </c>
      <c r="F4904" s="12" t="s">
        <v>176</v>
      </c>
      <c r="G4904" s="12" t="s">
        <v>21</v>
      </c>
      <c r="H4904" s="11" t="s">
        <v>63</v>
      </c>
      <c r="I4904" s="13" t="s">
        <v>10639</v>
      </c>
      <c r="J4904" s="14" t="str">
        <f>HYPERLINK("https://www.boe.es/gazeta/dias/1839/01/16/pdfs/GMD-1839-1523.pdf#page=4","Abrir facsímil")</f>
        <v>Abrir facsímil</v>
      </c>
      <c r="K4904" s="12" t="s">
        <v>65</v>
      </c>
    </row>
    <row r="4905" spans="1:11" ht="40.049999999999997" customHeight="1" x14ac:dyDescent="0.25">
      <c r="A4905" s="11" t="s">
        <v>10604</v>
      </c>
      <c r="B4905" s="11" t="s">
        <v>10604</v>
      </c>
      <c r="C4905" s="11" t="s">
        <v>17</v>
      </c>
      <c r="D4905" s="11" t="s">
        <v>18</v>
      </c>
      <c r="E4905" s="12" t="s">
        <v>1072</v>
      </c>
      <c r="F4905" s="12" t="s">
        <v>1073</v>
      </c>
      <c r="G4905" s="12" t="s">
        <v>40</v>
      </c>
      <c r="H4905" s="11" t="s">
        <v>63</v>
      </c>
      <c r="I4905" s="13" t="s">
        <v>10640</v>
      </c>
      <c r="J4905" s="14" t="str">
        <f>HYPERLINK("https://www.boe.es/gazeta/dias/1839/01/18/pdfs/GMD-1839-1525.pdf#page=2","Abrir facsímil")</f>
        <v>Abrir facsímil</v>
      </c>
      <c r="K4905" s="12" t="s">
        <v>65</v>
      </c>
    </row>
    <row r="4906" spans="1:11" ht="40.049999999999997" customHeight="1" x14ac:dyDescent="0.25">
      <c r="A4906" s="11" t="s">
        <v>10604</v>
      </c>
      <c r="B4906" s="11" t="s">
        <v>10604</v>
      </c>
      <c r="C4906" s="11" t="s">
        <v>137</v>
      </c>
      <c r="D4906" s="11" t="s">
        <v>18</v>
      </c>
      <c r="E4906" s="12" t="s">
        <v>1179</v>
      </c>
      <c r="F4906" s="12" t="s">
        <v>1180</v>
      </c>
      <c r="G4906" s="12" t="s">
        <v>21</v>
      </c>
      <c r="H4906" s="11" t="s">
        <v>63</v>
      </c>
      <c r="I4906" s="13" t="s">
        <v>10641</v>
      </c>
      <c r="J4906" s="14" t="str">
        <f>HYPERLINK("https://www.boe.es/gazeta/dias/1839/10/18/pdfs/GMD-1839-1804.pdf#page=4","Abrir facsímil")</f>
        <v>Abrir facsímil</v>
      </c>
      <c r="K4906" s="12" t="s">
        <v>65</v>
      </c>
    </row>
    <row r="4907" spans="1:11" ht="40.049999999999997" customHeight="1" x14ac:dyDescent="0.25">
      <c r="A4907" s="11" t="s">
        <v>10604</v>
      </c>
      <c r="B4907" s="11" t="s">
        <v>10604</v>
      </c>
      <c r="C4907" s="11" t="s">
        <v>101</v>
      </c>
      <c r="D4907" s="11" t="s">
        <v>43</v>
      </c>
      <c r="E4907" s="12" t="s">
        <v>1179</v>
      </c>
      <c r="F4907" s="12" t="s">
        <v>1180</v>
      </c>
      <c r="G4907" s="12" t="s">
        <v>566</v>
      </c>
      <c r="H4907" s="11" t="s">
        <v>63</v>
      </c>
      <c r="I4907" s="13" t="s">
        <v>10642</v>
      </c>
      <c r="J4907" s="14" t="str">
        <f>HYPERLINK("https://www.boe.es/gazeta/dias/1839/10/18/pdfs/GMD-1839-1804.pdf#page=5","Abrir facsímil")</f>
        <v>Abrir facsímil</v>
      </c>
      <c r="K4907" s="12" t="s">
        <v>65</v>
      </c>
    </row>
    <row r="4908" spans="1:11" ht="40.049999999999997" customHeight="1" x14ac:dyDescent="0.25">
      <c r="A4908" s="11" t="s">
        <v>10604</v>
      </c>
      <c r="B4908" s="11" t="s">
        <v>10604</v>
      </c>
      <c r="C4908" s="11" t="s">
        <v>101</v>
      </c>
      <c r="D4908" s="11" t="s">
        <v>43</v>
      </c>
      <c r="E4908" s="12" t="s">
        <v>19</v>
      </c>
      <c r="F4908" s="12" t="s">
        <v>20</v>
      </c>
      <c r="G4908" s="12" t="s">
        <v>46</v>
      </c>
      <c r="H4908" s="11" t="s">
        <v>63</v>
      </c>
      <c r="I4908" s="13" t="s">
        <v>10643</v>
      </c>
      <c r="J4908" s="14" t="str">
        <f>HYPERLINK("https://www.boe.es/gazeta/dias/1839/01/19/pdfs/GMD-1839-1526.pdf#page=3","Abrir facsímil")</f>
        <v>Abrir facsímil</v>
      </c>
      <c r="K4908" s="12" t="s">
        <v>65</v>
      </c>
    </row>
    <row r="4909" spans="1:11" ht="40.049999999999997" customHeight="1" x14ac:dyDescent="0.25">
      <c r="A4909" s="11" t="s">
        <v>10604</v>
      </c>
      <c r="B4909" s="11" t="s">
        <v>10604</v>
      </c>
      <c r="C4909" s="11" t="s">
        <v>80</v>
      </c>
      <c r="D4909" s="11" t="s">
        <v>18</v>
      </c>
      <c r="E4909" s="12" t="s">
        <v>433</v>
      </c>
      <c r="F4909" s="12" t="s">
        <v>434</v>
      </c>
      <c r="G4909" s="12" t="s">
        <v>46</v>
      </c>
      <c r="H4909" s="11" t="s">
        <v>63</v>
      </c>
      <c r="I4909" s="13" t="s">
        <v>10644</v>
      </c>
      <c r="J4909" s="14" t="str">
        <f>HYPERLINK("https://www.boe.es/gazeta/dias/1839/01/20/pdfs/GMD-1839-1527.pdf#page=3","Abrir facsímil")</f>
        <v>Abrir facsímil</v>
      </c>
      <c r="K4909" s="12" t="s">
        <v>65</v>
      </c>
    </row>
    <row r="4910" spans="1:11" ht="40.049999999999997" customHeight="1" x14ac:dyDescent="0.25">
      <c r="A4910" s="11" t="s">
        <v>10604</v>
      </c>
      <c r="B4910" s="11" t="s">
        <v>10604</v>
      </c>
      <c r="C4910" s="11" t="s">
        <v>17</v>
      </c>
      <c r="D4910" s="11" t="s">
        <v>18</v>
      </c>
      <c r="E4910" s="12" t="s">
        <v>1108</v>
      </c>
      <c r="F4910" s="12" t="s">
        <v>1109</v>
      </c>
      <c r="G4910" s="12" t="s">
        <v>46</v>
      </c>
      <c r="H4910" s="11" t="s">
        <v>63</v>
      </c>
      <c r="I4910" s="13" t="s">
        <v>10645</v>
      </c>
      <c r="J4910" s="14" t="str">
        <f>HYPERLINK("https://www.boe.es/gazeta/dias/1839/09/21/pdfs/GMD-1839-1776.pdf#page=3","Abrir facsímil")</f>
        <v>Abrir facsímil</v>
      </c>
      <c r="K4910" s="12" t="s">
        <v>65</v>
      </c>
    </row>
    <row r="4911" spans="1:11" ht="40.049999999999997" customHeight="1" x14ac:dyDescent="0.25">
      <c r="A4911" s="11" t="s">
        <v>10604</v>
      </c>
      <c r="B4911" s="11" t="s">
        <v>10604</v>
      </c>
      <c r="C4911" s="11" t="s">
        <v>17</v>
      </c>
      <c r="D4911" s="11" t="s">
        <v>18</v>
      </c>
      <c r="E4911" s="12" t="s">
        <v>243</v>
      </c>
      <c r="F4911" s="12" t="s">
        <v>244</v>
      </c>
      <c r="G4911" s="12" t="s">
        <v>46</v>
      </c>
      <c r="H4911" s="11" t="s">
        <v>63</v>
      </c>
      <c r="I4911" s="13" t="s">
        <v>10646</v>
      </c>
      <c r="J4911" s="14" t="str">
        <f>HYPERLINK("https://www.boe.es/gazeta/dias/1839/09/23/pdfs/GMD-1839-1779.pdf#page=3","Abrir facsímil")</f>
        <v>Abrir facsímil</v>
      </c>
      <c r="K4911" s="12" t="s">
        <v>65</v>
      </c>
    </row>
    <row r="4912" spans="1:11" ht="40.049999999999997" customHeight="1" x14ac:dyDescent="0.25">
      <c r="A4912" s="11" t="s">
        <v>10604</v>
      </c>
      <c r="B4912" s="11" t="s">
        <v>10604</v>
      </c>
      <c r="C4912" s="11" t="s">
        <v>17</v>
      </c>
      <c r="D4912" s="11" t="s">
        <v>18</v>
      </c>
      <c r="E4912" s="12" t="s">
        <v>276</v>
      </c>
      <c r="F4912" s="12" t="s">
        <v>277</v>
      </c>
      <c r="G4912" s="12" t="s">
        <v>46</v>
      </c>
      <c r="H4912" s="11" t="s">
        <v>63</v>
      </c>
      <c r="I4912" s="13" t="s">
        <v>10647</v>
      </c>
      <c r="J4912" s="14" t="str">
        <f>HYPERLINK("https://www.boe.es/gazeta/dias/1839/09/24/pdfs/GMD-1839-1780.pdf#page=3","Abrir facsímil")</f>
        <v>Abrir facsímil</v>
      </c>
      <c r="K4912" s="12" t="s">
        <v>65</v>
      </c>
    </row>
    <row r="4913" spans="1:11" ht="40.049999999999997" customHeight="1" x14ac:dyDescent="0.25">
      <c r="A4913" s="11" t="s">
        <v>10604</v>
      </c>
      <c r="B4913" s="11" t="s">
        <v>10604</v>
      </c>
      <c r="C4913" s="11" t="s">
        <v>101</v>
      </c>
      <c r="D4913" s="11" t="s">
        <v>43</v>
      </c>
      <c r="E4913" s="12" t="s">
        <v>926</v>
      </c>
      <c r="F4913" s="12" t="s">
        <v>927</v>
      </c>
      <c r="G4913" s="12" t="s">
        <v>46</v>
      </c>
      <c r="H4913" s="11" t="s">
        <v>63</v>
      </c>
      <c r="I4913" s="13" t="s">
        <v>10648</v>
      </c>
      <c r="J4913" s="14" t="str">
        <f>HYPERLINK("https://www.boe.es/gazeta/dias/1839/01/25/pdfs/GMD-1839-1532.pdf#page=3","Abrir facsímil")</f>
        <v>Abrir facsímil</v>
      </c>
      <c r="K4913" s="12" t="s">
        <v>65</v>
      </c>
    </row>
    <row r="4914" spans="1:11" ht="40.049999999999997" customHeight="1" x14ac:dyDescent="0.25">
      <c r="A4914" s="11" t="s">
        <v>10604</v>
      </c>
      <c r="B4914" s="11" t="s">
        <v>10604</v>
      </c>
      <c r="C4914" s="11" t="s">
        <v>17</v>
      </c>
      <c r="D4914" s="11" t="s">
        <v>18</v>
      </c>
      <c r="E4914" s="12" t="s">
        <v>571</v>
      </c>
      <c r="F4914" s="12" t="s">
        <v>572</v>
      </c>
      <c r="G4914" s="12" t="s">
        <v>46</v>
      </c>
      <c r="H4914" s="11" t="s">
        <v>63</v>
      </c>
      <c r="I4914" s="13" t="s">
        <v>10649</v>
      </c>
      <c r="J4914" s="14" t="str">
        <f>HYPERLINK("https://www.boe.es/gazeta/dias/1839/09/27/pdfs/GMD-1839-1783.pdf#page=3","Abrir facsímil")</f>
        <v>Abrir facsímil</v>
      </c>
      <c r="K4914" s="12" t="s">
        <v>65</v>
      </c>
    </row>
    <row r="4915" spans="1:11" ht="40.049999999999997" customHeight="1" x14ac:dyDescent="0.25">
      <c r="A4915" s="11" t="s">
        <v>10604</v>
      </c>
      <c r="B4915" s="11" t="s">
        <v>10604</v>
      </c>
      <c r="C4915" s="11" t="s">
        <v>17</v>
      </c>
      <c r="D4915" s="11" t="s">
        <v>18</v>
      </c>
      <c r="E4915" s="12" t="s">
        <v>571</v>
      </c>
      <c r="F4915" s="12" t="s">
        <v>572</v>
      </c>
      <c r="G4915" s="12" t="s">
        <v>21</v>
      </c>
      <c r="H4915" s="11" t="s">
        <v>63</v>
      </c>
      <c r="I4915" s="13" t="s">
        <v>10650</v>
      </c>
      <c r="J4915" s="14" t="str">
        <f>HYPERLINK("https://www.boe.es/gazeta/dias/1839/09/27/pdfs/GMD-1839-1783.pdf#page=4","Abrir facsímil")</f>
        <v>Abrir facsímil</v>
      </c>
      <c r="K4915" s="12" t="s">
        <v>65</v>
      </c>
    </row>
    <row r="4916" spans="1:11" ht="40.049999999999997" customHeight="1" x14ac:dyDescent="0.25">
      <c r="A4916" s="11" t="s">
        <v>10604</v>
      </c>
      <c r="B4916" s="11" t="s">
        <v>10604</v>
      </c>
      <c r="C4916" s="11" t="s">
        <v>101</v>
      </c>
      <c r="D4916" s="11" t="s">
        <v>43</v>
      </c>
      <c r="E4916" s="12" t="s">
        <v>1909</v>
      </c>
      <c r="F4916" s="12" t="s">
        <v>1910</v>
      </c>
      <c r="G4916" s="12" t="s">
        <v>40</v>
      </c>
      <c r="H4916" s="11" t="s">
        <v>63</v>
      </c>
      <c r="I4916" s="13" t="s">
        <v>10651</v>
      </c>
      <c r="J4916" s="14" t="str">
        <f>HYPERLINK("https://www.boe.es/gazeta/dias/1839/10/27/pdfs/GMD-1839-1813.pdf#page=2","Abrir facsímil")</f>
        <v>Abrir facsímil</v>
      </c>
      <c r="K4916" s="12" t="s">
        <v>65</v>
      </c>
    </row>
    <row r="4917" spans="1:11" ht="40.049999999999997" customHeight="1" x14ac:dyDescent="0.25">
      <c r="A4917" s="11" t="s">
        <v>10604</v>
      </c>
      <c r="B4917" s="11" t="s">
        <v>10604</v>
      </c>
      <c r="C4917" s="11" t="s">
        <v>137</v>
      </c>
      <c r="D4917" s="11" t="s">
        <v>18</v>
      </c>
      <c r="E4917" s="12" t="s">
        <v>862</v>
      </c>
      <c r="F4917" s="12" t="s">
        <v>863</v>
      </c>
      <c r="G4917" s="12" t="s">
        <v>21</v>
      </c>
      <c r="H4917" s="11" t="s">
        <v>63</v>
      </c>
      <c r="I4917" s="13" t="s">
        <v>10652</v>
      </c>
      <c r="J4917" s="14" t="str">
        <f>HYPERLINK("https://www.boe.es/gazeta/dias/1839/10/28/pdfs/GMD-1839-1814.pdf#page=4","Abrir facsímil")</f>
        <v>Abrir facsímil</v>
      </c>
      <c r="K4917" s="12" t="s">
        <v>65</v>
      </c>
    </row>
    <row r="4918" spans="1:11" ht="40.049999999999997" customHeight="1" x14ac:dyDescent="0.25">
      <c r="A4918" s="11" t="s">
        <v>10604</v>
      </c>
      <c r="B4918" s="11" t="s">
        <v>10604</v>
      </c>
      <c r="C4918" s="11" t="s">
        <v>137</v>
      </c>
      <c r="D4918" s="11" t="s">
        <v>18</v>
      </c>
      <c r="E4918" s="12" t="s">
        <v>862</v>
      </c>
      <c r="F4918" s="12" t="s">
        <v>863</v>
      </c>
      <c r="G4918" s="12" t="s">
        <v>566</v>
      </c>
      <c r="H4918" s="11" t="s">
        <v>63</v>
      </c>
      <c r="I4918" s="13" t="s">
        <v>10653</v>
      </c>
      <c r="J4918" s="14" t="str">
        <f>HYPERLINK("https://www.boe.es/gazeta/dias/1839/10/28/pdfs/GMD-1839-1814.pdf#page=5","Abrir facsímil")</f>
        <v>Abrir facsímil</v>
      </c>
      <c r="K4918" s="12" t="s">
        <v>65</v>
      </c>
    </row>
    <row r="4919" spans="1:11" ht="40.049999999999997" customHeight="1" x14ac:dyDescent="0.25">
      <c r="A4919" s="11" t="s">
        <v>10604</v>
      </c>
      <c r="B4919" s="11" t="s">
        <v>10604</v>
      </c>
      <c r="C4919" s="11" t="s">
        <v>101</v>
      </c>
      <c r="D4919" s="11" t="s">
        <v>43</v>
      </c>
      <c r="E4919" s="12" t="s">
        <v>653</v>
      </c>
      <c r="F4919" s="12" t="s">
        <v>654</v>
      </c>
      <c r="G4919" s="12" t="s">
        <v>29</v>
      </c>
      <c r="H4919" s="11" t="s">
        <v>63</v>
      </c>
      <c r="I4919" s="13" t="s">
        <v>10654</v>
      </c>
      <c r="J4919" s="14" t="str">
        <f>HYPERLINK("https://www.boe.es/gazeta/dias/1839/10/31/pdfs/GMD-1839-1817.pdf#page=1","Abrir facsímil")</f>
        <v>Abrir facsímil</v>
      </c>
      <c r="K4919" s="12" t="s">
        <v>65</v>
      </c>
    </row>
    <row r="4920" spans="1:11" ht="40.049999999999997" customHeight="1" x14ac:dyDescent="0.25">
      <c r="A4920" s="11" t="s">
        <v>10604</v>
      </c>
      <c r="B4920" s="11" t="s">
        <v>10604</v>
      </c>
      <c r="C4920" s="11" t="s">
        <v>17</v>
      </c>
      <c r="D4920" s="11" t="s">
        <v>18</v>
      </c>
      <c r="E4920" s="12" t="s">
        <v>653</v>
      </c>
      <c r="F4920" s="12" t="s">
        <v>654</v>
      </c>
      <c r="G4920" s="12" t="s">
        <v>46</v>
      </c>
      <c r="H4920" s="11" t="s">
        <v>63</v>
      </c>
      <c r="I4920" s="13" t="s">
        <v>10655</v>
      </c>
      <c r="J4920" s="14" t="str">
        <f>HYPERLINK("https://www.boe.es/gazeta/dias/1839/10/31/pdfs/GMD-1839-1817.pdf#page=3","Abrir facsímil")</f>
        <v>Abrir facsímil</v>
      </c>
      <c r="K4920" s="12" t="s">
        <v>65</v>
      </c>
    </row>
    <row r="4921" spans="1:11" ht="40.049999999999997" customHeight="1" x14ac:dyDescent="0.25">
      <c r="A4921" s="11" t="s">
        <v>10656</v>
      </c>
      <c r="B4921" s="11" t="s">
        <v>10657</v>
      </c>
      <c r="C4921" s="11" t="s">
        <v>17</v>
      </c>
      <c r="D4921" s="11" t="s">
        <v>18</v>
      </c>
      <c r="E4921" s="12" t="s">
        <v>212</v>
      </c>
      <c r="F4921" s="12" t="s">
        <v>213</v>
      </c>
      <c r="G4921" s="12" t="s">
        <v>21</v>
      </c>
      <c r="H4921" s="11" t="s">
        <v>63</v>
      </c>
      <c r="I4921" s="13" t="s">
        <v>10658</v>
      </c>
      <c r="J4921" s="14" t="str">
        <f>HYPERLINK("https://www.boe.es/gazeta/dias/1839/10/03/pdfs/GMD-1839-1789.pdf#page=4","Abrir facsímil")</f>
        <v>Abrir facsímil</v>
      </c>
      <c r="K4921" s="12" t="s">
        <v>65</v>
      </c>
    </row>
    <row r="4922" spans="1:11" ht="40.049999999999997" customHeight="1" x14ac:dyDescent="0.25">
      <c r="A4922" s="11" t="s">
        <v>10659</v>
      </c>
      <c r="B4922" s="11" t="s">
        <v>10660</v>
      </c>
      <c r="C4922" s="11" t="s">
        <v>17</v>
      </c>
      <c r="D4922" s="11" t="s">
        <v>18</v>
      </c>
      <c r="E4922" s="12" t="s">
        <v>212</v>
      </c>
      <c r="F4922" s="12" t="s">
        <v>213</v>
      </c>
      <c r="G4922" s="12" t="s">
        <v>21</v>
      </c>
      <c r="H4922" s="11" t="s">
        <v>63</v>
      </c>
      <c r="I4922" s="13" t="s">
        <v>10661</v>
      </c>
      <c r="J4922" s="14" t="str">
        <f>HYPERLINK("https://www.boe.es/gazeta/dias/1839/10/03/pdfs/GMD-1839-1789.pdf#page=4","Abrir facsímil")</f>
        <v>Abrir facsímil</v>
      </c>
      <c r="K4922" s="12" t="s">
        <v>65</v>
      </c>
    </row>
    <row r="4923" spans="1:11" ht="40.049999999999997" customHeight="1" x14ac:dyDescent="0.25">
      <c r="A4923" s="11" t="s">
        <v>10662</v>
      </c>
      <c r="B4923" s="11" t="s">
        <v>10663</v>
      </c>
      <c r="C4923" s="11" t="s">
        <v>17</v>
      </c>
      <c r="D4923" s="11" t="s">
        <v>43</v>
      </c>
      <c r="E4923" s="12" t="s">
        <v>2262</v>
      </c>
      <c r="F4923" s="12" t="s">
        <v>2263</v>
      </c>
      <c r="G4923" s="12" t="s">
        <v>21</v>
      </c>
      <c r="H4923" s="11" t="s">
        <v>63</v>
      </c>
      <c r="I4923" s="13" t="s">
        <v>10664</v>
      </c>
      <c r="J4923" s="14" t="str">
        <f>HYPERLINK("https://www.boe.es/gazeta/dias/1839/03/16/pdfs/GMD-1839-1582.pdf#page=4","Abrir facsímil")</f>
        <v>Abrir facsímil</v>
      </c>
      <c r="K4923" s="12" t="s">
        <v>65</v>
      </c>
    </row>
    <row r="4924" spans="1:11" ht="40.049999999999997" customHeight="1" x14ac:dyDescent="0.25">
      <c r="A4924" s="11" t="s">
        <v>10665</v>
      </c>
      <c r="B4924" s="11" t="s">
        <v>10666</v>
      </c>
      <c r="C4924" s="11" t="s">
        <v>59</v>
      </c>
      <c r="D4924" s="11" t="s">
        <v>60</v>
      </c>
      <c r="E4924" s="12" t="s">
        <v>1374</v>
      </c>
      <c r="F4924" s="12" t="s">
        <v>1375</v>
      </c>
      <c r="G4924" s="12" t="s">
        <v>29</v>
      </c>
      <c r="H4924" s="11" t="s">
        <v>63</v>
      </c>
      <c r="I4924" s="13" t="s">
        <v>10667</v>
      </c>
      <c r="J4924" s="14" t="str">
        <f>HYPERLINK("https://www.boe.es/gazeta/dias/1839/07/20/pdfs/GMD-1839-1708.pdf#page=1","Abrir facsímil")</f>
        <v>Abrir facsímil</v>
      </c>
      <c r="K4924" s="12" t="s">
        <v>65</v>
      </c>
    </row>
    <row r="4925" spans="1:11" ht="40.049999999999997" customHeight="1" x14ac:dyDescent="0.25">
      <c r="A4925" s="11" t="s">
        <v>10668</v>
      </c>
      <c r="B4925" s="11" t="s">
        <v>10669</v>
      </c>
      <c r="C4925" s="11" t="s">
        <v>59</v>
      </c>
      <c r="D4925" s="11" t="s">
        <v>60</v>
      </c>
      <c r="E4925" s="12" t="s">
        <v>1497</v>
      </c>
      <c r="F4925" s="12" t="s">
        <v>1498</v>
      </c>
      <c r="G4925" s="12" t="s">
        <v>21</v>
      </c>
      <c r="H4925" s="11" t="s">
        <v>63</v>
      </c>
      <c r="I4925" s="13" t="s">
        <v>10670</v>
      </c>
      <c r="J4925" s="14" t="str">
        <f>HYPERLINK("https://www.boe.es/gazeta/dias/1839/08/23/pdfs/GMD-1839-1744.pdf#page=4","Abrir facsímil")</f>
        <v>Abrir facsímil</v>
      </c>
      <c r="K4925" s="12" t="s">
        <v>65</v>
      </c>
    </row>
    <row r="4926" spans="1:11" ht="40.049999999999997" customHeight="1" x14ac:dyDescent="0.25">
      <c r="A4926" s="11" t="s">
        <v>10671</v>
      </c>
      <c r="B4926" s="11" t="s">
        <v>10671</v>
      </c>
      <c r="C4926" s="11" t="s">
        <v>137</v>
      </c>
      <c r="D4926" s="11" t="s">
        <v>18</v>
      </c>
      <c r="E4926" s="12" t="s">
        <v>94</v>
      </c>
      <c r="F4926" s="12" t="s">
        <v>95</v>
      </c>
      <c r="G4926" s="12" t="s">
        <v>29</v>
      </c>
      <c r="H4926" s="11" t="s">
        <v>63</v>
      </c>
      <c r="I4926" s="13" t="s">
        <v>10672</v>
      </c>
      <c r="J4926" s="14" t="str">
        <f>HYPERLINK("https://www.boe.es/gazeta/dias/1839/02/24/pdfs/GMD-1839-1562.pdf#page=1","Abrir facsímil")</f>
        <v>Abrir facsímil</v>
      </c>
      <c r="K4926" s="12" t="s">
        <v>65</v>
      </c>
    </row>
    <row r="4927" spans="1:11" ht="40.049999999999997" customHeight="1" x14ac:dyDescent="0.25">
      <c r="A4927" s="11" t="s">
        <v>10673</v>
      </c>
      <c r="B4927" s="11" t="s">
        <v>10673</v>
      </c>
      <c r="C4927" s="11" t="s">
        <v>80</v>
      </c>
      <c r="D4927" s="11" t="s">
        <v>18</v>
      </c>
      <c r="E4927" s="12" t="s">
        <v>4044</v>
      </c>
      <c r="F4927" s="12" t="s">
        <v>4045</v>
      </c>
      <c r="G4927" s="12" t="s">
        <v>29</v>
      </c>
      <c r="H4927" s="11" t="s">
        <v>63</v>
      </c>
      <c r="I4927" s="13" t="s">
        <v>10674</v>
      </c>
      <c r="J4927" s="14" t="str">
        <f>HYPERLINK("https://www.boe.es/gazeta/dias/1839/01/07/pdfs/GMD-1839-1514.pdf#page=1","Abrir facsímil")</f>
        <v>Abrir facsímil</v>
      </c>
      <c r="K4927" s="12" t="s">
        <v>65</v>
      </c>
    </row>
    <row r="4928" spans="1:11" ht="40.049999999999997" customHeight="1" x14ac:dyDescent="0.25">
      <c r="A4928" s="11" t="s">
        <v>10673</v>
      </c>
      <c r="B4928" s="11" t="s">
        <v>10673</v>
      </c>
      <c r="C4928" s="11" t="s">
        <v>17</v>
      </c>
      <c r="D4928" s="11" t="s">
        <v>18</v>
      </c>
      <c r="E4928" s="12" t="s">
        <v>888</v>
      </c>
      <c r="F4928" s="12" t="s">
        <v>889</v>
      </c>
      <c r="G4928" s="12" t="s">
        <v>29</v>
      </c>
      <c r="H4928" s="11" t="s">
        <v>63</v>
      </c>
      <c r="I4928" s="13" t="s">
        <v>10675</v>
      </c>
      <c r="J4928" s="14" t="str">
        <f>HYPERLINK("https://www.boe.es/gazeta/dias/1839/05/14/pdfs/GMD-1839-1641.pdf#page=1","Abrir facsímil")</f>
        <v>Abrir facsímil</v>
      </c>
      <c r="K4928" s="12" t="s">
        <v>65</v>
      </c>
    </row>
    <row r="4929" spans="1:11" ht="40.049999999999997" customHeight="1" x14ac:dyDescent="0.25">
      <c r="A4929" s="11" t="s">
        <v>10673</v>
      </c>
      <c r="B4929" s="11" t="s">
        <v>10673</v>
      </c>
      <c r="C4929" s="11" t="s">
        <v>137</v>
      </c>
      <c r="D4929" s="11" t="s">
        <v>18</v>
      </c>
      <c r="E4929" s="12" t="s">
        <v>677</v>
      </c>
      <c r="F4929" s="12" t="s">
        <v>678</v>
      </c>
      <c r="G4929" s="12" t="s">
        <v>29</v>
      </c>
      <c r="H4929" s="11" t="s">
        <v>63</v>
      </c>
      <c r="I4929" s="13" t="s">
        <v>10676</v>
      </c>
      <c r="J4929" s="14" t="str">
        <f>HYPERLINK("https://www.boe.es/gazeta/dias/1839/04/28/pdfs/GMD-1839-1625.pdf#page=1","Abrir facsímil")</f>
        <v>Abrir facsímil</v>
      </c>
      <c r="K4929" s="12" t="s">
        <v>65</v>
      </c>
    </row>
    <row r="4930" spans="1:11" ht="40.049999999999997" customHeight="1" x14ac:dyDescent="0.25">
      <c r="A4930" s="11" t="s">
        <v>10673</v>
      </c>
      <c r="B4930" s="11" t="s">
        <v>10673</v>
      </c>
      <c r="C4930" s="11" t="s">
        <v>17</v>
      </c>
      <c r="D4930" s="11" t="s">
        <v>18</v>
      </c>
      <c r="E4930" s="12" t="s">
        <v>1807</v>
      </c>
      <c r="F4930" s="12" t="s">
        <v>1808</v>
      </c>
      <c r="G4930" s="12" t="s">
        <v>40</v>
      </c>
      <c r="H4930" s="11" t="s">
        <v>63</v>
      </c>
      <c r="I4930" s="13" t="s">
        <v>10677</v>
      </c>
      <c r="J4930" s="14" t="str">
        <f>HYPERLINK("https://www.boe.es/gazeta/dias/1839/01/29/pdfs/GMD-1839-1536.pdf#page=2","Abrir facsímil")</f>
        <v>Abrir facsímil</v>
      </c>
      <c r="K4930" s="12" t="s">
        <v>65</v>
      </c>
    </row>
    <row r="4931" spans="1:11" ht="40.049999999999997" customHeight="1" x14ac:dyDescent="0.25">
      <c r="A4931" s="11" t="s">
        <v>10678</v>
      </c>
      <c r="B4931" s="11" t="s">
        <v>10679</v>
      </c>
      <c r="C4931" s="11" t="s">
        <v>17</v>
      </c>
      <c r="D4931" s="11" t="s">
        <v>18</v>
      </c>
      <c r="E4931" s="12" t="s">
        <v>89</v>
      </c>
      <c r="F4931" s="12" t="s">
        <v>90</v>
      </c>
      <c r="G4931" s="12" t="s">
        <v>21</v>
      </c>
      <c r="H4931" s="11" t="s">
        <v>63</v>
      </c>
      <c r="I4931" s="13" t="s">
        <v>10680</v>
      </c>
      <c r="J4931" s="14" t="str">
        <f>HYPERLINK("https://www.boe.es/gazeta/dias/1839/11/28/pdfs/GMD-1839-1845.pdf#page=4","Abrir facsímil")</f>
        <v>Abrir facsímil</v>
      </c>
      <c r="K4931" s="12" t="s">
        <v>65</v>
      </c>
    </row>
    <row r="4932" spans="1:11" ht="40.049999999999997" customHeight="1" x14ac:dyDescent="0.25">
      <c r="A4932" s="11" t="s">
        <v>10681</v>
      </c>
      <c r="B4932" s="11" t="s">
        <v>10682</v>
      </c>
      <c r="C4932" s="11" t="s">
        <v>59</v>
      </c>
      <c r="D4932" s="11" t="s">
        <v>60</v>
      </c>
      <c r="E4932" s="12" t="s">
        <v>1374</v>
      </c>
      <c r="F4932" s="12" t="s">
        <v>1375</v>
      </c>
      <c r="G4932" s="12" t="s">
        <v>46</v>
      </c>
      <c r="H4932" s="11" t="s">
        <v>22</v>
      </c>
      <c r="I4932" s="13" t="s">
        <v>10683</v>
      </c>
      <c r="J4932" s="14" t="str">
        <f>HYPERLINK("https://www.boe.es/gazeta/dias/1839/07/20/pdfs/GMD-1839-1708.pdf#page=3","Abrir facsímil")</f>
        <v>Abrir facsímil</v>
      </c>
      <c r="K4932" s="12" t="s">
        <v>24</v>
      </c>
    </row>
    <row r="4933" spans="1:11" ht="40.049999999999997" customHeight="1" x14ac:dyDescent="0.25">
      <c r="A4933" s="11" t="s">
        <v>10684</v>
      </c>
      <c r="B4933" s="11" t="s">
        <v>10685</v>
      </c>
      <c r="C4933" s="11" t="s">
        <v>137</v>
      </c>
      <c r="D4933" s="11" t="s">
        <v>18</v>
      </c>
      <c r="E4933" s="12" t="s">
        <v>239</v>
      </c>
      <c r="F4933" s="12" t="s">
        <v>240</v>
      </c>
      <c r="G4933" s="12" t="s">
        <v>40</v>
      </c>
      <c r="H4933" s="11" t="s">
        <v>22</v>
      </c>
      <c r="I4933" s="13" t="s">
        <v>10686</v>
      </c>
      <c r="J4933" s="14" t="str">
        <f>HYPERLINK("https://www.boe.es/gazeta/dias/1839/09/22/pdfs/GMD-1839-1777.pdf#page=2","Abrir facsímil")</f>
        <v>Abrir facsímil</v>
      </c>
      <c r="K4933" s="12" t="s">
        <v>24</v>
      </c>
    </row>
    <row r="4934" spans="1:11" ht="40.049999999999997" customHeight="1" x14ac:dyDescent="0.25">
      <c r="A4934" s="11" t="s">
        <v>10687</v>
      </c>
      <c r="B4934" s="11" t="s">
        <v>10688</v>
      </c>
      <c r="C4934" s="11" t="s">
        <v>17</v>
      </c>
      <c r="D4934" s="11" t="s">
        <v>18</v>
      </c>
      <c r="E4934" s="12" t="s">
        <v>433</v>
      </c>
      <c r="F4934" s="12" t="s">
        <v>434</v>
      </c>
      <c r="G4934" s="12" t="s">
        <v>21</v>
      </c>
      <c r="H4934" s="11" t="s">
        <v>63</v>
      </c>
      <c r="I4934" s="13" t="s">
        <v>10689</v>
      </c>
      <c r="J4934" s="14" t="str">
        <f>HYPERLINK("https://www.boe.es/gazeta/dias/1839/01/20/pdfs/GMD-1839-1527.pdf#page=4","Abrir facsímil")</f>
        <v>Abrir facsímil</v>
      </c>
      <c r="K4934" s="12" t="s">
        <v>65</v>
      </c>
    </row>
    <row r="4935" spans="1:11" ht="40.049999999999997" customHeight="1" x14ac:dyDescent="0.25">
      <c r="A4935" s="11" t="s">
        <v>10690</v>
      </c>
      <c r="B4935" s="11" t="s">
        <v>10691</v>
      </c>
      <c r="C4935" s="11" t="s">
        <v>17</v>
      </c>
      <c r="D4935" s="11" t="s">
        <v>18</v>
      </c>
      <c r="E4935" s="12" t="s">
        <v>1144</v>
      </c>
      <c r="F4935" s="12" t="s">
        <v>1145</v>
      </c>
      <c r="G4935" s="12" t="s">
        <v>40</v>
      </c>
      <c r="H4935" s="11" t="s">
        <v>22</v>
      </c>
      <c r="I4935" s="13" t="s">
        <v>10692</v>
      </c>
      <c r="J4935" s="14" t="str">
        <f>HYPERLINK("https://www.boe.es/gazeta/dias/1839/08/13/pdfs/GMD-1839-1733.pdf#page=2","Abrir facsímil")</f>
        <v>Abrir facsímil</v>
      </c>
      <c r="K4935" s="12" t="s">
        <v>24</v>
      </c>
    </row>
    <row r="4936" spans="1:11" ht="40.049999999999997" customHeight="1" x14ac:dyDescent="0.25">
      <c r="A4936" s="11" t="s">
        <v>10693</v>
      </c>
      <c r="B4936" s="11" t="s">
        <v>10694</v>
      </c>
      <c r="C4936" s="11" t="s">
        <v>17</v>
      </c>
      <c r="D4936" s="11" t="s">
        <v>18</v>
      </c>
      <c r="E4936" s="12" t="s">
        <v>770</v>
      </c>
      <c r="F4936" s="12" t="s">
        <v>771</v>
      </c>
      <c r="G4936" s="12" t="s">
        <v>46</v>
      </c>
      <c r="H4936" s="11" t="s">
        <v>63</v>
      </c>
      <c r="I4936" s="13" t="s">
        <v>10695</v>
      </c>
      <c r="J4936" s="14" t="str">
        <f>HYPERLINK("https://www.boe.es/gazeta/dias/1839/12/05/pdfs/GMD-1839-1852.pdf#page=3","Abrir facsímil")</f>
        <v>Abrir facsímil</v>
      </c>
      <c r="K4936" s="12" t="s">
        <v>65</v>
      </c>
    </row>
    <row r="4937" spans="1:11" ht="40.049999999999997" customHeight="1" x14ac:dyDescent="0.25">
      <c r="A4937" s="11" t="s">
        <v>10696</v>
      </c>
      <c r="B4937" s="11" t="s">
        <v>10696</v>
      </c>
      <c r="C4937" s="11" t="s">
        <v>17</v>
      </c>
      <c r="D4937" s="11" t="s">
        <v>18</v>
      </c>
      <c r="E4937" s="12" t="s">
        <v>1588</v>
      </c>
      <c r="F4937" s="12" t="s">
        <v>1589</v>
      </c>
      <c r="G4937" s="12" t="s">
        <v>29</v>
      </c>
      <c r="H4937" s="11" t="s">
        <v>63</v>
      </c>
      <c r="I4937" s="13" t="s">
        <v>10697</v>
      </c>
      <c r="J4937" s="14" t="str">
        <f>HYPERLINK("https://www.boe.es/gazeta/dias/1839/07/27/pdfs/GMD-1839-1716.pdf#page=1","Abrir facsímil")</f>
        <v>Abrir facsímil</v>
      </c>
      <c r="K4937" s="12" t="s">
        <v>65</v>
      </c>
    </row>
    <row r="4938" spans="1:11" ht="40.049999999999997" customHeight="1" x14ac:dyDescent="0.25">
      <c r="A4938" s="11" t="s">
        <v>10698</v>
      </c>
      <c r="B4938" s="11" t="s">
        <v>10699</v>
      </c>
      <c r="C4938" s="11" t="s">
        <v>137</v>
      </c>
      <c r="D4938" s="11" t="s">
        <v>18</v>
      </c>
      <c r="E4938" s="12" t="s">
        <v>2262</v>
      </c>
      <c r="F4938" s="12" t="s">
        <v>2263</v>
      </c>
      <c r="G4938" s="12" t="s">
        <v>40</v>
      </c>
      <c r="H4938" s="11" t="s">
        <v>63</v>
      </c>
      <c r="I4938" s="13" t="s">
        <v>10700</v>
      </c>
      <c r="J4938" s="14" t="str">
        <f>HYPERLINK("https://www.boe.es/gazeta/dias/1839/03/16/pdfs/GMD-1839-1582.pdf#page=2","Abrir facsímil")</f>
        <v>Abrir facsímil</v>
      </c>
      <c r="K4938" s="12" t="s">
        <v>65</v>
      </c>
    </row>
    <row r="4939" spans="1:11" ht="40.049999999999997" customHeight="1" x14ac:dyDescent="0.25">
      <c r="A4939" s="11" t="s">
        <v>10701</v>
      </c>
      <c r="B4939" s="11" t="s">
        <v>10701</v>
      </c>
      <c r="C4939" s="11" t="s">
        <v>17</v>
      </c>
      <c r="D4939" s="11" t="s">
        <v>18</v>
      </c>
      <c r="E4939" s="12" t="s">
        <v>44</v>
      </c>
      <c r="F4939" s="12" t="s">
        <v>45</v>
      </c>
      <c r="G4939" s="12" t="s">
        <v>21</v>
      </c>
      <c r="H4939" s="11" t="s">
        <v>63</v>
      </c>
      <c r="I4939" s="13" t="s">
        <v>10702</v>
      </c>
      <c r="J4939" s="14" t="str">
        <f>HYPERLINK("https://www.boe.es/gazeta/dias/1839/11/15/pdfs/GMD-1839-1832.pdf#page=4","Abrir facsímil")</f>
        <v>Abrir facsímil</v>
      </c>
      <c r="K4939" s="12" t="s">
        <v>65</v>
      </c>
    </row>
    <row r="4940" spans="1:11" ht="40.049999999999997" customHeight="1" x14ac:dyDescent="0.25">
      <c r="A4940" s="11" t="s">
        <v>10701</v>
      </c>
      <c r="B4940" s="11" t="s">
        <v>10701</v>
      </c>
      <c r="C4940" s="11" t="s">
        <v>59</v>
      </c>
      <c r="D4940" s="11" t="s">
        <v>60</v>
      </c>
      <c r="E4940" s="12" t="s">
        <v>1644</v>
      </c>
      <c r="F4940" s="12" t="s">
        <v>1645</v>
      </c>
      <c r="G4940" s="12" t="s">
        <v>21</v>
      </c>
      <c r="H4940" s="11" t="s">
        <v>63</v>
      </c>
      <c r="I4940" s="13" t="s">
        <v>10703</v>
      </c>
      <c r="J4940" s="14" t="str">
        <f>HYPERLINK("https://www.boe.es/gazeta/dias/1839/04/16/pdfs/GMD-1839-1613.pdf#page=4","Abrir facsímil")</f>
        <v>Abrir facsímil</v>
      </c>
      <c r="K4940" s="12" t="s">
        <v>65</v>
      </c>
    </row>
    <row r="4941" spans="1:11" ht="40.049999999999997" customHeight="1" x14ac:dyDescent="0.25">
      <c r="A4941" s="11" t="s">
        <v>10701</v>
      </c>
      <c r="B4941" s="11" t="s">
        <v>10701</v>
      </c>
      <c r="C4941" s="11" t="s">
        <v>101</v>
      </c>
      <c r="D4941" s="11" t="s">
        <v>102</v>
      </c>
      <c r="E4941" s="12" t="s">
        <v>486</v>
      </c>
      <c r="F4941" s="12" t="s">
        <v>487</v>
      </c>
      <c r="G4941" s="12" t="s">
        <v>29</v>
      </c>
      <c r="H4941" s="11" t="s">
        <v>63</v>
      </c>
      <c r="I4941" s="13" t="s">
        <v>10704</v>
      </c>
      <c r="J4941" s="14" t="str">
        <f>HYPERLINK("https://www.boe.es/gazeta/dias/1839/04/19/pdfs/GMD-1839-1616.pdf#page=1","Abrir facsímil")</f>
        <v>Abrir facsímil</v>
      </c>
      <c r="K4941" s="12" t="s">
        <v>65</v>
      </c>
    </row>
    <row r="4942" spans="1:11" ht="40.049999999999997" customHeight="1" x14ac:dyDescent="0.25">
      <c r="A4942" s="11" t="s">
        <v>10705</v>
      </c>
      <c r="B4942" s="11" t="s">
        <v>10706</v>
      </c>
      <c r="C4942" s="11" t="s">
        <v>80</v>
      </c>
      <c r="D4942" s="11" t="s">
        <v>18</v>
      </c>
      <c r="E4942" s="12" t="s">
        <v>128</v>
      </c>
      <c r="F4942" s="12" t="s">
        <v>129</v>
      </c>
      <c r="G4942" s="12" t="s">
        <v>29</v>
      </c>
      <c r="H4942" s="11" t="s">
        <v>63</v>
      </c>
      <c r="I4942" s="13" t="s">
        <v>10707</v>
      </c>
      <c r="J4942" s="14" t="str">
        <f>HYPERLINK("https://www.boe.es/gazeta/dias/1839/05/25/pdfs/GMD-1839-1652.pdf#page=1","Abrir facsímil")</f>
        <v>Abrir facsímil</v>
      </c>
      <c r="K4942" s="12" t="s">
        <v>65</v>
      </c>
    </row>
    <row r="4943" spans="1:11" ht="40.049999999999997" customHeight="1" x14ac:dyDescent="0.25">
      <c r="A4943" s="11" t="s">
        <v>10708</v>
      </c>
      <c r="B4943" s="11" t="s">
        <v>10709</v>
      </c>
      <c r="C4943" s="11" t="s">
        <v>80</v>
      </c>
      <c r="D4943" s="11" t="s">
        <v>18</v>
      </c>
      <c r="E4943" s="12" t="s">
        <v>1654</v>
      </c>
      <c r="F4943" s="12" t="s">
        <v>1655</v>
      </c>
      <c r="G4943" s="12" t="s">
        <v>21</v>
      </c>
      <c r="H4943" s="11" t="s">
        <v>63</v>
      </c>
      <c r="I4943" s="13" t="s">
        <v>10710</v>
      </c>
      <c r="J4943" s="14" t="str">
        <f>HYPERLINK("https://www.boe.es/gazeta/dias/1839/11/19/pdfs/GMD-1839-1836.pdf#page=4","Abrir facsímil")</f>
        <v>Abrir facsímil</v>
      </c>
      <c r="K4943" s="12" t="s">
        <v>65</v>
      </c>
    </row>
    <row r="4944" spans="1:11" ht="40.049999999999997" customHeight="1" x14ac:dyDescent="0.25">
      <c r="A4944" s="11" t="s">
        <v>10711</v>
      </c>
      <c r="B4944" s="11" t="s">
        <v>10711</v>
      </c>
      <c r="C4944" s="11" t="s">
        <v>137</v>
      </c>
      <c r="D4944" s="11" t="s">
        <v>18</v>
      </c>
      <c r="E4944" s="12" t="s">
        <v>49</v>
      </c>
      <c r="F4944" s="12" t="s">
        <v>50</v>
      </c>
      <c r="G4944" s="12" t="s">
        <v>40</v>
      </c>
      <c r="H4944" s="11" t="s">
        <v>63</v>
      </c>
      <c r="I4944" s="13" t="s">
        <v>10712</v>
      </c>
      <c r="J4944" s="14" t="str">
        <f>HYPERLINK("https://www.boe.es/gazeta/dias/1839/01/05/pdfs/GMD-1839-1512.pdf#page=2","Abrir facsímil")</f>
        <v>Abrir facsímil</v>
      </c>
      <c r="K4944" s="12" t="s">
        <v>65</v>
      </c>
    </row>
    <row r="4945" spans="1:11" ht="40.049999999999997" customHeight="1" x14ac:dyDescent="0.25">
      <c r="A4945" s="11" t="s">
        <v>10711</v>
      </c>
      <c r="B4945" s="11" t="s">
        <v>10711</v>
      </c>
      <c r="C4945" s="11" t="s">
        <v>101</v>
      </c>
      <c r="D4945" s="11" t="s">
        <v>43</v>
      </c>
      <c r="E4945" s="12" t="s">
        <v>685</v>
      </c>
      <c r="F4945" s="12" t="s">
        <v>686</v>
      </c>
      <c r="G4945" s="12" t="s">
        <v>21</v>
      </c>
      <c r="H4945" s="11" t="s">
        <v>63</v>
      </c>
      <c r="I4945" s="13" t="s">
        <v>10713</v>
      </c>
      <c r="J4945" s="14" t="str">
        <f>HYPERLINK("https://www.boe.es/gazeta/dias/1839/06/18/pdfs/GMD-1839-1676.pdf#page=4","Abrir facsímil")</f>
        <v>Abrir facsímil</v>
      </c>
      <c r="K4945" s="12" t="s">
        <v>65</v>
      </c>
    </row>
    <row r="4946" spans="1:11" ht="40.049999999999997" customHeight="1" x14ac:dyDescent="0.25">
      <c r="A4946" s="11" t="s">
        <v>10711</v>
      </c>
      <c r="B4946" s="11" t="s">
        <v>10711</v>
      </c>
      <c r="C4946" s="11" t="s">
        <v>17</v>
      </c>
      <c r="D4946" s="11" t="s">
        <v>18</v>
      </c>
      <c r="E4946" s="12" t="s">
        <v>19</v>
      </c>
      <c r="F4946" s="12" t="s">
        <v>20</v>
      </c>
      <c r="G4946" s="12" t="s">
        <v>40</v>
      </c>
      <c r="H4946" s="11" t="s">
        <v>63</v>
      </c>
      <c r="I4946" s="13" t="s">
        <v>10714</v>
      </c>
      <c r="J4946" s="14" t="str">
        <f>HYPERLINK("https://www.boe.es/gazeta/dias/1839/01/19/pdfs/GMD-1839-1526.pdf#page=2","Abrir facsímil")</f>
        <v>Abrir facsímil</v>
      </c>
      <c r="K4946" s="12" t="s">
        <v>65</v>
      </c>
    </row>
    <row r="4947" spans="1:11" ht="40.049999999999997" customHeight="1" x14ac:dyDescent="0.25">
      <c r="A4947" s="11" t="s">
        <v>10715</v>
      </c>
      <c r="B4947" s="11" t="s">
        <v>10715</v>
      </c>
      <c r="C4947" s="11" t="s">
        <v>17</v>
      </c>
      <c r="D4947" s="11" t="s">
        <v>18</v>
      </c>
      <c r="E4947" s="12" t="s">
        <v>516</v>
      </c>
      <c r="F4947" s="12" t="s">
        <v>517</v>
      </c>
      <c r="G4947" s="12" t="s">
        <v>29</v>
      </c>
      <c r="H4947" s="11" t="s">
        <v>63</v>
      </c>
      <c r="I4947" s="13" t="s">
        <v>10716</v>
      </c>
      <c r="J4947" s="14" t="str">
        <f>HYPERLINK("https://www.boe.es/gazeta/dias/1839/06/21/pdfs/GMD-1839-1679.pdf#page=1","Abrir facsímil")</f>
        <v>Abrir facsímil</v>
      </c>
      <c r="K4947" s="12" t="s">
        <v>65</v>
      </c>
    </row>
    <row r="4948" spans="1:11" ht="40.049999999999997" customHeight="1" x14ac:dyDescent="0.25">
      <c r="A4948" s="11" t="s">
        <v>10715</v>
      </c>
      <c r="B4948" s="11" t="s">
        <v>10715</v>
      </c>
      <c r="C4948" s="11" t="s">
        <v>59</v>
      </c>
      <c r="D4948" s="11" t="s">
        <v>60</v>
      </c>
      <c r="E4948" s="12" t="s">
        <v>7119</v>
      </c>
      <c r="F4948" s="12" t="s">
        <v>7120</v>
      </c>
      <c r="G4948" s="12" t="s">
        <v>29</v>
      </c>
      <c r="H4948" s="11" t="s">
        <v>63</v>
      </c>
      <c r="I4948" s="13" t="s">
        <v>10717</v>
      </c>
      <c r="J4948" s="14" t="str">
        <f>HYPERLINK("https://www.boe.es/gazeta/dias/1839/05/22/pdfs/GMD-1839-1649.pdf#page=1","Abrir facsímil")</f>
        <v>Abrir facsímil</v>
      </c>
      <c r="K4948" s="12" t="s">
        <v>65</v>
      </c>
    </row>
    <row r="4949" spans="1:11" ht="40.049999999999997" customHeight="1" x14ac:dyDescent="0.25">
      <c r="A4949" s="11" t="s">
        <v>10718</v>
      </c>
      <c r="B4949" s="11" t="s">
        <v>10718</v>
      </c>
      <c r="C4949" s="11" t="s">
        <v>17</v>
      </c>
      <c r="D4949" s="11" t="s">
        <v>18</v>
      </c>
      <c r="E4949" s="12" t="s">
        <v>81</v>
      </c>
      <c r="F4949" s="12" t="s">
        <v>82</v>
      </c>
      <c r="G4949" s="12" t="s">
        <v>29</v>
      </c>
      <c r="H4949" s="11" t="s">
        <v>63</v>
      </c>
      <c r="I4949" s="13" t="s">
        <v>10719</v>
      </c>
      <c r="J4949" s="14" t="str">
        <f>HYPERLINK("https://www.boe.es/gazeta/dias/1839/03/03/pdfs/GMD-1839-1569.pdf#page=1","Abrir facsímil")</f>
        <v>Abrir facsímil</v>
      </c>
      <c r="K4949" s="12" t="s">
        <v>65</v>
      </c>
    </row>
    <row r="4950" spans="1:11" ht="40.049999999999997" customHeight="1" x14ac:dyDescent="0.25">
      <c r="A4950" s="11" t="s">
        <v>10718</v>
      </c>
      <c r="B4950" s="11" t="s">
        <v>10718</v>
      </c>
      <c r="C4950" s="11" t="s">
        <v>59</v>
      </c>
      <c r="D4950" s="11" t="s">
        <v>60</v>
      </c>
      <c r="E4950" s="12" t="s">
        <v>202</v>
      </c>
      <c r="F4950" s="12" t="s">
        <v>203</v>
      </c>
      <c r="G4950" s="12" t="s">
        <v>46</v>
      </c>
      <c r="H4950" s="11" t="s">
        <v>63</v>
      </c>
      <c r="I4950" s="13" t="s">
        <v>10720</v>
      </c>
      <c r="J4950" s="14" t="str">
        <f>HYPERLINK("https://www.boe.es/gazeta/dias/1839/04/05/pdfs/GMD-1839-1602.pdf#page=3","Abrir facsímil")</f>
        <v>Abrir facsímil</v>
      </c>
      <c r="K4950" s="12" t="s">
        <v>65</v>
      </c>
    </row>
    <row r="4951" spans="1:11" ht="40.049999999999997" customHeight="1" x14ac:dyDescent="0.25">
      <c r="A4951" s="11" t="s">
        <v>10718</v>
      </c>
      <c r="B4951" s="11" t="s">
        <v>10718</v>
      </c>
      <c r="C4951" s="11" t="s">
        <v>137</v>
      </c>
      <c r="D4951" s="11" t="s">
        <v>18</v>
      </c>
      <c r="E4951" s="12" t="s">
        <v>510</v>
      </c>
      <c r="F4951" s="12" t="s">
        <v>511</v>
      </c>
      <c r="G4951" s="12" t="s">
        <v>21</v>
      </c>
      <c r="H4951" s="11" t="s">
        <v>63</v>
      </c>
      <c r="I4951" s="13" t="s">
        <v>10721</v>
      </c>
      <c r="J4951" s="14" t="str">
        <f>HYPERLINK("https://www.boe.es/gazeta/dias/1839/05/13/pdfs/GMD-1839-1640.pdf#page=4","Abrir facsímil")</f>
        <v>Abrir facsímil</v>
      </c>
      <c r="K4951" s="12" t="s">
        <v>65</v>
      </c>
    </row>
    <row r="4952" spans="1:11" ht="40.049999999999997" customHeight="1" x14ac:dyDescent="0.25">
      <c r="A4952" s="11" t="s">
        <v>10718</v>
      </c>
      <c r="B4952" s="11" t="s">
        <v>10718</v>
      </c>
      <c r="C4952" s="11" t="s">
        <v>80</v>
      </c>
      <c r="D4952" s="11" t="s">
        <v>18</v>
      </c>
      <c r="E4952" s="12" t="s">
        <v>903</v>
      </c>
      <c r="F4952" s="12" t="s">
        <v>904</v>
      </c>
      <c r="G4952" s="12" t="s">
        <v>40</v>
      </c>
      <c r="H4952" s="11" t="s">
        <v>63</v>
      </c>
      <c r="I4952" s="13" t="s">
        <v>10722</v>
      </c>
      <c r="J4952" s="14" t="str">
        <f>HYPERLINK("https://www.boe.es/gazeta/dias/1839/03/14/pdfs/GMD-1839-1580.pdf#page=2","Abrir facsímil")</f>
        <v>Abrir facsímil</v>
      </c>
      <c r="K4952" s="12" t="s">
        <v>65</v>
      </c>
    </row>
    <row r="4953" spans="1:11" ht="40.049999999999997" customHeight="1" x14ac:dyDescent="0.25">
      <c r="A4953" s="11" t="s">
        <v>10718</v>
      </c>
      <c r="B4953" s="11" t="s">
        <v>10718</v>
      </c>
      <c r="C4953" s="11" t="s">
        <v>17</v>
      </c>
      <c r="D4953" s="11" t="s">
        <v>18</v>
      </c>
      <c r="E4953" s="12" t="s">
        <v>1779</v>
      </c>
      <c r="F4953" s="12" t="s">
        <v>1780</v>
      </c>
      <c r="G4953" s="12" t="s">
        <v>29</v>
      </c>
      <c r="H4953" s="11" t="s">
        <v>63</v>
      </c>
      <c r="I4953" s="13" t="s">
        <v>10723</v>
      </c>
      <c r="J4953" s="14" t="str">
        <f>HYPERLINK("https://www.boe.es/gazeta/dias/1839/03/18/pdfs/GMD-1839-1584.pdf#page=1","Abrir facsímil")</f>
        <v>Abrir facsímil</v>
      </c>
      <c r="K4953" s="12" t="s">
        <v>65</v>
      </c>
    </row>
    <row r="4954" spans="1:11" ht="40.049999999999997" customHeight="1" x14ac:dyDescent="0.25">
      <c r="A4954" s="11" t="s">
        <v>10718</v>
      </c>
      <c r="B4954" s="11" t="s">
        <v>10718</v>
      </c>
      <c r="C4954" s="11" t="s">
        <v>59</v>
      </c>
      <c r="D4954" s="11" t="s">
        <v>60</v>
      </c>
      <c r="E4954" s="12" t="s">
        <v>516</v>
      </c>
      <c r="F4954" s="12" t="s">
        <v>517</v>
      </c>
      <c r="G4954" s="12" t="s">
        <v>29</v>
      </c>
      <c r="H4954" s="11" t="s">
        <v>63</v>
      </c>
      <c r="I4954" s="13" t="s">
        <v>10724</v>
      </c>
      <c r="J4954" s="14" t="str">
        <f>HYPERLINK("https://www.boe.es/gazeta/dias/1839/06/21/pdfs/GMD-1839-1679.pdf#page=1","Abrir facsímil")</f>
        <v>Abrir facsímil</v>
      </c>
      <c r="K4954" s="12" t="s">
        <v>65</v>
      </c>
    </row>
    <row r="4955" spans="1:11" ht="40.049999999999997" customHeight="1" x14ac:dyDescent="0.25">
      <c r="A4955" s="11" t="s">
        <v>10718</v>
      </c>
      <c r="B4955" s="11" t="s">
        <v>10718</v>
      </c>
      <c r="C4955" s="11" t="s">
        <v>80</v>
      </c>
      <c r="D4955" s="11" t="s">
        <v>18</v>
      </c>
      <c r="E4955" s="12" t="s">
        <v>287</v>
      </c>
      <c r="F4955" s="12" t="s">
        <v>288</v>
      </c>
      <c r="G4955" s="12" t="s">
        <v>21</v>
      </c>
      <c r="H4955" s="11" t="s">
        <v>63</v>
      </c>
      <c r="I4955" s="13" t="s">
        <v>10725</v>
      </c>
      <c r="J4955" s="14" t="str">
        <f>HYPERLINK("https://www.boe.es/gazeta/dias/1839/11/27/pdfs/GMD-1839-1844.pdf#page=4","Abrir facsímil")</f>
        <v>Abrir facsímil</v>
      </c>
      <c r="K4955" s="12" t="s">
        <v>65</v>
      </c>
    </row>
    <row r="4956" spans="1:11" ht="40.049999999999997" customHeight="1" x14ac:dyDescent="0.25">
      <c r="A4956" s="11" t="s">
        <v>10718</v>
      </c>
      <c r="B4956" s="11" t="s">
        <v>10718</v>
      </c>
      <c r="C4956" s="11" t="s">
        <v>80</v>
      </c>
      <c r="D4956" s="11" t="s">
        <v>18</v>
      </c>
      <c r="E4956" s="12" t="s">
        <v>1749</v>
      </c>
      <c r="F4956" s="12" t="s">
        <v>1750</v>
      </c>
      <c r="G4956" s="12" t="s">
        <v>21</v>
      </c>
      <c r="H4956" s="11" t="s">
        <v>63</v>
      </c>
      <c r="I4956" s="13" t="s">
        <v>10726</v>
      </c>
      <c r="J4956" s="14" t="str">
        <f>HYPERLINK("https://www.boe.es/gazeta/dias/1839/06/28/pdfs/GMD-1839-1686.pdf#page=4","Abrir facsímil")</f>
        <v>Abrir facsímil</v>
      </c>
      <c r="K4956" s="12" t="s">
        <v>65</v>
      </c>
    </row>
    <row r="4957" spans="1:11" ht="40.049999999999997" customHeight="1" x14ac:dyDescent="0.25">
      <c r="A4957" s="11" t="s">
        <v>10718</v>
      </c>
      <c r="B4957" s="11" t="s">
        <v>10718</v>
      </c>
      <c r="C4957" s="11" t="s">
        <v>137</v>
      </c>
      <c r="D4957" s="11" t="s">
        <v>18</v>
      </c>
      <c r="E4957" s="12" t="s">
        <v>352</v>
      </c>
      <c r="F4957" s="12" t="s">
        <v>353</v>
      </c>
      <c r="G4957" s="12" t="s">
        <v>29</v>
      </c>
      <c r="H4957" s="11" t="s">
        <v>63</v>
      </c>
      <c r="I4957" s="13" t="s">
        <v>10727</v>
      </c>
      <c r="J4957" s="14" t="str">
        <f>HYPERLINK("https://www.boe.es/gazeta/dias/1839/03/30/pdfs/GMD-1839-1596.pdf#page=1","Abrir facsímil")</f>
        <v>Abrir facsímil</v>
      </c>
      <c r="K4957" s="12" t="s">
        <v>65</v>
      </c>
    </row>
    <row r="4958" spans="1:11" ht="40.049999999999997" customHeight="1" x14ac:dyDescent="0.25">
      <c r="A4958" s="11" t="s">
        <v>10728</v>
      </c>
      <c r="B4958" s="11" t="s">
        <v>10729</v>
      </c>
      <c r="C4958" s="11" t="s">
        <v>17</v>
      </c>
      <c r="D4958" s="11" t="s">
        <v>18</v>
      </c>
      <c r="E4958" s="12" t="s">
        <v>798</v>
      </c>
      <c r="F4958" s="12" t="s">
        <v>799</v>
      </c>
      <c r="G4958" s="12" t="s">
        <v>40</v>
      </c>
      <c r="H4958" s="11" t="s">
        <v>22</v>
      </c>
      <c r="I4958" s="13" t="s">
        <v>10730</v>
      </c>
      <c r="J4958" s="14" t="str">
        <f>HYPERLINK("https://www.boe.es/gazeta/dias/1839/09/03/pdfs/GMD-1839-1755.pdf#page=2","Abrir facsímil")</f>
        <v>Abrir facsímil</v>
      </c>
      <c r="K4958" s="12" t="s">
        <v>24</v>
      </c>
    </row>
    <row r="4959" spans="1:11" ht="40.049999999999997" customHeight="1" x14ac:dyDescent="0.25">
      <c r="A4959" s="11" t="s">
        <v>10731</v>
      </c>
      <c r="B4959" s="11" t="s">
        <v>10732</v>
      </c>
      <c r="C4959" s="11" t="s">
        <v>80</v>
      </c>
      <c r="D4959" s="11" t="s">
        <v>18</v>
      </c>
      <c r="E4959" s="12" t="s">
        <v>1512</v>
      </c>
      <c r="F4959" s="12" t="s">
        <v>1513</v>
      </c>
      <c r="G4959" s="12" t="s">
        <v>21</v>
      </c>
      <c r="H4959" s="11" t="s">
        <v>63</v>
      </c>
      <c r="I4959" s="13" t="s">
        <v>10733</v>
      </c>
      <c r="J4959" s="14" t="str">
        <f>HYPERLINK("https://www.boe.es/gazeta/dias/1839/04/13/pdfs/GMD-1839-1610.pdf#page=4","Abrir facsímil")</f>
        <v>Abrir facsímil</v>
      </c>
      <c r="K4959" s="12" t="s">
        <v>65</v>
      </c>
    </row>
    <row r="4960" spans="1:11" ht="40.049999999999997" customHeight="1" x14ac:dyDescent="0.25">
      <c r="A4960" s="11" t="s">
        <v>10734</v>
      </c>
      <c r="B4960" s="11" t="s">
        <v>10735</v>
      </c>
      <c r="C4960" s="11" t="s">
        <v>17</v>
      </c>
      <c r="D4960" s="11" t="s">
        <v>18</v>
      </c>
      <c r="E4960" s="12" t="s">
        <v>355</v>
      </c>
      <c r="F4960" s="12" t="s">
        <v>356</v>
      </c>
      <c r="G4960" s="12" t="s">
        <v>21</v>
      </c>
      <c r="H4960" s="11" t="s">
        <v>22</v>
      </c>
      <c r="I4960" s="13" t="s">
        <v>10736</v>
      </c>
      <c r="J4960" s="14" t="str">
        <f>HYPERLINK("https://www.boe.es/gazeta/dias/1839/05/31/pdfs/GMD-1839-1658.pdf#page=4","Abrir facsímil")</f>
        <v>Abrir facsímil</v>
      </c>
      <c r="K4960" s="12" t="s">
        <v>24</v>
      </c>
    </row>
    <row r="4961" spans="1:11" ht="40.049999999999997" customHeight="1" x14ac:dyDescent="0.25">
      <c r="A4961" s="11" t="s">
        <v>10737</v>
      </c>
      <c r="B4961" s="11" t="s">
        <v>10738</v>
      </c>
      <c r="C4961" s="11" t="s">
        <v>80</v>
      </c>
      <c r="D4961" s="11" t="s">
        <v>18</v>
      </c>
      <c r="E4961" s="12" t="s">
        <v>4108</v>
      </c>
      <c r="F4961" s="12" t="s">
        <v>4109</v>
      </c>
      <c r="G4961" s="12" t="s">
        <v>29</v>
      </c>
      <c r="H4961" s="11" t="s">
        <v>63</v>
      </c>
      <c r="I4961" s="13" t="s">
        <v>10739</v>
      </c>
      <c r="J4961" s="14" t="str">
        <f>HYPERLINK("https://www.boe.es/gazeta/dias/1839/03/23/pdfs/GMD-1839-1589.pdf#page=1","Abrir facsímil")</f>
        <v>Abrir facsímil</v>
      </c>
      <c r="K4961" s="12" t="s">
        <v>65</v>
      </c>
    </row>
    <row r="4962" spans="1:11" ht="40.049999999999997" customHeight="1" x14ac:dyDescent="0.25">
      <c r="A4962" s="11" t="s">
        <v>10740</v>
      </c>
      <c r="B4962" s="11" t="s">
        <v>10741</v>
      </c>
      <c r="C4962" s="11" t="s">
        <v>101</v>
      </c>
      <c r="D4962" s="11" t="s">
        <v>43</v>
      </c>
      <c r="E4962" s="12" t="s">
        <v>160</v>
      </c>
      <c r="F4962" s="12" t="s">
        <v>161</v>
      </c>
      <c r="G4962" s="12" t="s">
        <v>40</v>
      </c>
      <c r="H4962" s="11" t="s">
        <v>63</v>
      </c>
      <c r="I4962" s="13" t="s">
        <v>10742</v>
      </c>
      <c r="J4962" s="14" t="str">
        <f>HYPERLINK("https://www.boe.es/gazeta/dias/1839/01/10/pdfs/GMD-1839-1517.pdf#page=2","Abrir facsímil")</f>
        <v>Abrir facsímil</v>
      </c>
      <c r="K4962" s="12" t="s">
        <v>65</v>
      </c>
    </row>
    <row r="4963" spans="1:11" ht="40.049999999999997" customHeight="1" x14ac:dyDescent="0.25">
      <c r="A4963" s="11" t="s">
        <v>10743</v>
      </c>
      <c r="B4963" s="11" t="s">
        <v>10743</v>
      </c>
      <c r="C4963" s="11" t="s">
        <v>17</v>
      </c>
      <c r="D4963" s="11" t="s">
        <v>18</v>
      </c>
      <c r="E4963" s="12" t="s">
        <v>262</v>
      </c>
      <c r="F4963" s="12" t="s">
        <v>263</v>
      </c>
      <c r="G4963" s="12" t="s">
        <v>29</v>
      </c>
      <c r="H4963" s="11" t="s">
        <v>63</v>
      </c>
      <c r="I4963" s="13" t="s">
        <v>10744</v>
      </c>
      <c r="J4963" s="14" t="str">
        <f>HYPERLINK("https://www.boe.es/gazeta/dias/1839/01/01/pdfs/GMD-1839-1508.pdf#page=1","Abrir facsímil")</f>
        <v>Abrir facsímil</v>
      </c>
      <c r="K4963" s="12" t="s">
        <v>65</v>
      </c>
    </row>
    <row r="4964" spans="1:11" ht="40.049999999999997" customHeight="1" x14ac:dyDescent="0.25">
      <c r="A4964" s="11" t="s">
        <v>10743</v>
      </c>
      <c r="B4964" s="11" t="s">
        <v>10743</v>
      </c>
      <c r="C4964" s="11" t="s">
        <v>137</v>
      </c>
      <c r="D4964" s="11" t="s">
        <v>18</v>
      </c>
      <c r="E4964" s="12" t="s">
        <v>700</v>
      </c>
      <c r="F4964" s="12" t="s">
        <v>701</v>
      </c>
      <c r="G4964" s="12" t="s">
        <v>40</v>
      </c>
      <c r="H4964" s="11" t="s">
        <v>63</v>
      </c>
      <c r="I4964" s="13" t="s">
        <v>10745</v>
      </c>
      <c r="J4964" s="14" t="str">
        <f>HYPERLINK("https://www.boe.es/gazeta/dias/1839/09/01/pdfs/GMD-1839-1753.pdf#page=2","Abrir facsímil")</f>
        <v>Abrir facsímil</v>
      </c>
      <c r="K4964" s="12" t="s">
        <v>65</v>
      </c>
    </row>
    <row r="4965" spans="1:11" ht="40.049999999999997" customHeight="1" x14ac:dyDescent="0.25">
      <c r="A4965" s="11" t="s">
        <v>10743</v>
      </c>
      <c r="B4965" s="11" t="s">
        <v>10743</v>
      </c>
      <c r="C4965" s="11" t="s">
        <v>137</v>
      </c>
      <c r="D4965" s="11" t="s">
        <v>18</v>
      </c>
      <c r="E4965" s="12" t="s">
        <v>700</v>
      </c>
      <c r="F4965" s="12" t="s">
        <v>701</v>
      </c>
      <c r="G4965" s="12" t="s">
        <v>21</v>
      </c>
      <c r="H4965" s="11" t="s">
        <v>63</v>
      </c>
      <c r="I4965" s="13" t="s">
        <v>10746</v>
      </c>
      <c r="J4965" s="14" t="str">
        <f>HYPERLINK("https://www.boe.es/gazeta/dias/1839/09/01/pdfs/GMD-1839-1753.pdf#page=4","Abrir facsímil")</f>
        <v>Abrir facsímil</v>
      </c>
      <c r="K4965" s="12" t="s">
        <v>65</v>
      </c>
    </row>
    <row r="4966" spans="1:11" ht="40.049999999999997" customHeight="1" x14ac:dyDescent="0.25">
      <c r="A4966" s="11" t="s">
        <v>10743</v>
      </c>
      <c r="B4966" s="11" t="s">
        <v>10743</v>
      </c>
      <c r="C4966" s="11" t="s">
        <v>59</v>
      </c>
      <c r="D4966" s="11" t="s">
        <v>60</v>
      </c>
      <c r="E4966" s="12" t="s">
        <v>1606</v>
      </c>
      <c r="F4966" s="12" t="s">
        <v>1607</v>
      </c>
      <c r="G4966" s="12" t="s">
        <v>21</v>
      </c>
      <c r="H4966" s="11" t="s">
        <v>63</v>
      </c>
      <c r="I4966" s="13" t="s">
        <v>10747</v>
      </c>
      <c r="J4966" s="14" t="str">
        <f>HYPERLINK("https://www.boe.es/gazeta/dias/1839/07/02/pdfs/GMD-1839-1690.pdf#page=4","Abrir facsímil")</f>
        <v>Abrir facsímil</v>
      </c>
      <c r="K4966" s="12" t="s">
        <v>65</v>
      </c>
    </row>
    <row r="4967" spans="1:11" ht="40.049999999999997" customHeight="1" x14ac:dyDescent="0.25">
      <c r="A4967" s="11" t="s">
        <v>10743</v>
      </c>
      <c r="B4967" s="11" t="s">
        <v>10743</v>
      </c>
      <c r="C4967" s="11" t="s">
        <v>17</v>
      </c>
      <c r="D4967" s="11" t="s">
        <v>18</v>
      </c>
      <c r="E4967" s="12" t="s">
        <v>779</v>
      </c>
      <c r="F4967" s="12" t="s">
        <v>780</v>
      </c>
      <c r="G4967" s="12" t="s">
        <v>40</v>
      </c>
      <c r="H4967" s="11" t="s">
        <v>63</v>
      </c>
      <c r="I4967" s="13" t="s">
        <v>10748</v>
      </c>
      <c r="J4967" s="14" t="str">
        <f>HYPERLINK("https://www.boe.es/gazeta/dias/1839/02/03/pdfs/GMD-1839-1541.pdf#page=2","Abrir facsímil")</f>
        <v>Abrir facsímil</v>
      </c>
      <c r="K4967" s="12" t="s">
        <v>65</v>
      </c>
    </row>
    <row r="4968" spans="1:11" ht="40.049999999999997" customHeight="1" x14ac:dyDescent="0.25">
      <c r="A4968" s="11" t="s">
        <v>10743</v>
      </c>
      <c r="B4968" s="11" t="s">
        <v>10743</v>
      </c>
      <c r="C4968" s="11" t="s">
        <v>59</v>
      </c>
      <c r="D4968" s="11" t="s">
        <v>60</v>
      </c>
      <c r="E4968" s="12" t="s">
        <v>108</v>
      </c>
      <c r="F4968" s="12" t="s">
        <v>109</v>
      </c>
      <c r="G4968" s="12" t="s">
        <v>40</v>
      </c>
      <c r="H4968" s="11" t="s">
        <v>63</v>
      </c>
      <c r="I4968" s="13" t="s">
        <v>10749</v>
      </c>
      <c r="J4968" s="14" t="str">
        <f>HYPERLINK("https://www.boe.es/gazeta/dias/1839/01/04/pdfs/GMD-1839-1511.pdf#page=2","Abrir facsímil")</f>
        <v>Abrir facsímil</v>
      </c>
      <c r="K4968" s="12" t="s">
        <v>65</v>
      </c>
    </row>
    <row r="4969" spans="1:11" ht="40.049999999999997" customHeight="1" x14ac:dyDescent="0.25">
      <c r="A4969" s="11" t="s">
        <v>10743</v>
      </c>
      <c r="B4969" s="11" t="s">
        <v>10743</v>
      </c>
      <c r="C4969" s="11" t="s">
        <v>137</v>
      </c>
      <c r="D4969" s="11" t="s">
        <v>18</v>
      </c>
      <c r="E4969" s="12" t="s">
        <v>3614</v>
      </c>
      <c r="F4969" s="12" t="s">
        <v>3615</v>
      </c>
      <c r="G4969" s="12" t="s">
        <v>29</v>
      </c>
      <c r="H4969" s="11" t="s">
        <v>63</v>
      </c>
      <c r="I4969" s="13" t="s">
        <v>10750</v>
      </c>
      <c r="J4969" s="14" t="str">
        <f>HYPERLINK("https://www.boe.es/gazeta/dias/1839/04/04/pdfs/GMD-1839-1601.pdf#page=1","Abrir facsímil")</f>
        <v>Abrir facsímil</v>
      </c>
      <c r="K4969" s="12" t="s">
        <v>65</v>
      </c>
    </row>
    <row r="4970" spans="1:11" ht="40.049999999999997" customHeight="1" x14ac:dyDescent="0.25">
      <c r="A4970" s="11" t="s">
        <v>10743</v>
      </c>
      <c r="B4970" s="11" t="s">
        <v>10743</v>
      </c>
      <c r="C4970" s="11" t="s">
        <v>59</v>
      </c>
      <c r="D4970" s="11" t="s">
        <v>60</v>
      </c>
      <c r="E4970" s="12" t="s">
        <v>202</v>
      </c>
      <c r="F4970" s="12" t="s">
        <v>203</v>
      </c>
      <c r="G4970" s="12" t="s">
        <v>46</v>
      </c>
      <c r="H4970" s="11" t="s">
        <v>63</v>
      </c>
      <c r="I4970" s="13" t="s">
        <v>10751</v>
      </c>
      <c r="J4970" s="14" t="str">
        <f>HYPERLINK("https://www.boe.es/gazeta/dias/1839/04/05/pdfs/GMD-1839-1602.pdf#page=3","Abrir facsímil")</f>
        <v>Abrir facsímil</v>
      </c>
      <c r="K4970" s="12" t="s">
        <v>65</v>
      </c>
    </row>
    <row r="4971" spans="1:11" ht="40.049999999999997" customHeight="1" x14ac:dyDescent="0.25">
      <c r="A4971" s="11" t="s">
        <v>10743</v>
      </c>
      <c r="B4971" s="11" t="s">
        <v>10743</v>
      </c>
      <c r="C4971" s="11" t="s">
        <v>59</v>
      </c>
      <c r="D4971" s="11" t="s">
        <v>60</v>
      </c>
      <c r="E4971" s="12" t="s">
        <v>303</v>
      </c>
      <c r="F4971" s="12" t="s">
        <v>304</v>
      </c>
      <c r="G4971" s="12" t="s">
        <v>46</v>
      </c>
      <c r="H4971" s="11" t="s">
        <v>63</v>
      </c>
      <c r="I4971" s="13" t="s">
        <v>10752</v>
      </c>
      <c r="J4971" s="14" t="str">
        <f>HYPERLINK("https://www.boe.es/gazeta/dias/1839/10/06/pdfs/GMD-1839-1792.pdf#page=3","Abrir facsímil")</f>
        <v>Abrir facsímil</v>
      </c>
      <c r="K4971" s="12" t="s">
        <v>65</v>
      </c>
    </row>
    <row r="4972" spans="1:11" ht="40.049999999999997" customHeight="1" x14ac:dyDescent="0.25">
      <c r="A4972" s="11" t="s">
        <v>10743</v>
      </c>
      <c r="B4972" s="11" t="s">
        <v>10743</v>
      </c>
      <c r="C4972" s="11" t="s">
        <v>137</v>
      </c>
      <c r="D4972" s="11" t="s">
        <v>18</v>
      </c>
      <c r="E4972" s="12" t="s">
        <v>157</v>
      </c>
      <c r="F4972" s="12" t="s">
        <v>158</v>
      </c>
      <c r="G4972" s="12" t="s">
        <v>46</v>
      </c>
      <c r="H4972" s="11" t="s">
        <v>63</v>
      </c>
      <c r="I4972" s="13" t="s">
        <v>10753</v>
      </c>
      <c r="J4972" s="14" t="str">
        <f>HYPERLINK("https://www.boe.es/gazeta/dias/1839/02/08/pdfs/GMD-1839-1546.pdf#page=3","Abrir facsímil")</f>
        <v>Abrir facsímil</v>
      </c>
      <c r="K4972" s="12" t="s">
        <v>65</v>
      </c>
    </row>
    <row r="4973" spans="1:11" ht="40.049999999999997" customHeight="1" x14ac:dyDescent="0.25">
      <c r="A4973" s="11" t="s">
        <v>10743</v>
      </c>
      <c r="B4973" s="11" t="s">
        <v>10743</v>
      </c>
      <c r="C4973" s="11" t="s">
        <v>17</v>
      </c>
      <c r="D4973" s="11" t="s">
        <v>18</v>
      </c>
      <c r="E4973" s="12" t="s">
        <v>38</v>
      </c>
      <c r="F4973" s="12" t="s">
        <v>39</v>
      </c>
      <c r="G4973" s="12" t="s">
        <v>29</v>
      </c>
      <c r="H4973" s="11" t="s">
        <v>63</v>
      </c>
      <c r="I4973" s="13" t="s">
        <v>10754</v>
      </c>
      <c r="J4973" s="14" t="str">
        <f>HYPERLINK("https://www.boe.es/gazeta/dias/1839/08/08/pdfs/GMD-1839-1728.pdf#page=1","Abrir facsímil")</f>
        <v>Abrir facsímil</v>
      </c>
      <c r="K4973" s="12" t="s">
        <v>65</v>
      </c>
    </row>
    <row r="4974" spans="1:11" ht="40.049999999999997" customHeight="1" x14ac:dyDescent="0.25">
      <c r="A4974" s="11" t="s">
        <v>10743</v>
      </c>
      <c r="B4974" s="11" t="s">
        <v>10743</v>
      </c>
      <c r="C4974" s="11" t="s">
        <v>80</v>
      </c>
      <c r="D4974" s="11" t="s">
        <v>18</v>
      </c>
      <c r="E4974" s="12" t="s">
        <v>116</v>
      </c>
      <c r="F4974" s="12" t="s">
        <v>117</v>
      </c>
      <c r="G4974" s="12" t="s">
        <v>40</v>
      </c>
      <c r="H4974" s="11" t="s">
        <v>63</v>
      </c>
      <c r="I4974" s="13" t="s">
        <v>10755</v>
      </c>
      <c r="J4974" s="14" t="str">
        <f>HYPERLINK("https://www.boe.es/gazeta/dias/1839/10/10/pdfs/GMD-1839-1796.pdf#page=2","Abrir facsímil")</f>
        <v>Abrir facsímil</v>
      </c>
      <c r="K4974" s="12" t="s">
        <v>65</v>
      </c>
    </row>
    <row r="4975" spans="1:11" ht="40.049999999999997" customHeight="1" x14ac:dyDescent="0.25">
      <c r="A4975" s="11" t="s">
        <v>10743</v>
      </c>
      <c r="B4975" s="11" t="s">
        <v>10743</v>
      </c>
      <c r="C4975" s="11" t="s">
        <v>59</v>
      </c>
      <c r="D4975" s="11" t="s">
        <v>60</v>
      </c>
      <c r="E4975" s="12" t="s">
        <v>561</v>
      </c>
      <c r="F4975" s="12" t="s">
        <v>562</v>
      </c>
      <c r="G4975" s="12" t="s">
        <v>29</v>
      </c>
      <c r="H4975" s="11" t="s">
        <v>63</v>
      </c>
      <c r="I4975" s="13" t="s">
        <v>10756</v>
      </c>
      <c r="J4975" s="14" t="str">
        <f>HYPERLINK("https://www.boe.es/gazeta/dias/1839/09/11/pdfs/GMD-1839-1764.pdf#page=1","Abrir facsímil")</f>
        <v>Abrir facsímil</v>
      </c>
      <c r="K4975" s="12" t="s">
        <v>65</v>
      </c>
    </row>
    <row r="4976" spans="1:11" ht="40.049999999999997" customHeight="1" x14ac:dyDescent="0.25">
      <c r="A4976" s="11" t="s">
        <v>10743</v>
      </c>
      <c r="B4976" s="11" t="s">
        <v>10743</v>
      </c>
      <c r="C4976" s="11" t="s">
        <v>17</v>
      </c>
      <c r="D4976" s="11" t="s">
        <v>18</v>
      </c>
      <c r="E4976" s="12" t="s">
        <v>192</v>
      </c>
      <c r="F4976" s="12" t="s">
        <v>193</v>
      </c>
      <c r="G4976" s="12" t="s">
        <v>40</v>
      </c>
      <c r="H4976" s="11" t="s">
        <v>63</v>
      </c>
      <c r="I4976" s="13" t="s">
        <v>10757</v>
      </c>
      <c r="J4976" s="14" t="str">
        <f>HYPERLINK("https://www.boe.es/gazeta/dias/1839/01/12/pdfs/GMD-1839-1519.pdf#page=2","Abrir facsímil")</f>
        <v>Abrir facsímil</v>
      </c>
      <c r="K4976" s="12" t="s">
        <v>65</v>
      </c>
    </row>
    <row r="4977" spans="1:11" ht="40.049999999999997" customHeight="1" x14ac:dyDescent="0.25">
      <c r="A4977" s="11" t="s">
        <v>10743</v>
      </c>
      <c r="B4977" s="11" t="s">
        <v>10743</v>
      </c>
      <c r="C4977" s="11" t="s">
        <v>137</v>
      </c>
      <c r="D4977" s="11" t="s">
        <v>18</v>
      </c>
      <c r="E4977" s="12" t="s">
        <v>903</v>
      </c>
      <c r="F4977" s="12" t="s">
        <v>904</v>
      </c>
      <c r="G4977" s="12" t="s">
        <v>21</v>
      </c>
      <c r="H4977" s="11" t="s">
        <v>63</v>
      </c>
      <c r="I4977" s="13" t="s">
        <v>10758</v>
      </c>
      <c r="J4977" s="14" t="str">
        <f>HYPERLINK("https://www.boe.es/gazeta/dias/1839/03/14/pdfs/GMD-1839-1580.pdf#page=4","Abrir facsímil")</f>
        <v>Abrir facsímil</v>
      </c>
      <c r="K4977" s="12" t="s">
        <v>65</v>
      </c>
    </row>
    <row r="4978" spans="1:11" ht="40.049999999999997" customHeight="1" x14ac:dyDescent="0.25">
      <c r="A4978" s="11" t="s">
        <v>10743</v>
      </c>
      <c r="B4978" s="11" t="s">
        <v>10743</v>
      </c>
      <c r="C4978" s="11" t="s">
        <v>59</v>
      </c>
      <c r="D4978" s="11" t="s">
        <v>60</v>
      </c>
      <c r="E4978" s="12" t="s">
        <v>2452</v>
      </c>
      <c r="F4978" s="12" t="s">
        <v>2453</v>
      </c>
      <c r="G4978" s="12" t="s">
        <v>21</v>
      </c>
      <c r="H4978" s="11" t="s">
        <v>63</v>
      </c>
      <c r="I4978" s="13" t="s">
        <v>10759</v>
      </c>
      <c r="J4978" s="14" t="str">
        <f>HYPERLINK("https://www.boe.es/gazeta/dias/1839/11/14/pdfs/GMD-1839-1831.pdf#page=4","Abrir facsímil")</f>
        <v>Abrir facsímil</v>
      </c>
      <c r="K4978" s="12" t="s">
        <v>65</v>
      </c>
    </row>
    <row r="4979" spans="1:11" ht="40.049999999999997" customHeight="1" x14ac:dyDescent="0.25">
      <c r="A4979" s="11" t="s">
        <v>10743</v>
      </c>
      <c r="B4979" s="11" t="s">
        <v>10743</v>
      </c>
      <c r="C4979" s="11" t="s">
        <v>80</v>
      </c>
      <c r="D4979" s="11" t="s">
        <v>173</v>
      </c>
      <c r="E4979" s="12" t="s">
        <v>44</v>
      </c>
      <c r="F4979" s="12" t="s">
        <v>45</v>
      </c>
      <c r="G4979" s="12" t="s">
        <v>46</v>
      </c>
      <c r="H4979" s="11" t="s">
        <v>63</v>
      </c>
      <c r="I4979" s="13" t="s">
        <v>10760</v>
      </c>
      <c r="J4979" s="14" t="str">
        <f>HYPERLINK("https://www.boe.es/gazeta/dias/1839/11/15/pdfs/GMD-1839-1832.pdf#page=3","Abrir facsímil")</f>
        <v>Abrir facsímil</v>
      </c>
      <c r="K4979" s="12" t="s">
        <v>65</v>
      </c>
    </row>
    <row r="4980" spans="1:11" ht="40.049999999999997" customHeight="1" x14ac:dyDescent="0.25">
      <c r="A4980" s="11" t="s">
        <v>10743</v>
      </c>
      <c r="B4980" s="11" t="s">
        <v>10743</v>
      </c>
      <c r="C4980" s="11" t="s">
        <v>17</v>
      </c>
      <c r="D4980" s="11" t="s">
        <v>18</v>
      </c>
      <c r="E4980" s="12" t="s">
        <v>2155</v>
      </c>
      <c r="F4980" s="12" t="s">
        <v>2156</v>
      </c>
      <c r="G4980" s="12" t="s">
        <v>29</v>
      </c>
      <c r="H4980" s="11" t="s">
        <v>63</v>
      </c>
      <c r="I4980" s="13" t="s">
        <v>10761</v>
      </c>
      <c r="J4980" s="14" t="str">
        <f>HYPERLINK("https://www.boe.es/gazeta/dias/1839/01/17/pdfs/GMD-1839-1524.pdf#page=1","Abrir facsímil")</f>
        <v>Abrir facsímil</v>
      </c>
      <c r="K4980" s="12" t="s">
        <v>65</v>
      </c>
    </row>
    <row r="4981" spans="1:11" ht="40.049999999999997" customHeight="1" x14ac:dyDescent="0.25">
      <c r="A4981" s="11" t="s">
        <v>10743</v>
      </c>
      <c r="B4981" s="11" t="s">
        <v>10743</v>
      </c>
      <c r="C4981" s="11" t="s">
        <v>17</v>
      </c>
      <c r="D4981" s="11" t="s">
        <v>18</v>
      </c>
      <c r="E4981" s="12" t="s">
        <v>438</v>
      </c>
      <c r="F4981" s="12" t="s">
        <v>439</v>
      </c>
      <c r="G4981" s="12" t="s">
        <v>29</v>
      </c>
      <c r="H4981" s="11" t="s">
        <v>63</v>
      </c>
      <c r="I4981" s="13" t="s">
        <v>10762</v>
      </c>
      <c r="J4981" s="14" t="str">
        <f>HYPERLINK("https://www.boe.es/gazeta/dias/1839/07/17/pdfs/GMD-1839-1705.pdf#page=1","Abrir facsímil")</f>
        <v>Abrir facsímil</v>
      </c>
      <c r="K4981" s="12" t="s">
        <v>65</v>
      </c>
    </row>
    <row r="4982" spans="1:11" ht="40.049999999999997" customHeight="1" x14ac:dyDescent="0.25">
      <c r="A4982" s="11" t="s">
        <v>10743</v>
      </c>
      <c r="B4982" s="11" t="s">
        <v>10743</v>
      </c>
      <c r="C4982" s="11" t="s">
        <v>17</v>
      </c>
      <c r="D4982" s="11" t="s">
        <v>18</v>
      </c>
      <c r="E4982" s="12" t="s">
        <v>486</v>
      </c>
      <c r="F4982" s="12" t="s">
        <v>487</v>
      </c>
      <c r="G4982" s="12" t="s">
        <v>40</v>
      </c>
      <c r="H4982" s="11" t="s">
        <v>63</v>
      </c>
      <c r="I4982" s="13" t="s">
        <v>10763</v>
      </c>
      <c r="J4982" s="14" t="str">
        <f>HYPERLINK("https://www.boe.es/gazeta/dias/1839/04/19/pdfs/GMD-1839-1616.pdf#page=2","Abrir facsímil")</f>
        <v>Abrir facsímil</v>
      </c>
      <c r="K4982" s="12" t="s">
        <v>65</v>
      </c>
    </row>
    <row r="4983" spans="1:11" ht="40.049999999999997" customHeight="1" x14ac:dyDescent="0.25">
      <c r="A4983" s="11" t="s">
        <v>10743</v>
      </c>
      <c r="B4983" s="11" t="s">
        <v>10743</v>
      </c>
      <c r="C4983" s="11" t="s">
        <v>17</v>
      </c>
      <c r="D4983" s="11" t="s">
        <v>18</v>
      </c>
      <c r="E4983" s="12" t="s">
        <v>462</v>
      </c>
      <c r="F4983" s="12" t="s">
        <v>463</v>
      </c>
      <c r="G4983" s="12" t="s">
        <v>46</v>
      </c>
      <c r="H4983" s="11" t="s">
        <v>63</v>
      </c>
      <c r="I4983" s="13" t="s">
        <v>10764</v>
      </c>
      <c r="J4983" s="14" t="str">
        <f>HYPERLINK("https://www.boe.es/gazeta/dias/1839/06/19/pdfs/GMD-1839-1677.pdf#page=3","Abrir facsímil")</f>
        <v>Abrir facsímil</v>
      </c>
      <c r="K4983" s="12" t="s">
        <v>65</v>
      </c>
    </row>
    <row r="4984" spans="1:11" ht="40.049999999999997" customHeight="1" x14ac:dyDescent="0.25">
      <c r="A4984" s="11" t="s">
        <v>10743</v>
      </c>
      <c r="B4984" s="11" t="s">
        <v>10743</v>
      </c>
      <c r="C4984" s="11" t="s">
        <v>17</v>
      </c>
      <c r="D4984" s="11" t="s">
        <v>18</v>
      </c>
      <c r="E4984" s="12" t="s">
        <v>3009</v>
      </c>
      <c r="F4984" s="12" t="s">
        <v>3010</v>
      </c>
      <c r="G4984" s="12" t="s">
        <v>46</v>
      </c>
      <c r="H4984" s="11" t="s">
        <v>63</v>
      </c>
      <c r="I4984" s="13" t="s">
        <v>10765</v>
      </c>
      <c r="J4984" s="14" t="str">
        <f>HYPERLINK("https://www.boe.es/gazeta/dias/1839/04/20/pdfs/GMD-1839-1617.pdf#page=3","Abrir facsímil")</f>
        <v>Abrir facsímil</v>
      </c>
      <c r="K4984" s="12" t="s">
        <v>65</v>
      </c>
    </row>
    <row r="4985" spans="1:11" ht="40.049999999999997" customHeight="1" x14ac:dyDescent="0.25">
      <c r="A4985" s="11" t="s">
        <v>10743</v>
      </c>
      <c r="B4985" s="11" t="s">
        <v>10743</v>
      </c>
      <c r="C4985" s="11" t="s">
        <v>137</v>
      </c>
      <c r="D4985" s="11" t="s">
        <v>18</v>
      </c>
      <c r="E4985" s="12" t="s">
        <v>2962</v>
      </c>
      <c r="F4985" s="12" t="s">
        <v>2963</v>
      </c>
      <c r="G4985" s="12" t="s">
        <v>21</v>
      </c>
      <c r="H4985" s="11" t="s">
        <v>63</v>
      </c>
      <c r="I4985" s="13" t="s">
        <v>10766</v>
      </c>
      <c r="J4985" s="14" t="str">
        <f>HYPERLINK("https://www.boe.es/gazeta/dias/1839/12/21/pdfs/GMD-1839-1868.pdf#page=4","Abrir facsímil")</f>
        <v>Abrir facsímil</v>
      </c>
      <c r="K4985" s="12" t="s">
        <v>65</v>
      </c>
    </row>
    <row r="4986" spans="1:11" ht="40.049999999999997" customHeight="1" x14ac:dyDescent="0.25">
      <c r="A4986" s="11" t="s">
        <v>10743</v>
      </c>
      <c r="B4986" s="11" t="s">
        <v>10743</v>
      </c>
      <c r="C4986" s="11" t="s">
        <v>137</v>
      </c>
      <c r="D4986" s="11" t="s">
        <v>18</v>
      </c>
      <c r="E4986" s="12" t="s">
        <v>664</v>
      </c>
      <c r="F4986" s="12" t="s">
        <v>665</v>
      </c>
      <c r="G4986" s="12" t="s">
        <v>21</v>
      </c>
      <c r="H4986" s="11" t="s">
        <v>63</v>
      </c>
      <c r="I4986" s="13" t="s">
        <v>10767</v>
      </c>
      <c r="J4986" s="14" t="str">
        <f>HYPERLINK("https://www.boe.es/gazeta/dias/1839/01/24/pdfs/GMD-1839-1531.pdf#page=4","Abrir facsímil")</f>
        <v>Abrir facsímil</v>
      </c>
      <c r="K4986" s="12" t="s">
        <v>65</v>
      </c>
    </row>
    <row r="4987" spans="1:11" ht="40.049999999999997" customHeight="1" x14ac:dyDescent="0.25">
      <c r="A4987" s="11" t="s">
        <v>10743</v>
      </c>
      <c r="B4987" s="11" t="s">
        <v>10743</v>
      </c>
      <c r="C4987" s="11" t="s">
        <v>17</v>
      </c>
      <c r="D4987" s="11" t="s">
        <v>18</v>
      </c>
      <c r="E4987" s="12" t="s">
        <v>1208</v>
      </c>
      <c r="F4987" s="12" t="s">
        <v>1209</v>
      </c>
      <c r="G4987" s="12" t="s">
        <v>21</v>
      </c>
      <c r="H4987" s="11" t="s">
        <v>63</v>
      </c>
      <c r="I4987" s="13" t="s">
        <v>10768</v>
      </c>
      <c r="J4987" s="14" t="str">
        <f>HYPERLINK("https://www.boe.es/gazeta/dias/1839/04/24/pdfs/GMD-1839-1621.pdf#page=4","Abrir facsímil")</f>
        <v>Abrir facsímil</v>
      </c>
      <c r="K4987" s="12" t="s">
        <v>65</v>
      </c>
    </row>
    <row r="4988" spans="1:11" ht="40.049999999999997" customHeight="1" x14ac:dyDescent="0.25">
      <c r="A4988" s="11" t="s">
        <v>10743</v>
      </c>
      <c r="B4988" s="11" t="s">
        <v>10743</v>
      </c>
      <c r="C4988" s="11" t="s">
        <v>17</v>
      </c>
      <c r="D4988" s="11" t="s">
        <v>18</v>
      </c>
      <c r="E4988" s="12" t="s">
        <v>1079</v>
      </c>
      <c r="F4988" s="12" t="s">
        <v>1080</v>
      </c>
      <c r="G4988" s="12" t="s">
        <v>21</v>
      </c>
      <c r="H4988" s="11" t="s">
        <v>63</v>
      </c>
      <c r="I4988" s="13" t="s">
        <v>10769</v>
      </c>
      <c r="J4988" s="14" t="str">
        <f>HYPERLINK("https://www.boe.es/gazeta/dias/1839/05/24/pdfs/GMD-1839-1651.pdf#page=4","Abrir facsímil")</f>
        <v>Abrir facsímil</v>
      </c>
      <c r="K4988" s="12" t="s">
        <v>65</v>
      </c>
    </row>
    <row r="4989" spans="1:11" ht="40.049999999999997" customHeight="1" x14ac:dyDescent="0.25">
      <c r="A4989" s="11" t="s">
        <v>10743</v>
      </c>
      <c r="B4989" s="11" t="s">
        <v>10743</v>
      </c>
      <c r="C4989" s="11" t="s">
        <v>17</v>
      </c>
      <c r="D4989" s="11" t="s">
        <v>18</v>
      </c>
      <c r="E4989" s="12" t="s">
        <v>2435</v>
      </c>
      <c r="F4989" s="12" t="s">
        <v>2436</v>
      </c>
      <c r="G4989" s="12" t="s">
        <v>21</v>
      </c>
      <c r="H4989" s="11" t="s">
        <v>63</v>
      </c>
      <c r="I4989" s="13" t="s">
        <v>10770</v>
      </c>
      <c r="J4989" s="14" t="str">
        <f>HYPERLINK("https://www.boe.es/gazeta/dias/1839/07/24/pdfs/GMD-1839-1713.pdf#page=4","Abrir facsímil")</f>
        <v>Abrir facsímil</v>
      </c>
      <c r="K4989" s="12" t="s">
        <v>65</v>
      </c>
    </row>
    <row r="4990" spans="1:11" ht="40.049999999999997" customHeight="1" x14ac:dyDescent="0.25">
      <c r="A4990" s="11" t="s">
        <v>10743</v>
      </c>
      <c r="B4990" s="11" t="s">
        <v>10743</v>
      </c>
      <c r="C4990" s="11" t="s">
        <v>17</v>
      </c>
      <c r="D4990" s="11" t="s">
        <v>18</v>
      </c>
      <c r="E4990" s="12" t="s">
        <v>246</v>
      </c>
      <c r="F4990" s="12" t="s">
        <v>247</v>
      </c>
      <c r="G4990" s="12" t="s">
        <v>46</v>
      </c>
      <c r="H4990" s="11" t="s">
        <v>63</v>
      </c>
      <c r="I4990" s="13" t="s">
        <v>10771</v>
      </c>
      <c r="J4990" s="14" t="str">
        <f>HYPERLINK("https://www.boe.es/gazeta/dias/1839/11/24/pdfs/GMD-1839-1841.pdf#page=3","Abrir facsímil")</f>
        <v>Abrir facsímil</v>
      </c>
      <c r="K4990" s="12" t="s">
        <v>65</v>
      </c>
    </row>
    <row r="4991" spans="1:11" ht="40.049999999999997" customHeight="1" x14ac:dyDescent="0.25">
      <c r="A4991" s="11" t="s">
        <v>10743</v>
      </c>
      <c r="B4991" s="11" t="s">
        <v>10743</v>
      </c>
      <c r="C4991" s="11" t="s">
        <v>17</v>
      </c>
      <c r="D4991" s="11" t="s">
        <v>18</v>
      </c>
      <c r="E4991" s="12" t="s">
        <v>1446</v>
      </c>
      <c r="F4991" s="12" t="s">
        <v>1447</v>
      </c>
      <c r="G4991" s="12" t="s">
        <v>29</v>
      </c>
      <c r="H4991" s="11" t="s">
        <v>63</v>
      </c>
      <c r="I4991" s="13" t="s">
        <v>10772</v>
      </c>
      <c r="J4991" s="14" t="str">
        <f>HYPERLINK("https://www.boe.es/gazeta/dias/1839/08/25/pdfs/GMD-1839-1746.pdf#page=1","Abrir facsímil")</f>
        <v>Abrir facsímil</v>
      </c>
      <c r="K4991" s="12" t="s">
        <v>65</v>
      </c>
    </row>
    <row r="4992" spans="1:11" ht="40.049999999999997" customHeight="1" x14ac:dyDescent="0.25">
      <c r="A4992" s="11" t="s">
        <v>10743</v>
      </c>
      <c r="B4992" s="11" t="s">
        <v>10743</v>
      </c>
      <c r="C4992" s="11" t="s">
        <v>101</v>
      </c>
      <c r="D4992" s="11" t="s">
        <v>102</v>
      </c>
      <c r="E4992" s="12" t="s">
        <v>1336</v>
      </c>
      <c r="F4992" s="12" t="s">
        <v>1337</v>
      </c>
      <c r="G4992" s="12" t="s">
        <v>40</v>
      </c>
      <c r="H4992" s="11" t="s">
        <v>63</v>
      </c>
      <c r="I4992" s="13" t="s">
        <v>10773</v>
      </c>
      <c r="J4992" s="14" t="str">
        <f>HYPERLINK("https://www.boe.es/gazeta/dias/1839/02/26/pdfs/GMD-1839-1564.pdf#page=2","Abrir facsímil")</f>
        <v>Abrir facsímil</v>
      </c>
      <c r="K4992" s="12" t="s">
        <v>65</v>
      </c>
    </row>
    <row r="4993" spans="1:11" ht="40.049999999999997" customHeight="1" x14ac:dyDescent="0.25">
      <c r="A4993" s="11" t="s">
        <v>10743</v>
      </c>
      <c r="B4993" s="11" t="s">
        <v>10743</v>
      </c>
      <c r="C4993" s="11" t="s">
        <v>17</v>
      </c>
      <c r="D4993" s="11" t="s">
        <v>18</v>
      </c>
      <c r="E4993" s="12" t="s">
        <v>638</v>
      </c>
      <c r="F4993" s="12" t="s">
        <v>639</v>
      </c>
      <c r="G4993" s="12" t="s">
        <v>29</v>
      </c>
      <c r="H4993" s="11" t="s">
        <v>63</v>
      </c>
      <c r="I4993" s="13" t="s">
        <v>10774</v>
      </c>
      <c r="J4993" s="14" t="str">
        <f>HYPERLINK("https://www.boe.es/gazeta/dias/1839/08/26/pdfs/GMD-1839-1747.pdf#page=1","Abrir facsímil")</f>
        <v>Abrir facsímil</v>
      </c>
      <c r="K4993" s="12" t="s">
        <v>65</v>
      </c>
    </row>
    <row r="4994" spans="1:11" ht="40.049999999999997" customHeight="1" x14ac:dyDescent="0.25">
      <c r="A4994" s="11" t="s">
        <v>10743</v>
      </c>
      <c r="B4994" s="11" t="s">
        <v>10743</v>
      </c>
      <c r="C4994" s="11" t="s">
        <v>17</v>
      </c>
      <c r="D4994" s="11" t="s">
        <v>18</v>
      </c>
      <c r="E4994" s="12" t="s">
        <v>723</v>
      </c>
      <c r="F4994" s="12" t="s">
        <v>724</v>
      </c>
      <c r="G4994" s="12" t="s">
        <v>21</v>
      </c>
      <c r="H4994" s="11" t="s">
        <v>63</v>
      </c>
      <c r="I4994" s="13" t="s">
        <v>10775</v>
      </c>
      <c r="J4994" s="14" t="str">
        <f>HYPERLINK("https://www.boe.es/gazeta/dias/1839/09/26/pdfs/GMD-1839-1782.pdf#page=4","Abrir facsímil")</f>
        <v>Abrir facsímil</v>
      </c>
      <c r="K4994" s="12" t="s">
        <v>65</v>
      </c>
    </row>
    <row r="4995" spans="1:11" ht="40.049999999999997" customHeight="1" x14ac:dyDescent="0.25">
      <c r="A4995" s="11" t="s">
        <v>10743</v>
      </c>
      <c r="B4995" s="11" t="s">
        <v>10743</v>
      </c>
      <c r="C4995" s="11" t="s">
        <v>101</v>
      </c>
      <c r="D4995" s="11" t="s">
        <v>102</v>
      </c>
      <c r="E4995" s="12" t="s">
        <v>2658</v>
      </c>
      <c r="F4995" s="12" t="s">
        <v>2659</v>
      </c>
      <c r="G4995" s="12" t="s">
        <v>21</v>
      </c>
      <c r="H4995" s="11" t="s">
        <v>63</v>
      </c>
      <c r="I4995" s="13" t="s">
        <v>10776</v>
      </c>
      <c r="J4995" s="14" t="str">
        <f>HYPERLINK("https://www.boe.es/gazeta/dias/1839/06/27/pdfs/GMD-1839-1685.pdf#page=4","Abrir facsímil")</f>
        <v>Abrir facsímil</v>
      </c>
      <c r="K4995" s="12" t="s">
        <v>65</v>
      </c>
    </row>
    <row r="4996" spans="1:11" ht="40.049999999999997" customHeight="1" x14ac:dyDescent="0.25">
      <c r="A4996" s="11" t="s">
        <v>10743</v>
      </c>
      <c r="B4996" s="11" t="s">
        <v>10743</v>
      </c>
      <c r="C4996" s="11" t="s">
        <v>137</v>
      </c>
      <c r="D4996" s="11" t="s">
        <v>18</v>
      </c>
      <c r="E4996" s="12" t="s">
        <v>1749</v>
      </c>
      <c r="F4996" s="12" t="s">
        <v>1750</v>
      </c>
      <c r="G4996" s="12" t="s">
        <v>46</v>
      </c>
      <c r="H4996" s="11" t="s">
        <v>63</v>
      </c>
      <c r="I4996" s="13" t="s">
        <v>10777</v>
      </c>
      <c r="J4996" s="14" t="str">
        <f>HYPERLINK("https://www.boe.es/gazeta/dias/1839/06/28/pdfs/GMD-1839-1686.pdf#page=3","Abrir facsímil")</f>
        <v>Abrir facsímil</v>
      </c>
      <c r="K4996" s="12" t="s">
        <v>65</v>
      </c>
    </row>
    <row r="4997" spans="1:11" ht="40.049999999999997" customHeight="1" x14ac:dyDescent="0.25">
      <c r="A4997" s="11" t="s">
        <v>10743</v>
      </c>
      <c r="B4997" s="11" t="s">
        <v>10743</v>
      </c>
      <c r="C4997" s="11" t="s">
        <v>17</v>
      </c>
      <c r="D4997" s="11" t="s">
        <v>18</v>
      </c>
      <c r="E4997" s="12" t="s">
        <v>574</v>
      </c>
      <c r="F4997" s="12" t="s">
        <v>575</v>
      </c>
      <c r="G4997" s="12" t="s">
        <v>40</v>
      </c>
      <c r="H4997" s="11" t="s">
        <v>63</v>
      </c>
      <c r="I4997" s="13" t="s">
        <v>10778</v>
      </c>
      <c r="J4997" s="14" t="str">
        <f>HYPERLINK("https://www.boe.es/gazeta/dias/1839/09/28/pdfs/GMD-1839-1784.pdf#page=2","Abrir facsímil")</f>
        <v>Abrir facsímil</v>
      </c>
      <c r="K4997" s="12" t="s">
        <v>65</v>
      </c>
    </row>
    <row r="4998" spans="1:11" ht="40.049999999999997" customHeight="1" x14ac:dyDescent="0.25">
      <c r="A4998" s="11" t="s">
        <v>10743</v>
      </c>
      <c r="B4998" s="11" t="s">
        <v>10743</v>
      </c>
      <c r="C4998" s="11" t="s">
        <v>59</v>
      </c>
      <c r="D4998" s="11" t="s">
        <v>60</v>
      </c>
      <c r="E4998" s="12" t="s">
        <v>89</v>
      </c>
      <c r="F4998" s="12" t="s">
        <v>90</v>
      </c>
      <c r="G4998" s="12" t="s">
        <v>21</v>
      </c>
      <c r="H4998" s="11" t="s">
        <v>63</v>
      </c>
      <c r="I4998" s="13" t="s">
        <v>10779</v>
      </c>
      <c r="J4998" s="14" t="str">
        <f>HYPERLINK("https://www.boe.es/gazeta/dias/1839/11/28/pdfs/GMD-1839-1845.pdf#page=4","Abrir facsímil")</f>
        <v>Abrir facsímil</v>
      </c>
      <c r="K4998" s="12" t="s">
        <v>65</v>
      </c>
    </row>
    <row r="4999" spans="1:11" ht="40.049999999999997" customHeight="1" x14ac:dyDescent="0.25">
      <c r="A4999" s="11" t="s">
        <v>10743</v>
      </c>
      <c r="B4999" s="11" t="s">
        <v>10743</v>
      </c>
      <c r="C4999" s="11" t="s">
        <v>59</v>
      </c>
      <c r="D4999" s="11" t="s">
        <v>60</v>
      </c>
      <c r="E4999" s="12" t="s">
        <v>616</v>
      </c>
      <c r="F4999" s="12" t="s">
        <v>617</v>
      </c>
      <c r="G4999" s="12" t="s">
        <v>29</v>
      </c>
      <c r="H4999" s="11" t="s">
        <v>63</v>
      </c>
      <c r="I4999" s="13" t="s">
        <v>10780</v>
      </c>
      <c r="J4999" s="14" t="str">
        <f>HYPERLINK("https://www.boe.es/gazeta/dias/1839/05/29/pdfs/GMD-1839-1656.pdf#page=1","Abrir facsímil")</f>
        <v>Abrir facsímil</v>
      </c>
      <c r="K4999" s="12" t="s">
        <v>65</v>
      </c>
    </row>
    <row r="5000" spans="1:11" ht="40.049999999999997" customHeight="1" x14ac:dyDescent="0.25">
      <c r="A5000" s="11" t="s">
        <v>10743</v>
      </c>
      <c r="B5000" s="11" t="s">
        <v>10743</v>
      </c>
      <c r="C5000" s="11" t="s">
        <v>17</v>
      </c>
      <c r="D5000" s="11" t="s">
        <v>18</v>
      </c>
      <c r="E5000" s="12" t="s">
        <v>616</v>
      </c>
      <c r="F5000" s="12" t="s">
        <v>617</v>
      </c>
      <c r="G5000" s="12" t="s">
        <v>40</v>
      </c>
      <c r="H5000" s="11" t="s">
        <v>63</v>
      </c>
      <c r="I5000" s="13" t="s">
        <v>10781</v>
      </c>
      <c r="J5000" s="14" t="str">
        <f>HYPERLINK("https://www.boe.es/gazeta/dias/1839/05/29/pdfs/GMD-1839-1656.pdf#page=2","Abrir facsímil")</f>
        <v>Abrir facsímil</v>
      </c>
      <c r="K5000" s="12" t="s">
        <v>65</v>
      </c>
    </row>
    <row r="5001" spans="1:11" ht="40.049999999999997" customHeight="1" x14ac:dyDescent="0.25">
      <c r="A5001" s="11" t="s">
        <v>10743</v>
      </c>
      <c r="B5001" s="11" t="s">
        <v>10743</v>
      </c>
      <c r="C5001" s="11" t="s">
        <v>101</v>
      </c>
      <c r="D5001" s="11" t="s">
        <v>102</v>
      </c>
      <c r="E5001" s="12" t="s">
        <v>907</v>
      </c>
      <c r="F5001" s="12" t="s">
        <v>908</v>
      </c>
      <c r="G5001" s="12" t="s">
        <v>40</v>
      </c>
      <c r="H5001" s="11" t="s">
        <v>63</v>
      </c>
      <c r="I5001" s="13" t="s">
        <v>10782</v>
      </c>
      <c r="J5001" s="14" t="str">
        <f>HYPERLINK("https://www.boe.es/gazeta/dias/1839/07/31/pdfs/GMD-1839-1720.pdf#page=2","Abrir facsímil")</f>
        <v>Abrir facsímil</v>
      </c>
      <c r="K5001" s="12" t="s">
        <v>65</v>
      </c>
    </row>
    <row r="5002" spans="1:11" ht="40.049999999999997" customHeight="1" x14ac:dyDescent="0.25">
      <c r="A5002" s="11" t="s">
        <v>10783</v>
      </c>
      <c r="B5002" s="11" t="s">
        <v>10784</v>
      </c>
      <c r="C5002" s="11" t="s">
        <v>17</v>
      </c>
      <c r="D5002" s="11" t="s">
        <v>18</v>
      </c>
      <c r="E5002" s="12" t="s">
        <v>262</v>
      </c>
      <c r="F5002" s="12" t="s">
        <v>263</v>
      </c>
      <c r="G5002" s="12" t="s">
        <v>29</v>
      </c>
      <c r="H5002" s="11" t="s">
        <v>63</v>
      </c>
      <c r="I5002" s="13" t="s">
        <v>10785</v>
      </c>
      <c r="J5002" s="14" t="str">
        <f>HYPERLINK("https://www.boe.es/gazeta/dias/1839/01/01/pdfs/GMD-1839-1508.pdf#page=1","Abrir facsímil")</f>
        <v>Abrir facsímil</v>
      </c>
      <c r="K5002" s="12" t="s">
        <v>65</v>
      </c>
    </row>
    <row r="5003" spans="1:11" ht="40.049999999999997" customHeight="1" x14ac:dyDescent="0.25">
      <c r="A5003" s="11" t="s">
        <v>10783</v>
      </c>
      <c r="B5003" s="11" t="s">
        <v>10784</v>
      </c>
      <c r="C5003" s="11" t="s">
        <v>17</v>
      </c>
      <c r="D5003" s="11" t="s">
        <v>18</v>
      </c>
      <c r="E5003" s="12" t="s">
        <v>779</v>
      </c>
      <c r="F5003" s="12" t="s">
        <v>780</v>
      </c>
      <c r="G5003" s="12" t="s">
        <v>40</v>
      </c>
      <c r="H5003" s="11" t="s">
        <v>63</v>
      </c>
      <c r="I5003" s="13" t="s">
        <v>10786</v>
      </c>
      <c r="J5003" s="14" t="str">
        <f>HYPERLINK("https://www.boe.es/gazeta/dias/1839/02/03/pdfs/GMD-1839-1541.pdf#page=2","Abrir facsímil")</f>
        <v>Abrir facsímil</v>
      </c>
      <c r="K5003" s="12" t="s">
        <v>65</v>
      </c>
    </row>
    <row r="5004" spans="1:11" ht="40.049999999999997" customHeight="1" x14ac:dyDescent="0.25">
      <c r="A5004" s="11" t="s">
        <v>10787</v>
      </c>
      <c r="B5004" s="11" t="s">
        <v>10787</v>
      </c>
      <c r="C5004" s="11" t="s">
        <v>17</v>
      </c>
      <c r="D5004" s="11" t="s">
        <v>18</v>
      </c>
      <c r="E5004" s="12" t="s">
        <v>704</v>
      </c>
      <c r="F5004" s="12" t="s">
        <v>705</v>
      </c>
      <c r="G5004" s="12" t="s">
        <v>46</v>
      </c>
      <c r="H5004" s="11" t="s">
        <v>63</v>
      </c>
      <c r="I5004" s="13" t="s">
        <v>10788</v>
      </c>
      <c r="J5004" s="14" t="str">
        <f>HYPERLINK("https://www.boe.es/gazeta/dias/1839/03/02/pdfs/GMD-1839-1568.pdf#page=3","Abrir facsímil")</f>
        <v>Abrir facsímil</v>
      </c>
      <c r="K5004" s="12" t="s">
        <v>65</v>
      </c>
    </row>
    <row r="5005" spans="1:11" ht="40.049999999999997" customHeight="1" x14ac:dyDescent="0.25">
      <c r="A5005" s="11" t="s">
        <v>10787</v>
      </c>
      <c r="B5005" s="11" t="s">
        <v>10787</v>
      </c>
      <c r="C5005" s="11" t="s">
        <v>137</v>
      </c>
      <c r="D5005" s="11" t="s">
        <v>18</v>
      </c>
      <c r="E5005" s="12" t="s">
        <v>272</v>
      </c>
      <c r="F5005" s="12" t="s">
        <v>273</v>
      </c>
      <c r="G5005" s="12" t="s">
        <v>29</v>
      </c>
      <c r="H5005" s="11" t="s">
        <v>63</v>
      </c>
      <c r="I5005" s="13" t="s">
        <v>10789</v>
      </c>
      <c r="J5005" s="14" t="str">
        <f>HYPERLINK("https://www.boe.es/gazeta/dias/1839/02/12/pdfs/GMD-1839-1550.pdf#page=1","Abrir facsímil")</f>
        <v>Abrir facsímil</v>
      </c>
      <c r="K5005" s="12" t="s">
        <v>65</v>
      </c>
    </row>
    <row r="5006" spans="1:11" ht="40.049999999999997" customHeight="1" x14ac:dyDescent="0.25">
      <c r="A5006" s="11" t="s">
        <v>10787</v>
      </c>
      <c r="B5006" s="11" t="s">
        <v>10787</v>
      </c>
      <c r="C5006" s="11" t="s">
        <v>80</v>
      </c>
      <c r="D5006" s="11" t="s">
        <v>18</v>
      </c>
      <c r="E5006" s="12" t="s">
        <v>1648</v>
      </c>
      <c r="F5006" s="12" t="s">
        <v>1649</v>
      </c>
      <c r="G5006" s="12" t="s">
        <v>21</v>
      </c>
      <c r="H5006" s="11" t="s">
        <v>63</v>
      </c>
      <c r="I5006" s="13" t="s">
        <v>10790</v>
      </c>
      <c r="J5006" s="14" t="str">
        <f>HYPERLINK("https://www.boe.es/gazeta/dias/1839/08/18/pdfs/GMD-1839-1738.pdf#page=4","Abrir facsímil")</f>
        <v>Abrir facsímil</v>
      </c>
      <c r="K5006" s="12" t="s">
        <v>65</v>
      </c>
    </row>
    <row r="5007" spans="1:11" ht="40.049999999999997" customHeight="1" x14ac:dyDescent="0.25">
      <c r="A5007" s="11" t="s">
        <v>10787</v>
      </c>
      <c r="B5007" s="11" t="s">
        <v>10787</v>
      </c>
      <c r="C5007" s="11" t="s">
        <v>101</v>
      </c>
      <c r="D5007" s="11" t="s">
        <v>43</v>
      </c>
      <c r="E5007" s="12" t="s">
        <v>926</v>
      </c>
      <c r="F5007" s="12" t="s">
        <v>927</v>
      </c>
      <c r="G5007" s="12" t="s">
        <v>40</v>
      </c>
      <c r="H5007" s="11" t="s">
        <v>63</v>
      </c>
      <c r="I5007" s="13" t="s">
        <v>10791</v>
      </c>
      <c r="J5007" s="14" t="str">
        <f>HYPERLINK("https://www.boe.es/gazeta/dias/1839/01/25/pdfs/GMD-1839-1532.pdf#page=2","Abrir facsímil")</f>
        <v>Abrir facsímil</v>
      </c>
      <c r="K5007" s="12" t="s">
        <v>65</v>
      </c>
    </row>
    <row r="5008" spans="1:11" ht="40.049999999999997" customHeight="1" x14ac:dyDescent="0.25">
      <c r="A5008" s="11" t="s">
        <v>10787</v>
      </c>
      <c r="B5008" s="11" t="s">
        <v>10787</v>
      </c>
      <c r="C5008" s="11" t="s">
        <v>80</v>
      </c>
      <c r="D5008" s="11" t="s">
        <v>18</v>
      </c>
      <c r="E5008" s="12" t="s">
        <v>1679</v>
      </c>
      <c r="F5008" s="12" t="s">
        <v>1680</v>
      </c>
      <c r="G5008" s="12" t="s">
        <v>46</v>
      </c>
      <c r="H5008" s="11" t="s">
        <v>63</v>
      </c>
      <c r="I5008" s="13" t="s">
        <v>10792</v>
      </c>
      <c r="J5008" s="14" t="str">
        <f>HYPERLINK("https://www.boe.es/gazeta/dias/1839/01/26/pdfs/GMD-1839-1533.pdf#page=3","Abrir facsímil")</f>
        <v>Abrir facsímil</v>
      </c>
      <c r="K5008" s="12" t="s">
        <v>65</v>
      </c>
    </row>
    <row r="5009" spans="1:11" ht="40.049999999999997" customHeight="1" x14ac:dyDescent="0.25">
      <c r="A5009" s="11" t="s">
        <v>10787</v>
      </c>
      <c r="B5009" s="11" t="s">
        <v>10787</v>
      </c>
      <c r="C5009" s="11" t="s">
        <v>17</v>
      </c>
      <c r="D5009" s="11" t="s">
        <v>18</v>
      </c>
      <c r="E5009" s="12" t="s">
        <v>284</v>
      </c>
      <c r="F5009" s="12" t="s">
        <v>285</v>
      </c>
      <c r="G5009" s="12" t="s">
        <v>40</v>
      </c>
      <c r="H5009" s="11" t="s">
        <v>63</v>
      </c>
      <c r="I5009" s="13" t="s">
        <v>10793</v>
      </c>
      <c r="J5009" s="14" t="str">
        <f>HYPERLINK("https://www.boe.es/gazeta/dias/1839/01/27/pdfs/GMD-1839-1534.pdf#page=2","Abrir facsímil")</f>
        <v>Abrir facsímil</v>
      </c>
      <c r="K5009" s="12" t="s">
        <v>65</v>
      </c>
    </row>
    <row r="5010" spans="1:11" ht="40.049999999999997" customHeight="1" x14ac:dyDescent="0.25">
      <c r="A5010" s="11" t="s">
        <v>10794</v>
      </c>
      <c r="B5010" s="11" t="s">
        <v>10794</v>
      </c>
      <c r="C5010" s="11" t="s">
        <v>17</v>
      </c>
      <c r="D5010" s="11" t="s">
        <v>18</v>
      </c>
      <c r="E5010" s="12" t="s">
        <v>181</v>
      </c>
      <c r="F5010" s="12" t="s">
        <v>182</v>
      </c>
      <c r="G5010" s="12" t="s">
        <v>21</v>
      </c>
      <c r="H5010" s="11" t="s">
        <v>63</v>
      </c>
      <c r="I5010" s="13" t="s">
        <v>10795</v>
      </c>
      <c r="J5010" s="14" t="str">
        <f>HYPERLINK("https://www.boe.es/gazeta/dias/1839/01/11/pdfs/GMD-1839-1518.pdf#page=4","Abrir facsímil")</f>
        <v>Abrir facsímil</v>
      </c>
      <c r="K5010" s="12" t="s">
        <v>65</v>
      </c>
    </row>
    <row r="5011" spans="1:11" ht="40.049999999999997" customHeight="1" x14ac:dyDescent="0.25">
      <c r="A5011" s="11" t="s">
        <v>10796</v>
      </c>
      <c r="B5011" s="11" t="s">
        <v>10796</v>
      </c>
      <c r="C5011" s="11" t="s">
        <v>17</v>
      </c>
      <c r="D5011" s="11" t="s">
        <v>18</v>
      </c>
      <c r="E5011" s="12" t="s">
        <v>1012</v>
      </c>
      <c r="F5011" s="12" t="s">
        <v>1013</v>
      </c>
      <c r="G5011" s="12" t="s">
        <v>40</v>
      </c>
      <c r="H5011" s="11" t="s">
        <v>63</v>
      </c>
      <c r="I5011" s="13" t="s">
        <v>10797</v>
      </c>
      <c r="J5011" s="14" t="str">
        <f>HYPERLINK("https://www.boe.es/gazeta/dias/1839/11/22/pdfs/GMD-1839-1839.pdf#page=2","Abrir facsímil")</f>
        <v>Abrir facsímil</v>
      </c>
      <c r="K5011" s="12" t="s">
        <v>65</v>
      </c>
    </row>
    <row r="5012" spans="1:11" ht="40.049999999999997" customHeight="1" x14ac:dyDescent="0.25">
      <c r="A5012" s="11" t="s">
        <v>10798</v>
      </c>
      <c r="B5012" s="11" t="s">
        <v>10799</v>
      </c>
      <c r="C5012" s="11" t="s">
        <v>137</v>
      </c>
      <c r="D5012" s="11" t="s">
        <v>18</v>
      </c>
      <c r="E5012" s="12" t="s">
        <v>287</v>
      </c>
      <c r="F5012" s="12" t="s">
        <v>288</v>
      </c>
      <c r="G5012" s="12" t="s">
        <v>21</v>
      </c>
      <c r="H5012" s="11" t="s">
        <v>22</v>
      </c>
      <c r="I5012" s="13" t="s">
        <v>10800</v>
      </c>
      <c r="J5012" s="14" t="str">
        <f>HYPERLINK("https://www.boe.es/gazeta/dias/1839/11/27/pdfs/GMD-1839-1844.pdf#page=4","Abrir facsímil")</f>
        <v>Abrir facsímil</v>
      </c>
      <c r="K5012" s="12" t="s">
        <v>24</v>
      </c>
    </row>
    <row r="5013" spans="1:11" ht="40.049999999999997" customHeight="1" x14ac:dyDescent="0.25">
      <c r="A5013" s="11" t="s">
        <v>10801</v>
      </c>
      <c r="B5013" s="11" t="s">
        <v>10802</v>
      </c>
      <c r="C5013" s="11" t="s">
        <v>17</v>
      </c>
      <c r="D5013" s="11" t="s">
        <v>18</v>
      </c>
      <c r="E5013" s="12" t="s">
        <v>258</v>
      </c>
      <c r="F5013" s="12" t="s">
        <v>259</v>
      </c>
      <c r="G5013" s="12" t="s">
        <v>46</v>
      </c>
      <c r="H5013" s="11" t="s">
        <v>22</v>
      </c>
      <c r="I5013" s="13" t="s">
        <v>10803</v>
      </c>
      <c r="J5013" s="14" t="str">
        <f>HYPERLINK("https://www.boe.es/gazeta/dias/1839/01/02/pdfs/GMD-1839-1509.pdf#page=3","Abrir facsímil")</f>
        <v>Abrir facsímil</v>
      </c>
      <c r="K5013" s="12" t="s">
        <v>24</v>
      </c>
    </row>
    <row r="5014" spans="1:11" ht="40.049999999999997" customHeight="1" x14ac:dyDescent="0.25">
      <c r="A5014" s="11" t="s">
        <v>10804</v>
      </c>
      <c r="B5014" s="11" t="s">
        <v>10805</v>
      </c>
      <c r="C5014" s="11" t="s">
        <v>17</v>
      </c>
      <c r="D5014" s="11" t="s">
        <v>18</v>
      </c>
      <c r="E5014" s="12" t="s">
        <v>474</v>
      </c>
      <c r="F5014" s="12" t="s">
        <v>475</v>
      </c>
      <c r="G5014" s="12" t="s">
        <v>46</v>
      </c>
      <c r="H5014" s="11" t="s">
        <v>63</v>
      </c>
      <c r="I5014" s="13" t="s">
        <v>10806</v>
      </c>
      <c r="J5014" s="14" t="str">
        <f>HYPERLINK("https://www.boe.es/gazeta/dias/1839/03/31/pdfs/GMD-1839-1597.pdf#page=3","Abrir facsímil")</f>
        <v>Abrir facsímil</v>
      </c>
      <c r="K5014" s="12" t="s">
        <v>65</v>
      </c>
    </row>
    <row r="5015" spans="1:11" ht="40.049999999999997" customHeight="1" x14ac:dyDescent="0.25">
      <c r="A5015" s="11" t="s">
        <v>10807</v>
      </c>
      <c r="B5015" s="11" t="s">
        <v>10807</v>
      </c>
      <c r="C5015" s="11" t="s">
        <v>80</v>
      </c>
      <c r="D5015" s="11" t="s">
        <v>18</v>
      </c>
      <c r="E5015" s="12" t="s">
        <v>197</v>
      </c>
      <c r="F5015" s="12" t="s">
        <v>198</v>
      </c>
      <c r="G5015" s="12" t="s">
        <v>46</v>
      </c>
      <c r="H5015" s="11" t="s">
        <v>63</v>
      </c>
      <c r="I5015" s="13" t="s">
        <v>10808</v>
      </c>
      <c r="J5015" s="14" t="str">
        <f>HYPERLINK("https://www.boe.es/gazeta/dias/1839/10/04/pdfs/GMD-1839-1790.pdf#page=3","Abrir facsímil")</f>
        <v>Abrir facsímil</v>
      </c>
      <c r="K5015" s="12" t="s">
        <v>65</v>
      </c>
    </row>
    <row r="5016" spans="1:11" ht="40.049999999999997" customHeight="1" x14ac:dyDescent="0.25">
      <c r="A5016" s="11" t="s">
        <v>10809</v>
      </c>
      <c r="B5016" s="11" t="s">
        <v>10810</v>
      </c>
      <c r="C5016" s="11" t="s">
        <v>17</v>
      </c>
      <c r="D5016" s="11" t="s">
        <v>18</v>
      </c>
      <c r="E5016" s="12" t="s">
        <v>108</v>
      </c>
      <c r="F5016" s="12" t="s">
        <v>109</v>
      </c>
      <c r="G5016" s="12" t="s">
        <v>29</v>
      </c>
      <c r="H5016" s="11" t="s">
        <v>63</v>
      </c>
      <c r="I5016" s="13" t="s">
        <v>10811</v>
      </c>
      <c r="J5016" s="14" t="str">
        <f>HYPERLINK("https://www.boe.es/gazeta/dias/1839/01/04/pdfs/GMD-1839-1511.pdf#page=1","Abrir facsímil")</f>
        <v>Abrir facsímil</v>
      </c>
      <c r="K5016" s="12" t="s">
        <v>65</v>
      </c>
    </row>
    <row r="5017" spans="1:11" ht="40.049999999999997" customHeight="1" x14ac:dyDescent="0.25">
      <c r="A5017" s="11" t="s">
        <v>10812</v>
      </c>
      <c r="B5017" s="11" t="s">
        <v>10812</v>
      </c>
      <c r="C5017" s="11" t="s">
        <v>17</v>
      </c>
      <c r="D5017" s="11" t="s">
        <v>18</v>
      </c>
      <c r="E5017" s="12" t="s">
        <v>1479</v>
      </c>
      <c r="F5017" s="12" t="s">
        <v>1480</v>
      </c>
      <c r="G5017" s="12" t="s">
        <v>46</v>
      </c>
      <c r="H5017" s="11" t="s">
        <v>63</v>
      </c>
      <c r="I5017" s="13" t="s">
        <v>10813</v>
      </c>
      <c r="J5017" s="14" t="str">
        <f>HYPERLINK("https://www.boe.es/gazeta/dias/1839/04/09/pdfs/GMD-1839-1606.pdf#page=3","Abrir facsímil")</f>
        <v>Abrir facsímil</v>
      </c>
      <c r="K5017" s="12" t="s">
        <v>65</v>
      </c>
    </row>
    <row r="5018" spans="1:11" ht="40.049999999999997" customHeight="1" x14ac:dyDescent="0.25">
      <c r="A5018" s="11" t="s">
        <v>10814</v>
      </c>
      <c r="B5018" s="11" t="s">
        <v>10814</v>
      </c>
      <c r="C5018" s="11" t="s">
        <v>80</v>
      </c>
      <c r="D5018" s="11" t="s">
        <v>173</v>
      </c>
      <c r="E5018" s="12" t="s">
        <v>1512</v>
      </c>
      <c r="F5018" s="12" t="s">
        <v>1513</v>
      </c>
      <c r="G5018" s="12" t="s">
        <v>21</v>
      </c>
      <c r="H5018" s="11" t="s">
        <v>63</v>
      </c>
      <c r="I5018" s="13" t="s">
        <v>10815</v>
      </c>
      <c r="J5018" s="14" t="str">
        <f>HYPERLINK("https://www.boe.es/gazeta/dias/1839/04/13/pdfs/GMD-1839-1610.pdf#page=4","Abrir facsímil")</f>
        <v>Abrir facsímil</v>
      </c>
      <c r="K5018" s="12" t="s">
        <v>65</v>
      </c>
    </row>
    <row r="5019" spans="1:11" ht="40.049999999999997" customHeight="1" x14ac:dyDescent="0.25">
      <c r="A5019" s="11" t="s">
        <v>10816</v>
      </c>
      <c r="B5019" s="11" t="s">
        <v>10817</v>
      </c>
      <c r="C5019" s="11" t="s">
        <v>17</v>
      </c>
      <c r="D5019" s="11" t="s">
        <v>18</v>
      </c>
      <c r="E5019" s="12" t="s">
        <v>4186</v>
      </c>
      <c r="F5019" s="12" t="s">
        <v>4187</v>
      </c>
      <c r="G5019" s="12" t="s">
        <v>21</v>
      </c>
      <c r="H5019" s="11" t="s">
        <v>63</v>
      </c>
      <c r="I5019" s="13" t="s">
        <v>10818</v>
      </c>
      <c r="J5019" s="14" t="str">
        <f>HYPERLINK("https://www.boe.es/gazeta/dias/1839/12/12/pdfs/GMD-1839-1859.pdf#page=4","Abrir facsímil")</f>
        <v>Abrir facsímil</v>
      </c>
      <c r="K5019" s="12" t="s">
        <v>65</v>
      </c>
    </row>
    <row r="5020" spans="1:11" ht="40.049999999999997" customHeight="1" x14ac:dyDescent="0.25">
      <c r="A5020" s="11" t="s">
        <v>10819</v>
      </c>
      <c r="B5020" s="11" t="s">
        <v>10820</v>
      </c>
      <c r="C5020" s="11" t="s">
        <v>17</v>
      </c>
      <c r="D5020" s="11" t="s">
        <v>18</v>
      </c>
      <c r="E5020" s="12" t="s">
        <v>2449</v>
      </c>
      <c r="F5020" s="12" t="s">
        <v>2450</v>
      </c>
      <c r="G5020" s="12" t="s">
        <v>21</v>
      </c>
      <c r="H5020" s="11" t="s">
        <v>63</v>
      </c>
      <c r="I5020" s="13" t="s">
        <v>10821</v>
      </c>
      <c r="J5020" s="14" t="str">
        <f>HYPERLINK("https://www.boe.es/gazeta/dias/1839/12/11/pdfs/GMD-1839-1858.pdf#page=4","Abrir facsímil")</f>
        <v>Abrir facsímil</v>
      </c>
      <c r="K5020" s="12" t="s">
        <v>65</v>
      </c>
    </row>
    <row r="5021" spans="1:11" ht="40.049999999999997" customHeight="1" x14ac:dyDescent="0.25">
      <c r="A5021" s="11" t="s">
        <v>10822</v>
      </c>
      <c r="B5021" s="11" t="s">
        <v>10822</v>
      </c>
      <c r="C5021" s="11" t="s">
        <v>101</v>
      </c>
      <c r="D5021" s="11" t="s">
        <v>102</v>
      </c>
      <c r="E5021" s="12" t="s">
        <v>303</v>
      </c>
      <c r="F5021" s="12" t="s">
        <v>304</v>
      </c>
      <c r="G5021" s="12" t="s">
        <v>305</v>
      </c>
      <c r="H5021" s="11" t="s">
        <v>63</v>
      </c>
      <c r="I5021" s="13" t="s">
        <v>10823</v>
      </c>
      <c r="J5021" s="14" t="str">
        <f>HYPERLINK("https://www.boe.es/gazeta/dias/1839/10/06/pdfs/GMD-1839-1792.pdf#page=6","Abrir facsímil")</f>
        <v>Abrir facsímil</v>
      </c>
      <c r="K5021" s="12" t="s">
        <v>65</v>
      </c>
    </row>
    <row r="5022" spans="1:11" ht="40.049999999999997" customHeight="1" x14ac:dyDescent="0.25">
      <c r="A5022" s="11" t="s">
        <v>10822</v>
      </c>
      <c r="B5022" s="11" t="s">
        <v>10822</v>
      </c>
      <c r="C5022" s="11" t="s">
        <v>17</v>
      </c>
      <c r="D5022" s="11" t="s">
        <v>18</v>
      </c>
      <c r="E5022" s="12" t="s">
        <v>462</v>
      </c>
      <c r="F5022" s="12" t="s">
        <v>463</v>
      </c>
      <c r="G5022" s="12" t="s">
        <v>46</v>
      </c>
      <c r="H5022" s="11" t="s">
        <v>63</v>
      </c>
      <c r="I5022" s="13" t="s">
        <v>10824</v>
      </c>
      <c r="J5022" s="14" t="str">
        <f>HYPERLINK("https://www.boe.es/gazeta/dias/1839/06/19/pdfs/GMD-1839-1677.pdf#page=3","Abrir facsímil")</f>
        <v>Abrir facsímil</v>
      </c>
      <c r="K5022" s="12" t="s">
        <v>65</v>
      </c>
    </row>
    <row r="5023" spans="1:11" ht="40.049999999999997" customHeight="1" x14ac:dyDescent="0.25">
      <c r="A5023" s="11" t="s">
        <v>10825</v>
      </c>
      <c r="B5023" s="11" t="s">
        <v>10826</v>
      </c>
      <c r="C5023" s="11" t="s">
        <v>17</v>
      </c>
      <c r="D5023" s="11" t="s">
        <v>18</v>
      </c>
      <c r="E5023" s="12" t="s">
        <v>3224</v>
      </c>
      <c r="F5023" s="12" t="s">
        <v>3225</v>
      </c>
      <c r="G5023" s="12" t="s">
        <v>29</v>
      </c>
      <c r="H5023" s="11" t="s">
        <v>63</v>
      </c>
      <c r="I5023" s="13" t="s">
        <v>10827</v>
      </c>
      <c r="J5023" s="14" t="str">
        <f>HYPERLINK("https://www.boe.es/gazeta/dias/1839/06/03/pdfs/GMD-1839-1661.pdf#page=1","Abrir facsímil")</f>
        <v>Abrir facsímil</v>
      </c>
      <c r="K5023" s="12" t="s">
        <v>65</v>
      </c>
    </row>
    <row r="5024" spans="1:11" ht="40.049999999999997" customHeight="1" x14ac:dyDescent="0.25">
      <c r="A5024" s="11" t="s">
        <v>10825</v>
      </c>
      <c r="B5024" s="11" t="s">
        <v>10826</v>
      </c>
      <c r="C5024" s="11" t="s">
        <v>17</v>
      </c>
      <c r="D5024" s="11" t="s">
        <v>18</v>
      </c>
      <c r="E5024" s="12" t="s">
        <v>690</v>
      </c>
      <c r="F5024" s="12" t="s">
        <v>691</v>
      </c>
      <c r="G5024" s="12" t="s">
        <v>29</v>
      </c>
      <c r="H5024" s="11" t="s">
        <v>63</v>
      </c>
      <c r="I5024" s="13" t="s">
        <v>10828</v>
      </c>
      <c r="J5024" s="14" t="str">
        <f>HYPERLINK("https://www.boe.es/gazeta/dias/1839/12/08/pdfs/GMD-1839-1855.pdf#page=1","Abrir facsímil")</f>
        <v>Abrir facsímil</v>
      </c>
      <c r="K5024" s="12" t="s">
        <v>65</v>
      </c>
    </row>
    <row r="5025" spans="1:11" ht="40.049999999999997" customHeight="1" x14ac:dyDescent="0.25">
      <c r="A5025" s="11" t="s">
        <v>10825</v>
      </c>
      <c r="B5025" s="11" t="s">
        <v>10826</v>
      </c>
      <c r="C5025" s="11" t="s">
        <v>59</v>
      </c>
      <c r="D5025" s="11" t="s">
        <v>60</v>
      </c>
      <c r="E5025" s="12" t="s">
        <v>1648</v>
      </c>
      <c r="F5025" s="12" t="s">
        <v>1649</v>
      </c>
      <c r="G5025" s="12" t="s">
        <v>29</v>
      </c>
      <c r="H5025" s="11" t="s">
        <v>63</v>
      </c>
      <c r="I5025" s="13" t="s">
        <v>10829</v>
      </c>
      <c r="J5025" s="14" t="str">
        <f>HYPERLINK("https://www.boe.es/gazeta/dias/1839/08/18/pdfs/GMD-1839-1738.pdf#page=1","Abrir facsímil")</f>
        <v>Abrir facsímil</v>
      </c>
      <c r="K5025" s="12" t="s">
        <v>65</v>
      </c>
    </row>
    <row r="5026" spans="1:11" ht="40.049999999999997" customHeight="1" x14ac:dyDescent="0.25">
      <c r="A5026" s="11" t="s">
        <v>10825</v>
      </c>
      <c r="B5026" s="11" t="s">
        <v>10826</v>
      </c>
      <c r="C5026" s="11" t="s">
        <v>17</v>
      </c>
      <c r="D5026" s="11" t="s">
        <v>18</v>
      </c>
      <c r="E5026" s="12" t="s">
        <v>1284</v>
      </c>
      <c r="F5026" s="12" t="s">
        <v>1285</v>
      </c>
      <c r="G5026" s="12" t="s">
        <v>29</v>
      </c>
      <c r="H5026" s="11" t="s">
        <v>63</v>
      </c>
      <c r="I5026" s="13" t="s">
        <v>10830</v>
      </c>
      <c r="J5026" s="14" t="str">
        <f>HYPERLINK("https://www.boe.es/gazeta/dias/1839/03/27/pdfs/GMD-1839-1593.pdf#page=1","Abrir facsímil")</f>
        <v>Abrir facsímil</v>
      </c>
      <c r="K5026" s="12" t="s">
        <v>65</v>
      </c>
    </row>
    <row r="5027" spans="1:11" ht="40.049999999999997" customHeight="1" x14ac:dyDescent="0.25">
      <c r="A5027" s="11" t="s">
        <v>10831</v>
      </c>
      <c r="B5027" s="11" t="s">
        <v>10832</v>
      </c>
      <c r="C5027" s="11" t="s">
        <v>80</v>
      </c>
      <c r="D5027" s="11" t="s">
        <v>173</v>
      </c>
      <c r="E5027" s="12" t="s">
        <v>862</v>
      </c>
      <c r="F5027" s="12" t="s">
        <v>863</v>
      </c>
      <c r="G5027" s="12" t="s">
        <v>305</v>
      </c>
      <c r="H5027" s="11" t="s">
        <v>63</v>
      </c>
      <c r="I5027" s="13" t="s">
        <v>10833</v>
      </c>
      <c r="J5027" s="14" t="str">
        <f>HYPERLINK("https://www.boe.es/gazeta/dias/1839/10/28/pdfs/GMD-1839-1814.pdf#page=6","Abrir facsímil")</f>
        <v>Abrir facsímil</v>
      </c>
      <c r="K5027" s="12" t="s">
        <v>65</v>
      </c>
    </row>
    <row r="5028" spans="1:11" ht="40.049999999999997" customHeight="1" x14ac:dyDescent="0.25">
      <c r="A5028" s="11" t="s">
        <v>10834</v>
      </c>
      <c r="B5028" s="11" t="s">
        <v>10835</v>
      </c>
      <c r="C5028" s="11" t="s">
        <v>17</v>
      </c>
      <c r="D5028" s="11" t="s">
        <v>18</v>
      </c>
      <c r="E5028" s="12" t="s">
        <v>1027</v>
      </c>
      <c r="F5028" s="12" t="s">
        <v>1028</v>
      </c>
      <c r="G5028" s="12" t="s">
        <v>21</v>
      </c>
      <c r="H5028" s="11" t="s">
        <v>63</v>
      </c>
      <c r="I5028" s="13" t="s">
        <v>10836</v>
      </c>
      <c r="J5028" s="14" t="str">
        <f>HYPERLINK("https://www.boe.es/gazeta/dias/1839/08/16/pdfs/GMD-1839-1736.pdf#page=4","Abrir facsímil")</f>
        <v>Abrir facsímil</v>
      </c>
      <c r="K5028" s="12" t="s">
        <v>65</v>
      </c>
    </row>
    <row r="5029" spans="1:11" ht="40.049999999999997" customHeight="1" x14ac:dyDescent="0.25">
      <c r="A5029" s="11" t="s">
        <v>10837</v>
      </c>
      <c r="B5029" s="11" t="s">
        <v>10837</v>
      </c>
      <c r="C5029" s="11" t="s">
        <v>101</v>
      </c>
      <c r="D5029" s="11" t="s">
        <v>102</v>
      </c>
      <c r="E5029" s="12" t="s">
        <v>1001</v>
      </c>
      <c r="F5029" s="12" t="s">
        <v>1002</v>
      </c>
      <c r="G5029" s="12" t="s">
        <v>40</v>
      </c>
      <c r="H5029" s="11" t="s">
        <v>63</v>
      </c>
      <c r="I5029" s="13" t="s">
        <v>10838</v>
      </c>
      <c r="J5029" s="14" t="str">
        <f>HYPERLINK("https://www.boe.es/gazeta/dias/1839/07/09/pdfs/GMD-1839-1697.pdf#page=2","Abrir facsímil")</f>
        <v>Abrir facsímil</v>
      </c>
      <c r="K5029" s="12" t="s">
        <v>65</v>
      </c>
    </row>
    <row r="5030" spans="1:11" ht="40.049999999999997" customHeight="1" x14ac:dyDescent="0.25">
      <c r="A5030" s="11" t="s">
        <v>10837</v>
      </c>
      <c r="B5030" s="11" t="s">
        <v>10837</v>
      </c>
      <c r="C5030" s="11" t="s">
        <v>17</v>
      </c>
      <c r="D5030" s="11" t="s">
        <v>18</v>
      </c>
      <c r="E5030" s="12" t="s">
        <v>555</v>
      </c>
      <c r="F5030" s="12" t="s">
        <v>556</v>
      </c>
      <c r="G5030" s="12" t="s">
        <v>40</v>
      </c>
      <c r="H5030" s="11" t="s">
        <v>63</v>
      </c>
      <c r="I5030" s="13" t="s">
        <v>10839</v>
      </c>
      <c r="J5030" s="14" t="str">
        <f>HYPERLINK("https://www.boe.es/gazeta/dias/1839/07/19/pdfs/GMD-1839-1707.pdf#page=2","Abrir facsímil")</f>
        <v>Abrir facsímil</v>
      </c>
      <c r="K5030" s="12" t="s">
        <v>65</v>
      </c>
    </row>
    <row r="5031" spans="1:11" ht="40.049999999999997" customHeight="1" x14ac:dyDescent="0.25">
      <c r="A5031" s="11" t="s">
        <v>10837</v>
      </c>
      <c r="B5031" s="11" t="s">
        <v>10837</v>
      </c>
      <c r="C5031" s="11" t="s">
        <v>137</v>
      </c>
      <c r="D5031" s="11" t="s">
        <v>18</v>
      </c>
      <c r="E5031" s="12" t="s">
        <v>2378</v>
      </c>
      <c r="F5031" s="12" t="s">
        <v>2379</v>
      </c>
      <c r="G5031" s="12" t="s">
        <v>29</v>
      </c>
      <c r="H5031" s="11" t="s">
        <v>63</v>
      </c>
      <c r="I5031" s="13" t="s">
        <v>10840</v>
      </c>
      <c r="J5031" s="14" t="str">
        <f>HYPERLINK("https://www.boe.es/gazeta/dias/1839/06/20/pdfs/GMD-1839-1678.pdf#page=1","Abrir facsímil")</f>
        <v>Abrir facsímil</v>
      </c>
      <c r="K5031" s="12" t="s">
        <v>65</v>
      </c>
    </row>
    <row r="5032" spans="1:11" ht="40.049999999999997" customHeight="1" x14ac:dyDescent="0.25">
      <c r="A5032" s="11" t="s">
        <v>10841</v>
      </c>
      <c r="B5032" s="11" t="s">
        <v>10841</v>
      </c>
      <c r="C5032" s="11" t="s">
        <v>17</v>
      </c>
      <c r="D5032" s="11" t="s">
        <v>18</v>
      </c>
      <c r="E5032" s="12" t="s">
        <v>2117</v>
      </c>
      <c r="F5032" s="12" t="s">
        <v>2118</v>
      </c>
      <c r="G5032" s="12" t="s">
        <v>46</v>
      </c>
      <c r="H5032" s="11" t="s">
        <v>63</v>
      </c>
      <c r="I5032" s="13" t="s">
        <v>10842</v>
      </c>
      <c r="J5032" s="14" t="str">
        <f>HYPERLINK("https://www.boe.es/gazeta/dias/1839/06/23/pdfs/GMD-1839-1681.pdf#page=3","Abrir facsímil")</f>
        <v>Abrir facsímil</v>
      </c>
      <c r="K5032" s="12" t="s">
        <v>65</v>
      </c>
    </row>
    <row r="5033" spans="1:11" ht="40.049999999999997" customHeight="1" x14ac:dyDescent="0.25">
      <c r="A5033" s="11" t="s">
        <v>10843</v>
      </c>
      <c r="B5033" s="11" t="s">
        <v>10843</v>
      </c>
      <c r="C5033" s="11" t="s">
        <v>17</v>
      </c>
      <c r="D5033" s="11" t="s">
        <v>18</v>
      </c>
      <c r="E5033" s="12" t="s">
        <v>2432</v>
      </c>
      <c r="F5033" s="12" t="s">
        <v>2581</v>
      </c>
      <c r="G5033" s="12" t="s">
        <v>29</v>
      </c>
      <c r="H5033" s="11" t="s">
        <v>63</v>
      </c>
      <c r="I5033" s="13" t="s">
        <v>10844</v>
      </c>
      <c r="J5033" s="14" t="str">
        <f>HYPERLINK("https://www.boe.es/gazeta/dias/1839/07/23/pdfs/GMD-1839-1711.pdf#page=1","Abrir facsímil")</f>
        <v>Abrir facsímil</v>
      </c>
      <c r="K5033" s="12" t="s">
        <v>65</v>
      </c>
    </row>
    <row r="5034" spans="1:11" ht="40.049999999999997" customHeight="1" x14ac:dyDescent="0.25">
      <c r="A5034" s="11" t="s">
        <v>10845</v>
      </c>
      <c r="B5034" s="11" t="s">
        <v>10846</v>
      </c>
      <c r="C5034" s="11" t="s">
        <v>101</v>
      </c>
      <c r="D5034" s="11" t="s">
        <v>43</v>
      </c>
      <c r="E5034" s="12" t="s">
        <v>141</v>
      </c>
      <c r="F5034" s="12" t="s">
        <v>142</v>
      </c>
      <c r="G5034" s="12" t="s">
        <v>21</v>
      </c>
      <c r="H5034" s="11" t="s">
        <v>63</v>
      </c>
      <c r="I5034" s="13" t="s">
        <v>10847</v>
      </c>
      <c r="J5034" s="14" t="str">
        <f>HYPERLINK("https://www.boe.es/gazeta/dias/1839/11/10/pdfs/GMD-1839-1827.pdf#page=4","Abrir facsímil")</f>
        <v>Abrir facsímil</v>
      </c>
      <c r="K5034" s="12" t="s">
        <v>65</v>
      </c>
    </row>
    <row r="5035" spans="1:11" ht="40.049999999999997" customHeight="1" x14ac:dyDescent="0.25">
      <c r="A5035" s="11" t="s">
        <v>10848</v>
      </c>
      <c r="B5035" s="11" t="s">
        <v>10848</v>
      </c>
      <c r="C5035" s="11" t="s">
        <v>101</v>
      </c>
      <c r="D5035" s="11" t="s">
        <v>43</v>
      </c>
      <c r="E5035" s="12" t="s">
        <v>365</v>
      </c>
      <c r="F5035" s="12" t="s">
        <v>366</v>
      </c>
      <c r="G5035" s="12" t="s">
        <v>29</v>
      </c>
      <c r="H5035" s="11" t="s">
        <v>63</v>
      </c>
      <c r="I5035" s="13" t="s">
        <v>10849</v>
      </c>
      <c r="J5035" s="14" t="str">
        <f>HYPERLINK("https://www.boe.es/gazeta/dias/1839/08/14/pdfs/GMD-1839-1734.pdf#page=1","Abrir facsímil")</f>
        <v>Abrir facsímil</v>
      </c>
      <c r="K5035" s="12" t="s">
        <v>65</v>
      </c>
    </row>
    <row r="5036" spans="1:11" ht="40.049999999999997" customHeight="1" x14ac:dyDescent="0.25">
      <c r="A5036" s="11" t="s">
        <v>10850</v>
      </c>
      <c r="B5036" s="11" t="s">
        <v>10850</v>
      </c>
      <c r="C5036" s="11" t="s">
        <v>17</v>
      </c>
      <c r="D5036" s="11" t="s">
        <v>18</v>
      </c>
      <c r="E5036" s="12" t="s">
        <v>254</v>
      </c>
      <c r="F5036" s="12" t="s">
        <v>255</v>
      </c>
      <c r="G5036" s="12" t="s">
        <v>21</v>
      </c>
      <c r="H5036" s="11" t="s">
        <v>63</v>
      </c>
      <c r="I5036" s="13" t="s">
        <v>10851</v>
      </c>
      <c r="J5036" s="14" t="str">
        <f>HYPERLINK("https://www.boe.es/gazeta/dias/1839/09/12/pdfs/GMD-1839-1765.pdf#page=4","Abrir facsímil")</f>
        <v>Abrir facsímil</v>
      </c>
      <c r="K5036" s="12" t="s">
        <v>65</v>
      </c>
    </row>
    <row r="5037" spans="1:11" ht="40.049999999999997" customHeight="1" x14ac:dyDescent="0.25">
      <c r="A5037" s="11" t="s">
        <v>10852</v>
      </c>
      <c r="B5037" s="11" t="s">
        <v>10853</v>
      </c>
      <c r="C5037" s="11" t="s">
        <v>17</v>
      </c>
      <c r="D5037" s="11" t="s">
        <v>18</v>
      </c>
      <c r="E5037" s="12" t="s">
        <v>128</v>
      </c>
      <c r="F5037" s="12" t="s">
        <v>129</v>
      </c>
      <c r="G5037" s="12" t="s">
        <v>21</v>
      </c>
      <c r="H5037" s="11" t="s">
        <v>63</v>
      </c>
      <c r="I5037" s="13" t="s">
        <v>10854</v>
      </c>
      <c r="J5037" s="14" t="str">
        <f>HYPERLINK("https://www.boe.es/gazeta/dias/1839/05/25/pdfs/GMD-1839-1652.pdf#page=4","Abrir facsímil")</f>
        <v>Abrir facsímil</v>
      </c>
      <c r="K5037" s="12" t="s">
        <v>65</v>
      </c>
    </row>
    <row r="5038" spans="1:11" ht="40.049999999999997" customHeight="1" x14ac:dyDescent="0.25">
      <c r="A5038" s="11" t="s">
        <v>10855</v>
      </c>
      <c r="B5038" s="11" t="s">
        <v>10855</v>
      </c>
      <c r="C5038" s="11" t="s">
        <v>17</v>
      </c>
      <c r="D5038" s="11" t="s">
        <v>18</v>
      </c>
      <c r="E5038" s="12" t="s">
        <v>2392</v>
      </c>
      <c r="F5038" s="12" t="s">
        <v>2393</v>
      </c>
      <c r="G5038" s="12" t="s">
        <v>40</v>
      </c>
      <c r="H5038" s="11" t="s">
        <v>63</v>
      </c>
      <c r="I5038" s="13" t="s">
        <v>10856</v>
      </c>
      <c r="J5038" s="14" t="str">
        <f>HYPERLINK("https://www.boe.es/gazeta/dias/1839/05/21/pdfs/GMD-1839-1648.pdf#page=2","Abrir facsímil")</f>
        <v>Abrir facsímil</v>
      </c>
      <c r="K5038" s="12" t="s">
        <v>65</v>
      </c>
    </row>
    <row r="5039" spans="1:11" ht="40.049999999999997" customHeight="1" x14ac:dyDescent="0.25">
      <c r="A5039" s="11" t="s">
        <v>10857</v>
      </c>
      <c r="B5039" s="11" t="s">
        <v>10858</v>
      </c>
      <c r="C5039" s="11" t="s">
        <v>17</v>
      </c>
      <c r="D5039" s="11" t="s">
        <v>18</v>
      </c>
      <c r="E5039" s="12" t="s">
        <v>2949</v>
      </c>
      <c r="F5039" s="12" t="s">
        <v>2950</v>
      </c>
      <c r="G5039" s="12" t="s">
        <v>40</v>
      </c>
      <c r="H5039" s="11" t="s">
        <v>63</v>
      </c>
      <c r="I5039" s="13" t="s">
        <v>10859</v>
      </c>
      <c r="J5039" s="14" t="str">
        <f>HYPERLINK("https://www.boe.es/gazeta/dias/1839/10/21/pdfs/GMD-1839-1807.pdf#page=2","Abrir facsímil")</f>
        <v>Abrir facsímil</v>
      </c>
      <c r="K5039" s="12" t="s">
        <v>65</v>
      </c>
    </row>
    <row r="5040" spans="1:11" ht="40.049999999999997" customHeight="1" x14ac:dyDescent="0.25">
      <c r="A5040" s="11" t="s">
        <v>10860</v>
      </c>
      <c r="B5040" s="11" t="s">
        <v>10861</v>
      </c>
      <c r="C5040" s="11" t="s">
        <v>101</v>
      </c>
      <c r="D5040" s="11" t="s">
        <v>102</v>
      </c>
      <c r="E5040" s="12" t="s">
        <v>401</v>
      </c>
      <c r="F5040" s="12" t="s">
        <v>402</v>
      </c>
      <c r="G5040" s="12" t="s">
        <v>29</v>
      </c>
      <c r="H5040" s="11" t="s">
        <v>63</v>
      </c>
      <c r="I5040" s="13" t="s">
        <v>10862</v>
      </c>
      <c r="J5040" s="14" t="str">
        <f>HYPERLINK("https://www.boe.es/gazeta/dias/1839/03/29/pdfs/GMD-1839-1595.pdf#page=1","Abrir facsímil")</f>
        <v>Abrir facsímil</v>
      </c>
      <c r="K5040" s="12" t="s">
        <v>65</v>
      </c>
    </row>
    <row r="5041" spans="1:11" ht="40.049999999999997" customHeight="1" x14ac:dyDescent="0.25">
      <c r="A5041" s="11" t="s">
        <v>10863</v>
      </c>
      <c r="B5041" s="11" t="s">
        <v>10863</v>
      </c>
      <c r="C5041" s="11" t="s">
        <v>80</v>
      </c>
      <c r="D5041" s="11" t="s">
        <v>173</v>
      </c>
      <c r="E5041" s="12" t="s">
        <v>405</v>
      </c>
      <c r="F5041" s="12" t="s">
        <v>406</v>
      </c>
      <c r="G5041" s="12" t="s">
        <v>29</v>
      </c>
      <c r="H5041" s="11" t="s">
        <v>63</v>
      </c>
      <c r="I5041" s="13" t="s">
        <v>10864</v>
      </c>
      <c r="J5041" s="14" t="str">
        <f>HYPERLINK("https://www.boe.es/gazeta/dias/1839/03/25/pdfs/GMD-1839-1591.pdf#page=1","Abrir facsímil")</f>
        <v>Abrir facsímil</v>
      </c>
      <c r="K5041" s="12" t="s">
        <v>65</v>
      </c>
    </row>
    <row r="5042" spans="1:11" ht="40.049999999999997" customHeight="1" x14ac:dyDescent="0.25">
      <c r="A5042" s="11" t="s">
        <v>10865</v>
      </c>
      <c r="B5042" s="11" t="s">
        <v>10865</v>
      </c>
      <c r="C5042" s="11" t="s">
        <v>17</v>
      </c>
      <c r="D5042" s="11" t="s">
        <v>18</v>
      </c>
      <c r="E5042" s="12" t="s">
        <v>483</v>
      </c>
      <c r="F5042" s="12" t="s">
        <v>484</v>
      </c>
      <c r="G5042" s="12" t="s">
        <v>46</v>
      </c>
      <c r="H5042" s="11" t="s">
        <v>63</v>
      </c>
      <c r="I5042" s="13" t="s">
        <v>10866</v>
      </c>
      <c r="J5042" s="14" t="str">
        <f>HYPERLINK("https://www.boe.es/gazeta/dias/1839/11/18/pdfs/GMD-1839-1835.pdf#page=3","Abrir facsímil")</f>
        <v>Abrir facsímil</v>
      </c>
      <c r="K5042" s="12" t="s">
        <v>65</v>
      </c>
    </row>
    <row r="5043" spans="1:11" ht="40.049999999999997" customHeight="1" x14ac:dyDescent="0.25">
      <c r="A5043" s="11" t="s">
        <v>10867</v>
      </c>
      <c r="B5043" s="11" t="s">
        <v>10867</v>
      </c>
      <c r="C5043" s="11" t="s">
        <v>101</v>
      </c>
      <c r="D5043" s="11" t="s">
        <v>102</v>
      </c>
      <c r="E5043" s="12" t="s">
        <v>601</v>
      </c>
      <c r="F5043" s="12" t="s">
        <v>602</v>
      </c>
      <c r="G5043" s="12" t="s">
        <v>46</v>
      </c>
      <c r="H5043" s="11" t="s">
        <v>63</v>
      </c>
      <c r="I5043" s="13" t="s">
        <v>10868</v>
      </c>
      <c r="J5043" s="14" t="str">
        <f>HYPERLINK("https://www.boe.es/gazeta/dias/1839/04/21/pdfs/GMD-1839-1618.pdf#page=3","Abrir facsímil")</f>
        <v>Abrir facsímil</v>
      </c>
      <c r="K5043" s="12" t="s">
        <v>65</v>
      </c>
    </row>
    <row r="5044" spans="1:11" ht="40.049999999999997" customHeight="1" x14ac:dyDescent="0.25">
      <c r="A5044" s="11" t="s">
        <v>10869</v>
      </c>
      <c r="B5044" s="11" t="s">
        <v>10869</v>
      </c>
      <c r="C5044" s="11" t="s">
        <v>101</v>
      </c>
      <c r="D5044" s="11" t="s">
        <v>102</v>
      </c>
      <c r="E5044" s="12" t="s">
        <v>343</v>
      </c>
      <c r="F5044" s="12" t="s">
        <v>344</v>
      </c>
      <c r="G5044" s="12" t="s">
        <v>40</v>
      </c>
      <c r="H5044" s="11" t="s">
        <v>63</v>
      </c>
      <c r="I5044" s="13" t="s">
        <v>10870</v>
      </c>
      <c r="J5044" s="14" t="str">
        <f>HYPERLINK("https://www.boe.es/gazeta/dias/1839/05/20/pdfs/GMD-1839-1647.pdf#page=2","Abrir facsímil")</f>
        <v>Abrir facsímil</v>
      </c>
      <c r="K5044" s="12" t="s">
        <v>65</v>
      </c>
    </row>
    <row r="5045" spans="1:11" ht="40.049999999999997" customHeight="1" x14ac:dyDescent="0.25">
      <c r="A5045" s="11" t="s">
        <v>10869</v>
      </c>
      <c r="B5045" s="11" t="s">
        <v>10869</v>
      </c>
      <c r="C5045" s="11" t="s">
        <v>101</v>
      </c>
      <c r="D5045" s="11" t="s">
        <v>102</v>
      </c>
      <c r="E5045" s="12" t="s">
        <v>111</v>
      </c>
      <c r="F5045" s="12" t="s">
        <v>112</v>
      </c>
      <c r="G5045" s="12" t="s">
        <v>29</v>
      </c>
      <c r="H5045" s="11" t="s">
        <v>63</v>
      </c>
      <c r="I5045" s="13" t="s">
        <v>10871</v>
      </c>
      <c r="J5045" s="14" t="str">
        <f>HYPERLINK("https://www.boe.es/gazeta/dias/1839/07/25/pdfs/GMD-1839-1714.pdf#page=1","Abrir facsímil")</f>
        <v>Abrir facsímil</v>
      </c>
      <c r="K5045" s="12" t="s">
        <v>65</v>
      </c>
    </row>
    <row r="5046" spans="1:11" ht="40.049999999999997" customHeight="1" x14ac:dyDescent="0.25">
      <c r="A5046" s="11" t="s">
        <v>10872</v>
      </c>
      <c r="B5046" s="11" t="s">
        <v>10873</v>
      </c>
      <c r="C5046" s="11" t="s">
        <v>17</v>
      </c>
      <c r="D5046" s="11" t="s">
        <v>43</v>
      </c>
      <c r="E5046" s="12" t="s">
        <v>1136</v>
      </c>
      <c r="F5046" s="12" t="s">
        <v>1137</v>
      </c>
      <c r="G5046" s="12" t="s">
        <v>21</v>
      </c>
      <c r="H5046" s="11" t="s">
        <v>63</v>
      </c>
      <c r="I5046" s="13" t="s">
        <v>10874</v>
      </c>
      <c r="J5046" s="14" t="str">
        <f>HYPERLINK("https://www.boe.es/gazeta/dias/1839/04/03/pdfs/GMD-1839-1600.pdf#page=4","Abrir facsímil")</f>
        <v>Abrir facsímil</v>
      </c>
      <c r="K5046" s="12" t="s">
        <v>65</v>
      </c>
    </row>
    <row r="5047" spans="1:11" ht="40.049999999999997" customHeight="1" x14ac:dyDescent="0.25">
      <c r="A5047" s="11" t="s">
        <v>10875</v>
      </c>
      <c r="B5047" s="11" t="s">
        <v>10876</v>
      </c>
      <c r="C5047" s="11" t="s">
        <v>17</v>
      </c>
      <c r="D5047" s="11" t="s">
        <v>18</v>
      </c>
      <c r="E5047" s="12" t="s">
        <v>616</v>
      </c>
      <c r="F5047" s="12" t="s">
        <v>617</v>
      </c>
      <c r="G5047" s="12" t="s">
        <v>21</v>
      </c>
      <c r="H5047" s="11" t="s">
        <v>63</v>
      </c>
      <c r="I5047" s="13" t="s">
        <v>10877</v>
      </c>
      <c r="J5047" s="14" t="str">
        <f>HYPERLINK("https://www.boe.es/gazeta/dias/1839/05/29/pdfs/GMD-1839-1656.pdf#page=4","Abrir facsímil")</f>
        <v>Abrir facsímil</v>
      </c>
      <c r="K5047" s="12" t="s">
        <v>65</v>
      </c>
    </row>
    <row r="5048" spans="1:11" ht="40.049999999999997" customHeight="1" x14ac:dyDescent="0.25">
      <c r="A5048" s="11" t="s">
        <v>10878</v>
      </c>
      <c r="B5048" s="11" t="s">
        <v>10879</v>
      </c>
      <c r="C5048" s="11" t="s">
        <v>17</v>
      </c>
      <c r="D5048" s="11" t="s">
        <v>18</v>
      </c>
      <c r="E5048" s="12" t="s">
        <v>1287</v>
      </c>
      <c r="F5048" s="12" t="s">
        <v>1288</v>
      </c>
      <c r="G5048" s="12" t="s">
        <v>21</v>
      </c>
      <c r="H5048" s="11" t="s">
        <v>22</v>
      </c>
      <c r="I5048" s="13" t="s">
        <v>10880</v>
      </c>
      <c r="J5048" s="14" t="str">
        <f>HYPERLINK("https://www.boe.es/gazeta/dias/1839/10/30/pdfs/GMD-1839-1816.pdf#page=4","Abrir facsímil")</f>
        <v>Abrir facsímil</v>
      </c>
      <c r="K5048" s="12" t="s">
        <v>24</v>
      </c>
    </row>
    <row r="5049" spans="1:11" ht="40.049999999999997" customHeight="1" x14ac:dyDescent="0.25">
      <c r="A5049" s="11" t="s">
        <v>10881</v>
      </c>
      <c r="B5049" s="11" t="s">
        <v>10881</v>
      </c>
      <c r="C5049" s="11" t="s">
        <v>137</v>
      </c>
      <c r="D5049" s="11" t="s">
        <v>18</v>
      </c>
      <c r="E5049" s="12" t="s">
        <v>3009</v>
      </c>
      <c r="F5049" s="12" t="s">
        <v>3010</v>
      </c>
      <c r="G5049" s="12" t="s">
        <v>29</v>
      </c>
      <c r="H5049" s="11" t="s">
        <v>63</v>
      </c>
      <c r="I5049" s="13" t="s">
        <v>10882</v>
      </c>
      <c r="J5049" s="14" t="str">
        <f>HYPERLINK("https://www.boe.es/gazeta/dias/1839/04/20/pdfs/GMD-1839-1617.pdf#page=1","Abrir facsímil")</f>
        <v>Abrir facsímil</v>
      </c>
      <c r="K5049" s="12" t="s">
        <v>65</v>
      </c>
    </row>
    <row r="5050" spans="1:11" ht="40.049999999999997" customHeight="1" x14ac:dyDescent="0.25">
      <c r="A5050" s="11" t="s">
        <v>10883</v>
      </c>
      <c r="B5050" s="11" t="s">
        <v>10883</v>
      </c>
      <c r="C5050" s="11" t="s">
        <v>59</v>
      </c>
      <c r="D5050" s="11" t="s">
        <v>60</v>
      </c>
      <c r="E5050" s="12" t="s">
        <v>834</v>
      </c>
      <c r="F5050" s="12" t="s">
        <v>835</v>
      </c>
      <c r="G5050" s="12" t="s">
        <v>46</v>
      </c>
      <c r="H5050" s="11" t="s">
        <v>63</v>
      </c>
      <c r="I5050" s="13" t="s">
        <v>10884</v>
      </c>
      <c r="J5050" s="14" t="str">
        <f>HYPERLINK("https://www.boe.es/gazeta/dias/1839/08/17/pdfs/GMD-1839-1737.pdf#page=3","Abrir facsímil")</f>
        <v>Abrir facsímil</v>
      </c>
      <c r="K5050" s="12" t="s">
        <v>65</v>
      </c>
    </row>
    <row r="5051" spans="1:11" ht="40.049999999999997" customHeight="1" x14ac:dyDescent="0.25">
      <c r="A5051" s="11" t="s">
        <v>10885</v>
      </c>
      <c r="B5051" s="11" t="s">
        <v>10885</v>
      </c>
      <c r="C5051" s="11" t="s">
        <v>101</v>
      </c>
      <c r="D5051" s="11" t="s">
        <v>43</v>
      </c>
      <c r="E5051" s="12" t="s">
        <v>507</v>
      </c>
      <c r="F5051" s="12" t="s">
        <v>508</v>
      </c>
      <c r="G5051" s="12" t="s">
        <v>46</v>
      </c>
      <c r="H5051" s="11" t="s">
        <v>63</v>
      </c>
      <c r="I5051" s="13" t="s">
        <v>10886</v>
      </c>
      <c r="J5051" s="14" t="str">
        <f>HYPERLINK("https://www.boe.es/gazeta/dias/1839/08/12/pdfs/GMD-1839-1732.pdf#page=3","Abrir facsímil")</f>
        <v>Abrir facsímil</v>
      </c>
      <c r="K5051" s="12" t="s">
        <v>65</v>
      </c>
    </row>
    <row r="5052" spans="1:11" ht="40.049999999999997" customHeight="1" x14ac:dyDescent="0.25">
      <c r="A5052" s="11" t="s">
        <v>10885</v>
      </c>
      <c r="B5052" s="11" t="s">
        <v>10885</v>
      </c>
      <c r="C5052" s="11" t="s">
        <v>80</v>
      </c>
      <c r="D5052" s="11" t="s">
        <v>18</v>
      </c>
      <c r="E5052" s="12" t="s">
        <v>507</v>
      </c>
      <c r="F5052" s="12" t="s">
        <v>508</v>
      </c>
      <c r="G5052" s="12" t="s">
        <v>21</v>
      </c>
      <c r="H5052" s="11" t="s">
        <v>63</v>
      </c>
      <c r="I5052" s="13" t="s">
        <v>10887</v>
      </c>
      <c r="J5052" s="14" t="str">
        <f>HYPERLINK("https://www.boe.es/gazeta/dias/1839/08/12/pdfs/GMD-1839-1732.pdf#page=4","Abrir facsímil")</f>
        <v>Abrir facsímil</v>
      </c>
      <c r="K5052" s="12" t="s">
        <v>65</v>
      </c>
    </row>
    <row r="5053" spans="1:11" ht="40.049999999999997" customHeight="1" x14ac:dyDescent="0.25">
      <c r="A5053" s="11" t="s">
        <v>10888</v>
      </c>
      <c r="B5053" s="11" t="s">
        <v>10889</v>
      </c>
      <c r="C5053" s="11" t="s">
        <v>17</v>
      </c>
      <c r="D5053" s="11" t="s">
        <v>18</v>
      </c>
      <c r="E5053" s="12" t="s">
        <v>507</v>
      </c>
      <c r="F5053" s="12" t="s">
        <v>508</v>
      </c>
      <c r="G5053" s="12" t="s">
        <v>46</v>
      </c>
      <c r="H5053" s="11" t="s">
        <v>63</v>
      </c>
      <c r="I5053" s="13" t="s">
        <v>10890</v>
      </c>
      <c r="J5053" s="14" t="str">
        <f>HYPERLINK("https://www.boe.es/gazeta/dias/1839/08/12/pdfs/GMD-1839-1732.pdf#page=3","Abrir facsímil")</f>
        <v>Abrir facsímil</v>
      </c>
      <c r="K5053" s="12" t="s">
        <v>65</v>
      </c>
    </row>
    <row r="5054" spans="1:11" ht="40.049999999999997" customHeight="1" x14ac:dyDescent="0.25">
      <c r="A5054" s="11" t="s">
        <v>10891</v>
      </c>
      <c r="B5054" s="11" t="s">
        <v>10892</v>
      </c>
      <c r="C5054" s="11" t="s">
        <v>80</v>
      </c>
      <c r="D5054" s="11" t="s">
        <v>18</v>
      </c>
      <c r="E5054" s="12" t="s">
        <v>132</v>
      </c>
      <c r="F5054" s="12" t="s">
        <v>133</v>
      </c>
      <c r="G5054" s="12" t="s">
        <v>21</v>
      </c>
      <c r="H5054" s="11" t="s">
        <v>22</v>
      </c>
      <c r="I5054" s="13" t="s">
        <v>10893</v>
      </c>
      <c r="J5054" s="14" t="str">
        <f>HYPERLINK("https://www.boe.es/gazeta/dias/1839/08/02/pdfs/GMD-1839-1722.pdf#page=4","Abrir facsímil")</f>
        <v>Abrir facsímil</v>
      </c>
      <c r="K5054" s="12" t="s">
        <v>24</v>
      </c>
    </row>
    <row r="5055" spans="1:11" ht="40.049999999999997" customHeight="1" x14ac:dyDescent="0.25">
      <c r="A5055" s="11" t="s">
        <v>10891</v>
      </c>
      <c r="B5055" s="11" t="s">
        <v>10892</v>
      </c>
      <c r="C5055" s="11" t="s">
        <v>17</v>
      </c>
      <c r="D5055" s="11" t="s">
        <v>18</v>
      </c>
      <c r="E5055" s="12" t="s">
        <v>2482</v>
      </c>
      <c r="F5055" s="12" t="s">
        <v>2483</v>
      </c>
      <c r="G5055" s="12" t="s">
        <v>21</v>
      </c>
      <c r="H5055" s="11" t="s">
        <v>22</v>
      </c>
      <c r="I5055" s="13" t="s">
        <v>10894</v>
      </c>
      <c r="J5055" s="14" t="str">
        <f>HYPERLINK("https://www.boe.es/gazeta/dias/1839/07/07/pdfs/GMD-1839-1695.pdf#page=4","Abrir facsímil")</f>
        <v>Abrir facsímil</v>
      </c>
      <c r="K5055" s="12" t="s">
        <v>24</v>
      </c>
    </row>
    <row r="5056" spans="1:11" ht="40.049999999999997" customHeight="1" x14ac:dyDescent="0.25">
      <c r="A5056" s="11" t="s">
        <v>10891</v>
      </c>
      <c r="B5056" s="11" t="s">
        <v>10892</v>
      </c>
      <c r="C5056" s="11" t="s">
        <v>80</v>
      </c>
      <c r="D5056" s="11" t="s">
        <v>18</v>
      </c>
      <c r="E5056" s="12" t="s">
        <v>1562</v>
      </c>
      <c r="F5056" s="12" t="s">
        <v>1563</v>
      </c>
      <c r="G5056" s="12" t="s">
        <v>21</v>
      </c>
      <c r="H5056" s="11" t="s">
        <v>22</v>
      </c>
      <c r="I5056" s="13" t="s">
        <v>10895</v>
      </c>
      <c r="J5056" s="14" t="str">
        <f>HYPERLINK("https://www.boe.es/gazeta/dias/1839/04/08/pdfs/GMD-1839-1605.pdf#page=4","Abrir facsímil")</f>
        <v>Abrir facsímil</v>
      </c>
      <c r="K5056" s="12" t="s">
        <v>24</v>
      </c>
    </row>
    <row r="5057" spans="1:11" ht="40.049999999999997" customHeight="1" x14ac:dyDescent="0.25">
      <c r="A5057" s="11" t="s">
        <v>10891</v>
      </c>
      <c r="B5057" s="11" t="s">
        <v>10892</v>
      </c>
      <c r="C5057" s="11" t="s">
        <v>137</v>
      </c>
      <c r="D5057" s="11" t="s">
        <v>18</v>
      </c>
      <c r="E5057" s="12" t="s">
        <v>372</v>
      </c>
      <c r="F5057" s="12" t="s">
        <v>373</v>
      </c>
      <c r="G5057" s="12" t="s">
        <v>21</v>
      </c>
      <c r="H5057" s="11" t="s">
        <v>22</v>
      </c>
      <c r="I5057" s="13" t="s">
        <v>10896</v>
      </c>
      <c r="J5057" s="14" t="str">
        <f>HYPERLINK("https://www.boe.es/gazeta/dias/1839/11/08/pdfs/GMD-1839-1825.pdf#page=4","Abrir facsímil")</f>
        <v>Abrir facsímil</v>
      </c>
      <c r="K5057" s="12" t="s">
        <v>24</v>
      </c>
    </row>
    <row r="5058" spans="1:11" ht="40.049999999999997" customHeight="1" x14ac:dyDescent="0.25">
      <c r="A5058" s="11" t="s">
        <v>10891</v>
      </c>
      <c r="B5058" s="11" t="s">
        <v>10892</v>
      </c>
      <c r="C5058" s="11" t="s">
        <v>137</v>
      </c>
      <c r="D5058" s="11" t="s">
        <v>18</v>
      </c>
      <c r="E5058" s="12" t="s">
        <v>272</v>
      </c>
      <c r="F5058" s="12" t="s">
        <v>273</v>
      </c>
      <c r="G5058" s="12" t="s">
        <v>29</v>
      </c>
      <c r="H5058" s="11" t="s">
        <v>22</v>
      </c>
      <c r="I5058" s="13" t="s">
        <v>10897</v>
      </c>
      <c r="J5058" s="14" t="str">
        <f>HYPERLINK("https://www.boe.es/gazeta/dias/1839/02/12/pdfs/GMD-1839-1550.pdf#page=1","Abrir facsímil")</f>
        <v>Abrir facsímil</v>
      </c>
      <c r="K5058" s="12" t="s">
        <v>24</v>
      </c>
    </row>
    <row r="5059" spans="1:11" ht="40.049999999999997" customHeight="1" x14ac:dyDescent="0.25">
      <c r="A5059" s="11" t="s">
        <v>10891</v>
      </c>
      <c r="B5059" s="11" t="s">
        <v>10892</v>
      </c>
      <c r="C5059" s="11" t="s">
        <v>17</v>
      </c>
      <c r="D5059" s="11" t="s">
        <v>18</v>
      </c>
      <c r="E5059" s="12" t="s">
        <v>355</v>
      </c>
      <c r="F5059" s="12" t="s">
        <v>356</v>
      </c>
      <c r="G5059" s="12" t="s">
        <v>21</v>
      </c>
      <c r="H5059" s="11" t="s">
        <v>22</v>
      </c>
      <c r="I5059" s="13" t="s">
        <v>10898</v>
      </c>
      <c r="J5059" s="14" t="str">
        <f>HYPERLINK("https://www.boe.es/gazeta/dias/1839/05/31/pdfs/GMD-1839-1658.pdf#page=4","Abrir facsímil")</f>
        <v>Abrir facsímil</v>
      </c>
      <c r="K5059" s="12" t="s">
        <v>24</v>
      </c>
    </row>
    <row r="5060" spans="1:11" ht="40.049999999999997" customHeight="1" x14ac:dyDescent="0.25">
      <c r="A5060" s="11" t="s">
        <v>10899</v>
      </c>
      <c r="B5060" s="11" t="s">
        <v>10900</v>
      </c>
      <c r="C5060" s="11" t="s">
        <v>17</v>
      </c>
      <c r="D5060" s="11" t="s">
        <v>18</v>
      </c>
      <c r="E5060" s="12" t="s">
        <v>1149</v>
      </c>
      <c r="F5060" s="12" t="s">
        <v>1150</v>
      </c>
      <c r="G5060" s="12" t="s">
        <v>21</v>
      </c>
      <c r="H5060" s="11" t="s">
        <v>63</v>
      </c>
      <c r="I5060" s="13" t="s">
        <v>10901</v>
      </c>
      <c r="J5060" s="14" t="str">
        <f>HYPERLINK("https://www.boe.es/gazeta/dias/1839/06/25/pdfs/GMD-1839-1683.pdf#page=4","Abrir facsímil")</f>
        <v>Abrir facsímil</v>
      </c>
      <c r="K5060" s="12" t="s">
        <v>65</v>
      </c>
    </row>
    <row r="5061" spans="1:11" ht="40.049999999999997" customHeight="1" x14ac:dyDescent="0.25">
      <c r="A5061" s="11" t="s">
        <v>10899</v>
      </c>
      <c r="B5061" s="11" t="s">
        <v>10900</v>
      </c>
      <c r="C5061" s="11" t="s">
        <v>137</v>
      </c>
      <c r="D5061" s="11" t="s">
        <v>18</v>
      </c>
      <c r="E5061" s="12" t="s">
        <v>2463</v>
      </c>
      <c r="F5061" s="12" t="s">
        <v>2464</v>
      </c>
      <c r="G5061" s="12" t="s">
        <v>21</v>
      </c>
      <c r="H5061" s="11" t="s">
        <v>63</v>
      </c>
      <c r="I5061" s="13" t="s">
        <v>10902</v>
      </c>
      <c r="J5061" s="14" t="str">
        <f>HYPERLINK("https://www.boe.es/gazeta/dias/1839/04/26/pdfs/GMD-1839-1623.pdf#page=4","Abrir facsímil")</f>
        <v>Abrir facsímil</v>
      </c>
      <c r="K5061" s="12" t="s">
        <v>65</v>
      </c>
    </row>
    <row r="5062" spans="1:11" ht="40.049999999999997" customHeight="1" x14ac:dyDescent="0.25">
      <c r="A5062" s="11" t="s">
        <v>10903</v>
      </c>
      <c r="B5062" s="11" t="s">
        <v>10903</v>
      </c>
      <c r="C5062" s="11" t="s">
        <v>17</v>
      </c>
      <c r="D5062" s="11" t="s">
        <v>18</v>
      </c>
      <c r="E5062" s="12" t="s">
        <v>2658</v>
      </c>
      <c r="F5062" s="12" t="s">
        <v>2659</v>
      </c>
      <c r="G5062" s="12" t="s">
        <v>46</v>
      </c>
      <c r="H5062" s="11" t="s">
        <v>63</v>
      </c>
      <c r="I5062" s="13" t="s">
        <v>10904</v>
      </c>
      <c r="J5062" s="14" t="str">
        <f>HYPERLINK("https://www.boe.es/gazeta/dias/1839/06/27/pdfs/GMD-1839-1685.pdf#page=3","Abrir facsímil")</f>
        <v>Abrir facsímil</v>
      </c>
      <c r="K5062" s="12" t="s">
        <v>65</v>
      </c>
    </row>
    <row r="5063" spans="1:11" ht="40.049999999999997" customHeight="1" x14ac:dyDescent="0.25">
      <c r="A5063" s="11" t="s">
        <v>10905</v>
      </c>
      <c r="B5063" s="11" t="s">
        <v>10906</v>
      </c>
      <c r="C5063" s="11" t="s">
        <v>80</v>
      </c>
      <c r="D5063" s="11" t="s">
        <v>18</v>
      </c>
      <c r="E5063" s="12" t="s">
        <v>782</v>
      </c>
      <c r="F5063" s="12" t="s">
        <v>783</v>
      </c>
      <c r="G5063" s="12" t="s">
        <v>21</v>
      </c>
      <c r="H5063" s="11" t="s">
        <v>22</v>
      </c>
      <c r="I5063" s="13" t="s">
        <v>10907</v>
      </c>
      <c r="J5063" s="14" t="str">
        <f>HYPERLINK("https://www.boe.es/gazeta/dias/1839/05/09/pdfs/GMD-1839-1636.pdf#page=4","Abrir facsímil")</f>
        <v>Abrir facsímil</v>
      </c>
      <c r="K5063" s="12" t="s">
        <v>24</v>
      </c>
    </row>
    <row r="5064" spans="1:11" ht="40.049999999999997" customHeight="1" x14ac:dyDescent="0.25">
      <c r="A5064" s="11" t="s">
        <v>10908</v>
      </c>
      <c r="B5064" s="11" t="s">
        <v>10908</v>
      </c>
      <c r="C5064" s="11" t="s">
        <v>17</v>
      </c>
      <c r="D5064" s="11" t="s">
        <v>18</v>
      </c>
      <c r="E5064" s="12" t="s">
        <v>992</v>
      </c>
      <c r="F5064" s="12" t="s">
        <v>993</v>
      </c>
      <c r="G5064" s="12" t="s">
        <v>40</v>
      </c>
      <c r="H5064" s="11" t="s">
        <v>63</v>
      </c>
      <c r="I5064" s="13" t="s">
        <v>10909</v>
      </c>
      <c r="J5064" s="14" t="str">
        <f>HYPERLINK("https://www.boe.es/gazeta/dias/1839/02/18/pdfs/GMD-1839-1556.pdf#page=2","Abrir facsímil")</f>
        <v>Abrir facsímil</v>
      </c>
      <c r="K5064" s="12" t="s">
        <v>65</v>
      </c>
    </row>
    <row r="5065" spans="1:11" ht="40.049999999999997" customHeight="1" x14ac:dyDescent="0.25">
      <c r="A5065" s="11" t="s">
        <v>10908</v>
      </c>
      <c r="B5065" s="11" t="s">
        <v>10908</v>
      </c>
      <c r="C5065" s="11" t="s">
        <v>17</v>
      </c>
      <c r="D5065" s="11" t="s">
        <v>18</v>
      </c>
      <c r="E5065" s="12" t="s">
        <v>775</v>
      </c>
      <c r="F5065" s="12" t="s">
        <v>776</v>
      </c>
      <c r="G5065" s="12" t="s">
        <v>40</v>
      </c>
      <c r="H5065" s="11" t="s">
        <v>63</v>
      </c>
      <c r="I5065" s="13" t="s">
        <v>10910</v>
      </c>
      <c r="J5065" s="14" t="str">
        <f>HYPERLINK("https://www.boe.es/gazeta/dias/1839/02/25/pdfs/GMD-1839-1563.pdf#page=2","Abrir facsímil")</f>
        <v>Abrir facsímil</v>
      </c>
      <c r="K5065" s="12" t="s">
        <v>65</v>
      </c>
    </row>
    <row r="5066" spans="1:11" ht="40.049999999999997" customHeight="1" x14ac:dyDescent="0.25">
      <c r="A5066" s="11" t="s">
        <v>10911</v>
      </c>
      <c r="B5066" s="11" t="s">
        <v>10911</v>
      </c>
      <c r="C5066" s="11" t="s">
        <v>17</v>
      </c>
      <c r="D5066" s="11" t="s">
        <v>18</v>
      </c>
      <c r="E5066" s="12" t="s">
        <v>1512</v>
      </c>
      <c r="F5066" s="12" t="s">
        <v>1513</v>
      </c>
      <c r="G5066" s="12" t="s">
        <v>40</v>
      </c>
      <c r="H5066" s="11" t="s">
        <v>63</v>
      </c>
      <c r="I5066" s="13" t="s">
        <v>10912</v>
      </c>
      <c r="J5066" s="14" t="str">
        <f>HYPERLINK("https://www.boe.es/gazeta/dias/1839/04/13/pdfs/GMD-1839-1610.pdf#page=2","Abrir facsímil")</f>
        <v>Abrir facsímil</v>
      </c>
      <c r="K5066" s="12" t="s">
        <v>65</v>
      </c>
    </row>
    <row r="5067" spans="1:11" ht="40.049999999999997" customHeight="1" x14ac:dyDescent="0.25">
      <c r="A5067" s="11" t="s">
        <v>10913</v>
      </c>
      <c r="B5067" s="11" t="s">
        <v>10913</v>
      </c>
      <c r="C5067" s="11" t="s">
        <v>17</v>
      </c>
      <c r="D5067" s="11" t="s">
        <v>18</v>
      </c>
      <c r="E5067" s="12" t="s">
        <v>621</v>
      </c>
      <c r="F5067" s="12" t="s">
        <v>622</v>
      </c>
      <c r="G5067" s="12" t="s">
        <v>40</v>
      </c>
      <c r="H5067" s="11" t="s">
        <v>63</v>
      </c>
      <c r="I5067" s="13" t="s">
        <v>10914</v>
      </c>
      <c r="J5067" s="14" t="str">
        <f>HYPERLINK("https://www.boe.es/gazeta/dias/1839/04/14/pdfs/GMD-1839-1611.pdf#page=2","Abrir facsímil")</f>
        <v>Abrir facsímil</v>
      </c>
      <c r="K5067" s="12" t="s">
        <v>65</v>
      </c>
    </row>
    <row r="5068" spans="1:11" ht="40.049999999999997" customHeight="1" x14ac:dyDescent="0.25">
      <c r="A5068" s="11" t="s">
        <v>10915</v>
      </c>
      <c r="B5068" s="11" t="s">
        <v>10915</v>
      </c>
      <c r="C5068" s="11" t="s">
        <v>17</v>
      </c>
      <c r="D5068" s="11" t="s">
        <v>18</v>
      </c>
      <c r="E5068" s="12" t="s">
        <v>4472</v>
      </c>
      <c r="F5068" s="12" t="s">
        <v>4473</v>
      </c>
      <c r="G5068" s="12" t="s">
        <v>29</v>
      </c>
      <c r="H5068" s="11" t="s">
        <v>63</v>
      </c>
      <c r="I5068" s="13" t="s">
        <v>10916</v>
      </c>
      <c r="J5068" s="14" t="str">
        <f>HYPERLINK("https://www.boe.es/gazeta/dias/1839/08/03/pdfs/GMD-1839-1723.pdf#page=1","Abrir facsímil")</f>
        <v>Abrir facsímil</v>
      </c>
      <c r="K5068" s="12" t="s">
        <v>65</v>
      </c>
    </row>
    <row r="5069" spans="1:11" ht="40.049999999999997" customHeight="1" x14ac:dyDescent="0.25">
      <c r="A5069" s="11" t="s">
        <v>10915</v>
      </c>
      <c r="B5069" s="11" t="s">
        <v>10915</v>
      </c>
      <c r="C5069" s="11" t="s">
        <v>80</v>
      </c>
      <c r="D5069" s="11" t="s">
        <v>18</v>
      </c>
      <c r="E5069" s="12" t="s">
        <v>1100</v>
      </c>
      <c r="F5069" s="12" t="s">
        <v>1101</v>
      </c>
      <c r="G5069" s="12" t="s">
        <v>21</v>
      </c>
      <c r="H5069" s="11" t="s">
        <v>63</v>
      </c>
      <c r="I5069" s="13" t="s">
        <v>10917</v>
      </c>
      <c r="J5069" s="14" t="str">
        <f>HYPERLINK("https://www.boe.es/gazeta/dias/1839/09/13/pdfs/GMD-1839-1766.pdf#page=4","Abrir facsímil")</f>
        <v>Abrir facsímil</v>
      </c>
      <c r="K5069" s="12" t="s">
        <v>65</v>
      </c>
    </row>
    <row r="5070" spans="1:11" ht="40.049999999999997" customHeight="1" x14ac:dyDescent="0.25">
      <c r="A5070" s="11" t="s">
        <v>10918</v>
      </c>
      <c r="B5070" s="11" t="s">
        <v>10919</v>
      </c>
      <c r="C5070" s="11" t="s">
        <v>59</v>
      </c>
      <c r="D5070" s="11" t="s">
        <v>60</v>
      </c>
      <c r="E5070" s="12" t="s">
        <v>984</v>
      </c>
      <c r="F5070" s="12" t="s">
        <v>985</v>
      </c>
      <c r="G5070" s="12" t="s">
        <v>21</v>
      </c>
      <c r="H5070" s="11" t="s">
        <v>63</v>
      </c>
      <c r="I5070" s="13" t="s">
        <v>10920</v>
      </c>
      <c r="J5070" s="14" t="str">
        <f>HYPERLINK("https://www.boe.es/gazeta/dias/1839/04/10/pdfs/GMD-1839-1607.pdf#page=4","Abrir facsímil")</f>
        <v>Abrir facsímil</v>
      </c>
      <c r="K5070" s="12" t="s">
        <v>65</v>
      </c>
    </row>
    <row r="5071" spans="1:11" ht="40.049999999999997" customHeight="1" x14ac:dyDescent="0.25">
      <c r="A5071" s="11" t="s">
        <v>10921</v>
      </c>
      <c r="B5071" s="11" t="s">
        <v>10921</v>
      </c>
      <c r="C5071" s="11" t="s">
        <v>59</v>
      </c>
      <c r="D5071" s="11" t="s">
        <v>60</v>
      </c>
      <c r="E5071" s="12" t="s">
        <v>2117</v>
      </c>
      <c r="F5071" s="12" t="s">
        <v>2118</v>
      </c>
      <c r="G5071" s="12" t="s">
        <v>40</v>
      </c>
      <c r="H5071" s="11" t="s">
        <v>63</v>
      </c>
      <c r="I5071" s="13" t="s">
        <v>10922</v>
      </c>
      <c r="J5071" s="14" t="str">
        <f>HYPERLINK("https://www.boe.es/gazeta/dias/1839/06/23/pdfs/GMD-1839-1681.pdf#page=2","Abrir facsímil")</f>
        <v>Abrir facsímil</v>
      </c>
      <c r="K5071" s="12" t="s">
        <v>65</v>
      </c>
    </row>
    <row r="5072" spans="1:11" ht="40.049999999999997" customHeight="1" x14ac:dyDescent="0.25">
      <c r="A5072" s="11" t="s">
        <v>10923</v>
      </c>
      <c r="B5072" s="11" t="s">
        <v>10924</v>
      </c>
      <c r="C5072" s="11" t="s">
        <v>17</v>
      </c>
      <c r="D5072" s="11" t="s">
        <v>18</v>
      </c>
      <c r="E5072" s="12" t="s">
        <v>1517</v>
      </c>
      <c r="F5072" s="12" t="s">
        <v>1518</v>
      </c>
      <c r="G5072" s="12" t="s">
        <v>46</v>
      </c>
      <c r="H5072" s="11" t="s">
        <v>63</v>
      </c>
      <c r="I5072" s="13" t="s">
        <v>10925</v>
      </c>
      <c r="J5072" s="14" t="str">
        <f>HYPERLINK("https://www.boe.es/gazeta/dias/1839/12/20/pdfs/GMD-1839-1867.pdf#page=3","Abrir facsímil")</f>
        <v>Abrir facsímil</v>
      </c>
      <c r="K5072" s="12" t="s">
        <v>65</v>
      </c>
    </row>
    <row r="5073" spans="1:11" ht="40.049999999999997" customHeight="1" x14ac:dyDescent="0.25">
      <c r="A5073" s="11" t="s">
        <v>10926</v>
      </c>
      <c r="B5073" s="11" t="s">
        <v>10927</v>
      </c>
      <c r="C5073" s="11" t="s">
        <v>17</v>
      </c>
      <c r="D5073" s="11" t="s">
        <v>18</v>
      </c>
      <c r="E5073" s="12" t="s">
        <v>798</v>
      </c>
      <c r="F5073" s="12" t="s">
        <v>799</v>
      </c>
      <c r="G5073" s="12" t="s">
        <v>21</v>
      </c>
      <c r="H5073" s="11" t="s">
        <v>22</v>
      </c>
      <c r="I5073" s="13" t="s">
        <v>10928</v>
      </c>
      <c r="J5073" s="14" t="str">
        <f>HYPERLINK("https://www.boe.es/gazeta/dias/1839/09/03/pdfs/GMD-1839-1755.pdf#page=4","Abrir facsímil")</f>
        <v>Abrir facsímil</v>
      </c>
      <c r="K5073" s="12" t="s">
        <v>24</v>
      </c>
    </row>
    <row r="5074" spans="1:11" ht="40.049999999999997" customHeight="1" x14ac:dyDescent="0.25">
      <c r="A5074" s="11" t="s">
        <v>10929</v>
      </c>
      <c r="B5074" s="11" t="s">
        <v>10930</v>
      </c>
      <c r="C5074" s="11" t="s">
        <v>137</v>
      </c>
      <c r="D5074" s="11" t="s">
        <v>18</v>
      </c>
      <c r="E5074" s="12" t="s">
        <v>918</v>
      </c>
      <c r="F5074" s="12" t="s">
        <v>919</v>
      </c>
      <c r="G5074" s="12" t="s">
        <v>21</v>
      </c>
      <c r="H5074" s="11" t="s">
        <v>63</v>
      </c>
      <c r="I5074" s="13" t="s">
        <v>10931</v>
      </c>
      <c r="J5074" s="14" t="str">
        <f>HYPERLINK("https://www.boe.es/gazeta/dias/1839/12/07/pdfs/GMD-1839-1854.pdf#page=4","Abrir facsímil")</f>
        <v>Abrir facsímil</v>
      </c>
      <c r="K5074" s="12" t="s">
        <v>65</v>
      </c>
    </row>
    <row r="5075" spans="1:11" ht="40.049999999999997" customHeight="1" x14ac:dyDescent="0.25">
      <c r="A5075" s="11" t="s">
        <v>10929</v>
      </c>
      <c r="B5075" s="11" t="s">
        <v>10930</v>
      </c>
      <c r="C5075" s="11" t="s">
        <v>80</v>
      </c>
      <c r="D5075" s="11" t="s">
        <v>18</v>
      </c>
      <c r="E5075" s="12" t="s">
        <v>1895</v>
      </c>
      <c r="F5075" s="12" t="s">
        <v>1896</v>
      </c>
      <c r="G5075" s="12" t="s">
        <v>46</v>
      </c>
      <c r="H5075" s="11" t="s">
        <v>63</v>
      </c>
      <c r="I5075" s="13" t="s">
        <v>10932</v>
      </c>
      <c r="J5075" s="14" t="str">
        <f>HYPERLINK("https://www.boe.es/gazeta/dias/1839/12/23/pdfs/GMD-1839-1870.pdf#page=3","Abrir facsímil")</f>
        <v>Abrir facsímil</v>
      </c>
      <c r="K5075" s="12" t="s">
        <v>65</v>
      </c>
    </row>
    <row r="5076" spans="1:11" ht="40.049999999999997" customHeight="1" x14ac:dyDescent="0.25">
      <c r="A5076" s="11" t="s">
        <v>10933</v>
      </c>
      <c r="B5076" s="11" t="s">
        <v>10934</v>
      </c>
      <c r="C5076" s="11" t="s">
        <v>17</v>
      </c>
      <c r="D5076" s="11" t="s">
        <v>18</v>
      </c>
      <c r="E5076" s="12" t="s">
        <v>84</v>
      </c>
      <c r="F5076" s="12" t="s">
        <v>85</v>
      </c>
      <c r="G5076" s="12" t="s">
        <v>21</v>
      </c>
      <c r="H5076" s="11" t="s">
        <v>63</v>
      </c>
      <c r="I5076" s="13" t="s">
        <v>10935</v>
      </c>
      <c r="J5076" s="14" t="str">
        <f>HYPERLINK("https://www.boe.es/gazeta/dias/1839/03/11/pdfs/GMD-1839-1577.pdf#page=4","Abrir facsímil")</f>
        <v>Abrir facsímil</v>
      </c>
      <c r="K5076" s="12" t="s">
        <v>65</v>
      </c>
    </row>
    <row r="5077" spans="1:11" ht="40.049999999999997" customHeight="1" x14ac:dyDescent="0.25">
      <c r="A5077" s="11" t="s">
        <v>10936</v>
      </c>
      <c r="B5077" s="11" t="s">
        <v>10937</v>
      </c>
      <c r="C5077" s="11" t="s">
        <v>17</v>
      </c>
      <c r="D5077" s="11" t="s">
        <v>18</v>
      </c>
      <c r="E5077" s="12" t="s">
        <v>185</v>
      </c>
      <c r="F5077" s="12" t="s">
        <v>186</v>
      </c>
      <c r="G5077" s="12" t="s">
        <v>21</v>
      </c>
      <c r="H5077" s="11" t="s">
        <v>63</v>
      </c>
      <c r="I5077" s="13" t="s">
        <v>10938</v>
      </c>
      <c r="J5077" s="14" t="str">
        <f>HYPERLINK("https://www.boe.es/gazeta/dias/1839/01/15/pdfs/GMD-1839-1522.pdf#page=4","Abrir facsímil")</f>
        <v>Abrir facsímil</v>
      </c>
      <c r="K5077" s="12" t="s">
        <v>65</v>
      </c>
    </row>
    <row r="5078" spans="1:11" ht="40.049999999999997" customHeight="1" x14ac:dyDescent="0.25">
      <c r="A5078" s="11" t="s">
        <v>10939</v>
      </c>
      <c r="B5078" s="11" t="s">
        <v>10940</v>
      </c>
      <c r="C5078" s="11" t="s">
        <v>17</v>
      </c>
      <c r="D5078" s="11" t="s">
        <v>18</v>
      </c>
      <c r="E5078" s="12" t="s">
        <v>1460</v>
      </c>
      <c r="F5078" s="12" t="s">
        <v>1461</v>
      </c>
      <c r="G5078" s="12" t="s">
        <v>21</v>
      </c>
      <c r="H5078" s="11" t="s">
        <v>63</v>
      </c>
      <c r="I5078" s="13" t="s">
        <v>10941</v>
      </c>
      <c r="J5078" s="14" t="str">
        <f>HYPERLINK("https://www.boe.es/gazeta/dias/1839/03/01/pdfs/GMD-1839-1567.pdf#page=4","Abrir facsímil")</f>
        <v>Abrir facsímil</v>
      </c>
      <c r="K5078" s="12" t="s">
        <v>65</v>
      </c>
    </row>
    <row r="5079" spans="1:11" ht="40.049999999999997" customHeight="1" x14ac:dyDescent="0.25">
      <c r="A5079" s="11" t="s">
        <v>10942</v>
      </c>
      <c r="B5079" s="11" t="s">
        <v>10943</v>
      </c>
      <c r="C5079" s="11" t="s">
        <v>59</v>
      </c>
      <c r="D5079" s="11" t="s">
        <v>60</v>
      </c>
      <c r="E5079" s="12" t="s">
        <v>1679</v>
      </c>
      <c r="F5079" s="12" t="s">
        <v>1680</v>
      </c>
      <c r="G5079" s="12" t="s">
        <v>29</v>
      </c>
      <c r="H5079" s="11" t="s">
        <v>63</v>
      </c>
      <c r="I5079" s="13" t="s">
        <v>10944</v>
      </c>
      <c r="J5079" s="14" t="str">
        <f>HYPERLINK("https://www.boe.es/gazeta/dias/1839/01/26/pdfs/GMD-1839-1533.pdf#page=1","Abrir facsímil")</f>
        <v>Abrir facsímil</v>
      </c>
      <c r="K5079" s="12" t="s">
        <v>65</v>
      </c>
    </row>
    <row r="5080" spans="1:11" ht="40.049999999999997" customHeight="1" x14ac:dyDescent="0.25">
      <c r="A5080" s="11" t="s">
        <v>10945</v>
      </c>
      <c r="B5080" s="11" t="s">
        <v>10946</v>
      </c>
      <c r="C5080" s="11" t="s">
        <v>17</v>
      </c>
      <c r="D5080" s="11" t="s">
        <v>18</v>
      </c>
      <c r="E5080" s="12" t="s">
        <v>992</v>
      </c>
      <c r="F5080" s="12" t="s">
        <v>993</v>
      </c>
      <c r="G5080" s="12" t="s">
        <v>46</v>
      </c>
      <c r="H5080" s="11" t="s">
        <v>63</v>
      </c>
      <c r="I5080" s="13" t="s">
        <v>10947</v>
      </c>
      <c r="J5080" s="14" t="str">
        <f>HYPERLINK("https://www.boe.es/gazeta/dias/1839/02/18/pdfs/GMD-1839-1556.pdf#page=3","Abrir facsímil")</f>
        <v>Abrir facsímil</v>
      </c>
      <c r="K5080" s="12" t="s">
        <v>65</v>
      </c>
    </row>
    <row r="5081" spans="1:11" ht="40.049999999999997" customHeight="1" x14ac:dyDescent="0.25">
      <c r="A5081" s="11" t="s">
        <v>10948</v>
      </c>
      <c r="B5081" s="11" t="s">
        <v>10949</v>
      </c>
      <c r="C5081" s="11" t="s">
        <v>80</v>
      </c>
      <c r="D5081" s="11" t="s">
        <v>18</v>
      </c>
      <c r="E5081" s="12" t="s">
        <v>2452</v>
      </c>
      <c r="F5081" s="12" t="s">
        <v>2453</v>
      </c>
      <c r="G5081" s="12" t="s">
        <v>46</v>
      </c>
      <c r="H5081" s="11" t="s">
        <v>63</v>
      </c>
      <c r="I5081" s="13" t="s">
        <v>10950</v>
      </c>
      <c r="J5081" s="14" t="str">
        <f>HYPERLINK("https://www.boe.es/gazeta/dias/1839/11/14/pdfs/GMD-1839-1831.pdf#page=3","Abrir facsímil")</f>
        <v>Abrir facsímil</v>
      </c>
      <c r="K5081" s="12" t="s">
        <v>65</v>
      </c>
    </row>
    <row r="5082" spans="1:11" ht="40.049999999999997" customHeight="1" x14ac:dyDescent="0.25">
      <c r="A5082" s="11" t="s">
        <v>10951</v>
      </c>
      <c r="B5082" s="11" t="s">
        <v>10952</v>
      </c>
      <c r="C5082" s="11" t="s">
        <v>17</v>
      </c>
      <c r="D5082" s="11" t="s">
        <v>18</v>
      </c>
      <c r="E5082" s="12" t="s">
        <v>834</v>
      </c>
      <c r="F5082" s="12" t="s">
        <v>835</v>
      </c>
      <c r="G5082" s="12" t="s">
        <v>40</v>
      </c>
      <c r="H5082" s="11" t="s">
        <v>63</v>
      </c>
      <c r="I5082" s="13" t="s">
        <v>10953</v>
      </c>
      <c r="J5082" s="14" t="str">
        <f>HYPERLINK("https://www.boe.es/gazeta/dias/1839/08/17/pdfs/GMD-1839-1737.pdf#page=2","Abrir facsímil")</f>
        <v>Abrir facsímil</v>
      </c>
      <c r="K5082" s="12" t="s">
        <v>65</v>
      </c>
    </row>
    <row r="5083" spans="1:11" ht="40.049999999999997" customHeight="1" x14ac:dyDescent="0.25">
      <c r="A5083" s="11" t="s">
        <v>10954</v>
      </c>
      <c r="B5083" s="11" t="s">
        <v>10955</v>
      </c>
      <c r="C5083" s="11" t="s">
        <v>80</v>
      </c>
      <c r="D5083" s="11" t="s">
        <v>18</v>
      </c>
      <c r="E5083" s="12" t="s">
        <v>132</v>
      </c>
      <c r="F5083" s="12" t="s">
        <v>133</v>
      </c>
      <c r="G5083" s="12" t="s">
        <v>46</v>
      </c>
      <c r="H5083" s="11" t="s">
        <v>63</v>
      </c>
      <c r="I5083" s="13" t="s">
        <v>10956</v>
      </c>
      <c r="J5083" s="14" t="str">
        <f>HYPERLINK("https://www.boe.es/gazeta/dias/1839/08/02/pdfs/GMD-1839-1722.pdf#page=3","Abrir facsímil")</f>
        <v>Abrir facsímil</v>
      </c>
      <c r="K5083" s="12" t="s">
        <v>65</v>
      </c>
    </row>
    <row r="5084" spans="1:11" ht="40.049999999999997" customHeight="1" x14ac:dyDescent="0.25">
      <c r="A5084" s="11" t="s">
        <v>10954</v>
      </c>
      <c r="B5084" s="11" t="s">
        <v>10955</v>
      </c>
      <c r="C5084" s="11" t="s">
        <v>101</v>
      </c>
      <c r="D5084" s="11" t="s">
        <v>43</v>
      </c>
      <c r="E5084" s="12" t="s">
        <v>862</v>
      </c>
      <c r="F5084" s="12" t="s">
        <v>863</v>
      </c>
      <c r="G5084" s="12" t="s">
        <v>46</v>
      </c>
      <c r="H5084" s="11" t="s">
        <v>63</v>
      </c>
      <c r="I5084" s="13" t="s">
        <v>10957</v>
      </c>
      <c r="J5084" s="14" t="str">
        <f>HYPERLINK("https://www.boe.es/gazeta/dias/1839/10/28/pdfs/GMD-1839-1814.pdf#page=3","Abrir facsímil")</f>
        <v>Abrir facsímil</v>
      </c>
      <c r="K5084" s="12" t="s">
        <v>65</v>
      </c>
    </row>
    <row r="5085" spans="1:11" ht="40.049999999999997" customHeight="1" x14ac:dyDescent="0.25">
      <c r="A5085" s="11" t="s">
        <v>10958</v>
      </c>
      <c r="B5085" s="11" t="s">
        <v>10959</v>
      </c>
      <c r="C5085" s="11" t="s">
        <v>17</v>
      </c>
      <c r="D5085" s="11" t="s">
        <v>18</v>
      </c>
      <c r="E5085" s="12" t="s">
        <v>438</v>
      </c>
      <c r="F5085" s="12" t="s">
        <v>439</v>
      </c>
      <c r="G5085" s="12" t="s">
        <v>40</v>
      </c>
      <c r="H5085" s="11" t="s">
        <v>63</v>
      </c>
      <c r="I5085" s="13" t="s">
        <v>10960</v>
      </c>
      <c r="J5085" s="14" t="str">
        <f>HYPERLINK("https://www.boe.es/gazeta/dias/1839/07/17/pdfs/GMD-1839-1705.pdf#page=2","Abrir facsímil")</f>
        <v>Abrir facsímil</v>
      </c>
      <c r="K5085" s="12" t="s">
        <v>65</v>
      </c>
    </row>
    <row r="5086" spans="1:11" ht="40.049999999999997" customHeight="1" x14ac:dyDescent="0.25">
      <c r="A5086" s="11" t="s">
        <v>10961</v>
      </c>
      <c r="B5086" s="11" t="s">
        <v>10962</v>
      </c>
      <c r="C5086" s="11" t="s">
        <v>137</v>
      </c>
      <c r="D5086" s="11" t="s">
        <v>18</v>
      </c>
      <c r="E5086" s="12" t="s">
        <v>736</v>
      </c>
      <c r="F5086" s="12" t="s">
        <v>737</v>
      </c>
      <c r="G5086" s="12" t="s">
        <v>40</v>
      </c>
      <c r="H5086" s="11" t="s">
        <v>63</v>
      </c>
      <c r="I5086" s="13" t="s">
        <v>10963</v>
      </c>
      <c r="J5086" s="14" t="str">
        <f>HYPERLINK("https://www.boe.es/gazeta/dias/1839/10/13/pdfs/GMD-1839-1799.pdf#page=2","Abrir facsímil")</f>
        <v>Abrir facsímil</v>
      </c>
      <c r="K5086" s="12" t="s">
        <v>65</v>
      </c>
    </row>
    <row r="5087" spans="1:11" ht="40.049999999999997" customHeight="1" x14ac:dyDescent="0.25">
      <c r="A5087" s="11" t="s">
        <v>10964</v>
      </c>
      <c r="B5087" s="11" t="s">
        <v>10965</v>
      </c>
      <c r="C5087" s="11" t="s">
        <v>17</v>
      </c>
      <c r="D5087" s="11" t="s">
        <v>43</v>
      </c>
      <c r="E5087" s="12" t="s">
        <v>375</v>
      </c>
      <c r="F5087" s="12" t="s">
        <v>376</v>
      </c>
      <c r="G5087" s="12" t="s">
        <v>46</v>
      </c>
      <c r="H5087" s="11" t="s">
        <v>63</v>
      </c>
      <c r="I5087" s="13" t="s">
        <v>10966</v>
      </c>
      <c r="J5087" s="14" t="str">
        <f>HYPERLINK("https://www.boe.es/gazeta/dias/1839/11/25/pdfs/GMD-1839-1842.pdf#page=3","Abrir facsímil")</f>
        <v>Abrir facsímil</v>
      </c>
      <c r="K5087" s="12" t="s">
        <v>65</v>
      </c>
    </row>
    <row r="5088" spans="1:11" ht="40.049999999999997" customHeight="1" x14ac:dyDescent="0.25">
      <c r="A5088" s="11" t="s">
        <v>10967</v>
      </c>
      <c r="B5088" s="11" t="s">
        <v>10968</v>
      </c>
      <c r="C5088" s="11" t="s">
        <v>17</v>
      </c>
      <c r="D5088" s="11" t="s">
        <v>18</v>
      </c>
      <c r="E5088" s="12" t="s">
        <v>1179</v>
      </c>
      <c r="F5088" s="12" t="s">
        <v>1180</v>
      </c>
      <c r="G5088" s="12" t="s">
        <v>305</v>
      </c>
      <c r="H5088" s="11" t="s">
        <v>63</v>
      </c>
      <c r="I5088" s="13" t="s">
        <v>10969</v>
      </c>
      <c r="J5088" s="14" t="str">
        <f>HYPERLINK("https://www.boe.es/gazeta/dias/1839/10/18/pdfs/GMD-1839-1804.pdf#page=6","Abrir facsímil")</f>
        <v>Abrir facsímil</v>
      </c>
      <c r="K5088" s="12" t="s">
        <v>65</v>
      </c>
    </row>
    <row r="5089" spans="1:11" ht="40.049999999999997" customHeight="1" x14ac:dyDescent="0.25">
      <c r="A5089" s="11" t="s">
        <v>10970</v>
      </c>
      <c r="B5089" s="11" t="s">
        <v>10971</v>
      </c>
      <c r="C5089" s="11" t="s">
        <v>17</v>
      </c>
      <c r="D5089" s="11" t="s">
        <v>18</v>
      </c>
      <c r="E5089" s="12" t="s">
        <v>685</v>
      </c>
      <c r="F5089" s="12" t="s">
        <v>686</v>
      </c>
      <c r="G5089" s="12" t="s">
        <v>46</v>
      </c>
      <c r="H5089" s="11" t="s">
        <v>63</v>
      </c>
      <c r="I5089" s="13" t="s">
        <v>10972</v>
      </c>
      <c r="J5089" s="14" t="str">
        <f>HYPERLINK("https://www.boe.es/gazeta/dias/1839/06/18/pdfs/GMD-1839-1676.pdf#page=3","Abrir facsímil")</f>
        <v>Abrir facsímil</v>
      </c>
      <c r="K5089" s="12" t="s">
        <v>65</v>
      </c>
    </row>
    <row r="5090" spans="1:11" ht="40.049999999999997" customHeight="1" x14ac:dyDescent="0.25">
      <c r="A5090" s="11" t="s">
        <v>10973</v>
      </c>
      <c r="B5090" s="11" t="s">
        <v>10974</v>
      </c>
      <c r="C5090" s="11" t="s">
        <v>101</v>
      </c>
      <c r="D5090" s="11" t="s">
        <v>43</v>
      </c>
      <c r="E5090" s="12" t="s">
        <v>262</v>
      </c>
      <c r="F5090" s="12" t="s">
        <v>263</v>
      </c>
      <c r="G5090" s="12" t="s">
        <v>46</v>
      </c>
      <c r="H5090" s="11" t="s">
        <v>63</v>
      </c>
      <c r="I5090" s="13" t="s">
        <v>10975</v>
      </c>
      <c r="J5090" s="14" t="str">
        <f>HYPERLINK("https://www.boe.es/gazeta/dias/1839/01/01/pdfs/GMD-1839-1508.pdf#page=3","Abrir facsímil")</f>
        <v>Abrir facsímil</v>
      </c>
      <c r="K5090" s="12" t="s">
        <v>65</v>
      </c>
    </row>
    <row r="5091" spans="1:11" ht="40.049999999999997" customHeight="1" x14ac:dyDescent="0.25">
      <c r="A5091" s="11" t="s">
        <v>10973</v>
      </c>
      <c r="B5091" s="11" t="s">
        <v>10974</v>
      </c>
      <c r="C5091" s="11" t="s">
        <v>101</v>
      </c>
      <c r="D5091" s="11" t="s">
        <v>43</v>
      </c>
      <c r="E5091" s="12" t="s">
        <v>108</v>
      </c>
      <c r="F5091" s="12" t="s">
        <v>109</v>
      </c>
      <c r="G5091" s="12" t="s">
        <v>46</v>
      </c>
      <c r="H5091" s="11" t="s">
        <v>63</v>
      </c>
      <c r="I5091" s="13" t="s">
        <v>10976</v>
      </c>
      <c r="J5091" s="14" t="str">
        <f>HYPERLINK("https://www.boe.es/gazeta/dias/1839/01/04/pdfs/GMD-1839-1511.pdf#page=3","Abrir facsímil")</f>
        <v>Abrir facsímil</v>
      </c>
      <c r="K5091" s="12" t="s">
        <v>65</v>
      </c>
    </row>
    <row r="5092" spans="1:11" ht="40.049999999999997" customHeight="1" x14ac:dyDescent="0.25">
      <c r="A5092" s="11" t="s">
        <v>10973</v>
      </c>
      <c r="B5092" s="11" t="s">
        <v>10974</v>
      </c>
      <c r="C5092" s="11" t="s">
        <v>17</v>
      </c>
      <c r="D5092" s="11" t="s">
        <v>18</v>
      </c>
      <c r="E5092" s="12" t="s">
        <v>1179</v>
      </c>
      <c r="F5092" s="12" t="s">
        <v>1180</v>
      </c>
      <c r="G5092" s="12" t="s">
        <v>21</v>
      </c>
      <c r="H5092" s="11" t="s">
        <v>63</v>
      </c>
      <c r="I5092" s="13" t="s">
        <v>10977</v>
      </c>
      <c r="J5092" s="14" t="str">
        <f>HYPERLINK("https://www.boe.es/gazeta/dias/1839/10/18/pdfs/GMD-1839-1804.pdf#page=4","Abrir facsímil")</f>
        <v>Abrir facsímil</v>
      </c>
      <c r="K5092" s="12" t="s">
        <v>65</v>
      </c>
    </row>
    <row r="5093" spans="1:11" ht="40.049999999999997" customHeight="1" x14ac:dyDescent="0.25">
      <c r="A5093" s="11" t="s">
        <v>10978</v>
      </c>
      <c r="B5093" s="11" t="s">
        <v>10979</v>
      </c>
      <c r="C5093" s="11" t="s">
        <v>17</v>
      </c>
      <c r="D5093" s="11" t="s">
        <v>18</v>
      </c>
      <c r="E5093" s="12" t="s">
        <v>108</v>
      </c>
      <c r="F5093" s="12" t="s">
        <v>109</v>
      </c>
      <c r="G5093" s="12" t="s">
        <v>46</v>
      </c>
      <c r="H5093" s="11" t="s">
        <v>63</v>
      </c>
      <c r="I5093" s="13" t="s">
        <v>10980</v>
      </c>
      <c r="J5093" s="14" t="str">
        <f>HYPERLINK("https://www.boe.es/gazeta/dias/1839/01/04/pdfs/GMD-1839-1511.pdf#page=3","Abrir facsímil")</f>
        <v>Abrir facsímil</v>
      </c>
      <c r="K5093" s="12" t="s">
        <v>65</v>
      </c>
    </row>
    <row r="5094" spans="1:11" ht="40.049999999999997" customHeight="1" x14ac:dyDescent="0.25">
      <c r="A5094" s="11" t="s">
        <v>10981</v>
      </c>
      <c r="B5094" s="11" t="s">
        <v>10982</v>
      </c>
      <c r="C5094" s="11" t="s">
        <v>17</v>
      </c>
      <c r="D5094" s="11" t="s">
        <v>18</v>
      </c>
      <c r="E5094" s="12" t="s">
        <v>770</v>
      </c>
      <c r="F5094" s="12" t="s">
        <v>771</v>
      </c>
      <c r="G5094" s="12" t="s">
        <v>46</v>
      </c>
      <c r="H5094" s="11" t="s">
        <v>63</v>
      </c>
      <c r="I5094" s="13" t="s">
        <v>10983</v>
      </c>
      <c r="J5094" s="14" t="str">
        <f>HYPERLINK("https://www.boe.es/gazeta/dias/1839/12/05/pdfs/GMD-1839-1852.pdf#page=3","Abrir facsímil")</f>
        <v>Abrir facsímil</v>
      </c>
      <c r="K5094" s="12" t="s">
        <v>65</v>
      </c>
    </row>
    <row r="5095" spans="1:11" ht="40.049999999999997" customHeight="1" x14ac:dyDescent="0.25">
      <c r="A5095" s="11" t="s">
        <v>10981</v>
      </c>
      <c r="B5095" s="11" t="s">
        <v>10982</v>
      </c>
      <c r="C5095" s="11" t="s">
        <v>17</v>
      </c>
      <c r="D5095" s="11" t="s">
        <v>18</v>
      </c>
      <c r="E5095" s="12" t="s">
        <v>1069</v>
      </c>
      <c r="F5095" s="12" t="s">
        <v>1070</v>
      </c>
      <c r="G5095" s="12" t="s">
        <v>21</v>
      </c>
      <c r="H5095" s="11" t="s">
        <v>63</v>
      </c>
      <c r="I5095" s="13" t="s">
        <v>10984</v>
      </c>
      <c r="J5095" s="14" t="str">
        <f>HYPERLINK("https://www.boe.es/gazeta/dias/1839/10/15/pdfs/GMD-1839-1801.pdf#page=4","Abrir facsímil")</f>
        <v>Abrir facsímil</v>
      </c>
      <c r="K5095" s="12" t="s">
        <v>65</v>
      </c>
    </row>
    <row r="5096" spans="1:11" ht="40.049999999999997" customHeight="1" x14ac:dyDescent="0.25">
      <c r="A5096" s="11" t="s">
        <v>10981</v>
      </c>
      <c r="B5096" s="11" t="s">
        <v>10982</v>
      </c>
      <c r="C5096" s="11" t="s">
        <v>101</v>
      </c>
      <c r="D5096" s="11" t="s">
        <v>43</v>
      </c>
      <c r="E5096" s="12" t="s">
        <v>653</v>
      </c>
      <c r="F5096" s="12" t="s">
        <v>654</v>
      </c>
      <c r="G5096" s="12" t="s">
        <v>40</v>
      </c>
      <c r="H5096" s="11" t="s">
        <v>63</v>
      </c>
      <c r="I5096" s="13" t="s">
        <v>10985</v>
      </c>
      <c r="J5096" s="14" t="str">
        <f>HYPERLINK("https://www.boe.es/gazeta/dias/1839/10/31/pdfs/GMD-1839-1817.pdf#page=2","Abrir facsímil")</f>
        <v>Abrir facsímil</v>
      </c>
      <c r="K5096" s="12" t="s">
        <v>65</v>
      </c>
    </row>
    <row r="5097" spans="1:11" ht="40.049999999999997" customHeight="1" x14ac:dyDescent="0.25">
      <c r="A5097" s="11" t="s">
        <v>10986</v>
      </c>
      <c r="B5097" s="11" t="s">
        <v>10987</v>
      </c>
      <c r="C5097" s="11" t="s">
        <v>17</v>
      </c>
      <c r="D5097" s="11" t="s">
        <v>18</v>
      </c>
      <c r="E5097" s="12" t="s">
        <v>643</v>
      </c>
      <c r="F5097" s="12" t="s">
        <v>644</v>
      </c>
      <c r="G5097" s="12" t="s">
        <v>29</v>
      </c>
      <c r="H5097" s="11" t="s">
        <v>63</v>
      </c>
      <c r="I5097" s="13" t="s">
        <v>10988</v>
      </c>
      <c r="J5097" s="14" t="str">
        <f>HYPERLINK("https://www.boe.es/gazeta/dias/1839/03/20/pdfs/GMD-1839-1586.pdf#page=1","Abrir facsímil")</f>
        <v>Abrir facsímil</v>
      </c>
      <c r="K5097" s="12" t="s">
        <v>65</v>
      </c>
    </row>
    <row r="5098" spans="1:11" ht="40.049999999999997" customHeight="1" x14ac:dyDescent="0.25">
      <c r="A5098" s="11" t="s">
        <v>10989</v>
      </c>
      <c r="B5098" s="11" t="s">
        <v>10990</v>
      </c>
      <c r="C5098" s="11" t="s">
        <v>80</v>
      </c>
      <c r="D5098" s="11" t="s">
        <v>18</v>
      </c>
      <c r="E5098" s="12" t="s">
        <v>349</v>
      </c>
      <c r="F5098" s="12" t="s">
        <v>350</v>
      </c>
      <c r="G5098" s="12" t="s">
        <v>40</v>
      </c>
      <c r="H5098" s="11" t="s">
        <v>63</v>
      </c>
      <c r="I5098" s="13" t="s">
        <v>10991</v>
      </c>
      <c r="J5098" s="14" t="str">
        <f>HYPERLINK("https://www.boe.es/gazeta/dias/1839/12/25/pdfs/GMD-1839-1872.pdf#page=2","Abrir facsímil")</f>
        <v>Abrir facsímil</v>
      </c>
      <c r="K5098" s="12" t="s">
        <v>65</v>
      </c>
    </row>
    <row r="5099" spans="1:11" ht="40.049999999999997" customHeight="1" x14ac:dyDescent="0.25">
      <c r="A5099" s="11" t="s">
        <v>10992</v>
      </c>
      <c r="B5099" s="11" t="s">
        <v>10993</v>
      </c>
      <c r="C5099" s="11" t="s">
        <v>17</v>
      </c>
      <c r="D5099" s="11" t="s">
        <v>18</v>
      </c>
      <c r="E5099" s="12" t="s">
        <v>438</v>
      </c>
      <c r="F5099" s="12" t="s">
        <v>439</v>
      </c>
      <c r="G5099" s="12" t="s">
        <v>21</v>
      </c>
      <c r="H5099" s="11" t="s">
        <v>63</v>
      </c>
      <c r="I5099" s="13" t="s">
        <v>10994</v>
      </c>
      <c r="J5099" s="14" t="str">
        <f>HYPERLINK("https://www.boe.es/gazeta/dias/1839/07/17/pdfs/GMD-1839-1705.pdf#page=4","Abrir facsímil")</f>
        <v>Abrir facsímil</v>
      </c>
      <c r="K5099" s="12" t="s">
        <v>65</v>
      </c>
    </row>
    <row r="5100" spans="1:11" ht="40.049999999999997" customHeight="1" x14ac:dyDescent="0.25">
      <c r="A5100" s="11" t="s">
        <v>10995</v>
      </c>
      <c r="B5100" s="11" t="s">
        <v>10996</v>
      </c>
      <c r="C5100" s="11" t="s">
        <v>17</v>
      </c>
      <c r="D5100" s="11" t="s">
        <v>18</v>
      </c>
      <c r="E5100" s="12" t="s">
        <v>287</v>
      </c>
      <c r="F5100" s="12" t="s">
        <v>288</v>
      </c>
      <c r="G5100" s="12" t="s">
        <v>46</v>
      </c>
      <c r="H5100" s="11" t="s">
        <v>63</v>
      </c>
      <c r="I5100" s="13" t="s">
        <v>10997</v>
      </c>
      <c r="J5100" s="14" t="str">
        <f>HYPERLINK("https://www.boe.es/gazeta/dias/1839/11/27/pdfs/GMD-1839-1844.pdf#page=3","Abrir facsímil")</f>
        <v>Abrir facsímil</v>
      </c>
      <c r="K5100" s="12" t="s">
        <v>65</v>
      </c>
    </row>
    <row r="5101" spans="1:11" ht="40.049999999999997" customHeight="1" x14ac:dyDescent="0.25">
      <c r="A5101" s="11" t="s">
        <v>10998</v>
      </c>
      <c r="B5101" s="11" t="s">
        <v>10999</v>
      </c>
      <c r="C5101" s="11" t="s">
        <v>17</v>
      </c>
      <c r="D5101" s="11" t="s">
        <v>18</v>
      </c>
      <c r="E5101" s="12" t="s">
        <v>1479</v>
      </c>
      <c r="F5101" s="12" t="s">
        <v>1480</v>
      </c>
      <c r="G5101" s="12" t="s">
        <v>40</v>
      </c>
      <c r="H5101" s="11" t="s">
        <v>63</v>
      </c>
      <c r="I5101" s="13" t="s">
        <v>11000</v>
      </c>
      <c r="J5101" s="14" t="str">
        <f>HYPERLINK("https://www.boe.es/gazeta/dias/1839/04/09/pdfs/GMD-1839-1606.pdf#page=2","Abrir facsímil")</f>
        <v>Abrir facsímil</v>
      </c>
      <c r="K5101" s="12" t="s">
        <v>65</v>
      </c>
    </row>
    <row r="5102" spans="1:11" ht="40.049999999999997" customHeight="1" x14ac:dyDescent="0.25">
      <c r="A5102" s="11" t="s">
        <v>10998</v>
      </c>
      <c r="B5102" s="11" t="s">
        <v>10999</v>
      </c>
      <c r="C5102" s="11" t="s">
        <v>101</v>
      </c>
      <c r="D5102" s="11" t="s">
        <v>102</v>
      </c>
      <c r="E5102" s="12" t="s">
        <v>582</v>
      </c>
      <c r="F5102" s="12" t="s">
        <v>583</v>
      </c>
      <c r="G5102" s="12" t="s">
        <v>40</v>
      </c>
      <c r="H5102" s="11" t="s">
        <v>63</v>
      </c>
      <c r="I5102" s="13" t="s">
        <v>11001</v>
      </c>
      <c r="J5102" s="14" t="str">
        <f>HYPERLINK("https://www.boe.es/gazeta/dias/1839/11/09/pdfs/GMD-1839-1826.pdf#page=2","Abrir facsímil")</f>
        <v>Abrir facsímil</v>
      </c>
      <c r="K5102" s="12" t="s">
        <v>65</v>
      </c>
    </row>
    <row r="5103" spans="1:11" ht="40.049999999999997" customHeight="1" x14ac:dyDescent="0.25">
      <c r="A5103" s="11" t="s">
        <v>11002</v>
      </c>
      <c r="B5103" s="11" t="s">
        <v>11003</v>
      </c>
      <c r="C5103" s="11" t="s">
        <v>17</v>
      </c>
      <c r="D5103" s="11" t="s">
        <v>18</v>
      </c>
      <c r="E5103" s="12" t="s">
        <v>2021</v>
      </c>
      <c r="F5103" s="12" t="s">
        <v>2022</v>
      </c>
      <c r="G5103" s="12" t="s">
        <v>29</v>
      </c>
      <c r="H5103" s="11" t="s">
        <v>63</v>
      </c>
      <c r="I5103" s="13" t="s">
        <v>11004</v>
      </c>
      <c r="J5103" s="14" t="str">
        <f>HYPERLINK("https://www.boe.es/gazeta/dias/1839/02/17/pdfs/GMD-1839-1555.pdf#page=1","Abrir facsímil")</f>
        <v>Abrir facsímil</v>
      </c>
      <c r="K5103" s="12" t="s">
        <v>65</v>
      </c>
    </row>
    <row r="5104" spans="1:11" ht="40.049999999999997" customHeight="1" x14ac:dyDescent="0.25">
      <c r="A5104" s="11" t="s">
        <v>11002</v>
      </c>
      <c r="B5104" s="11" t="s">
        <v>11003</v>
      </c>
      <c r="C5104" s="11" t="s">
        <v>59</v>
      </c>
      <c r="D5104" s="11" t="s">
        <v>60</v>
      </c>
      <c r="E5104" s="12" t="s">
        <v>516</v>
      </c>
      <c r="F5104" s="12" t="s">
        <v>517</v>
      </c>
      <c r="G5104" s="12" t="s">
        <v>29</v>
      </c>
      <c r="H5104" s="11" t="s">
        <v>63</v>
      </c>
      <c r="I5104" s="13" t="s">
        <v>11005</v>
      </c>
      <c r="J5104" s="14" t="str">
        <f>HYPERLINK("https://www.boe.es/gazeta/dias/1839/06/21/pdfs/GMD-1839-1679.pdf#page=1","Abrir facsímil")</f>
        <v>Abrir facsímil</v>
      </c>
      <c r="K5104" s="12" t="s">
        <v>65</v>
      </c>
    </row>
    <row r="5105" spans="1:11" ht="40.049999999999997" customHeight="1" x14ac:dyDescent="0.25">
      <c r="A5105" s="11" t="s">
        <v>11006</v>
      </c>
      <c r="B5105" s="11" t="s">
        <v>11007</v>
      </c>
      <c r="C5105" s="11" t="s">
        <v>59</v>
      </c>
      <c r="D5105" s="11" t="s">
        <v>60</v>
      </c>
      <c r="E5105" s="12" t="s">
        <v>49</v>
      </c>
      <c r="F5105" s="12" t="s">
        <v>50</v>
      </c>
      <c r="G5105" s="12" t="s">
        <v>40</v>
      </c>
      <c r="H5105" s="11" t="s">
        <v>63</v>
      </c>
      <c r="I5105" s="13" t="s">
        <v>11008</v>
      </c>
      <c r="J5105" s="14" t="str">
        <f>HYPERLINK("https://www.boe.es/gazeta/dias/1839/01/05/pdfs/GMD-1839-1512.pdf#page=2","Abrir facsímil")</f>
        <v>Abrir facsímil</v>
      </c>
      <c r="K5105" s="12" t="s">
        <v>65</v>
      </c>
    </row>
    <row r="5106" spans="1:11" ht="40.049999999999997" customHeight="1" x14ac:dyDescent="0.25">
      <c r="A5106" s="11" t="s">
        <v>11009</v>
      </c>
      <c r="B5106" s="11" t="s">
        <v>11010</v>
      </c>
      <c r="C5106" s="11" t="s">
        <v>80</v>
      </c>
      <c r="D5106" s="11" t="s">
        <v>18</v>
      </c>
      <c r="E5106" s="12" t="s">
        <v>2507</v>
      </c>
      <c r="F5106" s="12" t="s">
        <v>2508</v>
      </c>
      <c r="G5106" s="12" t="s">
        <v>21</v>
      </c>
      <c r="H5106" s="11" t="s">
        <v>63</v>
      </c>
      <c r="I5106" s="13" t="s">
        <v>11011</v>
      </c>
      <c r="J5106" s="14" t="str">
        <f>HYPERLINK("https://www.boe.es/gazeta/dias/1839/03/08/pdfs/GMD-1839-1574.pdf#page=4","Abrir facsímil")</f>
        <v>Abrir facsímil</v>
      </c>
      <c r="K5106" s="12" t="s">
        <v>65</v>
      </c>
    </row>
    <row r="5107" spans="1:11" ht="40.049999999999997" customHeight="1" x14ac:dyDescent="0.25">
      <c r="A5107" s="11" t="s">
        <v>11012</v>
      </c>
      <c r="B5107" s="11" t="s">
        <v>11013</v>
      </c>
      <c r="C5107" s="11" t="s">
        <v>17</v>
      </c>
      <c r="D5107" s="11" t="s">
        <v>18</v>
      </c>
      <c r="E5107" s="12" t="s">
        <v>2138</v>
      </c>
      <c r="F5107" s="12" t="s">
        <v>2139</v>
      </c>
      <c r="G5107" s="12" t="s">
        <v>305</v>
      </c>
      <c r="H5107" s="11" t="s">
        <v>63</v>
      </c>
      <c r="I5107" s="13" t="s">
        <v>11014</v>
      </c>
      <c r="J5107" s="14" t="str">
        <f>HYPERLINK("https://www.boe.es/gazeta/dias/1839/10/02/pdfs/GMD-1839-1788.pdf#page=6","Abrir facsímil")</f>
        <v>Abrir facsímil</v>
      </c>
      <c r="K5107" s="12" t="s">
        <v>65</v>
      </c>
    </row>
    <row r="5108" spans="1:11" ht="40.049999999999997" customHeight="1" x14ac:dyDescent="0.25">
      <c r="A5108" s="11" t="s">
        <v>11015</v>
      </c>
      <c r="B5108" s="11" t="s">
        <v>11016</v>
      </c>
      <c r="C5108" s="11" t="s">
        <v>17</v>
      </c>
      <c r="D5108" s="11" t="s">
        <v>18</v>
      </c>
      <c r="E5108" s="12" t="s">
        <v>420</v>
      </c>
      <c r="F5108" s="12" t="s">
        <v>421</v>
      </c>
      <c r="G5108" s="12" t="s">
        <v>46</v>
      </c>
      <c r="H5108" s="11" t="s">
        <v>63</v>
      </c>
      <c r="I5108" s="13" t="s">
        <v>11017</v>
      </c>
      <c r="J5108" s="14" t="str">
        <f>HYPERLINK("https://www.boe.es/gazeta/dias/1839/03/12/pdfs/GMD-1839-1578.pdf#page=3","Abrir facsímil")</f>
        <v>Abrir facsímil</v>
      </c>
      <c r="K5108" s="12" t="s">
        <v>65</v>
      </c>
    </row>
    <row r="5109" spans="1:11" ht="40.049999999999997" customHeight="1" x14ac:dyDescent="0.25">
      <c r="A5109" s="11" t="s">
        <v>11018</v>
      </c>
      <c r="B5109" s="11" t="s">
        <v>11019</v>
      </c>
      <c r="C5109" s="11" t="s">
        <v>17</v>
      </c>
      <c r="D5109" s="11" t="s">
        <v>18</v>
      </c>
      <c r="E5109" s="12" t="s">
        <v>690</v>
      </c>
      <c r="F5109" s="12" t="s">
        <v>691</v>
      </c>
      <c r="G5109" s="12" t="s">
        <v>21</v>
      </c>
      <c r="H5109" s="11" t="s">
        <v>63</v>
      </c>
      <c r="I5109" s="13" t="s">
        <v>11020</v>
      </c>
      <c r="J5109" s="14" t="str">
        <f>HYPERLINK("https://www.boe.es/gazeta/dias/1839/12/08/pdfs/GMD-1839-1855.pdf#page=4","Abrir facsímil")</f>
        <v>Abrir facsímil</v>
      </c>
      <c r="K5109" s="12" t="s">
        <v>65</v>
      </c>
    </row>
    <row r="5110" spans="1:11" ht="40.049999999999997" customHeight="1" x14ac:dyDescent="0.25">
      <c r="A5110" s="11" t="s">
        <v>11021</v>
      </c>
      <c r="B5110" s="11" t="s">
        <v>11022</v>
      </c>
      <c r="C5110" s="11" t="s">
        <v>80</v>
      </c>
      <c r="D5110" s="11" t="s">
        <v>18</v>
      </c>
      <c r="E5110" s="12" t="s">
        <v>929</v>
      </c>
      <c r="F5110" s="12" t="s">
        <v>930</v>
      </c>
      <c r="G5110" s="12" t="s">
        <v>29</v>
      </c>
      <c r="H5110" s="11" t="s">
        <v>63</v>
      </c>
      <c r="I5110" s="13" t="s">
        <v>11023</v>
      </c>
      <c r="J5110" s="14" t="str">
        <f>HYPERLINK("https://www.boe.es/gazeta/dias/1839/01/31/pdfs/GMD-1839-1538.pdf#page=1","Abrir facsímil")</f>
        <v>Abrir facsímil</v>
      </c>
      <c r="K5110" s="12" t="s">
        <v>65</v>
      </c>
    </row>
    <row r="5111" spans="1:11" ht="40.049999999999997" customHeight="1" x14ac:dyDescent="0.25">
      <c r="A5111" s="11" t="s">
        <v>11024</v>
      </c>
      <c r="B5111" s="11" t="s">
        <v>11025</v>
      </c>
      <c r="C5111" s="11" t="s">
        <v>17</v>
      </c>
      <c r="D5111" s="11" t="s">
        <v>18</v>
      </c>
      <c r="E5111" s="12" t="s">
        <v>1551</v>
      </c>
      <c r="F5111" s="12" t="s">
        <v>1552</v>
      </c>
      <c r="G5111" s="12" t="s">
        <v>29</v>
      </c>
      <c r="H5111" s="11" t="s">
        <v>63</v>
      </c>
      <c r="I5111" s="13" t="s">
        <v>11026</v>
      </c>
      <c r="J5111" s="14" t="str">
        <f>HYPERLINK("https://www.boe.es/gazeta/dias/1839/06/30/pdfs/GMD-1839-1688.pdf#page=1","Abrir facsímil")</f>
        <v>Abrir facsímil</v>
      </c>
      <c r="K5111" s="12" t="s">
        <v>65</v>
      </c>
    </row>
    <row r="5112" spans="1:11" ht="40.049999999999997" customHeight="1" x14ac:dyDescent="0.25">
      <c r="A5112" s="11" t="s">
        <v>11027</v>
      </c>
      <c r="B5112" s="11" t="s">
        <v>11028</v>
      </c>
      <c r="C5112" s="11" t="s">
        <v>17</v>
      </c>
      <c r="D5112" s="11" t="s">
        <v>18</v>
      </c>
      <c r="E5112" s="12" t="s">
        <v>4472</v>
      </c>
      <c r="F5112" s="12" t="s">
        <v>4473</v>
      </c>
      <c r="G5112" s="12" t="s">
        <v>46</v>
      </c>
      <c r="H5112" s="11" t="s">
        <v>63</v>
      </c>
      <c r="I5112" s="13" t="s">
        <v>11029</v>
      </c>
      <c r="J5112" s="14" t="str">
        <f>HYPERLINK("https://www.boe.es/gazeta/dias/1839/08/03/pdfs/GMD-1839-1723.pdf#page=3","Abrir facsímil")</f>
        <v>Abrir facsímil</v>
      </c>
      <c r="K5112" s="12" t="s">
        <v>65</v>
      </c>
    </row>
    <row r="5113" spans="1:11" ht="40.049999999999997" customHeight="1" x14ac:dyDescent="0.25">
      <c r="A5113" s="11" t="s">
        <v>11030</v>
      </c>
      <c r="B5113" s="11" t="s">
        <v>11031</v>
      </c>
      <c r="C5113" s="11" t="s">
        <v>17</v>
      </c>
      <c r="D5113" s="11" t="s">
        <v>18</v>
      </c>
      <c r="E5113" s="12" t="s">
        <v>89</v>
      </c>
      <c r="F5113" s="12" t="s">
        <v>90</v>
      </c>
      <c r="G5113" s="12" t="s">
        <v>40</v>
      </c>
      <c r="H5113" s="11" t="s">
        <v>63</v>
      </c>
      <c r="I5113" s="13" t="s">
        <v>11032</v>
      </c>
      <c r="J5113" s="14" t="str">
        <f>HYPERLINK("https://www.boe.es/gazeta/dias/1839/11/28/pdfs/GMD-1839-1845.pdf#page=2","Abrir facsímil")</f>
        <v>Abrir facsímil</v>
      </c>
      <c r="K5113" s="12" t="s">
        <v>65</v>
      </c>
    </row>
    <row r="5114" spans="1:11" ht="40.049999999999997" customHeight="1" x14ac:dyDescent="0.25">
      <c r="A5114" s="11" t="s">
        <v>11033</v>
      </c>
      <c r="B5114" s="11" t="s">
        <v>11034</v>
      </c>
      <c r="C5114" s="11" t="s">
        <v>101</v>
      </c>
      <c r="D5114" s="11" t="s">
        <v>43</v>
      </c>
      <c r="E5114" s="12" t="s">
        <v>1867</v>
      </c>
      <c r="F5114" s="12" t="s">
        <v>1868</v>
      </c>
      <c r="G5114" s="12" t="s">
        <v>46</v>
      </c>
      <c r="H5114" s="11" t="s">
        <v>63</v>
      </c>
      <c r="I5114" s="13" t="s">
        <v>11035</v>
      </c>
      <c r="J5114" s="14" t="str">
        <f>HYPERLINK("https://www.boe.es/gazeta/dias/1839/01/30/pdfs/GMD-1839-1537.pdf#page=3","Abrir facsímil")</f>
        <v>Abrir facsímil</v>
      </c>
      <c r="K5114" s="12" t="s">
        <v>65</v>
      </c>
    </row>
    <row r="5115" spans="1:11" ht="40.049999999999997" customHeight="1" x14ac:dyDescent="0.25">
      <c r="A5115" s="11" t="s">
        <v>11036</v>
      </c>
      <c r="B5115" s="11" t="s">
        <v>11037</v>
      </c>
      <c r="C5115" s="11" t="s">
        <v>17</v>
      </c>
      <c r="D5115" s="11" t="s">
        <v>18</v>
      </c>
      <c r="E5115" s="12" t="s">
        <v>54</v>
      </c>
      <c r="F5115" s="12" t="s">
        <v>55</v>
      </c>
      <c r="G5115" s="12" t="s">
        <v>566</v>
      </c>
      <c r="H5115" s="11" t="s">
        <v>63</v>
      </c>
      <c r="I5115" s="13" t="s">
        <v>11038</v>
      </c>
      <c r="J5115" s="14" t="str">
        <f>HYPERLINK("https://www.boe.es/gazeta/dias/1839/10/05/pdfs/GMD-1839-1791.pdf#page=5","Abrir facsímil")</f>
        <v>Abrir facsímil</v>
      </c>
      <c r="K5115" s="12" t="s">
        <v>65</v>
      </c>
    </row>
    <row r="5116" spans="1:11" ht="40.049999999999997" customHeight="1" x14ac:dyDescent="0.25">
      <c r="A5116" s="11" t="s">
        <v>11036</v>
      </c>
      <c r="B5116" s="11" t="s">
        <v>11037</v>
      </c>
      <c r="C5116" s="11" t="s">
        <v>17</v>
      </c>
      <c r="D5116" s="11" t="s">
        <v>18</v>
      </c>
      <c r="E5116" s="12" t="s">
        <v>453</v>
      </c>
      <c r="F5116" s="12" t="s">
        <v>454</v>
      </c>
      <c r="G5116" s="12" t="s">
        <v>46</v>
      </c>
      <c r="H5116" s="11" t="s">
        <v>63</v>
      </c>
      <c r="I5116" s="13" t="s">
        <v>11039</v>
      </c>
      <c r="J5116" s="14" t="str">
        <f>HYPERLINK("https://www.boe.es/gazeta/dias/1839/02/07/pdfs/GMD-1839-1545.pdf#page=3","Abrir facsímil")</f>
        <v>Abrir facsímil</v>
      </c>
      <c r="K5116" s="12" t="s">
        <v>65</v>
      </c>
    </row>
    <row r="5117" spans="1:11" ht="40.049999999999997" customHeight="1" x14ac:dyDescent="0.25">
      <c r="A5117" s="11" t="s">
        <v>11040</v>
      </c>
      <c r="B5117" s="11" t="s">
        <v>11041</v>
      </c>
      <c r="C5117" s="11" t="s">
        <v>17</v>
      </c>
      <c r="D5117" s="11" t="s">
        <v>18</v>
      </c>
      <c r="E5117" s="12" t="s">
        <v>1929</v>
      </c>
      <c r="F5117" s="12" t="s">
        <v>1930</v>
      </c>
      <c r="G5117" s="12" t="s">
        <v>21</v>
      </c>
      <c r="H5117" s="11" t="s">
        <v>63</v>
      </c>
      <c r="I5117" s="13" t="s">
        <v>11042</v>
      </c>
      <c r="J5117" s="14" t="str">
        <f>HYPERLINK("https://www.boe.es/gazeta/dias/1839/02/01/pdfs/GMD-1839-1539.pdf#page=4","Abrir facsímil")</f>
        <v>Abrir facsímil</v>
      </c>
      <c r="K5117" s="12" t="s">
        <v>65</v>
      </c>
    </row>
    <row r="5118" spans="1:11" ht="40.049999999999997" customHeight="1" x14ac:dyDescent="0.25">
      <c r="A5118" s="11" t="s">
        <v>11040</v>
      </c>
      <c r="B5118" s="11" t="s">
        <v>11041</v>
      </c>
      <c r="C5118" s="11" t="s">
        <v>80</v>
      </c>
      <c r="D5118" s="11" t="s">
        <v>18</v>
      </c>
      <c r="E5118" s="12" t="s">
        <v>108</v>
      </c>
      <c r="F5118" s="12" t="s">
        <v>109</v>
      </c>
      <c r="G5118" s="12" t="s">
        <v>21</v>
      </c>
      <c r="H5118" s="11" t="s">
        <v>63</v>
      </c>
      <c r="I5118" s="13" t="s">
        <v>11043</v>
      </c>
      <c r="J5118" s="14" t="str">
        <f>HYPERLINK("https://www.boe.es/gazeta/dias/1839/01/04/pdfs/GMD-1839-1511.pdf#page=4","Abrir facsímil")</f>
        <v>Abrir facsímil</v>
      </c>
      <c r="K5118" s="12" t="s">
        <v>65</v>
      </c>
    </row>
    <row r="5119" spans="1:11" ht="40.049999999999997" customHeight="1" x14ac:dyDescent="0.25">
      <c r="A5119" s="11" t="s">
        <v>11040</v>
      </c>
      <c r="B5119" s="11" t="s">
        <v>11041</v>
      </c>
      <c r="C5119" s="11" t="s">
        <v>101</v>
      </c>
      <c r="D5119" s="11" t="s">
        <v>102</v>
      </c>
      <c r="E5119" s="12" t="s">
        <v>185</v>
      </c>
      <c r="F5119" s="12" t="s">
        <v>186</v>
      </c>
      <c r="G5119" s="12" t="s">
        <v>29</v>
      </c>
      <c r="H5119" s="11" t="s">
        <v>63</v>
      </c>
      <c r="I5119" s="13" t="s">
        <v>11044</v>
      </c>
      <c r="J5119" s="14" t="str">
        <f>HYPERLINK("https://www.boe.es/gazeta/dias/1839/01/15/pdfs/GMD-1839-1522.pdf#page=1","Abrir facsímil")</f>
        <v>Abrir facsímil</v>
      </c>
      <c r="K5119" s="12" t="s">
        <v>65</v>
      </c>
    </row>
    <row r="5120" spans="1:11" ht="40.049999999999997" customHeight="1" x14ac:dyDescent="0.25">
      <c r="A5120" s="11" t="s">
        <v>11045</v>
      </c>
      <c r="B5120" s="11" t="s">
        <v>11046</v>
      </c>
      <c r="C5120" s="11" t="s">
        <v>17</v>
      </c>
      <c r="D5120" s="11" t="s">
        <v>18</v>
      </c>
      <c r="E5120" s="12" t="s">
        <v>54</v>
      </c>
      <c r="F5120" s="12" t="s">
        <v>55</v>
      </c>
      <c r="G5120" s="12" t="s">
        <v>46</v>
      </c>
      <c r="H5120" s="11" t="s">
        <v>63</v>
      </c>
      <c r="I5120" s="13" t="s">
        <v>11047</v>
      </c>
      <c r="J5120" s="14" t="str">
        <f>HYPERLINK("https://www.boe.es/gazeta/dias/1839/10/05/pdfs/GMD-1839-1791.pdf#page=3","Abrir facsímil")</f>
        <v>Abrir facsímil</v>
      </c>
      <c r="K5120" s="12" t="s">
        <v>65</v>
      </c>
    </row>
    <row r="5121" spans="1:11" ht="40.049999999999997" customHeight="1" x14ac:dyDescent="0.25">
      <c r="A5121" s="11" t="s">
        <v>11045</v>
      </c>
      <c r="B5121" s="11" t="s">
        <v>11046</v>
      </c>
      <c r="C5121" s="11" t="s">
        <v>137</v>
      </c>
      <c r="D5121" s="11" t="s">
        <v>18</v>
      </c>
      <c r="E5121" s="12" t="s">
        <v>1366</v>
      </c>
      <c r="F5121" s="12" t="s">
        <v>1367</v>
      </c>
      <c r="G5121" s="12" t="s">
        <v>40</v>
      </c>
      <c r="H5121" s="11" t="s">
        <v>63</v>
      </c>
      <c r="I5121" s="13" t="s">
        <v>11048</v>
      </c>
      <c r="J5121" s="14" t="str">
        <f>HYPERLINK("https://www.boe.es/gazeta/dias/1839/09/09/pdfs/GMD-1839-1762.pdf#page=2","Abrir facsímil")</f>
        <v>Abrir facsímil</v>
      </c>
      <c r="K5121" s="12" t="s">
        <v>65</v>
      </c>
    </row>
    <row r="5122" spans="1:11" ht="40.049999999999997" customHeight="1" x14ac:dyDescent="0.25">
      <c r="A5122" s="11" t="s">
        <v>11045</v>
      </c>
      <c r="B5122" s="11" t="s">
        <v>11046</v>
      </c>
      <c r="C5122" s="11" t="s">
        <v>17</v>
      </c>
      <c r="D5122" s="11" t="s">
        <v>18</v>
      </c>
      <c r="E5122" s="12" t="s">
        <v>1366</v>
      </c>
      <c r="F5122" s="12" t="s">
        <v>1367</v>
      </c>
      <c r="G5122" s="12" t="s">
        <v>46</v>
      </c>
      <c r="H5122" s="11" t="s">
        <v>63</v>
      </c>
      <c r="I5122" s="13" t="s">
        <v>11049</v>
      </c>
      <c r="J5122" s="14" t="str">
        <f>HYPERLINK("https://www.boe.es/gazeta/dias/1839/09/09/pdfs/GMD-1839-1762.pdf#page=3","Abrir facsímil")</f>
        <v>Abrir facsímil</v>
      </c>
      <c r="K5122" s="12" t="s">
        <v>65</v>
      </c>
    </row>
    <row r="5123" spans="1:11" ht="40.049999999999997" customHeight="1" x14ac:dyDescent="0.25">
      <c r="A5123" s="11" t="s">
        <v>11050</v>
      </c>
      <c r="B5123" s="11" t="s">
        <v>11051</v>
      </c>
      <c r="C5123" s="11" t="s">
        <v>101</v>
      </c>
      <c r="D5123" s="11" t="s">
        <v>43</v>
      </c>
      <c r="E5123" s="12" t="s">
        <v>1008</v>
      </c>
      <c r="F5123" s="12" t="s">
        <v>1009</v>
      </c>
      <c r="G5123" s="12" t="s">
        <v>40</v>
      </c>
      <c r="H5123" s="11" t="s">
        <v>63</v>
      </c>
      <c r="I5123" s="13" t="s">
        <v>11052</v>
      </c>
      <c r="J5123" s="14" t="str">
        <f>HYPERLINK("https://www.boe.es/gazeta/dias/1839/09/07/pdfs/GMD-1839-1760.pdf#page=2","Abrir facsímil")</f>
        <v>Abrir facsímil</v>
      </c>
      <c r="K5123" s="12" t="s">
        <v>65</v>
      </c>
    </row>
    <row r="5124" spans="1:11" ht="40.049999999999997" customHeight="1" x14ac:dyDescent="0.25">
      <c r="A5124" s="11" t="s">
        <v>11053</v>
      </c>
      <c r="B5124" s="11" t="s">
        <v>11054</v>
      </c>
      <c r="C5124" s="11" t="s">
        <v>137</v>
      </c>
      <c r="D5124" s="11" t="s">
        <v>18</v>
      </c>
      <c r="E5124" s="12" t="s">
        <v>2155</v>
      </c>
      <c r="F5124" s="12" t="s">
        <v>2156</v>
      </c>
      <c r="G5124" s="12" t="s">
        <v>40</v>
      </c>
      <c r="H5124" s="11" t="s">
        <v>63</v>
      </c>
      <c r="I5124" s="13" t="s">
        <v>11055</v>
      </c>
      <c r="J5124" s="14" t="str">
        <f>HYPERLINK("https://www.boe.es/gazeta/dias/1839/01/17/pdfs/GMD-1839-1524.pdf#page=2","Abrir facsímil")</f>
        <v>Abrir facsímil</v>
      </c>
      <c r="K5124" s="12" t="s">
        <v>65</v>
      </c>
    </row>
    <row r="5125" spans="1:11" ht="40.049999999999997" customHeight="1" x14ac:dyDescent="0.25">
      <c r="A5125" s="11" t="s">
        <v>11056</v>
      </c>
      <c r="B5125" s="11" t="s">
        <v>11057</v>
      </c>
      <c r="C5125" s="11" t="s">
        <v>80</v>
      </c>
      <c r="D5125" s="11" t="s">
        <v>18</v>
      </c>
      <c r="E5125" s="12" t="s">
        <v>2165</v>
      </c>
      <c r="F5125" s="12" t="s">
        <v>2166</v>
      </c>
      <c r="G5125" s="12" t="s">
        <v>21</v>
      </c>
      <c r="H5125" s="11" t="s">
        <v>63</v>
      </c>
      <c r="I5125" s="13" t="s">
        <v>11058</v>
      </c>
      <c r="J5125" s="14" t="str">
        <f>HYPERLINK("https://www.boe.es/gazeta/dias/1839/01/06/pdfs/GMD-1839-1513.pdf#page=4","Abrir facsímil")</f>
        <v>Abrir facsímil</v>
      </c>
      <c r="K5125" s="12" t="s">
        <v>65</v>
      </c>
    </row>
    <row r="5126" spans="1:11" ht="40.049999999999997" customHeight="1" x14ac:dyDescent="0.25">
      <c r="A5126" s="11" t="s">
        <v>11059</v>
      </c>
      <c r="B5126" s="11" t="s">
        <v>11060</v>
      </c>
      <c r="C5126" s="11" t="s">
        <v>80</v>
      </c>
      <c r="D5126" s="11" t="s">
        <v>18</v>
      </c>
      <c r="E5126" s="12" t="s">
        <v>2432</v>
      </c>
      <c r="F5126" s="12" t="s">
        <v>2433</v>
      </c>
      <c r="G5126" s="12" t="s">
        <v>29</v>
      </c>
      <c r="H5126" s="11" t="s">
        <v>63</v>
      </c>
      <c r="I5126" s="13" t="s">
        <v>11061</v>
      </c>
      <c r="J5126" s="14" t="str">
        <f>HYPERLINK("https://www.boe.es/datos/pdfs/BOE//1839/1712/E00001-00001.pdf#page=1","Abrir facsímil")</f>
        <v>Abrir facsímil</v>
      </c>
      <c r="K5126" s="12" t="s">
        <v>65</v>
      </c>
    </row>
    <row r="5127" spans="1:11" ht="40.049999999999997" customHeight="1" x14ac:dyDescent="0.25">
      <c r="A5127" s="11" t="s">
        <v>11062</v>
      </c>
      <c r="B5127" s="11" t="s">
        <v>11063</v>
      </c>
      <c r="C5127" s="11" t="s">
        <v>137</v>
      </c>
      <c r="D5127" s="11" t="s">
        <v>18</v>
      </c>
      <c r="E5127" s="12" t="s">
        <v>330</v>
      </c>
      <c r="F5127" s="12" t="s">
        <v>331</v>
      </c>
      <c r="G5127" s="12" t="s">
        <v>21</v>
      </c>
      <c r="H5127" s="11" t="s">
        <v>63</v>
      </c>
      <c r="I5127" s="13" t="s">
        <v>11064</v>
      </c>
      <c r="J5127" s="14" t="str">
        <f>HYPERLINK("https://www.boe.es/gazeta/dias/1839/04/11/pdfs/GMD-1839-1608.pdf#page=4","Abrir facsímil")</f>
        <v>Abrir facsímil</v>
      </c>
      <c r="K5127" s="12" t="s">
        <v>65</v>
      </c>
    </row>
    <row r="5128" spans="1:11" ht="40.049999999999997" customHeight="1" x14ac:dyDescent="0.25">
      <c r="A5128" s="11" t="s">
        <v>11065</v>
      </c>
      <c r="B5128" s="11" t="s">
        <v>11066</v>
      </c>
      <c r="C5128" s="11" t="s">
        <v>17</v>
      </c>
      <c r="D5128" s="11" t="s">
        <v>18</v>
      </c>
      <c r="E5128" s="12" t="s">
        <v>1310</v>
      </c>
      <c r="F5128" s="12" t="s">
        <v>1311</v>
      </c>
      <c r="G5128" s="12" t="s">
        <v>21</v>
      </c>
      <c r="H5128" s="11" t="s">
        <v>63</v>
      </c>
      <c r="I5128" s="13" t="s">
        <v>11067</v>
      </c>
      <c r="J5128" s="14" t="str">
        <f>HYPERLINK("https://www.boe.es/gazeta/dias/1839/04/23/pdfs/GMD-1839-1620.pdf#page=4","Abrir facsímil")</f>
        <v>Abrir facsímil</v>
      </c>
      <c r="K5128" s="12" t="s">
        <v>65</v>
      </c>
    </row>
    <row r="5129" spans="1:11" ht="40.049999999999997" customHeight="1" x14ac:dyDescent="0.25">
      <c r="A5129" s="11" t="s">
        <v>11068</v>
      </c>
      <c r="B5129" s="11" t="s">
        <v>11069</v>
      </c>
      <c r="C5129" s="11" t="s">
        <v>17</v>
      </c>
      <c r="D5129" s="11" t="s">
        <v>18</v>
      </c>
      <c r="E5129" s="12" t="s">
        <v>1988</v>
      </c>
      <c r="F5129" s="12" t="s">
        <v>1989</v>
      </c>
      <c r="G5129" s="12" t="s">
        <v>40</v>
      </c>
      <c r="H5129" s="11" t="s">
        <v>63</v>
      </c>
      <c r="I5129" s="13" t="s">
        <v>11070</v>
      </c>
      <c r="J5129" s="14" t="str">
        <f>HYPERLINK("https://www.boe.es/gazeta/dias/1839/10/29/pdfs/GMD-1839-1815.pdf#page=2","Abrir facsímil")</f>
        <v>Abrir facsímil</v>
      </c>
      <c r="K5129" s="12" t="s">
        <v>65</v>
      </c>
    </row>
    <row r="5130" spans="1:11" ht="40.049999999999997" customHeight="1" x14ac:dyDescent="0.25">
      <c r="A5130" s="11" t="s">
        <v>11071</v>
      </c>
      <c r="B5130" s="11" t="s">
        <v>11072</v>
      </c>
      <c r="C5130" s="11" t="s">
        <v>59</v>
      </c>
      <c r="D5130" s="11" t="s">
        <v>60</v>
      </c>
      <c r="E5130" s="12" t="s">
        <v>474</v>
      </c>
      <c r="F5130" s="12" t="s">
        <v>475</v>
      </c>
      <c r="G5130" s="12" t="s">
        <v>46</v>
      </c>
      <c r="H5130" s="11" t="s">
        <v>63</v>
      </c>
      <c r="I5130" s="13" t="s">
        <v>11073</v>
      </c>
      <c r="J5130" s="14" t="str">
        <f>HYPERLINK("https://www.boe.es/gazeta/dias/1839/03/31/pdfs/GMD-1839-1597.pdf#page=3","Abrir facsímil")</f>
        <v>Abrir facsímil</v>
      </c>
      <c r="K5130" s="12" t="s">
        <v>65</v>
      </c>
    </row>
    <row r="5131" spans="1:11" ht="40.049999999999997" customHeight="1" x14ac:dyDescent="0.25">
      <c r="A5131" s="11" t="s">
        <v>11074</v>
      </c>
      <c r="B5131" s="11" t="s">
        <v>11075</v>
      </c>
      <c r="C5131" s="11" t="s">
        <v>59</v>
      </c>
      <c r="D5131" s="11" t="s">
        <v>60</v>
      </c>
      <c r="E5131" s="12" t="s">
        <v>2210</v>
      </c>
      <c r="F5131" s="12" t="s">
        <v>2211</v>
      </c>
      <c r="G5131" s="12" t="s">
        <v>29</v>
      </c>
      <c r="H5131" s="11" t="s">
        <v>63</v>
      </c>
      <c r="I5131" s="13" t="s">
        <v>11076</v>
      </c>
      <c r="J5131" s="14" t="str">
        <f>HYPERLINK("https://www.boe.es/gazeta/dias/1839/09/05/pdfs/GMD-1839-1758.pdf#page=1","Abrir facsímil")</f>
        <v>Abrir facsímil</v>
      </c>
      <c r="K5131" s="12" t="s">
        <v>65</v>
      </c>
    </row>
    <row r="5132" spans="1:11" ht="40.049999999999997" customHeight="1" x14ac:dyDescent="0.25">
      <c r="A5132" s="11" t="s">
        <v>11074</v>
      </c>
      <c r="B5132" s="11" t="s">
        <v>11075</v>
      </c>
      <c r="C5132" s="11" t="s">
        <v>17</v>
      </c>
      <c r="D5132" s="11" t="s">
        <v>18</v>
      </c>
      <c r="E5132" s="12" t="s">
        <v>287</v>
      </c>
      <c r="F5132" s="12" t="s">
        <v>288</v>
      </c>
      <c r="G5132" s="12" t="s">
        <v>21</v>
      </c>
      <c r="H5132" s="11" t="s">
        <v>63</v>
      </c>
      <c r="I5132" s="13" t="s">
        <v>11077</v>
      </c>
      <c r="J5132" s="14" t="str">
        <f>HYPERLINK("https://www.boe.es/gazeta/dias/1839/11/27/pdfs/GMD-1839-1844.pdf#page=4","Abrir facsímil")</f>
        <v>Abrir facsímil</v>
      </c>
      <c r="K5132" s="12" t="s">
        <v>65</v>
      </c>
    </row>
    <row r="5133" spans="1:11" ht="40.049999999999997" customHeight="1" x14ac:dyDescent="0.25">
      <c r="A5133" s="11" t="s">
        <v>11078</v>
      </c>
      <c r="B5133" s="11" t="s">
        <v>11079</v>
      </c>
      <c r="C5133" s="11" t="s">
        <v>137</v>
      </c>
      <c r="D5133" s="11" t="s">
        <v>18</v>
      </c>
      <c r="E5133" s="12" t="s">
        <v>266</v>
      </c>
      <c r="F5133" s="12" t="s">
        <v>267</v>
      </c>
      <c r="G5133" s="12" t="s">
        <v>40</v>
      </c>
      <c r="H5133" s="11" t="s">
        <v>63</v>
      </c>
      <c r="I5133" s="13" t="s">
        <v>11080</v>
      </c>
      <c r="J5133" s="14" t="str">
        <f>HYPERLINK("https://www.boe.es/gazeta/dias/1839/01/03/pdfs/GMD-1839-1510.pdf#page=2","Abrir facsímil")</f>
        <v>Abrir facsímil</v>
      </c>
      <c r="K5133" s="12" t="s">
        <v>65</v>
      </c>
    </row>
    <row r="5134" spans="1:11" ht="40.049999999999997" customHeight="1" x14ac:dyDescent="0.25">
      <c r="A5134" s="11" t="s">
        <v>11078</v>
      </c>
      <c r="B5134" s="11" t="s">
        <v>11079</v>
      </c>
      <c r="C5134" s="11" t="s">
        <v>17</v>
      </c>
      <c r="D5134" s="11" t="s">
        <v>18</v>
      </c>
      <c r="E5134" s="12" t="s">
        <v>49</v>
      </c>
      <c r="F5134" s="12" t="s">
        <v>50</v>
      </c>
      <c r="G5134" s="12" t="s">
        <v>46</v>
      </c>
      <c r="H5134" s="11" t="s">
        <v>63</v>
      </c>
      <c r="I5134" s="13" t="s">
        <v>11081</v>
      </c>
      <c r="J5134" s="14" t="str">
        <f>HYPERLINK("https://www.boe.es/gazeta/dias/1839/01/05/pdfs/GMD-1839-1512.pdf#page=3","Abrir facsímil")</f>
        <v>Abrir facsímil</v>
      </c>
      <c r="K5134" s="12" t="s">
        <v>65</v>
      </c>
    </row>
    <row r="5135" spans="1:11" ht="40.049999999999997" customHeight="1" x14ac:dyDescent="0.25">
      <c r="A5135" s="11" t="s">
        <v>11078</v>
      </c>
      <c r="B5135" s="11" t="s">
        <v>11079</v>
      </c>
      <c r="C5135" s="11" t="s">
        <v>17</v>
      </c>
      <c r="D5135" s="11" t="s">
        <v>18</v>
      </c>
      <c r="E5135" s="12" t="s">
        <v>68</v>
      </c>
      <c r="F5135" s="12" t="s">
        <v>69</v>
      </c>
      <c r="G5135" s="12" t="s">
        <v>40</v>
      </c>
      <c r="H5135" s="11" t="s">
        <v>63</v>
      </c>
      <c r="I5135" s="13" t="s">
        <v>11082</v>
      </c>
      <c r="J5135" s="14" t="str">
        <f>HYPERLINK("https://www.boe.es/gazeta/dias/1839/02/09/pdfs/GMD-1839-1547.pdf#page=2","Abrir facsímil")</f>
        <v>Abrir facsímil</v>
      </c>
      <c r="K5135" s="12" t="s">
        <v>65</v>
      </c>
    </row>
    <row r="5136" spans="1:11" ht="40.049999999999997" customHeight="1" x14ac:dyDescent="0.25">
      <c r="A5136" s="11" t="s">
        <v>11083</v>
      </c>
      <c r="B5136" s="11" t="s">
        <v>11084</v>
      </c>
      <c r="C5136" s="11" t="s">
        <v>17</v>
      </c>
      <c r="D5136" s="11" t="s">
        <v>18</v>
      </c>
      <c r="E5136" s="12" t="s">
        <v>809</v>
      </c>
      <c r="F5136" s="12" t="s">
        <v>810</v>
      </c>
      <c r="G5136" s="12" t="s">
        <v>21</v>
      </c>
      <c r="H5136" s="11" t="s">
        <v>63</v>
      </c>
      <c r="I5136" s="13" t="s">
        <v>11085</v>
      </c>
      <c r="J5136" s="14" t="str">
        <f>HYPERLINK("https://www.boe.es/gazeta/dias/1839/02/11/pdfs/GMD-1839-1549.pdf#page=4","Abrir facsímil")</f>
        <v>Abrir facsímil</v>
      </c>
      <c r="K5136" s="12" t="s">
        <v>65</v>
      </c>
    </row>
    <row r="5137" spans="1:11" ht="40.049999999999997" customHeight="1" x14ac:dyDescent="0.25">
      <c r="A5137" s="11" t="s">
        <v>11086</v>
      </c>
      <c r="B5137" s="11" t="s">
        <v>11087</v>
      </c>
      <c r="C5137" s="11" t="s">
        <v>17</v>
      </c>
      <c r="D5137" s="11" t="s">
        <v>18</v>
      </c>
      <c r="E5137" s="12" t="s">
        <v>870</v>
      </c>
      <c r="F5137" s="12" t="s">
        <v>871</v>
      </c>
      <c r="G5137" s="12" t="s">
        <v>40</v>
      </c>
      <c r="H5137" s="11" t="s">
        <v>63</v>
      </c>
      <c r="I5137" s="13" t="s">
        <v>11088</v>
      </c>
      <c r="J5137" s="14" t="str">
        <f>HYPERLINK("https://www.boe.es/gazeta/dias/1839/04/18/pdfs/GMD-1839-1615.pdf#page=2","Abrir facsímil")</f>
        <v>Abrir facsímil</v>
      </c>
      <c r="K5137" s="12" t="s">
        <v>65</v>
      </c>
    </row>
    <row r="5138" spans="1:11" ht="40.049999999999997" customHeight="1" x14ac:dyDescent="0.25">
      <c r="A5138" s="11" t="s">
        <v>11089</v>
      </c>
      <c r="B5138" s="11" t="s">
        <v>11090</v>
      </c>
      <c r="C5138" s="11" t="s">
        <v>137</v>
      </c>
      <c r="D5138" s="11" t="s">
        <v>18</v>
      </c>
      <c r="E5138" s="12" t="s">
        <v>4044</v>
      </c>
      <c r="F5138" s="12" t="s">
        <v>4045</v>
      </c>
      <c r="G5138" s="12" t="s">
        <v>46</v>
      </c>
      <c r="H5138" s="11" t="s">
        <v>63</v>
      </c>
      <c r="I5138" s="13" t="s">
        <v>11091</v>
      </c>
      <c r="J5138" s="14" t="str">
        <f>HYPERLINK("https://www.boe.es/gazeta/dias/1839/01/07/pdfs/GMD-1839-1514.pdf#page=3","Abrir facsímil")</f>
        <v>Abrir facsímil</v>
      </c>
      <c r="K5138" s="12" t="s">
        <v>65</v>
      </c>
    </row>
    <row r="5139" spans="1:11" ht="40.049999999999997" customHeight="1" x14ac:dyDescent="0.25">
      <c r="A5139" s="11" t="s">
        <v>11092</v>
      </c>
      <c r="B5139" s="11" t="s">
        <v>11093</v>
      </c>
      <c r="C5139" s="11" t="s">
        <v>17</v>
      </c>
      <c r="D5139" s="11" t="s">
        <v>18</v>
      </c>
      <c r="E5139" s="12" t="s">
        <v>1537</v>
      </c>
      <c r="F5139" s="12" t="s">
        <v>1538</v>
      </c>
      <c r="G5139" s="12" t="s">
        <v>29</v>
      </c>
      <c r="H5139" s="11" t="s">
        <v>63</v>
      </c>
      <c r="I5139" s="13" t="s">
        <v>11094</v>
      </c>
      <c r="J5139" s="14" t="str">
        <f>HYPERLINK("https://www.boe.es/gazeta/dias/1839/12/16/pdfs/GMD-1839-1863.pdf#page=1","Abrir facsímil")</f>
        <v>Abrir facsímil</v>
      </c>
      <c r="K5139" s="12" t="s">
        <v>65</v>
      </c>
    </row>
    <row r="5140" spans="1:11" ht="40.049999999999997" customHeight="1" x14ac:dyDescent="0.25">
      <c r="A5140" s="11" t="s">
        <v>11095</v>
      </c>
      <c r="B5140" s="11" t="s">
        <v>11096</v>
      </c>
      <c r="C5140" s="11" t="s">
        <v>59</v>
      </c>
      <c r="D5140" s="11" t="s">
        <v>60</v>
      </c>
      <c r="E5140" s="12" t="s">
        <v>1139</v>
      </c>
      <c r="F5140" s="12" t="s">
        <v>1140</v>
      </c>
      <c r="G5140" s="12" t="s">
        <v>21</v>
      </c>
      <c r="H5140" s="11" t="s">
        <v>63</v>
      </c>
      <c r="I5140" s="13" t="s">
        <v>11097</v>
      </c>
      <c r="J5140" s="14" t="str">
        <f>HYPERLINK("https://www.boe.es/gazeta/dias/1839/02/15/pdfs/GMD-1839-1553.pdf#page=4","Abrir facsímil")</f>
        <v>Abrir facsímil</v>
      </c>
      <c r="K5140" s="12" t="s">
        <v>65</v>
      </c>
    </row>
    <row r="5141" spans="1:11" ht="40.049999999999997" customHeight="1" x14ac:dyDescent="0.25">
      <c r="A5141" s="11" t="s">
        <v>11095</v>
      </c>
      <c r="B5141" s="11" t="s">
        <v>11096</v>
      </c>
      <c r="C5141" s="11" t="s">
        <v>80</v>
      </c>
      <c r="D5141" s="11" t="s">
        <v>18</v>
      </c>
      <c r="E5141" s="12" t="s">
        <v>834</v>
      </c>
      <c r="F5141" s="12" t="s">
        <v>835</v>
      </c>
      <c r="G5141" s="12" t="s">
        <v>40</v>
      </c>
      <c r="H5141" s="11" t="s">
        <v>63</v>
      </c>
      <c r="I5141" s="13" t="s">
        <v>11098</v>
      </c>
      <c r="J5141" s="14" t="str">
        <f>HYPERLINK("https://www.boe.es/gazeta/dias/1839/08/17/pdfs/GMD-1839-1737.pdf#page=2","Abrir facsímil")</f>
        <v>Abrir facsímil</v>
      </c>
      <c r="K5141" s="12" t="s">
        <v>65</v>
      </c>
    </row>
    <row r="5142" spans="1:11" ht="40.049999999999997" customHeight="1" x14ac:dyDescent="0.25">
      <c r="A5142" s="11" t="s">
        <v>11099</v>
      </c>
      <c r="B5142" s="11" t="s">
        <v>11100</v>
      </c>
      <c r="C5142" s="11" t="s">
        <v>137</v>
      </c>
      <c r="D5142" s="11" t="s">
        <v>18</v>
      </c>
      <c r="E5142" s="12" t="s">
        <v>1008</v>
      </c>
      <c r="F5142" s="12" t="s">
        <v>1009</v>
      </c>
      <c r="G5142" s="12" t="s">
        <v>21</v>
      </c>
      <c r="H5142" s="11" t="s">
        <v>63</v>
      </c>
      <c r="I5142" s="13" t="s">
        <v>11101</v>
      </c>
      <c r="J5142" s="14" t="str">
        <f>HYPERLINK("https://www.boe.es/gazeta/dias/1839/09/07/pdfs/GMD-1839-1760.pdf#page=4","Abrir facsímil")</f>
        <v>Abrir facsímil</v>
      </c>
      <c r="K5142" s="12" t="s">
        <v>65</v>
      </c>
    </row>
    <row r="5143" spans="1:11" ht="40.049999999999997" customHeight="1" x14ac:dyDescent="0.25">
      <c r="A5143" s="11" t="s">
        <v>11102</v>
      </c>
      <c r="B5143" s="11" t="s">
        <v>11103</v>
      </c>
      <c r="C5143" s="11" t="s">
        <v>59</v>
      </c>
      <c r="D5143" s="11" t="s">
        <v>60</v>
      </c>
      <c r="E5143" s="12" t="s">
        <v>385</v>
      </c>
      <c r="F5143" s="12" t="s">
        <v>386</v>
      </c>
      <c r="G5143" s="12" t="s">
        <v>40</v>
      </c>
      <c r="H5143" s="11" t="s">
        <v>63</v>
      </c>
      <c r="I5143" s="13" t="s">
        <v>11104</v>
      </c>
      <c r="J5143" s="14" t="str">
        <f>HYPERLINK("https://www.boe.es/gazeta/dias/1839/08/01/pdfs/GMD-1839-1721.pdf#page=2","Abrir facsímil")</f>
        <v>Abrir facsímil</v>
      </c>
      <c r="K5143" s="12" t="s">
        <v>65</v>
      </c>
    </row>
    <row r="5144" spans="1:11" ht="40.049999999999997" customHeight="1" x14ac:dyDescent="0.25">
      <c r="A5144" s="11" t="s">
        <v>11105</v>
      </c>
      <c r="B5144" s="11" t="s">
        <v>11106</v>
      </c>
      <c r="C5144" s="11" t="s">
        <v>17</v>
      </c>
      <c r="D5144" s="11" t="s">
        <v>18</v>
      </c>
      <c r="E5144" s="12" t="s">
        <v>2463</v>
      </c>
      <c r="F5144" s="12" t="s">
        <v>2464</v>
      </c>
      <c r="G5144" s="12" t="s">
        <v>21</v>
      </c>
      <c r="H5144" s="11" t="s">
        <v>63</v>
      </c>
      <c r="I5144" s="13" t="s">
        <v>11107</v>
      </c>
      <c r="J5144" s="14" t="str">
        <f>HYPERLINK("https://www.boe.es/gazeta/dias/1839/04/26/pdfs/GMD-1839-1623.pdf#page=4","Abrir facsímil")</f>
        <v>Abrir facsímil</v>
      </c>
      <c r="K5144" s="12" t="s">
        <v>65</v>
      </c>
    </row>
    <row r="5145" spans="1:11" ht="40.049999999999997" customHeight="1" x14ac:dyDescent="0.25">
      <c r="A5145" s="11" t="s">
        <v>11108</v>
      </c>
      <c r="B5145" s="11" t="s">
        <v>11109</v>
      </c>
      <c r="C5145" s="11" t="s">
        <v>17</v>
      </c>
      <c r="D5145" s="11" t="s">
        <v>18</v>
      </c>
      <c r="E5145" s="12" t="s">
        <v>287</v>
      </c>
      <c r="F5145" s="12" t="s">
        <v>288</v>
      </c>
      <c r="G5145" s="12" t="s">
        <v>21</v>
      </c>
      <c r="H5145" s="11" t="s">
        <v>63</v>
      </c>
      <c r="I5145" s="13" t="s">
        <v>11110</v>
      </c>
      <c r="J5145" s="14" t="str">
        <f>HYPERLINK("https://www.boe.es/gazeta/dias/1839/11/27/pdfs/GMD-1839-1844.pdf#page=4","Abrir facsímil")</f>
        <v>Abrir facsímil</v>
      </c>
      <c r="K5145" s="12" t="s">
        <v>65</v>
      </c>
    </row>
    <row r="5146" spans="1:11" ht="40.049999999999997" customHeight="1" x14ac:dyDescent="0.25">
      <c r="A5146" s="11" t="s">
        <v>11111</v>
      </c>
      <c r="B5146" s="11" t="s">
        <v>11112</v>
      </c>
      <c r="C5146" s="11" t="s">
        <v>17</v>
      </c>
      <c r="D5146" s="11" t="s">
        <v>18</v>
      </c>
      <c r="E5146" s="12" t="s">
        <v>883</v>
      </c>
      <c r="F5146" s="12" t="s">
        <v>884</v>
      </c>
      <c r="G5146" s="12" t="s">
        <v>40</v>
      </c>
      <c r="H5146" s="11" t="s">
        <v>63</v>
      </c>
      <c r="I5146" s="13" t="s">
        <v>11113</v>
      </c>
      <c r="J5146" s="14" t="str">
        <f>HYPERLINK("https://www.boe.es/gazeta/dias/1839/11/03/pdfs/GMD-1839-1820.pdf#page=2","Abrir facsímil")</f>
        <v>Abrir facsímil</v>
      </c>
      <c r="K5146" s="12" t="s">
        <v>65</v>
      </c>
    </row>
    <row r="5147" spans="1:11" ht="40.049999999999997" customHeight="1" x14ac:dyDescent="0.25">
      <c r="A5147" s="11" t="s">
        <v>11114</v>
      </c>
      <c r="B5147" s="11" t="s">
        <v>11115</v>
      </c>
      <c r="C5147" s="11" t="s">
        <v>17</v>
      </c>
      <c r="D5147" s="11" t="s">
        <v>18</v>
      </c>
      <c r="E5147" s="12" t="s">
        <v>385</v>
      </c>
      <c r="F5147" s="12" t="s">
        <v>386</v>
      </c>
      <c r="G5147" s="12" t="s">
        <v>40</v>
      </c>
      <c r="H5147" s="11" t="s">
        <v>63</v>
      </c>
      <c r="I5147" s="13" t="s">
        <v>11116</v>
      </c>
      <c r="J5147" s="14" t="str">
        <f>HYPERLINK("https://www.boe.es/gazeta/dias/1839/08/01/pdfs/GMD-1839-1721.pdf#page=2","Abrir facsímil")</f>
        <v>Abrir facsímil</v>
      </c>
      <c r="K5147" s="12" t="s">
        <v>65</v>
      </c>
    </row>
    <row r="5148" spans="1:11" ht="40.049999999999997" customHeight="1" x14ac:dyDescent="0.25">
      <c r="A5148" s="11" t="s">
        <v>11117</v>
      </c>
      <c r="B5148" s="11" t="s">
        <v>11118</v>
      </c>
      <c r="C5148" s="11" t="s">
        <v>17</v>
      </c>
      <c r="D5148" s="11" t="s">
        <v>18</v>
      </c>
      <c r="E5148" s="12" t="s">
        <v>2829</v>
      </c>
      <c r="F5148" s="12" t="s">
        <v>2830</v>
      </c>
      <c r="G5148" s="12" t="s">
        <v>29</v>
      </c>
      <c r="H5148" s="11" t="s">
        <v>63</v>
      </c>
      <c r="I5148" s="13" t="s">
        <v>11119</v>
      </c>
      <c r="J5148" s="14" t="str">
        <f>HYPERLINK("https://www.boe.es/gazeta/dias/1839/07/01/pdfs/GMD-1839-1689.pdf#page=1","Abrir facsímil")</f>
        <v>Abrir facsímil</v>
      </c>
      <c r="K5148" s="12" t="s">
        <v>65</v>
      </c>
    </row>
    <row r="5149" spans="1:11" ht="40.049999999999997" customHeight="1" x14ac:dyDescent="0.25">
      <c r="A5149" s="11" t="s">
        <v>11120</v>
      </c>
      <c r="B5149" s="11" t="s">
        <v>11121</v>
      </c>
      <c r="C5149" s="11" t="s">
        <v>17</v>
      </c>
      <c r="D5149" s="11" t="s">
        <v>18</v>
      </c>
      <c r="E5149" s="12" t="s">
        <v>592</v>
      </c>
      <c r="F5149" s="12" t="s">
        <v>593</v>
      </c>
      <c r="G5149" s="12" t="s">
        <v>46</v>
      </c>
      <c r="H5149" s="11" t="s">
        <v>63</v>
      </c>
      <c r="I5149" s="13" t="s">
        <v>11122</v>
      </c>
      <c r="J5149" s="14" t="str">
        <f>HYPERLINK("https://www.boe.es/gazeta/dias/1839/09/14/pdfs/GMD-1839-1767.pdf#page=3","Abrir facsímil")</f>
        <v>Abrir facsímil</v>
      </c>
      <c r="K5149" s="12" t="s">
        <v>65</v>
      </c>
    </row>
    <row r="5150" spans="1:11" ht="40.049999999999997" customHeight="1" x14ac:dyDescent="0.25">
      <c r="A5150" s="11" t="s">
        <v>11123</v>
      </c>
      <c r="B5150" s="11" t="s">
        <v>11124</v>
      </c>
      <c r="C5150" s="11" t="s">
        <v>80</v>
      </c>
      <c r="D5150" s="11" t="s">
        <v>18</v>
      </c>
      <c r="E5150" s="12" t="s">
        <v>312</v>
      </c>
      <c r="F5150" s="12" t="s">
        <v>313</v>
      </c>
      <c r="G5150" s="12" t="s">
        <v>21</v>
      </c>
      <c r="H5150" s="11" t="s">
        <v>63</v>
      </c>
      <c r="I5150" s="13" t="s">
        <v>11125</v>
      </c>
      <c r="J5150" s="14" t="str">
        <f>HYPERLINK("https://www.boe.es/gazeta/dias/1839/11/30/pdfs/GMD-1839-1847.pdf#page=4","Abrir facsímil")</f>
        <v>Abrir facsímil</v>
      </c>
      <c r="K5150" s="12" t="s">
        <v>65</v>
      </c>
    </row>
    <row r="5151" spans="1:11" ht="40.049999999999997" customHeight="1" x14ac:dyDescent="0.25">
      <c r="A5151" s="11" t="s">
        <v>11126</v>
      </c>
      <c r="B5151" s="11" t="s">
        <v>11127</v>
      </c>
      <c r="C5151" s="11" t="s">
        <v>80</v>
      </c>
      <c r="D5151" s="11" t="s">
        <v>18</v>
      </c>
      <c r="E5151" s="12" t="s">
        <v>1807</v>
      </c>
      <c r="F5151" s="12" t="s">
        <v>1808</v>
      </c>
      <c r="G5151" s="12" t="s">
        <v>40</v>
      </c>
      <c r="H5151" s="11" t="s">
        <v>63</v>
      </c>
      <c r="I5151" s="13" t="s">
        <v>11128</v>
      </c>
      <c r="J5151" s="14" t="str">
        <f>HYPERLINK("https://www.boe.es/gazeta/dias/1839/01/29/pdfs/GMD-1839-1536.pdf#page=2","Abrir facsímil")</f>
        <v>Abrir facsímil</v>
      </c>
      <c r="K5151" s="12" t="s">
        <v>65</v>
      </c>
    </row>
    <row r="5152" spans="1:11" ht="40.049999999999997" customHeight="1" x14ac:dyDescent="0.25">
      <c r="A5152" s="11" t="s">
        <v>11126</v>
      </c>
      <c r="B5152" s="11" t="s">
        <v>11127</v>
      </c>
      <c r="C5152" s="11" t="s">
        <v>101</v>
      </c>
      <c r="D5152" s="11" t="s">
        <v>43</v>
      </c>
      <c r="E5152" s="12" t="s">
        <v>1867</v>
      </c>
      <c r="F5152" s="12" t="s">
        <v>1868</v>
      </c>
      <c r="G5152" s="12" t="s">
        <v>40</v>
      </c>
      <c r="H5152" s="11" t="s">
        <v>63</v>
      </c>
      <c r="I5152" s="13" t="s">
        <v>11129</v>
      </c>
      <c r="J5152" s="14" t="str">
        <f>HYPERLINK("https://www.boe.es/gazeta/dias/1839/01/30/pdfs/GMD-1839-1537.pdf#page=2","Abrir facsímil")</f>
        <v>Abrir facsímil</v>
      </c>
      <c r="K5152" s="12" t="s">
        <v>65</v>
      </c>
    </row>
    <row r="5153" spans="1:11" ht="40.049999999999997" customHeight="1" x14ac:dyDescent="0.25">
      <c r="A5153" s="11" t="s">
        <v>11130</v>
      </c>
      <c r="B5153" s="11" t="s">
        <v>11131</v>
      </c>
      <c r="C5153" s="11" t="s">
        <v>137</v>
      </c>
      <c r="D5153" s="11" t="s">
        <v>18</v>
      </c>
      <c r="E5153" s="12" t="s">
        <v>500</v>
      </c>
      <c r="F5153" s="12" t="s">
        <v>501</v>
      </c>
      <c r="G5153" s="12" t="s">
        <v>40</v>
      </c>
      <c r="H5153" s="11" t="s">
        <v>63</v>
      </c>
      <c r="I5153" s="13" t="s">
        <v>11132</v>
      </c>
      <c r="J5153" s="14" t="str">
        <f>HYPERLINK("https://www.boe.es/gazeta/dias/1839/11/06/pdfs/GMD-1839-1823.pdf#page=2","Abrir facsímil")</f>
        <v>Abrir facsímil</v>
      </c>
      <c r="K5153" s="12" t="s">
        <v>65</v>
      </c>
    </row>
    <row r="5154" spans="1:11" ht="40.049999999999997" customHeight="1" x14ac:dyDescent="0.25">
      <c r="A5154" s="11" t="s">
        <v>11133</v>
      </c>
      <c r="B5154" s="11" t="s">
        <v>11134</v>
      </c>
      <c r="C5154" s="11" t="s">
        <v>80</v>
      </c>
      <c r="D5154" s="11" t="s">
        <v>18</v>
      </c>
      <c r="E5154" s="12" t="s">
        <v>1236</v>
      </c>
      <c r="F5154" s="12" t="s">
        <v>1237</v>
      </c>
      <c r="G5154" s="12" t="s">
        <v>40</v>
      </c>
      <c r="H5154" s="11" t="s">
        <v>63</v>
      </c>
      <c r="I5154" s="13" t="s">
        <v>11135</v>
      </c>
      <c r="J5154" s="14" t="str">
        <f>HYPERLINK("https://www.boe.es/gazeta/dias/1839/10/16/pdfs/GMD-1839-1802.pdf#page=2","Abrir facsímil")</f>
        <v>Abrir facsímil</v>
      </c>
      <c r="K5154" s="12" t="s">
        <v>65</v>
      </c>
    </row>
    <row r="5155" spans="1:11" ht="40.049999999999997" customHeight="1" x14ac:dyDescent="0.25">
      <c r="A5155" s="11" t="s">
        <v>11133</v>
      </c>
      <c r="B5155" s="11" t="s">
        <v>11134</v>
      </c>
      <c r="C5155" s="11" t="s">
        <v>101</v>
      </c>
      <c r="D5155" s="11" t="s">
        <v>43</v>
      </c>
      <c r="E5155" s="12" t="s">
        <v>564</v>
      </c>
      <c r="F5155" s="12" t="s">
        <v>565</v>
      </c>
      <c r="G5155" s="12" t="s">
        <v>46</v>
      </c>
      <c r="H5155" s="11" t="s">
        <v>63</v>
      </c>
      <c r="I5155" s="13" t="s">
        <v>11136</v>
      </c>
      <c r="J5155" s="14" t="str">
        <f>HYPERLINK("https://www.boe.es/gazeta/dias/1839/10/17/pdfs/GMD-1839-1803.pdf#page=3","Abrir facsímil")</f>
        <v>Abrir facsímil</v>
      </c>
      <c r="K5155" s="12" t="s">
        <v>65</v>
      </c>
    </row>
    <row r="5156" spans="1:11" ht="40.049999999999997" customHeight="1" x14ac:dyDescent="0.25">
      <c r="A5156" s="11" t="s">
        <v>11133</v>
      </c>
      <c r="B5156" s="11" t="s">
        <v>11134</v>
      </c>
      <c r="C5156" s="11" t="s">
        <v>17</v>
      </c>
      <c r="D5156" s="11" t="s">
        <v>18</v>
      </c>
      <c r="E5156" s="12" t="s">
        <v>276</v>
      </c>
      <c r="F5156" s="12" t="s">
        <v>277</v>
      </c>
      <c r="G5156" s="12" t="s">
        <v>46</v>
      </c>
      <c r="H5156" s="11" t="s">
        <v>63</v>
      </c>
      <c r="I5156" s="13" t="s">
        <v>11137</v>
      </c>
      <c r="J5156" s="14" t="str">
        <f>HYPERLINK("https://www.boe.es/gazeta/dias/1839/09/24/pdfs/GMD-1839-1780.pdf#page=3","Abrir facsímil")</f>
        <v>Abrir facsímil</v>
      </c>
      <c r="K5156" s="12" t="s">
        <v>65</v>
      </c>
    </row>
    <row r="5157" spans="1:11" ht="40.049999999999997" customHeight="1" x14ac:dyDescent="0.25">
      <c r="A5157" s="11" t="s">
        <v>11138</v>
      </c>
      <c r="B5157" s="11" t="s">
        <v>11139</v>
      </c>
      <c r="C5157" s="11" t="s">
        <v>101</v>
      </c>
      <c r="D5157" s="11" t="s">
        <v>43</v>
      </c>
      <c r="E5157" s="12" t="s">
        <v>647</v>
      </c>
      <c r="F5157" s="12" t="s">
        <v>648</v>
      </c>
      <c r="G5157" s="12" t="s">
        <v>21</v>
      </c>
      <c r="H5157" s="11" t="s">
        <v>63</v>
      </c>
      <c r="I5157" s="13" t="s">
        <v>11140</v>
      </c>
      <c r="J5157" s="14" t="str">
        <f>HYPERLINK("https://www.boe.es/gazeta/dias/1839/10/08/pdfs/GMD-1839-1794.pdf#page=4","Abrir facsímil")</f>
        <v>Abrir facsímil</v>
      </c>
      <c r="K5157" s="12" t="s">
        <v>65</v>
      </c>
    </row>
    <row r="5158" spans="1:11" ht="40.049999999999997" customHeight="1" x14ac:dyDescent="0.25">
      <c r="A5158" s="11" t="s">
        <v>11141</v>
      </c>
      <c r="B5158" s="11" t="s">
        <v>11142</v>
      </c>
      <c r="C5158" s="11" t="s">
        <v>59</v>
      </c>
      <c r="D5158" s="11" t="s">
        <v>60</v>
      </c>
      <c r="E5158" s="12" t="s">
        <v>1183</v>
      </c>
      <c r="F5158" s="12" t="s">
        <v>1184</v>
      </c>
      <c r="G5158" s="12" t="s">
        <v>21</v>
      </c>
      <c r="H5158" s="11" t="s">
        <v>63</v>
      </c>
      <c r="I5158" s="13" t="s">
        <v>11143</v>
      </c>
      <c r="J5158" s="14" t="str">
        <f>HYPERLINK("https://www.boe.es/gazeta/dias/1839/07/26/pdfs/GMD-1839-1715.pdf#page=4","Abrir facsímil")</f>
        <v>Abrir facsímil</v>
      </c>
      <c r="K5158" s="12" t="s">
        <v>65</v>
      </c>
    </row>
    <row r="5159" spans="1:11" ht="40.049999999999997" customHeight="1" x14ac:dyDescent="0.25">
      <c r="A5159" s="11" t="s">
        <v>11144</v>
      </c>
      <c r="B5159" s="11" t="s">
        <v>11145</v>
      </c>
      <c r="C5159" s="11" t="s">
        <v>101</v>
      </c>
      <c r="D5159" s="11" t="s">
        <v>43</v>
      </c>
      <c r="E5159" s="12" t="s">
        <v>548</v>
      </c>
      <c r="F5159" s="12" t="s">
        <v>549</v>
      </c>
      <c r="G5159" s="12" t="s">
        <v>40</v>
      </c>
      <c r="H5159" s="11" t="s">
        <v>63</v>
      </c>
      <c r="I5159" s="13" t="s">
        <v>11146</v>
      </c>
      <c r="J5159" s="14" t="str">
        <f>HYPERLINK("https://www.boe.es/gazeta/dias/1839/06/06/pdfs/GMD-1839-1664.pdf#page=2","Abrir facsímil")</f>
        <v>Abrir facsímil</v>
      </c>
      <c r="K5159" s="12" t="s">
        <v>65</v>
      </c>
    </row>
    <row r="5160" spans="1:11" ht="40.049999999999997" customHeight="1" x14ac:dyDescent="0.25">
      <c r="A5160" s="11" t="s">
        <v>11147</v>
      </c>
      <c r="B5160" s="11" t="s">
        <v>11148</v>
      </c>
      <c r="C5160" s="11" t="s">
        <v>17</v>
      </c>
      <c r="D5160" s="11" t="s">
        <v>18</v>
      </c>
      <c r="E5160" s="12" t="s">
        <v>3224</v>
      </c>
      <c r="F5160" s="12" t="s">
        <v>3225</v>
      </c>
      <c r="G5160" s="12" t="s">
        <v>46</v>
      </c>
      <c r="H5160" s="11" t="s">
        <v>63</v>
      </c>
      <c r="I5160" s="13" t="s">
        <v>11149</v>
      </c>
      <c r="J5160" s="14" t="str">
        <f>HYPERLINK("https://www.boe.es/gazeta/dias/1839/06/03/pdfs/GMD-1839-1661.pdf#page=3","Abrir facsímil")</f>
        <v>Abrir facsímil</v>
      </c>
      <c r="K5160" s="12" t="s">
        <v>65</v>
      </c>
    </row>
    <row r="5161" spans="1:11" ht="40.049999999999997" customHeight="1" x14ac:dyDescent="0.25">
      <c r="A5161" s="11" t="s">
        <v>11150</v>
      </c>
      <c r="B5161" s="11" t="s">
        <v>11151</v>
      </c>
      <c r="C5161" s="11" t="s">
        <v>101</v>
      </c>
      <c r="D5161" s="11" t="s">
        <v>43</v>
      </c>
      <c r="E5161" s="12" t="s">
        <v>327</v>
      </c>
      <c r="F5161" s="12" t="s">
        <v>328</v>
      </c>
      <c r="G5161" s="12" t="s">
        <v>29</v>
      </c>
      <c r="H5161" s="11" t="s">
        <v>63</v>
      </c>
      <c r="I5161" s="13" t="s">
        <v>11152</v>
      </c>
      <c r="J5161" s="14" t="str">
        <f>HYPERLINK("https://www.boe.es/gazeta/dias/1839/08/05/pdfs/GMD-1839-1725.pdf#page=1","Abrir facsímil")</f>
        <v>Abrir facsímil</v>
      </c>
      <c r="K5161" s="12" t="s">
        <v>65</v>
      </c>
    </row>
    <row r="5162" spans="1:11" ht="40.049999999999997" customHeight="1" x14ac:dyDescent="0.25">
      <c r="A5162" s="11" t="s">
        <v>11153</v>
      </c>
      <c r="B5162" s="11" t="s">
        <v>11154</v>
      </c>
      <c r="C5162" s="11" t="s">
        <v>59</v>
      </c>
      <c r="D5162" s="11" t="s">
        <v>60</v>
      </c>
      <c r="E5162" s="12" t="s">
        <v>246</v>
      </c>
      <c r="F5162" s="12" t="s">
        <v>247</v>
      </c>
      <c r="G5162" s="12" t="s">
        <v>21</v>
      </c>
      <c r="H5162" s="11" t="s">
        <v>63</v>
      </c>
      <c r="I5162" s="13" t="s">
        <v>11155</v>
      </c>
      <c r="J5162" s="14" t="str">
        <f>HYPERLINK("https://www.boe.es/gazeta/dias/1839/11/24/pdfs/GMD-1839-1841.pdf#page=4","Abrir facsímil")</f>
        <v>Abrir facsímil</v>
      </c>
      <c r="K5162" s="12" t="s">
        <v>65</v>
      </c>
    </row>
    <row r="5163" spans="1:11" ht="40.049999999999997" customHeight="1" x14ac:dyDescent="0.25">
      <c r="A5163" s="11" t="s">
        <v>11156</v>
      </c>
      <c r="B5163" s="11" t="s">
        <v>11157</v>
      </c>
      <c r="C5163" s="11" t="s">
        <v>80</v>
      </c>
      <c r="D5163" s="11" t="s">
        <v>18</v>
      </c>
      <c r="E5163" s="12" t="s">
        <v>513</v>
      </c>
      <c r="F5163" s="12" t="s">
        <v>514</v>
      </c>
      <c r="G5163" s="12" t="s">
        <v>21</v>
      </c>
      <c r="H5163" s="11" t="s">
        <v>63</v>
      </c>
      <c r="I5163" s="13" t="s">
        <v>11158</v>
      </c>
      <c r="J5163" s="14" t="str">
        <f>HYPERLINK("https://www.boe.es/gazeta/dias/1839/03/17/pdfs/GMD-1839-1583.pdf#page=4","Abrir facsímil")</f>
        <v>Abrir facsímil</v>
      </c>
      <c r="K5163" s="12" t="s">
        <v>65</v>
      </c>
    </row>
    <row r="5164" spans="1:11" ht="40.049999999999997" customHeight="1" x14ac:dyDescent="0.25">
      <c r="A5164" s="11" t="s">
        <v>11159</v>
      </c>
      <c r="B5164" s="11" t="s">
        <v>11160</v>
      </c>
      <c r="C5164" s="11" t="s">
        <v>17</v>
      </c>
      <c r="D5164" s="11" t="s">
        <v>18</v>
      </c>
      <c r="E5164" s="12" t="s">
        <v>3224</v>
      </c>
      <c r="F5164" s="12" t="s">
        <v>3225</v>
      </c>
      <c r="G5164" s="12" t="s">
        <v>46</v>
      </c>
      <c r="H5164" s="11" t="s">
        <v>63</v>
      </c>
      <c r="I5164" s="13" t="s">
        <v>11161</v>
      </c>
      <c r="J5164" s="14" t="str">
        <f>HYPERLINK("https://www.boe.es/gazeta/dias/1839/06/03/pdfs/GMD-1839-1661.pdf#page=3","Abrir facsímil")</f>
        <v>Abrir facsímil</v>
      </c>
      <c r="K5164" s="12" t="s">
        <v>65</v>
      </c>
    </row>
    <row r="5165" spans="1:11" ht="40.049999999999997" customHeight="1" x14ac:dyDescent="0.25">
      <c r="A5165" s="11" t="s">
        <v>11162</v>
      </c>
      <c r="B5165" s="11" t="s">
        <v>11163</v>
      </c>
      <c r="C5165" s="11" t="s">
        <v>59</v>
      </c>
      <c r="D5165" s="11" t="s">
        <v>60</v>
      </c>
      <c r="E5165" s="12" t="s">
        <v>121</v>
      </c>
      <c r="F5165" s="12" t="s">
        <v>122</v>
      </c>
      <c r="G5165" s="12" t="s">
        <v>46</v>
      </c>
      <c r="H5165" s="11" t="s">
        <v>63</v>
      </c>
      <c r="I5165" s="13" t="s">
        <v>11164</v>
      </c>
      <c r="J5165" s="14" t="str">
        <f>HYPERLINK("https://www.boe.es/gazeta/dias/1839/06/08/pdfs/GMD-1839-1666.pdf#page=3","Abrir facsímil")</f>
        <v>Abrir facsímil</v>
      </c>
      <c r="K5165" s="12" t="s">
        <v>65</v>
      </c>
    </row>
    <row r="5166" spans="1:11" ht="40.049999999999997" customHeight="1" x14ac:dyDescent="0.25">
      <c r="A5166" s="11" t="s">
        <v>11165</v>
      </c>
      <c r="B5166" s="11" t="s">
        <v>11166</v>
      </c>
      <c r="C5166" s="11" t="s">
        <v>17</v>
      </c>
      <c r="D5166" s="11" t="s">
        <v>18</v>
      </c>
      <c r="E5166" s="12" t="s">
        <v>1310</v>
      </c>
      <c r="F5166" s="12" t="s">
        <v>1311</v>
      </c>
      <c r="G5166" s="12" t="s">
        <v>46</v>
      </c>
      <c r="H5166" s="11" t="s">
        <v>63</v>
      </c>
      <c r="I5166" s="13" t="s">
        <v>11167</v>
      </c>
      <c r="J5166" s="14" t="str">
        <f>HYPERLINK("https://www.boe.es/gazeta/dias/1839/04/23/pdfs/GMD-1839-1620.pdf#page=3","Abrir facsímil")</f>
        <v>Abrir facsímil</v>
      </c>
      <c r="K5166" s="12" t="s">
        <v>65</v>
      </c>
    </row>
    <row r="5167" spans="1:11" ht="40.049999999999997" customHeight="1" x14ac:dyDescent="0.25">
      <c r="A5167" s="11" t="s">
        <v>11168</v>
      </c>
      <c r="B5167" s="11" t="s">
        <v>11169</v>
      </c>
      <c r="C5167" s="11" t="s">
        <v>17</v>
      </c>
      <c r="D5167" s="11" t="s">
        <v>18</v>
      </c>
      <c r="E5167" s="12" t="s">
        <v>1159</v>
      </c>
      <c r="F5167" s="12" t="s">
        <v>1160</v>
      </c>
      <c r="G5167" s="12" t="s">
        <v>46</v>
      </c>
      <c r="H5167" s="11" t="s">
        <v>63</v>
      </c>
      <c r="I5167" s="13" t="s">
        <v>11170</v>
      </c>
      <c r="J5167" s="14" t="str">
        <f>HYPERLINK("https://www.boe.es/gazeta/dias/1839/11/26/pdfs/GMD-1839-1843.pdf#page=3","Abrir facsímil")</f>
        <v>Abrir facsímil</v>
      </c>
      <c r="K5167" s="12" t="s">
        <v>65</v>
      </c>
    </row>
    <row r="5168" spans="1:11" ht="40.049999999999997" customHeight="1" x14ac:dyDescent="0.25">
      <c r="A5168" s="11" t="s">
        <v>11171</v>
      </c>
      <c r="B5168" s="11" t="s">
        <v>11172</v>
      </c>
      <c r="C5168" s="11" t="s">
        <v>17</v>
      </c>
      <c r="D5168" s="11" t="s">
        <v>18</v>
      </c>
      <c r="E5168" s="12" t="s">
        <v>168</v>
      </c>
      <c r="F5168" s="12" t="s">
        <v>169</v>
      </c>
      <c r="G5168" s="12" t="s">
        <v>46</v>
      </c>
      <c r="H5168" s="11" t="s">
        <v>63</v>
      </c>
      <c r="I5168" s="13" t="s">
        <v>11173</v>
      </c>
      <c r="J5168" s="14" t="str">
        <f>HYPERLINK("https://www.boe.es/gazeta/dias/1839/07/12/pdfs/GMD-1839-1700.pdf#page=3","Abrir facsímil")</f>
        <v>Abrir facsímil</v>
      </c>
      <c r="K5168" s="12" t="s">
        <v>65</v>
      </c>
    </row>
    <row r="5169" spans="1:11" ht="40.049999999999997" customHeight="1" x14ac:dyDescent="0.25">
      <c r="A5169" s="11" t="s">
        <v>11174</v>
      </c>
      <c r="B5169" s="11" t="s">
        <v>11175</v>
      </c>
      <c r="C5169" s="11" t="s">
        <v>101</v>
      </c>
      <c r="D5169" s="11" t="s">
        <v>102</v>
      </c>
      <c r="E5169" s="12" t="s">
        <v>160</v>
      </c>
      <c r="F5169" s="12" t="s">
        <v>161</v>
      </c>
      <c r="G5169" s="12" t="s">
        <v>46</v>
      </c>
      <c r="H5169" s="11" t="s">
        <v>63</v>
      </c>
      <c r="I5169" s="13" t="s">
        <v>11176</v>
      </c>
      <c r="J5169" s="14" t="str">
        <f>HYPERLINK("https://www.boe.es/gazeta/dias/1839/01/10/pdfs/GMD-1839-1517.pdf#page=3","Abrir facsímil")</f>
        <v>Abrir facsímil</v>
      </c>
      <c r="K5169" s="12" t="s">
        <v>65</v>
      </c>
    </row>
    <row r="5170" spans="1:11" ht="40.049999999999997" customHeight="1" x14ac:dyDescent="0.25">
      <c r="A5170" s="11" t="s">
        <v>11177</v>
      </c>
      <c r="B5170" s="11" t="s">
        <v>11178</v>
      </c>
      <c r="C5170" s="11" t="s">
        <v>17</v>
      </c>
      <c r="D5170" s="11" t="s">
        <v>18</v>
      </c>
      <c r="E5170" s="12" t="s">
        <v>513</v>
      </c>
      <c r="F5170" s="12" t="s">
        <v>514</v>
      </c>
      <c r="G5170" s="12" t="s">
        <v>21</v>
      </c>
      <c r="H5170" s="11" t="s">
        <v>63</v>
      </c>
      <c r="I5170" s="13" t="s">
        <v>11179</v>
      </c>
      <c r="J5170" s="14" t="str">
        <f>HYPERLINK("https://www.boe.es/gazeta/dias/1839/03/17/pdfs/GMD-1839-1583.pdf#page=4","Abrir facsímil")</f>
        <v>Abrir facsímil</v>
      </c>
      <c r="K5170" s="12" t="s">
        <v>65</v>
      </c>
    </row>
    <row r="5171" spans="1:11" ht="40.049999999999997" customHeight="1" x14ac:dyDescent="0.25">
      <c r="A5171" s="11" t="s">
        <v>11180</v>
      </c>
      <c r="B5171" s="11" t="s">
        <v>11181</v>
      </c>
      <c r="C5171" s="11" t="s">
        <v>80</v>
      </c>
      <c r="D5171" s="11" t="s">
        <v>18</v>
      </c>
      <c r="E5171" s="12" t="s">
        <v>94</v>
      </c>
      <c r="F5171" s="12" t="s">
        <v>95</v>
      </c>
      <c r="G5171" s="12" t="s">
        <v>46</v>
      </c>
      <c r="H5171" s="11" t="s">
        <v>63</v>
      </c>
      <c r="I5171" s="13" t="s">
        <v>11182</v>
      </c>
      <c r="J5171" s="14" t="str">
        <f>HYPERLINK("https://www.boe.es/gazeta/dias/1839/02/24/pdfs/GMD-1839-1562.pdf#page=3","Abrir facsímil")</f>
        <v>Abrir facsímil</v>
      </c>
      <c r="K5171" s="12" t="s">
        <v>65</v>
      </c>
    </row>
    <row r="5172" spans="1:11" ht="40.049999999999997" customHeight="1" x14ac:dyDescent="0.25">
      <c r="A5172" s="11" t="s">
        <v>11183</v>
      </c>
      <c r="B5172" s="11" t="s">
        <v>11184</v>
      </c>
      <c r="C5172" s="11" t="s">
        <v>17</v>
      </c>
      <c r="D5172" s="11" t="s">
        <v>18</v>
      </c>
      <c r="E5172" s="12" t="s">
        <v>3236</v>
      </c>
      <c r="F5172" s="12" t="s">
        <v>3237</v>
      </c>
      <c r="G5172" s="12" t="s">
        <v>29</v>
      </c>
      <c r="H5172" s="11" t="s">
        <v>63</v>
      </c>
      <c r="I5172" s="13" t="s">
        <v>11185</v>
      </c>
      <c r="J5172" s="14" t="str">
        <f>HYPERLINK("https://www.boe.es/gazeta/dias/1839/12/03/pdfs/GMD-1839-1850.pdf#page=1","Abrir facsímil")</f>
        <v>Abrir facsímil</v>
      </c>
      <c r="K5172" s="12" t="s">
        <v>65</v>
      </c>
    </row>
    <row r="5173" spans="1:11" ht="40.049999999999997" customHeight="1" x14ac:dyDescent="0.25">
      <c r="A5173" s="11" t="s">
        <v>11183</v>
      </c>
      <c r="B5173" s="11" t="s">
        <v>11184</v>
      </c>
      <c r="C5173" s="11" t="s">
        <v>137</v>
      </c>
      <c r="D5173" s="11" t="s">
        <v>18</v>
      </c>
      <c r="E5173" s="12" t="s">
        <v>1725</v>
      </c>
      <c r="F5173" s="12" t="s">
        <v>1726</v>
      </c>
      <c r="G5173" s="12" t="s">
        <v>29</v>
      </c>
      <c r="H5173" s="11" t="s">
        <v>63</v>
      </c>
      <c r="I5173" s="13" t="s">
        <v>11186</v>
      </c>
      <c r="J5173" s="14" t="str">
        <f>HYPERLINK("https://www.boe.es/gazeta/dias/1839/11/17/pdfs/GMD-1839-1834.pdf#page=1","Abrir facsímil")</f>
        <v>Abrir facsímil</v>
      </c>
      <c r="K5173" s="12" t="s">
        <v>65</v>
      </c>
    </row>
    <row r="5174" spans="1:11" ht="40.049999999999997" customHeight="1" x14ac:dyDescent="0.25">
      <c r="A5174" s="11" t="s">
        <v>11183</v>
      </c>
      <c r="B5174" s="11" t="s">
        <v>11184</v>
      </c>
      <c r="C5174" s="11" t="s">
        <v>17</v>
      </c>
      <c r="D5174" s="11" t="s">
        <v>18</v>
      </c>
      <c r="E5174" s="12" t="s">
        <v>287</v>
      </c>
      <c r="F5174" s="12" t="s">
        <v>288</v>
      </c>
      <c r="G5174" s="12" t="s">
        <v>29</v>
      </c>
      <c r="H5174" s="11" t="s">
        <v>63</v>
      </c>
      <c r="I5174" s="13" t="s">
        <v>11187</v>
      </c>
      <c r="J5174" s="14" t="str">
        <f>HYPERLINK("https://www.boe.es/gazeta/dias/1839/11/27/pdfs/GMD-1839-1844.pdf#page=1","Abrir facsímil")</f>
        <v>Abrir facsímil</v>
      </c>
      <c r="K5174" s="12" t="s">
        <v>65</v>
      </c>
    </row>
    <row r="5175" spans="1:11" ht="40.049999999999997" customHeight="1" x14ac:dyDescent="0.25">
      <c r="A5175" s="11" t="s">
        <v>11183</v>
      </c>
      <c r="B5175" s="11" t="s">
        <v>11184</v>
      </c>
      <c r="C5175" s="11" t="s">
        <v>17</v>
      </c>
      <c r="D5175" s="11" t="s">
        <v>18</v>
      </c>
      <c r="E5175" s="12" t="s">
        <v>892</v>
      </c>
      <c r="F5175" s="12" t="s">
        <v>893</v>
      </c>
      <c r="G5175" s="12" t="s">
        <v>40</v>
      </c>
      <c r="H5175" s="11" t="s">
        <v>63</v>
      </c>
      <c r="I5175" s="13" t="s">
        <v>11188</v>
      </c>
      <c r="J5175" s="14" t="str">
        <f>HYPERLINK("https://www.boe.es/gazeta/dias/1839/12/28/pdfs/GMD-1839-1875.pdf#page=2","Abrir facsímil")</f>
        <v>Abrir facsímil</v>
      </c>
      <c r="K5175" s="12" t="s">
        <v>65</v>
      </c>
    </row>
    <row r="5176" spans="1:11" ht="40.049999999999997" customHeight="1" x14ac:dyDescent="0.25">
      <c r="A5176" s="11" t="s">
        <v>11183</v>
      </c>
      <c r="B5176" s="11" t="s">
        <v>11184</v>
      </c>
      <c r="C5176" s="11" t="s">
        <v>17</v>
      </c>
      <c r="D5176" s="11" t="s">
        <v>18</v>
      </c>
      <c r="E5176" s="12" t="s">
        <v>3391</v>
      </c>
      <c r="F5176" s="12" t="s">
        <v>3392</v>
      </c>
      <c r="G5176" s="12" t="s">
        <v>29</v>
      </c>
      <c r="H5176" s="11" t="s">
        <v>63</v>
      </c>
      <c r="I5176" s="13" t="s">
        <v>11189</v>
      </c>
      <c r="J5176" s="14" t="str">
        <f>HYPERLINK("https://www.boe.es/gazeta/dias/1839/12/31/pdfs/GMD-1839-1878.pdf#page=1","Abrir facsímil")</f>
        <v>Abrir facsímil</v>
      </c>
      <c r="K5176" s="12" t="s">
        <v>65</v>
      </c>
    </row>
    <row r="5177" spans="1:11" ht="40.049999999999997" customHeight="1" x14ac:dyDescent="0.25">
      <c r="A5177" s="11" t="s">
        <v>11183</v>
      </c>
      <c r="B5177" s="11" t="s">
        <v>11184</v>
      </c>
      <c r="C5177" s="11" t="s">
        <v>59</v>
      </c>
      <c r="D5177" s="11" t="s">
        <v>60</v>
      </c>
      <c r="E5177" s="12" t="s">
        <v>3391</v>
      </c>
      <c r="F5177" s="12" t="s">
        <v>3392</v>
      </c>
      <c r="G5177" s="12" t="s">
        <v>46</v>
      </c>
      <c r="H5177" s="11" t="s">
        <v>63</v>
      </c>
      <c r="I5177" s="13" t="s">
        <v>11190</v>
      </c>
      <c r="J5177" s="14" t="str">
        <f>HYPERLINK("https://www.boe.es/gazeta/dias/1839/12/31/pdfs/GMD-1839-1878.pdf#page=3","Abrir facsímil")</f>
        <v>Abrir facsímil</v>
      </c>
      <c r="K5177" s="12" t="s">
        <v>65</v>
      </c>
    </row>
    <row r="5178" spans="1:11" ht="40.049999999999997" customHeight="1" x14ac:dyDescent="0.25">
      <c r="A5178" s="11" t="s">
        <v>11191</v>
      </c>
      <c r="B5178" s="11" t="s">
        <v>11192</v>
      </c>
      <c r="C5178" s="11" t="s">
        <v>17</v>
      </c>
      <c r="D5178" s="11" t="s">
        <v>18</v>
      </c>
      <c r="E5178" s="12" t="s">
        <v>49</v>
      </c>
      <c r="F5178" s="12" t="s">
        <v>50</v>
      </c>
      <c r="G5178" s="12" t="s">
        <v>46</v>
      </c>
      <c r="H5178" s="11" t="s">
        <v>63</v>
      </c>
      <c r="I5178" s="13" t="s">
        <v>11193</v>
      </c>
      <c r="J5178" s="14" t="str">
        <f>HYPERLINK("https://www.boe.es/gazeta/dias/1839/01/05/pdfs/GMD-1839-1512.pdf#page=3","Abrir facsímil")</f>
        <v>Abrir facsímil</v>
      </c>
      <c r="K5178" s="12" t="s">
        <v>65</v>
      </c>
    </row>
    <row r="5179" spans="1:11" ht="40.049999999999997" customHeight="1" x14ac:dyDescent="0.25">
      <c r="A5179" s="11" t="s">
        <v>11194</v>
      </c>
      <c r="B5179" s="11" t="s">
        <v>11195</v>
      </c>
      <c r="C5179" s="11" t="s">
        <v>17</v>
      </c>
      <c r="D5179" s="11" t="s">
        <v>18</v>
      </c>
      <c r="E5179" s="12" t="s">
        <v>479</v>
      </c>
      <c r="F5179" s="12" t="s">
        <v>480</v>
      </c>
      <c r="G5179" s="12" t="s">
        <v>21</v>
      </c>
      <c r="H5179" s="11" t="s">
        <v>63</v>
      </c>
      <c r="I5179" s="13" t="s">
        <v>11196</v>
      </c>
      <c r="J5179" s="14" t="str">
        <f>HYPERLINK("https://www.boe.es/gazeta/dias/1839/06/24/pdfs/GMD-1839-1682.pdf#page=4","Abrir facsímil")</f>
        <v>Abrir facsímil</v>
      </c>
      <c r="K5179" s="12" t="s">
        <v>65</v>
      </c>
    </row>
    <row r="5180" spans="1:11" ht="40.049999999999997" customHeight="1" x14ac:dyDescent="0.25">
      <c r="A5180" s="11" t="s">
        <v>11197</v>
      </c>
      <c r="B5180" s="11" t="s">
        <v>11198</v>
      </c>
      <c r="C5180" s="11" t="s">
        <v>59</v>
      </c>
      <c r="D5180" s="11" t="s">
        <v>60</v>
      </c>
      <c r="E5180" s="12" t="s">
        <v>870</v>
      </c>
      <c r="F5180" s="12" t="s">
        <v>871</v>
      </c>
      <c r="G5180" s="12" t="s">
        <v>46</v>
      </c>
      <c r="H5180" s="11" t="s">
        <v>63</v>
      </c>
      <c r="I5180" s="13" t="s">
        <v>11199</v>
      </c>
      <c r="J5180" s="14" t="str">
        <f>HYPERLINK("https://www.boe.es/gazeta/dias/1839/04/18/pdfs/GMD-1839-1615.pdf#page=3","Abrir facsímil")</f>
        <v>Abrir facsímil</v>
      </c>
      <c r="K5180" s="12" t="s">
        <v>65</v>
      </c>
    </row>
    <row r="5181" spans="1:11" ht="40.049999999999997" customHeight="1" x14ac:dyDescent="0.25">
      <c r="A5181" s="11" t="s">
        <v>11200</v>
      </c>
      <c r="B5181" s="11" t="s">
        <v>11201</v>
      </c>
      <c r="C5181" s="11" t="s">
        <v>101</v>
      </c>
      <c r="D5181" s="11" t="s">
        <v>43</v>
      </c>
      <c r="E5181" s="12" t="s">
        <v>862</v>
      </c>
      <c r="F5181" s="12" t="s">
        <v>863</v>
      </c>
      <c r="G5181" s="12" t="s">
        <v>21</v>
      </c>
      <c r="H5181" s="11" t="s">
        <v>63</v>
      </c>
      <c r="I5181" s="13" t="s">
        <v>11202</v>
      </c>
      <c r="J5181" s="14" t="str">
        <f>HYPERLINK("https://www.boe.es/gazeta/dias/1839/10/28/pdfs/GMD-1839-1814.pdf#page=4","Abrir facsímil")</f>
        <v>Abrir facsímil</v>
      </c>
      <c r="K5181" s="12" t="s">
        <v>65</v>
      </c>
    </row>
    <row r="5182" spans="1:11" ht="40.049999999999997" customHeight="1" x14ac:dyDescent="0.25">
      <c r="A5182" s="11" t="s">
        <v>11200</v>
      </c>
      <c r="B5182" s="11" t="s">
        <v>11201</v>
      </c>
      <c r="C5182" s="11" t="s">
        <v>17</v>
      </c>
      <c r="D5182" s="11" t="s">
        <v>18</v>
      </c>
      <c r="E5182" s="12" t="s">
        <v>862</v>
      </c>
      <c r="F5182" s="12" t="s">
        <v>863</v>
      </c>
      <c r="G5182" s="12" t="s">
        <v>566</v>
      </c>
      <c r="H5182" s="11" t="s">
        <v>63</v>
      </c>
      <c r="I5182" s="13" t="s">
        <v>11203</v>
      </c>
      <c r="J5182" s="14" t="str">
        <f>HYPERLINK("https://www.boe.es/gazeta/dias/1839/10/28/pdfs/GMD-1839-1814.pdf#page=5","Abrir facsímil")</f>
        <v>Abrir facsímil</v>
      </c>
      <c r="K5182" s="12" t="s">
        <v>65</v>
      </c>
    </row>
    <row r="5183" spans="1:11" ht="40.049999999999997" customHeight="1" x14ac:dyDescent="0.25">
      <c r="A5183" s="11" t="s">
        <v>11200</v>
      </c>
      <c r="B5183" s="11" t="s">
        <v>11201</v>
      </c>
      <c r="C5183" s="11" t="s">
        <v>59</v>
      </c>
      <c r="D5183" s="11" t="s">
        <v>60</v>
      </c>
      <c r="E5183" s="12" t="s">
        <v>1287</v>
      </c>
      <c r="F5183" s="12" t="s">
        <v>1288</v>
      </c>
      <c r="G5183" s="12" t="s">
        <v>46</v>
      </c>
      <c r="H5183" s="11" t="s">
        <v>63</v>
      </c>
      <c r="I5183" s="13" t="s">
        <v>11204</v>
      </c>
      <c r="J5183" s="14" t="str">
        <f>HYPERLINK("https://www.boe.es/gazeta/dias/1839/10/30/pdfs/GMD-1839-1816.pdf#page=3","Abrir facsímil")</f>
        <v>Abrir facsímil</v>
      </c>
      <c r="K5183" s="12" t="s">
        <v>65</v>
      </c>
    </row>
    <row r="5184" spans="1:11" ht="40.049999999999997" customHeight="1" x14ac:dyDescent="0.25">
      <c r="A5184" s="11" t="s">
        <v>11205</v>
      </c>
      <c r="B5184" s="11" t="s">
        <v>11206</v>
      </c>
      <c r="C5184" s="11" t="s">
        <v>17</v>
      </c>
      <c r="D5184" s="11" t="s">
        <v>18</v>
      </c>
      <c r="E5184" s="12" t="s">
        <v>262</v>
      </c>
      <c r="F5184" s="12" t="s">
        <v>263</v>
      </c>
      <c r="G5184" s="12" t="s">
        <v>21</v>
      </c>
      <c r="H5184" s="11" t="s">
        <v>63</v>
      </c>
      <c r="I5184" s="13" t="s">
        <v>11207</v>
      </c>
      <c r="J5184" s="14" t="str">
        <f>HYPERLINK("https://www.boe.es/gazeta/dias/1839/01/01/pdfs/GMD-1839-1508.pdf#page=4","Abrir facsímil")</f>
        <v>Abrir facsímil</v>
      </c>
      <c r="K5184" s="12" t="s">
        <v>65</v>
      </c>
    </row>
    <row r="5185" spans="1:11" ht="40.049999999999997" customHeight="1" x14ac:dyDescent="0.25">
      <c r="A5185" s="11" t="s">
        <v>11208</v>
      </c>
      <c r="B5185" s="11" t="s">
        <v>11209</v>
      </c>
      <c r="C5185" s="11" t="s">
        <v>17</v>
      </c>
      <c r="D5185" s="11" t="s">
        <v>18</v>
      </c>
      <c r="E5185" s="12" t="s">
        <v>716</v>
      </c>
      <c r="F5185" s="12" t="s">
        <v>717</v>
      </c>
      <c r="G5185" s="12" t="s">
        <v>21</v>
      </c>
      <c r="H5185" s="11" t="s">
        <v>63</v>
      </c>
      <c r="I5185" s="13" t="s">
        <v>11210</v>
      </c>
      <c r="J5185" s="14" t="str">
        <f>HYPERLINK("https://www.boe.es/gazeta/dias/1839/07/30/pdfs/GMD-1839-1719.pdf#page=4","Abrir facsímil")</f>
        <v>Abrir facsímil</v>
      </c>
      <c r="K5185" s="12" t="s">
        <v>65</v>
      </c>
    </row>
    <row r="5186" spans="1:11" ht="40.049999999999997" customHeight="1" x14ac:dyDescent="0.25">
      <c r="A5186" s="11" t="s">
        <v>11211</v>
      </c>
      <c r="B5186" s="11" t="s">
        <v>11212</v>
      </c>
      <c r="C5186" s="11" t="s">
        <v>17</v>
      </c>
      <c r="D5186" s="11" t="s">
        <v>18</v>
      </c>
      <c r="E5186" s="12" t="s">
        <v>269</v>
      </c>
      <c r="F5186" s="12" t="s">
        <v>270</v>
      </c>
      <c r="G5186" s="12" t="s">
        <v>46</v>
      </c>
      <c r="H5186" s="11" t="s">
        <v>63</v>
      </c>
      <c r="I5186" s="13" t="s">
        <v>11213</v>
      </c>
      <c r="J5186" s="14" t="str">
        <f>HYPERLINK("https://www.boe.es/gazeta/dias/1839/02/10/pdfs/GMD-1839-1548.pdf#page=3","Abrir facsímil")</f>
        <v>Abrir facsímil</v>
      </c>
      <c r="K5186" s="12" t="s">
        <v>65</v>
      </c>
    </row>
    <row r="5187" spans="1:11" ht="40.049999999999997" customHeight="1" x14ac:dyDescent="0.25">
      <c r="A5187" s="11" t="s">
        <v>11214</v>
      </c>
      <c r="B5187" s="11" t="s">
        <v>11215</v>
      </c>
      <c r="C5187" s="11" t="s">
        <v>17</v>
      </c>
      <c r="D5187" s="11" t="s">
        <v>18</v>
      </c>
      <c r="E5187" s="12" t="s">
        <v>269</v>
      </c>
      <c r="F5187" s="12" t="s">
        <v>270</v>
      </c>
      <c r="G5187" s="12" t="s">
        <v>46</v>
      </c>
      <c r="H5187" s="11" t="s">
        <v>63</v>
      </c>
      <c r="I5187" s="13" t="s">
        <v>11216</v>
      </c>
      <c r="J5187" s="14" t="str">
        <f>HYPERLINK("https://www.boe.es/gazeta/dias/1839/02/10/pdfs/GMD-1839-1548.pdf#page=3","Abrir facsímil")</f>
        <v>Abrir facsímil</v>
      </c>
      <c r="K5187" s="12" t="s">
        <v>65</v>
      </c>
    </row>
    <row r="5188" spans="1:11" ht="40.049999999999997" customHeight="1" x14ac:dyDescent="0.25">
      <c r="A5188" s="11" t="s">
        <v>11217</v>
      </c>
      <c r="B5188" s="11" t="s">
        <v>11218</v>
      </c>
      <c r="C5188" s="11" t="s">
        <v>17</v>
      </c>
      <c r="D5188" s="11" t="s">
        <v>18</v>
      </c>
      <c r="E5188" s="12" t="s">
        <v>1008</v>
      </c>
      <c r="F5188" s="12" t="s">
        <v>1009</v>
      </c>
      <c r="G5188" s="12" t="s">
        <v>46</v>
      </c>
      <c r="H5188" s="11" t="s">
        <v>63</v>
      </c>
      <c r="I5188" s="13" t="s">
        <v>11219</v>
      </c>
      <c r="J5188" s="14" t="str">
        <f>HYPERLINK("https://www.boe.es/gazeta/dias/1839/09/07/pdfs/GMD-1839-1760.pdf#page=3","Abrir facsímil")</f>
        <v>Abrir facsímil</v>
      </c>
      <c r="K5188" s="12" t="s">
        <v>65</v>
      </c>
    </row>
    <row r="5189" spans="1:11" ht="40.049999999999997" customHeight="1" x14ac:dyDescent="0.25">
      <c r="A5189" s="11" t="s">
        <v>11217</v>
      </c>
      <c r="B5189" s="11" t="s">
        <v>11218</v>
      </c>
      <c r="C5189" s="11" t="s">
        <v>17</v>
      </c>
      <c r="D5189" s="11" t="s">
        <v>18</v>
      </c>
      <c r="E5189" s="12" t="s">
        <v>1179</v>
      </c>
      <c r="F5189" s="12" t="s">
        <v>1180</v>
      </c>
      <c r="G5189" s="12" t="s">
        <v>46</v>
      </c>
      <c r="H5189" s="11" t="s">
        <v>63</v>
      </c>
      <c r="I5189" s="13" t="s">
        <v>11220</v>
      </c>
      <c r="J5189" s="14" t="str">
        <f>HYPERLINK("https://www.boe.es/gazeta/dias/1839/10/18/pdfs/GMD-1839-1804.pdf#page=3","Abrir facsímil")</f>
        <v>Abrir facsímil</v>
      </c>
      <c r="K5189" s="12" t="s">
        <v>65</v>
      </c>
    </row>
    <row r="5190" spans="1:11" ht="40.049999999999997" customHeight="1" x14ac:dyDescent="0.25">
      <c r="A5190" s="11" t="s">
        <v>11221</v>
      </c>
      <c r="B5190" s="11" t="s">
        <v>11222</v>
      </c>
      <c r="C5190" s="11" t="s">
        <v>137</v>
      </c>
      <c r="D5190" s="11" t="s">
        <v>18</v>
      </c>
      <c r="E5190" s="12" t="s">
        <v>992</v>
      </c>
      <c r="F5190" s="12" t="s">
        <v>993</v>
      </c>
      <c r="G5190" s="12" t="s">
        <v>40</v>
      </c>
      <c r="H5190" s="11" t="s">
        <v>63</v>
      </c>
      <c r="I5190" s="13" t="s">
        <v>11223</v>
      </c>
      <c r="J5190" s="14" t="str">
        <f>HYPERLINK("https://www.boe.es/gazeta/dias/1839/02/18/pdfs/GMD-1839-1556.pdf#page=2","Abrir facsímil")</f>
        <v>Abrir facsímil</v>
      </c>
      <c r="K5190" s="12" t="s">
        <v>65</v>
      </c>
    </row>
    <row r="5191" spans="1:11" ht="40.049999999999997" customHeight="1" x14ac:dyDescent="0.25">
      <c r="A5191" s="11" t="s">
        <v>11224</v>
      </c>
      <c r="B5191" s="11" t="s">
        <v>11225</v>
      </c>
      <c r="C5191" s="11" t="s">
        <v>80</v>
      </c>
      <c r="D5191" s="11" t="s">
        <v>18</v>
      </c>
      <c r="E5191" s="12" t="s">
        <v>246</v>
      </c>
      <c r="F5191" s="12" t="s">
        <v>247</v>
      </c>
      <c r="G5191" s="12" t="s">
        <v>46</v>
      </c>
      <c r="H5191" s="11" t="s">
        <v>63</v>
      </c>
      <c r="I5191" s="13" t="s">
        <v>11226</v>
      </c>
      <c r="J5191" s="14" t="str">
        <f>HYPERLINK("https://www.boe.es/gazeta/dias/1839/11/24/pdfs/GMD-1839-1841.pdf#page=3","Abrir facsímil")</f>
        <v>Abrir facsímil</v>
      </c>
      <c r="K5191" s="12" t="s">
        <v>65</v>
      </c>
    </row>
    <row r="5192" spans="1:11" ht="40.049999999999997" customHeight="1" x14ac:dyDescent="0.25">
      <c r="A5192" s="11" t="s">
        <v>11227</v>
      </c>
      <c r="B5192" s="11" t="s">
        <v>11228</v>
      </c>
      <c r="C5192" s="11" t="s">
        <v>17</v>
      </c>
      <c r="D5192" s="11" t="s">
        <v>18</v>
      </c>
      <c r="E5192" s="12" t="s">
        <v>4472</v>
      </c>
      <c r="F5192" s="12" t="s">
        <v>4473</v>
      </c>
      <c r="G5192" s="12" t="s">
        <v>40</v>
      </c>
      <c r="H5192" s="11" t="s">
        <v>63</v>
      </c>
      <c r="I5192" s="13" t="s">
        <v>11229</v>
      </c>
      <c r="J5192" s="14" t="str">
        <f>HYPERLINK("https://www.boe.es/gazeta/dias/1839/08/03/pdfs/GMD-1839-1723.pdf#page=2","Abrir facsímil")</f>
        <v>Abrir facsímil</v>
      </c>
      <c r="K5192" s="12" t="s">
        <v>65</v>
      </c>
    </row>
    <row r="5193" spans="1:11" ht="40.049999999999997" customHeight="1" x14ac:dyDescent="0.25">
      <c r="A5193" s="11" t="s">
        <v>11227</v>
      </c>
      <c r="B5193" s="11" t="s">
        <v>11228</v>
      </c>
      <c r="C5193" s="11" t="s">
        <v>17</v>
      </c>
      <c r="D5193" s="11" t="s">
        <v>18</v>
      </c>
      <c r="E5193" s="12" t="s">
        <v>2210</v>
      </c>
      <c r="F5193" s="12" t="s">
        <v>2211</v>
      </c>
      <c r="G5193" s="12" t="s">
        <v>21</v>
      </c>
      <c r="H5193" s="11" t="s">
        <v>63</v>
      </c>
      <c r="I5193" s="13" t="s">
        <v>11230</v>
      </c>
      <c r="J5193" s="14" t="str">
        <f>HYPERLINK("https://www.boe.es/gazeta/dias/1839/09/05/pdfs/GMD-1839-1758.pdf#page=4","Abrir facsímil")</f>
        <v>Abrir facsímil</v>
      </c>
      <c r="K5193" s="12" t="s">
        <v>65</v>
      </c>
    </row>
    <row r="5194" spans="1:11" ht="40.049999999999997" customHeight="1" x14ac:dyDescent="0.25">
      <c r="A5194" s="11" t="s">
        <v>11227</v>
      </c>
      <c r="B5194" s="11" t="s">
        <v>11228</v>
      </c>
      <c r="C5194" s="11" t="s">
        <v>101</v>
      </c>
      <c r="D5194" s="11" t="s">
        <v>102</v>
      </c>
      <c r="E5194" s="12" t="s">
        <v>1779</v>
      </c>
      <c r="F5194" s="12" t="s">
        <v>1780</v>
      </c>
      <c r="G5194" s="12" t="s">
        <v>21</v>
      </c>
      <c r="H5194" s="11" t="s">
        <v>63</v>
      </c>
      <c r="I5194" s="13" t="s">
        <v>11231</v>
      </c>
      <c r="J5194" s="14" t="str">
        <f>HYPERLINK("https://www.boe.es/gazeta/dias/1839/03/18/pdfs/GMD-1839-1584.pdf#page=4","Abrir facsímil")</f>
        <v>Abrir facsímil</v>
      </c>
      <c r="K5194" s="12" t="s">
        <v>65</v>
      </c>
    </row>
    <row r="5195" spans="1:11" ht="40.049999999999997" customHeight="1" x14ac:dyDescent="0.25">
      <c r="A5195" s="11" t="s">
        <v>11227</v>
      </c>
      <c r="B5195" s="11" t="s">
        <v>11228</v>
      </c>
      <c r="C5195" s="11" t="s">
        <v>17</v>
      </c>
      <c r="D5195" s="11" t="s">
        <v>18</v>
      </c>
      <c r="E5195" s="12" t="s">
        <v>27</v>
      </c>
      <c r="F5195" s="12" t="s">
        <v>28</v>
      </c>
      <c r="G5195" s="12" t="s">
        <v>29</v>
      </c>
      <c r="H5195" s="11" t="s">
        <v>63</v>
      </c>
      <c r="I5195" s="13" t="s">
        <v>11232</v>
      </c>
      <c r="J5195" s="14" t="str">
        <f>HYPERLINK("https://www.boe.es/gazeta/dias/1839/07/28/pdfs/GMD-1839-1717.pdf#page=1","Abrir facsímil")</f>
        <v>Abrir facsímil</v>
      </c>
      <c r="K5195" s="12" t="s">
        <v>65</v>
      </c>
    </row>
    <row r="5196" spans="1:11" ht="40.049999999999997" customHeight="1" x14ac:dyDescent="0.25">
      <c r="A5196" s="11" t="s">
        <v>11233</v>
      </c>
      <c r="B5196" s="11" t="s">
        <v>11234</v>
      </c>
      <c r="C5196" s="11" t="s">
        <v>17</v>
      </c>
      <c r="D5196" s="11" t="s">
        <v>18</v>
      </c>
      <c r="E5196" s="12" t="s">
        <v>4047</v>
      </c>
      <c r="F5196" s="12" t="s">
        <v>4048</v>
      </c>
      <c r="G5196" s="12" t="s">
        <v>46</v>
      </c>
      <c r="H5196" s="11" t="s">
        <v>63</v>
      </c>
      <c r="I5196" s="13" t="s">
        <v>11235</v>
      </c>
      <c r="J5196" s="14" t="str">
        <f>HYPERLINK("https://www.boe.es/gazeta/dias/1839/03/26/pdfs/GMD-1839-1592.pdf#page=3","Abrir facsímil")</f>
        <v>Abrir facsímil</v>
      </c>
      <c r="K5196" s="12" t="s">
        <v>65</v>
      </c>
    </row>
    <row r="5197" spans="1:11" ht="40.049999999999997" customHeight="1" x14ac:dyDescent="0.25">
      <c r="A5197" s="11" t="s">
        <v>11236</v>
      </c>
      <c r="B5197" s="11" t="s">
        <v>11237</v>
      </c>
      <c r="C5197" s="11" t="s">
        <v>137</v>
      </c>
      <c r="D5197" s="11" t="s">
        <v>18</v>
      </c>
      <c r="E5197" s="12" t="s">
        <v>2205</v>
      </c>
      <c r="F5197" s="12" t="s">
        <v>2206</v>
      </c>
      <c r="G5197" s="12" t="s">
        <v>40</v>
      </c>
      <c r="H5197" s="11" t="s">
        <v>63</v>
      </c>
      <c r="I5197" s="13" t="s">
        <v>11238</v>
      </c>
      <c r="J5197" s="14" t="str">
        <f>HYPERLINK("https://www.boe.es/gazeta/dias/1839/07/11/pdfs/GMD-1839-1699.pdf#page=2","Abrir facsímil")</f>
        <v>Abrir facsímil</v>
      </c>
      <c r="K5197" s="12" t="s">
        <v>65</v>
      </c>
    </row>
    <row r="5198" spans="1:11" ht="40.049999999999997" customHeight="1" x14ac:dyDescent="0.25">
      <c r="A5198" s="11" t="s">
        <v>11239</v>
      </c>
      <c r="B5198" s="11" t="s">
        <v>11240</v>
      </c>
      <c r="C5198" s="11" t="s">
        <v>80</v>
      </c>
      <c r="D5198" s="11" t="s">
        <v>18</v>
      </c>
      <c r="E5198" s="12" t="s">
        <v>121</v>
      </c>
      <c r="F5198" s="12" t="s">
        <v>122</v>
      </c>
      <c r="G5198" s="12" t="s">
        <v>21</v>
      </c>
      <c r="H5198" s="11" t="s">
        <v>63</v>
      </c>
      <c r="I5198" s="13" t="s">
        <v>11241</v>
      </c>
      <c r="J5198" s="14" t="str">
        <f>HYPERLINK("https://www.boe.es/gazeta/dias/1839/06/08/pdfs/GMD-1839-1666.pdf#page=4","Abrir facsímil")</f>
        <v>Abrir facsímil</v>
      </c>
      <c r="K5198" s="12" t="s">
        <v>65</v>
      </c>
    </row>
    <row r="5199" spans="1:11" ht="40.049999999999997" customHeight="1" x14ac:dyDescent="0.25">
      <c r="A5199" s="11" t="s">
        <v>11242</v>
      </c>
      <c r="B5199" s="11" t="s">
        <v>11243</v>
      </c>
      <c r="C5199" s="11" t="s">
        <v>17</v>
      </c>
      <c r="D5199" s="11" t="s">
        <v>18</v>
      </c>
      <c r="E5199" s="12" t="s">
        <v>3289</v>
      </c>
      <c r="F5199" s="12" t="s">
        <v>3290</v>
      </c>
      <c r="G5199" s="12" t="s">
        <v>40</v>
      </c>
      <c r="H5199" s="11" t="s">
        <v>63</v>
      </c>
      <c r="I5199" s="13" t="s">
        <v>11244</v>
      </c>
      <c r="J5199" s="14" t="str">
        <f>HYPERLINK("https://www.boe.es/gazeta/dias/1839/12/10/pdfs/GMD-1839-1857.pdf#page=2","Abrir facsímil")</f>
        <v>Abrir facsímil</v>
      </c>
      <c r="K5199" s="12" t="s">
        <v>65</v>
      </c>
    </row>
    <row r="5200" spans="1:11" ht="40.049999999999997" customHeight="1" x14ac:dyDescent="0.25">
      <c r="A5200" s="11" t="s">
        <v>11245</v>
      </c>
      <c r="B5200" s="11" t="s">
        <v>11246</v>
      </c>
      <c r="C5200" s="11" t="s">
        <v>59</v>
      </c>
      <c r="D5200" s="11" t="s">
        <v>60</v>
      </c>
      <c r="E5200" s="12" t="s">
        <v>507</v>
      </c>
      <c r="F5200" s="12" t="s">
        <v>508</v>
      </c>
      <c r="G5200" s="12" t="s">
        <v>40</v>
      </c>
      <c r="H5200" s="11" t="s">
        <v>63</v>
      </c>
      <c r="I5200" s="13" t="s">
        <v>11247</v>
      </c>
      <c r="J5200" s="14" t="str">
        <f>HYPERLINK("https://www.boe.es/gazeta/dias/1839/08/12/pdfs/GMD-1839-1732.pdf#page=2","Abrir facsímil")</f>
        <v>Abrir facsímil</v>
      </c>
      <c r="K5200" s="12" t="s">
        <v>65</v>
      </c>
    </row>
    <row r="5201" spans="1:11" ht="40.049999999999997" customHeight="1" x14ac:dyDescent="0.25">
      <c r="A5201" s="11" t="s">
        <v>11248</v>
      </c>
      <c r="B5201" s="11" t="s">
        <v>11249</v>
      </c>
      <c r="C5201" s="11" t="s">
        <v>17</v>
      </c>
      <c r="D5201" s="11" t="s">
        <v>18</v>
      </c>
      <c r="E5201" s="12" t="s">
        <v>1072</v>
      </c>
      <c r="F5201" s="12" t="s">
        <v>1073</v>
      </c>
      <c r="G5201" s="12" t="s">
        <v>40</v>
      </c>
      <c r="H5201" s="11" t="s">
        <v>63</v>
      </c>
      <c r="I5201" s="13" t="s">
        <v>11250</v>
      </c>
      <c r="J5201" s="14" t="str">
        <f>HYPERLINK("https://www.boe.es/gazeta/dias/1839/01/18/pdfs/GMD-1839-1525.pdf#page=2","Abrir facsímil")</f>
        <v>Abrir facsímil</v>
      </c>
      <c r="K5201" s="12" t="s">
        <v>65</v>
      </c>
    </row>
    <row r="5202" spans="1:11" ht="40.049999999999997" customHeight="1" x14ac:dyDescent="0.25">
      <c r="A5202" s="11" t="s">
        <v>11251</v>
      </c>
      <c r="B5202" s="11" t="s">
        <v>11252</v>
      </c>
      <c r="C5202" s="11" t="s">
        <v>59</v>
      </c>
      <c r="D5202" s="11" t="s">
        <v>60</v>
      </c>
      <c r="E5202" s="12" t="s">
        <v>19</v>
      </c>
      <c r="F5202" s="12" t="s">
        <v>20</v>
      </c>
      <c r="G5202" s="12" t="s">
        <v>29</v>
      </c>
      <c r="H5202" s="11" t="s">
        <v>63</v>
      </c>
      <c r="I5202" s="13" t="s">
        <v>11253</v>
      </c>
      <c r="J5202" s="14" t="str">
        <f>HYPERLINK("https://www.boe.es/gazeta/dias/1839/01/19/pdfs/GMD-1839-1526.pdf#page=1","Abrir facsímil")</f>
        <v>Abrir facsímil</v>
      </c>
      <c r="K5202" s="12" t="s">
        <v>65</v>
      </c>
    </row>
    <row r="5203" spans="1:11" ht="40.049999999999997" customHeight="1" x14ac:dyDescent="0.25">
      <c r="A5203" s="11" t="s">
        <v>11254</v>
      </c>
      <c r="B5203" s="11" t="s">
        <v>11255</v>
      </c>
      <c r="C5203" s="11" t="s">
        <v>59</v>
      </c>
      <c r="D5203" s="11" t="s">
        <v>60</v>
      </c>
      <c r="E5203" s="12" t="s">
        <v>4055</v>
      </c>
      <c r="F5203" s="12" t="s">
        <v>4056</v>
      </c>
      <c r="G5203" s="12" t="s">
        <v>46</v>
      </c>
      <c r="H5203" s="11" t="s">
        <v>63</v>
      </c>
      <c r="I5203" s="13" t="s">
        <v>11256</v>
      </c>
      <c r="J5203" s="14" t="str">
        <f>HYPERLINK("https://www.boe.es/gazeta/dias/1839/03/07/pdfs/GMD-1839-1573.pdf#page=3","Abrir facsímil")</f>
        <v>Abrir facsímil</v>
      </c>
      <c r="K5203" s="12" t="s">
        <v>65</v>
      </c>
    </row>
    <row r="5204" spans="1:11" ht="40.049999999999997" customHeight="1" x14ac:dyDescent="0.25">
      <c r="A5204" s="11" t="s">
        <v>11254</v>
      </c>
      <c r="B5204" s="11" t="s">
        <v>11255</v>
      </c>
      <c r="C5204" s="11" t="s">
        <v>137</v>
      </c>
      <c r="D5204" s="11" t="s">
        <v>18</v>
      </c>
      <c r="E5204" s="12" t="s">
        <v>720</v>
      </c>
      <c r="F5204" s="12" t="s">
        <v>721</v>
      </c>
      <c r="G5204" s="12" t="s">
        <v>40</v>
      </c>
      <c r="H5204" s="11" t="s">
        <v>63</v>
      </c>
      <c r="I5204" s="13" t="s">
        <v>11257</v>
      </c>
      <c r="J5204" s="14" t="str">
        <f>HYPERLINK("https://www.boe.es/gazeta/dias/1839/01/14/pdfs/GMD-1839-1521.pdf#page=2","Abrir facsímil")</f>
        <v>Abrir facsímil</v>
      </c>
      <c r="K5204" s="12" t="s">
        <v>65</v>
      </c>
    </row>
    <row r="5205" spans="1:11" ht="40.049999999999997" customHeight="1" x14ac:dyDescent="0.25">
      <c r="A5205" s="11" t="s">
        <v>11258</v>
      </c>
      <c r="B5205" s="11" t="s">
        <v>11259</v>
      </c>
      <c r="C5205" s="11" t="s">
        <v>137</v>
      </c>
      <c r="D5205" s="11" t="s">
        <v>18</v>
      </c>
      <c r="E5205" s="12" t="s">
        <v>804</v>
      </c>
      <c r="F5205" s="12" t="s">
        <v>805</v>
      </c>
      <c r="G5205" s="12" t="s">
        <v>29</v>
      </c>
      <c r="H5205" s="11" t="s">
        <v>63</v>
      </c>
      <c r="I5205" s="13" t="s">
        <v>11260</v>
      </c>
      <c r="J5205" s="14" t="str">
        <f>HYPERLINK("https://www.boe.es/gazeta/dias/1839/01/08/pdfs/GMD-1839-1515.pdf#page=1","Abrir facsímil")</f>
        <v>Abrir facsímil</v>
      </c>
      <c r="K5205" s="12" t="s">
        <v>65</v>
      </c>
    </row>
    <row r="5206" spans="1:11" ht="40.049999999999997" customHeight="1" x14ac:dyDescent="0.25">
      <c r="A5206" s="11" t="s">
        <v>11261</v>
      </c>
      <c r="B5206" s="11" t="s">
        <v>11262</v>
      </c>
      <c r="C5206" s="11" t="s">
        <v>137</v>
      </c>
      <c r="D5206" s="11" t="s">
        <v>18</v>
      </c>
      <c r="E5206" s="12" t="s">
        <v>903</v>
      </c>
      <c r="F5206" s="12" t="s">
        <v>904</v>
      </c>
      <c r="G5206" s="12" t="s">
        <v>29</v>
      </c>
      <c r="H5206" s="11" t="s">
        <v>63</v>
      </c>
      <c r="I5206" s="13" t="s">
        <v>11263</v>
      </c>
      <c r="J5206" s="14" t="str">
        <f>HYPERLINK("https://www.boe.es/gazeta/dias/1839/03/14/pdfs/GMD-1839-1580.pdf#page=1","Abrir facsímil")</f>
        <v>Abrir facsímil</v>
      </c>
      <c r="K5206" s="12" t="s">
        <v>65</v>
      </c>
    </row>
    <row r="5207" spans="1:11" ht="40.049999999999997" customHeight="1" x14ac:dyDescent="0.25">
      <c r="A5207" s="11" t="s">
        <v>11261</v>
      </c>
      <c r="B5207" s="11" t="s">
        <v>11262</v>
      </c>
      <c r="C5207" s="11" t="s">
        <v>17</v>
      </c>
      <c r="D5207" s="11" t="s">
        <v>18</v>
      </c>
      <c r="E5207" s="12" t="s">
        <v>834</v>
      </c>
      <c r="F5207" s="12" t="s">
        <v>835</v>
      </c>
      <c r="G5207" s="12" t="s">
        <v>40</v>
      </c>
      <c r="H5207" s="11" t="s">
        <v>63</v>
      </c>
      <c r="I5207" s="13" t="s">
        <v>11264</v>
      </c>
      <c r="J5207" s="14" t="str">
        <f>HYPERLINK("https://www.boe.es/gazeta/dias/1839/08/17/pdfs/GMD-1839-1737.pdf#page=2","Abrir facsímil")</f>
        <v>Abrir facsímil</v>
      </c>
      <c r="K5207" s="12" t="s">
        <v>65</v>
      </c>
    </row>
    <row r="5208" spans="1:11" ht="40.049999999999997" customHeight="1" x14ac:dyDescent="0.25">
      <c r="A5208" s="11" t="s">
        <v>11261</v>
      </c>
      <c r="B5208" s="11" t="s">
        <v>11262</v>
      </c>
      <c r="C5208" s="11" t="s">
        <v>17</v>
      </c>
      <c r="D5208" s="11" t="s">
        <v>18</v>
      </c>
      <c r="E5208" s="12" t="s">
        <v>685</v>
      </c>
      <c r="F5208" s="12" t="s">
        <v>686</v>
      </c>
      <c r="G5208" s="12" t="s">
        <v>29</v>
      </c>
      <c r="H5208" s="11" t="s">
        <v>63</v>
      </c>
      <c r="I5208" s="13" t="s">
        <v>11265</v>
      </c>
      <c r="J5208" s="14" t="str">
        <f>HYPERLINK("https://www.boe.es/gazeta/dias/1839/06/18/pdfs/GMD-1839-1676.pdf#page=1","Abrir facsímil")</f>
        <v>Abrir facsímil</v>
      </c>
      <c r="K5208" s="12" t="s">
        <v>65</v>
      </c>
    </row>
    <row r="5209" spans="1:11" ht="40.049999999999997" customHeight="1" x14ac:dyDescent="0.25">
      <c r="A5209" s="11" t="s">
        <v>11261</v>
      </c>
      <c r="B5209" s="11" t="s">
        <v>11262</v>
      </c>
      <c r="C5209" s="11" t="s">
        <v>59</v>
      </c>
      <c r="D5209" s="11" t="s">
        <v>60</v>
      </c>
      <c r="E5209" s="12" t="s">
        <v>1395</v>
      </c>
      <c r="F5209" s="12" t="s">
        <v>1396</v>
      </c>
      <c r="G5209" s="12" t="s">
        <v>29</v>
      </c>
      <c r="H5209" s="11" t="s">
        <v>63</v>
      </c>
      <c r="I5209" s="13" t="s">
        <v>11266</v>
      </c>
      <c r="J5209" s="14" t="str">
        <f>HYPERLINK("https://www.boe.es/gazeta/dias/1839/06/26/pdfs/GMD-1839-1684.pdf#page=1","Abrir facsímil")</f>
        <v>Abrir facsímil</v>
      </c>
      <c r="K5209" s="12" t="s">
        <v>65</v>
      </c>
    </row>
    <row r="5210" spans="1:11" ht="40.049999999999997" customHeight="1" x14ac:dyDescent="0.25">
      <c r="A5210" s="11" t="s">
        <v>11267</v>
      </c>
      <c r="B5210" s="11" t="s">
        <v>11268</v>
      </c>
      <c r="C5210" s="11" t="s">
        <v>137</v>
      </c>
      <c r="D5210" s="11" t="s">
        <v>18</v>
      </c>
      <c r="E5210" s="12" t="s">
        <v>185</v>
      </c>
      <c r="F5210" s="12" t="s">
        <v>186</v>
      </c>
      <c r="G5210" s="12" t="s">
        <v>40</v>
      </c>
      <c r="H5210" s="11" t="s">
        <v>63</v>
      </c>
      <c r="I5210" s="13" t="s">
        <v>11269</v>
      </c>
      <c r="J5210" s="14" t="str">
        <f>HYPERLINK("https://www.boe.es/gazeta/dias/1839/01/15/pdfs/GMD-1839-1522.pdf#page=2","Abrir facsímil")</f>
        <v>Abrir facsímil</v>
      </c>
      <c r="K5210" s="12" t="s">
        <v>65</v>
      </c>
    </row>
    <row r="5211" spans="1:11" ht="40.049999999999997" customHeight="1" x14ac:dyDescent="0.25">
      <c r="A5211" s="11" t="s">
        <v>11270</v>
      </c>
      <c r="B5211" s="11" t="s">
        <v>11271</v>
      </c>
      <c r="C5211" s="11" t="s">
        <v>137</v>
      </c>
      <c r="D5211" s="11" t="s">
        <v>18</v>
      </c>
      <c r="E5211" s="12" t="s">
        <v>49</v>
      </c>
      <c r="F5211" s="12" t="s">
        <v>50</v>
      </c>
      <c r="G5211" s="12" t="s">
        <v>40</v>
      </c>
      <c r="H5211" s="11" t="s">
        <v>63</v>
      </c>
      <c r="I5211" s="13" t="s">
        <v>11272</v>
      </c>
      <c r="J5211" s="14" t="str">
        <f>HYPERLINK("https://www.boe.es/gazeta/dias/1839/01/05/pdfs/GMD-1839-1512.pdf#page=2","Abrir facsímil")</f>
        <v>Abrir facsímil</v>
      </c>
      <c r="K5211" s="12" t="s">
        <v>65</v>
      </c>
    </row>
    <row r="5212" spans="1:11" ht="40.049999999999997" customHeight="1" x14ac:dyDescent="0.25">
      <c r="A5212" s="11" t="s">
        <v>11270</v>
      </c>
      <c r="B5212" s="11" t="s">
        <v>11271</v>
      </c>
      <c r="C5212" s="11" t="s">
        <v>80</v>
      </c>
      <c r="D5212" s="11" t="s">
        <v>173</v>
      </c>
      <c r="E5212" s="12" t="s">
        <v>330</v>
      </c>
      <c r="F5212" s="12" t="s">
        <v>331</v>
      </c>
      <c r="G5212" s="12" t="s">
        <v>29</v>
      </c>
      <c r="H5212" s="11" t="s">
        <v>63</v>
      </c>
      <c r="I5212" s="13" t="s">
        <v>11273</v>
      </c>
      <c r="J5212" s="14" t="str">
        <f>HYPERLINK("https://www.boe.es/gazeta/dias/1839/04/11/pdfs/GMD-1839-1608.pdf#page=1","Abrir facsímil")</f>
        <v>Abrir facsímil</v>
      </c>
      <c r="K5212" s="12" t="s">
        <v>65</v>
      </c>
    </row>
    <row r="5213" spans="1:11" ht="40.049999999999997" customHeight="1" x14ac:dyDescent="0.25">
      <c r="A5213" s="11" t="s">
        <v>11274</v>
      </c>
      <c r="B5213" s="11" t="s">
        <v>11275</v>
      </c>
      <c r="C5213" s="11" t="s">
        <v>17</v>
      </c>
      <c r="D5213" s="11" t="s">
        <v>18</v>
      </c>
      <c r="E5213" s="12" t="s">
        <v>433</v>
      </c>
      <c r="F5213" s="12" t="s">
        <v>434</v>
      </c>
      <c r="G5213" s="12" t="s">
        <v>46</v>
      </c>
      <c r="H5213" s="11" t="s">
        <v>63</v>
      </c>
      <c r="I5213" s="13" t="s">
        <v>11276</v>
      </c>
      <c r="J5213" s="14" t="str">
        <f>HYPERLINK("https://www.boe.es/gazeta/dias/1839/01/20/pdfs/GMD-1839-1527.pdf#page=3","Abrir facsímil")</f>
        <v>Abrir facsímil</v>
      </c>
      <c r="K5213" s="12" t="s">
        <v>65</v>
      </c>
    </row>
    <row r="5214" spans="1:11" ht="40.049999999999997" customHeight="1" x14ac:dyDescent="0.25">
      <c r="A5214" s="11" t="s">
        <v>11277</v>
      </c>
      <c r="B5214" s="11" t="s">
        <v>11278</v>
      </c>
      <c r="C5214" s="11" t="s">
        <v>17</v>
      </c>
      <c r="D5214" s="11" t="s">
        <v>18</v>
      </c>
      <c r="E5214" s="12" t="s">
        <v>601</v>
      </c>
      <c r="F5214" s="12" t="s">
        <v>602</v>
      </c>
      <c r="G5214" s="12" t="s">
        <v>40</v>
      </c>
      <c r="H5214" s="11" t="s">
        <v>63</v>
      </c>
      <c r="I5214" s="13" t="s">
        <v>11279</v>
      </c>
      <c r="J5214" s="14" t="str">
        <f>HYPERLINK("https://www.boe.es/gazeta/dias/1839/04/21/pdfs/GMD-1839-1618.pdf#page=2","Abrir facsímil")</f>
        <v>Abrir facsímil</v>
      </c>
      <c r="K5214" s="12" t="s">
        <v>65</v>
      </c>
    </row>
    <row r="5215" spans="1:11" ht="40.049999999999997" customHeight="1" x14ac:dyDescent="0.25">
      <c r="A5215" s="11" t="s">
        <v>11277</v>
      </c>
      <c r="B5215" s="11" t="s">
        <v>11278</v>
      </c>
      <c r="C5215" s="11" t="s">
        <v>17</v>
      </c>
      <c r="D5215" s="11" t="s">
        <v>18</v>
      </c>
      <c r="E5215" s="12" t="s">
        <v>601</v>
      </c>
      <c r="F5215" s="12" t="s">
        <v>602</v>
      </c>
      <c r="G5215" s="12" t="s">
        <v>46</v>
      </c>
      <c r="H5215" s="11" t="s">
        <v>63</v>
      </c>
      <c r="I5215" s="13" t="s">
        <v>11280</v>
      </c>
      <c r="J5215" s="14" t="str">
        <f>HYPERLINK("https://www.boe.es/gazeta/dias/1839/04/21/pdfs/GMD-1839-1618.pdf#page=3","Abrir facsímil")</f>
        <v>Abrir facsímil</v>
      </c>
      <c r="K5215" s="12" t="s">
        <v>65</v>
      </c>
    </row>
    <row r="5216" spans="1:11" ht="40.049999999999997" customHeight="1" x14ac:dyDescent="0.25">
      <c r="A5216" s="11" t="s">
        <v>11281</v>
      </c>
      <c r="B5216" s="11" t="s">
        <v>11282</v>
      </c>
      <c r="C5216" s="11" t="s">
        <v>17</v>
      </c>
      <c r="D5216" s="11" t="s">
        <v>18</v>
      </c>
      <c r="E5216" s="12" t="s">
        <v>3391</v>
      </c>
      <c r="F5216" s="12" t="s">
        <v>3392</v>
      </c>
      <c r="G5216" s="12" t="s">
        <v>46</v>
      </c>
      <c r="H5216" s="11" t="s">
        <v>63</v>
      </c>
      <c r="I5216" s="13" t="s">
        <v>11283</v>
      </c>
      <c r="J5216" s="14" t="str">
        <f>HYPERLINK("https://www.boe.es/gazeta/dias/1839/12/31/pdfs/GMD-1839-1878.pdf#page=3","Abrir facsímil")</f>
        <v>Abrir facsímil</v>
      </c>
      <c r="K5216" s="12" t="s">
        <v>65</v>
      </c>
    </row>
    <row r="5217" spans="1:11" ht="40.049999999999997" customHeight="1" x14ac:dyDescent="0.25">
      <c r="A5217" s="11" t="s">
        <v>11284</v>
      </c>
      <c r="B5217" s="11" t="s">
        <v>11285</v>
      </c>
      <c r="C5217" s="11" t="s">
        <v>137</v>
      </c>
      <c r="D5217" s="11" t="s">
        <v>18</v>
      </c>
      <c r="E5217" s="12" t="s">
        <v>68</v>
      </c>
      <c r="F5217" s="12" t="s">
        <v>69</v>
      </c>
      <c r="G5217" s="12" t="s">
        <v>29</v>
      </c>
      <c r="H5217" s="11" t="s">
        <v>63</v>
      </c>
      <c r="I5217" s="13" t="s">
        <v>11286</v>
      </c>
      <c r="J5217" s="14" t="str">
        <f>HYPERLINK("https://www.boe.es/gazeta/dias/1839/02/09/pdfs/GMD-1839-1547.pdf#page=1","Abrir facsímil")</f>
        <v>Abrir facsímil</v>
      </c>
      <c r="K5217" s="12" t="s">
        <v>65</v>
      </c>
    </row>
    <row r="5218" spans="1:11" ht="40.049999999999997" customHeight="1" x14ac:dyDescent="0.25">
      <c r="A5218" s="11" t="s">
        <v>11287</v>
      </c>
      <c r="B5218" s="11" t="s">
        <v>11288</v>
      </c>
      <c r="C5218" s="11" t="s">
        <v>17</v>
      </c>
      <c r="D5218" s="11" t="s">
        <v>18</v>
      </c>
      <c r="E5218" s="12" t="s">
        <v>154</v>
      </c>
      <c r="F5218" s="12" t="s">
        <v>155</v>
      </c>
      <c r="G5218" s="12" t="s">
        <v>46</v>
      </c>
      <c r="H5218" s="11" t="s">
        <v>63</v>
      </c>
      <c r="I5218" s="13" t="s">
        <v>11289</v>
      </c>
      <c r="J5218" s="14" t="str">
        <f>HYPERLINK("https://www.boe.es/gazeta/dias/1839/02/02/pdfs/GMD-1839-1540.pdf#page=3","Abrir facsímil")</f>
        <v>Abrir facsímil</v>
      </c>
      <c r="K5218" s="12" t="s">
        <v>65</v>
      </c>
    </row>
    <row r="5219" spans="1:11" ht="40.049999999999997" customHeight="1" x14ac:dyDescent="0.25">
      <c r="A5219" s="11" t="s">
        <v>11290</v>
      </c>
      <c r="B5219" s="11" t="s">
        <v>11291</v>
      </c>
      <c r="C5219" s="11" t="s">
        <v>17</v>
      </c>
      <c r="D5219" s="11" t="s">
        <v>18</v>
      </c>
      <c r="E5219" s="12" t="s">
        <v>330</v>
      </c>
      <c r="F5219" s="12" t="s">
        <v>331</v>
      </c>
      <c r="G5219" s="12" t="s">
        <v>21</v>
      </c>
      <c r="H5219" s="11" t="s">
        <v>63</v>
      </c>
      <c r="I5219" s="13" t="s">
        <v>11292</v>
      </c>
      <c r="J5219" s="14" t="str">
        <f>HYPERLINK("https://www.boe.es/gazeta/dias/1839/04/11/pdfs/GMD-1839-1608.pdf#page=4","Abrir facsímil")</f>
        <v>Abrir facsímil</v>
      </c>
      <c r="K5219" s="12" t="s">
        <v>65</v>
      </c>
    </row>
    <row r="5220" spans="1:11" ht="40.049999999999997" customHeight="1" x14ac:dyDescent="0.25">
      <c r="A5220" s="11" t="s">
        <v>11293</v>
      </c>
      <c r="B5220" s="11" t="s">
        <v>11294</v>
      </c>
      <c r="C5220" s="11" t="s">
        <v>17</v>
      </c>
      <c r="D5220" s="11" t="s">
        <v>18</v>
      </c>
      <c r="E5220" s="12" t="s">
        <v>3566</v>
      </c>
      <c r="F5220" s="12" t="s">
        <v>3567</v>
      </c>
      <c r="G5220" s="12" t="s">
        <v>46</v>
      </c>
      <c r="H5220" s="11" t="s">
        <v>63</v>
      </c>
      <c r="I5220" s="13" t="s">
        <v>11295</v>
      </c>
      <c r="J5220" s="14" t="str">
        <f>HYPERLINK("https://www.boe.es/gazeta/dias/1839/07/06/pdfs/GMD-1839-1694.pdf#page=3","Abrir facsímil")</f>
        <v>Abrir facsímil</v>
      </c>
      <c r="K5220" s="12" t="s">
        <v>65</v>
      </c>
    </row>
    <row r="5221" spans="1:11" ht="40.049999999999997" customHeight="1" x14ac:dyDescent="0.25">
      <c r="A5221" s="11" t="s">
        <v>11296</v>
      </c>
      <c r="B5221" s="11" t="s">
        <v>11297</v>
      </c>
      <c r="C5221" s="11" t="s">
        <v>17</v>
      </c>
      <c r="D5221" s="11" t="s">
        <v>18</v>
      </c>
      <c r="E5221" s="12" t="s">
        <v>601</v>
      </c>
      <c r="F5221" s="12" t="s">
        <v>602</v>
      </c>
      <c r="G5221" s="12" t="s">
        <v>29</v>
      </c>
      <c r="H5221" s="11" t="s">
        <v>63</v>
      </c>
      <c r="I5221" s="13" t="s">
        <v>11298</v>
      </c>
      <c r="J5221" s="14" t="str">
        <f>HYPERLINK("https://www.boe.es/gazeta/dias/1839/04/21/pdfs/GMD-1839-1618.pdf#page=1","Abrir facsímil")</f>
        <v>Abrir facsímil</v>
      </c>
      <c r="K5221" s="12" t="s">
        <v>65</v>
      </c>
    </row>
    <row r="5222" spans="1:11" ht="40.049999999999997" customHeight="1" x14ac:dyDescent="0.25">
      <c r="A5222" s="11" t="s">
        <v>11299</v>
      </c>
      <c r="B5222" s="11" t="s">
        <v>11300</v>
      </c>
      <c r="C5222" s="11" t="s">
        <v>59</v>
      </c>
      <c r="D5222" s="11" t="s">
        <v>60</v>
      </c>
      <c r="E5222" s="12" t="s">
        <v>217</v>
      </c>
      <c r="F5222" s="12" t="s">
        <v>218</v>
      </c>
      <c r="G5222" s="12" t="s">
        <v>29</v>
      </c>
      <c r="H5222" s="11" t="s">
        <v>22</v>
      </c>
      <c r="I5222" s="13" t="s">
        <v>11301</v>
      </c>
      <c r="J5222" s="14" t="str">
        <f>HYPERLINK("https://www.boe.es/gazeta/dias/1839/08/06/pdfs/GMD-1839-1726.pdf#page=1","Abrir facsímil")</f>
        <v>Abrir facsímil</v>
      </c>
      <c r="K5222" s="12" t="s">
        <v>24</v>
      </c>
    </row>
    <row r="5223" spans="1:11" ht="40.049999999999997" customHeight="1" x14ac:dyDescent="0.25">
      <c r="A5223" s="11" t="s">
        <v>11302</v>
      </c>
      <c r="B5223" s="11" t="s">
        <v>11303</v>
      </c>
      <c r="C5223" s="11" t="s">
        <v>80</v>
      </c>
      <c r="D5223" s="11" t="s">
        <v>18</v>
      </c>
      <c r="E5223" s="12" t="s">
        <v>61</v>
      </c>
      <c r="F5223" s="12" t="s">
        <v>62</v>
      </c>
      <c r="G5223" s="12" t="s">
        <v>29</v>
      </c>
      <c r="H5223" s="11" t="s">
        <v>63</v>
      </c>
      <c r="I5223" s="13" t="s">
        <v>11304</v>
      </c>
      <c r="J5223" s="14" t="str">
        <f>HYPERLINK("https://www.boe.es/gazeta/dias/1839/09/10/pdfs/GMD-1839-1763.pdf#page=1","Abrir facsímil")</f>
        <v>Abrir facsímil</v>
      </c>
      <c r="K5223" s="12" t="s">
        <v>65</v>
      </c>
    </row>
    <row r="5224" spans="1:11" ht="40.049999999999997" customHeight="1" x14ac:dyDescent="0.25">
      <c r="A5224" s="11" t="s">
        <v>11302</v>
      </c>
      <c r="B5224" s="11" t="s">
        <v>11303</v>
      </c>
      <c r="C5224" s="11" t="s">
        <v>17</v>
      </c>
      <c r="D5224" s="11" t="s">
        <v>18</v>
      </c>
      <c r="E5224" s="12" t="s">
        <v>1144</v>
      </c>
      <c r="F5224" s="12" t="s">
        <v>1145</v>
      </c>
      <c r="G5224" s="12" t="s">
        <v>29</v>
      </c>
      <c r="H5224" s="11" t="s">
        <v>63</v>
      </c>
      <c r="I5224" s="13" t="s">
        <v>11305</v>
      </c>
      <c r="J5224" s="14" t="str">
        <f>HYPERLINK("https://www.boe.es/gazeta/dias/1839/08/13/pdfs/GMD-1839-1733.pdf#page=1","Abrir facsímil")</f>
        <v>Abrir facsímil</v>
      </c>
      <c r="K5224" s="12" t="s">
        <v>65</v>
      </c>
    </row>
    <row r="5225" spans="1:11" ht="40.049999999999997" customHeight="1" x14ac:dyDescent="0.25">
      <c r="A5225" s="11" t="s">
        <v>11306</v>
      </c>
      <c r="B5225" s="11" t="s">
        <v>11307</v>
      </c>
      <c r="C5225" s="11" t="s">
        <v>80</v>
      </c>
      <c r="D5225" s="11" t="s">
        <v>173</v>
      </c>
      <c r="E5225" s="12" t="s">
        <v>1672</v>
      </c>
      <c r="F5225" s="12" t="s">
        <v>1673</v>
      </c>
      <c r="G5225" s="12" t="s">
        <v>21</v>
      </c>
      <c r="H5225" s="11" t="s">
        <v>63</v>
      </c>
      <c r="I5225" s="13" t="s">
        <v>11308</v>
      </c>
      <c r="J5225" s="14" t="str">
        <f>HYPERLINK("https://www.boe.es/gazeta/dias/1839/08/24/pdfs/GMD-1839-1745.pdf#page=4","Abrir facsímil")</f>
        <v>Abrir facsímil</v>
      </c>
      <c r="K5225" s="12" t="s">
        <v>65</v>
      </c>
    </row>
    <row r="5226" spans="1:11" ht="40.049999999999997" customHeight="1" x14ac:dyDescent="0.25">
      <c r="A5226" s="11" t="s">
        <v>11309</v>
      </c>
      <c r="B5226" s="11" t="s">
        <v>11310</v>
      </c>
      <c r="C5226" s="11" t="s">
        <v>17</v>
      </c>
      <c r="D5226" s="11" t="s">
        <v>43</v>
      </c>
      <c r="E5226" s="12" t="s">
        <v>483</v>
      </c>
      <c r="F5226" s="12" t="s">
        <v>484</v>
      </c>
      <c r="G5226" s="12" t="s">
        <v>21</v>
      </c>
      <c r="H5226" s="11" t="s">
        <v>63</v>
      </c>
      <c r="I5226" s="13" t="s">
        <v>11311</v>
      </c>
      <c r="J5226" s="14" t="str">
        <f>HYPERLINK("https://www.boe.es/gazeta/dias/1839/11/18/pdfs/GMD-1839-1835.pdf#page=4","Abrir facsímil")</f>
        <v>Abrir facsímil</v>
      </c>
      <c r="K5226" s="12" t="s">
        <v>65</v>
      </c>
    </row>
    <row r="5227" spans="1:11" ht="40.049999999999997" customHeight="1" x14ac:dyDescent="0.25">
      <c r="A5227" s="11" t="s">
        <v>11312</v>
      </c>
      <c r="B5227" s="11" t="s">
        <v>11313</v>
      </c>
      <c r="C5227" s="11" t="s">
        <v>17</v>
      </c>
      <c r="D5227" s="11" t="s">
        <v>18</v>
      </c>
      <c r="E5227" s="12" t="s">
        <v>1019</v>
      </c>
      <c r="F5227" s="12" t="s">
        <v>1020</v>
      </c>
      <c r="G5227" s="12" t="s">
        <v>46</v>
      </c>
      <c r="H5227" s="11" t="s">
        <v>63</v>
      </c>
      <c r="I5227" s="13" t="s">
        <v>11314</v>
      </c>
      <c r="J5227" s="14" t="str">
        <f>HYPERLINK("https://www.boe.es/gazeta/dias/1839/07/15/pdfs/GMD-1839-1703.pdf#page=3","Abrir facsímil")</f>
        <v>Abrir facsímil</v>
      </c>
      <c r="K5227" s="12" t="s">
        <v>65</v>
      </c>
    </row>
    <row r="5228" spans="1:11" ht="40.049999999999997" customHeight="1" x14ac:dyDescent="0.25">
      <c r="A5228" s="11" t="s">
        <v>11315</v>
      </c>
      <c r="B5228" s="11" t="s">
        <v>11316</v>
      </c>
      <c r="C5228" s="11" t="s">
        <v>101</v>
      </c>
      <c r="D5228" s="11" t="s">
        <v>43</v>
      </c>
      <c r="E5228" s="12" t="s">
        <v>262</v>
      </c>
      <c r="F5228" s="12" t="s">
        <v>263</v>
      </c>
      <c r="G5228" s="12" t="s">
        <v>46</v>
      </c>
      <c r="H5228" s="11" t="s">
        <v>63</v>
      </c>
      <c r="I5228" s="13" t="s">
        <v>11317</v>
      </c>
      <c r="J5228" s="14" t="str">
        <f>HYPERLINK("https://www.boe.es/gazeta/dias/1839/01/01/pdfs/GMD-1839-1508.pdf#page=3","Abrir facsímil")</f>
        <v>Abrir facsímil</v>
      </c>
      <c r="K5228" s="12" t="s">
        <v>65</v>
      </c>
    </row>
    <row r="5229" spans="1:11" ht="40.049999999999997" customHeight="1" x14ac:dyDescent="0.25">
      <c r="A5229" s="11" t="s">
        <v>11315</v>
      </c>
      <c r="B5229" s="11" t="s">
        <v>11316</v>
      </c>
      <c r="C5229" s="11" t="s">
        <v>17</v>
      </c>
      <c r="D5229" s="11" t="s">
        <v>18</v>
      </c>
      <c r="E5229" s="12" t="s">
        <v>266</v>
      </c>
      <c r="F5229" s="12" t="s">
        <v>267</v>
      </c>
      <c r="G5229" s="12" t="s">
        <v>21</v>
      </c>
      <c r="H5229" s="11" t="s">
        <v>63</v>
      </c>
      <c r="I5229" s="13" t="s">
        <v>11318</v>
      </c>
      <c r="J5229" s="14" t="str">
        <f>HYPERLINK("https://www.boe.es/gazeta/dias/1839/01/03/pdfs/GMD-1839-1510.pdf#page=4","Abrir facsímil")</f>
        <v>Abrir facsímil</v>
      </c>
      <c r="K5229" s="12" t="s">
        <v>65</v>
      </c>
    </row>
    <row r="5230" spans="1:11" ht="40.049999999999997" customHeight="1" x14ac:dyDescent="0.25">
      <c r="A5230" s="11" t="s">
        <v>11319</v>
      </c>
      <c r="B5230" s="11" t="s">
        <v>11320</v>
      </c>
      <c r="C5230" s="11" t="s">
        <v>80</v>
      </c>
      <c r="D5230" s="11" t="s">
        <v>18</v>
      </c>
      <c r="E5230" s="12" t="s">
        <v>438</v>
      </c>
      <c r="F5230" s="12" t="s">
        <v>439</v>
      </c>
      <c r="G5230" s="12" t="s">
        <v>40</v>
      </c>
      <c r="H5230" s="11" t="s">
        <v>63</v>
      </c>
      <c r="I5230" s="13" t="s">
        <v>11321</v>
      </c>
      <c r="J5230" s="14" t="str">
        <f>HYPERLINK("https://www.boe.es/gazeta/dias/1839/07/17/pdfs/GMD-1839-1705.pdf#page=2","Abrir facsímil")</f>
        <v>Abrir facsímil</v>
      </c>
      <c r="K5230" s="12" t="s">
        <v>65</v>
      </c>
    </row>
    <row r="5231" spans="1:11" ht="40.049999999999997" customHeight="1" x14ac:dyDescent="0.25">
      <c r="A5231" s="11" t="s">
        <v>11322</v>
      </c>
      <c r="B5231" s="11" t="s">
        <v>11323</v>
      </c>
      <c r="C5231" s="11" t="s">
        <v>17</v>
      </c>
      <c r="D5231" s="11" t="s">
        <v>18</v>
      </c>
      <c r="E5231" s="12" t="s">
        <v>2210</v>
      </c>
      <c r="F5231" s="12" t="s">
        <v>2211</v>
      </c>
      <c r="G5231" s="12" t="s">
        <v>29</v>
      </c>
      <c r="H5231" s="11" t="s">
        <v>63</v>
      </c>
      <c r="I5231" s="13" t="s">
        <v>11324</v>
      </c>
      <c r="J5231" s="14" t="str">
        <f>HYPERLINK("https://www.boe.es/gazeta/dias/1839/09/05/pdfs/GMD-1839-1758.pdf#page=1","Abrir facsímil")</f>
        <v>Abrir facsímil</v>
      </c>
      <c r="K5231" s="12" t="s">
        <v>65</v>
      </c>
    </row>
    <row r="5232" spans="1:11" ht="40.049999999999997" customHeight="1" x14ac:dyDescent="0.25">
      <c r="A5232" s="11" t="s">
        <v>11325</v>
      </c>
      <c r="B5232" s="11" t="s">
        <v>11326</v>
      </c>
      <c r="C5232" s="11" t="s">
        <v>137</v>
      </c>
      <c r="D5232" s="11" t="s">
        <v>18</v>
      </c>
      <c r="E5232" s="12" t="s">
        <v>1144</v>
      </c>
      <c r="F5232" s="12" t="s">
        <v>1145</v>
      </c>
      <c r="G5232" s="12" t="s">
        <v>29</v>
      </c>
      <c r="H5232" s="11" t="s">
        <v>63</v>
      </c>
      <c r="I5232" s="13" t="s">
        <v>11327</v>
      </c>
      <c r="J5232" s="14" t="str">
        <f>HYPERLINK("https://www.boe.es/gazeta/dias/1839/08/13/pdfs/GMD-1839-1733.pdf#page=1","Abrir facsímil")</f>
        <v>Abrir facsímil</v>
      </c>
      <c r="K5232" s="12" t="s">
        <v>65</v>
      </c>
    </row>
    <row r="5233" spans="1:11" ht="40.049999999999997" customHeight="1" x14ac:dyDescent="0.25">
      <c r="A5233" s="11" t="s">
        <v>11328</v>
      </c>
      <c r="B5233" s="11" t="s">
        <v>11329</v>
      </c>
      <c r="C5233" s="11" t="s">
        <v>59</v>
      </c>
      <c r="D5233" s="11" t="s">
        <v>60</v>
      </c>
      <c r="E5233" s="12" t="s">
        <v>369</v>
      </c>
      <c r="F5233" s="12" t="s">
        <v>370</v>
      </c>
      <c r="G5233" s="12" t="s">
        <v>29</v>
      </c>
      <c r="H5233" s="11" t="s">
        <v>63</v>
      </c>
      <c r="I5233" s="13" t="s">
        <v>11330</v>
      </c>
      <c r="J5233" s="14" t="str">
        <f>HYPERLINK("https://www.boe.es/gazeta/dias/1839/11/01/pdfs/GMD-1839-1818.pdf#page=1","Abrir facsímil")</f>
        <v>Abrir facsímil</v>
      </c>
      <c r="K5233" s="12" t="s">
        <v>65</v>
      </c>
    </row>
    <row r="5234" spans="1:11" ht="40.049999999999997" customHeight="1" x14ac:dyDescent="0.25">
      <c r="A5234" s="11" t="s">
        <v>11331</v>
      </c>
      <c r="B5234" s="11" t="s">
        <v>11332</v>
      </c>
      <c r="C5234" s="11" t="s">
        <v>17</v>
      </c>
      <c r="D5234" s="11" t="s">
        <v>18</v>
      </c>
      <c r="E5234" s="12" t="s">
        <v>3289</v>
      </c>
      <c r="F5234" s="12" t="s">
        <v>3290</v>
      </c>
      <c r="G5234" s="12" t="s">
        <v>29</v>
      </c>
      <c r="H5234" s="11" t="s">
        <v>63</v>
      </c>
      <c r="I5234" s="13" t="s">
        <v>11333</v>
      </c>
      <c r="J5234" s="14" t="str">
        <f>HYPERLINK("https://www.boe.es/gazeta/dias/1839/12/10/pdfs/GMD-1839-1857.pdf#page=1","Abrir facsímil")</f>
        <v>Abrir facsímil</v>
      </c>
      <c r="K5234" s="12" t="s">
        <v>65</v>
      </c>
    </row>
    <row r="5235" spans="1:11" ht="40.049999999999997" customHeight="1" x14ac:dyDescent="0.25">
      <c r="A5235" s="11" t="s">
        <v>11334</v>
      </c>
      <c r="B5235" s="11" t="s">
        <v>11335</v>
      </c>
      <c r="C5235" s="11" t="s">
        <v>17</v>
      </c>
      <c r="D5235" s="11" t="s">
        <v>18</v>
      </c>
      <c r="E5235" s="12" t="s">
        <v>2374</v>
      </c>
      <c r="F5235" s="12" t="s">
        <v>2375</v>
      </c>
      <c r="G5235" s="12" t="s">
        <v>40</v>
      </c>
      <c r="H5235" s="11" t="s">
        <v>63</v>
      </c>
      <c r="I5235" s="13" t="s">
        <v>11336</v>
      </c>
      <c r="J5235" s="14" t="str">
        <f>HYPERLINK("https://www.boe.es/gazeta/dias/1839/06/14/pdfs/GMD-1839-1672.pdf#page=2","Abrir facsímil")</f>
        <v>Abrir facsímil</v>
      </c>
      <c r="K5235" s="12" t="s">
        <v>65</v>
      </c>
    </row>
    <row r="5236" spans="1:11" ht="40.049999999999997" customHeight="1" x14ac:dyDescent="0.25">
      <c r="A5236" s="11" t="s">
        <v>11337</v>
      </c>
      <c r="B5236" s="11" t="s">
        <v>11338</v>
      </c>
      <c r="C5236" s="11" t="s">
        <v>101</v>
      </c>
      <c r="D5236" s="11" t="s">
        <v>43</v>
      </c>
      <c r="E5236" s="12" t="s">
        <v>1663</v>
      </c>
      <c r="F5236" s="12" t="s">
        <v>1664</v>
      </c>
      <c r="G5236" s="12" t="s">
        <v>40</v>
      </c>
      <c r="H5236" s="11" t="s">
        <v>63</v>
      </c>
      <c r="I5236" s="13" t="s">
        <v>11339</v>
      </c>
      <c r="J5236" s="14" t="str">
        <f>HYPERLINK("https://www.boe.es/gazeta/dias/1839/03/22/pdfs/GMD-1839-1588.pdf#page=2","Abrir facsímil")</f>
        <v>Abrir facsímil</v>
      </c>
      <c r="K5236" s="12" t="s">
        <v>65</v>
      </c>
    </row>
    <row r="5237" spans="1:11" ht="40.049999999999997" customHeight="1" x14ac:dyDescent="0.25">
      <c r="A5237" s="11" t="s">
        <v>11340</v>
      </c>
      <c r="B5237" s="11" t="s">
        <v>11341</v>
      </c>
      <c r="C5237" s="11" t="s">
        <v>17</v>
      </c>
      <c r="D5237" s="11" t="s">
        <v>18</v>
      </c>
      <c r="E5237" s="12" t="s">
        <v>704</v>
      </c>
      <c r="F5237" s="12" t="s">
        <v>705</v>
      </c>
      <c r="G5237" s="12" t="s">
        <v>46</v>
      </c>
      <c r="H5237" s="11" t="s">
        <v>63</v>
      </c>
      <c r="I5237" s="13" t="s">
        <v>11342</v>
      </c>
      <c r="J5237" s="14" t="str">
        <f>HYPERLINK("https://www.boe.es/gazeta/dias/1839/03/02/pdfs/GMD-1839-1568.pdf#page=3","Abrir facsímil")</f>
        <v>Abrir facsímil</v>
      </c>
      <c r="K5237" s="12" t="s">
        <v>65</v>
      </c>
    </row>
    <row r="5238" spans="1:11" ht="40.049999999999997" customHeight="1" x14ac:dyDescent="0.25">
      <c r="A5238" s="11" t="s">
        <v>11343</v>
      </c>
      <c r="B5238" s="11" t="s">
        <v>11344</v>
      </c>
      <c r="C5238" s="11" t="s">
        <v>137</v>
      </c>
      <c r="D5238" s="11" t="s">
        <v>18</v>
      </c>
      <c r="E5238" s="12" t="s">
        <v>1179</v>
      </c>
      <c r="F5238" s="12" t="s">
        <v>1180</v>
      </c>
      <c r="G5238" s="12" t="s">
        <v>21</v>
      </c>
      <c r="H5238" s="11" t="s">
        <v>63</v>
      </c>
      <c r="I5238" s="13" t="s">
        <v>11345</v>
      </c>
      <c r="J5238" s="14" t="str">
        <f>HYPERLINK("https://www.boe.es/gazeta/dias/1839/10/18/pdfs/GMD-1839-1804.pdf#page=4","Abrir facsímil")</f>
        <v>Abrir facsímil</v>
      </c>
      <c r="K5238" s="12" t="s">
        <v>65</v>
      </c>
    </row>
    <row r="5239" spans="1:11" ht="40.049999999999997" customHeight="1" x14ac:dyDescent="0.25">
      <c r="A5239" s="11" t="s">
        <v>11343</v>
      </c>
      <c r="B5239" s="11" t="s">
        <v>11344</v>
      </c>
      <c r="C5239" s="11" t="s">
        <v>17</v>
      </c>
      <c r="D5239" s="11" t="s">
        <v>18</v>
      </c>
      <c r="E5239" s="12" t="s">
        <v>1108</v>
      </c>
      <c r="F5239" s="12" t="s">
        <v>1109</v>
      </c>
      <c r="G5239" s="12" t="s">
        <v>46</v>
      </c>
      <c r="H5239" s="11" t="s">
        <v>63</v>
      </c>
      <c r="I5239" s="13" t="s">
        <v>11346</v>
      </c>
      <c r="J5239" s="14" t="str">
        <f>HYPERLINK("https://www.boe.es/gazeta/dias/1839/09/21/pdfs/GMD-1839-1776.pdf#page=3","Abrir facsímil")</f>
        <v>Abrir facsímil</v>
      </c>
      <c r="K5239" s="12" t="s">
        <v>65</v>
      </c>
    </row>
    <row r="5240" spans="1:11" ht="40.049999999999997" customHeight="1" x14ac:dyDescent="0.25">
      <c r="A5240" s="11" t="s">
        <v>11347</v>
      </c>
      <c r="B5240" s="11" t="s">
        <v>11348</v>
      </c>
      <c r="C5240" s="11" t="s">
        <v>137</v>
      </c>
      <c r="D5240" s="11" t="s">
        <v>18</v>
      </c>
      <c r="E5240" s="12" t="s">
        <v>862</v>
      </c>
      <c r="F5240" s="12" t="s">
        <v>863</v>
      </c>
      <c r="G5240" s="12" t="s">
        <v>46</v>
      </c>
      <c r="H5240" s="11" t="s">
        <v>63</v>
      </c>
      <c r="I5240" s="13" t="s">
        <v>11349</v>
      </c>
      <c r="J5240" s="14" t="str">
        <f>HYPERLINK("https://www.boe.es/gazeta/dias/1839/10/28/pdfs/GMD-1839-1814.pdf#page=3","Abrir facsímil")</f>
        <v>Abrir facsímil</v>
      </c>
      <c r="K5240" s="12" t="s">
        <v>65</v>
      </c>
    </row>
    <row r="5241" spans="1:11" ht="40.049999999999997" customHeight="1" x14ac:dyDescent="0.25">
      <c r="A5241" s="11" t="s">
        <v>11350</v>
      </c>
      <c r="B5241" s="11" t="s">
        <v>11351</v>
      </c>
      <c r="C5241" s="11" t="s">
        <v>137</v>
      </c>
      <c r="D5241" s="11" t="s">
        <v>18</v>
      </c>
      <c r="E5241" s="12" t="s">
        <v>1100</v>
      </c>
      <c r="F5241" s="12" t="s">
        <v>1101</v>
      </c>
      <c r="G5241" s="12" t="s">
        <v>46</v>
      </c>
      <c r="H5241" s="11" t="s">
        <v>63</v>
      </c>
      <c r="I5241" s="13" t="s">
        <v>11352</v>
      </c>
      <c r="J5241" s="14" t="str">
        <f>HYPERLINK("https://www.boe.es/gazeta/dias/1839/09/13/pdfs/GMD-1839-1766.pdf#page=3","Abrir facsímil")</f>
        <v>Abrir facsímil</v>
      </c>
      <c r="K5241" s="12" t="s">
        <v>65</v>
      </c>
    </row>
    <row r="5242" spans="1:11" ht="40.049999999999997" customHeight="1" x14ac:dyDescent="0.25">
      <c r="A5242" s="11" t="s">
        <v>11353</v>
      </c>
      <c r="B5242" s="11" t="s">
        <v>11354</v>
      </c>
      <c r="C5242" s="11" t="s">
        <v>17</v>
      </c>
      <c r="D5242" s="11" t="s">
        <v>18</v>
      </c>
      <c r="E5242" s="12" t="s">
        <v>1623</v>
      </c>
      <c r="F5242" s="12" t="s">
        <v>1624</v>
      </c>
      <c r="G5242" s="12" t="s">
        <v>46</v>
      </c>
      <c r="H5242" s="11" t="s">
        <v>63</v>
      </c>
      <c r="I5242" s="13" t="s">
        <v>11355</v>
      </c>
      <c r="J5242" s="14" t="str">
        <f>HYPERLINK("https://www.boe.es/gazeta/dias/1839/04/07/pdfs/GMD-1839-1604.pdf#page=3","Abrir facsímil")</f>
        <v>Abrir facsímil</v>
      </c>
      <c r="K5242" s="12" t="s">
        <v>65</v>
      </c>
    </row>
    <row r="5243" spans="1:11" ht="40.049999999999997" customHeight="1" x14ac:dyDescent="0.25">
      <c r="A5243" s="11" t="s">
        <v>11356</v>
      </c>
      <c r="B5243" s="11" t="s">
        <v>11357</v>
      </c>
      <c r="C5243" s="11" t="s">
        <v>17</v>
      </c>
      <c r="D5243" s="11" t="s">
        <v>18</v>
      </c>
      <c r="E5243" s="12" t="s">
        <v>770</v>
      </c>
      <c r="F5243" s="12" t="s">
        <v>771</v>
      </c>
      <c r="G5243" s="12" t="s">
        <v>46</v>
      </c>
      <c r="H5243" s="11" t="s">
        <v>63</v>
      </c>
      <c r="I5243" s="13" t="s">
        <v>11358</v>
      </c>
      <c r="J5243" s="14" t="str">
        <f>HYPERLINK("https://www.boe.es/gazeta/dias/1839/12/05/pdfs/GMD-1839-1852.pdf#page=3","Abrir facsímil")</f>
        <v>Abrir facsímil</v>
      </c>
      <c r="K5243" s="12" t="s">
        <v>65</v>
      </c>
    </row>
    <row r="5244" spans="1:11" ht="40.049999999999997" customHeight="1" x14ac:dyDescent="0.25">
      <c r="A5244" s="11" t="s">
        <v>11359</v>
      </c>
      <c r="B5244" s="11" t="s">
        <v>11360</v>
      </c>
      <c r="C5244" s="11" t="s">
        <v>59</v>
      </c>
      <c r="D5244" s="11" t="s">
        <v>60</v>
      </c>
      <c r="E5244" s="12" t="s">
        <v>89</v>
      </c>
      <c r="F5244" s="12" t="s">
        <v>90</v>
      </c>
      <c r="G5244" s="12" t="s">
        <v>40</v>
      </c>
      <c r="H5244" s="11" t="s">
        <v>63</v>
      </c>
      <c r="I5244" s="13" t="s">
        <v>11361</v>
      </c>
      <c r="J5244" s="14" t="str">
        <f>HYPERLINK("https://www.boe.es/gazeta/dias/1839/11/28/pdfs/GMD-1839-1845.pdf#page=2","Abrir facsímil")</f>
        <v>Abrir facsímil</v>
      </c>
      <c r="K5244" s="12" t="s">
        <v>65</v>
      </c>
    </row>
    <row r="5245" spans="1:11" ht="40.049999999999997" customHeight="1" x14ac:dyDescent="0.25">
      <c r="A5245" s="11" t="s">
        <v>11362</v>
      </c>
      <c r="B5245" s="11" t="s">
        <v>11363</v>
      </c>
      <c r="C5245" s="11" t="s">
        <v>101</v>
      </c>
      <c r="D5245" s="11" t="s">
        <v>102</v>
      </c>
      <c r="E5245" s="12" t="s">
        <v>84</v>
      </c>
      <c r="F5245" s="12" t="s">
        <v>85</v>
      </c>
      <c r="G5245" s="12" t="s">
        <v>40</v>
      </c>
      <c r="H5245" s="11" t="s">
        <v>63</v>
      </c>
      <c r="I5245" s="13" t="s">
        <v>11364</v>
      </c>
      <c r="J5245" s="14" t="str">
        <f>HYPERLINK("https://www.boe.es/gazeta/dias/1839/03/11/pdfs/GMD-1839-1577.pdf#page=2","Abrir facsímil")</f>
        <v>Abrir facsímil</v>
      </c>
      <c r="K5245" s="12" t="s">
        <v>65</v>
      </c>
    </row>
    <row r="5246" spans="1:11" ht="40.049999999999997" customHeight="1" x14ac:dyDescent="0.25">
      <c r="A5246" s="11" t="s">
        <v>11365</v>
      </c>
      <c r="B5246" s="11" t="s">
        <v>11366</v>
      </c>
      <c r="C5246" s="11" t="s">
        <v>137</v>
      </c>
      <c r="D5246" s="11" t="s">
        <v>18</v>
      </c>
      <c r="E5246" s="12" t="s">
        <v>1891</v>
      </c>
      <c r="F5246" s="12" t="s">
        <v>1892</v>
      </c>
      <c r="G5246" s="12" t="s">
        <v>40</v>
      </c>
      <c r="H5246" s="11" t="s">
        <v>63</v>
      </c>
      <c r="I5246" s="13" t="s">
        <v>11367</v>
      </c>
      <c r="J5246" s="14" t="str">
        <f>HYPERLINK("https://www.boe.es/gazeta/dias/1839/12/14/pdfs/GMD-1839-1861.pdf#page=2","Abrir facsímil")</f>
        <v>Abrir facsímil</v>
      </c>
      <c r="K5246" s="12" t="s">
        <v>65</v>
      </c>
    </row>
    <row r="5247" spans="1:11" ht="40.049999999999997" customHeight="1" x14ac:dyDescent="0.25">
      <c r="A5247" s="11" t="s">
        <v>11368</v>
      </c>
      <c r="B5247" s="11" t="s">
        <v>11369</v>
      </c>
      <c r="C5247" s="11" t="s">
        <v>80</v>
      </c>
      <c r="D5247" s="11" t="s">
        <v>18</v>
      </c>
      <c r="E5247" s="12" t="s">
        <v>1378</v>
      </c>
      <c r="F5247" s="12" t="s">
        <v>1379</v>
      </c>
      <c r="G5247" s="12" t="s">
        <v>29</v>
      </c>
      <c r="H5247" s="11" t="s">
        <v>63</v>
      </c>
      <c r="I5247" s="13" t="s">
        <v>11370</v>
      </c>
      <c r="J5247" s="14" t="str">
        <f>HYPERLINK("https://www.boe.es/gazeta/dias/1839/05/18/pdfs/GMD-1839-1645.pdf#page=1","Abrir facsímil")</f>
        <v>Abrir facsímil</v>
      </c>
      <c r="K5247" s="12" t="s">
        <v>65</v>
      </c>
    </row>
    <row r="5248" spans="1:11" ht="40.049999999999997" customHeight="1" x14ac:dyDescent="0.25">
      <c r="A5248" s="11" t="s">
        <v>11371</v>
      </c>
      <c r="B5248" s="11" t="s">
        <v>11372</v>
      </c>
      <c r="C5248" s="11" t="s">
        <v>137</v>
      </c>
      <c r="D5248" s="11" t="s">
        <v>18</v>
      </c>
      <c r="E5248" s="12" t="s">
        <v>5845</v>
      </c>
      <c r="F5248" s="12" t="s">
        <v>5846</v>
      </c>
      <c r="G5248" s="12" t="s">
        <v>29</v>
      </c>
      <c r="H5248" s="11" t="s">
        <v>63</v>
      </c>
      <c r="I5248" s="13" t="s">
        <v>11373</v>
      </c>
      <c r="J5248" s="14" t="str">
        <f>HYPERLINK("https://www.boe.es/gazeta/dias/1839/04/01/pdfs/GMD-1839-1598.pdf#page=1","Abrir facsímil")</f>
        <v>Abrir facsímil</v>
      </c>
      <c r="K5248" s="12" t="s">
        <v>65</v>
      </c>
    </row>
    <row r="5249" spans="1:11" ht="40.049999999999997" customHeight="1" x14ac:dyDescent="0.25">
      <c r="A5249" s="11" t="s">
        <v>11374</v>
      </c>
      <c r="B5249" s="11" t="s">
        <v>11375</v>
      </c>
      <c r="C5249" s="11" t="s">
        <v>17</v>
      </c>
      <c r="D5249" s="11" t="s">
        <v>18</v>
      </c>
      <c r="E5249" s="12" t="s">
        <v>1310</v>
      </c>
      <c r="F5249" s="12" t="s">
        <v>1311</v>
      </c>
      <c r="G5249" s="12" t="s">
        <v>29</v>
      </c>
      <c r="H5249" s="11" t="s">
        <v>63</v>
      </c>
      <c r="I5249" s="13" t="s">
        <v>11376</v>
      </c>
      <c r="J5249" s="14" t="str">
        <f>HYPERLINK("https://www.boe.es/gazeta/dias/1839/04/23/pdfs/GMD-1839-1620.pdf#page=1","Abrir facsímil")</f>
        <v>Abrir facsímil</v>
      </c>
      <c r="K5249" s="12" t="s">
        <v>65</v>
      </c>
    </row>
    <row r="5250" spans="1:11" ht="40.049999999999997" customHeight="1" x14ac:dyDescent="0.25">
      <c r="A5250" s="11" t="s">
        <v>11377</v>
      </c>
      <c r="B5250" s="11" t="s">
        <v>11378</v>
      </c>
      <c r="C5250" s="11" t="s">
        <v>137</v>
      </c>
      <c r="D5250" s="11" t="s">
        <v>18</v>
      </c>
      <c r="E5250" s="12" t="s">
        <v>2962</v>
      </c>
      <c r="F5250" s="12" t="s">
        <v>2963</v>
      </c>
      <c r="G5250" s="12" t="s">
        <v>21</v>
      </c>
      <c r="H5250" s="11" t="s">
        <v>63</v>
      </c>
      <c r="I5250" s="13" t="s">
        <v>11379</v>
      </c>
      <c r="J5250" s="14" t="str">
        <f>HYPERLINK("https://www.boe.es/gazeta/dias/1839/12/21/pdfs/GMD-1839-1868.pdf#page=4","Abrir facsímil")</f>
        <v>Abrir facsímil</v>
      </c>
      <c r="K5250" s="12" t="s">
        <v>65</v>
      </c>
    </row>
    <row r="5251" spans="1:11" ht="40.049999999999997" customHeight="1" x14ac:dyDescent="0.25">
      <c r="A5251" s="11" t="s">
        <v>11377</v>
      </c>
      <c r="B5251" s="11" t="s">
        <v>11378</v>
      </c>
      <c r="C5251" s="11" t="s">
        <v>59</v>
      </c>
      <c r="D5251" s="11" t="s">
        <v>60</v>
      </c>
      <c r="E5251" s="12" t="s">
        <v>111</v>
      </c>
      <c r="F5251" s="12" t="s">
        <v>112</v>
      </c>
      <c r="G5251" s="12" t="s">
        <v>21</v>
      </c>
      <c r="H5251" s="11" t="s">
        <v>63</v>
      </c>
      <c r="I5251" s="13" t="s">
        <v>11380</v>
      </c>
      <c r="J5251" s="14" t="str">
        <f>HYPERLINK("https://www.boe.es/gazeta/dias/1839/07/25/pdfs/GMD-1839-1714.pdf#page=4","Abrir facsímil")</f>
        <v>Abrir facsímil</v>
      </c>
      <c r="K5251" s="12" t="s">
        <v>65</v>
      </c>
    </row>
    <row r="5252" spans="1:11" ht="40.049999999999997" customHeight="1" x14ac:dyDescent="0.25">
      <c r="A5252" s="11" t="s">
        <v>11381</v>
      </c>
      <c r="B5252" s="11" t="s">
        <v>11382</v>
      </c>
      <c r="C5252" s="11" t="s">
        <v>17</v>
      </c>
      <c r="D5252" s="11" t="s">
        <v>18</v>
      </c>
      <c r="E5252" s="12" t="s">
        <v>848</v>
      </c>
      <c r="F5252" s="12" t="s">
        <v>849</v>
      </c>
      <c r="G5252" s="12" t="s">
        <v>29</v>
      </c>
      <c r="H5252" s="11" t="s">
        <v>63</v>
      </c>
      <c r="I5252" s="13" t="s">
        <v>11383</v>
      </c>
      <c r="J5252" s="14" t="str">
        <f>HYPERLINK("https://www.boe.es/gazeta/dias/1839/08/04/pdfs/GMD-1839-1724.pdf#page=1","Abrir facsímil")</f>
        <v>Abrir facsímil</v>
      </c>
      <c r="K5252" s="12" t="s">
        <v>65</v>
      </c>
    </row>
    <row r="5253" spans="1:11" ht="40.049999999999997" customHeight="1" x14ac:dyDescent="0.25">
      <c r="A5253" s="11" t="s">
        <v>11381</v>
      </c>
      <c r="B5253" s="11" t="s">
        <v>11382</v>
      </c>
      <c r="C5253" s="11" t="s">
        <v>59</v>
      </c>
      <c r="D5253" s="11" t="s">
        <v>60</v>
      </c>
      <c r="E5253" s="12" t="s">
        <v>2210</v>
      </c>
      <c r="F5253" s="12" t="s">
        <v>2211</v>
      </c>
      <c r="G5253" s="12" t="s">
        <v>46</v>
      </c>
      <c r="H5253" s="11" t="s">
        <v>63</v>
      </c>
      <c r="I5253" s="13" t="s">
        <v>11384</v>
      </c>
      <c r="J5253" s="14" t="str">
        <f>HYPERLINK("https://www.boe.es/gazeta/dias/1839/09/05/pdfs/GMD-1839-1758.pdf#page=3","Abrir facsímil")</f>
        <v>Abrir facsímil</v>
      </c>
      <c r="K5253" s="12" t="s">
        <v>65</v>
      </c>
    </row>
    <row r="5254" spans="1:11" ht="40.049999999999997" customHeight="1" x14ac:dyDescent="0.25">
      <c r="A5254" s="11" t="s">
        <v>11381</v>
      </c>
      <c r="B5254" s="11" t="s">
        <v>11382</v>
      </c>
      <c r="C5254" s="11" t="s">
        <v>17</v>
      </c>
      <c r="D5254" s="11" t="s">
        <v>43</v>
      </c>
      <c r="E5254" s="12" t="s">
        <v>4921</v>
      </c>
      <c r="F5254" s="12" t="s">
        <v>4922</v>
      </c>
      <c r="G5254" s="12" t="s">
        <v>29</v>
      </c>
      <c r="H5254" s="11" t="s">
        <v>63</v>
      </c>
      <c r="I5254" s="13" t="s">
        <v>11385</v>
      </c>
      <c r="J5254" s="14" t="str">
        <f>HYPERLINK("https://www.boe.es/gazeta/dias/1839/11/05/pdfs/GMD-1839-1822.pdf#page=1","Abrir facsímil")</f>
        <v>Abrir facsímil</v>
      </c>
      <c r="K5254" s="12" t="s">
        <v>65</v>
      </c>
    </row>
    <row r="5255" spans="1:11" ht="40.049999999999997" customHeight="1" x14ac:dyDescent="0.25">
      <c r="A5255" s="11" t="s">
        <v>11381</v>
      </c>
      <c r="B5255" s="11" t="s">
        <v>11382</v>
      </c>
      <c r="C5255" s="11" t="s">
        <v>59</v>
      </c>
      <c r="D5255" s="11" t="s">
        <v>60</v>
      </c>
      <c r="E5255" s="12" t="s">
        <v>2165</v>
      </c>
      <c r="F5255" s="12" t="s">
        <v>2166</v>
      </c>
      <c r="G5255" s="12" t="s">
        <v>40</v>
      </c>
      <c r="H5255" s="11" t="s">
        <v>63</v>
      </c>
      <c r="I5255" s="13" t="s">
        <v>11386</v>
      </c>
      <c r="J5255" s="14" t="str">
        <f>HYPERLINK("https://www.boe.es/gazeta/dias/1839/01/06/pdfs/GMD-1839-1513.pdf#page=2","Abrir facsímil")</f>
        <v>Abrir facsímil</v>
      </c>
      <c r="K5255" s="12" t="s">
        <v>65</v>
      </c>
    </row>
    <row r="5256" spans="1:11" ht="40.049999999999997" customHeight="1" x14ac:dyDescent="0.25">
      <c r="A5256" s="11" t="s">
        <v>11381</v>
      </c>
      <c r="B5256" s="11" t="s">
        <v>11382</v>
      </c>
      <c r="C5256" s="11" t="s">
        <v>17</v>
      </c>
      <c r="D5256" s="11" t="s">
        <v>18</v>
      </c>
      <c r="E5256" s="12" t="s">
        <v>303</v>
      </c>
      <c r="F5256" s="12" t="s">
        <v>304</v>
      </c>
      <c r="G5256" s="12" t="s">
        <v>305</v>
      </c>
      <c r="H5256" s="11" t="s">
        <v>63</v>
      </c>
      <c r="I5256" s="13" t="s">
        <v>11387</v>
      </c>
      <c r="J5256" s="14" t="str">
        <f>HYPERLINK("https://www.boe.es/gazeta/dias/1839/10/06/pdfs/GMD-1839-1792.pdf#page=6","Abrir facsímil")</f>
        <v>Abrir facsímil</v>
      </c>
      <c r="K5256" s="12" t="s">
        <v>65</v>
      </c>
    </row>
    <row r="5257" spans="1:11" ht="40.049999999999997" customHeight="1" x14ac:dyDescent="0.25">
      <c r="A5257" s="11" t="s">
        <v>11381</v>
      </c>
      <c r="B5257" s="11" t="s">
        <v>11382</v>
      </c>
      <c r="C5257" s="11" t="s">
        <v>17</v>
      </c>
      <c r="D5257" s="11" t="s">
        <v>18</v>
      </c>
      <c r="E5257" s="12" t="s">
        <v>647</v>
      </c>
      <c r="F5257" s="12" t="s">
        <v>648</v>
      </c>
      <c r="G5257" s="12" t="s">
        <v>29</v>
      </c>
      <c r="H5257" s="11" t="s">
        <v>63</v>
      </c>
      <c r="I5257" s="13" t="s">
        <v>11388</v>
      </c>
      <c r="J5257" s="14" t="str">
        <f>HYPERLINK("https://www.boe.es/gazeta/dias/1839/10/08/pdfs/GMD-1839-1794.pdf#page=1","Abrir facsímil")</f>
        <v>Abrir facsímil</v>
      </c>
      <c r="K5257" s="12" t="s">
        <v>65</v>
      </c>
    </row>
    <row r="5258" spans="1:11" ht="40.049999999999997" customHeight="1" x14ac:dyDescent="0.25">
      <c r="A5258" s="11" t="s">
        <v>11381</v>
      </c>
      <c r="B5258" s="11" t="s">
        <v>11382</v>
      </c>
      <c r="C5258" s="11" t="s">
        <v>17</v>
      </c>
      <c r="D5258" s="11" t="s">
        <v>18</v>
      </c>
      <c r="E5258" s="12" t="s">
        <v>2069</v>
      </c>
      <c r="F5258" s="12" t="s">
        <v>2070</v>
      </c>
      <c r="G5258" s="12" t="s">
        <v>305</v>
      </c>
      <c r="H5258" s="11" t="s">
        <v>63</v>
      </c>
      <c r="I5258" s="13" t="s">
        <v>11389</v>
      </c>
      <c r="J5258" s="14" t="str">
        <f>HYPERLINK("https://www.boe.es/gazeta/dias/1839/10/20/pdfs/GMD-1839-1806.pdf#page=6","Abrir facsímil")</f>
        <v>Abrir facsímil</v>
      </c>
      <c r="K5258" s="12" t="s">
        <v>65</v>
      </c>
    </row>
    <row r="5259" spans="1:11" ht="40.049999999999997" customHeight="1" x14ac:dyDescent="0.25">
      <c r="A5259" s="11" t="s">
        <v>11381</v>
      </c>
      <c r="B5259" s="11" t="s">
        <v>11382</v>
      </c>
      <c r="C5259" s="11" t="s">
        <v>80</v>
      </c>
      <c r="D5259" s="11" t="s">
        <v>18</v>
      </c>
      <c r="E5259" s="12" t="s">
        <v>346</v>
      </c>
      <c r="F5259" s="12" t="s">
        <v>347</v>
      </c>
      <c r="G5259" s="12" t="s">
        <v>21</v>
      </c>
      <c r="H5259" s="11" t="s">
        <v>63</v>
      </c>
      <c r="I5259" s="13" t="s">
        <v>11390</v>
      </c>
      <c r="J5259" s="14" t="str">
        <f>HYPERLINK("https://www.boe.es/gazeta/dias/1839/03/24/pdfs/GMD-1839-1590.pdf#page=4","Abrir facsímil")</f>
        <v>Abrir facsímil</v>
      </c>
      <c r="K5259" s="12" t="s">
        <v>65</v>
      </c>
    </row>
    <row r="5260" spans="1:11" ht="40.049999999999997" customHeight="1" x14ac:dyDescent="0.25">
      <c r="A5260" s="11" t="s">
        <v>11381</v>
      </c>
      <c r="B5260" s="11" t="s">
        <v>11382</v>
      </c>
      <c r="C5260" s="11" t="s">
        <v>17</v>
      </c>
      <c r="D5260" s="11" t="s">
        <v>18</v>
      </c>
      <c r="E5260" s="12" t="s">
        <v>826</v>
      </c>
      <c r="F5260" s="12" t="s">
        <v>827</v>
      </c>
      <c r="G5260" s="12" t="s">
        <v>40</v>
      </c>
      <c r="H5260" s="11" t="s">
        <v>63</v>
      </c>
      <c r="I5260" s="13" t="s">
        <v>11391</v>
      </c>
      <c r="J5260" s="14" t="str">
        <f>HYPERLINK("https://www.boe.es/gazeta/dias/1839/09/25/pdfs/GMD-1839-1781.pdf#page=2","Abrir facsímil")</f>
        <v>Abrir facsímil</v>
      </c>
      <c r="K5260" s="12" t="s">
        <v>65</v>
      </c>
    </row>
    <row r="5261" spans="1:11" ht="40.049999999999997" customHeight="1" x14ac:dyDescent="0.25">
      <c r="A5261" s="11" t="s">
        <v>11392</v>
      </c>
      <c r="B5261" s="11" t="s">
        <v>11393</v>
      </c>
      <c r="C5261" s="11" t="s">
        <v>17</v>
      </c>
      <c r="D5261" s="11" t="s">
        <v>18</v>
      </c>
      <c r="E5261" s="12" t="s">
        <v>3614</v>
      </c>
      <c r="F5261" s="12" t="s">
        <v>3615</v>
      </c>
      <c r="G5261" s="12" t="s">
        <v>21</v>
      </c>
      <c r="H5261" s="11" t="s">
        <v>63</v>
      </c>
      <c r="I5261" s="13" t="s">
        <v>11394</v>
      </c>
      <c r="J5261" s="14" t="str">
        <f>HYPERLINK("https://www.boe.es/gazeta/dias/1839/04/04/pdfs/GMD-1839-1601.pdf#page=4","Abrir facsímil")</f>
        <v>Abrir facsímil</v>
      </c>
      <c r="K5261" s="12" t="s">
        <v>65</v>
      </c>
    </row>
    <row r="5262" spans="1:11" ht="40.049999999999997" customHeight="1" x14ac:dyDescent="0.25">
      <c r="A5262" s="11" t="s">
        <v>11395</v>
      </c>
      <c r="B5262" s="11" t="s">
        <v>11396</v>
      </c>
      <c r="C5262" s="11" t="s">
        <v>59</v>
      </c>
      <c r="D5262" s="11" t="s">
        <v>60</v>
      </c>
      <c r="E5262" s="12" t="s">
        <v>785</v>
      </c>
      <c r="F5262" s="12" t="s">
        <v>786</v>
      </c>
      <c r="G5262" s="12" t="s">
        <v>46</v>
      </c>
      <c r="H5262" s="11" t="s">
        <v>63</v>
      </c>
      <c r="I5262" s="13" t="s">
        <v>11397</v>
      </c>
      <c r="J5262" s="14" t="str">
        <f>HYPERLINK("https://www.boe.es/gazeta/dias/1839/07/13/pdfs/GMD-1839-1701.pdf#page=3","Abrir facsímil")</f>
        <v>Abrir facsímil</v>
      </c>
      <c r="K5262" s="12" t="s">
        <v>65</v>
      </c>
    </row>
    <row r="5263" spans="1:11" ht="40.049999999999997" customHeight="1" x14ac:dyDescent="0.25">
      <c r="A5263" s="11" t="s">
        <v>11398</v>
      </c>
      <c r="B5263" s="11" t="s">
        <v>11399</v>
      </c>
      <c r="C5263" s="11" t="s">
        <v>137</v>
      </c>
      <c r="D5263" s="11" t="s">
        <v>18</v>
      </c>
      <c r="E5263" s="12" t="s">
        <v>132</v>
      </c>
      <c r="F5263" s="12" t="s">
        <v>133</v>
      </c>
      <c r="G5263" s="12" t="s">
        <v>21</v>
      </c>
      <c r="H5263" s="11" t="s">
        <v>22</v>
      </c>
      <c r="I5263" s="13" t="s">
        <v>11400</v>
      </c>
      <c r="J5263" s="14" t="str">
        <f>HYPERLINK("https://www.boe.es/gazeta/dias/1839/08/02/pdfs/GMD-1839-1722.pdf#page=4","Abrir facsímil")</f>
        <v>Abrir facsímil</v>
      </c>
      <c r="K5263" s="12" t="s">
        <v>24</v>
      </c>
    </row>
    <row r="5264" spans="1:11" ht="40.049999999999997" customHeight="1" x14ac:dyDescent="0.25">
      <c r="A5264" s="11" t="s">
        <v>11401</v>
      </c>
      <c r="B5264" s="11" t="s">
        <v>11402</v>
      </c>
      <c r="C5264" s="11" t="s">
        <v>101</v>
      </c>
      <c r="D5264" s="11" t="s">
        <v>43</v>
      </c>
      <c r="E5264" s="12" t="s">
        <v>1988</v>
      </c>
      <c r="F5264" s="12" t="s">
        <v>1989</v>
      </c>
      <c r="G5264" s="12" t="s">
        <v>46</v>
      </c>
      <c r="H5264" s="11" t="s">
        <v>22</v>
      </c>
      <c r="I5264" s="13" t="s">
        <v>11403</v>
      </c>
      <c r="J5264" s="14" t="str">
        <f>HYPERLINK("https://www.boe.es/gazeta/dias/1839/10/29/pdfs/GMD-1839-1815.pdf#page=3","Abrir facsímil")</f>
        <v>Abrir facsímil</v>
      </c>
      <c r="K5264" s="12" t="s">
        <v>24</v>
      </c>
    </row>
    <row r="5265" spans="1:11" ht="40.049999999999997" customHeight="1" x14ac:dyDescent="0.25">
      <c r="A5265" s="11" t="s">
        <v>11404</v>
      </c>
      <c r="B5265" s="11" t="s">
        <v>11405</v>
      </c>
      <c r="C5265" s="11" t="s">
        <v>17</v>
      </c>
      <c r="D5265" s="11" t="s">
        <v>43</v>
      </c>
      <c r="E5265" s="12" t="s">
        <v>121</v>
      </c>
      <c r="F5265" s="12" t="s">
        <v>122</v>
      </c>
      <c r="G5265" s="12" t="s">
        <v>21</v>
      </c>
      <c r="H5265" s="11" t="s">
        <v>22</v>
      </c>
      <c r="I5265" s="13" t="s">
        <v>11406</v>
      </c>
      <c r="J5265" s="14" t="str">
        <f>HYPERLINK("https://www.boe.es/gazeta/dias/1839/06/08/pdfs/GMD-1839-1666.pdf#page=4","Abrir facsímil")</f>
        <v>Abrir facsímil</v>
      </c>
      <c r="K5265" s="12" t="s">
        <v>24</v>
      </c>
    </row>
    <row r="5266" spans="1:11" ht="40.049999999999997" customHeight="1" x14ac:dyDescent="0.25">
      <c r="A5266" s="11" t="s">
        <v>11407</v>
      </c>
      <c r="B5266" s="11" t="s">
        <v>11408</v>
      </c>
      <c r="C5266" s="11" t="s">
        <v>101</v>
      </c>
      <c r="D5266" s="11" t="s">
        <v>102</v>
      </c>
      <c r="E5266" s="12" t="s">
        <v>1891</v>
      </c>
      <c r="F5266" s="12" t="s">
        <v>1892</v>
      </c>
      <c r="G5266" s="12" t="s">
        <v>21</v>
      </c>
      <c r="H5266" s="11" t="s">
        <v>22</v>
      </c>
      <c r="I5266" s="13" t="s">
        <v>11409</v>
      </c>
      <c r="J5266" s="14" t="str">
        <f>HYPERLINK("https://www.boe.es/gazeta/dias/1839/12/14/pdfs/GMD-1839-1861.pdf#page=4","Abrir facsímil")</f>
        <v>Abrir facsímil</v>
      </c>
      <c r="K5266" s="12" t="s">
        <v>24</v>
      </c>
    </row>
    <row r="5267" spans="1:11" ht="40.049999999999997" customHeight="1" x14ac:dyDescent="0.25">
      <c r="A5267" s="11" t="s">
        <v>11410</v>
      </c>
      <c r="B5267" s="11" t="s">
        <v>11411</v>
      </c>
      <c r="C5267" s="11" t="s">
        <v>17</v>
      </c>
      <c r="D5267" s="11" t="s">
        <v>18</v>
      </c>
      <c r="E5267" s="12" t="s">
        <v>716</v>
      </c>
      <c r="F5267" s="12" t="s">
        <v>717</v>
      </c>
      <c r="G5267" s="12" t="s">
        <v>46</v>
      </c>
      <c r="H5267" s="11" t="s">
        <v>22</v>
      </c>
      <c r="I5267" s="13" t="s">
        <v>11412</v>
      </c>
      <c r="J5267" s="14" t="str">
        <f>HYPERLINK("https://www.boe.es/gazeta/dias/1839/07/30/pdfs/GMD-1839-1719.pdf#page=3","Abrir facsímil")</f>
        <v>Abrir facsímil</v>
      </c>
      <c r="K5267" s="12" t="s">
        <v>24</v>
      </c>
    </row>
    <row r="5268" spans="1:11" ht="40.049999999999997" customHeight="1" x14ac:dyDescent="0.25">
      <c r="A5268" s="11" t="s">
        <v>11413</v>
      </c>
      <c r="B5268" s="11" t="s">
        <v>11414</v>
      </c>
      <c r="C5268" s="11" t="s">
        <v>101</v>
      </c>
      <c r="D5268" s="11" t="s">
        <v>43</v>
      </c>
      <c r="E5268" s="12" t="s">
        <v>1179</v>
      </c>
      <c r="F5268" s="12" t="s">
        <v>1180</v>
      </c>
      <c r="G5268" s="12" t="s">
        <v>46</v>
      </c>
      <c r="H5268" s="11" t="s">
        <v>22</v>
      </c>
      <c r="I5268" s="13" t="s">
        <v>11415</v>
      </c>
      <c r="J5268" s="14" t="str">
        <f>HYPERLINK("https://www.boe.es/gazeta/dias/1839/10/18/pdfs/GMD-1839-1804.pdf#page=3","Abrir facsímil")</f>
        <v>Abrir facsímil</v>
      </c>
      <c r="K5268" s="12" t="s">
        <v>24</v>
      </c>
    </row>
    <row r="5269" spans="1:11" ht="40.049999999999997" customHeight="1" x14ac:dyDescent="0.25">
      <c r="A5269" s="11" t="s">
        <v>11416</v>
      </c>
      <c r="B5269" s="11" t="s">
        <v>11417</v>
      </c>
      <c r="C5269" s="11" t="s">
        <v>80</v>
      </c>
      <c r="D5269" s="11" t="s">
        <v>18</v>
      </c>
      <c r="E5269" s="12" t="s">
        <v>132</v>
      </c>
      <c r="F5269" s="12" t="s">
        <v>133</v>
      </c>
      <c r="G5269" s="12" t="s">
        <v>21</v>
      </c>
      <c r="H5269" s="11" t="s">
        <v>22</v>
      </c>
      <c r="I5269" s="13" t="s">
        <v>11418</v>
      </c>
      <c r="J5269" s="14" t="str">
        <f>HYPERLINK("https://www.boe.es/gazeta/dias/1839/08/02/pdfs/GMD-1839-1722.pdf#page=4","Abrir facsímil")</f>
        <v>Abrir facsímil</v>
      </c>
      <c r="K5269" s="12" t="s">
        <v>24</v>
      </c>
    </row>
    <row r="5270" spans="1:11" ht="40.049999999999997" customHeight="1" x14ac:dyDescent="0.25">
      <c r="A5270" s="11" t="s">
        <v>11419</v>
      </c>
      <c r="B5270" s="11" t="s">
        <v>11420</v>
      </c>
      <c r="C5270" s="11" t="s">
        <v>80</v>
      </c>
      <c r="D5270" s="11" t="s">
        <v>18</v>
      </c>
      <c r="E5270" s="12" t="s">
        <v>160</v>
      </c>
      <c r="F5270" s="12" t="s">
        <v>161</v>
      </c>
      <c r="G5270" s="12" t="s">
        <v>40</v>
      </c>
      <c r="H5270" s="11" t="s">
        <v>22</v>
      </c>
      <c r="I5270" s="13" t="s">
        <v>11421</v>
      </c>
      <c r="J5270" s="14" t="str">
        <f>HYPERLINK("https://www.boe.es/gazeta/dias/1839/01/10/pdfs/GMD-1839-1517.pdf#page=2","Abrir facsímil")</f>
        <v>Abrir facsímil</v>
      </c>
      <c r="K5270" s="12" t="s">
        <v>24</v>
      </c>
    </row>
    <row r="5271" spans="1:11" ht="40.049999999999997" customHeight="1" x14ac:dyDescent="0.25">
      <c r="A5271" s="11" t="s">
        <v>11422</v>
      </c>
      <c r="B5271" s="11" t="s">
        <v>11423</v>
      </c>
      <c r="C5271" s="11" t="s">
        <v>17</v>
      </c>
      <c r="D5271" s="11" t="s">
        <v>18</v>
      </c>
      <c r="E5271" s="12" t="s">
        <v>462</v>
      </c>
      <c r="F5271" s="12" t="s">
        <v>463</v>
      </c>
      <c r="G5271" s="12" t="s">
        <v>46</v>
      </c>
      <c r="H5271" s="11" t="s">
        <v>22</v>
      </c>
      <c r="I5271" s="13" t="s">
        <v>11424</v>
      </c>
      <c r="J5271" s="14" t="str">
        <f>HYPERLINK("https://www.boe.es/gazeta/dias/1839/06/19/pdfs/GMD-1839-1677.pdf#page=3","Abrir facsímil")</f>
        <v>Abrir facsímil</v>
      </c>
      <c r="K5271" s="12" t="s">
        <v>24</v>
      </c>
    </row>
    <row r="5272" spans="1:11" ht="40.049999999999997" customHeight="1" x14ac:dyDescent="0.25">
      <c r="A5272" s="11" t="s">
        <v>11425</v>
      </c>
      <c r="B5272" s="11" t="s">
        <v>11426</v>
      </c>
      <c r="C5272" s="11" t="s">
        <v>80</v>
      </c>
      <c r="D5272" s="11" t="s">
        <v>18</v>
      </c>
      <c r="E5272" s="12" t="s">
        <v>258</v>
      </c>
      <c r="F5272" s="12" t="s">
        <v>259</v>
      </c>
      <c r="G5272" s="12" t="s">
        <v>21</v>
      </c>
      <c r="H5272" s="11" t="s">
        <v>22</v>
      </c>
      <c r="I5272" s="13" t="s">
        <v>11427</v>
      </c>
      <c r="J5272" s="14" t="str">
        <f>HYPERLINK("https://www.boe.es/gazeta/dias/1839/01/02/pdfs/GMD-1839-1509.pdf#page=4","Abrir facsímil")</f>
        <v>Abrir facsímil</v>
      </c>
      <c r="K5272" s="12" t="s">
        <v>24</v>
      </c>
    </row>
    <row r="5273" spans="1:11" ht="40.049999999999997" customHeight="1" x14ac:dyDescent="0.25">
      <c r="A5273" s="11" t="s">
        <v>11428</v>
      </c>
      <c r="B5273" s="11" t="s">
        <v>11429</v>
      </c>
      <c r="C5273" s="11" t="s">
        <v>59</v>
      </c>
      <c r="D5273" s="11" t="s">
        <v>60</v>
      </c>
      <c r="E5273" s="12" t="s">
        <v>462</v>
      </c>
      <c r="F5273" s="12" t="s">
        <v>463</v>
      </c>
      <c r="G5273" s="12" t="s">
        <v>46</v>
      </c>
      <c r="H5273" s="11" t="s">
        <v>22</v>
      </c>
      <c r="I5273" s="13" t="s">
        <v>11430</v>
      </c>
      <c r="J5273" s="14" t="str">
        <f>HYPERLINK("https://www.boe.es/gazeta/dias/1839/06/19/pdfs/GMD-1839-1677.pdf#page=3","Abrir facsímil")</f>
        <v>Abrir facsímil</v>
      </c>
      <c r="K5273" s="12" t="s">
        <v>24</v>
      </c>
    </row>
    <row r="5274" spans="1:11" ht="40.049999999999997" customHeight="1" x14ac:dyDescent="0.25">
      <c r="A5274" s="11" t="s">
        <v>11431</v>
      </c>
      <c r="B5274" s="11" t="s">
        <v>11432</v>
      </c>
      <c r="C5274" s="11" t="s">
        <v>80</v>
      </c>
      <c r="D5274" s="11" t="s">
        <v>18</v>
      </c>
      <c r="E5274" s="12" t="s">
        <v>798</v>
      </c>
      <c r="F5274" s="12" t="s">
        <v>799</v>
      </c>
      <c r="G5274" s="12" t="s">
        <v>40</v>
      </c>
      <c r="H5274" s="11" t="s">
        <v>22</v>
      </c>
      <c r="I5274" s="13" t="s">
        <v>11433</v>
      </c>
      <c r="J5274" s="14" t="str">
        <f>HYPERLINK("https://www.boe.es/gazeta/dias/1839/09/03/pdfs/GMD-1839-1755.pdf#page=2","Abrir facsímil")</f>
        <v>Abrir facsímil</v>
      </c>
      <c r="K5274" s="12" t="s">
        <v>24</v>
      </c>
    </row>
    <row r="5275" spans="1:11" ht="40.049999999999997" customHeight="1" x14ac:dyDescent="0.25">
      <c r="A5275" s="11" t="s">
        <v>11434</v>
      </c>
      <c r="B5275" s="11" t="s">
        <v>11435</v>
      </c>
      <c r="C5275" s="11" t="s">
        <v>17</v>
      </c>
      <c r="D5275" s="11" t="s">
        <v>18</v>
      </c>
      <c r="E5275" s="12" t="s">
        <v>3391</v>
      </c>
      <c r="F5275" s="12" t="s">
        <v>3392</v>
      </c>
      <c r="G5275" s="12" t="s">
        <v>21</v>
      </c>
      <c r="H5275" s="11" t="s">
        <v>22</v>
      </c>
      <c r="I5275" s="13" t="s">
        <v>11436</v>
      </c>
      <c r="J5275" s="14" t="str">
        <f>HYPERLINK("https://www.boe.es/gazeta/dias/1839/12/31/pdfs/GMD-1839-1878.pdf#page=4","Abrir facsímil")</f>
        <v>Abrir facsímil</v>
      </c>
      <c r="K5275" s="12" t="s">
        <v>24</v>
      </c>
    </row>
    <row r="5276" spans="1:11" ht="40.049999999999997" customHeight="1" x14ac:dyDescent="0.25">
      <c r="A5276" s="11" t="s">
        <v>11437</v>
      </c>
      <c r="B5276" s="11" t="s">
        <v>11438</v>
      </c>
      <c r="C5276" s="11" t="s">
        <v>17</v>
      </c>
      <c r="D5276" s="11" t="s">
        <v>18</v>
      </c>
      <c r="E5276" s="12" t="s">
        <v>1310</v>
      </c>
      <c r="F5276" s="12" t="s">
        <v>1311</v>
      </c>
      <c r="G5276" s="12" t="s">
        <v>21</v>
      </c>
      <c r="H5276" s="11" t="s">
        <v>22</v>
      </c>
      <c r="I5276" s="13" t="s">
        <v>11439</v>
      </c>
      <c r="J5276" s="14" t="str">
        <f>HYPERLINK("https://www.boe.es/gazeta/dias/1839/04/23/pdfs/GMD-1839-1620.pdf#page=4","Abrir facsímil")</f>
        <v>Abrir facsímil</v>
      </c>
      <c r="K5276" s="12" t="s">
        <v>24</v>
      </c>
    </row>
    <row r="5277" spans="1:11" ht="40.049999999999997" customHeight="1" x14ac:dyDescent="0.25">
      <c r="A5277" s="11" t="s">
        <v>11440</v>
      </c>
      <c r="B5277" s="11" t="s">
        <v>11441</v>
      </c>
      <c r="C5277" s="11" t="s">
        <v>101</v>
      </c>
      <c r="D5277" s="11" t="s">
        <v>102</v>
      </c>
      <c r="E5277" s="12" t="s">
        <v>462</v>
      </c>
      <c r="F5277" s="12" t="s">
        <v>463</v>
      </c>
      <c r="G5277" s="12" t="s">
        <v>46</v>
      </c>
      <c r="H5277" s="11" t="s">
        <v>22</v>
      </c>
      <c r="I5277" s="13" t="s">
        <v>11442</v>
      </c>
      <c r="J5277" s="14" t="str">
        <f>HYPERLINK("https://www.boe.es/gazeta/dias/1839/06/19/pdfs/GMD-1839-1677.pdf#page=3","Abrir facsímil")</f>
        <v>Abrir facsímil</v>
      </c>
      <c r="K5277" s="12" t="s">
        <v>24</v>
      </c>
    </row>
    <row r="5278" spans="1:11" ht="40.049999999999997" customHeight="1" x14ac:dyDescent="0.25">
      <c r="A5278" s="11" t="s">
        <v>11443</v>
      </c>
      <c r="B5278" s="11" t="s">
        <v>11444</v>
      </c>
      <c r="C5278" s="11" t="s">
        <v>17</v>
      </c>
      <c r="D5278" s="11" t="s">
        <v>18</v>
      </c>
      <c r="E5278" s="12" t="s">
        <v>1813</v>
      </c>
      <c r="F5278" s="12" t="s">
        <v>1814</v>
      </c>
      <c r="G5278" s="12" t="s">
        <v>21</v>
      </c>
      <c r="H5278" s="11" t="s">
        <v>22</v>
      </c>
      <c r="I5278" s="13" t="s">
        <v>11445</v>
      </c>
      <c r="J5278" s="14" t="str">
        <f>HYPERLINK("https://www.boe.es/gazeta/dias/1839/09/02/pdfs/GMD-1839-1754.pdf#page=4","Abrir facsímil")</f>
        <v>Abrir facsímil</v>
      </c>
      <c r="K5278" s="12" t="s">
        <v>24</v>
      </c>
    </row>
    <row r="5279" spans="1:11" ht="40.049999999999997" customHeight="1" x14ac:dyDescent="0.25">
      <c r="A5279" s="11" t="s">
        <v>11446</v>
      </c>
      <c r="B5279" s="11" t="s">
        <v>11447</v>
      </c>
      <c r="C5279" s="11" t="s">
        <v>17</v>
      </c>
      <c r="D5279" s="11" t="s">
        <v>18</v>
      </c>
      <c r="E5279" s="12" t="s">
        <v>395</v>
      </c>
      <c r="F5279" s="12" t="s">
        <v>396</v>
      </c>
      <c r="G5279" s="12" t="s">
        <v>29</v>
      </c>
      <c r="H5279" s="11" t="s">
        <v>22</v>
      </c>
      <c r="I5279" s="13" t="s">
        <v>11448</v>
      </c>
      <c r="J5279" s="14" t="str">
        <f>HYPERLINK("https://www.boe.es/gazeta/dias/1839/03/15/pdfs/GMD-1839-1581.pdf#page=1","Abrir facsímil")</f>
        <v>Abrir facsímil</v>
      </c>
      <c r="K5279" s="12" t="s">
        <v>24</v>
      </c>
    </row>
    <row r="5280" spans="1:11" ht="40.049999999999997" customHeight="1" x14ac:dyDescent="0.25">
      <c r="A5280" s="11" t="s">
        <v>11449</v>
      </c>
      <c r="B5280" s="11" t="s">
        <v>11450</v>
      </c>
      <c r="C5280" s="11" t="s">
        <v>17</v>
      </c>
      <c r="D5280" s="11" t="s">
        <v>18</v>
      </c>
      <c r="E5280" s="12" t="s">
        <v>388</v>
      </c>
      <c r="F5280" s="12" t="s">
        <v>389</v>
      </c>
      <c r="G5280" s="12" t="s">
        <v>29</v>
      </c>
      <c r="H5280" s="11" t="s">
        <v>63</v>
      </c>
      <c r="I5280" s="13" t="s">
        <v>11451</v>
      </c>
      <c r="J5280" s="14" t="str">
        <f>HYPERLINK("https://www.boe.es/gazeta/dias/1839/08/07/pdfs/GMD-1839-1727.pdf#page=1","Abrir facsímil")</f>
        <v>Abrir facsímil</v>
      </c>
      <c r="K5280" s="12" t="s">
        <v>65</v>
      </c>
    </row>
    <row r="5281" spans="1:11" ht="40.049999999999997" customHeight="1" x14ac:dyDescent="0.25">
      <c r="A5281" s="11" t="s">
        <v>11449</v>
      </c>
      <c r="B5281" s="11" t="s">
        <v>11450</v>
      </c>
      <c r="C5281" s="11" t="s">
        <v>17</v>
      </c>
      <c r="D5281" s="11" t="s">
        <v>18</v>
      </c>
      <c r="E5281" s="12" t="s">
        <v>3114</v>
      </c>
      <c r="F5281" s="12" t="s">
        <v>3115</v>
      </c>
      <c r="G5281" s="12" t="s">
        <v>29</v>
      </c>
      <c r="H5281" s="11" t="s">
        <v>63</v>
      </c>
      <c r="I5281" s="13" t="s">
        <v>11452</v>
      </c>
      <c r="J5281" s="14" t="str">
        <f>HYPERLINK("https://www.boe.es/gazeta/dias/1839/05/15/pdfs/GMD-1839-1642.pdf#page=1","Abrir facsímil")</f>
        <v>Abrir facsímil</v>
      </c>
      <c r="K5281" s="12" t="s">
        <v>65</v>
      </c>
    </row>
    <row r="5282" spans="1:11" ht="40.049999999999997" customHeight="1" x14ac:dyDescent="0.25">
      <c r="A5282" s="11" t="s">
        <v>11453</v>
      </c>
      <c r="B5282" s="11" t="s">
        <v>11454</v>
      </c>
      <c r="C5282" s="11" t="s">
        <v>101</v>
      </c>
      <c r="D5282" s="11" t="s">
        <v>102</v>
      </c>
      <c r="E5282" s="12" t="s">
        <v>2829</v>
      </c>
      <c r="F5282" s="12" t="s">
        <v>2830</v>
      </c>
      <c r="G5282" s="12" t="s">
        <v>40</v>
      </c>
      <c r="H5282" s="11" t="s">
        <v>63</v>
      </c>
      <c r="I5282" s="13" t="s">
        <v>11455</v>
      </c>
      <c r="J5282" s="14" t="str">
        <f>HYPERLINK("https://www.boe.es/gazeta/dias/1839/07/01/pdfs/GMD-1839-1689.pdf#page=2","Abrir facsímil")</f>
        <v>Abrir facsímil</v>
      </c>
      <c r="K5282" s="12" t="s">
        <v>65</v>
      </c>
    </row>
    <row r="5283" spans="1:11" ht="40.049999999999997" customHeight="1" x14ac:dyDescent="0.25">
      <c r="A5283" s="11" t="s">
        <v>11456</v>
      </c>
      <c r="B5283" s="11" t="s">
        <v>11457</v>
      </c>
      <c r="C5283" s="11" t="s">
        <v>17</v>
      </c>
      <c r="D5283" s="11" t="s">
        <v>18</v>
      </c>
      <c r="E5283" s="12" t="s">
        <v>4186</v>
      </c>
      <c r="F5283" s="12" t="s">
        <v>4187</v>
      </c>
      <c r="G5283" s="12" t="s">
        <v>46</v>
      </c>
      <c r="H5283" s="11" t="s">
        <v>63</v>
      </c>
      <c r="I5283" s="13" t="s">
        <v>11458</v>
      </c>
      <c r="J5283" s="14" t="str">
        <f>HYPERLINK("https://www.boe.es/gazeta/dias/1839/12/12/pdfs/GMD-1839-1859.pdf#page=3","Abrir facsímil")</f>
        <v>Abrir facsímil</v>
      </c>
      <c r="K5283" s="12" t="s">
        <v>65</v>
      </c>
    </row>
    <row r="5284" spans="1:11" ht="40.049999999999997" customHeight="1" x14ac:dyDescent="0.25">
      <c r="A5284" s="11" t="s">
        <v>11459</v>
      </c>
      <c r="B5284" s="11" t="s">
        <v>11460</v>
      </c>
      <c r="C5284" s="11" t="s">
        <v>101</v>
      </c>
      <c r="D5284" s="11" t="s">
        <v>43</v>
      </c>
      <c r="E5284" s="12" t="s">
        <v>474</v>
      </c>
      <c r="F5284" s="12" t="s">
        <v>475</v>
      </c>
      <c r="G5284" s="12" t="s">
        <v>21</v>
      </c>
      <c r="H5284" s="11" t="s">
        <v>63</v>
      </c>
      <c r="I5284" s="13" t="s">
        <v>11461</v>
      </c>
      <c r="J5284" s="14" t="str">
        <f>HYPERLINK("https://www.boe.es/gazeta/dias/1839/03/31/pdfs/GMD-1839-1597.pdf#page=4","Abrir facsímil")</f>
        <v>Abrir facsímil</v>
      </c>
      <c r="K5284" s="12" t="s">
        <v>65</v>
      </c>
    </row>
    <row r="5285" spans="1:11" ht="40.049999999999997" customHeight="1" x14ac:dyDescent="0.25">
      <c r="A5285" s="11" t="s">
        <v>11462</v>
      </c>
      <c r="B5285" s="11" t="s">
        <v>11463</v>
      </c>
      <c r="C5285" s="11" t="s">
        <v>17</v>
      </c>
      <c r="D5285" s="11" t="s">
        <v>18</v>
      </c>
      <c r="E5285" s="12" t="s">
        <v>3134</v>
      </c>
      <c r="F5285" s="12" t="s">
        <v>3135</v>
      </c>
      <c r="G5285" s="12" t="s">
        <v>21</v>
      </c>
      <c r="H5285" s="11" t="s">
        <v>63</v>
      </c>
      <c r="I5285" s="13" t="s">
        <v>11464</v>
      </c>
      <c r="J5285" s="14" t="str">
        <f>HYPERLINK("https://www.boe.es/gazeta/dias/1839/08/09/pdfs/GMD-1839-1729.pdf#page=4","Abrir facsímil")</f>
        <v>Abrir facsímil</v>
      </c>
      <c r="K5285" s="12" t="s">
        <v>65</v>
      </c>
    </row>
    <row r="5286" spans="1:11" ht="40.049999999999997" customHeight="1" x14ac:dyDescent="0.25">
      <c r="A5286" s="11" t="s">
        <v>11465</v>
      </c>
      <c r="B5286" s="11" t="s">
        <v>11466</v>
      </c>
      <c r="C5286" s="11" t="s">
        <v>17</v>
      </c>
      <c r="D5286" s="11" t="s">
        <v>18</v>
      </c>
      <c r="E5286" s="12" t="s">
        <v>84</v>
      </c>
      <c r="F5286" s="12" t="s">
        <v>85</v>
      </c>
      <c r="G5286" s="12" t="s">
        <v>29</v>
      </c>
      <c r="H5286" s="11" t="s">
        <v>63</v>
      </c>
      <c r="I5286" s="13" t="s">
        <v>11467</v>
      </c>
      <c r="J5286" s="14" t="str">
        <f>HYPERLINK("https://www.boe.es/gazeta/dias/1839/03/11/pdfs/GMD-1839-1577.pdf#page=1","Abrir facsímil")</f>
        <v>Abrir facsímil</v>
      </c>
      <c r="K5286" s="12" t="s">
        <v>65</v>
      </c>
    </row>
    <row r="5287" spans="1:11" ht="40.049999999999997" customHeight="1" x14ac:dyDescent="0.25">
      <c r="A5287" s="11" t="s">
        <v>11468</v>
      </c>
      <c r="B5287" s="11" t="s">
        <v>11469</v>
      </c>
      <c r="C5287" s="11" t="s">
        <v>17</v>
      </c>
      <c r="D5287" s="11" t="s">
        <v>18</v>
      </c>
      <c r="E5287" s="12" t="s">
        <v>821</v>
      </c>
      <c r="F5287" s="12" t="s">
        <v>822</v>
      </c>
      <c r="G5287" s="12" t="s">
        <v>29</v>
      </c>
      <c r="H5287" s="11" t="s">
        <v>63</v>
      </c>
      <c r="I5287" s="13" t="s">
        <v>11470</v>
      </c>
      <c r="J5287" s="14" t="str">
        <f>HYPERLINK("https://www.boe.es/gazeta/dias/1839/09/20/pdfs/GMD-1839-1775.pdf#page=1","Abrir facsímil")</f>
        <v>Abrir facsímil</v>
      </c>
      <c r="K5287" s="12" t="s">
        <v>65</v>
      </c>
    </row>
    <row r="5288" spans="1:11" ht="40.049999999999997" customHeight="1" x14ac:dyDescent="0.25">
      <c r="A5288" s="11" t="s">
        <v>11471</v>
      </c>
      <c r="B5288" s="11" t="s">
        <v>11472</v>
      </c>
      <c r="C5288" s="11" t="s">
        <v>137</v>
      </c>
      <c r="D5288" s="11" t="s">
        <v>18</v>
      </c>
      <c r="E5288" s="12" t="s">
        <v>2829</v>
      </c>
      <c r="F5288" s="12" t="s">
        <v>2830</v>
      </c>
      <c r="G5288" s="12" t="s">
        <v>29</v>
      </c>
      <c r="H5288" s="11" t="s">
        <v>63</v>
      </c>
      <c r="I5288" s="13" t="s">
        <v>11473</v>
      </c>
      <c r="J5288" s="14" t="str">
        <f>HYPERLINK("https://www.boe.es/gazeta/dias/1839/07/01/pdfs/GMD-1839-1689.pdf#page=1","Abrir facsímil")</f>
        <v>Abrir facsímil</v>
      </c>
      <c r="K5288" s="12" t="s">
        <v>65</v>
      </c>
    </row>
    <row r="5289" spans="1:11" ht="40.049999999999997" customHeight="1" x14ac:dyDescent="0.25">
      <c r="A5289" s="11" t="s">
        <v>11474</v>
      </c>
      <c r="B5289" s="11" t="s">
        <v>11475</v>
      </c>
      <c r="C5289" s="11" t="s">
        <v>17</v>
      </c>
      <c r="D5289" s="11" t="s">
        <v>18</v>
      </c>
      <c r="E5289" s="12" t="s">
        <v>398</v>
      </c>
      <c r="F5289" s="12" t="s">
        <v>399</v>
      </c>
      <c r="G5289" s="12" t="s">
        <v>29</v>
      </c>
      <c r="H5289" s="11" t="s">
        <v>63</v>
      </c>
      <c r="I5289" s="13" t="s">
        <v>11476</v>
      </c>
      <c r="J5289" s="14" t="str">
        <f>HYPERLINK("https://www.boe.es/gazeta/dias/1839/05/17/pdfs/GMD-1839-1644.pdf#page=1","Abrir facsímil")</f>
        <v>Abrir facsímil</v>
      </c>
      <c r="K5289" s="12" t="s">
        <v>65</v>
      </c>
    </row>
    <row r="5290" spans="1:11" ht="40.049999999999997" customHeight="1" x14ac:dyDescent="0.25">
      <c r="A5290" s="11" t="s">
        <v>11477</v>
      </c>
      <c r="B5290" s="11" t="s">
        <v>11478</v>
      </c>
      <c r="C5290" s="11" t="s">
        <v>17</v>
      </c>
      <c r="D5290" s="11" t="s">
        <v>18</v>
      </c>
      <c r="E5290" s="12" t="s">
        <v>433</v>
      </c>
      <c r="F5290" s="12" t="s">
        <v>434</v>
      </c>
      <c r="G5290" s="12" t="s">
        <v>40</v>
      </c>
      <c r="H5290" s="11" t="s">
        <v>63</v>
      </c>
      <c r="I5290" s="13" t="s">
        <v>11479</v>
      </c>
      <c r="J5290" s="14" t="str">
        <f>HYPERLINK("https://www.boe.es/gazeta/dias/1839/01/20/pdfs/GMD-1839-1527.pdf#page=2","Abrir facsímil")</f>
        <v>Abrir facsímil</v>
      </c>
      <c r="K5290" s="12" t="s">
        <v>65</v>
      </c>
    </row>
    <row r="5291" spans="1:11" ht="40.049999999999997" customHeight="1" x14ac:dyDescent="0.25">
      <c r="A5291" s="11" t="s">
        <v>11480</v>
      </c>
      <c r="B5291" s="11" t="s">
        <v>11481</v>
      </c>
      <c r="C5291" s="11" t="s">
        <v>101</v>
      </c>
      <c r="D5291" s="11" t="s">
        <v>43</v>
      </c>
      <c r="E5291" s="12" t="s">
        <v>303</v>
      </c>
      <c r="F5291" s="12" t="s">
        <v>304</v>
      </c>
      <c r="G5291" s="12" t="s">
        <v>29</v>
      </c>
      <c r="H5291" s="11" t="s">
        <v>63</v>
      </c>
      <c r="I5291" s="13" t="s">
        <v>11482</v>
      </c>
      <c r="J5291" s="14" t="str">
        <f>HYPERLINK("https://www.boe.es/gazeta/dias/1839/10/06/pdfs/GMD-1839-1792.pdf#page=1","Abrir facsímil")</f>
        <v>Abrir facsímil</v>
      </c>
      <c r="K5291" s="12" t="s">
        <v>65</v>
      </c>
    </row>
    <row r="5292" spans="1:11" ht="40.049999999999997" customHeight="1" x14ac:dyDescent="0.25">
      <c r="A5292" s="11" t="s">
        <v>11483</v>
      </c>
      <c r="B5292" s="11" t="s">
        <v>11484</v>
      </c>
      <c r="C5292" s="11" t="s">
        <v>17</v>
      </c>
      <c r="D5292" s="11" t="s">
        <v>18</v>
      </c>
      <c r="E5292" s="12" t="s">
        <v>163</v>
      </c>
      <c r="F5292" s="12" t="s">
        <v>164</v>
      </c>
      <c r="G5292" s="12" t="s">
        <v>46</v>
      </c>
      <c r="H5292" s="11" t="s">
        <v>63</v>
      </c>
      <c r="I5292" s="13" t="s">
        <v>11485</v>
      </c>
      <c r="J5292" s="14" t="str">
        <f>HYPERLINK("https://www.boe.es/gazeta/dias/1839/01/13/pdfs/GMD-1839-1520.pdf#page=3","Abrir facsímil")</f>
        <v>Abrir facsímil</v>
      </c>
      <c r="K5292" s="12" t="s">
        <v>65</v>
      </c>
    </row>
    <row r="5293" spans="1:11" ht="40.049999999999997" customHeight="1" x14ac:dyDescent="0.25">
      <c r="A5293" s="11" t="s">
        <v>11486</v>
      </c>
      <c r="B5293" s="11" t="s">
        <v>11487</v>
      </c>
      <c r="C5293" s="11" t="s">
        <v>17</v>
      </c>
      <c r="D5293" s="11" t="s">
        <v>18</v>
      </c>
      <c r="E5293" s="12" t="s">
        <v>262</v>
      </c>
      <c r="F5293" s="12" t="s">
        <v>263</v>
      </c>
      <c r="G5293" s="12" t="s">
        <v>21</v>
      </c>
      <c r="H5293" s="11" t="s">
        <v>63</v>
      </c>
      <c r="I5293" s="13" t="s">
        <v>11488</v>
      </c>
      <c r="J5293" s="14" t="str">
        <f>HYPERLINK("https://www.boe.es/gazeta/dias/1839/01/01/pdfs/GMD-1839-1508.pdf#page=4","Abrir facsímil")</f>
        <v>Abrir facsímil</v>
      </c>
      <c r="K5293" s="12" t="s">
        <v>65</v>
      </c>
    </row>
    <row r="5294" spans="1:11" ht="40.049999999999997" customHeight="1" x14ac:dyDescent="0.25">
      <c r="A5294" s="11" t="s">
        <v>11486</v>
      </c>
      <c r="B5294" s="11" t="s">
        <v>11487</v>
      </c>
      <c r="C5294" s="11" t="s">
        <v>17</v>
      </c>
      <c r="D5294" s="11" t="s">
        <v>18</v>
      </c>
      <c r="E5294" s="12" t="s">
        <v>888</v>
      </c>
      <c r="F5294" s="12" t="s">
        <v>889</v>
      </c>
      <c r="G5294" s="12" t="s">
        <v>21</v>
      </c>
      <c r="H5294" s="11" t="s">
        <v>63</v>
      </c>
      <c r="I5294" s="13" t="s">
        <v>11489</v>
      </c>
      <c r="J5294" s="14" t="str">
        <f>HYPERLINK("https://www.boe.es/gazeta/dias/1839/05/14/pdfs/GMD-1839-1641.pdf#page=4","Abrir facsímil")</f>
        <v>Abrir facsímil</v>
      </c>
      <c r="K5294" s="12" t="s">
        <v>65</v>
      </c>
    </row>
    <row r="5295" spans="1:11" ht="40.049999999999997" customHeight="1" x14ac:dyDescent="0.25">
      <c r="A5295" s="11" t="s">
        <v>11490</v>
      </c>
      <c r="B5295" s="11" t="s">
        <v>11491</v>
      </c>
      <c r="C5295" s="11" t="s">
        <v>101</v>
      </c>
      <c r="D5295" s="11" t="s">
        <v>43</v>
      </c>
      <c r="E5295" s="12" t="s">
        <v>564</v>
      </c>
      <c r="F5295" s="12" t="s">
        <v>565</v>
      </c>
      <c r="G5295" s="12" t="s">
        <v>21</v>
      </c>
      <c r="H5295" s="11" t="s">
        <v>63</v>
      </c>
      <c r="I5295" s="13" t="s">
        <v>11492</v>
      </c>
      <c r="J5295" s="14" t="str">
        <f>HYPERLINK("https://www.boe.es/gazeta/dias/1839/10/17/pdfs/GMD-1839-1803.pdf#page=4","Abrir facsímil")</f>
        <v>Abrir facsímil</v>
      </c>
      <c r="K5295" s="12" t="s">
        <v>65</v>
      </c>
    </row>
    <row r="5296" spans="1:11" ht="40.049999999999997" customHeight="1" x14ac:dyDescent="0.25">
      <c r="A5296" s="11" t="s">
        <v>11490</v>
      </c>
      <c r="B5296" s="11" t="s">
        <v>11491</v>
      </c>
      <c r="C5296" s="11" t="s">
        <v>17</v>
      </c>
      <c r="D5296" s="11" t="s">
        <v>18</v>
      </c>
      <c r="E5296" s="12" t="s">
        <v>2222</v>
      </c>
      <c r="F5296" s="12" t="s">
        <v>2223</v>
      </c>
      <c r="G5296" s="12" t="s">
        <v>21</v>
      </c>
      <c r="H5296" s="11" t="s">
        <v>63</v>
      </c>
      <c r="I5296" s="13" t="s">
        <v>11493</v>
      </c>
      <c r="J5296" s="14" t="str">
        <f>HYPERLINK("https://www.boe.es/gazeta/dias/1839/09/19/pdfs/GMD-1839-1773.pdf#page=4","Abrir facsímil")</f>
        <v>Abrir facsímil</v>
      </c>
      <c r="K5296" s="12" t="s">
        <v>65</v>
      </c>
    </row>
    <row r="5297" spans="1:11" ht="40.049999999999997" customHeight="1" x14ac:dyDescent="0.25">
      <c r="A5297" s="11" t="s">
        <v>11490</v>
      </c>
      <c r="B5297" s="11" t="s">
        <v>11491</v>
      </c>
      <c r="C5297" s="11" t="s">
        <v>137</v>
      </c>
      <c r="D5297" s="11" t="s">
        <v>18</v>
      </c>
      <c r="E5297" s="12" t="s">
        <v>1988</v>
      </c>
      <c r="F5297" s="12" t="s">
        <v>1989</v>
      </c>
      <c r="G5297" s="12" t="s">
        <v>46</v>
      </c>
      <c r="H5297" s="11" t="s">
        <v>63</v>
      </c>
      <c r="I5297" s="13" t="s">
        <v>11494</v>
      </c>
      <c r="J5297" s="14" t="str">
        <f>HYPERLINK("https://www.boe.es/gazeta/dias/1839/10/29/pdfs/GMD-1839-1815.pdf#page=3","Abrir facsímil")</f>
        <v>Abrir facsímil</v>
      </c>
      <c r="K5297" s="12" t="s">
        <v>65</v>
      </c>
    </row>
    <row r="5298" spans="1:11" ht="40.049999999999997" customHeight="1" x14ac:dyDescent="0.25">
      <c r="A5298" s="11" t="s">
        <v>11490</v>
      </c>
      <c r="B5298" s="11" t="s">
        <v>11491</v>
      </c>
      <c r="C5298" s="11" t="s">
        <v>101</v>
      </c>
      <c r="D5298" s="11" t="s">
        <v>43</v>
      </c>
      <c r="E5298" s="12" t="s">
        <v>1988</v>
      </c>
      <c r="F5298" s="12" t="s">
        <v>1989</v>
      </c>
      <c r="G5298" s="12" t="s">
        <v>21</v>
      </c>
      <c r="H5298" s="11" t="s">
        <v>63</v>
      </c>
      <c r="I5298" s="13" t="s">
        <v>11495</v>
      </c>
      <c r="J5298" s="14" t="str">
        <f>HYPERLINK("https://www.boe.es/gazeta/dias/1839/10/29/pdfs/GMD-1839-1815.pdf#page=4","Abrir facsímil")</f>
        <v>Abrir facsímil</v>
      </c>
      <c r="K5298" s="12" t="s">
        <v>65</v>
      </c>
    </row>
    <row r="5299" spans="1:11" ht="40.049999999999997" customHeight="1" x14ac:dyDescent="0.25">
      <c r="A5299" s="11" t="s">
        <v>11496</v>
      </c>
      <c r="B5299" s="11" t="s">
        <v>11497</v>
      </c>
      <c r="C5299" s="11" t="s">
        <v>17</v>
      </c>
      <c r="D5299" s="11" t="s">
        <v>18</v>
      </c>
      <c r="E5299" s="12" t="s">
        <v>108</v>
      </c>
      <c r="F5299" s="12" t="s">
        <v>109</v>
      </c>
      <c r="G5299" s="12" t="s">
        <v>46</v>
      </c>
      <c r="H5299" s="11" t="s">
        <v>63</v>
      </c>
      <c r="I5299" s="13" t="s">
        <v>11498</v>
      </c>
      <c r="J5299" s="14" t="str">
        <f>HYPERLINK("https://www.boe.es/gazeta/dias/1839/01/04/pdfs/GMD-1839-1511.pdf#page=3","Abrir facsímil")</f>
        <v>Abrir facsímil</v>
      </c>
      <c r="K5299" s="12" t="s">
        <v>65</v>
      </c>
    </row>
    <row r="5300" spans="1:11" ht="40.049999999999997" customHeight="1" x14ac:dyDescent="0.25">
      <c r="A5300" s="11" t="s">
        <v>11499</v>
      </c>
      <c r="B5300" s="11" t="s">
        <v>11500</v>
      </c>
      <c r="C5300" s="11" t="s">
        <v>101</v>
      </c>
      <c r="D5300" s="11" t="s">
        <v>43</v>
      </c>
      <c r="E5300" s="12" t="s">
        <v>108</v>
      </c>
      <c r="F5300" s="12" t="s">
        <v>109</v>
      </c>
      <c r="G5300" s="12" t="s">
        <v>21</v>
      </c>
      <c r="H5300" s="11" t="s">
        <v>22</v>
      </c>
      <c r="I5300" s="13" t="s">
        <v>11501</v>
      </c>
      <c r="J5300" s="14" t="str">
        <f>HYPERLINK("https://www.boe.es/gazeta/dias/1839/01/04/pdfs/GMD-1839-1511.pdf#page=4","Abrir facsímil")</f>
        <v>Abrir facsímil</v>
      </c>
      <c r="K5300" s="12" t="s">
        <v>24</v>
      </c>
    </row>
    <row r="5301" spans="1:11" ht="40.049999999999997" customHeight="1" x14ac:dyDescent="0.25">
      <c r="A5301" s="11" t="s">
        <v>11502</v>
      </c>
      <c r="B5301" s="11" t="s">
        <v>11503</v>
      </c>
      <c r="C5301" s="11" t="s">
        <v>137</v>
      </c>
      <c r="D5301" s="11" t="s">
        <v>18</v>
      </c>
      <c r="E5301" s="12" t="s">
        <v>254</v>
      </c>
      <c r="F5301" s="12" t="s">
        <v>255</v>
      </c>
      <c r="G5301" s="12" t="s">
        <v>40</v>
      </c>
      <c r="H5301" s="11" t="s">
        <v>63</v>
      </c>
      <c r="I5301" s="13" t="s">
        <v>11504</v>
      </c>
      <c r="J5301" s="14" t="str">
        <f>HYPERLINK("https://www.boe.es/gazeta/dias/1839/09/12/pdfs/GMD-1839-1765.pdf#page=2","Abrir facsímil")</f>
        <v>Abrir facsímil</v>
      </c>
      <c r="K5301" s="12" t="s">
        <v>65</v>
      </c>
    </row>
    <row r="5302" spans="1:11" ht="40.049999999999997" customHeight="1" x14ac:dyDescent="0.25">
      <c r="A5302" s="11" t="s">
        <v>11505</v>
      </c>
      <c r="B5302" s="11" t="s">
        <v>11506</v>
      </c>
      <c r="C5302" s="11" t="s">
        <v>17</v>
      </c>
      <c r="D5302" s="11" t="s">
        <v>18</v>
      </c>
      <c r="E5302" s="12" t="s">
        <v>1108</v>
      </c>
      <c r="F5302" s="12" t="s">
        <v>1109</v>
      </c>
      <c r="G5302" s="12" t="s">
        <v>29</v>
      </c>
      <c r="H5302" s="11" t="s">
        <v>63</v>
      </c>
      <c r="I5302" s="13" t="s">
        <v>11507</v>
      </c>
      <c r="J5302" s="14" t="str">
        <f>HYPERLINK("https://www.boe.es/gazeta/dias/1839/09/21/pdfs/GMD-1839-1776.pdf#page=1","Abrir facsímil")</f>
        <v>Abrir facsímil</v>
      </c>
      <c r="K5302" s="12" t="s">
        <v>65</v>
      </c>
    </row>
    <row r="5303" spans="1:11" ht="40.049999999999997" customHeight="1" x14ac:dyDescent="0.25">
      <c r="A5303" s="11" t="s">
        <v>11508</v>
      </c>
      <c r="B5303" s="11" t="s">
        <v>11509</v>
      </c>
      <c r="C5303" s="11" t="s">
        <v>17</v>
      </c>
      <c r="D5303" s="11" t="s">
        <v>18</v>
      </c>
      <c r="E5303" s="12" t="s">
        <v>266</v>
      </c>
      <c r="F5303" s="12" t="s">
        <v>267</v>
      </c>
      <c r="G5303" s="12" t="s">
        <v>29</v>
      </c>
      <c r="H5303" s="11" t="s">
        <v>63</v>
      </c>
      <c r="I5303" s="13" t="s">
        <v>11510</v>
      </c>
      <c r="J5303" s="14" t="str">
        <f>HYPERLINK("https://www.boe.es/gazeta/dias/1839/01/03/pdfs/GMD-1839-1510.pdf#page=1","Abrir facsímil")</f>
        <v>Abrir facsímil</v>
      </c>
      <c r="K5303" s="12" t="s">
        <v>65</v>
      </c>
    </row>
    <row r="5304" spans="1:11" ht="40.049999999999997" customHeight="1" x14ac:dyDescent="0.25">
      <c r="A5304" s="11" t="s">
        <v>11508</v>
      </c>
      <c r="B5304" s="11" t="s">
        <v>11509</v>
      </c>
      <c r="C5304" s="11" t="s">
        <v>137</v>
      </c>
      <c r="D5304" s="11" t="s">
        <v>18</v>
      </c>
      <c r="E5304" s="12" t="s">
        <v>448</v>
      </c>
      <c r="F5304" s="12" t="s">
        <v>449</v>
      </c>
      <c r="G5304" s="12" t="s">
        <v>29</v>
      </c>
      <c r="H5304" s="11" t="s">
        <v>63</v>
      </c>
      <c r="I5304" s="13" t="s">
        <v>11511</v>
      </c>
      <c r="J5304" s="14" t="str">
        <f>HYPERLINK("https://www.boe.es/gazeta/dias/1839/02/06/pdfs/GMD-1839-1544.pdf#page=1","Abrir facsímil")</f>
        <v>Abrir facsímil</v>
      </c>
      <c r="K5304" s="12" t="s">
        <v>65</v>
      </c>
    </row>
    <row r="5305" spans="1:11" ht="40.049999999999997" customHeight="1" x14ac:dyDescent="0.25">
      <c r="A5305" s="11" t="s">
        <v>11512</v>
      </c>
      <c r="B5305" s="11" t="s">
        <v>11513</v>
      </c>
      <c r="C5305" s="11" t="s">
        <v>59</v>
      </c>
      <c r="D5305" s="11" t="s">
        <v>60</v>
      </c>
      <c r="E5305" s="12" t="s">
        <v>1895</v>
      </c>
      <c r="F5305" s="12" t="s">
        <v>1896</v>
      </c>
      <c r="G5305" s="12" t="s">
        <v>29</v>
      </c>
      <c r="H5305" s="11" t="s">
        <v>63</v>
      </c>
      <c r="I5305" s="13" t="s">
        <v>11514</v>
      </c>
      <c r="J5305" s="14" t="str">
        <f>HYPERLINK("https://www.boe.es/gazeta/dias/1839/12/23/pdfs/GMD-1839-1870.pdf#page=1","Abrir facsímil")</f>
        <v>Abrir facsímil</v>
      </c>
      <c r="K5305" s="12" t="s">
        <v>65</v>
      </c>
    </row>
    <row r="5306" spans="1:11" ht="40.049999999999997" customHeight="1" x14ac:dyDescent="0.25">
      <c r="A5306" s="11" t="s">
        <v>11515</v>
      </c>
      <c r="B5306" s="11" t="s">
        <v>11516</v>
      </c>
      <c r="C5306" s="11" t="s">
        <v>59</v>
      </c>
      <c r="D5306" s="11" t="s">
        <v>60</v>
      </c>
      <c r="E5306" s="12" t="s">
        <v>388</v>
      </c>
      <c r="F5306" s="12" t="s">
        <v>389</v>
      </c>
      <c r="G5306" s="12" t="s">
        <v>40</v>
      </c>
      <c r="H5306" s="11" t="s">
        <v>63</v>
      </c>
      <c r="I5306" s="13" t="s">
        <v>11517</v>
      </c>
      <c r="J5306" s="14" t="str">
        <f>HYPERLINK("https://www.boe.es/gazeta/dias/1839/08/07/pdfs/GMD-1839-1727.pdf#page=2","Abrir facsímil")</f>
        <v>Abrir facsímil</v>
      </c>
      <c r="K5306" s="12" t="s">
        <v>65</v>
      </c>
    </row>
    <row r="5307" spans="1:11" ht="40.049999999999997" customHeight="1" x14ac:dyDescent="0.25">
      <c r="A5307" s="11" t="s">
        <v>11515</v>
      </c>
      <c r="B5307" s="11" t="s">
        <v>11516</v>
      </c>
      <c r="C5307" s="11" t="s">
        <v>137</v>
      </c>
      <c r="D5307" s="11" t="s">
        <v>18</v>
      </c>
      <c r="E5307" s="12" t="s">
        <v>1490</v>
      </c>
      <c r="F5307" s="12" t="s">
        <v>1491</v>
      </c>
      <c r="G5307" s="12" t="s">
        <v>46</v>
      </c>
      <c r="H5307" s="11" t="s">
        <v>63</v>
      </c>
      <c r="I5307" s="13" t="s">
        <v>11518</v>
      </c>
      <c r="J5307" s="14" t="str">
        <f>HYPERLINK("https://www.boe.es/gazeta/dias/1839/02/27/pdfs/GMD-1839-1565.pdf#page=3","Abrir facsímil")</f>
        <v>Abrir facsímil</v>
      </c>
      <c r="K5307" s="12" t="s">
        <v>65</v>
      </c>
    </row>
    <row r="5308" spans="1:11" ht="40.049999999999997" customHeight="1" x14ac:dyDescent="0.25">
      <c r="A5308" s="11" t="s">
        <v>11515</v>
      </c>
      <c r="B5308" s="11" t="s">
        <v>11516</v>
      </c>
      <c r="C5308" s="11" t="s">
        <v>137</v>
      </c>
      <c r="D5308" s="11" t="s">
        <v>18</v>
      </c>
      <c r="E5308" s="12" t="s">
        <v>1685</v>
      </c>
      <c r="F5308" s="12" t="s">
        <v>1686</v>
      </c>
      <c r="G5308" s="12" t="s">
        <v>21</v>
      </c>
      <c r="H5308" s="11" t="s">
        <v>63</v>
      </c>
      <c r="I5308" s="13" t="s">
        <v>11519</v>
      </c>
      <c r="J5308" s="14" t="str">
        <f>HYPERLINK("https://www.boe.es/gazeta/dias/1839/04/27/pdfs/GMD-1839-1624.pdf#page=4","Abrir facsímil")</f>
        <v>Abrir facsímil</v>
      </c>
      <c r="K5308" s="12" t="s">
        <v>65</v>
      </c>
    </row>
    <row r="5309" spans="1:11" ht="40.049999999999997" customHeight="1" x14ac:dyDescent="0.25">
      <c r="A5309" s="11" t="s">
        <v>11520</v>
      </c>
      <c r="B5309" s="11" t="s">
        <v>11521</v>
      </c>
      <c r="C5309" s="11" t="s">
        <v>17</v>
      </c>
      <c r="D5309" s="11" t="s">
        <v>18</v>
      </c>
      <c r="E5309" s="12" t="s">
        <v>308</v>
      </c>
      <c r="F5309" s="12" t="s">
        <v>309</v>
      </c>
      <c r="G5309" s="12" t="s">
        <v>29</v>
      </c>
      <c r="H5309" s="11" t="s">
        <v>63</v>
      </c>
      <c r="I5309" s="13" t="s">
        <v>11522</v>
      </c>
      <c r="J5309" s="14" t="str">
        <f>HYPERLINK("https://www.boe.es/gazeta/dias/1839/07/29/pdfs/GMD-1839-1718.pdf#page=1","Abrir facsímil")</f>
        <v>Abrir facsímil</v>
      </c>
      <c r="K5309" s="12" t="s">
        <v>65</v>
      </c>
    </row>
    <row r="5310" spans="1:11" ht="40.049999999999997" customHeight="1" x14ac:dyDescent="0.25">
      <c r="A5310" s="11" t="s">
        <v>11523</v>
      </c>
      <c r="B5310" s="11" t="s">
        <v>11524</v>
      </c>
      <c r="C5310" s="11" t="s">
        <v>17</v>
      </c>
      <c r="D5310" s="11" t="s">
        <v>18</v>
      </c>
      <c r="E5310" s="12" t="s">
        <v>1378</v>
      </c>
      <c r="F5310" s="12" t="s">
        <v>1379</v>
      </c>
      <c r="G5310" s="12" t="s">
        <v>21</v>
      </c>
      <c r="H5310" s="11" t="s">
        <v>63</v>
      </c>
      <c r="I5310" s="13" t="s">
        <v>11525</v>
      </c>
      <c r="J5310" s="14" t="str">
        <f>HYPERLINK("https://www.boe.es/gazeta/dias/1839/05/18/pdfs/GMD-1839-1645.pdf#page=4","Abrir facsímil")</f>
        <v>Abrir facsímil</v>
      </c>
      <c r="K5310" s="12" t="s">
        <v>65</v>
      </c>
    </row>
    <row r="5311" spans="1:11" ht="40.049999999999997" customHeight="1" x14ac:dyDescent="0.25">
      <c r="A5311" s="11" t="s">
        <v>11526</v>
      </c>
      <c r="B5311" s="11" t="s">
        <v>11527</v>
      </c>
      <c r="C5311" s="11" t="s">
        <v>17</v>
      </c>
      <c r="D5311" s="11" t="s">
        <v>18</v>
      </c>
      <c r="E5311" s="12" t="s">
        <v>844</v>
      </c>
      <c r="F5311" s="12" t="s">
        <v>845</v>
      </c>
      <c r="G5311" s="12" t="s">
        <v>21</v>
      </c>
      <c r="H5311" s="11" t="s">
        <v>63</v>
      </c>
      <c r="I5311" s="13" t="s">
        <v>11528</v>
      </c>
      <c r="J5311" s="14" t="str">
        <f>HYPERLINK("https://www.boe.es/gazeta/dias/1839/12/24/pdfs/GMD-1839-1871.pdf#page=4","Abrir facsímil")</f>
        <v>Abrir facsímil</v>
      </c>
      <c r="K5311" s="12" t="s">
        <v>65</v>
      </c>
    </row>
    <row r="5312" spans="1:11" ht="40.049999999999997" customHeight="1" x14ac:dyDescent="0.25">
      <c r="A5312" s="11" t="s">
        <v>11529</v>
      </c>
      <c r="B5312" s="11" t="s">
        <v>11530</v>
      </c>
      <c r="C5312" s="11" t="s">
        <v>17</v>
      </c>
      <c r="D5312" s="11" t="s">
        <v>18</v>
      </c>
      <c r="E5312" s="12" t="s">
        <v>303</v>
      </c>
      <c r="F5312" s="12" t="s">
        <v>304</v>
      </c>
      <c r="G5312" s="12" t="s">
        <v>40</v>
      </c>
      <c r="H5312" s="11" t="s">
        <v>63</v>
      </c>
      <c r="I5312" s="13" t="s">
        <v>11531</v>
      </c>
      <c r="J5312" s="14" t="str">
        <f>HYPERLINK("https://www.boe.es/gazeta/dias/1839/10/06/pdfs/GMD-1839-1792.pdf#page=2","Abrir facsímil")</f>
        <v>Abrir facsímil</v>
      </c>
      <c r="K5312" s="12" t="s">
        <v>65</v>
      </c>
    </row>
    <row r="5313" spans="1:11" ht="40.049999999999997" customHeight="1" x14ac:dyDescent="0.25">
      <c r="A5313" s="11" t="s">
        <v>11532</v>
      </c>
      <c r="B5313" s="11" t="s">
        <v>11533</v>
      </c>
      <c r="C5313" s="11" t="s">
        <v>137</v>
      </c>
      <c r="D5313" s="11" t="s">
        <v>18</v>
      </c>
      <c r="E5313" s="12" t="s">
        <v>157</v>
      </c>
      <c r="F5313" s="12" t="s">
        <v>158</v>
      </c>
      <c r="G5313" s="12" t="s">
        <v>40</v>
      </c>
      <c r="H5313" s="11" t="s">
        <v>63</v>
      </c>
      <c r="I5313" s="13" t="s">
        <v>11534</v>
      </c>
      <c r="J5313" s="14" t="str">
        <f>HYPERLINK("https://www.boe.es/gazeta/dias/1839/02/08/pdfs/GMD-1839-1546.pdf#page=2","Abrir facsímil")</f>
        <v>Abrir facsímil</v>
      </c>
      <c r="K5313" s="12" t="s">
        <v>65</v>
      </c>
    </row>
    <row r="5314" spans="1:11" ht="40.049999999999997" customHeight="1" x14ac:dyDescent="0.25">
      <c r="A5314" s="11" t="s">
        <v>11535</v>
      </c>
      <c r="B5314" s="11" t="s">
        <v>11536</v>
      </c>
      <c r="C5314" s="11" t="s">
        <v>101</v>
      </c>
      <c r="D5314" s="11" t="s">
        <v>43</v>
      </c>
      <c r="E5314" s="12" t="s">
        <v>276</v>
      </c>
      <c r="F5314" s="12" t="s">
        <v>277</v>
      </c>
      <c r="G5314" s="12" t="s">
        <v>46</v>
      </c>
      <c r="H5314" s="11" t="s">
        <v>63</v>
      </c>
      <c r="I5314" s="13" t="s">
        <v>11537</v>
      </c>
      <c r="J5314" s="14" t="str">
        <f>HYPERLINK("https://www.boe.es/gazeta/dias/1839/09/24/pdfs/GMD-1839-1780.pdf#page=3","Abrir facsímil")</f>
        <v>Abrir facsímil</v>
      </c>
      <c r="K5314" s="12" t="s">
        <v>65</v>
      </c>
    </row>
    <row r="5315" spans="1:11" ht="40.049999999999997" customHeight="1" x14ac:dyDescent="0.25">
      <c r="A5315" s="11" t="s">
        <v>11538</v>
      </c>
      <c r="B5315" s="11" t="s">
        <v>11539</v>
      </c>
      <c r="C5315" s="11" t="s">
        <v>59</v>
      </c>
      <c r="D5315" s="11" t="s">
        <v>60</v>
      </c>
      <c r="E5315" s="12" t="s">
        <v>385</v>
      </c>
      <c r="F5315" s="12" t="s">
        <v>386</v>
      </c>
      <c r="G5315" s="12" t="s">
        <v>40</v>
      </c>
      <c r="H5315" s="11" t="s">
        <v>63</v>
      </c>
      <c r="I5315" s="13" t="s">
        <v>11540</v>
      </c>
      <c r="J5315" s="14" t="str">
        <f>HYPERLINK("https://www.boe.es/gazeta/dias/1839/08/01/pdfs/GMD-1839-1721.pdf#page=2","Abrir facsímil")</f>
        <v>Abrir facsímil</v>
      </c>
      <c r="K5315" s="12" t="s">
        <v>65</v>
      </c>
    </row>
    <row r="5316" spans="1:11" ht="40.049999999999997" customHeight="1" x14ac:dyDescent="0.25">
      <c r="A5316" s="11" t="s">
        <v>11541</v>
      </c>
      <c r="B5316" s="11" t="s">
        <v>11542</v>
      </c>
      <c r="C5316" s="11" t="s">
        <v>59</v>
      </c>
      <c r="D5316" s="11" t="s">
        <v>60</v>
      </c>
      <c r="E5316" s="12" t="s">
        <v>1584</v>
      </c>
      <c r="F5316" s="12" t="s">
        <v>1585</v>
      </c>
      <c r="G5316" s="12" t="s">
        <v>21</v>
      </c>
      <c r="H5316" s="11" t="s">
        <v>63</v>
      </c>
      <c r="I5316" s="13" t="s">
        <v>11543</v>
      </c>
      <c r="J5316" s="14" t="str">
        <f>HYPERLINK("https://www.boe.es/gazeta/dias/1839/11/20/pdfs/GMD-1839-1837.pdf#page=4","Abrir facsímil")</f>
        <v>Abrir facsímil</v>
      </c>
      <c r="K5316" s="12" t="s">
        <v>65</v>
      </c>
    </row>
    <row r="5317" spans="1:11" ht="40.049999999999997" customHeight="1" x14ac:dyDescent="0.25">
      <c r="A5317" s="11" t="s">
        <v>11541</v>
      </c>
      <c r="B5317" s="11" t="s">
        <v>11542</v>
      </c>
      <c r="C5317" s="11" t="s">
        <v>59</v>
      </c>
      <c r="D5317" s="11" t="s">
        <v>60</v>
      </c>
      <c r="E5317" s="12" t="s">
        <v>857</v>
      </c>
      <c r="F5317" s="12" t="s">
        <v>858</v>
      </c>
      <c r="G5317" s="12" t="s">
        <v>29</v>
      </c>
      <c r="H5317" s="11" t="s">
        <v>63</v>
      </c>
      <c r="I5317" s="13" t="s">
        <v>11544</v>
      </c>
      <c r="J5317" s="14" t="str">
        <f>HYPERLINK("https://www.boe.es/gazeta/dias/1839/11/21/pdfs/GMD-1839-1838.pdf#page=1","Abrir facsímil")</f>
        <v>Abrir facsímil</v>
      </c>
      <c r="K5317" s="12" t="s">
        <v>65</v>
      </c>
    </row>
    <row r="5318" spans="1:11" ht="40.049999999999997" customHeight="1" x14ac:dyDescent="0.25">
      <c r="A5318" s="11" t="s">
        <v>11545</v>
      </c>
      <c r="B5318" s="11" t="s">
        <v>11546</v>
      </c>
      <c r="C5318" s="11" t="s">
        <v>101</v>
      </c>
      <c r="D5318" s="11" t="s">
        <v>43</v>
      </c>
      <c r="E5318" s="12" t="s">
        <v>1108</v>
      </c>
      <c r="F5318" s="12" t="s">
        <v>1109</v>
      </c>
      <c r="G5318" s="12" t="s">
        <v>21</v>
      </c>
      <c r="H5318" s="11" t="s">
        <v>63</v>
      </c>
      <c r="I5318" s="13" t="s">
        <v>11547</v>
      </c>
      <c r="J5318" s="14" t="str">
        <f>HYPERLINK("https://www.boe.es/gazeta/dias/1839/09/21/pdfs/GMD-1839-1776.pdf#page=4","Abrir facsímil")</f>
        <v>Abrir facsímil</v>
      </c>
      <c r="K5318" s="12" t="s">
        <v>65</v>
      </c>
    </row>
    <row r="5319" spans="1:11" ht="40.049999999999997" customHeight="1" x14ac:dyDescent="0.25">
      <c r="A5319" s="11" t="s">
        <v>11548</v>
      </c>
      <c r="B5319" s="11" t="s">
        <v>11549</v>
      </c>
      <c r="C5319" s="11" t="s">
        <v>80</v>
      </c>
      <c r="D5319" s="11" t="s">
        <v>18</v>
      </c>
      <c r="E5319" s="12" t="s">
        <v>2165</v>
      </c>
      <c r="F5319" s="12" t="s">
        <v>2166</v>
      </c>
      <c r="G5319" s="12" t="s">
        <v>21</v>
      </c>
      <c r="H5319" s="11" t="s">
        <v>63</v>
      </c>
      <c r="I5319" s="13" t="s">
        <v>11550</v>
      </c>
      <c r="J5319" s="14" t="str">
        <f>HYPERLINK("https://www.boe.es/gazeta/dias/1839/01/06/pdfs/GMD-1839-1513.pdf#page=4","Abrir facsímil")</f>
        <v>Abrir facsímil</v>
      </c>
      <c r="K5319" s="12" t="s">
        <v>65</v>
      </c>
    </row>
    <row r="5320" spans="1:11" ht="40.049999999999997" customHeight="1" x14ac:dyDescent="0.25">
      <c r="A5320" s="11" t="s">
        <v>11548</v>
      </c>
      <c r="B5320" s="11" t="s">
        <v>11549</v>
      </c>
      <c r="C5320" s="11" t="s">
        <v>17</v>
      </c>
      <c r="D5320" s="11" t="s">
        <v>18</v>
      </c>
      <c r="E5320" s="12" t="s">
        <v>568</v>
      </c>
      <c r="F5320" s="12" t="s">
        <v>569</v>
      </c>
      <c r="G5320" s="12" t="s">
        <v>21</v>
      </c>
      <c r="H5320" s="11" t="s">
        <v>63</v>
      </c>
      <c r="I5320" s="13" t="s">
        <v>11551</v>
      </c>
      <c r="J5320" s="14" t="str">
        <f>HYPERLINK("https://www.boe.es/gazeta/dias/1839/10/23/pdfs/GMD-1839-1809.pdf#page=4","Abrir facsímil")</f>
        <v>Abrir facsímil</v>
      </c>
      <c r="K5320" s="12" t="s">
        <v>65</v>
      </c>
    </row>
    <row r="5321" spans="1:11" ht="40.049999999999997" customHeight="1" x14ac:dyDescent="0.25">
      <c r="A5321" s="11" t="s">
        <v>11548</v>
      </c>
      <c r="B5321" s="11" t="s">
        <v>11549</v>
      </c>
      <c r="C5321" s="11" t="s">
        <v>17</v>
      </c>
      <c r="D5321" s="11" t="s">
        <v>18</v>
      </c>
      <c r="E5321" s="12" t="s">
        <v>650</v>
      </c>
      <c r="F5321" s="12" t="s">
        <v>651</v>
      </c>
      <c r="G5321" s="12" t="s">
        <v>40</v>
      </c>
      <c r="H5321" s="11" t="s">
        <v>63</v>
      </c>
      <c r="I5321" s="13" t="s">
        <v>11552</v>
      </c>
      <c r="J5321" s="14" t="str">
        <f>HYPERLINK("https://www.boe.es/gazeta/dias/1839/10/25/pdfs/GMD-1839-1811.pdf#page=2","Abrir facsímil")</f>
        <v>Abrir facsímil</v>
      </c>
      <c r="K5321" s="12" t="s">
        <v>65</v>
      </c>
    </row>
    <row r="5322" spans="1:11" ht="40.049999999999997" customHeight="1" x14ac:dyDescent="0.25">
      <c r="A5322" s="11" t="s">
        <v>11553</v>
      </c>
      <c r="B5322" s="11" t="s">
        <v>11554</v>
      </c>
      <c r="C5322" s="11" t="s">
        <v>80</v>
      </c>
      <c r="D5322" s="11" t="s">
        <v>18</v>
      </c>
      <c r="E5322" s="12" t="s">
        <v>1729</v>
      </c>
      <c r="F5322" s="12" t="s">
        <v>1730</v>
      </c>
      <c r="G5322" s="12" t="s">
        <v>40</v>
      </c>
      <c r="H5322" s="11" t="s">
        <v>63</v>
      </c>
      <c r="I5322" s="13" t="s">
        <v>11555</v>
      </c>
      <c r="J5322" s="14" t="str">
        <f>HYPERLINK("https://www.boe.es/gazeta/dias/1839/04/25/pdfs/GMD-1839-1622.pdf#page=2","Abrir facsímil")</f>
        <v>Abrir facsímil</v>
      </c>
      <c r="K5322" s="12" t="s">
        <v>65</v>
      </c>
    </row>
    <row r="5323" spans="1:11" ht="40.049999999999997" customHeight="1" x14ac:dyDescent="0.25">
      <c r="A5323" s="11" t="s">
        <v>11556</v>
      </c>
      <c r="B5323" s="11" t="s">
        <v>11557</v>
      </c>
      <c r="C5323" s="11" t="s">
        <v>59</v>
      </c>
      <c r="D5323" s="11" t="s">
        <v>60</v>
      </c>
      <c r="E5323" s="12" t="s">
        <v>7860</v>
      </c>
      <c r="F5323" s="12" t="s">
        <v>7861</v>
      </c>
      <c r="G5323" s="12" t="s">
        <v>21</v>
      </c>
      <c r="H5323" s="11" t="s">
        <v>63</v>
      </c>
      <c r="I5323" s="13" t="s">
        <v>11558</v>
      </c>
      <c r="J5323" s="14" t="str">
        <f>HYPERLINK("https://www.boe.es/gazeta/dias/1839/03/04/pdfs/GMD-1839-1570.pdf#page=4","Abrir facsímil")</f>
        <v>Abrir facsímil</v>
      </c>
      <c r="K5323" s="12" t="s">
        <v>65</v>
      </c>
    </row>
    <row r="5324" spans="1:11" ht="40.049999999999997" customHeight="1" x14ac:dyDescent="0.25">
      <c r="A5324" s="11" t="s">
        <v>11556</v>
      </c>
      <c r="B5324" s="11" t="s">
        <v>11557</v>
      </c>
      <c r="C5324" s="11" t="s">
        <v>17</v>
      </c>
      <c r="D5324" s="11" t="s">
        <v>18</v>
      </c>
      <c r="E5324" s="12" t="s">
        <v>2507</v>
      </c>
      <c r="F5324" s="12" t="s">
        <v>2508</v>
      </c>
      <c r="G5324" s="12" t="s">
        <v>21</v>
      </c>
      <c r="H5324" s="11" t="s">
        <v>63</v>
      </c>
      <c r="I5324" s="13" t="s">
        <v>11559</v>
      </c>
      <c r="J5324" s="14" t="str">
        <f>HYPERLINK("https://www.boe.es/gazeta/dias/1839/03/08/pdfs/GMD-1839-1574.pdf#page=4","Abrir facsímil")</f>
        <v>Abrir facsímil</v>
      </c>
      <c r="K5324" s="12" t="s">
        <v>65</v>
      </c>
    </row>
    <row r="5325" spans="1:11" ht="40.049999999999997" customHeight="1" x14ac:dyDescent="0.25">
      <c r="A5325" s="11" t="s">
        <v>11556</v>
      </c>
      <c r="B5325" s="11" t="s">
        <v>11557</v>
      </c>
      <c r="C5325" s="11" t="s">
        <v>137</v>
      </c>
      <c r="D5325" s="11" t="s">
        <v>18</v>
      </c>
      <c r="E5325" s="12" t="s">
        <v>1891</v>
      </c>
      <c r="F5325" s="12" t="s">
        <v>1892</v>
      </c>
      <c r="G5325" s="12" t="s">
        <v>40</v>
      </c>
      <c r="H5325" s="11" t="s">
        <v>63</v>
      </c>
      <c r="I5325" s="13" t="s">
        <v>11560</v>
      </c>
      <c r="J5325" s="14" t="str">
        <f>HYPERLINK("https://www.boe.es/gazeta/dias/1839/12/14/pdfs/GMD-1839-1861.pdf#page=2","Abrir facsímil")</f>
        <v>Abrir facsímil</v>
      </c>
      <c r="K5325" s="12" t="s">
        <v>65</v>
      </c>
    </row>
    <row r="5326" spans="1:11" ht="40.049999999999997" customHeight="1" x14ac:dyDescent="0.25">
      <c r="A5326" s="11" t="s">
        <v>11556</v>
      </c>
      <c r="B5326" s="11" t="s">
        <v>11557</v>
      </c>
      <c r="C5326" s="11" t="s">
        <v>17</v>
      </c>
      <c r="D5326" s="11" t="s">
        <v>18</v>
      </c>
      <c r="E5326" s="12" t="s">
        <v>4292</v>
      </c>
      <c r="F5326" s="12" t="s">
        <v>4293</v>
      </c>
      <c r="G5326" s="12" t="s">
        <v>21</v>
      </c>
      <c r="H5326" s="11" t="s">
        <v>63</v>
      </c>
      <c r="I5326" s="13" t="s">
        <v>11561</v>
      </c>
      <c r="J5326" s="14" t="str">
        <f>HYPERLINK("https://www.boe.es/gazeta/dias/1839/11/29/pdfs/GMD-1839-1846.pdf#page=4","Abrir facsímil")</f>
        <v>Abrir facsímil</v>
      </c>
      <c r="K5326" s="12" t="s">
        <v>65</v>
      </c>
    </row>
    <row r="5327" spans="1:11" ht="40.049999999999997" customHeight="1" x14ac:dyDescent="0.25">
      <c r="A5327" s="11" t="s">
        <v>11562</v>
      </c>
      <c r="B5327" s="11" t="s">
        <v>11563</v>
      </c>
      <c r="C5327" s="11" t="s">
        <v>17</v>
      </c>
      <c r="D5327" s="11" t="s">
        <v>18</v>
      </c>
      <c r="E5327" s="12" t="s">
        <v>3224</v>
      </c>
      <c r="F5327" s="12" t="s">
        <v>3225</v>
      </c>
      <c r="G5327" s="12" t="s">
        <v>40</v>
      </c>
      <c r="H5327" s="11" t="s">
        <v>63</v>
      </c>
      <c r="I5327" s="13" t="s">
        <v>11564</v>
      </c>
      <c r="J5327" s="14" t="str">
        <f>HYPERLINK("https://www.boe.es/gazeta/dias/1839/06/03/pdfs/GMD-1839-1661.pdf#page=2","Abrir facsímil")</f>
        <v>Abrir facsímil</v>
      </c>
      <c r="K5327" s="12" t="s">
        <v>65</v>
      </c>
    </row>
    <row r="5328" spans="1:11" ht="40.049999999999997" customHeight="1" x14ac:dyDescent="0.25">
      <c r="A5328" s="11" t="s">
        <v>11562</v>
      </c>
      <c r="B5328" s="11" t="s">
        <v>11563</v>
      </c>
      <c r="C5328" s="11" t="s">
        <v>17</v>
      </c>
      <c r="D5328" s="11" t="s">
        <v>18</v>
      </c>
      <c r="E5328" s="12" t="s">
        <v>3224</v>
      </c>
      <c r="F5328" s="12" t="s">
        <v>3225</v>
      </c>
      <c r="G5328" s="12" t="s">
        <v>46</v>
      </c>
      <c r="H5328" s="11" t="s">
        <v>63</v>
      </c>
      <c r="I5328" s="13" t="s">
        <v>11565</v>
      </c>
      <c r="J5328" s="14" t="str">
        <f>HYPERLINK("https://www.boe.es/gazeta/dias/1839/06/03/pdfs/GMD-1839-1661.pdf#page=3","Abrir facsímil")</f>
        <v>Abrir facsímil</v>
      </c>
      <c r="K5328" s="12" t="s">
        <v>65</v>
      </c>
    </row>
    <row r="5329" spans="1:11" ht="40.049999999999997" customHeight="1" x14ac:dyDescent="0.25">
      <c r="A5329" s="11" t="s">
        <v>11562</v>
      </c>
      <c r="B5329" s="11" t="s">
        <v>11563</v>
      </c>
      <c r="C5329" s="11" t="s">
        <v>17</v>
      </c>
      <c r="D5329" s="11" t="s">
        <v>18</v>
      </c>
      <c r="E5329" s="12" t="s">
        <v>1388</v>
      </c>
      <c r="F5329" s="12" t="s">
        <v>1389</v>
      </c>
      <c r="G5329" s="12" t="s">
        <v>21</v>
      </c>
      <c r="H5329" s="11" t="s">
        <v>63</v>
      </c>
      <c r="I5329" s="13" t="s">
        <v>11566</v>
      </c>
      <c r="J5329" s="14" t="str">
        <f>HYPERLINK("https://www.boe.es/gazeta/dias/1839/06/04/pdfs/GMD-1839-1662.pdf#page=4","Abrir facsímil")</f>
        <v>Abrir facsímil</v>
      </c>
      <c r="K5329" s="12" t="s">
        <v>65</v>
      </c>
    </row>
    <row r="5330" spans="1:11" ht="40.049999999999997" customHeight="1" x14ac:dyDescent="0.25">
      <c r="A5330" s="11" t="s">
        <v>11562</v>
      </c>
      <c r="B5330" s="11" t="s">
        <v>11563</v>
      </c>
      <c r="C5330" s="11" t="s">
        <v>17</v>
      </c>
      <c r="D5330" s="11" t="s">
        <v>18</v>
      </c>
      <c r="E5330" s="12" t="s">
        <v>744</v>
      </c>
      <c r="F5330" s="12" t="s">
        <v>745</v>
      </c>
      <c r="G5330" s="12" t="s">
        <v>21</v>
      </c>
      <c r="H5330" s="11" t="s">
        <v>63</v>
      </c>
      <c r="I5330" s="13" t="s">
        <v>11567</v>
      </c>
      <c r="J5330" s="14" t="str">
        <f>HYPERLINK("https://www.boe.es/gazeta/dias/1839/12/09/pdfs/GMD-1839-1856.pdf#page=4","Abrir facsímil")</f>
        <v>Abrir facsímil</v>
      </c>
      <c r="K5330" s="12" t="s">
        <v>65</v>
      </c>
    </row>
    <row r="5331" spans="1:11" ht="40.049999999999997" customHeight="1" x14ac:dyDescent="0.25">
      <c r="A5331" s="11" t="s">
        <v>11562</v>
      </c>
      <c r="B5331" s="11" t="s">
        <v>11563</v>
      </c>
      <c r="C5331" s="11" t="s">
        <v>17</v>
      </c>
      <c r="D5331" s="11" t="s">
        <v>18</v>
      </c>
      <c r="E5331" s="12" t="s">
        <v>2995</v>
      </c>
      <c r="F5331" s="12" t="s">
        <v>2996</v>
      </c>
      <c r="G5331" s="12" t="s">
        <v>21</v>
      </c>
      <c r="H5331" s="11" t="s">
        <v>63</v>
      </c>
      <c r="I5331" s="13" t="s">
        <v>11568</v>
      </c>
      <c r="J5331" s="14" t="str">
        <f>HYPERLINK("https://www.boe.es/gazeta/dias/1839/06/16/pdfs/GMD-1839-1674.pdf#page=4","Abrir facsímil")</f>
        <v>Abrir facsímil</v>
      </c>
      <c r="K5331" s="12" t="s">
        <v>65</v>
      </c>
    </row>
    <row r="5332" spans="1:11" ht="40.049999999999997" customHeight="1" x14ac:dyDescent="0.25">
      <c r="A5332" s="11" t="s">
        <v>11569</v>
      </c>
      <c r="B5332" s="11" t="s">
        <v>11570</v>
      </c>
      <c r="C5332" s="11" t="s">
        <v>17</v>
      </c>
      <c r="D5332" s="11" t="s">
        <v>18</v>
      </c>
      <c r="E5332" s="12" t="s">
        <v>1144</v>
      </c>
      <c r="F5332" s="12" t="s">
        <v>1145</v>
      </c>
      <c r="G5332" s="12" t="s">
        <v>40</v>
      </c>
      <c r="H5332" s="11" t="s">
        <v>63</v>
      </c>
      <c r="I5332" s="13" t="s">
        <v>11571</v>
      </c>
      <c r="J5332" s="14" t="str">
        <f>HYPERLINK("https://www.boe.es/gazeta/dias/1839/08/13/pdfs/GMD-1839-1733.pdf#page=2","Abrir facsímil")</f>
        <v>Abrir facsímil</v>
      </c>
      <c r="K5332" s="12" t="s">
        <v>65</v>
      </c>
    </row>
    <row r="5333" spans="1:11" ht="40.049999999999997" customHeight="1" x14ac:dyDescent="0.25">
      <c r="A5333" s="11" t="s">
        <v>11572</v>
      </c>
      <c r="B5333" s="11" t="s">
        <v>11573</v>
      </c>
      <c r="C5333" s="11" t="s">
        <v>17</v>
      </c>
      <c r="D5333" s="11" t="s">
        <v>18</v>
      </c>
      <c r="E5333" s="12" t="s">
        <v>3224</v>
      </c>
      <c r="F5333" s="12" t="s">
        <v>3225</v>
      </c>
      <c r="G5333" s="12" t="s">
        <v>46</v>
      </c>
      <c r="H5333" s="11" t="s">
        <v>63</v>
      </c>
      <c r="I5333" s="13" t="s">
        <v>11574</v>
      </c>
      <c r="J5333" s="14" t="str">
        <f>HYPERLINK("https://www.boe.es/gazeta/dias/1839/06/03/pdfs/GMD-1839-1661.pdf#page=3","Abrir facsímil")</f>
        <v>Abrir facsímil</v>
      </c>
      <c r="K5333" s="12" t="s">
        <v>65</v>
      </c>
    </row>
    <row r="5334" spans="1:11" ht="40.049999999999997" customHeight="1" x14ac:dyDescent="0.25">
      <c r="A5334" s="11" t="s">
        <v>11575</v>
      </c>
      <c r="B5334" s="11" t="s">
        <v>11576</v>
      </c>
      <c r="C5334" s="11" t="s">
        <v>17</v>
      </c>
      <c r="D5334" s="11" t="s">
        <v>18</v>
      </c>
      <c r="E5334" s="12" t="s">
        <v>157</v>
      </c>
      <c r="F5334" s="12" t="s">
        <v>158</v>
      </c>
      <c r="G5334" s="12" t="s">
        <v>21</v>
      </c>
      <c r="H5334" s="11" t="s">
        <v>63</v>
      </c>
      <c r="I5334" s="13" t="s">
        <v>11577</v>
      </c>
      <c r="J5334" s="14" t="str">
        <f>HYPERLINK("https://www.boe.es/gazeta/dias/1839/02/08/pdfs/GMD-1839-1546.pdf#page=4","Abrir facsímil")</f>
        <v>Abrir facsímil</v>
      </c>
      <c r="K5334" s="12" t="s">
        <v>65</v>
      </c>
    </row>
    <row r="5335" spans="1:11" ht="40.049999999999997" customHeight="1" x14ac:dyDescent="0.25">
      <c r="A5335" s="11" t="s">
        <v>11578</v>
      </c>
      <c r="B5335" s="11" t="s">
        <v>11579</v>
      </c>
      <c r="C5335" s="11" t="s">
        <v>137</v>
      </c>
      <c r="D5335" s="11" t="s">
        <v>18</v>
      </c>
      <c r="E5335" s="12" t="s">
        <v>369</v>
      </c>
      <c r="F5335" s="12" t="s">
        <v>370</v>
      </c>
      <c r="G5335" s="12" t="s">
        <v>40</v>
      </c>
      <c r="H5335" s="11" t="s">
        <v>63</v>
      </c>
      <c r="I5335" s="13" t="s">
        <v>11580</v>
      </c>
      <c r="J5335" s="14" t="str">
        <f>HYPERLINK("https://www.boe.es/gazeta/dias/1839/11/01/pdfs/GMD-1839-1818.pdf#page=2","Abrir facsímil")</f>
        <v>Abrir facsímil</v>
      </c>
      <c r="K5335" s="12" t="s">
        <v>65</v>
      </c>
    </row>
    <row r="5336" spans="1:11" ht="40.049999999999997" customHeight="1" x14ac:dyDescent="0.25">
      <c r="A5336" s="11" t="s">
        <v>11581</v>
      </c>
      <c r="B5336" s="11" t="s">
        <v>11582</v>
      </c>
      <c r="C5336" s="11" t="s">
        <v>17</v>
      </c>
      <c r="D5336" s="11" t="s">
        <v>18</v>
      </c>
      <c r="E5336" s="12" t="s">
        <v>1144</v>
      </c>
      <c r="F5336" s="12" t="s">
        <v>1145</v>
      </c>
      <c r="G5336" s="12" t="s">
        <v>40</v>
      </c>
      <c r="H5336" s="11" t="s">
        <v>22</v>
      </c>
      <c r="I5336" s="13" t="s">
        <v>11583</v>
      </c>
      <c r="J5336" s="14" t="str">
        <f>HYPERLINK("https://www.boe.es/gazeta/dias/1839/08/13/pdfs/GMD-1839-1733.pdf#page=2","Abrir facsímil")</f>
        <v>Abrir facsímil</v>
      </c>
      <c r="K5336" s="12" t="s">
        <v>24</v>
      </c>
    </row>
    <row r="5337" spans="1:11" ht="40.049999999999997" customHeight="1" x14ac:dyDescent="0.25">
      <c r="A5337" s="11" t="s">
        <v>11584</v>
      </c>
      <c r="B5337" s="11" t="s">
        <v>11585</v>
      </c>
      <c r="C5337" s="11" t="s">
        <v>101</v>
      </c>
      <c r="D5337" s="11" t="s">
        <v>43</v>
      </c>
      <c r="E5337" s="12" t="s">
        <v>4189</v>
      </c>
      <c r="F5337" s="12" t="s">
        <v>4190</v>
      </c>
      <c r="G5337" s="12" t="s">
        <v>46</v>
      </c>
      <c r="H5337" s="11" t="s">
        <v>63</v>
      </c>
      <c r="I5337" s="13" t="s">
        <v>11586</v>
      </c>
      <c r="J5337" s="14" t="str">
        <f>HYPERLINK("https://www.boe.es/gazeta/dias/1839/02/13/pdfs/GMD-1839-1551.pdf#page=3","Abrir facsímil")</f>
        <v>Abrir facsímil</v>
      </c>
      <c r="K5337" s="12" t="s">
        <v>65</v>
      </c>
    </row>
    <row r="5338" spans="1:11" ht="40.049999999999997" customHeight="1" x14ac:dyDescent="0.25">
      <c r="A5338" s="11" t="s">
        <v>11587</v>
      </c>
      <c r="B5338" s="11" t="s">
        <v>11588</v>
      </c>
      <c r="C5338" s="11" t="s">
        <v>17</v>
      </c>
      <c r="D5338" s="11" t="s">
        <v>18</v>
      </c>
      <c r="E5338" s="12" t="s">
        <v>54</v>
      </c>
      <c r="F5338" s="12" t="s">
        <v>55</v>
      </c>
      <c r="G5338" s="12" t="s">
        <v>21</v>
      </c>
      <c r="H5338" s="11" t="s">
        <v>63</v>
      </c>
      <c r="I5338" s="13" t="s">
        <v>11589</v>
      </c>
      <c r="J5338" s="14" t="str">
        <f>HYPERLINK("https://www.boe.es/gazeta/dias/1839/10/05/pdfs/GMD-1839-1791.pdf#page=4","Abrir facsímil")</f>
        <v>Abrir facsímil</v>
      </c>
      <c r="K5338" s="12" t="s">
        <v>65</v>
      </c>
    </row>
    <row r="5339" spans="1:11" ht="40.049999999999997" customHeight="1" x14ac:dyDescent="0.25">
      <c r="A5339" s="11" t="s">
        <v>11587</v>
      </c>
      <c r="B5339" s="11" t="s">
        <v>11588</v>
      </c>
      <c r="C5339" s="11" t="s">
        <v>17</v>
      </c>
      <c r="D5339" s="11" t="s">
        <v>18</v>
      </c>
      <c r="E5339" s="12" t="s">
        <v>1509</v>
      </c>
      <c r="F5339" s="12" t="s">
        <v>1510</v>
      </c>
      <c r="G5339" s="12" t="s">
        <v>46</v>
      </c>
      <c r="H5339" s="11" t="s">
        <v>63</v>
      </c>
      <c r="I5339" s="13" t="s">
        <v>11590</v>
      </c>
      <c r="J5339" s="14" t="str">
        <f>HYPERLINK("https://www.boe.es/gazeta/dias/1839/10/07/pdfs/GMD-1839-1793.pdf#page=3","Abrir facsímil")</f>
        <v>Abrir facsímil</v>
      </c>
      <c r="K5339" s="12" t="s">
        <v>65</v>
      </c>
    </row>
    <row r="5340" spans="1:11" ht="40.049999999999997" customHeight="1" x14ac:dyDescent="0.25">
      <c r="A5340" s="11" t="s">
        <v>11591</v>
      </c>
      <c r="B5340" s="11" t="s">
        <v>11592</v>
      </c>
      <c r="C5340" s="11" t="s">
        <v>17</v>
      </c>
      <c r="D5340" s="11" t="s">
        <v>18</v>
      </c>
      <c r="E5340" s="12" t="s">
        <v>736</v>
      </c>
      <c r="F5340" s="12" t="s">
        <v>737</v>
      </c>
      <c r="G5340" s="12" t="s">
        <v>21</v>
      </c>
      <c r="H5340" s="11" t="s">
        <v>63</v>
      </c>
      <c r="I5340" s="13" t="s">
        <v>11593</v>
      </c>
      <c r="J5340" s="14" t="str">
        <f>HYPERLINK("https://www.boe.es/gazeta/dias/1839/10/13/pdfs/GMD-1839-1799.pdf#page=4","Abrir facsímil")</f>
        <v>Abrir facsímil</v>
      </c>
      <c r="K5340" s="12" t="s">
        <v>65</v>
      </c>
    </row>
    <row r="5341" spans="1:11" ht="40.049999999999997" customHeight="1" x14ac:dyDescent="0.25">
      <c r="A5341" s="11" t="s">
        <v>11594</v>
      </c>
      <c r="B5341" s="11" t="s">
        <v>11595</v>
      </c>
      <c r="C5341" s="11" t="s">
        <v>80</v>
      </c>
      <c r="D5341" s="11" t="s">
        <v>18</v>
      </c>
      <c r="E5341" s="12" t="s">
        <v>5845</v>
      </c>
      <c r="F5341" s="12" t="s">
        <v>5846</v>
      </c>
      <c r="G5341" s="12" t="s">
        <v>40</v>
      </c>
      <c r="H5341" s="11" t="s">
        <v>63</v>
      </c>
      <c r="I5341" s="13" t="s">
        <v>11596</v>
      </c>
      <c r="J5341" s="14" t="str">
        <f>HYPERLINK("https://www.boe.es/gazeta/dias/1839/04/01/pdfs/GMD-1839-1598.pdf#page=2","Abrir facsímil")</f>
        <v>Abrir facsímil</v>
      </c>
      <c r="K5341" s="12" t="s">
        <v>65</v>
      </c>
    </row>
    <row r="5342" spans="1:11" ht="40.049999999999997" customHeight="1" x14ac:dyDescent="0.25">
      <c r="A5342" s="11" t="s">
        <v>11594</v>
      </c>
      <c r="B5342" s="11" t="s">
        <v>11595</v>
      </c>
      <c r="C5342" s="11" t="s">
        <v>17</v>
      </c>
      <c r="D5342" s="11" t="s">
        <v>18</v>
      </c>
      <c r="E5342" s="12" t="s">
        <v>1614</v>
      </c>
      <c r="F5342" s="12" t="s">
        <v>1615</v>
      </c>
      <c r="G5342" s="12" t="s">
        <v>40</v>
      </c>
      <c r="H5342" s="11" t="s">
        <v>63</v>
      </c>
      <c r="I5342" s="13" t="s">
        <v>11597</v>
      </c>
      <c r="J5342" s="14" t="str">
        <f>HYPERLINK("https://www.boe.es/gazeta/dias/1839/07/03/pdfs/GMD-1839-1691.pdf#page=2","Abrir facsímil")</f>
        <v>Abrir facsímil</v>
      </c>
      <c r="K5342" s="12" t="s">
        <v>65</v>
      </c>
    </row>
    <row r="5343" spans="1:11" ht="40.049999999999997" customHeight="1" x14ac:dyDescent="0.25">
      <c r="A5343" s="11" t="s">
        <v>11594</v>
      </c>
      <c r="B5343" s="11" t="s">
        <v>11595</v>
      </c>
      <c r="C5343" s="11" t="s">
        <v>17</v>
      </c>
      <c r="D5343" s="11" t="s">
        <v>18</v>
      </c>
      <c r="E5343" s="12" t="s">
        <v>4472</v>
      </c>
      <c r="F5343" s="12" t="s">
        <v>4473</v>
      </c>
      <c r="G5343" s="12" t="s">
        <v>29</v>
      </c>
      <c r="H5343" s="11" t="s">
        <v>63</v>
      </c>
      <c r="I5343" s="13" t="s">
        <v>11598</v>
      </c>
      <c r="J5343" s="14" t="str">
        <f>HYPERLINK("https://www.boe.es/gazeta/dias/1839/08/03/pdfs/GMD-1839-1723.pdf#page=1","Abrir facsímil")</f>
        <v>Abrir facsímil</v>
      </c>
      <c r="K5343" s="12" t="s">
        <v>65</v>
      </c>
    </row>
    <row r="5344" spans="1:11" ht="40.049999999999997" customHeight="1" x14ac:dyDescent="0.25">
      <c r="A5344" s="11" t="s">
        <v>11594</v>
      </c>
      <c r="B5344" s="11" t="s">
        <v>11595</v>
      </c>
      <c r="C5344" s="11" t="s">
        <v>137</v>
      </c>
      <c r="D5344" s="11" t="s">
        <v>18</v>
      </c>
      <c r="E5344" s="12" t="s">
        <v>1685</v>
      </c>
      <c r="F5344" s="12" t="s">
        <v>1686</v>
      </c>
      <c r="G5344" s="12" t="s">
        <v>40</v>
      </c>
      <c r="H5344" s="11" t="s">
        <v>63</v>
      </c>
      <c r="I5344" s="13" t="s">
        <v>11599</v>
      </c>
      <c r="J5344" s="14" t="str">
        <f>HYPERLINK("https://www.boe.es/gazeta/dias/1839/04/27/pdfs/GMD-1839-1624.pdf#page=2","Abrir facsímil")</f>
        <v>Abrir facsímil</v>
      </c>
      <c r="K5344" s="12" t="s">
        <v>65</v>
      </c>
    </row>
    <row r="5345" spans="1:11" ht="40.049999999999997" customHeight="1" x14ac:dyDescent="0.25">
      <c r="A5345" s="11" t="s">
        <v>11594</v>
      </c>
      <c r="B5345" s="11" t="s">
        <v>11595</v>
      </c>
      <c r="C5345" s="11" t="s">
        <v>101</v>
      </c>
      <c r="D5345" s="11" t="s">
        <v>102</v>
      </c>
      <c r="E5345" s="12" t="s">
        <v>892</v>
      </c>
      <c r="F5345" s="12" t="s">
        <v>893</v>
      </c>
      <c r="G5345" s="12" t="s">
        <v>40</v>
      </c>
      <c r="H5345" s="11" t="s">
        <v>63</v>
      </c>
      <c r="I5345" s="13" t="s">
        <v>11600</v>
      </c>
      <c r="J5345" s="14" t="str">
        <f>HYPERLINK("https://www.boe.es/gazeta/dias/1839/12/28/pdfs/GMD-1839-1875.pdf#page=2","Abrir facsímil")</f>
        <v>Abrir facsímil</v>
      </c>
      <c r="K5345" s="12" t="s">
        <v>65</v>
      </c>
    </row>
    <row r="5346" spans="1:11" ht="40.049999999999997" customHeight="1" x14ac:dyDescent="0.25">
      <c r="A5346" s="11" t="s">
        <v>11601</v>
      </c>
      <c r="B5346" s="11" t="s">
        <v>11602</v>
      </c>
      <c r="C5346" s="11" t="s">
        <v>17</v>
      </c>
      <c r="D5346" s="11" t="s">
        <v>18</v>
      </c>
      <c r="E5346" s="12" t="s">
        <v>349</v>
      </c>
      <c r="F5346" s="12" t="s">
        <v>350</v>
      </c>
      <c r="G5346" s="12" t="s">
        <v>29</v>
      </c>
      <c r="H5346" s="11" t="s">
        <v>63</v>
      </c>
      <c r="I5346" s="13" t="s">
        <v>11603</v>
      </c>
      <c r="J5346" s="14" t="str">
        <f>HYPERLINK("https://www.boe.es/gazeta/dias/1839/12/25/pdfs/GMD-1839-1872.pdf#page=1","Abrir facsímil")</f>
        <v>Abrir facsímil</v>
      </c>
      <c r="K5346" s="12" t="s">
        <v>65</v>
      </c>
    </row>
    <row r="5347" spans="1:11" ht="40.049999999999997" customHeight="1" x14ac:dyDescent="0.25">
      <c r="A5347" s="11" t="s">
        <v>11604</v>
      </c>
      <c r="B5347" s="11" t="s">
        <v>11605</v>
      </c>
      <c r="C5347" s="11" t="s">
        <v>17</v>
      </c>
      <c r="D5347" s="11" t="s">
        <v>18</v>
      </c>
      <c r="E5347" s="12" t="s">
        <v>1682</v>
      </c>
      <c r="F5347" s="12" t="s">
        <v>1683</v>
      </c>
      <c r="G5347" s="12" t="s">
        <v>29</v>
      </c>
      <c r="H5347" s="11" t="s">
        <v>63</v>
      </c>
      <c r="I5347" s="13" t="s">
        <v>11606</v>
      </c>
      <c r="J5347" s="14" t="str">
        <f>HYPERLINK("https://www.boe.es/gazeta/dias/1839/12/26/pdfs/GMD-1839-1873.pdf#page=1","Abrir facsímil")</f>
        <v>Abrir facsímil</v>
      </c>
      <c r="K5347" s="12" t="s">
        <v>65</v>
      </c>
    </row>
    <row r="5348" spans="1:11" ht="40.049999999999997" customHeight="1" x14ac:dyDescent="0.25">
      <c r="A5348" s="11" t="s">
        <v>11607</v>
      </c>
      <c r="B5348" s="11" t="s">
        <v>11608</v>
      </c>
      <c r="C5348" s="11" t="s">
        <v>137</v>
      </c>
      <c r="D5348" s="11" t="s">
        <v>18</v>
      </c>
      <c r="E5348" s="12" t="s">
        <v>2227</v>
      </c>
      <c r="F5348" s="12" t="s">
        <v>2228</v>
      </c>
      <c r="G5348" s="12" t="s">
        <v>40</v>
      </c>
      <c r="H5348" s="11" t="s">
        <v>63</v>
      </c>
      <c r="I5348" s="13" t="s">
        <v>11609</v>
      </c>
      <c r="J5348" s="14" t="str">
        <f>HYPERLINK("https://www.boe.es/gazeta/dias/1839/12/04/pdfs/GMD-1839-1851.pdf#page=2","Abrir facsímil")</f>
        <v>Abrir facsímil</v>
      </c>
      <c r="K5348" s="12" t="s">
        <v>65</v>
      </c>
    </row>
    <row r="5349" spans="1:11" ht="40.049999999999997" customHeight="1" x14ac:dyDescent="0.25">
      <c r="A5349" s="11" t="s">
        <v>11610</v>
      </c>
      <c r="B5349" s="11" t="s">
        <v>11611</v>
      </c>
      <c r="C5349" s="11" t="s">
        <v>137</v>
      </c>
      <c r="D5349" s="11" t="s">
        <v>18</v>
      </c>
      <c r="E5349" s="12" t="s">
        <v>568</v>
      </c>
      <c r="F5349" s="12" t="s">
        <v>569</v>
      </c>
      <c r="G5349" s="12" t="s">
        <v>21</v>
      </c>
      <c r="H5349" s="11" t="s">
        <v>63</v>
      </c>
      <c r="I5349" s="13" t="s">
        <v>11612</v>
      </c>
      <c r="J5349" s="14" t="str">
        <f>HYPERLINK("https://www.boe.es/gazeta/dias/1839/10/23/pdfs/GMD-1839-1809.pdf#page=4","Abrir facsímil")</f>
        <v>Abrir facsímil</v>
      </c>
      <c r="K5349" s="12" t="s">
        <v>65</v>
      </c>
    </row>
    <row r="5350" spans="1:11" ht="40.049999999999997" customHeight="1" x14ac:dyDescent="0.25">
      <c r="A5350" s="11" t="s">
        <v>11613</v>
      </c>
      <c r="B5350" s="11" t="s">
        <v>11614</v>
      </c>
      <c r="C5350" s="11" t="s">
        <v>17</v>
      </c>
      <c r="D5350" s="11" t="s">
        <v>18</v>
      </c>
      <c r="E5350" s="12" t="s">
        <v>19</v>
      </c>
      <c r="F5350" s="12" t="s">
        <v>20</v>
      </c>
      <c r="G5350" s="12" t="s">
        <v>40</v>
      </c>
      <c r="H5350" s="11" t="s">
        <v>63</v>
      </c>
      <c r="I5350" s="13" t="s">
        <v>11615</v>
      </c>
      <c r="J5350" s="14" t="str">
        <f>HYPERLINK("https://www.boe.es/gazeta/dias/1839/01/19/pdfs/GMD-1839-1526.pdf#page=2","Abrir facsímil")</f>
        <v>Abrir facsímil</v>
      </c>
      <c r="K5350" s="12" t="s">
        <v>65</v>
      </c>
    </row>
    <row r="5351" spans="1:11" ht="40.049999999999997" customHeight="1" x14ac:dyDescent="0.25">
      <c r="A5351" s="11" t="s">
        <v>11616</v>
      </c>
      <c r="B5351" s="11" t="s">
        <v>11617</v>
      </c>
      <c r="C5351" s="11" t="s">
        <v>17</v>
      </c>
      <c r="D5351" s="11" t="s">
        <v>18</v>
      </c>
      <c r="E5351" s="12" t="s">
        <v>723</v>
      </c>
      <c r="F5351" s="12" t="s">
        <v>724</v>
      </c>
      <c r="G5351" s="12" t="s">
        <v>40</v>
      </c>
      <c r="H5351" s="11" t="s">
        <v>63</v>
      </c>
      <c r="I5351" s="13" t="s">
        <v>11618</v>
      </c>
      <c r="J5351" s="14" t="str">
        <f>HYPERLINK("https://www.boe.es/gazeta/dias/1839/09/26/pdfs/GMD-1839-1782.pdf#page=2","Abrir facsímil")</f>
        <v>Abrir facsímil</v>
      </c>
      <c r="K5351" s="12" t="s">
        <v>65</v>
      </c>
    </row>
    <row r="5352" spans="1:11" ht="40.049999999999997" customHeight="1" x14ac:dyDescent="0.25">
      <c r="A5352" s="11" t="s">
        <v>11619</v>
      </c>
      <c r="B5352" s="11" t="s">
        <v>11620</v>
      </c>
      <c r="C5352" s="11" t="s">
        <v>17</v>
      </c>
      <c r="D5352" s="11" t="s">
        <v>18</v>
      </c>
      <c r="E5352" s="12" t="s">
        <v>3705</v>
      </c>
      <c r="F5352" s="12" t="s">
        <v>3706</v>
      </c>
      <c r="G5352" s="12" t="s">
        <v>40</v>
      </c>
      <c r="H5352" s="11" t="s">
        <v>63</v>
      </c>
      <c r="I5352" s="13" t="s">
        <v>11621</v>
      </c>
      <c r="J5352" s="14" t="str">
        <f>HYPERLINK("https://www.boe.es/gazeta/dias/1839/03/09/pdfs/GMD-1839-1575.pdf#page=2","Abrir facsímil")</f>
        <v>Abrir facsímil</v>
      </c>
      <c r="K5352" s="12" t="s">
        <v>65</v>
      </c>
    </row>
    <row r="5353" spans="1:11" ht="40.049999999999997" customHeight="1" x14ac:dyDescent="0.25">
      <c r="A5353" s="11" t="s">
        <v>11619</v>
      </c>
      <c r="B5353" s="11" t="s">
        <v>11620</v>
      </c>
      <c r="C5353" s="11" t="s">
        <v>137</v>
      </c>
      <c r="D5353" s="11" t="s">
        <v>18</v>
      </c>
      <c r="E5353" s="12" t="s">
        <v>1269</v>
      </c>
      <c r="F5353" s="12" t="s">
        <v>1270</v>
      </c>
      <c r="G5353" s="12" t="s">
        <v>40</v>
      </c>
      <c r="H5353" s="11" t="s">
        <v>63</v>
      </c>
      <c r="I5353" s="13" t="s">
        <v>11622</v>
      </c>
      <c r="J5353" s="14" t="str">
        <f>HYPERLINK("https://www.boe.es/gazeta/dias/1839/04/29/pdfs/GMD-1839-1626.pdf#page=2","Abrir facsímil")</f>
        <v>Abrir facsímil</v>
      </c>
      <c r="K5353" s="12" t="s">
        <v>65</v>
      </c>
    </row>
    <row r="5354" spans="1:11" ht="40.049999999999997" customHeight="1" x14ac:dyDescent="0.25">
      <c r="A5354" s="11" t="s">
        <v>11623</v>
      </c>
      <c r="B5354" s="11" t="s">
        <v>11624</v>
      </c>
      <c r="C5354" s="11" t="s">
        <v>17</v>
      </c>
      <c r="D5354" s="11" t="s">
        <v>18</v>
      </c>
      <c r="E5354" s="12" t="s">
        <v>577</v>
      </c>
      <c r="F5354" s="12" t="s">
        <v>578</v>
      </c>
      <c r="G5354" s="12" t="s">
        <v>29</v>
      </c>
      <c r="H5354" s="11" t="s">
        <v>63</v>
      </c>
      <c r="I5354" s="13" t="s">
        <v>11625</v>
      </c>
      <c r="J5354" s="14" t="str">
        <f>HYPERLINK("https://www.boe.es/gazeta/dias/1839/09/30/pdfs/GMD-1839-1786.pdf#page=1","Abrir facsímil")</f>
        <v>Abrir facsímil</v>
      </c>
      <c r="K5354" s="12" t="s">
        <v>65</v>
      </c>
    </row>
    <row r="5355" spans="1:11" ht="40.049999999999997" customHeight="1" x14ac:dyDescent="0.25">
      <c r="A5355" s="11" t="s">
        <v>11626</v>
      </c>
      <c r="B5355" s="11" t="s">
        <v>11627</v>
      </c>
      <c r="C5355" s="11" t="s">
        <v>80</v>
      </c>
      <c r="D5355" s="11" t="s">
        <v>18</v>
      </c>
      <c r="E5355" s="12" t="s">
        <v>346</v>
      </c>
      <c r="F5355" s="12" t="s">
        <v>347</v>
      </c>
      <c r="G5355" s="12" t="s">
        <v>21</v>
      </c>
      <c r="H5355" s="11" t="s">
        <v>63</v>
      </c>
      <c r="I5355" s="13" t="s">
        <v>11628</v>
      </c>
      <c r="J5355" s="14" t="str">
        <f>HYPERLINK("https://www.boe.es/gazeta/dias/1839/03/24/pdfs/GMD-1839-1590.pdf#page=4","Abrir facsímil")</f>
        <v>Abrir facsímil</v>
      </c>
      <c r="K5355" s="12" t="s">
        <v>65</v>
      </c>
    </row>
    <row r="5356" spans="1:11" ht="40.049999999999997" customHeight="1" x14ac:dyDescent="0.25">
      <c r="A5356" s="11" t="s">
        <v>11626</v>
      </c>
      <c r="B5356" s="11" t="s">
        <v>11627</v>
      </c>
      <c r="C5356" s="11" t="s">
        <v>17</v>
      </c>
      <c r="D5356" s="11" t="s">
        <v>18</v>
      </c>
      <c r="E5356" s="12" t="s">
        <v>1395</v>
      </c>
      <c r="F5356" s="12" t="s">
        <v>1396</v>
      </c>
      <c r="G5356" s="12" t="s">
        <v>21</v>
      </c>
      <c r="H5356" s="11" t="s">
        <v>63</v>
      </c>
      <c r="I5356" s="13" t="s">
        <v>11629</v>
      </c>
      <c r="J5356" s="14" t="str">
        <f>HYPERLINK("https://www.boe.es/gazeta/dias/1839/06/26/pdfs/GMD-1839-1684.pdf#page=4","Abrir facsímil")</f>
        <v>Abrir facsímil</v>
      </c>
      <c r="K5356" s="12" t="s">
        <v>65</v>
      </c>
    </row>
    <row r="5357" spans="1:11" ht="40.049999999999997" customHeight="1" x14ac:dyDescent="0.25">
      <c r="A5357" s="11" t="s">
        <v>11630</v>
      </c>
      <c r="B5357" s="11" t="s">
        <v>11631</v>
      </c>
      <c r="C5357" s="11" t="s">
        <v>80</v>
      </c>
      <c r="D5357" s="11" t="s">
        <v>18</v>
      </c>
      <c r="E5357" s="12" t="s">
        <v>1284</v>
      </c>
      <c r="F5357" s="12" t="s">
        <v>1285</v>
      </c>
      <c r="G5357" s="12" t="s">
        <v>21</v>
      </c>
      <c r="H5357" s="11" t="s">
        <v>63</v>
      </c>
      <c r="I5357" s="13" t="s">
        <v>11632</v>
      </c>
      <c r="J5357" s="14" t="str">
        <f>HYPERLINK("https://www.boe.es/gazeta/dias/1839/03/27/pdfs/GMD-1839-1593.pdf#page=4","Abrir facsímil")</f>
        <v>Abrir facsímil</v>
      </c>
      <c r="K5357" s="12" t="s">
        <v>65</v>
      </c>
    </row>
    <row r="5358" spans="1:11" ht="40.049999999999997" customHeight="1" x14ac:dyDescent="0.25">
      <c r="A5358" s="11" t="s">
        <v>11633</v>
      </c>
      <c r="B5358" s="11" t="s">
        <v>11634</v>
      </c>
      <c r="C5358" s="11" t="s">
        <v>17</v>
      </c>
      <c r="D5358" s="11" t="s">
        <v>18</v>
      </c>
      <c r="E5358" s="12" t="s">
        <v>2320</v>
      </c>
      <c r="F5358" s="12" t="s">
        <v>2321</v>
      </c>
      <c r="G5358" s="12" t="s">
        <v>40</v>
      </c>
      <c r="H5358" s="11" t="s">
        <v>63</v>
      </c>
      <c r="I5358" s="13" t="s">
        <v>11635</v>
      </c>
      <c r="J5358" s="14" t="str">
        <f>HYPERLINK("https://www.boe.es/gazeta/dias/1839/11/13/pdfs/GMD-1839-1830.pdf#page=2","Abrir facsímil")</f>
        <v>Abrir facsímil</v>
      </c>
      <c r="K5358" s="12" t="s">
        <v>65</v>
      </c>
    </row>
    <row r="5359" spans="1:11" ht="40.049999999999997" customHeight="1" x14ac:dyDescent="0.25">
      <c r="A5359" s="11" t="s">
        <v>11636</v>
      </c>
      <c r="B5359" s="11" t="s">
        <v>11637</v>
      </c>
      <c r="C5359" s="11" t="s">
        <v>101</v>
      </c>
      <c r="D5359" s="11" t="s">
        <v>43</v>
      </c>
      <c r="E5359" s="12" t="s">
        <v>1614</v>
      </c>
      <c r="F5359" s="12" t="s">
        <v>1615</v>
      </c>
      <c r="G5359" s="12" t="s">
        <v>29</v>
      </c>
      <c r="H5359" s="11" t="s">
        <v>63</v>
      </c>
      <c r="I5359" s="13" t="s">
        <v>11638</v>
      </c>
      <c r="J5359" s="14" t="str">
        <f>HYPERLINK("https://www.boe.es/gazeta/dias/1839/07/03/pdfs/GMD-1839-1691.pdf#page=1","Abrir facsímil")</f>
        <v>Abrir facsímil</v>
      </c>
      <c r="K5359" s="12" t="s">
        <v>65</v>
      </c>
    </row>
    <row r="5360" spans="1:11" ht="40.049999999999997" customHeight="1" x14ac:dyDescent="0.25">
      <c r="A5360" s="11" t="s">
        <v>11636</v>
      </c>
      <c r="B5360" s="11" t="s">
        <v>11637</v>
      </c>
      <c r="C5360" s="11" t="s">
        <v>80</v>
      </c>
      <c r="D5360" s="11" t="s">
        <v>18</v>
      </c>
      <c r="E5360" s="12" t="s">
        <v>561</v>
      </c>
      <c r="F5360" s="12" t="s">
        <v>562</v>
      </c>
      <c r="G5360" s="12" t="s">
        <v>29</v>
      </c>
      <c r="H5360" s="11" t="s">
        <v>63</v>
      </c>
      <c r="I5360" s="13" t="s">
        <v>11639</v>
      </c>
      <c r="J5360" s="14" t="str">
        <f>HYPERLINK("https://www.boe.es/gazeta/dias/1839/09/11/pdfs/GMD-1839-1764.pdf#page=1","Abrir facsímil")</f>
        <v>Abrir facsímil</v>
      </c>
      <c r="K5360" s="12" t="s">
        <v>65</v>
      </c>
    </row>
    <row r="5361" spans="1:11" ht="40.049999999999997" customHeight="1" x14ac:dyDescent="0.25">
      <c r="A5361" s="11" t="s">
        <v>11640</v>
      </c>
      <c r="B5361" s="11" t="s">
        <v>11641</v>
      </c>
      <c r="C5361" s="11" t="s">
        <v>137</v>
      </c>
      <c r="D5361" s="11" t="s">
        <v>18</v>
      </c>
      <c r="E5361" s="12" t="s">
        <v>284</v>
      </c>
      <c r="F5361" s="12" t="s">
        <v>285</v>
      </c>
      <c r="G5361" s="12" t="s">
        <v>46</v>
      </c>
      <c r="H5361" s="11" t="s">
        <v>63</v>
      </c>
      <c r="I5361" s="13" t="s">
        <v>11642</v>
      </c>
      <c r="J5361" s="14" t="str">
        <f>HYPERLINK("https://www.boe.es/gazeta/dias/1839/01/27/pdfs/GMD-1839-1534.pdf#page=3","Abrir facsímil")</f>
        <v>Abrir facsímil</v>
      </c>
      <c r="K5361" s="12" t="s">
        <v>65</v>
      </c>
    </row>
    <row r="5362" spans="1:11" ht="40.049999999999997" customHeight="1" x14ac:dyDescent="0.25">
      <c r="A5362" s="11" t="s">
        <v>11643</v>
      </c>
      <c r="B5362" s="11" t="s">
        <v>11644</v>
      </c>
      <c r="C5362" s="11" t="s">
        <v>101</v>
      </c>
      <c r="D5362" s="11" t="s">
        <v>43</v>
      </c>
      <c r="E5362" s="12" t="s">
        <v>2155</v>
      </c>
      <c r="F5362" s="12" t="s">
        <v>2156</v>
      </c>
      <c r="G5362" s="12" t="s">
        <v>40</v>
      </c>
      <c r="H5362" s="11" t="s">
        <v>63</v>
      </c>
      <c r="I5362" s="13" t="s">
        <v>11645</v>
      </c>
      <c r="J5362" s="14" t="str">
        <f>HYPERLINK("https://www.boe.es/gazeta/dias/1839/01/17/pdfs/GMD-1839-1524.pdf#page=2","Abrir facsímil")</f>
        <v>Abrir facsímil</v>
      </c>
      <c r="K5362" s="12" t="s">
        <v>65</v>
      </c>
    </row>
    <row r="5363" spans="1:11" ht="40.049999999999997" customHeight="1" x14ac:dyDescent="0.25">
      <c r="A5363" s="11" t="s">
        <v>11646</v>
      </c>
      <c r="B5363" s="11" t="s">
        <v>11647</v>
      </c>
      <c r="C5363" s="11" t="s">
        <v>17</v>
      </c>
      <c r="D5363" s="11" t="s">
        <v>18</v>
      </c>
      <c r="E5363" s="12" t="s">
        <v>239</v>
      </c>
      <c r="F5363" s="12" t="s">
        <v>240</v>
      </c>
      <c r="G5363" s="12" t="s">
        <v>40</v>
      </c>
      <c r="H5363" s="11" t="s">
        <v>63</v>
      </c>
      <c r="I5363" s="13" t="s">
        <v>11648</v>
      </c>
      <c r="J5363" s="14" t="str">
        <f>HYPERLINK("https://www.boe.es/gazeta/dias/1839/09/22/pdfs/GMD-1839-1777.pdf#page=2","Abrir facsímil")</f>
        <v>Abrir facsímil</v>
      </c>
      <c r="K5363" s="12" t="s">
        <v>65</v>
      </c>
    </row>
    <row r="5364" spans="1:11" ht="40.049999999999997" customHeight="1" x14ac:dyDescent="0.25">
      <c r="A5364" s="11" t="s">
        <v>11649</v>
      </c>
      <c r="B5364" s="11" t="s">
        <v>11650</v>
      </c>
      <c r="C5364" s="11" t="s">
        <v>17</v>
      </c>
      <c r="D5364" s="11" t="s">
        <v>18</v>
      </c>
      <c r="E5364" s="12" t="s">
        <v>280</v>
      </c>
      <c r="F5364" s="12" t="s">
        <v>281</v>
      </c>
      <c r="G5364" s="12" t="s">
        <v>21</v>
      </c>
      <c r="H5364" s="11" t="s">
        <v>22</v>
      </c>
      <c r="I5364" s="13" t="s">
        <v>11651</v>
      </c>
      <c r="J5364" s="14" t="str">
        <f>HYPERLINK("https://www.boe.es/gazeta/dias/1839/08/21/pdfs/GMD-1839-1742.pdf#page=4","Abrir facsímil")</f>
        <v>Abrir facsímil</v>
      </c>
      <c r="K5364" s="12" t="s">
        <v>24</v>
      </c>
    </row>
    <row r="5365" spans="1:11" ht="40.049999999999997" customHeight="1" x14ac:dyDescent="0.25">
      <c r="A5365" s="11" t="s">
        <v>11652</v>
      </c>
      <c r="B5365" s="11" t="s">
        <v>11653</v>
      </c>
      <c r="C5365" s="11" t="s">
        <v>17</v>
      </c>
      <c r="D5365" s="11" t="s">
        <v>18</v>
      </c>
      <c r="E5365" s="12" t="s">
        <v>798</v>
      </c>
      <c r="F5365" s="12" t="s">
        <v>799</v>
      </c>
      <c r="G5365" s="12" t="s">
        <v>21</v>
      </c>
      <c r="H5365" s="11" t="s">
        <v>22</v>
      </c>
      <c r="I5365" s="13" t="s">
        <v>11654</v>
      </c>
      <c r="J5365" s="14" t="str">
        <f>HYPERLINK("https://www.boe.es/gazeta/dias/1839/09/03/pdfs/GMD-1839-1755.pdf#page=4","Abrir facsímil")</f>
        <v>Abrir facsímil</v>
      </c>
      <c r="K5365" s="12" t="s">
        <v>24</v>
      </c>
    </row>
    <row r="5366" spans="1:11" ht="40.049999999999997" customHeight="1" x14ac:dyDescent="0.25">
      <c r="A5366" s="11" t="s">
        <v>11655</v>
      </c>
      <c r="B5366" s="11" t="s">
        <v>11656</v>
      </c>
      <c r="C5366" s="11" t="s">
        <v>80</v>
      </c>
      <c r="D5366" s="11" t="s">
        <v>18</v>
      </c>
      <c r="E5366" s="12" t="s">
        <v>821</v>
      </c>
      <c r="F5366" s="12" t="s">
        <v>822</v>
      </c>
      <c r="G5366" s="12" t="s">
        <v>21</v>
      </c>
      <c r="H5366" s="11" t="s">
        <v>63</v>
      </c>
      <c r="I5366" s="13" t="s">
        <v>11657</v>
      </c>
      <c r="J5366" s="14" t="str">
        <f>HYPERLINK("https://www.boe.es/gazeta/dias/1839/09/20/pdfs/GMD-1839-1775.pdf#page=4","Abrir facsímil")</f>
        <v>Abrir facsímil</v>
      </c>
      <c r="K5366" s="12" t="s">
        <v>65</v>
      </c>
    </row>
    <row r="5367" spans="1:11" ht="40.049999999999997" customHeight="1" x14ac:dyDescent="0.25">
      <c r="A5367" s="11" t="s">
        <v>11658</v>
      </c>
      <c r="B5367" s="11" t="s">
        <v>11659</v>
      </c>
      <c r="C5367" s="11" t="s">
        <v>17</v>
      </c>
      <c r="D5367" s="11" t="s">
        <v>18</v>
      </c>
      <c r="E5367" s="12" t="s">
        <v>817</v>
      </c>
      <c r="F5367" s="12" t="s">
        <v>818</v>
      </c>
      <c r="G5367" s="12" t="s">
        <v>21</v>
      </c>
      <c r="H5367" s="11" t="s">
        <v>63</v>
      </c>
      <c r="I5367" s="13" t="s">
        <v>11660</v>
      </c>
      <c r="J5367" s="14" t="str">
        <f>HYPERLINK("https://www.boe.es/gazeta/dias/1839/05/28/pdfs/GMD-1839-1655.pdf#page=4","Abrir facsímil")</f>
        <v>Abrir facsímil</v>
      </c>
      <c r="K5367" s="12" t="s">
        <v>65</v>
      </c>
    </row>
    <row r="5368" spans="1:11" ht="40.049999999999997" customHeight="1" x14ac:dyDescent="0.25">
      <c r="A5368" s="11" t="s">
        <v>11661</v>
      </c>
      <c r="B5368" s="11" t="s">
        <v>11662</v>
      </c>
      <c r="C5368" s="11" t="s">
        <v>80</v>
      </c>
      <c r="D5368" s="11" t="s">
        <v>18</v>
      </c>
      <c r="E5368" s="12" t="s">
        <v>1537</v>
      </c>
      <c r="F5368" s="12" t="s">
        <v>1538</v>
      </c>
      <c r="G5368" s="12" t="s">
        <v>21</v>
      </c>
      <c r="H5368" s="11" t="s">
        <v>63</v>
      </c>
      <c r="I5368" s="13" t="s">
        <v>11663</v>
      </c>
      <c r="J5368" s="14" t="str">
        <f>HYPERLINK("https://www.boe.es/gazeta/dias/1839/12/16/pdfs/GMD-1839-1863.pdf#page=4","Abrir facsímil")</f>
        <v>Abrir facsímil</v>
      </c>
      <c r="K5368" s="12" t="s">
        <v>65</v>
      </c>
    </row>
    <row r="5369" spans="1:11" ht="40.049999999999997" customHeight="1" x14ac:dyDescent="0.25">
      <c r="A5369" s="11" t="s">
        <v>11664</v>
      </c>
      <c r="B5369" s="11" t="s">
        <v>11665</v>
      </c>
      <c r="C5369" s="11" t="s">
        <v>17</v>
      </c>
      <c r="D5369" s="11" t="s">
        <v>18</v>
      </c>
      <c r="E5369" s="12" t="s">
        <v>197</v>
      </c>
      <c r="F5369" s="12" t="s">
        <v>198</v>
      </c>
      <c r="G5369" s="12" t="s">
        <v>40</v>
      </c>
      <c r="H5369" s="11" t="s">
        <v>63</v>
      </c>
      <c r="I5369" s="13" t="s">
        <v>11666</v>
      </c>
      <c r="J5369" s="14" t="str">
        <f>HYPERLINK("https://www.boe.es/gazeta/dias/1839/10/04/pdfs/GMD-1839-1790.pdf#page=2","Abrir facsímil")</f>
        <v>Abrir facsímil</v>
      </c>
      <c r="K5369" s="12" t="s">
        <v>65</v>
      </c>
    </row>
    <row r="5370" spans="1:11" ht="40.049999999999997" customHeight="1" x14ac:dyDescent="0.25">
      <c r="A5370" s="11" t="s">
        <v>11667</v>
      </c>
      <c r="B5370" s="11" t="s">
        <v>11668</v>
      </c>
      <c r="C5370" s="11" t="s">
        <v>137</v>
      </c>
      <c r="D5370" s="11" t="s">
        <v>18</v>
      </c>
      <c r="E5370" s="12" t="s">
        <v>49</v>
      </c>
      <c r="F5370" s="12" t="s">
        <v>50</v>
      </c>
      <c r="G5370" s="12" t="s">
        <v>46</v>
      </c>
      <c r="H5370" s="11" t="s">
        <v>63</v>
      </c>
      <c r="I5370" s="13" t="s">
        <v>11669</v>
      </c>
      <c r="J5370" s="14" t="str">
        <f>HYPERLINK("https://www.boe.es/gazeta/dias/1839/01/05/pdfs/GMD-1839-1512.pdf#page=3","Abrir facsímil")</f>
        <v>Abrir facsímil</v>
      </c>
      <c r="K5370" s="12" t="s">
        <v>65</v>
      </c>
    </row>
    <row r="5371" spans="1:11" ht="40.049999999999997" customHeight="1" x14ac:dyDescent="0.25">
      <c r="A5371" s="11" t="s">
        <v>11670</v>
      </c>
      <c r="B5371" s="11" t="s">
        <v>11671</v>
      </c>
      <c r="C5371" s="11" t="s">
        <v>137</v>
      </c>
      <c r="D5371" s="11" t="s">
        <v>18</v>
      </c>
      <c r="E5371" s="12" t="s">
        <v>49</v>
      </c>
      <c r="F5371" s="12" t="s">
        <v>50</v>
      </c>
      <c r="G5371" s="12" t="s">
        <v>46</v>
      </c>
      <c r="H5371" s="11" t="s">
        <v>63</v>
      </c>
      <c r="I5371" s="13" t="s">
        <v>11672</v>
      </c>
      <c r="J5371" s="14" t="str">
        <f>HYPERLINK("https://www.boe.es/gazeta/dias/1839/01/05/pdfs/GMD-1839-1512.pdf#page=3","Abrir facsímil")</f>
        <v>Abrir facsímil</v>
      </c>
      <c r="K5371" s="12" t="s">
        <v>65</v>
      </c>
    </row>
    <row r="5372" spans="1:11" ht="40.049999999999997" customHeight="1" x14ac:dyDescent="0.25">
      <c r="A5372" s="11" t="s">
        <v>11673</v>
      </c>
      <c r="B5372" s="11" t="s">
        <v>11674</v>
      </c>
      <c r="C5372" s="11" t="s">
        <v>17</v>
      </c>
      <c r="D5372" s="11" t="s">
        <v>18</v>
      </c>
      <c r="E5372" s="12" t="s">
        <v>568</v>
      </c>
      <c r="F5372" s="12" t="s">
        <v>569</v>
      </c>
      <c r="G5372" s="12" t="s">
        <v>40</v>
      </c>
      <c r="H5372" s="11" t="s">
        <v>63</v>
      </c>
      <c r="I5372" s="13" t="s">
        <v>11675</v>
      </c>
      <c r="J5372" s="14" t="str">
        <f>HYPERLINK("https://www.boe.es/gazeta/dias/1839/10/23/pdfs/GMD-1839-1809.pdf#page=2","Abrir facsímil")</f>
        <v>Abrir facsímil</v>
      </c>
      <c r="K5372" s="12" t="s">
        <v>65</v>
      </c>
    </row>
    <row r="5373" spans="1:11" ht="40.049999999999997" customHeight="1" x14ac:dyDescent="0.25">
      <c r="A5373" s="11" t="s">
        <v>11676</v>
      </c>
      <c r="B5373" s="11" t="s">
        <v>11677</v>
      </c>
      <c r="C5373" s="11" t="s">
        <v>17</v>
      </c>
      <c r="D5373" s="11" t="s">
        <v>18</v>
      </c>
      <c r="E5373" s="12" t="s">
        <v>132</v>
      </c>
      <c r="F5373" s="12" t="s">
        <v>133</v>
      </c>
      <c r="G5373" s="12" t="s">
        <v>40</v>
      </c>
      <c r="H5373" s="11" t="s">
        <v>63</v>
      </c>
      <c r="I5373" s="13" t="s">
        <v>11678</v>
      </c>
      <c r="J5373" s="14" t="str">
        <f>HYPERLINK("https://www.boe.es/gazeta/dias/1839/08/02/pdfs/GMD-1839-1722.pdf#page=2","Abrir facsímil")</f>
        <v>Abrir facsímil</v>
      </c>
      <c r="K5373" s="12" t="s">
        <v>65</v>
      </c>
    </row>
    <row r="5374" spans="1:11" ht="40.049999999999997" customHeight="1" x14ac:dyDescent="0.25">
      <c r="A5374" s="11" t="s">
        <v>11679</v>
      </c>
      <c r="B5374" s="11" t="s">
        <v>11680</v>
      </c>
      <c r="C5374" s="11" t="s">
        <v>17</v>
      </c>
      <c r="D5374" s="11" t="s">
        <v>18</v>
      </c>
      <c r="E5374" s="12" t="s">
        <v>713</v>
      </c>
      <c r="F5374" s="12" t="s">
        <v>714</v>
      </c>
      <c r="G5374" s="12" t="s">
        <v>46</v>
      </c>
      <c r="H5374" s="11" t="s">
        <v>63</v>
      </c>
      <c r="I5374" s="13" t="s">
        <v>11681</v>
      </c>
      <c r="J5374" s="14" t="str">
        <f>HYPERLINK("https://www.boe.es/gazeta/dias/1839/12/18/pdfs/GMD-1839-1865.pdf#page=3","Abrir facsímil")</f>
        <v>Abrir facsímil</v>
      </c>
      <c r="K5374" s="12" t="s">
        <v>65</v>
      </c>
    </row>
    <row r="5375" spans="1:11" ht="40.049999999999997" customHeight="1" x14ac:dyDescent="0.25">
      <c r="A5375" s="11" t="s">
        <v>11679</v>
      </c>
      <c r="B5375" s="11" t="s">
        <v>11680</v>
      </c>
      <c r="C5375" s="11" t="s">
        <v>17</v>
      </c>
      <c r="D5375" s="11" t="s">
        <v>18</v>
      </c>
      <c r="E5375" s="12" t="s">
        <v>1520</v>
      </c>
      <c r="F5375" s="12" t="s">
        <v>1521</v>
      </c>
      <c r="G5375" s="12" t="s">
        <v>46</v>
      </c>
      <c r="H5375" s="11" t="s">
        <v>63</v>
      </c>
      <c r="I5375" s="13" t="s">
        <v>11682</v>
      </c>
      <c r="J5375" s="14" t="str">
        <f>HYPERLINK("https://www.boe.es/gazeta/dias/1839/12/27/pdfs/GMD-1839-1874.pdf#page=3","Abrir facsímil")</f>
        <v>Abrir facsímil</v>
      </c>
      <c r="K5375" s="12" t="s">
        <v>65</v>
      </c>
    </row>
    <row r="5376" spans="1:11" ht="40.049999999999997" customHeight="1" x14ac:dyDescent="0.25">
      <c r="A5376" s="11" t="s">
        <v>11683</v>
      </c>
      <c r="B5376" s="11" t="s">
        <v>11684</v>
      </c>
      <c r="C5376" s="11" t="s">
        <v>59</v>
      </c>
      <c r="D5376" s="11" t="s">
        <v>60</v>
      </c>
      <c r="E5376" s="12" t="s">
        <v>1374</v>
      </c>
      <c r="F5376" s="12" t="s">
        <v>1375</v>
      </c>
      <c r="G5376" s="12" t="s">
        <v>29</v>
      </c>
      <c r="H5376" s="11" t="s">
        <v>63</v>
      </c>
      <c r="I5376" s="13" t="s">
        <v>11685</v>
      </c>
      <c r="J5376" s="14" t="str">
        <f>HYPERLINK("https://www.boe.es/gazeta/dias/1839/07/20/pdfs/GMD-1839-1708.pdf#page=1","Abrir facsímil")</f>
        <v>Abrir facsímil</v>
      </c>
      <c r="K5376" s="12" t="s">
        <v>65</v>
      </c>
    </row>
    <row r="5377" spans="1:11" ht="40.049999999999997" customHeight="1" x14ac:dyDescent="0.25">
      <c r="A5377" s="11" t="s">
        <v>11686</v>
      </c>
      <c r="B5377" s="11" t="s">
        <v>11687</v>
      </c>
      <c r="C5377" s="11" t="s">
        <v>101</v>
      </c>
      <c r="D5377" s="11" t="s">
        <v>102</v>
      </c>
      <c r="E5377" s="12" t="s">
        <v>1672</v>
      </c>
      <c r="F5377" s="12" t="s">
        <v>1673</v>
      </c>
      <c r="G5377" s="12" t="s">
        <v>40</v>
      </c>
      <c r="H5377" s="11" t="s">
        <v>63</v>
      </c>
      <c r="I5377" s="13" t="s">
        <v>11688</v>
      </c>
      <c r="J5377" s="14" t="str">
        <f>HYPERLINK("https://www.boe.es/gazeta/dias/1839/08/24/pdfs/GMD-1839-1745.pdf#page=2","Abrir facsímil")</f>
        <v>Abrir facsímil</v>
      </c>
      <c r="K5377" s="12" t="s">
        <v>65</v>
      </c>
    </row>
    <row r="5378" spans="1:11" ht="40.049999999999997" customHeight="1" x14ac:dyDescent="0.25">
      <c r="A5378" s="11" t="s">
        <v>11686</v>
      </c>
      <c r="B5378" s="11" t="s">
        <v>11687</v>
      </c>
      <c r="C5378" s="11" t="s">
        <v>80</v>
      </c>
      <c r="D5378" s="11" t="s">
        <v>18</v>
      </c>
      <c r="E5378" s="12" t="s">
        <v>716</v>
      </c>
      <c r="F5378" s="12" t="s">
        <v>717</v>
      </c>
      <c r="G5378" s="12" t="s">
        <v>40</v>
      </c>
      <c r="H5378" s="11" t="s">
        <v>63</v>
      </c>
      <c r="I5378" s="13" t="s">
        <v>11689</v>
      </c>
      <c r="J5378" s="14" t="str">
        <f>HYPERLINK("https://www.boe.es/gazeta/dias/1839/07/30/pdfs/GMD-1839-1719.pdf#page=2","Abrir facsímil")</f>
        <v>Abrir facsímil</v>
      </c>
      <c r="K5378" s="12" t="s">
        <v>65</v>
      </c>
    </row>
    <row r="5379" spans="1:11" ht="40.049999999999997" customHeight="1" x14ac:dyDescent="0.25">
      <c r="A5379" s="11" t="s">
        <v>11690</v>
      </c>
      <c r="B5379" s="11" t="s">
        <v>11691</v>
      </c>
      <c r="C5379" s="11" t="s">
        <v>80</v>
      </c>
      <c r="D5379" s="11" t="s">
        <v>18</v>
      </c>
      <c r="E5379" s="12" t="s">
        <v>2881</v>
      </c>
      <c r="F5379" s="12" t="s">
        <v>2882</v>
      </c>
      <c r="G5379" s="12" t="s">
        <v>21</v>
      </c>
      <c r="H5379" s="11" t="s">
        <v>63</v>
      </c>
      <c r="I5379" s="13" t="s">
        <v>11692</v>
      </c>
      <c r="J5379" s="14" t="str">
        <f>HYPERLINK("https://www.boe.es/gazeta/dias/1839/05/08/pdfs/GMD-1839-1635.pdf#page=4","Abrir facsímil")</f>
        <v>Abrir facsímil</v>
      </c>
      <c r="K5379" s="12" t="s">
        <v>65</v>
      </c>
    </row>
    <row r="5380" spans="1:11" ht="40.049999999999997" customHeight="1" x14ac:dyDescent="0.25">
      <c r="A5380" s="11" t="s">
        <v>11690</v>
      </c>
      <c r="B5380" s="11" t="s">
        <v>11691</v>
      </c>
      <c r="C5380" s="11" t="s">
        <v>17</v>
      </c>
      <c r="D5380" s="11" t="s">
        <v>18</v>
      </c>
      <c r="E5380" s="12" t="s">
        <v>1779</v>
      </c>
      <c r="F5380" s="12" t="s">
        <v>1780</v>
      </c>
      <c r="G5380" s="12" t="s">
        <v>21</v>
      </c>
      <c r="H5380" s="11" t="s">
        <v>63</v>
      </c>
      <c r="I5380" s="13" t="s">
        <v>11693</v>
      </c>
      <c r="J5380" s="14" t="str">
        <f>HYPERLINK("https://www.boe.es/gazeta/dias/1839/03/18/pdfs/GMD-1839-1584.pdf#page=4","Abrir facsímil")</f>
        <v>Abrir facsímil</v>
      </c>
      <c r="K5380" s="12" t="s">
        <v>65</v>
      </c>
    </row>
    <row r="5381" spans="1:11" ht="40.049999999999997" customHeight="1" x14ac:dyDescent="0.25">
      <c r="A5381" s="11" t="s">
        <v>11694</v>
      </c>
      <c r="B5381" s="11" t="s">
        <v>11695</v>
      </c>
      <c r="C5381" s="11" t="s">
        <v>17</v>
      </c>
      <c r="D5381" s="11" t="s">
        <v>18</v>
      </c>
      <c r="E5381" s="12" t="s">
        <v>1301</v>
      </c>
      <c r="F5381" s="12" t="s">
        <v>1302</v>
      </c>
      <c r="G5381" s="12" t="s">
        <v>21</v>
      </c>
      <c r="H5381" s="11" t="s">
        <v>63</v>
      </c>
      <c r="I5381" s="13" t="s">
        <v>11696</v>
      </c>
      <c r="J5381" s="14" t="str">
        <f>HYPERLINK("https://www.boe.es/gazeta/dias/1839/11/16/pdfs/GMD-1839-1833.pdf#page=4","Abrir facsímil")</f>
        <v>Abrir facsímil</v>
      </c>
      <c r="K5381" s="12" t="s">
        <v>65</v>
      </c>
    </row>
    <row r="5382" spans="1:11" ht="40.049999999999997" customHeight="1" x14ac:dyDescent="0.25">
      <c r="A5382" s="11" t="s">
        <v>11697</v>
      </c>
      <c r="B5382" s="11" t="s">
        <v>11698</v>
      </c>
      <c r="C5382" s="11" t="s">
        <v>17</v>
      </c>
      <c r="D5382" s="11" t="s">
        <v>18</v>
      </c>
      <c r="E5382" s="12" t="s">
        <v>1123</v>
      </c>
      <c r="F5382" s="12" t="s">
        <v>1124</v>
      </c>
      <c r="G5382" s="12" t="s">
        <v>40</v>
      </c>
      <c r="H5382" s="11" t="s">
        <v>63</v>
      </c>
      <c r="I5382" s="13" t="s">
        <v>11699</v>
      </c>
      <c r="J5382" s="14" t="str">
        <f>HYPERLINK("https://www.boe.es/gazeta/dias/1839/08/10/pdfs/GMD-1839-1730.pdf#page=2","Abrir facsímil")</f>
        <v>Abrir facsímil</v>
      </c>
      <c r="K5382" s="12" t="s">
        <v>65</v>
      </c>
    </row>
    <row r="5383" spans="1:11" ht="40.049999999999997" customHeight="1" x14ac:dyDescent="0.25">
      <c r="A5383" s="11" t="s">
        <v>11700</v>
      </c>
      <c r="B5383" s="11" t="s">
        <v>11701</v>
      </c>
      <c r="C5383" s="11" t="s">
        <v>59</v>
      </c>
      <c r="D5383" s="11" t="s">
        <v>60</v>
      </c>
      <c r="E5383" s="12" t="s">
        <v>2491</v>
      </c>
      <c r="F5383" s="12" t="s">
        <v>2492</v>
      </c>
      <c r="G5383" s="12" t="s">
        <v>29</v>
      </c>
      <c r="H5383" s="11" t="s">
        <v>63</v>
      </c>
      <c r="I5383" s="13" t="s">
        <v>11702</v>
      </c>
      <c r="J5383" s="14" t="str">
        <f>HYPERLINK("https://www.boe.es/gazeta/dias/1839/05/01/pdfs/GMD-1839-1628.pdf#page=1","Abrir facsímil")</f>
        <v>Abrir facsímil</v>
      </c>
      <c r="K5383" s="12" t="s">
        <v>65</v>
      </c>
    </row>
    <row r="5384" spans="1:11" ht="40.049999999999997" customHeight="1" x14ac:dyDescent="0.25">
      <c r="A5384" s="11" t="s">
        <v>11703</v>
      </c>
      <c r="B5384" s="11" t="s">
        <v>11704</v>
      </c>
      <c r="C5384" s="11" t="s">
        <v>101</v>
      </c>
      <c r="D5384" s="11" t="s">
        <v>43</v>
      </c>
      <c r="E5384" s="12" t="s">
        <v>108</v>
      </c>
      <c r="F5384" s="12" t="s">
        <v>109</v>
      </c>
      <c r="G5384" s="12" t="s">
        <v>21</v>
      </c>
      <c r="H5384" s="11" t="s">
        <v>63</v>
      </c>
      <c r="I5384" s="13" t="s">
        <v>11705</v>
      </c>
      <c r="J5384" s="14" t="str">
        <f>HYPERLINK("https://www.boe.es/gazeta/dias/1839/01/04/pdfs/GMD-1839-1511.pdf#page=4","Abrir facsímil")</f>
        <v>Abrir facsímil</v>
      </c>
      <c r="K5384" s="12" t="s">
        <v>65</v>
      </c>
    </row>
    <row r="5385" spans="1:11" ht="40.049999999999997" customHeight="1" x14ac:dyDescent="0.25">
      <c r="A5385" s="11" t="s">
        <v>11703</v>
      </c>
      <c r="B5385" s="11" t="s">
        <v>11704</v>
      </c>
      <c r="C5385" s="11" t="s">
        <v>17</v>
      </c>
      <c r="D5385" s="11" t="s">
        <v>18</v>
      </c>
      <c r="E5385" s="12" t="s">
        <v>1179</v>
      </c>
      <c r="F5385" s="12" t="s">
        <v>1180</v>
      </c>
      <c r="G5385" s="12" t="s">
        <v>46</v>
      </c>
      <c r="H5385" s="11" t="s">
        <v>63</v>
      </c>
      <c r="I5385" s="13" t="s">
        <v>11706</v>
      </c>
      <c r="J5385" s="14" t="str">
        <f>HYPERLINK("https://www.boe.es/gazeta/dias/1839/10/18/pdfs/GMD-1839-1804.pdf#page=3","Abrir facsímil")</f>
        <v>Abrir facsímil</v>
      </c>
      <c r="K5385" s="12" t="s">
        <v>65</v>
      </c>
    </row>
    <row r="5386" spans="1:11" ht="40.049999999999997" customHeight="1" x14ac:dyDescent="0.25">
      <c r="A5386" s="11" t="s">
        <v>11707</v>
      </c>
      <c r="B5386" s="11" t="s">
        <v>11708</v>
      </c>
      <c r="C5386" s="11" t="s">
        <v>101</v>
      </c>
      <c r="D5386" s="11" t="s">
        <v>43</v>
      </c>
      <c r="E5386" s="12" t="s">
        <v>1179</v>
      </c>
      <c r="F5386" s="12" t="s">
        <v>1180</v>
      </c>
      <c r="G5386" s="12" t="s">
        <v>46</v>
      </c>
      <c r="H5386" s="11" t="s">
        <v>63</v>
      </c>
      <c r="I5386" s="13" t="s">
        <v>11709</v>
      </c>
      <c r="J5386" s="14" t="str">
        <f>HYPERLINK("https://www.boe.es/gazeta/dias/1839/10/18/pdfs/GMD-1839-1804.pdf#page=3","Abrir facsímil")</f>
        <v>Abrir facsímil</v>
      </c>
      <c r="K5386" s="12" t="s">
        <v>65</v>
      </c>
    </row>
    <row r="5387" spans="1:11" ht="40.049999999999997" customHeight="1" x14ac:dyDescent="0.25">
      <c r="A5387" s="11" t="s">
        <v>11710</v>
      </c>
      <c r="B5387" s="11" t="s">
        <v>11711</v>
      </c>
      <c r="C5387" s="11" t="s">
        <v>137</v>
      </c>
      <c r="D5387" s="11" t="s">
        <v>18</v>
      </c>
      <c r="E5387" s="12" t="s">
        <v>992</v>
      </c>
      <c r="F5387" s="12" t="s">
        <v>993</v>
      </c>
      <c r="G5387" s="12" t="s">
        <v>29</v>
      </c>
      <c r="H5387" s="11" t="s">
        <v>63</v>
      </c>
      <c r="I5387" s="13" t="s">
        <v>11712</v>
      </c>
      <c r="J5387" s="14" t="str">
        <f>HYPERLINK("https://www.boe.es/gazeta/dias/1839/02/18/pdfs/GMD-1839-1556.pdf#page=1","Abrir facsímil")</f>
        <v>Abrir facsímil</v>
      </c>
      <c r="K5387" s="12" t="s">
        <v>65</v>
      </c>
    </row>
    <row r="5388" spans="1:11" ht="40.049999999999997" customHeight="1" x14ac:dyDescent="0.25">
      <c r="A5388" s="11" t="s">
        <v>11713</v>
      </c>
      <c r="B5388" s="11" t="s">
        <v>11714</v>
      </c>
      <c r="C5388" s="11" t="s">
        <v>17</v>
      </c>
      <c r="D5388" s="11" t="s">
        <v>18</v>
      </c>
      <c r="E5388" s="12" t="s">
        <v>1654</v>
      </c>
      <c r="F5388" s="12" t="s">
        <v>1655</v>
      </c>
      <c r="G5388" s="12" t="s">
        <v>21</v>
      </c>
      <c r="H5388" s="11" t="s">
        <v>63</v>
      </c>
      <c r="I5388" s="13" t="s">
        <v>11715</v>
      </c>
      <c r="J5388" s="14" t="str">
        <f>HYPERLINK("https://www.boe.es/gazeta/dias/1839/11/19/pdfs/GMD-1839-1836.pdf#page=4","Abrir facsímil")</f>
        <v>Abrir facsímil</v>
      </c>
      <c r="K5388" s="12" t="s">
        <v>65</v>
      </c>
    </row>
    <row r="5389" spans="1:11" ht="40.049999999999997" customHeight="1" x14ac:dyDescent="0.25">
      <c r="A5389" s="11" t="s">
        <v>11716</v>
      </c>
      <c r="B5389" s="11" t="s">
        <v>11717</v>
      </c>
      <c r="C5389" s="11" t="s">
        <v>101</v>
      </c>
      <c r="D5389" s="11" t="s">
        <v>102</v>
      </c>
      <c r="E5389" s="12" t="s">
        <v>857</v>
      </c>
      <c r="F5389" s="12" t="s">
        <v>858</v>
      </c>
      <c r="G5389" s="12" t="s">
        <v>29</v>
      </c>
      <c r="H5389" s="11" t="s">
        <v>63</v>
      </c>
      <c r="I5389" s="13" t="s">
        <v>11718</v>
      </c>
      <c r="J5389" s="14" t="str">
        <f>HYPERLINK("https://www.boe.es/gazeta/dias/1839/11/21/pdfs/GMD-1839-1838.pdf#page=1","Abrir facsímil")</f>
        <v>Abrir facsímil</v>
      </c>
      <c r="K5389" s="12" t="s">
        <v>65</v>
      </c>
    </row>
    <row r="5390" spans="1:11" ht="40.049999999999997" customHeight="1" x14ac:dyDescent="0.25">
      <c r="A5390" s="11" t="s">
        <v>11719</v>
      </c>
      <c r="B5390" s="11" t="s">
        <v>11720</v>
      </c>
      <c r="C5390" s="11" t="s">
        <v>17</v>
      </c>
      <c r="D5390" s="11" t="s">
        <v>18</v>
      </c>
      <c r="E5390" s="12" t="s">
        <v>621</v>
      </c>
      <c r="F5390" s="12" t="s">
        <v>622</v>
      </c>
      <c r="G5390" s="12" t="s">
        <v>46</v>
      </c>
      <c r="H5390" s="11" t="s">
        <v>63</v>
      </c>
      <c r="I5390" s="13" t="s">
        <v>11721</v>
      </c>
      <c r="J5390" s="14" t="str">
        <f>HYPERLINK("https://www.boe.es/gazeta/dias/1839/04/14/pdfs/GMD-1839-1611.pdf#page=3","Abrir facsímil")</f>
        <v>Abrir facsímil</v>
      </c>
      <c r="K5390" s="12" t="s">
        <v>65</v>
      </c>
    </row>
    <row r="5391" spans="1:11" ht="40.049999999999997" customHeight="1" x14ac:dyDescent="0.25">
      <c r="A5391" s="11" t="s">
        <v>11722</v>
      </c>
      <c r="B5391" s="11" t="s">
        <v>11723</v>
      </c>
      <c r="C5391" s="11" t="s">
        <v>17</v>
      </c>
      <c r="D5391" s="11" t="s">
        <v>18</v>
      </c>
      <c r="E5391" s="12" t="s">
        <v>892</v>
      </c>
      <c r="F5391" s="12" t="s">
        <v>893</v>
      </c>
      <c r="G5391" s="12" t="s">
        <v>40</v>
      </c>
      <c r="H5391" s="11" t="s">
        <v>63</v>
      </c>
      <c r="I5391" s="13" t="s">
        <v>11724</v>
      </c>
      <c r="J5391" s="14" t="str">
        <f>HYPERLINK("https://www.boe.es/gazeta/dias/1839/12/28/pdfs/GMD-1839-1875.pdf#page=2","Abrir facsímil")</f>
        <v>Abrir facsímil</v>
      </c>
      <c r="K5391" s="12" t="s">
        <v>65</v>
      </c>
    </row>
    <row r="5392" spans="1:11" ht="40.049999999999997" customHeight="1" x14ac:dyDescent="0.25">
      <c r="A5392" s="11" t="s">
        <v>11725</v>
      </c>
      <c r="B5392" s="11" t="s">
        <v>11726</v>
      </c>
      <c r="C5392" s="11" t="s">
        <v>17</v>
      </c>
      <c r="D5392" s="11" t="s">
        <v>18</v>
      </c>
      <c r="E5392" s="12" t="s">
        <v>258</v>
      </c>
      <c r="F5392" s="12" t="s">
        <v>259</v>
      </c>
      <c r="G5392" s="12" t="s">
        <v>21</v>
      </c>
      <c r="H5392" s="11" t="s">
        <v>63</v>
      </c>
      <c r="I5392" s="13" t="s">
        <v>11727</v>
      </c>
      <c r="J5392" s="14" t="str">
        <f>HYPERLINK("https://www.boe.es/gazeta/dias/1839/01/02/pdfs/GMD-1839-1509.pdf#page=4","Abrir facsímil")</f>
        <v>Abrir facsímil</v>
      </c>
      <c r="K5392" s="12" t="s">
        <v>65</v>
      </c>
    </row>
    <row r="5393" spans="1:11" ht="40.049999999999997" customHeight="1" x14ac:dyDescent="0.25">
      <c r="A5393" s="11" t="s">
        <v>11728</v>
      </c>
      <c r="B5393" s="11" t="s">
        <v>11729</v>
      </c>
      <c r="C5393" s="11" t="s">
        <v>17</v>
      </c>
      <c r="D5393" s="11" t="s">
        <v>18</v>
      </c>
      <c r="E5393" s="12" t="s">
        <v>426</v>
      </c>
      <c r="F5393" s="12" t="s">
        <v>427</v>
      </c>
      <c r="G5393" s="12" t="s">
        <v>40</v>
      </c>
      <c r="H5393" s="11" t="s">
        <v>63</v>
      </c>
      <c r="I5393" s="13" t="s">
        <v>11730</v>
      </c>
      <c r="J5393" s="14" t="str">
        <f>HYPERLINK("https://www.boe.es/gazeta/dias/1839/08/11/pdfs/GMD-1839-1731.pdf#page=2","Abrir facsímil")</f>
        <v>Abrir facsímil</v>
      </c>
      <c r="K5393" s="12" t="s">
        <v>65</v>
      </c>
    </row>
    <row r="5394" spans="1:11" ht="40.049999999999997" customHeight="1" x14ac:dyDescent="0.25">
      <c r="A5394" s="11" t="s">
        <v>11731</v>
      </c>
      <c r="B5394" s="11" t="s">
        <v>11732</v>
      </c>
      <c r="C5394" s="11" t="s">
        <v>80</v>
      </c>
      <c r="D5394" s="11" t="s">
        <v>18</v>
      </c>
      <c r="E5394" s="12" t="s">
        <v>1867</v>
      </c>
      <c r="F5394" s="12" t="s">
        <v>1868</v>
      </c>
      <c r="G5394" s="12" t="s">
        <v>40</v>
      </c>
      <c r="H5394" s="11" t="s">
        <v>63</v>
      </c>
      <c r="I5394" s="13" t="s">
        <v>11733</v>
      </c>
      <c r="J5394" s="14" t="str">
        <f>HYPERLINK("https://www.boe.es/gazeta/dias/1839/01/30/pdfs/GMD-1839-1537.pdf#page=2","Abrir facsímil")</f>
        <v>Abrir facsímil</v>
      </c>
      <c r="K5394" s="12" t="s">
        <v>65</v>
      </c>
    </row>
    <row r="5395" spans="1:11" ht="40.049999999999997" customHeight="1" x14ac:dyDescent="0.25">
      <c r="A5395" s="11" t="s">
        <v>11734</v>
      </c>
      <c r="B5395" s="11" t="s">
        <v>11735</v>
      </c>
      <c r="C5395" s="11" t="s">
        <v>17</v>
      </c>
      <c r="D5395" s="11" t="s">
        <v>18</v>
      </c>
      <c r="E5395" s="12" t="s">
        <v>1366</v>
      </c>
      <c r="F5395" s="12" t="s">
        <v>1367</v>
      </c>
      <c r="G5395" s="12" t="s">
        <v>40</v>
      </c>
      <c r="H5395" s="11" t="s">
        <v>63</v>
      </c>
      <c r="I5395" s="13" t="s">
        <v>11736</v>
      </c>
      <c r="J5395" s="14" t="str">
        <f>HYPERLINK("https://www.boe.es/gazeta/dias/1839/09/09/pdfs/GMD-1839-1762.pdf#page=2","Abrir facsímil")</f>
        <v>Abrir facsímil</v>
      </c>
      <c r="K5395" s="12" t="s">
        <v>65</v>
      </c>
    </row>
    <row r="5396" spans="1:11" ht="40.049999999999997" customHeight="1" x14ac:dyDescent="0.25">
      <c r="A5396" s="11" t="s">
        <v>11737</v>
      </c>
      <c r="B5396" s="11" t="s">
        <v>11738</v>
      </c>
      <c r="C5396" s="11" t="s">
        <v>17</v>
      </c>
      <c r="D5396" s="11" t="s">
        <v>18</v>
      </c>
      <c r="E5396" s="12" t="s">
        <v>148</v>
      </c>
      <c r="F5396" s="12" t="s">
        <v>149</v>
      </c>
      <c r="G5396" s="12" t="s">
        <v>40</v>
      </c>
      <c r="H5396" s="11" t="s">
        <v>63</v>
      </c>
      <c r="I5396" s="13" t="s">
        <v>11739</v>
      </c>
      <c r="J5396" s="14" t="str">
        <f>HYPERLINK("https://www.boe.es/gazeta/dias/1839/07/16/pdfs/GMD-1839-1704.pdf#page=2","Abrir facsímil")</f>
        <v>Abrir facsímil</v>
      </c>
      <c r="K5396" s="12" t="s">
        <v>65</v>
      </c>
    </row>
    <row r="5397" spans="1:11" ht="40.049999999999997" customHeight="1" x14ac:dyDescent="0.25">
      <c r="A5397" s="11" t="s">
        <v>11740</v>
      </c>
      <c r="B5397" s="11" t="s">
        <v>11741</v>
      </c>
      <c r="C5397" s="11" t="s">
        <v>59</v>
      </c>
      <c r="D5397" s="11" t="s">
        <v>60</v>
      </c>
      <c r="E5397" s="12" t="s">
        <v>685</v>
      </c>
      <c r="F5397" s="12" t="s">
        <v>686</v>
      </c>
      <c r="G5397" s="12" t="s">
        <v>21</v>
      </c>
      <c r="H5397" s="11" t="s">
        <v>63</v>
      </c>
      <c r="I5397" s="13" t="s">
        <v>11742</v>
      </c>
      <c r="J5397" s="14" t="str">
        <f>HYPERLINK("https://www.boe.es/gazeta/dias/1839/06/18/pdfs/GMD-1839-1676.pdf#page=4","Abrir facsímil")</f>
        <v>Abrir facsímil</v>
      </c>
      <c r="K5397" s="12" t="s">
        <v>65</v>
      </c>
    </row>
    <row r="5398" spans="1:11" ht="40.049999999999997" customHeight="1" x14ac:dyDescent="0.25">
      <c r="A5398" s="11" t="s">
        <v>11743</v>
      </c>
      <c r="B5398" s="11" t="s">
        <v>11744</v>
      </c>
      <c r="C5398" s="11" t="s">
        <v>17</v>
      </c>
      <c r="D5398" s="11" t="s">
        <v>18</v>
      </c>
      <c r="E5398" s="12" t="s">
        <v>355</v>
      </c>
      <c r="F5398" s="12" t="s">
        <v>356</v>
      </c>
      <c r="G5398" s="12" t="s">
        <v>40</v>
      </c>
      <c r="H5398" s="11" t="s">
        <v>63</v>
      </c>
      <c r="I5398" s="13" t="s">
        <v>11745</v>
      </c>
      <c r="J5398" s="14" t="str">
        <f>HYPERLINK("https://www.boe.es/gazeta/dias/1839/05/31/pdfs/GMD-1839-1658.pdf#page=2","Abrir facsímil")</f>
        <v>Abrir facsímil</v>
      </c>
      <c r="K5398" s="12" t="s">
        <v>65</v>
      </c>
    </row>
    <row r="5399" spans="1:11" ht="40.049999999999997" customHeight="1" x14ac:dyDescent="0.25">
      <c r="A5399" s="11" t="s">
        <v>11746</v>
      </c>
      <c r="B5399" s="11" t="s">
        <v>11747</v>
      </c>
      <c r="C5399" s="11" t="s">
        <v>137</v>
      </c>
      <c r="D5399" s="11" t="s">
        <v>18</v>
      </c>
      <c r="E5399" s="12" t="s">
        <v>266</v>
      </c>
      <c r="F5399" s="12" t="s">
        <v>267</v>
      </c>
      <c r="G5399" s="12" t="s">
        <v>29</v>
      </c>
      <c r="H5399" s="11" t="s">
        <v>63</v>
      </c>
      <c r="I5399" s="13" t="s">
        <v>11748</v>
      </c>
      <c r="J5399" s="14" t="str">
        <f>HYPERLINK("https://www.boe.es/gazeta/dias/1839/01/03/pdfs/GMD-1839-1510.pdf#page=1","Abrir facsímil")</f>
        <v>Abrir facsímil</v>
      </c>
      <c r="K5399" s="12" t="s">
        <v>65</v>
      </c>
    </row>
    <row r="5400" spans="1:11" ht="40.049999999999997" customHeight="1" x14ac:dyDescent="0.25">
      <c r="A5400" s="11" t="s">
        <v>11746</v>
      </c>
      <c r="B5400" s="11" t="s">
        <v>11747</v>
      </c>
      <c r="C5400" s="11" t="s">
        <v>101</v>
      </c>
      <c r="D5400" s="11" t="s">
        <v>102</v>
      </c>
      <c r="E5400" s="12" t="s">
        <v>1614</v>
      </c>
      <c r="F5400" s="12" t="s">
        <v>1615</v>
      </c>
      <c r="G5400" s="12" t="s">
        <v>29</v>
      </c>
      <c r="H5400" s="11" t="s">
        <v>63</v>
      </c>
      <c r="I5400" s="13" t="s">
        <v>11749</v>
      </c>
      <c r="J5400" s="14" t="str">
        <f>HYPERLINK("https://www.boe.es/gazeta/dias/1839/07/03/pdfs/GMD-1839-1691.pdf#page=1","Abrir facsímil")</f>
        <v>Abrir facsímil</v>
      </c>
      <c r="K5400" s="12" t="s">
        <v>65</v>
      </c>
    </row>
    <row r="5401" spans="1:11" ht="40.049999999999997" customHeight="1" x14ac:dyDescent="0.25">
      <c r="A5401" s="11" t="s">
        <v>11746</v>
      </c>
      <c r="B5401" s="11" t="s">
        <v>11747</v>
      </c>
      <c r="C5401" s="11" t="s">
        <v>101</v>
      </c>
      <c r="D5401" s="11" t="s">
        <v>102</v>
      </c>
      <c r="E5401" s="12" t="s">
        <v>3566</v>
      </c>
      <c r="F5401" s="12" t="s">
        <v>3567</v>
      </c>
      <c r="G5401" s="12" t="s">
        <v>29</v>
      </c>
      <c r="H5401" s="11" t="s">
        <v>63</v>
      </c>
      <c r="I5401" s="13" t="s">
        <v>11750</v>
      </c>
      <c r="J5401" s="14" t="str">
        <f>HYPERLINK("https://www.boe.es/gazeta/dias/1839/07/06/pdfs/GMD-1839-1694.pdf#page=1","Abrir facsímil")</f>
        <v>Abrir facsímil</v>
      </c>
      <c r="K5401" s="12" t="s">
        <v>65</v>
      </c>
    </row>
    <row r="5402" spans="1:11" ht="40.049999999999997" customHeight="1" x14ac:dyDescent="0.25">
      <c r="A5402" s="11" t="s">
        <v>11746</v>
      </c>
      <c r="B5402" s="11" t="s">
        <v>11747</v>
      </c>
      <c r="C5402" s="11" t="s">
        <v>59</v>
      </c>
      <c r="D5402" s="11" t="s">
        <v>60</v>
      </c>
      <c r="E5402" s="12" t="s">
        <v>388</v>
      </c>
      <c r="F5402" s="12" t="s">
        <v>389</v>
      </c>
      <c r="G5402" s="12" t="s">
        <v>29</v>
      </c>
      <c r="H5402" s="11" t="s">
        <v>63</v>
      </c>
      <c r="I5402" s="13" t="s">
        <v>11751</v>
      </c>
      <c r="J5402" s="14" t="str">
        <f>HYPERLINK("https://www.boe.es/gazeta/dias/1839/08/07/pdfs/GMD-1839-1727.pdf#page=1","Abrir facsímil")</f>
        <v>Abrir facsímil</v>
      </c>
      <c r="K5402" s="12" t="s">
        <v>65</v>
      </c>
    </row>
    <row r="5403" spans="1:11" ht="40.049999999999997" customHeight="1" x14ac:dyDescent="0.25">
      <c r="A5403" s="11" t="s">
        <v>11746</v>
      </c>
      <c r="B5403" s="11" t="s">
        <v>11747</v>
      </c>
      <c r="C5403" s="11" t="s">
        <v>17</v>
      </c>
      <c r="D5403" s="11" t="s">
        <v>18</v>
      </c>
      <c r="E5403" s="12" t="s">
        <v>121</v>
      </c>
      <c r="F5403" s="12" t="s">
        <v>122</v>
      </c>
      <c r="G5403" s="12" t="s">
        <v>29</v>
      </c>
      <c r="H5403" s="11" t="s">
        <v>63</v>
      </c>
      <c r="I5403" s="13" t="s">
        <v>11752</v>
      </c>
      <c r="J5403" s="14" t="str">
        <f>HYPERLINK("https://www.boe.es/gazeta/dias/1839/06/08/pdfs/GMD-1839-1666.pdf#page=1","Abrir facsímil")</f>
        <v>Abrir facsímil</v>
      </c>
      <c r="K5403" s="12" t="s">
        <v>65</v>
      </c>
    </row>
    <row r="5404" spans="1:11" ht="40.049999999999997" customHeight="1" x14ac:dyDescent="0.25">
      <c r="A5404" s="11" t="s">
        <v>11746</v>
      </c>
      <c r="B5404" s="11" t="s">
        <v>11747</v>
      </c>
      <c r="C5404" s="11" t="s">
        <v>17</v>
      </c>
      <c r="D5404" s="11" t="s">
        <v>18</v>
      </c>
      <c r="E5404" s="12" t="s">
        <v>984</v>
      </c>
      <c r="F5404" s="12" t="s">
        <v>985</v>
      </c>
      <c r="G5404" s="12" t="s">
        <v>29</v>
      </c>
      <c r="H5404" s="11" t="s">
        <v>63</v>
      </c>
      <c r="I5404" s="13" t="s">
        <v>11753</v>
      </c>
      <c r="J5404" s="14" t="str">
        <f>HYPERLINK("https://www.boe.es/gazeta/dias/1839/04/10/pdfs/GMD-1839-1607.pdf#page=1","Abrir facsímil")</f>
        <v>Abrir facsímil</v>
      </c>
      <c r="K5404" s="12" t="s">
        <v>65</v>
      </c>
    </row>
    <row r="5405" spans="1:11" ht="40.049999999999997" customHeight="1" x14ac:dyDescent="0.25">
      <c r="A5405" s="11" t="s">
        <v>11746</v>
      </c>
      <c r="B5405" s="11" t="s">
        <v>11747</v>
      </c>
      <c r="C5405" s="11" t="s">
        <v>80</v>
      </c>
      <c r="D5405" s="11" t="s">
        <v>18</v>
      </c>
      <c r="E5405" s="12" t="s">
        <v>527</v>
      </c>
      <c r="F5405" s="12" t="s">
        <v>528</v>
      </c>
      <c r="G5405" s="12" t="s">
        <v>29</v>
      </c>
      <c r="H5405" s="11" t="s">
        <v>63</v>
      </c>
      <c r="I5405" s="13" t="s">
        <v>11754</v>
      </c>
      <c r="J5405" s="14" t="str">
        <f>HYPERLINK("https://www.boe.es/gazeta/dias/1839/07/10/pdfs/GMD-1839-1698.pdf#page=1","Abrir facsímil")</f>
        <v>Abrir facsímil</v>
      </c>
      <c r="K5405" s="12" t="s">
        <v>65</v>
      </c>
    </row>
    <row r="5406" spans="1:11" ht="40.049999999999997" customHeight="1" x14ac:dyDescent="0.25">
      <c r="A5406" s="11" t="s">
        <v>11746</v>
      </c>
      <c r="B5406" s="11" t="s">
        <v>11747</v>
      </c>
      <c r="C5406" s="11" t="s">
        <v>80</v>
      </c>
      <c r="D5406" s="11" t="s">
        <v>18</v>
      </c>
      <c r="E5406" s="12" t="s">
        <v>1123</v>
      </c>
      <c r="F5406" s="12" t="s">
        <v>1124</v>
      </c>
      <c r="G5406" s="12" t="s">
        <v>29</v>
      </c>
      <c r="H5406" s="11" t="s">
        <v>63</v>
      </c>
      <c r="I5406" s="13" t="s">
        <v>11755</v>
      </c>
      <c r="J5406" s="14" t="str">
        <f>HYPERLINK("https://www.boe.es/gazeta/dias/1839/08/10/pdfs/GMD-1839-1730.pdf#page=1","Abrir facsímil")</f>
        <v>Abrir facsímil</v>
      </c>
      <c r="K5406" s="12" t="s">
        <v>65</v>
      </c>
    </row>
    <row r="5407" spans="1:11" ht="40.049999999999997" customHeight="1" x14ac:dyDescent="0.25">
      <c r="A5407" s="11" t="s">
        <v>11746</v>
      </c>
      <c r="B5407" s="11" t="s">
        <v>11747</v>
      </c>
      <c r="C5407" s="11" t="s">
        <v>80</v>
      </c>
      <c r="D5407" s="11" t="s">
        <v>18</v>
      </c>
      <c r="E5407" s="12" t="s">
        <v>320</v>
      </c>
      <c r="F5407" s="12" t="s">
        <v>321</v>
      </c>
      <c r="G5407" s="12" t="s">
        <v>29</v>
      </c>
      <c r="H5407" s="11" t="s">
        <v>63</v>
      </c>
      <c r="I5407" s="13" t="s">
        <v>11756</v>
      </c>
      <c r="J5407" s="14" t="str">
        <f>HYPERLINK("https://www.boe.es/gazeta/dias/1839/05/11/pdfs/GMD-1839-1638.pdf#page=1","Abrir facsímil")</f>
        <v>Abrir facsímil</v>
      </c>
      <c r="K5407" s="12" t="s">
        <v>65</v>
      </c>
    </row>
    <row r="5408" spans="1:11" ht="40.049999999999997" customHeight="1" x14ac:dyDescent="0.25">
      <c r="A5408" s="11" t="s">
        <v>11746</v>
      </c>
      <c r="B5408" s="11" t="s">
        <v>11747</v>
      </c>
      <c r="C5408" s="11" t="s">
        <v>101</v>
      </c>
      <c r="D5408" s="11" t="s">
        <v>102</v>
      </c>
      <c r="E5408" s="12" t="s">
        <v>1076</v>
      </c>
      <c r="F5408" s="12" t="s">
        <v>1077</v>
      </c>
      <c r="G5408" s="12" t="s">
        <v>29</v>
      </c>
      <c r="H5408" s="11" t="s">
        <v>63</v>
      </c>
      <c r="I5408" s="13" t="s">
        <v>11757</v>
      </c>
      <c r="J5408" s="14" t="str">
        <f>HYPERLINK("https://www.boe.es/gazeta/dias/1839/10/19/pdfs/GMD-1839-1805.pdf#page=1","Abrir facsímil")</f>
        <v>Abrir facsímil</v>
      </c>
      <c r="K5408" s="12" t="s">
        <v>65</v>
      </c>
    </row>
    <row r="5409" spans="1:11" ht="40.049999999999997" customHeight="1" x14ac:dyDescent="0.25">
      <c r="A5409" s="11" t="s">
        <v>11746</v>
      </c>
      <c r="B5409" s="11" t="s">
        <v>11747</v>
      </c>
      <c r="C5409" s="11" t="s">
        <v>59</v>
      </c>
      <c r="D5409" s="11" t="s">
        <v>60</v>
      </c>
      <c r="E5409" s="12" t="s">
        <v>7119</v>
      </c>
      <c r="F5409" s="12" t="s">
        <v>7120</v>
      </c>
      <c r="G5409" s="12" t="s">
        <v>29</v>
      </c>
      <c r="H5409" s="11" t="s">
        <v>63</v>
      </c>
      <c r="I5409" s="13" t="s">
        <v>11758</v>
      </c>
      <c r="J5409" s="14" t="str">
        <f>HYPERLINK("https://www.boe.es/gazeta/dias/1839/05/22/pdfs/GMD-1839-1649.pdf#page=1","Abrir facsímil")</f>
        <v>Abrir facsímil</v>
      </c>
      <c r="K5409" s="12" t="s">
        <v>65</v>
      </c>
    </row>
    <row r="5410" spans="1:11" ht="40.049999999999997" customHeight="1" x14ac:dyDescent="0.25">
      <c r="A5410" s="11" t="s">
        <v>11746</v>
      </c>
      <c r="B5410" s="11" t="s">
        <v>11747</v>
      </c>
      <c r="C5410" s="11" t="s">
        <v>59</v>
      </c>
      <c r="D5410" s="11" t="s">
        <v>60</v>
      </c>
      <c r="E5410" s="12" t="s">
        <v>222</v>
      </c>
      <c r="F5410" s="12" t="s">
        <v>223</v>
      </c>
      <c r="G5410" s="12" t="s">
        <v>29</v>
      </c>
      <c r="H5410" s="11" t="s">
        <v>63</v>
      </c>
      <c r="I5410" s="13" t="s">
        <v>11759</v>
      </c>
      <c r="J5410" s="14" t="str">
        <f>HYPERLINK("https://www.boe.es/gazeta/dias/1839/06/22/pdfs/GMD-1839-1680.pdf#page=1","Abrir facsímil")</f>
        <v>Abrir facsímil</v>
      </c>
      <c r="K5410" s="12" t="s">
        <v>65</v>
      </c>
    </row>
    <row r="5411" spans="1:11" ht="40.049999999999997" customHeight="1" x14ac:dyDescent="0.25">
      <c r="A5411" s="11" t="s">
        <v>11746</v>
      </c>
      <c r="B5411" s="11" t="s">
        <v>11747</v>
      </c>
      <c r="C5411" s="11" t="s">
        <v>17</v>
      </c>
      <c r="D5411" s="11" t="s">
        <v>18</v>
      </c>
      <c r="E5411" s="12" t="s">
        <v>1208</v>
      </c>
      <c r="F5411" s="12" t="s">
        <v>1209</v>
      </c>
      <c r="G5411" s="12" t="s">
        <v>29</v>
      </c>
      <c r="H5411" s="11" t="s">
        <v>63</v>
      </c>
      <c r="I5411" s="13" t="s">
        <v>11760</v>
      </c>
      <c r="J5411" s="14" t="str">
        <f>HYPERLINK("https://www.boe.es/gazeta/dias/1839/04/24/pdfs/GMD-1839-1621.pdf#page=1","Abrir facsímil")</f>
        <v>Abrir facsímil</v>
      </c>
      <c r="K5411" s="12" t="s">
        <v>65</v>
      </c>
    </row>
    <row r="5412" spans="1:11" ht="40.049999999999997" customHeight="1" x14ac:dyDescent="0.25">
      <c r="A5412" s="11" t="s">
        <v>11746</v>
      </c>
      <c r="B5412" s="11" t="s">
        <v>11747</v>
      </c>
      <c r="C5412" s="11" t="s">
        <v>17</v>
      </c>
      <c r="D5412" s="11" t="s">
        <v>18</v>
      </c>
      <c r="E5412" s="12" t="s">
        <v>1395</v>
      </c>
      <c r="F5412" s="12" t="s">
        <v>1396</v>
      </c>
      <c r="G5412" s="12" t="s">
        <v>29</v>
      </c>
      <c r="H5412" s="11" t="s">
        <v>63</v>
      </c>
      <c r="I5412" s="13" t="s">
        <v>11761</v>
      </c>
      <c r="J5412" s="14" t="str">
        <f>HYPERLINK("https://www.boe.es/gazeta/dias/1839/06/26/pdfs/GMD-1839-1684.pdf#page=1","Abrir facsímil")</f>
        <v>Abrir facsímil</v>
      </c>
      <c r="K5412" s="12" t="s">
        <v>65</v>
      </c>
    </row>
    <row r="5413" spans="1:11" ht="40.049999999999997" customHeight="1" x14ac:dyDescent="0.25">
      <c r="A5413" s="11" t="s">
        <v>11746</v>
      </c>
      <c r="B5413" s="11" t="s">
        <v>11747</v>
      </c>
      <c r="C5413" s="11" t="s">
        <v>59</v>
      </c>
      <c r="D5413" s="11" t="s">
        <v>60</v>
      </c>
      <c r="E5413" s="12" t="s">
        <v>907</v>
      </c>
      <c r="F5413" s="12" t="s">
        <v>908</v>
      </c>
      <c r="G5413" s="12" t="s">
        <v>29</v>
      </c>
      <c r="H5413" s="11" t="s">
        <v>63</v>
      </c>
      <c r="I5413" s="13" t="s">
        <v>11762</v>
      </c>
      <c r="J5413" s="14" t="str">
        <f>HYPERLINK("https://www.boe.es/gazeta/dias/1839/07/31/pdfs/GMD-1839-1720.pdf#page=1","Abrir facsímil")</f>
        <v>Abrir facsímil</v>
      </c>
      <c r="K5413" s="12" t="s">
        <v>65</v>
      </c>
    </row>
    <row r="5414" spans="1:11" ht="40.049999999999997" customHeight="1" x14ac:dyDescent="0.25">
      <c r="A5414" s="11" t="s">
        <v>11763</v>
      </c>
      <c r="B5414" s="11" t="s">
        <v>11764</v>
      </c>
      <c r="C5414" s="11" t="s">
        <v>17</v>
      </c>
      <c r="D5414" s="11" t="s">
        <v>18</v>
      </c>
      <c r="E5414" s="12" t="s">
        <v>1108</v>
      </c>
      <c r="F5414" s="12" t="s">
        <v>1109</v>
      </c>
      <c r="G5414" s="12" t="s">
        <v>40</v>
      </c>
      <c r="H5414" s="11" t="s">
        <v>63</v>
      </c>
      <c r="I5414" s="13" t="s">
        <v>11765</v>
      </c>
      <c r="J5414" s="14" t="str">
        <f>HYPERLINK("https://www.boe.es/gazeta/dias/1839/09/21/pdfs/GMD-1839-1776.pdf#page=2","Abrir facsímil")</f>
        <v>Abrir facsímil</v>
      </c>
      <c r="K5414" s="12" t="s">
        <v>65</v>
      </c>
    </row>
    <row r="5415" spans="1:11" ht="40.049999999999997" customHeight="1" x14ac:dyDescent="0.25">
      <c r="A5415" s="11" t="s">
        <v>11766</v>
      </c>
      <c r="B5415" s="11" t="s">
        <v>11767</v>
      </c>
      <c r="C5415" s="11" t="s">
        <v>59</v>
      </c>
      <c r="D5415" s="11" t="s">
        <v>60</v>
      </c>
      <c r="E5415" s="12" t="s">
        <v>3236</v>
      </c>
      <c r="F5415" s="12" t="s">
        <v>3237</v>
      </c>
      <c r="G5415" s="12" t="s">
        <v>46</v>
      </c>
      <c r="H5415" s="11" t="s">
        <v>63</v>
      </c>
      <c r="I5415" s="13" t="s">
        <v>11768</v>
      </c>
      <c r="J5415" s="14" t="str">
        <f>HYPERLINK("https://www.boe.es/gazeta/dias/1839/12/03/pdfs/GMD-1839-1850.pdf#page=3","Abrir facsímil")</f>
        <v>Abrir facsímil</v>
      </c>
      <c r="K5415" s="12" t="s">
        <v>65</v>
      </c>
    </row>
    <row r="5416" spans="1:11" ht="40.049999999999997" customHeight="1" x14ac:dyDescent="0.25">
      <c r="A5416" s="11" t="s">
        <v>11769</v>
      </c>
      <c r="B5416" s="11" t="s">
        <v>11770</v>
      </c>
      <c r="C5416" s="11" t="s">
        <v>59</v>
      </c>
      <c r="D5416" s="11" t="s">
        <v>60</v>
      </c>
      <c r="E5416" s="12" t="s">
        <v>1588</v>
      </c>
      <c r="F5416" s="12" t="s">
        <v>1589</v>
      </c>
      <c r="G5416" s="12" t="s">
        <v>29</v>
      </c>
      <c r="H5416" s="11" t="s">
        <v>63</v>
      </c>
      <c r="I5416" s="13" t="s">
        <v>11771</v>
      </c>
      <c r="J5416" s="14" t="str">
        <f>HYPERLINK("https://www.boe.es/gazeta/dias/1839/07/27/pdfs/GMD-1839-1716.pdf#page=1","Abrir facsímil")</f>
        <v>Abrir facsímil</v>
      </c>
      <c r="K5416" s="12" t="s">
        <v>65</v>
      </c>
    </row>
    <row r="5417" spans="1:11" ht="40.049999999999997" customHeight="1" x14ac:dyDescent="0.25">
      <c r="A5417" s="11" t="s">
        <v>11772</v>
      </c>
      <c r="B5417" s="11" t="s">
        <v>11773</v>
      </c>
      <c r="C5417" s="11" t="s">
        <v>17</v>
      </c>
      <c r="D5417" s="11" t="s">
        <v>18</v>
      </c>
      <c r="E5417" s="12" t="s">
        <v>2482</v>
      </c>
      <c r="F5417" s="12" t="s">
        <v>2483</v>
      </c>
      <c r="G5417" s="12" t="s">
        <v>46</v>
      </c>
      <c r="H5417" s="11" t="s">
        <v>63</v>
      </c>
      <c r="I5417" s="13" t="s">
        <v>11774</v>
      </c>
      <c r="J5417" s="14" t="str">
        <f>HYPERLINK("https://www.boe.es/gazeta/dias/1839/07/07/pdfs/GMD-1839-1695.pdf#page=3","Abrir facsímil")</f>
        <v>Abrir facsímil</v>
      </c>
      <c r="K5417" s="12" t="s">
        <v>65</v>
      </c>
    </row>
    <row r="5418" spans="1:11" ht="40.049999999999997" customHeight="1" x14ac:dyDescent="0.25">
      <c r="A5418" s="11" t="s">
        <v>11775</v>
      </c>
      <c r="B5418" s="11" t="s">
        <v>11776</v>
      </c>
      <c r="C5418" s="11" t="s">
        <v>137</v>
      </c>
      <c r="D5418" s="11" t="s">
        <v>18</v>
      </c>
      <c r="E5418" s="12" t="s">
        <v>1310</v>
      </c>
      <c r="F5418" s="12" t="s">
        <v>1311</v>
      </c>
      <c r="G5418" s="12" t="s">
        <v>40</v>
      </c>
      <c r="H5418" s="11" t="s">
        <v>63</v>
      </c>
      <c r="I5418" s="13" t="s">
        <v>11777</v>
      </c>
      <c r="J5418" s="14" t="str">
        <f>HYPERLINK("https://www.boe.es/gazeta/dias/1839/04/23/pdfs/GMD-1839-1620.pdf#page=2","Abrir facsímil")</f>
        <v>Abrir facsímil</v>
      </c>
      <c r="K5418" s="12" t="s">
        <v>65</v>
      </c>
    </row>
    <row r="5419" spans="1:11" ht="40.049999999999997" customHeight="1" x14ac:dyDescent="0.25">
      <c r="A5419" s="11" t="s">
        <v>11778</v>
      </c>
      <c r="B5419" s="11" t="s">
        <v>11779</v>
      </c>
      <c r="C5419" s="11" t="s">
        <v>17</v>
      </c>
      <c r="D5419" s="11" t="s">
        <v>18</v>
      </c>
      <c r="E5419" s="12" t="s">
        <v>1012</v>
      </c>
      <c r="F5419" s="12" t="s">
        <v>1013</v>
      </c>
      <c r="G5419" s="12" t="s">
        <v>46</v>
      </c>
      <c r="H5419" s="11" t="s">
        <v>63</v>
      </c>
      <c r="I5419" s="13" t="s">
        <v>11780</v>
      </c>
      <c r="J5419" s="14" t="str">
        <f>HYPERLINK("https://www.boe.es/gazeta/dias/1839/11/22/pdfs/GMD-1839-1839.pdf#page=3","Abrir facsímil")</f>
        <v>Abrir facsímil</v>
      </c>
      <c r="K5419" s="12" t="s">
        <v>65</v>
      </c>
    </row>
    <row r="5420" spans="1:11" ht="40.049999999999997" customHeight="1" x14ac:dyDescent="0.25">
      <c r="A5420" s="11" t="s">
        <v>11781</v>
      </c>
      <c r="B5420" s="11" t="s">
        <v>11782</v>
      </c>
      <c r="C5420" s="11" t="s">
        <v>17</v>
      </c>
      <c r="D5420" s="11" t="s">
        <v>18</v>
      </c>
      <c r="E5420" s="12" t="s">
        <v>2962</v>
      </c>
      <c r="F5420" s="12" t="s">
        <v>2963</v>
      </c>
      <c r="G5420" s="12" t="s">
        <v>46</v>
      </c>
      <c r="H5420" s="11" t="s">
        <v>63</v>
      </c>
      <c r="I5420" s="13" t="s">
        <v>11783</v>
      </c>
      <c r="J5420" s="14" t="str">
        <f>HYPERLINK("https://www.boe.es/gazeta/dias/1839/12/21/pdfs/GMD-1839-1868.pdf#page=3","Abrir facsímil")</f>
        <v>Abrir facsímil</v>
      </c>
      <c r="K5420" s="12" t="s">
        <v>65</v>
      </c>
    </row>
    <row r="5421" spans="1:11" ht="40.049999999999997" customHeight="1" x14ac:dyDescent="0.25">
      <c r="A5421" s="11" t="s">
        <v>11784</v>
      </c>
      <c r="B5421" s="11" t="s">
        <v>11785</v>
      </c>
      <c r="C5421" s="11" t="s">
        <v>17</v>
      </c>
      <c r="D5421" s="11" t="s">
        <v>18</v>
      </c>
      <c r="E5421" s="12" t="s">
        <v>892</v>
      </c>
      <c r="F5421" s="12" t="s">
        <v>893</v>
      </c>
      <c r="G5421" s="12" t="s">
        <v>21</v>
      </c>
      <c r="H5421" s="11" t="s">
        <v>63</v>
      </c>
      <c r="I5421" s="13" t="s">
        <v>11786</v>
      </c>
      <c r="J5421" s="14" t="str">
        <f>HYPERLINK("https://www.boe.es/gazeta/dias/1839/12/28/pdfs/GMD-1839-1875.pdf#page=4","Abrir facsímil")</f>
        <v>Abrir facsímil</v>
      </c>
      <c r="K5421" s="12" t="s">
        <v>65</v>
      </c>
    </row>
    <row r="5422" spans="1:11" ht="40.049999999999997" customHeight="1" x14ac:dyDescent="0.25">
      <c r="A5422" s="11" t="s">
        <v>11787</v>
      </c>
      <c r="B5422" s="11" t="s">
        <v>11788</v>
      </c>
      <c r="C5422" s="11" t="s">
        <v>17</v>
      </c>
      <c r="D5422" s="11" t="s">
        <v>18</v>
      </c>
      <c r="E5422" s="12" t="s">
        <v>160</v>
      </c>
      <c r="F5422" s="12" t="s">
        <v>161</v>
      </c>
      <c r="G5422" s="12" t="s">
        <v>40</v>
      </c>
      <c r="H5422" s="11" t="s">
        <v>63</v>
      </c>
      <c r="I5422" s="13" t="s">
        <v>11789</v>
      </c>
      <c r="J5422" s="14" t="str">
        <f>HYPERLINK("https://www.boe.es/gazeta/dias/1839/01/10/pdfs/GMD-1839-1517.pdf#page=2","Abrir facsímil")</f>
        <v>Abrir facsímil</v>
      </c>
      <c r="K5422" s="12" t="s">
        <v>65</v>
      </c>
    </row>
    <row r="5423" spans="1:11" ht="40.049999999999997" customHeight="1" x14ac:dyDescent="0.25">
      <c r="A5423" s="11" t="s">
        <v>11790</v>
      </c>
      <c r="B5423" s="11" t="s">
        <v>11791</v>
      </c>
      <c r="C5423" s="11" t="s">
        <v>80</v>
      </c>
      <c r="D5423" s="11" t="s">
        <v>18</v>
      </c>
      <c r="E5423" s="12" t="s">
        <v>2650</v>
      </c>
      <c r="F5423" s="12" t="s">
        <v>2651</v>
      </c>
      <c r="G5423" s="12" t="s">
        <v>21</v>
      </c>
      <c r="H5423" s="11" t="s">
        <v>63</v>
      </c>
      <c r="I5423" s="13" t="s">
        <v>11792</v>
      </c>
      <c r="J5423" s="14" t="str">
        <f>HYPERLINK("https://www.boe.es/gazeta/dias/1839/09/15/pdfs/GMD-1839-1768.pdf#page=4","Abrir facsímil")</f>
        <v>Abrir facsímil</v>
      </c>
      <c r="K5423" s="12" t="s">
        <v>65</v>
      </c>
    </row>
    <row r="5424" spans="1:11" ht="40.049999999999997" customHeight="1" x14ac:dyDescent="0.25">
      <c r="A5424" s="11" t="s">
        <v>11793</v>
      </c>
      <c r="B5424" s="11" t="s">
        <v>11794</v>
      </c>
      <c r="C5424" s="11" t="s">
        <v>101</v>
      </c>
      <c r="D5424" s="11" t="s">
        <v>43</v>
      </c>
      <c r="E5424" s="12" t="s">
        <v>577</v>
      </c>
      <c r="F5424" s="12" t="s">
        <v>578</v>
      </c>
      <c r="G5424" s="12" t="s">
        <v>40</v>
      </c>
      <c r="H5424" s="11" t="s">
        <v>63</v>
      </c>
      <c r="I5424" s="13" t="s">
        <v>11795</v>
      </c>
      <c r="J5424" s="14" t="str">
        <f>HYPERLINK("https://www.boe.es/gazeta/dias/1839/09/30/pdfs/GMD-1839-1786.pdf#page=2","Abrir facsímil")</f>
        <v>Abrir facsímil</v>
      </c>
      <c r="K5424" s="12" t="s">
        <v>65</v>
      </c>
    </row>
    <row r="5425" spans="1:11" ht="40.049999999999997" customHeight="1" x14ac:dyDescent="0.25">
      <c r="A5425" s="11" t="s">
        <v>11796</v>
      </c>
      <c r="B5425" s="11" t="s">
        <v>11797</v>
      </c>
      <c r="C5425" s="11" t="s">
        <v>17</v>
      </c>
      <c r="D5425" s="11" t="s">
        <v>18</v>
      </c>
      <c r="E5425" s="12" t="s">
        <v>690</v>
      </c>
      <c r="F5425" s="12" t="s">
        <v>691</v>
      </c>
      <c r="G5425" s="12" t="s">
        <v>21</v>
      </c>
      <c r="H5425" s="11" t="s">
        <v>63</v>
      </c>
      <c r="I5425" s="13" t="s">
        <v>11798</v>
      </c>
      <c r="J5425" s="14" t="str">
        <f>HYPERLINK("https://www.boe.es/gazeta/dias/1839/12/08/pdfs/GMD-1839-1855.pdf#page=4","Abrir facsímil")</f>
        <v>Abrir facsímil</v>
      </c>
      <c r="K5425" s="12" t="s">
        <v>65</v>
      </c>
    </row>
    <row r="5426" spans="1:11" ht="40.049999999999997" customHeight="1" x14ac:dyDescent="0.25">
      <c r="A5426" s="11" t="s">
        <v>11796</v>
      </c>
      <c r="B5426" s="11" t="s">
        <v>11797</v>
      </c>
      <c r="C5426" s="11" t="s">
        <v>17</v>
      </c>
      <c r="D5426" s="11" t="s">
        <v>18</v>
      </c>
      <c r="E5426" s="12" t="s">
        <v>233</v>
      </c>
      <c r="F5426" s="12" t="s">
        <v>234</v>
      </c>
      <c r="G5426" s="12" t="s">
        <v>46</v>
      </c>
      <c r="H5426" s="11" t="s">
        <v>63</v>
      </c>
      <c r="I5426" s="13" t="s">
        <v>11799</v>
      </c>
      <c r="J5426" s="14" t="str">
        <f>HYPERLINK("https://www.boe.es/gazeta/dias/1839/09/17/pdfs/GMD-1839-1770.pdf#page=3","Abrir facsímil")</f>
        <v>Abrir facsímil</v>
      </c>
      <c r="K5426" s="12" t="s">
        <v>65</v>
      </c>
    </row>
    <row r="5427" spans="1:11" ht="40.049999999999997" customHeight="1" x14ac:dyDescent="0.25">
      <c r="A5427" s="11" t="s">
        <v>11800</v>
      </c>
      <c r="B5427" s="11" t="s">
        <v>11801</v>
      </c>
      <c r="C5427" s="11" t="s">
        <v>137</v>
      </c>
      <c r="D5427" s="11" t="s">
        <v>18</v>
      </c>
      <c r="E5427" s="12" t="s">
        <v>862</v>
      </c>
      <c r="F5427" s="12" t="s">
        <v>863</v>
      </c>
      <c r="G5427" s="12" t="s">
        <v>46</v>
      </c>
      <c r="H5427" s="11" t="s">
        <v>63</v>
      </c>
      <c r="I5427" s="13" t="s">
        <v>11802</v>
      </c>
      <c r="J5427" s="14" t="str">
        <f>HYPERLINK("https://www.boe.es/gazeta/dias/1839/10/28/pdfs/GMD-1839-1814.pdf#page=3","Abrir facsímil")</f>
        <v>Abrir facsímil</v>
      </c>
      <c r="K5427" s="12" t="s">
        <v>65</v>
      </c>
    </row>
    <row r="5428" spans="1:11" ht="40.049999999999997" customHeight="1" x14ac:dyDescent="0.25">
      <c r="A5428" s="11" t="s">
        <v>11803</v>
      </c>
      <c r="B5428" s="11" t="s">
        <v>11804</v>
      </c>
      <c r="C5428" s="11" t="s">
        <v>80</v>
      </c>
      <c r="D5428" s="11" t="s">
        <v>18</v>
      </c>
      <c r="E5428" s="12" t="s">
        <v>1366</v>
      </c>
      <c r="F5428" s="12" t="s">
        <v>1367</v>
      </c>
      <c r="G5428" s="12" t="s">
        <v>40</v>
      </c>
      <c r="H5428" s="11" t="s">
        <v>63</v>
      </c>
      <c r="I5428" s="13" t="s">
        <v>11805</v>
      </c>
      <c r="J5428" s="14" t="str">
        <f>HYPERLINK("https://www.boe.es/gazeta/dias/1839/09/09/pdfs/GMD-1839-1762.pdf#page=2","Abrir facsímil")</f>
        <v>Abrir facsímil</v>
      </c>
      <c r="K5428" s="12" t="s">
        <v>65</v>
      </c>
    </row>
    <row r="5429" spans="1:11" ht="40.049999999999997" customHeight="1" x14ac:dyDescent="0.25">
      <c r="A5429" s="11" t="s">
        <v>11806</v>
      </c>
      <c r="B5429" s="11" t="s">
        <v>11807</v>
      </c>
      <c r="C5429" s="11" t="s">
        <v>80</v>
      </c>
      <c r="D5429" s="11" t="s">
        <v>18</v>
      </c>
      <c r="E5429" s="12" t="s">
        <v>1057</v>
      </c>
      <c r="F5429" s="12" t="s">
        <v>1058</v>
      </c>
      <c r="G5429" s="12" t="s">
        <v>46</v>
      </c>
      <c r="H5429" s="11" t="s">
        <v>63</v>
      </c>
      <c r="I5429" s="13" t="s">
        <v>11808</v>
      </c>
      <c r="J5429" s="14" t="str">
        <f>HYPERLINK("https://www.boe.es/gazeta/dias/1839/10/01/pdfs/GMD-1839-1787.pdf#page=3","Abrir facsímil")</f>
        <v>Abrir facsímil</v>
      </c>
      <c r="K5429" s="12" t="s">
        <v>65</v>
      </c>
    </row>
    <row r="5430" spans="1:11" ht="40.049999999999997" customHeight="1" x14ac:dyDescent="0.25">
      <c r="A5430" s="11" t="s">
        <v>11806</v>
      </c>
      <c r="B5430" s="11" t="s">
        <v>11807</v>
      </c>
      <c r="C5430" s="11" t="s">
        <v>137</v>
      </c>
      <c r="D5430" s="11" t="s">
        <v>18</v>
      </c>
      <c r="E5430" s="12" t="s">
        <v>266</v>
      </c>
      <c r="F5430" s="12" t="s">
        <v>267</v>
      </c>
      <c r="G5430" s="12" t="s">
        <v>40</v>
      </c>
      <c r="H5430" s="11" t="s">
        <v>63</v>
      </c>
      <c r="I5430" s="13" t="s">
        <v>11809</v>
      </c>
      <c r="J5430" s="14" t="str">
        <f>HYPERLINK("https://www.boe.es/gazeta/dias/1839/01/03/pdfs/GMD-1839-1510.pdf#page=2","Abrir facsímil")</f>
        <v>Abrir facsímil</v>
      </c>
      <c r="K5430" s="12" t="s">
        <v>65</v>
      </c>
    </row>
    <row r="5431" spans="1:11" ht="40.049999999999997" customHeight="1" x14ac:dyDescent="0.25">
      <c r="A5431" s="11" t="s">
        <v>11806</v>
      </c>
      <c r="B5431" s="11" t="s">
        <v>11807</v>
      </c>
      <c r="C5431" s="11" t="s">
        <v>17</v>
      </c>
      <c r="D5431" s="11" t="s">
        <v>18</v>
      </c>
      <c r="E5431" s="12" t="s">
        <v>269</v>
      </c>
      <c r="F5431" s="12" t="s">
        <v>270</v>
      </c>
      <c r="G5431" s="12" t="s">
        <v>40</v>
      </c>
      <c r="H5431" s="11" t="s">
        <v>63</v>
      </c>
      <c r="I5431" s="13" t="s">
        <v>11810</v>
      </c>
      <c r="J5431" s="14" t="str">
        <f>HYPERLINK("https://www.boe.es/gazeta/dias/1839/02/10/pdfs/GMD-1839-1548.pdf#page=2","Abrir facsímil")</f>
        <v>Abrir facsímil</v>
      </c>
      <c r="K5431" s="12" t="s">
        <v>65</v>
      </c>
    </row>
    <row r="5432" spans="1:11" ht="40.049999999999997" customHeight="1" x14ac:dyDescent="0.25">
      <c r="A5432" s="11" t="s">
        <v>11806</v>
      </c>
      <c r="B5432" s="11" t="s">
        <v>11807</v>
      </c>
      <c r="C5432" s="11" t="s">
        <v>17</v>
      </c>
      <c r="D5432" s="11" t="s">
        <v>18</v>
      </c>
      <c r="E5432" s="12" t="s">
        <v>2949</v>
      </c>
      <c r="F5432" s="12" t="s">
        <v>2950</v>
      </c>
      <c r="G5432" s="12" t="s">
        <v>40</v>
      </c>
      <c r="H5432" s="11" t="s">
        <v>63</v>
      </c>
      <c r="I5432" s="13" t="s">
        <v>11811</v>
      </c>
      <c r="J5432" s="14" t="str">
        <f>HYPERLINK("https://www.boe.es/gazeta/dias/1839/10/21/pdfs/GMD-1839-1807.pdf#page=2","Abrir facsímil")</f>
        <v>Abrir facsímil</v>
      </c>
      <c r="K5432" s="12" t="s">
        <v>65</v>
      </c>
    </row>
    <row r="5433" spans="1:11" ht="40.049999999999997" customHeight="1" x14ac:dyDescent="0.25">
      <c r="A5433" s="11" t="s">
        <v>11806</v>
      </c>
      <c r="B5433" s="11" t="s">
        <v>11807</v>
      </c>
      <c r="C5433" s="11" t="s">
        <v>101</v>
      </c>
      <c r="D5433" s="11" t="s">
        <v>43</v>
      </c>
      <c r="E5433" s="12" t="s">
        <v>650</v>
      </c>
      <c r="F5433" s="12" t="s">
        <v>651</v>
      </c>
      <c r="G5433" s="12" t="s">
        <v>21</v>
      </c>
      <c r="H5433" s="11" t="s">
        <v>63</v>
      </c>
      <c r="I5433" s="13" t="s">
        <v>11812</v>
      </c>
      <c r="J5433" s="14" t="str">
        <f>HYPERLINK("https://www.boe.es/gazeta/dias/1839/10/25/pdfs/GMD-1839-1811.pdf#page=4","Abrir facsímil")</f>
        <v>Abrir facsímil</v>
      </c>
      <c r="K5433" s="12" t="s">
        <v>65</v>
      </c>
    </row>
    <row r="5434" spans="1:11" ht="40.049999999999997" customHeight="1" x14ac:dyDescent="0.25">
      <c r="A5434" s="11" t="s">
        <v>11806</v>
      </c>
      <c r="B5434" s="11" t="s">
        <v>11807</v>
      </c>
      <c r="C5434" s="11" t="s">
        <v>137</v>
      </c>
      <c r="D5434" s="11" t="s">
        <v>18</v>
      </c>
      <c r="E5434" s="12" t="s">
        <v>862</v>
      </c>
      <c r="F5434" s="12" t="s">
        <v>863</v>
      </c>
      <c r="G5434" s="12" t="s">
        <v>566</v>
      </c>
      <c r="H5434" s="11" t="s">
        <v>63</v>
      </c>
      <c r="I5434" s="13" t="s">
        <v>11813</v>
      </c>
      <c r="J5434" s="14" t="str">
        <f>HYPERLINK("https://www.boe.es/gazeta/dias/1839/10/28/pdfs/GMD-1839-1814.pdf#page=5","Abrir facsímil")</f>
        <v>Abrir facsímil</v>
      </c>
      <c r="K5434" s="12" t="s">
        <v>65</v>
      </c>
    </row>
    <row r="5435" spans="1:11" ht="40.049999999999997" customHeight="1" x14ac:dyDescent="0.25">
      <c r="A5435" s="11" t="s">
        <v>11814</v>
      </c>
      <c r="B5435" s="11" t="s">
        <v>11815</v>
      </c>
      <c r="C5435" s="11" t="s">
        <v>17</v>
      </c>
      <c r="D5435" s="11" t="s">
        <v>18</v>
      </c>
      <c r="E5435" s="12" t="s">
        <v>577</v>
      </c>
      <c r="F5435" s="12" t="s">
        <v>578</v>
      </c>
      <c r="G5435" s="12" t="s">
        <v>40</v>
      </c>
      <c r="H5435" s="11" t="s">
        <v>63</v>
      </c>
      <c r="I5435" s="13" t="s">
        <v>11816</v>
      </c>
      <c r="J5435" s="14" t="str">
        <f>HYPERLINK("https://www.boe.es/gazeta/dias/1839/09/30/pdfs/GMD-1839-1786.pdf#page=2","Abrir facsímil")</f>
        <v>Abrir facsímil</v>
      </c>
      <c r="K5435" s="12" t="s">
        <v>65</v>
      </c>
    </row>
    <row r="5436" spans="1:11" ht="40.049999999999997" customHeight="1" x14ac:dyDescent="0.25">
      <c r="A5436" s="11" t="s">
        <v>11817</v>
      </c>
      <c r="B5436" s="11" t="s">
        <v>11818</v>
      </c>
      <c r="C5436" s="11" t="s">
        <v>137</v>
      </c>
      <c r="D5436" s="11" t="s">
        <v>18</v>
      </c>
      <c r="E5436" s="12" t="s">
        <v>125</v>
      </c>
      <c r="F5436" s="12" t="s">
        <v>126</v>
      </c>
      <c r="G5436" s="12" t="s">
        <v>29</v>
      </c>
      <c r="H5436" s="11" t="s">
        <v>63</v>
      </c>
      <c r="I5436" s="13" t="s">
        <v>11819</v>
      </c>
      <c r="J5436" s="14" t="str">
        <f>HYPERLINK("https://www.boe.es/gazeta/dias/1839/05/23/pdfs/GMD-1839-1650.pdf#page=1","Abrir facsímil")</f>
        <v>Abrir facsímil</v>
      </c>
      <c r="K5436" s="12" t="s">
        <v>65</v>
      </c>
    </row>
    <row r="5437" spans="1:11" ht="40.049999999999997" customHeight="1" x14ac:dyDescent="0.25">
      <c r="A5437" s="11" t="s">
        <v>11820</v>
      </c>
      <c r="B5437" s="11" t="s">
        <v>11821</v>
      </c>
      <c r="C5437" s="11" t="s">
        <v>59</v>
      </c>
      <c r="D5437" s="11" t="s">
        <v>60</v>
      </c>
      <c r="E5437" s="12" t="s">
        <v>388</v>
      </c>
      <c r="F5437" s="12" t="s">
        <v>389</v>
      </c>
      <c r="G5437" s="12" t="s">
        <v>40</v>
      </c>
      <c r="H5437" s="11" t="s">
        <v>63</v>
      </c>
      <c r="I5437" s="13" t="s">
        <v>11822</v>
      </c>
      <c r="J5437" s="14" t="str">
        <f>HYPERLINK("https://www.boe.es/gazeta/dias/1839/08/07/pdfs/GMD-1839-1727.pdf#page=2","Abrir facsímil")</f>
        <v>Abrir facsímil</v>
      </c>
      <c r="K5437" s="12" t="s">
        <v>65</v>
      </c>
    </row>
    <row r="5438" spans="1:11" ht="40.049999999999997" customHeight="1" x14ac:dyDescent="0.25">
      <c r="A5438" s="11" t="s">
        <v>11823</v>
      </c>
      <c r="B5438" s="11" t="s">
        <v>11824</v>
      </c>
      <c r="C5438" s="11" t="s">
        <v>17</v>
      </c>
      <c r="D5438" s="11" t="s">
        <v>18</v>
      </c>
      <c r="E5438" s="12" t="s">
        <v>2507</v>
      </c>
      <c r="F5438" s="12" t="s">
        <v>2508</v>
      </c>
      <c r="G5438" s="12" t="s">
        <v>46</v>
      </c>
      <c r="H5438" s="11" t="s">
        <v>63</v>
      </c>
      <c r="I5438" s="13" t="s">
        <v>11825</v>
      </c>
      <c r="J5438" s="14" t="str">
        <f>HYPERLINK("https://www.boe.es/gazeta/dias/1839/03/08/pdfs/GMD-1839-1574.pdf#page=3","Abrir facsímil")</f>
        <v>Abrir facsímil</v>
      </c>
      <c r="K5438" s="12" t="s">
        <v>65</v>
      </c>
    </row>
    <row r="5439" spans="1:11" ht="40.049999999999997" customHeight="1" x14ac:dyDescent="0.25">
      <c r="A5439" s="11" t="s">
        <v>11826</v>
      </c>
      <c r="B5439" s="11" t="s">
        <v>11827</v>
      </c>
      <c r="C5439" s="11" t="s">
        <v>101</v>
      </c>
      <c r="D5439" s="11" t="s">
        <v>102</v>
      </c>
      <c r="E5439" s="12" t="s">
        <v>4292</v>
      </c>
      <c r="F5439" s="12" t="s">
        <v>4293</v>
      </c>
      <c r="G5439" s="12" t="s">
        <v>29</v>
      </c>
      <c r="H5439" s="11" t="s">
        <v>63</v>
      </c>
      <c r="I5439" s="13" t="s">
        <v>11828</v>
      </c>
      <c r="J5439" s="14" t="str">
        <f>HYPERLINK("https://www.boe.es/gazeta/dias/1839/11/29/pdfs/GMD-1839-1846.pdf#page=1","Abrir facsímil")</f>
        <v>Abrir facsímil</v>
      </c>
      <c r="K5439" s="12" t="s">
        <v>65</v>
      </c>
    </row>
    <row r="5440" spans="1:11" ht="40.049999999999997" customHeight="1" x14ac:dyDescent="0.25">
      <c r="A5440" s="11" t="s">
        <v>11829</v>
      </c>
      <c r="B5440" s="11" t="s">
        <v>11830</v>
      </c>
      <c r="C5440" s="11" t="s">
        <v>101</v>
      </c>
      <c r="D5440" s="11" t="s">
        <v>102</v>
      </c>
      <c r="E5440" s="12" t="s">
        <v>1725</v>
      </c>
      <c r="F5440" s="12" t="s">
        <v>1726</v>
      </c>
      <c r="G5440" s="12" t="s">
        <v>21</v>
      </c>
      <c r="H5440" s="11" t="s">
        <v>63</v>
      </c>
      <c r="I5440" s="13" t="s">
        <v>11831</v>
      </c>
      <c r="J5440" s="14" t="str">
        <f>HYPERLINK("https://www.boe.es/gazeta/dias/1839/11/17/pdfs/GMD-1839-1834.pdf#page=4","Abrir facsímil")</f>
        <v>Abrir facsímil</v>
      </c>
      <c r="K5440" s="12" t="s">
        <v>65</v>
      </c>
    </row>
    <row r="5441" spans="1:11" ht="40.049999999999997" customHeight="1" x14ac:dyDescent="0.25">
      <c r="A5441" s="11" t="s">
        <v>11832</v>
      </c>
      <c r="B5441" s="11" t="s">
        <v>11833</v>
      </c>
      <c r="C5441" s="11" t="s">
        <v>17</v>
      </c>
      <c r="D5441" s="11" t="s">
        <v>18</v>
      </c>
      <c r="E5441" s="12" t="s">
        <v>2650</v>
      </c>
      <c r="F5441" s="12" t="s">
        <v>2651</v>
      </c>
      <c r="G5441" s="12" t="s">
        <v>40</v>
      </c>
      <c r="H5441" s="11" t="s">
        <v>63</v>
      </c>
      <c r="I5441" s="13" t="s">
        <v>11834</v>
      </c>
      <c r="J5441" s="14" t="str">
        <f>HYPERLINK("https://www.boe.es/gazeta/dias/1839/09/15/pdfs/GMD-1839-1768.pdf#page=2","Abrir facsímil")</f>
        <v>Abrir facsímil</v>
      </c>
      <c r="K5441" s="12" t="s">
        <v>65</v>
      </c>
    </row>
    <row r="5442" spans="1:11" ht="40.049999999999997" customHeight="1" x14ac:dyDescent="0.25">
      <c r="A5442" s="11" t="s">
        <v>11835</v>
      </c>
      <c r="B5442" s="11" t="s">
        <v>11836</v>
      </c>
      <c r="C5442" s="11" t="s">
        <v>17</v>
      </c>
      <c r="D5442" s="11" t="s">
        <v>18</v>
      </c>
      <c r="E5442" s="12" t="s">
        <v>2650</v>
      </c>
      <c r="F5442" s="12" t="s">
        <v>2651</v>
      </c>
      <c r="G5442" s="12" t="s">
        <v>40</v>
      </c>
      <c r="H5442" s="11" t="s">
        <v>63</v>
      </c>
      <c r="I5442" s="13" t="s">
        <v>11837</v>
      </c>
      <c r="J5442" s="14" t="str">
        <f>HYPERLINK("https://www.boe.es/gazeta/dias/1839/09/15/pdfs/GMD-1839-1768.pdf#page=2","Abrir facsímil")</f>
        <v>Abrir facsímil</v>
      </c>
      <c r="K5442" s="12" t="s">
        <v>65</v>
      </c>
    </row>
    <row r="5443" spans="1:11" ht="40.049999999999997" customHeight="1" x14ac:dyDescent="0.25">
      <c r="A5443" s="11" t="s">
        <v>11838</v>
      </c>
      <c r="B5443" s="11" t="s">
        <v>11839</v>
      </c>
      <c r="C5443" s="11" t="s">
        <v>17</v>
      </c>
      <c r="D5443" s="11" t="s">
        <v>18</v>
      </c>
      <c r="E5443" s="12" t="s">
        <v>1414</v>
      </c>
      <c r="F5443" s="12" t="s">
        <v>1415</v>
      </c>
      <c r="G5443" s="12" t="s">
        <v>29</v>
      </c>
      <c r="H5443" s="11" t="s">
        <v>63</v>
      </c>
      <c r="I5443" s="13" t="s">
        <v>11840</v>
      </c>
      <c r="J5443" s="14" t="str">
        <f>HYPERLINK("https://www.boe.es/gazeta/dias/1839/06/12/pdfs/GMD-1839-1670.pdf#page=1","Abrir facsímil")</f>
        <v>Abrir facsímil</v>
      </c>
      <c r="K5443" s="12" t="s">
        <v>65</v>
      </c>
    </row>
    <row r="5444" spans="1:11" ht="40.049999999999997" customHeight="1" x14ac:dyDescent="0.25">
      <c r="A5444" s="11" t="s">
        <v>11841</v>
      </c>
      <c r="B5444" s="11" t="s">
        <v>11842</v>
      </c>
      <c r="C5444" s="11" t="s">
        <v>101</v>
      </c>
      <c r="D5444" s="11" t="s">
        <v>43</v>
      </c>
      <c r="E5444" s="12" t="s">
        <v>157</v>
      </c>
      <c r="F5444" s="12" t="s">
        <v>158</v>
      </c>
      <c r="G5444" s="12" t="s">
        <v>21</v>
      </c>
      <c r="H5444" s="11" t="s">
        <v>63</v>
      </c>
      <c r="I5444" s="13" t="s">
        <v>11843</v>
      </c>
      <c r="J5444" s="14" t="str">
        <f>HYPERLINK("https://www.boe.es/gazeta/dias/1839/02/08/pdfs/GMD-1839-1546.pdf#page=4","Abrir facsímil")</f>
        <v>Abrir facsímil</v>
      </c>
      <c r="K5444" s="12" t="s">
        <v>65</v>
      </c>
    </row>
    <row r="5445" spans="1:11" ht="40.049999999999997" customHeight="1" x14ac:dyDescent="0.25">
      <c r="A5445" s="11" t="s">
        <v>11841</v>
      </c>
      <c r="B5445" s="11" t="s">
        <v>11842</v>
      </c>
      <c r="C5445" s="11" t="s">
        <v>101</v>
      </c>
      <c r="D5445" s="11" t="s">
        <v>43</v>
      </c>
      <c r="E5445" s="12" t="s">
        <v>68</v>
      </c>
      <c r="F5445" s="12" t="s">
        <v>69</v>
      </c>
      <c r="G5445" s="12" t="s">
        <v>40</v>
      </c>
      <c r="H5445" s="11" t="s">
        <v>63</v>
      </c>
      <c r="I5445" s="13" t="s">
        <v>11844</v>
      </c>
      <c r="J5445" s="14" t="str">
        <f>HYPERLINK("https://www.boe.es/gazeta/dias/1839/02/09/pdfs/GMD-1839-1547.pdf#page=2","Abrir facsímil")</f>
        <v>Abrir facsímil</v>
      </c>
      <c r="K5445" s="12" t="s">
        <v>65</v>
      </c>
    </row>
    <row r="5446" spans="1:11" ht="40.049999999999997" customHeight="1" x14ac:dyDescent="0.25">
      <c r="A5446" s="11" t="s">
        <v>11841</v>
      </c>
      <c r="B5446" s="11" t="s">
        <v>11842</v>
      </c>
      <c r="C5446" s="11" t="s">
        <v>101</v>
      </c>
      <c r="D5446" s="11" t="s">
        <v>43</v>
      </c>
      <c r="E5446" s="12" t="s">
        <v>1072</v>
      </c>
      <c r="F5446" s="12" t="s">
        <v>1073</v>
      </c>
      <c r="G5446" s="12" t="s">
        <v>46</v>
      </c>
      <c r="H5446" s="11" t="s">
        <v>63</v>
      </c>
      <c r="I5446" s="13" t="s">
        <v>11845</v>
      </c>
      <c r="J5446" s="14" t="str">
        <f>HYPERLINK("https://www.boe.es/gazeta/dias/1839/01/18/pdfs/GMD-1839-1525.pdf#page=3","Abrir facsímil")</f>
        <v>Abrir facsímil</v>
      </c>
      <c r="K5446" s="12" t="s">
        <v>65</v>
      </c>
    </row>
    <row r="5447" spans="1:11" ht="40.049999999999997" customHeight="1" x14ac:dyDescent="0.25">
      <c r="A5447" s="11" t="s">
        <v>11846</v>
      </c>
      <c r="B5447" s="11" t="s">
        <v>11847</v>
      </c>
      <c r="C5447" s="11" t="s">
        <v>17</v>
      </c>
      <c r="D5447" s="11" t="s">
        <v>18</v>
      </c>
      <c r="E5447" s="12" t="s">
        <v>19</v>
      </c>
      <c r="F5447" s="12" t="s">
        <v>20</v>
      </c>
      <c r="G5447" s="12" t="s">
        <v>46</v>
      </c>
      <c r="H5447" s="11" t="s">
        <v>63</v>
      </c>
      <c r="I5447" s="13" t="s">
        <v>11848</v>
      </c>
      <c r="J5447" s="14" t="str">
        <f>HYPERLINK("https://www.boe.es/gazeta/dias/1839/01/19/pdfs/GMD-1839-1526.pdf#page=3","Abrir facsímil")</f>
        <v>Abrir facsímil</v>
      </c>
      <c r="K5447" s="12" t="s">
        <v>65</v>
      </c>
    </row>
    <row r="5448" spans="1:11" ht="40.049999999999997" customHeight="1" x14ac:dyDescent="0.25">
      <c r="A5448" s="11" t="s">
        <v>11849</v>
      </c>
      <c r="B5448" s="11" t="s">
        <v>11850</v>
      </c>
      <c r="C5448" s="11" t="s">
        <v>101</v>
      </c>
      <c r="D5448" s="11" t="s">
        <v>43</v>
      </c>
      <c r="E5448" s="12" t="s">
        <v>2507</v>
      </c>
      <c r="F5448" s="12" t="s">
        <v>2508</v>
      </c>
      <c r="G5448" s="12" t="s">
        <v>40</v>
      </c>
      <c r="H5448" s="11" t="s">
        <v>63</v>
      </c>
      <c r="I5448" s="13" t="s">
        <v>11851</v>
      </c>
      <c r="J5448" s="14" t="str">
        <f>HYPERLINK("https://www.boe.es/gazeta/dias/1839/03/08/pdfs/GMD-1839-1574.pdf#page=2","Abrir facsímil")</f>
        <v>Abrir facsímil</v>
      </c>
      <c r="K5448" s="12" t="s">
        <v>65</v>
      </c>
    </row>
    <row r="5449" spans="1:11" ht="40.049999999999997" customHeight="1" x14ac:dyDescent="0.25">
      <c r="A5449" s="11" t="s">
        <v>11852</v>
      </c>
      <c r="B5449" s="11" t="s">
        <v>11853</v>
      </c>
      <c r="C5449" s="11" t="s">
        <v>59</v>
      </c>
      <c r="D5449" s="11" t="s">
        <v>60</v>
      </c>
      <c r="E5449" s="12" t="s">
        <v>236</v>
      </c>
      <c r="F5449" s="12" t="s">
        <v>8961</v>
      </c>
      <c r="G5449" s="12" t="s">
        <v>29</v>
      </c>
      <c r="H5449" s="11" t="s">
        <v>63</v>
      </c>
      <c r="I5449" s="13" t="s">
        <v>11854</v>
      </c>
      <c r="J5449" s="14" t="str">
        <f>HYPERLINK("https://www.boe.es/datos/pdfs/BOE//1839/1772/E00001-00001.pdf#page=1","Abrir facsímil")</f>
        <v>Abrir facsímil</v>
      </c>
      <c r="K5449" s="12" t="s">
        <v>65</v>
      </c>
    </row>
    <row r="5450" spans="1:11" ht="40.049999999999997" customHeight="1" x14ac:dyDescent="0.25">
      <c r="A5450" s="11" t="s">
        <v>11855</v>
      </c>
      <c r="B5450" s="11" t="s">
        <v>11856</v>
      </c>
      <c r="C5450" s="11" t="s">
        <v>17</v>
      </c>
      <c r="D5450" s="11" t="s">
        <v>18</v>
      </c>
      <c r="E5450" s="12" t="s">
        <v>4550</v>
      </c>
      <c r="F5450" s="12" t="s">
        <v>4551</v>
      </c>
      <c r="G5450" s="12" t="s">
        <v>46</v>
      </c>
      <c r="H5450" s="11" t="s">
        <v>63</v>
      </c>
      <c r="I5450" s="13" t="s">
        <v>11857</v>
      </c>
      <c r="J5450" s="14" t="str">
        <f>HYPERLINK("https://www.boe.es/gazeta/dias/1839/04/17/pdfs/GMD-1839-1614.pdf#page=3","Abrir facsímil")</f>
        <v>Abrir facsímil</v>
      </c>
      <c r="K5450" s="12" t="s">
        <v>65</v>
      </c>
    </row>
    <row r="5451" spans="1:11" ht="40.049999999999997" customHeight="1" x14ac:dyDescent="0.25">
      <c r="A5451" s="11" t="s">
        <v>11858</v>
      </c>
      <c r="B5451" s="11" t="s">
        <v>11859</v>
      </c>
      <c r="C5451" s="11" t="s">
        <v>17</v>
      </c>
      <c r="D5451" s="11" t="s">
        <v>18</v>
      </c>
      <c r="E5451" s="12" t="s">
        <v>611</v>
      </c>
      <c r="F5451" s="12" t="s">
        <v>612</v>
      </c>
      <c r="G5451" s="12" t="s">
        <v>29</v>
      </c>
      <c r="H5451" s="11" t="s">
        <v>63</v>
      </c>
      <c r="I5451" s="13" t="s">
        <v>11860</v>
      </c>
      <c r="J5451" s="14" t="str">
        <f>HYPERLINK("https://www.boe.es/gazeta/dias/1839/07/22/pdfs/GMD-1839-1710.pdf#page=1","Abrir facsímil")</f>
        <v>Abrir facsímil</v>
      </c>
      <c r="K5451" s="12" t="s">
        <v>65</v>
      </c>
    </row>
    <row r="5452" spans="1:11" ht="40.049999999999997" customHeight="1" x14ac:dyDescent="0.25">
      <c r="A5452" s="11" t="s">
        <v>11861</v>
      </c>
      <c r="B5452" s="11" t="s">
        <v>11862</v>
      </c>
      <c r="C5452" s="11" t="s">
        <v>101</v>
      </c>
      <c r="D5452" s="11" t="s">
        <v>43</v>
      </c>
      <c r="E5452" s="12" t="s">
        <v>236</v>
      </c>
      <c r="F5452" s="12" t="s">
        <v>237</v>
      </c>
      <c r="G5452" s="12" t="s">
        <v>40</v>
      </c>
      <c r="H5452" s="11" t="s">
        <v>63</v>
      </c>
      <c r="I5452" s="13" t="s">
        <v>11863</v>
      </c>
      <c r="J5452" s="14" t="str">
        <f>HYPERLINK("https://www.boe.es/gazeta/dias/1839/09/18/pdfs/GMD-1839-1771.pdf#page=2","Abrir facsímil")</f>
        <v>Abrir facsímil</v>
      </c>
      <c r="K5452" s="12" t="s">
        <v>65</v>
      </c>
    </row>
    <row r="5453" spans="1:11" ht="40.049999999999997" customHeight="1" x14ac:dyDescent="0.25">
      <c r="A5453" s="11" t="s">
        <v>11861</v>
      </c>
      <c r="B5453" s="11" t="s">
        <v>11862</v>
      </c>
      <c r="C5453" s="11" t="s">
        <v>17</v>
      </c>
      <c r="D5453" s="11" t="s">
        <v>43</v>
      </c>
      <c r="E5453" s="12" t="s">
        <v>2222</v>
      </c>
      <c r="F5453" s="12" t="s">
        <v>2223</v>
      </c>
      <c r="G5453" s="12" t="s">
        <v>21</v>
      </c>
      <c r="H5453" s="11" t="s">
        <v>63</v>
      </c>
      <c r="I5453" s="13" t="s">
        <v>11864</v>
      </c>
      <c r="J5453" s="14" t="str">
        <f>HYPERLINK("https://www.boe.es/gazeta/dias/1839/09/19/pdfs/GMD-1839-1773.pdf#page=4","Abrir facsímil")</f>
        <v>Abrir facsímil</v>
      </c>
      <c r="K5453" s="12" t="s">
        <v>65</v>
      </c>
    </row>
    <row r="5454" spans="1:11" ht="40.049999999999997" customHeight="1" x14ac:dyDescent="0.25">
      <c r="A5454" s="11" t="s">
        <v>11865</v>
      </c>
      <c r="B5454" s="11" t="s">
        <v>11866</v>
      </c>
      <c r="C5454" s="11" t="s">
        <v>101</v>
      </c>
      <c r="D5454" s="11" t="s">
        <v>102</v>
      </c>
      <c r="E5454" s="12" t="s">
        <v>1139</v>
      </c>
      <c r="F5454" s="12" t="s">
        <v>1140</v>
      </c>
      <c r="G5454" s="12" t="s">
        <v>40</v>
      </c>
      <c r="H5454" s="11" t="s">
        <v>63</v>
      </c>
      <c r="I5454" s="13" t="s">
        <v>11867</v>
      </c>
      <c r="J5454" s="14" t="str">
        <f>HYPERLINK("https://www.boe.es/gazeta/dias/1839/02/15/pdfs/GMD-1839-1553.pdf#page=2","Abrir facsímil")</f>
        <v>Abrir facsímil</v>
      </c>
      <c r="K5454" s="12" t="s">
        <v>65</v>
      </c>
    </row>
    <row r="5455" spans="1:11" ht="40.049999999999997" customHeight="1" x14ac:dyDescent="0.25">
      <c r="A5455" s="11" t="s">
        <v>11868</v>
      </c>
      <c r="B5455" s="11" t="s">
        <v>11869</v>
      </c>
      <c r="C5455" s="11" t="s">
        <v>17</v>
      </c>
      <c r="D5455" s="11" t="s">
        <v>18</v>
      </c>
      <c r="E5455" s="12" t="s">
        <v>744</v>
      </c>
      <c r="F5455" s="12" t="s">
        <v>745</v>
      </c>
      <c r="G5455" s="12" t="s">
        <v>40</v>
      </c>
      <c r="H5455" s="11" t="s">
        <v>63</v>
      </c>
      <c r="I5455" s="13" t="s">
        <v>11870</v>
      </c>
      <c r="J5455" s="14" t="str">
        <f>HYPERLINK("https://www.boe.es/gazeta/dias/1839/12/09/pdfs/GMD-1839-1856.pdf#page=2","Abrir facsímil")</f>
        <v>Abrir facsímil</v>
      </c>
      <c r="K5455" s="12" t="s">
        <v>65</v>
      </c>
    </row>
    <row r="5456" spans="1:11" ht="40.049999999999997" customHeight="1" x14ac:dyDescent="0.25">
      <c r="A5456" s="11" t="s">
        <v>11868</v>
      </c>
      <c r="B5456" s="11" t="s">
        <v>11869</v>
      </c>
      <c r="C5456" s="11" t="s">
        <v>59</v>
      </c>
      <c r="D5456" s="11" t="s">
        <v>60</v>
      </c>
      <c r="E5456" s="12" t="s">
        <v>2432</v>
      </c>
      <c r="F5456" s="12" t="s">
        <v>2433</v>
      </c>
      <c r="G5456" s="12" t="s">
        <v>29</v>
      </c>
      <c r="H5456" s="11" t="s">
        <v>63</v>
      </c>
      <c r="I5456" s="13" t="s">
        <v>11871</v>
      </c>
      <c r="J5456" s="14" t="str">
        <f>HYPERLINK("https://www.boe.es/datos/pdfs/BOE//1839/1712/E00001-00001.pdf#page=1","Abrir facsímil")</f>
        <v>Abrir facsímil</v>
      </c>
      <c r="K5456" s="12" t="s">
        <v>65</v>
      </c>
    </row>
    <row r="5457" spans="1:11" ht="40.049999999999997" customHeight="1" x14ac:dyDescent="0.25">
      <c r="A5457" s="11" t="s">
        <v>11872</v>
      </c>
      <c r="B5457" s="11" t="s">
        <v>11873</v>
      </c>
      <c r="C5457" s="11" t="s">
        <v>137</v>
      </c>
      <c r="D5457" s="11" t="s">
        <v>18</v>
      </c>
      <c r="E5457" s="12" t="s">
        <v>355</v>
      </c>
      <c r="F5457" s="12" t="s">
        <v>356</v>
      </c>
      <c r="G5457" s="12" t="s">
        <v>40</v>
      </c>
      <c r="H5457" s="11" t="s">
        <v>63</v>
      </c>
      <c r="I5457" s="13" t="s">
        <v>11874</v>
      </c>
      <c r="J5457" s="14" t="str">
        <f>HYPERLINK("https://www.boe.es/gazeta/dias/1839/05/31/pdfs/GMD-1839-1658.pdf#page=2","Abrir facsímil")</f>
        <v>Abrir facsímil</v>
      </c>
      <c r="K5457" s="12" t="s">
        <v>65</v>
      </c>
    </row>
    <row r="5458" spans="1:11" ht="40.049999999999997" customHeight="1" x14ac:dyDescent="0.25">
      <c r="A5458" s="11" t="s">
        <v>11875</v>
      </c>
      <c r="B5458" s="11" t="s">
        <v>11876</v>
      </c>
      <c r="C5458" s="11" t="s">
        <v>80</v>
      </c>
      <c r="D5458" s="11" t="s">
        <v>173</v>
      </c>
      <c r="E5458" s="12" t="s">
        <v>141</v>
      </c>
      <c r="F5458" s="12" t="s">
        <v>142</v>
      </c>
      <c r="G5458" s="12" t="s">
        <v>40</v>
      </c>
      <c r="H5458" s="11" t="s">
        <v>63</v>
      </c>
      <c r="I5458" s="13" t="s">
        <v>11877</v>
      </c>
      <c r="J5458" s="14" t="str">
        <f>HYPERLINK("https://www.boe.es/gazeta/dias/1839/11/10/pdfs/GMD-1839-1827.pdf#page=2","Abrir facsímil")</f>
        <v>Abrir facsímil</v>
      </c>
      <c r="K5458" s="12" t="s">
        <v>65</v>
      </c>
    </row>
    <row r="5459" spans="1:11" ht="40.049999999999997" customHeight="1" x14ac:dyDescent="0.25">
      <c r="A5459" s="11" t="s">
        <v>11878</v>
      </c>
      <c r="B5459" s="11" t="s">
        <v>11879</v>
      </c>
      <c r="C5459" s="11" t="s">
        <v>17</v>
      </c>
      <c r="D5459" s="11" t="s">
        <v>18</v>
      </c>
      <c r="E5459" s="12" t="s">
        <v>2021</v>
      </c>
      <c r="F5459" s="12" t="s">
        <v>2022</v>
      </c>
      <c r="G5459" s="12" t="s">
        <v>29</v>
      </c>
      <c r="H5459" s="11" t="s">
        <v>63</v>
      </c>
      <c r="I5459" s="13" t="s">
        <v>11880</v>
      </c>
      <c r="J5459" s="14" t="str">
        <f>HYPERLINK("https://www.boe.es/gazeta/dias/1839/02/17/pdfs/GMD-1839-1555.pdf#page=1","Abrir facsímil")</f>
        <v>Abrir facsímil</v>
      </c>
      <c r="K5459" s="12" t="s">
        <v>65</v>
      </c>
    </row>
    <row r="5460" spans="1:11" ht="40.049999999999997" customHeight="1" x14ac:dyDescent="0.25">
      <c r="A5460" s="11" t="s">
        <v>11881</v>
      </c>
      <c r="B5460" s="11" t="s">
        <v>11882</v>
      </c>
      <c r="C5460" s="11" t="s">
        <v>17</v>
      </c>
      <c r="D5460" s="11" t="s">
        <v>18</v>
      </c>
      <c r="E5460" s="12" t="s">
        <v>395</v>
      </c>
      <c r="F5460" s="12" t="s">
        <v>396</v>
      </c>
      <c r="G5460" s="12" t="s">
        <v>46</v>
      </c>
      <c r="H5460" s="11" t="s">
        <v>63</v>
      </c>
      <c r="I5460" s="13" t="s">
        <v>11883</v>
      </c>
      <c r="J5460" s="14" t="str">
        <f>HYPERLINK("https://www.boe.es/gazeta/dias/1839/03/15/pdfs/GMD-1839-1581.pdf#page=3","Abrir facsímil")</f>
        <v>Abrir facsímil</v>
      </c>
      <c r="K5460" s="12" t="s">
        <v>65</v>
      </c>
    </row>
    <row r="5461" spans="1:11" ht="40.049999999999997" customHeight="1" x14ac:dyDescent="0.25">
      <c r="A5461" s="11" t="s">
        <v>11884</v>
      </c>
      <c r="B5461" s="11" t="s">
        <v>11885</v>
      </c>
      <c r="C5461" s="11" t="s">
        <v>17</v>
      </c>
      <c r="D5461" s="11" t="s">
        <v>18</v>
      </c>
      <c r="E5461" s="12" t="s">
        <v>262</v>
      </c>
      <c r="F5461" s="12" t="s">
        <v>263</v>
      </c>
      <c r="G5461" s="12" t="s">
        <v>40</v>
      </c>
      <c r="H5461" s="11" t="s">
        <v>63</v>
      </c>
      <c r="I5461" s="13" t="s">
        <v>11886</v>
      </c>
      <c r="J5461" s="14" t="str">
        <f>HYPERLINK("https://www.boe.es/gazeta/dias/1839/01/01/pdfs/GMD-1839-1508.pdf#page=2","Abrir facsímil")</f>
        <v>Abrir facsímil</v>
      </c>
      <c r="K5461" s="12" t="s">
        <v>65</v>
      </c>
    </row>
    <row r="5462" spans="1:11" ht="40.049999999999997" customHeight="1" x14ac:dyDescent="0.25">
      <c r="A5462" s="11" t="s">
        <v>11887</v>
      </c>
      <c r="B5462" s="11" t="s">
        <v>11888</v>
      </c>
      <c r="C5462" s="11" t="s">
        <v>101</v>
      </c>
      <c r="D5462" s="11" t="s">
        <v>43</v>
      </c>
      <c r="E5462" s="12" t="s">
        <v>54</v>
      </c>
      <c r="F5462" s="12" t="s">
        <v>55</v>
      </c>
      <c r="G5462" s="12" t="s">
        <v>46</v>
      </c>
      <c r="H5462" s="11" t="s">
        <v>63</v>
      </c>
      <c r="I5462" s="13" t="s">
        <v>11889</v>
      </c>
      <c r="J5462" s="14" t="str">
        <f>HYPERLINK("https://www.boe.es/gazeta/dias/1839/10/05/pdfs/GMD-1839-1791.pdf#page=3","Abrir facsímil")</f>
        <v>Abrir facsímil</v>
      </c>
      <c r="K5462" s="12" t="s">
        <v>65</v>
      </c>
    </row>
    <row r="5463" spans="1:11" ht="40.049999999999997" customHeight="1" x14ac:dyDescent="0.25">
      <c r="A5463" s="11" t="s">
        <v>11890</v>
      </c>
      <c r="B5463" s="11" t="s">
        <v>11891</v>
      </c>
      <c r="C5463" s="11" t="s">
        <v>17</v>
      </c>
      <c r="D5463" s="11" t="s">
        <v>18</v>
      </c>
      <c r="E5463" s="12" t="s">
        <v>912</v>
      </c>
      <c r="F5463" s="12" t="s">
        <v>913</v>
      </c>
      <c r="G5463" s="12" t="s">
        <v>29</v>
      </c>
      <c r="H5463" s="11" t="s">
        <v>63</v>
      </c>
      <c r="I5463" s="13" t="s">
        <v>11892</v>
      </c>
      <c r="J5463" s="14" t="str">
        <f>HYPERLINK("https://www.boe.es/gazeta/dias/1839/04/30/pdfs/GMD-1839-1627.pdf#page=1","Abrir facsímil")</f>
        <v>Abrir facsímil</v>
      </c>
      <c r="K5463" s="12" t="s">
        <v>65</v>
      </c>
    </row>
    <row r="5464" spans="1:11" ht="40.049999999999997" customHeight="1" x14ac:dyDescent="0.25">
      <c r="A5464" s="11" t="s">
        <v>11893</v>
      </c>
      <c r="B5464" s="11" t="s">
        <v>11894</v>
      </c>
      <c r="C5464" s="11" t="s">
        <v>17</v>
      </c>
      <c r="D5464" s="11" t="s">
        <v>18</v>
      </c>
      <c r="E5464" s="12" t="s">
        <v>405</v>
      </c>
      <c r="F5464" s="12" t="s">
        <v>406</v>
      </c>
      <c r="G5464" s="12" t="s">
        <v>21</v>
      </c>
      <c r="H5464" s="11" t="s">
        <v>63</v>
      </c>
      <c r="I5464" s="13" t="s">
        <v>11895</v>
      </c>
      <c r="J5464" s="14" t="str">
        <f>HYPERLINK("https://www.boe.es/gazeta/dias/1839/03/25/pdfs/GMD-1839-1591.pdf#page=4","Abrir facsímil")</f>
        <v>Abrir facsímil</v>
      </c>
      <c r="K5464" s="12" t="s">
        <v>65</v>
      </c>
    </row>
    <row r="5465" spans="1:11" ht="40.049999999999997" customHeight="1" x14ac:dyDescent="0.25">
      <c r="A5465" s="11" t="s">
        <v>11893</v>
      </c>
      <c r="B5465" s="11" t="s">
        <v>11894</v>
      </c>
      <c r="C5465" s="11" t="s">
        <v>17</v>
      </c>
      <c r="D5465" s="11" t="s">
        <v>18</v>
      </c>
      <c r="E5465" s="12" t="s">
        <v>4047</v>
      </c>
      <c r="F5465" s="12" t="s">
        <v>4048</v>
      </c>
      <c r="G5465" s="12" t="s">
        <v>21</v>
      </c>
      <c r="H5465" s="11" t="s">
        <v>63</v>
      </c>
      <c r="I5465" s="13" t="s">
        <v>11896</v>
      </c>
      <c r="J5465" s="14" t="str">
        <f>HYPERLINK("https://www.boe.es/gazeta/dias/1839/03/26/pdfs/GMD-1839-1592.pdf#page=4","Abrir facsímil")</f>
        <v>Abrir facsímil</v>
      </c>
      <c r="K5465" s="12" t="s">
        <v>65</v>
      </c>
    </row>
    <row r="5466" spans="1:11" ht="40.049999999999997" customHeight="1" x14ac:dyDescent="0.25">
      <c r="A5466" s="11" t="s">
        <v>11897</v>
      </c>
      <c r="B5466" s="11" t="s">
        <v>11898</v>
      </c>
      <c r="C5466" s="11" t="s">
        <v>17</v>
      </c>
      <c r="D5466" s="11" t="s">
        <v>18</v>
      </c>
      <c r="E5466" s="12" t="s">
        <v>116</v>
      </c>
      <c r="F5466" s="12" t="s">
        <v>117</v>
      </c>
      <c r="G5466" s="12" t="s">
        <v>46</v>
      </c>
      <c r="H5466" s="11" t="s">
        <v>63</v>
      </c>
      <c r="I5466" s="13" t="s">
        <v>11899</v>
      </c>
      <c r="J5466" s="14" t="str">
        <f>HYPERLINK("https://www.boe.es/gazeta/dias/1839/10/10/pdfs/GMD-1839-1796.pdf#page=3","Abrir facsímil")</f>
        <v>Abrir facsímil</v>
      </c>
      <c r="K5466" s="12" t="s">
        <v>65</v>
      </c>
    </row>
    <row r="5467" spans="1:11" ht="40.049999999999997" customHeight="1" x14ac:dyDescent="0.25">
      <c r="A5467" s="11" t="s">
        <v>11897</v>
      </c>
      <c r="B5467" s="11" t="s">
        <v>11898</v>
      </c>
      <c r="C5467" s="11" t="s">
        <v>17</v>
      </c>
      <c r="D5467" s="11" t="s">
        <v>18</v>
      </c>
      <c r="E5467" s="12" t="s">
        <v>2415</v>
      </c>
      <c r="F5467" s="12" t="s">
        <v>2416</v>
      </c>
      <c r="G5467" s="12" t="s">
        <v>21</v>
      </c>
      <c r="H5467" s="11" t="s">
        <v>63</v>
      </c>
      <c r="I5467" s="13" t="s">
        <v>11900</v>
      </c>
      <c r="J5467" s="14" t="str">
        <f>HYPERLINK("https://www.boe.es/gazeta/dias/1839/12/22/pdfs/GMD-1839-1869.pdf#page=4","Abrir facsímil")</f>
        <v>Abrir facsímil</v>
      </c>
      <c r="K5467" s="12" t="s">
        <v>65</v>
      </c>
    </row>
    <row r="5468" spans="1:11" ht="40.049999999999997" customHeight="1" x14ac:dyDescent="0.25">
      <c r="A5468" s="11" t="s">
        <v>11901</v>
      </c>
      <c r="B5468" s="11" t="s">
        <v>11902</v>
      </c>
      <c r="C5468" s="11" t="s">
        <v>17</v>
      </c>
      <c r="D5468" s="11" t="s">
        <v>18</v>
      </c>
      <c r="E5468" s="12" t="s">
        <v>503</v>
      </c>
      <c r="F5468" s="12" t="s">
        <v>504</v>
      </c>
      <c r="G5468" s="12" t="s">
        <v>21</v>
      </c>
      <c r="H5468" s="11" t="s">
        <v>63</v>
      </c>
      <c r="I5468" s="13" t="s">
        <v>11903</v>
      </c>
      <c r="J5468" s="14" t="str">
        <f>HYPERLINK("https://www.boe.es/gazeta/dias/1839/06/07/pdfs/GMD-1839-1665.pdf#page=4","Abrir facsímil")</f>
        <v>Abrir facsímil</v>
      </c>
      <c r="K5468" s="12" t="s">
        <v>65</v>
      </c>
    </row>
    <row r="5469" spans="1:11" ht="40.049999999999997" customHeight="1" x14ac:dyDescent="0.25">
      <c r="A5469" s="11" t="s">
        <v>11904</v>
      </c>
      <c r="B5469" s="11" t="s">
        <v>11905</v>
      </c>
      <c r="C5469" s="11" t="s">
        <v>17</v>
      </c>
      <c r="D5469" s="11" t="s">
        <v>43</v>
      </c>
      <c r="E5469" s="12" t="s">
        <v>2432</v>
      </c>
      <c r="F5469" s="12" t="s">
        <v>2581</v>
      </c>
      <c r="G5469" s="12" t="s">
        <v>21</v>
      </c>
      <c r="H5469" s="11" t="s">
        <v>63</v>
      </c>
      <c r="I5469" s="13" t="s">
        <v>11906</v>
      </c>
      <c r="J5469" s="14" t="str">
        <f>HYPERLINK("https://www.boe.es/gazeta/dias/1839/07/23/pdfs/GMD-1839-1711.pdf#page=4","Abrir facsímil")</f>
        <v>Abrir facsímil</v>
      </c>
      <c r="K5469" s="12" t="s">
        <v>65</v>
      </c>
    </row>
    <row r="5470" spans="1:11" ht="40.049999999999997" customHeight="1" x14ac:dyDescent="0.25">
      <c r="A5470" s="11" t="s">
        <v>11907</v>
      </c>
      <c r="B5470" s="11" t="s">
        <v>11908</v>
      </c>
      <c r="C5470" s="11" t="s">
        <v>17</v>
      </c>
      <c r="D5470" s="11" t="s">
        <v>18</v>
      </c>
      <c r="E5470" s="12" t="s">
        <v>320</v>
      </c>
      <c r="F5470" s="12" t="s">
        <v>321</v>
      </c>
      <c r="G5470" s="12" t="s">
        <v>29</v>
      </c>
      <c r="H5470" s="11" t="s">
        <v>63</v>
      </c>
      <c r="I5470" s="13" t="s">
        <v>11909</v>
      </c>
      <c r="J5470" s="14" t="str">
        <f>HYPERLINK("https://www.boe.es/gazeta/dias/1839/05/11/pdfs/GMD-1839-1638.pdf#page=1","Abrir facsímil")</f>
        <v>Abrir facsímil</v>
      </c>
      <c r="K5470" s="12" t="s">
        <v>65</v>
      </c>
    </row>
    <row r="5471" spans="1:11" ht="40.049999999999997" customHeight="1" x14ac:dyDescent="0.25">
      <c r="A5471" s="11" t="s">
        <v>11910</v>
      </c>
      <c r="B5471" s="11" t="s">
        <v>11911</v>
      </c>
      <c r="C5471" s="11" t="s">
        <v>59</v>
      </c>
      <c r="D5471" s="11" t="s">
        <v>60</v>
      </c>
      <c r="E5471" s="12" t="s">
        <v>1988</v>
      </c>
      <c r="F5471" s="12" t="s">
        <v>1989</v>
      </c>
      <c r="G5471" s="12" t="s">
        <v>40</v>
      </c>
      <c r="H5471" s="11" t="s">
        <v>63</v>
      </c>
      <c r="I5471" s="13" t="s">
        <v>11912</v>
      </c>
      <c r="J5471" s="14" t="str">
        <f>HYPERLINK("https://www.boe.es/gazeta/dias/1839/10/29/pdfs/GMD-1839-1815.pdf#page=2","Abrir facsímil")</f>
        <v>Abrir facsímil</v>
      </c>
      <c r="K5471" s="12" t="s">
        <v>65</v>
      </c>
    </row>
    <row r="5472" spans="1:11" ht="40.049999999999997" customHeight="1" x14ac:dyDescent="0.25">
      <c r="A5472" s="11" t="s">
        <v>11913</v>
      </c>
      <c r="B5472" s="11" t="s">
        <v>11914</v>
      </c>
      <c r="C5472" s="11" t="s">
        <v>17</v>
      </c>
      <c r="D5472" s="11" t="s">
        <v>18</v>
      </c>
      <c r="E5472" s="12" t="s">
        <v>381</v>
      </c>
      <c r="F5472" s="12" t="s">
        <v>382</v>
      </c>
      <c r="G5472" s="12" t="s">
        <v>40</v>
      </c>
      <c r="H5472" s="11" t="s">
        <v>63</v>
      </c>
      <c r="I5472" s="13" t="s">
        <v>11915</v>
      </c>
      <c r="J5472" s="14" t="str">
        <f>HYPERLINK("https://www.boe.es/gazeta/dias/1839/06/02/pdfs/GMD-1839-1660.pdf#page=2","Abrir facsímil")</f>
        <v>Abrir facsímil</v>
      </c>
      <c r="K5472" s="12" t="s">
        <v>65</v>
      </c>
    </row>
    <row r="5473" spans="1:11" ht="40.049999999999997" customHeight="1" x14ac:dyDescent="0.25">
      <c r="A5473" s="11" t="s">
        <v>11916</v>
      </c>
      <c r="B5473" s="11" t="s">
        <v>11917</v>
      </c>
      <c r="C5473" s="11" t="s">
        <v>17</v>
      </c>
      <c r="D5473" s="11" t="s">
        <v>18</v>
      </c>
      <c r="E5473" s="12" t="s">
        <v>2117</v>
      </c>
      <c r="F5473" s="12" t="s">
        <v>2118</v>
      </c>
      <c r="G5473" s="12" t="s">
        <v>29</v>
      </c>
      <c r="H5473" s="11" t="s">
        <v>63</v>
      </c>
      <c r="I5473" s="13" t="s">
        <v>11918</v>
      </c>
      <c r="J5473" s="14" t="str">
        <f>HYPERLINK("https://www.boe.es/gazeta/dias/1839/06/23/pdfs/GMD-1839-1681.pdf#page=1","Abrir facsímil")</f>
        <v>Abrir facsímil</v>
      </c>
      <c r="K5473" s="12" t="s">
        <v>65</v>
      </c>
    </row>
    <row r="5474" spans="1:11" ht="40.049999999999997" customHeight="1" x14ac:dyDescent="0.25">
      <c r="A5474" s="11" t="s">
        <v>11919</v>
      </c>
      <c r="B5474" s="11" t="s">
        <v>11920</v>
      </c>
      <c r="C5474" s="11" t="s">
        <v>101</v>
      </c>
      <c r="D5474" s="11" t="s">
        <v>43</v>
      </c>
      <c r="E5474" s="12" t="s">
        <v>262</v>
      </c>
      <c r="F5474" s="12" t="s">
        <v>263</v>
      </c>
      <c r="G5474" s="12" t="s">
        <v>46</v>
      </c>
      <c r="H5474" s="11" t="s">
        <v>63</v>
      </c>
      <c r="I5474" s="13" t="s">
        <v>11921</v>
      </c>
      <c r="J5474" s="14" t="str">
        <f>HYPERLINK("https://www.boe.es/gazeta/dias/1839/01/01/pdfs/GMD-1839-1508.pdf#page=3","Abrir facsímil")</f>
        <v>Abrir facsímil</v>
      </c>
      <c r="K5474" s="12" t="s">
        <v>65</v>
      </c>
    </row>
    <row r="5475" spans="1:11" ht="40.049999999999997" customHeight="1" x14ac:dyDescent="0.25">
      <c r="A5475" s="11" t="s">
        <v>11922</v>
      </c>
      <c r="B5475" s="11" t="s">
        <v>11923</v>
      </c>
      <c r="C5475" s="11" t="s">
        <v>101</v>
      </c>
      <c r="D5475" s="11" t="s">
        <v>43</v>
      </c>
      <c r="E5475" s="12" t="s">
        <v>61</v>
      </c>
      <c r="F5475" s="12" t="s">
        <v>62</v>
      </c>
      <c r="G5475" s="12" t="s">
        <v>40</v>
      </c>
      <c r="H5475" s="11" t="s">
        <v>63</v>
      </c>
      <c r="I5475" s="13" t="s">
        <v>11924</v>
      </c>
      <c r="J5475" s="14" t="str">
        <f>HYPERLINK("https://www.boe.es/gazeta/dias/1839/09/10/pdfs/GMD-1839-1763.pdf#page=2","Abrir facsímil")</f>
        <v>Abrir facsímil</v>
      </c>
      <c r="K5475" s="12" t="s">
        <v>65</v>
      </c>
    </row>
    <row r="5476" spans="1:11" ht="40.049999999999997" customHeight="1" x14ac:dyDescent="0.25">
      <c r="A5476" s="11" t="s">
        <v>11925</v>
      </c>
      <c r="B5476" s="11" t="s">
        <v>11926</v>
      </c>
      <c r="C5476" s="11" t="s">
        <v>137</v>
      </c>
      <c r="D5476" s="11" t="s">
        <v>18</v>
      </c>
      <c r="E5476" s="12" t="s">
        <v>1236</v>
      </c>
      <c r="F5476" s="12" t="s">
        <v>1237</v>
      </c>
      <c r="G5476" s="12" t="s">
        <v>40</v>
      </c>
      <c r="H5476" s="11" t="s">
        <v>63</v>
      </c>
      <c r="I5476" s="13" t="s">
        <v>11927</v>
      </c>
      <c r="J5476" s="14" t="str">
        <f>HYPERLINK("https://www.boe.es/gazeta/dias/1839/10/16/pdfs/GMD-1839-1802.pdf#page=2","Abrir facsímil")</f>
        <v>Abrir facsímil</v>
      </c>
      <c r="K5476" s="12" t="s">
        <v>65</v>
      </c>
    </row>
    <row r="5477" spans="1:11" ht="40.049999999999997" customHeight="1" x14ac:dyDescent="0.25">
      <c r="A5477" s="11" t="s">
        <v>11928</v>
      </c>
      <c r="B5477" s="11" t="s">
        <v>11929</v>
      </c>
      <c r="C5477" s="11" t="s">
        <v>59</v>
      </c>
      <c r="D5477" s="11" t="s">
        <v>60</v>
      </c>
      <c r="E5477" s="12" t="s">
        <v>2919</v>
      </c>
      <c r="F5477" s="12" t="s">
        <v>2920</v>
      </c>
      <c r="G5477" s="12" t="s">
        <v>21</v>
      </c>
      <c r="H5477" s="11" t="s">
        <v>22</v>
      </c>
      <c r="I5477" s="13" t="s">
        <v>11930</v>
      </c>
      <c r="J5477" s="14" t="str">
        <f>HYPERLINK("https://www.boe.es/gazeta/dias/1839/11/12/pdfs/GMD-1839-1829.pdf#page=4","Abrir facsímil")</f>
        <v>Abrir facsímil</v>
      </c>
      <c r="K5477" s="12" t="s">
        <v>24</v>
      </c>
    </row>
    <row r="5478" spans="1:11" ht="40.049999999999997" customHeight="1" x14ac:dyDescent="0.25">
      <c r="A5478" s="11" t="s">
        <v>11931</v>
      </c>
      <c r="B5478" s="11" t="s">
        <v>11932</v>
      </c>
      <c r="C5478" s="11" t="s">
        <v>137</v>
      </c>
      <c r="D5478" s="11" t="s">
        <v>18</v>
      </c>
      <c r="E5478" s="12" t="s">
        <v>647</v>
      </c>
      <c r="F5478" s="12" t="s">
        <v>648</v>
      </c>
      <c r="G5478" s="12" t="s">
        <v>305</v>
      </c>
      <c r="H5478" s="11" t="s">
        <v>63</v>
      </c>
      <c r="I5478" s="13" t="s">
        <v>11933</v>
      </c>
      <c r="J5478" s="14" t="str">
        <f>HYPERLINK("https://www.boe.es/gazeta/dias/1839/10/08/pdfs/GMD-1839-1794.pdf#page=6","Abrir facsímil")</f>
        <v>Abrir facsímil</v>
      </c>
      <c r="K5478" s="12" t="s">
        <v>65</v>
      </c>
    </row>
    <row r="5479" spans="1:11" ht="40.049999999999997" customHeight="1" x14ac:dyDescent="0.25">
      <c r="A5479" s="11" t="s">
        <v>11934</v>
      </c>
      <c r="B5479" s="11" t="s">
        <v>11935</v>
      </c>
      <c r="C5479" s="11" t="s">
        <v>17</v>
      </c>
      <c r="D5479" s="11" t="s">
        <v>18</v>
      </c>
      <c r="E5479" s="12" t="s">
        <v>375</v>
      </c>
      <c r="F5479" s="12" t="s">
        <v>376</v>
      </c>
      <c r="G5479" s="12" t="s">
        <v>40</v>
      </c>
      <c r="H5479" s="11" t="s">
        <v>63</v>
      </c>
      <c r="I5479" s="13" t="s">
        <v>11936</v>
      </c>
      <c r="J5479" s="14" t="str">
        <f>HYPERLINK("https://www.boe.es/gazeta/dias/1839/11/25/pdfs/GMD-1839-1842.pdf#page=2","Abrir facsímil")</f>
        <v>Abrir facsímil</v>
      </c>
      <c r="K5479" s="12" t="s">
        <v>65</v>
      </c>
    </row>
    <row r="5480" spans="1:11" ht="40.049999999999997" customHeight="1" x14ac:dyDescent="0.25">
      <c r="A5480" s="11" t="s">
        <v>11937</v>
      </c>
      <c r="B5480" s="11" t="s">
        <v>11938</v>
      </c>
      <c r="C5480" s="11" t="s">
        <v>137</v>
      </c>
      <c r="D5480" s="11" t="s">
        <v>18</v>
      </c>
      <c r="E5480" s="12" t="s">
        <v>3289</v>
      </c>
      <c r="F5480" s="12" t="s">
        <v>3290</v>
      </c>
      <c r="G5480" s="12" t="s">
        <v>29</v>
      </c>
      <c r="H5480" s="11" t="s">
        <v>63</v>
      </c>
      <c r="I5480" s="13" t="s">
        <v>11939</v>
      </c>
      <c r="J5480" s="14" t="str">
        <f>HYPERLINK("https://www.boe.es/gazeta/dias/1839/12/10/pdfs/GMD-1839-1857.pdf#page=1","Abrir facsímil")</f>
        <v>Abrir facsímil</v>
      </c>
      <c r="K5480" s="12" t="s">
        <v>65</v>
      </c>
    </row>
    <row r="5481" spans="1:11" ht="40.049999999999997" customHeight="1" x14ac:dyDescent="0.25">
      <c r="A5481" s="11" t="s">
        <v>11940</v>
      </c>
      <c r="B5481" s="11" t="s">
        <v>11941</v>
      </c>
      <c r="C5481" s="11" t="s">
        <v>17</v>
      </c>
      <c r="D5481" s="11" t="s">
        <v>18</v>
      </c>
      <c r="E5481" s="12" t="s">
        <v>1685</v>
      </c>
      <c r="F5481" s="12" t="s">
        <v>1686</v>
      </c>
      <c r="G5481" s="12" t="s">
        <v>46</v>
      </c>
      <c r="H5481" s="11" t="s">
        <v>63</v>
      </c>
      <c r="I5481" s="13" t="s">
        <v>11942</v>
      </c>
      <c r="J5481" s="14" t="str">
        <f>HYPERLINK("https://www.boe.es/gazeta/dias/1839/04/27/pdfs/GMD-1839-1624.pdf#page=3","Abrir facsímil")</f>
        <v>Abrir facsímil</v>
      </c>
      <c r="K5481" s="12" t="s">
        <v>65</v>
      </c>
    </row>
    <row r="5482" spans="1:11" ht="40.049999999999997" customHeight="1" x14ac:dyDescent="0.25">
      <c r="A5482" s="11" t="s">
        <v>11943</v>
      </c>
      <c r="B5482" s="11" t="s">
        <v>11944</v>
      </c>
      <c r="C5482" s="11" t="s">
        <v>17</v>
      </c>
      <c r="D5482" s="11" t="s">
        <v>18</v>
      </c>
      <c r="E5482" s="12" t="s">
        <v>834</v>
      </c>
      <c r="F5482" s="12" t="s">
        <v>835</v>
      </c>
      <c r="G5482" s="12" t="s">
        <v>46</v>
      </c>
      <c r="H5482" s="11" t="s">
        <v>63</v>
      </c>
      <c r="I5482" s="13" t="s">
        <v>11945</v>
      </c>
      <c r="J5482" s="14" t="str">
        <f>HYPERLINK("https://www.boe.es/gazeta/dias/1839/08/17/pdfs/GMD-1839-1737.pdf#page=3","Abrir facsímil")</f>
        <v>Abrir facsímil</v>
      </c>
      <c r="K5482" s="12" t="s">
        <v>65</v>
      </c>
    </row>
    <row r="5483" spans="1:11" ht="40.049999999999997" customHeight="1" x14ac:dyDescent="0.25">
      <c r="A5483" s="11" t="s">
        <v>11943</v>
      </c>
      <c r="B5483" s="11" t="s">
        <v>11944</v>
      </c>
      <c r="C5483" s="11" t="s">
        <v>137</v>
      </c>
      <c r="D5483" s="11" t="s">
        <v>18</v>
      </c>
      <c r="E5483" s="12" t="s">
        <v>2463</v>
      </c>
      <c r="F5483" s="12" t="s">
        <v>2464</v>
      </c>
      <c r="G5483" s="12" t="s">
        <v>40</v>
      </c>
      <c r="H5483" s="11" t="s">
        <v>63</v>
      </c>
      <c r="I5483" s="13" t="s">
        <v>11946</v>
      </c>
      <c r="J5483" s="14" t="str">
        <f>HYPERLINK("https://www.boe.es/gazeta/dias/1839/04/26/pdfs/GMD-1839-1623.pdf#page=2","Abrir facsímil")</f>
        <v>Abrir facsímil</v>
      </c>
      <c r="K5483" s="12" t="s">
        <v>65</v>
      </c>
    </row>
    <row r="5484" spans="1:11" ht="40.049999999999997" customHeight="1" x14ac:dyDescent="0.25">
      <c r="A5484" s="11" t="s">
        <v>11947</v>
      </c>
      <c r="B5484" s="11" t="s">
        <v>11948</v>
      </c>
      <c r="C5484" s="11" t="s">
        <v>59</v>
      </c>
      <c r="D5484" s="11" t="s">
        <v>60</v>
      </c>
      <c r="E5484" s="12" t="s">
        <v>1749</v>
      </c>
      <c r="F5484" s="12" t="s">
        <v>1750</v>
      </c>
      <c r="G5484" s="12" t="s">
        <v>21</v>
      </c>
      <c r="H5484" s="11" t="s">
        <v>63</v>
      </c>
      <c r="I5484" s="13" t="s">
        <v>11949</v>
      </c>
      <c r="J5484" s="14" t="str">
        <f>HYPERLINK("https://www.boe.es/gazeta/dias/1839/06/28/pdfs/GMD-1839-1686.pdf#page=4","Abrir facsímil")</f>
        <v>Abrir facsímil</v>
      </c>
      <c r="K5484" s="12" t="s">
        <v>65</v>
      </c>
    </row>
    <row r="5485" spans="1:11" ht="40.049999999999997" customHeight="1" x14ac:dyDescent="0.25">
      <c r="A5485" s="11" t="s">
        <v>11950</v>
      </c>
      <c r="B5485" s="11" t="s">
        <v>11951</v>
      </c>
      <c r="C5485" s="11" t="s">
        <v>59</v>
      </c>
      <c r="D5485" s="11" t="s">
        <v>60</v>
      </c>
      <c r="E5485" s="12" t="s">
        <v>1374</v>
      </c>
      <c r="F5485" s="12" t="s">
        <v>1375</v>
      </c>
      <c r="G5485" s="12" t="s">
        <v>40</v>
      </c>
      <c r="H5485" s="11" t="s">
        <v>63</v>
      </c>
      <c r="I5485" s="13" t="s">
        <v>11952</v>
      </c>
      <c r="J5485" s="14" t="str">
        <f>HYPERLINK("https://www.boe.es/gazeta/dias/1839/07/20/pdfs/GMD-1839-1708.pdf#page=2","Abrir facsímil")</f>
        <v>Abrir facsímil</v>
      </c>
      <c r="K5485" s="12" t="s">
        <v>65</v>
      </c>
    </row>
    <row r="5486" spans="1:11" ht="40.049999999999997" customHeight="1" x14ac:dyDescent="0.25">
      <c r="A5486" s="11" t="s">
        <v>11953</v>
      </c>
      <c r="B5486" s="11" t="s">
        <v>11954</v>
      </c>
      <c r="C5486" s="11" t="s">
        <v>17</v>
      </c>
      <c r="D5486" s="11" t="s">
        <v>18</v>
      </c>
      <c r="E5486" s="12" t="s">
        <v>327</v>
      </c>
      <c r="F5486" s="12" t="s">
        <v>328</v>
      </c>
      <c r="G5486" s="12" t="s">
        <v>21</v>
      </c>
      <c r="H5486" s="11" t="s">
        <v>63</v>
      </c>
      <c r="I5486" s="13" t="s">
        <v>11955</v>
      </c>
      <c r="J5486" s="14" t="str">
        <f>HYPERLINK("https://www.boe.es/gazeta/dias/1839/08/05/pdfs/GMD-1839-1725.pdf#page=4","Abrir facsímil")</f>
        <v>Abrir facsímil</v>
      </c>
      <c r="K5486" s="12" t="s">
        <v>65</v>
      </c>
    </row>
    <row r="5487" spans="1:11" ht="40.049999999999997" customHeight="1" x14ac:dyDescent="0.25">
      <c r="A5487" s="11" t="s">
        <v>11956</v>
      </c>
      <c r="B5487" s="11" t="s">
        <v>11957</v>
      </c>
      <c r="C5487" s="11" t="s">
        <v>17</v>
      </c>
      <c r="D5487" s="11" t="s">
        <v>18</v>
      </c>
      <c r="E5487" s="12" t="s">
        <v>94</v>
      </c>
      <c r="F5487" s="12" t="s">
        <v>95</v>
      </c>
      <c r="G5487" s="12" t="s">
        <v>29</v>
      </c>
      <c r="H5487" s="11" t="s">
        <v>22</v>
      </c>
      <c r="I5487" s="13" t="s">
        <v>11958</v>
      </c>
      <c r="J5487" s="14" t="str">
        <f>HYPERLINK("https://www.boe.es/gazeta/dias/1839/02/24/pdfs/GMD-1839-1562.pdf#page=1","Abrir facsímil")</f>
        <v>Abrir facsímil</v>
      </c>
      <c r="K5487" s="12" t="s">
        <v>24</v>
      </c>
    </row>
    <row r="5488" spans="1:11" ht="40.049999999999997" customHeight="1" x14ac:dyDescent="0.25">
      <c r="A5488" s="11" t="s">
        <v>11959</v>
      </c>
      <c r="B5488" s="11" t="s">
        <v>11960</v>
      </c>
      <c r="C5488" s="11" t="s">
        <v>17</v>
      </c>
      <c r="D5488" s="11" t="s">
        <v>18</v>
      </c>
      <c r="E5488" s="12" t="s">
        <v>1252</v>
      </c>
      <c r="F5488" s="12" t="s">
        <v>1253</v>
      </c>
      <c r="G5488" s="12" t="s">
        <v>21</v>
      </c>
      <c r="H5488" s="11" t="s">
        <v>63</v>
      </c>
      <c r="I5488" s="13" t="s">
        <v>11961</v>
      </c>
      <c r="J5488" s="14" t="str">
        <f>HYPERLINK("https://www.boe.es/gazeta/dias/1839/06/15/pdfs/GMD-1839-1673.pdf#page=4","Abrir facsímil")</f>
        <v>Abrir facsímil</v>
      </c>
      <c r="K5488" s="12" t="s">
        <v>65</v>
      </c>
    </row>
    <row r="5489" spans="1:11" ht="40.049999999999997" customHeight="1" x14ac:dyDescent="0.25">
      <c r="A5489" s="11" t="s">
        <v>11962</v>
      </c>
      <c r="B5489" s="11" t="s">
        <v>11963</v>
      </c>
      <c r="C5489" s="11" t="s">
        <v>17</v>
      </c>
      <c r="D5489" s="11" t="s">
        <v>18</v>
      </c>
      <c r="E5489" s="12" t="s">
        <v>1657</v>
      </c>
      <c r="F5489" s="12" t="s">
        <v>1658</v>
      </c>
      <c r="G5489" s="12" t="s">
        <v>29</v>
      </c>
      <c r="H5489" s="11" t="s">
        <v>63</v>
      </c>
      <c r="I5489" s="13" t="s">
        <v>11964</v>
      </c>
      <c r="J5489" s="14" t="str">
        <f>HYPERLINK("https://www.boe.es/gazeta/dias/1839/02/21/pdfs/GMD-1839-1559.pdf#page=1","Abrir facsímil")</f>
        <v>Abrir facsímil</v>
      </c>
      <c r="K5489" s="12" t="s">
        <v>65</v>
      </c>
    </row>
    <row r="5490" spans="1:11" ht="40.049999999999997" customHeight="1" x14ac:dyDescent="0.25">
      <c r="A5490" s="11" t="s">
        <v>11965</v>
      </c>
      <c r="B5490" s="11" t="s">
        <v>11966</v>
      </c>
      <c r="C5490" s="11" t="s">
        <v>137</v>
      </c>
      <c r="D5490" s="11" t="s">
        <v>18</v>
      </c>
      <c r="E5490" s="12" t="s">
        <v>1648</v>
      </c>
      <c r="F5490" s="12" t="s">
        <v>1649</v>
      </c>
      <c r="G5490" s="12" t="s">
        <v>21</v>
      </c>
      <c r="H5490" s="11" t="s">
        <v>22</v>
      </c>
      <c r="I5490" s="13" t="s">
        <v>11967</v>
      </c>
      <c r="J5490" s="14" t="str">
        <f>HYPERLINK("https://www.boe.es/gazeta/dias/1839/08/18/pdfs/GMD-1839-1738.pdf#page=4","Abrir facsímil")</f>
        <v>Abrir facsímil</v>
      </c>
      <c r="K5490" s="12" t="s">
        <v>24</v>
      </c>
    </row>
    <row r="5491" spans="1:11" ht="40.049999999999997" customHeight="1" x14ac:dyDescent="0.25">
      <c r="A5491" s="11" t="s">
        <v>11968</v>
      </c>
      <c r="B5491" s="11" t="s">
        <v>11969</v>
      </c>
      <c r="C5491" s="11" t="s">
        <v>17</v>
      </c>
      <c r="D5491" s="11" t="s">
        <v>18</v>
      </c>
      <c r="E5491" s="12" t="s">
        <v>704</v>
      </c>
      <c r="F5491" s="12" t="s">
        <v>705</v>
      </c>
      <c r="G5491" s="12" t="s">
        <v>46</v>
      </c>
      <c r="H5491" s="11" t="s">
        <v>63</v>
      </c>
      <c r="I5491" s="13" t="s">
        <v>11970</v>
      </c>
      <c r="J5491" s="14" t="str">
        <f>HYPERLINK("https://www.boe.es/gazeta/dias/1839/03/02/pdfs/GMD-1839-1568.pdf#page=3","Abrir facsímil")</f>
        <v>Abrir facsímil</v>
      </c>
      <c r="K5491" s="12" t="s">
        <v>65</v>
      </c>
    </row>
    <row r="5492" spans="1:11" ht="40.049999999999997" customHeight="1" x14ac:dyDescent="0.25">
      <c r="A5492" s="11" t="s">
        <v>11971</v>
      </c>
      <c r="B5492" s="11" t="s">
        <v>11972</v>
      </c>
      <c r="C5492" s="11" t="s">
        <v>17</v>
      </c>
      <c r="D5492" s="11" t="s">
        <v>18</v>
      </c>
      <c r="E5492" s="12" t="s">
        <v>507</v>
      </c>
      <c r="F5492" s="12" t="s">
        <v>508</v>
      </c>
      <c r="G5492" s="12" t="s">
        <v>21</v>
      </c>
      <c r="H5492" s="11" t="s">
        <v>63</v>
      </c>
      <c r="I5492" s="13" t="s">
        <v>11973</v>
      </c>
      <c r="J5492" s="14" t="str">
        <f>HYPERLINK("https://www.boe.es/gazeta/dias/1839/08/12/pdfs/GMD-1839-1732.pdf#page=4","Abrir facsímil")</f>
        <v>Abrir facsímil</v>
      </c>
      <c r="K5492" s="12" t="s">
        <v>65</v>
      </c>
    </row>
    <row r="5493" spans="1:11" ht="40.049999999999997" customHeight="1" x14ac:dyDescent="0.25">
      <c r="A5493" s="11" t="s">
        <v>11974</v>
      </c>
      <c r="B5493" s="11" t="s">
        <v>11975</v>
      </c>
      <c r="C5493" s="11" t="s">
        <v>17</v>
      </c>
      <c r="D5493" s="11" t="s">
        <v>18</v>
      </c>
      <c r="E5493" s="12" t="s">
        <v>700</v>
      </c>
      <c r="F5493" s="12" t="s">
        <v>701</v>
      </c>
      <c r="G5493" s="12" t="s">
        <v>21</v>
      </c>
      <c r="H5493" s="11" t="s">
        <v>63</v>
      </c>
      <c r="I5493" s="13" t="s">
        <v>11976</v>
      </c>
      <c r="J5493" s="14" t="str">
        <f>HYPERLINK("https://www.boe.es/gazeta/dias/1839/09/01/pdfs/GMD-1839-1753.pdf#page=4","Abrir facsímil")</f>
        <v>Abrir facsímil</v>
      </c>
      <c r="K5493" s="12" t="s">
        <v>65</v>
      </c>
    </row>
    <row r="5494" spans="1:11" ht="40.049999999999997" customHeight="1" x14ac:dyDescent="0.25">
      <c r="A5494" s="11" t="s">
        <v>11974</v>
      </c>
      <c r="B5494" s="11" t="s">
        <v>11975</v>
      </c>
      <c r="C5494" s="11" t="s">
        <v>17</v>
      </c>
      <c r="D5494" s="11" t="s">
        <v>18</v>
      </c>
      <c r="E5494" s="12" t="s">
        <v>280</v>
      </c>
      <c r="F5494" s="12" t="s">
        <v>281</v>
      </c>
      <c r="G5494" s="12" t="s">
        <v>29</v>
      </c>
      <c r="H5494" s="11" t="s">
        <v>63</v>
      </c>
      <c r="I5494" s="13" t="s">
        <v>11977</v>
      </c>
      <c r="J5494" s="14" t="str">
        <f>HYPERLINK("https://www.boe.es/gazeta/dias/1839/08/21/pdfs/GMD-1839-1742.pdf#page=1","Abrir facsímil")</f>
        <v>Abrir facsímil</v>
      </c>
      <c r="K5494" s="12" t="s">
        <v>65</v>
      </c>
    </row>
    <row r="5495" spans="1:11" ht="40.049999999999997" customHeight="1" x14ac:dyDescent="0.25">
      <c r="A5495" s="11" t="s">
        <v>11978</v>
      </c>
      <c r="B5495" s="11" t="s">
        <v>11979</v>
      </c>
      <c r="C5495" s="11" t="s">
        <v>59</v>
      </c>
      <c r="D5495" s="11" t="s">
        <v>60</v>
      </c>
      <c r="E5495" s="12" t="s">
        <v>320</v>
      </c>
      <c r="F5495" s="12" t="s">
        <v>321</v>
      </c>
      <c r="G5495" s="12" t="s">
        <v>29</v>
      </c>
      <c r="H5495" s="11" t="s">
        <v>63</v>
      </c>
      <c r="I5495" s="13" t="s">
        <v>11980</v>
      </c>
      <c r="J5495" s="14" t="str">
        <f>HYPERLINK("https://www.boe.es/gazeta/dias/1839/05/11/pdfs/GMD-1839-1638.pdf#page=1","Abrir facsímil")</f>
        <v>Abrir facsímil</v>
      </c>
      <c r="K5495" s="12" t="s">
        <v>65</v>
      </c>
    </row>
    <row r="5496" spans="1:11" ht="40.049999999999997" customHeight="1" x14ac:dyDescent="0.25">
      <c r="A5496" s="11" t="s">
        <v>11981</v>
      </c>
      <c r="B5496" s="11" t="s">
        <v>11982</v>
      </c>
      <c r="C5496" s="11" t="s">
        <v>59</v>
      </c>
      <c r="D5496" s="11" t="s">
        <v>60</v>
      </c>
      <c r="E5496" s="12" t="s">
        <v>1139</v>
      </c>
      <c r="F5496" s="12" t="s">
        <v>1140</v>
      </c>
      <c r="G5496" s="12" t="s">
        <v>21</v>
      </c>
      <c r="H5496" s="11" t="s">
        <v>63</v>
      </c>
      <c r="I5496" s="13" t="s">
        <v>11983</v>
      </c>
      <c r="J5496" s="14" t="str">
        <f>HYPERLINK("https://www.boe.es/gazeta/dias/1839/02/15/pdfs/GMD-1839-1553.pdf#page=4","Abrir facsímil")</f>
        <v>Abrir facsímil</v>
      </c>
      <c r="K5496" s="12" t="s">
        <v>65</v>
      </c>
    </row>
    <row r="5497" spans="1:11" ht="40.049999999999997" customHeight="1" x14ac:dyDescent="0.25">
      <c r="A5497" s="11" t="s">
        <v>11984</v>
      </c>
      <c r="B5497" s="11" t="s">
        <v>11985</v>
      </c>
      <c r="C5497" s="11" t="s">
        <v>137</v>
      </c>
      <c r="D5497" s="11" t="s">
        <v>18</v>
      </c>
      <c r="E5497" s="12" t="s">
        <v>998</v>
      </c>
      <c r="F5497" s="12" t="s">
        <v>999</v>
      </c>
      <c r="G5497" s="12" t="s">
        <v>29</v>
      </c>
      <c r="H5497" s="11" t="s">
        <v>63</v>
      </c>
      <c r="I5497" s="13" t="s">
        <v>11986</v>
      </c>
      <c r="J5497" s="14" t="str">
        <f>HYPERLINK("https://www.boe.es/gazeta/dias/1839/05/06/pdfs/GMD-1839-1633.pdf#page=1","Abrir facsímil")</f>
        <v>Abrir facsímil</v>
      </c>
      <c r="K5497" s="12" t="s">
        <v>65</v>
      </c>
    </row>
    <row r="5498" spans="1:11" ht="40.049999999999997" customHeight="1" x14ac:dyDescent="0.25">
      <c r="A5498" s="11" t="s">
        <v>11987</v>
      </c>
      <c r="B5498" s="11" t="s">
        <v>11988</v>
      </c>
      <c r="C5498" s="11" t="s">
        <v>17</v>
      </c>
      <c r="D5498" s="11" t="s">
        <v>18</v>
      </c>
      <c r="E5498" s="12" t="s">
        <v>1685</v>
      </c>
      <c r="F5498" s="12" t="s">
        <v>1686</v>
      </c>
      <c r="G5498" s="12" t="s">
        <v>29</v>
      </c>
      <c r="H5498" s="11" t="s">
        <v>63</v>
      </c>
      <c r="I5498" s="13" t="s">
        <v>11989</v>
      </c>
      <c r="J5498" s="14" t="str">
        <f>HYPERLINK("https://www.boe.es/gazeta/dias/1839/04/27/pdfs/GMD-1839-1624.pdf#page=1","Abrir facsímil")</f>
        <v>Abrir facsímil</v>
      </c>
      <c r="K5498" s="12" t="s">
        <v>65</v>
      </c>
    </row>
    <row r="5499" spans="1:11" ht="40.049999999999997" customHeight="1" x14ac:dyDescent="0.25">
      <c r="A5499" s="11" t="s">
        <v>11990</v>
      </c>
      <c r="B5499" s="11" t="s">
        <v>11991</v>
      </c>
      <c r="C5499" s="11" t="s">
        <v>17</v>
      </c>
      <c r="D5499" s="11" t="s">
        <v>18</v>
      </c>
      <c r="E5499" s="12" t="s">
        <v>1310</v>
      </c>
      <c r="F5499" s="12" t="s">
        <v>1311</v>
      </c>
      <c r="G5499" s="12" t="s">
        <v>40</v>
      </c>
      <c r="H5499" s="11" t="s">
        <v>63</v>
      </c>
      <c r="I5499" s="13" t="s">
        <v>11992</v>
      </c>
      <c r="J5499" s="14" t="str">
        <f>HYPERLINK("https://www.boe.es/gazeta/dias/1839/04/23/pdfs/GMD-1839-1620.pdf#page=2","Abrir facsímil")</f>
        <v>Abrir facsímil</v>
      </c>
      <c r="K5499" s="12" t="s">
        <v>65</v>
      </c>
    </row>
    <row r="5500" spans="1:11" ht="40.049999999999997" customHeight="1" x14ac:dyDescent="0.25">
      <c r="A5500" s="11" t="s">
        <v>11993</v>
      </c>
      <c r="B5500" s="11" t="s">
        <v>11994</v>
      </c>
      <c r="C5500" s="11" t="s">
        <v>80</v>
      </c>
      <c r="D5500" s="11" t="s">
        <v>18</v>
      </c>
      <c r="E5500" s="12" t="s">
        <v>716</v>
      </c>
      <c r="F5500" s="12" t="s">
        <v>717</v>
      </c>
      <c r="G5500" s="12" t="s">
        <v>46</v>
      </c>
      <c r="H5500" s="11" t="s">
        <v>63</v>
      </c>
      <c r="I5500" s="13" t="s">
        <v>11995</v>
      </c>
      <c r="J5500" s="14" t="str">
        <f>HYPERLINK("https://www.boe.es/gazeta/dias/1839/07/30/pdfs/GMD-1839-1719.pdf#page=3","Abrir facsímil")</f>
        <v>Abrir facsímil</v>
      </c>
      <c r="K5500" s="12" t="s">
        <v>65</v>
      </c>
    </row>
    <row r="5501" spans="1:11" ht="40.049999999999997" customHeight="1" x14ac:dyDescent="0.25">
      <c r="A5501" s="11" t="s">
        <v>11996</v>
      </c>
      <c r="B5501" s="11" t="s">
        <v>11997</v>
      </c>
      <c r="C5501" s="11" t="s">
        <v>17</v>
      </c>
      <c r="D5501" s="11" t="s">
        <v>18</v>
      </c>
      <c r="E5501" s="12" t="s">
        <v>258</v>
      </c>
      <c r="F5501" s="12" t="s">
        <v>259</v>
      </c>
      <c r="G5501" s="12" t="s">
        <v>21</v>
      </c>
      <c r="H5501" s="11" t="s">
        <v>63</v>
      </c>
      <c r="I5501" s="13" t="s">
        <v>11998</v>
      </c>
      <c r="J5501" s="14" t="str">
        <f>HYPERLINK("https://www.boe.es/gazeta/dias/1839/01/02/pdfs/GMD-1839-1509.pdf#page=4","Abrir facsímil")</f>
        <v>Abrir facsímil</v>
      </c>
      <c r="K5501" s="12" t="s">
        <v>65</v>
      </c>
    </row>
    <row r="5502" spans="1:11" ht="40.049999999999997" customHeight="1" x14ac:dyDescent="0.25">
      <c r="A5502" s="11" t="s">
        <v>11999</v>
      </c>
      <c r="B5502" s="11" t="s">
        <v>12000</v>
      </c>
      <c r="C5502" s="11" t="s">
        <v>59</v>
      </c>
      <c r="D5502" s="11" t="s">
        <v>60</v>
      </c>
      <c r="E5502" s="12" t="s">
        <v>217</v>
      </c>
      <c r="F5502" s="12" t="s">
        <v>218</v>
      </c>
      <c r="G5502" s="12" t="s">
        <v>29</v>
      </c>
      <c r="H5502" s="11" t="s">
        <v>63</v>
      </c>
      <c r="I5502" s="13" t="s">
        <v>12001</v>
      </c>
      <c r="J5502" s="14" t="str">
        <f>HYPERLINK("https://www.boe.es/gazeta/dias/1839/08/06/pdfs/GMD-1839-1726.pdf#page=1","Abrir facsímil")</f>
        <v>Abrir facsímil</v>
      </c>
      <c r="K5502" s="12" t="s">
        <v>65</v>
      </c>
    </row>
    <row r="5503" spans="1:11" ht="40.049999999999997" customHeight="1" x14ac:dyDescent="0.25">
      <c r="A5503" s="11" t="s">
        <v>12002</v>
      </c>
      <c r="B5503" s="11" t="s">
        <v>12003</v>
      </c>
      <c r="C5503" s="11" t="s">
        <v>80</v>
      </c>
      <c r="D5503" s="11" t="s">
        <v>18</v>
      </c>
      <c r="E5503" s="12" t="s">
        <v>2270</v>
      </c>
      <c r="F5503" s="12" t="s">
        <v>2271</v>
      </c>
      <c r="G5503" s="12" t="s">
        <v>40</v>
      </c>
      <c r="H5503" s="11" t="s">
        <v>63</v>
      </c>
      <c r="I5503" s="13" t="s">
        <v>12004</v>
      </c>
      <c r="J5503" s="14" t="str">
        <f>HYPERLINK("https://www.boe.es/gazeta/dias/1839/06/13/pdfs/GMD-1839-1671.pdf#page=2","Abrir facsímil")</f>
        <v>Abrir facsímil</v>
      </c>
      <c r="K5503" s="12" t="s">
        <v>65</v>
      </c>
    </row>
    <row r="5504" spans="1:11" ht="40.049999999999997" customHeight="1" x14ac:dyDescent="0.25">
      <c r="A5504" s="11" t="s">
        <v>12005</v>
      </c>
      <c r="B5504" s="11" t="s">
        <v>12006</v>
      </c>
      <c r="C5504" s="11" t="s">
        <v>17</v>
      </c>
      <c r="D5504" s="11" t="s">
        <v>18</v>
      </c>
      <c r="E5504" s="12" t="s">
        <v>401</v>
      </c>
      <c r="F5504" s="12" t="s">
        <v>402</v>
      </c>
      <c r="G5504" s="12" t="s">
        <v>46</v>
      </c>
      <c r="H5504" s="11" t="s">
        <v>22</v>
      </c>
      <c r="I5504" s="13" t="s">
        <v>12007</v>
      </c>
      <c r="J5504" s="14" t="str">
        <f>HYPERLINK("https://www.boe.es/gazeta/dias/1839/03/29/pdfs/GMD-1839-1595.pdf#page=3","Abrir facsímil")</f>
        <v>Abrir facsímil</v>
      </c>
      <c r="K5504" s="12" t="s">
        <v>24</v>
      </c>
    </row>
    <row r="5505" spans="1:11" ht="40.049999999999997" customHeight="1" x14ac:dyDescent="0.25">
      <c r="A5505" s="11" t="s">
        <v>12008</v>
      </c>
      <c r="B5505" s="11" t="s">
        <v>12009</v>
      </c>
      <c r="C5505" s="11" t="s">
        <v>17</v>
      </c>
      <c r="D5505" s="11" t="s">
        <v>43</v>
      </c>
      <c r="E5505" s="12" t="s">
        <v>1517</v>
      </c>
      <c r="F5505" s="12" t="s">
        <v>1518</v>
      </c>
      <c r="G5505" s="12" t="s">
        <v>40</v>
      </c>
      <c r="H5505" s="11" t="s">
        <v>63</v>
      </c>
      <c r="I5505" s="13" t="s">
        <v>12010</v>
      </c>
      <c r="J5505" s="14" t="str">
        <f>HYPERLINK("https://www.boe.es/gazeta/dias/1839/12/20/pdfs/GMD-1839-1867.pdf#page=2","Abrir facsímil")</f>
        <v>Abrir facsímil</v>
      </c>
      <c r="K5505" s="12" t="s">
        <v>65</v>
      </c>
    </row>
    <row r="5506" spans="1:11" ht="40.049999999999997" customHeight="1" x14ac:dyDescent="0.25">
      <c r="A5506" s="11" t="s">
        <v>12011</v>
      </c>
      <c r="B5506" s="11" t="s">
        <v>12012</v>
      </c>
      <c r="C5506" s="11" t="s">
        <v>17</v>
      </c>
      <c r="D5506" s="11" t="s">
        <v>18</v>
      </c>
      <c r="E5506" s="12" t="s">
        <v>19</v>
      </c>
      <c r="F5506" s="12" t="s">
        <v>20</v>
      </c>
      <c r="G5506" s="12" t="s">
        <v>29</v>
      </c>
      <c r="H5506" s="11" t="s">
        <v>63</v>
      </c>
      <c r="I5506" s="13" t="s">
        <v>12013</v>
      </c>
      <c r="J5506" s="14" t="str">
        <f>HYPERLINK("https://www.boe.es/gazeta/dias/1839/01/19/pdfs/GMD-1839-1526.pdf#page=1","Abrir facsímil")</f>
        <v>Abrir facsímil</v>
      </c>
      <c r="K5506" s="12" t="s">
        <v>65</v>
      </c>
    </row>
    <row r="5507" spans="1:11" ht="40.049999999999997" customHeight="1" x14ac:dyDescent="0.25">
      <c r="A5507" s="11" t="s">
        <v>12014</v>
      </c>
      <c r="B5507" s="11" t="s">
        <v>12015</v>
      </c>
      <c r="C5507" s="11" t="s">
        <v>137</v>
      </c>
      <c r="D5507" s="11" t="s">
        <v>18</v>
      </c>
      <c r="E5507" s="12" t="s">
        <v>647</v>
      </c>
      <c r="F5507" s="12" t="s">
        <v>648</v>
      </c>
      <c r="G5507" s="12" t="s">
        <v>29</v>
      </c>
      <c r="H5507" s="11" t="s">
        <v>63</v>
      </c>
      <c r="I5507" s="13" t="s">
        <v>12016</v>
      </c>
      <c r="J5507" s="14" t="str">
        <f>HYPERLINK("https://www.boe.es/gazeta/dias/1839/10/08/pdfs/GMD-1839-1794.pdf#page=1","Abrir facsímil")</f>
        <v>Abrir facsímil</v>
      </c>
      <c r="K5507" s="12" t="s">
        <v>65</v>
      </c>
    </row>
    <row r="5508" spans="1:11" ht="40.049999999999997" customHeight="1" x14ac:dyDescent="0.25">
      <c r="A5508" s="11" t="s">
        <v>12017</v>
      </c>
      <c r="B5508" s="11" t="s">
        <v>12018</v>
      </c>
      <c r="C5508" s="11" t="s">
        <v>17</v>
      </c>
      <c r="D5508" s="11" t="s">
        <v>18</v>
      </c>
      <c r="E5508" s="12" t="s">
        <v>1019</v>
      </c>
      <c r="F5508" s="12" t="s">
        <v>1020</v>
      </c>
      <c r="G5508" s="12" t="s">
        <v>46</v>
      </c>
      <c r="H5508" s="11" t="s">
        <v>63</v>
      </c>
      <c r="I5508" s="13" t="s">
        <v>12019</v>
      </c>
      <c r="J5508" s="14" t="str">
        <f>HYPERLINK("https://www.boe.es/gazeta/dias/1839/07/15/pdfs/GMD-1839-1703.pdf#page=3","Abrir facsímil")</f>
        <v>Abrir facsímil</v>
      </c>
      <c r="K5508" s="12" t="s">
        <v>65</v>
      </c>
    </row>
    <row r="5509" spans="1:11" ht="40.049999999999997" customHeight="1" x14ac:dyDescent="0.25">
      <c r="A5509" s="11" t="s">
        <v>12020</v>
      </c>
      <c r="B5509" s="11" t="s">
        <v>12021</v>
      </c>
      <c r="C5509" s="11" t="s">
        <v>17</v>
      </c>
      <c r="D5509" s="11" t="s">
        <v>18</v>
      </c>
      <c r="E5509" s="12" t="s">
        <v>723</v>
      </c>
      <c r="F5509" s="12" t="s">
        <v>724</v>
      </c>
      <c r="G5509" s="12" t="s">
        <v>46</v>
      </c>
      <c r="H5509" s="11" t="s">
        <v>63</v>
      </c>
      <c r="I5509" s="13" t="s">
        <v>12022</v>
      </c>
      <c r="J5509" s="14" t="str">
        <f>HYPERLINK("https://www.boe.es/gazeta/dias/1839/09/26/pdfs/GMD-1839-1782.pdf#page=3","Abrir facsímil")</f>
        <v>Abrir facsímil</v>
      </c>
      <c r="K5509" s="12" t="s">
        <v>65</v>
      </c>
    </row>
    <row r="5510" spans="1:11" ht="40.049999999999997" customHeight="1" x14ac:dyDescent="0.25">
      <c r="A5510" s="11" t="s">
        <v>12023</v>
      </c>
      <c r="B5510" s="11" t="s">
        <v>12024</v>
      </c>
      <c r="C5510" s="11" t="s">
        <v>101</v>
      </c>
      <c r="D5510" s="11" t="s">
        <v>43</v>
      </c>
      <c r="E5510" s="12" t="s">
        <v>601</v>
      </c>
      <c r="F5510" s="12" t="s">
        <v>602</v>
      </c>
      <c r="G5510" s="12" t="s">
        <v>21</v>
      </c>
      <c r="H5510" s="11" t="s">
        <v>63</v>
      </c>
      <c r="I5510" s="13" t="s">
        <v>12025</v>
      </c>
      <c r="J5510" s="14" t="str">
        <f>HYPERLINK("https://www.boe.es/gazeta/dias/1839/04/21/pdfs/GMD-1839-1618.pdf#page=4","Abrir facsímil")</f>
        <v>Abrir facsímil</v>
      </c>
      <c r="K5510" s="12" t="s">
        <v>65</v>
      </c>
    </row>
    <row r="5511" spans="1:11" ht="40.049999999999997" customHeight="1" x14ac:dyDescent="0.25">
      <c r="A5511" s="11" t="s">
        <v>12026</v>
      </c>
      <c r="B5511" s="11" t="s">
        <v>12027</v>
      </c>
      <c r="C5511" s="11" t="s">
        <v>80</v>
      </c>
      <c r="D5511" s="11" t="s">
        <v>18</v>
      </c>
      <c r="E5511" s="12" t="s">
        <v>372</v>
      </c>
      <c r="F5511" s="12" t="s">
        <v>373</v>
      </c>
      <c r="G5511" s="12" t="s">
        <v>21</v>
      </c>
      <c r="H5511" s="11" t="s">
        <v>63</v>
      </c>
      <c r="I5511" s="13" t="s">
        <v>12028</v>
      </c>
      <c r="J5511" s="14" t="str">
        <f>HYPERLINK("https://www.boe.es/gazeta/dias/1839/11/08/pdfs/GMD-1839-1825.pdf#page=4","Abrir facsímil")</f>
        <v>Abrir facsímil</v>
      </c>
      <c r="K5511" s="12" t="s">
        <v>65</v>
      </c>
    </row>
    <row r="5512" spans="1:11" ht="40.049999999999997" customHeight="1" x14ac:dyDescent="0.25">
      <c r="A5512" s="11" t="s">
        <v>12029</v>
      </c>
      <c r="B5512" s="11" t="s">
        <v>12030</v>
      </c>
      <c r="C5512" s="11" t="s">
        <v>59</v>
      </c>
      <c r="D5512" s="11" t="s">
        <v>60</v>
      </c>
      <c r="E5512" s="12" t="s">
        <v>360</v>
      </c>
      <c r="F5512" s="12" t="s">
        <v>361</v>
      </c>
      <c r="G5512" s="12" t="s">
        <v>29</v>
      </c>
      <c r="H5512" s="11" t="s">
        <v>63</v>
      </c>
      <c r="I5512" s="13" t="s">
        <v>12031</v>
      </c>
      <c r="J5512" s="14" t="str">
        <f>HYPERLINK("https://www.boe.es/gazeta/dias/1839/08/22/pdfs/GMD-1839-1743.pdf#page=1","Abrir facsímil")</f>
        <v>Abrir facsímil</v>
      </c>
      <c r="K5512" s="12" t="s">
        <v>65</v>
      </c>
    </row>
    <row r="5513" spans="1:11" ht="40.049999999999997" customHeight="1" x14ac:dyDescent="0.25">
      <c r="A5513" s="11" t="s">
        <v>12032</v>
      </c>
      <c r="B5513" s="11" t="s">
        <v>12033</v>
      </c>
      <c r="C5513" s="11" t="s">
        <v>137</v>
      </c>
      <c r="D5513" s="11" t="s">
        <v>18</v>
      </c>
      <c r="E5513" s="12" t="s">
        <v>324</v>
      </c>
      <c r="F5513" s="12" t="s">
        <v>325</v>
      </c>
      <c r="G5513" s="12" t="s">
        <v>46</v>
      </c>
      <c r="H5513" s="11" t="s">
        <v>63</v>
      </c>
      <c r="I5513" s="13" t="s">
        <v>12034</v>
      </c>
      <c r="J5513" s="14" t="str">
        <f>HYPERLINK("https://www.boe.es/gazeta/dias/1839/02/04/pdfs/GMD-1839-1542.pdf#page=3","Abrir facsímil")</f>
        <v>Abrir facsímil</v>
      </c>
      <c r="K5513" s="12" t="s">
        <v>65</v>
      </c>
    </row>
    <row r="5514" spans="1:11" ht="40.049999999999997" customHeight="1" x14ac:dyDescent="0.25">
      <c r="A5514" s="11" t="s">
        <v>12035</v>
      </c>
      <c r="B5514" s="11" t="s">
        <v>12036</v>
      </c>
      <c r="C5514" s="11" t="s">
        <v>137</v>
      </c>
      <c r="D5514" s="11" t="s">
        <v>18</v>
      </c>
      <c r="E5514" s="12" t="s">
        <v>1497</v>
      </c>
      <c r="F5514" s="12" t="s">
        <v>1498</v>
      </c>
      <c r="G5514" s="12" t="s">
        <v>21</v>
      </c>
      <c r="H5514" s="11" t="s">
        <v>63</v>
      </c>
      <c r="I5514" s="13" t="s">
        <v>12037</v>
      </c>
      <c r="J5514" s="14" t="str">
        <f>HYPERLINK("https://www.boe.es/gazeta/dias/1839/08/23/pdfs/GMD-1839-1744.pdf#page=4","Abrir facsímil")</f>
        <v>Abrir facsímil</v>
      </c>
      <c r="K5514" s="12" t="s">
        <v>65</v>
      </c>
    </row>
    <row r="5515" spans="1:11" ht="40.049999999999997" customHeight="1" x14ac:dyDescent="0.25">
      <c r="A5515" s="11" t="s">
        <v>12038</v>
      </c>
      <c r="B5515" s="11" t="s">
        <v>12039</v>
      </c>
      <c r="C5515" s="11" t="s">
        <v>17</v>
      </c>
      <c r="D5515" s="11" t="s">
        <v>18</v>
      </c>
      <c r="E5515" s="12" t="s">
        <v>1136</v>
      </c>
      <c r="F5515" s="12" t="s">
        <v>1137</v>
      </c>
      <c r="G5515" s="12" t="s">
        <v>46</v>
      </c>
      <c r="H5515" s="11" t="s">
        <v>63</v>
      </c>
      <c r="I5515" s="13" t="s">
        <v>12040</v>
      </c>
      <c r="J5515" s="14" t="str">
        <f>HYPERLINK("https://www.boe.es/gazeta/dias/1839/04/03/pdfs/GMD-1839-1600.pdf#page=3","Abrir facsímil")</f>
        <v>Abrir facsímil</v>
      </c>
      <c r="K5515" s="12" t="s">
        <v>65</v>
      </c>
    </row>
    <row r="5516" spans="1:11" ht="40.049999999999997" customHeight="1" x14ac:dyDescent="0.25">
      <c r="A5516" s="11" t="s">
        <v>12041</v>
      </c>
      <c r="B5516" s="11" t="s">
        <v>12042</v>
      </c>
      <c r="C5516" s="11" t="s">
        <v>17</v>
      </c>
      <c r="D5516" s="11" t="s">
        <v>18</v>
      </c>
      <c r="E5516" s="12" t="s">
        <v>3224</v>
      </c>
      <c r="F5516" s="12" t="s">
        <v>3225</v>
      </c>
      <c r="G5516" s="12" t="s">
        <v>46</v>
      </c>
      <c r="H5516" s="11" t="s">
        <v>63</v>
      </c>
      <c r="I5516" s="13" t="s">
        <v>12043</v>
      </c>
      <c r="J5516" s="14" t="str">
        <f>HYPERLINK("https://www.boe.es/gazeta/dias/1839/06/03/pdfs/GMD-1839-1661.pdf#page=3","Abrir facsímil")</f>
        <v>Abrir facsímil</v>
      </c>
      <c r="K5516" s="12" t="s">
        <v>65</v>
      </c>
    </row>
    <row r="5517" spans="1:11" ht="40.049999999999997" customHeight="1" x14ac:dyDescent="0.25">
      <c r="A5517" s="11" t="s">
        <v>12044</v>
      </c>
      <c r="B5517" s="11" t="s">
        <v>12045</v>
      </c>
      <c r="C5517" s="11" t="s">
        <v>17</v>
      </c>
      <c r="D5517" s="11" t="s">
        <v>18</v>
      </c>
      <c r="E5517" s="12" t="s">
        <v>3224</v>
      </c>
      <c r="F5517" s="12" t="s">
        <v>3225</v>
      </c>
      <c r="G5517" s="12" t="s">
        <v>46</v>
      </c>
      <c r="H5517" s="11" t="s">
        <v>63</v>
      </c>
      <c r="I5517" s="13" t="s">
        <v>12046</v>
      </c>
      <c r="J5517" s="14" t="str">
        <f>HYPERLINK("https://www.boe.es/gazeta/dias/1839/06/03/pdfs/GMD-1839-1661.pdf#page=3","Abrir facsímil")</f>
        <v>Abrir facsímil</v>
      </c>
      <c r="K5517" s="12" t="s">
        <v>65</v>
      </c>
    </row>
    <row r="5518" spans="1:11" ht="40.049999999999997" customHeight="1" x14ac:dyDescent="0.25">
      <c r="A5518" s="11" t="s">
        <v>12047</v>
      </c>
      <c r="B5518" s="11" t="s">
        <v>12048</v>
      </c>
      <c r="C5518" s="11" t="s">
        <v>17</v>
      </c>
      <c r="D5518" s="11" t="s">
        <v>18</v>
      </c>
      <c r="E5518" s="12" t="s">
        <v>3114</v>
      </c>
      <c r="F5518" s="12" t="s">
        <v>3115</v>
      </c>
      <c r="G5518" s="12" t="s">
        <v>21</v>
      </c>
      <c r="H5518" s="11" t="s">
        <v>63</v>
      </c>
      <c r="I5518" s="13" t="s">
        <v>12049</v>
      </c>
      <c r="J5518" s="14" t="str">
        <f>HYPERLINK("https://www.boe.es/gazeta/dias/1839/05/15/pdfs/GMD-1839-1642.pdf#page=4","Abrir facsímil")</f>
        <v>Abrir facsímil</v>
      </c>
      <c r="K5518" s="12" t="s">
        <v>65</v>
      </c>
    </row>
    <row r="5519" spans="1:11" ht="40.049999999999997" customHeight="1" x14ac:dyDescent="0.25">
      <c r="A5519" s="11" t="s">
        <v>12050</v>
      </c>
      <c r="B5519" s="11" t="s">
        <v>12051</v>
      </c>
      <c r="C5519" s="11" t="s">
        <v>17</v>
      </c>
      <c r="D5519" s="11" t="s">
        <v>18</v>
      </c>
      <c r="E5519" s="12" t="s">
        <v>1588</v>
      </c>
      <c r="F5519" s="12" t="s">
        <v>1589</v>
      </c>
      <c r="G5519" s="12" t="s">
        <v>40</v>
      </c>
      <c r="H5519" s="11" t="s">
        <v>22</v>
      </c>
      <c r="I5519" s="13" t="s">
        <v>12052</v>
      </c>
      <c r="J5519" s="14" t="str">
        <f>HYPERLINK("https://www.boe.es/gazeta/dias/1839/07/27/pdfs/GMD-1839-1716.pdf#page=2","Abrir facsímil")</f>
        <v>Abrir facsímil</v>
      </c>
      <c r="K5519" s="12" t="s">
        <v>24</v>
      </c>
    </row>
    <row r="5520" spans="1:11" ht="40.049999999999997" customHeight="1" x14ac:dyDescent="0.25">
      <c r="A5520" s="11" t="s">
        <v>12053</v>
      </c>
      <c r="B5520" s="11" t="s">
        <v>12054</v>
      </c>
      <c r="C5520" s="11" t="s">
        <v>80</v>
      </c>
      <c r="D5520" s="11" t="s">
        <v>18</v>
      </c>
      <c r="E5520" s="12" t="s">
        <v>821</v>
      </c>
      <c r="F5520" s="12" t="s">
        <v>822</v>
      </c>
      <c r="G5520" s="12" t="s">
        <v>21</v>
      </c>
      <c r="H5520" s="11" t="s">
        <v>63</v>
      </c>
      <c r="I5520" s="13" t="s">
        <v>12055</v>
      </c>
      <c r="J5520" s="14" t="str">
        <f>HYPERLINK("https://www.boe.es/gazeta/dias/1839/09/20/pdfs/GMD-1839-1775.pdf#page=4","Abrir facsímil")</f>
        <v>Abrir facsímil</v>
      </c>
      <c r="K5520" s="12" t="s">
        <v>65</v>
      </c>
    </row>
    <row r="5521" spans="1:11" ht="40.049999999999997" customHeight="1" x14ac:dyDescent="0.25">
      <c r="A5521" s="11" t="s">
        <v>12056</v>
      </c>
      <c r="B5521" s="11" t="s">
        <v>12057</v>
      </c>
      <c r="C5521" s="11" t="s">
        <v>101</v>
      </c>
      <c r="D5521" s="11" t="s">
        <v>43</v>
      </c>
      <c r="E5521" s="12" t="s">
        <v>571</v>
      </c>
      <c r="F5521" s="12" t="s">
        <v>572</v>
      </c>
      <c r="G5521" s="12" t="s">
        <v>21</v>
      </c>
      <c r="H5521" s="11" t="s">
        <v>63</v>
      </c>
      <c r="I5521" s="13" t="s">
        <v>12058</v>
      </c>
      <c r="J5521" s="14" t="str">
        <f>HYPERLINK("https://www.boe.es/gazeta/dias/1839/09/27/pdfs/GMD-1839-1783.pdf#page=4","Abrir facsímil")</f>
        <v>Abrir facsímil</v>
      </c>
      <c r="K5521" s="12" t="s">
        <v>65</v>
      </c>
    </row>
    <row r="5522" spans="1:11" ht="40.049999999999997" customHeight="1" x14ac:dyDescent="0.25">
      <c r="A5522" s="11" t="s">
        <v>12059</v>
      </c>
      <c r="B5522" s="11" t="s">
        <v>12060</v>
      </c>
      <c r="C5522" s="11" t="s">
        <v>137</v>
      </c>
      <c r="D5522" s="11" t="s">
        <v>18</v>
      </c>
      <c r="E5522" s="12" t="s">
        <v>160</v>
      </c>
      <c r="F5522" s="12" t="s">
        <v>161</v>
      </c>
      <c r="G5522" s="12" t="s">
        <v>29</v>
      </c>
      <c r="H5522" s="11" t="s">
        <v>63</v>
      </c>
      <c r="I5522" s="13" t="s">
        <v>12061</v>
      </c>
      <c r="J5522" s="14" t="str">
        <f>HYPERLINK("https://www.boe.es/gazeta/dias/1839/01/10/pdfs/GMD-1839-1517.pdf#page=1","Abrir facsímil")</f>
        <v>Abrir facsímil</v>
      </c>
      <c r="K5522" s="12" t="s">
        <v>65</v>
      </c>
    </row>
    <row r="5523" spans="1:11" ht="40.049999999999997" customHeight="1" x14ac:dyDescent="0.25">
      <c r="A5523" s="11" t="s">
        <v>12059</v>
      </c>
      <c r="B5523" s="11" t="s">
        <v>12060</v>
      </c>
      <c r="C5523" s="11" t="s">
        <v>101</v>
      </c>
      <c r="D5523" s="11" t="s">
        <v>43</v>
      </c>
      <c r="E5523" s="12" t="s">
        <v>160</v>
      </c>
      <c r="F5523" s="12" t="s">
        <v>161</v>
      </c>
      <c r="G5523" s="12" t="s">
        <v>40</v>
      </c>
      <c r="H5523" s="11" t="s">
        <v>63</v>
      </c>
      <c r="I5523" s="13" t="s">
        <v>12062</v>
      </c>
      <c r="J5523" s="14" t="str">
        <f>HYPERLINK("https://www.boe.es/gazeta/dias/1839/01/10/pdfs/GMD-1839-1517.pdf#page=2","Abrir facsímil")</f>
        <v>Abrir facsímil</v>
      </c>
      <c r="K5523" s="12" t="s">
        <v>65</v>
      </c>
    </row>
    <row r="5524" spans="1:11" ht="40.049999999999997" customHeight="1" x14ac:dyDescent="0.25">
      <c r="A5524" s="11" t="s">
        <v>12063</v>
      </c>
      <c r="B5524" s="11" t="s">
        <v>12064</v>
      </c>
      <c r="C5524" s="11" t="s">
        <v>17</v>
      </c>
      <c r="D5524" s="11" t="s">
        <v>18</v>
      </c>
      <c r="E5524" s="12" t="s">
        <v>4921</v>
      </c>
      <c r="F5524" s="12" t="s">
        <v>4922</v>
      </c>
      <c r="G5524" s="12" t="s">
        <v>29</v>
      </c>
      <c r="H5524" s="11" t="s">
        <v>63</v>
      </c>
      <c r="I5524" s="13" t="s">
        <v>12065</v>
      </c>
      <c r="J5524" s="14" t="str">
        <f>HYPERLINK("https://www.boe.es/gazeta/dias/1839/11/05/pdfs/GMD-1839-1822.pdf#page=1","Abrir facsímil")</f>
        <v>Abrir facsímil</v>
      </c>
      <c r="K5524" s="12" t="s">
        <v>65</v>
      </c>
    </row>
    <row r="5525" spans="1:11" ht="40.049999999999997" customHeight="1" x14ac:dyDescent="0.25">
      <c r="A5525" s="11" t="s">
        <v>12066</v>
      </c>
      <c r="B5525" s="11" t="s">
        <v>12067</v>
      </c>
      <c r="C5525" s="11" t="s">
        <v>80</v>
      </c>
      <c r="D5525" s="11" t="s">
        <v>18</v>
      </c>
      <c r="E5525" s="12" t="s">
        <v>513</v>
      </c>
      <c r="F5525" s="12" t="s">
        <v>514</v>
      </c>
      <c r="G5525" s="12" t="s">
        <v>21</v>
      </c>
      <c r="H5525" s="11" t="s">
        <v>63</v>
      </c>
      <c r="I5525" s="13" t="s">
        <v>12068</v>
      </c>
      <c r="J5525" s="14" t="str">
        <f>HYPERLINK("https://www.boe.es/gazeta/dias/1839/03/17/pdfs/GMD-1839-1583.pdf#page=4","Abrir facsímil")</f>
        <v>Abrir facsímil</v>
      </c>
      <c r="K5525" s="12" t="s">
        <v>65</v>
      </c>
    </row>
    <row r="5526" spans="1:11" ht="40.049999999999997" customHeight="1" x14ac:dyDescent="0.25">
      <c r="A5526" s="11" t="s">
        <v>12069</v>
      </c>
      <c r="B5526" s="11" t="s">
        <v>12070</v>
      </c>
      <c r="C5526" s="11" t="s">
        <v>59</v>
      </c>
      <c r="D5526" s="11" t="s">
        <v>60</v>
      </c>
      <c r="E5526" s="12" t="s">
        <v>1072</v>
      </c>
      <c r="F5526" s="12" t="s">
        <v>1073</v>
      </c>
      <c r="G5526" s="12" t="s">
        <v>29</v>
      </c>
      <c r="H5526" s="11" t="s">
        <v>63</v>
      </c>
      <c r="I5526" s="13" t="s">
        <v>12071</v>
      </c>
      <c r="J5526" s="14" t="str">
        <f>HYPERLINK("https://www.boe.es/gazeta/dias/1839/01/18/pdfs/GMD-1839-1525.pdf#page=1","Abrir facsímil")</f>
        <v>Abrir facsímil</v>
      </c>
      <c r="K5526" s="12" t="s">
        <v>65</v>
      </c>
    </row>
    <row r="5527" spans="1:11" ht="40.049999999999997" customHeight="1" x14ac:dyDescent="0.25">
      <c r="A5527" s="11" t="s">
        <v>12072</v>
      </c>
      <c r="B5527" s="11" t="s">
        <v>12073</v>
      </c>
      <c r="C5527" s="11" t="s">
        <v>80</v>
      </c>
      <c r="D5527" s="11" t="s">
        <v>18</v>
      </c>
      <c r="E5527" s="12" t="s">
        <v>2270</v>
      </c>
      <c r="F5527" s="12" t="s">
        <v>2271</v>
      </c>
      <c r="G5527" s="12" t="s">
        <v>29</v>
      </c>
      <c r="H5527" s="11" t="s">
        <v>63</v>
      </c>
      <c r="I5527" s="13" t="s">
        <v>12074</v>
      </c>
      <c r="J5527" s="14" t="str">
        <f>HYPERLINK("https://www.boe.es/gazeta/dias/1839/06/13/pdfs/GMD-1839-1671.pdf#page=1","Abrir facsímil")</f>
        <v>Abrir facsímil</v>
      </c>
      <c r="K5527" s="12" t="s">
        <v>65</v>
      </c>
    </row>
    <row r="5528" spans="1:11" ht="40.049999999999997" customHeight="1" x14ac:dyDescent="0.25">
      <c r="A5528" s="11" t="s">
        <v>12075</v>
      </c>
      <c r="B5528" s="11" t="s">
        <v>12076</v>
      </c>
      <c r="C5528" s="11" t="s">
        <v>17</v>
      </c>
      <c r="D5528" s="11" t="s">
        <v>18</v>
      </c>
      <c r="E5528" s="12" t="s">
        <v>1467</v>
      </c>
      <c r="F5528" s="12" t="s">
        <v>1468</v>
      </c>
      <c r="G5528" s="12" t="s">
        <v>21</v>
      </c>
      <c r="H5528" s="11" t="s">
        <v>63</v>
      </c>
      <c r="I5528" s="13" t="s">
        <v>12077</v>
      </c>
      <c r="J5528" s="14" t="str">
        <f>HYPERLINK("https://www.boe.es/gazeta/dias/1839/03/05/pdfs/GMD-1839-1571.pdf#page=4","Abrir facsímil")</f>
        <v>Abrir facsímil</v>
      </c>
      <c r="K5528" s="12" t="s">
        <v>65</v>
      </c>
    </row>
    <row r="5529" spans="1:11" ht="40.049999999999997" customHeight="1" x14ac:dyDescent="0.25">
      <c r="A5529" s="11" t="s">
        <v>12075</v>
      </c>
      <c r="B5529" s="11" t="s">
        <v>12076</v>
      </c>
      <c r="C5529" s="11" t="s">
        <v>17</v>
      </c>
      <c r="D5529" s="11" t="s">
        <v>18</v>
      </c>
      <c r="E5529" s="12" t="s">
        <v>4055</v>
      </c>
      <c r="F5529" s="12" t="s">
        <v>4056</v>
      </c>
      <c r="G5529" s="12" t="s">
        <v>21</v>
      </c>
      <c r="H5529" s="11" t="s">
        <v>63</v>
      </c>
      <c r="I5529" s="13" t="s">
        <v>12078</v>
      </c>
      <c r="J5529" s="14" t="str">
        <f>HYPERLINK("https://www.boe.es/gazeta/dias/1839/03/07/pdfs/GMD-1839-1573.pdf#page=4","Abrir facsímil")</f>
        <v>Abrir facsímil</v>
      </c>
      <c r="K5529" s="12" t="s">
        <v>65</v>
      </c>
    </row>
    <row r="5530" spans="1:11" ht="40.049999999999997" customHeight="1" x14ac:dyDescent="0.25">
      <c r="A5530" s="11" t="s">
        <v>12079</v>
      </c>
      <c r="B5530" s="11" t="s">
        <v>12080</v>
      </c>
      <c r="C5530" s="11" t="s">
        <v>17</v>
      </c>
      <c r="D5530" s="11" t="s">
        <v>18</v>
      </c>
      <c r="E5530" s="12" t="s">
        <v>751</v>
      </c>
      <c r="F5530" s="12" t="s">
        <v>752</v>
      </c>
      <c r="G5530" s="12" t="s">
        <v>46</v>
      </c>
      <c r="H5530" s="11" t="s">
        <v>63</v>
      </c>
      <c r="I5530" s="13" t="s">
        <v>12081</v>
      </c>
      <c r="J5530" s="14" t="str">
        <f>HYPERLINK("https://www.boe.es/gazeta/dias/1839/02/05/pdfs/GMD-1839-1543.pdf#page=3","Abrir facsímil")</f>
        <v>Abrir facsímil</v>
      </c>
      <c r="K5530" s="12" t="s">
        <v>65</v>
      </c>
    </row>
    <row r="5531" spans="1:11" ht="40.049999999999997" customHeight="1" x14ac:dyDescent="0.25">
      <c r="A5531" s="11" t="s">
        <v>12082</v>
      </c>
      <c r="B5531" s="11" t="s">
        <v>12083</v>
      </c>
      <c r="C5531" s="11" t="s">
        <v>17</v>
      </c>
      <c r="D5531" s="11" t="s">
        <v>18</v>
      </c>
      <c r="E5531" s="12" t="s">
        <v>677</v>
      </c>
      <c r="F5531" s="12" t="s">
        <v>678</v>
      </c>
      <c r="G5531" s="12" t="s">
        <v>46</v>
      </c>
      <c r="H5531" s="11" t="s">
        <v>63</v>
      </c>
      <c r="I5531" s="13" t="s">
        <v>12084</v>
      </c>
      <c r="J5531" s="14" t="str">
        <f>HYPERLINK("https://www.boe.es/gazeta/dias/1839/04/28/pdfs/GMD-1839-1625.pdf#page=3","Abrir facsímil")</f>
        <v>Abrir facsímil</v>
      </c>
      <c r="K5531" s="12" t="s">
        <v>65</v>
      </c>
    </row>
    <row r="5532" spans="1:11" ht="40.049999999999997" customHeight="1" x14ac:dyDescent="0.25">
      <c r="A5532" s="11" t="s">
        <v>12085</v>
      </c>
      <c r="B5532" s="11" t="s">
        <v>12086</v>
      </c>
      <c r="C5532" s="11" t="s">
        <v>17</v>
      </c>
      <c r="D5532" s="11" t="s">
        <v>18</v>
      </c>
      <c r="E5532" s="12" t="s">
        <v>1551</v>
      </c>
      <c r="F5532" s="12" t="s">
        <v>1552</v>
      </c>
      <c r="G5532" s="12" t="s">
        <v>29</v>
      </c>
      <c r="H5532" s="11" t="s">
        <v>63</v>
      </c>
      <c r="I5532" s="13" t="s">
        <v>12087</v>
      </c>
      <c r="J5532" s="14" t="str">
        <f>HYPERLINK("https://www.boe.es/gazeta/dias/1839/06/30/pdfs/GMD-1839-1688.pdf#page=1","Abrir facsímil")</f>
        <v>Abrir facsímil</v>
      </c>
      <c r="K5532" s="12" t="s">
        <v>65</v>
      </c>
    </row>
    <row r="5533" spans="1:11" ht="40.049999999999997" customHeight="1" x14ac:dyDescent="0.25">
      <c r="A5533" s="11" t="s">
        <v>12088</v>
      </c>
      <c r="B5533" s="11" t="s">
        <v>12089</v>
      </c>
      <c r="C5533" s="11" t="s">
        <v>17</v>
      </c>
      <c r="D5533" s="11" t="s">
        <v>18</v>
      </c>
      <c r="E5533" s="12" t="s">
        <v>1388</v>
      </c>
      <c r="F5533" s="12" t="s">
        <v>1389</v>
      </c>
      <c r="G5533" s="12" t="s">
        <v>21</v>
      </c>
      <c r="H5533" s="11" t="s">
        <v>63</v>
      </c>
      <c r="I5533" s="13" t="s">
        <v>12090</v>
      </c>
      <c r="J5533" s="14" t="str">
        <f>HYPERLINK("https://www.boe.es/gazeta/dias/1839/06/04/pdfs/GMD-1839-1662.pdf#page=4","Abrir facsímil")</f>
        <v>Abrir facsímil</v>
      </c>
      <c r="K5533" s="12" t="s">
        <v>65</v>
      </c>
    </row>
    <row r="5534" spans="1:11" ht="40.049999999999997" customHeight="1" x14ac:dyDescent="0.25">
      <c r="A5534" s="11" t="s">
        <v>12091</v>
      </c>
      <c r="B5534" s="11" t="s">
        <v>12092</v>
      </c>
      <c r="C5534" s="11" t="s">
        <v>137</v>
      </c>
      <c r="D5534" s="11" t="s">
        <v>18</v>
      </c>
      <c r="E5534" s="12" t="s">
        <v>568</v>
      </c>
      <c r="F5534" s="12" t="s">
        <v>569</v>
      </c>
      <c r="G5534" s="12" t="s">
        <v>21</v>
      </c>
      <c r="H5534" s="11" t="s">
        <v>63</v>
      </c>
      <c r="I5534" s="13" t="s">
        <v>12093</v>
      </c>
      <c r="J5534" s="14" t="str">
        <f>HYPERLINK("https://www.boe.es/gazeta/dias/1839/10/23/pdfs/GMD-1839-1809.pdf#page=4","Abrir facsímil")</f>
        <v>Abrir facsímil</v>
      </c>
      <c r="K5534" s="12" t="s">
        <v>65</v>
      </c>
    </row>
    <row r="5535" spans="1:11" ht="40.049999999999997" customHeight="1" x14ac:dyDescent="0.25">
      <c r="A5535" s="11" t="s">
        <v>12094</v>
      </c>
      <c r="B5535" s="11" t="s">
        <v>12095</v>
      </c>
      <c r="C5535" s="11" t="s">
        <v>17</v>
      </c>
      <c r="D5535" s="11" t="s">
        <v>18</v>
      </c>
      <c r="E5535" s="12" t="s">
        <v>736</v>
      </c>
      <c r="F5535" s="12" t="s">
        <v>737</v>
      </c>
      <c r="G5535" s="12" t="s">
        <v>21</v>
      </c>
      <c r="H5535" s="11" t="s">
        <v>63</v>
      </c>
      <c r="I5535" s="13" t="s">
        <v>12096</v>
      </c>
      <c r="J5535" s="14" t="str">
        <f>HYPERLINK("https://www.boe.es/gazeta/dias/1839/10/13/pdfs/GMD-1839-1799.pdf#page=4","Abrir facsímil")</f>
        <v>Abrir facsímil</v>
      </c>
      <c r="K5535" s="12" t="s">
        <v>65</v>
      </c>
    </row>
    <row r="5536" spans="1:11" ht="40.049999999999997" customHeight="1" x14ac:dyDescent="0.25">
      <c r="A5536" s="11" t="s">
        <v>12094</v>
      </c>
      <c r="B5536" s="11" t="s">
        <v>12095</v>
      </c>
      <c r="C5536" s="11" t="s">
        <v>17</v>
      </c>
      <c r="D5536" s="11" t="s">
        <v>18</v>
      </c>
      <c r="E5536" s="12" t="s">
        <v>1287</v>
      </c>
      <c r="F5536" s="12" t="s">
        <v>1288</v>
      </c>
      <c r="G5536" s="12" t="s">
        <v>21</v>
      </c>
      <c r="H5536" s="11" t="s">
        <v>63</v>
      </c>
      <c r="I5536" s="13" t="s">
        <v>12097</v>
      </c>
      <c r="J5536" s="14" t="str">
        <f>HYPERLINK("https://www.boe.es/gazeta/dias/1839/10/30/pdfs/GMD-1839-1816.pdf#page=4","Abrir facsímil")</f>
        <v>Abrir facsímil</v>
      </c>
      <c r="K5536" s="12" t="s">
        <v>65</v>
      </c>
    </row>
    <row r="5537" spans="1:11" ht="40.049999999999997" customHeight="1" x14ac:dyDescent="0.25">
      <c r="A5537" s="11" t="s">
        <v>12098</v>
      </c>
      <c r="B5537" s="11" t="s">
        <v>12099</v>
      </c>
      <c r="C5537" s="11" t="s">
        <v>17</v>
      </c>
      <c r="D5537" s="11" t="s">
        <v>18</v>
      </c>
      <c r="E5537" s="12" t="s">
        <v>500</v>
      </c>
      <c r="F5537" s="12" t="s">
        <v>501</v>
      </c>
      <c r="G5537" s="12" t="s">
        <v>21</v>
      </c>
      <c r="H5537" s="11" t="s">
        <v>63</v>
      </c>
      <c r="I5537" s="13" t="s">
        <v>12100</v>
      </c>
      <c r="J5537" s="14" t="str">
        <f>HYPERLINK("https://www.boe.es/gazeta/dias/1839/11/06/pdfs/GMD-1839-1823.pdf#page=4","Abrir facsímil")</f>
        <v>Abrir facsímil</v>
      </c>
      <c r="K5537" s="12" t="s">
        <v>65</v>
      </c>
    </row>
    <row r="5538" spans="1:11" ht="40.049999999999997" customHeight="1" x14ac:dyDescent="0.25">
      <c r="A5538" s="11" t="s">
        <v>12101</v>
      </c>
      <c r="B5538" s="11" t="s">
        <v>12102</v>
      </c>
      <c r="C5538" s="11" t="s">
        <v>59</v>
      </c>
      <c r="D5538" s="11" t="s">
        <v>60</v>
      </c>
      <c r="E5538" s="12" t="s">
        <v>2443</v>
      </c>
      <c r="F5538" s="12" t="s">
        <v>2444</v>
      </c>
      <c r="G5538" s="12" t="s">
        <v>46</v>
      </c>
      <c r="H5538" s="11" t="s">
        <v>63</v>
      </c>
      <c r="I5538" s="13" t="s">
        <v>12103</v>
      </c>
      <c r="J5538" s="14" t="str">
        <f>HYPERLINK("https://www.boe.es/gazeta/dias/1839/11/02/pdfs/GMD-1839-1819.pdf#page=3","Abrir facsímil")</f>
        <v>Abrir facsímil</v>
      </c>
      <c r="K5538" s="12" t="s">
        <v>65</v>
      </c>
    </row>
    <row r="5539" spans="1:11" ht="40.049999999999997" customHeight="1" x14ac:dyDescent="0.25">
      <c r="A5539" s="11" t="s">
        <v>12104</v>
      </c>
      <c r="B5539" s="11" t="s">
        <v>12105</v>
      </c>
      <c r="C5539" s="11" t="s">
        <v>17</v>
      </c>
      <c r="D5539" s="11" t="s">
        <v>18</v>
      </c>
      <c r="E5539" s="12" t="s">
        <v>94</v>
      </c>
      <c r="F5539" s="12" t="s">
        <v>95</v>
      </c>
      <c r="G5539" s="12" t="s">
        <v>21</v>
      </c>
      <c r="H5539" s="11" t="s">
        <v>63</v>
      </c>
      <c r="I5539" s="13" t="s">
        <v>12106</v>
      </c>
      <c r="J5539" s="14" t="str">
        <f>HYPERLINK("https://www.boe.es/gazeta/dias/1839/02/24/pdfs/GMD-1839-1562.pdf#page=4","Abrir facsímil")</f>
        <v>Abrir facsímil</v>
      </c>
      <c r="K5539" s="12" t="s">
        <v>65</v>
      </c>
    </row>
    <row r="5540" spans="1:11" ht="40.049999999999997" customHeight="1" x14ac:dyDescent="0.25">
      <c r="A5540" s="11" t="s">
        <v>12107</v>
      </c>
      <c r="B5540" s="11" t="s">
        <v>12108</v>
      </c>
      <c r="C5540" s="11" t="s">
        <v>59</v>
      </c>
      <c r="D5540" s="11" t="s">
        <v>60</v>
      </c>
      <c r="E5540" s="12" t="s">
        <v>1433</v>
      </c>
      <c r="F5540" s="12" t="s">
        <v>1434</v>
      </c>
      <c r="G5540" s="12" t="s">
        <v>40</v>
      </c>
      <c r="H5540" s="11" t="s">
        <v>63</v>
      </c>
      <c r="I5540" s="13" t="s">
        <v>12109</v>
      </c>
      <c r="J5540" s="14" t="str">
        <f>HYPERLINK("https://www.boe.es/gazeta/dias/1839/10/22/pdfs/GMD-1839-1808.pdf#page=2","Abrir facsímil")</f>
        <v>Abrir facsímil</v>
      </c>
      <c r="K5540" s="12" t="s">
        <v>65</v>
      </c>
    </row>
    <row r="5541" spans="1:11" ht="40.049999999999997" customHeight="1" x14ac:dyDescent="0.25">
      <c r="A5541" s="11" t="s">
        <v>12110</v>
      </c>
      <c r="B5541" s="11" t="s">
        <v>12111</v>
      </c>
      <c r="C5541" s="11" t="s">
        <v>80</v>
      </c>
      <c r="D5541" s="11" t="s">
        <v>18</v>
      </c>
      <c r="E5541" s="12" t="s">
        <v>2440</v>
      </c>
      <c r="F5541" s="12" t="s">
        <v>2441</v>
      </c>
      <c r="G5541" s="12" t="s">
        <v>21</v>
      </c>
      <c r="H5541" s="11" t="s">
        <v>63</v>
      </c>
      <c r="I5541" s="13" t="s">
        <v>12112</v>
      </c>
      <c r="J5541" s="14" t="str">
        <f>HYPERLINK("https://www.boe.es/gazeta/dias/1839/12/01/pdfs/GMD-1839-1848.pdf#page=4","Abrir facsímil")</f>
        <v>Abrir facsímil</v>
      </c>
      <c r="K5541" s="12" t="s">
        <v>65</v>
      </c>
    </row>
    <row r="5542" spans="1:11" ht="40.049999999999997" customHeight="1" x14ac:dyDescent="0.25">
      <c r="A5542" s="11" t="s">
        <v>12110</v>
      </c>
      <c r="B5542" s="11" t="s">
        <v>12111</v>
      </c>
      <c r="C5542" s="11" t="s">
        <v>17</v>
      </c>
      <c r="D5542" s="11" t="s">
        <v>18</v>
      </c>
      <c r="E5542" s="12" t="s">
        <v>4451</v>
      </c>
      <c r="F5542" s="12" t="s">
        <v>4452</v>
      </c>
      <c r="G5542" s="12" t="s">
        <v>21</v>
      </c>
      <c r="H5542" s="11" t="s">
        <v>63</v>
      </c>
      <c r="I5542" s="13" t="s">
        <v>12113</v>
      </c>
      <c r="J5542" s="14" t="str">
        <f>HYPERLINK("https://www.boe.es/gazeta/dias/1839/12/02/pdfs/GMD-1839-1849.pdf#page=4","Abrir facsímil")</f>
        <v>Abrir facsímil</v>
      </c>
      <c r="K5542" s="12" t="s">
        <v>65</v>
      </c>
    </row>
    <row r="5543" spans="1:11" ht="40.049999999999997" customHeight="1" x14ac:dyDescent="0.25">
      <c r="A5543" s="11" t="s">
        <v>12114</v>
      </c>
      <c r="B5543" s="11" t="s">
        <v>12115</v>
      </c>
      <c r="C5543" s="11" t="s">
        <v>17</v>
      </c>
      <c r="D5543" s="11" t="s">
        <v>18</v>
      </c>
      <c r="E5543" s="12" t="s">
        <v>5806</v>
      </c>
      <c r="F5543" s="12" t="s">
        <v>5807</v>
      </c>
      <c r="G5543" s="12" t="s">
        <v>40</v>
      </c>
      <c r="H5543" s="11" t="s">
        <v>63</v>
      </c>
      <c r="I5543" s="13" t="s">
        <v>12116</v>
      </c>
      <c r="J5543" s="14" t="str">
        <f>HYPERLINK("https://www.boe.es/gazeta/dias/1839/02/16/pdfs/GMD-1839-1554.pdf#page=2","Abrir facsímil")</f>
        <v>Abrir facsímil</v>
      </c>
      <c r="K5543" s="12" t="s">
        <v>65</v>
      </c>
    </row>
    <row r="5544" spans="1:11" ht="40.049999999999997" customHeight="1" x14ac:dyDescent="0.25">
      <c r="A5544" s="11" t="s">
        <v>12117</v>
      </c>
      <c r="B5544" s="11" t="s">
        <v>12118</v>
      </c>
      <c r="C5544" s="11" t="s">
        <v>17</v>
      </c>
      <c r="D5544" s="11" t="s">
        <v>18</v>
      </c>
      <c r="E5544" s="12" t="s">
        <v>94</v>
      </c>
      <c r="F5544" s="12" t="s">
        <v>95</v>
      </c>
      <c r="G5544" s="12" t="s">
        <v>21</v>
      </c>
      <c r="H5544" s="11" t="s">
        <v>63</v>
      </c>
      <c r="I5544" s="13" t="s">
        <v>12119</v>
      </c>
      <c r="J5544" s="14" t="str">
        <f>HYPERLINK("https://www.boe.es/gazeta/dias/1839/02/24/pdfs/GMD-1839-1562.pdf#page=4","Abrir facsímil")</f>
        <v>Abrir facsímil</v>
      </c>
      <c r="K5544" s="12" t="s">
        <v>65</v>
      </c>
    </row>
    <row r="5545" spans="1:11" ht="40.049999999999997" customHeight="1" x14ac:dyDescent="0.25">
      <c r="A5545" s="11" t="s">
        <v>12120</v>
      </c>
      <c r="B5545" s="11" t="s">
        <v>12121</v>
      </c>
      <c r="C5545" s="11" t="s">
        <v>59</v>
      </c>
      <c r="D5545" s="11" t="s">
        <v>60</v>
      </c>
      <c r="E5545" s="12" t="s">
        <v>2374</v>
      </c>
      <c r="F5545" s="12" t="s">
        <v>2375</v>
      </c>
      <c r="G5545" s="12" t="s">
        <v>40</v>
      </c>
      <c r="H5545" s="11" t="s">
        <v>63</v>
      </c>
      <c r="I5545" s="13" t="s">
        <v>12122</v>
      </c>
      <c r="J5545" s="14" t="str">
        <f>HYPERLINK("https://www.boe.es/gazeta/dias/1839/06/14/pdfs/GMD-1839-1672.pdf#page=2","Abrir facsímil")</f>
        <v>Abrir facsímil</v>
      </c>
      <c r="K5545" s="12" t="s">
        <v>65</v>
      </c>
    </row>
    <row r="5546" spans="1:11" ht="40.049999999999997" customHeight="1" x14ac:dyDescent="0.25">
      <c r="A5546" s="11" t="s">
        <v>12123</v>
      </c>
      <c r="B5546" s="11" t="s">
        <v>12124</v>
      </c>
      <c r="C5546" s="11" t="s">
        <v>80</v>
      </c>
      <c r="D5546" s="11" t="s">
        <v>173</v>
      </c>
      <c r="E5546" s="12" t="s">
        <v>756</v>
      </c>
      <c r="F5546" s="12" t="s">
        <v>757</v>
      </c>
      <c r="G5546" s="12" t="s">
        <v>21</v>
      </c>
      <c r="H5546" s="11" t="s">
        <v>63</v>
      </c>
      <c r="I5546" s="13" t="s">
        <v>12125</v>
      </c>
      <c r="J5546" s="14" t="str">
        <f>HYPERLINK("https://www.boe.es/gazeta/dias/1839/12/17/pdfs/GMD-1839-1864.pdf#page=4","Abrir facsímil")</f>
        <v>Abrir facsímil</v>
      </c>
      <c r="K5546" s="12" t="s">
        <v>65</v>
      </c>
    </row>
    <row r="5547" spans="1:11" ht="40.049999999999997" customHeight="1" x14ac:dyDescent="0.25">
      <c r="A5547" s="11" t="s">
        <v>12123</v>
      </c>
      <c r="B5547" s="11" t="s">
        <v>12124</v>
      </c>
      <c r="C5547" s="11" t="s">
        <v>17</v>
      </c>
      <c r="D5547" s="11" t="s">
        <v>18</v>
      </c>
      <c r="E5547" s="12" t="s">
        <v>716</v>
      </c>
      <c r="F5547" s="12" t="s">
        <v>717</v>
      </c>
      <c r="G5547" s="12" t="s">
        <v>29</v>
      </c>
      <c r="H5547" s="11" t="s">
        <v>63</v>
      </c>
      <c r="I5547" s="13" t="s">
        <v>12126</v>
      </c>
      <c r="J5547" s="14" t="str">
        <f>HYPERLINK("https://www.boe.es/gazeta/dias/1839/07/30/pdfs/GMD-1839-1719.pdf#page=1","Abrir facsímil")</f>
        <v>Abrir facsímil</v>
      </c>
      <c r="K5547" s="12" t="s">
        <v>65</v>
      </c>
    </row>
    <row r="5548" spans="1:11" ht="40.049999999999997" customHeight="1" x14ac:dyDescent="0.25">
      <c r="A5548" s="11" t="s">
        <v>12127</v>
      </c>
      <c r="B5548" s="11" t="s">
        <v>12128</v>
      </c>
      <c r="C5548" s="11" t="s">
        <v>17</v>
      </c>
      <c r="D5548" s="11" t="s">
        <v>18</v>
      </c>
      <c r="E5548" s="12" t="s">
        <v>84</v>
      </c>
      <c r="F5548" s="12" t="s">
        <v>85</v>
      </c>
      <c r="G5548" s="12" t="s">
        <v>29</v>
      </c>
      <c r="H5548" s="11" t="s">
        <v>63</v>
      </c>
      <c r="I5548" s="13" t="s">
        <v>12129</v>
      </c>
      <c r="J5548" s="14" t="str">
        <f>HYPERLINK("https://www.boe.es/gazeta/dias/1839/03/11/pdfs/GMD-1839-1577.pdf#page=1","Abrir facsímil")</f>
        <v>Abrir facsímil</v>
      </c>
      <c r="K5548" s="12" t="s">
        <v>65</v>
      </c>
    </row>
    <row r="5549" spans="1:11" ht="40.049999999999997" customHeight="1" x14ac:dyDescent="0.25">
      <c r="A5549" s="11" t="s">
        <v>12130</v>
      </c>
      <c r="B5549" s="11" t="s">
        <v>12131</v>
      </c>
      <c r="C5549" s="11" t="s">
        <v>17</v>
      </c>
      <c r="D5549" s="11" t="s">
        <v>18</v>
      </c>
      <c r="E5549" s="12" t="s">
        <v>405</v>
      </c>
      <c r="F5549" s="12" t="s">
        <v>406</v>
      </c>
      <c r="G5549" s="12" t="s">
        <v>29</v>
      </c>
      <c r="H5549" s="11" t="s">
        <v>63</v>
      </c>
      <c r="I5549" s="13" t="s">
        <v>12132</v>
      </c>
      <c r="J5549" s="14" t="str">
        <f>HYPERLINK("https://www.boe.es/gazeta/dias/1839/03/25/pdfs/GMD-1839-1591.pdf#page=1","Abrir facsímil")</f>
        <v>Abrir facsímil</v>
      </c>
      <c r="K5549" s="12" t="s">
        <v>65</v>
      </c>
    </row>
    <row r="5550" spans="1:11" ht="40.049999999999997" customHeight="1" x14ac:dyDescent="0.25">
      <c r="A5550" s="11" t="s">
        <v>12133</v>
      </c>
      <c r="B5550" s="11" t="s">
        <v>12134</v>
      </c>
      <c r="C5550" s="11" t="s">
        <v>17</v>
      </c>
      <c r="D5550" s="11" t="s">
        <v>18</v>
      </c>
      <c r="E5550" s="12" t="s">
        <v>513</v>
      </c>
      <c r="F5550" s="12" t="s">
        <v>514</v>
      </c>
      <c r="G5550" s="12" t="s">
        <v>21</v>
      </c>
      <c r="H5550" s="11" t="s">
        <v>63</v>
      </c>
      <c r="I5550" s="13" t="s">
        <v>12135</v>
      </c>
      <c r="J5550" s="14" t="str">
        <f>HYPERLINK("https://www.boe.es/gazeta/dias/1839/03/17/pdfs/GMD-1839-1583.pdf#page=4","Abrir facsímil")</f>
        <v>Abrir facsímil</v>
      </c>
      <c r="K5550" s="12" t="s">
        <v>65</v>
      </c>
    </row>
    <row r="5551" spans="1:11" ht="40.049999999999997" customHeight="1" x14ac:dyDescent="0.25">
      <c r="A5551" s="11" t="s">
        <v>12136</v>
      </c>
      <c r="B5551" s="11" t="s">
        <v>12137</v>
      </c>
      <c r="C5551" s="11" t="s">
        <v>101</v>
      </c>
      <c r="D5551" s="11" t="s">
        <v>43</v>
      </c>
      <c r="E5551" s="12" t="s">
        <v>2253</v>
      </c>
      <c r="F5551" s="12" t="s">
        <v>2254</v>
      </c>
      <c r="G5551" s="12" t="s">
        <v>40</v>
      </c>
      <c r="H5551" s="11" t="s">
        <v>63</v>
      </c>
      <c r="I5551" s="13" t="s">
        <v>12138</v>
      </c>
      <c r="J5551" s="14" t="str">
        <f>HYPERLINK("https://www.boe.es/gazeta/dias/1839/02/20/pdfs/GMD-1839-1558.pdf#page=2","Abrir facsímil")</f>
        <v>Abrir facsímil</v>
      </c>
      <c r="K5551" s="12" t="s">
        <v>65</v>
      </c>
    </row>
    <row r="5552" spans="1:11" ht="40.049999999999997" customHeight="1" x14ac:dyDescent="0.25">
      <c r="A5552" s="11" t="s">
        <v>12139</v>
      </c>
      <c r="B5552" s="11" t="s">
        <v>12140</v>
      </c>
      <c r="C5552" s="11" t="s">
        <v>137</v>
      </c>
      <c r="D5552" s="11" t="s">
        <v>18</v>
      </c>
      <c r="E5552" s="12" t="s">
        <v>375</v>
      </c>
      <c r="F5552" s="12" t="s">
        <v>376</v>
      </c>
      <c r="G5552" s="12" t="s">
        <v>21</v>
      </c>
      <c r="H5552" s="11" t="s">
        <v>63</v>
      </c>
      <c r="I5552" s="13" t="s">
        <v>12141</v>
      </c>
      <c r="J5552" s="14" t="str">
        <f>HYPERLINK("https://www.boe.es/gazeta/dias/1839/11/25/pdfs/GMD-1839-1842.pdf#page=4","Abrir facsímil")</f>
        <v>Abrir facsímil</v>
      </c>
      <c r="K5552" s="12" t="s">
        <v>65</v>
      </c>
    </row>
    <row r="5553" spans="1:11" ht="40.049999999999997" customHeight="1" x14ac:dyDescent="0.25">
      <c r="A5553" s="11" t="s">
        <v>12142</v>
      </c>
      <c r="B5553" s="11" t="s">
        <v>12143</v>
      </c>
      <c r="C5553" s="11" t="s">
        <v>17</v>
      </c>
      <c r="D5553" s="11" t="s">
        <v>18</v>
      </c>
      <c r="E5553" s="12" t="s">
        <v>157</v>
      </c>
      <c r="F5553" s="12" t="s">
        <v>158</v>
      </c>
      <c r="G5553" s="12" t="s">
        <v>21</v>
      </c>
      <c r="H5553" s="11" t="s">
        <v>63</v>
      </c>
      <c r="I5553" s="13" t="s">
        <v>12144</v>
      </c>
      <c r="J5553" s="14" t="str">
        <f>HYPERLINK("https://www.boe.es/gazeta/dias/1839/02/08/pdfs/GMD-1839-1546.pdf#page=4","Abrir facsímil")</f>
        <v>Abrir facsímil</v>
      </c>
      <c r="K5553" s="12" t="s">
        <v>65</v>
      </c>
    </row>
    <row r="5554" spans="1:11" ht="40.049999999999997" customHeight="1" x14ac:dyDescent="0.25">
      <c r="A5554" s="11" t="s">
        <v>12142</v>
      </c>
      <c r="B5554" s="11" t="s">
        <v>12143</v>
      </c>
      <c r="C5554" s="11" t="s">
        <v>101</v>
      </c>
      <c r="D5554" s="11" t="s">
        <v>43</v>
      </c>
      <c r="E5554" s="12" t="s">
        <v>1100</v>
      </c>
      <c r="F5554" s="12" t="s">
        <v>1101</v>
      </c>
      <c r="G5554" s="12" t="s">
        <v>46</v>
      </c>
      <c r="H5554" s="11" t="s">
        <v>63</v>
      </c>
      <c r="I5554" s="13" t="s">
        <v>12145</v>
      </c>
      <c r="J5554" s="14" t="str">
        <f>HYPERLINK("https://www.boe.es/gazeta/dias/1839/09/13/pdfs/GMD-1839-1766.pdf#page=3","Abrir facsímil")</f>
        <v>Abrir facsímil</v>
      </c>
      <c r="K5554" s="12" t="s">
        <v>65</v>
      </c>
    </row>
    <row r="5555" spans="1:11" ht="40.049999999999997" customHeight="1" x14ac:dyDescent="0.25">
      <c r="A5555" s="11" t="s">
        <v>12142</v>
      </c>
      <c r="B5555" s="11" t="s">
        <v>12143</v>
      </c>
      <c r="C5555" s="11" t="s">
        <v>80</v>
      </c>
      <c r="D5555" s="11" t="s">
        <v>18</v>
      </c>
      <c r="E5555" s="12" t="s">
        <v>1703</v>
      </c>
      <c r="F5555" s="12" t="s">
        <v>1704</v>
      </c>
      <c r="G5555" s="12" t="s">
        <v>21</v>
      </c>
      <c r="H5555" s="11" t="s">
        <v>63</v>
      </c>
      <c r="I5555" s="13" t="s">
        <v>12146</v>
      </c>
      <c r="J5555" s="14" t="str">
        <f>HYPERLINK("https://www.boe.es/gazeta/dias/1839/01/21/pdfs/GMD-1839-1528.pdf#page=4","Abrir facsímil")</f>
        <v>Abrir facsímil</v>
      </c>
      <c r="K5555" s="12" t="s">
        <v>65</v>
      </c>
    </row>
    <row r="5556" spans="1:11" ht="40.049999999999997" customHeight="1" x14ac:dyDescent="0.25">
      <c r="A5556" s="11" t="s">
        <v>12142</v>
      </c>
      <c r="B5556" s="11" t="s">
        <v>12143</v>
      </c>
      <c r="C5556" s="11" t="s">
        <v>137</v>
      </c>
      <c r="D5556" s="11" t="s">
        <v>18</v>
      </c>
      <c r="E5556" s="12" t="s">
        <v>723</v>
      </c>
      <c r="F5556" s="12" t="s">
        <v>724</v>
      </c>
      <c r="G5556" s="12" t="s">
        <v>46</v>
      </c>
      <c r="H5556" s="11" t="s">
        <v>63</v>
      </c>
      <c r="I5556" s="13" t="s">
        <v>12147</v>
      </c>
      <c r="J5556" s="14" t="str">
        <f>HYPERLINK("https://www.boe.es/gazeta/dias/1839/09/26/pdfs/GMD-1839-1782.pdf#page=3","Abrir facsímil")</f>
        <v>Abrir facsímil</v>
      </c>
      <c r="K5556" s="12" t="s">
        <v>65</v>
      </c>
    </row>
    <row r="5557" spans="1:11" ht="40.049999999999997" customHeight="1" x14ac:dyDescent="0.25">
      <c r="A5557" s="11" t="s">
        <v>12142</v>
      </c>
      <c r="B5557" s="11" t="s">
        <v>12143</v>
      </c>
      <c r="C5557" s="11" t="s">
        <v>137</v>
      </c>
      <c r="D5557" s="11" t="s">
        <v>18</v>
      </c>
      <c r="E5557" s="12" t="s">
        <v>1287</v>
      </c>
      <c r="F5557" s="12" t="s">
        <v>1288</v>
      </c>
      <c r="G5557" s="12" t="s">
        <v>46</v>
      </c>
      <c r="H5557" s="11" t="s">
        <v>63</v>
      </c>
      <c r="I5557" s="13" t="s">
        <v>12148</v>
      </c>
      <c r="J5557" s="14" t="str">
        <f>HYPERLINK("https://www.boe.es/gazeta/dias/1839/10/30/pdfs/GMD-1839-1816.pdf#page=3","Abrir facsímil")</f>
        <v>Abrir facsímil</v>
      </c>
      <c r="K5557" s="12" t="s">
        <v>65</v>
      </c>
    </row>
    <row r="5558" spans="1:11" ht="40.049999999999997" customHeight="1" x14ac:dyDescent="0.25">
      <c r="A5558" s="11" t="s">
        <v>12149</v>
      </c>
      <c r="B5558" s="11" t="s">
        <v>12150</v>
      </c>
      <c r="C5558" s="11" t="s">
        <v>17</v>
      </c>
      <c r="D5558" s="11" t="s">
        <v>18</v>
      </c>
      <c r="E5558" s="12" t="s">
        <v>266</v>
      </c>
      <c r="F5558" s="12" t="s">
        <v>267</v>
      </c>
      <c r="G5558" s="12" t="s">
        <v>40</v>
      </c>
      <c r="H5558" s="11" t="s">
        <v>63</v>
      </c>
      <c r="I5558" s="13" t="s">
        <v>12151</v>
      </c>
      <c r="J5558" s="14" t="str">
        <f>HYPERLINK("https://www.boe.es/gazeta/dias/1839/01/03/pdfs/GMD-1839-1510.pdf#page=2","Abrir facsímil")</f>
        <v>Abrir facsímil</v>
      </c>
      <c r="K5558" s="12" t="s">
        <v>65</v>
      </c>
    </row>
    <row r="5559" spans="1:11" ht="40.049999999999997" customHeight="1" x14ac:dyDescent="0.25">
      <c r="A5559" s="11" t="s">
        <v>12149</v>
      </c>
      <c r="B5559" s="11" t="s">
        <v>12150</v>
      </c>
      <c r="C5559" s="11" t="s">
        <v>137</v>
      </c>
      <c r="D5559" s="11" t="s">
        <v>18</v>
      </c>
      <c r="E5559" s="12" t="s">
        <v>185</v>
      </c>
      <c r="F5559" s="12" t="s">
        <v>186</v>
      </c>
      <c r="G5559" s="12" t="s">
        <v>40</v>
      </c>
      <c r="H5559" s="11" t="s">
        <v>63</v>
      </c>
      <c r="I5559" s="13" t="s">
        <v>12152</v>
      </c>
      <c r="J5559" s="14" t="str">
        <f>HYPERLINK("https://www.boe.es/gazeta/dias/1839/01/15/pdfs/GMD-1839-1522.pdf#page=2","Abrir facsímil")</f>
        <v>Abrir facsímil</v>
      </c>
      <c r="K5559" s="12" t="s">
        <v>65</v>
      </c>
    </row>
    <row r="5560" spans="1:11" ht="40.049999999999997" customHeight="1" x14ac:dyDescent="0.25">
      <c r="A5560" s="11" t="s">
        <v>12153</v>
      </c>
      <c r="B5560" s="11" t="s">
        <v>12154</v>
      </c>
      <c r="C5560" s="11" t="s">
        <v>17</v>
      </c>
      <c r="D5560" s="11" t="s">
        <v>18</v>
      </c>
      <c r="E5560" s="12" t="s">
        <v>433</v>
      </c>
      <c r="F5560" s="12" t="s">
        <v>434</v>
      </c>
      <c r="G5560" s="12" t="s">
        <v>46</v>
      </c>
      <c r="H5560" s="11" t="s">
        <v>63</v>
      </c>
      <c r="I5560" s="13" t="s">
        <v>12155</v>
      </c>
      <c r="J5560" s="14" t="str">
        <f>HYPERLINK("https://www.boe.es/gazeta/dias/1839/01/20/pdfs/GMD-1839-1527.pdf#page=3","Abrir facsímil")</f>
        <v>Abrir facsímil</v>
      </c>
      <c r="K5560" s="12" t="s">
        <v>65</v>
      </c>
    </row>
    <row r="5561" spans="1:11" ht="40.049999999999997" customHeight="1" x14ac:dyDescent="0.25">
      <c r="A5561" s="11" t="s">
        <v>12156</v>
      </c>
      <c r="B5561" s="11" t="s">
        <v>12157</v>
      </c>
      <c r="C5561" s="11" t="s">
        <v>17</v>
      </c>
      <c r="D5561" s="11" t="s">
        <v>18</v>
      </c>
      <c r="E5561" s="12" t="s">
        <v>621</v>
      </c>
      <c r="F5561" s="12" t="s">
        <v>622</v>
      </c>
      <c r="G5561" s="12" t="s">
        <v>21</v>
      </c>
      <c r="H5561" s="11" t="s">
        <v>63</v>
      </c>
      <c r="I5561" s="13" t="s">
        <v>12158</v>
      </c>
      <c r="J5561" s="14" t="str">
        <f>HYPERLINK("https://www.boe.es/gazeta/dias/1839/04/14/pdfs/GMD-1839-1611.pdf#page=4","Abrir facsímil")</f>
        <v>Abrir facsímil</v>
      </c>
      <c r="K5561" s="12" t="s">
        <v>65</v>
      </c>
    </row>
    <row r="5562" spans="1:11" ht="40.049999999999997" customHeight="1" x14ac:dyDescent="0.25">
      <c r="A5562" s="11" t="s">
        <v>12159</v>
      </c>
      <c r="B5562" s="11" t="s">
        <v>12160</v>
      </c>
      <c r="C5562" s="11" t="s">
        <v>17</v>
      </c>
      <c r="D5562" s="11" t="s">
        <v>18</v>
      </c>
      <c r="E5562" s="12" t="s">
        <v>1027</v>
      </c>
      <c r="F5562" s="12" t="s">
        <v>1028</v>
      </c>
      <c r="G5562" s="12" t="s">
        <v>29</v>
      </c>
      <c r="H5562" s="11" t="s">
        <v>63</v>
      </c>
      <c r="I5562" s="13" t="s">
        <v>12161</v>
      </c>
      <c r="J5562" s="14" t="str">
        <f>HYPERLINK("https://www.boe.es/gazeta/dias/1839/08/16/pdfs/GMD-1839-1736.pdf#page=1","Abrir facsímil")</f>
        <v>Abrir facsímil</v>
      </c>
      <c r="K5562" s="12" t="s">
        <v>65</v>
      </c>
    </row>
    <row r="5563" spans="1:11" ht="40.049999999999997" customHeight="1" x14ac:dyDescent="0.25">
      <c r="A5563" s="11" t="s">
        <v>12162</v>
      </c>
      <c r="B5563" s="11" t="s">
        <v>12163</v>
      </c>
      <c r="C5563" s="11" t="s">
        <v>80</v>
      </c>
      <c r="D5563" s="11" t="s">
        <v>18</v>
      </c>
      <c r="E5563" s="12" t="s">
        <v>103</v>
      </c>
      <c r="F5563" s="12" t="s">
        <v>104</v>
      </c>
      <c r="G5563" s="12" t="s">
        <v>21</v>
      </c>
      <c r="H5563" s="11" t="s">
        <v>63</v>
      </c>
      <c r="I5563" s="13" t="s">
        <v>12164</v>
      </c>
      <c r="J5563" s="14" t="str">
        <f>HYPERLINK("https://www.boe.es/gazeta/dias/1839/10/12/pdfs/GMD-1839-1798.pdf#page=4","Abrir facsímil")</f>
        <v>Abrir facsímil</v>
      </c>
      <c r="K5563" s="12" t="s">
        <v>65</v>
      </c>
    </row>
    <row r="5564" spans="1:11" ht="40.049999999999997" customHeight="1" x14ac:dyDescent="0.25">
      <c r="A5564" s="11" t="s">
        <v>12165</v>
      </c>
      <c r="B5564" s="11" t="s">
        <v>12166</v>
      </c>
      <c r="C5564" s="11" t="s">
        <v>17</v>
      </c>
      <c r="D5564" s="11" t="s">
        <v>18</v>
      </c>
      <c r="E5564" s="12" t="s">
        <v>1460</v>
      </c>
      <c r="F5564" s="12" t="s">
        <v>1461</v>
      </c>
      <c r="G5564" s="12" t="s">
        <v>46</v>
      </c>
      <c r="H5564" s="11" t="s">
        <v>63</v>
      </c>
      <c r="I5564" s="13" t="s">
        <v>12167</v>
      </c>
      <c r="J5564" s="14" t="str">
        <f>HYPERLINK("https://www.boe.es/gazeta/dias/1839/03/01/pdfs/GMD-1839-1567.pdf#page=3","Abrir facsímil")</f>
        <v>Abrir facsímil</v>
      </c>
      <c r="K5564" s="12" t="s">
        <v>65</v>
      </c>
    </row>
    <row r="5565" spans="1:11" ht="40.049999999999997" customHeight="1" x14ac:dyDescent="0.25">
      <c r="A5565" s="11" t="s">
        <v>12168</v>
      </c>
      <c r="B5565" s="11" t="s">
        <v>12169</v>
      </c>
      <c r="C5565" s="11" t="s">
        <v>137</v>
      </c>
      <c r="D5565" s="11" t="s">
        <v>18</v>
      </c>
      <c r="E5565" s="12" t="s">
        <v>1159</v>
      </c>
      <c r="F5565" s="12" t="s">
        <v>1160</v>
      </c>
      <c r="G5565" s="12" t="s">
        <v>21</v>
      </c>
      <c r="H5565" s="11" t="s">
        <v>63</v>
      </c>
      <c r="I5565" s="13" t="s">
        <v>12170</v>
      </c>
      <c r="J5565" s="14" t="str">
        <f>HYPERLINK("https://www.boe.es/gazeta/dias/1839/11/26/pdfs/GMD-1839-1843.pdf#page=4","Abrir facsímil")</f>
        <v>Abrir facsímil</v>
      </c>
      <c r="K5565" s="12" t="s">
        <v>65</v>
      </c>
    </row>
    <row r="5566" spans="1:11" ht="40.049999999999997" customHeight="1" x14ac:dyDescent="0.25">
      <c r="A5566" s="11" t="s">
        <v>12171</v>
      </c>
      <c r="B5566" s="11" t="s">
        <v>12172</v>
      </c>
      <c r="C5566" s="11" t="s">
        <v>17</v>
      </c>
      <c r="D5566" s="11" t="s">
        <v>18</v>
      </c>
      <c r="E5566" s="12" t="s">
        <v>503</v>
      </c>
      <c r="F5566" s="12" t="s">
        <v>504</v>
      </c>
      <c r="G5566" s="12" t="s">
        <v>21</v>
      </c>
      <c r="H5566" s="11" t="s">
        <v>63</v>
      </c>
      <c r="I5566" s="13" t="s">
        <v>12173</v>
      </c>
      <c r="J5566" s="14" t="str">
        <f>HYPERLINK("https://www.boe.es/gazeta/dias/1839/06/07/pdfs/GMD-1839-1665.pdf#page=4","Abrir facsímil")</f>
        <v>Abrir facsímil</v>
      </c>
      <c r="K5566" s="12" t="s">
        <v>65</v>
      </c>
    </row>
    <row r="5567" spans="1:11" ht="40.049999999999997" customHeight="1" x14ac:dyDescent="0.25">
      <c r="A5567" s="11" t="s">
        <v>12174</v>
      </c>
      <c r="B5567" s="11" t="s">
        <v>12175</v>
      </c>
      <c r="C5567" s="11" t="s">
        <v>80</v>
      </c>
      <c r="D5567" s="11" t="s">
        <v>18</v>
      </c>
      <c r="E5567" s="12" t="s">
        <v>327</v>
      </c>
      <c r="F5567" s="12" t="s">
        <v>328</v>
      </c>
      <c r="G5567" s="12" t="s">
        <v>21</v>
      </c>
      <c r="H5567" s="11" t="s">
        <v>63</v>
      </c>
      <c r="I5567" s="13" t="s">
        <v>12176</v>
      </c>
      <c r="J5567" s="14" t="str">
        <f>HYPERLINK("https://www.boe.es/gazeta/dias/1839/08/05/pdfs/GMD-1839-1725.pdf#page=4","Abrir facsímil")</f>
        <v>Abrir facsímil</v>
      </c>
      <c r="K5567" s="12" t="s">
        <v>65</v>
      </c>
    </row>
    <row r="5568" spans="1:11" ht="40.049999999999997" customHeight="1" x14ac:dyDescent="0.25">
      <c r="A5568" s="11" t="s">
        <v>12177</v>
      </c>
      <c r="B5568" s="11" t="s">
        <v>12178</v>
      </c>
      <c r="C5568" s="11" t="s">
        <v>17</v>
      </c>
      <c r="D5568" s="11" t="s">
        <v>18</v>
      </c>
      <c r="E5568" s="12" t="s">
        <v>54</v>
      </c>
      <c r="F5568" s="12" t="s">
        <v>55</v>
      </c>
      <c r="G5568" s="12" t="s">
        <v>21</v>
      </c>
      <c r="H5568" s="11" t="s">
        <v>63</v>
      </c>
      <c r="I5568" s="13" t="s">
        <v>12179</v>
      </c>
      <c r="J5568" s="14" t="str">
        <f>HYPERLINK("https://www.boe.es/gazeta/dias/1839/10/05/pdfs/GMD-1839-1791.pdf#page=4","Abrir facsímil")</f>
        <v>Abrir facsímil</v>
      </c>
      <c r="K5568" s="12" t="s">
        <v>65</v>
      </c>
    </row>
    <row r="5569" spans="1:11" ht="40.049999999999997" customHeight="1" x14ac:dyDescent="0.25">
      <c r="A5569" s="11" t="s">
        <v>12180</v>
      </c>
      <c r="B5569" s="11" t="s">
        <v>12181</v>
      </c>
      <c r="C5569" s="11" t="s">
        <v>80</v>
      </c>
      <c r="D5569" s="11" t="s">
        <v>18</v>
      </c>
      <c r="E5569" s="12" t="s">
        <v>185</v>
      </c>
      <c r="F5569" s="12" t="s">
        <v>186</v>
      </c>
      <c r="G5569" s="12" t="s">
        <v>40</v>
      </c>
      <c r="H5569" s="11" t="s">
        <v>63</v>
      </c>
      <c r="I5569" s="13" t="s">
        <v>12182</v>
      </c>
      <c r="J5569" s="14" t="str">
        <f>HYPERLINK("https://www.boe.es/gazeta/dias/1839/01/15/pdfs/GMD-1839-1522.pdf#page=2","Abrir facsímil")</f>
        <v>Abrir facsímil</v>
      </c>
      <c r="K5569" s="12" t="s">
        <v>65</v>
      </c>
    </row>
    <row r="5570" spans="1:11" ht="40.049999999999997" customHeight="1" x14ac:dyDescent="0.25">
      <c r="A5570" s="11" t="s">
        <v>12183</v>
      </c>
      <c r="B5570" s="11" t="s">
        <v>12184</v>
      </c>
      <c r="C5570" s="11" t="s">
        <v>17</v>
      </c>
      <c r="D5570" s="11" t="s">
        <v>18</v>
      </c>
      <c r="E5570" s="12" t="s">
        <v>500</v>
      </c>
      <c r="F5570" s="12" t="s">
        <v>501</v>
      </c>
      <c r="G5570" s="12" t="s">
        <v>21</v>
      </c>
      <c r="H5570" s="11" t="s">
        <v>63</v>
      </c>
      <c r="I5570" s="13" t="s">
        <v>12185</v>
      </c>
      <c r="J5570" s="14" t="str">
        <f>HYPERLINK("https://www.boe.es/gazeta/dias/1839/11/06/pdfs/GMD-1839-1823.pdf#page=4","Abrir facsímil")</f>
        <v>Abrir facsímil</v>
      </c>
      <c r="K5570" s="12" t="s">
        <v>65</v>
      </c>
    </row>
    <row r="5571" spans="1:11" ht="40.049999999999997" customHeight="1" x14ac:dyDescent="0.25">
      <c r="A5571" s="11" t="s">
        <v>12186</v>
      </c>
      <c r="B5571" s="11" t="s">
        <v>12187</v>
      </c>
      <c r="C5571" s="11" t="s">
        <v>17</v>
      </c>
      <c r="D5571" s="11" t="s">
        <v>18</v>
      </c>
      <c r="E5571" s="12" t="s">
        <v>621</v>
      </c>
      <c r="F5571" s="12" t="s">
        <v>622</v>
      </c>
      <c r="G5571" s="12" t="s">
        <v>40</v>
      </c>
      <c r="H5571" s="11" t="s">
        <v>63</v>
      </c>
      <c r="I5571" s="13" t="s">
        <v>12188</v>
      </c>
      <c r="J5571" s="14" t="str">
        <f>HYPERLINK("https://www.boe.es/gazeta/dias/1839/04/14/pdfs/GMD-1839-1611.pdf#page=2","Abrir facsímil")</f>
        <v>Abrir facsímil</v>
      </c>
      <c r="K5571" s="12" t="s">
        <v>65</v>
      </c>
    </row>
    <row r="5572" spans="1:11" ht="40.049999999999997" customHeight="1" x14ac:dyDescent="0.25">
      <c r="A5572" s="11" t="s">
        <v>12189</v>
      </c>
      <c r="B5572" s="11" t="s">
        <v>12190</v>
      </c>
      <c r="C5572" s="11" t="s">
        <v>17</v>
      </c>
      <c r="D5572" s="11" t="s">
        <v>18</v>
      </c>
      <c r="E5572" s="12" t="s">
        <v>1183</v>
      </c>
      <c r="F5572" s="12" t="s">
        <v>1184</v>
      </c>
      <c r="G5572" s="12" t="s">
        <v>46</v>
      </c>
      <c r="H5572" s="11" t="s">
        <v>63</v>
      </c>
      <c r="I5572" s="13" t="s">
        <v>12191</v>
      </c>
      <c r="J5572" s="14" t="str">
        <f>HYPERLINK("https://www.boe.es/gazeta/dias/1839/07/26/pdfs/GMD-1839-1715.pdf#page=3","Abrir facsímil")</f>
        <v>Abrir facsímil</v>
      </c>
      <c r="K5572" s="12" t="s">
        <v>65</v>
      </c>
    </row>
    <row r="5573" spans="1:11" ht="40.049999999999997" customHeight="1" x14ac:dyDescent="0.25">
      <c r="A5573" s="11" t="s">
        <v>12192</v>
      </c>
      <c r="B5573" s="11" t="s">
        <v>12193</v>
      </c>
      <c r="C5573" s="11" t="s">
        <v>101</v>
      </c>
      <c r="D5573" s="11" t="s">
        <v>43</v>
      </c>
      <c r="E5573" s="12" t="s">
        <v>2155</v>
      </c>
      <c r="F5573" s="12" t="s">
        <v>2156</v>
      </c>
      <c r="G5573" s="12" t="s">
        <v>40</v>
      </c>
      <c r="H5573" s="11" t="s">
        <v>63</v>
      </c>
      <c r="I5573" s="13" t="s">
        <v>12194</v>
      </c>
      <c r="J5573" s="14" t="str">
        <f>HYPERLINK("https://www.boe.es/gazeta/dias/1839/01/17/pdfs/GMD-1839-1524.pdf#page=2","Abrir facsímil")</f>
        <v>Abrir facsímil</v>
      </c>
      <c r="K5573" s="12" t="s">
        <v>65</v>
      </c>
    </row>
    <row r="5574" spans="1:11" ht="40.049999999999997" customHeight="1" x14ac:dyDescent="0.25">
      <c r="A5574" s="11" t="s">
        <v>12195</v>
      </c>
      <c r="B5574" s="11" t="s">
        <v>12196</v>
      </c>
      <c r="C5574" s="11" t="s">
        <v>17</v>
      </c>
      <c r="D5574" s="11" t="s">
        <v>18</v>
      </c>
      <c r="E5574" s="12" t="s">
        <v>1929</v>
      </c>
      <c r="F5574" s="12" t="s">
        <v>1930</v>
      </c>
      <c r="G5574" s="12" t="s">
        <v>40</v>
      </c>
      <c r="H5574" s="11" t="s">
        <v>63</v>
      </c>
      <c r="I5574" s="13" t="s">
        <v>12197</v>
      </c>
      <c r="J5574" s="14" t="str">
        <f>HYPERLINK("https://www.boe.es/gazeta/dias/1839/02/01/pdfs/GMD-1839-1539.pdf#page=2","Abrir facsímil")</f>
        <v>Abrir facsímil</v>
      </c>
      <c r="K5574" s="12" t="s">
        <v>65</v>
      </c>
    </row>
    <row r="5575" spans="1:11" ht="40.049999999999997" customHeight="1" x14ac:dyDescent="0.25">
      <c r="A5575" s="11" t="s">
        <v>12198</v>
      </c>
      <c r="B5575" s="11" t="s">
        <v>12199</v>
      </c>
      <c r="C5575" s="11" t="s">
        <v>101</v>
      </c>
      <c r="D5575" s="11" t="s">
        <v>102</v>
      </c>
      <c r="E5575" s="12" t="s">
        <v>185</v>
      </c>
      <c r="F5575" s="12" t="s">
        <v>186</v>
      </c>
      <c r="G5575" s="12" t="s">
        <v>46</v>
      </c>
      <c r="H5575" s="11" t="s">
        <v>63</v>
      </c>
      <c r="I5575" s="13" t="s">
        <v>12200</v>
      </c>
      <c r="J5575" s="14" t="str">
        <f>HYPERLINK("https://www.boe.es/gazeta/dias/1839/01/15/pdfs/GMD-1839-1522.pdf#page=3","Abrir facsímil")</f>
        <v>Abrir facsímil</v>
      </c>
      <c r="K5575" s="12" t="s">
        <v>65</v>
      </c>
    </row>
    <row r="5576" spans="1:11" ht="40.049999999999997" customHeight="1" x14ac:dyDescent="0.25">
      <c r="A5576" s="11" t="s">
        <v>12201</v>
      </c>
      <c r="B5576" s="11" t="s">
        <v>12202</v>
      </c>
      <c r="C5576" s="11" t="s">
        <v>59</v>
      </c>
      <c r="D5576" s="11" t="s">
        <v>60</v>
      </c>
      <c r="E5576" s="12" t="s">
        <v>426</v>
      </c>
      <c r="F5576" s="12" t="s">
        <v>427</v>
      </c>
      <c r="G5576" s="12" t="s">
        <v>40</v>
      </c>
      <c r="H5576" s="11" t="s">
        <v>63</v>
      </c>
      <c r="I5576" s="13" t="s">
        <v>12203</v>
      </c>
      <c r="J5576" s="14" t="str">
        <f>HYPERLINK("https://www.boe.es/gazeta/dias/1839/08/11/pdfs/GMD-1839-1731.pdf#page=2","Abrir facsímil")</f>
        <v>Abrir facsímil</v>
      </c>
      <c r="K5576" s="12" t="s">
        <v>65</v>
      </c>
    </row>
    <row r="5577" spans="1:11" ht="40.049999999999997" customHeight="1" x14ac:dyDescent="0.25">
      <c r="A5577" s="11" t="s">
        <v>12204</v>
      </c>
      <c r="B5577" s="11" t="s">
        <v>12205</v>
      </c>
      <c r="C5577" s="11" t="s">
        <v>17</v>
      </c>
      <c r="D5577" s="11" t="s">
        <v>18</v>
      </c>
      <c r="E5577" s="12" t="s">
        <v>4550</v>
      </c>
      <c r="F5577" s="12" t="s">
        <v>4551</v>
      </c>
      <c r="G5577" s="12" t="s">
        <v>46</v>
      </c>
      <c r="H5577" s="11" t="s">
        <v>63</v>
      </c>
      <c r="I5577" s="13" t="s">
        <v>12206</v>
      </c>
      <c r="J5577" s="14" t="str">
        <f>HYPERLINK("https://www.boe.es/gazeta/dias/1839/04/17/pdfs/GMD-1839-1614.pdf#page=3","Abrir facsímil")</f>
        <v>Abrir facsímil</v>
      </c>
      <c r="K5577" s="12" t="s">
        <v>65</v>
      </c>
    </row>
    <row r="5578" spans="1:11" ht="40.049999999999997" customHeight="1" x14ac:dyDescent="0.25">
      <c r="A5578" s="11" t="s">
        <v>12207</v>
      </c>
      <c r="B5578" s="11" t="s">
        <v>12208</v>
      </c>
      <c r="C5578" s="11" t="s">
        <v>17</v>
      </c>
      <c r="D5578" s="11" t="s">
        <v>18</v>
      </c>
      <c r="E5578" s="12" t="s">
        <v>4550</v>
      </c>
      <c r="F5578" s="12" t="s">
        <v>4551</v>
      </c>
      <c r="G5578" s="12" t="s">
        <v>46</v>
      </c>
      <c r="H5578" s="11" t="s">
        <v>63</v>
      </c>
      <c r="I5578" s="13" t="s">
        <v>12209</v>
      </c>
      <c r="J5578" s="14" t="str">
        <f>HYPERLINK("https://www.boe.es/gazeta/dias/1839/04/17/pdfs/GMD-1839-1614.pdf#page=3","Abrir facsímil")</f>
        <v>Abrir facsímil</v>
      </c>
      <c r="K5578" s="12" t="s">
        <v>65</v>
      </c>
    </row>
    <row r="5579" spans="1:11" ht="40.049999999999997" customHeight="1" x14ac:dyDescent="0.25">
      <c r="A5579" s="11" t="s">
        <v>12210</v>
      </c>
      <c r="B5579" s="11" t="s">
        <v>12211</v>
      </c>
      <c r="C5579" s="11" t="s">
        <v>17</v>
      </c>
      <c r="D5579" s="11" t="s">
        <v>18</v>
      </c>
      <c r="E5579" s="12" t="s">
        <v>4550</v>
      </c>
      <c r="F5579" s="12" t="s">
        <v>4551</v>
      </c>
      <c r="G5579" s="12" t="s">
        <v>46</v>
      </c>
      <c r="H5579" s="11" t="s">
        <v>22</v>
      </c>
      <c r="I5579" s="13" t="s">
        <v>12212</v>
      </c>
      <c r="J5579" s="14" t="str">
        <f>HYPERLINK("https://www.boe.es/gazeta/dias/1839/04/17/pdfs/GMD-1839-1614.pdf#page=3","Abrir facsímil")</f>
        <v>Abrir facsímil</v>
      </c>
      <c r="K5579" s="12" t="s">
        <v>24</v>
      </c>
    </row>
    <row r="5580" spans="1:11" ht="40.049999999999997" customHeight="1" x14ac:dyDescent="0.25">
      <c r="A5580" s="11" t="s">
        <v>12213</v>
      </c>
      <c r="B5580" s="11" t="s">
        <v>12214</v>
      </c>
      <c r="C5580" s="11" t="s">
        <v>17</v>
      </c>
      <c r="D5580" s="11" t="s">
        <v>18</v>
      </c>
      <c r="E5580" s="12" t="s">
        <v>2138</v>
      </c>
      <c r="F5580" s="12" t="s">
        <v>2139</v>
      </c>
      <c r="G5580" s="12" t="s">
        <v>21</v>
      </c>
      <c r="H5580" s="11" t="s">
        <v>63</v>
      </c>
      <c r="I5580" s="13" t="s">
        <v>12215</v>
      </c>
      <c r="J5580" s="14" t="str">
        <f>HYPERLINK("https://www.boe.es/gazeta/dias/1839/10/02/pdfs/GMD-1839-1788.pdf#page=4","Abrir facsímil")</f>
        <v>Abrir facsímil</v>
      </c>
      <c r="K5580" s="12" t="s">
        <v>65</v>
      </c>
    </row>
    <row r="5581" spans="1:11" ht="40.049999999999997" customHeight="1" x14ac:dyDescent="0.25">
      <c r="A5581" s="11" t="s">
        <v>12213</v>
      </c>
      <c r="B5581" s="11" t="s">
        <v>12214</v>
      </c>
      <c r="C5581" s="11" t="s">
        <v>17</v>
      </c>
      <c r="D5581" s="11" t="s">
        <v>18</v>
      </c>
      <c r="E5581" s="12" t="s">
        <v>647</v>
      </c>
      <c r="F5581" s="12" t="s">
        <v>648</v>
      </c>
      <c r="G5581" s="12" t="s">
        <v>29</v>
      </c>
      <c r="H5581" s="11" t="s">
        <v>63</v>
      </c>
      <c r="I5581" s="13" t="s">
        <v>12216</v>
      </c>
      <c r="J5581" s="14" t="str">
        <f>HYPERLINK("https://www.boe.es/gazeta/dias/1839/10/08/pdfs/GMD-1839-1794.pdf#page=1","Abrir facsímil")</f>
        <v>Abrir facsímil</v>
      </c>
      <c r="K5581" s="12" t="s">
        <v>65</v>
      </c>
    </row>
    <row r="5582" spans="1:11" ht="40.049999999999997" customHeight="1" x14ac:dyDescent="0.25">
      <c r="A5582" s="11" t="s">
        <v>12213</v>
      </c>
      <c r="B5582" s="11" t="s">
        <v>12214</v>
      </c>
      <c r="C5582" s="11" t="s">
        <v>80</v>
      </c>
      <c r="D5582" s="11" t="s">
        <v>18</v>
      </c>
      <c r="E5582" s="12" t="s">
        <v>175</v>
      </c>
      <c r="F5582" s="12" t="s">
        <v>176</v>
      </c>
      <c r="G5582" s="12" t="s">
        <v>46</v>
      </c>
      <c r="H5582" s="11" t="s">
        <v>63</v>
      </c>
      <c r="I5582" s="13" t="s">
        <v>12217</v>
      </c>
      <c r="J5582" s="14" t="str">
        <f>HYPERLINK("https://www.boe.es/gazeta/dias/1839/01/16/pdfs/GMD-1839-1523.pdf#page=3","Abrir facsímil")</f>
        <v>Abrir facsímil</v>
      </c>
      <c r="K5582" s="12" t="s">
        <v>65</v>
      </c>
    </row>
    <row r="5583" spans="1:11" ht="40.049999999999997" customHeight="1" x14ac:dyDescent="0.25">
      <c r="A5583" s="11" t="s">
        <v>12213</v>
      </c>
      <c r="B5583" s="11" t="s">
        <v>12214</v>
      </c>
      <c r="C5583" s="11" t="s">
        <v>101</v>
      </c>
      <c r="D5583" s="11" t="s">
        <v>43</v>
      </c>
      <c r="E5583" s="12" t="s">
        <v>564</v>
      </c>
      <c r="F5583" s="12" t="s">
        <v>565</v>
      </c>
      <c r="G5583" s="12" t="s">
        <v>46</v>
      </c>
      <c r="H5583" s="11" t="s">
        <v>63</v>
      </c>
      <c r="I5583" s="13" t="s">
        <v>12218</v>
      </c>
      <c r="J5583" s="14" t="str">
        <f>HYPERLINK("https://www.boe.es/gazeta/dias/1839/10/17/pdfs/GMD-1839-1803.pdf#page=3","Abrir facsímil")</f>
        <v>Abrir facsímil</v>
      </c>
      <c r="K5583" s="12" t="s">
        <v>65</v>
      </c>
    </row>
    <row r="5584" spans="1:11" ht="40.049999999999997" customHeight="1" x14ac:dyDescent="0.25">
      <c r="A5584" s="11" t="s">
        <v>12219</v>
      </c>
      <c r="B5584" s="11" t="s">
        <v>12220</v>
      </c>
      <c r="C5584" s="11" t="s">
        <v>101</v>
      </c>
      <c r="D5584" s="11" t="s">
        <v>43</v>
      </c>
      <c r="E5584" s="12" t="s">
        <v>54</v>
      </c>
      <c r="F5584" s="12" t="s">
        <v>55</v>
      </c>
      <c r="G5584" s="12" t="s">
        <v>46</v>
      </c>
      <c r="H5584" s="11" t="s">
        <v>63</v>
      </c>
      <c r="I5584" s="13" t="s">
        <v>12221</v>
      </c>
      <c r="J5584" s="14" t="str">
        <f>HYPERLINK("https://www.boe.es/gazeta/dias/1839/10/05/pdfs/GMD-1839-1791.pdf#page=3","Abrir facsímil")</f>
        <v>Abrir facsímil</v>
      </c>
      <c r="K5584" s="12" t="s">
        <v>65</v>
      </c>
    </row>
    <row r="5585" spans="1:11" ht="40.049999999999997" customHeight="1" x14ac:dyDescent="0.25">
      <c r="A5585" s="11" t="s">
        <v>12222</v>
      </c>
      <c r="B5585" s="11" t="s">
        <v>12223</v>
      </c>
      <c r="C5585" s="11" t="s">
        <v>17</v>
      </c>
      <c r="D5585" s="11" t="s">
        <v>18</v>
      </c>
      <c r="E5585" s="12" t="s">
        <v>2491</v>
      </c>
      <c r="F5585" s="12" t="s">
        <v>2492</v>
      </c>
      <c r="G5585" s="12" t="s">
        <v>46</v>
      </c>
      <c r="H5585" s="11" t="s">
        <v>63</v>
      </c>
      <c r="I5585" s="13" t="s">
        <v>12224</v>
      </c>
      <c r="J5585" s="14" t="str">
        <f>HYPERLINK("https://www.boe.es/gazeta/dias/1839/05/01/pdfs/GMD-1839-1628.pdf#page=3","Abrir facsímil")</f>
        <v>Abrir facsímil</v>
      </c>
      <c r="K5585" s="12" t="s">
        <v>65</v>
      </c>
    </row>
    <row r="5586" spans="1:11" ht="40.049999999999997" customHeight="1" x14ac:dyDescent="0.25">
      <c r="A5586" s="11" t="s">
        <v>12225</v>
      </c>
      <c r="B5586" s="11" t="s">
        <v>12226</v>
      </c>
      <c r="C5586" s="11" t="s">
        <v>101</v>
      </c>
      <c r="D5586" s="11" t="s">
        <v>102</v>
      </c>
      <c r="E5586" s="12" t="s">
        <v>486</v>
      </c>
      <c r="F5586" s="12" t="s">
        <v>487</v>
      </c>
      <c r="G5586" s="12" t="s">
        <v>29</v>
      </c>
      <c r="H5586" s="11" t="s">
        <v>63</v>
      </c>
      <c r="I5586" s="13" t="s">
        <v>12227</v>
      </c>
      <c r="J5586" s="14" t="str">
        <f>HYPERLINK("https://www.boe.es/gazeta/dias/1839/04/19/pdfs/GMD-1839-1616.pdf#page=1","Abrir facsímil")</f>
        <v>Abrir facsímil</v>
      </c>
      <c r="K5586" s="12" t="s">
        <v>65</v>
      </c>
    </row>
    <row r="5587" spans="1:11" ht="40.049999999999997" customHeight="1" x14ac:dyDescent="0.25">
      <c r="A5587" s="11" t="s">
        <v>12228</v>
      </c>
      <c r="B5587" s="11" t="s">
        <v>12229</v>
      </c>
      <c r="C5587" s="11" t="s">
        <v>80</v>
      </c>
      <c r="D5587" s="11" t="s">
        <v>18</v>
      </c>
      <c r="E5587" s="12" t="s">
        <v>1149</v>
      </c>
      <c r="F5587" s="12" t="s">
        <v>1150</v>
      </c>
      <c r="G5587" s="12" t="s">
        <v>21</v>
      </c>
      <c r="H5587" s="11" t="s">
        <v>63</v>
      </c>
      <c r="I5587" s="13" t="s">
        <v>12230</v>
      </c>
      <c r="J5587" s="14" t="str">
        <f>HYPERLINK("https://www.boe.es/gazeta/dias/1839/06/25/pdfs/GMD-1839-1683.pdf#page=4","Abrir facsímil")</f>
        <v>Abrir facsímil</v>
      </c>
      <c r="K5587" s="12" t="s">
        <v>65</v>
      </c>
    </row>
    <row r="5588" spans="1:11" ht="40.049999999999997" customHeight="1" x14ac:dyDescent="0.25">
      <c r="A5588" s="11" t="s">
        <v>12231</v>
      </c>
      <c r="B5588" s="11" t="s">
        <v>12232</v>
      </c>
      <c r="C5588" s="11" t="s">
        <v>17</v>
      </c>
      <c r="D5588" s="11" t="s">
        <v>18</v>
      </c>
      <c r="E5588" s="12" t="s">
        <v>716</v>
      </c>
      <c r="F5588" s="12" t="s">
        <v>717</v>
      </c>
      <c r="G5588" s="12" t="s">
        <v>29</v>
      </c>
      <c r="H5588" s="11" t="s">
        <v>63</v>
      </c>
      <c r="I5588" s="13" t="s">
        <v>12233</v>
      </c>
      <c r="J5588" s="14" t="str">
        <f>HYPERLINK("https://www.boe.es/gazeta/dias/1839/07/30/pdfs/GMD-1839-1719.pdf#page=1","Abrir facsímil")</f>
        <v>Abrir facsímil</v>
      </c>
      <c r="K5588" s="12" t="s">
        <v>65</v>
      </c>
    </row>
    <row r="5589" spans="1:11" ht="40.049999999999997" customHeight="1" x14ac:dyDescent="0.25">
      <c r="A5589" s="11" t="s">
        <v>12234</v>
      </c>
      <c r="B5589" s="11" t="s">
        <v>12235</v>
      </c>
      <c r="C5589" s="11" t="s">
        <v>137</v>
      </c>
      <c r="D5589" s="11" t="s">
        <v>18</v>
      </c>
      <c r="E5589" s="12" t="s">
        <v>157</v>
      </c>
      <c r="F5589" s="12" t="s">
        <v>158</v>
      </c>
      <c r="G5589" s="12" t="s">
        <v>46</v>
      </c>
      <c r="H5589" s="11" t="s">
        <v>63</v>
      </c>
      <c r="I5589" s="13" t="s">
        <v>12236</v>
      </c>
      <c r="J5589" s="14" t="str">
        <f>HYPERLINK("https://www.boe.es/gazeta/dias/1839/02/08/pdfs/GMD-1839-1546.pdf#page=3","Abrir facsímil")</f>
        <v>Abrir facsímil</v>
      </c>
      <c r="K5589" s="12" t="s">
        <v>65</v>
      </c>
    </row>
    <row r="5590" spans="1:11" ht="40.049999999999997" customHeight="1" x14ac:dyDescent="0.25">
      <c r="A5590" s="11" t="s">
        <v>12234</v>
      </c>
      <c r="B5590" s="11" t="s">
        <v>12235</v>
      </c>
      <c r="C5590" s="11" t="s">
        <v>101</v>
      </c>
      <c r="D5590" s="11" t="s">
        <v>43</v>
      </c>
      <c r="E5590" s="12" t="s">
        <v>157</v>
      </c>
      <c r="F5590" s="12" t="s">
        <v>158</v>
      </c>
      <c r="G5590" s="12" t="s">
        <v>21</v>
      </c>
      <c r="H5590" s="11" t="s">
        <v>63</v>
      </c>
      <c r="I5590" s="13" t="s">
        <v>12237</v>
      </c>
      <c r="J5590" s="14" t="str">
        <f>HYPERLINK("https://www.boe.es/gazeta/dias/1839/02/08/pdfs/GMD-1839-1546.pdf#page=4","Abrir facsímil")</f>
        <v>Abrir facsímil</v>
      </c>
      <c r="K5590" s="12" t="s">
        <v>65</v>
      </c>
    </row>
    <row r="5591" spans="1:11" ht="40.049999999999997" customHeight="1" x14ac:dyDescent="0.25">
      <c r="A5591" s="11" t="s">
        <v>12234</v>
      </c>
      <c r="B5591" s="11" t="s">
        <v>12235</v>
      </c>
      <c r="C5591" s="11" t="s">
        <v>137</v>
      </c>
      <c r="D5591" s="11" t="s">
        <v>18</v>
      </c>
      <c r="E5591" s="12" t="s">
        <v>2507</v>
      </c>
      <c r="F5591" s="12" t="s">
        <v>2508</v>
      </c>
      <c r="G5591" s="12" t="s">
        <v>29</v>
      </c>
      <c r="H5591" s="11" t="s">
        <v>63</v>
      </c>
      <c r="I5591" s="13" t="s">
        <v>12238</v>
      </c>
      <c r="J5591" s="14" t="str">
        <f>HYPERLINK("https://www.boe.es/gazeta/dias/1839/03/08/pdfs/GMD-1839-1574.pdf#page=1","Abrir facsímil")</f>
        <v>Abrir facsímil</v>
      </c>
      <c r="K5591" s="12" t="s">
        <v>65</v>
      </c>
    </row>
    <row r="5592" spans="1:11" ht="40.049999999999997" customHeight="1" x14ac:dyDescent="0.25">
      <c r="A5592" s="11" t="s">
        <v>12234</v>
      </c>
      <c r="B5592" s="11" t="s">
        <v>12235</v>
      </c>
      <c r="C5592" s="11" t="s">
        <v>137</v>
      </c>
      <c r="D5592" s="11" t="s">
        <v>18</v>
      </c>
      <c r="E5592" s="12" t="s">
        <v>44</v>
      </c>
      <c r="F5592" s="12" t="s">
        <v>45</v>
      </c>
      <c r="G5592" s="12" t="s">
        <v>40</v>
      </c>
      <c r="H5592" s="11" t="s">
        <v>63</v>
      </c>
      <c r="I5592" s="13" t="s">
        <v>12239</v>
      </c>
      <c r="J5592" s="14" t="str">
        <f>HYPERLINK("https://www.boe.es/gazeta/dias/1839/11/15/pdfs/GMD-1839-1832.pdf#page=2","Abrir facsímil")</f>
        <v>Abrir facsímil</v>
      </c>
      <c r="K5592" s="12" t="s">
        <v>65</v>
      </c>
    </row>
    <row r="5593" spans="1:11" ht="40.049999999999997" customHeight="1" x14ac:dyDescent="0.25">
      <c r="A5593" s="11" t="s">
        <v>12234</v>
      </c>
      <c r="B5593" s="11" t="s">
        <v>12235</v>
      </c>
      <c r="C5593" s="11" t="s">
        <v>17</v>
      </c>
      <c r="D5593" s="11" t="s">
        <v>18</v>
      </c>
      <c r="E5593" s="12" t="s">
        <v>433</v>
      </c>
      <c r="F5593" s="12" t="s">
        <v>434</v>
      </c>
      <c r="G5593" s="12" t="s">
        <v>21</v>
      </c>
      <c r="H5593" s="11" t="s">
        <v>63</v>
      </c>
      <c r="I5593" s="13" t="s">
        <v>12240</v>
      </c>
      <c r="J5593" s="14" t="str">
        <f>HYPERLINK("https://www.boe.es/gazeta/dias/1839/01/20/pdfs/GMD-1839-1527.pdf#page=4","Abrir facsímil")</f>
        <v>Abrir facsímil</v>
      </c>
      <c r="K5593" s="12" t="s">
        <v>65</v>
      </c>
    </row>
    <row r="5594" spans="1:11" ht="40.049999999999997" customHeight="1" x14ac:dyDescent="0.25">
      <c r="A5594" s="11" t="s">
        <v>12241</v>
      </c>
      <c r="B5594" s="11" t="s">
        <v>12242</v>
      </c>
      <c r="C5594" s="11" t="s">
        <v>101</v>
      </c>
      <c r="D5594" s="11" t="s">
        <v>43</v>
      </c>
      <c r="E5594" s="12" t="s">
        <v>1988</v>
      </c>
      <c r="F5594" s="12" t="s">
        <v>1989</v>
      </c>
      <c r="G5594" s="12" t="s">
        <v>46</v>
      </c>
      <c r="H5594" s="11" t="s">
        <v>63</v>
      </c>
      <c r="I5594" s="13" t="s">
        <v>12243</v>
      </c>
      <c r="J5594" s="14" t="str">
        <f>HYPERLINK("https://www.boe.es/gazeta/dias/1839/10/29/pdfs/GMD-1839-1815.pdf#page=3","Abrir facsímil")</f>
        <v>Abrir facsímil</v>
      </c>
      <c r="K5594" s="12" t="s">
        <v>65</v>
      </c>
    </row>
    <row r="5595" spans="1:11" ht="40.049999999999997" customHeight="1" x14ac:dyDescent="0.25">
      <c r="A5595" s="11" t="s">
        <v>12244</v>
      </c>
      <c r="B5595" s="11" t="s">
        <v>12245</v>
      </c>
      <c r="C5595" s="11" t="s">
        <v>80</v>
      </c>
      <c r="D5595" s="11" t="s">
        <v>18</v>
      </c>
      <c r="E5595" s="12" t="s">
        <v>1057</v>
      </c>
      <c r="F5595" s="12" t="s">
        <v>1058</v>
      </c>
      <c r="G5595" s="12" t="s">
        <v>46</v>
      </c>
      <c r="H5595" s="11" t="s">
        <v>63</v>
      </c>
      <c r="I5595" s="13" t="s">
        <v>12246</v>
      </c>
      <c r="J5595" s="14" t="str">
        <f>HYPERLINK("https://www.boe.es/gazeta/dias/1839/10/01/pdfs/GMD-1839-1787.pdf#page=3","Abrir facsímil")</f>
        <v>Abrir facsímil</v>
      </c>
      <c r="K5595" s="12" t="s">
        <v>65</v>
      </c>
    </row>
    <row r="5596" spans="1:11" ht="40.049999999999997" customHeight="1" x14ac:dyDescent="0.25">
      <c r="A5596" s="11" t="s">
        <v>12244</v>
      </c>
      <c r="B5596" s="11" t="s">
        <v>12245</v>
      </c>
      <c r="C5596" s="11" t="s">
        <v>17</v>
      </c>
      <c r="D5596" s="11" t="s">
        <v>18</v>
      </c>
      <c r="E5596" s="12" t="s">
        <v>2949</v>
      </c>
      <c r="F5596" s="12" t="s">
        <v>2950</v>
      </c>
      <c r="G5596" s="12" t="s">
        <v>40</v>
      </c>
      <c r="H5596" s="11" t="s">
        <v>63</v>
      </c>
      <c r="I5596" s="13" t="s">
        <v>12247</v>
      </c>
      <c r="J5596" s="14" t="str">
        <f>HYPERLINK("https://www.boe.es/gazeta/dias/1839/10/21/pdfs/GMD-1839-1807.pdf#page=2","Abrir facsímil")</f>
        <v>Abrir facsímil</v>
      </c>
      <c r="K5596" s="12" t="s">
        <v>65</v>
      </c>
    </row>
    <row r="5597" spans="1:11" ht="40.049999999999997" customHeight="1" x14ac:dyDescent="0.25">
      <c r="A5597" s="11" t="s">
        <v>12244</v>
      </c>
      <c r="B5597" s="11" t="s">
        <v>12245</v>
      </c>
      <c r="C5597" s="11" t="s">
        <v>101</v>
      </c>
      <c r="D5597" s="11" t="s">
        <v>43</v>
      </c>
      <c r="E5597" s="12" t="s">
        <v>650</v>
      </c>
      <c r="F5597" s="12" t="s">
        <v>651</v>
      </c>
      <c r="G5597" s="12" t="s">
        <v>21</v>
      </c>
      <c r="H5597" s="11" t="s">
        <v>63</v>
      </c>
      <c r="I5597" s="13" t="s">
        <v>12248</v>
      </c>
      <c r="J5597" s="14" t="str">
        <f>HYPERLINK("https://www.boe.es/gazeta/dias/1839/10/25/pdfs/GMD-1839-1811.pdf#page=4","Abrir facsímil")</f>
        <v>Abrir facsímil</v>
      </c>
      <c r="K5597" s="12" t="s">
        <v>65</v>
      </c>
    </row>
    <row r="5598" spans="1:11" ht="40.049999999999997" customHeight="1" x14ac:dyDescent="0.25">
      <c r="A5598" s="11" t="s">
        <v>12244</v>
      </c>
      <c r="B5598" s="11" t="s">
        <v>12245</v>
      </c>
      <c r="C5598" s="11" t="s">
        <v>137</v>
      </c>
      <c r="D5598" s="11" t="s">
        <v>18</v>
      </c>
      <c r="E5598" s="12" t="s">
        <v>862</v>
      </c>
      <c r="F5598" s="12" t="s">
        <v>863</v>
      </c>
      <c r="G5598" s="12" t="s">
        <v>566</v>
      </c>
      <c r="H5598" s="11" t="s">
        <v>63</v>
      </c>
      <c r="I5598" s="13" t="s">
        <v>12249</v>
      </c>
      <c r="J5598" s="14" t="str">
        <f>HYPERLINK("https://www.boe.es/gazeta/dias/1839/10/28/pdfs/GMD-1839-1814.pdf#page=5","Abrir facsímil")</f>
        <v>Abrir facsímil</v>
      </c>
      <c r="K5598" s="12" t="s">
        <v>65</v>
      </c>
    </row>
    <row r="5599" spans="1:11" ht="40.049999999999997" customHeight="1" x14ac:dyDescent="0.25">
      <c r="A5599" s="11" t="s">
        <v>12250</v>
      </c>
      <c r="B5599" s="11" t="s">
        <v>12251</v>
      </c>
      <c r="C5599" s="11" t="s">
        <v>17</v>
      </c>
      <c r="D5599" s="11" t="s">
        <v>18</v>
      </c>
      <c r="E5599" s="12" t="s">
        <v>577</v>
      </c>
      <c r="F5599" s="12" t="s">
        <v>578</v>
      </c>
      <c r="G5599" s="12" t="s">
        <v>40</v>
      </c>
      <c r="H5599" s="11" t="s">
        <v>63</v>
      </c>
      <c r="I5599" s="13" t="s">
        <v>12252</v>
      </c>
      <c r="J5599" s="14" t="str">
        <f>HYPERLINK("https://www.boe.es/gazeta/dias/1839/09/30/pdfs/GMD-1839-1786.pdf#page=2","Abrir facsímil")</f>
        <v>Abrir facsímil</v>
      </c>
      <c r="K5599" s="12" t="s">
        <v>65</v>
      </c>
    </row>
    <row r="5600" spans="1:11" ht="40.049999999999997" customHeight="1" x14ac:dyDescent="0.25">
      <c r="A5600" s="11" t="s">
        <v>12253</v>
      </c>
      <c r="B5600" s="11" t="s">
        <v>12254</v>
      </c>
      <c r="C5600" s="11" t="s">
        <v>17</v>
      </c>
      <c r="D5600" s="11" t="s">
        <v>18</v>
      </c>
      <c r="E5600" s="12" t="s">
        <v>1414</v>
      </c>
      <c r="F5600" s="12" t="s">
        <v>1415</v>
      </c>
      <c r="G5600" s="12" t="s">
        <v>29</v>
      </c>
      <c r="H5600" s="11" t="s">
        <v>63</v>
      </c>
      <c r="I5600" s="13" t="s">
        <v>12255</v>
      </c>
      <c r="J5600" s="14" t="str">
        <f>HYPERLINK("https://www.boe.es/gazeta/dias/1839/06/12/pdfs/GMD-1839-1670.pdf#page=1","Abrir facsímil")</f>
        <v>Abrir facsímil</v>
      </c>
      <c r="K5600" s="12" t="s">
        <v>65</v>
      </c>
    </row>
    <row r="5601" spans="1:11" ht="40.049999999999997" customHeight="1" x14ac:dyDescent="0.25">
      <c r="A5601" s="11" t="s">
        <v>12256</v>
      </c>
      <c r="B5601" s="11" t="s">
        <v>12257</v>
      </c>
      <c r="C5601" s="11" t="s">
        <v>101</v>
      </c>
      <c r="D5601" s="11" t="s">
        <v>43</v>
      </c>
      <c r="E5601" s="12" t="s">
        <v>157</v>
      </c>
      <c r="F5601" s="12" t="s">
        <v>158</v>
      </c>
      <c r="G5601" s="12" t="s">
        <v>21</v>
      </c>
      <c r="H5601" s="11" t="s">
        <v>63</v>
      </c>
      <c r="I5601" s="13" t="s">
        <v>12258</v>
      </c>
      <c r="J5601" s="14" t="str">
        <f>HYPERLINK("https://www.boe.es/gazeta/dias/1839/02/08/pdfs/GMD-1839-1546.pdf#page=4","Abrir facsímil")</f>
        <v>Abrir facsímil</v>
      </c>
      <c r="K5601" s="12" t="s">
        <v>65</v>
      </c>
    </row>
    <row r="5602" spans="1:11" ht="40.049999999999997" customHeight="1" x14ac:dyDescent="0.25">
      <c r="A5602" s="11" t="s">
        <v>12256</v>
      </c>
      <c r="B5602" s="11" t="s">
        <v>12257</v>
      </c>
      <c r="C5602" s="11" t="s">
        <v>101</v>
      </c>
      <c r="D5602" s="11" t="s">
        <v>43</v>
      </c>
      <c r="E5602" s="12" t="s">
        <v>1072</v>
      </c>
      <c r="F5602" s="12" t="s">
        <v>1073</v>
      </c>
      <c r="G5602" s="12" t="s">
        <v>46</v>
      </c>
      <c r="H5602" s="11" t="s">
        <v>63</v>
      </c>
      <c r="I5602" s="13" t="s">
        <v>12259</v>
      </c>
      <c r="J5602" s="14" t="str">
        <f>HYPERLINK("https://www.boe.es/gazeta/dias/1839/01/18/pdfs/GMD-1839-1525.pdf#page=3","Abrir facsímil")</f>
        <v>Abrir facsímil</v>
      </c>
      <c r="K5602" s="12" t="s">
        <v>65</v>
      </c>
    </row>
    <row r="5603" spans="1:11" ht="40.049999999999997" customHeight="1" x14ac:dyDescent="0.25">
      <c r="A5603" s="11" t="s">
        <v>12260</v>
      </c>
      <c r="B5603" s="11" t="s">
        <v>12261</v>
      </c>
      <c r="C5603" s="11" t="s">
        <v>17</v>
      </c>
      <c r="D5603" s="11" t="s">
        <v>18</v>
      </c>
      <c r="E5603" s="12" t="s">
        <v>19</v>
      </c>
      <c r="F5603" s="12" t="s">
        <v>20</v>
      </c>
      <c r="G5603" s="12" t="s">
        <v>46</v>
      </c>
      <c r="H5603" s="11" t="s">
        <v>63</v>
      </c>
      <c r="I5603" s="13" t="s">
        <v>12262</v>
      </c>
      <c r="J5603" s="14" t="str">
        <f>HYPERLINK("https://www.boe.es/gazeta/dias/1839/01/19/pdfs/GMD-1839-1526.pdf#page=3","Abrir facsímil")</f>
        <v>Abrir facsímil</v>
      </c>
      <c r="K5603" s="12" t="s">
        <v>65</v>
      </c>
    </row>
    <row r="5604" spans="1:11" ht="40.049999999999997" customHeight="1" x14ac:dyDescent="0.25">
      <c r="A5604" s="11" t="s">
        <v>12263</v>
      </c>
      <c r="B5604" s="11" t="s">
        <v>12264</v>
      </c>
      <c r="C5604" s="11" t="s">
        <v>17</v>
      </c>
      <c r="D5604" s="11" t="s">
        <v>18</v>
      </c>
      <c r="E5604" s="12" t="s">
        <v>2507</v>
      </c>
      <c r="F5604" s="12" t="s">
        <v>2508</v>
      </c>
      <c r="G5604" s="12" t="s">
        <v>29</v>
      </c>
      <c r="H5604" s="11" t="s">
        <v>63</v>
      </c>
      <c r="I5604" s="13" t="s">
        <v>12265</v>
      </c>
      <c r="J5604" s="14" t="str">
        <f>HYPERLINK("https://www.boe.es/gazeta/dias/1839/03/08/pdfs/GMD-1839-1574.pdf#page=1","Abrir facsímil")</f>
        <v>Abrir facsímil</v>
      </c>
      <c r="K5604" s="12" t="s">
        <v>65</v>
      </c>
    </row>
    <row r="5605" spans="1:11" ht="40.049999999999997" customHeight="1" x14ac:dyDescent="0.25">
      <c r="A5605" s="11" t="s">
        <v>12263</v>
      </c>
      <c r="B5605" s="11" t="s">
        <v>12264</v>
      </c>
      <c r="C5605" s="11" t="s">
        <v>59</v>
      </c>
      <c r="D5605" s="11" t="s">
        <v>60</v>
      </c>
      <c r="E5605" s="12" t="s">
        <v>269</v>
      </c>
      <c r="F5605" s="12" t="s">
        <v>270</v>
      </c>
      <c r="G5605" s="12" t="s">
        <v>29</v>
      </c>
      <c r="H5605" s="11" t="s">
        <v>63</v>
      </c>
      <c r="I5605" s="13" t="s">
        <v>12266</v>
      </c>
      <c r="J5605" s="14" t="str">
        <f>HYPERLINK("https://www.boe.es/gazeta/dias/1839/02/10/pdfs/GMD-1839-1548.pdf#page=1","Abrir facsímil")</f>
        <v>Abrir facsímil</v>
      </c>
      <c r="K5605" s="12" t="s">
        <v>65</v>
      </c>
    </row>
    <row r="5606" spans="1:11" ht="40.049999999999997" customHeight="1" x14ac:dyDescent="0.25">
      <c r="A5606" s="11" t="s">
        <v>12263</v>
      </c>
      <c r="B5606" s="11" t="s">
        <v>12264</v>
      </c>
      <c r="C5606" s="11" t="s">
        <v>137</v>
      </c>
      <c r="D5606" s="11" t="s">
        <v>18</v>
      </c>
      <c r="E5606" s="12" t="s">
        <v>269</v>
      </c>
      <c r="F5606" s="12" t="s">
        <v>270</v>
      </c>
      <c r="G5606" s="12" t="s">
        <v>40</v>
      </c>
      <c r="H5606" s="11" t="s">
        <v>63</v>
      </c>
      <c r="I5606" s="13" t="s">
        <v>12267</v>
      </c>
      <c r="J5606" s="14" t="str">
        <f>HYPERLINK("https://www.boe.es/gazeta/dias/1839/02/10/pdfs/GMD-1839-1548.pdf#page=2","Abrir facsímil")</f>
        <v>Abrir facsímil</v>
      </c>
      <c r="K5606" s="12" t="s">
        <v>65</v>
      </c>
    </row>
    <row r="5607" spans="1:11" ht="40.049999999999997" customHeight="1" x14ac:dyDescent="0.25">
      <c r="A5607" s="11" t="s">
        <v>12263</v>
      </c>
      <c r="B5607" s="11" t="s">
        <v>12264</v>
      </c>
      <c r="C5607" s="11" t="s">
        <v>17</v>
      </c>
      <c r="D5607" s="11" t="s">
        <v>18</v>
      </c>
      <c r="E5607" s="12" t="s">
        <v>272</v>
      </c>
      <c r="F5607" s="12" t="s">
        <v>273</v>
      </c>
      <c r="G5607" s="12" t="s">
        <v>29</v>
      </c>
      <c r="H5607" s="11" t="s">
        <v>63</v>
      </c>
      <c r="I5607" s="13" t="s">
        <v>12268</v>
      </c>
      <c r="J5607" s="14" t="str">
        <f>HYPERLINK("https://www.boe.es/gazeta/dias/1839/02/12/pdfs/GMD-1839-1550.pdf#page=1","Abrir facsímil")</f>
        <v>Abrir facsímil</v>
      </c>
      <c r="K5607" s="12" t="s">
        <v>65</v>
      </c>
    </row>
    <row r="5608" spans="1:11" ht="40.049999999999997" customHeight="1" x14ac:dyDescent="0.25">
      <c r="A5608" s="11" t="s">
        <v>12263</v>
      </c>
      <c r="B5608" s="11" t="s">
        <v>12264</v>
      </c>
      <c r="C5608" s="11" t="s">
        <v>137</v>
      </c>
      <c r="D5608" s="11" t="s">
        <v>18</v>
      </c>
      <c r="E5608" s="12" t="s">
        <v>2155</v>
      </c>
      <c r="F5608" s="12" t="s">
        <v>2156</v>
      </c>
      <c r="G5608" s="12" t="s">
        <v>29</v>
      </c>
      <c r="H5608" s="11" t="s">
        <v>63</v>
      </c>
      <c r="I5608" s="13" t="s">
        <v>12269</v>
      </c>
      <c r="J5608" s="14" t="str">
        <f>HYPERLINK("https://www.boe.es/gazeta/dias/1839/01/17/pdfs/GMD-1839-1524.pdf#page=1","Abrir facsímil")</f>
        <v>Abrir facsímil</v>
      </c>
      <c r="K5608" s="12" t="s">
        <v>65</v>
      </c>
    </row>
    <row r="5609" spans="1:11" ht="40.049999999999997" customHeight="1" x14ac:dyDescent="0.25">
      <c r="A5609" s="11" t="s">
        <v>12263</v>
      </c>
      <c r="B5609" s="11" t="s">
        <v>12264</v>
      </c>
      <c r="C5609" s="11" t="s">
        <v>80</v>
      </c>
      <c r="D5609" s="11" t="s">
        <v>18</v>
      </c>
      <c r="E5609" s="12" t="s">
        <v>2253</v>
      </c>
      <c r="F5609" s="12" t="s">
        <v>2254</v>
      </c>
      <c r="G5609" s="12" t="s">
        <v>29</v>
      </c>
      <c r="H5609" s="11" t="s">
        <v>63</v>
      </c>
      <c r="I5609" s="13" t="s">
        <v>12270</v>
      </c>
      <c r="J5609" s="14" t="str">
        <f>HYPERLINK("https://www.boe.es/gazeta/dias/1839/02/20/pdfs/GMD-1839-1558.pdf#page=1","Abrir facsímil")</f>
        <v>Abrir facsímil</v>
      </c>
      <c r="K5609" s="12" t="s">
        <v>65</v>
      </c>
    </row>
    <row r="5610" spans="1:11" ht="40.049999999999997" customHeight="1" x14ac:dyDescent="0.25">
      <c r="A5610" s="11" t="s">
        <v>12263</v>
      </c>
      <c r="B5610" s="11" t="s">
        <v>12264</v>
      </c>
      <c r="C5610" s="11" t="s">
        <v>17</v>
      </c>
      <c r="D5610" s="11" t="s">
        <v>18</v>
      </c>
      <c r="E5610" s="12" t="s">
        <v>1517</v>
      </c>
      <c r="F5610" s="12" t="s">
        <v>1518</v>
      </c>
      <c r="G5610" s="12" t="s">
        <v>29</v>
      </c>
      <c r="H5610" s="11" t="s">
        <v>63</v>
      </c>
      <c r="I5610" s="13" t="s">
        <v>12271</v>
      </c>
      <c r="J5610" s="14" t="str">
        <f>HYPERLINK("https://www.boe.es/gazeta/dias/1839/12/20/pdfs/GMD-1839-1867.pdf#page=1","Abrir facsímil")</f>
        <v>Abrir facsímil</v>
      </c>
      <c r="K5610" s="12" t="s">
        <v>65</v>
      </c>
    </row>
    <row r="5611" spans="1:11" ht="40.049999999999997" customHeight="1" x14ac:dyDescent="0.25">
      <c r="A5611" s="11" t="s">
        <v>12263</v>
      </c>
      <c r="B5611" s="11" t="s">
        <v>12264</v>
      </c>
      <c r="C5611" s="11" t="s">
        <v>137</v>
      </c>
      <c r="D5611" s="11" t="s">
        <v>18</v>
      </c>
      <c r="E5611" s="12" t="s">
        <v>1474</v>
      </c>
      <c r="F5611" s="12" t="s">
        <v>1475</v>
      </c>
      <c r="G5611" s="12" t="s">
        <v>29</v>
      </c>
      <c r="H5611" s="11" t="s">
        <v>63</v>
      </c>
      <c r="I5611" s="13" t="s">
        <v>12272</v>
      </c>
      <c r="J5611" s="14" t="str">
        <f>HYPERLINK("https://www.boe.es/gazeta/dias/1839/02/28/pdfs/GMD-1839-1566.pdf#page=1","Abrir facsímil")</f>
        <v>Abrir facsímil</v>
      </c>
      <c r="K5611" s="12" t="s">
        <v>65</v>
      </c>
    </row>
    <row r="5612" spans="1:11" ht="40.049999999999997" customHeight="1" x14ac:dyDescent="0.25">
      <c r="A5612" s="11" t="s">
        <v>12263</v>
      </c>
      <c r="B5612" s="11" t="s">
        <v>12264</v>
      </c>
      <c r="C5612" s="11" t="s">
        <v>17</v>
      </c>
      <c r="D5612" s="11" t="s">
        <v>18</v>
      </c>
      <c r="E5612" s="12" t="s">
        <v>312</v>
      </c>
      <c r="F5612" s="12" t="s">
        <v>313</v>
      </c>
      <c r="G5612" s="12" t="s">
        <v>29</v>
      </c>
      <c r="H5612" s="11" t="s">
        <v>63</v>
      </c>
      <c r="I5612" s="13" t="s">
        <v>12273</v>
      </c>
      <c r="J5612" s="14" t="str">
        <f>HYPERLINK("https://www.boe.es/gazeta/dias/1839/11/30/pdfs/GMD-1839-1847.pdf#page=1","Abrir facsímil")</f>
        <v>Abrir facsímil</v>
      </c>
      <c r="K5612" s="12" t="s">
        <v>65</v>
      </c>
    </row>
    <row r="5613" spans="1:11" ht="40.049999999999997" customHeight="1" x14ac:dyDescent="0.25">
      <c r="A5613" s="11" t="s">
        <v>12263</v>
      </c>
      <c r="B5613" s="11" t="s">
        <v>12264</v>
      </c>
      <c r="C5613" s="11" t="s">
        <v>17</v>
      </c>
      <c r="D5613" s="11" t="s">
        <v>18</v>
      </c>
      <c r="E5613" s="12" t="s">
        <v>929</v>
      </c>
      <c r="F5613" s="12" t="s">
        <v>930</v>
      </c>
      <c r="G5613" s="12" t="s">
        <v>29</v>
      </c>
      <c r="H5613" s="11" t="s">
        <v>63</v>
      </c>
      <c r="I5613" s="13" t="s">
        <v>12274</v>
      </c>
      <c r="J5613" s="14" t="str">
        <f>HYPERLINK("https://www.boe.es/gazeta/dias/1839/01/31/pdfs/GMD-1839-1538.pdf#page=1","Abrir facsímil")</f>
        <v>Abrir facsímil</v>
      </c>
      <c r="K5613" s="12" t="s">
        <v>65</v>
      </c>
    </row>
    <row r="5614" spans="1:11" ht="40.049999999999997" customHeight="1" x14ac:dyDescent="0.25">
      <c r="A5614" s="11" t="s">
        <v>12275</v>
      </c>
      <c r="B5614" s="11" t="s">
        <v>12276</v>
      </c>
      <c r="C5614" s="11" t="s">
        <v>59</v>
      </c>
      <c r="D5614" s="11" t="s">
        <v>60</v>
      </c>
      <c r="E5614" s="12" t="s">
        <v>7860</v>
      </c>
      <c r="F5614" s="12" t="s">
        <v>7861</v>
      </c>
      <c r="G5614" s="12" t="s">
        <v>21</v>
      </c>
      <c r="H5614" s="11" t="s">
        <v>63</v>
      </c>
      <c r="I5614" s="13" t="s">
        <v>12277</v>
      </c>
      <c r="J5614" s="14" t="str">
        <f>HYPERLINK("https://www.boe.es/gazeta/dias/1839/03/04/pdfs/GMD-1839-1570.pdf#page=4","Abrir facsímil")</f>
        <v>Abrir facsímil</v>
      </c>
      <c r="K5614" s="12" t="s">
        <v>65</v>
      </c>
    </row>
    <row r="5615" spans="1:11" ht="40.049999999999997" customHeight="1" x14ac:dyDescent="0.25">
      <c r="A5615" s="11" t="s">
        <v>12275</v>
      </c>
      <c r="B5615" s="11" t="s">
        <v>12276</v>
      </c>
      <c r="C5615" s="11" t="s">
        <v>17</v>
      </c>
      <c r="D5615" s="11" t="s">
        <v>18</v>
      </c>
      <c r="E5615" s="12" t="s">
        <v>1467</v>
      </c>
      <c r="F5615" s="12" t="s">
        <v>1468</v>
      </c>
      <c r="G5615" s="12" t="s">
        <v>40</v>
      </c>
      <c r="H5615" s="11" t="s">
        <v>63</v>
      </c>
      <c r="I5615" s="13" t="s">
        <v>12278</v>
      </c>
      <c r="J5615" s="14" t="str">
        <f>HYPERLINK("https://www.boe.es/gazeta/dias/1839/03/05/pdfs/GMD-1839-1571.pdf#page=2","Abrir facsímil")</f>
        <v>Abrir facsímil</v>
      </c>
      <c r="K5615" s="12" t="s">
        <v>65</v>
      </c>
    </row>
    <row r="5616" spans="1:11" ht="40.049999999999997" customHeight="1" x14ac:dyDescent="0.25">
      <c r="A5616" s="11" t="s">
        <v>12275</v>
      </c>
      <c r="B5616" s="11" t="s">
        <v>12276</v>
      </c>
      <c r="C5616" s="11" t="s">
        <v>17</v>
      </c>
      <c r="D5616" s="11" t="s">
        <v>18</v>
      </c>
      <c r="E5616" s="12" t="s">
        <v>336</v>
      </c>
      <c r="F5616" s="12" t="s">
        <v>337</v>
      </c>
      <c r="G5616" s="12" t="s">
        <v>40</v>
      </c>
      <c r="H5616" s="11" t="s">
        <v>63</v>
      </c>
      <c r="I5616" s="13" t="s">
        <v>12279</v>
      </c>
      <c r="J5616" s="14" t="str">
        <f>HYPERLINK("https://www.boe.es/gazeta/dias/1839/07/14/pdfs/GMD-1839-1702.pdf#page=2","Abrir facsímil")</f>
        <v>Abrir facsímil</v>
      </c>
      <c r="K5616" s="12" t="s">
        <v>65</v>
      </c>
    </row>
    <row r="5617" spans="1:11" ht="40.049999999999997" customHeight="1" x14ac:dyDescent="0.25">
      <c r="A5617" s="11" t="s">
        <v>12280</v>
      </c>
      <c r="B5617" s="11" t="s">
        <v>12281</v>
      </c>
      <c r="C5617" s="11" t="s">
        <v>17</v>
      </c>
      <c r="D5617" s="11" t="s">
        <v>18</v>
      </c>
      <c r="E5617" s="12" t="s">
        <v>154</v>
      </c>
      <c r="F5617" s="12" t="s">
        <v>155</v>
      </c>
      <c r="G5617" s="12" t="s">
        <v>21</v>
      </c>
      <c r="H5617" s="11" t="s">
        <v>63</v>
      </c>
      <c r="I5617" s="13" t="s">
        <v>12282</v>
      </c>
      <c r="J5617" s="14" t="str">
        <f>HYPERLINK("https://www.boe.es/gazeta/dias/1839/02/02/pdfs/GMD-1839-1540.pdf#page=4","Abrir facsímil")</f>
        <v>Abrir facsímil</v>
      </c>
      <c r="K5617" s="12" t="s">
        <v>65</v>
      </c>
    </row>
    <row r="5618" spans="1:11" ht="40.049999999999997" customHeight="1" x14ac:dyDescent="0.25">
      <c r="A5618" s="11" t="s">
        <v>12283</v>
      </c>
      <c r="B5618" s="11" t="s">
        <v>12284</v>
      </c>
      <c r="C5618" s="11" t="s">
        <v>137</v>
      </c>
      <c r="D5618" s="11" t="s">
        <v>18</v>
      </c>
      <c r="E5618" s="12" t="s">
        <v>653</v>
      </c>
      <c r="F5618" s="12" t="s">
        <v>654</v>
      </c>
      <c r="G5618" s="12" t="s">
        <v>40</v>
      </c>
      <c r="H5618" s="11" t="s">
        <v>63</v>
      </c>
      <c r="I5618" s="13" t="s">
        <v>12285</v>
      </c>
      <c r="J5618" s="14" t="str">
        <f>HYPERLINK("https://www.boe.es/gazeta/dias/1839/10/31/pdfs/GMD-1839-1817.pdf#page=2","Abrir facsímil")</f>
        <v>Abrir facsímil</v>
      </c>
      <c r="K5618" s="12" t="s">
        <v>65</v>
      </c>
    </row>
    <row r="5619" spans="1:11" ht="40.049999999999997" customHeight="1" x14ac:dyDescent="0.25">
      <c r="A5619" s="11" t="s">
        <v>12286</v>
      </c>
      <c r="B5619" s="11" t="s">
        <v>12287</v>
      </c>
      <c r="C5619" s="11" t="s">
        <v>101</v>
      </c>
      <c r="D5619" s="11" t="s">
        <v>43</v>
      </c>
      <c r="E5619" s="12" t="s">
        <v>653</v>
      </c>
      <c r="F5619" s="12" t="s">
        <v>654</v>
      </c>
      <c r="G5619" s="12" t="s">
        <v>40</v>
      </c>
      <c r="H5619" s="11" t="s">
        <v>63</v>
      </c>
      <c r="I5619" s="13" t="s">
        <v>12288</v>
      </c>
      <c r="J5619" s="14" t="str">
        <f>HYPERLINK("https://www.boe.es/gazeta/dias/1839/10/31/pdfs/GMD-1839-1817.pdf#page=2","Abrir facsímil")</f>
        <v>Abrir facsímil</v>
      </c>
      <c r="K5619" s="12" t="s">
        <v>65</v>
      </c>
    </row>
    <row r="5620" spans="1:11" ht="40.049999999999997" customHeight="1" x14ac:dyDescent="0.25">
      <c r="A5620" s="11" t="s">
        <v>12289</v>
      </c>
      <c r="B5620" s="11" t="s">
        <v>12290</v>
      </c>
      <c r="C5620" s="11" t="s">
        <v>101</v>
      </c>
      <c r="D5620" s="11" t="s">
        <v>43</v>
      </c>
      <c r="E5620" s="12" t="s">
        <v>2839</v>
      </c>
      <c r="F5620" s="12" t="s">
        <v>2840</v>
      </c>
      <c r="G5620" s="12" t="s">
        <v>46</v>
      </c>
      <c r="H5620" s="11" t="s">
        <v>63</v>
      </c>
      <c r="I5620" s="13" t="s">
        <v>12291</v>
      </c>
      <c r="J5620" s="14" t="str">
        <f>HYPERLINK("https://www.boe.es/gazeta/dias/1839/03/06/pdfs/GMD-1839-1572.pdf#page=3","Abrir facsímil")</f>
        <v>Abrir facsímil</v>
      </c>
      <c r="K5620" s="12" t="s">
        <v>65</v>
      </c>
    </row>
    <row r="5621" spans="1:11" ht="40.049999999999997" customHeight="1" x14ac:dyDescent="0.25">
      <c r="A5621" s="11" t="s">
        <v>12292</v>
      </c>
      <c r="B5621" s="11" t="s">
        <v>12293</v>
      </c>
      <c r="C5621" s="11" t="s">
        <v>59</v>
      </c>
      <c r="D5621" s="11" t="s">
        <v>60</v>
      </c>
      <c r="E5621" s="12" t="s">
        <v>519</v>
      </c>
      <c r="F5621" s="12" t="s">
        <v>520</v>
      </c>
      <c r="G5621" s="12" t="s">
        <v>46</v>
      </c>
      <c r="H5621" s="11" t="s">
        <v>63</v>
      </c>
      <c r="I5621" s="13" t="s">
        <v>12294</v>
      </c>
      <c r="J5621" s="14" t="str">
        <f>HYPERLINK("https://www.boe.es/gazeta/dias/1839/02/23/pdfs/GMD-1839-1561.pdf#page=3","Abrir facsímil")</f>
        <v>Abrir facsímil</v>
      </c>
      <c r="K5621" s="12" t="s">
        <v>65</v>
      </c>
    </row>
    <row r="5622" spans="1:11" ht="40.049999999999997" customHeight="1" x14ac:dyDescent="0.25">
      <c r="A5622" s="11" t="s">
        <v>12295</v>
      </c>
      <c r="B5622" s="11" t="s">
        <v>12296</v>
      </c>
      <c r="C5622" s="11" t="s">
        <v>80</v>
      </c>
      <c r="D5622" s="11" t="s">
        <v>18</v>
      </c>
      <c r="E5622" s="12" t="s">
        <v>160</v>
      </c>
      <c r="F5622" s="12" t="s">
        <v>161</v>
      </c>
      <c r="G5622" s="12" t="s">
        <v>46</v>
      </c>
      <c r="H5622" s="11" t="s">
        <v>63</v>
      </c>
      <c r="I5622" s="13" t="s">
        <v>12297</v>
      </c>
      <c r="J5622" s="14" t="str">
        <f>HYPERLINK("https://www.boe.es/gazeta/dias/1839/01/10/pdfs/GMD-1839-1517.pdf#page=3","Abrir facsímil")</f>
        <v>Abrir facsímil</v>
      </c>
      <c r="K5622" s="12" t="s">
        <v>65</v>
      </c>
    </row>
    <row r="5623" spans="1:11" ht="40.049999999999997" customHeight="1" x14ac:dyDescent="0.25">
      <c r="A5623" s="11" t="s">
        <v>12298</v>
      </c>
      <c r="B5623" s="11" t="s">
        <v>12299</v>
      </c>
      <c r="C5623" s="11" t="s">
        <v>17</v>
      </c>
      <c r="D5623" s="11" t="s">
        <v>18</v>
      </c>
      <c r="E5623" s="12" t="s">
        <v>160</v>
      </c>
      <c r="F5623" s="12" t="s">
        <v>161</v>
      </c>
      <c r="G5623" s="12" t="s">
        <v>46</v>
      </c>
      <c r="H5623" s="11" t="s">
        <v>63</v>
      </c>
      <c r="I5623" s="13" t="s">
        <v>12300</v>
      </c>
      <c r="J5623" s="14" t="str">
        <f>HYPERLINK("https://www.boe.es/gazeta/dias/1839/01/10/pdfs/GMD-1839-1517.pdf#page=3","Abrir facsímil")</f>
        <v>Abrir facsímil</v>
      </c>
      <c r="K5623" s="12" t="s">
        <v>65</v>
      </c>
    </row>
    <row r="5624" spans="1:11" ht="40.049999999999997" customHeight="1" x14ac:dyDescent="0.25">
      <c r="A5624" s="11" t="s">
        <v>12301</v>
      </c>
      <c r="B5624" s="11" t="s">
        <v>12302</v>
      </c>
      <c r="C5624" s="11" t="s">
        <v>17</v>
      </c>
      <c r="D5624" s="11" t="s">
        <v>18</v>
      </c>
      <c r="E5624" s="12" t="s">
        <v>770</v>
      </c>
      <c r="F5624" s="12" t="s">
        <v>771</v>
      </c>
      <c r="G5624" s="12" t="s">
        <v>40</v>
      </c>
      <c r="H5624" s="11" t="s">
        <v>63</v>
      </c>
      <c r="I5624" s="13" t="s">
        <v>12303</v>
      </c>
      <c r="J5624" s="14" t="str">
        <f>HYPERLINK("https://www.boe.es/gazeta/dias/1839/12/05/pdfs/GMD-1839-1852.pdf#page=2","Abrir facsímil")</f>
        <v>Abrir facsímil</v>
      </c>
      <c r="K5624" s="12" t="s">
        <v>65</v>
      </c>
    </row>
    <row r="5625" spans="1:11" ht="40.049999999999997" customHeight="1" x14ac:dyDescent="0.25">
      <c r="A5625" s="11" t="s">
        <v>12304</v>
      </c>
      <c r="B5625" s="11" t="s">
        <v>12305</v>
      </c>
      <c r="C5625" s="11" t="s">
        <v>17</v>
      </c>
      <c r="D5625" s="11" t="s">
        <v>18</v>
      </c>
      <c r="E5625" s="12" t="s">
        <v>175</v>
      </c>
      <c r="F5625" s="12" t="s">
        <v>176</v>
      </c>
      <c r="G5625" s="12" t="s">
        <v>40</v>
      </c>
      <c r="H5625" s="11" t="s">
        <v>63</v>
      </c>
      <c r="I5625" s="13" t="s">
        <v>12306</v>
      </c>
      <c r="J5625" s="14" t="str">
        <f>HYPERLINK("https://www.boe.es/gazeta/dias/1839/01/16/pdfs/GMD-1839-1523.pdf#page=2","Abrir facsímil")</f>
        <v>Abrir facsímil</v>
      </c>
      <c r="K5625" s="12" t="s">
        <v>65</v>
      </c>
    </row>
    <row r="5626" spans="1:11" ht="40.049999999999997" customHeight="1" x14ac:dyDescent="0.25">
      <c r="A5626" s="11" t="s">
        <v>12307</v>
      </c>
      <c r="B5626" s="11" t="s">
        <v>12308</v>
      </c>
      <c r="C5626" s="11" t="s">
        <v>101</v>
      </c>
      <c r="D5626" s="11" t="s">
        <v>43</v>
      </c>
      <c r="E5626" s="12" t="s">
        <v>416</v>
      </c>
      <c r="F5626" s="12" t="s">
        <v>417</v>
      </c>
      <c r="G5626" s="12" t="s">
        <v>29</v>
      </c>
      <c r="H5626" s="11" t="s">
        <v>63</v>
      </c>
      <c r="I5626" s="13" t="s">
        <v>12309</v>
      </c>
      <c r="J5626" s="14" t="str">
        <f>HYPERLINK("https://www.boe.es/gazeta/dias/1839/10/24/pdfs/GMD-1839-1810.pdf#page=1","Abrir facsímil")</f>
        <v>Abrir facsímil</v>
      </c>
      <c r="K5626" s="12" t="s">
        <v>65</v>
      </c>
    </row>
    <row r="5627" spans="1:11" ht="40.049999999999997" customHeight="1" x14ac:dyDescent="0.25">
      <c r="A5627" s="11" t="s">
        <v>12310</v>
      </c>
      <c r="B5627" s="11" t="s">
        <v>12311</v>
      </c>
      <c r="C5627" s="11" t="s">
        <v>80</v>
      </c>
      <c r="D5627" s="11" t="s">
        <v>173</v>
      </c>
      <c r="E5627" s="12" t="s">
        <v>809</v>
      </c>
      <c r="F5627" s="12" t="s">
        <v>810</v>
      </c>
      <c r="G5627" s="12" t="s">
        <v>21</v>
      </c>
      <c r="H5627" s="11" t="s">
        <v>63</v>
      </c>
      <c r="I5627" s="13" t="s">
        <v>12312</v>
      </c>
      <c r="J5627" s="14" t="str">
        <f>HYPERLINK("https://www.boe.es/gazeta/dias/1839/02/11/pdfs/GMD-1839-1549.pdf#page=4","Abrir facsímil")</f>
        <v>Abrir facsímil</v>
      </c>
      <c r="K5627" s="12" t="s">
        <v>65</v>
      </c>
    </row>
    <row r="5628" spans="1:11" ht="40.049999999999997" customHeight="1" x14ac:dyDescent="0.25">
      <c r="A5628" s="11" t="s">
        <v>12313</v>
      </c>
      <c r="B5628" s="11" t="s">
        <v>12314</v>
      </c>
      <c r="C5628" s="11" t="s">
        <v>137</v>
      </c>
      <c r="D5628" s="11" t="s">
        <v>18</v>
      </c>
      <c r="E5628" s="12" t="s">
        <v>448</v>
      </c>
      <c r="F5628" s="12" t="s">
        <v>449</v>
      </c>
      <c r="G5628" s="12" t="s">
        <v>40</v>
      </c>
      <c r="H5628" s="11" t="s">
        <v>63</v>
      </c>
      <c r="I5628" s="13" t="s">
        <v>12315</v>
      </c>
      <c r="J5628" s="14" t="str">
        <f>HYPERLINK("https://www.boe.es/gazeta/dias/1839/02/06/pdfs/GMD-1839-1544.pdf#page=2","Abrir facsímil")</f>
        <v>Abrir facsímil</v>
      </c>
      <c r="K5628" s="12" t="s">
        <v>65</v>
      </c>
    </row>
    <row r="5629" spans="1:11" ht="40.049999999999997" customHeight="1" x14ac:dyDescent="0.25">
      <c r="A5629" s="11" t="s">
        <v>12316</v>
      </c>
      <c r="B5629" s="11" t="s">
        <v>12317</v>
      </c>
      <c r="C5629" s="11" t="s">
        <v>137</v>
      </c>
      <c r="D5629" s="11" t="s">
        <v>18</v>
      </c>
      <c r="E5629" s="12" t="s">
        <v>1027</v>
      </c>
      <c r="F5629" s="12" t="s">
        <v>1028</v>
      </c>
      <c r="G5629" s="12" t="s">
        <v>40</v>
      </c>
      <c r="H5629" s="11" t="s">
        <v>63</v>
      </c>
      <c r="I5629" s="13" t="s">
        <v>12318</v>
      </c>
      <c r="J5629" s="14" t="str">
        <f>HYPERLINK("https://www.boe.es/gazeta/dias/1839/08/16/pdfs/GMD-1839-1736.pdf#page=2","Abrir facsímil")</f>
        <v>Abrir facsímil</v>
      </c>
      <c r="K5629" s="12" t="s">
        <v>65</v>
      </c>
    </row>
    <row r="5630" spans="1:11" ht="40.049999999999997" customHeight="1" x14ac:dyDescent="0.25">
      <c r="A5630" s="11" t="s">
        <v>12319</v>
      </c>
      <c r="B5630" s="11" t="s">
        <v>12320</v>
      </c>
      <c r="C5630" s="11" t="s">
        <v>59</v>
      </c>
      <c r="D5630" s="11" t="s">
        <v>60</v>
      </c>
      <c r="E5630" s="12" t="s">
        <v>695</v>
      </c>
      <c r="F5630" s="12" t="s">
        <v>696</v>
      </c>
      <c r="G5630" s="12" t="s">
        <v>40</v>
      </c>
      <c r="H5630" s="11" t="s">
        <v>63</v>
      </c>
      <c r="I5630" s="13" t="s">
        <v>12321</v>
      </c>
      <c r="J5630" s="14" t="str">
        <f>HYPERLINK("https://www.boe.es/gazeta/dias/1839/12/19/pdfs/GMD-1839-1866.pdf#page=2","Abrir facsímil")</f>
        <v>Abrir facsímil</v>
      </c>
      <c r="K5630" s="12" t="s">
        <v>65</v>
      </c>
    </row>
    <row r="5631" spans="1:11" ht="40.049999999999997" customHeight="1" x14ac:dyDescent="0.25">
      <c r="A5631" s="11" t="s">
        <v>12322</v>
      </c>
      <c r="B5631" s="11" t="s">
        <v>12323</v>
      </c>
      <c r="C5631" s="11" t="s">
        <v>59</v>
      </c>
      <c r="D5631" s="11" t="s">
        <v>60</v>
      </c>
      <c r="E5631" s="12" t="s">
        <v>385</v>
      </c>
      <c r="F5631" s="12" t="s">
        <v>386</v>
      </c>
      <c r="G5631" s="12" t="s">
        <v>46</v>
      </c>
      <c r="H5631" s="11" t="s">
        <v>63</v>
      </c>
      <c r="I5631" s="13" t="s">
        <v>12324</v>
      </c>
      <c r="J5631" s="14" t="str">
        <f>HYPERLINK("https://www.boe.es/gazeta/dias/1839/08/01/pdfs/GMD-1839-1721.pdf#page=3","Abrir facsímil")</f>
        <v>Abrir facsímil</v>
      </c>
      <c r="K5631" s="12" t="s">
        <v>65</v>
      </c>
    </row>
    <row r="5632" spans="1:11" ht="40.049999999999997" customHeight="1" x14ac:dyDescent="0.25">
      <c r="A5632" s="11" t="s">
        <v>12325</v>
      </c>
      <c r="B5632" s="11" t="s">
        <v>12326</v>
      </c>
      <c r="C5632" s="11" t="s">
        <v>17</v>
      </c>
      <c r="D5632" s="11" t="s">
        <v>18</v>
      </c>
      <c r="E5632" s="12" t="s">
        <v>1867</v>
      </c>
      <c r="F5632" s="12" t="s">
        <v>1868</v>
      </c>
      <c r="G5632" s="12" t="s">
        <v>21</v>
      </c>
      <c r="H5632" s="11" t="s">
        <v>63</v>
      </c>
      <c r="I5632" s="13" t="s">
        <v>12327</v>
      </c>
      <c r="J5632" s="14" t="str">
        <f>HYPERLINK("https://www.boe.es/gazeta/dias/1839/01/30/pdfs/GMD-1839-1537.pdf#page=4","Abrir facsímil")</f>
        <v>Abrir facsímil</v>
      </c>
      <c r="K5632" s="12" t="s">
        <v>65</v>
      </c>
    </row>
    <row r="5633" spans="1:11" ht="40.049999999999997" customHeight="1" x14ac:dyDescent="0.25">
      <c r="A5633" s="11" t="s">
        <v>12328</v>
      </c>
      <c r="B5633" s="11" t="s">
        <v>12329</v>
      </c>
      <c r="C5633" s="11" t="s">
        <v>17</v>
      </c>
      <c r="D5633" s="11" t="s">
        <v>18</v>
      </c>
      <c r="E5633" s="12" t="s">
        <v>185</v>
      </c>
      <c r="F5633" s="12" t="s">
        <v>186</v>
      </c>
      <c r="G5633" s="12" t="s">
        <v>40</v>
      </c>
      <c r="H5633" s="11" t="s">
        <v>63</v>
      </c>
      <c r="I5633" s="13" t="s">
        <v>12330</v>
      </c>
      <c r="J5633" s="14" t="str">
        <f>HYPERLINK("https://www.boe.es/gazeta/dias/1839/01/15/pdfs/GMD-1839-1522.pdf#page=2","Abrir facsímil")</f>
        <v>Abrir facsímil</v>
      </c>
      <c r="K5633" s="12" t="s">
        <v>65</v>
      </c>
    </row>
    <row r="5634" spans="1:11" ht="40.049999999999997" customHeight="1" x14ac:dyDescent="0.25">
      <c r="A5634" s="11" t="s">
        <v>12331</v>
      </c>
      <c r="B5634" s="11" t="s">
        <v>12332</v>
      </c>
      <c r="C5634" s="11" t="s">
        <v>137</v>
      </c>
      <c r="D5634" s="11" t="s">
        <v>18</v>
      </c>
      <c r="E5634" s="12" t="s">
        <v>690</v>
      </c>
      <c r="F5634" s="12" t="s">
        <v>691</v>
      </c>
      <c r="G5634" s="12" t="s">
        <v>21</v>
      </c>
      <c r="H5634" s="11" t="s">
        <v>63</v>
      </c>
      <c r="I5634" s="13" t="s">
        <v>12333</v>
      </c>
      <c r="J5634" s="14" t="str">
        <f>HYPERLINK("https://www.boe.es/gazeta/dias/1839/12/08/pdfs/GMD-1839-1855.pdf#page=4","Abrir facsímil")</f>
        <v>Abrir facsímil</v>
      </c>
      <c r="K5634" s="12" t="s">
        <v>65</v>
      </c>
    </row>
    <row r="5635" spans="1:11" ht="40.049999999999997" customHeight="1" x14ac:dyDescent="0.25">
      <c r="A5635" s="11" t="s">
        <v>12334</v>
      </c>
      <c r="B5635" s="11" t="s">
        <v>12335</v>
      </c>
      <c r="C5635" s="11" t="s">
        <v>80</v>
      </c>
      <c r="D5635" s="11" t="s">
        <v>18</v>
      </c>
      <c r="E5635" s="12" t="s">
        <v>632</v>
      </c>
      <c r="F5635" s="12" t="s">
        <v>633</v>
      </c>
      <c r="G5635" s="12" t="s">
        <v>21</v>
      </c>
      <c r="H5635" s="11" t="s">
        <v>63</v>
      </c>
      <c r="I5635" s="13" t="s">
        <v>12336</v>
      </c>
      <c r="J5635" s="14" t="str">
        <f>HYPERLINK("https://www.boe.es/gazeta/dias/1839/04/06/pdfs/GMD-1839-1603.pdf#page=4","Abrir facsímil")</f>
        <v>Abrir facsímil</v>
      </c>
      <c r="K5635" s="12" t="s">
        <v>65</v>
      </c>
    </row>
    <row r="5636" spans="1:11" ht="40.049999999999997" customHeight="1" x14ac:dyDescent="0.25">
      <c r="A5636" s="11" t="s">
        <v>12337</v>
      </c>
      <c r="B5636" s="11" t="s">
        <v>12338</v>
      </c>
      <c r="C5636" s="11" t="s">
        <v>17</v>
      </c>
      <c r="D5636" s="11" t="s">
        <v>18</v>
      </c>
      <c r="E5636" s="12" t="s">
        <v>1779</v>
      </c>
      <c r="F5636" s="12" t="s">
        <v>1780</v>
      </c>
      <c r="G5636" s="12" t="s">
        <v>21</v>
      </c>
      <c r="H5636" s="11" t="s">
        <v>63</v>
      </c>
      <c r="I5636" s="13" t="s">
        <v>12339</v>
      </c>
      <c r="J5636" s="14" t="str">
        <f>HYPERLINK("https://www.boe.es/gazeta/dias/1839/03/18/pdfs/GMD-1839-1584.pdf#page=4","Abrir facsímil")</f>
        <v>Abrir facsímil</v>
      </c>
      <c r="K5636" s="12" t="s">
        <v>65</v>
      </c>
    </row>
    <row r="5637" spans="1:11" ht="40.049999999999997" customHeight="1" x14ac:dyDescent="0.25">
      <c r="A5637" s="11" t="s">
        <v>12340</v>
      </c>
      <c r="B5637" s="11" t="s">
        <v>12341</v>
      </c>
      <c r="C5637" s="11" t="s">
        <v>80</v>
      </c>
      <c r="D5637" s="11" t="s">
        <v>18</v>
      </c>
      <c r="E5637" s="12" t="s">
        <v>4287</v>
      </c>
      <c r="F5637" s="12" t="s">
        <v>4288</v>
      </c>
      <c r="G5637" s="12" t="s">
        <v>29</v>
      </c>
      <c r="H5637" s="11" t="s">
        <v>63</v>
      </c>
      <c r="I5637" s="13" t="s">
        <v>12342</v>
      </c>
      <c r="J5637" s="14" t="str">
        <f>HYPERLINK("https://www.boe.es/gazeta/dias/1839/06/01/pdfs/GMD-1839-1659.pdf#page=1","Abrir facsímil")</f>
        <v>Abrir facsímil</v>
      </c>
      <c r="K5637" s="12" t="s">
        <v>65</v>
      </c>
    </row>
    <row r="5638" spans="1:11" ht="40.049999999999997" customHeight="1" x14ac:dyDescent="0.25">
      <c r="A5638" s="11" t="s">
        <v>12340</v>
      </c>
      <c r="B5638" s="11" t="s">
        <v>12341</v>
      </c>
      <c r="C5638" s="11" t="s">
        <v>80</v>
      </c>
      <c r="D5638" s="11" t="s">
        <v>18</v>
      </c>
      <c r="E5638" s="12" t="s">
        <v>2829</v>
      </c>
      <c r="F5638" s="12" t="s">
        <v>2830</v>
      </c>
      <c r="G5638" s="12" t="s">
        <v>40</v>
      </c>
      <c r="H5638" s="11" t="s">
        <v>63</v>
      </c>
      <c r="I5638" s="13" t="s">
        <v>12343</v>
      </c>
      <c r="J5638" s="14" t="str">
        <f>HYPERLINK("https://www.boe.es/gazeta/dias/1839/07/01/pdfs/GMD-1839-1689.pdf#page=2","Abrir facsímil")</f>
        <v>Abrir facsímil</v>
      </c>
      <c r="K5638" s="12" t="s">
        <v>65</v>
      </c>
    </row>
    <row r="5639" spans="1:11" ht="40.049999999999997" customHeight="1" x14ac:dyDescent="0.25">
      <c r="A5639" s="11" t="s">
        <v>12340</v>
      </c>
      <c r="B5639" s="11" t="s">
        <v>12341</v>
      </c>
      <c r="C5639" s="11" t="s">
        <v>59</v>
      </c>
      <c r="D5639" s="11" t="s">
        <v>60</v>
      </c>
      <c r="E5639" s="12" t="s">
        <v>369</v>
      </c>
      <c r="F5639" s="12" t="s">
        <v>370</v>
      </c>
      <c r="G5639" s="12" t="s">
        <v>29</v>
      </c>
      <c r="H5639" s="11" t="s">
        <v>63</v>
      </c>
      <c r="I5639" s="13" t="s">
        <v>12344</v>
      </c>
      <c r="J5639" s="14" t="str">
        <f>HYPERLINK("https://www.boe.es/gazeta/dias/1839/11/01/pdfs/GMD-1839-1818.pdf#page=1","Abrir facsímil")</f>
        <v>Abrir facsímil</v>
      </c>
      <c r="K5639" s="12" t="s">
        <v>65</v>
      </c>
    </row>
    <row r="5640" spans="1:11" ht="40.049999999999997" customHeight="1" x14ac:dyDescent="0.25">
      <c r="A5640" s="11" t="s">
        <v>12340</v>
      </c>
      <c r="B5640" s="11" t="s">
        <v>12341</v>
      </c>
      <c r="C5640" s="11" t="s">
        <v>17</v>
      </c>
      <c r="D5640" s="11" t="s">
        <v>18</v>
      </c>
      <c r="E5640" s="12" t="s">
        <v>7860</v>
      </c>
      <c r="F5640" s="12" t="s">
        <v>7861</v>
      </c>
      <c r="G5640" s="12" t="s">
        <v>21</v>
      </c>
      <c r="H5640" s="11" t="s">
        <v>63</v>
      </c>
      <c r="I5640" s="13" t="s">
        <v>12345</v>
      </c>
      <c r="J5640" s="14" t="str">
        <f>HYPERLINK("https://www.boe.es/gazeta/dias/1839/03/04/pdfs/GMD-1839-1570.pdf#page=4","Abrir facsímil")</f>
        <v>Abrir facsímil</v>
      </c>
      <c r="K5640" s="12" t="s">
        <v>65</v>
      </c>
    </row>
    <row r="5641" spans="1:11" ht="40.049999999999997" customHeight="1" x14ac:dyDescent="0.25">
      <c r="A5641" s="11" t="s">
        <v>12340</v>
      </c>
      <c r="B5641" s="11" t="s">
        <v>12341</v>
      </c>
      <c r="C5641" s="11" t="s">
        <v>101</v>
      </c>
      <c r="D5641" s="11" t="s">
        <v>43</v>
      </c>
      <c r="E5641" s="12" t="s">
        <v>848</v>
      </c>
      <c r="F5641" s="12" t="s">
        <v>849</v>
      </c>
      <c r="G5641" s="12" t="s">
        <v>29</v>
      </c>
      <c r="H5641" s="11" t="s">
        <v>63</v>
      </c>
      <c r="I5641" s="13" t="s">
        <v>12346</v>
      </c>
      <c r="J5641" s="14" t="str">
        <f>HYPERLINK("https://www.boe.es/gazeta/dias/1839/08/04/pdfs/GMD-1839-1724.pdf#page=1","Abrir facsímil")</f>
        <v>Abrir facsímil</v>
      </c>
      <c r="K5641" s="12" t="s">
        <v>65</v>
      </c>
    </row>
    <row r="5642" spans="1:11" ht="40.049999999999997" customHeight="1" x14ac:dyDescent="0.25">
      <c r="A5642" s="11" t="s">
        <v>12340</v>
      </c>
      <c r="B5642" s="11" t="s">
        <v>12341</v>
      </c>
      <c r="C5642" s="11" t="s">
        <v>17</v>
      </c>
      <c r="D5642" s="11" t="s">
        <v>18</v>
      </c>
      <c r="E5642" s="12" t="s">
        <v>2227</v>
      </c>
      <c r="F5642" s="12" t="s">
        <v>2228</v>
      </c>
      <c r="G5642" s="12" t="s">
        <v>40</v>
      </c>
      <c r="H5642" s="11" t="s">
        <v>63</v>
      </c>
      <c r="I5642" s="13" t="s">
        <v>12347</v>
      </c>
      <c r="J5642" s="14" t="str">
        <f>HYPERLINK("https://www.boe.es/gazeta/dias/1839/12/04/pdfs/GMD-1839-1851.pdf#page=2","Abrir facsímil")</f>
        <v>Abrir facsímil</v>
      </c>
      <c r="K5642" s="12" t="s">
        <v>65</v>
      </c>
    </row>
    <row r="5643" spans="1:11" ht="40.049999999999997" customHeight="1" x14ac:dyDescent="0.25">
      <c r="A5643" s="11" t="s">
        <v>12340</v>
      </c>
      <c r="B5643" s="11" t="s">
        <v>12341</v>
      </c>
      <c r="C5643" s="11" t="s">
        <v>17</v>
      </c>
      <c r="D5643" s="11" t="s">
        <v>18</v>
      </c>
      <c r="E5643" s="12" t="s">
        <v>1467</v>
      </c>
      <c r="F5643" s="12" t="s">
        <v>1468</v>
      </c>
      <c r="G5643" s="12" t="s">
        <v>40</v>
      </c>
      <c r="H5643" s="11" t="s">
        <v>63</v>
      </c>
      <c r="I5643" s="13" t="s">
        <v>12348</v>
      </c>
      <c r="J5643" s="14" t="str">
        <f>HYPERLINK("https://www.boe.es/gazeta/dias/1839/03/05/pdfs/GMD-1839-1571.pdf#page=2","Abrir facsímil")</f>
        <v>Abrir facsímil</v>
      </c>
      <c r="K5643" s="12" t="s">
        <v>65</v>
      </c>
    </row>
    <row r="5644" spans="1:11" ht="40.049999999999997" customHeight="1" x14ac:dyDescent="0.25">
      <c r="A5644" s="11" t="s">
        <v>12340</v>
      </c>
      <c r="B5644" s="11" t="s">
        <v>12341</v>
      </c>
      <c r="C5644" s="11" t="s">
        <v>101</v>
      </c>
      <c r="D5644" s="11" t="s">
        <v>43</v>
      </c>
      <c r="E5644" s="12" t="s">
        <v>1467</v>
      </c>
      <c r="F5644" s="12" t="s">
        <v>1468</v>
      </c>
      <c r="G5644" s="12" t="s">
        <v>46</v>
      </c>
      <c r="H5644" s="11" t="s">
        <v>63</v>
      </c>
      <c r="I5644" s="13" t="s">
        <v>12349</v>
      </c>
      <c r="J5644" s="14" t="str">
        <f>HYPERLINK("https://www.boe.es/gazeta/dias/1839/03/05/pdfs/GMD-1839-1571.pdf#page=3","Abrir facsímil")</f>
        <v>Abrir facsímil</v>
      </c>
      <c r="K5644" s="12" t="s">
        <v>65</v>
      </c>
    </row>
    <row r="5645" spans="1:11" ht="40.049999999999997" customHeight="1" x14ac:dyDescent="0.25">
      <c r="A5645" s="11" t="s">
        <v>12340</v>
      </c>
      <c r="B5645" s="11" t="s">
        <v>12341</v>
      </c>
      <c r="C5645" s="11" t="s">
        <v>17</v>
      </c>
      <c r="D5645" s="11" t="s">
        <v>18</v>
      </c>
      <c r="E5645" s="12" t="s">
        <v>1340</v>
      </c>
      <c r="F5645" s="12" t="s">
        <v>1341</v>
      </c>
      <c r="G5645" s="12" t="s">
        <v>40</v>
      </c>
      <c r="H5645" s="11" t="s">
        <v>63</v>
      </c>
      <c r="I5645" s="13" t="s">
        <v>12350</v>
      </c>
      <c r="J5645" s="14" t="str">
        <f>HYPERLINK("https://www.boe.es/gazeta/dias/1839/05/05/pdfs/GMD-1839-1632.pdf#page=2","Abrir facsímil")</f>
        <v>Abrir facsímil</v>
      </c>
      <c r="K5645" s="12" t="s">
        <v>65</v>
      </c>
    </row>
    <row r="5646" spans="1:11" ht="40.049999999999997" customHeight="1" x14ac:dyDescent="0.25">
      <c r="A5646" s="11" t="s">
        <v>12340</v>
      </c>
      <c r="B5646" s="11" t="s">
        <v>12341</v>
      </c>
      <c r="C5646" s="11" t="s">
        <v>101</v>
      </c>
      <c r="D5646" s="11" t="s">
        <v>102</v>
      </c>
      <c r="E5646" s="12" t="s">
        <v>503</v>
      </c>
      <c r="F5646" s="12" t="s">
        <v>504</v>
      </c>
      <c r="G5646" s="12" t="s">
        <v>46</v>
      </c>
      <c r="H5646" s="11" t="s">
        <v>63</v>
      </c>
      <c r="I5646" s="13" t="s">
        <v>12351</v>
      </c>
      <c r="J5646" s="14" t="str">
        <f>HYPERLINK("https://www.boe.es/gazeta/dias/1839/06/07/pdfs/GMD-1839-1665.pdf#page=3","Abrir facsímil")</f>
        <v>Abrir facsímil</v>
      </c>
      <c r="K5646" s="12" t="s">
        <v>65</v>
      </c>
    </row>
    <row r="5647" spans="1:11" ht="40.049999999999997" customHeight="1" x14ac:dyDescent="0.25">
      <c r="A5647" s="11" t="s">
        <v>12340</v>
      </c>
      <c r="B5647" s="11" t="s">
        <v>12341</v>
      </c>
      <c r="C5647" s="11" t="s">
        <v>17</v>
      </c>
      <c r="D5647" s="11" t="s">
        <v>18</v>
      </c>
      <c r="E5647" s="12" t="s">
        <v>1479</v>
      </c>
      <c r="F5647" s="12" t="s">
        <v>1480</v>
      </c>
      <c r="G5647" s="12" t="s">
        <v>40</v>
      </c>
      <c r="H5647" s="11" t="s">
        <v>63</v>
      </c>
      <c r="I5647" s="13" t="s">
        <v>12352</v>
      </c>
      <c r="J5647" s="14" t="str">
        <f>HYPERLINK("https://www.boe.es/gazeta/dias/1839/04/09/pdfs/GMD-1839-1606.pdf#page=2","Abrir facsímil")</f>
        <v>Abrir facsímil</v>
      </c>
      <c r="K5647" s="12" t="s">
        <v>65</v>
      </c>
    </row>
    <row r="5648" spans="1:11" ht="40.049999999999997" customHeight="1" x14ac:dyDescent="0.25">
      <c r="A5648" s="11" t="s">
        <v>12340</v>
      </c>
      <c r="B5648" s="11" t="s">
        <v>12341</v>
      </c>
      <c r="C5648" s="11" t="s">
        <v>17</v>
      </c>
      <c r="D5648" s="11" t="s">
        <v>18</v>
      </c>
      <c r="E5648" s="12" t="s">
        <v>782</v>
      </c>
      <c r="F5648" s="12" t="s">
        <v>783</v>
      </c>
      <c r="G5648" s="12" t="s">
        <v>29</v>
      </c>
      <c r="H5648" s="11" t="s">
        <v>63</v>
      </c>
      <c r="I5648" s="13" t="s">
        <v>12353</v>
      </c>
      <c r="J5648" s="14" t="str">
        <f>HYPERLINK("https://www.boe.es/gazeta/dias/1839/05/09/pdfs/GMD-1839-1636.pdf#page=1","Abrir facsímil")</f>
        <v>Abrir facsímil</v>
      </c>
      <c r="K5648" s="12" t="s">
        <v>65</v>
      </c>
    </row>
    <row r="5649" spans="1:11" ht="40.049999999999997" customHeight="1" x14ac:dyDescent="0.25">
      <c r="A5649" s="11" t="s">
        <v>12340</v>
      </c>
      <c r="B5649" s="11" t="s">
        <v>12341</v>
      </c>
      <c r="C5649" s="11" t="s">
        <v>59</v>
      </c>
      <c r="D5649" s="11" t="s">
        <v>60</v>
      </c>
      <c r="E5649" s="12" t="s">
        <v>4186</v>
      </c>
      <c r="F5649" s="12" t="s">
        <v>4187</v>
      </c>
      <c r="G5649" s="12" t="s">
        <v>46</v>
      </c>
      <c r="H5649" s="11" t="s">
        <v>63</v>
      </c>
      <c r="I5649" s="13" t="s">
        <v>12354</v>
      </c>
      <c r="J5649" s="14" t="str">
        <f>HYPERLINK("https://www.boe.es/gazeta/dias/1839/12/12/pdfs/GMD-1839-1859.pdf#page=3","Abrir facsímil")</f>
        <v>Abrir facsímil</v>
      </c>
      <c r="K5649" s="12" t="s">
        <v>65</v>
      </c>
    </row>
    <row r="5650" spans="1:11" ht="40.049999999999997" customHeight="1" x14ac:dyDescent="0.25">
      <c r="A5650" s="11" t="s">
        <v>12340</v>
      </c>
      <c r="B5650" s="11" t="s">
        <v>12341</v>
      </c>
      <c r="C5650" s="11" t="s">
        <v>101</v>
      </c>
      <c r="D5650" s="11" t="s">
        <v>43</v>
      </c>
      <c r="E5650" s="12" t="s">
        <v>76</v>
      </c>
      <c r="F5650" s="12" t="s">
        <v>77</v>
      </c>
      <c r="G5650" s="12" t="s">
        <v>40</v>
      </c>
      <c r="H5650" s="11" t="s">
        <v>63</v>
      </c>
      <c r="I5650" s="13" t="s">
        <v>12355</v>
      </c>
      <c r="J5650" s="14" t="str">
        <f>HYPERLINK("https://www.boe.es/gazeta/dias/1839/03/13/pdfs/GMD-1839-1579.pdf#page=2","Abrir facsímil")</f>
        <v>Abrir facsímil</v>
      </c>
      <c r="K5650" s="12" t="s">
        <v>65</v>
      </c>
    </row>
    <row r="5651" spans="1:11" ht="40.049999999999997" customHeight="1" x14ac:dyDescent="0.25">
      <c r="A5651" s="11" t="s">
        <v>12340</v>
      </c>
      <c r="B5651" s="11" t="s">
        <v>12341</v>
      </c>
      <c r="C5651" s="11" t="s">
        <v>101</v>
      </c>
      <c r="D5651" s="11" t="s">
        <v>43</v>
      </c>
      <c r="E5651" s="12" t="s">
        <v>903</v>
      </c>
      <c r="F5651" s="12" t="s">
        <v>904</v>
      </c>
      <c r="G5651" s="12" t="s">
        <v>46</v>
      </c>
      <c r="H5651" s="11" t="s">
        <v>63</v>
      </c>
      <c r="I5651" s="13" t="s">
        <v>12356</v>
      </c>
      <c r="J5651" s="14" t="str">
        <f>HYPERLINK("https://www.boe.es/gazeta/dias/1839/03/14/pdfs/GMD-1839-1580.pdf#page=3","Abrir facsímil")</f>
        <v>Abrir facsímil</v>
      </c>
      <c r="K5651" s="12" t="s">
        <v>65</v>
      </c>
    </row>
    <row r="5652" spans="1:11" ht="40.049999999999997" customHeight="1" x14ac:dyDescent="0.25">
      <c r="A5652" s="11" t="s">
        <v>12340</v>
      </c>
      <c r="B5652" s="11" t="s">
        <v>12341</v>
      </c>
      <c r="C5652" s="11" t="s">
        <v>17</v>
      </c>
      <c r="D5652" s="11" t="s">
        <v>18</v>
      </c>
      <c r="E5652" s="12" t="s">
        <v>336</v>
      </c>
      <c r="F5652" s="12" t="s">
        <v>337</v>
      </c>
      <c r="G5652" s="12" t="s">
        <v>40</v>
      </c>
      <c r="H5652" s="11" t="s">
        <v>63</v>
      </c>
      <c r="I5652" s="13" t="s">
        <v>12357</v>
      </c>
      <c r="J5652" s="14" t="str">
        <f>HYPERLINK("https://www.boe.es/gazeta/dias/1839/07/14/pdfs/GMD-1839-1702.pdf#page=2","Abrir facsímil")</f>
        <v>Abrir facsímil</v>
      </c>
      <c r="K5652" s="12" t="s">
        <v>65</v>
      </c>
    </row>
    <row r="5653" spans="1:11" ht="40.049999999999997" customHeight="1" x14ac:dyDescent="0.25">
      <c r="A5653" s="11" t="s">
        <v>12340</v>
      </c>
      <c r="B5653" s="11" t="s">
        <v>12341</v>
      </c>
      <c r="C5653" s="11" t="s">
        <v>101</v>
      </c>
      <c r="D5653" s="11" t="s">
        <v>102</v>
      </c>
      <c r="E5653" s="12" t="s">
        <v>1139</v>
      </c>
      <c r="F5653" s="12" t="s">
        <v>1140</v>
      </c>
      <c r="G5653" s="12" t="s">
        <v>29</v>
      </c>
      <c r="H5653" s="11" t="s">
        <v>63</v>
      </c>
      <c r="I5653" s="13" t="s">
        <v>12358</v>
      </c>
      <c r="J5653" s="14" t="str">
        <f>HYPERLINK("https://www.boe.es/gazeta/dias/1839/02/15/pdfs/GMD-1839-1553.pdf#page=1","Abrir facsímil")</f>
        <v>Abrir facsímil</v>
      </c>
      <c r="K5653" s="12" t="s">
        <v>65</v>
      </c>
    </row>
    <row r="5654" spans="1:11" ht="40.049999999999997" customHeight="1" x14ac:dyDescent="0.25">
      <c r="A5654" s="11" t="s">
        <v>12340</v>
      </c>
      <c r="B5654" s="11" t="s">
        <v>12341</v>
      </c>
      <c r="C5654" s="11" t="s">
        <v>17</v>
      </c>
      <c r="D5654" s="11" t="s">
        <v>18</v>
      </c>
      <c r="E5654" s="12" t="s">
        <v>1644</v>
      </c>
      <c r="F5654" s="12" t="s">
        <v>1645</v>
      </c>
      <c r="G5654" s="12" t="s">
        <v>40</v>
      </c>
      <c r="H5654" s="11" t="s">
        <v>63</v>
      </c>
      <c r="I5654" s="13" t="s">
        <v>12359</v>
      </c>
      <c r="J5654" s="14" t="str">
        <f>HYPERLINK("https://www.boe.es/gazeta/dias/1839/04/16/pdfs/GMD-1839-1613.pdf#page=2","Abrir facsímil")</f>
        <v>Abrir facsímil</v>
      </c>
      <c r="K5654" s="12" t="s">
        <v>65</v>
      </c>
    </row>
    <row r="5655" spans="1:11" ht="40.049999999999997" customHeight="1" x14ac:dyDescent="0.25">
      <c r="A5655" s="11" t="s">
        <v>12340</v>
      </c>
      <c r="B5655" s="11" t="s">
        <v>12341</v>
      </c>
      <c r="C5655" s="11" t="s">
        <v>137</v>
      </c>
      <c r="D5655" s="11" t="s">
        <v>18</v>
      </c>
      <c r="E5655" s="12" t="s">
        <v>1301</v>
      </c>
      <c r="F5655" s="12" t="s">
        <v>1302</v>
      </c>
      <c r="G5655" s="12" t="s">
        <v>40</v>
      </c>
      <c r="H5655" s="11" t="s">
        <v>63</v>
      </c>
      <c r="I5655" s="13" t="s">
        <v>12360</v>
      </c>
      <c r="J5655" s="14" t="str">
        <f>HYPERLINK("https://www.boe.es/gazeta/dias/1839/11/16/pdfs/GMD-1839-1833.pdf#page=2","Abrir facsímil")</f>
        <v>Abrir facsímil</v>
      </c>
      <c r="K5655" s="12" t="s">
        <v>65</v>
      </c>
    </row>
    <row r="5656" spans="1:11" ht="40.049999999999997" customHeight="1" x14ac:dyDescent="0.25">
      <c r="A5656" s="11" t="s">
        <v>12340</v>
      </c>
      <c r="B5656" s="11" t="s">
        <v>12341</v>
      </c>
      <c r="C5656" s="11" t="s">
        <v>137</v>
      </c>
      <c r="D5656" s="11" t="s">
        <v>18</v>
      </c>
      <c r="E5656" s="12" t="s">
        <v>1406</v>
      </c>
      <c r="F5656" s="12" t="s">
        <v>1407</v>
      </c>
      <c r="G5656" s="12" t="s">
        <v>29</v>
      </c>
      <c r="H5656" s="11" t="s">
        <v>63</v>
      </c>
      <c r="I5656" s="13" t="s">
        <v>12361</v>
      </c>
      <c r="J5656" s="14" t="str">
        <f>HYPERLINK("https://www.boe.es/gazeta/dias/1839/07/18/pdfs/GMD-1839-1706.pdf#page=1","Abrir facsímil")</f>
        <v>Abrir facsímil</v>
      </c>
      <c r="K5656" s="12" t="s">
        <v>65</v>
      </c>
    </row>
    <row r="5657" spans="1:11" ht="40.049999999999997" customHeight="1" x14ac:dyDescent="0.25">
      <c r="A5657" s="11" t="s">
        <v>12340</v>
      </c>
      <c r="B5657" s="11" t="s">
        <v>12341</v>
      </c>
      <c r="C5657" s="11" t="s">
        <v>137</v>
      </c>
      <c r="D5657" s="11" t="s">
        <v>18</v>
      </c>
      <c r="E5657" s="12" t="s">
        <v>483</v>
      </c>
      <c r="F5657" s="12" t="s">
        <v>484</v>
      </c>
      <c r="G5657" s="12" t="s">
        <v>40</v>
      </c>
      <c r="H5657" s="11" t="s">
        <v>63</v>
      </c>
      <c r="I5657" s="13" t="s">
        <v>12362</v>
      </c>
      <c r="J5657" s="14" t="str">
        <f>HYPERLINK("https://www.boe.es/gazeta/dias/1839/11/18/pdfs/GMD-1839-1835.pdf#page=2","Abrir facsímil")</f>
        <v>Abrir facsímil</v>
      </c>
      <c r="K5657" s="12" t="s">
        <v>65</v>
      </c>
    </row>
    <row r="5658" spans="1:11" ht="40.049999999999997" customHeight="1" x14ac:dyDescent="0.25">
      <c r="A5658" s="11" t="s">
        <v>12340</v>
      </c>
      <c r="B5658" s="11" t="s">
        <v>12341</v>
      </c>
      <c r="C5658" s="11" t="s">
        <v>59</v>
      </c>
      <c r="D5658" s="11" t="s">
        <v>60</v>
      </c>
      <c r="E5658" s="12" t="s">
        <v>1076</v>
      </c>
      <c r="F5658" s="12" t="s">
        <v>1077</v>
      </c>
      <c r="G5658" s="12" t="s">
        <v>29</v>
      </c>
      <c r="H5658" s="11" t="s">
        <v>63</v>
      </c>
      <c r="I5658" s="13" t="s">
        <v>12363</v>
      </c>
      <c r="J5658" s="14" t="str">
        <f>HYPERLINK("https://www.boe.es/gazeta/dias/1839/10/19/pdfs/GMD-1839-1805.pdf#page=1","Abrir facsímil")</f>
        <v>Abrir facsímil</v>
      </c>
      <c r="K5658" s="12" t="s">
        <v>65</v>
      </c>
    </row>
    <row r="5659" spans="1:11" ht="40.049999999999997" customHeight="1" x14ac:dyDescent="0.25">
      <c r="A5659" s="11" t="s">
        <v>12340</v>
      </c>
      <c r="B5659" s="11" t="s">
        <v>12341</v>
      </c>
      <c r="C5659" s="11" t="s">
        <v>80</v>
      </c>
      <c r="D5659" s="11" t="s">
        <v>18</v>
      </c>
      <c r="E5659" s="12" t="s">
        <v>643</v>
      </c>
      <c r="F5659" s="12" t="s">
        <v>644</v>
      </c>
      <c r="G5659" s="12" t="s">
        <v>40</v>
      </c>
      <c r="H5659" s="11" t="s">
        <v>63</v>
      </c>
      <c r="I5659" s="13" t="s">
        <v>12364</v>
      </c>
      <c r="J5659" s="14" t="str">
        <f>HYPERLINK("https://www.boe.es/gazeta/dias/1839/03/20/pdfs/GMD-1839-1586.pdf#page=2","Abrir facsímil")</f>
        <v>Abrir facsímil</v>
      </c>
      <c r="K5659" s="12" t="s">
        <v>65</v>
      </c>
    </row>
    <row r="5660" spans="1:11" ht="40.049999999999997" customHeight="1" x14ac:dyDescent="0.25">
      <c r="A5660" s="11" t="s">
        <v>12340</v>
      </c>
      <c r="B5660" s="11" t="s">
        <v>12341</v>
      </c>
      <c r="C5660" s="11" t="s">
        <v>101</v>
      </c>
      <c r="D5660" s="11" t="s">
        <v>102</v>
      </c>
      <c r="E5660" s="12" t="s">
        <v>469</v>
      </c>
      <c r="F5660" s="12" t="s">
        <v>470</v>
      </c>
      <c r="G5660" s="12" t="s">
        <v>40</v>
      </c>
      <c r="H5660" s="11" t="s">
        <v>63</v>
      </c>
      <c r="I5660" s="13" t="s">
        <v>12365</v>
      </c>
      <c r="J5660" s="14" t="str">
        <f>HYPERLINK("https://www.boe.es/gazeta/dias/1839/08/20/pdfs/GMD-1839-1741.pdf#page=2","Abrir facsímil")</f>
        <v>Abrir facsímil</v>
      </c>
      <c r="K5660" s="12" t="s">
        <v>65</v>
      </c>
    </row>
    <row r="5661" spans="1:11" ht="40.049999999999997" customHeight="1" x14ac:dyDescent="0.25">
      <c r="A5661" s="11" t="s">
        <v>12340</v>
      </c>
      <c r="B5661" s="11" t="s">
        <v>12341</v>
      </c>
      <c r="C5661" s="11" t="s">
        <v>17</v>
      </c>
      <c r="D5661" s="11" t="s">
        <v>18</v>
      </c>
      <c r="E5661" s="12" t="s">
        <v>7119</v>
      </c>
      <c r="F5661" s="12" t="s">
        <v>7120</v>
      </c>
      <c r="G5661" s="12" t="s">
        <v>46</v>
      </c>
      <c r="H5661" s="11" t="s">
        <v>63</v>
      </c>
      <c r="I5661" s="13" t="s">
        <v>12366</v>
      </c>
      <c r="J5661" s="14" t="str">
        <f>HYPERLINK("https://www.boe.es/gazeta/dias/1839/05/22/pdfs/GMD-1839-1649.pdf#page=3","Abrir facsímil")</f>
        <v>Abrir facsímil</v>
      </c>
      <c r="K5661" s="12" t="s">
        <v>65</v>
      </c>
    </row>
    <row r="5662" spans="1:11" ht="40.049999999999997" customHeight="1" x14ac:dyDescent="0.25">
      <c r="A5662" s="11" t="s">
        <v>12340</v>
      </c>
      <c r="B5662" s="11" t="s">
        <v>12341</v>
      </c>
      <c r="C5662" s="11" t="s">
        <v>137</v>
      </c>
      <c r="D5662" s="11" t="s">
        <v>18</v>
      </c>
      <c r="E5662" s="12" t="s">
        <v>2415</v>
      </c>
      <c r="F5662" s="12" t="s">
        <v>2416</v>
      </c>
      <c r="G5662" s="12" t="s">
        <v>29</v>
      </c>
      <c r="H5662" s="11" t="s">
        <v>63</v>
      </c>
      <c r="I5662" s="13" t="s">
        <v>12367</v>
      </c>
      <c r="J5662" s="14" t="str">
        <f>HYPERLINK("https://www.boe.es/gazeta/dias/1839/12/22/pdfs/GMD-1839-1869.pdf#page=1","Abrir facsímil")</f>
        <v>Abrir facsímil</v>
      </c>
      <c r="K5662" s="12" t="s">
        <v>65</v>
      </c>
    </row>
    <row r="5663" spans="1:11" ht="40.049999999999997" customHeight="1" x14ac:dyDescent="0.25">
      <c r="A5663" s="11" t="s">
        <v>12340</v>
      </c>
      <c r="B5663" s="11" t="s">
        <v>12341</v>
      </c>
      <c r="C5663" s="11" t="s">
        <v>17</v>
      </c>
      <c r="D5663" s="11" t="s">
        <v>18</v>
      </c>
      <c r="E5663" s="12" t="s">
        <v>4108</v>
      </c>
      <c r="F5663" s="12" t="s">
        <v>4109</v>
      </c>
      <c r="G5663" s="12" t="s">
        <v>46</v>
      </c>
      <c r="H5663" s="11" t="s">
        <v>63</v>
      </c>
      <c r="I5663" s="13" t="s">
        <v>12368</v>
      </c>
      <c r="J5663" s="14" t="str">
        <f>HYPERLINK("https://www.boe.es/gazeta/dias/1839/03/23/pdfs/GMD-1839-1589.pdf#page=3","Abrir facsímil")</f>
        <v>Abrir facsímil</v>
      </c>
      <c r="K5663" s="12" t="s">
        <v>65</v>
      </c>
    </row>
    <row r="5664" spans="1:11" ht="40.049999999999997" customHeight="1" x14ac:dyDescent="0.25">
      <c r="A5664" s="11" t="s">
        <v>12340</v>
      </c>
      <c r="B5664" s="11" t="s">
        <v>12341</v>
      </c>
      <c r="C5664" s="11" t="s">
        <v>17</v>
      </c>
      <c r="D5664" s="11" t="s">
        <v>18</v>
      </c>
      <c r="E5664" s="12" t="s">
        <v>2117</v>
      </c>
      <c r="F5664" s="12" t="s">
        <v>2118</v>
      </c>
      <c r="G5664" s="12" t="s">
        <v>46</v>
      </c>
      <c r="H5664" s="11" t="s">
        <v>63</v>
      </c>
      <c r="I5664" s="13" t="s">
        <v>12369</v>
      </c>
      <c r="J5664" s="14" t="str">
        <f>HYPERLINK("https://www.boe.es/gazeta/dias/1839/06/23/pdfs/GMD-1839-1681.pdf#page=3","Abrir facsímil")</f>
        <v>Abrir facsímil</v>
      </c>
      <c r="K5664" s="12" t="s">
        <v>65</v>
      </c>
    </row>
    <row r="5665" spans="1:11" ht="40.049999999999997" customHeight="1" x14ac:dyDescent="0.25">
      <c r="A5665" s="11" t="s">
        <v>12340</v>
      </c>
      <c r="B5665" s="11" t="s">
        <v>12341</v>
      </c>
      <c r="C5665" s="11" t="s">
        <v>17</v>
      </c>
      <c r="D5665" s="11" t="s">
        <v>18</v>
      </c>
      <c r="E5665" s="12" t="s">
        <v>2435</v>
      </c>
      <c r="F5665" s="12" t="s">
        <v>2436</v>
      </c>
      <c r="G5665" s="12" t="s">
        <v>40</v>
      </c>
      <c r="H5665" s="11" t="s">
        <v>63</v>
      </c>
      <c r="I5665" s="13" t="s">
        <v>12370</v>
      </c>
      <c r="J5665" s="14" t="str">
        <f>HYPERLINK("https://www.boe.es/gazeta/dias/1839/07/24/pdfs/GMD-1839-1713.pdf#page=2","Abrir facsímil")</f>
        <v>Abrir facsímil</v>
      </c>
      <c r="K5665" s="12" t="s">
        <v>65</v>
      </c>
    </row>
    <row r="5666" spans="1:11" ht="40.049999999999997" customHeight="1" x14ac:dyDescent="0.25">
      <c r="A5666" s="11" t="s">
        <v>12340</v>
      </c>
      <c r="B5666" s="11" t="s">
        <v>12341</v>
      </c>
      <c r="C5666" s="11" t="s">
        <v>101</v>
      </c>
      <c r="D5666" s="11" t="s">
        <v>43</v>
      </c>
      <c r="E5666" s="12" t="s">
        <v>4047</v>
      </c>
      <c r="F5666" s="12" t="s">
        <v>4048</v>
      </c>
      <c r="G5666" s="12" t="s">
        <v>46</v>
      </c>
      <c r="H5666" s="11" t="s">
        <v>63</v>
      </c>
      <c r="I5666" s="13" t="s">
        <v>12371</v>
      </c>
      <c r="J5666" s="14" t="str">
        <f>HYPERLINK("https://www.boe.es/gazeta/dias/1839/03/26/pdfs/GMD-1839-1592.pdf#page=3","Abrir facsímil")</f>
        <v>Abrir facsímil</v>
      </c>
      <c r="K5666" s="12" t="s">
        <v>65</v>
      </c>
    </row>
    <row r="5667" spans="1:11" ht="40.049999999999997" customHeight="1" x14ac:dyDescent="0.25">
      <c r="A5667" s="11" t="s">
        <v>12340</v>
      </c>
      <c r="B5667" s="11" t="s">
        <v>12341</v>
      </c>
      <c r="C5667" s="11" t="s">
        <v>80</v>
      </c>
      <c r="D5667" s="11" t="s">
        <v>18</v>
      </c>
      <c r="E5667" s="12" t="s">
        <v>522</v>
      </c>
      <c r="F5667" s="12" t="s">
        <v>523</v>
      </c>
      <c r="G5667" s="12" t="s">
        <v>40</v>
      </c>
      <c r="H5667" s="11" t="s">
        <v>63</v>
      </c>
      <c r="I5667" s="13" t="s">
        <v>12372</v>
      </c>
      <c r="J5667" s="14" t="str">
        <f>HYPERLINK("https://www.boe.es/gazeta/dias/1839/08/27/pdfs/GMD-1839-1748.pdf#page=2","Abrir facsímil")</f>
        <v>Abrir facsímil</v>
      </c>
      <c r="K5667" s="12" t="s">
        <v>65</v>
      </c>
    </row>
    <row r="5668" spans="1:11" ht="40.049999999999997" customHeight="1" x14ac:dyDescent="0.25">
      <c r="A5668" s="11" t="s">
        <v>12340</v>
      </c>
      <c r="B5668" s="11" t="s">
        <v>12341</v>
      </c>
      <c r="C5668" s="11" t="s">
        <v>137</v>
      </c>
      <c r="D5668" s="11" t="s">
        <v>18</v>
      </c>
      <c r="E5668" s="12" t="s">
        <v>355</v>
      </c>
      <c r="F5668" s="12" t="s">
        <v>356</v>
      </c>
      <c r="G5668" s="12" t="s">
        <v>21</v>
      </c>
      <c r="H5668" s="11" t="s">
        <v>63</v>
      </c>
      <c r="I5668" s="13" t="s">
        <v>12373</v>
      </c>
      <c r="J5668" s="14" t="str">
        <f>HYPERLINK("https://www.boe.es/gazeta/dias/1839/05/31/pdfs/GMD-1839-1658.pdf#page=4","Abrir facsímil")</f>
        <v>Abrir facsímil</v>
      </c>
      <c r="K5668" s="12" t="s">
        <v>65</v>
      </c>
    </row>
    <row r="5669" spans="1:11" ht="40.049999999999997" customHeight="1" x14ac:dyDescent="0.25">
      <c r="A5669" s="11" t="s">
        <v>12374</v>
      </c>
      <c r="B5669" s="11" t="s">
        <v>12375</v>
      </c>
      <c r="C5669" s="11" t="s">
        <v>137</v>
      </c>
      <c r="D5669" s="11" t="s">
        <v>18</v>
      </c>
      <c r="E5669" s="12" t="s">
        <v>336</v>
      </c>
      <c r="F5669" s="12" t="s">
        <v>337</v>
      </c>
      <c r="G5669" s="12" t="s">
        <v>29</v>
      </c>
      <c r="H5669" s="11" t="s">
        <v>63</v>
      </c>
      <c r="I5669" s="13" t="s">
        <v>12376</v>
      </c>
      <c r="J5669" s="14" t="str">
        <f>HYPERLINK("https://www.boe.es/gazeta/dias/1839/07/14/pdfs/GMD-1839-1702.pdf#page=1","Abrir facsímil")</f>
        <v>Abrir facsímil</v>
      </c>
      <c r="K5669" s="12" t="s">
        <v>65</v>
      </c>
    </row>
    <row r="5670" spans="1:11" ht="40.049999999999997" customHeight="1" x14ac:dyDescent="0.25">
      <c r="A5670" s="11" t="s">
        <v>12377</v>
      </c>
      <c r="B5670" s="11" t="s">
        <v>12378</v>
      </c>
      <c r="C5670" s="11" t="s">
        <v>101</v>
      </c>
      <c r="D5670" s="11" t="s">
        <v>43</v>
      </c>
      <c r="E5670" s="12" t="s">
        <v>1648</v>
      </c>
      <c r="F5670" s="12" t="s">
        <v>1649</v>
      </c>
      <c r="G5670" s="12" t="s">
        <v>40</v>
      </c>
      <c r="H5670" s="11" t="s">
        <v>63</v>
      </c>
      <c r="I5670" s="13" t="s">
        <v>12379</v>
      </c>
      <c r="J5670" s="14" t="str">
        <f>HYPERLINK("https://www.boe.es/gazeta/dias/1839/08/18/pdfs/GMD-1839-1738.pdf#page=2","Abrir facsímil")</f>
        <v>Abrir facsímil</v>
      </c>
      <c r="K5670" s="12" t="s">
        <v>65</v>
      </c>
    </row>
    <row r="5671" spans="1:11" ht="40.049999999999997" customHeight="1" x14ac:dyDescent="0.25">
      <c r="A5671" s="11" t="s">
        <v>12380</v>
      </c>
      <c r="B5671" s="11" t="s">
        <v>12381</v>
      </c>
      <c r="C5671" s="11" t="s">
        <v>17</v>
      </c>
      <c r="D5671" s="11" t="s">
        <v>18</v>
      </c>
      <c r="E5671" s="12" t="s">
        <v>333</v>
      </c>
      <c r="F5671" s="12" t="s">
        <v>334</v>
      </c>
      <c r="G5671" s="12" t="s">
        <v>29</v>
      </c>
      <c r="H5671" s="11" t="s">
        <v>63</v>
      </c>
      <c r="I5671" s="13" t="s">
        <v>12382</v>
      </c>
      <c r="J5671" s="14" t="str">
        <f>HYPERLINK("https://www.boe.es/gazeta/dias/1839/06/11/pdfs/GMD-1839-1669.pdf#page=1","Abrir facsímil")</f>
        <v>Abrir facsímil</v>
      </c>
      <c r="K5671" s="12" t="s">
        <v>65</v>
      </c>
    </row>
    <row r="5672" spans="1:11" ht="40.049999999999997" customHeight="1" x14ac:dyDescent="0.25">
      <c r="A5672" s="11" t="s">
        <v>12383</v>
      </c>
      <c r="B5672" s="11" t="s">
        <v>12384</v>
      </c>
      <c r="C5672" s="11" t="s">
        <v>137</v>
      </c>
      <c r="D5672" s="11" t="s">
        <v>18</v>
      </c>
      <c r="E5672" s="12" t="s">
        <v>355</v>
      </c>
      <c r="F5672" s="12" t="s">
        <v>356</v>
      </c>
      <c r="G5672" s="12" t="s">
        <v>21</v>
      </c>
      <c r="H5672" s="11" t="s">
        <v>63</v>
      </c>
      <c r="I5672" s="13" t="s">
        <v>12385</v>
      </c>
      <c r="J5672" s="14" t="str">
        <f>HYPERLINK("https://www.boe.es/gazeta/dias/1839/05/31/pdfs/GMD-1839-1658.pdf#page=4","Abrir facsímil")</f>
        <v>Abrir facsímil</v>
      </c>
      <c r="K5672" s="12" t="s">
        <v>65</v>
      </c>
    </row>
    <row r="5673" spans="1:11" ht="40.049999999999997" customHeight="1" x14ac:dyDescent="0.25">
      <c r="A5673" s="11" t="s">
        <v>12386</v>
      </c>
      <c r="B5673" s="11" t="s">
        <v>12387</v>
      </c>
      <c r="C5673" s="11" t="s">
        <v>17</v>
      </c>
      <c r="D5673" s="11" t="s">
        <v>18</v>
      </c>
      <c r="E5673" s="12" t="s">
        <v>154</v>
      </c>
      <c r="F5673" s="12" t="s">
        <v>155</v>
      </c>
      <c r="G5673" s="12" t="s">
        <v>21</v>
      </c>
      <c r="H5673" s="11" t="s">
        <v>63</v>
      </c>
      <c r="I5673" s="13" t="s">
        <v>12388</v>
      </c>
      <c r="J5673" s="14" t="str">
        <f>HYPERLINK("https://www.boe.es/gazeta/dias/1839/02/02/pdfs/GMD-1839-1540.pdf#page=4","Abrir facsímil")</f>
        <v>Abrir facsímil</v>
      </c>
      <c r="K5673" s="12" t="s">
        <v>65</v>
      </c>
    </row>
    <row r="5674" spans="1:11" ht="40.049999999999997" customHeight="1" x14ac:dyDescent="0.25">
      <c r="A5674" s="11" t="s">
        <v>12389</v>
      </c>
      <c r="B5674" s="11" t="s">
        <v>12390</v>
      </c>
      <c r="C5674" s="11" t="s">
        <v>80</v>
      </c>
      <c r="D5674" s="11" t="s">
        <v>18</v>
      </c>
      <c r="E5674" s="12" t="s">
        <v>984</v>
      </c>
      <c r="F5674" s="12" t="s">
        <v>985</v>
      </c>
      <c r="G5674" s="12" t="s">
        <v>46</v>
      </c>
      <c r="H5674" s="11" t="s">
        <v>63</v>
      </c>
      <c r="I5674" s="13" t="s">
        <v>12391</v>
      </c>
      <c r="J5674" s="14" t="str">
        <f>HYPERLINK("https://www.boe.es/gazeta/dias/1839/04/10/pdfs/GMD-1839-1607.pdf#page=3","Abrir facsímil")</f>
        <v>Abrir facsímil</v>
      </c>
      <c r="K5674" s="12" t="s">
        <v>65</v>
      </c>
    </row>
    <row r="5675" spans="1:11" ht="40.049999999999997" customHeight="1" x14ac:dyDescent="0.25">
      <c r="A5675" s="11" t="s">
        <v>12392</v>
      </c>
      <c r="B5675" s="11" t="s">
        <v>12393</v>
      </c>
      <c r="C5675" s="11" t="s">
        <v>17</v>
      </c>
      <c r="D5675" s="11" t="s">
        <v>18</v>
      </c>
      <c r="E5675" s="12" t="s">
        <v>2738</v>
      </c>
      <c r="F5675" s="12" t="s">
        <v>2739</v>
      </c>
      <c r="G5675" s="12" t="s">
        <v>40</v>
      </c>
      <c r="H5675" s="11" t="s">
        <v>63</v>
      </c>
      <c r="I5675" s="13" t="s">
        <v>12394</v>
      </c>
      <c r="J5675" s="14" t="str">
        <f>HYPERLINK("https://www.boe.es/gazeta/dias/1839/09/06/pdfs/GMD-1839-1759.pdf#page=2","Abrir facsímil")</f>
        <v>Abrir facsímil</v>
      </c>
      <c r="K5675" s="12" t="s">
        <v>65</v>
      </c>
    </row>
    <row r="5676" spans="1:11" ht="40.049999999999997" customHeight="1" x14ac:dyDescent="0.25">
      <c r="A5676" s="11" t="s">
        <v>12395</v>
      </c>
      <c r="B5676" s="11" t="s">
        <v>12396</v>
      </c>
      <c r="C5676" s="11" t="s">
        <v>17</v>
      </c>
      <c r="D5676" s="11" t="s">
        <v>18</v>
      </c>
      <c r="E5676" s="12" t="s">
        <v>1008</v>
      </c>
      <c r="F5676" s="12" t="s">
        <v>1009</v>
      </c>
      <c r="G5676" s="12" t="s">
        <v>46</v>
      </c>
      <c r="H5676" s="11" t="s">
        <v>63</v>
      </c>
      <c r="I5676" s="13" t="s">
        <v>12397</v>
      </c>
      <c r="J5676" s="14" t="str">
        <f>HYPERLINK("https://www.boe.es/gazeta/dias/1839/09/07/pdfs/GMD-1839-1760.pdf#page=3","Abrir facsímil")</f>
        <v>Abrir facsímil</v>
      </c>
      <c r="K5676" s="12" t="s">
        <v>65</v>
      </c>
    </row>
    <row r="5677" spans="1:11" ht="40.049999999999997" customHeight="1" x14ac:dyDescent="0.25">
      <c r="A5677" s="11" t="s">
        <v>12392</v>
      </c>
      <c r="B5677" s="11" t="s">
        <v>12393</v>
      </c>
      <c r="C5677" s="11" t="s">
        <v>17</v>
      </c>
      <c r="D5677" s="11" t="s">
        <v>18</v>
      </c>
      <c r="E5677" s="12" t="s">
        <v>19</v>
      </c>
      <c r="F5677" s="12" t="s">
        <v>20</v>
      </c>
      <c r="G5677" s="12" t="s">
        <v>21</v>
      </c>
      <c r="H5677" s="11" t="s">
        <v>63</v>
      </c>
      <c r="I5677" s="13" t="s">
        <v>12398</v>
      </c>
      <c r="J5677" s="14" t="str">
        <f>HYPERLINK("https://www.boe.es/gazeta/dias/1839/01/19/pdfs/GMD-1839-1526.pdf#page=4","Abrir facsímil")</f>
        <v>Abrir facsímil</v>
      </c>
      <c r="K5677" s="12" t="s">
        <v>65</v>
      </c>
    </row>
    <row r="5678" spans="1:11" ht="40.049999999999997" customHeight="1" x14ac:dyDescent="0.25">
      <c r="A5678" s="11" t="s">
        <v>12399</v>
      </c>
      <c r="B5678" s="11" t="s">
        <v>12400</v>
      </c>
      <c r="C5678" s="11" t="s">
        <v>80</v>
      </c>
      <c r="D5678" s="11" t="s">
        <v>18</v>
      </c>
      <c r="E5678" s="12" t="s">
        <v>926</v>
      </c>
      <c r="F5678" s="12" t="s">
        <v>927</v>
      </c>
      <c r="G5678" s="12" t="s">
        <v>21</v>
      </c>
      <c r="H5678" s="11" t="s">
        <v>63</v>
      </c>
      <c r="I5678" s="13" t="s">
        <v>12401</v>
      </c>
      <c r="J5678" s="14" t="str">
        <f>HYPERLINK("https://www.boe.es/gazeta/dias/1839/01/25/pdfs/GMD-1839-1532.pdf#page=4","Abrir facsímil")</f>
        <v>Abrir facsímil</v>
      </c>
      <c r="K5678" s="12" t="s">
        <v>65</v>
      </c>
    </row>
    <row r="5679" spans="1:11" ht="40.049999999999997" customHeight="1" x14ac:dyDescent="0.25">
      <c r="A5679" s="11" t="s">
        <v>12402</v>
      </c>
      <c r="B5679" s="11" t="s">
        <v>12403</v>
      </c>
      <c r="C5679" s="11" t="s">
        <v>17</v>
      </c>
      <c r="D5679" s="11" t="s">
        <v>18</v>
      </c>
      <c r="E5679" s="12" t="s">
        <v>1988</v>
      </c>
      <c r="F5679" s="12" t="s">
        <v>1989</v>
      </c>
      <c r="G5679" s="12" t="s">
        <v>40</v>
      </c>
      <c r="H5679" s="11" t="s">
        <v>63</v>
      </c>
      <c r="I5679" s="13" t="s">
        <v>12404</v>
      </c>
      <c r="J5679" s="14" t="str">
        <f>HYPERLINK("https://www.boe.es/gazeta/dias/1839/10/29/pdfs/GMD-1839-1815.pdf#page=2","Abrir facsímil")</f>
        <v>Abrir facsímil</v>
      </c>
      <c r="K5679" s="12" t="s">
        <v>65</v>
      </c>
    </row>
    <row r="5680" spans="1:11" ht="40.049999999999997" customHeight="1" x14ac:dyDescent="0.25">
      <c r="A5680" s="11" t="s">
        <v>12405</v>
      </c>
      <c r="B5680" s="11" t="s">
        <v>12406</v>
      </c>
      <c r="C5680" s="11" t="s">
        <v>137</v>
      </c>
      <c r="D5680" s="11" t="s">
        <v>18</v>
      </c>
      <c r="E5680" s="12" t="s">
        <v>236</v>
      </c>
      <c r="F5680" s="12" t="s">
        <v>237</v>
      </c>
      <c r="G5680" s="12" t="s">
        <v>46</v>
      </c>
      <c r="H5680" s="11" t="s">
        <v>63</v>
      </c>
      <c r="I5680" s="13" t="s">
        <v>12407</v>
      </c>
      <c r="J5680" s="14" t="str">
        <f>HYPERLINK("https://www.boe.es/gazeta/dias/1839/09/18/pdfs/GMD-1839-1771.pdf#page=3","Abrir facsímil")</f>
        <v>Abrir facsímil</v>
      </c>
      <c r="K5680" s="12" t="s">
        <v>65</v>
      </c>
    </row>
    <row r="5681" spans="1:11" ht="40.049999999999997" customHeight="1" x14ac:dyDescent="0.25">
      <c r="A5681" s="11" t="s">
        <v>12408</v>
      </c>
      <c r="B5681" s="11" t="s">
        <v>12409</v>
      </c>
      <c r="C5681" s="11" t="s">
        <v>59</v>
      </c>
      <c r="D5681" s="11" t="s">
        <v>60</v>
      </c>
      <c r="E5681" s="12" t="s">
        <v>984</v>
      </c>
      <c r="F5681" s="12" t="s">
        <v>985</v>
      </c>
      <c r="G5681" s="12" t="s">
        <v>46</v>
      </c>
      <c r="H5681" s="11" t="s">
        <v>63</v>
      </c>
      <c r="I5681" s="13" t="s">
        <v>12410</v>
      </c>
      <c r="J5681" s="14" t="str">
        <f>HYPERLINK("https://www.boe.es/gazeta/dias/1839/04/10/pdfs/GMD-1839-1607.pdf#page=3","Abrir facsímil")</f>
        <v>Abrir facsímil</v>
      </c>
      <c r="K5681" s="12" t="s">
        <v>65</v>
      </c>
    </row>
    <row r="5682" spans="1:11" ht="40.049999999999997" customHeight="1" x14ac:dyDescent="0.25">
      <c r="A5682" s="11" t="s">
        <v>12408</v>
      </c>
      <c r="B5682" s="11" t="s">
        <v>12409</v>
      </c>
      <c r="C5682" s="11" t="s">
        <v>17</v>
      </c>
      <c r="D5682" s="11" t="s">
        <v>18</v>
      </c>
      <c r="E5682" s="12" t="s">
        <v>2215</v>
      </c>
      <c r="F5682" s="12" t="s">
        <v>2216</v>
      </c>
      <c r="G5682" s="12" t="s">
        <v>40</v>
      </c>
      <c r="H5682" s="11" t="s">
        <v>63</v>
      </c>
      <c r="I5682" s="13" t="s">
        <v>12411</v>
      </c>
      <c r="J5682" s="14" t="str">
        <f>HYPERLINK("https://www.boe.es/gazeta/dias/1839/07/21/pdfs/GMD-1839-1709.pdf#page=2","Abrir facsímil")</f>
        <v>Abrir facsímil</v>
      </c>
      <c r="K5682" s="12" t="s">
        <v>65</v>
      </c>
    </row>
    <row r="5683" spans="1:11" ht="40.049999999999997" customHeight="1" x14ac:dyDescent="0.25">
      <c r="A5683" s="11" t="s">
        <v>12412</v>
      </c>
      <c r="B5683" s="11" t="s">
        <v>12413</v>
      </c>
      <c r="C5683" s="11" t="s">
        <v>17</v>
      </c>
      <c r="D5683" s="11" t="s">
        <v>18</v>
      </c>
      <c r="E5683" s="12" t="s">
        <v>4186</v>
      </c>
      <c r="F5683" s="12" t="s">
        <v>4187</v>
      </c>
      <c r="G5683" s="12" t="s">
        <v>46</v>
      </c>
      <c r="H5683" s="11" t="s">
        <v>63</v>
      </c>
      <c r="I5683" s="13" t="s">
        <v>12414</v>
      </c>
      <c r="J5683" s="14" t="str">
        <f>HYPERLINK("https://www.boe.es/gazeta/dias/1839/12/12/pdfs/GMD-1839-1859.pdf#page=3","Abrir facsímil")</f>
        <v>Abrir facsímil</v>
      </c>
      <c r="K5683" s="12" t="s">
        <v>65</v>
      </c>
    </row>
    <row r="5684" spans="1:11" ht="40.049999999999997" customHeight="1" x14ac:dyDescent="0.25">
      <c r="A5684" s="11" t="s">
        <v>12412</v>
      </c>
      <c r="B5684" s="11" t="s">
        <v>12413</v>
      </c>
      <c r="C5684" s="11" t="s">
        <v>17</v>
      </c>
      <c r="D5684" s="11" t="s">
        <v>18</v>
      </c>
      <c r="E5684" s="12" t="s">
        <v>653</v>
      </c>
      <c r="F5684" s="12" t="s">
        <v>654</v>
      </c>
      <c r="G5684" s="12" t="s">
        <v>21</v>
      </c>
      <c r="H5684" s="11" t="s">
        <v>63</v>
      </c>
      <c r="I5684" s="13" t="s">
        <v>12415</v>
      </c>
      <c r="J5684" s="14" t="str">
        <f>HYPERLINK("https://www.boe.es/gazeta/dias/1839/10/31/pdfs/GMD-1839-1817.pdf#page=4","Abrir facsímil")</f>
        <v>Abrir facsímil</v>
      </c>
      <c r="K5684" s="12" t="s">
        <v>65</v>
      </c>
    </row>
    <row r="5685" spans="1:11" ht="40.049999999999997" customHeight="1" x14ac:dyDescent="0.25">
      <c r="A5685" s="11" t="s">
        <v>12416</v>
      </c>
      <c r="B5685" s="11" t="s">
        <v>12417</v>
      </c>
      <c r="C5685" s="11" t="s">
        <v>17</v>
      </c>
      <c r="D5685" s="11" t="s">
        <v>18</v>
      </c>
      <c r="E5685" s="12" t="s">
        <v>448</v>
      </c>
      <c r="F5685" s="12" t="s">
        <v>449</v>
      </c>
      <c r="G5685" s="12" t="s">
        <v>21</v>
      </c>
      <c r="H5685" s="11" t="s">
        <v>63</v>
      </c>
      <c r="I5685" s="13" t="s">
        <v>12418</v>
      </c>
      <c r="J5685" s="14" t="str">
        <f>HYPERLINK("https://www.boe.es/gazeta/dias/1839/02/06/pdfs/GMD-1839-1544.pdf#page=4","Abrir facsímil")</f>
        <v>Abrir facsímil</v>
      </c>
      <c r="K5685" s="12" t="s">
        <v>65</v>
      </c>
    </row>
    <row r="5686" spans="1:11" ht="40.049999999999997" customHeight="1" x14ac:dyDescent="0.25">
      <c r="A5686" s="11" t="s">
        <v>12419</v>
      </c>
      <c r="B5686" s="11" t="s">
        <v>12420</v>
      </c>
      <c r="C5686" s="11" t="s">
        <v>59</v>
      </c>
      <c r="D5686" s="11" t="s">
        <v>60</v>
      </c>
      <c r="E5686" s="12" t="s">
        <v>736</v>
      </c>
      <c r="F5686" s="12" t="s">
        <v>737</v>
      </c>
      <c r="G5686" s="12" t="s">
        <v>40</v>
      </c>
      <c r="H5686" s="11" t="s">
        <v>63</v>
      </c>
      <c r="I5686" s="13" t="s">
        <v>12421</v>
      </c>
      <c r="J5686" s="14" t="str">
        <f>HYPERLINK("https://www.boe.es/gazeta/dias/1839/10/13/pdfs/GMD-1839-1799.pdf#page=2","Abrir facsímil")</f>
        <v>Abrir facsímil</v>
      </c>
      <c r="K5686" s="12" t="s">
        <v>65</v>
      </c>
    </row>
    <row r="5687" spans="1:11" ht="40.049999999999997" customHeight="1" x14ac:dyDescent="0.25">
      <c r="A5687" s="11" t="s">
        <v>12422</v>
      </c>
      <c r="B5687" s="11" t="s">
        <v>12423</v>
      </c>
      <c r="C5687" s="11" t="s">
        <v>101</v>
      </c>
      <c r="D5687" s="11" t="s">
        <v>43</v>
      </c>
      <c r="E5687" s="12" t="s">
        <v>19</v>
      </c>
      <c r="F5687" s="12" t="s">
        <v>20</v>
      </c>
      <c r="G5687" s="12" t="s">
        <v>40</v>
      </c>
      <c r="H5687" s="11" t="s">
        <v>63</v>
      </c>
      <c r="I5687" s="13" t="s">
        <v>12424</v>
      </c>
      <c r="J5687" s="14" t="str">
        <f>HYPERLINK("https://www.boe.es/gazeta/dias/1839/01/19/pdfs/GMD-1839-1526.pdf#page=2","Abrir facsímil")</f>
        <v>Abrir facsímil</v>
      </c>
      <c r="K5687" s="12" t="s">
        <v>65</v>
      </c>
    </row>
    <row r="5688" spans="1:11" ht="40.049999999999997" customHeight="1" x14ac:dyDescent="0.25">
      <c r="A5688" s="11" t="s">
        <v>12422</v>
      </c>
      <c r="B5688" s="11" t="s">
        <v>12423</v>
      </c>
      <c r="C5688" s="11" t="s">
        <v>17</v>
      </c>
      <c r="D5688" s="11" t="s">
        <v>18</v>
      </c>
      <c r="E5688" s="12" t="s">
        <v>433</v>
      </c>
      <c r="F5688" s="12" t="s">
        <v>434</v>
      </c>
      <c r="G5688" s="12" t="s">
        <v>46</v>
      </c>
      <c r="H5688" s="11" t="s">
        <v>63</v>
      </c>
      <c r="I5688" s="13" t="s">
        <v>12425</v>
      </c>
      <c r="J5688" s="14" t="str">
        <f>HYPERLINK("https://www.boe.es/gazeta/dias/1839/01/20/pdfs/GMD-1839-1527.pdf#page=3","Abrir facsímil")</f>
        <v>Abrir facsímil</v>
      </c>
      <c r="K5688" s="12" t="s">
        <v>65</v>
      </c>
    </row>
    <row r="5689" spans="1:11" ht="40.049999999999997" customHeight="1" x14ac:dyDescent="0.25">
      <c r="A5689" s="11" t="s">
        <v>12426</v>
      </c>
      <c r="B5689" s="11" t="s">
        <v>12427</v>
      </c>
      <c r="C5689" s="11" t="s">
        <v>17</v>
      </c>
      <c r="D5689" s="11" t="s">
        <v>18</v>
      </c>
      <c r="E5689" s="12" t="s">
        <v>1813</v>
      </c>
      <c r="F5689" s="12" t="s">
        <v>1814</v>
      </c>
      <c r="G5689" s="12" t="s">
        <v>21</v>
      </c>
      <c r="H5689" s="11" t="s">
        <v>22</v>
      </c>
      <c r="I5689" s="13" t="s">
        <v>12428</v>
      </c>
      <c r="J5689" s="14" t="str">
        <f>HYPERLINK("https://www.boe.es/gazeta/dias/1839/09/02/pdfs/GMD-1839-1754.pdf#page=4","Abrir facsímil")</f>
        <v>Abrir facsímil</v>
      </c>
      <c r="K5689" s="12" t="s">
        <v>24</v>
      </c>
    </row>
    <row r="5690" spans="1:11" ht="40.049999999999997" customHeight="1" x14ac:dyDescent="0.25">
      <c r="A5690" s="11" t="s">
        <v>12429</v>
      </c>
      <c r="B5690" s="11" t="s">
        <v>12430</v>
      </c>
      <c r="C5690" s="11" t="s">
        <v>80</v>
      </c>
      <c r="D5690" s="11" t="s">
        <v>18</v>
      </c>
      <c r="E5690" s="12" t="s">
        <v>1729</v>
      </c>
      <c r="F5690" s="12" t="s">
        <v>1730</v>
      </c>
      <c r="G5690" s="12" t="s">
        <v>46</v>
      </c>
      <c r="H5690" s="11" t="s">
        <v>63</v>
      </c>
      <c r="I5690" s="13" t="s">
        <v>12431</v>
      </c>
      <c r="J5690" s="14" t="str">
        <f>HYPERLINK("https://www.boe.es/gazeta/dias/1839/04/25/pdfs/GMD-1839-1622.pdf#page=3","Abrir facsímil")</f>
        <v>Abrir facsímil</v>
      </c>
      <c r="K5690" s="12" t="s">
        <v>65</v>
      </c>
    </row>
    <row r="5691" spans="1:11" ht="40.049999999999997" customHeight="1" x14ac:dyDescent="0.25">
      <c r="A5691" s="11" t="s">
        <v>12432</v>
      </c>
      <c r="B5691" s="11" t="s">
        <v>12433</v>
      </c>
      <c r="C5691" s="11" t="s">
        <v>17</v>
      </c>
      <c r="D5691" s="11" t="s">
        <v>18</v>
      </c>
      <c r="E5691" s="12" t="s">
        <v>1446</v>
      </c>
      <c r="F5691" s="12" t="s">
        <v>1447</v>
      </c>
      <c r="G5691" s="12" t="s">
        <v>29</v>
      </c>
      <c r="H5691" s="11" t="s">
        <v>63</v>
      </c>
      <c r="I5691" s="13" t="s">
        <v>12434</v>
      </c>
      <c r="J5691" s="14" t="str">
        <f>HYPERLINK("https://www.boe.es/gazeta/dias/1839/08/25/pdfs/GMD-1839-1746.pdf#page=1","Abrir facsímil")</f>
        <v>Abrir facsímil</v>
      </c>
      <c r="K5691" s="12" t="s">
        <v>65</v>
      </c>
    </row>
    <row r="5692" spans="1:11" ht="40.049999999999997" customHeight="1" x14ac:dyDescent="0.25">
      <c r="A5692" s="11" t="s">
        <v>12435</v>
      </c>
      <c r="B5692" s="11" t="s">
        <v>12436</v>
      </c>
      <c r="C5692" s="11" t="s">
        <v>17</v>
      </c>
      <c r="D5692" s="11" t="s">
        <v>18</v>
      </c>
      <c r="E5692" s="12" t="s">
        <v>1123</v>
      </c>
      <c r="F5692" s="12" t="s">
        <v>1124</v>
      </c>
      <c r="G5692" s="12" t="s">
        <v>46</v>
      </c>
      <c r="H5692" s="11" t="s">
        <v>63</v>
      </c>
      <c r="I5692" s="13" t="s">
        <v>12437</v>
      </c>
      <c r="J5692" s="14" t="str">
        <f>HYPERLINK("https://www.boe.es/gazeta/dias/1839/08/10/pdfs/GMD-1839-1730.pdf#page=3","Abrir facsímil")</f>
        <v>Abrir facsímil</v>
      </c>
      <c r="K5692" s="12" t="s">
        <v>65</v>
      </c>
    </row>
    <row r="5693" spans="1:11" ht="40.049999999999997" customHeight="1" x14ac:dyDescent="0.25">
      <c r="A5693" s="11" t="s">
        <v>12438</v>
      </c>
      <c r="B5693" s="11" t="s">
        <v>12439</v>
      </c>
      <c r="C5693" s="11" t="s">
        <v>17</v>
      </c>
      <c r="D5693" s="11" t="s">
        <v>18</v>
      </c>
      <c r="E5693" s="12" t="s">
        <v>1179</v>
      </c>
      <c r="F5693" s="12" t="s">
        <v>1180</v>
      </c>
      <c r="G5693" s="12" t="s">
        <v>566</v>
      </c>
      <c r="H5693" s="11" t="s">
        <v>63</v>
      </c>
      <c r="I5693" s="13" t="s">
        <v>12440</v>
      </c>
      <c r="J5693" s="14" t="str">
        <f>HYPERLINK("https://www.boe.es/gazeta/dias/1839/10/18/pdfs/GMD-1839-1804.pdf#page=5","Abrir facsímil")</f>
        <v>Abrir facsímil</v>
      </c>
      <c r="K5693" s="12" t="s">
        <v>65</v>
      </c>
    </row>
    <row r="5694" spans="1:11" ht="40.049999999999997" customHeight="1" x14ac:dyDescent="0.25">
      <c r="A5694" s="11" t="s">
        <v>12441</v>
      </c>
      <c r="B5694" s="11" t="s">
        <v>12442</v>
      </c>
      <c r="C5694" s="11" t="s">
        <v>59</v>
      </c>
      <c r="D5694" s="11" t="s">
        <v>60</v>
      </c>
      <c r="E5694" s="12" t="s">
        <v>168</v>
      </c>
      <c r="F5694" s="12" t="s">
        <v>169</v>
      </c>
      <c r="G5694" s="12" t="s">
        <v>29</v>
      </c>
      <c r="H5694" s="11" t="s">
        <v>63</v>
      </c>
      <c r="I5694" s="13" t="s">
        <v>12443</v>
      </c>
      <c r="J5694" s="14" t="str">
        <f>HYPERLINK("https://www.boe.es/gazeta/dias/1839/07/12/pdfs/GMD-1839-1700.pdf#page=1","Abrir facsímil")</f>
        <v>Abrir facsímil</v>
      </c>
      <c r="K5694" s="12" t="s">
        <v>65</v>
      </c>
    </row>
    <row r="5695" spans="1:11" ht="40.049999999999997" customHeight="1" x14ac:dyDescent="0.25">
      <c r="A5695" s="11" t="s">
        <v>12444</v>
      </c>
      <c r="B5695" s="11" t="s">
        <v>12445</v>
      </c>
      <c r="C5695" s="11" t="s">
        <v>80</v>
      </c>
      <c r="D5695" s="11" t="s">
        <v>18</v>
      </c>
      <c r="E5695" s="12" t="s">
        <v>385</v>
      </c>
      <c r="F5695" s="12" t="s">
        <v>386</v>
      </c>
      <c r="G5695" s="12" t="s">
        <v>29</v>
      </c>
      <c r="H5695" s="11" t="s">
        <v>63</v>
      </c>
      <c r="I5695" s="13" t="s">
        <v>12446</v>
      </c>
      <c r="J5695" s="14" t="str">
        <f>HYPERLINK("https://www.boe.es/gazeta/dias/1839/08/01/pdfs/GMD-1839-1721.pdf#page=1","Abrir facsímil")</f>
        <v>Abrir facsímil</v>
      </c>
      <c r="K5695" s="12" t="s">
        <v>65</v>
      </c>
    </row>
    <row r="5696" spans="1:11" ht="40.049999999999997" customHeight="1" x14ac:dyDescent="0.25">
      <c r="A5696" s="11" t="s">
        <v>12447</v>
      </c>
      <c r="B5696" s="11" t="s">
        <v>12448</v>
      </c>
      <c r="C5696" s="11" t="s">
        <v>17</v>
      </c>
      <c r="D5696" s="11" t="s">
        <v>18</v>
      </c>
      <c r="E5696" s="12" t="s">
        <v>19</v>
      </c>
      <c r="F5696" s="12" t="s">
        <v>20</v>
      </c>
      <c r="G5696" s="12" t="s">
        <v>40</v>
      </c>
      <c r="H5696" s="11" t="s">
        <v>63</v>
      </c>
      <c r="I5696" s="13" t="s">
        <v>12449</v>
      </c>
      <c r="J5696" s="14" t="str">
        <f>HYPERLINK("https://www.boe.es/gazeta/dias/1839/01/19/pdfs/GMD-1839-1526.pdf#page=2","Abrir facsímil")</f>
        <v>Abrir facsímil</v>
      </c>
      <c r="K5696" s="12" t="s">
        <v>65</v>
      </c>
    </row>
    <row r="5697" spans="1:11" ht="40.049999999999997" customHeight="1" x14ac:dyDescent="0.25">
      <c r="A5697" s="11" t="s">
        <v>12450</v>
      </c>
      <c r="B5697" s="11" t="s">
        <v>12451</v>
      </c>
      <c r="C5697" s="11" t="s">
        <v>80</v>
      </c>
      <c r="D5697" s="11" t="s">
        <v>18</v>
      </c>
      <c r="E5697" s="12" t="s">
        <v>2138</v>
      </c>
      <c r="F5697" s="12" t="s">
        <v>2139</v>
      </c>
      <c r="G5697" s="12" t="s">
        <v>305</v>
      </c>
      <c r="H5697" s="11" t="s">
        <v>63</v>
      </c>
      <c r="I5697" s="13" t="s">
        <v>12452</v>
      </c>
      <c r="J5697" s="14" t="str">
        <f>HYPERLINK("https://www.boe.es/gazeta/dias/1839/10/02/pdfs/GMD-1839-1788.pdf#page=6","Abrir facsímil")</f>
        <v>Abrir facsímil</v>
      </c>
      <c r="K5697" s="12" t="s">
        <v>65</v>
      </c>
    </row>
    <row r="5698" spans="1:11" ht="40.049999999999997" customHeight="1" x14ac:dyDescent="0.25">
      <c r="A5698" s="11" t="s">
        <v>12453</v>
      </c>
      <c r="B5698" s="11" t="s">
        <v>12454</v>
      </c>
      <c r="C5698" s="11" t="s">
        <v>17</v>
      </c>
      <c r="D5698" s="11" t="s">
        <v>18</v>
      </c>
      <c r="E5698" s="12" t="s">
        <v>4472</v>
      </c>
      <c r="F5698" s="12" t="s">
        <v>4473</v>
      </c>
      <c r="G5698" s="12" t="s">
        <v>29</v>
      </c>
      <c r="H5698" s="11" t="s">
        <v>63</v>
      </c>
      <c r="I5698" s="13" t="s">
        <v>12455</v>
      </c>
      <c r="J5698" s="14" t="str">
        <f>HYPERLINK("https://www.boe.es/gazeta/dias/1839/08/03/pdfs/GMD-1839-1723.pdf#page=1","Abrir facsímil")</f>
        <v>Abrir facsímil</v>
      </c>
      <c r="K5698" s="12" t="s">
        <v>65</v>
      </c>
    </row>
    <row r="5699" spans="1:11" ht="40.049999999999997" customHeight="1" x14ac:dyDescent="0.25">
      <c r="A5699" s="11" t="s">
        <v>12453</v>
      </c>
      <c r="B5699" s="11" t="s">
        <v>12454</v>
      </c>
      <c r="C5699" s="11" t="s">
        <v>101</v>
      </c>
      <c r="D5699" s="11" t="s">
        <v>102</v>
      </c>
      <c r="E5699" s="12" t="s">
        <v>3236</v>
      </c>
      <c r="F5699" s="12" t="s">
        <v>3237</v>
      </c>
      <c r="G5699" s="12" t="s">
        <v>46</v>
      </c>
      <c r="H5699" s="11" t="s">
        <v>63</v>
      </c>
      <c r="I5699" s="13" t="s">
        <v>12456</v>
      </c>
      <c r="J5699" s="14" t="str">
        <f>HYPERLINK("https://www.boe.es/gazeta/dias/1839/12/03/pdfs/GMD-1839-1850.pdf#page=3","Abrir facsímil")</f>
        <v>Abrir facsímil</v>
      </c>
      <c r="K5699" s="12" t="s">
        <v>65</v>
      </c>
    </row>
    <row r="5700" spans="1:11" ht="40.049999999999997" customHeight="1" x14ac:dyDescent="0.25">
      <c r="A5700" s="11" t="s">
        <v>12453</v>
      </c>
      <c r="B5700" s="11" t="s">
        <v>12454</v>
      </c>
      <c r="C5700" s="11" t="s">
        <v>59</v>
      </c>
      <c r="D5700" s="11" t="s">
        <v>60</v>
      </c>
      <c r="E5700" s="12" t="s">
        <v>1388</v>
      </c>
      <c r="F5700" s="12" t="s">
        <v>1389</v>
      </c>
      <c r="G5700" s="12" t="s">
        <v>40</v>
      </c>
      <c r="H5700" s="11" t="s">
        <v>63</v>
      </c>
      <c r="I5700" s="13" t="s">
        <v>12457</v>
      </c>
      <c r="J5700" s="14" t="str">
        <f>HYPERLINK("https://www.boe.es/gazeta/dias/1839/06/04/pdfs/GMD-1839-1662.pdf#page=2","Abrir facsímil")</f>
        <v>Abrir facsímil</v>
      </c>
      <c r="K5700" s="12" t="s">
        <v>65</v>
      </c>
    </row>
    <row r="5701" spans="1:11" ht="40.049999999999997" customHeight="1" x14ac:dyDescent="0.25">
      <c r="A5701" s="11" t="s">
        <v>12453</v>
      </c>
      <c r="B5701" s="11" t="s">
        <v>12454</v>
      </c>
      <c r="C5701" s="11" t="s">
        <v>17</v>
      </c>
      <c r="D5701" s="11" t="s">
        <v>18</v>
      </c>
      <c r="E5701" s="12" t="s">
        <v>1388</v>
      </c>
      <c r="F5701" s="12" t="s">
        <v>1389</v>
      </c>
      <c r="G5701" s="12" t="s">
        <v>21</v>
      </c>
      <c r="H5701" s="11" t="s">
        <v>63</v>
      </c>
      <c r="I5701" s="13" t="s">
        <v>12458</v>
      </c>
      <c r="J5701" s="14" t="str">
        <f>HYPERLINK("https://www.boe.es/gazeta/dias/1839/06/04/pdfs/GMD-1839-1662.pdf#page=4","Abrir facsímil")</f>
        <v>Abrir facsímil</v>
      </c>
      <c r="K5701" s="12" t="s">
        <v>65</v>
      </c>
    </row>
    <row r="5702" spans="1:11" ht="40.049999999999997" customHeight="1" x14ac:dyDescent="0.25">
      <c r="A5702" s="11" t="s">
        <v>12453</v>
      </c>
      <c r="B5702" s="11" t="s">
        <v>12454</v>
      </c>
      <c r="C5702" s="11" t="s">
        <v>17</v>
      </c>
      <c r="D5702" s="11" t="s">
        <v>18</v>
      </c>
      <c r="E5702" s="12" t="s">
        <v>500</v>
      </c>
      <c r="F5702" s="12" t="s">
        <v>501</v>
      </c>
      <c r="G5702" s="12" t="s">
        <v>46</v>
      </c>
      <c r="H5702" s="11" t="s">
        <v>63</v>
      </c>
      <c r="I5702" s="13" t="s">
        <v>12459</v>
      </c>
      <c r="J5702" s="14" t="str">
        <f>HYPERLINK("https://www.boe.es/gazeta/dias/1839/11/06/pdfs/GMD-1839-1823.pdf#page=3","Abrir facsímil")</f>
        <v>Abrir facsímil</v>
      </c>
      <c r="K5702" s="12" t="s">
        <v>65</v>
      </c>
    </row>
    <row r="5703" spans="1:11" ht="40.049999999999997" customHeight="1" x14ac:dyDescent="0.25">
      <c r="A5703" s="11" t="s">
        <v>12453</v>
      </c>
      <c r="B5703" s="11" t="s">
        <v>12454</v>
      </c>
      <c r="C5703" s="11" t="s">
        <v>17</v>
      </c>
      <c r="D5703" s="11" t="s">
        <v>18</v>
      </c>
      <c r="E5703" s="12" t="s">
        <v>395</v>
      </c>
      <c r="F5703" s="12" t="s">
        <v>396</v>
      </c>
      <c r="G5703" s="12" t="s">
        <v>40</v>
      </c>
      <c r="H5703" s="11" t="s">
        <v>63</v>
      </c>
      <c r="I5703" s="13" t="s">
        <v>12460</v>
      </c>
      <c r="J5703" s="14" t="str">
        <f>HYPERLINK("https://www.boe.es/gazeta/dias/1839/03/15/pdfs/GMD-1839-1581.pdf#page=2","Abrir facsímil")</f>
        <v>Abrir facsímil</v>
      </c>
      <c r="K5703" s="12" t="s">
        <v>65</v>
      </c>
    </row>
    <row r="5704" spans="1:11" ht="40.049999999999997" customHeight="1" x14ac:dyDescent="0.25">
      <c r="A5704" s="11" t="s">
        <v>12453</v>
      </c>
      <c r="B5704" s="11" t="s">
        <v>12454</v>
      </c>
      <c r="C5704" s="11" t="s">
        <v>17</v>
      </c>
      <c r="D5704" s="11" t="s">
        <v>18</v>
      </c>
      <c r="E5704" s="12" t="s">
        <v>1520</v>
      </c>
      <c r="F5704" s="12" t="s">
        <v>1521</v>
      </c>
      <c r="G5704" s="12" t="s">
        <v>21</v>
      </c>
      <c r="H5704" s="11" t="s">
        <v>63</v>
      </c>
      <c r="I5704" s="13" t="s">
        <v>12461</v>
      </c>
      <c r="J5704" s="14" t="str">
        <f>HYPERLINK("https://www.boe.es/gazeta/dias/1839/12/27/pdfs/GMD-1839-1874.pdf#page=4","Abrir facsímil")</f>
        <v>Abrir facsímil</v>
      </c>
      <c r="K5704" s="12" t="s">
        <v>65</v>
      </c>
    </row>
    <row r="5705" spans="1:11" ht="40.049999999999997" customHeight="1" x14ac:dyDescent="0.25">
      <c r="A5705" s="11" t="s">
        <v>12453</v>
      </c>
      <c r="B5705" s="11" t="s">
        <v>12454</v>
      </c>
      <c r="C5705" s="11" t="s">
        <v>101</v>
      </c>
      <c r="D5705" s="11" t="s">
        <v>102</v>
      </c>
      <c r="E5705" s="12" t="s">
        <v>716</v>
      </c>
      <c r="F5705" s="12" t="s">
        <v>717</v>
      </c>
      <c r="G5705" s="12" t="s">
        <v>21</v>
      </c>
      <c r="H5705" s="11" t="s">
        <v>63</v>
      </c>
      <c r="I5705" s="13" t="s">
        <v>12462</v>
      </c>
      <c r="J5705" s="14" t="str">
        <f>HYPERLINK("https://www.boe.es/gazeta/dias/1839/07/30/pdfs/GMD-1839-1719.pdf#page=4","Abrir facsímil")</f>
        <v>Abrir facsímil</v>
      </c>
      <c r="K5705" s="12" t="s">
        <v>65</v>
      </c>
    </row>
    <row r="5706" spans="1:11" ht="40.049999999999997" customHeight="1" x14ac:dyDescent="0.25">
      <c r="A5706" s="11" t="s">
        <v>12463</v>
      </c>
      <c r="B5706" s="11" t="s">
        <v>12464</v>
      </c>
      <c r="C5706" s="11" t="s">
        <v>17</v>
      </c>
      <c r="D5706" s="11" t="s">
        <v>18</v>
      </c>
      <c r="E5706" s="12" t="s">
        <v>561</v>
      </c>
      <c r="F5706" s="12" t="s">
        <v>562</v>
      </c>
      <c r="G5706" s="12" t="s">
        <v>40</v>
      </c>
      <c r="H5706" s="11" t="s">
        <v>63</v>
      </c>
      <c r="I5706" s="13" t="s">
        <v>12465</v>
      </c>
      <c r="J5706" s="14" t="str">
        <f>HYPERLINK("https://www.boe.es/gazeta/dias/1839/09/11/pdfs/GMD-1839-1764.pdf#page=2","Abrir facsímil")</f>
        <v>Abrir facsímil</v>
      </c>
      <c r="K5706" s="12" t="s">
        <v>65</v>
      </c>
    </row>
    <row r="5707" spans="1:11" ht="40.049999999999997" customHeight="1" x14ac:dyDescent="0.25">
      <c r="A5707" s="11" t="s">
        <v>12466</v>
      </c>
      <c r="B5707" s="11" t="s">
        <v>12467</v>
      </c>
      <c r="C5707" s="11" t="s">
        <v>17</v>
      </c>
      <c r="D5707" s="11" t="s">
        <v>18</v>
      </c>
      <c r="E5707" s="12" t="s">
        <v>280</v>
      </c>
      <c r="F5707" s="12" t="s">
        <v>281</v>
      </c>
      <c r="G5707" s="12" t="s">
        <v>29</v>
      </c>
      <c r="H5707" s="11" t="s">
        <v>63</v>
      </c>
      <c r="I5707" s="13" t="s">
        <v>12468</v>
      </c>
      <c r="J5707" s="14" t="str">
        <f>HYPERLINK("https://www.boe.es/gazeta/dias/1839/08/21/pdfs/GMD-1839-1742.pdf#page=1","Abrir facsímil")</f>
        <v>Abrir facsímil</v>
      </c>
      <c r="K5707" s="12" t="s">
        <v>65</v>
      </c>
    </row>
    <row r="5708" spans="1:11" ht="40.049999999999997" customHeight="1" x14ac:dyDescent="0.25">
      <c r="A5708" s="11" t="s">
        <v>12469</v>
      </c>
      <c r="B5708" s="11" t="s">
        <v>12470</v>
      </c>
      <c r="C5708" s="11" t="s">
        <v>101</v>
      </c>
      <c r="D5708" s="11" t="s">
        <v>43</v>
      </c>
      <c r="E5708" s="12" t="s">
        <v>1076</v>
      </c>
      <c r="F5708" s="12" t="s">
        <v>1077</v>
      </c>
      <c r="G5708" s="12" t="s">
        <v>21</v>
      </c>
      <c r="H5708" s="11" t="s">
        <v>63</v>
      </c>
      <c r="I5708" s="13" t="s">
        <v>12471</v>
      </c>
      <c r="J5708" s="14" t="str">
        <f>HYPERLINK("https://www.boe.es/gazeta/dias/1839/10/19/pdfs/GMD-1839-1805.pdf#page=4","Abrir facsímil")</f>
        <v>Abrir facsímil</v>
      </c>
      <c r="K5708" s="12" t="s">
        <v>65</v>
      </c>
    </row>
    <row r="5709" spans="1:11" ht="40.049999999999997" customHeight="1" x14ac:dyDescent="0.25">
      <c r="A5709" s="11" t="s">
        <v>12472</v>
      </c>
      <c r="B5709" s="11" t="s">
        <v>12473</v>
      </c>
      <c r="C5709" s="11" t="s">
        <v>17</v>
      </c>
      <c r="D5709" s="11" t="s">
        <v>18</v>
      </c>
      <c r="E5709" s="12" t="s">
        <v>3224</v>
      </c>
      <c r="F5709" s="12" t="s">
        <v>3225</v>
      </c>
      <c r="G5709" s="12" t="s">
        <v>21</v>
      </c>
      <c r="H5709" s="11" t="s">
        <v>63</v>
      </c>
      <c r="I5709" s="13" t="s">
        <v>12474</v>
      </c>
      <c r="J5709" s="14" t="str">
        <f>HYPERLINK("https://www.boe.es/gazeta/dias/1839/06/03/pdfs/GMD-1839-1661.pdf#page=4","Abrir facsímil")</f>
        <v>Abrir facsímil</v>
      </c>
      <c r="K5709" s="12" t="s">
        <v>65</v>
      </c>
    </row>
    <row r="5710" spans="1:11" ht="40.049999999999997" customHeight="1" x14ac:dyDescent="0.25">
      <c r="A5710" s="11" t="s">
        <v>12475</v>
      </c>
      <c r="B5710" s="11" t="s">
        <v>12476</v>
      </c>
      <c r="C5710" s="11" t="s">
        <v>17</v>
      </c>
      <c r="D5710" s="11" t="s">
        <v>18</v>
      </c>
      <c r="E5710" s="12" t="s">
        <v>1287</v>
      </c>
      <c r="F5710" s="12" t="s">
        <v>1288</v>
      </c>
      <c r="G5710" s="12" t="s">
        <v>46</v>
      </c>
      <c r="H5710" s="11" t="s">
        <v>63</v>
      </c>
      <c r="I5710" s="13" t="s">
        <v>12477</v>
      </c>
      <c r="J5710" s="14" t="str">
        <f>HYPERLINK("https://www.boe.es/gazeta/dias/1839/10/30/pdfs/GMD-1839-1816.pdf#page=3","Abrir facsímil")</f>
        <v>Abrir facsímil</v>
      </c>
      <c r="K5710" s="12" t="s">
        <v>65</v>
      </c>
    </row>
    <row r="5711" spans="1:11" ht="40.049999999999997" customHeight="1" x14ac:dyDescent="0.25">
      <c r="A5711" s="11" t="s">
        <v>12478</v>
      </c>
      <c r="B5711" s="11" t="s">
        <v>12479</v>
      </c>
      <c r="C5711" s="11" t="s">
        <v>80</v>
      </c>
      <c r="D5711" s="11" t="s">
        <v>18</v>
      </c>
      <c r="E5711" s="12" t="s">
        <v>1149</v>
      </c>
      <c r="F5711" s="12" t="s">
        <v>1150</v>
      </c>
      <c r="G5711" s="12" t="s">
        <v>21</v>
      </c>
      <c r="H5711" s="11" t="s">
        <v>63</v>
      </c>
      <c r="I5711" s="13" t="s">
        <v>12480</v>
      </c>
      <c r="J5711" s="14" t="str">
        <f>HYPERLINK("https://www.boe.es/gazeta/dias/1839/06/25/pdfs/GMD-1839-1683.pdf#page=4","Abrir facsímil")</f>
        <v>Abrir facsímil</v>
      </c>
      <c r="K5711" s="12" t="s">
        <v>65</v>
      </c>
    </row>
    <row r="5712" spans="1:11" ht="40.049999999999997" customHeight="1" x14ac:dyDescent="0.25">
      <c r="A5712" s="11" t="s">
        <v>12481</v>
      </c>
      <c r="B5712" s="11" t="s">
        <v>12482</v>
      </c>
      <c r="C5712" s="11" t="s">
        <v>17</v>
      </c>
      <c r="D5712" s="11" t="s">
        <v>18</v>
      </c>
      <c r="E5712" s="12" t="s">
        <v>68</v>
      </c>
      <c r="F5712" s="12" t="s">
        <v>69</v>
      </c>
      <c r="G5712" s="12" t="s">
        <v>29</v>
      </c>
      <c r="H5712" s="11" t="s">
        <v>63</v>
      </c>
      <c r="I5712" s="13" t="s">
        <v>12483</v>
      </c>
      <c r="J5712" s="14" t="str">
        <f>HYPERLINK("https://www.boe.es/gazeta/dias/1839/02/09/pdfs/GMD-1839-1547.pdf#page=1","Abrir facsímil")</f>
        <v>Abrir facsímil</v>
      </c>
      <c r="K5712" s="12" t="s">
        <v>65</v>
      </c>
    </row>
    <row r="5713" spans="1:11" ht="40.049999999999997" customHeight="1" x14ac:dyDescent="0.25">
      <c r="A5713" s="11" t="s">
        <v>12484</v>
      </c>
      <c r="B5713" s="11" t="s">
        <v>12485</v>
      </c>
      <c r="C5713" s="11" t="s">
        <v>80</v>
      </c>
      <c r="D5713" s="11" t="s">
        <v>18</v>
      </c>
      <c r="E5713" s="12" t="s">
        <v>1512</v>
      </c>
      <c r="F5713" s="12" t="s">
        <v>1513</v>
      </c>
      <c r="G5713" s="12" t="s">
        <v>21</v>
      </c>
      <c r="H5713" s="11" t="s">
        <v>63</v>
      </c>
      <c r="I5713" s="13" t="s">
        <v>12486</v>
      </c>
      <c r="J5713" s="14" t="str">
        <f>HYPERLINK("https://www.boe.es/gazeta/dias/1839/04/13/pdfs/GMD-1839-1610.pdf#page=4","Abrir facsímil")</f>
        <v>Abrir facsímil</v>
      </c>
      <c r="K5713" s="12" t="s">
        <v>65</v>
      </c>
    </row>
    <row r="5714" spans="1:11" ht="40.049999999999997" customHeight="1" x14ac:dyDescent="0.25">
      <c r="A5714" s="11" t="s">
        <v>12487</v>
      </c>
      <c r="B5714" s="11" t="s">
        <v>12488</v>
      </c>
      <c r="C5714" s="11" t="s">
        <v>17</v>
      </c>
      <c r="D5714" s="11" t="s">
        <v>18</v>
      </c>
      <c r="E5714" s="12" t="s">
        <v>276</v>
      </c>
      <c r="F5714" s="12" t="s">
        <v>277</v>
      </c>
      <c r="G5714" s="12" t="s">
        <v>21</v>
      </c>
      <c r="H5714" s="11" t="s">
        <v>63</v>
      </c>
      <c r="I5714" s="13" t="s">
        <v>12489</v>
      </c>
      <c r="J5714" s="14" t="str">
        <f>HYPERLINK("https://www.boe.es/gazeta/dias/1839/09/24/pdfs/GMD-1839-1780.pdf#page=4","Abrir facsímil")</f>
        <v>Abrir facsímil</v>
      </c>
      <c r="K5714" s="12" t="s">
        <v>65</v>
      </c>
    </row>
    <row r="5715" spans="1:11" ht="40.049999999999997" customHeight="1" x14ac:dyDescent="0.25">
      <c r="A5715" s="11" t="s">
        <v>12490</v>
      </c>
      <c r="B5715" s="11" t="s">
        <v>12491</v>
      </c>
      <c r="C5715" s="11" t="s">
        <v>80</v>
      </c>
      <c r="D5715" s="11" t="s">
        <v>18</v>
      </c>
      <c r="E5715" s="12" t="s">
        <v>3236</v>
      </c>
      <c r="F5715" s="12" t="s">
        <v>3237</v>
      </c>
      <c r="G5715" s="12" t="s">
        <v>46</v>
      </c>
      <c r="H5715" s="11" t="s">
        <v>63</v>
      </c>
      <c r="I5715" s="13" t="s">
        <v>12492</v>
      </c>
      <c r="J5715" s="14" t="str">
        <f>HYPERLINK("https://www.boe.es/gazeta/dias/1839/12/03/pdfs/GMD-1839-1850.pdf#page=3","Abrir facsímil")</f>
        <v>Abrir facsímil</v>
      </c>
      <c r="K5715" s="12" t="s">
        <v>65</v>
      </c>
    </row>
    <row r="5716" spans="1:11" ht="40.049999999999997" customHeight="1" x14ac:dyDescent="0.25">
      <c r="A5716" s="11" t="s">
        <v>12493</v>
      </c>
      <c r="B5716" s="11" t="s">
        <v>12494</v>
      </c>
      <c r="C5716" s="11" t="s">
        <v>17</v>
      </c>
      <c r="D5716" s="11" t="s">
        <v>18</v>
      </c>
      <c r="E5716" s="12" t="s">
        <v>185</v>
      </c>
      <c r="F5716" s="12" t="s">
        <v>186</v>
      </c>
      <c r="G5716" s="12" t="s">
        <v>40</v>
      </c>
      <c r="H5716" s="11" t="s">
        <v>63</v>
      </c>
      <c r="I5716" s="13" t="s">
        <v>12495</v>
      </c>
      <c r="J5716" s="14" t="str">
        <f>HYPERLINK("https://www.boe.es/gazeta/dias/1839/01/15/pdfs/GMD-1839-1522.pdf#page=2","Abrir facsímil")</f>
        <v>Abrir facsímil</v>
      </c>
      <c r="K5716" s="12" t="s">
        <v>65</v>
      </c>
    </row>
    <row r="5717" spans="1:11" ht="40.049999999999997" customHeight="1" x14ac:dyDescent="0.25">
      <c r="A5717" s="11" t="s">
        <v>12496</v>
      </c>
      <c r="B5717" s="11" t="s">
        <v>12497</v>
      </c>
      <c r="C5717" s="11" t="s">
        <v>137</v>
      </c>
      <c r="D5717" s="11" t="s">
        <v>18</v>
      </c>
      <c r="E5717" s="12" t="s">
        <v>1867</v>
      </c>
      <c r="F5717" s="12" t="s">
        <v>1868</v>
      </c>
      <c r="G5717" s="12" t="s">
        <v>46</v>
      </c>
      <c r="H5717" s="11" t="s">
        <v>63</v>
      </c>
      <c r="I5717" s="13" t="s">
        <v>12498</v>
      </c>
      <c r="J5717" s="14" t="str">
        <f>HYPERLINK("https://www.boe.es/gazeta/dias/1839/01/30/pdfs/GMD-1839-1537.pdf#page=3","Abrir facsímil")</f>
        <v>Abrir facsímil</v>
      </c>
      <c r="K5717" s="12" t="s">
        <v>65</v>
      </c>
    </row>
    <row r="5718" spans="1:11" ht="40.049999999999997" customHeight="1" x14ac:dyDescent="0.25">
      <c r="A5718" s="11" t="s">
        <v>12499</v>
      </c>
      <c r="B5718" s="11" t="s">
        <v>12500</v>
      </c>
      <c r="C5718" s="11" t="s">
        <v>137</v>
      </c>
      <c r="D5718" s="11" t="s">
        <v>18</v>
      </c>
      <c r="E5718" s="12" t="s">
        <v>3391</v>
      </c>
      <c r="F5718" s="12" t="s">
        <v>3392</v>
      </c>
      <c r="G5718" s="12" t="s">
        <v>46</v>
      </c>
      <c r="H5718" s="11" t="s">
        <v>63</v>
      </c>
      <c r="I5718" s="13" t="s">
        <v>12501</v>
      </c>
      <c r="J5718" s="14" t="str">
        <f>HYPERLINK("https://www.boe.es/gazeta/dias/1839/12/31/pdfs/GMD-1839-1878.pdf#page=3","Abrir facsímil")</f>
        <v>Abrir facsímil</v>
      </c>
      <c r="K5718" s="12" t="s">
        <v>65</v>
      </c>
    </row>
    <row r="5719" spans="1:11" ht="40.049999999999997" customHeight="1" x14ac:dyDescent="0.25">
      <c r="A5719" s="11" t="s">
        <v>12502</v>
      </c>
      <c r="B5719" s="11" t="s">
        <v>12503</v>
      </c>
      <c r="C5719" s="11" t="s">
        <v>17</v>
      </c>
      <c r="D5719" s="11" t="s">
        <v>18</v>
      </c>
      <c r="E5719" s="12" t="s">
        <v>1509</v>
      </c>
      <c r="F5719" s="12" t="s">
        <v>1510</v>
      </c>
      <c r="G5719" s="12" t="s">
        <v>46</v>
      </c>
      <c r="H5719" s="11" t="s">
        <v>63</v>
      </c>
      <c r="I5719" s="13" t="s">
        <v>12504</v>
      </c>
      <c r="J5719" s="14" t="str">
        <f>HYPERLINK("https://www.boe.es/gazeta/dias/1839/10/07/pdfs/GMD-1839-1793.pdf#page=3","Abrir facsímil")</f>
        <v>Abrir facsímil</v>
      </c>
      <c r="K5719" s="12" t="s">
        <v>65</v>
      </c>
    </row>
    <row r="5720" spans="1:11" ht="40.049999999999997" customHeight="1" x14ac:dyDescent="0.25">
      <c r="A5720" s="11" t="s">
        <v>12505</v>
      </c>
      <c r="B5720" s="11" t="s">
        <v>12506</v>
      </c>
      <c r="C5720" s="11" t="s">
        <v>101</v>
      </c>
      <c r="D5720" s="11" t="s">
        <v>43</v>
      </c>
      <c r="E5720" s="12" t="s">
        <v>433</v>
      </c>
      <c r="F5720" s="12" t="s">
        <v>434</v>
      </c>
      <c r="G5720" s="12" t="s">
        <v>46</v>
      </c>
      <c r="H5720" s="11" t="s">
        <v>63</v>
      </c>
      <c r="I5720" s="13" t="s">
        <v>12507</v>
      </c>
      <c r="J5720" s="14" t="str">
        <f>HYPERLINK("https://www.boe.es/gazeta/dias/1839/01/20/pdfs/GMD-1839-1527.pdf#page=3","Abrir facsímil")</f>
        <v>Abrir facsímil</v>
      </c>
      <c r="K5720" s="12" t="s">
        <v>65</v>
      </c>
    </row>
    <row r="5721" spans="1:11" ht="40.049999999999997" customHeight="1" x14ac:dyDescent="0.25">
      <c r="A5721" s="11" t="s">
        <v>12508</v>
      </c>
      <c r="B5721" s="11" t="s">
        <v>12509</v>
      </c>
      <c r="C5721" s="11" t="s">
        <v>137</v>
      </c>
      <c r="D5721" s="11" t="s">
        <v>18</v>
      </c>
      <c r="E5721" s="12" t="s">
        <v>1374</v>
      </c>
      <c r="F5721" s="12" t="s">
        <v>1375</v>
      </c>
      <c r="G5721" s="12" t="s">
        <v>29</v>
      </c>
      <c r="H5721" s="11" t="s">
        <v>63</v>
      </c>
      <c r="I5721" s="13" t="s">
        <v>12510</v>
      </c>
      <c r="J5721" s="14" t="str">
        <f>HYPERLINK("https://www.boe.es/gazeta/dias/1839/07/20/pdfs/GMD-1839-1708.pdf#page=1","Abrir facsímil")</f>
        <v>Abrir facsímil</v>
      </c>
      <c r="K5721" s="12" t="s">
        <v>65</v>
      </c>
    </row>
    <row r="5722" spans="1:11" ht="40.049999999999997" customHeight="1" x14ac:dyDescent="0.25">
      <c r="A5722" s="11" t="s">
        <v>12511</v>
      </c>
      <c r="B5722" s="11" t="s">
        <v>12512</v>
      </c>
      <c r="C5722" s="11" t="s">
        <v>101</v>
      </c>
      <c r="D5722" s="11" t="s">
        <v>43</v>
      </c>
      <c r="E5722" s="12" t="s">
        <v>4189</v>
      </c>
      <c r="F5722" s="12" t="s">
        <v>4190</v>
      </c>
      <c r="G5722" s="12" t="s">
        <v>46</v>
      </c>
      <c r="H5722" s="11" t="s">
        <v>63</v>
      </c>
      <c r="I5722" s="13" t="s">
        <v>12513</v>
      </c>
      <c r="J5722" s="14" t="str">
        <f>HYPERLINK("https://www.boe.es/gazeta/dias/1839/02/13/pdfs/GMD-1839-1551.pdf#page=3","Abrir facsímil")</f>
        <v>Abrir facsímil</v>
      </c>
      <c r="K5722" s="12" t="s">
        <v>65</v>
      </c>
    </row>
    <row r="5723" spans="1:11" ht="40.049999999999997" customHeight="1" x14ac:dyDescent="0.25">
      <c r="A5723" s="11" t="s">
        <v>12514</v>
      </c>
      <c r="B5723" s="11" t="s">
        <v>12515</v>
      </c>
      <c r="C5723" s="11" t="s">
        <v>137</v>
      </c>
      <c r="D5723" s="11" t="s">
        <v>18</v>
      </c>
      <c r="E5723" s="12" t="s">
        <v>81</v>
      </c>
      <c r="F5723" s="12" t="s">
        <v>82</v>
      </c>
      <c r="G5723" s="12" t="s">
        <v>40</v>
      </c>
      <c r="H5723" s="11" t="s">
        <v>63</v>
      </c>
      <c r="I5723" s="13" t="s">
        <v>12516</v>
      </c>
      <c r="J5723" s="14" t="str">
        <f>HYPERLINK("https://www.boe.es/gazeta/dias/1839/03/03/pdfs/GMD-1839-1569.pdf#page=2","Abrir facsímil")</f>
        <v>Abrir facsímil</v>
      </c>
      <c r="K5723" s="12" t="s">
        <v>65</v>
      </c>
    </row>
    <row r="5724" spans="1:11" ht="40.049999999999997" customHeight="1" x14ac:dyDescent="0.25">
      <c r="A5724" s="11" t="s">
        <v>12517</v>
      </c>
      <c r="B5724" s="11" t="s">
        <v>12518</v>
      </c>
      <c r="C5724" s="11" t="s">
        <v>17</v>
      </c>
      <c r="D5724" s="11" t="s">
        <v>18</v>
      </c>
      <c r="E5724" s="12" t="s">
        <v>312</v>
      </c>
      <c r="F5724" s="12" t="s">
        <v>313</v>
      </c>
      <c r="G5724" s="12" t="s">
        <v>21</v>
      </c>
      <c r="H5724" s="11" t="s">
        <v>63</v>
      </c>
      <c r="I5724" s="13" t="s">
        <v>12519</v>
      </c>
      <c r="J5724" s="14" t="str">
        <f>HYPERLINK("https://www.boe.es/gazeta/dias/1839/11/30/pdfs/GMD-1839-1847.pdf#page=4","Abrir facsímil")</f>
        <v>Abrir facsímil</v>
      </c>
      <c r="K5724" s="12" t="s">
        <v>65</v>
      </c>
    </row>
    <row r="5725" spans="1:11" ht="40.049999999999997" customHeight="1" x14ac:dyDescent="0.25">
      <c r="A5725" s="11" t="s">
        <v>12520</v>
      </c>
      <c r="B5725" s="11" t="s">
        <v>12521</v>
      </c>
      <c r="C5725" s="11" t="s">
        <v>137</v>
      </c>
      <c r="D5725" s="11" t="s">
        <v>18</v>
      </c>
      <c r="E5725" s="12" t="s">
        <v>160</v>
      </c>
      <c r="F5725" s="12" t="s">
        <v>161</v>
      </c>
      <c r="G5725" s="12" t="s">
        <v>40</v>
      </c>
      <c r="H5725" s="11" t="s">
        <v>63</v>
      </c>
      <c r="I5725" s="13" t="s">
        <v>12522</v>
      </c>
      <c r="J5725" s="14" t="str">
        <f>HYPERLINK("https://www.boe.es/gazeta/dias/1839/01/10/pdfs/GMD-1839-1517.pdf#page=2","Abrir facsímil")</f>
        <v>Abrir facsímil</v>
      </c>
      <c r="K5725" s="12" t="s">
        <v>65</v>
      </c>
    </row>
    <row r="5726" spans="1:11" ht="40.049999999999997" customHeight="1" x14ac:dyDescent="0.25">
      <c r="A5726" s="11" t="s">
        <v>12523</v>
      </c>
      <c r="B5726" s="11" t="s">
        <v>12524</v>
      </c>
      <c r="C5726" s="11" t="s">
        <v>17</v>
      </c>
      <c r="D5726" s="11" t="s">
        <v>18</v>
      </c>
      <c r="E5726" s="12" t="s">
        <v>2962</v>
      </c>
      <c r="F5726" s="12" t="s">
        <v>2963</v>
      </c>
      <c r="G5726" s="12" t="s">
        <v>29</v>
      </c>
      <c r="H5726" s="11" t="s">
        <v>63</v>
      </c>
      <c r="I5726" s="13" t="s">
        <v>12525</v>
      </c>
      <c r="J5726" s="14" t="str">
        <f>HYPERLINK("https://www.boe.es/gazeta/dias/1839/12/21/pdfs/GMD-1839-1868.pdf#page=1","Abrir facsímil")</f>
        <v>Abrir facsímil</v>
      </c>
      <c r="K5726" s="12" t="s">
        <v>65</v>
      </c>
    </row>
    <row r="5727" spans="1:11" ht="40.049999999999997" customHeight="1" x14ac:dyDescent="0.25">
      <c r="A5727" s="11" t="s">
        <v>12523</v>
      </c>
      <c r="B5727" s="11" t="s">
        <v>12524</v>
      </c>
      <c r="C5727" s="11" t="s">
        <v>17</v>
      </c>
      <c r="D5727" s="11" t="s">
        <v>18</v>
      </c>
      <c r="E5727" s="12" t="s">
        <v>479</v>
      </c>
      <c r="F5727" s="12" t="s">
        <v>480</v>
      </c>
      <c r="G5727" s="12" t="s">
        <v>29</v>
      </c>
      <c r="H5727" s="11" t="s">
        <v>63</v>
      </c>
      <c r="I5727" s="13" t="s">
        <v>12526</v>
      </c>
      <c r="J5727" s="14" t="str">
        <f>HYPERLINK("https://www.boe.es/gazeta/dias/1839/06/24/pdfs/GMD-1839-1682.pdf#page=1","Abrir facsímil")</f>
        <v>Abrir facsímil</v>
      </c>
      <c r="K5727" s="12" t="s">
        <v>65</v>
      </c>
    </row>
    <row r="5728" spans="1:11" ht="40.049999999999997" customHeight="1" x14ac:dyDescent="0.25">
      <c r="A5728" s="11" t="s">
        <v>12527</v>
      </c>
      <c r="B5728" s="11" t="s">
        <v>12528</v>
      </c>
      <c r="C5728" s="11" t="s">
        <v>17</v>
      </c>
      <c r="D5728" s="11" t="s">
        <v>18</v>
      </c>
      <c r="E5728" s="12" t="s">
        <v>503</v>
      </c>
      <c r="F5728" s="12" t="s">
        <v>504</v>
      </c>
      <c r="G5728" s="12" t="s">
        <v>46</v>
      </c>
      <c r="H5728" s="11" t="s">
        <v>63</v>
      </c>
      <c r="I5728" s="13" t="s">
        <v>12529</v>
      </c>
      <c r="J5728" s="14" t="str">
        <f>HYPERLINK("https://www.boe.es/gazeta/dias/1839/06/07/pdfs/GMD-1839-1665.pdf#page=3","Abrir facsímil")</f>
        <v>Abrir facsímil</v>
      </c>
      <c r="K5728" s="12" t="s">
        <v>65</v>
      </c>
    </row>
    <row r="5729" spans="1:11" ht="40.049999999999997" customHeight="1" x14ac:dyDescent="0.25">
      <c r="A5729" s="11" t="s">
        <v>12527</v>
      </c>
      <c r="B5729" s="11" t="s">
        <v>12528</v>
      </c>
      <c r="C5729" s="11" t="s">
        <v>80</v>
      </c>
      <c r="D5729" s="11" t="s">
        <v>18</v>
      </c>
      <c r="E5729" s="12" t="s">
        <v>1891</v>
      </c>
      <c r="F5729" s="12" t="s">
        <v>1892</v>
      </c>
      <c r="G5729" s="12" t="s">
        <v>40</v>
      </c>
      <c r="H5729" s="11" t="s">
        <v>63</v>
      </c>
      <c r="I5729" s="13" t="s">
        <v>12530</v>
      </c>
      <c r="J5729" s="14" t="str">
        <f>HYPERLINK("https://www.boe.es/gazeta/dias/1839/12/14/pdfs/GMD-1839-1861.pdf#page=2","Abrir facsímil")</f>
        <v>Abrir facsímil</v>
      </c>
      <c r="K5729" s="12" t="s">
        <v>65</v>
      </c>
    </row>
    <row r="5730" spans="1:11" ht="40.049999999999997" customHeight="1" x14ac:dyDescent="0.25">
      <c r="A5730" s="11" t="s">
        <v>12531</v>
      </c>
      <c r="B5730" s="11" t="s">
        <v>12532</v>
      </c>
      <c r="C5730" s="11" t="s">
        <v>17</v>
      </c>
      <c r="D5730" s="11" t="s">
        <v>18</v>
      </c>
      <c r="E5730" s="12" t="s">
        <v>68</v>
      </c>
      <c r="F5730" s="12" t="s">
        <v>69</v>
      </c>
      <c r="G5730" s="12" t="s">
        <v>46</v>
      </c>
      <c r="H5730" s="11" t="s">
        <v>63</v>
      </c>
      <c r="I5730" s="13" t="s">
        <v>12533</v>
      </c>
      <c r="J5730" s="14" t="str">
        <f>HYPERLINK("https://www.boe.es/gazeta/dias/1839/02/09/pdfs/GMD-1839-1547.pdf#page=3","Abrir facsímil")</f>
        <v>Abrir facsímil</v>
      </c>
      <c r="K5730" s="12" t="s">
        <v>65</v>
      </c>
    </row>
    <row r="5731" spans="1:11" ht="40.049999999999997" customHeight="1" x14ac:dyDescent="0.25">
      <c r="A5731" s="11" t="s">
        <v>12534</v>
      </c>
      <c r="B5731" s="11" t="s">
        <v>12535</v>
      </c>
      <c r="C5731" s="11" t="s">
        <v>59</v>
      </c>
      <c r="D5731" s="11" t="s">
        <v>60</v>
      </c>
      <c r="E5731" s="12" t="s">
        <v>555</v>
      </c>
      <c r="F5731" s="12" t="s">
        <v>556</v>
      </c>
      <c r="G5731" s="12" t="s">
        <v>29</v>
      </c>
      <c r="H5731" s="11" t="s">
        <v>63</v>
      </c>
      <c r="I5731" s="13" t="s">
        <v>12536</v>
      </c>
      <c r="J5731" s="14" t="str">
        <f>HYPERLINK("https://www.boe.es/gazeta/dias/1839/07/19/pdfs/GMD-1839-1707.pdf#page=1","Abrir facsímil")</f>
        <v>Abrir facsímil</v>
      </c>
      <c r="K5731" s="12" t="s">
        <v>65</v>
      </c>
    </row>
    <row r="5732" spans="1:11" ht="40.049999999999997" customHeight="1" x14ac:dyDescent="0.25">
      <c r="A5732" s="11" t="s">
        <v>12537</v>
      </c>
      <c r="B5732" s="11" t="s">
        <v>12538</v>
      </c>
      <c r="C5732" s="11" t="s">
        <v>80</v>
      </c>
      <c r="D5732" s="11" t="s">
        <v>18</v>
      </c>
      <c r="E5732" s="12" t="s">
        <v>4108</v>
      </c>
      <c r="F5732" s="12" t="s">
        <v>4109</v>
      </c>
      <c r="G5732" s="12" t="s">
        <v>46</v>
      </c>
      <c r="H5732" s="11" t="s">
        <v>63</v>
      </c>
      <c r="I5732" s="13" t="s">
        <v>12539</v>
      </c>
      <c r="J5732" s="14" t="str">
        <f>HYPERLINK("https://www.boe.es/gazeta/dias/1839/03/23/pdfs/GMD-1839-1589.pdf#page=3","Abrir facsímil")</f>
        <v>Abrir facsímil</v>
      </c>
      <c r="K5732" s="12" t="s">
        <v>65</v>
      </c>
    </row>
    <row r="5733" spans="1:11" ht="40.049999999999997" customHeight="1" x14ac:dyDescent="0.25">
      <c r="A5733" s="11" t="s">
        <v>12540</v>
      </c>
      <c r="B5733" s="11" t="s">
        <v>12541</v>
      </c>
      <c r="C5733" s="11" t="s">
        <v>17</v>
      </c>
      <c r="D5733" s="11" t="s">
        <v>18</v>
      </c>
      <c r="E5733" s="12" t="s">
        <v>157</v>
      </c>
      <c r="F5733" s="12" t="s">
        <v>158</v>
      </c>
      <c r="G5733" s="12" t="s">
        <v>21</v>
      </c>
      <c r="H5733" s="11" t="s">
        <v>63</v>
      </c>
      <c r="I5733" s="13" t="s">
        <v>12542</v>
      </c>
      <c r="J5733" s="14" t="str">
        <f>HYPERLINK("https://www.boe.es/gazeta/dias/1839/02/08/pdfs/GMD-1839-1546.pdf#page=4","Abrir facsímil")</f>
        <v>Abrir facsímil</v>
      </c>
      <c r="K5733" s="12" t="s">
        <v>65</v>
      </c>
    </row>
    <row r="5734" spans="1:11" ht="40.049999999999997" customHeight="1" x14ac:dyDescent="0.25">
      <c r="A5734" s="11" t="s">
        <v>12540</v>
      </c>
      <c r="B5734" s="11" t="s">
        <v>12541</v>
      </c>
      <c r="C5734" s="11" t="s">
        <v>17</v>
      </c>
      <c r="D5734" s="11" t="s">
        <v>18</v>
      </c>
      <c r="E5734" s="12" t="s">
        <v>19</v>
      </c>
      <c r="F5734" s="12" t="s">
        <v>20</v>
      </c>
      <c r="G5734" s="12" t="s">
        <v>46</v>
      </c>
      <c r="H5734" s="11" t="s">
        <v>63</v>
      </c>
      <c r="I5734" s="13" t="s">
        <v>12543</v>
      </c>
      <c r="J5734" s="14" t="str">
        <f>HYPERLINK("https://www.boe.es/gazeta/dias/1839/01/19/pdfs/GMD-1839-1526.pdf#page=3","Abrir facsímil")</f>
        <v>Abrir facsímil</v>
      </c>
      <c r="K5734" s="12" t="s">
        <v>65</v>
      </c>
    </row>
    <row r="5735" spans="1:11" ht="40.049999999999997" customHeight="1" x14ac:dyDescent="0.25">
      <c r="A5735" s="11" t="s">
        <v>12544</v>
      </c>
      <c r="B5735" s="11" t="s">
        <v>12545</v>
      </c>
      <c r="C5735" s="11" t="s">
        <v>80</v>
      </c>
      <c r="D5735" s="11" t="s">
        <v>18</v>
      </c>
      <c r="E5735" s="12" t="s">
        <v>157</v>
      </c>
      <c r="F5735" s="12" t="s">
        <v>158</v>
      </c>
      <c r="G5735" s="12" t="s">
        <v>46</v>
      </c>
      <c r="H5735" s="11" t="s">
        <v>63</v>
      </c>
      <c r="I5735" s="13" t="s">
        <v>12546</v>
      </c>
      <c r="J5735" s="14" t="str">
        <f>HYPERLINK("https://www.boe.es/gazeta/dias/1839/02/08/pdfs/GMD-1839-1546.pdf#page=3","Abrir facsímil")</f>
        <v>Abrir facsímil</v>
      </c>
      <c r="K5735" s="12" t="s">
        <v>65</v>
      </c>
    </row>
    <row r="5736" spans="1:11" ht="40.049999999999997" customHeight="1" x14ac:dyDescent="0.25">
      <c r="A5736" s="11" t="s">
        <v>12547</v>
      </c>
      <c r="B5736" s="11" t="s">
        <v>12548</v>
      </c>
      <c r="C5736" s="11" t="s">
        <v>101</v>
      </c>
      <c r="D5736" s="11" t="s">
        <v>43</v>
      </c>
      <c r="E5736" s="12" t="s">
        <v>266</v>
      </c>
      <c r="F5736" s="12" t="s">
        <v>267</v>
      </c>
      <c r="G5736" s="12" t="s">
        <v>40</v>
      </c>
      <c r="H5736" s="11" t="s">
        <v>63</v>
      </c>
      <c r="I5736" s="13" t="s">
        <v>12549</v>
      </c>
      <c r="J5736" s="14" t="str">
        <f>HYPERLINK("https://www.boe.es/gazeta/dias/1839/01/03/pdfs/GMD-1839-1510.pdf#page=2","Abrir facsímil")</f>
        <v>Abrir facsímil</v>
      </c>
      <c r="K5736" s="12" t="s">
        <v>65</v>
      </c>
    </row>
    <row r="5737" spans="1:11" ht="40.049999999999997" customHeight="1" x14ac:dyDescent="0.25">
      <c r="A5737" s="11" t="s">
        <v>12550</v>
      </c>
      <c r="B5737" s="11" t="s">
        <v>12551</v>
      </c>
      <c r="C5737" s="11" t="s">
        <v>137</v>
      </c>
      <c r="D5737" s="11" t="s">
        <v>18</v>
      </c>
      <c r="E5737" s="12" t="s">
        <v>653</v>
      </c>
      <c r="F5737" s="12" t="s">
        <v>654</v>
      </c>
      <c r="G5737" s="12" t="s">
        <v>40</v>
      </c>
      <c r="H5737" s="11" t="s">
        <v>63</v>
      </c>
      <c r="I5737" s="13" t="s">
        <v>12552</v>
      </c>
      <c r="J5737" s="14" t="str">
        <f>HYPERLINK("https://www.boe.es/gazeta/dias/1839/10/31/pdfs/GMD-1839-1817.pdf#page=2","Abrir facsímil")</f>
        <v>Abrir facsímil</v>
      </c>
      <c r="K5737" s="12" t="s">
        <v>65</v>
      </c>
    </row>
    <row r="5738" spans="1:11" ht="40.049999999999997" customHeight="1" x14ac:dyDescent="0.25">
      <c r="A5738" s="11" t="s">
        <v>12553</v>
      </c>
      <c r="B5738" s="11" t="s">
        <v>12554</v>
      </c>
      <c r="C5738" s="11" t="s">
        <v>17</v>
      </c>
      <c r="D5738" s="11" t="s">
        <v>18</v>
      </c>
      <c r="E5738" s="12" t="s">
        <v>291</v>
      </c>
      <c r="F5738" s="12" t="s">
        <v>292</v>
      </c>
      <c r="G5738" s="12" t="s">
        <v>40</v>
      </c>
      <c r="H5738" s="11" t="s">
        <v>63</v>
      </c>
      <c r="I5738" s="13" t="s">
        <v>12555</v>
      </c>
      <c r="J5738" s="14" t="str">
        <f>HYPERLINK("https://www.boe.es/gazeta/dias/1839/09/04/pdfs/GMD-1839-1757.pdf#page=2","Abrir facsímil")</f>
        <v>Abrir facsímil</v>
      </c>
      <c r="K5738" s="12" t="s">
        <v>65</v>
      </c>
    </row>
    <row r="5739" spans="1:11" ht="40.049999999999997" customHeight="1" x14ac:dyDescent="0.25">
      <c r="A5739" s="11" t="s">
        <v>12556</v>
      </c>
      <c r="B5739" s="11" t="s">
        <v>12557</v>
      </c>
      <c r="C5739" s="11" t="s">
        <v>17</v>
      </c>
      <c r="D5739" s="11" t="s">
        <v>18</v>
      </c>
      <c r="E5739" s="12" t="s">
        <v>4921</v>
      </c>
      <c r="F5739" s="12" t="s">
        <v>4922</v>
      </c>
      <c r="G5739" s="12" t="s">
        <v>29</v>
      </c>
      <c r="H5739" s="11" t="s">
        <v>63</v>
      </c>
      <c r="I5739" s="13" t="s">
        <v>12558</v>
      </c>
      <c r="J5739" s="14" t="str">
        <f>HYPERLINK("https://www.boe.es/gazeta/dias/1839/11/05/pdfs/GMD-1839-1822.pdf#page=1","Abrir facsímil")</f>
        <v>Abrir facsímil</v>
      </c>
      <c r="K5739" s="12" t="s">
        <v>65</v>
      </c>
    </row>
    <row r="5740" spans="1:11" ht="40.049999999999997" customHeight="1" x14ac:dyDescent="0.25">
      <c r="A5740" s="11" t="s">
        <v>12559</v>
      </c>
      <c r="B5740" s="11" t="s">
        <v>12560</v>
      </c>
      <c r="C5740" s="11" t="s">
        <v>101</v>
      </c>
      <c r="D5740" s="11" t="s">
        <v>43</v>
      </c>
      <c r="E5740" s="12" t="s">
        <v>653</v>
      </c>
      <c r="F5740" s="12" t="s">
        <v>654</v>
      </c>
      <c r="G5740" s="12" t="s">
        <v>40</v>
      </c>
      <c r="H5740" s="11" t="s">
        <v>63</v>
      </c>
      <c r="I5740" s="13" t="s">
        <v>12561</v>
      </c>
      <c r="J5740" s="14" t="str">
        <f>HYPERLINK("https://www.boe.es/gazeta/dias/1839/10/31/pdfs/GMD-1839-1817.pdf#page=2","Abrir facsímil")</f>
        <v>Abrir facsímil</v>
      </c>
      <c r="K5740" s="12" t="s">
        <v>65</v>
      </c>
    </row>
    <row r="5741" spans="1:11" ht="40.049999999999997" customHeight="1" x14ac:dyDescent="0.25">
      <c r="A5741" s="11" t="s">
        <v>12562</v>
      </c>
      <c r="B5741" s="11" t="s">
        <v>12563</v>
      </c>
      <c r="C5741" s="11" t="s">
        <v>59</v>
      </c>
      <c r="D5741" s="11" t="s">
        <v>60</v>
      </c>
      <c r="E5741" s="12" t="s">
        <v>160</v>
      </c>
      <c r="F5741" s="12" t="s">
        <v>161</v>
      </c>
      <c r="G5741" s="12" t="s">
        <v>40</v>
      </c>
      <c r="H5741" s="11" t="s">
        <v>63</v>
      </c>
      <c r="I5741" s="13" t="s">
        <v>12564</v>
      </c>
      <c r="J5741" s="14" t="str">
        <f>HYPERLINK("https://www.boe.es/gazeta/dias/1839/01/10/pdfs/GMD-1839-1517.pdf#page=2","Abrir facsímil")</f>
        <v>Abrir facsímil</v>
      </c>
      <c r="K5741" s="12" t="s">
        <v>65</v>
      </c>
    </row>
    <row r="5742" spans="1:11" ht="40.049999999999997" customHeight="1" x14ac:dyDescent="0.25">
      <c r="A5742" s="11" t="s">
        <v>12565</v>
      </c>
      <c r="B5742" s="11" t="s">
        <v>12566</v>
      </c>
      <c r="C5742" s="11" t="s">
        <v>101</v>
      </c>
      <c r="D5742" s="11" t="s">
        <v>43</v>
      </c>
      <c r="E5742" s="12" t="s">
        <v>160</v>
      </c>
      <c r="F5742" s="12" t="s">
        <v>161</v>
      </c>
      <c r="G5742" s="12" t="s">
        <v>40</v>
      </c>
      <c r="H5742" s="11" t="s">
        <v>63</v>
      </c>
      <c r="I5742" s="13" t="s">
        <v>12567</v>
      </c>
      <c r="J5742" s="14" t="str">
        <f>HYPERLINK("https://www.boe.es/gazeta/dias/1839/01/10/pdfs/GMD-1839-1517.pdf#page=2","Abrir facsímil")</f>
        <v>Abrir facsímil</v>
      </c>
      <c r="K5742" s="12" t="s">
        <v>65</v>
      </c>
    </row>
    <row r="5743" spans="1:11" ht="40.049999999999997" customHeight="1" x14ac:dyDescent="0.25">
      <c r="A5743" s="11" t="s">
        <v>12568</v>
      </c>
      <c r="B5743" s="11" t="s">
        <v>12569</v>
      </c>
      <c r="C5743" s="11" t="s">
        <v>17</v>
      </c>
      <c r="D5743" s="11" t="s">
        <v>18</v>
      </c>
      <c r="E5743" s="12" t="s">
        <v>276</v>
      </c>
      <c r="F5743" s="12" t="s">
        <v>277</v>
      </c>
      <c r="G5743" s="12" t="s">
        <v>21</v>
      </c>
      <c r="H5743" s="11" t="s">
        <v>63</v>
      </c>
      <c r="I5743" s="13" t="s">
        <v>12570</v>
      </c>
      <c r="J5743" s="14" t="str">
        <f>HYPERLINK("https://www.boe.es/gazeta/dias/1839/09/24/pdfs/GMD-1839-1780.pdf#page=4","Abrir facsímil")</f>
        <v>Abrir facsímil</v>
      </c>
      <c r="K5743" s="12" t="s">
        <v>65</v>
      </c>
    </row>
    <row r="5744" spans="1:11" ht="40.049999999999997" customHeight="1" x14ac:dyDescent="0.25">
      <c r="A5744" s="11" t="s">
        <v>12571</v>
      </c>
      <c r="B5744" s="11" t="s">
        <v>12572</v>
      </c>
      <c r="C5744" s="11" t="s">
        <v>17</v>
      </c>
      <c r="D5744" s="11" t="s">
        <v>18</v>
      </c>
      <c r="E5744" s="12" t="s">
        <v>2262</v>
      </c>
      <c r="F5744" s="12" t="s">
        <v>2263</v>
      </c>
      <c r="G5744" s="12" t="s">
        <v>46</v>
      </c>
      <c r="H5744" s="11" t="s">
        <v>63</v>
      </c>
      <c r="I5744" s="13" t="s">
        <v>12573</v>
      </c>
      <c r="J5744" s="14" t="str">
        <f>HYPERLINK("https://www.boe.es/gazeta/dias/1839/03/16/pdfs/GMD-1839-1582.pdf#page=3","Abrir facsímil")</f>
        <v>Abrir facsímil</v>
      </c>
      <c r="K5744" s="12" t="s">
        <v>65</v>
      </c>
    </row>
    <row r="5745" spans="1:11" ht="40.049999999999997" customHeight="1" x14ac:dyDescent="0.25">
      <c r="A5745" s="11" t="s">
        <v>12574</v>
      </c>
      <c r="B5745" s="11" t="s">
        <v>12575</v>
      </c>
      <c r="C5745" s="11" t="s">
        <v>101</v>
      </c>
      <c r="D5745" s="11" t="s">
        <v>43</v>
      </c>
      <c r="E5745" s="12" t="s">
        <v>2349</v>
      </c>
      <c r="F5745" s="12" t="s">
        <v>2350</v>
      </c>
      <c r="G5745" s="12" t="s">
        <v>29</v>
      </c>
      <c r="H5745" s="11" t="s">
        <v>63</v>
      </c>
      <c r="I5745" s="13" t="s">
        <v>12576</v>
      </c>
      <c r="J5745" s="14" t="str">
        <f>HYPERLINK("https://www.boe.es/gazeta/dias/1839/09/29/pdfs/GMD-1839-1785.pdf#page=1","Abrir facsímil")</f>
        <v>Abrir facsímil</v>
      </c>
      <c r="K5745" s="12" t="s">
        <v>65</v>
      </c>
    </row>
    <row r="5746" spans="1:11" ht="40.049999999999997" customHeight="1" x14ac:dyDescent="0.25">
      <c r="A5746" s="11" t="s">
        <v>12577</v>
      </c>
      <c r="B5746" s="11" t="s">
        <v>12578</v>
      </c>
      <c r="C5746" s="11" t="s">
        <v>17</v>
      </c>
      <c r="D5746" s="11" t="s">
        <v>18</v>
      </c>
      <c r="E5746" s="12" t="s">
        <v>1867</v>
      </c>
      <c r="F5746" s="12" t="s">
        <v>1868</v>
      </c>
      <c r="G5746" s="12" t="s">
        <v>46</v>
      </c>
      <c r="H5746" s="11" t="s">
        <v>63</v>
      </c>
      <c r="I5746" s="13" t="s">
        <v>12579</v>
      </c>
      <c r="J5746" s="14" t="str">
        <f>HYPERLINK("https://www.boe.es/gazeta/dias/1839/01/30/pdfs/GMD-1839-1537.pdf#page=3","Abrir facsímil")</f>
        <v>Abrir facsímil</v>
      </c>
      <c r="K5746" s="12" t="s">
        <v>65</v>
      </c>
    </row>
    <row r="5747" spans="1:11" ht="40.049999999999997" customHeight="1" x14ac:dyDescent="0.25">
      <c r="A5747" s="11" t="s">
        <v>12580</v>
      </c>
      <c r="B5747" s="11" t="s">
        <v>12581</v>
      </c>
      <c r="C5747" s="11" t="s">
        <v>17</v>
      </c>
      <c r="D5747" s="11" t="s">
        <v>18</v>
      </c>
      <c r="E5747" s="12" t="s">
        <v>1807</v>
      </c>
      <c r="F5747" s="12" t="s">
        <v>1808</v>
      </c>
      <c r="G5747" s="12" t="s">
        <v>40</v>
      </c>
      <c r="H5747" s="11" t="s">
        <v>63</v>
      </c>
      <c r="I5747" s="13" t="s">
        <v>12582</v>
      </c>
      <c r="J5747" s="14" t="str">
        <f>HYPERLINK("https://www.boe.es/gazeta/dias/1839/01/29/pdfs/GMD-1839-1536.pdf#page=2","Abrir facsímil")</f>
        <v>Abrir facsímil</v>
      </c>
      <c r="K5747" s="12" t="s">
        <v>65</v>
      </c>
    </row>
    <row r="5748" spans="1:11" ht="40.049999999999997" customHeight="1" x14ac:dyDescent="0.25">
      <c r="A5748" s="11" t="s">
        <v>12583</v>
      </c>
      <c r="B5748" s="11" t="s">
        <v>12584</v>
      </c>
      <c r="C5748" s="11" t="s">
        <v>80</v>
      </c>
      <c r="D5748" s="11" t="s">
        <v>18</v>
      </c>
      <c r="E5748" s="12" t="s">
        <v>736</v>
      </c>
      <c r="F5748" s="12" t="s">
        <v>737</v>
      </c>
      <c r="G5748" s="12" t="s">
        <v>21</v>
      </c>
      <c r="H5748" s="11" t="s">
        <v>63</v>
      </c>
      <c r="I5748" s="13" t="s">
        <v>12585</v>
      </c>
      <c r="J5748" s="14" t="str">
        <f>HYPERLINK("https://www.boe.es/gazeta/dias/1839/10/13/pdfs/GMD-1839-1799.pdf#page=4","Abrir facsímil")</f>
        <v>Abrir facsímil</v>
      </c>
      <c r="K5748" s="12" t="s">
        <v>65</v>
      </c>
    </row>
    <row r="5749" spans="1:11" ht="40.049999999999997" customHeight="1" x14ac:dyDescent="0.25">
      <c r="A5749" s="11" t="s">
        <v>12583</v>
      </c>
      <c r="B5749" s="11" t="s">
        <v>12584</v>
      </c>
      <c r="C5749" s="11" t="s">
        <v>80</v>
      </c>
      <c r="D5749" s="11" t="s">
        <v>18</v>
      </c>
      <c r="E5749" s="12" t="s">
        <v>907</v>
      </c>
      <c r="F5749" s="12" t="s">
        <v>908</v>
      </c>
      <c r="G5749" s="12" t="s">
        <v>21</v>
      </c>
      <c r="H5749" s="11" t="s">
        <v>63</v>
      </c>
      <c r="I5749" s="13" t="s">
        <v>12586</v>
      </c>
      <c r="J5749" s="14" t="str">
        <f>HYPERLINK("https://www.boe.es/gazeta/dias/1839/07/31/pdfs/GMD-1839-1720.pdf#page=4","Abrir facsímil")</f>
        <v>Abrir facsímil</v>
      </c>
      <c r="K5749" s="12" t="s">
        <v>65</v>
      </c>
    </row>
    <row r="5750" spans="1:11" ht="40.049999999999997" customHeight="1" x14ac:dyDescent="0.25">
      <c r="A5750" s="11" t="s">
        <v>12587</v>
      </c>
      <c r="B5750" s="11" t="s">
        <v>12588</v>
      </c>
      <c r="C5750" s="11" t="s">
        <v>80</v>
      </c>
      <c r="D5750" s="11" t="s">
        <v>18</v>
      </c>
      <c r="E5750" s="12" t="s">
        <v>690</v>
      </c>
      <c r="F5750" s="12" t="s">
        <v>691</v>
      </c>
      <c r="G5750" s="12" t="s">
        <v>21</v>
      </c>
      <c r="H5750" s="11" t="s">
        <v>63</v>
      </c>
      <c r="I5750" s="13" t="s">
        <v>12589</v>
      </c>
      <c r="J5750" s="14" t="str">
        <f>HYPERLINK("https://www.boe.es/gazeta/dias/1839/12/08/pdfs/GMD-1839-1855.pdf#page=4","Abrir facsímil")</f>
        <v>Abrir facsímil</v>
      </c>
      <c r="K5750" s="12" t="s">
        <v>65</v>
      </c>
    </row>
    <row r="5751" spans="1:11" ht="40.049999999999997" customHeight="1" x14ac:dyDescent="0.25">
      <c r="A5751" s="11" t="s">
        <v>12590</v>
      </c>
      <c r="B5751" s="11" t="s">
        <v>12591</v>
      </c>
      <c r="C5751" s="11" t="s">
        <v>59</v>
      </c>
      <c r="D5751" s="11" t="s">
        <v>60</v>
      </c>
      <c r="E5751" s="12" t="s">
        <v>1474</v>
      </c>
      <c r="F5751" s="12" t="s">
        <v>1475</v>
      </c>
      <c r="G5751" s="12" t="s">
        <v>40</v>
      </c>
      <c r="H5751" s="11" t="s">
        <v>63</v>
      </c>
      <c r="I5751" s="13" t="s">
        <v>12592</v>
      </c>
      <c r="J5751" s="14" t="str">
        <f>HYPERLINK("https://www.boe.es/gazeta/dias/1839/02/28/pdfs/GMD-1839-1566.pdf#page=2","Abrir facsímil")</f>
        <v>Abrir facsímil</v>
      </c>
      <c r="K5751" s="12" t="s">
        <v>65</v>
      </c>
    </row>
    <row r="5752" spans="1:11" ht="40.049999999999997" customHeight="1" x14ac:dyDescent="0.25">
      <c r="A5752" s="11" t="s">
        <v>12593</v>
      </c>
      <c r="B5752" s="11" t="s">
        <v>12594</v>
      </c>
      <c r="C5752" s="11" t="s">
        <v>17</v>
      </c>
      <c r="D5752" s="11" t="s">
        <v>18</v>
      </c>
      <c r="E5752" s="12" t="s">
        <v>1414</v>
      </c>
      <c r="F5752" s="12" t="s">
        <v>1415</v>
      </c>
      <c r="G5752" s="12" t="s">
        <v>21</v>
      </c>
      <c r="H5752" s="11" t="s">
        <v>63</v>
      </c>
      <c r="I5752" s="13" t="s">
        <v>12595</v>
      </c>
      <c r="J5752" s="14" t="str">
        <f>HYPERLINK("https://www.boe.es/gazeta/dias/1839/06/12/pdfs/GMD-1839-1670.pdf#page=4","Abrir facsímil")</f>
        <v>Abrir facsímil</v>
      </c>
      <c r="K5752" s="12" t="s">
        <v>65</v>
      </c>
    </row>
    <row r="5753" spans="1:11" ht="40.049999999999997" customHeight="1" x14ac:dyDescent="0.25">
      <c r="A5753" s="11" t="s">
        <v>12596</v>
      </c>
      <c r="B5753" s="11" t="s">
        <v>12597</v>
      </c>
      <c r="C5753" s="11" t="s">
        <v>80</v>
      </c>
      <c r="D5753" s="11" t="s">
        <v>18</v>
      </c>
      <c r="E5753" s="12" t="s">
        <v>2829</v>
      </c>
      <c r="F5753" s="12" t="s">
        <v>2830</v>
      </c>
      <c r="G5753" s="12" t="s">
        <v>29</v>
      </c>
      <c r="H5753" s="11" t="s">
        <v>63</v>
      </c>
      <c r="I5753" s="13" t="s">
        <v>12598</v>
      </c>
      <c r="J5753" s="14" t="str">
        <f>HYPERLINK("https://www.boe.es/gazeta/dias/1839/07/01/pdfs/GMD-1839-1689.pdf#page=1","Abrir facsímil")</f>
        <v>Abrir facsímil</v>
      </c>
      <c r="K5753" s="12" t="s">
        <v>65</v>
      </c>
    </row>
    <row r="5754" spans="1:11" ht="40.049999999999997" customHeight="1" x14ac:dyDescent="0.25">
      <c r="A5754" s="11" t="s">
        <v>12596</v>
      </c>
      <c r="B5754" s="11" t="s">
        <v>12597</v>
      </c>
      <c r="C5754" s="11" t="s">
        <v>17</v>
      </c>
      <c r="D5754" s="11" t="s">
        <v>18</v>
      </c>
      <c r="E5754" s="12" t="s">
        <v>3224</v>
      </c>
      <c r="F5754" s="12" t="s">
        <v>3225</v>
      </c>
      <c r="G5754" s="12" t="s">
        <v>29</v>
      </c>
      <c r="H5754" s="11" t="s">
        <v>63</v>
      </c>
      <c r="I5754" s="13" t="s">
        <v>12599</v>
      </c>
      <c r="J5754" s="14" t="str">
        <f>HYPERLINK("https://www.boe.es/gazeta/dias/1839/06/03/pdfs/GMD-1839-1661.pdf#page=1","Abrir facsímil")</f>
        <v>Abrir facsímil</v>
      </c>
      <c r="K5754" s="12" t="s">
        <v>65</v>
      </c>
    </row>
    <row r="5755" spans="1:11" ht="40.049999999999997" customHeight="1" x14ac:dyDescent="0.25">
      <c r="A5755" s="11" t="s">
        <v>12596</v>
      </c>
      <c r="B5755" s="11" t="s">
        <v>12597</v>
      </c>
      <c r="C5755" s="11" t="s">
        <v>101</v>
      </c>
      <c r="D5755" s="11" t="s">
        <v>102</v>
      </c>
      <c r="E5755" s="12" t="s">
        <v>409</v>
      </c>
      <c r="F5755" s="12" t="s">
        <v>410</v>
      </c>
      <c r="G5755" s="12" t="s">
        <v>29</v>
      </c>
      <c r="H5755" s="11" t="s">
        <v>63</v>
      </c>
      <c r="I5755" s="13" t="s">
        <v>12600</v>
      </c>
      <c r="J5755" s="14" t="str">
        <f>HYPERLINK("https://www.boe.es/gazeta/dias/1839/07/05/pdfs/GMD-1839-1693.pdf#page=1","Abrir facsímil")</f>
        <v>Abrir facsímil</v>
      </c>
      <c r="K5755" s="12" t="s">
        <v>65</v>
      </c>
    </row>
    <row r="5756" spans="1:11" ht="40.049999999999997" customHeight="1" x14ac:dyDescent="0.25">
      <c r="A5756" s="11" t="s">
        <v>12596</v>
      </c>
      <c r="B5756" s="11" t="s">
        <v>12597</v>
      </c>
      <c r="C5756" s="11" t="s">
        <v>80</v>
      </c>
      <c r="D5756" s="11" t="s">
        <v>18</v>
      </c>
      <c r="E5756" s="12" t="s">
        <v>1565</v>
      </c>
      <c r="F5756" s="12" t="s">
        <v>1566</v>
      </c>
      <c r="G5756" s="12" t="s">
        <v>29</v>
      </c>
      <c r="H5756" s="11" t="s">
        <v>63</v>
      </c>
      <c r="I5756" s="13" t="s">
        <v>12601</v>
      </c>
      <c r="J5756" s="14" t="str">
        <f>HYPERLINK("https://www.boe.es/gazeta/dias/1839/06/17/pdfs/GMD-1839-1675.pdf#page=1","Abrir facsímil")</f>
        <v>Abrir facsímil</v>
      </c>
      <c r="K5756" s="12" t="s">
        <v>65</v>
      </c>
    </row>
    <row r="5757" spans="1:11" ht="40.049999999999997" customHeight="1" x14ac:dyDescent="0.25">
      <c r="A5757" s="11" t="s">
        <v>12596</v>
      </c>
      <c r="B5757" s="11" t="s">
        <v>12597</v>
      </c>
      <c r="C5757" s="11" t="s">
        <v>137</v>
      </c>
      <c r="D5757" s="11" t="s">
        <v>18</v>
      </c>
      <c r="E5757" s="12" t="s">
        <v>870</v>
      </c>
      <c r="F5757" s="12" t="s">
        <v>871</v>
      </c>
      <c r="G5757" s="12" t="s">
        <v>29</v>
      </c>
      <c r="H5757" s="11" t="s">
        <v>63</v>
      </c>
      <c r="I5757" s="13" t="s">
        <v>12602</v>
      </c>
      <c r="J5757" s="14" t="str">
        <f>HYPERLINK("https://www.boe.es/gazeta/dias/1839/04/18/pdfs/GMD-1839-1615.pdf#page=1","Abrir facsímil")</f>
        <v>Abrir facsímil</v>
      </c>
      <c r="K5757" s="12" t="s">
        <v>65</v>
      </c>
    </row>
    <row r="5758" spans="1:11" ht="40.049999999999997" customHeight="1" x14ac:dyDescent="0.25">
      <c r="A5758" s="11" t="s">
        <v>12596</v>
      </c>
      <c r="B5758" s="11" t="s">
        <v>12597</v>
      </c>
      <c r="C5758" s="11" t="s">
        <v>101</v>
      </c>
      <c r="D5758" s="11" t="s">
        <v>102</v>
      </c>
      <c r="E5758" s="12" t="s">
        <v>2117</v>
      </c>
      <c r="F5758" s="12" t="s">
        <v>2118</v>
      </c>
      <c r="G5758" s="12" t="s">
        <v>40</v>
      </c>
      <c r="H5758" s="11" t="s">
        <v>63</v>
      </c>
      <c r="I5758" s="13" t="s">
        <v>12603</v>
      </c>
      <c r="J5758" s="14" t="str">
        <f>HYPERLINK("https://www.boe.es/gazeta/dias/1839/06/23/pdfs/GMD-1839-1681.pdf#page=2","Abrir facsímil")</f>
        <v>Abrir facsímil</v>
      </c>
      <c r="K5758" s="12" t="s">
        <v>65</v>
      </c>
    </row>
    <row r="5759" spans="1:11" ht="40.049999999999997" customHeight="1" x14ac:dyDescent="0.25">
      <c r="A5759" s="11" t="s">
        <v>12604</v>
      </c>
      <c r="B5759" s="11" t="s">
        <v>12605</v>
      </c>
      <c r="C5759" s="11" t="s">
        <v>137</v>
      </c>
      <c r="D5759" s="11" t="s">
        <v>18</v>
      </c>
      <c r="E5759" s="12" t="s">
        <v>606</v>
      </c>
      <c r="F5759" s="12" t="s">
        <v>607</v>
      </c>
      <c r="G5759" s="12" t="s">
        <v>29</v>
      </c>
      <c r="H5759" s="11" t="s">
        <v>63</v>
      </c>
      <c r="I5759" s="13" t="s">
        <v>12606</v>
      </c>
      <c r="J5759" s="14" t="str">
        <f>HYPERLINK("https://www.boe.es/gazeta/dias/1839/04/02/pdfs/GMD-1839-1599.pdf#page=1","Abrir facsímil")</f>
        <v>Abrir facsímil</v>
      </c>
      <c r="K5759" s="12" t="s">
        <v>65</v>
      </c>
    </row>
    <row r="5760" spans="1:11" ht="40.049999999999997" customHeight="1" x14ac:dyDescent="0.25">
      <c r="A5760" s="11" t="s">
        <v>12604</v>
      </c>
      <c r="B5760" s="11" t="s">
        <v>12605</v>
      </c>
      <c r="C5760" s="11" t="s">
        <v>137</v>
      </c>
      <c r="D5760" s="11" t="s">
        <v>18</v>
      </c>
      <c r="E5760" s="12" t="s">
        <v>744</v>
      </c>
      <c r="F5760" s="12" t="s">
        <v>745</v>
      </c>
      <c r="G5760" s="12" t="s">
        <v>46</v>
      </c>
      <c r="H5760" s="11" t="s">
        <v>63</v>
      </c>
      <c r="I5760" s="13" t="s">
        <v>12607</v>
      </c>
      <c r="J5760" s="14" t="str">
        <f>HYPERLINK("https://www.boe.es/gazeta/dias/1839/12/09/pdfs/GMD-1839-1856.pdf#page=3","Abrir facsímil")</f>
        <v>Abrir facsímil</v>
      </c>
      <c r="K5760" s="12" t="s">
        <v>65</v>
      </c>
    </row>
    <row r="5761" spans="1:11" ht="40.049999999999997" customHeight="1" x14ac:dyDescent="0.25">
      <c r="A5761" s="11" t="s">
        <v>12604</v>
      </c>
      <c r="B5761" s="11" t="s">
        <v>12605</v>
      </c>
      <c r="C5761" s="11" t="s">
        <v>80</v>
      </c>
      <c r="D5761" s="11" t="s">
        <v>173</v>
      </c>
      <c r="E5761" s="12" t="s">
        <v>736</v>
      </c>
      <c r="F5761" s="12" t="s">
        <v>737</v>
      </c>
      <c r="G5761" s="12" t="s">
        <v>21</v>
      </c>
      <c r="H5761" s="11" t="s">
        <v>63</v>
      </c>
      <c r="I5761" s="13" t="s">
        <v>12608</v>
      </c>
      <c r="J5761" s="14" t="str">
        <f>HYPERLINK("https://www.boe.es/gazeta/dias/1839/10/13/pdfs/GMD-1839-1799.pdf#page=4","Abrir facsímil")</f>
        <v>Abrir facsímil</v>
      </c>
      <c r="K5761" s="12" t="s">
        <v>65</v>
      </c>
    </row>
    <row r="5762" spans="1:11" ht="40.049999999999997" customHeight="1" x14ac:dyDescent="0.25">
      <c r="A5762" s="11" t="s">
        <v>12604</v>
      </c>
      <c r="B5762" s="11" t="s">
        <v>12605</v>
      </c>
      <c r="C5762" s="11" t="s">
        <v>101</v>
      </c>
      <c r="D5762" s="11" t="s">
        <v>43</v>
      </c>
      <c r="E5762" s="12" t="s">
        <v>685</v>
      </c>
      <c r="F5762" s="12" t="s">
        <v>686</v>
      </c>
      <c r="G5762" s="12" t="s">
        <v>21</v>
      </c>
      <c r="H5762" s="11" t="s">
        <v>63</v>
      </c>
      <c r="I5762" s="13" t="s">
        <v>12609</v>
      </c>
      <c r="J5762" s="14" t="str">
        <f>HYPERLINK("https://www.boe.es/gazeta/dias/1839/06/18/pdfs/GMD-1839-1676.pdf#page=4","Abrir facsímil")</f>
        <v>Abrir facsímil</v>
      </c>
      <c r="K5762" s="12" t="s">
        <v>65</v>
      </c>
    </row>
    <row r="5763" spans="1:11" ht="40.049999999999997" customHeight="1" x14ac:dyDescent="0.25">
      <c r="A5763" s="11" t="s">
        <v>12604</v>
      </c>
      <c r="B5763" s="11" t="s">
        <v>12605</v>
      </c>
      <c r="C5763" s="11" t="s">
        <v>17</v>
      </c>
      <c r="D5763" s="11" t="s">
        <v>18</v>
      </c>
      <c r="E5763" s="12" t="s">
        <v>1663</v>
      </c>
      <c r="F5763" s="12" t="s">
        <v>1664</v>
      </c>
      <c r="G5763" s="12" t="s">
        <v>29</v>
      </c>
      <c r="H5763" s="11" t="s">
        <v>63</v>
      </c>
      <c r="I5763" s="13" t="s">
        <v>12610</v>
      </c>
      <c r="J5763" s="14" t="str">
        <f>HYPERLINK("https://www.boe.es/gazeta/dias/1839/03/22/pdfs/GMD-1839-1588.pdf#page=1","Abrir facsímil")</f>
        <v>Abrir facsímil</v>
      </c>
      <c r="K5763" s="12" t="s">
        <v>65</v>
      </c>
    </row>
    <row r="5764" spans="1:11" ht="40.049999999999997" customHeight="1" x14ac:dyDescent="0.25">
      <c r="A5764" s="11" t="s">
        <v>12604</v>
      </c>
      <c r="B5764" s="11" t="s">
        <v>12605</v>
      </c>
      <c r="C5764" s="11" t="s">
        <v>137</v>
      </c>
      <c r="D5764" s="11" t="s">
        <v>18</v>
      </c>
      <c r="E5764" s="12" t="s">
        <v>4108</v>
      </c>
      <c r="F5764" s="12" t="s">
        <v>4109</v>
      </c>
      <c r="G5764" s="12" t="s">
        <v>29</v>
      </c>
      <c r="H5764" s="11" t="s">
        <v>63</v>
      </c>
      <c r="I5764" s="13" t="s">
        <v>12611</v>
      </c>
      <c r="J5764" s="14" t="str">
        <f>HYPERLINK("https://www.boe.es/gazeta/dias/1839/03/23/pdfs/GMD-1839-1589.pdf#page=1","Abrir facsímil")</f>
        <v>Abrir facsímil</v>
      </c>
      <c r="K5764" s="12" t="s">
        <v>65</v>
      </c>
    </row>
    <row r="5765" spans="1:11" ht="40.049999999999997" customHeight="1" x14ac:dyDescent="0.25">
      <c r="A5765" s="11" t="s">
        <v>12604</v>
      </c>
      <c r="B5765" s="11" t="s">
        <v>12605</v>
      </c>
      <c r="C5765" s="11" t="s">
        <v>17</v>
      </c>
      <c r="D5765" s="11" t="s">
        <v>18</v>
      </c>
      <c r="E5765" s="12" t="s">
        <v>668</v>
      </c>
      <c r="F5765" s="12" t="s">
        <v>669</v>
      </c>
      <c r="G5765" s="12" t="s">
        <v>40</v>
      </c>
      <c r="H5765" s="11" t="s">
        <v>63</v>
      </c>
      <c r="I5765" s="13" t="s">
        <v>12612</v>
      </c>
      <c r="J5765" s="14" t="str">
        <f>HYPERLINK("https://www.boe.es/gazeta/dias/1839/03/28/pdfs/GMD-1839-1594.pdf#page=2","Abrir facsímil")</f>
        <v>Abrir facsímil</v>
      </c>
      <c r="K5765" s="12" t="s">
        <v>65</v>
      </c>
    </row>
    <row r="5766" spans="1:11" ht="40.049999999999997" customHeight="1" x14ac:dyDescent="0.25">
      <c r="A5766" s="11" t="s">
        <v>12604</v>
      </c>
      <c r="B5766" s="11" t="s">
        <v>12605</v>
      </c>
      <c r="C5766" s="11" t="s">
        <v>137</v>
      </c>
      <c r="D5766" s="11" t="s">
        <v>18</v>
      </c>
      <c r="E5766" s="12" t="s">
        <v>401</v>
      </c>
      <c r="F5766" s="12" t="s">
        <v>402</v>
      </c>
      <c r="G5766" s="12" t="s">
        <v>29</v>
      </c>
      <c r="H5766" s="11" t="s">
        <v>63</v>
      </c>
      <c r="I5766" s="13" t="s">
        <v>12613</v>
      </c>
      <c r="J5766" s="14" t="str">
        <f>HYPERLINK("https://www.boe.es/gazeta/dias/1839/03/29/pdfs/GMD-1839-1595.pdf#page=1","Abrir facsímil")</f>
        <v>Abrir facsímil</v>
      </c>
      <c r="K5766" s="12" t="s">
        <v>65</v>
      </c>
    </row>
    <row r="5767" spans="1:11" ht="40.049999999999997" customHeight="1" x14ac:dyDescent="0.25">
      <c r="A5767" s="11" t="s">
        <v>12614</v>
      </c>
      <c r="B5767" s="11" t="s">
        <v>12615</v>
      </c>
      <c r="C5767" s="11" t="s">
        <v>59</v>
      </c>
      <c r="D5767" s="11" t="s">
        <v>60</v>
      </c>
      <c r="E5767" s="12" t="s">
        <v>76</v>
      </c>
      <c r="F5767" s="12" t="s">
        <v>77</v>
      </c>
      <c r="G5767" s="12" t="s">
        <v>40</v>
      </c>
      <c r="H5767" s="11" t="s">
        <v>63</v>
      </c>
      <c r="I5767" s="13" t="s">
        <v>12616</v>
      </c>
      <c r="J5767" s="14" t="str">
        <f>HYPERLINK("https://www.boe.es/gazeta/dias/1839/03/13/pdfs/GMD-1839-1579.pdf#page=2","Abrir facsímil")</f>
        <v>Abrir facsímil</v>
      </c>
      <c r="K5767" s="12" t="s">
        <v>65</v>
      </c>
    </row>
    <row r="5768" spans="1:11" ht="40.049999999999997" customHeight="1" x14ac:dyDescent="0.25">
      <c r="A5768" s="11" t="s">
        <v>12617</v>
      </c>
      <c r="B5768" s="11" t="s">
        <v>12618</v>
      </c>
      <c r="C5768" s="11" t="s">
        <v>17</v>
      </c>
      <c r="D5768" s="11" t="s">
        <v>18</v>
      </c>
      <c r="E5768" s="12" t="s">
        <v>1772</v>
      </c>
      <c r="F5768" s="12" t="s">
        <v>1773</v>
      </c>
      <c r="G5768" s="12" t="s">
        <v>21</v>
      </c>
      <c r="H5768" s="11" t="s">
        <v>63</v>
      </c>
      <c r="I5768" s="13" t="s">
        <v>12619</v>
      </c>
      <c r="J5768" s="14" t="str">
        <f>HYPERLINK("https://www.boe.es/gazeta/dias/1839/05/07/pdfs/GMD-1839-1634.pdf#page=4","Abrir facsímil")</f>
        <v>Abrir facsímil</v>
      </c>
      <c r="K5768" s="12" t="s">
        <v>65</v>
      </c>
    </row>
    <row r="5769" spans="1:11" ht="40.049999999999997" customHeight="1" x14ac:dyDescent="0.25">
      <c r="A5769" s="11" t="s">
        <v>12620</v>
      </c>
      <c r="B5769" s="11" t="s">
        <v>12621</v>
      </c>
      <c r="C5769" s="11" t="s">
        <v>80</v>
      </c>
      <c r="D5769" s="11" t="s">
        <v>18</v>
      </c>
      <c r="E5769" s="12" t="s">
        <v>1562</v>
      </c>
      <c r="F5769" s="12" t="s">
        <v>1563</v>
      </c>
      <c r="G5769" s="12" t="s">
        <v>40</v>
      </c>
      <c r="H5769" s="11" t="s">
        <v>63</v>
      </c>
      <c r="I5769" s="13" t="s">
        <v>12622</v>
      </c>
      <c r="J5769" s="14" t="str">
        <f>HYPERLINK("https://www.boe.es/gazeta/dias/1839/04/08/pdfs/GMD-1839-1605.pdf#page=2","Abrir facsímil")</f>
        <v>Abrir facsímil</v>
      </c>
      <c r="K5769" s="12" t="s">
        <v>65</v>
      </c>
    </row>
    <row r="5770" spans="1:11" ht="40.049999999999997" customHeight="1" x14ac:dyDescent="0.25">
      <c r="A5770" s="11" t="s">
        <v>12623</v>
      </c>
      <c r="B5770" s="11" t="s">
        <v>12624</v>
      </c>
      <c r="C5770" s="11" t="s">
        <v>59</v>
      </c>
      <c r="D5770" s="11" t="s">
        <v>60</v>
      </c>
      <c r="E5770" s="12" t="s">
        <v>3391</v>
      </c>
      <c r="F5770" s="12" t="s">
        <v>3392</v>
      </c>
      <c r="G5770" s="12" t="s">
        <v>21</v>
      </c>
      <c r="H5770" s="11" t="s">
        <v>63</v>
      </c>
      <c r="I5770" s="13" t="s">
        <v>12625</v>
      </c>
      <c r="J5770" s="14" t="str">
        <f>HYPERLINK("https://www.boe.es/gazeta/dias/1839/12/31/pdfs/GMD-1839-1878.pdf#page=4","Abrir facsímil")</f>
        <v>Abrir facsímil</v>
      </c>
      <c r="K5770" s="12" t="s">
        <v>65</v>
      </c>
    </row>
    <row r="5771" spans="1:11" ht="40.049999999999997" customHeight="1" x14ac:dyDescent="0.25">
      <c r="A5771" s="11" t="s">
        <v>12626</v>
      </c>
      <c r="B5771" s="11" t="s">
        <v>12627</v>
      </c>
      <c r="C5771" s="11" t="s">
        <v>80</v>
      </c>
      <c r="D5771" s="11" t="s">
        <v>18</v>
      </c>
      <c r="E5771" s="12" t="s">
        <v>2839</v>
      </c>
      <c r="F5771" s="12" t="s">
        <v>2840</v>
      </c>
      <c r="G5771" s="12" t="s">
        <v>21</v>
      </c>
      <c r="H5771" s="11" t="s">
        <v>63</v>
      </c>
      <c r="I5771" s="13" t="s">
        <v>12628</v>
      </c>
      <c r="J5771" s="14" t="str">
        <f>HYPERLINK("https://www.boe.es/gazeta/dias/1839/03/06/pdfs/GMD-1839-1572.pdf#page=4","Abrir facsímil")</f>
        <v>Abrir facsímil</v>
      </c>
      <c r="K5771" s="12" t="s">
        <v>65</v>
      </c>
    </row>
    <row r="5772" spans="1:11" ht="40.049999999999997" customHeight="1" x14ac:dyDescent="0.25">
      <c r="A5772" s="11" t="s">
        <v>12629</v>
      </c>
      <c r="B5772" s="11" t="s">
        <v>12630</v>
      </c>
      <c r="C5772" s="11" t="s">
        <v>17</v>
      </c>
      <c r="D5772" s="11" t="s">
        <v>18</v>
      </c>
      <c r="E5772" s="12" t="s">
        <v>343</v>
      </c>
      <c r="F5772" s="12" t="s">
        <v>344</v>
      </c>
      <c r="G5772" s="12" t="s">
        <v>29</v>
      </c>
      <c r="H5772" s="11" t="s">
        <v>63</v>
      </c>
      <c r="I5772" s="13" t="s">
        <v>12631</v>
      </c>
      <c r="J5772" s="14" t="str">
        <f>HYPERLINK("https://www.boe.es/gazeta/dias/1839/05/20/pdfs/GMD-1839-1647.pdf#page=1","Abrir facsímil")</f>
        <v>Abrir facsímil</v>
      </c>
      <c r="K5772" s="12" t="s">
        <v>65</v>
      </c>
    </row>
    <row r="5773" spans="1:11" ht="40.049999999999997" customHeight="1" x14ac:dyDescent="0.25">
      <c r="A5773" s="11" t="s">
        <v>12632</v>
      </c>
      <c r="B5773" s="11" t="s">
        <v>12633</v>
      </c>
      <c r="C5773" s="11" t="s">
        <v>80</v>
      </c>
      <c r="D5773" s="11" t="s">
        <v>18</v>
      </c>
      <c r="E5773" s="12" t="s">
        <v>121</v>
      </c>
      <c r="F5773" s="12" t="s">
        <v>122</v>
      </c>
      <c r="G5773" s="12" t="s">
        <v>46</v>
      </c>
      <c r="H5773" s="11" t="s">
        <v>63</v>
      </c>
      <c r="I5773" s="13" t="s">
        <v>12634</v>
      </c>
      <c r="J5773" s="14" t="str">
        <f>HYPERLINK("https://www.boe.es/gazeta/dias/1839/06/08/pdfs/GMD-1839-1666.pdf#page=3","Abrir facsímil")</f>
        <v>Abrir facsímil</v>
      </c>
      <c r="K5773" s="12" t="s">
        <v>65</v>
      </c>
    </row>
    <row r="5774" spans="1:11" ht="40.049999999999997" customHeight="1" x14ac:dyDescent="0.25">
      <c r="A5774" s="11" t="s">
        <v>12635</v>
      </c>
      <c r="B5774" s="11" t="s">
        <v>12636</v>
      </c>
      <c r="C5774" s="11" t="s">
        <v>80</v>
      </c>
      <c r="D5774" s="11" t="s">
        <v>18</v>
      </c>
      <c r="E5774" s="12" t="s">
        <v>1356</v>
      </c>
      <c r="F5774" s="12" t="s">
        <v>1357</v>
      </c>
      <c r="G5774" s="12" t="s">
        <v>40</v>
      </c>
      <c r="H5774" s="11" t="s">
        <v>63</v>
      </c>
      <c r="I5774" s="13" t="s">
        <v>12637</v>
      </c>
      <c r="J5774" s="14" t="str">
        <f>HYPERLINK("https://www.boe.es/gazeta/dias/1839/06/05/pdfs/GMD-1839-1663.pdf#page=2","Abrir facsímil")</f>
        <v>Abrir facsímil</v>
      </c>
      <c r="K5774" s="12" t="s">
        <v>65</v>
      </c>
    </row>
    <row r="5775" spans="1:11" ht="40.049999999999997" customHeight="1" x14ac:dyDescent="0.25">
      <c r="A5775" s="11" t="s">
        <v>12635</v>
      </c>
      <c r="B5775" s="11" t="s">
        <v>12636</v>
      </c>
      <c r="C5775" s="11" t="s">
        <v>17</v>
      </c>
      <c r="D5775" s="11" t="s">
        <v>18</v>
      </c>
      <c r="E5775" s="12" t="s">
        <v>409</v>
      </c>
      <c r="F5775" s="12" t="s">
        <v>410</v>
      </c>
      <c r="G5775" s="12" t="s">
        <v>46</v>
      </c>
      <c r="H5775" s="11" t="s">
        <v>63</v>
      </c>
      <c r="I5775" s="13" t="s">
        <v>12638</v>
      </c>
      <c r="J5775" s="14" t="str">
        <f>HYPERLINK("https://www.boe.es/gazeta/dias/1839/07/05/pdfs/GMD-1839-1693.pdf#page=3","Abrir facsímil")</f>
        <v>Abrir facsímil</v>
      </c>
      <c r="K5775" s="12" t="s">
        <v>65</v>
      </c>
    </row>
    <row r="5776" spans="1:11" ht="40.049999999999997" customHeight="1" x14ac:dyDescent="0.25">
      <c r="A5776" s="11" t="s">
        <v>12639</v>
      </c>
      <c r="B5776" s="11" t="s">
        <v>12640</v>
      </c>
      <c r="C5776" s="11" t="s">
        <v>101</v>
      </c>
      <c r="D5776" s="11" t="s">
        <v>102</v>
      </c>
      <c r="E5776" s="12" t="s">
        <v>1988</v>
      </c>
      <c r="F5776" s="12" t="s">
        <v>1989</v>
      </c>
      <c r="G5776" s="12" t="s">
        <v>40</v>
      </c>
      <c r="H5776" s="11" t="s">
        <v>63</v>
      </c>
      <c r="I5776" s="13" t="s">
        <v>12641</v>
      </c>
      <c r="J5776" s="14" t="str">
        <f>HYPERLINK("https://www.boe.es/gazeta/dias/1839/10/29/pdfs/GMD-1839-1815.pdf#page=2","Abrir facsímil")</f>
        <v>Abrir facsímil</v>
      </c>
      <c r="K5776" s="12" t="s">
        <v>65</v>
      </c>
    </row>
    <row r="5777" spans="1:11" ht="40.049999999999997" customHeight="1" x14ac:dyDescent="0.25">
      <c r="A5777" s="11" t="s">
        <v>12642</v>
      </c>
      <c r="B5777" s="11" t="s">
        <v>12643</v>
      </c>
      <c r="C5777" s="11" t="s">
        <v>101</v>
      </c>
      <c r="D5777" s="11" t="s">
        <v>102</v>
      </c>
      <c r="E5777" s="12" t="s">
        <v>3236</v>
      </c>
      <c r="F5777" s="12" t="s">
        <v>3237</v>
      </c>
      <c r="G5777" s="12" t="s">
        <v>29</v>
      </c>
      <c r="H5777" s="11" t="s">
        <v>63</v>
      </c>
      <c r="I5777" s="13" t="s">
        <v>12644</v>
      </c>
      <c r="J5777" s="14" t="str">
        <f>HYPERLINK("https://www.boe.es/gazeta/dias/1839/12/03/pdfs/GMD-1839-1850.pdf#page=1","Abrir facsímil")</f>
        <v>Abrir facsímil</v>
      </c>
      <c r="K5777" s="12" t="s">
        <v>65</v>
      </c>
    </row>
    <row r="5778" spans="1:11" ht="40.049999999999997" customHeight="1" x14ac:dyDescent="0.25">
      <c r="A5778" s="11" t="s">
        <v>12645</v>
      </c>
      <c r="B5778" s="11" t="s">
        <v>12646</v>
      </c>
      <c r="C5778" s="11" t="s">
        <v>137</v>
      </c>
      <c r="D5778" s="11" t="s">
        <v>18</v>
      </c>
      <c r="E5778" s="12" t="s">
        <v>254</v>
      </c>
      <c r="F5778" s="12" t="s">
        <v>255</v>
      </c>
      <c r="G5778" s="12" t="s">
        <v>40</v>
      </c>
      <c r="H5778" s="11" t="s">
        <v>63</v>
      </c>
      <c r="I5778" s="13" t="s">
        <v>12647</v>
      </c>
      <c r="J5778" s="14" t="str">
        <f>HYPERLINK("https://www.boe.es/gazeta/dias/1839/09/12/pdfs/GMD-1839-1765.pdf#page=2","Abrir facsímil")</f>
        <v>Abrir facsímil</v>
      </c>
      <c r="K5778" s="12" t="s">
        <v>65</v>
      </c>
    </row>
    <row r="5779" spans="1:11" ht="40.049999999999997" customHeight="1" x14ac:dyDescent="0.25">
      <c r="A5779" s="11" t="s">
        <v>12648</v>
      </c>
      <c r="B5779" s="11" t="s">
        <v>12649</v>
      </c>
      <c r="C5779" s="11" t="s">
        <v>17</v>
      </c>
      <c r="D5779" s="11" t="s">
        <v>18</v>
      </c>
      <c r="E5779" s="12" t="s">
        <v>1388</v>
      </c>
      <c r="F5779" s="12" t="s">
        <v>1389</v>
      </c>
      <c r="G5779" s="12" t="s">
        <v>21</v>
      </c>
      <c r="H5779" s="11" t="s">
        <v>63</v>
      </c>
      <c r="I5779" s="13" t="s">
        <v>12650</v>
      </c>
      <c r="J5779" s="14" t="str">
        <f>HYPERLINK("https://www.boe.es/gazeta/dias/1839/06/04/pdfs/GMD-1839-1662.pdf#page=4","Abrir facsímil")</f>
        <v>Abrir facsímil</v>
      </c>
      <c r="K5779" s="12" t="s">
        <v>65</v>
      </c>
    </row>
    <row r="5780" spans="1:11" ht="40.049999999999997" customHeight="1" x14ac:dyDescent="0.25">
      <c r="A5780" s="11" t="s">
        <v>12651</v>
      </c>
      <c r="B5780" s="11" t="s">
        <v>12652</v>
      </c>
      <c r="C5780" s="11" t="s">
        <v>59</v>
      </c>
      <c r="D5780" s="11" t="s">
        <v>60</v>
      </c>
      <c r="E5780" s="12" t="s">
        <v>2021</v>
      </c>
      <c r="F5780" s="12" t="s">
        <v>2022</v>
      </c>
      <c r="G5780" s="12" t="s">
        <v>46</v>
      </c>
      <c r="H5780" s="11" t="s">
        <v>22</v>
      </c>
      <c r="I5780" s="13" t="s">
        <v>12653</v>
      </c>
      <c r="J5780" s="14" t="str">
        <f>HYPERLINK("https://www.boe.es/gazeta/dias/1839/02/17/pdfs/GMD-1839-1555.pdf#page=3","Abrir facsímil")</f>
        <v>Abrir facsímil</v>
      </c>
      <c r="K5780" s="12" t="s">
        <v>24</v>
      </c>
    </row>
    <row r="5781" spans="1:11" ht="40.049999999999997" customHeight="1" x14ac:dyDescent="0.25">
      <c r="A5781" s="11" t="s">
        <v>12654</v>
      </c>
      <c r="B5781" s="11" t="s">
        <v>12655</v>
      </c>
      <c r="C5781" s="11" t="s">
        <v>137</v>
      </c>
      <c r="D5781" s="11" t="s">
        <v>18</v>
      </c>
      <c r="E5781" s="12" t="s">
        <v>1623</v>
      </c>
      <c r="F5781" s="12" t="s">
        <v>1624</v>
      </c>
      <c r="G5781" s="12" t="s">
        <v>46</v>
      </c>
      <c r="H5781" s="11" t="s">
        <v>63</v>
      </c>
      <c r="I5781" s="13" t="s">
        <v>12656</v>
      </c>
      <c r="J5781" s="14" t="str">
        <f>HYPERLINK("https://www.boe.es/gazeta/dias/1839/04/07/pdfs/GMD-1839-1604.pdf#page=3","Abrir facsímil")</f>
        <v>Abrir facsímil</v>
      </c>
      <c r="K5781" s="12" t="s">
        <v>65</v>
      </c>
    </row>
    <row r="5782" spans="1:11" ht="40.049999999999997" customHeight="1" x14ac:dyDescent="0.25">
      <c r="A5782" s="11" t="s">
        <v>12654</v>
      </c>
      <c r="B5782" s="11" t="s">
        <v>12655</v>
      </c>
      <c r="C5782" s="11" t="s">
        <v>17</v>
      </c>
      <c r="D5782" s="11" t="s">
        <v>18</v>
      </c>
      <c r="E5782" s="12" t="s">
        <v>1310</v>
      </c>
      <c r="F5782" s="12" t="s">
        <v>1311</v>
      </c>
      <c r="G5782" s="12" t="s">
        <v>40</v>
      </c>
      <c r="H5782" s="11" t="s">
        <v>63</v>
      </c>
      <c r="I5782" s="13" t="s">
        <v>12657</v>
      </c>
      <c r="J5782" s="14" t="str">
        <f>HYPERLINK("https://www.boe.es/gazeta/dias/1839/04/23/pdfs/GMD-1839-1620.pdf#page=2","Abrir facsímil")</f>
        <v>Abrir facsímil</v>
      </c>
      <c r="K5782" s="12" t="s">
        <v>65</v>
      </c>
    </row>
    <row r="5783" spans="1:11" ht="40.049999999999997" customHeight="1" x14ac:dyDescent="0.25">
      <c r="A5783" s="11" t="s">
        <v>12658</v>
      </c>
      <c r="B5783" s="11" t="s">
        <v>12659</v>
      </c>
      <c r="C5783" s="11" t="s">
        <v>59</v>
      </c>
      <c r="D5783" s="11" t="s">
        <v>60</v>
      </c>
      <c r="E5783" s="12" t="s">
        <v>2482</v>
      </c>
      <c r="F5783" s="12" t="s">
        <v>2483</v>
      </c>
      <c r="G5783" s="12" t="s">
        <v>40</v>
      </c>
      <c r="H5783" s="11" t="s">
        <v>63</v>
      </c>
      <c r="I5783" s="13" t="s">
        <v>12660</v>
      </c>
      <c r="J5783" s="14" t="str">
        <f>HYPERLINK("https://www.boe.es/gazeta/dias/1839/07/07/pdfs/GMD-1839-1695.pdf#page=2","Abrir facsímil")</f>
        <v>Abrir facsímil</v>
      </c>
      <c r="K5783" s="12" t="s">
        <v>65</v>
      </c>
    </row>
    <row r="5784" spans="1:11" ht="40.049999999999997" customHeight="1" x14ac:dyDescent="0.25">
      <c r="A5784" s="11" t="s">
        <v>12661</v>
      </c>
      <c r="B5784" s="11" t="s">
        <v>12662</v>
      </c>
      <c r="C5784" s="11" t="s">
        <v>17</v>
      </c>
      <c r="D5784" s="11" t="s">
        <v>18</v>
      </c>
      <c r="E5784" s="12" t="s">
        <v>1179</v>
      </c>
      <c r="F5784" s="12" t="s">
        <v>1180</v>
      </c>
      <c r="G5784" s="12" t="s">
        <v>566</v>
      </c>
      <c r="H5784" s="11" t="s">
        <v>63</v>
      </c>
      <c r="I5784" s="13" t="s">
        <v>12663</v>
      </c>
      <c r="J5784" s="14" t="str">
        <f>HYPERLINK("https://www.boe.es/gazeta/dias/1839/10/18/pdfs/GMD-1839-1804.pdf#page=5","Abrir facsímil")</f>
        <v>Abrir facsímil</v>
      </c>
      <c r="K5784" s="12" t="s">
        <v>65</v>
      </c>
    </row>
    <row r="5785" spans="1:11" ht="40.049999999999997" customHeight="1" x14ac:dyDescent="0.25">
      <c r="A5785" s="11" t="s">
        <v>12664</v>
      </c>
      <c r="B5785" s="11" t="s">
        <v>12665</v>
      </c>
      <c r="C5785" s="11" t="s">
        <v>17</v>
      </c>
      <c r="D5785" s="11" t="s">
        <v>18</v>
      </c>
      <c r="E5785" s="12" t="s">
        <v>2165</v>
      </c>
      <c r="F5785" s="12" t="s">
        <v>2166</v>
      </c>
      <c r="G5785" s="12" t="s">
        <v>46</v>
      </c>
      <c r="H5785" s="11" t="s">
        <v>63</v>
      </c>
      <c r="I5785" s="13" t="s">
        <v>12666</v>
      </c>
      <c r="J5785" s="14" t="str">
        <f>HYPERLINK("https://www.boe.es/gazeta/dias/1839/01/06/pdfs/GMD-1839-1513.pdf#page=3","Abrir facsímil")</f>
        <v>Abrir facsímil</v>
      </c>
      <c r="K5785" s="12" t="s">
        <v>65</v>
      </c>
    </row>
    <row r="5786" spans="1:11" ht="40.049999999999997" customHeight="1" x14ac:dyDescent="0.25">
      <c r="A5786" s="11" t="s">
        <v>12664</v>
      </c>
      <c r="B5786" s="11" t="s">
        <v>12665</v>
      </c>
      <c r="C5786" s="11" t="s">
        <v>17</v>
      </c>
      <c r="D5786" s="11" t="s">
        <v>18</v>
      </c>
      <c r="E5786" s="12" t="s">
        <v>647</v>
      </c>
      <c r="F5786" s="12" t="s">
        <v>648</v>
      </c>
      <c r="G5786" s="12" t="s">
        <v>40</v>
      </c>
      <c r="H5786" s="11" t="s">
        <v>63</v>
      </c>
      <c r="I5786" s="13" t="s">
        <v>12667</v>
      </c>
      <c r="J5786" s="14" t="str">
        <f>HYPERLINK("https://www.boe.es/gazeta/dias/1839/10/08/pdfs/GMD-1839-1794.pdf#page=2","Abrir facsímil")</f>
        <v>Abrir facsímil</v>
      </c>
      <c r="K5786" s="12" t="s">
        <v>65</v>
      </c>
    </row>
    <row r="5787" spans="1:11" ht="40.049999999999997" customHeight="1" x14ac:dyDescent="0.25">
      <c r="A5787" s="11" t="s">
        <v>12664</v>
      </c>
      <c r="B5787" s="11" t="s">
        <v>12665</v>
      </c>
      <c r="C5787" s="11" t="s">
        <v>137</v>
      </c>
      <c r="D5787" s="11" t="s">
        <v>18</v>
      </c>
      <c r="E5787" s="12" t="s">
        <v>647</v>
      </c>
      <c r="F5787" s="12" t="s">
        <v>648</v>
      </c>
      <c r="G5787" s="12" t="s">
        <v>305</v>
      </c>
      <c r="H5787" s="11" t="s">
        <v>63</v>
      </c>
      <c r="I5787" s="13" t="s">
        <v>12668</v>
      </c>
      <c r="J5787" s="14" t="str">
        <f>HYPERLINK("https://www.boe.es/gazeta/dias/1839/10/08/pdfs/GMD-1839-1794.pdf#page=6","Abrir facsímil")</f>
        <v>Abrir facsímil</v>
      </c>
      <c r="K5787" s="12" t="s">
        <v>65</v>
      </c>
    </row>
    <row r="5788" spans="1:11" ht="40.049999999999997" customHeight="1" x14ac:dyDescent="0.25">
      <c r="A5788" s="11" t="s">
        <v>12669</v>
      </c>
      <c r="B5788" s="11" t="s">
        <v>12670</v>
      </c>
      <c r="C5788" s="11" t="s">
        <v>80</v>
      </c>
      <c r="D5788" s="11" t="s">
        <v>18</v>
      </c>
      <c r="E5788" s="12" t="s">
        <v>160</v>
      </c>
      <c r="F5788" s="12" t="s">
        <v>161</v>
      </c>
      <c r="G5788" s="12" t="s">
        <v>46</v>
      </c>
      <c r="H5788" s="11" t="s">
        <v>63</v>
      </c>
      <c r="I5788" s="13" t="s">
        <v>12671</v>
      </c>
      <c r="J5788" s="14" t="str">
        <f>HYPERLINK("https://www.boe.es/gazeta/dias/1839/01/10/pdfs/GMD-1839-1517.pdf#page=3","Abrir facsímil")</f>
        <v>Abrir facsímil</v>
      </c>
      <c r="K5788" s="12" t="s">
        <v>65</v>
      </c>
    </row>
    <row r="5789" spans="1:11" ht="40.049999999999997" customHeight="1" x14ac:dyDescent="0.25">
      <c r="A5789" s="11" t="s">
        <v>12664</v>
      </c>
      <c r="B5789" s="11" t="s">
        <v>12665</v>
      </c>
      <c r="C5789" s="11" t="s">
        <v>137</v>
      </c>
      <c r="D5789" s="11" t="s">
        <v>18</v>
      </c>
      <c r="E5789" s="12" t="s">
        <v>254</v>
      </c>
      <c r="F5789" s="12" t="s">
        <v>255</v>
      </c>
      <c r="G5789" s="12" t="s">
        <v>40</v>
      </c>
      <c r="H5789" s="11" t="s">
        <v>63</v>
      </c>
      <c r="I5789" s="13" t="s">
        <v>12672</v>
      </c>
      <c r="J5789" s="14" t="str">
        <f>HYPERLINK("https://www.boe.es/gazeta/dias/1839/09/12/pdfs/GMD-1839-1765.pdf#page=2","Abrir facsímil")</f>
        <v>Abrir facsímil</v>
      </c>
      <c r="K5789" s="12" t="s">
        <v>65</v>
      </c>
    </row>
    <row r="5790" spans="1:11" ht="40.049999999999997" customHeight="1" x14ac:dyDescent="0.25">
      <c r="A5790" s="11" t="s">
        <v>12669</v>
      </c>
      <c r="B5790" s="11" t="s">
        <v>12670</v>
      </c>
      <c r="C5790" s="11" t="s">
        <v>17</v>
      </c>
      <c r="D5790" s="11" t="s">
        <v>18</v>
      </c>
      <c r="E5790" s="12" t="s">
        <v>163</v>
      </c>
      <c r="F5790" s="12" t="s">
        <v>164</v>
      </c>
      <c r="G5790" s="12" t="s">
        <v>40</v>
      </c>
      <c r="H5790" s="11" t="s">
        <v>63</v>
      </c>
      <c r="I5790" s="13" t="s">
        <v>12673</v>
      </c>
      <c r="J5790" s="14" t="str">
        <f>HYPERLINK("https://www.boe.es/gazeta/dias/1839/01/13/pdfs/GMD-1839-1520.pdf#page=2","Abrir facsímil")</f>
        <v>Abrir facsímil</v>
      </c>
      <c r="K5790" s="12" t="s">
        <v>65</v>
      </c>
    </row>
    <row r="5791" spans="1:11" ht="40.049999999999997" customHeight="1" x14ac:dyDescent="0.25">
      <c r="A5791" s="11" t="s">
        <v>12664</v>
      </c>
      <c r="B5791" s="11" t="s">
        <v>12665</v>
      </c>
      <c r="C5791" s="11" t="s">
        <v>17</v>
      </c>
      <c r="D5791" s="11" t="s">
        <v>18</v>
      </c>
      <c r="E5791" s="12" t="s">
        <v>1179</v>
      </c>
      <c r="F5791" s="12" t="s">
        <v>1180</v>
      </c>
      <c r="G5791" s="12" t="s">
        <v>21</v>
      </c>
      <c r="H5791" s="11" t="s">
        <v>63</v>
      </c>
      <c r="I5791" s="13" t="s">
        <v>12674</v>
      </c>
      <c r="J5791" s="14" t="str">
        <f>HYPERLINK("https://www.boe.es/gazeta/dias/1839/10/18/pdfs/GMD-1839-1804.pdf#page=4","Abrir facsímil")</f>
        <v>Abrir facsímil</v>
      </c>
      <c r="K5791" s="12" t="s">
        <v>65</v>
      </c>
    </row>
    <row r="5792" spans="1:11" ht="40.049999999999997" customHeight="1" x14ac:dyDescent="0.25">
      <c r="A5792" s="11" t="s">
        <v>12664</v>
      </c>
      <c r="B5792" s="11" t="s">
        <v>12665</v>
      </c>
      <c r="C5792" s="11" t="s">
        <v>80</v>
      </c>
      <c r="D5792" s="11" t="s">
        <v>18</v>
      </c>
      <c r="E5792" s="12" t="s">
        <v>1679</v>
      </c>
      <c r="F5792" s="12" t="s">
        <v>1680</v>
      </c>
      <c r="G5792" s="12" t="s">
        <v>21</v>
      </c>
      <c r="H5792" s="11" t="s">
        <v>63</v>
      </c>
      <c r="I5792" s="13" t="s">
        <v>12675</v>
      </c>
      <c r="J5792" s="14" t="str">
        <f>HYPERLINK("https://www.boe.es/gazeta/dias/1839/01/26/pdfs/GMD-1839-1533.pdf#page=4","Abrir facsímil")</f>
        <v>Abrir facsímil</v>
      </c>
      <c r="K5792" s="12" t="s">
        <v>65</v>
      </c>
    </row>
    <row r="5793" spans="1:11" ht="40.049999999999997" customHeight="1" x14ac:dyDescent="0.25">
      <c r="A5793" s="11" t="s">
        <v>12676</v>
      </c>
      <c r="B5793" s="11" t="s">
        <v>12677</v>
      </c>
      <c r="C5793" s="11" t="s">
        <v>17</v>
      </c>
      <c r="D5793" s="11" t="s">
        <v>18</v>
      </c>
      <c r="E5793" s="12" t="s">
        <v>2949</v>
      </c>
      <c r="F5793" s="12" t="s">
        <v>2950</v>
      </c>
      <c r="G5793" s="12" t="s">
        <v>29</v>
      </c>
      <c r="H5793" s="11" t="s">
        <v>63</v>
      </c>
      <c r="I5793" s="13" t="s">
        <v>12678</v>
      </c>
      <c r="J5793" s="14" t="str">
        <f>HYPERLINK("https://www.boe.es/gazeta/dias/1839/10/21/pdfs/GMD-1839-1807.pdf#page=1","Abrir facsímil")</f>
        <v>Abrir facsímil</v>
      </c>
      <c r="K5793" s="12" t="s">
        <v>65</v>
      </c>
    </row>
    <row r="5794" spans="1:11" ht="40.049999999999997" customHeight="1" x14ac:dyDescent="0.25">
      <c r="A5794" s="11" t="s">
        <v>12679</v>
      </c>
      <c r="B5794" s="11" t="s">
        <v>12680</v>
      </c>
      <c r="C5794" s="11" t="s">
        <v>59</v>
      </c>
      <c r="D5794" s="11" t="s">
        <v>60</v>
      </c>
      <c r="E5794" s="12" t="s">
        <v>4055</v>
      </c>
      <c r="F5794" s="12" t="s">
        <v>4056</v>
      </c>
      <c r="G5794" s="12" t="s">
        <v>40</v>
      </c>
      <c r="H5794" s="11" t="s">
        <v>63</v>
      </c>
      <c r="I5794" s="13" t="s">
        <v>12681</v>
      </c>
      <c r="J5794" s="14" t="str">
        <f>HYPERLINK("https://www.boe.es/gazeta/dias/1839/03/07/pdfs/GMD-1839-1573.pdf#page=2","Abrir facsímil")</f>
        <v>Abrir facsímil</v>
      </c>
      <c r="K5794" s="12" t="s">
        <v>65</v>
      </c>
    </row>
    <row r="5795" spans="1:11" ht="40.049999999999997" customHeight="1" x14ac:dyDescent="0.25">
      <c r="A5795" s="11" t="s">
        <v>12682</v>
      </c>
      <c r="B5795" s="11" t="s">
        <v>12683</v>
      </c>
      <c r="C5795" s="11" t="s">
        <v>17</v>
      </c>
      <c r="D5795" s="11" t="s">
        <v>18</v>
      </c>
      <c r="E5795" s="12" t="s">
        <v>1479</v>
      </c>
      <c r="F5795" s="12" t="s">
        <v>1480</v>
      </c>
      <c r="G5795" s="12" t="s">
        <v>40</v>
      </c>
      <c r="H5795" s="11" t="s">
        <v>63</v>
      </c>
      <c r="I5795" s="13" t="s">
        <v>12684</v>
      </c>
      <c r="J5795" s="14" t="str">
        <f>HYPERLINK("https://www.boe.es/gazeta/dias/1839/04/09/pdfs/GMD-1839-1606.pdf#page=2","Abrir facsímil")</f>
        <v>Abrir facsímil</v>
      </c>
      <c r="K5795" s="12" t="s">
        <v>65</v>
      </c>
    </row>
    <row r="5796" spans="1:11" ht="40.049999999999997" customHeight="1" x14ac:dyDescent="0.25">
      <c r="A5796" s="11" t="s">
        <v>12685</v>
      </c>
      <c r="B5796" s="11" t="s">
        <v>12686</v>
      </c>
      <c r="C5796" s="11" t="s">
        <v>17</v>
      </c>
      <c r="D5796" s="11" t="s">
        <v>18</v>
      </c>
      <c r="E5796" s="12" t="s">
        <v>3114</v>
      </c>
      <c r="F5796" s="12" t="s">
        <v>3115</v>
      </c>
      <c r="G5796" s="12" t="s">
        <v>29</v>
      </c>
      <c r="H5796" s="11" t="s">
        <v>63</v>
      </c>
      <c r="I5796" s="13" t="s">
        <v>12687</v>
      </c>
      <c r="J5796" s="14" t="str">
        <f>HYPERLINK("https://www.boe.es/gazeta/dias/1839/05/15/pdfs/GMD-1839-1642.pdf#page=1","Abrir facsímil")</f>
        <v>Abrir facsímil</v>
      </c>
      <c r="K5796" s="12" t="s">
        <v>65</v>
      </c>
    </row>
    <row r="5797" spans="1:11" ht="40.049999999999997" customHeight="1" x14ac:dyDescent="0.25">
      <c r="A5797" s="11" t="s">
        <v>12688</v>
      </c>
      <c r="B5797" s="11" t="s">
        <v>12689</v>
      </c>
      <c r="C5797" s="11" t="s">
        <v>80</v>
      </c>
      <c r="D5797" s="11" t="s">
        <v>18</v>
      </c>
      <c r="E5797" s="12" t="s">
        <v>1479</v>
      </c>
      <c r="F5797" s="12" t="s">
        <v>1480</v>
      </c>
      <c r="G5797" s="12" t="s">
        <v>40</v>
      </c>
      <c r="H5797" s="11" t="s">
        <v>63</v>
      </c>
      <c r="I5797" s="13" t="s">
        <v>12690</v>
      </c>
      <c r="J5797" s="14" t="str">
        <f>HYPERLINK("https://www.boe.es/gazeta/dias/1839/04/09/pdfs/GMD-1839-1606.pdf#page=2","Abrir facsímil")</f>
        <v>Abrir facsímil</v>
      </c>
      <c r="K5797" s="12" t="s">
        <v>65</v>
      </c>
    </row>
    <row r="5798" spans="1:11" ht="40.049999999999997" customHeight="1" x14ac:dyDescent="0.25">
      <c r="A5798" s="11" t="s">
        <v>12688</v>
      </c>
      <c r="B5798" s="11" t="s">
        <v>12689</v>
      </c>
      <c r="C5798" s="11" t="s">
        <v>59</v>
      </c>
      <c r="D5798" s="11" t="s">
        <v>60</v>
      </c>
      <c r="E5798" s="12" t="s">
        <v>1374</v>
      </c>
      <c r="F5798" s="12" t="s">
        <v>1375</v>
      </c>
      <c r="G5798" s="12" t="s">
        <v>40</v>
      </c>
      <c r="H5798" s="11" t="s">
        <v>63</v>
      </c>
      <c r="I5798" s="13" t="s">
        <v>12691</v>
      </c>
      <c r="J5798" s="14" t="str">
        <f>HYPERLINK("https://www.boe.es/gazeta/dias/1839/07/20/pdfs/GMD-1839-1708.pdf#page=2","Abrir facsímil")</f>
        <v>Abrir facsímil</v>
      </c>
      <c r="K5798" s="12" t="s">
        <v>65</v>
      </c>
    </row>
    <row r="5799" spans="1:11" ht="40.049999999999997" customHeight="1" x14ac:dyDescent="0.25">
      <c r="A5799" s="11" t="s">
        <v>12692</v>
      </c>
      <c r="B5799" s="11" t="s">
        <v>12693</v>
      </c>
      <c r="C5799" s="11" t="s">
        <v>17</v>
      </c>
      <c r="D5799" s="11" t="s">
        <v>18</v>
      </c>
      <c r="E5799" s="12" t="s">
        <v>1685</v>
      </c>
      <c r="F5799" s="12" t="s">
        <v>1686</v>
      </c>
      <c r="G5799" s="12" t="s">
        <v>40</v>
      </c>
      <c r="H5799" s="11" t="s">
        <v>63</v>
      </c>
      <c r="I5799" s="13" t="s">
        <v>12694</v>
      </c>
      <c r="J5799" s="14" t="str">
        <f>HYPERLINK("https://www.boe.es/gazeta/dias/1839/04/27/pdfs/GMD-1839-1624.pdf#page=2","Abrir facsímil")</f>
        <v>Abrir facsímil</v>
      </c>
      <c r="K5799" s="12" t="s">
        <v>65</v>
      </c>
    </row>
    <row r="5800" spans="1:11" ht="40.049999999999997" customHeight="1" x14ac:dyDescent="0.25">
      <c r="A5800" s="11" t="s">
        <v>12695</v>
      </c>
      <c r="B5800" s="11" t="s">
        <v>12696</v>
      </c>
      <c r="C5800" s="11" t="s">
        <v>137</v>
      </c>
      <c r="D5800" s="11" t="s">
        <v>18</v>
      </c>
      <c r="E5800" s="12" t="s">
        <v>1374</v>
      </c>
      <c r="F5800" s="12" t="s">
        <v>1375</v>
      </c>
      <c r="G5800" s="12" t="s">
        <v>29</v>
      </c>
      <c r="H5800" s="11" t="s">
        <v>63</v>
      </c>
      <c r="I5800" s="13" t="s">
        <v>12697</v>
      </c>
      <c r="J5800" s="14" t="str">
        <f>HYPERLINK("https://www.boe.es/gazeta/dias/1839/07/20/pdfs/GMD-1839-1708.pdf#page=1","Abrir facsímil")</f>
        <v>Abrir facsímil</v>
      </c>
      <c r="K5800" s="12" t="s">
        <v>65</v>
      </c>
    </row>
    <row r="5801" spans="1:11" ht="40.049999999999997" customHeight="1" x14ac:dyDescent="0.25">
      <c r="A5801" s="11" t="s">
        <v>12698</v>
      </c>
      <c r="B5801" s="11" t="s">
        <v>12699</v>
      </c>
      <c r="C5801" s="11" t="s">
        <v>17</v>
      </c>
      <c r="D5801" s="11" t="s">
        <v>18</v>
      </c>
      <c r="E5801" s="12" t="s">
        <v>720</v>
      </c>
      <c r="F5801" s="12" t="s">
        <v>721</v>
      </c>
      <c r="G5801" s="12" t="s">
        <v>40</v>
      </c>
      <c r="H5801" s="11" t="s">
        <v>63</v>
      </c>
      <c r="I5801" s="13" t="s">
        <v>12700</v>
      </c>
      <c r="J5801" s="14" t="str">
        <f>HYPERLINK("https://www.boe.es/gazeta/dias/1839/01/14/pdfs/GMD-1839-1521.pdf#page=2","Abrir facsímil")</f>
        <v>Abrir facsímil</v>
      </c>
      <c r="K5801" s="12" t="s">
        <v>65</v>
      </c>
    </row>
    <row r="5802" spans="1:11" ht="40.049999999999997" customHeight="1" x14ac:dyDescent="0.25">
      <c r="A5802" s="11" t="s">
        <v>12698</v>
      </c>
      <c r="B5802" s="11" t="s">
        <v>12699</v>
      </c>
      <c r="C5802" s="11" t="s">
        <v>59</v>
      </c>
      <c r="D5802" s="11" t="s">
        <v>60</v>
      </c>
      <c r="E5802" s="12" t="s">
        <v>2021</v>
      </c>
      <c r="F5802" s="12" t="s">
        <v>2022</v>
      </c>
      <c r="G5802" s="12" t="s">
        <v>46</v>
      </c>
      <c r="H5802" s="11" t="s">
        <v>63</v>
      </c>
      <c r="I5802" s="13" t="s">
        <v>12701</v>
      </c>
      <c r="J5802" s="14" t="str">
        <f>HYPERLINK("https://www.boe.es/gazeta/dias/1839/02/17/pdfs/GMD-1839-1555.pdf#page=3","Abrir facsímil")</f>
        <v>Abrir facsímil</v>
      </c>
      <c r="K5802" s="12" t="s">
        <v>65</v>
      </c>
    </row>
    <row r="5803" spans="1:11" ht="40.049999999999997" customHeight="1" x14ac:dyDescent="0.25">
      <c r="A5803" s="11" t="s">
        <v>12698</v>
      </c>
      <c r="B5803" s="11" t="s">
        <v>12699</v>
      </c>
      <c r="C5803" s="11" t="s">
        <v>59</v>
      </c>
      <c r="D5803" s="11" t="s">
        <v>60</v>
      </c>
      <c r="E5803" s="12" t="s">
        <v>94</v>
      </c>
      <c r="F5803" s="12" t="s">
        <v>95</v>
      </c>
      <c r="G5803" s="12" t="s">
        <v>46</v>
      </c>
      <c r="H5803" s="11" t="s">
        <v>63</v>
      </c>
      <c r="I5803" s="13" t="s">
        <v>12702</v>
      </c>
      <c r="J5803" s="14" t="str">
        <f>HYPERLINK("https://www.boe.es/gazeta/dias/1839/02/24/pdfs/GMD-1839-1562.pdf#page=3","Abrir facsímil")</f>
        <v>Abrir facsímil</v>
      </c>
      <c r="K5803" s="12" t="s">
        <v>65</v>
      </c>
    </row>
    <row r="5804" spans="1:11" ht="40.049999999999997" customHeight="1" x14ac:dyDescent="0.25">
      <c r="A5804" s="11" t="s">
        <v>12703</v>
      </c>
      <c r="B5804" s="11" t="s">
        <v>12704</v>
      </c>
      <c r="C5804" s="11" t="s">
        <v>80</v>
      </c>
      <c r="D5804" s="11" t="s">
        <v>18</v>
      </c>
      <c r="E5804" s="12" t="s">
        <v>1019</v>
      </c>
      <c r="F5804" s="12" t="s">
        <v>1020</v>
      </c>
      <c r="G5804" s="12" t="s">
        <v>40</v>
      </c>
      <c r="H5804" s="11" t="s">
        <v>63</v>
      </c>
      <c r="I5804" s="13" t="s">
        <v>12705</v>
      </c>
      <c r="J5804" s="14" t="str">
        <f>HYPERLINK("https://www.boe.es/gazeta/dias/1839/07/15/pdfs/GMD-1839-1703.pdf#page=2","Abrir facsímil")</f>
        <v>Abrir facsímil</v>
      </c>
      <c r="K5804" s="12" t="s">
        <v>65</v>
      </c>
    </row>
    <row r="5805" spans="1:11" ht="40.049999999999997" customHeight="1" x14ac:dyDescent="0.25">
      <c r="A5805" s="11" t="s">
        <v>12706</v>
      </c>
      <c r="B5805" s="11" t="s">
        <v>12707</v>
      </c>
      <c r="C5805" s="11" t="s">
        <v>17</v>
      </c>
      <c r="D5805" s="11" t="s">
        <v>18</v>
      </c>
      <c r="E5805" s="12" t="s">
        <v>1118</v>
      </c>
      <c r="F5805" s="12" t="s">
        <v>1119</v>
      </c>
      <c r="G5805" s="12" t="s">
        <v>21</v>
      </c>
      <c r="H5805" s="11" t="s">
        <v>63</v>
      </c>
      <c r="I5805" s="13" t="s">
        <v>12708</v>
      </c>
      <c r="J5805" s="14" t="str">
        <f>HYPERLINK("https://www.boe.es/gazeta/dias/1839/08/30/pdfs/GMD-1839-1751.pdf#page=4","Abrir facsímil")</f>
        <v>Abrir facsímil</v>
      </c>
      <c r="K5805" s="12" t="s">
        <v>65</v>
      </c>
    </row>
    <row r="5806" spans="1:11" ht="40.049999999999997" customHeight="1" x14ac:dyDescent="0.25">
      <c r="A5806" s="11" t="s">
        <v>12709</v>
      </c>
      <c r="B5806" s="11" t="s">
        <v>12710</v>
      </c>
      <c r="C5806" s="11" t="s">
        <v>80</v>
      </c>
      <c r="D5806" s="11" t="s">
        <v>18</v>
      </c>
      <c r="E5806" s="12" t="s">
        <v>2378</v>
      </c>
      <c r="F5806" s="12" t="s">
        <v>2379</v>
      </c>
      <c r="G5806" s="12" t="s">
        <v>21</v>
      </c>
      <c r="H5806" s="11" t="s">
        <v>63</v>
      </c>
      <c r="I5806" s="13" t="s">
        <v>12711</v>
      </c>
      <c r="J5806" s="14" t="str">
        <f>HYPERLINK("https://www.boe.es/gazeta/dias/1839/06/20/pdfs/GMD-1839-1678.pdf#page=4","Abrir facsímil")</f>
        <v>Abrir facsímil</v>
      </c>
      <c r="K5806" s="12" t="s">
        <v>65</v>
      </c>
    </row>
    <row r="5807" spans="1:11" ht="40.049999999999997" customHeight="1" x14ac:dyDescent="0.25">
      <c r="A5807" s="11" t="s">
        <v>12712</v>
      </c>
      <c r="B5807" s="11" t="s">
        <v>12713</v>
      </c>
      <c r="C5807" s="11" t="s">
        <v>59</v>
      </c>
      <c r="D5807" s="11" t="s">
        <v>60</v>
      </c>
      <c r="E5807" s="12" t="s">
        <v>1388</v>
      </c>
      <c r="F5807" s="12" t="s">
        <v>1389</v>
      </c>
      <c r="G5807" s="12" t="s">
        <v>29</v>
      </c>
      <c r="H5807" s="11" t="s">
        <v>63</v>
      </c>
      <c r="I5807" s="13" t="s">
        <v>12714</v>
      </c>
      <c r="J5807" s="14" t="str">
        <f>HYPERLINK("https://www.boe.es/gazeta/dias/1839/06/04/pdfs/GMD-1839-1662.pdf#page=1","Abrir facsímil")</f>
        <v>Abrir facsímil</v>
      </c>
      <c r="K5807" s="12" t="s">
        <v>65</v>
      </c>
    </row>
    <row r="5808" spans="1:11" ht="40.049999999999997" customHeight="1" x14ac:dyDescent="0.25">
      <c r="A5808" s="11" t="s">
        <v>12712</v>
      </c>
      <c r="B5808" s="11" t="s">
        <v>12713</v>
      </c>
      <c r="C5808" s="11" t="s">
        <v>17</v>
      </c>
      <c r="D5808" s="11" t="s">
        <v>18</v>
      </c>
      <c r="E5808" s="12" t="s">
        <v>1108</v>
      </c>
      <c r="F5808" s="12" t="s">
        <v>1109</v>
      </c>
      <c r="G5808" s="12" t="s">
        <v>21</v>
      </c>
      <c r="H5808" s="11" t="s">
        <v>63</v>
      </c>
      <c r="I5808" s="13" t="s">
        <v>12715</v>
      </c>
      <c r="J5808" s="14" t="str">
        <f>HYPERLINK("https://www.boe.es/gazeta/dias/1839/09/21/pdfs/GMD-1839-1776.pdf#page=4","Abrir facsímil")</f>
        <v>Abrir facsímil</v>
      </c>
      <c r="K5808" s="12" t="s">
        <v>65</v>
      </c>
    </row>
    <row r="5809" spans="1:11" ht="40.049999999999997" customHeight="1" x14ac:dyDescent="0.25">
      <c r="A5809" s="11" t="s">
        <v>12716</v>
      </c>
      <c r="B5809" s="11" t="s">
        <v>12717</v>
      </c>
      <c r="C5809" s="11" t="s">
        <v>17</v>
      </c>
      <c r="D5809" s="11" t="s">
        <v>18</v>
      </c>
      <c r="E5809" s="12" t="s">
        <v>4787</v>
      </c>
      <c r="F5809" s="12" t="s">
        <v>4788</v>
      </c>
      <c r="G5809" s="12" t="s">
        <v>40</v>
      </c>
      <c r="H5809" s="11" t="s">
        <v>63</v>
      </c>
      <c r="I5809" s="13" t="s">
        <v>12718</v>
      </c>
      <c r="J5809" s="14" t="str">
        <f>HYPERLINK("https://www.boe.es/gazeta/dias/1839/05/26/pdfs/GMD-1839-1653.pdf#page=2","Abrir facsímil")</f>
        <v>Abrir facsímil</v>
      </c>
      <c r="K5809" s="12" t="s">
        <v>65</v>
      </c>
    </row>
    <row r="5810" spans="1:11" ht="40.049999999999997" customHeight="1" x14ac:dyDescent="0.25">
      <c r="A5810" s="11" t="s">
        <v>12719</v>
      </c>
      <c r="B5810" s="11" t="s">
        <v>12720</v>
      </c>
      <c r="C5810" s="11" t="s">
        <v>59</v>
      </c>
      <c r="D5810" s="11" t="s">
        <v>60</v>
      </c>
      <c r="E5810" s="12" t="s">
        <v>870</v>
      </c>
      <c r="F5810" s="12" t="s">
        <v>871</v>
      </c>
      <c r="G5810" s="12" t="s">
        <v>46</v>
      </c>
      <c r="H5810" s="11" t="s">
        <v>63</v>
      </c>
      <c r="I5810" s="13" t="s">
        <v>12721</v>
      </c>
      <c r="J5810" s="14" t="str">
        <f>HYPERLINK("https://www.boe.es/gazeta/dias/1839/04/18/pdfs/GMD-1839-1615.pdf#page=3","Abrir facsímil")</f>
        <v>Abrir facsímil</v>
      </c>
      <c r="K5810" s="12" t="s">
        <v>65</v>
      </c>
    </row>
    <row r="5811" spans="1:11" ht="40.049999999999997" customHeight="1" x14ac:dyDescent="0.25">
      <c r="A5811" s="11" t="s">
        <v>12722</v>
      </c>
      <c r="B5811" s="11" t="s">
        <v>12723</v>
      </c>
      <c r="C5811" s="11" t="s">
        <v>17</v>
      </c>
      <c r="D5811" s="11" t="s">
        <v>18</v>
      </c>
      <c r="E5811" s="12" t="s">
        <v>44</v>
      </c>
      <c r="F5811" s="12" t="s">
        <v>45</v>
      </c>
      <c r="G5811" s="12" t="s">
        <v>29</v>
      </c>
      <c r="H5811" s="11" t="s">
        <v>63</v>
      </c>
      <c r="I5811" s="13" t="s">
        <v>12724</v>
      </c>
      <c r="J5811" s="14" t="str">
        <f>HYPERLINK("https://www.boe.es/gazeta/dias/1839/11/15/pdfs/GMD-1839-1832.pdf#page=1","Abrir facsímil")</f>
        <v>Abrir facsímil</v>
      </c>
      <c r="K5811" s="12" t="s">
        <v>65</v>
      </c>
    </row>
    <row r="5812" spans="1:11" ht="40.049999999999997" customHeight="1" x14ac:dyDescent="0.25">
      <c r="A5812" s="11" t="s">
        <v>12725</v>
      </c>
      <c r="B5812" s="11" t="s">
        <v>12726</v>
      </c>
      <c r="C5812" s="11" t="s">
        <v>59</v>
      </c>
      <c r="D5812" s="11" t="s">
        <v>60</v>
      </c>
      <c r="E5812" s="12" t="s">
        <v>254</v>
      </c>
      <c r="F5812" s="12" t="s">
        <v>255</v>
      </c>
      <c r="G5812" s="12" t="s">
        <v>29</v>
      </c>
      <c r="H5812" s="11" t="s">
        <v>63</v>
      </c>
      <c r="I5812" s="13" t="s">
        <v>12727</v>
      </c>
      <c r="J5812" s="14" t="str">
        <f>HYPERLINK("https://www.boe.es/gazeta/dias/1839/09/12/pdfs/GMD-1839-1765.pdf#page=1","Abrir facsímil")</f>
        <v>Abrir facsímil</v>
      </c>
      <c r="K5812" s="12" t="s">
        <v>65</v>
      </c>
    </row>
    <row r="5813" spans="1:11" ht="40.049999999999997" customHeight="1" x14ac:dyDescent="0.25">
      <c r="A5813" s="11" t="s">
        <v>12728</v>
      </c>
      <c r="B5813" s="11" t="s">
        <v>12729</v>
      </c>
      <c r="C5813" s="11" t="s">
        <v>17</v>
      </c>
      <c r="D5813" s="11" t="s">
        <v>18</v>
      </c>
      <c r="E5813" s="12" t="s">
        <v>804</v>
      </c>
      <c r="F5813" s="12" t="s">
        <v>805</v>
      </c>
      <c r="G5813" s="12" t="s">
        <v>40</v>
      </c>
      <c r="H5813" s="11" t="s">
        <v>63</v>
      </c>
      <c r="I5813" s="13" t="s">
        <v>12730</v>
      </c>
      <c r="J5813" s="14" t="str">
        <f>HYPERLINK("https://www.boe.es/gazeta/dias/1839/01/08/pdfs/GMD-1839-1515.pdf#page=2","Abrir facsímil")</f>
        <v>Abrir facsímil</v>
      </c>
      <c r="K5813" s="12" t="s">
        <v>65</v>
      </c>
    </row>
    <row r="5814" spans="1:11" ht="40.049999999999997" customHeight="1" x14ac:dyDescent="0.25">
      <c r="A5814" s="11" t="s">
        <v>12731</v>
      </c>
      <c r="B5814" s="11" t="s">
        <v>12732</v>
      </c>
      <c r="C5814" s="11" t="s">
        <v>101</v>
      </c>
      <c r="D5814" s="11" t="s">
        <v>43</v>
      </c>
      <c r="E5814" s="12" t="s">
        <v>138</v>
      </c>
      <c r="F5814" s="12" t="s">
        <v>139</v>
      </c>
      <c r="G5814" s="12" t="s">
        <v>46</v>
      </c>
      <c r="H5814" s="11" t="s">
        <v>63</v>
      </c>
      <c r="I5814" s="13" t="s">
        <v>12733</v>
      </c>
      <c r="J5814" s="14" t="str">
        <f>HYPERLINK("https://www.boe.es/gazeta/dias/1839/10/09/pdfs/GMD-1839-1795.pdf#page=3","Abrir facsímil")</f>
        <v>Abrir facsímil</v>
      </c>
      <c r="K5814" s="12" t="s">
        <v>65</v>
      </c>
    </row>
    <row r="5815" spans="1:11" ht="40.049999999999997" customHeight="1" x14ac:dyDescent="0.25">
      <c r="A5815" s="11" t="s">
        <v>12734</v>
      </c>
      <c r="B5815" s="11" t="s">
        <v>12735</v>
      </c>
      <c r="C5815" s="11" t="s">
        <v>17</v>
      </c>
      <c r="D5815" s="11" t="s">
        <v>18</v>
      </c>
      <c r="E5815" s="12" t="s">
        <v>1551</v>
      </c>
      <c r="F5815" s="12" t="s">
        <v>1552</v>
      </c>
      <c r="G5815" s="12" t="s">
        <v>46</v>
      </c>
      <c r="H5815" s="11" t="s">
        <v>63</v>
      </c>
      <c r="I5815" s="13" t="s">
        <v>12736</v>
      </c>
      <c r="J5815" s="14" t="str">
        <f>HYPERLINK("https://www.boe.es/gazeta/dias/1839/06/30/pdfs/GMD-1839-1688.pdf#page=3","Abrir facsímil")</f>
        <v>Abrir facsímil</v>
      </c>
      <c r="K5815" s="12" t="s">
        <v>65</v>
      </c>
    </row>
    <row r="5816" spans="1:11" ht="40.049999999999997" customHeight="1" x14ac:dyDescent="0.25">
      <c r="A5816" s="11" t="s">
        <v>12737</v>
      </c>
      <c r="B5816" s="11" t="s">
        <v>12738</v>
      </c>
      <c r="C5816" s="11" t="s">
        <v>101</v>
      </c>
      <c r="D5816" s="11" t="s">
        <v>43</v>
      </c>
      <c r="E5816" s="12" t="s">
        <v>2491</v>
      </c>
      <c r="F5816" s="12" t="s">
        <v>2492</v>
      </c>
      <c r="G5816" s="12" t="s">
        <v>46</v>
      </c>
      <c r="H5816" s="11" t="s">
        <v>63</v>
      </c>
      <c r="I5816" s="13" t="s">
        <v>12739</v>
      </c>
      <c r="J5816" s="14" t="str">
        <f>HYPERLINK("https://www.boe.es/gazeta/dias/1839/05/01/pdfs/GMD-1839-1628.pdf#page=3","Abrir facsímil")</f>
        <v>Abrir facsímil</v>
      </c>
      <c r="K5816" s="12" t="s">
        <v>65</v>
      </c>
    </row>
    <row r="5817" spans="1:11" ht="40.049999999999997" customHeight="1" x14ac:dyDescent="0.25">
      <c r="A5817" s="11" t="s">
        <v>12737</v>
      </c>
      <c r="B5817" s="11" t="s">
        <v>12738</v>
      </c>
      <c r="C5817" s="11" t="s">
        <v>59</v>
      </c>
      <c r="D5817" s="11" t="s">
        <v>60</v>
      </c>
      <c r="E5817" s="12" t="s">
        <v>587</v>
      </c>
      <c r="F5817" s="12" t="s">
        <v>588</v>
      </c>
      <c r="G5817" s="12" t="s">
        <v>40</v>
      </c>
      <c r="H5817" s="11" t="s">
        <v>63</v>
      </c>
      <c r="I5817" s="13" t="s">
        <v>12740</v>
      </c>
      <c r="J5817" s="14" t="str">
        <f>HYPERLINK("https://www.boe.es/gazeta/dias/1839/05/02/pdfs/GMD-1839-1629.pdf#page=2","Abrir facsímil")</f>
        <v>Abrir facsímil</v>
      </c>
      <c r="K5817" s="12" t="s">
        <v>65</v>
      </c>
    </row>
    <row r="5818" spans="1:11" ht="40.049999999999997" customHeight="1" x14ac:dyDescent="0.25">
      <c r="A5818" s="11" t="s">
        <v>12737</v>
      </c>
      <c r="B5818" s="11" t="s">
        <v>12738</v>
      </c>
      <c r="C5818" s="11" t="s">
        <v>17</v>
      </c>
      <c r="D5818" s="11" t="s">
        <v>18</v>
      </c>
      <c r="E5818" s="12" t="s">
        <v>3614</v>
      </c>
      <c r="F5818" s="12" t="s">
        <v>3615</v>
      </c>
      <c r="G5818" s="12" t="s">
        <v>46</v>
      </c>
      <c r="H5818" s="11" t="s">
        <v>63</v>
      </c>
      <c r="I5818" s="13" t="s">
        <v>12741</v>
      </c>
      <c r="J5818" s="14" t="str">
        <f>HYPERLINK("https://www.boe.es/gazeta/dias/1839/04/04/pdfs/GMD-1839-1601.pdf#page=3","Abrir facsímil")</f>
        <v>Abrir facsímil</v>
      </c>
      <c r="K5818" s="12" t="s">
        <v>65</v>
      </c>
    </row>
    <row r="5819" spans="1:11" ht="40.049999999999997" customHeight="1" x14ac:dyDescent="0.25">
      <c r="A5819" s="11" t="s">
        <v>12737</v>
      </c>
      <c r="B5819" s="11" t="s">
        <v>12738</v>
      </c>
      <c r="C5819" s="11" t="s">
        <v>137</v>
      </c>
      <c r="D5819" s="11" t="s">
        <v>18</v>
      </c>
      <c r="E5819" s="12" t="s">
        <v>912</v>
      </c>
      <c r="F5819" s="12" t="s">
        <v>913</v>
      </c>
      <c r="G5819" s="12" t="s">
        <v>46</v>
      </c>
      <c r="H5819" s="11" t="s">
        <v>63</v>
      </c>
      <c r="I5819" s="13" t="s">
        <v>12742</v>
      </c>
      <c r="J5819" s="14" t="str">
        <f>HYPERLINK("https://www.boe.es/gazeta/dias/1839/04/30/pdfs/GMD-1839-1627.pdf#page=3","Abrir facsímil")</f>
        <v>Abrir facsímil</v>
      </c>
      <c r="K5819" s="12" t="s">
        <v>65</v>
      </c>
    </row>
    <row r="5820" spans="1:11" ht="40.049999999999997" customHeight="1" x14ac:dyDescent="0.25">
      <c r="A5820" s="11" t="s">
        <v>12743</v>
      </c>
      <c r="B5820" s="11" t="s">
        <v>12744</v>
      </c>
      <c r="C5820" s="11" t="s">
        <v>17</v>
      </c>
      <c r="D5820" s="11" t="s">
        <v>18</v>
      </c>
      <c r="E5820" s="12" t="s">
        <v>336</v>
      </c>
      <c r="F5820" s="12" t="s">
        <v>337</v>
      </c>
      <c r="G5820" s="12" t="s">
        <v>40</v>
      </c>
      <c r="H5820" s="11" t="s">
        <v>63</v>
      </c>
      <c r="I5820" s="13" t="s">
        <v>12745</v>
      </c>
      <c r="J5820" s="14" t="str">
        <f>HYPERLINK("https://www.boe.es/gazeta/dias/1839/07/14/pdfs/GMD-1839-1702.pdf#page=2","Abrir facsímil")</f>
        <v>Abrir facsímil</v>
      </c>
      <c r="K5820" s="12" t="s">
        <v>65</v>
      </c>
    </row>
    <row r="5821" spans="1:11" ht="40.049999999999997" customHeight="1" x14ac:dyDescent="0.25">
      <c r="A5821" s="11" t="s">
        <v>12746</v>
      </c>
      <c r="B5821" s="11" t="s">
        <v>12747</v>
      </c>
      <c r="C5821" s="11" t="s">
        <v>17</v>
      </c>
      <c r="D5821" s="11" t="s">
        <v>18</v>
      </c>
      <c r="E5821" s="12" t="s">
        <v>1672</v>
      </c>
      <c r="F5821" s="12" t="s">
        <v>1673</v>
      </c>
      <c r="G5821" s="12" t="s">
        <v>29</v>
      </c>
      <c r="H5821" s="11" t="s">
        <v>63</v>
      </c>
      <c r="I5821" s="13" t="s">
        <v>12748</v>
      </c>
      <c r="J5821" s="14" t="str">
        <f>HYPERLINK("https://www.boe.es/gazeta/dias/1839/08/24/pdfs/GMD-1839-1745.pdf#page=1","Abrir facsímil")</f>
        <v>Abrir facsímil</v>
      </c>
      <c r="K5821" s="12" t="s">
        <v>65</v>
      </c>
    </row>
    <row r="5822" spans="1:11" ht="40.049999999999997" customHeight="1" x14ac:dyDescent="0.25">
      <c r="A5822" s="11" t="s">
        <v>12749</v>
      </c>
      <c r="B5822" s="11" t="s">
        <v>12750</v>
      </c>
      <c r="C5822" s="11" t="s">
        <v>17</v>
      </c>
      <c r="D5822" s="11" t="s">
        <v>18</v>
      </c>
      <c r="E5822" s="12" t="s">
        <v>1497</v>
      </c>
      <c r="F5822" s="12" t="s">
        <v>1498</v>
      </c>
      <c r="G5822" s="12" t="s">
        <v>40</v>
      </c>
      <c r="H5822" s="11" t="s">
        <v>63</v>
      </c>
      <c r="I5822" s="13" t="s">
        <v>12751</v>
      </c>
      <c r="J5822" s="14" t="str">
        <f>HYPERLINK("https://www.boe.es/gazeta/dias/1839/08/23/pdfs/GMD-1839-1744.pdf#page=2","Abrir facsímil")</f>
        <v>Abrir facsímil</v>
      </c>
      <c r="K5822" s="12" t="s">
        <v>65</v>
      </c>
    </row>
    <row r="5823" spans="1:11" ht="40.049999999999997" customHeight="1" x14ac:dyDescent="0.25">
      <c r="A5823" s="11" t="s">
        <v>12752</v>
      </c>
      <c r="B5823" s="11" t="s">
        <v>12753</v>
      </c>
      <c r="C5823" s="11" t="s">
        <v>17</v>
      </c>
      <c r="D5823" s="11" t="s">
        <v>18</v>
      </c>
      <c r="E5823" s="12" t="s">
        <v>1628</v>
      </c>
      <c r="F5823" s="12" t="s">
        <v>1629</v>
      </c>
      <c r="G5823" s="12" t="s">
        <v>40</v>
      </c>
      <c r="H5823" s="11" t="s">
        <v>63</v>
      </c>
      <c r="I5823" s="13" t="s">
        <v>12754</v>
      </c>
      <c r="J5823" s="14" t="str">
        <f>HYPERLINK("https://www.boe.es/gazeta/dias/1839/03/10/pdfs/GMD-1839-1576.pdf#page=2","Abrir facsímil")</f>
        <v>Abrir facsímil</v>
      </c>
      <c r="K5823" s="12" t="s">
        <v>65</v>
      </c>
    </row>
    <row r="5824" spans="1:11" ht="40.049999999999997" customHeight="1" x14ac:dyDescent="0.25">
      <c r="A5824" s="11" t="s">
        <v>12752</v>
      </c>
      <c r="B5824" s="11" t="s">
        <v>12753</v>
      </c>
      <c r="C5824" s="11" t="s">
        <v>101</v>
      </c>
      <c r="D5824" s="11" t="s">
        <v>43</v>
      </c>
      <c r="E5824" s="12" t="s">
        <v>483</v>
      </c>
      <c r="F5824" s="12" t="s">
        <v>484</v>
      </c>
      <c r="G5824" s="12" t="s">
        <v>40</v>
      </c>
      <c r="H5824" s="11" t="s">
        <v>63</v>
      </c>
      <c r="I5824" s="13" t="s">
        <v>12755</v>
      </c>
      <c r="J5824" s="14" t="str">
        <f>HYPERLINK("https://www.boe.es/gazeta/dias/1839/11/18/pdfs/GMD-1839-1835.pdf#page=2","Abrir facsímil")</f>
        <v>Abrir facsímil</v>
      </c>
      <c r="K5824" s="12" t="s">
        <v>65</v>
      </c>
    </row>
    <row r="5825" spans="1:11" ht="40.049999999999997" customHeight="1" x14ac:dyDescent="0.25">
      <c r="A5825" s="11" t="s">
        <v>12756</v>
      </c>
      <c r="B5825" s="11" t="s">
        <v>12757</v>
      </c>
      <c r="C5825" s="11" t="s">
        <v>80</v>
      </c>
      <c r="D5825" s="11" t="s">
        <v>18</v>
      </c>
      <c r="E5825" s="12" t="s">
        <v>202</v>
      </c>
      <c r="F5825" s="12" t="s">
        <v>203</v>
      </c>
      <c r="G5825" s="12" t="s">
        <v>21</v>
      </c>
      <c r="H5825" s="11" t="s">
        <v>63</v>
      </c>
      <c r="I5825" s="13" t="s">
        <v>12758</v>
      </c>
      <c r="J5825" s="14" t="str">
        <f>HYPERLINK("https://www.boe.es/gazeta/dias/1839/04/05/pdfs/GMD-1839-1602.pdf#page=4","Abrir facsímil")</f>
        <v>Abrir facsímil</v>
      </c>
      <c r="K5825" s="12" t="s">
        <v>65</v>
      </c>
    </row>
    <row r="5826" spans="1:11" ht="40.049999999999997" customHeight="1" x14ac:dyDescent="0.25">
      <c r="A5826" s="11" t="s">
        <v>12759</v>
      </c>
      <c r="B5826" s="11" t="s">
        <v>12760</v>
      </c>
      <c r="C5826" s="11" t="s">
        <v>17</v>
      </c>
      <c r="D5826" s="11" t="s">
        <v>18</v>
      </c>
      <c r="E5826" s="12" t="s">
        <v>202</v>
      </c>
      <c r="F5826" s="12" t="s">
        <v>203</v>
      </c>
      <c r="G5826" s="12" t="s">
        <v>21</v>
      </c>
      <c r="H5826" s="11" t="s">
        <v>63</v>
      </c>
      <c r="I5826" s="13" t="s">
        <v>12761</v>
      </c>
      <c r="J5826" s="14" t="str">
        <f>HYPERLINK("https://www.boe.es/gazeta/dias/1839/04/05/pdfs/GMD-1839-1602.pdf#page=4","Abrir facsímil")</f>
        <v>Abrir facsímil</v>
      </c>
      <c r="K5826" s="12" t="s">
        <v>65</v>
      </c>
    </row>
    <row r="5827" spans="1:11" ht="40.049999999999997" customHeight="1" x14ac:dyDescent="0.25">
      <c r="A5827" s="11" t="s">
        <v>12762</v>
      </c>
      <c r="B5827" s="11" t="s">
        <v>12763</v>
      </c>
      <c r="C5827" s="11" t="s">
        <v>17</v>
      </c>
      <c r="D5827" s="11" t="s">
        <v>18</v>
      </c>
      <c r="E5827" s="12" t="s">
        <v>834</v>
      </c>
      <c r="F5827" s="12" t="s">
        <v>835</v>
      </c>
      <c r="G5827" s="12" t="s">
        <v>46</v>
      </c>
      <c r="H5827" s="11" t="s">
        <v>63</v>
      </c>
      <c r="I5827" s="13" t="s">
        <v>12764</v>
      </c>
      <c r="J5827" s="14" t="str">
        <f>HYPERLINK("https://www.boe.es/gazeta/dias/1839/08/17/pdfs/GMD-1839-1737.pdf#page=3","Abrir facsímil")</f>
        <v>Abrir facsímil</v>
      </c>
      <c r="K5827" s="12" t="s">
        <v>65</v>
      </c>
    </row>
    <row r="5828" spans="1:11" ht="40.049999999999997" customHeight="1" x14ac:dyDescent="0.25">
      <c r="A5828" s="11" t="s">
        <v>12765</v>
      </c>
      <c r="B5828" s="11" t="s">
        <v>12766</v>
      </c>
      <c r="C5828" s="11" t="s">
        <v>17</v>
      </c>
      <c r="D5828" s="11" t="s">
        <v>18</v>
      </c>
      <c r="E5828" s="12" t="s">
        <v>222</v>
      </c>
      <c r="F5828" s="12" t="s">
        <v>223</v>
      </c>
      <c r="G5828" s="12" t="s">
        <v>21</v>
      </c>
      <c r="H5828" s="11" t="s">
        <v>63</v>
      </c>
      <c r="I5828" s="13" t="s">
        <v>12767</v>
      </c>
      <c r="J5828" s="14" t="str">
        <f>HYPERLINK("https://www.boe.es/gazeta/dias/1839/06/22/pdfs/GMD-1839-1680.pdf#page=4","Abrir facsímil")</f>
        <v>Abrir facsímil</v>
      </c>
      <c r="K5828" s="12" t="s">
        <v>65</v>
      </c>
    </row>
    <row r="5829" spans="1:11" ht="40.049999999999997" customHeight="1" x14ac:dyDescent="0.25">
      <c r="A5829" s="11" t="s">
        <v>12768</v>
      </c>
      <c r="B5829" s="11" t="s">
        <v>12769</v>
      </c>
      <c r="C5829" s="11" t="s">
        <v>17</v>
      </c>
      <c r="D5829" s="11" t="s">
        <v>18</v>
      </c>
      <c r="E5829" s="12" t="s">
        <v>1509</v>
      </c>
      <c r="F5829" s="12" t="s">
        <v>1510</v>
      </c>
      <c r="G5829" s="12" t="s">
        <v>305</v>
      </c>
      <c r="H5829" s="11" t="s">
        <v>63</v>
      </c>
      <c r="I5829" s="13" t="s">
        <v>12770</v>
      </c>
      <c r="J5829" s="14" t="str">
        <f>HYPERLINK("https://www.boe.es/gazeta/dias/1839/10/07/pdfs/GMD-1839-1793.pdf#page=6","Abrir facsímil")</f>
        <v>Abrir facsímil</v>
      </c>
      <c r="K5829" s="12" t="s">
        <v>65</v>
      </c>
    </row>
    <row r="5830" spans="1:11" ht="40.049999999999997" customHeight="1" x14ac:dyDescent="0.25">
      <c r="A5830" s="11" t="s">
        <v>12771</v>
      </c>
      <c r="B5830" s="11" t="s">
        <v>12772</v>
      </c>
      <c r="C5830" s="11" t="s">
        <v>17</v>
      </c>
      <c r="D5830" s="11" t="s">
        <v>18</v>
      </c>
      <c r="E5830" s="12" t="s">
        <v>571</v>
      </c>
      <c r="F5830" s="12" t="s">
        <v>572</v>
      </c>
      <c r="G5830" s="12" t="s">
        <v>46</v>
      </c>
      <c r="H5830" s="11" t="s">
        <v>63</v>
      </c>
      <c r="I5830" s="13" t="s">
        <v>12773</v>
      </c>
      <c r="J5830" s="14" t="str">
        <f>HYPERLINK("https://www.boe.es/gazeta/dias/1839/09/27/pdfs/GMD-1839-1783.pdf#page=3","Abrir facsímil")</f>
        <v>Abrir facsímil</v>
      </c>
      <c r="K5830" s="12" t="s">
        <v>65</v>
      </c>
    </row>
    <row r="5831" spans="1:11" ht="40.049999999999997" customHeight="1" x14ac:dyDescent="0.25">
      <c r="A5831" s="11" t="s">
        <v>12774</v>
      </c>
      <c r="B5831" s="11" t="s">
        <v>12775</v>
      </c>
      <c r="C5831" s="11" t="s">
        <v>17</v>
      </c>
      <c r="D5831" s="11" t="s">
        <v>18</v>
      </c>
      <c r="E5831" s="12" t="s">
        <v>1614</v>
      </c>
      <c r="F5831" s="12" t="s">
        <v>1615</v>
      </c>
      <c r="G5831" s="12" t="s">
        <v>46</v>
      </c>
      <c r="H5831" s="11" t="s">
        <v>63</v>
      </c>
      <c r="I5831" s="13" t="s">
        <v>12776</v>
      </c>
      <c r="J5831" s="14" t="str">
        <f>HYPERLINK("https://www.boe.es/gazeta/dias/1839/07/03/pdfs/GMD-1839-1691.pdf#page=3","Abrir facsímil")</f>
        <v>Abrir facsímil</v>
      </c>
      <c r="K5831" s="12" t="s">
        <v>65</v>
      </c>
    </row>
    <row r="5832" spans="1:11" ht="40.049999999999997" customHeight="1" x14ac:dyDescent="0.25">
      <c r="A5832" s="11" t="s">
        <v>12774</v>
      </c>
      <c r="B5832" s="11" t="s">
        <v>12775</v>
      </c>
      <c r="C5832" s="11" t="s">
        <v>17</v>
      </c>
      <c r="D5832" s="11" t="s">
        <v>18</v>
      </c>
      <c r="E5832" s="12" t="s">
        <v>527</v>
      </c>
      <c r="F5832" s="12" t="s">
        <v>528</v>
      </c>
      <c r="G5832" s="12" t="s">
        <v>46</v>
      </c>
      <c r="H5832" s="11" t="s">
        <v>63</v>
      </c>
      <c r="I5832" s="13" t="s">
        <v>12777</v>
      </c>
      <c r="J5832" s="14" t="str">
        <f>HYPERLINK("https://www.boe.es/gazeta/dias/1839/07/10/pdfs/GMD-1839-1698.pdf#page=3","Abrir facsímil")</f>
        <v>Abrir facsímil</v>
      </c>
      <c r="K5832" s="12" t="s">
        <v>65</v>
      </c>
    </row>
    <row r="5833" spans="1:11" ht="40.049999999999997" customHeight="1" x14ac:dyDescent="0.25">
      <c r="A5833" s="11" t="s">
        <v>12778</v>
      </c>
      <c r="B5833" s="11" t="s">
        <v>12779</v>
      </c>
      <c r="C5833" s="11" t="s">
        <v>17</v>
      </c>
      <c r="D5833" s="11" t="s">
        <v>18</v>
      </c>
      <c r="E5833" s="12" t="s">
        <v>1606</v>
      </c>
      <c r="F5833" s="12" t="s">
        <v>1607</v>
      </c>
      <c r="G5833" s="12" t="s">
        <v>40</v>
      </c>
      <c r="H5833" s="11" t="s">
        <v>63</v>
      </c>
      <c r="I5833" s="13" t="s">
        <v>12780</v>
      </c>
      <c r="J5833" s="14" t="str">
        <f>HYPERLINK("https://www.boe.es/gazeta/dias/1839/07/02/pdfs/GMD-1839-1690.pdf#page=2","Abrir facsímil")</f>
        <v>Abrir facsímil</v>
      </c>
      <c r="K5833" s="12" t="s">
        <v>65</v>
      </c>
    </row>
    <row r="5834" spans="1:11" ht="40.049999999999997" customHeight="1" x14ac:dyDescent="0.25">
      <c r="A5834" s="11" t="s">
        <v>12781</v>
      </c>
      <c r="B5834" s="11" t="s">
        <v>12782</v>
      </c>
      <c r="C5834" s="11" t="s">
        <v>17</v>
      </c>
      <c r="D5834" s="11" t="s">
        <v>18</v>
      </c>
      <c r="E5834" s="12" t="s">
        <v>3601</v>
      </c>
      <c r="F5834" s="12" t="s">
        <v>3602</v>
      </c>
      <c r="G5834" s="12" t="s">
        <v>29</v>
      </c>
      <c r="H5834" s="11" t="s">
        <v>63</v>
      </c>
      <c r="I5834" s="13" t="s">
        <v>12783</v>
      </c>
      <c r="J5834" s="14" t="str">
        <f>HYPERLINK("https://www.boe.es/gazeta/dias/1839/03/21/pdfs/GMD-1839-1587.pdf#page=1","Abrir facsímil")</f>
        <v>Abrir facsímil</v>
      </c>
      <c r="K5834" s="12" t="s">
        <v>65</v>
      </c>
    </row>
    <row r="5835" spans="1:11" ht="40.049999999999997" customHeight="1" x14ac:dyDescent="0.25">
      <c r="A5835" s="11" t="s">
        <v>12784</v>
      </c>
      <c r="B5835" s="11" t="s">
        <v>12785</v>
      </c>
      <c r="C5835" s="11" t="s">
        <v>17</v>
      </c>
      <c r="D5835" s="11" t="s">
        <v>43</v>
      </c>
      <c r="E5835" s="12" t="s">
        <v>157</v>
      </c>
      <c r="F5835" s="12" t="s">
        <v>158</v>
      </c>
      <c r="G5835" s="12" t="s">
        <v>40</v>
      </c>
      <c r="H5835" s="11" t="s">
        <v>63</v>
      </c>
      <c r="I5835" s="13" t="s">
        <v>12786</v>
      </c>
      <c r="J5835" s="14" t="str">
        <f>HYPERLINK("https://www.boe.es/gazeta/dias/1839/02/08/pdfs/GMD-1839-1546.pdf#page=2","Abrir facsímil")</f>
        <v>Abrir facsímil</v>
      </c>
      <c r="K5835" s="12" t="s">
        <v>65</v>
      </c>
    </row>
    <row r="5836" spans="1:11" ht="40.049999999999997" customHeight="1" x14ac:dyDescent="0.25">
      <c r="A5836" s="11" t="s">
        <v>12784</v>
      </c>
      <c r="B5836" s="11" t="s">
        <v>12785</v>
      </c>
      <c r="C5836" s="11" t="s">
        <v>80</v>
      </c>
      <c r="D5836" s="11" t="s">
        <v>18</v>
      </c>
      <c r="E5836" s="12" t="s">
        <v>163</v>
      </c>
      <c r="F5836" s="12" t="s">
        <v>164</v>
      </c>
      <c r="G5836" s="12" t="s">
        <v>40</v>
      </c>
      <c r="H5836" s="11" t="s">
        <v>63</v>
      </c>
      <c r="I5836" s="13" t="s">
        <v>12787</v>
      </c>
      <c r="J5836" s="14" t="str">
        <f>HYPERLINK("https://www.boe.es/gazeta/dias/1839/01/13/pdfs/GMD-1839-1520.pdf#page=2","Abrir facsímil")</f>
        <v>Abrir facsímil</v>
      </c>
      <c r="K5836" s="12" t="s">
        <v>65</v>
      </c>
    </row>
    <row r="5837" spans="1:11" ht="40.049999999999997" customHeight="1" x14ac:dyDescent="0.25">
      <c r="A5837" s="11" t="s">
        <v>12788</v>
      </c>
      <c r="B5837" s="11" t="s">
        <v>12789</v>
      </c>
      <c r="C5837" s="11" t="s">
        <v>17</v>
      </c>
      <c r="D5837" s="11" t="s">
        <v>18</v>
      </c>
      <c r="E5837" s="12" t="s">
        <v>44</v>
      </c>
      <c r="F5837" s="12" t="s">
        <v>45</v>
      </c>
      <c r="G5837" s="12" t="s">
        <v>46</v>
      </c>
      <c r="H5837" s="11" t="s">
        <v>63</v>
      </c>
      <c r="I5837" s="13" t="s">
        <v>12790</v>
      </c>
      <c r="J5837" s="14" t="str">
        <f>HYPERLINK("https://www.boe.es/gazeta/dias/1839/11/15/pdfs/GMD-1839-1832.pdf#page=3","Abrir facsímil")</f>
        <v>Abrir facsímil</v>
      </c>
      <c r="K5837" s="12" t="s">
        <v>65</v>
      </c>
    </row>
    <row r="5838" spans="1:11" ht="40.049999999999997" customHeight="1" x14ac:dyDescent="0.25">
      <c r="A5838" s="11" t="s">
        <v>12791</v>
      </c>
      <c r="B5838" s="11" t="s">
        <v>12792</v>
      </c>
      <c r="C5838" s="11" t="s">
        <v>17</v>
      </c>
      <c r="D5838" s="11" t="s">
        <v>43</v>
      </c>
      <c r="E5838" s="12" t="s">
        <v>3224</v>
      </c>
      <c r="F5838" s="12" t="s">
        <v>3225</v>
      </c>
      <c r="G5838" s="12" t="s">
        <v>21</v>
      </c>
      <c r="H5838" s="11" t="s">
        <v>63</v>
      </c>
      <c r="I5838" s="13" t="s">
        <v>12793</v>
      </c>
      <c r="J5838" s="14" t="str">
        <f>HYPERLINK("https://www.boe.es/gazeta/dias/1839/06/03/pdfs/GMD-1839-1661.pdf#page=4","Abrir facsímil")</f>
        <v>Abrir facsímil</v>
      </c>
      <c r="K5838" s="12" t="s">
        <v>65</v>
      </c>
    </row>
    <row r="5839" spans="1:11" ht="40.049999999999997" customHeight="1" x14ac:dyDescent="0.25">
      <c r="A5839" s="11" t="s">
        <v>12794</v>
      </c>
      <c r="B5839" s="11" t="s">
        <v>12795</v>
      </c>
      <c r="C5839" s="11" t="s">
        <v>137</v>
      </c>
      <c r="D5839" s="11" t="s">
        <v>18</v>
      </c>
      <c r="E5839" s="12" t="s">
        <v>848</v>
      </c>
      <c r="F5839" s="12" t="s">
        <v>849</v>
      </c>
      <c r="G5839" s="12" t="s">
        <v>46</v>
      </c>
      <c r="H5839" s="11" t="s">
        <v>63</v>
      </c>
      <c r="I5839" s="13" t="s">
        <v>12796</v>
      </c>
      <c r="J5839" s="14" t="str">
        <f>HYPERLINK("https://www.boe.es/gazeta/dias/1839/08/04/pdfs/GMD-1839-1724.pdf#page=3","Abrir facsímil")</f>
        <v>Abrir facsímil</v>
      </c>
      <c r="K5839" s="12" t="s">
        <v>65</v>
      </c>
    </row>
    <row r="5840" spans="1:11" ht="40.049999999999997" customHeight="1" x14ac:dyDescent="0.25">
      <c r="A5840" s="11" t="s">
        <v>12797</v>
      </c>
      <c r="B5840" s="11" t="s">
        <v>12798</v>
      </c>
      <c r="C5840" s="11" t="s">
        <v>101</v>
      </c>
      <c r="D5840" s="11" t="s">
        <v>102</v>
      </c>
      <c r="E5840" s="12" t="s">
        <v>84</v>
      </c>
      <c r="F5840" s="12" t="s">
        <v>85</v>
      </c>
      <c r="G5840" s="12" t="s">
        <v>40</v>
      </c>
      <c r="H5840" s="11" t="s">
        <v>63</v>
      </c>
      <c r="I5840" s="13" t="s">
        <v>12799</v>
      </c>
      <c r="J5840" s="14" t="str">
        <f>HYPERLINK("https://www.boe.es/gazeta/dias/1839/03/11/pdfs/GMD-1839-1577.pdf#page=2","Abrir facsímil")</f>
        <v>Abrir facsímil</v>
      </c>
      <c r="K5840" s="12" t="s">
        <v>65</v>
      </c>
    </row>
    <row r="5841" spans="1:11" ht="40.049999999999997" customHeight="1" x14ac:dyDescent="0.25">
      <c r="A5841" s="11" t="s">
        <v>12800</v>
      </c>
      <c r="B5841" s="11" t="s">
        <v>12801</v>
      </c>
      <c r="C5841" s="11" t="s">
        <v>59</v>
      </c>
      <c r="D5841" s="11" t="s">
        <v>60</v>
      </c>
      <c r="E5841" s="12" t="s">
        <v>1446</v>
      </c>
      <c r="F5841" s="12" t="s">
        <v>1447</v>
      </c>
      <c r="G5841" s="12" t="s">
        <v>29</v>
      </c>
      <c r="H5841" s="11" t="s">
        <v>63</v>
      </c>
      <c r="I5841" s="13" t="s">
        <v>12802</v>
      </c>
      <c r="J5841" s="14" t="str">
        <f>HYPERLINK("https://www.boe.es/gazeta/dias/1839/08/25/pdfs/GMD-1839-1746.pdf#page=1","Abrir facsímil")</f>
        <v>Abrir facsímil</v>
      </c>
      <c r="K5841" s="12" t="s">
        <v>65</v>
      </c>
    </row>
    <row r="5842" spans="1:11" ht="40.049999999999997" customHeight="1" x14ac:dyDescent="0.25">
      <c r="A5842" s="11" t="s">
        <v>12800</v>
      </c>
      <c r="B5842" s="11" t="s">
        <v>12801</v>
      </c>
      <c r="C5842" s="11" t="s">
        <v>17</v>
      </c>
      <c r="D5842" s="11" t="s">
        <v>18</v>
      </c>
      <c r="E5842" s="12" t="s">
        <v>1551</v>
      </c>
      <c r="F5842" s="12" t="s">
        <v>1552</v>
      </c>
      <c r="G5842" s="12" t="s">
        <v>29</v>
      </c>
      <c r="H5842" s="11" t="s">
        <v>63</v>
      </c>
      <c r="I5842" s="13" t="s">
        <v>12803</v>
      </c>
      <c r="J5842" s="14" t="str">
        <f>HYPERLINK("https://www.boe.es/gazeta/dias/1839/06/30/pdfs/GMD-1839-1688.pdf#page=1","Abrir facsímil")</f>
        <v>Abrir facsímil</v>
      </c>
      <c r="K5842" s="12" t="s">
        <v>65</v>
      </c>
    </row>
    <row r="5843" spans="1:11" ht="40.049999999999997" customHeight="1" x14ac:dyDescent="0.25">
      <c r="A5843" s="11" t="s">
        <v>12804</v>
      </c>
      <c r="B5843" s="11" t="s">
        <v>12805</v>
      </c>
      <c r="C5843" s="11" t="s">
        <v>17</v>
      </c>
      <c r="D5843" s="11" t="s">
        <v>18</v>
      </c>
      <c r="E5843" s="12" t="s">
        <v>243</v>
      </c>
      <c r="F5843" s="12" t="s">
        <v>244</v>
      </c>
      <c r="G5843" s="12" t="s">
        <v>46</v>
      </c>
      <c r="H5843" s="11" t="s">
        <v>63</v>
      </c>
      <c r="I5843" s="13" t="s">
        <v>12806</v>
      </c>
      <c r="J5843" s="14" t="str">
        <f>HYPERLINK("https://www.boe.es/gazeta/dias/1839/09/23/pdfs/GMD-1839-1779.pdf#page=3","Abrir facsímil")</f>
        <v>Abrir facsímil</v>
      </c>
      <c r="K5843" s="12" t="s">
        <v>65</v>
      </c>
    </row>
    <row r="5844" spans="1:11" ht="40.049999999999997" customHeight="1" x14ac:dyDescent="0.25">
      <c r="A5844" s="11" t="s">
        <v>12807</v>
      </c>
      <c r="B5844" s="11" t="s">
        <v>12808</v>
      </c>
      <c r="C5844" s="11" t="s">
        <v>17</v>
      </c>
      <c r="D5844" s="11" t="s">
        <v>18</v>
      </c>
      <c r="E5844" s="12" t="s">
        <v>49</v>
      </c>
      <c r="F5844" s="12" t="s">
        <v>50</v>
      </c>
      <c r="G5844" s="12" t="s">
        <v>21</v>
      </c>
      <c r="H5844" s="11" t="s">
        <v>63</v>
      </c>
      <c r="I5844" s="13" t="s">
        <v>12809</v>
      </c>
      <c r="J5844" s="14" t="str">
        <f>HYPERLINK("https://www.boe.es/gazeta/dias/1839/01/05/pdfs/GMD-1839-1512.pdf#page=4","Abrir facsímil")</f>
        <v>Abrir facsímil</v>
      </c>
      <c r="K5844" s="12" t="s">
        <v>65</v>
      </c>
    </row>
    <row r="5845" spans="1:11" ht="40.049999999999997" customHeight="1" x14ac:dyDescent="0.25">
      <c r="A5845" s="11" t="s">
        <v>12810</v>
      </c>
      <c r="B5845" s="11" t="s">
        <v>12811</v>
      </c>
      <c r="C5845" s="11" t="s">
        <v>17</v>
      </c>
      <c r="D5845" s="11" t="s">
        <v>18</v>
      </c>
      <c r="E5845" s="12" t="s">
        <v>4475</v>
      </c>
      <c r="F5845" s="12" t="s">
        <v>4476</v>
      </c>
      <c r="G5845" s="12" t="s">
        <v>46</v>
      </c>
      <c r="H5845" s="11" t="s">
        <v>63</v>
      </c>
      <c r="I5845" s="13" t="s">
        <v>12812</v>
      </c>
      <c r="J5845" s="14" t="str">
        <f>HYPERLINK("https://www.boe.es/gazeta/dias/1839/07/04/pdfs/GMD-1839-1692.pdf#page=3","Abrir facsímil")</f>
        <v>Abrir facsímil</v>
      </c>
      <c r="K5845" s="12" t="s">
        <v>65</v>
      </c>
    </row>
    <row r="5846" spans="1:11" ht="40.049999999999997" customHeight="1" x14ac:dyDescent="0.25">
      <c r="A5846" s="11" t="s">
        <v>12813</v>
      </c>
      <c r="B5846" s="11" t="s">
        <v>12814</v>
      </c>
      <c r="C5846" s="11" t="s">
        <v>17</v>
      </c>
      <c r="D5846" s="11" t="s">
        <v>18</v>
      </c>
      <c r="E5846" s="12" t="s">
        <v>1378</v>
      </c>
      <c r="F5846" s="12" t="s">
        <v>1379</v>
      </c>
      <c r="G5846" s="12" t="s">
        <v>46</v>
      </c>
      <c r="H5846" s="11" t="s">
        <v>63</v>
      </c>
      <c r="I5846" s="13" t="s">
        <v>12815</v>
      </c>
      <c r="J5846" s="14" t="str">
        <f>HYPERLINK("https://www.boe.es/gazeta/dias/1839/05/18/pdfs/GMD-1839-1645.pdf#page=3","Abrir facsímil")</f>
        <v>Abrir facsímil</v>
      </c>
      <c r="K5846" s="12" t="s">
        <v>65</v>
      </c>
    </row>
    <row r="5847" spans="1:11" ht="40.049999999999997" customHeight="1" x14ac:dyDescent="0.25">
      <c r="A5847" s="11" t="s">
        <v>12816</v>
      </c>
      <c r="B5847" s="11" t="s">
        <v>12817</v>
      </c>
      <c r="C5847" s="11" t="s">
        <v>17</v>
      </c>
      <c r="D5847" s="11" t="s">
        <v>18</v>
      </c>
      <c r="E5847" s="12" t="s">
        <v>2491</v>
      </c>
      <c r="F5847" s="12" t="s">
        <v>2492</v>
      </c>
      <c r="G5847" s="12" t="s">
        <v>29</v>
      </c>
      <c r="H5847" s="11" t="s">
        <v>63</v>
      </c>
      <c r="I5847" s="13" t="s">
        <v>12818</v>
      </c>
      <c r="J5847" s="14" t="str">
        <f>HYPERLINK("https://www.boe.es/gazeta/dias/1839/05/01/pdfs/GMD-1839-1628.pdf#page=1","Abrir facsímil")</f>
        <v>Abrir facsímil</v>
      </c>
      <c r="K5847" s="12" t="s">
        <v>65</v>
      </c>
    </row>
    <row r="5848" spans="1:11" ht="40.049999999999997" customHeight="1" x14ac:dyDescent="0.25">
      <c r="A5848" s="11" t="s">
        <v>12816</v>
      </c>
      <c r="B5848" s="11" t="s">
        <v>12817</v>
      </c>
      <c r="C5848" s="11" t="s">
        <v>59</v>
      </c>
      <c r="D5848" s="11" t="s">
        <v>60</v>
      </c>
      <c r="E5848" s="12" t="s">
        <v>1136</v>
      </c>
      <c r="F5848" s="12" t="s">
        <v>1137</v>
      </c>
      <c r="G5848" s="12" t="s">
        <v>46</v>
      </c>
      <c r="H5848" s="11" t="s">
        <v>63</v>
      </c>
      <c r="I5848" s="13" t="s">
        <v>12819</v>
      </c>
      <c r="J5848" s="14" t="str">
        <f>HYPERLINK("https://www.boe.es/gazeta/dias/1839/04/03/pdfs/GMD-1839-1600.pdf#page=3","Abrir facsímil")</f>
        <v>Abrir facsímil</v>
      </c>
      <c r="K5848" s="12" t="s">
        <v>65</v>
      </c>
    </row>
    <row r="5849" spans="1:11" ht="40.049999999999997" customHeight="1" x14ac:dyDescent="0.25">
      <c r="A5849" s="11" t="s">
        <v>12816</v>
      </c>
      <c r="B5849" s="11" t="s">
        <v>12817</v>
      </c>
      <c r="C5849" s="11" t="s">
        <v>59</v>
      </c>
      <c r="D5849" s="11" t="s">
        <v>60</v>
      </c>
      <c r="E5849" s="12" t="s">
        <v>677</v>
      </c>
      <c r="F5849" s="12" t="s">
        <v>678</v>
      </c>
      <c r="G5849" s="12" t="s">
        <v>29</v>
      </c>
      <c r="H5849" s="11" t="s">
        <v>63</v>
      </c>
      <c r="I5849" s="13" t="s">
        <v>12820</v>
      </c>
      <c r="J5849" s="14" t="str">
        <f>HYPERLINK("https://www.boe.es/gazeta/dias/1839/04/28/pdfs/GMD-1839-1625.pdf#page=1","Abrir facsímil")</f>
        <v>Abrir facsímil</v>
      </c>
      <c r="K5849" s="12" t="s">
        <v>65</v>
      </c>
    </row>
    <row r="5850" spans="1:11" ht="40.049999999999997" customHeight="1" x14ac:dyDescent="0.25">
      <c r="A5850" s="11" t="s">
        <v>12821</v>
      </c>
      <c r="B5850" s="11" t="s">
        <v>12822</v>
      </c>
      <c r="C5850" s="11" t="s">
        <v>101</v>
      </c>
      <c r="D5850" s="11" t="s">
        <v>102</v>
      </c>
      <c r="E5850" s="12" t="s">
        <v>2227</v>
      </c>
      <c r="F5850" s="12" t="s">
        <v>2228</v>
      </c>
      <c r="G5850" s="12" t="s">
        <v>40</v>
      </c>
      <c r="H5850" s="11" t="s">
        <v>63</v>
      </c>
      <c r="I5850" s="13" t="s">
        <v>12823</v>
      </c>
      <c r="J5850" s="14" t="str">
        <f>HYPERLINK("https://www.boe.es/gazeta/dias/1839/12/04/pdfs/GMD-1839-1851.pdf#page=2","Abrir facsímil")</f>
        <v>Abrir facsímil</v>
      </c>
      <c r="K5850" s="12" t="s">
        <v>65</v>
      </c>
    </row>
    <row r="5851" spans="1:11" ht="40.049999999999997" customHeight="1" x14ac:dyDescent="0.25">
      <c r="A5851" s="11" t="s">
        <v>12824</v>
      </c>
      <c r="B5851" s="11" t="s">
        <v>12825</v>
      </c>
      <c r="C5851" s="11" t="s">
        <v>17</v>
      </c>
      <c r="D5851" s="11" t="s">
        <v>18</v>
      </c>
      <c r="E5851" s="12" t="s">
        <v>1772</v>
      </c>
      <c r="F5851" s="12" t="s">
        <v>1773</v>
      </c>
      <c r="G5851" s="12" t="s">
        <v>21</v>
      </c>
      <c r="H5851" s="11" t="s">
        <v>63</v>
      </c>
      <c r="I5851" s="13" t="s">
        <v>12826</v>
      </c>
      <c r="J5851" s="14" t="str">
        <f>HYPERLINK("https://www.boe.es/gazeta/dias/1839/05/07/pdfs/GMD-1839-1634.pdf#page=4","Abrir facsímil")</f>
        <v>Abrir facsímil</v>
      </c>
      <c r="K5851" s="12" t="s">
        <v>65</v>
      </c>
    </row>
    <row r="5852" spans="1:11" ht="40.049999999999997" customHeight="1" x14ac:dyDescent="0.25">
      <c r="A5852" s="11" t="s">
        <v>12827</v>
      </c>
      <c r="B5852" s="11" t="s">
        <v>12828</v>
      </c>
      <c r="C5852" s="11" t="s">
        <v>17</v>
      </c>
      <c r="D5852" s="11" t="s">
        <v>18</v>
      </c>
      <c r="E5852" s="12" t="s">
        <v>4189</v>
      </c>
      <c r="F5852" s="12" t="s">
        <v>4190</v>
      </c>
      <c r="G5852" s="12" t="s">
        <v>21</v>
      </c>
      <c r="H5852" s="11" t="s">
        <v>63</v>
      </c>
      <c r="I5852" s="13" t="s">
        <v>12829</v>
      </c>
      <c r="J5852" s="14" t="str">
        <f>HYPERLINK("https://www.boe.es/gazeta/dias/1839/02/13/pdfs/GMD-1839-1551.pdf#page=4","Abrir facsímil")</f>
        <v>Abrir facsímil</v>
      </c>
      <c r="K5852" s="12" t="s">
        <v>65</v>
      </c>
    </row>
    <row r="5853" spans="1:11" ht="40.049999999999997" customHeight="1" x14ac:dyDescent="0.25">
      <c r="A5853" s="11" t="s">
        <v>12830</v>
      </c>
      <c r="B5853" s="11" t="s">
        <v>12831</v>
      </c>
      <c r="C5853" s="11" t="s">
        <v>17</v>
      </c>
      <c r="D5853" s="11" t="s">
        <v>18</v>
      </c>
      <c r="E5853" s="12" t="s">
        <v>571</v>
      </c>
      <c r="F5853" s="12" t="s">
        <v>572</v>
      </c>
      <c r="G5853" s="12" t="s">
        <v>21</v>
      </c>
      <c r="H5853" s="11" t="s">
        <v>63</v>
      </c>
      <c r="I5853" s="13" t="s">
        <v>12832</v>
      </c>
      <c r="J5853" s="14" t="str">
        <f>HYPERLINK("https://www.boe.es/gazeta/dias/1839/09/27/pdfs/GMD-1839-1783.pdf#page=4","Abrir facsímil")</f>
        <v>Abrir facsímil</v>
      </c>
      <c r="K5853" s="12" t="s">
        <v>65</v>
      </c>
    </row>
    <row r="5854" spans="1:11" ht="40.049999999999997" customHeight="1" x14ac:dyDescent="0.25">
      <c r="A5854" s="11" t="s">
        <v>12833</v>
      </c>
      <c r="B5854" s="11" t="s">
        <v>12834</v>
      </c>
      <c r="C5854" s="11" t="s">
        <v>17</v>
      </c>
      <c r="D5854" s="11" t="s">
        <v>18</v>
      </c>
      <c r="E5854" s="12" t="s">
        <v>4189</v>
      </c>
      <c r="F5854" s="12" t="s">
        <v>4190</v>
      </c>
      <c r="G5854" s="12" t="s">
        <v>21</v>
      </c>
      <c r="H5854" s="11" t="s">
        <v>63</v>
      </c>
      <c r="I5854" s="13" t="s">
        <v>12835</v>
      </c>
      <c r="J5854" s="14" t="str">
        <f>HYPERLINK("https://www.boe.es/gazeta/dias/1839/02/13/pdfs/GMD-1839-1551.pdf#page=4","Abrir facsímil")</f>
        <v>Abrir facsímil</v>
      </c>
      <c r="K5854" s="12" t="s">
        <v>65</v>
      </c>
    </row>
    <row r="5855" spans="1:11" ht="40.049999999999997" customHeight="1" x14ac:dyDescent="0.25">
      <c r="A5855" s="11" t="s">
        <v>12836</v>
      </c>
      <c r="B5855" s="11" t="s">
        <v>12837</v>
      </c>
      <c r="C5855" s="11" t="s">
        <v>17</v>
      </c>
      <c r="D5855" s="11" t="s">
        <v>18</v>
      </c>
      <c r="E5855" s="12" t="s">
        <v>1149</v>
      </c>
      <c r="F5855" s="12" t="s">
        <v>1150</v>
      </c>
      <c r="G5855" s="12" t="s">
        <v>29</v>
      </c>
      <c r="H5855" s="11" t="s">
        <v>63</v>
      </c>
      <c r="I5855" s="13" t="s">
        <v>12838</v>
      </c>
      <c r="J5855" s="14" t="str">
        <f>HYPERLINK("https://www.boe.es/gazeta/dias/1839/06/25/pdfs/GMD-1839-1683.pdf#page=1","Abrir facsímil")</f>
        <v>Abrir facsímil</v>
      </c>
      <c r="K5855" s="12" t="s">
        <v>65</v>
      </c>
    </row>
    <row r="5856" spans="1:11" ht="40.049999999999997" customHeight="1" x14ac:dyDescent="0.25">
      <c r="A5856" s="11" t="s">
        <v>12839</v>
      </c>
      <c r="B5856" s="11" t="s">
        <v>12840</v>
      </c>
      <c r="C5856" s="11" t="s">
        <v>17</v>
      </c>
      <c r="D5856" s="11" t="s">
        <v>18</v>
      </c>
      <c r="E5856" s="12" t="s">
        <v>438</v>
      </c>
      <c r="F5856" s="12" t="s">
        <v>439</v>
      </c>
      <c r="G5856" s="12" t="s">
        <v>29</v>
      </c>
      <c r="H5856" s="11" t="s">
        <v>63</v>
      </c>
      <c r="I5856" s="13" t="s">
        <v>12841</v>
      </c>
      <c r="J5856" s="14" t="str">
        <f>HYPERLINK("https://www.boe.es/gazeta/dias/1839/07/17/pdfs/GMD-1839-1705.pdf#page=1","Abrir facsímil")</f>
        <v>Abrir facsímil</v>
      </c>
      <c r="K5856" s="12" t="s">
        <v>65</v>
      </c>
    </row>
    <row r="5857" spans="1:11" ht="40.049999999999997" customHeight="1" x14ac:dyDescent="0.25">
      <c r="A5857" s="11" t="s">
        <v>12842</v>
      </c>
      <c r="B5857" s="11" t="s">
        <v>12843</v>
      </c>
      <c r="C5857" s="11" t="s">
        <v>17</v>
      </c>
      <c r="D5857" s="11" t="s">
        <v>18</v>
      </c>
      <c r="E5857" s="12" t="s">
        <v>254</v>
      </c>
      <c r="F5857" s="12" t="s">
        <v>255</v>
      </c>
      <c r="G5857" s="12" t="s">
        <v>29</v>
      </c>
      <c r="H5857" s="11" t="s">
        <v>63</v>
      </c>
      <c r="I5857" s="13" t="s">
        <v>12844</v>
      </c>
      <c r="J5857" s="14" t="str">
        <f>HYPERLINK("https://www.boe.es/gazeta/dias/1839/09/12/pdfs/GMD-1839-1765.pdf#page=1","Abrir facsímil")</f>
        <v>Abrir facsímil</v>
      </c>
      <c r="K5857" s="12" t="s">
        <v>65</v>
      </c>
    </row>
    <row r="5858" spans="1:11" ht="40.049999999999997" customHeight="1" x14ac:dyDescent="0.25">
      <c r="A5858" s="11" t="s">
        <v>12845</v>
      </c>
      <c r="B5858" s="11" t="s">
        <v>12846</v>
      </c>
      <c r="C5858" s="11" t="s">
        <v>59</v>
      </c>
      <c r="D5858" s="11" t="s">
        <v>60</v>
      </c>
      <c r="E5858" s="12" t="s">
        <v>2021</v>
      </c>
      <c r="F5858" s="12" t="s">
        <v>2022</v>
      </c>
      <c r="G5858" s="12" t="s">
        <v>40</v>
      </c>
      <c r="H5858" s="11" t="s">
        <v>63</v>
      </c>
      <c r="I5858" s="13" t="s">
        <v>12847</v>
      </c>
      <c r="J5858" s="14" t="str">
        <f>HYPERLINK("https://www.boe.es/gazeta/dias/1839/02/17/pdfs/GMD-1839-1555.pdf#page=2","Abrir facsímil")</f>
        <v>Abrir facsímil</v>
      </c>
      <c r="K5858" s="12" t="s">
        <v>65</v>
      </c>
    </row>
    <row r="5859" spans="1:11" ht="40.049999999999997" customHeight="1" x14ac:dyDescent="0.25">
      <c r="A5859" s="11" t="s">
        <v>12848</v>
      </c>
      <c r="B5859" s="11" t="s">
        <v>12849</v>
      </c>
      <c r="C5859" s="11" t="s">
        <v>80</v>
      </c>
      <c r="D5859" s="11" t="s">
        <v>18</v>
      </c>
      <c r="E5859" s="12" t="s">
        <v>544</v>
      </c>
      <c r="F5859" s="12" t="s">
        <v>545</v>
      </c>
      <c r="G5859" s="12" t="s">
        <v>40</v>
      </c>
      <c r="H5859" s="11" t="s">
        <v>63</v>
      </c>
      <c r="I5859" s="13" t="s">
        <v>12850</v>
      </c>
      <c r="J5859" s="14" t="str">
        <f>HYPERLINK("https://www.boe.es/gazeta/dias/1839/11/11/pdfs/GMD-1839-1828.pdf#page=2","Abrir facsímil")</f>
        <v>Abrir facsímil</v>
      </c>
      <c r="K5859" s="12" t="s">
        <v>65</v>
      </c>
    </row>
    <row r="5860" spans="1:11" ht="40.049999999999997" customHeight="1" x14ac:dyDescent="0.25">
      <c r="A5860" s="11" t="s">
        <v>12851</v>
      </c>
      <c r="B5860" s="11" t="s">
        <v>12852</v>
      </c>
      <c r="C5860" s="11" t="s">
        <v>101</v>
      </c>
      <c r="D5860" s="11" t="s">
        <v>43</v>
      </c>
      <c r="E5860" s="12" t="s">
        <v>571</v>
      </c>
      <c r="F5860" s="12" t="s">
        <v>572</v>
      </c>
      <c r="G5860" s="12" t="s">
        <v>46</v>
      </c>
      <c r="H5860" s="11" t="s">
        <v>63</v>
      </c>
      <c r="I5860" s="13" t="s">
        <v>12853</v>
      </c>
      <c r="J5860" s="14" t="str">
        <f>HYPERLINK("https://www.boe.es/gazeta/dias/1839/09/27/pdfs/GMD-1839-1783.pdf#page=3","Abrir facsímil")</f>
        <v>Abrir facsímil</v>
      </c>
      <c r="K5860" s="12" t="s">
        <v>65</v>
      </c>
    </row>
    <row r="5861" spans="1:11" ht="40.049999999999997" customHeight="1" x14ac:dyDescent="0.25">
      <c r="A5861" s="11" t="s">
        <v>12854</v>
      </c>
      <c r="B5861" s="11" t="s">
        <v>12855</v>
      </c>
      <c r="C5861" s="11" t="s">
        <v>17</v>
      </c>
      <c r="D5861" s="11" t="s">
        <v>18</v>
      </c>
      <c r="E5861" s="12" t="s">
        <v>375</v>
      </c>
      <c r="F5861" s="12" t="s">
        <v>376</v>
      </c>
      <c r="G5861" s="12" t="s">
        <v>46</v>
      </c>
      <c r="H5861" s="11" t="s">
        <v>63</v>
      </c>
      <c r="I5861" s="13" t="s">
        <v>12856</v>
      </c>
      <c r="J5861" s="14" t="str">
        <f>HYPERLINK("https://www.boe.es/gazeta/dias/1839/11/25/pdfs/GMD-1839-1842.pdf#page=3","Abrir facsímil")</f>
        <v>Abrir facsímil</v>
      </c>
      <c r="K5861" s="12" t="s">
        <v>65</v>
      </c>
    </row>
    <row r="5862" spans="1:11" ht="40.049999999999997" customHeight="1" x14ac:dyDescent="0.25">
      <c r="A5862" s="11" t="s">
        <v>12857</v>
      </c>
      <c r="B5862" s="11" t="s">
        <v>12858</v>
      </c>
      <c r="C5862" s="11" t="s">
        <v>101</v>
      </c>
      <c r="D5862" s="11" t="s">
        <v>43</v>
      </c>
      <c r="E5862" s="12" t="s">
        <v>236</v>
      </c>
      <c r="F5862" s="12" t="s">
        <v>237</v>
      </c>
      <c r="G5862" s="12" t="s">
        <v>46</v>
      </c>
      <c r="H5862" s="11" t="s">
        <v>63</v>
      </c>
      <c r="I5862" s="13" t="s">
        <v>12859</v>
      </c>
      <c r="J5862" s="14" t="str">
        <f>HYPERLINK("https://www.boe.es/gazeta/dias/1839/09/18/pdfs/GMD-1839-1771.pdf#page=3","Abrir facsímil")</f>
        <v>Abrir facsímil</v>
      </c>
      <c r="K5862" s="12" t="s">
        <v>65</v>
      </c>
    </row>
    <row r="5863" spans="1:11" ht="40.049999999999997" customHeight="1" x14ac:dyDescent="0.25">
      <c r="A5863" s="11" t="s">
        <v>12860</v>
      </c>
      <c r="B5863" s="11" t="s">
        <v>12861</v>
      </c>
      <c r="C5863" s="11" t="s">
        <v>137</v>
      </c>
      <c r="D5863" s="11" t="s">
        <v>18</v>
      </c>
      <c r="E5863" s="12" t="s">
        <v>1988</v>
      </c>
      <c r="F5863" s="12" t="s">
        <v>1989</v>
      </c>
      <c r="G5863" s="12" t="s">
        <v>566</v>
      </c>
      <c r="H5863" s="11" t="s">
        <v>63</v>
      </c>
      <c r="I5863" s="13" t="s">
        <v>12862</v>
      </c>
      <c r="J5863" s="14" t="str">
        <f>HYPERLINK("https://www.boe.es/gazeta/dias/1839/10/29/pdfs/GMD-1839-1815.pdf#page=5","Abrir facsímil")</f>
        <v>Abrir facsímil</v>
      </c>
      <c r="K5863" s="12" t="s">
        <v>65</v>
      </c>
    </row>
    <row r="5864" spans="1:11" ht="40.049999999999997" customHeight="1" x14ac:dyDescent="0.25">
      <c r="A5864" s="11" t="s">
        <v>12863</v>
      </c>
      <c r="B5864" s="11" t="s">
        <v>12864</v>
      </c>
      <c r="C5864" s="11" t="s">
        <v>101</v>
      </c>
      <c r="D5864" s="11" t="s">
        <v>43</v>
      </c>
      <c r="E5864" s="12" t="s">
        <v>862</v>
      </c>
      <c r="F5864" s="12" t="s">
        <v>863</v>
      </c>
      <c r="G5864" s="12" t="s">
        <v>21</v>
      </c>
      <c r="H5864" s="11" t="s">
        <v>63</v>
      </c>
      <c r="I5864" s="13" t="s">
        <v>12865</v>
      </c>
      <c r="J5864" s="14" t="str">
        <f>HYPERLINK("https://www.boe.es/gazeta/dias/1839/10/28/pdfs/GMD-1839-1814.pdf#page=4","Abrir facsímil")</f>
        <v>Abrir facsímil</v>
      </c>
      <c r="K5864" s="12" t="s">
        <v>65</v>
      </c>
    </row>
    <row r="5865" spans="1:11" ht="40.049999999999997" customHeight="1" x14ac:dyDescent="0.25">
      <c r="A5865" s="11" t="s">
        <v>12866</v>
      </c>
      <c r="B5865" s="11" t="s">
        <v>12867</v>
      </c>
      <c r="C5865" s="11" t="s">
        <v>17</v>
      </c>
      <c r="D5865" s="11" t="s">
        <v>18</v>
      </c>
      <c r="E5865" s="12" t="s">
        <v>723</v>
      </c>
      <c r="F5865" s="12" t="s">
        <v>724</v>
      </c>
      <c r="G5865" s="12" t="s">
        <v>46</v>
      </c>
      <c r="H5865" s="11" t="s">
        <v>63</v>
      </c>
      <c r="I5865" s="13" t="s">
        <v>12868</v>
      </c>
      <c r="J5865" s="14" t="str">
        <f>HYPERLINK("https://www.boe.es/gazeta/dias/1839/09/26/pdfs/GMD-1839-1782.pdf#page=3","Abrir facsímil")</f>
        <v>Abrir facsímil</v>
      </c>
      <c r="K5865" s="12" t="s">
        <v>65</v>
      </c>
    </row>
    <row r="5866" spans="1:11" ht="40.049999999999997" customHeight="1" x14ac:dyDescent="0.25">
      <c r="A5866" s="11" t="s">
        <v>12869</v>
      </c>
      <c r="B5866" s="11" t="s">
        <v>12870</v>
      </c>
      <c r="C5866" s="11" t="s">
        <v>17</v>
      </c>
      <c r="D5866" s="11" t="s">
        <v>18</v>
      </c>
      <c r="E5866" s="12" t="s">
        <v>1179</v>
      </c>
      <c r="F5866" s="12" t="s">
        <v>1180</v>
      </c>
      <c r="G5866" s="12" t="s">
        <v>29</v>
      </c>
      <c r="H5866" s="11" t="s">
        <v>63</v>
      </c>
      <c r="I5866" s="13" t="s">
        <v>12871</v>
      </c>
      <c r="J5866" s="14" t="str">
        <f>HYPERLINK("https://www.boe.es/gazeta/dias/1839/10/18/pdfs/GMD-1839-1804.pdf#page=1","Abrir facsímil")</f>
        <v>Abrir facsímil</v>
      </c>
      <c r="K5866" s="12" t="s">
        <v>65</v>
      </c>
    </row>
    <row r="5867" spans="1:11" ht="40.049999999999997" customHeight="1" x14ac:dyDescent="0.25">
      <c r="A5867" s="11" t="s">
        <v>12872</v>
      </c>
      <c r="B5867" s="11" t="s">
        <v>12873</v>
      </c>
      <c r="C5867" s="11" t="s">
        <v>17</v>
      </c>
      <c r="D5867" s="11" t="s">
        <v>18</v>
      </c>
      <c r="E5867" s="12" t="s">
        <v>704</v>
      </c>
      <c r="F5867" s="12" t="s">
        <v>705</v>
      </c>
      <c r="G5867" s="12" t="s">
        <v>29</v>
      </c>
      <c r="H5867" s="11" t="s">
        <v>63</v>
      </c>
      <c r="I5867" s="13" t="s">
        <v>12874</v>
      </c>
      <c r="J5867" s="14" t="str">
        <f>HYPERLINK("https://www.boe.es/gazeta/dias/1839/03/02/pdfs/GMD-1839-1568.pdf#page=1","Abrir facsímil")</f>
        <v>Abrir facsímil</v>
      </c>
      <c r="K5867" s="12" t="s">
        <v>65</v>
      </c>
    </row>
    <row r="5868" spans="1:11" ht="40.049999999999997" customHeight="1" x14ac:dyDescent="0.25">
      <c r="A5868" s="11" t="s">
        <v>12872</v>
      </c>
      <c r="B5868" s="11" t="s">
        <v>12873</v>
      </c>
      <c r="C5868" s="11" t="s">
        <v>59</v>
      </c>
      <c r="D5868" s="11" t="s">
        <v>60</v>
      </c>
      <c r="E5868" s="12" t="s">
        <v>2449</v>
      </c>
      <c r="F5868" s="12" t="s">
        <v>2450</v>
      </c>
      <c r="G5868" s="12" t="s">
        <v>40</v>
      </c>
      <c r="H5868" s="11" t="s">
        <v>63</v>
      </c>
      <c r="I5868" s="13" t="s">
        <v>12875</v>
      </c>
      <c r="J5868" s="14" t="str">
        <f>HYPERLINK("https://www.boe.es/gazeta/dias/1839/12/11/pdfs/GMD-1839-1858.pdf#page=2","Abrir facsímil")</f>
        <v>Abrir facsímil</v>
      </c>
      <c r="K5868" s="12" t="s">
        <v>65</v>
      </c>
    </row>
    <row r="5869" spans="1:11" ht="40.049999999999997" customHeight="1" x14ac:dyDescent="0.25">
      <c r="A5869" s="11" t="s">
        <v>12876</v>
      </c>
      <c r="B5869" s="11" t="s">
        <v>12876</v>
      </c>
      <c r="C5869" s="11" t="s">
        <v>17</v>
      </c>
      <c r="D5869" s="11" t="s">
        <v>18</v>
      </c>
      <c r="E5869" s="12" t="s">
        <v>284</v>
      </c>
      <c r="F5869" s="12" t="s">
        <v>285</v>
      </c>
      <c r="G5869" s="12" t="s">
        <v>40</v>
      </c>
      <c r="H5869" s="11" t="s">
        <v>22</v>
      </c>
      <c r="I5869" s="13" t="s">
        <v>12877</v>
      </c>
      <c r="J5869" s="14" t="str">
        <f>HYPERLINK("https://www.boe.es/gazeta/dias/1839/01/27/pdfs/GMD-1839-1534.pdf#page=2","Abrir facsímil")</f>
        <v>Abrir facsímil</v>
      </c>
      <c r="K5869" s="12" t="s">
        <v>24</v>
      </c>
    </row>
    <row r="5870" spans="1:11" ht="40.049999999999997" customHeight="1" x14ac:dyDescent="0.25">
      <c r="A5870" s="11" t="s">
        <v>12878</v>
      </c>
      <c r="B5870" s="11" t="s">
        <v>12878</v>
      </c>
      <c r="C5870" s="11" t="s">
        <v>17</v>
      </c>
      <c r="D5870" s="11" t="s">
        <v>18</v>
      </c>
      <c r="E5870" s="12" t="s">
        <v>5845</v>
      </c>
      <c r="F5870" s="12" t="s">
        <v>5846</v>
      </c>
      <c r="G5870" s="12" t="s">
        <v>46</v>
      </c>
      <c r="H5870" s="11" t="s">
        <v>22</v>
      </c>
      <c r="I5870" s="13" t="s">
        <v>12879</v>
      </c>
      <c r="J5870" s="14" t="str">
        <f>HYPERLINK("https://www.boe.es/gazeta/dias/1839/04/01/pdfs/GMD-1839-1598.pdf#page=3","Abrir facsímil")</f>
        <v>Abrir facsímil</v>
      </c>
      <c r="K5870" s="12" t="s">
        <v>24</v>
      </c>
    </row>
    <row r="5871" spans="1:11" ht="40.049999999999997" customHeight="1" x14ac:dyDescent="0.25">
      <c r="A5871" s="11" t="s">
        <v>12880</v>
      </c>
      <c r="B5871" s="11" t="s">
        <v>12880</v>
      </c>
      <c r="C5871" s="11" t="s">
        <v>80</v>
      </c>
      <c r="D5871" s="11" t="s">
        <v>18</v>
      </c>
      <c r="E5871" s="12" t="s">
        <v>606</v>
      </c>
      <c r="F5871" s="12" t="s">
        <v>607</v>
      </c>
      <c r="G5871" s="12" t="s">
        <v>46</v>
      </c>
      <c r="H5871" s="11" t="s">
        <v>22</v>
      </c>
      <c r="I5871" s="13" t="s">
        <v>12881</v>
      </c>
      <c r="J5871" s="14" t="str">
        <f>HYPERLINK("https://www.boe.es/gazeta/dias/1839/04/02/pdfs/GMD-1839-1599.pdf#page=3","Abrir facsímil")</f>
        <v>Abrir facsímil</v>
      </c>
      <c r="K5871" s="12" t="s">
        <v>24</v>
      </c>
    </row>
    <row r="5872" spans="1:11" ht="40.049999999999997" customHeight="1" x14ac:dyDescent="0.25">
      <c r="A5872" s="11" t="s">
        <v>12880</v>
      </c>
      <c r="B5872" s="11" t="s">
        <v>12880</v>
      </c>
      <c r="C5872" s="11" t="s">
        <v>17</v>
      </c>
      <c r="D5872" s="11" t="s">
        <v>18</v>
      </c>
      <c r="E5872" s="12" t="s">
        <v>632</v>
      </c>
      <c r="F5872" s="12" t="s">
        <v>633</v>
      </c>
      <c r="G5872" s="12" t="s">
        <v>46</v>
      </c>
      <c r="H5872" s="11" t="s">
        <v>22</v>
      </c>
      <c r="I5872" s="13" t="s">
        <v>12882</v>
      </c>
      <c r="J5872" s="14" t="str">
        <f>HYPERLINK("https://www.boe.es/gazeta/dias/1839/04/06/pdfs/GMD-1839-1603.pdf#page=3","Abrir facsímil")</f>
        <v>Abrir facsímil</v>
      </c>
      <c r="K5872" s="12" t="s">
        <v>24</v>
      </c>
    </row>
    <row r="5873" spans="1:11" ht="40.049999999999997" customHeight="1" x14ac:dyDescent="0.25">
      <c r="A5873" s="11" t="s">
        <v>12880</v>
      </c>
      <c r="B5873" s="11" t="s">
        <v>12880</v>
      </c>
      <c r="C5873" s="11" t="s">
        <v>80</v>
      </c>
      <c r="D5873" s="11" t="s">
        <v>18</v>
      </c>
      <c r="E5873" s="12" t="s">
        <v>2881</v>
      </c>
      <c r="F5873" s="12" t="s">
        <v>2882</v>
      </c>
      <c r="G5873" s="12" t="s">
        <v>21</v>
      </c>
      <c r="H5873" s="11" t="s">
        <v>22</v>
      </c>
      <c r="I5873" s="13" t="s">
        <v>12883</v>
      </c>
      <c r="J5873" s="14" t="str">
        <f>HYPERLINK("https://www.boe.es/gazeta/dias/1839/05/08/pdfs/GMD-1839-1635.pdf#page=4","Abrir facsímil")</f>
        <v>Abrir facsímil</v>
      </c>
      <c r="K5873" s="12" t="s">
        <v>24</v>
      </c>
    </row>
    <row r="5874" spans="1:11" ht="40.049999999999997" customHeight="1" x14ac:dyDescent="0.25">
      <c r="A5874" s="11" t="s">
        <v>12880</v>
      </c>
      <c r="B5874" s="11" t="s">
        <v>12880</v>
      </c>
      <c r="C5874" s="11" t="s">
        <v>80</v>
      </c>
      <c r="D5874" s="11" t="s">
        <v>18</v>
      </c>
      <c r="E5874" s="12" t="s">
        <v>1310</v>
      </c>
      <c r="F5874" s="12" t="s">
        <v>1311</v>
      </c>
      <c r="G5874" s="12" t="s">
        <v>40</v>
      </c>
      <c r="H5874" s="11" t="s">
        <v>22</v>
      </c>
      <c r="I5874" s="13" t="s">
        <v>12884</v>
      </c>
      <c r="J5874" s="14" t="str">
        <f>HYPERLINK("https://www.boe.es/gazeta/dias/1839/04/23/pdfs/GMD-1839-1620.pdf#page=2","Abrir facsímil")</f>
        <v>Abrir facsímil</v>
      </c>
      <c r="K5874" s="12" t="s">
        <v>24</v>
      </c>
    </row>
    <row r="5875" spans="1:11" ht="40.049999999999997" customHeight="1" x14ac:dyDescent="0.25">
      <c r="A5875" s="11" t="s">
        <v>12885</v>
      </c>
      <c r="B5875" s="11" t="s">
        <v>12885</v>
      </c>
      <c r="C5875" s="11" t="s">
        <v>80</v>
      </c>
      <c r="D5875" s="11" t="s">
        <v>18</v>
      </c>
      <c r="E5875" s="12" t="s">
        <v>2650</v>
      </c>
      <c r="F5875" s="12" t="s">
        <v>2651</v>
      </c>
      <c r="G5875" s="12" t="s">
        <v>21</v>
      </c>
      <c r="H5875" s="11" t="s">
        <v>22</v>
      </c>
      <c r="I5875" s="13" t="s">
        <v>12886</v>
      </c>
      <c r="J5875" s="14" t="str">
        <f>HYPERLINK("https://www.boe.es/gazeta/dias/1839/09/15/pdfs/GMD-1839-1768.pdf#page=4","Abrir facsímil")</f>
        <v>Abrir facsímil</v>
      </c>
      <c r="K5875" s="12" t="s">
        <v>24</v>
      </c>
    </row>
    <row r="5876" spans="1:11" ht="40.049999999999997" customHeight="1" x14ac:dyDescent="0.25">
      <c r="A5876" s="11" t="s">
        <v>12887</v>
      </c>
      <c r="B5876" s="11" t="s">
        <v>12887</v>
      </c>
      <c r="C5876" s="11" t="s">
        <v>17</v>
      </c>
      <c r="D5876" s="11" t="s">
        <v>18</v>
      </c>
      <c r="E5876" s="12" t="s">
        <v>365</v>
      </c>
      <c r="F5876" s="12" t="s">
        <v>366</v>
      </c>
      <c r="G5876" s="12" t="s">
        <v>40</v>
      </c>
      <c r="H5876" s="11" t="s">
        <v>22</v>
      </c>
      <c r="I5876" s="13" t="s">
        <v>12888</v>
      </c>
      <c r="J5876" s="14" t="str">
        <f>HYPERLINK("https://www.boe.es/gazeta/dias/1839/08/14/pdfs/GMD-1839-1734.pdf#page=2","Abrir facsímil")</f>
        <v>Abrir facsímil</v>
      </c>
      <c r="K5876" s="12" t="s">
        <v>24</v>
      </c>
    </row>
    <row r="5877" spans="1:11" ht="40.049999999999997" customHeight="1" x14ac:dyDescent="0.25">
      <c r="A5877" s="11" t="s">
        <v>12889</v>
      </c>
      <c r="B5877" s="11" t="s">
        <v>12889</v>
      </c>
      <c r="C5877" s="11" t="s">
        <v>17</v>
      </c>
      <c r="D5877" s="11" t="s">
        <v>18</v>
      </c>
      <c r="E5877" s="12" t="s">
        <v>4957</v>
      </c>
      <c r="F5877" s="12" t="s">
        <v>4958</v>
      </c>
      <c r="G5877" s="12" t="s">
        <v>21</v>
      </c>
      <c r="H5877" s="11" t="s">
        <v>22</v>
      </c>
      <c r="I5877" s="13" t="s">
        <v>12890</v>
      </c>
      <c r="J5877" s="14" t="str">
        <f>HYPERLINK("https://www.boe.es/gazeta/dias/1839/11/04/pdfs/GMD-1839-1821.pdf#page=4","Abrir facsímil")</f>
        <v>Abrir facsímil</v>
      </c>
      <c r="K5877" s="12" t="s">
        <v>24</v>
      </c>
    </row>
    <row r="5878" spans="1:11" ht="40.049999999999997" customHeight="1" x14ac:dyDescent="0.25">
      <c r="A5878" s="11" t="s">
        <v>12891</v>
      </c>
      <c r="B5878" s="11" t="s">
        <v>12891</v>
      </c>
      <c r="C5878" s="11" t="s">
        <v>17</v>
      </c>
      <c r="D5878" s="11" t="s">
        <v>18</v>
      </c>
      <c r="E5878" s="12" t="s">
        <v>1537</v>
      </c>
      <c r="F5878" s="12" t="s">
        <v>1538</v>
      </c>
      <c r="G5878" s="12" t="s">
        <v>21</v>
      </c>
      <c r="H5878" s="11" t="s">
        <v>22</v>
      </c>
      <c r="I5878" s="13" t="s">
        <v>12892</v>
      </c>
      <c r="J5878" s="14" t="str">
        <f>HYPERLINK("https://www.boe.es/gazeta/dias/1839/12/16/pdfs/GMD-1839-1863.pdf#page=4","Abrir facsímil")</f>
        <v>Abrir facsímil</v>
      </c>
      <c r="K5878" s="12" t="s">
        <v>24</v>
      </c>
    </row>
    <row r="5879" spans="1:11" ht="40.049999999999997" customHeight="1" x14ac:dyDescent="0.25">
      <c r="A5879" s="11" t="s">
        <v>12891</v>
      </c>
      <c r="B5879" s="11" t="s">
        <v>12891</v>
      </c>
      <c r="C5879" s="11" t="s">
        <v>101</v>
      </c>
      <c r="D5879" s="11" t="s">
        <v>102</v>
      </c>
      <c r="E5879" s="12" t="s">
        <v>1895</v>
      </c>
      <c r="F5879" s="12" t="s">
        <v>1896</v>
      </c>
      <c r="G5879" s="12" t="s">
        <v>46</v>
      </c>
      <c r="H5879" s="11" t="s">
        <v>22</v>
      </c>
      <c r="I5879" s="13" t="s">
        <v>12893</v>
      </c>
      <c r="J5879" s="14" t="str">
        <f>HYPERLINK("https://www.boe.es/gazeta/dias/1839/12/23/pdfs/GMD-1839-1870.pdf#page=3","Abrir facsímil")</f>
        <v>Abrir facsímil</v>
      </c>
      <c r="K5879" s="12" t="s">
        <v>24</v>
      </c>
    </row>
    <row r="5880" spans="1:11" ht="40.049999999999997" customHeight="1" x14ac:dyDescent="0.25">
      <c r="A5880" s="11" t="s">
        <v>12891</v>
      </c>
      <c r="B5880" s="11" t="s">
        <v>12891</v>
      </c>
      <c r="C5880" s="11" t="s">
        <v>17</v>
      </c>
      <c r="D5880" s="11" t="s">
        <v>18</v>
      </c>
      <c r="E5880" s="12" t="s">
        <v>405</v>
      </c>
      <c r="F5880" s="12" t="s">
        <v>406</v>
      </c>
      <c r="G5880" s="12" t="s">
        <v>21</v>
      </c>
      <c r="H5880" s="11" t="s">
        <v>22</v>
      </c>
      <c r="I5880" s="13" t="s">
        <v>12894</v>
      </c>
      <c r="J5880" s="14" t="str">
        <f>HYPERLINK("https://www.boe.es/gazeta/dias/1839/03/25/pdfs/GMD-1839-1591.pdf#page=4","Abrir facsímil")</f>
        <v>Abrir facsímil</v>
      </c>
      <c r="K5880" s="12" t="s">
        <v>24</v>
      </c>
    </row>
    <row r="5881" spans="1:11" ht="40.049999999999997" customHeight="1" x14ac:dyDescent="0.25">
      <c r="A5881" s="11" t="s">
        <v>12891</v>
      </c>
      <c r="B5881" s="11" t="s">
        <v>12891</v>
      </c>
      <c r="C5881" s="11" t="s">
        <v>59</v>
      </c>
      <c r="D5881" s="11" t="s">
        <v>60</v>
      </c>
      <c r="E5881" s="12" t="s">
        <v>951</v>
      </c>
      <c r="F5881" s="12" t="s">
        <v>952</v>
      </c>
      <c r="G5881" s="12" t="s">
        <v>46</v>
      </c>
      <c r="H5881" s="11" t="s">
        <v>22</v>
      </c>
      <c r="I5881" s="13" t="s">
        <v>12895</v>
      </c>
      <c r="J5881" s="14" t="str">
        <f>HYPERLINK("https://www.boe.es/gazeta/dias/1839/12/30/pdfs/GMD-1839-1877.pdf#page=3","Abrir facsímil")</f>
        <v>Abrir facsímil</v>
      </c>
      <c r="K5881" s="12" t="s">
        <v>24</v>
      </c>
    </row>
    <row r="5882" spans="1:11" ht="40.049999999999997" customHeight="1" x14ac:dyDescent="0.25">
      <c r="A5882" s="11" t="s">
        <v>12896</v>
      </c>
      <c r="B5882" s="11" t="s">
        <v>12896</v>
      </c>
      <c r="C5882" s="11" t="s">
        <v>17</v>
      </c>
      <c r="D5882" s="11" t="s">
        <v>18</v>
      </c>
      <c r="E5882" s="12" t="s">
        <v>448</v>
      </c>
      <c r="F5882" s="12" t="s">
        <v>449</v>
      </c>
      <c r="G5882" s="12" t="s">
        <v>40</v>
      </c>
      <c r="H5882" s="11" t="s">
        <v>22</v>
      </c>
      <c r="I5882" s="13" t="s">
        <v>12897</v>
      </c>
      <c r="J5882" s="14" t="str">
        <f>HYPERLINK("https://www.boe.es/gazeta/dias/1839/02/06/pdfs/GMD-1839-1544.pdf#page=2","Abrir facsímil")</f>
        <v>Abrir facsímil</v>
      </c>
      <c r="K5882" s="12" t="s">
        <v>24</v>
      </c>
    </row>
    <row r="5883" spans="1:11" ht="40.049999999999997" customHeight="1" x14ac:dyDescent="0.25">
      <c r="A5883" s="11" t="s">
        <v>12896</v>
      </c>
      <c r="B5883" s="11" t="s">
        <v>12896</v>
      </c>
      <c r="C5883" s="11" t="s">
        <v>17</v>
      </c>
      <c r="D5883" s="11" t="s">
        <v>18</v>
      </c>
      <c r="E5883" s="12" t="s">
        <v>160</v>
      </c>
      <c r="F5883" s="12" t="s">
        <v>161</v>
      </c>
      <c r="G5883" s="12" t="s">
        <v>29</v>
      </c>
      <c r="H5883" s="11" t="s">
        <v>22</v>
      </c>
      <c r="I5883" s="13" t="s">
        <v>12898</v>
      </c>
      <c r="J5883" s="14" t="str">
        <f>HYPERLINK("https://www.boe.es/gazeta/dias/1839/01/10/pdfs/GMD-1839-1517.pdf#page=1","Abrir facsímil")</f>
        <v>Abrir facsímil</v>
      </c>
      <c r="K5883" s="12" t="s">
        <v>24</v>
      </c>
    </row>
    <row r="5884" spans="1:11" ht="40.049999999999997" customHeight="1" x14ac:dyDescent="0.25">
      <c r="A5884" s="11" t="s">
        <v>12899</v>
      </c>
      <c r="B5884" s="11" t="s">
        <v>12899</v>
      </c>
      <c r="C5884" s="11" t="s">
        <v>17</v>
      </c>
      <c r="D5884" s="11" t="s">
        <v>18</v>
      </c>
      <c r="E5884" s="12" t="s">
        <v>1057</v>
      </c>
      <c r="F5884" s="12" t="s">
        <v>1058</v>
      </c>
      <c r="G5884" s="12" t="s">
        <v>21</v>
      </c>
      <c r="H5884" s="11" t="s">
        <v>22</v>
      </c>
      <c r="I5884" s="13" t="s">
        <v>12900</v>
      </c>
      <c r="J5884" s="14" t="str">
        <f>HYPERLINK("https://www.boe.es/gazeta/dias/1839/10/01/pdfs/GMD-1839-1787.pdf#page=4","Abrir facsímil")</f>
        <v>Abrir facsímil</v>
      </c>
      <c r="K5884" s="12" t="s">
        <v>24</v>
      </c>
    </row>
    <row r="5885" spans="1:11" ht="40.049999999999997" customHeight="1" x14ac:dyDescent="0.25">
      <c r="A5885" s="11" t="s">
        <v>12901</v>
      </c>
      <c r="B5885" s="11" t="s">
        <v>12901</v>
      </c>
      <c r="C5885" s="11" t="s">
        <v>17</v>
      </c>
      <c r="D5885" s="11" t="s">
        <v>18</v>
      </c>
      <c r="E5885" s="12" t="s">
        <v>1867</v>
      </c>
      <c r="F5885" s="12" t="s">
        <v>1868</v>
      </c>
      <c r="G5885" s="12" t="s">
        <v>21</v>
      </c>
      <c r="H5885" s="11" t="s">
        <v>22</v>
      </c>
      <c r="I5885" s="13" t="s">
        <v>12902</v>
      </c>
      <c r="J5885" s="14" t="str">
        <f>HYPERLINK("https://www.boe.es/gazeta/dias/1839/01/30/pdfs/GMD-1839-1537.pdf#page=4","Abrir facsímil")</f>
        <v>Abrir facsímil</v>
      </c>
      <c r="K5885" s="12" t="s">
        <v>24</v>
      </c>
    </row>
    <row r="5886" spans="1:11" ht="40.049999999999997" customHeight="1" x14ac:dyDescent="0.25">
      <c r="A5886" s="11" t="s">
        <v>12903</v>
      </c>
      <c r="B5886" s="11" t="s">
        <v>12903</v>
      </c>
      <c r="C5886" s="11" t="s">
        <v>17</v>
      </c>
      <c r="D5886" s="11" t="s">
        <v>18</v>
      </c>
      <c r="E5886" s="12" t="s">
        <v>1406</v>
      </c>
      <c r="F5886" s="12" t="s">
        <v>1407</v>
      </c>
      <c r="G5886" s="12" t="s">
        <v>40</v>
      </c>
      <c r="H5886" s="11" t="s">
        <v>22</v>
      </c>
      <c r="I5886" s="13" t="s">
        <v>12904</v>
      </c>
      <c r="J5886" s="14" t="str">
        <f>HYPERLINK("https://www.boe.es/gazeta/dias/1839/07/18/pdfs/GMD-1839-1706.pdf#page=2","Abrir facsímil")</f>
        <v>Abrir facsímil</v>
      </c>
      <c r="K5886" s="12" t="s">
        <v>24</v>
      </c>
    </row>
    <row r="5887" spans="1:11" ht="40.049999999999997" customHeight="1" x14ac:dyDescent="0.25">
      <c r="A5887" s="11" t="s">
        <v>12905</v>
      </c>
      <c r="B5887" s="11" t="s">
        <v>12905</v>
      </c>
      <c r="C5887" s="11" t="s">
        <v>101</v>
      </c>
      <c r="D5887" s="11" t="s">
        <v>102</v>
      </c>
      <c r="E5887" s="12" t="s">
        <v>1867</v>
      </c>
      <c r="F5887" s="12" t="s">
        <v>1868</v>
      </c>
      <c r="G5887" s="12" t="s">
        <v>40</v>
      </c>
      <c r="H5887" s="11" t="s">
        <v>22</v>
      </c>
      <c r="I5887" s="13" t="s">
        <v>12906</v>
      </c>
      <c r="J5887" s="14" t="str">
        <f>HYPERLINK("https://www.boe.es/gazeta/dias/1839/01/30/pdfs/GMD-1839-1537.pdf#page=2","Abrir facsímil")</f>
        <v>Abrir facsímil</v>
      </c>
      <c r="K5887" s="12" t="s">
        <v>24</v>
      </c>
    </row>
    <row r="5888" spans="1:11" ht="40.049999999999997" customHeight="1" x14ac:dyDescent="0.25">
      <c r="A5888" s="11" t="s">
        <v>12907</v>
      </c>
      <c r="B5888" s="11" t="s">
        <v>12907</v>
      </c>
      <c r="C5888" s="11" t="s">
        <v>17</v>
      </c>
      <c r="D5888" s="11" t="s">
        <v>18</v>
      </c>
      <c r="E5888" s="12" t="s">
        <v>395</v>
      </c>
      <c r="F5888" s="12" t="s">
        <v>396</v>
      </c>
      <c r="G5888" s="12" t="s">
        <v>21</v>
      </c>
      <c r="H5888" s="11" t="s">
        <v>22</v>
      </c>
      <c r="I5888" s="13" t="s">
        <v>12908</v>
      </c>
      <c r="J5888" s="14" t="str">
        <f>HYPERLINK("https://www.boe.es/gazeta/dias/1839/03/15/pdfs/GMD-1839-1581.pdf#page=4","Abrir facsímil")</f>
        <v>Abrir facsímil</v>
      </c>
      <c r="K5888" s="12" t="s">
        <v>24</v>
      </c>
    </row>
    <row r="5889" spans="1:11" ht="40.049999999999997" customHeight="1" x14ac:dyDescent="0.25">
      <c r="A5889" s="11" t="s">
        <v>12909</v>
      </c>
      <c r="B5889" s="11" t="s">
        <v>12909</v>
      </c>
      <c r="C5889" s="11" t="s">
        <v>17</v>
      </c>
      <c r="D5889" s="11" t="s">
        <v>18</v>
      </c>
      <c r="E5889" s="12" t="s">
        <v>54</v>
      </c>
      <c r="F5889" s="12" t="s">
        <v>55</v>
      </c>
      <c r="G5889" s="12" t="s">
        <v>305</v>
      </c>
      <c r="H5889" s="11" t="s">
        <v>22</v>
      </c>
      <c r="I5889" s="13" t="s">
        <v>12910</v>
      </c>
      <c r="J5889" s="14" t="str">
        <f>HYPERLINK("https://www.boe.es/gazeta/dias/1839/10/05/pdfs/GMD-1839-1791.pdf#page=6","Abrir facsímil")</f>
        <v>Abrir facsímil</v>
      </c>
      <c r="K5889" s="12" t="s">
        <v>24</v>
      </c>
    </row>
    <row r="5890" spans="1:11" ht="40.049999999999997" customHeight="1" x14ac:dyDescent="0.25">
      <c r="A5890" s="11" t="s">
        <v>12911</v>
      </c>
      <c r="B5890" s="11" t="s">
        <v>12911</v>
      </c>
      <c r="C5890" s="11" t="s">
        <v>101</v>
      </c>
      <c r="D5890" s="11" t="s">
        <v>43</v>
      </c>
      <c r="E5890" s="12" t="s">
        <v>2301</v>
      </c>
      <c r="F5890" s="12" t="s">
        <v>2302</v>
      </c>
      <c r="G5890" s="12" t="s">
        <v>29</v>
      </c>
      <c r="H5890" s="11" t="s">
        <v>63</v>
      </c>
      <c r="I5890" s="13" t="s">
        <v>12912</v>
      </c>
      <c r="J5890" s="14" t="str">
        <f>HYPERLINK("https://www.boe.es/gazeta/dias/1839/09/08/pdfs/GMD-1839-1761.pdf#page=1","Abrir facsímil")</f>
        <v>Abrir facsímil</v>
      </c>
      <c r="K5890" s="12" t="s">
        <v>65</v>
      </c>
    </row>
    <row r="5891" spans="1:11" ht="40.049999999999997" customHeight="1" x14ac:dyDescent="0.25">
      <c r="A5891" s="11" t="s">
        <v>12913</v>
      </c>
      <c r="B5891" s="11" t="s">
        <v>12913</v>
      </c>
      <c r="C5891" s="11" t="s">
        <v>80</v>
      </c>
      <c r="D5891" s="11" t="s">
        <v>18</v>
      </c>
      <c r="E5891" s="12" t="s">
        <v>243</v>
      </c>
      <c r="F5891" s="12" t="s">
        <v>244</v>
      </c>
      <c r="G5891" s="12" t="s">
        <v>29</v>
      </c>
      <c r="H5891" s="11" t="s">
        <v>22</v>
      </c>
      <c r="I5891" s="13" t="s">
        <v>12914</v>
      </c>
      <c r="J5891" s="14" t="str">
        <f>HYPERLINK("https://www.boe.es/gazeta/dias/1839/09/23/pdfs/GMD-1839-1779.pdf#page=1","Abrir facsímil")</f>
        <v>Abrir facsímil</v>
      </c>
      <c r="K5891" s="12" t="s">
        <v>24</v>
      </c>
    </row>
    <row r="5892" spans="1:11" ht="40.049999999999997" customHeight="1" x14ac:dyDescent="0.25">
      <c r="A5892" s="11" t="s">
        <v>12915</v>
      </c>
      <c r="B5892" s="11" t="s">
        <v>12915</v>
      </c>
      <c r="C5892" s="11" t="s">
        <v>17</v>
      </c>
      <c r="D5892" s="11" t="s">
        <v>18</v>
      </c>
      <c r="E5892" s="12" t="s">
        <v>1366</v>
      </c>
      <c r="F5892" s="12" t="s">
        <v>1367</v>
      </c>
      <c r="G5892" s="12" t="s">
        <v>21</v>
      </c>
      <c r="H5892" s="11" t="s">
        <v>22</v>
      </c>
      <c r="I5892" s="13" t="s">
        <v>12916</v>
      </c>
      <c r="J5892" s="14" t="str">
        <f>HYPERLINK("https://www.boe.es/gazeta/dias/1839/09/09/pdfs/GMD-1839-1762.pdf#page=4","Abrir facsímil")</f>
        <v>Abrir facsímil</v>
      </c>
      <c r="K5892" s="12" t="s">
        <v>24</v>
      </c>
    </row>
    <row r="5893" spans="1:11" ht="40.049999999999997" customHeight="1" x14ac:dyDescent="0.25">
      <c r="A5893" s="11" t="s">
        <v>12917</v>
      </c>
      <c r="B5893" s="11" t="s">
        <v>12917</v>
      </c>
      <c r="C5893" s="11" t="s">
        <v>80</v>
      </c>
      <c r="D5893" s="11" t="s">
        <v>18</v>
      </c>
      <c r="E5893" s="12" t="s">
        <v>246</v>
      </c>
      <c r="F5893" s="12" t="s">
        <v>247</v>
      </c>
      <c r="G5893" s="12" t="s">
        <v>21</v>
      </c>
      <c r="H5893" s="11" t="s">
        <v>22</v>
      </c>
      <c r="I5893" s="13" t="s">
        <v>12918</v>
      </c>
      <c r="J5893" s="14" t="str">
        <f>HYPERLINK("https://www.boe.es/gazeta/dias/1839/11/24/pdfs/GMD-1839-1841.pdf#page=4","Abrir facsímil")</f>
        <v>Abrir facsímil</v>
      </c>
      <c r="K5893" s="12" t="s">
        <v>24</v>
      </c>
    </row>
    <row r="5894" spans="1:11" ht="40.049999999999997" customHeight="1" x14ac:dyDescent="0.25">
      <c r="A5894" s="11" t="s">
        <v>12919</v>
      </c>
      <c r="B5894" s="11" t="s">
        <v>12919</v>
      </c>
      <c r="C5894" s="11" t="s">
        <v>17</v>
      </c>
      <c r="D5894" s="11" t="s">
        <v>18</v>
      </c>
      <c r="E5894" s="12" t="s">
        <v>1654</v>
      </c>
      <c r="F5894" s="12" t="s">
        <v>1655</v>
      </c>
      <c r="G5894" s="12" t="s">
        <v>40</v>
      </c>
      <c r="H5894" s="11" t="s">
        <v>22</v>
      </c>
      <c r="I5894" s="13" t="s">
        <v>12920</v>
      </c>
      <c r="J5894" s="14" t="str">
        <f>HYPERLINK("https://www.boe.es/gazeta/dias/1839/11/19/pdfs/GMD-1839-1836.pdf#page=2","Abrir facsímil")</f>
        <v>Abrir facsímil</v>
      </c>
      <c r="K5894" s="12" t="s">
        <v>24</v>
      </c>
    </row>
    <row r="5895" spans="1:11" ht="40.049999999999997" customHeight="1" x14ac:dyDescent="0.25">
      <c r="A5895" s="11" t="s">
        <v>12921</v>
      </c>
      <c r="B5895" s="11" t="s">
        <v>12921</v>
      </c>
      <c r="C5895" s="11" t="s">
        <v>101</v>
      </c>
      <c r="D5895" s="11" t="s">
        <v>102</v>
      </c>
      <c r="E5895" s="12" t="s">
        <v>336</v>
      </c>
      <c r="F5895" s="12" t="s">
        <v>337</v>
      </c>
      <c r="G5895" s="12" t="s">
        <v>46</v>
      </c>
      <c r="H5895" s="11" t="s">
        <v>22</v>
      </c>
      <c r="I5895" s="13" t="s">
        <v>12922</v>
      </c>
      <c r="J5895" s="14" t="str">
        <f>HYPERLINK("https://www.boe.es/gazeta/dias/1839/07/14/pdfs/GMD-1839-1702.pdf#page=3","Abrir facsímil")</f>
        <v>Abrir facsímil</v>
      </c>
      <c r="K5895" s="12" t="s">
        <v>24</v>
      </c>
    </row>
    <row r="5896" spans="1:11" ht="40.049999999999997" customHeight="1" x14ac:dyDescent="0.25">
      <c r="A5896" s="11" t="s">
        <v>12923</v>
      </c>
      <c r="B5896" s="11" t="s">
        <v>12923</v>
      </c>
      <c r="C5896" s="11" t="s">
        <v>17</v>
      </c>
      <c r="D5896" s="11" t="s">
        <v>18</v>
      </c>
      <c r="E5896" s="12" t="s">
        <v>212</v>
      </c>
      <c r="F5896" s="12" t="s">
        <v>213</v>
      </c>
      <c r="G5896" s="12" t="s">
        <v>40</v>
      </c>
      <c r="H5896" s="11" t="s">
        <v>63</v>
      </c>
      <c r="I5896" s="13" t="s">
        <v>12924</v>
      </c>
      <c r="J5896" s="14" t="str">
        <f>HYPERLINK("https://www.boe.es/gazeta/dias/1839/10/03/pdfs/GMD-1839-1789.pdf#page=2","Abrir facsímil")</f>
        <v>Abrir facsímil</v>
      </c>
      <c r="K5896" s="12" t="s">
        <v>65</v>
      </c>
    </row>
    <row r="5897" spans="1:11" ht="40.049999999999997" customHeight="1" x14ac:dyDescent="0.25">
      <c r="A5897" s="11" t="s">
        <v>12925</v>
      </c>
      <c r="B5897" s="11" t="s">
        <v>12926</v>
      </c>
      <c r="C5897" s="11" t="s">
        <v>17</v>
      </c>
      <c r="D5897" s="11" t="s">
        <v>18</v>
      </c>
      <c r="E5897" s="12" t="s">
        <v>1019</v>
      </c>
      <c r="F5897" s="12" t="s">
        <v>1020</v>
      </c>
      <c r="G5897" s="12" t="s">
        <v>21</v>
      </c>
      <c r="H5897" s="11" t="s">
        <v>22</v>
      </c>
      <c r="I5897" s="13" t="s">
        <v>12927</v>
      </c>
      <c r="J5897" s="14" t="str">
        <f>HYPERLINK("https://www.boe.es/gazeta/dias/1839/07/15/pdfs/GMD-1839-1703.pdf#page=4","Abrir facsímil")</f>
        <v>Abrir facsímil</v>
      </c>
      <c r="K5897" s="12" t="s">
        <v>24</v>
      </c>
    </row>
    <row r="5898" spans="1:11" ht="40.049999999999997" customHeight="1" x14ac:dyDescent="0.25">
      <c r="A5898" s="11" t="s">
        <v>12928</v>
      </c>
      <c r="B5898" s="11" t="s">
        <v>12928</v>
      </c>
      <c r="C5898" s="11" t="s">
        <v>59</v>
      </c>
      <c r="D5898" s="11" t="s">
        <v>60</v>
      </c>
      <c r="E5898" s="12" t="s">
        <v>1648</v>
      </c>
      <c r="F5898" s="12" t="s">
        <v>2458</v>
      </c>
      <c r="G5898" s="12" t="s">
        <v>29</v>
      </c>
      <c r="H5898" s="11" t="s">
        <v>63</v>
      </c>
      <c r="I5898" s="13" t="s">
        <v>12929</v>
      </c>
      <c r="J5898" s="14" t="str">
        <f>HYPERLINK("https://www.boe.es/datos/pdfs/BOE//1839/1739/E00001-00001.pdf#page=1","Abrir facsímil")</f>
        <v>Abrir facsímil</v>
      </c>
      <c r="K5898" s="12" t="s">
        <v>65</v>
      </c>
    </row>
    <row r="5899" spans="1:11" ht="40.049999999999997" customHeight="1" x14ac:dyDescent="0.25">
      <c r="A5899" s="11" t="s">
        <v>12930</v>
      </c>
      <c r="B5899" s="11" t="s">
        <v>12931</v>
      </c>
      <c r="C5899" s="11" t="s">
        <v>59</v>
      </c>
      <c r="D5899" s="11" t="s">
        <v>60</v>
      </c>
      <c r="E5899" s="12" t="s">
        <v>1648</v>
      </c>
      <c r="F5899" s="12" t="s">
        <v>2458</v>
      </c>
      <c r="G5899" s="12" t="s">
        <v>29</v>
      </c>
      <c r="H5899" s="11" t="s">
        <v>63</v>
      </c>
      <c r="I5899" s="13" t="s">
        <v>12932</v>
      </c>
      <c r="J5899" s="14" t="str">
        <f>HYPERLINK("https://www.boe.es/datos/pdfs/BOE//1839/1739/E00001-00001.pdf#page=1","Abrir facsímil")</f>
        <v>Abrir facsímil</v>
      </c>
      <c r="K5899" s="12" t="s">
        <v>65</v>
      </c>
    </row>
    <row r="5900" spans="1:11" ht="40.049999999999997" customHeight="1" x14ac:dyDescent="0.25">
      <c r="A5900" s="11" t="s">
        <v>12933</v>
      </c>
      <c r="B5900" s="11" t="s">
        <v>12934</v>
      </c>
      <c r="C5900" s="11" t="s">
        <v>59</v>
      </c>
      <c r="D5900" s="11" t="s">
        <v>60</v>
      </c>
      <c r="E5900" s="12" t="s">
        <v>360</v>
      </c>
      <c r="F5900" s="12" t="s">
        <v>361</v>
      </c>
      <c r="G5900" s="12" t="s">
        <v>29</v>
      </c>
      <c r="H5900" s="11" t="s">
        <v>63</v>
      </c>
      <c r="I5900" s="13" t="s">
        <v>12935</v>
      </c>
      <c r="J5900" s="14" t="str">
        <f>HYPERLINK("https://www.boe.es/gazeta/dias/1839/08/22/pdfs/GMD-1839-1743.pdf#page=1","Abrir facsímil")</f>
        <v>Abrir facsímil</v>
      </c>
      <c r="K5900" s="12" t="s">
        <v>65</v>
      </c>
    </row>
    <row r="5901" spans="1:11" ht="40.049999999999997" customHeight="1" x14ac:dyDescent="0.25">
      <c r="A5901" s="11" t="s">
        <v>12936</v>
      </c>
      <c r="B5901" s="11" t="s">
        <v>12937</v>
      </c>
      <c r="C5901" s="11" t="s">
        <v>137</v>
      </c>
      <c r="D5901" s="11" t="s">
        <v>18</v>
      </c>
      <c r="E5901" s="12" t="s">
        <v>197</v>
      </c>
      <c r="F5901" s="12" t="s">
        <v>198</v>
      </c>
      <c r="G5901" s="12" t="s">
        <v>46</v>
      </c>
      <c r="H5901" s="11" t="s">
        <v>63</v>
      </c>
      <c r="I5901" s="13" t="s">
        <v>12938</v>
      </c>
      <c r="J5901" s="14" t="str">
        <f>HYPERLINK("https://www.boe.es/gazeta/dias/1839/10/04/pdfs/GMD-1839-1790.pdf#page=3","Abrir facsímil")</f>
        <v>Abrir facsímil</v>
      </c>
      <c r="K5901" s="12" t="s">
        <v>65</v>
      </c>
    </row>
    <row r="5902" spans="1:11" ht="40.049999999999997" customHeight="1" x14ac:dyDescent="0.25">
      <c r="A5902" s="11" t="s">
        <v>12939</v>
      </c>
      <c r="B5902" s="11" t="s">
        <v>12939</v>
      </c>
      <c r="C5902" s="11" t="s">
        <v>17</v>
      </c>
      <c r="D5902" s="11" t="s">
        <v>18</v>
      </c>
      <c r="E5902" s="12" t="s">
        <v>1406</v>
      </c>
      <c r="F5902" s="12" t="s">
        <v>1407</v>
      </c>
      <c r="G5902" s="12" t="s">
        <v>40</v>
      </c>
      <c r="H5902" s="11" t="s">
        <v>22</v>
      </c>
      <c r="I5902" s="13" t="s">
        <v>12940</v>
      </c>
      <c r="J5902" s="14" t="str">
        <f>HYPERLINK("https://www.boe.es/gazeta/dias/1839/07/18/pdfs/GMD-1839-1706.pdf#page=2","Abrir facsímil")</f>
        <v>Abrir facsímil</v>
      </c>
      <c r="K5902" s="12" t="s">
        <v>24</v>
      </c>
    </row>
    <row r="5903" spans="1:11" ht="40.049999999999997" customHeight="1" x14ac:dyDescent="0.25">
      <c r="A5903" s="11" t="s">
        <v>12939</v>
      </c>
      <c r="B5903" s="11" t="s">
        <v>12939</v>
      </c>
      <c r="C5903" s="11" t="s">
        <v>17</v>
      </c>
      <c r="D5903" s="11" t="s">
        <v>18</v>
      </c>
      <c r="E5903" s="12" t="s">
        <v>516</v>
      </c>
      <c r="F5903" s="12" t="s">
        <v>517</v>
      </c>
      <c r="G5903" s="12" t="s">
        <v>21</v>
      </c>
      <c r="H5903" s="11" t="s">
        <v>22</v>
      </c>
      <c r="I5903" s="13" t="s">
        <v>12941</v>
      </c>
      <c r="J5903" s="14" t="str">
        <f>HYPERLINK("https://www.boe.es/gazeta/dias/1839/06/21/pdfs/GMD-1839-1679.pdf#page=4","Abrir facsímil")</f>
        <v>Abrir facsímil</v>
      </c>
      <c r="K5903" s="12" t="s">
        <v>24</v>
      </c>
    </row>
    <row r="5904" spans="1:11" ht="40.049999999999997" customHeight="1" x14ac:dyDescent="0.25">
      <c r="A5904" s="11" t="s">
        <v>12942</v>
      </c>
      <c r="B5904" s="11" t="s">
        <v>12942</v>
      </c>
      <c r="C5904" s="11" t="s">
        <v>80</v>
      </c>
      <c r="D5904" s="11" t="s">
        <v>18</v>
      </c>
      <c r="E5904" s="12" t="s">
        <v>369</v>
      </c>
      <c r="F5904" s="12" t="s">
        <v>370</v>
      </c>
      <c r="G5904" s="12" t="s">
        <v>21</v>
      </c>
      <c r="H5904" s="11" t="s">
        <v>22</v>
      </c>
      <c r="I5904" s="13" t="s">
        <v>12943</v>
      </c>
      <c r="J5904" s="14" t="str">
        <f>HYPERLINK("https://www.boe.es/gazeta/dias/1839/11/01/pdfs/GMD-1839-1818.pdf#page=4","Abrir facsímil")</f>
        <v>Abrir facsímil</v>
      </c>
      <c r="K5904" s="12" t="s">
        <v>24</v>
      </c>
    </row>
    <row r="5905" spans="1:11" ht="40.049999999999997" customHeight="1" x14ac:dyDescent="0.25">
      <c r="A5905" s="11" t="s">
        <v>12942</v>
      </c>
      <c r="B5905" s="11" t="s">
        <v>12942</v>
      </c>
      <c r="C5905" s="11" t="s">
        <v>80</v>
      </c>
      <c r="D5905" s="11" t="s">
        <v>18</v>
      </c>
      <c r="E5905" s="12" t="s">
        <v>372</v>
      </c>
      <c r="F5905" s="12" t="s">
        <v>373</v>
      </c>
      <c r="G5905" s="12" t="s">
        <v>21</v>
      </c>
      <c r="H5905" s="11" t="s">
        <v>22</v>
      </c>
      <c r="I5905" s="13" t="s">
        <v>12944</v>
      </c>
      <c r="J5905" s="14" t="str">
        <f>HYPERLINK("https://www.boe.es/gazeta/dias/1839/11/08/pdfs/GMD-1839-1825.pdf#page=4","Abrir facsímil")</f>
        <v>Abrir facsímil</v>
      </c>
      <c r="K5905" s="12" t="s">
        <v>24</v>
      </c>
    </row>
    <row r="5906" spans="1:11" ht="40.049999999999997" customHeight="1" x14ac:dyDescent="0.25">
      <c r="A5906" s="11" t="s">
        <v>12942</v>
      </c>
      <c r="B5906" s="11" t="s">
        <v>12942</v>
      </c>
      <c r="C5906" s="11" t="s">
        <v>17</v>
      </c>
      <c r="D5906" s="11" t="s">
        <v>18</v>
      </c>
      <c r="E5906" s="12" t="s">
        <v>375</v>
      </c>
      <c r="F5906" s="12" t="s">
        <v>376</v>
      </c>
      <c r="G5906" s="12" t="s">
        <v>21</v>
      </c>
      <c r="H5906" s="11" t="s">
        <v>22</v>
      </c>
      <c r="I5906" s="13" t="s">
        <v>12945</v>
      </c>
      <c r="J5906" s="14" t="str">
        <f>HYPERLINK("https://www.boe.es/gazeta/dias/1839/11/25/pdfs/GMD-1839-1842.pdf#page=4","Abrir facsímil")</f>
        <v>Abrir facsímil</v>
      </c>
      <c r="K5906" s="12" t="s">
        <v>24</v>
      </c>
    </row>
    <row r="5907" spans="1:11" ht="40.049999999999997" customHeight="1" x14ac:dyDescent="0.25">
      <c r="A5907" s="11" t="s">
        <v>12946</v>
      </c>
      <c r="B5907" s="11" t="s">
        <v>12946</v>
      </c>
      <c r="C5907" s="11" t="s">
        <v>137</v>
      </c>
      <c r="D5907" s="11" t="s">
        <v>18</v>
      </c>
      <c r="E5907" s="12" t="s">
        <v>448</v>
      </c>
      <c r="F5907" s="12" t="s">
        <v>449</v>
      </c>
      <c r="G5907" s="12" t="s">
        <v>29</v>
      </c>
      <c r="H5907" s="11" t="s">
        <v>22</v>
      </c>
      <c r="I5907" s="13" t="s">
        <v>12947</v>
      </c>
      <c r="J5907" s="14" t="str">
        <f>HYPERLINK("https://www.boe.es/gazeta/dias/1839/02/06/pdfs/GMD-1839-1544.pdf#page=1","Abrir facsímil")</f>
        <v>Abrir facsímil</v>
      </c>
      <c r="K5907" s="12" t="s">
        <v>24</v>
      </c>
    </row>
    <row r="5908" spans="1:11" ht="40.049999999999997" customHeight="1" x14ac:dyDescent="0.25">
      <c r="A5908" s="11" t="s">
        <v>12946</v>
      </c>
      <c r="B5908" s="11" t="s">
        <v>12946</v>
      </c>
      <c r="C5908" s="11" t="s">
        <v>17</v>
      </c>
      <c r="D5908" s="11" t="s">
        <v>18</v>
      </c>
      <c r="E5908" s="12" t="s">
        <v>2738</v>
      </c>
      <c r="F5908" s="12" t="s">
        <v>2739</v>
      </c>
      <c r="G5908" s="12" t="s">
        <v>21</v>
      </c>
      <c r="H5908" s="11" t="s">
        <v>22</v>
      </c>
      <c r="I5908" s="13" t="s">
        <v>12948</v>
      </c>
      <c r="J5908" s="14" t="str">
        <f>HYPERLINK("https://www.boe.es/gazeta/dias/1839/09/06/pdfs/GMD-1839-1759.pdf#page=4","Abrir facsímil")</f>
        <v>Abrir facsímil</v>
      </c>
      <c r="K5908" s="12" t="s">
        <v>24</v>
      </c>
    </row>
    <row r="5909" spans="1:11" ht="40.049999999999997" customHeight="1" x14ac:dyDescent="0.25">
      <c r="A5909" s="11" t="s">
        <v>12946</v>
      </c>
      <c r="B5909" s="11" t="s">
        <v>12946</v>
      </c>
      <c r="C5909" s="11" t="s">
        <v>17</v>
      </c>
      <c r="D5909" s="11" t="s">
        <v>18</v>
      </c>
      <c r="E5909" s="12" t="s">
        <v>4485</v>
      </c>
      <c r="F5909" s="12" t="s">
        <v>4486</v>
      </c>
      <c r="G5909" s="12" t="s">
        <v>21</v>
      </c>
      <c r="H5909" s="11" t="s">
        <v>22</v>
      </c>
      <c r="I5909" s="13" t="s">
        <v>12949</v>
      </c>
      <c r="J5909" s="14" t="str">
        <f>HYPERLINK("https://www.boe.es/gazeta/dias/1839/07/08/pdfs/GMD-1839-1696.pdf#page=4","Abrir facsímil")</f>
        <v>Abrir facsímil</v>
      </c>
      <c r="K5909" s="12" t="s">
        <v>24</v>
      </c>
    </row>
    <row r="5910" spans="1:11" ht="40.049999999999997" customHeight="1" x14ac:dyDescent="0.25">
      <c r="A5910" s="11" t="s">
        <v>12946</v>
      </c>
      <c r="B5910" s="11" t="s">
        <v>12946</v>
      </c>
      <c r="C5910" s="11" t="s">
        <v>17</v>
      </c>
      <c r="D5910" s="11" t="s">
        <v>18</v>
      </c>
      <c r="E5910" s="12" t="s">
        <v>1703</v>
      </c>
      <c r="F5910" s="12" t="s">
        <v>1704</v>
      </c>
      <c r="G5910" s="12" t="s">
        <v>46</v>
      </c>
      <c r="H5910" s="11" t="s">
        <v>22</v>
      </c>
      <c r="I5910" s="13" t="s">
        <v>12950</v>
      </c>
      <c r="J5910" s="14" t="str">
        <f>HYPERLINK("https://www.boe.es/gazeta/dias/1839/01/21/pdfs/GMD-1839-1528.pdf#page=3","Abrir facsímil")</f>
        <v>Abrir facsímil</v>
      </c>
      <c r="K5910" s="12" t="s">
        <v>24</v>
      </c>
    </row>
    <row r="5911" spans="1:11" ht="40.049999999999997" customHeight="1" x14ac:dyDescent="0.25">
      <c r="A5911" s="11" t="s">
        <v>12951</v>
      </c>
      <c r="B5911" s="11" t="s">
        <v>12951</v>
      </c>
      <c r="C5911" s="11" t="s">
        <v>80</v>
      </c>
      <c r="D5911" s="11" t="s">
        <v>18</v>
      </c>
      <c r="E5911" s="12" t="s">
        <v>291</v>
      </c>
      <c r="F5911" s="12" t="s">
        <v>292</v>
      </c>
      <c r="G5911" s="12" t="s">
        <v>21</v>
      </c>
      <c r="H5911" s="11" t="s">
        <v>22</v>
      </c>
      <c r="I5911" s="13" t="s">
        <v>12952</v>
      </c>
      <c r="J5911" s="14" t="str">
        <f>HYPERLINK("https://www.boe.es/gazeta/dias/1839/09/04/pdfs/GMD-1839-1757.pdf#page=4","Abrir facsímil")</f>
        <v>Abrir facsímil</v>
      </c>
      <c r="K5911" s="12" t="s">
        <v>24</v>
      </c>
    </row>
    <row r="5912" spans="1:11" ht="40.049999999999997" customHeight="1" x14ac:dyDescent="0.25">
      <c r="A5912" s="11" t="s">
        <v>12951</v>
      </c>
      <c r="B5912" s="11" t="s">
        <v>12951</v>
      </c>
      <c r="C5912" s="11" t="s">
        <v>80</v>
      </c>
      <c r="D5912" s="11" t="s">
        <v>18</v>
      </c>
      <c r="E5912" s="12" t="s">
        <v>1467</v>
      </c>
      <c r="F5912" s="12" t="s">
        <v>1468</v>
      </c>
      <c r="G5912" s="12" t="s">
        <v>21</v>
      </c>
      <c r="H5912" s="11" t="s">
        <v>22</v>
      </c>
      <c r="I5912" s="13" t="s">
        <v>12953</v>
      </c>
      <c r="J5912" s="14" t="str">
        <f>HYPERLINK("https://www.boe.es/gazeta/dias/1839/03/05/pdfs/GMD-1839-1571.pdf#page=4","Abrir facsímil")</f>
        <v>Abrir facsímil</v>
      </c>
      <c r="K5912" s="12" t="s">
        <v>24</v>
      </c>
    </row>
    <row r="5913" spans="1:11" ht="40.049999999999997" customHeight="1" x14ac:dyDescent="0.25">
      <c r="A5913" s="11" t="s">
        <v>12951</v>
      </c>
      <c r="B5913" s="11" t="s">
        <v>12951</v>
      </c>
      <c r="C5913" s="11" t="s">
        <v>17</v>
      </c>
      <c r="D5913" s="11" t="s">
        <v>18</v>
      </c>
      <c r="E5913" s="12" t="s">
        <v>2165</v>
      </c>
      <c r="F5913" s="12" t="s">
        <v>2166</v>
      </c>
      <c r="G5913" s="12" t="s">
        <v>21</v>
      </c>
      <c r="H5913" s="11" t="s">
        <v>22</v>
      </c>
      <c r="I5913" s="13" t="s">
        <v>12954</v>
      </c>
      <c r="J5913" s="14" t="str">
        <f>HYPERLINK("https://www.boe.es/gazeta/dias/1839/01/06/pdfs/GMD-1839-1513.pdf#page=4","Abrir facsímil")</f>
        <v>Abrir facsímil</v>
      </c>
      <c r="K5913" s="12" t="s">
        <v>24</v>
      </c>
    </row>
    <row r="5914" spans="1:11" ht="40.049999999999997" customHeight="1" x14ac:dyDescent="0.25">
      <c r="A5914" s="11" t="s">
        <v>12951</v>
      </c>
      <c r="B5914" s="11" t="s">
        <v>12951</v>
      </c>
      <c r="C5914" s="11" t="s">
        <v>80</v>
      </c>
      <c r="D5914" s="11" t="s">
        <v>18</v>
      </c>
      <c r="E5914" s="12" t="s">
        <v>38</v>
      </c>
      <c r="F5914" s="12" t="s">
        <v>39</v>
      </c>
      <c r="G5914" s="12" t="s">
        <v>21</v>
      </c>
      <c r="H5914" s="11" t="s">
        <v>22</v>
      </c>
      <c r="I5914" s="13" t="s">
        <v>12955</v>
      </c>
      <c r="J5914" s="14" t="str">
        <f>HYPERLINK("https://www.boe.es/gazeta/dias/1839/08/08/pdfs/GMD-1839-1728.pdf#page=4","Abrir facsímil")</f>
        <v>Abrir facsímil</v>
      </c>
      <c r="K5914" s="12" t="s">
        <v>24</v>
      </c>
    </row>
    <row r="5915" spans="1:11" ht="40.049999999999997" customHeight="1" x14ac:dyDescent="0.25">
      <c r="A5915" s="11" t="s">
        <v>12951</v>
      </c>
      <c r="B5915" s="11" t="s">
        <v>12951</v>
      </c>
      <c r="C5915" s="11" t="s">
        <v>80</v>
      </c>
      <c r="D5915" s="11" t="s">
        <v>18</v>
      </c>
      <c r="E5915" s="12" t="s">
        <v>138</v>
      </c>
      <c r="F5915" s="12" t="s">
        <v>139</v>
      </c>
      <c r="G5915" s="12" t="s">
        <v>21</v>
      </c>
      <c r="H5915" s="11" t="s">
        <v>22</v>
      </c>
      <c r="I5915" s="13" t="s">
        <v>12956</v>
      </c>
      <c r="J5915" s="14" t="str">
        <f>HYPERLINK("https://www.boe.es/gazeta/dias/1839/10/09/pdfs/GMD-1839-1795.pdf#page=4","Abrir facsímil")</f>
        <v>Abrir facsímil</v>
      </c>
      <c r="K5915" s="12" t="s">
        <v>24</v>
      </c>
    </row>
    <row r="5916" spans="1:11" ht="40.049999999999997" customHeight="1" x14ac:dyDescent="0.25">
      <c r="A5916" s="11" t="s">
        <v>12951</v>
      </c>
      <c r="B5916" s="11" t="s">
        <v>12951</v>
      </c>
      <c r="C5916" s="11" t="s">
        <v>80</v>
      </c>
      <c r="D5916" s="11" t="s">
        <v>18</v>
      </c>
      <c r="E5916" s="12" t="s">
        <v>984</v>
      </c>
      <c r="F5916" s="12" t="s">
        <v>985</v>
      </c>
      <c r="G5916" s="12" t="s">
        <v>21</v>
      </c>
      <c r="H5916" s="11" t="s">
        <v>22</v>
      </c>
      <c r="I5916" s="13" t="s">
        <v>12957</v>
      </c>
      <c r="J5916" s="14" t="str">
        <f>HYPERLINK("https://www.boe.es/gazeta/dias/1839/04/10/pdfs/GMD-1839-1607.pdf#page=4","Abrir facsímil")</f>
        <v>Abrir facsímil</v>
      </c>
      <c r="K5916" s="12" t="s">
        <v>24</v>
      </c>
    </row>
    <row r="5917" spans="1:11" ht="40.049999999999997" customHeight="1" x14ac:dyDescent="0.25">
      <c r="A5917" s="11" t="s">
        <v>12951</v>
      </c>
      <c r="B5917" s="11" t="s">
        <v>12951</v>
      </c>
      <c r="C5917" s="11" t="s">
        <v>59</v>
      </c>
      <c r="D5917" s="11" t="s">
        <v>60</v>
      </c>
      <c r="E5917" s="12" t="s">
        <v>2919</v>
      </c>
      <c r="F5917" s="12" t="s">
        <v>2920</v>
      </c>
      <c r="G5917" s="12" t="s">
        <v>21</v>
      </c>
      <c r="H5917" s="11" t="s">
        <v>22</v>
      </c>
      <c r="I5917" s="13" t="s">
        <v>12958</v>
      </c>
      <c r="J5917" s="14" t="str">
        <f>HYPERLINK("https://www.boe.es/gazeta/dias/1839/11/12/pdfs/GMD-1839-1829.pdf#page=4","Abrir facsímil")</f>
        <v>Abrir facsímil</v>
      </c>
      <c r="K5917" s="12" t="s">
        <v>24</v>
      </c>
    </row>
    <row r="5918" spans="1:11" ht="40.049999999999997" customHeight="1" x14ac:dyDescent="0.25">
      <c r="A5918" s="11" t="s">
        <v>12951</v>
      </c>
      <c r="B5918" s="11" t="s">
        <v>12951</v>
      </c>
      <c r="C5918" s="11" t="s">
        <v>17</v>
      </c>
      <c r="D5918" s="11" t="s">
        <v>18</v>
      </c>
      <c r="E5918" s="12" t="s">
        <v>299</v>
      </c>
      <c r="F5918" s="12" t="s">
        <v>300</v>
      </c>
      <c r="G5918" s="12" t="s">
        <v>21</v>
      </c>
      <c r="H5918" s="11" t="s">
        <v>22</v>
      </c>
      <c r="I5918" s="13" t="s">
        <v>12959</v>
      </c>
      <c r="J5918" s="14" t="str">
        <f>HYPERLINK("https://www.boe.es/gazeta/dias/1839/02/14/pdfs/GMD-1839-1552.pdf#page=4","Abrir facsímil")</f>
        <v>Abrir facsímil</v>
      </c>
      <c r="K5918" s="12" t="s">
        <v>24</v>
      </c>
    </row>
    <row r="5919" spans="1:11" ht="40.049999999999997" customHeight="1" x14ac:dyDescent="0.25">
      <c r="A5919" s="11" t="s">
        <v>12951</v>
      </c>
      <c r="B5919" s="11" t="s">
        <v>12951</v>
      </c>
      <c r="C5919" s="11" t="s">
        <v>17</v>
      </c>
      <c r="D5919" s="11" t="s">
        <v>18</v>
      </c>
      <c r="E5919" s="12" t="s">
        <v>1072</v>
      </c>
      <c r="F5919" s="12" t="s">
        <v>1073</v>
      </c>
      <c r="G5919" s="12" t="s">
        <v>21</v>
      </c>
      <c r="H5919" s="11" t="s">
        <v>22</v>
      </c>
      <c r="I5919" s="13" t="s">
        <v>12960</v>
      </c>
      <c r="J5919" s="14" t="str">
        <f>HYPERLINK("https://www.boe.es/gazeta/dias/1839/01/18/pdfs/GMD-1839-1525.pdf#page=4","Abrir facsímil")</f>
        <v>Abrir facsímil</v>
      </c>
      <c r="K5919" s="12" t="s">
        <v>24</v>
      </c>
    </row>
    <row r="5920" spans="1:11" ht="40.049999999999997" customHeight="1" x14ac:dyDescent="0.25">
      <c r="A5920" s="11" t="s">
        <v>12951</v>
      </c>
      <c r="B5920" s="11" t="s">
        <v>12951</v>
      </c>
      <c r="C5920" s="11" t="s">
        <v>17</v>
      </c>
      <c r="D5920" s="11" t="s">
        <v>18</v>
      </c>
      <c r="E5920" s="12" t="s">
        <v>1406</v>
      </c>
      <c r="F5920" s="12" t="s">
        <v>1407</v>
      </c>
      <c r="G5920" s="12" t="s">
        <v>21</v>
      </c>
      <c r="H5920" s="11" t="s">
        <v>22</v>
      </c>
      <c r="I5920" s="13" t="s">
        <v>12961</v>
      </c>
      <c r="J5920" s="14" t="str">
        <f>HYPERLINK("https://www.boe.es/gazeta/dias/1839/07/18/pdfs/GMD-1839-1706.pdf#page=4","Abrir facsímil")</f>
        <v>Abrir facsímil</v>
      </c>
      <c r="K5920" s="12" t="s">
        <v>24</v>
      </c>
    </row>
    <row r="5921" spans="1:11" ht="40.049999999999997" customHeight="1" x14ac:dyDescent="0.25">
      <c r="A5921" s="11" t="s">
        <v>12951</v>
      </c>
      <c r="B5921" s="11" t="s">
        <v>12951</v>
      </c>
      <c r="C5921" s="11" t="s">
        <v>80</v>
      </c>
      <c r="D5921" s="11" t="s">
        <v>18</v>
      </c>
      <c r="E5921" s="12" t="s">
        <v>462</v>
      </c>
      <c r="F5921" s="12" t="s">
        <v>463</v>
      </c>
      <c r="G5921" s="12" t="s">
        <v>21</v>
      </c>
      <c r="H5921" s="11" t="s">
        <v>22</v>
      </c>
      <c r="I5921" s="13" t="s">
        <v>12962</v>
      </c>
      <c r="J5921" s="14" t="str">
        <f>HYPERLINK("https://www.boe.es/gazeta/dias/1839/06/19/pdfs/GMD-1839-1677.pdf#page=4","Abrir facsímil")</f>
        <v>Abrir facsímil</v>
      </c>
      <c r="K5921" s="12" t="s">
        <v>24</v>
      </c>
    </row>
    <row r="5922" spans="1:11" ht="40.049999999999997" customHeight="1" x14ac:dyDescent="0.25">
      <c r="A5922" s="11" t="s">
        <v>12951</v>
      </c>
      <c r="B5922" s="11" t="s">
        <v>12951</v>
      </c>
      <c r="C5922" s="11" t="s">
        <v>17</v>
      </c>
      <c r="D5922" s="11" t="s">
        <v>18</v>
      </c>
      <c r="E5922" s="12" t="s">
        <v>1310</v>
      </c>
      <c r="F5922" s="12" t="s">
        <v>1311</v>
      </c>
      <c r="G5922" s="12" t="s">
        <v>21</v>
      </c>
      <c r="H5922" s="11" t="s">
        <v>22</v>
      </c>
      <c r="I5922" s="13" t="s">
        <v>12963</v>
      </c>
      <c r="J5922" s="14" t="str">
        <f>HYPERLINK("https://www.boe.es/gazeta/dias/1839/04/23/pdfs/GMD-1839-1620.pdf#page=4","Abrir facsímil")</f>
        <v>Abrir facsímil</v>
      </c>
      <c r="K5922" s="12" t="s">
        <v>24</v>
      </c>
    </row>
    <row r="5923" spans="1:11" ht="40.049999999999997" customHeight="1" x14ac:dyDescent="0.25">
      <c r="A5923" s="11" t="s">
        <v>12951</v>
      </c>
      <c r="B5923" s="11" t="s">
        <v>12951</v>
      </c>
      <c r="C5923" s="11" t="s">
        <v>59</v>
      </c>
      <c r="D5923" s="11" t="s">
        <v>60</v>
      </c>
      <c r="E5923" s="12" t="s">
        <v>111</v>
      </c>
      <c r="F5923" s="12" t="s">
        <v>112</v>
      </c>
      <c r="G5923" s="12" t="s">
        <v>21</v>
      </c>
      <c r="H5923" s="11" t="s">
        <v>22</v>
      </c>
      <c r="I5923" s="13" t="s">
        <v>12964</v>
      </c>
      <c r="J5923" s="14" t="str">
        <f>HYPERLINK("https://www.boe.es/gazeta/dias/1839/07/25/pdfs/GMD-1839-1714.pdf#page=4","Abrir facsímil")</f>
        <v>Abrir facsímil</v>
      </c>
      <c r="K5923" s="12" t="s">
        <v>24</v>
      </c>
    </row>
    <row r="5924" spans="1:11" ht="40.049999999999997" customHeight="1" x14ac:dyDescent="0.25">
      <c r="A5924" s="11" t="s">
        <v>12951</v>
      </c>
      <c r="B5924" s="11" t="s">
        <v>12951</v>
      </c>
      <c r="C5924" s="11" t="s">
        <v>17</v>
      </c>
      <c r="D5924" s="11" t="s">
        <v>18</v>
      </c>
      <c r="E5924" s="12" t="s">
        <v>1685</v>
      </c>
      <c r="F5924" s="12" t="s">
        <v>1686</v>
      </c>
      <c r="G5924" s="12" t="s">
        <v>21</v>
      </c>
      <c r="H5924" s="11" t="s">
        <v>22</v>
      </c>
      <c r="I5924" s="13" t="s">
        <v>12965</v>
      </c>
      <c r="J5924" s="14" t="str">
        <f>HYPERLINK("https://www.boe.es/gazeta/dias/1839/04/27/pdfs/GMD-1839-1624.pdf#page=4","Abrir facsímil")</f>
        <v>Abrir facsímil</v>
      </c>
      <c r="K5924" s="12" t="s">
        <v>24</v>
      </c>
    </row>
    <row r="5925" spans="1:11" ht="40.049999999999997" customHeight="1" x14ac:dyDescent="0.25">
      <c r="A5925" s="11" t="s">
        <v>12951</v>
      </c>
      <c r="B5925" s="11" t="s">
        <v>12951</v>
      </c>
      <c r="C5925" s="11" t="s">
        <v>17</v>
      </c>
      <c r="D5925" s="11" t="s">
        <v>18</v>
      </c>
      <c r="E5925" s="12" t="s">
        <v>401</v>
      </c>
      <c r="F5925" s="12" t="s">
        <v>402</v>
      </c>
      <c r="G5925" s="12" t="s">
        <v>21</v>
      </c>
      <c r="H5925" s="11" t="s">
        <v>22</v>
      </c>
      <c r="I5925" s="13" t="s">
        <v>12966</v>
      </c>
      <c r="J5925" s="14" t="str">
        <f>HYPERLINK("https://www.boe.es/gazeta/dias/1839/03/29/pdfs/GMD-1839-1595.pdf#page=4","Abrir facsímil")</f>
        <v>Abrir facsímil</v>
      </c>
      <c r="K5925" s="12" t="s">
        <v>24</v>
      </c>
    </row>
    <row r="5926" spans="1:11" ht="40.049999999999997" customHeight="1" x14ac:dyDescent="0.25">
      <c r="A5926" s="11" t="s">
        <v>12967</v>
      </c>
      <c r="B5926" s="11" t="s">
        <v>12967</v>
      </c>
      <c r="C5926" s="11" t="s">
        <v>17</v>
      </c>
      <c r="D5926" s="11" t="s">
        <v>18</v>
      </c>
      <c r="E5926" s="12" t="s">
        <v>690</v>
      </c>
      <c r="F5926" s="12" t="s">
        <v>691</v>
      </c>
      <c r="G5926" s="12" t="s">
        <v>21</v>
      </c>
      <c r="H5926" s="11" t="s">
        <v>22</v>
      </c>
      <c r="I5926" s="13" t="s">
        <v>12968</v>
      </c>
      <c r="J5926" s="14" t="str">
        <f>HYPERLINK("https://www.boe.es/gazeta/dias/1839/12/08/pdfs/GMD-1839-1855.pdf#page=4","Abrir facsímil")</f>
        <v>Abrir facsímil</v>
      </c>
      <c r="K5926" s="12" t="s">
        <v>24</v>
      </c>
    </row>
    <row r="5927" spans="1:11" ht="40.049999999999997" customHeight="1" x14ac:dyDescent="0.25">
      <c r="A5927" s="11" t="s">
        <v>12967</v>
      </c>
      <c r="B5927" s="11" t="s">
        <v>12967</v>
      </c>
      <c r="C5927" s="11" t="s">
        <v>17</v>
      </c>
      <c r="D5927" s="11" t="s">
        <v>18</v>
      </c>
      <c r="E5927" s="12" t="s">
        <v>1685</v>
      </c>
      <c r="F5927" s="12" t="s">
        <v>1686</v>
      </c>
      <c r="G5927" s="12" t="s">
        <v>21</v>
      </c>
      <c r="H5927" s="11" t="s">
        <v>22</v>
      </c>
      <c r="I5927" s="13" t="s">
        <v>12969</v>
      </c>
      <c r="J5927" s="14" t="str">
        <f>HYPERLINK("https://www.boe.es/gazeta/dias/1839/04/27/pdfs/GMD-1839-1624.pdf#page=4","Abrir facsímil")</f>
        <v>Abrir facsímil</v>
      </c>
      <c r="K5927" s="12" t="s">
        <v>24</v>
      </c>
    </row>
    <row r="5928" spans="1:11" ht="40.049999999999997" customHeight="1" x14ac:dyDescent="0.25">
      <c r="A5928" s="11" t="s">
        <v>12967</v>
      </c>
      <c r="B5928" s="11" t="s">
        <v>12967</v>
      </c>
      <c r="C5928" s="11" t="s">
        <v>17</v>
      </c>
      <c r="D5928" s="11" t="s">
        <v>18</v>
      </c>
      <c r="E5928" s="12" t="s">
        <v>1269</v>
      </c>
      <c r="F5928" s="12" t="s">
        <v>1270</v>
      </c>
      <c r="G5928" s="12" t="s">
        <v>21</v>
      </c>
      <c r="H5928" s="11" t="s">
        <v>22</v>
      </c>
      <c r="I5928" s="13" t="s">
        <v>12970</v>
      </c>
      <c r="J5928" s="14" t="str">
        <f>HYPERLINK("https://www.boe.es/gazeta/dias/1839/04/29/pdfs/GMD-1839-1626.pdf#page=4","Abrir facsímil")</f>
        <v>Abrir facsímil</v>
      </c>
      <c r="K5928" s="12" t="s">
        <v>24</v>
      </c>
    </row>
    <row r="5929" spans="1:11" ht="40.049999999999997" customHeight="1" x14ac:dyDescent="0.25">
      <c r="A5929" s="11" t="s">
        <v>12971</v>
      </c>
      <c r="B5929" s="11" t="s">
        <v>12971</v>
      </c>
      <c r="C5929" s="11" t="s">
        <v>17</v>
      </c>
      <c r="D5929" s="11" t="s">
        <v>18</v>
      </c>
      <c r="E5929" s="12" t="s">
        <v>295</v>
      </c>
      <c r="F5929" s="12" t="s">
        <v>296</v>
      </c>
      <c r="G5929" s="12" t="s">
        <v>46</v>
      </c>
      <c r="H5929" s="11" t="s">
        <v>22</v>
      </c>
      <c r="I5929" s="13" t="s">
        <v>12972</v>
      </c>
      <c r="J5929" s="14" t="str">
        <f>HYPERLINK("https://www.boe.es/gazeta/dias/1839/08/19/pdfs/GMD-1839-1740.pdf#page=3","Abrir facsímil")</f>
        <v>Abrir facsímil</v>
      </c>
      <c r="K5929" s="12" t="s">
        <v>24</v>
      </c>
    </row>
    <row r="5930" spans="1:11" ht="40.049999999999997" customHeight="1" x14ac:dyDescent="0.25">
      <c r="A5930" s="11" t="s">
        <v>12973</v>
      </c>
      <c r="B5930" s="11" t="s">
        <v>12973</v>
      </c>
      <c r="C5930" s="11" t="s">
        <v>17</v>
      </c>
      <c r="D5930" s="11" t="s">
        <v>18</v>
      </c>
      <c r="E5930" s="12" t="s">
        <v>587</v>
      </c>
      <c r="F5930" s="12" t="s">
        <v>588</v>
      </c>
      <c r="G5930" s="12" t="s">
        <v>29</v>
      </c>
      <c r="H5930" s="11" t="s">
        <v>22</v>
      </c>
      <c r="I5930" s="13" t="s">
        <v>12974</v>
      </c>
      <c r="J5930" s="14" t="str">
        <f>HYPERLINK("https://www.boe.es/gazeta/dias/1839/05/02/pdfs/GMD-1839-1629.pdf#page=1","Abrir facsímil")</f>
        <v>Abrir facsímil</v>
      </c>
      <c r="K5930" s="12" t="s">
        <v>24</v>
      </c>
    </row>
    <row r="5931" spans="1:11" ht="40.049999999999997" customHeight="1" x14ac:dyDescent="0.25">
      <c r="A5931" s="11" t="s">
        <v>12973</v>
      </c>
      <c r="B5931" s="11" t="s">
        <v>12973</v>
      </c>
      <c r="C5931" s="11" t="s">
        <v>17</v>
      </c>
      <c r="D5931" s="11" t="s">
        <v>18</v>
      </c>
      <c r="E5931" s="12" t="s">
        <v>381</v>
      </c>
      <c r="F5931" s="12" t="s">
        <v>382</v>
      </c>
      <c r="G5931" s="12" t="s">
        <v>29</v>
      </c>
      <c r="H5931" s="11" t="s">
        <v>22</v>
      </c>
      <c r="I5931" s="13" t="s">
        <v>12975</v>
      </c>
      <c r="J5931" s="14" t="str">
        <f>HYPERLINK("https://www.boe.es/gazeta/dias/1839/06/02/pdfs/GMD-1839-1660.pdf#page=1","Abrir facsímil")</f>
        <v>Abrir facsímil</v>
      </c>
      <c r="K5931" s="12" t="s">
        <v>24</v>
      </c>
    </row>
    <row r="5932" spans="1:11" ht="40.049999999999997" customHeight="1" x14ac:dyDescent="0.25">
      <c r="A5932" s="11" t="s">
        <v>12976</v>
      </c>
      <c r="B5932" s="11" t="s">
        <v>12976</v>
      </c>
      <c r="C5932" s="11" t="s">
        <v>17</v>
      </c>
      <c r="D5932" s="11" t="s">
        <v>18</v>
      </c>
      <c r="E5932" s="12" t="s">
        <v>2165</v>
      </c>
      <c r="F5932" s="12" t="s">
        <v>2166</v>
      </c>
      <c r="G5932" s="12" t="s">
        <v>40</v>
      </c>
      <c r="H5932" s="11" t="s">
        <v>22</v>
      </c>
      <c r="I5932" s="13" t="s">
        <v>12977</v>
      </c>
      <c r="J5932" s="14" t="str">
        <f>HYPERLINK("https://www.boe.es/gazeta/dias/1839/01/06/pdfs/GMD-1839-1513.pdf#page=2","Abrir facsímil")</f>
        <v>Abrir facsímil</v>
      </c>
      <c r="K5932" s="12" t="s">
        <v>24</v>
      </c>
    </row>
    <row r="5933" spans="1:11" ht="40.049999999999997" customHeight="1" x14ac:dyDescent="0.25">
      <c r="A5933" s="11" t="s">
        <v>12978</v>
      </c>
      <c r="B5933" s="11" t="s">
        <v>12978</v>
      </c>
      <c r="C5933" s="11" t="s">
        <v>101</v>
      </c>
      <c r="D5933" s="11" t="s">
        <v>43</v>
      </c>
      <c r="E5933" s="12" t="s">
        <v>510</v>
      </c>
      <c r="F5933" s="12" t="s">
        <v>511</v>
      </c>
      <c r="G5933" s="12" t="s">
        <v>29</v>
      </c>
      <c r="H5933" s="11" t="s">
        <v>22</v>
      </c>
      <c r="I5933" s="13" t="s">
        <v>12979</v>
      </c>
      <c r="J5933" s="14" t="str">
        <f>HYPERLINK("https://www.boe.es/gazeta/dias/1839/05/13/pdfs/GMD-1839-1640.pdf#page=1","Abrir facsímil")</f>
        <v>Abrir facsímil</v>
      </c>
      <c r="K5933" s="12" t="s">
        <v>24</v>
      </c>
    </row>
    <row r="5934" spans="1:11" ht="40.049999999999997" customHeight="1" x14ac:dyDescent="0.25">
      <c r="A5934" s="11" t="s">
        <v>12978</v>
      </c>
      <c r="B5934" s="11" t="s">
        <v>12978</v>
      </c>
      <c r="C5934" s="11" t="s">
        <v>17</v>
      </c>
      <c r="D5934" s="11" t="s">
        <v>18</v>
      </c>
      <c r="E5934" s="12" t="s">
        <v>125</v>
      </c>
      <c r="F5934" s="12" t="s">
        <v>126</v>
      </c>
      <c r="G5934" s="12" t="s">
        <v>29</v>
      </c>
      <c r="H5934" s="11" t="s">
        <v>22</v>
      </c>
      <c r="I5934" s="13" t="s">
        <v>12980</v>
      </c>
      <c r="J5934" s="14" t="str">
        <f>HYPERLINK("https://www.boe.es/gazeta/dias/1839/05/23/pdfs/GMD-1839-1650.pdf#page=1","Abrir facsímil")</f>
        <v>Abrir facsímil</v>
      </c>
      <c r="K5934" s="12" t="s">
        <v>24</v>
      </c>
    </row>
    <row r="5935" spans="1:11" ht="40.049999999999997" customHeight="1" x14ac:dyDescent="0.25">
      <c r="A5935" s="11" t="s">
        <v>12981</v>
      </c>
      <c r="B5935" s="11" t="s">
        <v>12981</v>
      </c>
      <c r="C5935" s="11" t="s">
        <v>59</v>
      </c>
      <c r="D5935" s="11" t="s">
        <v>60</v>
      </c>
      <c r="E5935" s="12" t="s">
        <v>121</v>
      </c>
      <c r="F5935" s="12" t="s">
        <v>122</v>
      </c>
      <c r="G5935" s="12" t="s">
        <v>29</v>
      </c>
      <c r="H5935" s="11" t="s">
        <v>22</v>
      </c>
      <c r="I5935" s="13" t="s">
        <v>12982</v>
      </c>
      <c r="J5935" s="14" t="str">
        <f>HYPERLINK("https://www.boe.es/gazeta/dias/1839/06/08/pdfs/GMD-1839-1666.pdf#page=1","Abrir facsímil")</f>
        <v>Abrir facsímil</v>
      </c>
      <c r="K5935" s="12" t="s">
        <v>24</v>
      </c>
    </row>
    <row r="5936" spans="1:11" ht="40.049999999999997" customHeight="1" x14ac:dyDescent="0.25">
      <c r="A5936" s="11" t="s">
        <v>12981</v>
      </c>
      <c r="B5936" s="11" t="s">
        <v>12981</v>
      </c>
      <c r="C5936" s="11" t="s">
        <v>137</v>
      </c>
      <c r="D5936" s="11" t="s">
        <v>18</v>
      </c>
      <c r="E5936" s="12" t="s">
        <v>1446</v>
      </c>
      <c r="F5936" s="12" t="s">
        <v>1447</v>
      </c>
      <c r="G5936" s="12" t="s">
        <v>29</v>
      </c>
      <c r="H5936" s="11" t="s">
        <v>22</v>
      </c>
      <c r="I5936" s="13" t="s">
        <v>12983</v>
      </c>
      <c r="J5936" s="14" t="str">
        <f>HYPERLINK("https://www.boe.es/gazeta/dias/1839/08/25/pdfs/GMD-1839-1746.pdf#page=1","Abrir facsímil")</f>
        <v>Abrir facsímil</v>
      </c>
      <c r="K5936" s="12" t="s">
        <v>24</v>
      </c>
    </row>
    <row r="5937" spans="1:11" ht="40.049999999999997" customHeight="1" x14ac:dyDescent="0.25">
      <c r="A5937" s="11" t="s">
        <v>12984</v>
      </c>
      <c r="B5937" s="11" t="s">
        <v>12984</v>
      </c>
      <c r="C5937" s="11" t="s">
        <v>80</v>
      </c>
      <c r="D5937" s="11" t="s">
        <v>18</v>
      </c>
      <c r="E5937" s="12" t="s">
        <v>1588</v>
      </c>
      <c r="F5937" s="12" t="s">
        <v>1589</v>
      </c>
      <c r="G5937" s="12" t="s">
        <v>46</v>
      </c>
      <c r="H5937" s="11" t="s">
        <v>22</v>
      </c>
      <c r="I5937" s="13" t="s">
        <v>12985</v>
      </c>
      <c r="J5937" s="14" t="str">
        <f>HYPERLINK("https://www.boe.es/gazeta/dias/1839/07/27/pdfs/GMD-1839-1716.pdf#page=3","Abrir facsímil")</f>
        <v>Abrir facsímil</v>
      </c>
      <c r="K5937" s="12" t="s">
        <v>24</v>
      </c>
    </row>
    <row r="5938" spans="1:11" ht="40.049999999999997" customHeight="1" x14ac:dyDescent="0.25">
      <c r="A5938" s="11" t="s">
        <v>12986</v>
      </c>
      <c r="B5938" s="11" t="s">
        <v>12986</v>
      </c>
      <c r="C5938" s="11" t="s">
        <v>17</v>
      </c>
      <c r="D5938" s="11" t="s">
        <v>18</v>
      </c>
      <c r="E5938" s="12" t="s">
        <v>4528</v>
      </c>
      <c r="F5938" s="12" t="s">
        <v>4529</v>
      </c>
      <c r="G5938" s="12" t="s">
        <v>46</v>
      </c>
      <c r="H5938" s="11" t="s">
        <v>63</v>
      </c>
      <c r="I5938" s="13" t="s">
        <v>12987</v>
      </c>
      <c r="J5938" s="14" t="str">
        <f>HYPERLINK("https://www.boe.es/gazeta/dias/1839/01/28/pdfs/GMD-1839-1535.pdf#page=3","Abrir facsímil")</f>
        <v>Abrir facsímil</v>
      </c>
      <c r="K5938" s="12" t="s">
        <v>65</v>
      </c>
    </row>
    <row r="5939" spans="1:11" ht="40.049999999999997" customHeight="1" x14ac:dyDescent="0.25">
      <c r="A5939" s="11" t="s">
        <v>12988</v>
      </c>
      <c r="B5939" s="11" t="s">
        <v>12988</v>
      </c>
      <c r="C5939" s="11" t="s">
        <v>17</v>
      </c>
      <c r="D5939" s="11" t="s">
        <v>18</v>
      </c>
      <c r="E5939" s="12" t="s">
        <v>2320</v>
      </c>
      <c r="F5939" s="12" t="s">
        <v>2321</v>
      </c>
      <c r="G5939" s="12" t="s">
        <v>46</v>
      </c>
      <c r="H5939" s="11" t="s">
        <v>63</v>
      </c>
      <c r="I5939" s="13" t="s">
        <v>12989</v>
      </c>
      <c r="J5939" s="14" t="str">
        <f>HYPERLINK("https://www.boe.es/gazeta/dias/1839/11/13/pdfs/GMD-1839-1830.pdf#page=3","Abrir facsímil")</f>
        <v>Abrir facsímil</v>
      </c>
      <c r="K5939" s="12" t="s">
        <v>65</v>
      </c>
    </row>
    <row r="5940" spans="1:11" ht="40.049999999999997" customHeight="1" x14ac:dyDescent="0.25">
      <c r="A5940" s="11" t="s">
        <v>12990</v>
      </c>
      <c r="B5940" s="11" t="s">
        <v>12990</v>
      </c>
      <c r="C5940" s="11" t="s">
        <v>101</v>
      </c>
      <c r="D5940" s="11" t="s">
        <v>43</v>
      </c>
      <c r="E5940" s="12" t="s">
        <v>262</v>
      </c>
      <c r="F5940" s="12" t="s">
        <v>263</v>
      </c>
      <c r="G5940" s="12" t="s">
        <v>29</v>
      </c>
      <c r="H5940" s="11" t="s">
        <v>22</v>
      </c>
      <c r="I5940" s="13" t="s">
        <v>12991</v>
      </c>
      <c r="J5940" s="14" t="str">
        <f>HYPERLINK("https://www.boe.es/gazeta/dias/1839/01/01/pdfs/GMD-1839-1508.pdf#page=1","Abrir facsímil")</f>
        <v>Abrir facsímil</v>
      </c>
      <c r="K5940" s="12" t="s">
        <v>24</v>
      </c>
    </row>
    <row r="5941" spans="1:11" ht="40.049999999999997" customHeight="1" x14ac:dyDescent="0.25">
      <c r="A5941" s="11" t="s">
        <v>12990</v>
      </c>
      <c r="B5941" s="11" t="s">
        <v>12990</v>
      </c>
      <c r="C5941" s="11" t="s">
        <v>137</v>
      </c>
      <c r="D5941" s="11" t="s">
        <v>18</v>
      </c>
      <c r="E5941" s="12" t="s">
        <v>1929</v>
      </c>
      <c r="F5941" s="12" t="s">
        <v>1930</v>
      </c>
      <c r="G5941" s="12" t="s">
        <v>40</v>
      </c>
      <c r="H5941" s="11" t="s">
        <v>22</v>
      </c>
      <c r="I5941" s="13" t="s">
        <v>12992</v>
      </c>
      <c r="J5941" s="14" t="str">
        <f>HYPERLINK("https://www.boe.es/gazeta/dias/1839/02/01/pdfs/GMD-1839-1539.pdf#page=2","Abrir facsímil")</f>
        <v>Abrir facsímil</v>
      </c>
      <c r="K5941" s="12" t="s">
        <v>24</v>
      </c>
    </row>
    <row r="5942" spans="1:11" ht="40.049999999999997" customHeight="1" x14ac:dyDescent="0.25">
      <c r="A5942" s="11" t="s">
        <v>12990</v>
      </c>
      <c r="B5942" s="11" t="s">
        <v>12990</v>
      </c>
      <c r="C5942" s="11" t="s">
        <v>17</v>
      </c>
      <c r="D5942" s="11" t="s">
        <v>18</v>
      </c>
      <c r="E5942" s="12" t="s">
        <v>369</v>
      </c>
      <c r="F5942" s="12" t="s">
        <v>370</v>
      </c>
      <c r="G5942" s="12" t="s">
        <v>40</v>
      </c>
      <c r="H5942" s="11" t="s">
        <v>22</v>
      </c>
      <c r="I5942" s="13" t="s">
        <v>12993</v>
      </c>
      <c r="J5942" s="14" t="str">
        <f>HYPERLINK("https://www.boe.es/gazeta/dias/1839/11/01/pdfs/GMD-1839-1818.pdf#page=2","Abrir facsímil")</f>
        <v>Abrir facsímil</v>
      </c>
      <c r="K5942" s="12" t="s">
        <v>24</v>
      </c>
    </row>
    <row r="5943" spans="1:11" ht="40.049999999999997" customHeight="1" x14ac:dyDescent="0.25">
      <c r="A5943" s="11" t="s">
        <v>12990</v>
      </c>
      <c r="B5943" s="11" t="s">
        <v>12990</v>
      </c>
      <c r="C5943" s="11" t="s">
        <v>17</v>
      </c>
      <c r="D5943" s="11" t="s">
        <v>18</v>
      </c>
      <c r="E5943" s="12" t="s">
        <v>154</v>
      </c>
      <c r="F5943" s="12" t="s">
        <v>155</v>
      </c>
      <c r="G5943" s="12" t="s">
        <v>40</v>
      </c>
      <c r="H5943" s="11" t="s">
        <v>22</v>
      </c>
      <c r="I5943" s="13" t="s">
        <v>12994</v>
      </c>
      <c r="J5943" s="14" t="str">
        <f>HYPERLINK("https://www.boe.es/gazeta/dias/1839/02/02/pdfs/GMD-1839-1540.pdf#page=2","Abrir facsímil")</f>
        <v>Abrir facsímil</v>
      </c>
      <c r="K5943" s="12" t="s">
        <v>24</v>
      </c>
    </row>
    <row r="5944" spans="1:11" ht="40.049999999999997" customHeight="1" x14ac:dyDescent="0.25">
      <c r="A5944" s="11" t="s">
        <v>12990</v>
      </c>
      <c r="B5944" s="11" t="s">
        <v>12990</v>
      </c>
      <c r="C5944" s="11" t="s">
        <v>137</v>
      </c>
      <c r="D5944" s="11" t="s">
        <v>18</v>
      </c>
      <c r="E5944" s="12" t="s">
        <v>266</v>
      </c>
      <c r="F5944" s="12" t="s">
        <v>267</v>
      </c>
      <c r="G5944" s="12" t="s">
        <v>40</v>
      </c>
      <c r="H5944" s="11" t="s">
        <v>22</v>
      </c>
      <c r="I5944" s="13" t="s">
        <v>12995</v>
      </c>
      <c r="J5944" s="14" t="str">
        <f>HYPERLINK("https://www.boe.es/gazeta/dias/1839/01/03/pdfs/GMD-1839-1510.pdf#page=2","Abrir facsímil")</f>
        <v>Abrir facsímil</v>
      </c>
      <c r="K5944" s="12" t="s">
        <v>24</v>
      </c>
    </row>
    <row r="5945" spans="1:11" ht="40.049999999999997" customHeight="1" x14ac:dyDescent="0.25">
      <c r="A5945" s="11" t="s">
        <v>12990</v>
      </c>
      <c r="B5945" s="11" t="s">
        <v>12990</v>
      </c>
      <c r="C5945" s="11" t="s">
        <v>80</v>
      </c>
      <c r="D5945" s="11" t="s">
        <v>18</v>
      </c>
      <c r="E5945" s="12" t="s">
        <v>798</v>
      </c>
      <c r="F5945" s="12" t="s">
        <v>799</v>
      </c>
      <c r="G5945" s="12" t="s">
        <v>40</v>
      </c>
      <c r="H5945" s="11" t="s">
        <v>22</v>
      </c>
      <c r="I5945" s="13" t="s">
        <v>12996</v>
      </c>
      <c r="J5945" s="14" t="str">
        <f>HYPERLINK("https://www.boe.es/gazeta/dias/1839/09/03/pdfs/GMD-1839-1755.pdf#page=2","Abrir facsímil")</f>
        <v>Abrir facsímil</v>
      </c>
      <c r="K5945" s="12" t="s">
        <v>24</v>
      </c>
    </row>
    <row r="5946" spans="1:11" ht="40.049999999999997" customHeight="1" x14ac:dyDescent="0.25">
      <c r="A5946" s="11" t="s">
        <v>12990</v>
      </c>
      <c r="B5946" s="11" t="s">
        <v>12990</v>
      </c>
      <c r="C5946" s="11" t="s">
        <v>80</v>
      </c>
      <c r="D5946" s="11" t="s">
        <v>173</v>
      </c>
      <c r="E5946" s="12" t="s">
        <v>212</v>
      </c>
      <c r="F5946" s="12" t="s">
        <v>213</v>
      </c>
      <c r="G5946" s="12" t="s">
        <v>40</v>
      </c>
      <c r="H5946" s="11" t="s">
        <v>22</v>
      </c>
      <c r="I5946" s="13" t="s">
        <v>12997</v>
      </c>
      <c r="J5946" s="14" t="str">
        <f>HYPERLINK("https://www.boe.es/gazeta/dias/1839/10/03/pdfs/GMD-1839-1789.pdf#page=2","Abrir facsímil")</f>
        <v>Abrir facsímil</v>
      </c>
      <c r="K5946" s="12" t="s">
        <v>24</v>
      </c>
    </row>
    <row r="5947" spans="1:11" ht="40.049999999999997" customHeight="1" x14ac:dyDescent="0.25">
      <c r="A5947" s="11" t="s">
        <v>12990</v>
      </c>
      <c r="B5947" s="11" t="s">
        <v>12990</v>
      </c>
      <c r="C5947" s="11" t="s">
        <v>59</v>
      </c>
      <c r="D5947" s="11" t="s">
        <v>60</v>
      </c>
      <c r="E5947" s="12" t="s">
        <v>291</v>
      </c>
      <c r="F5947" s="12" t="s">
        <v>292</v>
      </c>
      <c r="G5947" s="12" t="s">
        <v>29</v>
      </c>
      <c r="H5947" s="11" t="s">
        <v>22</v>
      </c>
      <c r="I5947" s="13" t="s">
        <v>12998</v>
      </c>
      <c r="J5947" s="14" t="str">
        <f>HYPERLINK("https://www.boe.es/gazeta/dias/1839/09/04/pdfs/GMD-1839-1757.pdf#page=1","Abrir facsímil")</f>
        <v>Abrir facsímil</v>
      </c>
      <c r="K5947" s="12" t="s">
        <v>24</v>
      </c>
    </row>
    <row r="5948" spans="1:11" ht="40.049999999999997" customHeight="1" x14ac:dyDescent="0.25">
      <c r="A5948" s="11" t="s">
        <v>12990</v>
      </c>
      <c r="B5948" s="11" t="s">
        <v>12990</v>
      </c>
      <c r="C5948" s="11" t="s">
        <v>101</v>
      </c>
      <c r="D5948" s="11" t="s">
        <v>43</v>
      </c>
      <c r="E5948" s="12" t="s">
        <v>49</v>
      </c>
      <c r="F5948" s="12" t="s">
        <v>50</v>
      </c>
      <c r="G5948" s="12" t="s">
        <v>40</v>
      </c>
      <c r="H5948" s="11" t="s">
        <v>22</v>
      </c>
      <c r="I5948" s="13" t="s">
        <v>12999</v>
      </c>
      <c r="J5948" s="14" t="str">
        <f>HYPERLINK("https://www.boe.es/gazeta/dias/1839/01/05/pdfs/GMD-1839-1512.pdf#page=2","Abrir facsímil")</f>
        <v>Abrir facsímil</v>
      </c>
      <c r="K5948" s="12" t="s">
        <v>24</v>
      </c>
    </row>
    <row r="5949" spans="1:11" ht="40.049999999999997" customHeight="1" x14ac:dyDescent="0.25">
      <c r="A5949" s="11" t="s">
        <v>12990</v>
      </c>
      <c r="B5949" s="11" t="s">
        <v>12990</v>
      </c>
      <c r="C5949" s="11" t="s">
        <v>80</v>
      </c>
      <c r="D5949" s="11" t="s">
        <v>18</v>
      </c>
      <c r="E5949" s="12" t="s">
        <v>202</v>
      </c>
      <c r="F5949" s="12" t="s">
        <v>203</v>
      </c>
      <c r="G5949" s="12" t="s">
        <v>29</v>
      </c>
      <c r="H5949" s="11" t="s">
        <v>22</v>
      </c>
      <c r="I5949" s="13" t="s">
        <v>13000</v>
      </c>
      <c r="J5949" s="14" t="str">
        <f>HYPERLINK("https://www.boe.es/gazeta/dias/1839/04/05/pdfs/GMD-1839-1602.pdf#page=1","Abrir facsímil")</f>
        <v>Abrir facsímil</v>
      </c>
      <c r="K5949" s="12" t="s">
        <v>24</v>
      </c>
    </row>
    <row r="5950" spans="1:11" ht="40.049999999999997" customHeight="1" x14ac:dyDescent="0.25">
      <c r="A5950" s="11" t="s">
        <v>12990</v>
      </c>
      <c r="B5950" s="11" t="s">
        <v>12990</v>
      </c>
      <c r="C5950" s="11" t="s">
        <v>17</v>
      </c>
      <c r="D5950" s="11" t="s">
        <v>18</v>
      </c>
      <c r="E5950" s="12" t="s">
        <v>409</v>
      </c>
      <c r="F5950" s="12" t="s">
        <v>410</v>
      </c>
      <c r="G5950" s="12" t="s">
        <v>21</v>
      </c>
      <c r="H5950" s="11" t="s">
        <v>22</v>
      </c>
      <c r="I5950" s="13" t="s">
        <v>13001</v>
      </c>
      <c r="J5950" s="14" t="str">
        <f>HYPERLINK("https://www.boe.es/gazeta/dias/1839/07/05/pdfs/GMD-1839-1693.pdf#page=4","Abrir facsímil")</f>
        <v>Abrir facsímil</v>
      </c>
      <c r="K5950" s="12" t="s">
        <v>24</v>
      </c>
    </row>
    <row r="5951" spans="1:11" ht="40.049999999999997" customHeight="1" x14ac:dyDescent="0.25">
      <c r="A5951" s="11" t="s">
        <v>12990</v>
      </c>
      <c r="B5951" s="11" t="s">
        <v>12990</v>
      </c>
      <c r="C5951" s="11" t="s">
        <v>101</v>
      </c>
      <c r="D5951" s="11" t="s">
        <v>43</v>
      </c>
      <c r="E5951" s="12" t="s">
        <v>54</v>
      </c>
      <c r="F5951" s="12" t="s">
        <v>55</v>
      </c>
      <c r="G5951" s="12" t="s">
        <v>40</v>
      </c>
      <c r="H5951" s="11" t="s">
        <v>22</v>
      </c>
      <c r="I5951" s="13" t="s">
        <v>13002</v>
      </c>
      <c r="J5951" s="14" t="str">
        <f>HYPERLINK("https://www.boe.es/gazeta/dias/1839/10/05/pdfs/GMD-1839-1791.pdf#page=2","Abrir facsímil")</f>
        <v>Abrir facsímil</v>
      </c>
      <c r="K5951" s="12" t="s">
        <v>24</v>
      </c>
    </row>
    <row r="5952" spans="1:11" ht="40.049999999999997" customHeight="1" x14ac:dyDescent="0.25">
      <c r="A5952" s="11" t="s">
        <v>12990</v>
      </c>
      <c r="B5952" s="11" t="s">
        <v>12990</v>
      </c>
      <c r="C5952" s="11" t="s">
        <v>101</v>
      </c>
      <c r="D5952" s="11" t="s">
        <v>43</v>
      </c>
      <c r="E5952" s="12" t="s">
        <v>303</v>
      </c>
      <c r="F5952" s="12" t="s">
        <v>304</v>
      </c>
      <c r="G5952" s="12" t="s">
        <v>29</v>
      </c>
      <c r="H5952" s="11" t="s">
        <v>22</v>
      </c>
      <c r="I5952" s="13" t="s">
        <v>13003</v>
      </c>
      <c r="J5952" s="14" t="str">
        <f>HYPERLINK("https://www.boe.es/gazeta/dias/1839/10/06/pdfs/GMD-1839-1792.pdf#page=1","Abrir facsímil")</f>
        <v>Abrir facsímil</v>
      </c>
      <c r="K5952" s="12" t="s">
        <v>24</v>
      </c>
    </row>
    <row r="5953" spans="1:11" ht="40.049999999999997" customHeight="1" x14ac:dyDescent="0.25">
      <c r="A5953" s="11" t="s">
        <v>12990</v>
      </c>
      <c r="B5953" s="11" t="s">
        <v>12990</v>
      </c>
      <c r="C5953" s="11" t="s">
        <v>101</v>
      </c>
      <c r="D5953" s="11" t="s">
        <v>43</v>
      </c>
      <c r="E5953" s="12" t="s">
        <v>1008</v>
      </c>
      <c r="F5953" s="12" t="s">
        <v>1009</v>
      </c>
      <c r="G5953" s="12" t="s">
        <v>40</v>
      </c>
      <c r="H5953" s="11" t="s">
        <v>22</v>
      </c>
      <c r="I5953" s="13" t="s">
        <v>13004</v>
      </c>
      <c r="J5953" s="14" t="str">
        <f>HYPERLINK("https://www.boe.es/gazeta/dias/1839/09/07/pdfs/GMD-1839-1760.pdf#page=2","Abrir facsímil")</f>
        <v>Abrir facsímil</v>
      </c>
      <c r="K5953" s="12" t="s">
        <v>24</v>
      </c>
    </row>
    <row r="5954" spans="1:11" ht="40.049999999999997" customHeight="1" x14ac:dyDescent="0.25">
      <c r="A5954" s="11" t="s">
        <v>12990</v>
      </c>
      <c r="B5954" s="11" t="s">
        <v>12990</v>
      </c>
      <c r="C5954" s="11" t="s">
        <v>17</v>
      </c>
      <c r="D5954" s="11" t="s">
        <v>18</v>
      </c>
      <c r="E5954" s="12" t="s">
        <v>918</v>
      </c>
      <c r="F5954" s="12" t="s">
        <v>919</v>
      </c>
      <c r="G5954" s="12" t="s">
        <v>40</v>
      </c>
      <c r="H5954" s="11" t="s">
        <v>22</v>
      </c>
      <c r="I5954" s="13" t="s">
        <v>13005</v>
      </c>
      <c r="J5954" s="14" t="str">
        <f>HYPERLINK("https://www.boe.es/gazeta/dias/1839/12/07/pdfs/GMD-1839-1854.pdf#page=2","Abrir facsímil")</f>
        <v>Abrir facsímil</v>
      </c>
      <c r="K5954" s="12" t="s">
        <v>24</v>
      </c>
    </row>
    <row r="5955" spans="1:11" ht="40.049999999999997" customHeight="1" x14ac:dyDescent="0.25">
      <c r="A5955" s="11" t="s">
        <v>12990</v>
      </c>
      <c r="B5955" s="11" t="s">
        <v>12990</v>
      </c>
      <c r="C5955" s="11" t="s">
        <v>17</v>
      </c>
      <c r="D5955" s="11" t="s">
        <v>18</v>
      </c>
      <c r="E5955" s="12" t="s">
        <v>804</v>
      </c>
      <c r="F5955" s="12" t="s">
        <v>805</v>
      </c>
      <c r="G5955" s="12" t="s">
        <v>40</v>
      </c>
      <c r="H5955" s="11" t="s">
        <v>22</v>
      </c>
      <c r="I5955" s="13" t="s">
        <v>13006</v>
      </c>
      <c r="J5955" s="14" t="str">
        <f>HYPERLINK("https://www.boe.es/gazeta/dias/1839/01/08/pdfs/GMD-1839-1515.pdf#page=2","Abrir facsímil")</f>
        <v>Abrir facsímil</v>
      </c>
      <c r="K5955" s="12" t="s">
        <v>24</v>
      </c>
    </row>
    <row r="5956" spans="1:11" ht="40.049999999999997" customHeight="1" x14ac:dyDescent="0.25">
      <c r="A5956" s="11" t="s">
        <v>12990</v>
      </c>
      <c r="B5956" s="11" t="s">
        <v>12990</v>
      </c>
      <c r="C5956" s="11" t="s">
        <v>17</v>
      </c>
      <c r="D5956" s="11" t="s">
        <v>18</v>
      </c>
      <c r="E5956" s="12" t="s">
        <v>157</v>
      </c>
      <c r="F5956" s="12" t="s">
        <v>158</v>
      </c>
      <c r="G5956" s="12" t="s">
        <v>40</v>
      </c>
      <c r="H5956" s="11" t="s">
        <v>22</v>
      </c>
      <c r="I5956" s="13" t="s">
        <v>13007</v>
      </c>
      <c r="J5956" s="14" t="str">
        <f>HYPERLINK("https://www.boe.es/gazeta/dias/1839/02/08/pdfs/GMD-1839-1546.pdf#page=2","Abrir facsímil")</f>
        <v>Abrir facsímil</v>
      </c>
      <c r="K5956" s="12" t="s">
        <v>24</v>
      </c>
    </row>
    <row r="5957" spans="1:11" ht="40.049999999999997" customHeight="1" x14ac:dyDescent="0.25">
      <c r="A5957" s="11" t="s">
        <v>12990</v>
      </c>
      <c r="B5957" s="11" t="s">
        <v>12990</v>
      </c>
      <c r="C5957" s="11" t="s">
        <v>17</v>
      </c>
      <c r="D5957" s="11" t="s">
        <v>18</v>
      </c>
      <c r="E5957" s="12" t="s">
        <v>2050</v>
      </c>
      <c r="F5957" s="12" t="s">
        <v>2051</v>
      </c>
      <c r="G5957" s="12" t="s">
        <v>40</v>
      </c>
      <c r="H5957" s="11" t="s">
        <v>22</v>
      </c>
      <c r="I5957" s="13" t="s">
        <v>13008</v>
      </c>
      <c r="J5957" s="14" t="str">
        <f>HYPERLINK("https://www.boe.es/gazeta/dias/1839/01/09/pdfs/GMD-1839-1516.pdf#page=2","Abrir facsímil")</f>
        <v>Abrir facsímil</v>
      </c>
      <c r="K5957" s="12" t="s">
        <v>24</v>
      </c>
    </row>
    <row r="5958" spans="1:11" ht="40.049999999999997" customHeight="1" x14ac:dyDescent="0.25">
      <c r="A5958" s="11" t="s">
        <v>12990</v>
      </c>
      <c r="B5958" s="11" t="s">
        <v>12990</v>
      </c>
      <c r="C5958" s="11" t="s">
        <v>80</v>
      </c>
      <c r="D5958" s="11" t="s">
        <v>173</v>
      </c>
      <c r="E5958" s="12" t="s">
        <v>160</v>
      </c>
      <c r="F5958" s="12" t="s">
        <v>161</v>
      </c>
      <c r="G5958" s="12" t="s">
        <v>40</v>
      </c>
      <c r="H5958" s="11" t="s">
        <v>22</v>
      </c>
      <c r="I5958" s="13" t="s">
        <v>13009</v>
      </c>
      <c r="J5958" s="14" t="str">
        <f>HYPERLINK("https://www.boe.es/gazeta/dias/1839/01/10/pdfs/GMD-1839-1517.pdf#page=2","Abrir facsímil")</f>
        <v>Abrir facsímil</v>
      </c>
      <c r="K5958" s="12" t="s">
        <v>24</v>
      </c>
    </row>
    <row r="5959" spans="1:11" ht="40.049999999999997" customHeight="1" x14ac:dyDescent="0.25">
      <c r="A5959" s="11" t="s">
        <v>12990</v>
      </c>
      <c r="B5959" s="11" t="s">
        <v>12990</v>
      </c>
      <c r="C5959" s="11" t="s">
        <v>101</v>
      </c>
      <c r="D5959" s="11" t="s">
        <v>43</v>
      </c>
      <c r="E5959" s="12" t="s">
        <v>61</v>
      </c>
      <c r="F5959" s="12" t="s">
        <v>62</v>
      </c>
      <c r="G5959" s="12" t="s">
        <v>29</v>
      </c>
      <c r="H5959" s="11" t="s">
        <v>22</v>
      </c>
      <c r="I5959" s="13" t="s">
        <v>13010</v>
      </c>
      <c r="J5959" s="14" t="str">
        <f>HYPERLINK("https://www.boe.es/gazeta/dias/1839/09/10/pdfs/GMD-1839-1763.pdf#page=1","Abrir facsímil")</f>
        <v>Abrir facsímil</v>
      </c>
      <c r="K5959" s="12" t="s">
        <v>24</v>
      </c>
    </row>
    <row r="5960" spans="1:11" ht="40.049999999999997" customHeight="1" x14ac:dyDescent="0.25">
      <c r="A5960" s="11" t="s">
        <v>12990</v>
      </c>
      <c r="B5960" s="11" t="s">
        <v>12990</v>
      </c>
      <c r="C5960" s="11" t="s">
        <v>59</v>
      </c>
      <c r="D5960" s="11" t="s">
        <v>60</v>
      </c>
      <c r="E5960" s="12" t="s">
        <v>116</v>
      </c>
      <c r="F5960" s="12" t="s">
        <v>117</v>
      </c>
      <c r="G5960" s="12" t="s">
        <v>40</v>
      </c>
      <c r="H5960" s="11" t="s">
        <v>22</v>
      </c>
      <c r="I5960" s="13" t="s">
        <v>13011</v>
      </c>
      <c r="J5960" s="14" t="str">
        <f>HYPERLINK("https://www.boe.es/gazeta/dias/1839/10/10/pdfs/GMD-1839-1796.pdf#page=2","Abrir facsímil")</f>
        <v>Abrir facsímil</v>
      </c>
      <c r="K5960" s="12" t="s">
        <v>24</v>
      </c>
    </row>
    <row r="5961" spans="1:11" ht="40.049999999999997" customHeight="1" x14ac:dyDescent="0.25">
      <c r="A5961" s="11" t="s">
        <v>12990</v>
      </c>
      <c r="B5961" s="11" t="s">
        <v>12990</v>
      </c>
      <c r="C5961" s="11" t="s">
        <v>80</v>
      </c>
      <c r="D5961" s="11" t="s">
        <v>18</v>
      </c>
      <c r="E5961" s="12" t="s">
        <v>181</v>
      </c>
      <c r="F5961" s="12" t="s">
        <v>182</v>
      </c>
      <c r="G5961" s="12" t="s">
        <v>29</v>
      </c>
      <c r="H5961" s="11" t="s">
        <v>22</v>
      </c>
      <c r="I5961" s="13" t="s">
        <v>13012</v>
      </c>
      <c r="J5961" s="14" t="str">
        <f>HYPERLINK("https://www.boe.es/gazeta/dias/1839/01/11/pdfs/GMD-1839-1518.pdf#page=1","Abrir facsímil")</f>
        <v>Abrir facsímil</v>
      </c>
      <c r="K5961" s="12" t="s">
        <v>24</v>
      </c>
    </row>
    <row r="5962" spans="1:11" ht="40.049999999999997" customHeight="1" x14ac:dyDescent="0.25">
      <c r="A5962" s="11" t="s">
        <v>12990</v>
      </c>
      <c r="B5962" s="11" t="s">
        <v>12990</v>
      </c>
      <c r="C5962" s="11" t="s">
        <v>137</v>
      </c>
      <c r="D5962" s="11" t="s">
        <v>18</v>
      </c>
      <c r="E5962" s="12" t="s">
        <v>561</v>
      </c>
      <c r="F5962" s="12" t="s">
        <v>562</v>
      </c>
      <c r="G5962" s="12" t="s">
        <v>40</v>
      </c>
      <c r="H5962" s="11" t="s">
        <v>22</v>
      </c>
      <c r="I5962" s="13" t="s">
        <v>13013</v>
      </c>
      <c r="J5962" s="14" t="str">
        <f>HYPERLINK("https://www.boe.es/gazeta/dias/1839/09/11/pdfs/GMD-1839-1764.pdf#page=2","Abrir facsímil")</f>
        <v>Abrir facsímil</v>
      </c>
      <c r="K5962" s="12" t="s">
        <v>24</v>
      </c>
    </row>
    <row r="5963" spans="1:11" ht="40.049999999999997" customHeight="1" x14ac:dyDescent="0.25">
      <c r="A5963" s="11" t="s">
        <v>12990</v>
      </c>
      <c r="B5963" s="11" t="s">
        <v>12990</v>
      </c>
      <c r="C5963" s="11" t="s">
        <v>101</v>
      </c>
      <c r="D5963" s="11" t="s">
        <v>43</v>
      </c>
      <c r="E5963" s="12" t="s">
        <v>736</v>
      </c>
      <c r="F5963" s="12" t="s">
        <v>737</v>
      </c>
      <c r="G5963" s="12" t="s">
        <v>40</v>
      </c>
      <c r="H5963" s="11" t="s">
        <v>22</v>
      </c>
      <c r="I5963" s="13" t="s">
        <v>13014</v>
      </c>
      <c r="J5963" s="14" t="str">
        <f>HYPERLINK("https://www.boe.es/gazeta/dias/1839/10/13/pdfs/GMD-1839-1799.pdf#page=2","Abrir facsímil")</f>
        <v>Abrir facsímil</v>
      </c>
      <c r="K5963" s="12" t="s">
        <v>24</v>
      </c>
    </row>
    <row r="5964" spans="1:11" ht="40.049999999999997" customHeight="1" x14ac:dyDescent="0.25">
      <c r="A5964" s="11" t="s">
        <v>12990</v>
      </c>
      <c r="B5964" s="11" t="s">
        <v>12990</v>
      </c>
      <c r="C5964" s="11" t="s">
        <v>17</v>
      </c>
      <c r="D5964" s="11" t="s">
        <v>18</v>
      </c>
      <c r="E5964" s="12" t="s">
        <v>592</v>
      </c>
      <c r="F5964" s="12" t="s">
        <v>593</v>
      </c>
      <c r="G5964" s="12" t="s">
        <v>40</v>
      </c>
      <c r="H5964" s="11" t="s">
        <v>22</v>
      </c>
      <c r="I5964" s="13" t="s">
        <v>13015</v>
      </c>
      <c r="J5964" s="14" t="str">
        <f>HYPERLINK("https://www.boe.es/gazeta/dias/1839/09/14/pdfs/GMD-1839-1767.pdf#page=2","Abrir facsímil")</f>
        <v>Abrir facsímil</v>
      </c>
      <c r="K5964" s="12" t="s">
        <v>24</v>
      </c>
    </row>
    <row r="5965" spans="1:11" ht="40.049999999999997" customHeight="1" x14ac:dyDescent="0.25">
      <c r="A5965" s="11" t="s">
        <v>12990</v>
      </c>
      <c r="B5965" s="11" t="s">
        <v>12990</v>
      </c>
      <c r="C5965" s="11" t="s">
        <v>17</v>
      </c>
      <c r="D5965" s="11" t="s">
        <v>18</v>
      </c>
      <c r="E5965" s="12" t="s">
        <v>175</v>
      </c>
      <c r="F5965" s="12" t="s">
        <v>176</v>
      </c>
      <c r="G5965" s="12" t="s">
        <v>40</v>
      </c>
      <c r="H5965" s="11" t="s">
        <v>22</v>
      </c>
      <c r="I5965" s="13" t="s">
        <v>13016</v>
      </c>
      <c r="J5965" s="14" t="str">
        <f>HYPERLINK("https://www.boe.es/gazeta/dias/1839/01/16/pdfs/GMD-1839-1523.pdf#page=2","Abrir facsímil")</f>
        <v>Abrir facsímil</v>
      </c>
      <c r="K5965" s="12" t="s">
        <v>24</v>
      </c>
    </row>
    <row r="5966" spans="1:11" ht="40.049999999999997" customHeight="1" x14ac:dyDescent="0.25">
      <c r="A5966" s="11" t="s">
        <v>12990</v>
      </c>
      <c r="B5966" s="11" t="s">
        <v>12990</v>
      </c>
      <c r="C5966" s="11" t="s">
        <v>17</v>
      </c>
      <c r="D5966" s="11" t="s">
        <v>18</v>
      </c>
      <c r="E5966" s="12" t="s">
        <v>230</v>
      </c>
      <c r="F5966" s="12" t="s">
        <v>231</v>
      </c>
      <c r="G5966" s="12" t="s">
        <v>29</v>
      </c>
      <c r="H5966" s="11" t="s">
        <v>22</v>
      </c>
      <c r="I5966" s="13" t="s">
        <v>13017</v>
      </c>
      <c r="J5966" s="14" t="str">
        <f>HYPERLINK("https://www.boe.es/gazeta/dias/1839/09/16/pdfs/GMD-1839-1769.pdf#page=1","Abrir facsímil")</f>
        <v>Abrir facsímil</v>
      </c>
      <c r="K5966" s="12" t="s">
        <v>24</v>
      </c>
    </row>
    <row r="5967" spans="1:11" ht="40.049999999999997" customHeight="1" x14ac:dyDescent="0.25">
      <c r="A5967" s="11" t="s">
        <v>12990</v>
      </c>
      <c r="B5967" s="11" t="s">
        <v>12990</v>
      </c>
      <c r="C5967" s="11" t="s">
        <v>101</v>
      </c>
      <c r="D5967" s="11" t="s">
        <v>43</v>
      </c>
      <c r="E5967" s="12" t="s">
        <v>1236</v>
      </c>
      <c r="F5967" s="12" t="s">
        <v>1237</v>
      </c>
      <c r="G5967" s="12" t="s">
        <v>29</v>
      </c>
      <c r="H5967" s="11" t="s">
        <v>22</v>
      </c>
      <c r="I5967" s="13" t="s">
        <v>13018</v>
      </c>
      <c r="J5967" s="14" t="str">
        <f>HYPERLINK("https://www.boe.es/gazeta/dias/1839/10/16/pdfs/GMD-1839-1802.pdf#page=1","Abrir facsímil")</f>
        <v>Abrir facsímil</v>
      </c>
      <c r="K5967" s="12" t="s">
        <v>24</v>
      </c>
    </row>
    <row r="5968" spans="1:11" ht="40.049999999999997" customHeight="1" x14ac:dyDescent="0.25">
      <c r="A5968" s="11" t="s">
        <v>12990</v>
      </c>
      <c r="B5968" s="11" t="s">
        <v>12990</v>
      </c>
      <c r="C5968" s="11" t="s">
        <v>17</v>
      </c>
      <c r="D5968" s="11" t="s">
        <v>18</v>
      </c>
      <c r="E5968" s="12" t="s">
        <v>233</v>
      </c>
      <c r="F5968" s="12" t="s">
        <v>234</v>
      </c>
      <c r="G5968" s="12" t="s">
        <v>46</v>
      </c>
      <c r="H5968" s="11" t="s">
        <v>22</v>
      </c>
      <c r="I5968" s="13" t="s">
        <v>13019</v>
      </c>
      <c r="J5968" s="14" t="str">
        <f>HYPERLINK("https://www.boe.es/gazeta/dias/1839/09/17/pdfs/GMD-1839-1770.pdf#page=3","Abrir facsímil")</f>
        <v>Abrir facsímil</v>
      </c>
      <c r="K5968" s="12" t="s">
        <v>24</v>
      </c>
    </row>
    <row r="5969" spans="1:11" ht="40.049999999999997" customHeight="1" x14ac:dyDescent="0.25">
      <c r="A5969" s="11" t="s">
        <v>12990</v>
      </c>
      <c r="B5969" s="11" t="s">
        <v>12990</v>
      </c>
      <c r="C5969" s="11" t="s">
        <v>101</v>
      </c>
      <c r="D5969" s="11" t="s">
        <v>43</v>
      </c>
      <c r="E5969" s="12" t="s">
        <v>564</v>
      </c>
      <c r="F5969" s="12" t="s">
        <v>565</v>
      </c>
      <c r="G5969" s="12" t="s">
        <v>46</v>
      </c>
      <c r="H5969" s="11" t="s">
        <v>22</v>
      </c>
      <c r="I5969" s="13" t="s">
        <v>13020</v>
      </c>
      <c r="J5969" s="14" t="str">
        <f>HYPERLINK("https://www.boe.es/gazeta/dias/1839/10/17/pdfs/GMD-1839-1803.pdf#page=3","Abrir facsímil")</f>
        <v>Abrir facsímil</v>
      </c>
      <c r="K5969" s="12" t="s">
        <v>24</v>
      </c>
    </row>
    <row r="5970" spans="1:11" ht="40.049999999999997" customHeight="1" x14ac:dyDescent="0.25">
      <c r="A5970" s="11" t="s">
        <v>12990</v>
      </c>
      <c r="B5970" s="11" t="s">
        <v>12990</v>
      </c>
      <c r="C5970" s="11" t="s">
        <v>17</v>
      </c>
      <c r="D5970" s="11" t="s">
        <v>18</v>
      </c>
      <c r="E5970" s="12" t="s">
        <v>19</v>
      </c>
      <c r="F5970" s="12" t="s">
        <v>20</v>
      </c>
      <c r="G5970" s="12" t="s">
        <v>40</v>
      </c>
      <c r="H5970" s="11" t="s">
        <v>22</v>
      </c>
      <c r="I5970" s="13" t="s">
        <v>13021</v>
      </c>
      <c r="J5970" s="14" t="str">
        <f>HYPERLINK("https://www.boe.es/gazeta/dias/1839/01/19/pdfs/GMD-1839-1526.pdf#page=2","Abrir facsímil")</f>
        <v>Abrir facsímil</v>
      </c>
      <c r="K5970" s="12" t="s">
        <v>24</v>
      </c>
    </row>
    <row r="5971" spans="1:11" ht="40.049999999999997" customHeight="1" x14ac:dyDescent="0.25">
      <c r="A5971" s="11" t="s">
        <v>12990</v>
      </c>
      <c r="B5971" s="11" t="s">
        <v>12990</v>
      </c>
      <c r="C5971" s="11" t="s">
        <v>17</v>
      </c>
      <c r="D5971" s="11" t="s">
        <v>18</v>
      </c>
      <c r="E5971" s="12" t="s">
        <v>2222</v>
      </c>
      <c r="F5971" s="12" t="s">
        <v>2223</v>
      </c>
      <c r="G5971" s="12" t="s">
        <v>40</v>
      </c>
      <c r="H5971" s="11" t="s">
        <v>22</v>
      </c>
      <c r="I5971" s="13" t="s">
        <v>13022</v>
      </c>
      <c r="J5971" s="14" t="str">
        <f>HYPERLINK("https://www.boe.es/gazeta/dias/1839/09/19/pdfs/GMD-1839-1773.pdf#page=2","Abrir facsímil")</f>
        <v>Abrir facsímil</v>
      </c>
      <c r="K5971" s="12" t="s">
        <v>24</v>
      </c>
    </row>
    <row r="5972" spans="1:11" ht="40.049999999999997" customHeight="1" x14ac:dyDescent="0.25">
      <c r="A5972" s="11" t="s">
        <v>12990</v>
      </c>
      <c r="B5972" s="11" t="s">
        <v>12990</v>
      </c>
      <c r="C5972" s="11" t="s">
        <v>17</v>
      </c>
      <c r="D5972" s="11" t="s">
        <v>18</v>
      </c>
      <c r="E5972" s="12" t="s">
        <v>1076</v>
      </c>
      <c r="F5972" s="12" t="s">
        <v>1077</v>
      </c>
      <c r="G5972" s="12" t="s">
        <v>21</v>
      </c>
      <c r="H5972" s="11" t="s">
        <v>22</v>
      </c>
      <c r="I5972" s="13" t="s">
        <v>13023</v>
      </c>
      <c r="J5972" s="14" t="str">
        <f>HYPERLINK("https://www.boe.es/gazeta/dias/1839/10/19/pdfs/GMD-1839-1805.pdf#page=4","Abrir facsímil")</f>
        <v>Abrir facsímil</v>
      </c>
      <c r="K5972" s="12" t="s">
        <v>24</v>
      </c>
    </row>
    <row r="5973" spans="1:11" ht="40.049999999999997" customHeight="1" x14ac:dyDescent="0.25">
      <c r="A5973" s="11" t="s">
        <v>12990</v>
      </c>
      <c r="B5973" s="11" t="s">
        <v>12990</v>
      </c>
      <c r="C5973" s="11" t="s">
        <v>101</v>
      </c>
      <c r="D5973" s="11" t="s">
        <v>43</v>
      </c>
      <c r="E5973" s="12" t="s">
        <v>433</v>
      </c>
      <c r="F5973" s="12" t="s">
        <v>434</v>
      </c>
      <c r="G5973" s="12" t="s">
        <v>46</v>
      </c>
      <c r="H5973" s="11" t="s">
        <v>22</v>
      </c>
      <c r="I5973" s="13" t="s">
        <v>13024</v>
      </c>
      <c r="J5973" s="14" t="str">
        <f>HYPERLINK("https://www.boe.es/gazeta/dias/1839/01/20/pdfs/GMD-1839-1527.pdf#page=3","Abrir facsímil")</f>
        <v>Abrir facsímil</v>
      </c>
      <c r="K5973" s="12" t="s">
        <v>24</v>
      </c>
    </row>
    <row r="5974" spans="1:11" ht="40.049999999999997" customHeight="1" x14ac:dyDescent="0.25">
      <c r="A5974" s="11" t="s">
        <v>12990</v>
      </c>
      <c r="B5974" s="11" t="s">
        <v>12990</v>
      </c>
      <c r="C5974" s="11" t="s">
        <v>101</v>
      </c>
      <c r="D5974" s="11" t="s">
        <v>43</v>
      </c>
      <c r="E5974" s="12" t="s">
        <v>1433</v>
      </c>
      <c r="F5974" s="12" t="s">
        <v>1434</v>
      </c>
      <c r="G5974" s="12" t="s">
        <v>46</v>
      </c>
      <c r="H5974" s="11" t="s">
        <v>22</v>
      </c>
      <c r="I5974" s="13" t="s">
        <v>13025</v>
      </c>
      <c r="J5974" s="14" t="str">
        <f>HYPERLINK("https://www.boe.es/gazeta/dias/1839/10/22/pdfs/GMD-1839-1808.pdf#page=3","Abrir facsímil")</f>
        <v>Abrir facsímil</v>
      </c>
      <c r="K5974" s="12" t="s">
        <v>24</v>
      </c>
    </row>
    <row r="5975" spans="1:11" ht="40.049999999999997" customHeight="1" x14ac:dyDescent="0.25">
      <c r="A5975" s="11" t="s">
        <v>12990</v>
      </c>
      <c r="B5975" s="11" t="s">
        <v>12990</v>
      </c>
      <c r="C5975" s="11" t="s">
        <v>17</v>
      </c>
      <c r="D5975" s="11" t="s">
        <v>18</v>
      </c>
      <c r="E5975" s="12" t="s">
        <v>596</v>
      </c>
      <c r="F5975" s="12" t="s">
        <v>597</v>
      </c>
      <c r="G5975" s="12" t="s">
        <v>46</v>
      </c>
      <c r="H5975" s="11" t="s">
        <v>22</v>
      </c>
      <c r="I5975" s="13" t="s">
        <v>13026</v>
      </c>
      <c r="J5975" s="14" t="str">
        <f>HYPERLINK("https://www.boe.es/gazeta/dias/1839/01/23/pdfs/GMD-1839-1530.pdf#page=3","Abrir facsímil")</f>
        <v>Abrir facsímil</v>
      </c>
      <c r="K5975" s="12" t="s">
        <v>24</v>
      </c>
    </row>
    <row r="5976" spans="1:11" ht="40.049999999999997" customHeight="1" x14ac:dyDescent="0.25">
      <c r="A5976" s="11" t="s">
        <v>12990</v>
      </c>
      <c r="B5976" s="11" t="s">
        <v>12990</v>
      </c>
      <c r="C5976" s="11" t="s">
        <v>101</v>
      </c>
      <c r="D5976" s="11" t="s">
        <v>102</v>
      </c>
      <c r="E5976" s="12" t="s">
        <v>243</v>
      </c>
      <c r="F5976" s="12" t="s">
        <v>244</v>
      </c>
      <c r="G5976" s="12" t="s">
        <v>46</v>
      </c>
      <c r="H5976" s="11" t="s">
        <v>22</v>
      </c>
      <c r="I5976" s="13" t="s">
        <v>13027</v>
      </c>
      <c r="J5976" s="14" t="str">
        <f>HYPERLINK("https://www.boe.es/gazeta/dias/1839/09/23/pdfs/GMD-1839-1779.pdf#page=3","Abrir facsímil")</f>
        <v>Abrir facsímil</v>
      </c>
      <c r="K5976" s="12" t="s">
        <v>24</v>
      </c>
    </row>
    <row r="5977" spans="1:11" ht="40.049999999999997" customHeight="1" x14ac:dyDescent="0.25">
      <c r="A5977" s="11" t="s">
        <v>12990</v>
      </c>
      <c r="B5977" s="11" t="s">
        <v>12990</v>
      </c>
      <c r="C5977" s="11" t="s">
        <v>17</v>
      </c>
      <c r="D5977" s="11" t="s">
        <v>18</v>
      </c>
      <c r="E5977" s="12" t="s">
        <v>1895</v>
      </c>
      <c r="F5977" s="12" t="s">
        <v>1896</v>
      </c>
      <c r="G5977" s="12" t="s">
        <v>40</v>
      </c>
      <c r="H5977" s="11" t="s">
        <v>22</v>
      </c>
      <c r="I5977" s="13" t="s">
        <v>13028</v>
      </c>
      <c r="J5977" s="14" t="str">
        <f>HYPERLINK("https://www.boe.es/gazeta/dias/1839/12/23/pdfs/GMD-1839-1870.pdf#page=2","Abrir facsímil")</f>
        <v>Abrir facsímil</v>
      </c>
      <c r="K5977" s="12" t="s">
        <v>24</v>
      </c>
    </row>
    <row r="5978" spans="1:11" ht="40.049999999999997" customHeight="1" x14ac:dyDescent="0.25">
      <c r="A5978" s="11" t="s">
        <v>12990</v>
      </c>
      <c r="B5978" s="11" t="s">
        <v>12990</v>
      </c>
      <c r="C5978" s="11" t="s">
        <v>17</v>
      </c>
      <c r="D5978" s="11" t="s">
        <v>18</v>
      </c>
      <c r="E5978" s="12" t="s">
        <v>276</v>
      </c>
      <c r="F5978" s="12" t="s">
        <v>277</v>
      </c>
      <c r="G5978" s="12" t="s">
        <v>46</v>
      </c>
      <c r="H5978" s="11" t="s">
        <v>22</v>
      </c>
      <c r="I5978" s="13" t="s">
        <v>13029</v>
      </c>
      <c r="J5978" s="14" t="str">
        <f>HYPERLINK("https://www.boe.es/gazeta/dias/1839/09/24/pdfs/GMD-1839-1780.pdf#page=3","Abrir facsímil")</f>
        <v>Abrir facsímil</v>
      </c>
      <c r="K5978" s="12" t="s">
        <v>24</v>
      </c>
    </row>
    <row r="5979" spans="1:11" ht="40.049999999999997" customHeight="1" x14ac:dyDescent="0.25">
      <c r="A5979" s="11" t="s">
        <v>12990</v>
      </c>
      <c r="B5979" s="11" t="s">
        <v>12990</v>
      </c>
      <c r="C5979" s="11" t="s">
        <v>101</v>
      </c>
      <c r="D5979" s="11" t="s">
        <v>43</v>
      </c>
      <c r="E5979" s="12" t="s">
        <v>416</v>
      </c>
      <c r="F5979" s="12" t="s">
        <v>417</v>
      </c>
      <c r="G5979" s="12" t="s">
        <v>29</v>
      </c>
      <c r="H5979" s="11" t="s">
        <v>22</v>
      </c>
      <c r="I5979" s="13" t="s">
        <v>13030</v>
      </c>
      <c r="J5979" s="14" t="str">
        <f>HYPERLINK("https://www.boe.es/gazeta/dias/1839/10/24/pdfs/GMD-1839-1810.pdf#page=1","Abrir facsímil")</f>
        <v>Abrir facsímil</v>
      </c>
      <c r="K5979" s="12" t="s">
        <v>24</v>
      </c>
    </row>
    <row r="5980" spans="1:11" ht="40.049999999999997" customHeight="1" x14ac:dyDescent="0.25">
      <c r="A5980" s="11" t="s">
        <v>12990</v>
      </c>
      <c r="B5980" s="11" t="s">
        <v>12990</v>
      </c>
      <c r="C5980" s="11" t="s">
        <v>101</v>
      </c>
      <c r="D5980" s="11" t="s">
        <v>43</v>
      </c>
      <c r="E5980" s="12" t="s">
        <v>826</v>
      </c>
      <c r="F5980" s="12" t="s">
        <v>827</v>
      </c>
      <c r="G5980" s="12" t="s">
        <v>40</v>
      </c>
      <c r="H5980" s="11" t="s">
        <v>22</v>
      </c>
      <c r="I5980" s="13" t="s">
        <v>13031</v>
      </c>
      <c r="J5980" s="14" t="str">
        <f>HYPERLINK("https://www.boe.es/gazeta/dias/1839/09/25/pdfs/GMD-1839-1781.pdf#page=2","Abrir facsímil")</f>
        <v>Abrir facsímil</v>
      </c>
      <c r="K5980" s="12" t="s">
        <v>24</v>
      </c>
    </row>
    <row r="5981" spans="1:11" ht="40.049999999999997" customHeight="1" x14ac:dyDescent="0.25">
      <c r="A5981" s="11" t="s">
        <v>12990</v>
      </c>
      <c r="B5981" s="11" t="s">
        <v>12990</v>
      </c>
      <c r="C5981" s="11" t="s">
        <v>17</v>
      </c>
      <c r="D5981" s="11" t="s">
        <v>18</v>
      </c>
      <c r="E5981" s="12" t="s">
        <v>650</v>
      </c>
      <c r="F5981" s="12" t="s">
        <v>651</v>
      </c>
      <c r="G5981" s="12" t="s">
        <v>40</v>
      </c>
      <c r="H5981" s="11" t="s">
        <v>22</v>
      </c>
      <c r="I5981" s="13" t="s">
        <v>13032</v>
      </c>
      <c r="J5981" s="14" t="str">
        <f>HYPERLINK("https://www.boe.es/gazeta/dias/1839/10/25/pdfs/GMD-1839-1811.pdf#page=2","Abrir facsímil")</f>
        <v>Abrir facsímil</v>
      </c>
      <c r="K5981" s="12" t="s">
        <v>24</v>
      </c>
    </row>
    <row r="5982" spans="1:11" ht="40.049999999999997" customHeight="1" x14ac:dyDescent="0.25">
      <c r="A5982" s="11" t="s">
        <v>12990</v>
      </c>
      <c r="B5982" s="11" t="s">
        <v>12990</v>
      </c>
      <c r="C5982" s="11" t="s">
        <v>17</v>
      </c>
      <c r="D5982" s="11" t="s">
        <v>18</v>
      </c>
      <c r="E5982" s="12" t="s">
        <v>1086</v>
      </c>
      <c r="F5982" s="12" t="s">
        <v>1087</v>
      </c>
      <c r="G5982" s="12" t="s">
        <v>40</v>
      </c>
      <c r="H5982" s="11" t="s">
        <v>22</v>
      </c>
      <c r="I5982" s="13" t="s">
        <v>13033</v>
      </c>
      <c r="J5982" s="14" t="str">
        <f>HYPERLINK("https://www.boe.es/gazeta/dias/1839/10/26/pdfs/GMD-1839-1812.pdf#page=2","Abrir facsímil")</f>
        <v>Abrir facsímil</v>
      </c>
      <c r="K5982" s="12" t="s">
        <v>24</v>
      </c>
    </row>
    <row r="5983" spans="1:11" ht="40.049999999999997" customHeight="1" x14ac:dyDescent="0.25">
      <c r="A5983" s="11" t="s">
        <v>12990</v>
      </c>
      <c r="B5983" s="11" t="s">
        <v>12990</v>
      </c>
      <c r="C5983" s="11" t="s">
        <v>17</v>
      </c>
      <c r="D5983" s="11" t="s">
        <v>18</v>
      </c>
      <c r="E5983" s="12" t="s">
        <v>284</v>
      </c>
      <c r="F5983" s="12" t="s">
        <v>285</v>
      </c>
      <c r="G5983" s="12" t="s">
        <v>40</v>
      </c>
      <c r="H5983" s="11" t="s">
        <v>22</v>
      </c>
      <c r="I5983" s="13" t="s">
        <v>13034</v>
      </c>
      <c r="J5983" s="14" t="str">
        <f>HYPERLINK("https://www.boe.es/gazeta/dias/1839/01/27/pdfs/GMD-1839-1534.pdf#page=2","Abrir facsímil")</f>
        <v>Abrir facsímil</v>
      </c>
      <c r="K5983" s="12" t="s">
        <v>24</v>
      </c>
    </row>
    <row r="5984" spans="1:11" ht="40.049999999999997" customHeight="1" x14ac:dyDescent="0.25">
      <c r="A5984" s="11" t="s">
        <v>12990</v>
      </c>
      <c r="B5984" s="11" t="s">
        <v>12990</v>
      </c>
      <c r="C5984" s="11" t="s">
        <v>17</v>
      </c>
      <c r="D5984" s="11" t="s">
        <v>18</v>
      </c>
      <c r="E5984" s="12" t="s">
        <v>571</v>
      </c>
      <c r="F5984" s="12" t="s">
        <v>572</v>
      </c>
      <c r="G5984" s="12" t="s">
        <v>40</v>
      </c>
      <c r="H5984" s="11" t="s">
        <v>22</v>
      </c>
      <c r="I5984" s="13" t="s">
        <v>13035</v>
      </c>
      <c r="J5984" s="14" t="str">
        <f>HYPERLINK("https://www.boe.es/gazeta/dias/1839/09/27/pdfs/GMD-1839-1783.pdf#page=2","Abrir facsímil")</f>
        <v>Abrir facsímil</v>
      </c>
      <c r="K5984" s="12" t="s">
        <v>24</v>
      </c>
    </row>
    <row r="5985" spans="1:11" ht="40.049999999999997" customHeight="1" x14ac:dyDescent="0.25">
      <c r="A5985" s="11" t="s">
        <v>12990</v>
      </c>
      <c r="B5985" s="11" t="s">
        <v>12990</v>
      </c>
      <c r="C5985" s="11" t="s">
        <v>17</v>
      </c>
      <c r="D5985" s="11" t="s">
        <v>18</v>
      </c>
      <c r="E5985" s="12" t="s">
        <v>1909</v>
      </c>
      <c r="F5985" s="12" t="s">
        <v>1910</v>
      </c>
      <c r="G5985" s="12" t="s">
        <v>40</v>
      </c>
      <c r="H5985" s="11" t="s">
        <v>22</v>
      </c>
      <c r="I5985" s="13" t="s">
        <v>13036</v>
      </c>
      <c r="J5985" s="14" t="str">
        <f>HYPERLINK("https://www.boe.es/gazeta/dias/1839/10/27/pdfs/GMD-1839-1813.pdf#page=2","Abrir facsímil")</f>
        <v>Abrir facsímil</v>
      </c>
      <c r="K5985" s="12" t="s">
        <v>24</v>
      </c>
    </row>
    <row r="5986" spans="1:11" ht="40.049999999999997" customHeight="1" x14ac:dyDescent="0.25">
      <c r="A5986" s="11" t="s">
        <v>12990</v>
      </c>
      <c r="B5986" s="11" t="s">
        <v>12990</v>
      </c>
      <c r="C5986" s="11" t="s">
        <v>17</v>
      </c>
      <c r="D5986" s="11" t="s">
        <v>18</v>
      </c>
      <c r="E5986" s="12" t="s">
        <v>1474</v>
      </c>
      <c r="F5986" s="12" t="s">
        <v>1475</v>
      </c>
      <c r="G5986" s="12" t="s">
        <v>21</v>
      </c>
      <c r="H5986" s="11" t="s">
        <v>22</v>
      </c>
      <c r="I5986" s="13" t="s">
        <v>13037</v>
      </c>
      <c r="J5986" s="14" t="str">
        <f>HYPERLINK("https://www.boe.es/gazeta/dias/1839/02/28/pdfs/GMD-1839-1566.pdf#page=4","Abrir facsímil")</f>
        <v>Abrir facsímil</v>
      </c>
      <c r="K5986" s="12" t="s">
        <v>24</v>
      </c>
    </row>
    <row r="5987" spans="1:11" ht="40.049999999999997" customHeight="1" x14ac:dyDescent="0.25">
      <c r="A5987" s="11" t="s">
        <v>12990</v>
      </c>
      <c r="B5987" s="11" t="s">
        <v>12990</v>
      </c>
      <c r="C5987" s="11" t="s">
        <v>101</v>
      </c>
      <c r="D5987" s="11" t="s">
        <v>43</v>
      </c>
      <c r="E5987" s="12" t="s">
        <v>574</v>
      </c>
      <c r="F5987" s="12" t="s">
        <v>575</v>
      </c>
      <c r="G5987" s="12" t="s">
        <v>29</v>
      </c>
      <c r="H5987" s="11" t="s">
        <v>22</v>
      </c>
      <c r="I5987" s="13" t="s">
        <v>13038</v>
      </c>
      <c r="J5987" s="14" t="str">
        <f>HYPERLINK("https://www.boe.es/gazeta/dias/1839/09/28/pdfs/GMD-1839-1784.pdf#page=1","Abrir facsímil")</f>
        <v>Abrir facsímil</v>
      </c>
      <c r="K5987" s="12" t="s">
        <v>24</v>
      </c>
    </row>
    <row r="5988" spans="1:11" ht="40.049999999999997" customHeight="1" x14ac:dyDescent="0.25">
      <c r="A5988" s="11" t="s">
        <v>12990</v>
      </c>
      <c r="B5988" s="11" t="s">
        <v>12990</v>
      </c>
      <c r="C5988" s="11" t="s">
        <v>17</v>
      </c>
      <c r="D5988" s="11" t="s">
        <v>18</v>
      </c>
      <c r="E5988" s="12" t="s">
        <v>1807</v>
      </c>
      <c r="F5988" s="12" t="s">
        <v>1808</v>
      </c>
      <c r="G5988" s="12" t="s">
        <v>40</v>
      </c>
      <c r="H5988" s="11" t="s">
        <v>22</v>
      </c>
      <c r="I5988" s="13" t="s">
        <v>13039</v>
      </c>
      <c r="J5988" s="14" t="str">
        <f>HYPERLINK("https://www.boe.es/gazeta/dias/1839/01/29/pdfs/GMD-1839-1536.pdf#page=2","Abrir facsímil")</f>
        <v>Abrir facsímil</v>
      </c>
      <c r="K5988" s="12" t="s">
        <v>24</v>
      </c>
    </row>
    <row r="5989" spans="1:11" ht="40.049999999999997" customHeight="1" x14ac:dyDescent="0.25">
      <c r="A5989" s="11" t="s">
        <v>12990</v>
      </c>
      <c r="B5989" s="11" t="s">
        <v>12990</v>
      </c>
      <c r="C5989" s="11" t="s">
        <v>80</v>
      </c>
      <c r="D5989" s="11" t="s">
        <v>18</v>
      </c>
      <c r="E5989" s="12" t="s">
        <v>616</v>
      </c>
      <c r="F5989" s="12" t="s">
        <v>617</v>
      </c>
      <c r="G5989" s="12" t="s">
        <v>21</v>
      </c>
      <c r="H5989" s="11" t="s">
        <v>22</v>
      </c>
      <c r="I5989" s="13" t="s">
        <v>13040</v>
      </c>
      <c r="J5989" s="14" t="str">
        <f>HYPERLINK("https://www.boe.es/gazeta/dias/1839/05/29/pdfs/GMD-1839-1656.pdf#page=4","Abrir facsímil")</f>
        <v>Abrir facsímil</v>
      </c>
      <c r="K5989" s="12" t="s">
        <v>24</v>
      </c>
    </row>
    <row r="5990" spans="1:11" ht="40.049999999999997" customHeight="1" x14ac:dyDescent="0.25">
      <c r="A5990" s="11" t="s">
        <v>12990</v>
      </c>
      <c r="B5990" s="11" t="s">
        <v>12990</v>
      </c>
      <c r="C5990" s="11" t="s">
        <v>101</v>
      </c>
      <c r="D5990" s="11" t="s">
        <v>43</v>
      </c>
      <c r="E5990" s="12" t="s">
        <v>1867</v>
      </c>
      <c r="F5990" s="12" t="s">
        <v>1868</v>
      </c>
      <c r="G5990" s="12" t="s">
        <v>40</v>
      </c>
      <c r="H5990" s="11" t="s">
        <v>22</v>
      </c>
      <c r="I5990" s="13" t="s">
        <v>13041</v>
      </c>
      <c r="J5990" s="14" t="str">
        <f>HYPERLINK("https://www.boe.es/gazeta/dias/1839/01/30/pdfs/GMD-1839-1537.pdf#page=2","Abrir facsímil")</f>
        <v>Abrir facsímil</v>
      </c>
      <c r="K5990" s="12" t="s">
        <v>24</v>
      </c>
    </row>
    <row r="5991" spans="1:11" ht="40.049999999999997" customHeight="1" x14ac:dyDescent="0.25">
      <c r="A5991" s="11" t="s">
        <v>12990</v>
      </c>
      <c r="B5991" s="11" t="s">
        <v>12990</v>
      </c>
      <c r="C5991" s="11" t="s">
        <v>101</v>
      </c>
      <c r="D5991" s="11" t="s">
        <v>43</v>
      </c>
      <c r="E5991" s="12" t="s">
        <v>577</v>
      </c>
      <c r="F5991" s="12" t="s">
        <v>578</v>
      </c>
      <c r="G5991" s="12" t="s">
        <v>40</v>
      </c>
      <c r="H5991" s="11" t="s">
        <v>22</v>
      </c>
      <c r="I5991" s="13" t="s">
        <v>13042</v>
      </c>
      <c r="J5991" s="14" t="str">
        <f>HYPERLINK("https://www.boe.es/gazeta/dias/1839/09/30/pdfs/GMD-1839-1786.pdf#page=2","Abrir facsímil")</f>
        <v>Abrir facsímil</v>
      </c>
      <c r="K5991" s="12" t="s">
        <v>24</v>
      </c>
    </row>
    <row r="5992" spans="1:11" ht="40.049999999999997" customHeight="1" x14ac:dyDescent="0.25">
      <c r="A5992" s="11" t="s">
        <v>12990</v>
      </c>
      <c r="B5992" s="11" t="s">
        <v>12990</v>
      </c>
      <c r="C5992" s="11" t="s">
        <v>80</v>
      </c>
      <c r="D5992" s="11" t="s">
        <v>18</v>
      </c>
      <c r="E5992" s="12" t="s">
        <v>929</v>
      </c>
      <c r="F5992" s="12" t="s">
        <v>930</v>
      </c>
      <c r="G5992" s="12" t="s">
        <v>29</v>
      </c>
      <c r="H5992" s="11" t="s">
        <v>22</v>
      </c>
      <c r="I5992" s="13" t="s">
        <v>13043</v>
      </c>
      <c r="J5992" s="14" t="str">
        <f>HYPERLINK("https://www.boe.es/gazeta/dias/1839/01/31/pdfs/GMD-1839-1538.pdf#page=1","Abrir facsímil")</f>
        <v>Abrir facsímil</v>
      </c>
      <c r="K5992" s="12" t="s">
        <v>24</v>
      </c>
    </row>
    <row r="5993" spans="1:11" ht="40.049999999999997" customHeight="1" x14ac:dyDescent="0.25">
      <c r="A5993" s="11" t="s">
        <v>13044</v>
      </c>
      <c r="B5993" s="11" t="s">
        <v>13044</v>
      </c>
      <c r="C5993" s="11" t="s">
        <v>80</v>
      </c>
      <c r="D5993" s="11" t="s">
        <v>173</v>
      </c>
      <c r="E5993" s="12" t="s">
        <v>4186</v>
      </c>
      <c r="F5993" s="12" t="s">
        <v>4187</v>
      </c>
      <c r="G5993" s="12" t="s">
        <v>46</v>
      </c>
      <c r="H5993" s="11" t="s">
        <v>22</v>
      </c>
      <c r="I5993" s="13" t="s">
        <v>13045</v>
      </c>
      <c r="J5993" s="14" t="str">
        <f>HYPERLINK("https://www.boe.es/gazeta/dias/1839/12/12/pdfs/GMD-1839-1859.pdf#page=3","Abrir facsímil")</f>
        <v>Abrir facsímil</v>
      </c>
      <c r="K5993" s="12" t="s">
        <v>24</v>
      </c>
    </row>
    <row r="5994" spans="1:11" ht="40.049999999999997" customHeight="1" x14ac:dyDescent="0.25">
      <c r="A5994" s="11" t="s">
        <v>13046</v>
      </c>
      <c r="B5994" s="11" t="s">
        <v>13046</v>
      </c>
      <c r="C5994" s="11" t="s">
        <v>59</v>
      </c>
      <c r="D5994" s="11" t="s">
        <v>60</v>
      </c>
      <c r="E5994" s="12" t="s">
        <v>1692</v>
      </c>
      <c r="F5994" s="12" t="s">
        <v>1693</v>
      </c>
      <c r="G5994" s="12" t="s">
        <v>21</v>
      </c>
      <c r="H5994" s="11" t="s">
        <v>22</v>
      </c>
      <c r="I5994" s="13" t="s">
        <v>13047</v>
      </c>
      <c r="J5994" s="14" t="str">
        <f>HYPERLINK("https://www.boe.es/gazeta/dias/1839/05/30/pdfs/GMD-1839-1657.pdf#page=4","Abrir facsímil")</f>
        <v>Abrir facsímil</v>
      </c>
      <c r="K5994" s="12" t="s">
        <v>24</v>
      </c>
    </row>
    <row r="5995" spans="1:11" ht="40.049999999999997" customHeight="1" x14ac:dyDescent="0.25">
      <c r="A5995" s="11" t="s">
        <v>13048</v>
      </c>
      <c r="B5995" s="11" t="s">
        <v>13048</v>
      </c>
      <c r="C5995" s="11" t="s">
        <v>17</v>
      </c>
      <c r="D5995" s="11" t="s">
        <v>18</v>
      </c>
      <c r="E5995" s="12" t="s">
        <v>632</v>
      </c>
      <c r="F5995" s="12" t="s">
        <v>633</v>
      </c>
      <c r="G5995" s="12" t="s">
        <v>46</v>
      </c>
      <c r="H5995" s="11" t="s">
        <v>22</v>
      </c>
      <c r="I5995" s="13" t="s">
        <v>13049</v>
      </c>
      <c r="J5995" s="14" t="str">
        <f>HYPERLINK("https://www.boe.es/gazeta/dias/1839/04/06/pdfs/GMD-1839-1603.pdf#page=3","Abrir facsímil")</f>
        <v>Abrir facsímil</v>
      </c>
      <c r="K5995" s="12" t="s">
        <v>24</v>
      </c>
    </row>
    <row r="5996" spans="1:11" ht="40.049999999999997" customHeight="1" x14ac:dyDescent="0.25">
      <c r="A5996" s="11" t="s">
        <v>13050</v>
      </c>
      <c r="B5996" s="11" t="s">
        <v>13050</v>
      </c>
      <c r="C5996" s="11" t="s">
        <v>17</v>
      </c>
      <c r="D5996" s="11" t="s">
        <v>18</v>
      </c>
      <c r="E5996" s="12" t="s">
        <v>700</v>
      </c>
      <c r="F5996" s="12" t="s">
        <v>701</v>
      </c>
      <c r="G5996" s="12" t="s">
        <v>40</v>
      </c>
      <c r="H5996" s="11" t="s">
        <v>63</v>
      </c>
      <c r="I5996" s="13" t="s">
        <v>13051</v>
      </c>
      <c r="J5996" s="14" t="str">
        <f>HYPERLINK("https://www.boe.es/gazeta/dias/1839/09/01/pdfs/GMD-1839-1753.pdf#page=2","Abrir facsímil")</f>
        <v>Abrir facsímil</v>
      </c>
      <c r="K5996" s="12" t="s">
        <v>65</v>
      </c>
    </row>
    <row r="5997" spans="1:11" ht="40.049999999999997" customHeight="1" x14ac:dyDescent="0.25">
      <c r="A5997" s="11" t="s">
        <v>13052</v>
      </c>
      <c r="B5997" s="11" t="s">
        <v>13053</v>
      </c>
      <c r="C5997" s="11" t="s">
        <v>17</v>
      </c>
      <c r="D5997" s="11" t="s">
        <v>18</v>
      </c>
      <c r="E5997" s="12" t="s">
        <v>258</v>
      </c>
      <c r="F5997" s="12" t="s">
        <v>259</v>
      </c>
      <c r="G5997" s="12" t="s">
        <v>46</v>
      </c>
      <c r="H5997" s="11" t="s">
        <v>22</v>
      </c>
      <c r="I5997" s="13" t="s">
        <v>13054</v>
      </c>
      <c r="J5997" s="14" t="str">
        <f>HYPERLINK("https://www.boe.es/gazeta/dias/1839/01/02/pdfs/GMD-1839-1509.pdf#page=3","Abrir facsímil")</f>
        <v>Abrir facsímil</v>
      </c>
      <c r="K5997" s="12" t="s">
        <v>24</v>
      </c>
    </row>
    <row r="5998" spans="1:11" ht="40.049999999999997" customHeight="1" x14ac:dyDescent="0.25">
      <c r="A5998" s="11" t="s">
        <v>13055</v>
      </c>
      <c r="B5998" s="11" t="s">
        <v>13055</v>
      </c>
      <c r="C5998" s="11" t="s">
        <v>17</v>
      </c>
      <c r="D5998" s="11" t="s">
        <v>18</v>
      </c>
      <c r="E5998" s="12" t="s">
        <v>1654</v>
      </c>
      <c r="F5998" s="12" t="s">
        <v>1655</v>
      </c>
      <c r="G5998" s="12" t="s">
        <v>29</v>
      </c>
      <c r="H5998" s="11" t="s">
        <v>63</v>
      </c>
      <c r="I5998" s="13" t="s">
        <v>13056</v>
      </c>
      <c r="J5998" s="14" t="str">
        <f>HYPERLINK("https://www.boe.es/gazeta/dias/1839/11/19/pdfs/GMD-1839-1836.pdf#page=1","Abrir facsímil")</f>
        <v>Abrir facsímil</v>
      </c>
      <c r="K5998" s="12" t="s">
        <v>65</v>
      </c>
    </row>
    <row r="5999" spans="1:11" ht="40.049999999999997" customHeight="1" x14ac:dyDescent="0.25">
      <c r="A5999" s="11" t="s">
        <v>13057</v>
      </c>
      <c r="B5999" s="11" t="s">
        <v>13057</v>
      </c>
      <c r="C5999" s="11" t="s">
        <v>17</v>
      </c>
      <c r="D5999" s="11" t="s">
        <v>18</v>
      </c>
      <c r="E5999" s="12" t="s">
        <v>785</v>
      </c>
      <c r="F5999" s="12" t="s">
        <v>786</v>
      </c>
      <c r="G5999" s="12" t="s">
        <v>40</v>
      </c>
      <c r="H5999" s="11" t="s">
        <v>22</v>
      </c>
      <c r="I5999" s="13" t="s">
        <v>13058</v>
      </c>
      <c r="J5999" s="14" t="str">
        <f>HYPERLINK("https://www.boe.es/gazeta/dias/1839/07/13/pdfs/GMD-1839-1701.pdf#page=2","Abrir facsímil")</f>
        <v>Abrir facsímil</v>
      </c>
      <c r="K5999" s="12" t="s">
        <v>24</v>
      </c>
    </row>
    <row r="6000" spans="1:11" ht="40.049999999999997" customHeight="1" x14ac:dyDescent="0.25">
      <c r="A6000" s="11" t="s">
        <v>13059</v>
      </c>
      <c r="B6000" s="11" t="s">
        <v>13059</v>
      </c>
      <c r="C6000" s="11" t="s">
        <v>17</v>
      </c>
      <c r="D6000" s="11" t="s">
        <v>18</v>
      </c>
      <c r="E6000" s="12" t="s">
        <v>262</v>
      </c>
      <c r="F6000" s="12" t="s">
        <v>263</v>
      </c>
      <c r="G6000" s="12" t="s">
        <v>21</v>
      </c>
      <c r="H6000" s="11" t="s">
        <v>22</v>
      </c>
      <c r="I6000" s="13" t="s">
        <v>13060</v>
      </c>
      <c r="J6000" s="14" t="str">
        <f>HYPERLINK("https://www.boe.es/gazeta/dias/1839/01/01/pdfs/GMD-1839-1508.pdf#page=4","Abrir facsímil")</f>
        <v>Abrir facsímil</v>
      </c>
      <c r="K6000" s="12" t="s">
        <v>24</v>
      </c>
    </row>
    <row r="6001" spans="1:11" ht="40.049999999999997" customHeight="1" x14ac:dyDescent="0.25">
      <c r="A6001" s="11" t="s">
        <v>13059</v>
      </c>
      <c r="B6001" s="11" t="s">
        <v>13059</v>
      </c>
      <c r="C6001" s="11" t="s">
        <v>101</v>
      </c>
      <c r="D6001" s="11" t="s">
        <v>43</v>
      </c>
      <c r="E6001" s="12" t="s">
        <v>284</v>
      </c>
      <c r="F6001" s="12" t="s">
        <v>285</v>
      </c>
      <c r="G6001" s="12" t="s">
        <v>40</v>
      </c>
      <c r="H6001" s="11" t="s">
        <v>22</v>
      </c>
      <c r="I6001" s="13" t="s">
        <v>13061</v>
      </c>
      <c r="J6001" s="14" t="str">
        <f>HYPERLINK("https://www.boe.es/gazeta/dias/1839/01/27/pdfs/GMD-1839-1534.pdf#page=2","Abrir facsímil")</f>
        <v>Abrir facsímil</v>
      </c>
      <c r="K6001" s="12" t="s">
        <v>24</v>
      </c>
    </row>
    <row r="6002" spans="1:11" ht="40.049999999999997" customHeight="1" x14ac:dyDescent="0.25">
      <c r="A6002" s="11" t="s">
        <v>13062</v>
      </c>
      <c r="B6002" s="11" t="s">
        <v>13062</v>
      </c>
      <c r="C6002" s="11" t="s">
        <v>101</v>
      </c>
      <c r="D6002" s="11" t="s">
        <v>102</v>
      </c>
      <c r="E6002" s="12" t="s">
        <v>2165</v>
      </c>
      <c r="F6002" s="12" t="s">
        <v>2166</v>
      </c>
      <c r="G6002" s="12" t="s">
        <v>40</v>
      </c>
      <c r="H6002" s="11" t="s">
        <v>22</v>
      </c>
      <c r="I6002" s="13" t="s">
        <v>13063</v>
      </c>
      <c r="J6002" s="14" t="str">
        <f>HYPERLINK("https://www.boe.es/gazeta/dias/1839/01/06/pdfs/GMD-1839-1513.pdf#page=2","Abrir facsímil")</f>
        <v>Abrir facsímil</v>
      </c>
      <c r="K6002" s="12" t="s">
        <v>24</v>
      </c>
    </row>
    <row r="6003" spans="1:11" ht="40.049999999999997" customHeight="1" x14ac:dyDescent="0.25">
      <c r="A6003" s="11" t="s">
        <v>13062</v>
      </c>
      <c r="B6003" s="11" t="s">
        <v>13062</v>
      </c>
      <c r="C6003" s="11" t="s">
        <v>17</v>
      </c>
      <c r="D6003" s="11" t="s">
        <v>18</v>
      </c>
      <c r="E6003" s="12" t="s">
        <v>185</v>
      </c>
      <c r="F6003" s="12" t="s">
        <v>186</v>
      </c>
      <c r="G6003" s="12" t="s">
        <v>29</v>
      </c>
      <c r="H6003" s="11" t="s">
        <v>22</v>
      </c>
      <c r="I6003" s="13" t="s">
        <v>13064</v>
      </c>
      <c r="J6003" s="14" t="str">
        <f>HYPERLINK("https://www.boe.es/gazeta/dias/1839/01/15/pdfs/GMD-1839-1522.pdf#page=1","Abrir facsímil")</f>
        <v>Abrir facsímil</v>
      </c>
      <c r="K6003" s="12" t="s">
        <v>24</v>
      </c>
    </row>
    <row r="6004" spans="1:11" ht="40.049999999999997" customHeight="1" x14ac:dyDescent="0.25">
      <c r="A6004" s="11" t="s">
        <v>13062</v>
      </c>
      <c r="B6004" s="11" t="s">
        <v>13062</v>
      </c>
      <c r="C6004" s="11" t="s">
        <v>17</v>
      </c>
      <c r="D6004" s="11" t="s">
        <v>18</v>
      </c>
      <c r="E6004" s="12" t="s">
        <v>1703</v>
      </c>
      <c r="F6004" s="12" t="s">
        <v>1704</v>
      </c>
      <c r="G6004" s="12" t="s">
        <v>29</v>
      </c>
      <c r="H6004" s="11" t="s">
        <v>22</v>
      </c>
      <c r="I6004" s="13" t="s">
        <v>13065</v>
      </c>
      <c r="J6004" s="14" t="str">
        <f>HYPERLINK("https://www.boe.es/gazeta/dias/1839/01/21/pdfs/GMD-1839-1528.pdf#page=1","Abrir facsímil")</f>
        <v>Abrir facsímil</v>
      </c>
      <c r="K6004" s="12" t="s">
        <v>24</v>
      </c>
    </row>
    <row r="6005" spans="1:11" ht="40.049999999999997" customHeight="1" x14ac:dyDescent="0.25">
      <c r="A6005" s="11" t="s">
        <v>13066</v>
      </c>
      <c r="B6005" s="11" t="s">
        <v>13066</v>
      </c>
      <c r="C6005" s="11" t="s">
        <v>80</v>
      </c>
      <c r="D6005" s="11" t="s">
        <v>18</v>
      </c>
      <c r="E6005" s="12" t="s">
        <v>4451</v>
      </c>
      <c r="F6005" s="12" t="s">
        <v>4452</v>
      </c>
      <c r="G6005" s="12" t="s">
        <v>46</v>
      </c>
      <c r="H6005" s="11" t="s">
        <v>22</v>
      </c>
      <c r="I6005" s="13" t="s">
        <v>13067</v>
      </c>
      <c r="J6005" s="14" t="str">
        <f>HYPERLINK("https://www.boe.es/gazeta/dias/1839/12/02/pdfs/GMD-1839-1849.pdf#page=3","Abrir facsímil")</f>
        <v>Abrir facsímil</v>
      </c>
      <c r="K6005" s="12" t="s">
        <v>24</v>
      </c>
    </row>
    <row r="6006" spans="1:11" ht="40.049999999999997" customHeight="1" x14ac:dyDescent="0.25">
      <c r="A6006" s="11" t="s">
        <v>13066</v>
      </c>
      <c r="B6006" s="11" t="s">
        <v>13066</v>
      </c>
      <c r="C6006" s="11" t="s">
        <v>80</v>
      </c>
      <c r="D6006" s="11" t="s">
        <v>18</v>
      </c>
      <c r="E6006" s="12" t="s">
        <v>834</v>
      </c>
      <c r="F6006" s="12" t="s">
        <v>835</v>
      </c>
      <c r="G6006" s="12" t="s">
        <v>46</v>
      </c>
      <c r="H6006" s="11" t="s">
        <v>22</v>
      </c>
      <c r="I6006" s="13" t="s">
        <v>13068</v>
      </c>
      <c r="J6006" s="14" t="str">
        <f>HYPERLINK("https://www.boe.es/gazeta/dias/1839/08/17/pdfs/GMD-1839-1737.pdf#page=3","Abrir facsímil")</f>
        <v>Abrir facsímil</v>
      </c>
      <c r="K6006" s="12" t="s">
        <v>24</v>
      </c>
    </row>
    <row r="6007" spans="1:11" ht="40.049999999999997" customHeight="1" x14ac:dyDescent="0.25">
      <c r="A6007" s="11" t="s">
        <v>13069</v>
      </c>
      <c r="B6007" s="11" t="s">
        <v>13069</v>
      </c>
      <c r="C6007" s="11" t="s">
        <v>17</v>
      </c>
      <c r="D6007" s="11" t="s">
        <v>18</v>
      </c>
      <c r="E6007" s="12" t="s">
        <v>1623</v>
      </c>
      <c r="F6007" s="12" t="s">
        <v>1624</v>
      </c>
      <c r="G6007" s="12" t="s">
        <v>21</v>
      </c>
      <c r="H6007" s="11" t="s">
        <v>22</v>
      </c>
      <c r="I6007" s="13" t="s">
        <v>13070</v>
      </c>
      <c r="J6007" s="14" t="str">
        <f>HYPERLINK("https://www.boe.es/gazeta/dias/1839/04/07/pdfs/GMD-1839-1604.pdf#page=4","Abrir facsímil")</f>
        <v>Abrir facsímil</v>
      </c>
      <c r="K6007" s="12" t="s">
        <v>24</v>
      </c>
    </row>
    <row r="6008" spans="1:11" ht="40.049999999999997" customHeight="1" x14ac:dyDescent="0.25">
      <c r="A6008" s="11" t="s">
        <v>13071</v>
      </c>
      <c r="B6008" s="11" t="s">
        <v>13071</v>
      </c>
      <c r="C6008" s="11" t="s">
        <v>17</v>
      </c>
      <c r="D6008" s="11" t="s">
        <v>18</v>
      </c>
      <c r="E6008" s="12" t="s">
        <v>1079</v>
      </c>
      <c r="F6008" s="12" t="s">
        <v>1080</v>
      </c>
      <c r="G6008" s="12" t="s">
        <v>40</v>
      </c>
      <c r="H6008" s="11" t="s">
        <v>22</v>
      </c>
      <c r="I6008" s="13" t="s">
        <v>13072</v>
      </c>
      <c r="J6008" s="14" t="str">
        <f>HYPERLINK("https://www.boe.es/gazeta/dias/1839/05/24/pdfs/GMD-1839-1651.pdf#page=2","Abrir facsímil")</f>
        <v>Abrir facsímil</v>
      </c>
      <c r="K6008" s="12" t="s">
        <v>24</v>
      </c>
    </row>
    <row r="6009" spans="1:11" ht="40.049999999999997" customHeight="1" x14ac:dyDescent="0.25">
      <c r="A6009" s="11" t="s">
        <v>13073</v>
      </c>
      <c r="B6009" s="11" t="s">
        <v>13073</v>
      </c>
      <c r="C6009" s="11" t="s">
        <v>137</v>
      </c>
      <c r="D6009" s="11" t="s">
        <v>18</v>
      </c>
      <c r="E6009" s="12" t="s">
        <v>202</v>
      </c>
      <c r="F6009" s="12" t="s">
        <v>203</v>
      </c>
      <c r="G6009" s="12" t="s">
        <v>40</v>
      </c>
      <c r="H6009" s="11" t="s">
        <v>22</v>
      </c>
      <c r="I6009" s="13" t="s">
        <v>13074</v>
      </c>
      <c r="J6009" s="14" t="str">
        <f>HYPERLINK("https://www.boe.es/gazeta/dias/1839/04/05/pdfs/GMD-1839-1602.pdf#page=2","Abrir facsímil")</f>
        <v>Abrir facsímil</v>
      </c>
      <c r="K6009" s="12" t="s">
        <v>24</v>
      </c>
    </row>
    <row r="6010" spans="1:11" ht="40.049999999999997" customHeight="1" x14ac:dyDescent="0.25">
      <c r="A6010" s="11" t="s">
        <v>13073</v>
      </c>
      <c r="B6010" s="11" t="s">
        <v>13073</v>
      </c>
      <c r="C6010" s="11" t="s">
        <v>17</v>
      </c>
      <c r="D6010" s="11" t="s">
        <v>18</v>
      </c>
      <c r="E6010" s="12" t="s">
        <v>125</v>
      </c>
      <c r="F6010" s="12" t="s">
        <v>126</v>
      </c>
      <c r="G6010" s="12" t="s">
        <v>29</v>
      </c>
      <c r="H6010" s="11" t="s">
        <v>22</v>
      </c>
      <c r="I6010" s="13" t="s">
        <v>13075</v>
      </c>
      <c r="J6010" s="14" t="str">
        <f>HYPERLINK("https://www.boe.es/gazeta/dias/1839/05/23/pdfs/GMD-1839-1650.pdf#page=1","Abrir facsímil")</f>
        <v>Abrir facsímil</v>
      </c>
      <c r="K6010" s="12" t="s">
        <v>24</v>
      </c>
    </row>
    <row r="6011" spans="1:11" ht="40.049999999999997" customHeight="1" x14ac:dyDescent="0.25">
      <c r="A6011" s="11" t="s">
        <v>13076</v>
      </c>
      <c r="B6011" s="11" t="s">
        <v>13076</v>
      </c>
      <c r="C6011" s="11" t="s">
        <v>101</v>
      </c>
      <c r="D6011" s="11" t="s">
        <v>43</v>
      </c>
      <c r="E6011" s="12" t="s">
        <v>4189</v>
      </c>
      <c r="F6011" s="12" t="s">
        <v>4190</v>
      </c>
      <c r="G6011" s="12" t="s">
        <v>40</v>
      </c>
      <c r="H6011" s="11" t="s">
        <v>22</v>
      </c>
      <c r="I6011" s="13" t="s">
        <v>13077</v>
      </c>
      <c r="J6011" s="14" t="str">
        <f>HYPERLINK("https://www.boe.es/gazeta/dias/1839/02/13/pdfs/GMD-1839-1551.pdf#page=2","Abrir facsímil")</f>
        <v>Abrir facsímil</v>
      </c>
      <c r="K6011" s="12" t="s">
        <v>24</v>
      </c>
    </row>
    <row r="6012" spans="1:11" ht="40.049999999999997" customHeight="1" x14ac:dyDescent="0.25">
      <c r="A6012" s="11" t="s">
        <v>13078</v>
      </c>
      <c r="B6012" s="11" t="s">
        <v>13078</v>
      </c>
      <c r="C6012" s="11" t="s">
        <v>17</v>
      </c>
      <c r="D6012" s="11" t="s">
        <v>18</v>
      </c>
      <c r="E6012" s="12" t="s">
        <v>751</v>
      </c>
      <c r="F6012" s="12" t="s">
        <v>752</v>
      </c>
      <c r="G6012" s="12" t="s">
        <v>21</v>
      </c>
      <c r="H6012" s="11" t="s">
        <v>22</v>
      </c>
      <c r="I6012" s="13" t="s">
        <v>13079</v>
      </c>
      <c r="J6012" s="14" t="str">
        <f>HYPERLINK("https://www.boe.es/gazeta/dias/1839/02/05/pdfs/GMD-1839-1543.pdf#page=4","Abrir facsímil")</f>
        <v>Abrir facsímil</v>
      </c>
      <c r="K6012" s="12" t="s">
        <v>24</v>
      </c>
    </row>
    <row r="6013" spans="1:11" ht="40.049999999999997" customHeight="1" x14ac:dyDescent="0.25">
      <c r="A6013" s="11" t="s">
        <v>13080</v>
      </c>
      <c r="B6013" s="11" t="s">
        <v>13080</v>
      </c>
      <c r="C6013" s="11" t="s">
        <v>17</v>
      </c>
      <c r="D6013" s="11" t="s">
        <v>18</v>
      </c>
      <c r="E6013" s="12" t="s">
        <v>2507</v>
      </c>
      <c r="F6013" s="12" t="s">
        <v>2508</v>
      </c>
      <c r="G6013" s="12" t="s">
        <v>21</v>
      </c>
      <c r="H6013" s="11" t="s">
        <v>22</v>
      </c>
      <c r="I6013" s="13" t="s">
        <v>13081</v>
      </c>
      <c r="J6013" s="14" t="str">
        <f>HYPERLINK("https://www.boe.es/gazeta/dias/1839/03/08/pdfs/GMD-1839-1574.pdf#page=4","Abrir facsímil")</f>
        <v>Abrir facsímil</v>
      </c>
      <c r="K6013" s="12" t="s">
        <v>24</v>
      </c>
    </row>
    <row r="6014" spans="1:11" ht="40.049999999999997" customHeight="1" x14ac:dyDescent="0.25">
      <c r="A6014" s="11" t="s">
        <v>13082</v>
      </c>
      <c r="B6014" s="11" t="s">
        <v>13082</v>
      </c>
      <c r="C6014" s="11" t="s">
        <v>80</v>
      </c>
      <c r="D6014" s="11" t="s">
        <v>18</v>
      </c>
      <c r="E6014" s="12" t="s">
        <v>1301</v>
      </c>
      <c r="F6014" s="12" t="s">
        <v>1302</v>
      </c>
      <c r="G6014" s="12" t="s">
        <v>21</v>
      </c>
      <c r="H6014" s="11" t="s">
        <v>22</v>
      </c>
      <c r="I6014" s="13" t="s">
        <v>13083</v>
      </c>
      <c r="J6014" s="14" t="str">
        <f>HYPERLINK("https://www.boe.es/gazeta/dias/1839/11/16/pdfs/GMD-1839-1833.pdf#page=4","Abrir facsímil")</f>
        <v>Abrir facsímil</v>
      </c>
      <c r="K6014" s="12" t="s">
        <v>24</v>
      </c>
    </row>
    <row r="6015" spans="1:11" ht="40.049999999999997" customHeight="1" x14ac:dyDescent="0.25">
      <c r="A6015" s="11" t="s">
        <v>13084</v>
      </c>
      <c r="B6015" s="11" t="s">
        <v>13085</v>
      </c>
      <c r="C6015" s="11" t="s">
        <v>17</v>
      </c>
      <c r="D6015" s="11" t="s">
        <v>18</v>
      </c>
      <c r="E6015" s="12" t="s">
        <v>89</v>
      </c>
      <c r="F6015" s="12" t="s">
        <v>90</v>
      </c>
      <c r="G6015" s="12" t="s">
        <v>29</v>
      </c>
      <c r="H6015" s="11" t="s">
        <v>63</v>
      </c>
      <c r="I6015" s="13" t="s">
        <v>13086</v>
      </c>
      <c r="J6015" s="14" t="str">
        <f>HYPERLINK("https://www.boe.es/gazeta/dias/1839/11/28/pdfs/GMD-1839-1845.pdf#page=1","Abrir facsímil")</f>
        <v>Abrir facsímil</v>
      </c>
      <c r="K6015" s="12" t="s">
        <v>65</v>
      </c>
    </row>
    <row r="6016" spans="1:11" ht="40.049999999999997" customHeight="1" x14ac:dyDescent="0.25">
      <c r="A6016" s="11" t="s">
        <v>13087</v>
      </c>
      <c r="B6016" s="11" t="s">
        <v>13087</v>
      </c>
      <c r="C6016" s="11" t="s">
        <v>137</v>
      </c>
      <c r="D6016" s="11" t="s">
        <v>18</v>
      </c>
      <c r="E6016" s="12" t="s">
        <v>369</v>
      </c>
      <c r="F6016" s="12" t="s">
        <v>370</v>
      </c>
      <c r="G6016" s="12" t="s">
        <v>40</v>
      </c>
      <c r="H6016" s="11" t="s">
        <v>22</v>
      </c>
      <c r="I6016" s="13" t="s">
        <v>13088</v>
      </c>
      <c r="J6016" s="14" t="str">
        <f>HYPERLINK("https://www.boe.es/gazeta/dias/1839/11/01/pdfs/GMD-1839-1818.pdf#page=2","Abrir facsímil")</f>
        <v>Abrir facsímil</v>
      </c>
      <c r="K6016" s="12" t="s">
        <v>24</v>
      </c>
    </row>
    <row r="6017" spans="1:11" ht="40.049999999999997" customHeight="1" x14ac:dyDescent="0.25">
      <c r="A6017" s="11" t="s">
        <v>13089</v>
      </c>
      <c r="B6017" s="11" t="s">
        <v>13089</v>
      </c>
      <c r="C6017" s="11" t="s">
        <v>17</v>
      </c>
      <c r="D6017" s="11" t="s">
        <v>18</v>
      </c>
      <c r="E6017" s="12" t="s">
        <v>369</v>
      </c>
      <c r="F6017" s="12" t="s">
        <v>370</v>
      </c>
      <c r="G6017" s="12" t="s">
        <v>40</v>
      </c>
      <c r="H6017" s="11" t="s">
        <v>22</v>
      </c>
      <c r="I6017" s="13" t="s">
        <v>13090</v>
      </c>
      <c r="J6017" s="14" t="str">
        <f>HYPERLINK("https://www.boe.es/gazeta/dias/1839/11/01/pdfs/GMD-1839-1818.pdf#page=2","Abrir facsímil")</f>
        <v>Abrir facsímil</v>
      </c>
      <c r="K6017" s="12" t="s">
        <v>24</v>
      </c>
    </row>
    <row r="6018" spans="1:11" ht="40.049999999999997" customHeight="1" x14ac:dyDescent="0.25">
      <c r="A6018" s="11" t="s">
        <v>13091</v>
      </c>
      <c r="B6018" s="11" t="s">
        <v>13091</v>
      </c>
      <c r="C6018" s="11" t="s">
        <v>101</v>
      </c>
      <c r="D6018" s="11" t="s">
        <v>43</v>
      </c>
      <c r="E6018" s="12" t="s">
        <v>197</v>
      </c>
      <c r="F6018" s="12" t="s">
        <v>198</v>
      </c>
      <c r="G6018" s="12" t="s">
        <v>40</v>
      </c>
      <c r="H6018" s="11" t="s">
        <v>63</v>
      </c>
      <c r="I6018" s="13" t="s">
        <v>13092</v>
      </c>
      <c r="J6018" s="14" t="str">
        <f>HYPERLINK("https://www.boe.es/gazeta/dias/1839/10/04/pdfs/GMD-1839-1790.pdf#page=2","Abrir facsímil")</f>
        <v>Abrir facsímil</v>
      </c>
      <c r="K6018" s="12" t="s">
        <v>65</v>
      </c>
    </row>
    <row r="6019" spans="1:11" ht="40.049999999999997" customHeight="1" x14ac:dyDescent="0.25">
      <c r="A6019" s="11" t="s">
        <v>13091</v>
      </c>
      <c r="B6019" s="11" t="s">
        <v>13091</v>
      </c>
      <c r="C6019" s="11" t="s">
        <v>17</v>
      </c>
      <c r="D6019" s="11" t="s">
        <v>18</v>
      </c>
      <c r="E6019" s="12" t="s">
        <v>197</v>
      </c>
      <c r="F6019" s="12" t="s">
        <v>198</v>
      </c>
      <c r="G6019" s="12" t="s">
        <v>46</v>
      </c>
      <c r="H6019" s="11" t="s">
        <v>63</v>
      </c>
      <c r="I6019" s="13" t="s">
        <v>13093</v>
      </c>
      <c r="J6019" s="14" t="str">
        <f>HYPERLINK("https://www.boe.es/gazeta/dias/1839/10/04/pdfs/GMD-1839-1790.pdf#page=3","Abrir facsímil")</f>
        <v>Abrir facsímil</v>
      </c>
      <c r="K6019" s="12" t="s">
        <v>65</v>
      </c>
    </row>
    <row r="6020" spans="1:11" ht="40.049999999999997" customHeight="1" x14ac:dyDescent="0.25">
      <c r="A6020" s="11" t="s">
        <v>13091</v>
      </c>
      <c r="B6020" s="11" t="s">
        <v>13091</v>
      </c>
      <c r="C6020" s="11" t="s">
        <v>101</v>
      </c>
      <c r="D6020" s="11" t="s">
        <v>43</v>
      </c>
      <c r="E6020" s="12" t="s">
        <v>1509</v>
      </c>
      <c r="F6020" s="12" t="s">
        <v>1510</v>
      </c>
      <c r="G6020" s="12" t="s">
        <v>46</v>
      </c>
      <c r="H6020" s="11" t="s">
        <v>63</v>
      </c>
      <c r="I6020" s="13" t="s">
        <v>13094</v>
      </c>
      <c r="J6020" s="14" t="str">
        <f>HYPERLINK("https://www.boe.es/gazeta/dias/1839/10/07/pdfs/GMD-1839-1793.pdf#page=3","Abrir facsímil")</f>
        <v>Abrir facsímil</v>
      </c>
      <c r="K6020" s="12" t="s">
        <v>65</v>
      </c>
    </row>
    <row r="6021" spans="1:11" ht="40.049999999999997" customHeight="1" x14ac:dyDescent="0.25">
      <c r="A6021" s="11" t="s">
        <v>13089</v>
      </c>
      <c r="B6021" s="11" t="s">
        <v>13089</v>
      </c>
      <c r="C6021" s="11" t="s">
        <v>17</v>
      </c>
      <c r="D6021" s="11" t="s">
        <v>18</v>
      </c>
      <c r="E6021" s="12" t="s">
        <v>1509</v>
      </c>
      <c r="F6021" s="12" t="s">
        <v>1510</v>
      </c>
      <c r="G6021" s="12" t="s">
        <v>21</v>
      </c>
      <c r="H6021" s="11" t="s">
        <v>22</v>
      </c>
      <c r="I6021" s="13" t="s">
        <v>13095</v>
      </c>
      <c r="J6021" s="14" t="str">
        <f>HYPERLINK("https://www.boe.es/gazeta/dias/1839/10/07/pdfs/GMD-1839-1793.pdf#page=4","Abrir facsímil")</f>
        <v>Abrir facsímil</v>
      </c>
      <c r="K6021" s="12" t="s">
        <v>24</v>
      </c>
    </row>
    <row r="6022" spans="1:11" ht="40.049999999999997" customHeight="1" x14ac:dyDescent="0.25">
      <c r="A6022" s="11" t="s">
        <v>13091</v>
      </c>
      <c r="B6022" s="11" t="s">
        <v>13091</v>
      </c>
      <c r="C6022" s="11" t="s">
        <v>137</v>
      </c>
      <c r="D6022" s="11" t="s">
        <v>18</v>
      </c>
      <c r="E6022" s="12" t="s">
        <v>1807</v>
      </c>
      <c r="F6022" s="12" t="s">
        <v>1808</v>
      </c>
      <c r="G6022" s="12" t="s">
        <v>40</v>
      </c>
      <c r="H6022" s="11" t="s">
        <v>63</v>
      </c>
      <c r="I6022" s="13" t="s">
        <v>13096</v>
      </c>
      <c r="J6022" s="14" t="str">
        <f>HYPERLINK("https://www.boe.es/gazeta/dias/1839/01/29/pdfs/GMD-1839-1536.pdf#page=2","Abrir facsímil")</f>
        <v>Abrir facsímil</v>
      </c>
      <c r="K6022" s="12" t="s">
        <v>65</v>
      </c>
    </row>
    <row r="6023" spans="1:11" ht="40.049999999999997" customHeight="1" x14ac:dyDescent="0.25">
      <c r="A6023" s="11" t="s">
        <v>13091</v>
      </c>
      <c r="B6023" s="11" t="s">
        <v>13091</v>
      </c>
      <c r="C6023" s="11" t="s">
        <v>101</v>
      </c>
      <c r="D6023" s="11" t="s">
        <v>43</v>
      </c>
      <c r="E6023" s="12" t="s">
        <v>1867</v>
      </c>
      <c r="F6023" s="12" t="s">
        <v>1868</v>
      </c>
      <c r="G6023" s="12" t="s">
        <v>40</v>
      </c>
      <c r="H6023" s="11" t="s">
        <v>63</v>
      </c>
      <c r="I6023" s="13" t="s">
        <v>13097</v>
      </c>
      <c r="J6023" s="14" t="str">
        <f>HYPERLINK("https://www.boe.es/gazeta/dias/1839/01/30/pdfs/GMD-1839-1537.pdf#page=2","Abrir facsímil")</f>
        <v>Abrir facsímil</v>
      </c>
      <c r="K6023" s="12" t="s">
        <v>65</v>
      </c>
    </row>
    <row r="6024" spans="1:11" ht="40.049999999999997" customHeight="1" x14ac:dyDescent="0.25">
      <c r="A6024" s="11" t="s">
        <v>13098</v>
      </c>
      <c r="B6024" s="11" t="s">
        <v>13099</v>
      </c>
      <c r="C6024" s="11" t="s">
        <v>17</v>
      </c>
      <c r="D6024" s="11" t="s">
        <v>18</v>
      </c>
      <c r="E6024" s="12" t="s">
        <v>258</v>
      </c>
      <c r="F6024" s="12" t="s">
        <v>259</v>
      </c>
      <c r="G6024" s="12" t="s">
        <v>46</v>
      </c>
      <c r="H6024" s="11" t="s">
        <v>22</v>
      </c>
      <c r="I6024" s="13" t="s">
        <v>13100</v>
      </c>
      <c r="J6024" s="14" t="str">
        <f>HYPERLINK("https://www.boe.es/gazeta/dias/1839/01/02/pdfs/GMD-1839-1509.pdf#page=3","Abrir facsímil")</f>
        <v>Abrir facsímil</v>
      </c>
      <c r="K6024" s="12" t="s">
        <v>24</v>
      </c>
    </row>
    <row r="6025" spans="1:11" ht="40.049999999999997" customHeight="1" x14ac:dyDescent="0.25">
      <c r="A6025" s="11" t="s">
        <v>13101</v>
      </c>
      <c r="B6025" s="11" t="s">
        <v>13101</v>
      </c>
      <c r="C6025" s="11" t="s">
        <v>17</v>
      </c>
      <c r="D6025" s="11" t="s">
        <v>18</v>
      </c>
      <c r="E6025" s="12" t="s">
        <v>262</v>
      </c>
      <c r="F6025" s="12" t="s">
        <v>263</v>
      </c>
      <c r="G6025" s="12" t="s">
        <v>21</v>
      </c>
      <c r="H6025" s="11" t="s">
        <v>22</v>
      </c>
      <c r="I6025" s="13" t="s">
        <v>13102</v>
      </c>
      <c r="J6025" s="14" t="str">
        <f>HYPERLINK("https://www.boe.es/gazeta/dias/1839/01/01/pdfs/GMD-1839-1508.pdf#page=4","Abrir facsímil")</f>
        <v>Abrir facsímil</v>
      </c>
      <c r="K6025" s="12" t="s">
        <v>24</v>
      </c>
    </row>
    <row r="6026" spans="1:11" ht="40.049999999999997" customHeight="1" x14ac:dyDescent="0.25">
      <c r="A6026" s="11" t="s">
        <v>13103</v>
      </c>
      <c r="B6026" s="11" t="s">
        <v>13103</v>
      </c>
      <c r="C6026" s="11" t="s">
        <v>137</v>
      </c>
      <c r="D6026" s="11" t="s">
        <v>18</v>
      </c>
      <c r="E6026" s="12" t="s">
        <v>157</v>
      </c>
      <c r="F6026" s="12" t="s">
        <v>158</v>
      </c>
      <c r="G6026" s="12" t="s">
        <v>40</v>
      </c>
      <c r="H6026" s="11" t="s">
        <v>22</v>
      </c>
      <c r="I6026" s="13" t="s">
        <v>13104</v>
      </c>
      <c r="J6026" s="14" t="str">
        <f>HYPERLINK("https://www.boe.es/gazeta/dias/1839/02/08/pdfs/GMD-1839-1546.pdf#page=2","Abrir facsímil")</f>
        <v>Abrir facsímil</v>
      </c>
      <c r="K6026" s="12" t="s">
        <v>24</v>
      </c>
    </row>
    <row r="6027" spans="1:11" ht="40.049999999999997" customHeight="1" x14ac:dyDescent="0.25">
      <c r="A6027" s="11" t="s">
        <v>13103</v>
      </c>
      <c r="B6027" s="11" t="s">
        <v>13103</v>
      </c>
      <c r="C6027" s="11" t="s">
        <v>17</v>
      </c>
      <c r="D6027" s="11" t="s">
        <v>18</v>
      </c>
      <c r="E6027" s="12" t="s">
        <v>163</v>
      </c>
      <c r="F6027" s="12" t="s">
        <v>164</v>
      </c>
      <c r="G6027" s="12" t="s">
        <v>29</v>
      </c>
      <c r="H6027" s="11" t="s">
        <v>22</v>
      </c>
      <c r="I6027" s="13" t="s">
        <v>13105</v>
      </c>
      <c r="J6027" s="14" t="str">
        <f>HYPERLINK("https://www.boe.es/gazeta/dias/1839/01/13/pdfs/GMD-1839-1520.pdf#page=1","Abrir facsímil")</f>
        <v>Abrir facsímil</v>
      </c>
      <c r="K6027" s="12" t="s">
        <v>24</v>
      </c>
    </row>
    <row r="6028" spans="1:11" ht="40.049999999999997" customHeight="1" x14ac:dyDescent="0.25">
      <c r="A6028" s="11" t="s">
        <v>13106</v>
      </c>
      <c r="B6028" s="11" t="s">
        <v>13106</v>
      </c>
      <c r="C6028" s="11" t="s">
        <v>137</v>
      </c>
      <c r="D6028" s="11" t="s">
        <v>18</v>
      </c>
      <c r="E6028" s="12" t="s">
        <v>596</v>
      </c>
      <c r="F6028" s="12" t="s">
        <v>597</v>
      </c>
      <c r="G6028" s="12" t="s">
        <v>46</v>
      </c>
      <c r="H6028" s="11" t="s">
        <v>63</v>
      </c>
      <c r="I6028" s="13" t="s">
        <v>13107</v>
      </c>
      <c r="J6028" s="14" t="str">
        <f>HYPERLINK("https://www.boe.es/gazeta/dias/1839/01/23/pdfs/GMD-1839-1530.pdf#page=3","Abrir facsímil")</f>
        <v>Abrir facsímil</v>
      </c>
      <c r="K6028" s="12" t="s">
        <v>65</v>
      </c>
    </row>
    <row r="6029" spans="1:11" ht="40.049999999999997" customHeight="1" x14ac:dyDescent="0.25">
      <c r="A6029" s="11" t="s">
        <v>13103</v>
      </c>
      <c r="B6029" s="11" t="s">
        <v>13103</v>
      </c>
      <c r="C6029" s="11" t="s">
        <v>17</v>
      </c>
      <c r="D6029" s="11" t="s">
        <v>18</v>
      </c>
      <c r="E6029" s="12" t="s">
        <v>926</v>
      </c>
      <c r="F6029" s="12" t="s">
        <v>927</v>
      </c>
      <c r="G6029" s="12" t="s">
        <v>29</v>
      </c>
      <c r="H6029" s="11" t="s">
        <v>22</v>
      </c>
      <c r="I6029" s="13" t="s">
        <v>13108</v>
      </c>
      <c r="J6029" s="14" t="str">
        <f>HYPERLINK("https://www.boe.es/gazeta/dias/1839/01/25/pdfs/GMD-1839-1532.pdf#page=1","Abrir facsímil")</f>
        <v>Abrir facsímil</v>
      </c>
      <c r="K6029" s="12" t="s">
        <v>24</v>
      </c>
    </row>
    <row r="6030" spans="1:11" ht="40.049999999999997" customHeight="1" x14ac:dyDescent="0.25">
      <c r="A6030" s="11" t="s">
        <v>13103</v>
      </c>
      <c r="B6030" s="11" t="s">
        <v>13103</v>
      </c>
      <c r="C6030" s="11" t="s">
        <v>17</v>
      </c>
      <c r="D6030" s="11" t="s">
        <v>18</v>
      </c>
      <c r="E6030" s="12" t="s">
        <v>926</v>
      </c>
      <c r="F6030" s="12" t="s">
        <v>927</v>
      </c>
      <c r="G6030" s="12" t="s">
        <v>40</v>
      </c>
      <c r="H6030" s="11" t="s">
        <v>22</v>
      </c>
      <c r="I6030" s="13" t="s">
        <v>13109</v>
      </c>
      <c r="J6030" s="14" t="str">
        <f>HYPERLINK("https://www.boe.es/gazeta/dias/1839/01/25/pdfs/GMD-1839-1532.pdf#page=2","Abrir facsímil")</f>
        <v>Abrir facsímil</v>
      </c>
      <c r="K6030" s="12" t="s">
        <v>24</v>
      </c>
    </row>
    <row r="6031" spans="1:11" ht="40.049999999999997" customHeight="1" x14ac:dyDescent="0.25">
      <c r="A6031" s="11" t="s">
        <v>13103</v>
      </c>
      <c r="B6031" s="11" t="s">
        <v>13103</v>
      </c>
      <c r="C6031" s="11" t="s">
        <v>17</v>
      </c>
      <c r="D6031" s="11" t="s">
        <v>18</v>
      </c>
      <c r="E6031" s="12" t="s">
        <v>284</v>
      </c>
      <c r="F6031" s="12" t="s">
        <v>285</v>
      </c>
      <c r="G6031" s="12" t="s">
        <v>40</v>
      </c>
      <c r="H6031" s="11" t="s">
        <v>22</v>
      </c>
      <c r="I6031" s="13" t="s">
        <v>13110</v>
      </c>
      <c r="J6031" s="14" t="str">
        <f>HYPERLINK("https://www.boe.es/gazeta/dias/1839/01/27/pdfs/GMD-1839-1534.pdf#page=2","Abrir facsímil")</f>
        <v>Abrir facsímil</v>
      </c>
      <c r="K6031" s="12" t="s">
        <v>24</v>
      </c>
    </row>
    <row r="6032" spans="1:11" ht="40.049999999999997" customHeight="1" x14ac:dyDescent="0.25">
      <c r="A6032" s="11" t="s">
        <v>13111</v>
      </c>
      <c r="B6032" s="11" t="s">
        <v>13111</v>
      </c>
      <c r="C6032" s="11" t="s">
        <v>17</v>
      </c>
      <c r="D6032" s="11" t="s">
        <v>18</v>
      </c>
      <c r="E6032" s="12" t="s">
        <v>5138</v>
      </c>
      <c r="F6032" s="12" t="s">
        <v>5139</v>
      </c>
      <c r="G6032" s="12" t="s">
        <v>29</v>
      </c>
      <c r="H6032" s="11" t="s">
        <v>63</v>
      </c>
      <c r="I6032" s="13" t="s">
        <v>13112</v>
      </c>
      <c r="J6032" s="14" t="str">
        <f>HYPERLINK("https://www.boe.es/gazeta/dias/1839/08/15/pdfs/GMD-1839-1735.pdf#page=1","Abrir facsímil")</f>
        <v>Abrir facsímil</v>
      </c>
      <c r="K6032" s="12" t="s">
        <v>65</v>
      </c>
    </row>
    <row r="6033" spans="1:11" ht="40.049999999999997" customHeight="1" x14ac:dyDescent="0.25">
      <c r="A6033" s="11" t="s">
        <v>13113</v>
      </c>
      <c r="B6033" s="11" t="s">
        <v>13113</v>
      </c>
      <c r="C6033" s="11" t="s">
        <v>17</v>
      </c>
      <c r="D6033" s="11" t="s">
        <v>18</v>
      </c>
      <c r="E6033" s="12" t="s">
        <v>365</v>
      </c>
      <c r="F6033" s="12" t="s">
        <v>366</v>
      </c>
      <c r="G6033" s="12" t="s">
        <v>29</v>
      </c>
      <c r="H6033" s="11" t="s">
        <v>63</v>
      </c>
      <c r="I6033" s="13" t="s">
        <v>13114</v>
      </c>
      <c r="J6033" s="14" t="str">
        <f>HYPERLINK("https://www.boe.es/gazeta/dias/1839/08/14/pdfs/GMD-1839-1734.pdf#page=1","Abrir facsímil")</f>
        <v>Abrir facsímil</v>
      </c>
      <c r="K6033" s="12" t="s">
        <v>65</v>
      </c>
    </row>
    <row r="6034" spans="1:11" ht="40.049999999999997" customHeight="1" x14ac:dyDescent="0.25">
      <c r="A6034" s="11" t="s">
        <v>13113</v>
      </c>
      <c r="B6034" s="11" t="s">
        <v>13113</v>
      </c>
      <c r="C6034" s="11" t="s">
        <v>17</v>
      </c>
      <c r="D6034" s="11" t="s">
        <v>18</v>
      </c>
      <c r="E6034" s="12" t="s">
        <v>295</v>
      </c>
      <c r="F6034" s="12" t="s">
        <v>296</v>
      </c>
      <c r="G6034" s="12" t="s">
        <v>40</v>
      </c>
      <c r="H6034" s="11" t="s">
        <v>63</v>
      </c>
      <c r="I6034" s="13" t="s">
        <v>13115</v>
      </c>
      <c r="J6034" s="14" t="str">
        <f>HYPERLINK("https://www.boe.es/gazeta/dias/1839/08/19/pdfs/GMD-1839-1740.pdf#page=2","Abrir facsímil")</f>
        <v>Abrir facsímil</v>
      </c>
      <c r="K6034" s="12" t="s">
        <v>65</v>
      </c>
    </row>
    <row r="6035" spans="1:11" ht="40.049999999999997" customHeight="1" x14ac:dyDescent="0.25">
      <c r="A6035" s="11" t="s">
        <v>13116</v>
      </c>
      <c r="B6035" s="11" t="s">
        <v>13116</v>
      </c>
      <c r="C6035" s="11" t="s">
        <v>17</v>
      </c>
      <c r="D6035" s="11" t="s">
        <v>18</v>
      </c>
      <c r="E6035" s="12" t="s">
        <v>349</v>
      </c>
      <c r="F6035" s="12" t="s">
        <v>350</v>
      </c>
      <c r="G6035" s="12" t="s">
        <v>21</v>
      </c>
      <c r="H6035" s="11" t="s">
        <v>22</v>
      </c>
      <c r="I6035" s="13" t="s">
        <v>13117</v>
      </c>
      <c r="J6035" s="14" t="str">
        <f>HYPERLINK("https://www.boe.es/gazeta/dias/1839/12/25/pdfs/GMD-1839-1872.pdf#page=4","Abrir facsímil")</f>
        <v>Abrir facsímil</v>
      </c>
      <c r="K6035" s="12" t="s">
        <v>24</v>
      </c>
    </row>
    <row r="6036" spans="1:11" ht="40.049999999999997" customHeight="1" x14ac:dyDescent="0.25">
      <c r="A6036" s="11" t="s">
        <v>13116</v>
      </c>
      <c r="B6036" s="11" t="s">
        <v>13116</v>
      </c>
      <c r="C6036" s="11" t="s">
        <v>80</v>
      </c>
      <c r="D6036" s="11" t="s">
        <v>18</v>
      </c>
      <c r="E6036" s="12" t="s">
        <v>1682</v>
      </c>
      <c r="F6036" s="12" t="s">
        <v>1683</v>
      </c>
      <c r="G6036" s="12" t="s">
        <v>21</v>
      </c>
      <c r="H6036" s="11" t="s">
        <v>22</v>
      </c>
      <c r="I6036" s="13" t="s">
        <v>13118</v>
      </c>
      <c r="J6036" s="14" t="str">
        <f>HYPERLINK("https://www.boe.es/gazeta/dias/1839/12/26/pdfs/GMD-1839-1873.pdf#page=4","Abrir facsímil")</f>
        <v>Abrir facsímil</v>
      </c>
      <c r="K6036" s="12" t="s">
        <v>24</v>
      </c>
    </row>
    <row r="6037" spans="1:11" ht="40.049999999999997" customHeight="1" x14ac:dyDescent="0.25">
      <c r="A6037" s="11" t="s">
        <v>13116</v>
      </c>
      <c r="B6037" s="11" t="s">
        <v>13116</v>
      </c>
      <c r="C6037" s="11" t="s">
        <v>17</v>
      </c>
      <c r="D6037" s="11" t="s">
        <v>18</v>
      </c>
      <c r="E6037" s="12" t="s">
        <v>1520</v>
      </c>
      <c r="F6037" s="12" t="s">
        <v>1521</v>
      </c>
      <c r="G6037" s="12" t="s">
        <v>21</v>
      </c>
      <c r="H6037" s="11" t="s">
        <v>22</v>
      </c>
      <c r="I6037" s="13" t="s">
        <v>13119</v>
      </c>
      <c r="J6037" s="14" t="str">
        <f>HYPERLINK("https://www.boe.es/gazeta/dias/1839/12/27/pdfs/GMD-1839-1874.pdf#page=4","Abrir facsímil")</f>
        <v>Abrir facsímil</v>
      </c>
      <c r="K6037" s="12" t="s">
        <v>24</v>
      </c>
    </row>
    <row r="6038" spans="1:11" ht="40.049999999999997" customHeight="1" x14ac:dyDescent="0.25">
      <c r="A6038" s="11" t="s">
        <v>13116</v>
      </c>
      <c r="B6038" s="11" t="s">
        <v>13116</v>
      </c>
      <c r="C6038" s="11" t="s">
        <v>80</v>
      </c>
      <c r="D6038" s="11" t="s">
        <v>18</v>
      </c>
      <c r="E6038" s="12" t="s">
        <v>951</v>
      </c>
      <c r="F6038" s="12" t="s">
        <v>952</v>
      </c>
      <c r="G6038" s="12" t="s">
        <v>21</v>
      </c>
      <c r="H6038" s="11" t="s">
        <v>22</v>
      </c>
      <c r="I6038" s="13" t="s">
        <v>13120</v>
      </c>
      <c r="J6038" s="14" t="str">
        <f>HYPERLINK("https://www.boe.es/gazeta/dias/1839/12/30/pdfs/GMD-1839-1877.pdf#page=4","Abrir facsímil")</f>
        <v>Abrir facsímil</v>
      </c>
      <c r="K6038" s="12" t="s">
        <v>24</v>
      </c>
    </row>
    <row r="6039" spans="1:11" ht="40.049999999999997" customHeight="1" x14ac:dyDescent="0.25">
      <c r="A6039" s="11" t="s">
        <v>13116</v>
      </c>
      <c r="B6039" s="11" t="s">
        <v>13116</v>
      </c>
      <c r="C6039" s="11" t="s">
        <v>17</v>
      </c>
      <c r="D6039" s="11" t="s">
        <v>18</v>
      </c>
      <c r="E6039" s="12" t="s">
        <v>3391</v>
      </c>
      <c r="F6039" s="12" t="s">
        <v>3392</v>
      </c>
      <c r="G6039" s="12" t="s">
        <v>21</v>
      </c>
      <c r="H6039" s="11" t="s">
        <v>22</v>
      </c>
      <c r="I6039" s="13" t="s">
        <v>13121</v>
      </c>
      <c r="J6039" s="14" t="str">
        <f>HYPERLINK("https://www.boe.es/gazeta/dias/1839/12/31/pdfs/GMD-1839-1878.pdf#page=4","Abrir facsímil")</f>
        <v>Abrir facsímil</v>
      </c>
      <c r="K6039" s="12" t="s">
        <v>24</v>
      </c>
    </row>
    <row r="6040" spans="1:11" ht="40.049999999999997" customHeight="1" x14ac:dyDescent="0.25">
      <c r="A6040" s="11" t="s">
        <v>13122</v>
      </c>
      <c r="B6040" s="11" t="s">
        <v>13122</v>
      </c>
      <c r="C6040" s="11" t="s">
        <v>17</v>
      </c>
      <c r="D6040" s="11" t="s">
        <v>18</v>
      </c>
      <c r="E6040" s="12" t="s">
        <v>81</v>
      </c>
      <c r="F6040" s="12" t="s">
        <v>82</v>
      </c>
      <c r="G6040" s="12" t="s">
        <v>29</v>
      </c>
      <c r="H6040" s="11" t="s">
        <v>22</v>
      </c>
      <c r="I6040" s="13" t="s">
        <v>13123</v>
      </c>
      <c r="J6040" s="14" t="str">
        <f>HYPERLINK("https://www.boe.es/gazeta/dias/1839/03/03/pdfs/GMD-1839-1569.pdf#page=1","Abrir facsímil")</f>
        <v>Abrir facsímil</v>
      </c>
      <c r="K6040" s="12" t="s">
        <v>24</v>
      </c>
    </row>
    <row r="6041" spans="1:11" ht="40.049999999999997" customHeight="1" x14ac:dyDescent="0.25">
      <c r="A6041" s="11" t="s">
        <v>13124</v>
      </c>
      <c r="B6041" s="11" t="s">
        <v>13125</v>
      </c>
      <c r="C6041" s="11" t="s">
        <v>17</v>
      </c>
      <c r="D6041" s="11" t="s">
        <v>18</v>
      </c>
      <c r="E6041" s="12" t="s">
        <v>474</v>
      </c>
      <c r="F6041" s="12" t="s">
        <v>475</v>
      </c>
      <c r="G6041" s="12" t="s">
        <v>21</v>
      </c>
      <c r="H6041" s="11" t="s">
        <v>63</v>
      </c>
      <c r="I6041" s="13" t="s">
        <v>13126</v>
      </c>
      <c r="J6041" s="14" t="str">
        <f>HYPERLINK("https://www.boe.es/gazeta/dias/1839/03/31/pdfs/GMD-1839-1597.pdf#page=4","Abrir facsímil")</f>
        <v>Abrir facsímil</v>
      </c>
      <c r="K6041" s="12" t="s">
        <v>65</v>
      </c>
    </row>
    <row r="6042" spans="1:11" ht="40.049999999999997" customHeight="1" x14ac:dyDescent="0.25">
      <c r="A6042" s="11" t="s">
        <v>13127</v>
      </c>
      <c r="B6042" s="11" t="s">
        <v>13127</v>
      </c>
      <c r="C6042" s="11" t="s">
        <v>17</v>
      </c>
      <c r="D6042" s="11" t="s">
        <v>18</v>
      </c>
      <c r="E6042" s="12" t="s">
        <v>500</v>
      </c>
      <c r="F6042" s="12" t="s">
        <v>501</v>
      </c>
      <c r="G6042" s="12" t="s">
        <v>40</v>
      </c>
      <c r="H6042" s="11" t="s">
        <v>22</v>
      </c>
      <c r="I6042" s="13" t="s">
        <v>13128</v>
      </c>
      <c r="J6042" s="14" t="str">
        <f>HYPERLINK("https://www.boe.es/gazeta/dias/1839/11/06/pdfs/GMD-1839-1823.pdf#page=2","Abrir facsímil")</f>
        <v>Abrir facsímil</v>
      </c>
      <c r="K6042" s="12" t="s">
        <v>24</v>
      </c>
    </row>
    <row r="6043" spans="1:11" ht="40.049999999999997" customHeight="1" x14ac:dyDescent="0.25">
      <c r="A6043" s="11" t="s">
        <v>13129</v>
      </c>
      <c r="B6043" s="11" t="s">
        <v>13130</v>
      </c>
      <c r="C6043" s="11" t="s">
        <v>17</v>
      </c>
      <c r="D6043" s="11" t="s">
        <v>18</v>
      </c>
      <c r="E6043" s="12" t="s">
        <v>1395</v>
      </c>
      <c r="F6043" s="12" t="s">
        <v>1396</v>
      </c>
      <c r="G6043" s="12" t="s">
        <v>21</v>
      </c>
      <c r="H6043" s="11" t="s">
        <v>63</v>
      </c>
      <c r="I6043" s="13" t="s">
        <v>13131</v>
      </c>
      <c r="J6043" s="14" t="str">
        <f>HYPERLINK("https://www.boe.es/gazeta/dias/1839/06/26/pdfs/GMD-1839-1684.pdf#page=4","Abrir facsímil")</f>
        <v>Abrir facsímil</v>
      </c>
      <c r="K6043" s="12" t="s">
        <v>65</v>
      </c>
    </row>
    <row r="6044" spans="1:11" ht="40.049999999999997" customHeight="1" x14ac:dyDescent="0.25">
      <c r="A6044" s="11" t="s">
        <v>13132</v>
      </c>
      <c r="B6044" s="11" t="s">
        <v>13133</v>
      </c>
      <c r="C6044" s="11" t="s">
        <v>59</v>
      </c>
      <c r="D6044" s="11" t="s">
        <v>60</v>
      </c>
      <c r="E6044" s="12" t="s">
        <v>1749</v>
      </c>
      <c r="F6044" s="12" t="s">
        <v>1750</v>
      </c>
      <c r="G6044" s="12" t="s">
        <v>21</v>
      </c>
      <c r="H6044" s="11" t="s">
        <v>63</v>
      </c>
      <c r="I6044" s="13" t="s">
        <v>13134</v>
      </c>
      <c r="J6044" s="14" t="str">
        <f>HYPERLINK("https://www.boe.es/gazeta/dias/1839/06/28/pdfs/GMD-1839-1686.pdf#page=4","Abrir facsímil")</f>
        <v>Abrir facsímil</v>
      </c>
      <c r="K6044" s="12" t="s">
        <v>65</v>
      </c>
    </row>
    <row r="6045" spans="1:11" ht="40.049999999999997" customHeight="1" x14ac:dyDescent="0.25">
      <c r="A6045" s="11" t="s">
        <v>13135</v>
      </c>
      <c r="B6045" s="11" t="s">
        <v>13135</v>
      </c>
      <c r="C6045" s="11" t="s">
        <v>80</v>
      </c>
      <c r="D6045" s="11" t="s">
        <v>18</v>
      </c>
      <c r="E6045" s="12" t="s">
        <v>1460</v>
      </c>
      <c r="F6045" s="12" t="s">
        <v>1461</v>
      </c>
      <c r="G6045" s="12" t="s">
        <v>29</v>
      </c>
      <c r="H6045" s="11" t="s">
        <v>22</v>
      </c>
      <c r="I6045" s="13" t="s">
        <v>13136</v>
      </c>
      <c r="J6045" s="14" t="str">
        <f>HYPERLINK("https://www.boe.es/gazeta/dias/1839/03/01/pdfs/GMD-1839-1567.pdf#page=1","Abrir facsímil")</f>
        <v>Abrir facsímil</v>
      </c>
      <c r="K6045" s="12" t="s">
        <v>24</v>
      </c>
    </row>
    <row r="6046" spans="1:11" ht="40.049999999999997" customHeight="1" x14ac:dyDescent="0.25">
      <c r="A6046" s="11" t="s">
        <v>13135</v>
      </c>
      <c r="B6046" s="11" t="s">
        <v>13135</v>
      </c>
      <c r="C6046" s="11" t="s">
        <v>17</v>
      </c>
      <c r="D6046" s="11" t="s">
        <v>18</v>
      </c>
      <c r="E6046" s="12" t="s">
        <v>704</v>
      </c>
      <c r="F6046" s="12" t="s">
        <v>705</v>
      </c>
      <c r="G6046" s="12" t="s">
        <v>40</v>
      </c>
      <c r="H6046" s="11" t="s">
        <v>22</v>
      </c>
      <c r="I6046" s="13" t="s">
        <v>13137</v>
      </c>
      <c r="J6046" s="14" t="str">
        <f>HYPERLINK("https://www.boe.es/gazeta/dias/1839/03/02/pdfs/GMD-1839-1568.pdf#page=2","Abrir facsímil")</f>
        <v>Abrir facsímil</v>
      </c>
      <c r="K6046" s="12" t="s">
        <v>24</v>
      </c>
    </row>
    <row r="6047" spans="1:11" ht="40.049999999999997" customHeight="1" x14ac:dyDescent="0.25">
      <c r="A6047" s="11" t="s">
        <v>13135</v>
      </c>
      <c r="B6047" s="11" t="s">
        <v>13135</v>
      </c>
      <c r="C6047" s="11" t="s">
        <v>17</v>
      </c>
      <c r="D6047" s="11" t="s">
        <v>18</v>
      </c>
      <c r="E6047" s="12" t="s">
        <v>330</v>
      </c>
      <c r="F6047" s="12" t="s">
        <v>331</v>
      </c>
      <c r="G6047" s="12" t="s">
        <v>29</v>
      </c>
      <c r="H6047" s="11" t="s">
        <v>22</v>
      </c>
      <c r="I6047" s="13" t="s">
        <v>13138</v>
      </c>
      <c r="J6047" s="14" t="str">
        <f>HYPERLINK("https://www.boe.es/gazeta/dias/1839/04/11/pdfs/GMD-1839-1608.pdf#page=1","Abrir facsímil")</f>
        <v>Abrir facsímil</v>
      </c>
      <c r="K6047" s="12" t="s">
        <v>24</v>
      </c>
    </row>
    <row r="6048" spans="1:11" ht="40.049999999999997" customHeight="1" x14ac:dyDescent="0.25">
      <c r="A6048" s="11" t="s">
        <v>13135</v>
      </c>
      <c r="B6048" s="11" t="s">
        <v>13135</v>
      </c>
      <c r="C6048" s="11" t="s">
        <v>59</v>
      </c>
      <c r="D6048" s="11" t="s">
        <v>60</v>
      </c>
      <c r="E6048" s="12" t="s">
        <v>4189</v>
      </c>
      <c r="F6048" s="12" t="s">
        <v>4190</v>
      </c>
      <c r="G6048" s="12" t="s">
        <v>29</v>
      </c>
      <c r="H6048" s="11" t="s">
        <v>22</v>
      </c>
      <c r="I6048" s="13" t="s">
        <v>13139</v>
      </c>
      <c r="J6048" s="14" t="str">
        <f>HYPERLINK("https://www.boe.es/gazeta/dias/1839/02/13/pdfs/GMD-1839-1551.pdf#page=1","Abrir facsímil")</f>
        <v>Abrir facsímil</v>
      </c>
      <c r="K6048" s="12" t="s">
        <v>24</v>
      </c>
    </row>
    <row r="6049" spans="1:11" ht="40.049999999999997" customHeight="1" x14ac:dyDescent="0.25">
      <c r="A6049" s="11" t="s">
        <v>13135</v>
      </c>
      <c r="B6049" s="11" t="s">
        <v>13135</v>
      </c>
      <c r="C6049" s="11" t="s">
        <v>17</v>
      </c>
      <c r="D6049" s="11" t="s">
        <v>18</v>
      </c>
      <c r="E6049" s="12" t="s">
        <v>2320</v>
      </c>
      <c r="F6049" s="12" t="s">
        <v>2321</v>
      </c>
      <c r="G6049" s="12" t="s">
        <v>46</v>
      </c>
      <c r="H6049" s="11" t="s">
        <v>22</v>
      </c>
      <c r="I6049" s="13" t="s">
        <v>13140</v>
      </c>
      <c r="J6049" s="14" t="str">
        <f>HYPERLINK("https://www.boe.es/gazeta/dias/1839/11/13/pdfs/GMD-1839-1830.pdf#page=3","Abrir facsímil")</f>
        <v>Abrir facsímil</v>
      </c>
      <c r="K6049" s="12" t="s">
        <v>24</v>
      </c>
    </row>
    <row r="6050" spans="1:11" ht="40.049999999999997" customHeight="1" x14ac:dyDescent="0.25">
      <c r="A6050" s="11" t="s">
        <v>13135</v>
      </c>
      <c r="B6050" s="11" t="s">
        <v>13135</v>
      </c>
      <c r="C6050" s="11" t="s">
        <v>17</v>
      </c>
      <c r="D6050" s="11" t="s">
        <v>18</v>
      </c>
      <c r="E6050" s="12" t="s">
        <v>992</v>
      </c>
      <c r="F6050" s="12" t="s">
        <v>993</v>
      </c>
      <c r="G6050" s="12" t="s">
        <v>29</v>
      </c>
      <c r="H6050" s="11" t="s">
        <v>22</v>
      </c>
      <c r="I6050" s="13" t="s">
        <v>13141</v>
      </c>
      <c r="J6050" s="14" t="str">
        <f>HYPERLINK("https://www.boe.es/gazeta/dias/1839/02/18/pdfs/GMD-1839-1556.pdf#page=1","Abrir facsímil")</f>
        <v>Abrir facsímil</v>
      </c>
      <c r="K6050" s="12" t="s">
        <v>24</v>
      </c>
    </row>
    <row r="6051" spans="1:11" ht="40.049999999999997" customHeight="1" x14ac:dyDescent="0.25">
      <c r="A6051" s="11" t="s">
        <v>13135</v>
      </c>
      <c r="B6051" s="11" t="s">
        <v>13135</v>
      </c>
      <c r="C6051" s="11" t="s">
        <v>101</v>
      </c>
      <c r="D6051" s="11" t="s">
        <v>43</v>
      </c>
      <c r="E6051" s="12" t="s">
        <v>870</v>
      </c>
      <c r="F6051" s="12" t="s">
        <v>871</v>
      </c>
      <c r="G6051" s="12" t="s">
        <v>40</v>
      </c>
      <c r="H6051" s="11" t="s">
        <v>22</v>
      </c>
      <c r="I6051" s="13" t="s">
        <v>13142</v>
      </c>
      <c r="J6051" s="14" t="str">
        <f>HYPERLINK("https://www.boe.es/gazeta/dias/1839/04/18/pdfs/GMD-1839-1615.pdf#page=2","Abrir facsímil")</f>
        <v>Abrir facsímil</v>
      </c>
      <c r="K6051" s="12" t="s">
        <v>24</v>
      </c>
    </row>
    <row r="6052" spans="1:11" ht="40.049999999999997" customHeight="1" x14ac:dyDescent="0.25">
      <c r="A6052" s="11" t="s">
        <v>13135</v>
      </c>
      <c r="B6052" s="11" t="s">
        <v>13135</v>
      </c>
      <c r="C6052" s="11" t="s">
        <v>59</v>
      </c>
      <c r="D6052" s="11" t="s">
        <v>60</v>
      </c>
      <c r="E6052" s="12" t="s">
        <v>405</v>
      </c>
      <c r="F6052" s="12" t="s">
        <v>406</v>
      </c>
      <c r="G6052" s="12" t="s">
        <v>29</v>
      </c>
      <c r="H6052" s="11" t="s">
        <v>22</v>
      </c>
      <c r="I6052" s="13" t="s">
        <v>13143</v>
      </c>
      <c r="J6052" s="14" t="str">
        <f>HYPERLINK("https://www.boe.es/gazeta/dias/1839/03/25/pdfs/GMD-1839-1591.pdf#page=1","Abrir facsímil")</f>
        <v>Abrir facsímil</v>
      </c>
      <c r="K6052" s="12" t="s">
        <v>24</v>
      </c>
    </row>
    <row r="6053" spans="1:11" ht="40.049999999999997" customHeight="1" x14ac:dyDescent="0.25">
      <c r="A6053" s="11" t="s">
        <v>13135</v>
      </c>
      <c r="B6053" s="11" t="s">
        <v>13135</v>
      </c>
      <c r="C6053" s="11" t="s">
        <v>59</v>
      </c>
      <c r="D6053" s="11" t="s">
        <v>60</v>
      </c>
      <c r="E6053" s="12" t="s">
        <v>522</v>
      </c>
      <c r="F6053" s="12" t="s">
        <v>523</v>
      </c>
      <c r="G6053" s="12" t="s">
        <v>29</v>
      </c>
      <c r="H6053" s="11" t="s">
        <v>22</v>
      </c>
      <c r="I6053" s="13" t="s">
        <v>13144</v>
      </c>
      <c r="J6053" s="14" t="str">
        <f>HYPERLINK("https://www.boe.es/gazeta/dias/1839/08/27/pdfs/GMD-1839-1748.pdf#page=1","Abrir facsímil")</f>
        <v>Abrir facsímil</v>
      </c>
      <c r="K6053" s="12" t="s">
        <v>24</v>
      </c>
    </row>
    <row r="6054" spans="1:11" ht="40.049999999999997" customHeight="1" x14ac:dyDescent="0.25">
      <c r="A6054" s="11" t="s">
        <v>13135</v>
      </c>
      <c r="B6054" s="11" t="s">
        <v>13135</v>
      </c>
      <c r="C6054" s="11" t="s">
        <v>101</v>
      </c>
      <c r="D6054" s="11" t="s">
        <v>43</v>
      </c>
      <c r="E6054" s="12" t="s">
        <v>489</v>
      </c>
      <c r="F6054" s="12" t="s">
        <v>490</v>
      </c>
      <c r="G6054" s="12" t="s">
        <v>40</v>
      </c>
      <c r="H6054" s="11" t="s">
        <v>22</v>
      </c>
      <c r="I6054" s="13" t="s">
        <v>13145</v>
      </c>
      <c r="J6054" s="14" t="str">
        <f>HYPERLINK("https://www.boe.es/gazeta/dias/1839/06/29/pdfs/GMD-1839-1687.pdf#page=2","Abrir facsímil")</f>
        <v>Abrir facsímil</v>
      </c>
      <c r="K6054" s="12" t="s">
        <v>24</v>
      </c>
    </row>
    <row r="6055" spans="1:11" ht="40.049999999999997" customHeight="1" x14ac:dyDescent="0.25">
      <c r="A6055" s="11" t="s">
        <v>13146</v>
      </c>
      <c r="B6055" s="11" t="s">
        <v>13146</v>
      </c>
      <c r="C6055" s="11" t="s">
        <v>17</v>
      </c>
      <c r="D6055" s="11" t="s">
        <v>18</v>
      </c>
      <c r="E6055" s="12" t="s">
        <v>3614</v>
      </c>
      <c r="F6055" s="12" t="s">
        <v>3615</v>
      </c>
      <c r="G6055" s="12" t="s">
        <v>29</v>
      </c>
      <c r="H6055" s="11" t="s">
        <v>22</v>
      </c>
      <c r="I6055" s="13" t="s">
        <v>13147</v>
      </c>
      <c r="J6055" s="14" t="str">
        <f>HYPERLINK("https://www.boe.es/gazeta/dias/1839/04/04/pdfs/GMD-1839-1601.pdf#page=1","Abrir facsímil")</f>
        <v>Abrir facsímil</v>
      </c>
      <c r="K6055" s="12" t="s">
        <v>24</v>
      </c>
    </row>
    <row r="6056" spans="1:11" ht="40.049999999999997" customHeight="1" x14ac:dyDescent="0.25">
      <c r="A6056" s="11" t="s">
        <v>13148</v>
      </c>
      <c r="B6056" s="11" t="s">
        <v>13148</v>
      </c>
      <c r="C6056" s="11" t="s">
        <v>101</v>
      </c>
      <c r="D6056" s="11" t="s">
        <v>102</v>
      </c>
      <c r="E6056" s="12" t="s">
        <v>1729</v>
      </c>
      <c r="F6056" s="12" t="s">
        <v>1730</v>
      </c>
      <c r="G6056" s="12" t="s">
        <v>29</v>
      </c>
      <c r="H6056" s="11" t="s">
        <v>22</v>
      </c>
      <c r="I6056" s="13" t="s">
        <v>13149</v>
      </c>
      <c r="J6056" s="14" t="str">
        <f>HYPERLINK("https://www.boe.es/gazeta/dias/1839/04/25/pdfs/GMD-1839-1622.pdf#page=1","Abrir facsímil")</f>
        <v>Abrir facsímil</v>
      </c>
      <c r="K6056" s="12" t="s">
        <v>24</v>
      </c>
    </row>
    <row r="6057" spans="1:11" ht="40.049999999999997" customHeight="1" x14ac:dyDescent="0.25">
      <c r="A6057" s="11" t="s">
        <v>13150</v>
      </c>
      <c r="B6057" s="11" t="s">
        <v>13150</v>
      </c>
      <c r="C6057" s="11" t="s">
        <v>17</v>
      </c>
      <c r="D6057" s="11" t="s">
        <v>18</v>
      </c>
      <c r="E6057" s="12" t="s">
        <v>2210</v>
      </c>
      <c r="F6057" s="12" t="s">
        <v>2211</v>
      </c>
      <c r="G6057" s="12" t="s">
        <v>21</v>
      </c>
      <c r="H6057" s="11" t="s">
        <v>22</v>
      </c>
      <c r="I6057" s="13" t="s">
        <v>13151</v>
      </c>
      <c r="J6057" s="14" t="str">
        <f>HYPERLINK("https://www.boe.es/gazeta/dias/1839/09/05/pdfs/GMD-1839-1758.pdf#page=4","Abrir facsímil")</f>
        <v>Abrir facsímil</v>
      </c>
      <c r="K6057" s="12" t="s">
        <v>24</v>
      </c>
    </row>
    <row r="6058" spans="1:11" ht="40.049999999999997" customHeight="1" x14ac:dyDescent="0.25">
      <c r="A6058" s="11" t="s">
        <v>13150</v>
      </c>
      <c r="B6058" s="11" t="s">
        <v>13150</v>
      </c>
      <c r="C6058" s="11" t="s">
        <v>17</v>
      </c>
      <c r="D6058" s="11" t="s">
        <v>18</v>
      </c>
      <c r="E6058" s="12" t="s">
        <v>1019</v>
      </c>
      <c r="F6058" s="12" t="s">
        <v>1020</v>
      </c>
      <c r="G6058" s="12" t="s">
        <v>46</v>
      </c>
      <c r="H6058" s="11" t="s">
        <v>22</v>
      </c>
      <c r="I6058" s="13" t="s">
        <v>13152</v>
      </c>
      <c r="J6058" s="14" t="str">
        <f>HYPERLINK("https://www.boe.es/gazeta/dias/1839/07/15/pdfs/GMD-1839-1703.pdf#page=3","Abrir facsímil")</f>
        <v>Abrir facsímil</v>
      </c>
      <c r="K6058" s="12" t="s">
        <v>24</v>
      </c>
    </row>
    <row r="6059" spans="1:11" ht="40.049999999999997" customHeight="1" x14ac:dyDescent="0.25">
      <c r="A6059" s="11" t="s">
        <v>13153</v>
      </c>
      <c r="B6059" s="11" t="s">
        <v>13153</v>
      </c>
      <c r="C6059" s="11" t="s">
        <v>17</v>
      </c>
      <c r="D6059" s="11" t="s">
        <v>18</v>
      </c>
      <c r="E6059" s="12" t="s">
        <v>1614</v>
      </c>
      <c r="F6059" s="12" t="s">
        <v>1615</v>
      </c>
      <c r="G6059" s="12" t="s">
        <v>21</v>
      </c>
      <c r="H6059" s="11" t="s">
        <v>22</v>
      </c>
      <c r="I6059" s="13" t="s">
        <v>13154</v>
      </c>
      <c r="J6059" s="14" t="str">
        <f>HYPERLINK("https://www.boe.es/gazeta/dias/1839/07/03/pdfs/GMD-1839-1691.pdf#page=4","Abrir facsímil")</f>
        <v>Abrir facsímil</v>
      </c>
      <c r="K6059" s="12" t="s">
        <v>24</v>
      </c>
    </row>
    <row r="6060" spans="1:11" ht="40.049999999999997" customHeight="1" x14ac:dyDescent="0.25">
      <c r="A6060" s="11" t="s">
        <v>13155</v>
      </c>
      <c r="B6060" s="11" t="s">
        <v>13155</v>
      </c>
      <c r="C6060" s="11" t="s">
        <v>59</v>
      </c>
      <c r="D6060" s="11" t="s">
        <v>60</v>
      </c>
      <c r="E6060" s="12" t="s">
        <v>1614</v>
      </c>
      <c r="F6060" s="12" t="s">
        <v>1615</v>
      </c>
      <c r="G6060" s="12" t="s">
        <v>29</v>
      </c>
      <c r="H6060" s="11" t="s">
        <v>63</v>
      </c>
      <c r="I6060" s="13" t="s">
        <v>13156</v>
      </c>
      <c r="J6060" s="14" t="str">
        <f>HYPERLINK("https://www.boe.es/gazeta/dias/1839/07/03/pdfs/GMD-1839-1691.pdf#page=1","Abrir facsímil")</f>
        <v>Abrir facsímil</v>
      </c>
      <c r="K6060" s="12" t="s">
        <v>65</v>
      </c>
    </row>
    <row r="6061" spans="1:11" ht="40.049999999999997" customHeight="1" x14ac:dyDescent="0.25">
      <c r="A6061" s="11" t="s">
        <v>13157</v>
      </c>
      <c r="B6061" s="11" t="s">
        <v>13157</v>
      </c>
      <c r="C6061" s="11" t="s">
        <v>17</v>
      </c>
      <c r="D6061" s="11" t="s">
        <v>18</v>
      </c>
      <c r="E6061" s="12" t="s">
        <v>239</v>
      </c>
      <c r="F6061" s="12" t="s">
        <v>1863</v>
      </c>
      <c r="G6061" s="12" t="s">
        <v>29</v>
      </c>
      <c r="H6061" s="11" t="s">
        <v>63</v>
      </c>
      <c r="I6061" s="13" t="s">
        <v>13158</v>
      </c>
      <c r="J6061" s="14" t="str">
        <f>HYPERLINK("https://www.boe.es/datos/pdfs/BOE//1839/1778/E00001-00001.pdf#page=1","Abrir facsímil")</f>
        <v>Abrir facsímil</v>
      </c>
      <c r="K6061" s="12" t="s">
        <v>65</v>
      </c>
    </row>
    <row r="6062" spans="1:11" ht="40.049999999999997" customHeight="1" x14ac:dyDescent="0.25">
      <c r="A6062" s="11" t="s">
        <v>13159</v>
      </c>
      <c r="B6062" s="11" t="s">
        <v>13159</v>
      </c>
      <c r="C6062" s="11" t="s">
        <v>137</v>
      </c>
      <c r="D6062" s="11" t="s">
        <v>18</v>
      </c>
      <c r="E6062" s="12" t="s">
        <v>38</v>
      </c>
      <c r="F6062" s="12" t="s">
        <v>39</v>
      </c>
      <c r="G6062" s="12" t="s">
        <v>40</v>
      </c>
      <c r="H6062" s="11" t="s">
        <v>22</v>
      </c>
      <c r="I6062" s="13" t="s">
        <v>13160</v>
      </c>
      <c r="J6062" s="14" t="str">
        <f>HYPERLINK("https://www.boe.es/gazeta/dias/1839/08/08/pdfs/GMD-1839-1728.pdf#page=2","Abrir facsímil")</f>
        <v>Abrir facsímil</v>
      </c>
      <c r="K6062" s="12" t="s">
        <v>24</v>
      </c>
    </row>
    <row r="6063" spans="1:11" ht="40.049999999999997" customHeight="1" x14ac:dyDescent="0.25">
      <c r="A6063" s="11" t="s">
        <v>13161</v>
      </c>
      <c r="B6063" s="11" t="s">
        <v>13162</v>
      </c>
      <c r="C6063" s="11" t="s">
        <v>17</v>
      </c>
      <c r="D6063" s="11" t="s">
        <v>43</v>
      </c>
      <c r="E6063" s="12" t="s">
        <v>68</v>
      </c>
      <c r="F6063" s="12" t="s">
        <v>69</v>
      </c>
      <c r="G6063" s="12" t="s">
        <v>21</v>
      </c>
      <c r="H6063" s="11" t="s">
        <v>63</v>
      </c>
      <c r="I6063" s="13" t="s">
        <v>13163</v>
      </c>
      <c r="J6063" s="14" t="str">
        <f>HYPERLINK("https://www.boe.es/gazeta/dias/1839/02/09/pdfs/GMD-1839-1547.pdf#page=4","Abrir facsímil")</f>
        <v>Abrir facsímil</v>
      </c>
      <c r="K6063" s="12" t="s">
        <v>65</v>
      </c>
    </row>
    <row r="6064" spans="1:11" ht="40.049999999999997" customHeight="1" x14ac:dyDescent="0.25">
      <c r="A6064" s="11" t="s">
        <v>13164</v>
      </c>
      <c r="B6064" s="11" t="s">
        <v>13165</v>
      </c>
      <c r="C6064" s="11" t="s">
        <v>137</v>
      </c>
      <c r="D6064" s="11" t="s">
        <v>18</v>
      </c>
      <c r="E6064" s="12" t="s">
        <v>527</v>
      </c>
      <c r="F6064" s="12" t="s">
        <v>528</v>
      </c>
      <c r="G6064" s="12" t="s">
        <v>40</v>
      </c>
      <c r="H6064" s="11" t="s">
        <v>22</v>
      </c>
      <c r="I6064" s="13" t="s">
        <v>13166</v>
      </c>
      <c r="J6064" s="14" t="str">
        <f>HYPERLINK("https://www.boe.es/gazeta/dias/1839/07/10/pdfs/GMD-1839-1698.pdf#page=2","Abrir facsímil")</f>
        <v>Abrir facsímil</v>
      </c>
      <c r="K6064" s="12" t="s">
        <v>24</v>
      </c>
    </row>
    <row r="6065" spans="1:11" ht="40.049999999999997" customHeight="1" x14ac:dyDescent="0.25">
      <c r="A6065" s="11" t="s">
        <v>13167</v>
      </c>
      <c r="B6065" s="11" t="s">
        <v>13167</v>
      </c>
      <c r="C6065" s="11" t="s">
        <v>80</v>
      </c>
      <c r="D6065" s="11" t="s">
        <v>18</v>
      </c>
      <c r="E6065" s="12" t="s">
        <v>1395</v>
      </c>
      <c r="F6065" s="12" t="s">
        <v>1396</v>
      </c>
      <c r="G6065" s="12" t="s">
        <v>46</v>
      </c>
      <c r="H6065" s="11" t="s">
        <v>22</v>
      </c>
      <c r="I6065" s="13" t="s">
        <v>13168</v>
      </c>
      <c r="J6065" s="14" t="str">
        <f>HYPERLINK("https://www.boe.es/gazeta/dias/1839/06/26/pdfs/GMD-1839-1684.pdf#page=3","Abrir facsímil")</f>
        <v>Abrir facsímil</v>
      </c>
      <c r="K6065" s="12" t="s">
        <v>24</v>
      </c>
    </row>
    <row r="6066" spans="1:11" ht="40.049999999999997" customHeight="1" x14ac:dyDescent="0.25">
      <c r="A6066" s="11" t="s">
        <v>13169</v>
      </c>
      <c r="B6066" s="11" t="s">
        <v>13170</v>
      </c>
      <c r="C6066" s="11" t="s">
        <v>17</v>
      </c>
      <c r="D6066" s="11" t="s">
        <v>18</v>
      </c>
      <c r="E6066" s="12" t="s">
        <v>1562</v>
      </c>
      <c r="F6066" s="12" t="s">
        <v>1563</v>
      </c>
      <c r="G6066" s="12" t="s">
        <v>21</v>
      </c>
      <c r="H6066" s="11" t="s">
        <v>22</v>
      </c>
      <c r="I6066" s="13" t="s">
        <v>13171</v>
      </c>
      <c r="J6066" s="14" t="str">
        <f>HYPERLINK("https://www.boe.es/gazeta/dias/1839/04/08/pdfs/GMD-1839-1605.pdf#page=4","Abrir facsímil")</f>
        <v>Abrir facsímil</v>
      </c>
      <c r="K6066" s="12" t="s">
        <v>24</v>
      </c>
    </row>
    <row r="6067" spans="1:11" ht="40.049999999999997" customHeight="1" x14ac:dyDescent="0.25">
      <c r="A6067" s="11" t="s">
        <v>13172</v>
      </c>
      <c r="B6067" s="11" t="s">
        <v>13173</v>
      </c>
      <c r="C6067" s="11" t="s">
        <v>101</v>
      </c>
      <c r="D6067" s="11" t="s">
        <v>43</v>
      </c>
      <c r="E6067" s="12" t="s">
        <v>3668</v>
      </c>
      <c r="F6067" s="12" t="s">
        <v>3669</v>
      </c>
      <c r="G6067" s="12" t="s">
        <v>46</v>
      </c>
      <c r="H6067" s="11" t="s">
        <v>63</v>
      </c>
      <c r="I6067" s="13" t="s">
        <v>13174</v>
      </c>
      <c r="J6067" s="14" t="str">
        <f>HYPERLINK("https://www.boe.es/gazeta/dias/1839/05/19/pdfs/GMD-1839-1646.pdf#page=3","Abrir facsímil")</f>
        <v>Abrir facsímil</v>
      </c>
      <c r="K6067" s="12" t="s">
        <v>65</v>
      </c>
    </row>
    <row r="6068" spans="1:11" ht="40.049999999999997" customHeight="1" x14ac:dyDescent="0.25">
      <c r="A6068" s="11" t="s">
        <v>13175</v>
      </c>
      <c r="B6068" s="11" t="s">
        <v>13176</v>
      </c>
      <c r="C6068" s="11" t="s">
        <v>101</v>
      </c>
      <c r="D6068" s="11" t="s">
        <v>43</v>
      </c>
      <c r="E6068" s="12" t="s">
        <v>653</v>
      </c>
      <c r="F6068" s="12" t="s">
        <v>654</v>
      </c>
      <c r="G6068" s="12" t="s">
        <v>40</v>
      </c>
      <c r="H6068" s="11" t="s">
        <v>63</v>
      </c>
      <c r="I6068" s="13" t="s">
        <v>13177</v>
      </c>
      <c r="J6068" s="14" t="str">
        <f>HYPERLINK("https://www.boe.es/gazeta/dias/1839/10/31/pdfs/GMD-1839-1817.pdf#page=2","Abrir facsímil")</f>
        <v>Abrir facsímil</v>
      </c>
      <c r="K6068" s="12" t="s">
        <v>65</v>
      </c>
    </row>
    <row r="6069" spans="1:11" ht="40.049999999999997" customHeight="1" x14ac:dyDescent="0.25">
      <c r="A6069" s="11" t="s">
        <v>13178</v>
      </c>
      <c r="B6069" s="11" t="s">
        <v>13179</v>
      </c>
      <c r="C6069" s="11" t="s">
        <v>137</v>
      </c>
      <c r="D6069" s="11" t="s">
        <v>18</v>
      </c>
      <c r="E6069" s="12" t="s">
        <v>1685</v>
      </c>
      <c r="F6069" s="12" t="s">
        <v>1686</v>
      </c>
      <c r="G6069" s="12" t="s">
        <v>40</v>
      </c>
      <c r="H6069" s="11" t="s">
        <v>63</v>
      </c>
      <c r="I6069" s="13" t="s">
        <v>13180</v>
      </c>
      <c r="J6069" s="14" t="str">
        <f>HYPERLINK("https://www.boe.es/gazeta/dias/1839/04/27/pdfs/GMD-1839-1624.pdf#page=2","Abrir facsímil")</f>
        <v>Abrir facsímil</v>
      </c>
      <c r="K6069" s="12" t="s">
        <v>65</v>
      </c>
    </row>
    <row r="6070" spans="1:11" ht="40.049999999999997" customHeight="1" x14ac:dyDescent="0.25">
      <c r="A6070" s="11" t="s">
        <v>13181</v>
      </c>
      <c r="B6070" s="11" t="s">
        <v>13182</v>
      </c>
      <c r="C6070" s="11" t="s">
        <v>17</v>
      </c>
      <c r="D6070" s="11" t="s">
        <v>18</v>
      </c>
      <c r="E6070" s="12" t="s">
        <v>1611</v>
      </c>
      <c r="F6070" s="12" t="s">
        <v>1612</v>
      </c>
      <c r="G6070" s="12" t="s">
        <v>21</v>
      </c>
      <c r="H6070" s="11" t="s">
        <v>63</v>
      </c>
      <c r="I6070" s="13" t="s">
        <v>13183</v>
      </c>
      <c r="J6070" s="14" t="str">
        <f>HYPERLINK("https://www.boe.es/gazeta/dias/1839/05/03/pdfs/GMD-1839-1630.pdf#page=4","Abrir facsímil")</f>
        <v>Abrir facsímil</v>
      </c>
      <c r="K6070" s="12" t="s">
        <v>65</v>
      </c>
    </row>
    <row r="6071" spans="1:11" ht="40.049999999999997" customHeight="1" x14ac:dyDescent="0.25">
      <c r="A6071" s="11" t="s">
        <v>13184</v>
      </c>
      <c r="B6071" s="11" t="s">
        <v>13185</v>
      </c>
      <c r="C6071" s="11" t="s">
        <v>17</v>
      </c>
      <c r="D6071" s="11" t="s">
        <v>18</v>
      </c>
      <c r="E6071" s="12" t="s">
        <v>258</v>
      </c>
      <c r="F6071" s="12" t="s">
        <v>259</v>
      </c>
      <c r="G6071" s="12" t="s">
        <v>40</v>
      </c>
      <c r="H6071" s="11" t="s">
        <v>63</v>
      </c>
      <c r="I6071" s="13" t="s">
        <v>13186</v>
      </c>
      <c r="J6071" s="14" t="str">
        <f>HYPERLINK("https://www.boe.es/gazeta/dias/1839/01/02/pdfs/GMD-1839-1509.pdf#page=2","Abrir facsímil")</f>
        <v>Abrir facsímil</v>
      </c>
      <c r="K6071" s="12" t="s">
        <v>65</v>
      </c>
    </row>
    <row r="6072" spans="1:11" ht="40.049999999999997" customHeight="1" x14ac:dyDescent="0.25">
      <c r="A6072" s="11" t="s">
        <v>13187</v>
      </c>
      <c r="B6072" s="11" t="s">
        <v>13188</v>
      </c>
      <c r="C6072" s="11" t="s">
        <v>17</v>
      </c>
      <c r="D6072" s="11" t="s">
        <v>18</v>
      </c>
      <c r="E6072" s="12" t="s">
        <v>448</v>
      </c>
      <c r="F6072" s="12" t="s">
        <v>449</v>
      </c>
      <c r="G6072" s="12" t="s">
        <v>40</v>
      </c>
      <c r="H6072" s="11" t="s">
        <v>63</v>
      </c>
      <c r="I6072" s="13" t="s">
        <v>13189</v>
      </c>
      <c r="J6072" s="14" t="str">
        <f>HYPERLINK("https://www.boe.es/gazeta/dias/1839/02/06/pdfs/GMD-1839-1544.pdf#page=2","Abrir facsímil")</f>
        <v>Abrir facsímil</v>
      </c>
      <c r="K6072" s="12" t="s">
        <v>65</v>
      </c>
    </row>
    <row r="6073" spans="1:11" ht="40.049999999999997" customHeight="1" x14ac:dyDescent="0.25">
      <c r="A6073" s="11" t="s">
        <v>13190</v>
      </c>
      <c r="B6073" s="11" t="s">
        <v>13191</v>
      </c>
      <c r="C6073" s="11" t="s">
        <v>17</v>
      </c>
      <c r="D6073" s="11" t="s">
        <v>18</v>
      </c>
      <c r="E6073" s="12" t="s">
        <v>355</v>
      </c>
      <c r="F6073" s="12" t="s">
        <v>356</v>
      </c>
      <c r="G6073" s="12" t="s">
        <v>46</v>
      </c>
      <c r="H6073" s="11" t="s">
        <v>63</v>
      </c>
      <c r="I6073" s="13" t="s">
        <v>13192</v>
      </c>
      <c r="J6073" s="14" t="str">
        <f>HYPERLINK("https://www.boe.es/gazeta/dias/1839/05/31/pdfs/GMD-1839-1658.pdf#page=3","Abrir facsímil")</f>
        <v>Abrir facsímil</v>
      </c>
      <c r="K6073" s="12" t="s">
        <v>65</v>
      </c>
    </row>
    <row r="6074" spans="1:11" ht="40.049999999999997" customHeight="1" x14ac:dyDescent="0.25">
      <c r="A6074" s="11" t="s">
        <v>13193</v>
      </c>
      <c r="B6074" s="11" t="s">
        <v>13194</v>
      </c>
      <c r="C6074" s="11" t="s">
        <v>17</v>
      </c>
      <c r="D6074" s="11" t="s">
        <v>18</v>
      </c>
      <c r="E6074" s="12" t="s">
        <v>61</v>
      </c>
      <c r="F6074" s="12" t="s">
        <v>62</v>
      </c>
      <c r="G6074" s="12" t="s">
        <v>21</v>
      </c>
      <c r="H6074" s="11" t="s">
        <v>63</v>
      </c>
      <c r="I6074" s="13" t="s">
        <v>13195</v>
      </c>
      <c r="J6074" s="14" t="str">
        <f>HYPERLINK("https://www.boe.es/gazeta/dias/1839/09/10/pdfs/GMD-1839-1763.pdf#page=4","Abrir facsímil")</f>
        <v>Abrir facsímil</v>
      </c>
      <c r="K6074" s="12" t="s">
        <v>65</v>
      </c>
    </row>
    <row r="6075" spans="1:11" ht="40.049999999999997" customHeight="1" x14ac:dyDescent="0.25">
      <c r="A6075" s="11" t="s">
        <v>13196</v>
      </c>
      <c r="B6075" s="11" t="s">
        <v>13197</v>
      </c>
      <c r="C6075" s="11" t="s">
        <v>17</v>
      </c>
      <c r="D6075" s="11" t="s">
        <v>18</v>
      </c>
      <c r="E6075" s="12" t="s">
        <v>2452</v>
      </c>
      <c r="F6075" s="12" t="s">
        <v>2453</v>
      </c>
      <c r="G6075" s="12" t="s">
        <v>40</v>
      </c>
      <c r="H6075" s="11" t="s">
        <v>63</v>
      </c>
      <c r="I6075" s="13" t="s">
        <v>13198</v>
      </c>
      <c r="J6075" s="14" t="str">
        <f>HYPERLINK("https://www.boe.es/gazeta/dias/1839/11/14/pdfs/GMD-1839-1831.pdf#page=2","Abrir facsímil")</f>
        <v>Abrir facsímil</v>
      </c>
      <c r="K6075" s="12" t="s">
        <v>65</v>
      </c>
    </row>
    <row r="6076" spans="1:11" ht="40.049999999999997" customHeight="1" x14ac:dyDescent="0.25">
      <c r="A6076" s="11" t="s">
        <v>13199</v>
      </c>
      <c r="B6076" s="11" t="s">
        <v>13200</v>
      </c>
      <c r="C6076" s="11" t="s">
        <v>17</v>
      </c>
      <c r="D6076" s="11" t="s">
        <v>18</v>
      </c>
      <c r="E6076" s="12" t="s">
        <v>287</v>
      </c>
      <c r="F6076" s="12" t="s">
        <v>288</v>
      </c>
      <c r="G6076" s="12" t="s">
        <v>40</v>
      </c>
      <c r="H6076" s="11" t="s">
        <v>63</v>
      </c>
      <c r="I6076" s="13" t="s">
        <v>13201</v>
      </c>
      <c r="J6076" s="14" t="str">
        <f>HYPERLINK("https://www.boe.es/gazeta/dias/1839/11/27/pdfs/GMD-1839-1844.pdf#page=2","Abrir facsímil")</f>
        <v>Abrir facsímil</v>
      </c>
      <c r="K6076" s="12" t="s">
        <v>65</v>
      </c>
    </row>
    <row r="6077" spans="1:11" ht="40.049999999999997" customHeight="1" x14ac:dyDescent="0.25">
      <c r="A6077" s="11" t="s">
        <v>13202</v>
      </c>
      <c r="B6077" s="11" t="s">
        <v>13203</v>
      </c>
      <c r="C6077" s="11" t="s">
        <v>17</v>
      </c>
      <c r="D6077" s="11" t="s">
        <v>18</v>
      </c>
      <c r="E6077" s="12" t="s">
        <v>3134</v>
      </c>
      <c r="F6077" s="12" t="s">
        <v>3135</v>
      </c>
      <c r="G6077" s="12" t="s">
        <v>40</v>
      </c>
      <c r="H6077" s="11" t="s">
        <v>63</v>
      </c>
      <c r="I6077" s="13" t="s">
        <v>13204</v>
      </c>
      <c r="J6077" s="14" t="str">
        <f>HYPERLINK("https://www.boe.es/gazeta/dias/1839/08/09/pdfs/GMD-1839-1729.pdf#page=2","Abrir facsímil")</f>
        <v>Abrir facsímil</v>
      </c>
      <c r="K6077" s="12" t="s">
        <v>65</v>
      </c>
    </row>
    <row r="6078" spans="1:11" ht="40.049999999999997" customHeight="1" x14ac:dyDescent="0.25">
      <c r="A6078" s="11" t="s">
        <v>13205</v>
      </c>
      <c r="B6078" s="11" t="s">
        <v>13206</v>
      </c>
      <c r="C6078" s="11" t="s">
        <v>17</v>
      </c>
      <c r="D6078" s="11" t="s">
        <v>18</v>
      </c>
      <c r="E6078" s="12" t="s">
        <v>212</v>
      </c>
      <c r="F6078" s="12" t="s">
        <v>213</v>
      </c>
      <c r="G6078" s="12" t="s">
        <v>40</v>
      </c>
      <c r="H6078" s="11" t="s">
        <v>63</v>
      </c>
      <c r="I6078" s="13" t="s">
        <v>13207</v>
      </c>
      <c r="J6078" s="14" t="str">
        <f>HYPERLINK("https://www.boe.es/gazeta/dias/1839/10/03/pdfs/GMD-1839-1789.pdf#page=2","Abrir facsímil")</f>
        <v>Abrir facsímil</v>
      </c>
      <c r="K6078" s="12" t="s">
        <v>65</v>
      </c>
    </row>
    <row r="6079" spans="1:11" ht="40.049999999999997" customHeight="1" x14ac:dyDescent="0.25">
      <c r="A6079" s="11" t="s">
        <v>13208</v>
      </c>
      <c r="B6079" s="11" t="s">
        <v>13209</v>
      </c>
      <c r="C6079" s="11" t="s">
        <v>17</v>
      </c>
      <c r="D6079" s="11" t="s">
        <v>18</v>
      </c>
      <c r="E6079" s="12" t="s">
        <v>287</v>
      </c>
      <c r="F6079" s="12" t="s">
        <v>288</v>
      </c>
      <c r="G6079" s="12" t="s">
        <v>46</v>
      </c>
      <c r="H6079" s="11" t="s">
        <v>63</v>
      </c>
      <c r="I6079" s="13" t="s">
        <v>13210</v>
      </c>
      <c r="J6079" s="14" t="str">
        <f>HYPERLINK("https://www.boe.es/gazeta/dias/1839/11/27/pdfs/GMD-1839-1844.pdf#page=3","Abrir facsímil")</f>
        <v>Abrir facsímil</v>
      </c>
      <c r="K6079" s="12" t="s">
        <v>65</v>
      </c>
    </row>
    <row r="6080" spans="1:11" ht="40.049999999999997" customHeight="1" x14ac:dyDescent="0.25">
      <c r="A6080" s="11" t="s">
        <v>13211</v>
      </c>
      <c r="B6080" s="11" t="s">
        <v>13212</v>
      </c>
      <c r="C6080" s="11" t="s">
        <v>101</v>
      </c>
      <c r="D6080" s="11" t="s">
        <v>102</v>
      </c>
      <c r="E6080" s="12" t="s">
        <v>2995</v>
      </c>
      <c r="F6080" s="12" t="s">
        <v>2996</v>
      </c>
      <c r="G6080" s="12" t="s">
        <v>21</v>
      </c>
      <c r="H6080" s="11" t="s">
        <v>63</v>
      </c>
      <c r="I6080" s="13" t="s">
        <v>13213</v>
      </c>
      <c r="J6080" s="14" t="str">
        <f>HYPERLINK("https://www.boe.es/gazeta/dias/1839/06/16/pdfs/GMD-1839-1674.pdf#page=4","Abrir facsímil")</f>
        <v>Abrir facsímil</v>
      </c>
      <c r="K6080" s="12" t="s">
        <v>65</v>
      </c>
    </row>
    <row r="6081" spans="1:11" ht="40.049999999999997" customHeight="1" x14ac:dyDescent="0.25">
      <c r="A6081" s="11" t="s">
        <v>13211</v>
      </c>
      <c r="B6081" s="11" t="s">
        <v>13212</v>
      </c>
      <c r="C6081" s="11" t="s">
        <v>137</v>
      </c>
      <c r="D6081" s="11" t="s">
        <v>18</v>
      </c>
      <c r="E6081" s="12" t="s">
        <v>1657</v>
      </c>
      <c r="F6081" s="12" t="s">
        <v>1658</v>
      </c>
      <c r="G6081" s="12" t="s">
        <v>21</v>
      </c>
      <c r="H6081" s="11" t="s">
        <v>63</v>
      </c>
      <c r="I6081" s="13" t="s">
        <v>13214</v>
      </c>
      <c r="J6081" s="14" t="str">
        <f>HYPERLINK("https://www.boe.es/gazeta/dias/1839/02/21/pdfs/GMD-1839-1559.pdf#page=4","Abrir facsímil")</f>
        <v>Abrir facsímil</v>
      </c>
      <c r="K6081" s="12" t="s">
        <v>65</v>
      </c>
    </row>
    <row r="6082" spans="1:11" ht="40.049999999999997" customHeight="1" x14ac:dyDescent="0.25">
      <c r="A6082" s="11" t="s">
        <v>13215</v>
      </c>
      <c r="B6082" s="11" t="s">
        <v>13216</v>
      </c>
      <c r="C6082" s="11" t="s">
        <v>137</v>
      </c>
      <c r="D6082" s="11" t="s">
        <v>18</v>
      </c>
      <c r="E6082" s="12" t="s">
        <v>2839</v>
      </c>
      <c r="F6082" s="12" t="s">
        <v>2840</v>
      </c>
      <c r="G6082" s="12" t="s">
        <v>46</v>
      </c>
      <c r="H6082" s="11" t="s">
        <v>63</v>
      </c>
      <c r="I6082" s="13" t="s">
        <v>13217</v>
      </c>
      <c r="J6082" s="14" t="str">
        <f>HYPERLINK("https://www.boe.es/gazeta/dias/1839/03/06/pdfs/GMD-1839-1572.pdf#page=3","Abrir facsímil")</f>
        <v>Abrir facsímil</v>
      </c>
      <c r="K6082" s="12" t="s">
        <v>65</v>
      </c>
    </row>
    <row r="6083" spans="1:11" ht="40.049999999999997" customHeight="1" x14ac:dyDescent="0.25">
      <c r="A6083" s="11" t="s">
        <v>13218</v>
      </c>
      <c r="B6083" s="11" t="s">
        <v>13219</v>
      </c>
      <c r="C6083" s="11" t="s">
        <v>59</v>
      </c>
      <c r="D6083" s="11" t="s">
        <v>60</v>
      </c>
      <c r="E6083" s="12" t="s">
        <v>496</v>
      </c>
      <c r="F6083" s="12" t="s">
        <v>497</v>
      </c>
      <c r="G6083" s="12" t="s">
        <v>40</v>
      </c>
      <c r="H6083" s="11" t="s">
        <v>63</v>
      </c>
      <c r="I6083" s="13" t="s">
        <v>13220</v>
      </c>
      <c r="J6083" s="14" t="str">
        <f>HYPERLINK("https://www.boe.es/gazeta/dias/1839/11/23/pdfs/GMD-1839-1840.pdf#page=2","Abrir facsímil")</f>
        <v>Abrir facsímil</v>
      </c>
      <c r="K6083" s="12" t="s">
        <v>65</v>
      </c>
    </row>
    <row r="6084" spans="1:11" ht="40.049999999999997" customHeight="1" x14ac:dyDescent="0.25">
      <c r="A6084" s="11" t="s">
        <v>13221</v>
      </c>
      <c r="B6084" s="11" t="s">
        <v>13222</v>
      </c>
      <c r="C6084" s="11" t="s">
        <v>17</v>
      </c>
      <c r="D6084" s="11" t="s">
        <v>18</v>
      </c>
      <c r="E6084" s="12" t="s">
        <v>1631</v>
      </c>
      <c r="F6084" s="12" t="s">
        <v>1632</v>
      </c>
      <c r="G6084" s="12" t="s">
        <v>21</v>
      </c>
      <c r="H6084" s="11" t="s">
        <v>63</v>
      </c>
      <c r="I6084" s="13" t="s">
        <v>13223</v>
      </c>
      <c r="J6084" s="14" t="str">
        <f>HYPERLINK("https://www.boe.es/gazeta/dias/1839/05/10/pdfs/GMD-1839-1637.pdf#page=4","Abrir facsímil")</f>
        <v>Abrir facsímil</v>
      </c>
      <c r="K6084" s="12" t="s">
        <v>65</v>
      </c>
    </row>
    <row r="6085" spans="1:11" ht="40.049999999999997" customHeight="1" x14ac:dyDescent="0.25">
      <c r="A6085" s="11" t="s">
        <v>13224</v>
      </c>
      <c r="B6085" s="11" t="s">
        <v>13225</v>
      </c>
      <c r="C6085" s="11" t="s">
        <v>101</v>
      </c>
      <c r="D6085" s="11" t="s">
        <v>102</v>
      </c>
      <c r="E6085" s="12" t="s">
        <v>2452</v>
      </c>
      <c r="F6085" s="12" t="s">
        <v>2453</v>
      </c>
      <c r="G6085" s="12" t="s">
        <v>46</v>
      </c>
      <c r="H6085" s="11" t="s">
        <v>63</v>
      </c>
      <c r="I6085" s="13" t="s">
        <v>13226</v>
      </c>
      <c r="J6085" s="14" t="str">
        <f>HYPERLINK("https://www.boe.es/gazeta/dias/1839/11/14/pdfs/GMD-1839-1831.pdf#page=3","Abrir facsímil")</f>
        <v>Abrir facsímil</v>
      </c>
      <c r="K6085" s="12" t="s">
        <v>65</v>
      </c>
    </row>
    <row r="6086" spans="1:11" ht="40.049999999999997" customHeight="1" x14ac:dyDescent="0.25">
      <c r="A6086" s="11" t="s">
        <v>13227</v>
      </c>
      <c r="B6086" s="11" t="s">
        <v>13228</v>
      </c>
      <c r="C6086" s="11" t="s">
        <v>101</v>
      </c>
      <c r="D6086" s="11" t="s">
        <v>102</v>
      </c>
      <c r="E6086" s="12" t="s">
        <v>870</v>
      </c>
      <c r="F6086" s="12" t="s">
        <v>871</v>
      </c>
      <c r="G6086" s="12" t="s">
        <v>29</v>
      </c>
      <c r="H6086" s="11" t="s">
        <v>63</v>
      </c>
      <c r="I6086" s="13" t="s">
        <v>13229</v>
      </c>
      <c r="J6086" s="14" t="str">
        <f>HYPERLINK("https://www.boe.es/gazeta/dias/1839/04/18/pdfs/GMD-1839-1615.pdf#page=1","Abrir facsímil")</f>
        <v>Abrir facsímil</v>
      </c>
      <c r="K6086" s="12" t="s">
        <v>65</v>
      </c>
    </row>
    <row r="6087" spans="1:11" ht="40.049999999999997" customHeight="1" x14ac:dyDescent="0.25">
      <c r="A6087" s="11" t="s">
        <v>13230</v>
      </c>
      <c r="B6087" s="11" t="s">
        <v>13231</v>
      </c>
      <c r="C6087" s="11" t="s">
        <v>17</v>
      </c>
      <c r="D6087" s="11" t="s">
        <v>43</v>
      </c>
      <c r="E6087" s="12" t="s">
        <v>1909</v>
      </c>
      <c r="F6087" s="12" t="s">
        <v>1910</v>
      </c>
      <c r="G6087" s="12" t="s">
        <v>46</v>
      </c>
      <c r="H6087" s="11" t="s">
        <v>63</v>
      </c>
      <c r="I6087" s="13" t="s">
        <v>13232</v>
      </c>
      <c r="J6087" s="14" t="str">
        <f>HYPERLINK("https://www.boe.es/gazeta/dias/1839/10/27/pdfs/GMD-1839-1813.pdf#page=3","Abrir facsímil")</f>
        <v>Abrir facsímil</v>
      </c>
      <c r="K6087" s="12" t="s">
        <v>65</v>
      </c>
    </row>
    <row r="6088" spans="1:11" ht="40.049999999999997" customHeight="1" x14ac:dyDescent="0.25">
      <c r="A6088" s="11" t="s">
        <v>13233</v>
      </c>
      <c r="B6088" s="11" t="s">
        <v>13234</v>
      </c>
      <c r="C6088" s="11" t="s">
        <v>17</v>
      </c>
      <c r="D6088" s="11" t="s">
        <v>18</v>
      </c>
      <c r="E6088" s="12" t="s">
        <v>233</v>
      </c>
      <c r="F6088" s="12" t="s">
        <v>234</v>
      </c>
      <c r="G6088" s="12" t="s">
        <v>40</v>
      </c>
      <c r="H6088" s="11" t="s">
        <v>63</v>
      </c>
      <c r="I6088" s="13" t="s">
        <v>13235</v>
      </c>
      <c r="J6088" s="14" t="str">
        <f>HYPERLINK("https://www.boe.es/gazeta/dias/1839/09/17/pdfs/GMD-1839-1770.pdf#page=2","Abrir facsímil")</f>
        <v>Abrir facsímil</v>
      </c>
      <c r="K6088" s="12" t="s">
        <v>65</v>
      </c>
    </row>
    <row r="6089" spans="1:11" ht="40.049999999999997" customHeight="1" x14ac:dyDescent="0.25">
      <c r="A6089" s="11" t="s">
        <v>13236</v>
      </c>
      <c r="B6089" s="11" t="s">
        <v>13237</v>
      </c>
      <c r="C6089" s="11" t="s">
        <v>17</v>
      </c>
      <c r="D6089" s="11" t="s">
        <v>18</v>
      </c>
      <c r="E6089" s="12" t="s">
        <v>2069</v>
      </c>
      <c r="F6089" s="12" t="s">
        <v>2070</v>
      </c>
      <c r="G6089" s="12" t="s">
        <v>566</v>
      </c>
      <c r="H6089" s="11" t="s">
        <v>63</v>
      </c>
      <c r="I6089" s="13" t="s">
        <v>13238</v>
      </c>
      <c r="J6089" s="14" t="str">
        <f>HYPERLINK("https://www.boe.es/gazeta/dias/1839/10/20/pdfs/GMD-1839-1806.pdf#page=5","Abrir facsímil")</f>
        <v>Abrir facsímil</v>
      </c>
      <c r="K6089" s="12" t="s">
        <v>65</v>
      </c>
    </row>
    <row r="6090" spans="1:11" ht="40.049999999999997" customHeight="1" x14ac:dyDescent="0.25">
      <c r="A6090" s="11" t="s">
        <v>13239</v>
      </c>
      <c r="B6090" s="11" t="s">
        <v>13240</v>
      </c>
      <c r="C6090" s="11" t="s">
        <v>80</v>
      </c>
      <c r="D6090" s="11" t="s">
        <v>18</v>
      </c>
      <c r="E6090" s="12" t="s">
        <v>544</v>
      </c>
      <c r="F6090" s="12" t="s">
        <v>545</v>
      </c>
      <c r="G6090" s="12" t="s">
        <v>46</v>
      </c>
      <c r="H6090" s="11" t="s">
        <v>63</v>
      </c>
      <c r="I6090" s="13" t="s">
        <v>13241</v>
      </c>
      <c r="J6090" s="14" t="str">
        <f>HYPERLINK("https://www.boe.es/gazeta/dias/1839/11/11/pdfs/GMD-1839-1828.pdf#page=3","Abrir facsímil")</f>
        <v>Abrir facsímil</v>
      </c>
      <c r="K6090" s="12" t="s">
        <v>65</v>
      </c>
    </row>
    <row r="6091" spans="1:11" ht="40.049999999999997" customHeight="1" x14ac:dyDescent="0.25">
      <c r="A6091" s="11" t="s">
        <v>13242</v>
      </c>
      <c r="B6091" s="11" t="s">
        <v>13243</v>
      </c>
      <c r="C6091" s="11" t="s">
        <v>80</v>
      </c>
      <c r="D6091" s="11" t="s">
        <v>18</v>
      </c>
      <c r="E6091" s="12" t="s">
        <v>775</v>
      </c>
      <c r="F6091" s="12" t="s">
        <v>776</v>
      </c>
      <c r="G6091" s="12" t="s">
        <v>21</v>
      </c>
      <c r="H6091" s="11" t="s">
        <v>63</v>
      </c>
      <c r="I6091" s="13" t="s">
        <v>13244</v>
      </c>
      <c r="J6091" s="14" t="str">
        <f>HYPERLINK("https://www.boe.es/gazeta/dias/1839/02/25/pdfs/GMD-1839-1563.pdf#page=4","Abrir facsímil")</f>
        <v>Abrir facsímil</v>
      </c>
      <c r="K6091" s="12" t="s">
        <v>65</v>
      </c>
    </row>
    <row r="6092" spans="1:11" ht="40.049999999999997" customHeight="1" x14ac:dyDescent="0.25">
      <c r="A6092" s="11" t="s">
        <v>13245</v>
      </c>
      <c r="B6092" s="11" t="s">
        <v>13246</v>
      </c>
      <c r="C6092" s="11" t="s">
        <v>80</v>
      </c>
      <c r="D6092" s="11" t="s">
        <v>18</v>
      </c>
      <c r="E6092" s="12" t="s">
        <v>587</v>
      </c>
      <c r="F6092" s="12" t="s">
        <v>588</v>
      </c>
      <c r="G6092" s="12" t="s">
        <v>46</v>
      </c>
      <c r="H6092" s="11" t="s">
        <v>63</v>
      </c>
      <c r="I6092" s="13" t="s">
        <v>13247</v>
      </c>
      <c r="J6092" s="14" t="str">
        <f>HYPERLINK("https://www.boe.es/gazeta/dias/1839/05/02/pdfs/GMD-1839-1629.pdf#page=3","Abrir facsímil")</f>
        <v>Abrir facsímil</v>
      </c>
      <c r="K6092" s="12" t="s">
        <v>65</v>
      </c>
    </row>
    <row r="6093" spans="1:11" ht="40.049999999999997" customHeight="1" x14ac:dyDescent="0.25">
      <c r="A6093" s="11" t="s">
        <v>13248</v>
      </c>
      <c r="B6093" s="11" t="s">
        <v>13249</v>
      </c>
      <c r="C6093" s="11" t="s">
        <v>17</v>
      </c>
      <c r="D6093" s="11" t="s">
        <v>18</v>
      </c>
      <c r="E6093" s="12" t="s">
        <v>1685</v>
      </c>
      <c r="F6093" s="12" t="s">
        <v>1686</v>
      </c>
      <c r="G6093" s="12" t="s">
        <v>40</v>
      </c>
      <c r="H6093" s="11" t="s">
        <v>63</v>
      </c>
      <c r="I6093" s="13" t="s">
        <v>13250</v>
      </c>
      <c r="J6093" s="14" t="str">
        <f>HYPERLINK("https://www.boe.es/gazeta/dias/1839/04/27/pdfs/GMD-1839-1624.pdf#page=2","Abrir facsímil")</f>
        <v>Abrir facsímil</v>
      </c>
      <c r="K6093" s="12" t="s">
        <v>65</v>
      </c>
    </row>
    <row r="6094" spans="1:11" ht="40.049999999999997" customHeight="1" x14ac:dyDescent="0.25">
      <c r="A6094" s="11" t="s">
        <v>13251</v>
      </c>
      <c r="B6094" s="11" t="s">
        <v>13252</v>
      </c>
      <c r="C6094" s="11" t="s">
        <v>59</v>
      </c>
      <c r="D6094" s="11" t="s">
        <v>60</v>
      </c>
      <c r="E6094" s="12" t="s">
        <v>1378</v>
      </c>
      <c r="F6094" s="12" t="s">
        <v>1379</v>
      </c>
      <c r="G6094" s="12" t="s">
        <v>21</v>
      </c>
      <c r="H6094" s="11" t="s">
        <v>63</v>
      </c>
      <c r="I6094" s="13" t="s">
        <v>13253</v>
      </c>
      <c r="J6094" s="14" t="str">
        <f>HYPERLINK("https://www.boe.es/gazeta/dias/1839/05/18/pdfs/GMD-1839-1645.pdf#page=4","Abrir facsímil")</f>
        <v>Abrir facsímil</v>
      </c>
      <c r="K6094" s="12" t="s">
        <v>65</v>
      </c>
    </row>
    <row r="6095" spans="1:11" ht="40.049999999999997" customHeight="1" x14ac:dyDescent="0.25">
      <c r="A6095" s="11" t="s">
        <v>13254</v>
      </c>
      <c r="B6095" s="11" t="s">
        <v>13255</v>
      </c>
      <c r="C6095" s="11" t="s">
        <v>101</v>
      </c>
      <c r="D6095" s="11" t="s">
        <v>43</v>
      </c>
      <c r="E6095" s="12" t="s">
        <v>723</v>
      </c>
      <c r="F6095" s="12" t="s">
        <v>724</v>
      </c>
      <c r="G6095" s="12" t="s">
        <v>40</v>
      </c>
      <c r="H6095" s="11" t="s">
        <v>63</v>
      </c>
      <c r="I6095" s="13" t="s">
        <v>13256</v>
      </c>
      <c r="J6095" s="14" t="str">
        <f>HYPERLINK("https://www.boe.es/gazeta/dias/1839/09/26/pdfs/GMD-1839-1782.pdf#page=2","Abrir facsímil")</f>
        <v>Abrir facsímil</v>
      </c>
      <c r="K6095" s="12" t="s">
        <v>65</v>
      </c>
    </row>
    <row r="6096" spans="1:11" ht="40.049999999999997" customHeight="1" x14ac:dyDescent="0.25">
      <c r="A6096" s="11" t="s">
        <v>13257</v>
      </c>
      <c r="B6096" s="11" t="s">
        <v>13258</v>
      </c>
      <c r="C6096" s="11" t="s">
        <v>17</v>
      </c>
      <c r="D6096" s="11" t="s">
        <v>18</v>
      </c>
      <c r="E6096" s="12" t="s">
        <v>1685</v>
      </c>
      <c r="F6096" s="12" t="s">
        <v>1686</v>
      </c>
      <c r="G6096" s="12" t="s">
        <v>29</v>
      </c>
      <c r="H6096" s="11" t="s">
        <v>63</v>
      </c>
      <c r="I6096" s="13" t="s">
        <v>13259</v>
      </c>
      <c r="J6096" s="14" t="str">
        <f>HYPERLINK("https://www.boe.es/gazeta/dias/1839/04/27/pdfs/GMD-1839-1624.pdf#page=1","Abrir facsímil")</f>
        <v>Abrir facsímil</v>
      </c>
      <c r="K6096" s="12" t="s">
        <v>65</v>
      </c>
    </row>
    <row r="6097" spans="1:11" ht="40.049999999999997" customHeight="1" x14ac:dyDescent="0.25">
      <c r="A6097" s="11" t="s">
        <v>13260</v>
      </c>
      <c r="B6097" s="11" t="s">
        <v>13261</v>
      </c>
      <c r="C6097" s="11" t="s">
        <v>17</v>
      </c>
      <c r="D6097" s="11" t="s">
        <v>18</v>
      </c>
      <c r="E6097" s="12" t="s">
        <v>1144</v>
      </c>
      <c r="F6097" s="12" t="s">
        <v>1145</v>
      </c>
      <c r="G6097" s="12" t="s">
        <v>40</v>
      </c>
      <c r="H6097" s="11" t="s">
        <v>22</v>
      </c>
      <c r="I6097" s="13" t="s">
        <v>13262</v>
      </c>
      <c r="J6097" s="14" t="str">
        <f>HYPERLINK("https://www.boe.es/gazeta/dias/1839/08/13/pdfs/GMD-1839-1733.pdf#page=2","Abrir facsímil")</f>
        <v>Abrir facsímil</v>
      </c>
      <c r="K6097" s="12" t="s">
        <v>24</v>
      </c>
    </row>
    <row r="6098" spans="1:11" ht="40.049999999999997" customHeight="1" x14ac:dyDescent="0.25">
      <c r="A6098" s="11" t="s">
        <v>13263</v>
      </c>
      <c r="B6098" s="11" t="s">
        <v>13264</v>
      </c>
      <c r="C6098" s="11" t="s">
        <v>137</v>
      </c>
      <c r="D6098" s="11" t="s">
        <v>18</v>
      </c>
      <c r="E6098" s="12" t="s">
        <v>1512</v>
      </c>
      <c r="F6098" s="12" t="s">
        <v>1513</v>
      </c>
      <c r="G6098" s="12" t="s">
        <v>21</v>
      </c>
      <c r="H6098" s="11" t="s">
        <v>63</v>
      </c>
      <c r="I6098" s="13" t="s">
        <v>13265</v>
      </c>
      <c r="J6098" s="14" t="str">
        <f>HYPERLINK("https://www.boe.es/gazeta/dias/1839/04/13/pdfs/GMD-1839-1610.pdf#page=4","Abrir facsímil")</f>
        <v>Abrir facsímil</v>
      </c>
      <c r="K6098" s="12" t="s">
        <v>65</v>
      </c>
    </row>
    <row r="6099" spans="1:11" ht="40.049999999999997" customHeight="1" x14ac:dyDescent="0.25">
      <c r="A6099" s="11" t="s">
        <v>13266</v>
      </c>
      <c r="B6099" s="11" t="s">
        <v>13267</v>
      </c>
      <c r="C6099" s="11" t="s">
        <v>17</v>
      </c>
      <c r="D6099" s="11" t="s">
        <v>18</v>
      </c>
      <c r="E6099" s="12" t="s">
        <v>756</v>
      </c>
      <c r="F6099" s="12" t="s">
        <v>757</v>
      </c>
      <c r="G6099" s="12" t="s">
        <v>21</v>
      </c>
      <c r="H6099" s="11" t="s">
        <v>63</v>
      </c>
      <c r="I6099" s="13" t="s">
        <v>13268</v>
      </c>
      <c r="J6099" s="14" t="str">
        <f>HYPERLINK("https://www.boe.es/gazeta/dias/1839/12/17/pdfs/GMD-1839-1864.pdf#page=4","Abrir facsímil")</f>
        <v>Abrir facsímil</v>
      </c>
      <c r="K6099" s="12" t="s">
        <v>65</v>
      </c>
    </row>
    <row r="6100" spans="1:11" ht="40.049999999999997" customHeight="1" x14ac:dyDescent="0.25">
      <c r="A6100" s="11" t="s">
        <v>13269</v>
      </c>
      <c r="B6100" s="11" t="s">
        <v>13270</v>
      </c>
      <c r="C6100" s="11" t="s">
        <v>80</v>
      </c>
      <c r="D6100" s="11" t="s">
        <v>18</v>
      </c>
      <c r="E6100" s="12" t="s">
        <v>2301</v>
      </c>
      <c r="F6100" s="12" t="s">
        <v>2302</v>
      </c>
      <c r="G6100" s="12" t="s">
        <v>21</v>
      </c>
      <c r="H6100" s="11" t="s">
        <v>63</v>
      </c>
      <c r="I6100" s="13" t="s">
        <v>13271</v>
      </c>
      <c r="J6100" s="14" t="str">
        <f>HYPERLINK("https://www.boe.es/gazeta/dias/1839/09/08/pdfs/GMD-1839-1761.pdf#page=4","Abrir facsímil")</f>
        <v>Abrir facsímil</v>
      </c>
      <c r="K6100" s="12" t="s">
        <v>65</v>
      </c>
    </row>
    <row r="6101" spans="1:11" ht="40.049999999999997" customHeight="1" x14ac:dyDescent="0.25">
      <c r="A6101" s="11" t="s">
        <v>13272</v>
      </c>
      <c r="B6101" s="11" t="s">
        <v>13273</v>
      </c>
      <c r="C6101" s="11" t="s">
        <v>59</v>
      </c>
      <c r="D6101" s="11" t="s">
        <v>60</v>
      </c>
      <c r="E6101" s="12" t="s">
        <v>266</v>
      </c>
      <c r="F6101" s="12" t="s">
        <v>267</v>
      </c>
      <c r="G6101" s="12" t="s">
        <v>40</v>
      </c>
      <c r="H6101" s="11" t="s">
        <v>63</v>
      </c>
      <c r="I6101" s="13" t="s">
        <v>13274</v>
      </c>
      <c r="J6101" s="14" t="str">
        <f>HYPERLINK("https://www.boe.es/gazeta/dias/1839/01/03/pdfs/GMD-1839-1510.pdf#page=2","Abrir facsímil")</f>
        <v>Abrir facsímil</v>
      </c>
      <c r="K6101" s="12" t="s">
        <v>65</v>
      </c>
    </row>
    <row r="6102" spans="1:11" ht="40.049999999999997" customHeight="1" x14ac:dyDescent="0.25">
      <c r="A6102" s="11" t="s">
        <v>13275</v>
      </c>
      <c r="B6102" s="11" t="s">
        <v>13276</v>
      </c>
      <c r="C6102" s="11" t="s">
        <v>101</v>
      </c>
      <c r="D6102" s="11" t="s">
        <v>43</v>
      </c>
      <c r="E6102" s="12" t="s">
        <v>1988</v>
      </c>
      <c r="F6102" s="12" t="s">
        <v>1989</v>
      </c>
      <c r="G6102" s="12" t="s">
        <v>21</v>
      </c>
      <c r="H6102" s="11" t="s">
        <v>63</v>
      </c>
      <c r="I6102" s="13" t="s">
        <v>13277</v>
      </c>
      <c r="J6102" s="14" t="str">
        <f>HYPERLINK("https://www.boe.es/gazeta/dias/1839/10/29/pdfs/GMD-1839-1815.pdf#page=4","Abrir facsímil")</f>
        <v>Abrir facsímil</v>
      </c>
      <c r="K6102" s="12" t="s">
        <v>65</v>
      </c>
    </row>
    <row r="6103" spans="1:11" ht="40.049999999999997" customHeight="1" x14ac:dyDescent="0.25">
      <c r="A6103" s="11" t="s">
        <v>13278</v>
      </c>
      <c r="B6103" s="11" t="s">
        <v>13279</v>
      </c>
      <c r="C6103" s="11" t="s">
        <v>80</v>
      </c>
      <c r="D6103" s="11" t="s">
        <v>18</v>
      </c>
      <c r="E6103" s="12" t="s">
        <v>616</v>
      </c>
      <c r="F6103" s="12" t="s">
        <v>617</v>
      </c>
      <c r="G6103" s="12" t="s">
        <v>29</v>
      </c>
      <c r="H6103" s="11" t="s">
        <v>63</v>
      </c>
      <c r="I6103" s="13" t="s">
        <v>13280</v>
      </c>
      <c r="J6103" s="14" t="str">
        <f>HYPERLINK("https://www.boe.es/gazeta/dias/1839/05/29/pdfs/GMD-1839-1656.pdf#page=1","Abrir facsímil")</f>
        <v>Abrir facsímil</v>
      </c>
      <c r="K6103" s="12" t="s">
        <v>65</v>
      </c>
    </row>
    <row r="6104" spans="1:11" ht="40.049999999999997" customHeight="1" x14ac:dyDescent="0.25">
      <c r="A6104" s="11" t="s">
        <v>13281</v>
      </c>
      <c r="B6104" s="11" t="s">
        <v>13282</v>
      </c>
      <c r="C6104" s="11" t="s">
        <v>101</v>
      </c>
      <c r="D6104" s="11" t="s">
        <v>102</v>
      </c>
      <c r="E6104" s="12" t="s">
        <v>1118</v>
      </c>
      <c r="F6104" s="12" t="s">
        <v>1119</v>
      </c>
      <c r="G6104" s="12" t="s">
        <v>29</v>
      </c>
      <c r="H6104" s="11" t="s">
        <v>63</v>
      </c>
      <c r="I6104" s="13" t="s">
        <v>13283</v>
      </c>
      <c r="J6104" s="14" t="str">
        <f>HYPERLINK("https://www.boe.es/gazeta/dias/1839/08/30/pdfs/GMD-1839-1751.pdf#page=1","Abrir facsímil")</f>
        <v>Abrir facsímil</v>
      </c>
      <c r="K6104" s="12" t="s">
        <v>65</v>
      </c>
    </row>
    <row r="6105" spans="1:11" ht="40.049999999999997" customHeight="1" x14ac:dyDescent="0.25">
      <c r="A6105" s="11" t="s">
        <v>13284</v>
      </c>
      <c r="B6105" s="11" t="s">
        <v>13285</v>
      </c>
      <c r="C6105" s="11" t="s">
        <v>80</v>
      </c>
      <c r="D6105" s="11" t="s">
        <v>18</v>
      </c>
      <c r="E6105" s="12" t="s">
        <v>217</v>
      </c>
      <c r="F6105" s="12" t="s">
        <v>218</v>
      </c>
      <c r="G6105" s="12" t="s">
        <v>46</v>
      </c>
      <c r="H6105" s="11" t="s">
        <v>63</v>
      </c>
      <c r="I6105" s="13" t="s">
        <v>13286</v>
      </c>
      <c r="J6105" s="14" t="str">
        <f>HYPERLINK("https://www.boe.es/gazeta/dias/1839/08/06/pdfs/GMD-1839-1726.pdf#page=3","Abrir facsímil")</f>
        <v>Abrir facsímil</v>
      </c>
      <c r="K6105" s="12" t="s">
        <v>65</v>
      </c>
    </row>
    <row r="6106" spans="1:11" ht="40.049999999999997" customHeight="1" x14ac:dyDescent="0.25">
      <c r="A6106" s="11" t="s">
        <v>13287</v>
      </c>
      <c r="B6106" s="11" t="s">
        <v>13288</v>
      </c>
      <c r="C6106" s="11" t="s">
        <v>17</v>
      </c>
      <c r="D6106" s="11" t="s">
        <v>18</v>
      </c>
      <c r="E6106" s="12" t="s">
        <v>3601</v>
      </c>
      <c r="F6106" s="12" t="s">
        <v>3602</v>
      </c>
      <c r="G6106" s="12" t="s">
        <v>40</v>
      </c>
      <c r="H6106" s="11" t="s">
        <v>63</v>
      </c>
      <c r="I6106" s="13" t="s">
        <v>13289</v>
      </c>
      <c r="J6106" s="14" t="str">
        <f>HYPERLINK("https://www.boe.es/gazeta/dias/1839/03/21/pdfs/GMD-1839-1587.pdf#page=2","Abrir facsímil")</f>
        <v>Abrir facsímil</v>
      </c>
      <c r="K6106" s="12" t="s">
        <v>65</v>
      </c>
    </row>
    <row r="6107" spans="1:11" ht="40.049999999999997" customHeight="1" x14ac:dyDescent="0.25">
      <c r="A6107" s="11" t="s">
        <v>13290</v>
      </c>
      <c r="B6107" s="11" t="s">
        <v>13291</v>
      </c>
      <c r="C6107" s="11" t="s">
        <v>137</v>
      </c>
      <c r="D6107" s="11" t="s">
        <v>18</v>
      </c>
      <c r="E6107" s="12" t="s">
        <v>49</v>
      </c>
      <c r="F6107" s="12" t="s">
        <v>50</v>
      </c>
      <c r="G6107" s="12" t="s">
        <v>40</v>
      </c>
      <c r="H6107" s="11" t="s">
        <v>63</v>
      </c>
      <c r="I6107" s="13" t="s">
        <v>13292</v>
      </c>
      <c r="J6107" s="14" t="str">
        <f>HYPERLINK("https://www.boe.es/gazeta/dias/1839/01/05/pdfs/GMD-1839-1512.pdf#page=2","Abrir facsímil")</f>
        <v>Abrir facsímil</v>
      </c>
      <c r="K6107" s="12" t="s">
        <v>65</v>
      </c>
    </row>
    <row r="6108" spans="1:11" ht="40.049999999999997" customHeight="1" x14ac:dyDescent="0.25">
      <c r="A6108" s="11" t="s">
        <v>13293</v>
      </c>
      <c r="B6108" s="11" t="s">
        <v>13294</v>
      </c>
      <c r="C6108" s="11" t="s">
        <v>17</v>
      </c>
      <c r="D6108" s="11" t="s">
        <v>18</v>
      </c>
      <c r="E6108" s="12" t="s">
        <v>1685</v>
      </c>
      <c r="F6108" s="12" t="s">
        <v>1686</v>
      </c>
      <c r="G6108" s="12" t="s">
        <v>40</v>
      </c>
      <c r="H6108" s="11" t="s">
        <v>63</v>
      </c>
      <c r="I6108" s="13" t="s">
        <v>13295</v>
      </c>
      <c r="J6108" s="14" t="str">
        <f>HYPERLINK("https://www.boe.es/gazeta/dias/1839/04/27/pdfs/GMD-1839-1624.pdf#page=2","Abrir facsímil")</f>
        <v>Abrir facsímil</v>
      </c>
      <c r="K6108" s="12" t="s">
        <v>65</v>
      </c>
    </row>
    <row r="6109" spans="1:11" ht="40.049999999999997" customHeight="1" x14ac:dyDescent="0.25">
      <c r="A6109" s="11" t="s">
        <v>13296</v>
      </c>
      <c r="B6109" s="11" t="s">
        <v>13297</v>
      </c>
      <c r="C6109" s="11" t="s">
        <v>59</v>
      </c>
      <c r="D6109" s="11" t="s">
        <v>60</v>
      </c>
      <c r="E6109" s="12" t="s">
        <v>2522</v>
      </c>
      <c r="F6109" s="12" t="s">
        <v>2523</v>
      </c>
      <c r="G6109" s="12" t="s">
        <v>40</v>
      </c>
      <c r="H6109" s="11" t="s">
        <v>63</v>
      </c>
      <c r="I6109" s="13" t="s">
        <v>13298</v>
      </c>
      <c r="J6109" s="14" t="str">
        <f>HYPERLINK("https://www.boe.es/gazeta/dias/1839/12/29/pdfs/GMD-1839-1876.pdf#page=2","Abrir facsímil")</f>
        <v>Abrir facsímil</v>
      </c>
      <c r="K6109" s="12" t="s">
        <v>65</v>
      </c>
    </row>
    <row r="6110" spans="1:11" ht="40.049999999999997" customHeight="1" x14ac:dyDescent="0.25">
      <c r="A6110" s="11" t="s">
        <v>13299</v>
      </c>
      <c r="B6110" s="11" t="s">
        <v>13300</v>
      </c>
      <c r="C6110" s="11" t="s">
        <v>101</v>
      </c>
      <c r="D6110" s="11" t="s">
        <v>43</v>
      </c>
      <c r="E6110" s="12" t="s">
        <v>1749</v>
      </c>
      <c r="F6110" s="12" t="s">
        <v>1750</v>
      </c>
      <c r="G6110" s="12" t="s">
        <v>21</v>
      </c>
      <c r="H6110" s="11" t="s">
        <v>22</v>
      </c>
      <c r="I6110" s="13" t="s">
        <v>13301</v>
      </c>
      <c r="J6110" s="14" t="str">
        <f>HYPERLINK("https://www.boe.es/gazeta/dias/1839/06/28/pdfs/GMD-1839-1686.pdf#page=4","Abrir facsímil")</f>
        <v>Abrir facsímil</v>
      </c>
      <c r="K6110" s="12" t="s">
        <v>24</v>
      </c>
    </row>
    <row r="6111" spans="1:11" ht="40.049999999999997" customHeight="1" x14ac:dyDescent="0.25">
      <c r="A6111" s="11" t="s">
        <v>13302</v>
      </c>
      <c r="B6111" s="11" t="s">
        <v>13303</v>
      </c>
      <c r="C6111" s="11" t="s">
        <v>59</v>
      </c>
      <c r="D6111" s="11" t="s">
        <v>60</v>
      </c>
      <c r="E6111" s="12" t="s">
        <v>1108</v>
      </c>
      <c r="F6111" s="12" t="s">
        <v>1109</v>
      </c>
      <c r="G6111" s="12" t="s">
        <v>21</v>
      </c>
      <c r="H6111" s="11" t="s">
        <v>63</v>
      </c>
      <c r="I6111" s="13" t="s">
        <v>13304</v>
      </c>
      <c r="J6111" s="14" t="str">
        <f>HYPERLINK("https://www.boe.es/gazeta/dias/1839/09/21/pdfs/GMD-1839-1776.pdf#page=4","Abrir facsímil")</f>
        <v>Abrir facsímil</v>
      </c>
      <c r="K6111" s="12" t="s">
        <v>65</v>
      </c>
    </row>
    <row r="6112" spans="1:11" ht="40.049999999999997" customHeight="1" x14ac:dyDescent="0.25">
      <c r="A6112" s="11" t="s">
        <v>13305</v>
      </c>
      <c r="B6112" s="11" t="s">
        <v>13306</v>
      </c>
      <c r="C6112" s="11" t="s">
        <v>80</v>
      </c>
      <c r="D6112" s="11" t="s">
        <v>173</v>
      </c>
      <c r="E6112" s="12" t="s">
        <v>1729</v>
      </c>
      <c r="F6112" s="12" t="s">
        <v>1730</v>
      </c>
      <c r="G6112" s="12" t="s">
        <v>21</v>
      </c>
      <c r="H6112" s="11" t="s">
        <v>63</v>
      </c>
      <c r="I6112" s="13" t="s">
        <v>13307</v>
      </c>
      <c r="J6112" s="14" t="str">
        <f>HYPERLINK("https://www.boe.es/gazeta/dias/1839/04/25/pdfs/GMD-1839-1622.pdf#page=4","Abrir facsímil")</f>
        <v>Abrir facsímil</v>
      </c>
      <c r="K6112" s="12" t="s">
        <v>65</v>
      </c>
    </row>
    <row r="6113" spans="1:11" ht="40.049999999999997" customHeight="1" x14ac:dyDescent="0.25">
      <c r="A6113" s="11" t="s">
        <v>13308</v>
      </c>
      <c r="B6113" s="11" t="s">
        <v>13308</v>
      </c>
      <c r="C6113" s="11" t="s">
        <v>17</v>
      </c>
      <c r="D6113" s="11" t="s">
        <v>18</v>
      </c>
      <c r="E6113" s="12" t="s">
        <v>503</v>
      </c>
      <c r="F6113" s="12" t="s">
        <v>504</v>
      </c>
      <c r="G6113" s="12" t="s">
        <v>46</v>
      </c>
      <c r="H6113" s="11" t="s">
        <v>22</v>
      </c>
      <c r="I6113" s="13" t="s">
        <v>13309</v>
      </c>
      <c r="J6113" s="14" t="str">
        <f>HYPERLINK("https://www.boe.es/gazeta/dias/1839/06/07/pdfs/GMD-1839-1665.pdf#page=3","Abrir facsímil")</f>
        <v>Abrir facsímil</v>
      </c>
      <c r="K6113" s="12" t="s">
        <v>24</v>
      </c>
    </row>
    <row r="6114" spans="1:11" ht="40.049999999999997" customHeight="1" x14ac:dyDescent="0.25">
      <c r="A6114" s="11" t="s">
        <v>13308</v>
      </c>
      <c r="B6114" s="11" t="s">
        <v>13308</v>
      </c>
      <c r="C6114" s="11" t="s">
        <v>80</v>
      </c>
      <c r="D6114" s="11" t="s">
        <v>18</v>
      </c>
      <c r="E6114" s="12" t="s">
        <v>2415</v>
      </c>
      <c r="F6114" s="12" t="s">
        <v>2416</v>
      </c>
      <c r="G6114" s="12" t="s">
        <v>21</v>
      </c>
      <c r="H6114" s="11" t="s">
        <v>22</v>
      </c>
      <c r="I6114" s="13" t="s">
        <v>13310</v>
      </c>
      <c r="J6114" s="14" t="str">
        <f>HYPERLINK("https://www.boe.es/gazeta/dias/1839/12/22/pdfs/GMD-1839-1869.pdf#page=4","Abrir facsímil")</f>
        <v>Abrir facsímil</v>
      </c>
      <c r="K6114" s="12" t="s">
        <v>24</v>
      </c>
    </row>
    <row r="6115" spans="1:11" ht="40.049999999999997" customHeight="1" x14ac:dyDescent="0.25">
      <c r="A6115" s="11" t="s">
        <v>13311</v>
      </c>
      <c r="B6115" s="11" t="s">
        <v>13311</v>
      </c>
      <c r="C6115" s="11" t="s">
        <v>17</v>
      </c>
      <c r="D6115" s="11" t="s">
        <v>18</v>
      </c>
      <c r="E6115" s="12" t="s">
        <v>405</v>
      </c>
      <c r="F6115" s="12" t="s">
        <v>406</v>
      </c>
      <c r="G6115" s="12" t="s">
        <v>46</v>
      </c>
      <c r="H6115" s="11" t="s">
        <v>22</v>
      </c>
      <c r="I6115" s="13" t="s">
        <v>13312</v>
      </c>
      <c r="J6115" s="14" t="str">
        <f>HYPERLINK("https://www.boe.es/gazeta/dias/1839/03/25/pdfs/GMD-1839-1591.pdf#page=3","Abrir facsímil")</f>
        <v>Abrir facsímil</v>
      </c>
      <c r="K6115" s="12" t="s">
        <v>24</v>
      </c>
    </row>
    <row r="6116" spans="1:11" ht="40.049999999999997" customHeight="1" x14ac:dyDescent="0.25">
      <c r="A6116" s="11" t="s">
        <v>13313</v>
      </c>
      <c r="B6116" s="11" t="s">
        <v>13313</v>
      </c>
      <c r="C6116" s="11" t="s">
        <v>80</v>
      </c>
      <c r="D6116" s="11" t="s">
        <v>173</v>
      </c>
      <c r="E6116" s="12" t="s">
        <v>246</v>
      </c>
      <c r="F6116" s="12" t="s">
        <v>247</v>
      </c>
      <c r="G6116" s="12" t="s">
        <v>21</v>
      </c>
      <c r="H6116" s="11" t="s">
        <v>22</v>
      </c>
      <c r="I6116" s="13" t="s">
        <v>13314</v>
      </c>
      <c r="J6116" s="14" t="str">
        <f>HYPERLINK("https://www.boe.es/gazeta/dias/1839/11/24/pdfs/GMD-1839-1841.pdf#page=4","Abrir facsímil")</f>
        <v>Abrir facsímil</v>
      </c>
      <c r="K6116" s="12" t="s">
        <v>24</v>
      </c>
    </row>
    <row r="6117" spans="1:11" ht="40.049999999999997" customHeight="1" x14ac:dyDescent="0.25">
      <c r="A6117" s="11" t="s">
        <v>13315</v>
      </c>
      <c r="B6117" s="11" t="s">
        <v>13315</v>
      </c>
      <c r="C6117" s="11" t="s">
        <v>17</v>
      </c>
      <c r="D6117" s="11" t="s">
        <v>18</v>
      </c>
      <c r="E6117" s="12" t="s">
        <v>1565</v>
      </c>
      <c r="F6117" s="12" t="s">
        <v>1566</v>
      </c>
      <c r="G6117" s="12" t="s">
        <v>21</v>
      </c>
      <c r="H6117" s="11" t="s">
        <v>22</v>
      </c>
      <c r="I6117" s="13" t="s">
        <v>13316</v>
      </c>
      <c r="J6117" s="14" t="str">
        <f>HYPERLINK("https://www.boe.es/gazeta/dias/1839/06/17/pdfs/GMD-1839-1675.pdf#page=4","Abrir facsímil")</f>
        <v>Abrir facsímil</v>
      </c>
      <c r="K6117" s="12" t="s">
        <v>24</v>
      </c>
    </row>
    <row r="6118" spans="1:11" ht="40.049999999999997" customHeight="1" x14ac:dyDescent="0.25">
      <c r="A6118" s="11" t="s">
        <v>13317</v>
      </c>
      <c r="B6118" s="11" t="s">
        <v>13317</v>
      </c>
      <c r="C6118" s="11" t="s">
        <v>59</v>
      </c>
      <c r="D6118" s="11" t="s">
        <v>60</v>
      </c>
      <c r="E6118" s="12" t="s">
        <v>1433</v>
      </c>
      <c r="F6118" s="12" t="s">
        <v>1434</v>
      </c>
      <c r="G6118" s="12" t="s">
        <v>21</v>
      </c>
      <c r="H6118" s="11" t="s">
        <v>22</v>
      </c>
      <c r="I6118" s="13" t="s">
        <v>13318</v>
      </c>
      <c r="J6118" s="14" t="str">
        <f>HYPERLINK("https://www.boe.es/gazeta/dias/1839/10/22/pdfs/GMD-1839-1808.pdf#page=4","Abrir facsímil")</f>
        <v>Abrir facsímil</v>
      </c>
      <c r="K6118" s="12" t="s">
        <v>24</v>
      </c>
    </row>
    <row r="6119" spans="1:11" ht="40.049999999999997" customHeight="1" x14ac:dyDescent="0.25">
      <c r="A6119" s="11" t="s">
        <v>13319</v>
      </c>
      <c r="B6119" s="11" t="s">
        <v>13319</v>
      </c>
      <c r="C6119" s="11" t="s">
        <v>17</v>
      </c>
      <c r="D6119" s="11" t="s">
        <v>18</v>
      </c>
      <c r="E6119" s="12" t="s">
        <v>1631</v>
      </c>
      <c r="F6119" s="12" t="s">
        <v>1632</v>
      </c>
      <c r="G6119" s="12" t="s">
        <v>29</v>
      </c>
      <c r="H6119" s="11" t="s">
        <v>22</v>
      </c>
      <c r="I6119" s="13" t="s">
        <v>13320</v>
      </c>
      <c r="J6119" s="14" t="str">
        <f>HYPERLINK("https://www.boe.es/gazeta/dias/1839/05/10/pdfs/GMD-1839-1637.pdf#page=1","Abrir facsímil")</f>
        <v>Abrir facsímil</v>
      </c>
      <c r="K6119" s="12" t="s">
        <v>24</v>
      </c>
    </row>
    <row r="6120" spans="1:11" ht="40.049999999999997" customHeight="1" x14ac:dyDescent="0.25">
      <c r="A6120" s="11" t="s">
        <v>13319</v>
      </c>
      <c r="B6120" s="11" t="s">
        <v>13319</v>
      </c>
      <c r="C6120" s="11" t="s">
        <v>17</v>
      </c>
      <c r="D6120" s="11" t="s">
        <v>18</v>
      </c>
      <c r="E6120" s="12" t="s">
        <v>826</v>
      </c>
      <c r="F6120" s="12" t="s">
        <v>827</v>
      </c>
      <c r="G6120" s="12" t="s">
        <v>29</v>
      </c>
      <c r="H6120" s="11" t="s">
        <v>22</v>
      </c>
      <c r="I6120" s="13" t="s">
        <v>13321</v>
      </c>
      <c r="J6120" s="14" t="str">
        <f>HYPERLINK("https://www.boe.es/gazeta/dias/1839/09/25/pdfs/GMD-1839-1781.pdf#page=1","Abrir facsímil")</f>
        <v>Abrir facsímil</v>
      </c>
      <c r="K6120" s="12" t="s">
        <v>24</v>
      </c>
    </row>
    <row r="6121" spans="1:11" ht="40.049999999999997" customHeight="1" x14ac:dyDescent="0.25">
      <c r="A6121" s="11" t="s">
        <v>13322</v>
      </c>
      <c r="B6121" s="11" t="s">
        <v>13322</v>
      </c>
      <c r="C6121" s="11" t="s">
        <v>17</v>
      </c>
      <c r="D6121" s="11" t="s">
        <v>18</v>
      </c>
      <c r="E6121" s="12" t="s">
        <v>2138</v>
      </c>
      <c r="F6121" s="12" t="s">
        <v>2139</v>
      </c>
      <c r="G6121" s="12" t="s">
        <v>566</v>
      </c>
      <c r="H6121" s="11" t="s">
        <v>22</v>
      </c>
      <c r="I6121" s="13" t="s">
        <v>13323</v>
      </c>
      <c r="J6121" s="14" t="str">
        <f>HYPERLINK("https://www.boe.es/gazeta/dias/1839/10/02/pdfs/GMD-1839-1788.pdf#page=5","Abrir facsímil")</f>
        <v>Abrir facsímil</v>
      </c>
      <c r="K6121" s="12" t="s">
        <v>24</v>
      </c>
    </row>
    <row r="6122" spans="1:11" ht="40.049999999999997" customHeight="1" x14ac:dyDescent="0.25">
      <c r="A6122" s="11" t="s">
        <v>13324</v>
      </c>
      <c r="B6122" s="11" t="s">
        <v>13324</v>
      </c>
      <c r="C6122" s="11" t="s">
        <v>59</v>
      </c>
      <c r="D6122" s="11" t="s">
        <v>60</v>
      </c>
      <c r="E6122" s="12" t="s">
        <v>154</v>
      </c>
      <c r="F6122" s="12" t="s">
        <v>155</v>
      </c>
      <c r="G6122" s="12" t="s">
        <v>21</v>
      </c>
      <c r="H6122" s="11" t="s">
        <v>22</v>
      </c>
      <c r="I6122" s="13" t="s">
        <v>13325</v>
      </c>
      <c r="J6122" s="14" t="str">
        <f>HYPERLINK("https://www.boe.es/gazeta/dias/1839/02/02/pdfs/GMD-1839-1540.pdf#page=4","Abrir facsímil")</f>
        <v>Abrir facsímil</v>
      </c>
      <c r="K6122" s="12" t="s">
        <v>24</v>
      </c>
    </row>
    <row r="6123" spans="1:11" ht="40.049999999999997" customHeight="1" x14ac:dyDescent="0.25">
      <c r="A6123" s="11" t="s">
        <v>13324</v>
      </c>
      <c r="B6123" s="11" t="s">
        <v>13324</v>
      </c>
      <c r="C6123" s="11" t="s">
        <v>80</v>
      </c>
      <c r="D6123" s="11" t="s">
        <v>18</v>
      </c>
      <c r="E6123" s="12" t="s">
        <v>2155</v>
      </c>
      <c r="F6123" s="12" t="s">
        <v>2156</v>
      </c>
      <c r="G6123" s="12" t="s">
        <v>21</v>
      </c>
      <c r="H6123" s="11" t="s">
        <v>22</v>
      </c>
      <c r="I6123" s="13" t="s">
        <v>13326</v>
      </c>
      <c r="J6123" s="14" t="str">
        <f>HYPERLINK("https://www.boe.es/gazeta/dias/1839/01/17/pdfs/GMD-1839-1524.pdf#page=4","Abrir facsímil")</f>
        <v>Abrir facsímil</v>
      </c>
      <c r="K6123" s="12" t="s">
        <v>24</v>
      </c>
    </row>
    <row r="6124" spans="1:11" ht="40.049999999999997" customHeight="1" x14ac:dyDescent="0.25">
      <c r="A6124" s="11" t="s">
        <v>13324</v>
      </c>
      <c r="B6124" s="11" t="s">
        <v>13324</v>
      </c>
      <c r="C6124" s="11" t="s">
        <v>80</v>
      </c>
      <c r="D6124" s="11" t="s">
        <v>18</v>
      </c>
      <c r="E6124" s="12" t="s">
        <v>280</v>
      </c>
      <c r="F6124" s="12" t="s">
        <v>281</v>
      </c>
      <c r="G6124" s="12" t="s">
        <v>21</v>
      </c>
      <c r="H6124" s="11" t="s">
        <v>22</v>
      </c>
      <c r="I6124" s="13" t="s">
        <v>13327</v>
      </c>
      <c r="J6124" s="14" t="str">
        <f>HYPERLINK("https://www.boe.es/gazeta/dias/1839/08/21/pdfs/GMD-1839-1742.pdf#page=4","Abrir facsímil")</f>
        <v>Abrir facsímil</v>
      </c>
      <c r="K6124" s="12" t="s">
        <v>24</v>
      </c>
    </row>
    <row r="6125" spans="1:11" ht="40.049999999999997" customHeight="1" x14ac:dyDescent="0.25">
      <c r="A6125" s="11" t="s">
        <v>13328</v>
      </c>
      <c r="B6125" s="11" t="s">
        <v>13328</v>
      </c>
      <c r="C6125" s="11" t="s">
        <v>17</v>
      </c>
      <c r="D6125" s="11" t="s">
        <v>18</v>
      </c>
      <c r="E6125" s="12" t="s">
        <v>2432</v>
      </c>
      <c r="F6125" s="12" t="s">
        <v>2581</v>
      </c>
      <c r="G6125" s="12" t="s">
        <v>29</v>
      </c>
      <c r="H6125" s="11" t="s">
        <v>22</v>
      </c>
      <c r="I6125" s="13" t="s">
        <v>13329</v>
      </c>
      <c r="J6125" s="14" t="str">
        <f>HYPERLINK("https://www.boe.es/gazeta/dias/1839/07/23/pdfs/GMD-1839-1711.pdf#page=1","Abrir facsímil")</f>
        <v>Abrir facsímil</v>
      </c>
      <c r="K6125" s="12" t="s">
        <v>24</v>
      </c>
    </row>
    <row r="6126" spans="1:11" ht="40.049999999999997" customHeight="1" x14ac:dyDescent="0.25">
      <c r="A6126" s="11" t="s">
        <v>13330</v>
      </c>
      <c r="B6126" s="11" t="s">
        <v>13330</v>
      </c>
      <c r="C6126" s="11" t="s">
        <v>17</v>
      </c>
      <c r="D6126" s="11" t="s">
        <v>18</v>
      </c>
      <c r="E6126" s="12" t="s">
        <v>5138</v>
      </c>
      <c r="F6126" s="12" t="s">
        <v>5139</v>
      </c>
      <c r="G6126" s="12" t="s">
        <v>21</v>
      </c>
      <c r="H6126" s="11" t="s">
        <v>22</v>
      </c>
      <c r="I6126" s="13" t="s">
        <v>13331</v>
      </c>
      <c r="J6126" s="14" t="str">
        <f>HYPERLINK("https://www.boe.es/gazeta/dias/1839/08/15/pdfs/GMD-1839-1735.pdf#page=4","Abrir facsímil")</f>
        <v>Abrir facsímil</v>
      </c>
      <c r="K6126" s="12" t="s">
        <v>24</v>
      </c>
    </row>
    <row r="6127" spans="1:11" ht="40.049999999999997" customHeight="1" x14ac:dyDescent="0.25">
      <c r="A6127" s="11" t="s">
        <v>13332</v>
      </c>
      <c r="B6127" s="11" t="s">
        <v>13332</v>
      </c>
      <c r="C6127" s="11" t="s">
        <v>17</v>
      </c>
      <c r="D6127" s="11" t="s">
        <v>18</v>
      </c>
      <c r="E6127" s="12" t="s">
        <v>503</v>
      </c>
      <c r="F6127" s="12" t="s">
        <v>504</v>
      </c>
      <c r="G6127" s="12" t="s">
        <v>46</v>
      </c>
      <c r="H6127" s="11" t="s">
        <v>22</v>
      </c>
      <c r="I6127" s="13" t="s">
        <v>13333</v>
      </c>
      <c r="J6127" s="14" t="str">
        <f>HYPERLINK("https://www.boe.es/gazeta/dias/1839/06/07/pdfs/GMD-1839-1665.pdf#page=3","Abrir facsímil")</f>
        <v>Abrir facsímil</v>
      </c>
      <c r="K6127" s="12" t="s">
        <v>24</v>
      </c>
    </row>
    <row r="6128" spans="1:11" ht="40.049999999999997" customHeight="1" x14ac:dyDescent="0.25">
      <c r="A6128" s="11" t="s">
        <v>13332</v>
      </c>
      <c r="B6128" s="11" t="s">
        <v>13332</v>
      </c>
      <c r="C6128" s="11" t="s">
        <v>17</v>
      </c>
      <c r="D6128" s="11" t="s">
        <v>18</v>
      </c>
      <c r="E6128" s="12" t="s">
        <v>2881</v>
      </c>
      <c r="F6128" s="12" t="s">
        <v>2882</v>
      </c>
      <c r="G6128" s="12" t="s">
        <v>40</v>
      </c>
      <c r="H6128" s="11" t="s">
        <v>22</v>
      </c>
      <c r="I6128" s="13" t="s">
        <v>13334</v>
      </c>
      <c r="J6128" s="14" t="str">
        <f>HYPERLINK("https://www.boe.es/gazeta/dias/1839/05/08/pdfs/GMD-1839-1635.pdf#page=2","Abrir facsímil")</f>
        <v>Abrir facsímil</v>
      </c>
      <c r="K6128" s="12" t="s">
        <v>24</v>
      </c>
    </row>
    <row r="6129" spans="1:11" ht="40.049999999999997" customHeight="1" x14ac:dyDescent="0.25">
      <c r="A6129" s="11" t="s">
        <v>13332</v>
      </c>
      <c r="B6129" s="11" t="s">
        <v>13332</v>
      </c>
      <c r="C6129" s="11" t="s">
        <v>17</v>
      </c>
      <c r="D6129" s="11" t="s">
        <v>18</v>
      </c>
      <c r="E6129" s="12" t="s">
        <v>2069</v>
      </c>
      <c r="F6129" s="12" t="s">
        <v>2070</v>
      </c>
      <c r="G6129" s="12" t="s">
        <v>29</v>
      </c>
      <c r="H6129" s="11" t="s">
        <v>22</v>
      </c>
      <c r="I6129" s="13" t="s">
        <v>13335</v>
      </c>
      <c r="J6129" s="14" t="str">
        <f>HYPERLINK("https://www.boe.es/gazeta/dias/1839/10/20/pdfs/GMD-1839-1806.pdf#page=1","Abrir facsímil")</f>
        <v>Abrir facsímil</v>
      </c>
      <c r="K6129" s="12" t="s">
        <v>24</v>
      </c>
    </row>
    <row r="6130" spans="1:11" ht="40.049999999999997" customHeight="1" x14ac:dyDescent="0.25">
      <c r="A6130" s="11" t="s">
        <v>13332</v>
      </c>
      <c r="B6130" s="11" t="s">
        <v>13332</v>
      </c>
      <c r="C6130" s="11" t="s">
        <v>17</v>
      </c>
      <c r="D6130" s="11" t="s">
        <v>18</v>
      </c>
      <c r="E6130" s="12" t="s">
        <v>1584</v>
      </c>
      <c r="F6130" s="12" t="s">
        <v>1585</v>
      </c>
      <c r="G6130" s="12" t="s">
        <v>46</v>
      </c>
      <c r="H6130" s="11" t="s">
        <v>22</v>
      </c>
      <c r="I6130" s="13" t="s">
        <v>13336</v>
      </c>
      <c r="J6130" s="14" t="str">
        <f>HYPERLINK("https://www.boe.es/gazeta/dias/1839/11/20/pdfs/GMD-1839-1837.pdf#page=3","Abrir facsímil")</f>
        <v>Abrir facsímil</v>
      </c>
      <c r="K6130" s="12" t="s">
        <v>24</v>
      </c>
    </row>
    <row r="6131" spans="1:11" ht="40.049999999999997" customHeight="1" x14ac:dyDescent="0.25">
      <c r="A6131" s="11" t="s">
        <v>13332</v>
      </c>
      <c r="B6131" s="11" t="s">
        <v>13332</v>
      </c>
      <c r="C6131" s="11" t="s">
        <v>17</v>
      </c>
      <c r="D6131" s="11" t="s">
        <v>18</v>
      </c>
      <c r="E6131" s="12" t="s">
        <v>596</v>
      </c>
      <c r="F6131" s="12" t="s">
        <v>597</v>
      </c>
      <c r="G6131" s="12" t="s">
        <v>40</v>
      </c>
      <c r="H6131" s="11" t="s">
        <v>22</v>
      </c>
      <c r="I6131" s="13" t="s">
        <v>13337</v>
      </c>
      <c r="J6131" s="14" t="str">
        <f>HYPERLINK("https://www.boe.es/gazeta/dias/1839/01/23/pdfs/GMD-1839-1530.pdf#page=2","Abrir facsímil")</f>
        <v>Abrir facsímil</v>
      </c>
      <c r="K6131" s="12" t="s">
        <v>24</v>
      </c>
    </row>
    <row r="6132" spans="1:11" ht="40.049999999999997" customHeight="1" x14ac:dyDescent="0.25">
      <c r="A6132" s="11" t="s">
        <v>13332</v>
      </c>
      <c r="B6132" s="11" t="s">
        <v>13332</v>
      </c>
      <c r="C6132" s="11" t="s">
        <v>17</v>
      </c>
      <c r="D6132" s="11" t="s">
        <v>18</v>
      </c>
      <c r="E6132" s="12" t="s">
        <v>2432</v>
      </c>
      <c r="F6132" s="12" t="s">
        <v>2581</v>
      </c>
      <c r="G6132" s="12" t="s">
        <v>29</v>
      </c>
      <c r="H6132" s="11" t="s">
        <v>22</v>
      </c>
      <c r="I6132" s="13" t="s">
        <v>13338</v>
      </c>
      <c r="J6132" s="14" t="str">
        <f>HYPERLINK("https://www.boe.es/gazeta/dias/1839/07/23/pdfs/GMD-1839-1711.pdf#page=1","Abrir facsímil")</f>
        <v>Abrir facsímil</v>
      </c>
      <c r="K6132" s="12" t="s">
        <v>24</v>
      </c>
    </row>
    <row r="6133" spans="1:11" ht="40.049999999999997" customHeight="1" x14ac:dyDescent="0.25">
      <c r="A6133" s="11" t="s">
        <v>13332</v>
      </c>
      <c r="B6133" s="11" t="s">
        <v>13332</v>
      </c>
      <c r="C6133" s="11" t="s">
        <v>17</v>
      </c>
      <c r="D6133" s="11" t="s">
        <v>18</v>
      </c>
      <c r="E6133" s="12" t="s">
        <v>1149</v>
      </c>
      <c r="F6133" s="12" t="s">
        <v>1150</v>
      </c>
      <c r="G6133" s="12" t="s">
        <v>29</v>
      </c>
      <c r="H6133" s="11" t="s">
        <v>22</v>
      </c>
      <c r="I6133" s="13" t="s">
        <v>13339</v>
      </c>
      <c r="J6133" s="14" t="str">
        <f>HYPERLINK("https://www.boe.es/gazeta/dias/1839/06/25/pdfs/GMD-1839-1683.pdf#page=1","Abrir facsímil")</f>
        <v>Abrir facsímil</v>
      </c>
      <c r="K6133" s="12" t="s">
        <v>24</v>
      </c>
    </row>
    <row r="6134" spans="1:11" ht="40.049999999999997" customHeight="1" x14ac:dyDescent="0.25">
      <c r="A6134" s="11" t="s">
        <v>13340</v>
      </c>
      <c r="B6134" s="11" t="s">
        <v>13340</v>
      </c>
      <c r="C6134" s="11" t="s">
        <v>17</v>
      </c>
      <c r="D6134" s="11" t="s">
        <v>18</v>
      </c>
      <c r="E6134" s="12" t="s">
        <v>401</v>
      </c>
      <c r="F6134" s="12" t="s">
        <v>402</v>
      </c>
      <c r="G6134" s="12" t="s">
        <v>40</v>
      </c>
      <c r="H6134" s="11" t="s">
        <v>22</v>
      </c>
      <c r="I6134" s="13" t="s">
        <v>13341</v>
      </c>
      <c r="J6134" s="14" t="str">
        <f>HYPERLINK("https://www.boe.es/gazeta/dias/1839/03/29/pdfs/GMD-1839-1595.pdf#page=2","Abrir facsímil")</f>
        <v>Abrir facsímil</v>
      </c>
      <c r="K6134" s="12" t="s">
        <v>24</v>
      </c>
    </row>
    <row r="6135" spans="1:11" ht="40.049999999999997" customHeight="1" x14ac:dyDescent="0.25">
      <c r="A6135" s="11" t="s">
        <v>13342</v>
      </c>
      <c r="B6135" s="11" t="s">
        <v>13342</v>
      </c>
      <c r="C6135" s="11" t="s">
        <v>17</v>
      </c>
      <c r="D6135" s="11" t="s">
        <v>18</v>
      </c>
      <c r="E6135" s="12" t="s">
        <v>395</v>
      </c>
      <c r="F6135" s="12" t="s">
        <v>396</v>
      </c>
      <c r="G6135" s="12" t="s">
        <v>46</v>
      </c>
      <c r="H6135" s="11" t="s">
        <v>22</v>
      </c>
      <c r="I6135" s="13" t="s">
        <v>13343</v>
      </c>
      <c r="J6135" s="14" t="str">
        <f>HYPERLINK("https://www.boe.es/gazeta/dias/1839/03/15/pdfs/GMD-1839-1581.pdf#page=3","Abrir facsímil")</f>
        <v>Abrir facsímil</v>
      </c>
      <c r="K6135" s="12" t="s">
        <v>24</v>
      </c>
    </row>
    <row r="6136" spans="1:11" ht="40.049999999999997" customHeight="1" x14ac:dyDescent="0.25">
      <c r="A6136" s="11" t="s">
        <v>13344</v>
      </c>
      <c r="B6136" s="11" t="s">
        <v>13344</v>
      </c>
      <c r="C6136" s="11" t="s">
        <v>17</v>
      </c>
      <c r="D6136" s="11" t="s">
        <v>18</v>
      </c>
      <c r="E6136" s="12" t="s">
        <v>959</v>
      </c>
      <c r="F6136" s="12" t="s">
        <v>960</v>
      </c>
      <c r="G6136" s="12" t="s">
        <v>46</v>
      </c>
      <c r="H6136" s="11" t="s">
        <v>22</v>
      </c>
      <c r="I6136" s="13" t="s">
        <v>13345</v>
      </c>
      <c r="J6136" s="14" t="str">
        <f>HYPERLINK("https://www.boe.es/gazeta/dias/1839/12/06/pdfs/GMD-1839-1853.pdf#page=3","Abrir facsímil")</f>
        <v>Abrir facsímil</v>
      </c>
      <c r="K6136" s="12" t="s">
        <v>24</v>
      </c>
    </row>
    <row r="6137" spans="1:11" ht="40.049999999999997" customHeight="1" x14ac:dyDescent="0.25">
      <c r="A6137" s="11" t="s">
        <v>13346</v>
      </c>
      <c r="B6137" s="11" t="s">
        <v>13346</v>
      </c>
      <c r="C6137" s="11" t="s">
        <v>17</v>
      </c>
      <c r="D6137" s="11" t="s">
        <v>18</v>
      </c>
      <c r="E6137" s="12" t="s">
        <v>3289</v>
      </c>
      <c r="F6137" s="12" t="s">
        <v>3290</v>
      </c>
      <c r="G6137" s="12" t="s">
        <v>40</v>
      </c>
      <c r="H6137" s="11" t="s">
        <v>22</v>
      </c>
      <c r="I6137" s="13" t="s">
        <v>13347</v>
      </c>
      <c r="J6137" s="14" t="str">
        <f>HYPERLINK("https://www.boe.es/gazeta/dias/1839/12/10/pdfs/GMD-1839-1857.pdf#page=2","Abrir facsímil")</f>
        <v>Abrir facsímil</v>
      </c>
      <c r="K6137" s="12" t="s">
        <v>24</v>
      </c>
    </row>
    <row r="6138" spans="1:11" ht="40.049999999999997" customHeight="1" x14ac:dyDescent="0.25">
      <c r="A6138" s="11" t="s">
        <v>13348</v>
      </c>
      <c r="B6138" s="11" t="s">
        <v>13348</v>
      </c>
      <c r="C6138" s="11" t="s">
        <v>17</v>
      </c>
      <c r="D6138" s="11" t="s">
        <v>18</v>
      </c>
      <c r="E6138" s="12" t="s">
        <v>606</v>
      </c>
      <c r="F6138" s="12" t="s">
        <v>607</v>
      </c>
      <c r="G6138" s="12" t="s">
        <v>46</v>
      </c>
      <c r="H6138" s="11" t="s">
        <v>22</v>
      </c>
      <c r="I6138" s="13" t="s">
        <v>13349</v>
      </c>
      <c r="J6138" s="14" t="str">
        <f>HYPERLINK("https://www.boe.es/gazeta/dias/1839/04/02/pdfs/GMD-1839-1599.pdf#page=3","Abrir facsímil")</f>
        <v>Abrir facsímil</v>
      </c>
      <c r="K6138" s="12" t="s">
        <v>24</v>
      </c>
    </row>
    <row r="6139" spans="1:11" ht="40.049999999999997" customHeight="1" x14ac:dyDescent="0.25">
      <c r="A6139" s="11" t="s">
        <v>13348</v>
      </c>
      <c r="B6139" s="11" t="s">
        <v>13348</v>
      </c>
      <c r="C6139" s="11" t="s">
        <v>17</v>
      </c>
      <c r="D6139" s="11" t="s">
        <v>18</v>
      </c>
      <c r="E6139" s="12" t="s">
        <v>548</v>
      </c>
      <c r="F6139" s="12" t="s">
        <v>549</v>
      </c>
      <c r="G6139" s="12" t="s">
        <v>29</v>
      </c>
      <c r="H6139" s="11" t="s">
        <v>22</v>
      </c>
      <c r="I6139" s="13" t="s">
        <v>13350</v>
      </c>
      <c r="J6139" s="14" t="str">
        <f>HYPERLINK("https://www.boe.es/gazeta/dias/1839/06/06/pdfs/GMD-1839-1664.pdf#page=1","Abrir facsímil")</f>
        <v>Abrir facsímil</v>
      </c>
      <c r="K6139" s="12" t="s">
        <v>24</v>
      </c>
    </row>
    <row r="6140" spans="1:11" ht="40.049999999999997" customHeight="1" x14ac:dyDescent="0.25">
      <c r="A6140" s="11" t="s">
        <v>13348</v>
      </c>
      <c r="B6140" s="11" t="s">
        <v>13348</v>
      </c>
      <c r="C6140" s="11" t="s">
        <v>59</v>
      </c>
      <c r="D6140" s="11" t="s">
        <v>60</v>
      </c>
      <c r="E6140" s="12" t="s">
        <v>4186</v>
      </c>
      <c r="F6140" s="12" t="s">
        <v>4187</v>
      </c>
      <c r="G6140" s="12" t="s">
        <v>40</v>
      </c>
      <c r="H6140" s="11" t="s">
        <v>22</v>
      </c>
      <c r="I6140" s="13" t="s">
        <v>13351</v>
      </c>
      <c r="J6140" s="14" t="str">
        <f>HYPERLINK("https://www.boe.es/gazeta/dias/1839/12/12/pdfs/GMD-1839-1859.pdf#page=2","Abrir facsímil")</f>
        <v>Abrir facsímil</v>
      </c>
      <c r="K6140" s="12" t="s">
        <v>24</v>
      </c>
    </row>
    <row r="6141" spans="1:11" ht="40.049999999999997" customHeight="1" x14ac:dyDescent="0.25">
      <c r="A6141" s="11" t="s">
        <v>13348</v>
      </c>
      <c r="B6141" s="11" t="s">
        <v>13348</v>
      </c>
      <c r="C6141" s="11" t="s">
        <v>59</v>
      </c>
      <c r="D6141" s="11" t="s">
        <v>60</v>
      </c>
      <c r="E6141" s="12" t="s">
        <v>903</v>
      </c>
      <c r="F6141" s="12" t="s">
        <v>904</v>
      </c>
      <c r="G6141" s="12" t="s">
        <v>29</v>
      </c>
      <c r="H6141" s="11" t="s">
        <v>22</v>
      </c>
      <c r="I6141" s="13" t="s">
        <v>13352</v>
      </c>
      <c r="J6141" s="14" t="str">
        <f>HYPERLINK("https://www.boe.es/gazeta/dias/1839/03/14/pdfs/GMD-1839-1580.pdf#page=1","Abrir facsímil")</f>
        <v>Abrir facsímil</v>
      </c>
      <c r="K6141" s="12" t="s">
        <v>24</v>
      </c>
    </row>
    <row r="6142" spans="1:11" ht="40.049999999999997" customHeight="1" x14ac:dyDescent="0.25">
      <c r="A6142" s="11" t="s">
        <v>13353</v>
      </c>
      <c r="B6142" s="11" t="s">
        <v>13353</v>
      </c>
      <c r="C6142" s="11" t="s">
        <v>101</v>
      </c>
      <c r="D6142" s="11" t="s">
        <v>43</v>
      </c>
      <c r="E6142" s="12" t="s">
        <v>1460</v>
      </c>
      <c r="F6142" s="12" t="s">
        <v>1461</v>
      </c>
      <c r="G6142" s="12" t="s">
        <v>29</v>
      </c>
      <c r="H6142" s="11" t="s">
        <v>22</v>
      </c>
      <c r="I6142" s="13" t="s">
        <v>13354</v>
      </c>
      <c r="J6142" s="14" t="str">
        <f>HYPERLINK("https://www.boe.es/gazeta/dias/1839/03/01/pdfs/GMD-1839-1567.pdf#page=1","Abrir facsímil")</f>
        <v>Abrir facsímil</v>
      </c>
      <c r="K6142" s="12" t="s">
        <v>24</v>
      </c>
    </row>
    <row r="6143" spans="1:11" ht="40.049999999999997" customHeight="1" x14ac:dyDescent="0.25">
      <c r="A6143" s="11" t="s">
        <v>13353</v>
      </c>
      <c r="B6143" s="11" t="s">
        <v>13353</v>
      </c>
      <c r="C6143" s="11" t="s">
        <v>59</v>
      </c>
      <c r="D6143" s="11" t="s">
        <v>60</v>
      </c>
      <c r="E6143" s="12" t="s">
        <v>596</v>
      </c>
      <c r="F6143" s="12" t="s">
        <v>597</v>
      </c>
      <c r="G6143" s="12" t="s">
        <v>40</v>
      </c>
      <c r="H6143" s="11" t="s">
        <v>22</v>
      </c>
      <c r="I6143" s="13" t="s">
        <v>13355</v>
      </c>
      <c r="J6143" s="14" t="str">
        <f>HYPERLINK("https://www.boe.es/gazeta/dias/1839/01/23/pdfs/GMD-1839-1530.pdf#page=2","Abrir facsímil")</f>
        <v>Abrir facsímil</v>
      </c>
      <c r="K6143" s="12" t="s">
        <v>24</v>
      </c>
    </row>
    <row r="6144" spans="1:11" ht="40.049999999999997" customHeight="1" x14ac:dyDescent="0.25">
      <c r="A6144" s="11" t="s">
        <v>13353</v>
      </c>
      <c r="B6144" s="11" t="s">
        <v>13353</v>
      </c>
      <c r="C6144" s="11" t="s">
        <v>17</v>
      </c>
      <c r="D6144" s="11" t="s">
        <v>18</v>
      </c>
      <c r="E6144" s="12" t="s">
        <v>826</v>
      </c>
      <c r="F6144" s="12" t="s">
        <v>827</v>
      </c>
      <c r="G6144" s="12" t="s">
        <v>29</v>
      </c>
      <c r="H6144" s="11" t="s">
        <v>22</v>
      </c>
      <c r="I6144" s="13" t="s">
        <v>13356</v>
      </c>
      <c r="J6144" s="14" t="str">
        <f>HYPERLINK("https://www.boe.es/gazeta/dias/1839/09/25/pdfs/GMD-1839-1781.pdf#page=1","Abrir facsímil")</f>
        <v>Abrir facsímil</v>
      </c>
      <c r="K6144" s="12" t="s">
        <v>24</v>
      </c>
    </row>
    <row r="6145" spans="1:11" ht="40.049999999999997" customHeight="1" x14ac:dyDescent="0.25">
      <c r="A6145" s="11" t="s">
        <v>13357</v>
      </c>
      <c r="B6145" s="11" t="s">
        <v>13357</v>
      </c>
      <c r="C6145" s="11" t="s">
        <v>17</v>
      </c>
      <c r="D6145" s="11" t="s">
        <v>18</v>
      </c>
      <c r="E6145" s="12" t="s">
        <v>1584</v>
      </c>
      <c r="F6145" s="12" t="s">
        <v>1585</v>
      </c>
      <c r="G6145" s="12" t="s">
        <v>46</v>
      </c>
      <c r="H6145" s="11" t="s">
        <v>22</v>
      </c>
      <c r="I6145" s="13" t="s">
        <v>13358</v>
      </c>
      <c r="J6145" s="14" t="str">
        <f>HYPERLINK("https://www.boe.es/gazeta/dias/1839/11/20/pdfs/GMD-1839-1837.pdf#page=3","Abrir facsímil")</f>
        <v>Abrir facsímil</v>
      </c>
      <c r="K6145" s="12" t="s">
        <v>24</v>
      </c>
    </row>
    <row r="6146" spans="1:11" ht="40.049999999999997" customHeight="1" x14ac:dyDescent="0.25">
      <c r="A6146" s="11" t="s">
        <v>13357</v>
      </c>
      <c r="B6146" s="11" t="s">
        <v>13357</v>
      </c>
      <c r="C6146" s="11" t="s">
        <v>17</v>
      </c>
      <c r="D6146" s="11" t="s">
        <v>18</v>
      </c>
      <c r="E6146" s="12" t="s">
        <v>3601</v>
      </c>
      <c r="F6146" s="12" t="s">
        <v>3602</v>
      </c>
      <c r="G6146" s="12" t="s">
        <v>29</v>
      </c>
      <c r="H6146" s="11" t="s">
        <v>22</v>
      </c>
      <c r="I6146" s="13" t="s">
        <v>13359</v>
      </c>
      <c r="J6146" s="14" t="str">
        <f>HYPERLINK("https://www.boe.es/gazeta/dias/1839/03/21/pdfs/GMD-1839-1587.pdf#page=1","Abrir facsímil")</f>
        <v>Abrir facsímil</v>
      </c>
      <c r="K6146" s="12" t="s">
        <v>24</v>
      </c>
    </row>
    <row r="6147" spans="1:11" ht="40.049999999999997" customHeight="1" x14ac:dyDescent="0.25">
      <c r="A6147" s="11" t="s">
        <v>13360</v>
      </c>
      <c r="B6147" s="11" t="s">
        <v>13360</v>
      </c>
      <c r="C6147" s="11" t="s">
        <v>17</v>
      </c>
      <c r="D6147" s="11" t="s">
        <v>18</v>
      </c>
      <c r="E6147" s="12" t="s">
        <v>2432</v>
      </c>
      <c r="F6147" s="12" t="s">
        <v>2581</v>
      </c>
      <c r="G6147" s="12" t="s">
        <v>29</v>
      </c>
      <c r="H6147" s="11" t="s">
        <v>22</v>
      </c>
      <c r="I6147" s="13" t="s">
        <v>13361</v>
      </c>
      <c r="J6147" s="14" t="str">
        <f>HYPERLINK("https://www.boe.es/gazeta/dias/1839/07/23/pdfs/GMD-1839-1711.pdf#page=1","Abrir facsímil")</f>
        <v>Abrir facsímil</v>
      </c>
      <c r="K6147" s="12" t="s">
        <v>24</v>
      </c>
    </row>
    <row r="6148" spans="1:11" ht="40.049999999999997" customHeight="1" x14ac:dyDescent="0.25">
      <c r="A6148" s="11" t="s">
        <v>13362</v>
      </c>
      <c r="B6148" s="11" t="s">
        <v>13362</v>
      </c>
      <c r="C6148" s="11" t="s">
        <v>59</v>
      </c>
      <c r="D6148" s="11" t="s">
        <v>60</v>
      </c>
      <c r="E6148" s="12" t="s">
        <v>716</v>
      </c>
      <c r="F6148" s="12" t="s">
        <v>717</v>
      </c>
      <c r="G6148" s="12" t="s">
        <v>40</v>
      </c>
      <c r="H6148" s="11" t="s">
        <v>22</v>
      </c>
      <c r="I6148" s="13" t="s">
        <v>13363</v>
      </c>
      <c r="J6148" s="14" t="str">
        <f>HYPERLINK("https://www.boe.es/gazeta/dias/1839/07/30/pdfs/GMD-1839-1719.pdf#page=2","Abrir facsímil")</f>
        <v>Abrir facsímil</v>
      </c>
      <c r="K6148" s="12" t="s">
        <v>24</v>
      </c>
    </row>
    <row r="6149" spans="1:11" ht="40.049999999999997" customHeight="1" x14ac:dyDescent="0.25">
      <c r="A6149" s="11" t="s">
        <v>13364</v>
      </c>
      <c r="B6149" s="11" t="s">
        <v>13364</v>
      </c>
      <c r="C6149" s="11" t="s">
        <v>17</v>
      </c>
      <c r="D6149" s="11" t="s">
        <v>18</v>
      </c>
      <c r="E6149" s="12" t="s">
        <v>1929</v>
      </c>
      <c r="F6149" s="12" t="s">
        <v>1930</v>
      </c>
      <c r="G6149" s="12" t="s">
        <v>40</v>
      </c>
      <c r="H6149" s="11" t="s">
        <v>22</v>
      </c>
      <c r="I6149" s="13" t="s">
        <v>13365</v>
      </c>
      <c r="J6149" s="14" t="str">
        <f>HYPERLINK("https://www.boe.es/gazeta/dias/1839/02/01/pdfs/GMD-1839-1539.pdf#page=2","Abrir facsímil")</f>
        <v>Abrir facsímil</v>
      </c>
      <c r="K6149" s="12" t="s">
        <v>24</v>
      </c>
    </row>
    <row r="6150" spans="1:11" ht="40.049999999999997" customHeight="1" x14ac:dyDescent="0.25">
      <c r="A6150" s="11" t="s">
        <v>13364</v>
      </c>
      <c r="B6150" s="11" t="s">
        <v>13364</v>
      </c>
      <c r="C6150" s="11" t="s">
        <v>17</v>
      </c>
      <c r="D6150" s="11" t="s">
        <v>18</v>
      </c>
      <c r="E6150" s="12" t="s">
        <v>154</v>
      </c>
      <c r="F6150" s="12" t="s">
        <v>155</v>
      </c>
      <c r="G6150" s="12" t="s">
        <v>40</v>
      </c>
      <c r="H6150" s="11" t="s">
        <v>22</v>
      </c>
      <c r="I6150" s="13" t="s">
        <v>13366</v>
      </c>
      <c r="J6150" s="14" t="str">
        <f>HYPERLINK("https://www.boe.es/gazeta/dias/1839/02/02/pdfs/GMD-1839-1540.pdf#page=2","Abrir facsímil")</f>
        <v>Abrir facsímil</v>
      </c>
      <c r="K6150" s="12" t="s">
        <v>24</v>
      </c>
    </row>
    <row r="6151" spans="1:11" ht="40.049999999999997" customHeight="1" x14ac:dyDescent="0.25">
      <c r="A6151" s="11" t="s">
        <v>13364</v>
      </c>
      <c r="B6151" s="11" t="s">
        <v>13364</v>
      </c>
      <c r="C6151" s="11" t="s">
        <v>59</v>
      </c>
      <c r="D6151" s="11" t="s">
        <v>60</v>
      </c>
      <c r="E6151" s="12" t="s">
        <v>154</v>
      </c>
      <c r="F6151" s="12" t="s">
        <v>155</v>
      </c>
      <c r="G6151" s="12" t="s">
        <v>46</v>
      </c>
      <c r="H6151" s="11" t="s">
        <v>22</v>
      </c>
      <c r="I6151" s="13" t="s">
        <v>13367</v>
      </c>
      <c r="J6151" s="14" t="str">
        <f>HYPERLINK("https://www.boe.es/gazeta/dias/1839/02/02/pdfs/GMD-1839-1540.pdf#page=3","Abrir facsímil")</f>
        <v>Abrir facsímil</v>
      </c>
      <c r="K6151" s="12" t="s">
        <v>24</v>
      </c>
    </row>
    <row r="6152" spans="1:11" ht="40.049999999999997" customHeight="1" x14ac:dyDescent="0.25">
      <c r="A6152" s="11" t="s">
        <v>13364</v>
      </c>
      <c r="B6152" s="11" t="s">
        <v>13364</v>
      </c>
      <c r="C6152" s="11" t="s">
        <v>17</v>
      </c>
      <c r="D6152" s="11" t="s">
        <v>18</v>
      </c>
      <c r="E6152" s="12" t="s">
        <v>2165</v>
      </c>
      <c r="F6152" s="12" t="s">
        <v>2166</v>
      </c>
      <c r="G6152" s="12" t="s">
        <v>46</v>
      </c>
      <c r="H6152" s="11" t="s">
        <v>22</v>
      </c>
      <c r="I6152" s="13" t="s">
        <v>13368</v>
      </c>
      <c r="J6152" s="14" t="str">
        <f>HYPERLINK("https://www.boe.es/gazeta/dias/1839/01/06/pdfs/GMD-1839-1513.pdf#page=3","Abrir facsímil")</f>
        <v>Abrir facsímil</v>
      </c>
      <c r="K6152" s="12" t="s">
        <v>24</v>
      </c>
    </row>
    <row r="6153" spans="1:11" ht="40.049999999999997" customHeight="1" x14ac:dyDescent="0.25">
      <c r="A6153" s="11" t="s">
        <v>13364</v>
      </c>
      <c r="B6153" s="11" t="s">
        <v>13364</v>
      </c>
      <c r="C6153" s="11" t="s">
        <v>17</v>
      </c>
      <c r="D6153" s="11" t="s">
        <v>18</v>
      </c>
      <c r="E6153" s="12" t="s">
        <v>68</v>
      </c>
      <c r="F6153" s="12" t="s">
        <v>69</v>
      </c>
      <c r="G6153" s="12" t="s">
        <v>46</v>
      </c>
      <c r="H6153" s="11" t="s">
        <v>22</v>
      </c>
      <c r="I6153" s="13" t="s">
        <v>13369</v>
      </c>
      <c r="J6153" s="14" t="str">
        <f>HYPERLINK("https://www.boe.es/gazeta/dias/1839/02/09/pdfs/GMD-1839-1547.pdf#page=3","Abrir facsímil")</f>
        <v>Abrir facsímil</v>
      </c>
      <c r="K6153" s="12" t="s">
        <v>24</v>
      </c>
    </row>
    <row r="6154" spans="1:11" ht="40.049999999999997" customHeight="1" x14ac:dyDescent="0.25">
      <c r="A6154" s="11" t="s">
        <v>13364</v>
      </c>
      <c r="B6154" s="11" t="s">
        <v>13364</v>
      </c>
      <c r="C6154" s="11" t="s">
        <v>17</v>
      </c>
      <c r="D6154" s="11" t="s">
        <v>18</v>
      </c>
      <c r="E6154" s="12" t="s">
        <v>1069</v>
      </c>
      <c r="F6154" s="12" t="s">
        <v>1070</v>
      </c>
      <c r="G6154" s="12" t="s">
        <v>46</v>
      </c>
      <c r="H6154" s="11" t="s">
        <v>22</v>
      </c>
      <c r="I6154" s="13" t="s">
        <v>13370</v>
      </c>
      <c r="J6154" s="14" t="str">
        <f>HYPERLINK("https://www.boe.es/gazeta/dias/1839/10/15/pdfs/GMD-1839-1801.pdf#page=3","Abrir facsímil")</f>
        <v>Abrir facsímil</v>
      </c>
      <c r="K6154" s="12" t="s">
        <v>24</v>
      </c>
    </row>
    <row r="6155" spans="1:11" ht="40.049999999999997" customHeight="1" x14ac:dyDescent="0.25">
      <c r="A6155" s="11" t="s">
        <v>13364</v>
      </c>
      <c r="B6155" s="11" t="s">
        <v>13364</v>
      </c>
      <c r="C6155" s="11" t="s">
        <v>101</v>
      </c>
      <c r="D6155" s="11" t="s">
        <v>43</v>
      </c>
      <c r="E6155" s="12" t="s">
        <v>1287</v>
      </c>
      <c r="F6155" s="12" t="s">
        <v>1288</v>
      </c>
      <c r="G6155" s="12" t="s">
        <v>40</v>
      </c>
      <c r="H6155" s="11" t="s">
        <v>22</v>
      </c>
      <c r="I6155" s="13" t="s">
        <v>13371</v>
      </c>
      <c r="J6155" s="14" t="str">
        <f>HYPERLINK("https://www.boe.es/gazeta/dias/1839/10/30/pdfs/GMD-1839-1816.pdf#page=2","Abrir facsímil")</f>
        <v>Abrir facsímil</v>
      </c>
      <c r="K6155" s="12" t="s">
        <v>24</v>
      </c>
    </row>
    <row r="6156" spans="1:11" ht="40.049999999999997" customHeight="1" x14ac:dyDescent="0.25">
      <c r="A6156" s="11" t="s">
        <v>13372</v>
      </c>
      <c r="B6156" s="11" t="s">
        <v>13372</v>
      </c>
      <c r="C6156" s="11" t="s">
        <v>17</v>
      </c>
      <c r="D6156" s="11" t="s">
        <v>18</v>
      </c>
      <c r="E6156" s="12" t="s">
        <v>1929</v>
      </c>
      <c r="F6156" s="12" t="s">
        <v>1930</v>
      </c>
      <c r="G6156" s="12" t="s">
        <v>21</v>
      </c>
      <c r="H6156" s="11" t="s">
        <v>22</v>
      </c>
      <c r="I6156" s="13" t="s">
        <v>13373</v>
      </c>
      <c r="J6156" s="14" t="str">
        <f>HYPERLINK("https://www.boe.es/gazeta/dias/1839/02/01/pdfs/GMD-1839-1539.pdf#page=4","Abrir facsímil")</f>
        <v>Abrir facsímil</v>
      </c>
      <c r="K6156" s="12" t="s">
        <v>24</v>
      </c>
    </row>
    <row r="6157" spans="1:11" ht="40.049999999999997" customHeight="1" x14ac:dyDescent="0.25">
      <c r="A6157" s="11" t="s">
        <v>13374</v>
      </c>
      <c r="B6157" s="11" t="s">
        <v>13374</v>
      </c>
      <c r="C6157" s="11" t="s">
        <v>80</v>
      </c>
      <c r="D6157" s="11" t="s">
        <v>18</v>
      </c>
      <c r="E6157" s="12" t="s">
        <v>181</v>
      </c>
      <c r="F6157" s="12" t="s">
        <v>182</v>
      </c>
      <c r="G6157" s="12" t="s">
        <v>29</v>
      </c>
      <c r="H6157" s="11" t="s">
        <v>22</v>
      </c>
      <c r="I6157" s="13" t="s">
        <v>13375</v>
      </c>
      <c r="J6157" s="14" t="str">
        <f>HYPERLINK("https://www.boe.es/gazeta/dias/1839/01/11/pdfs/GMD-1839-1518.pdf#page=1","Abrir facsímil")</f>
        <v>Abrir facsímil</v>
      </c>
      <c r="K6157" s="12" t="s">
        <v>24</v>
      </c>
    </row>
    <row r="6158" spans="1:11" ht="40.049999999999997" customHeight="1" x14ac:dyDescent="0.25">
      <c r="A6158" s="11" t="s">
        <v>13374</v>
      </c>
      <c r="B6158" s="11" t="s">
        <v>13374</v>
      </c>
      <c r="C6158" s="11" t="s">
        <v>80</v>
      </c>
      <c r="D6158" s="11" t="s">
        <v>18</v>
      </c>
      <c r="E6158" s="12" t="s">
        <v>312</v>
      </c>
      <c r="F6158" s="12" t="s">
        <v>313</v>
      </c>
      <c r="G6158" s="12" t="s">
        <v>21</v>
      </c>
      <c r="H6158" s="11" t="s">
        <v>22</v>
      </c>
      <c r="I6158" s="13" t="s">
        <v>13376</v>
      </c>
      <c r="J6158" s="14" t="str">
        <f>HYPERLINK("https://www.boe.es/gazeta/dias/1839/11/30/pdfs/GMD-1839-1847.pdf#page=4","Abrir facsímil")</f>
        <v>Abrir facsímil</v>
      </c>
      <c r="K6158" s="12" t="s">
        <v>24</v>
      </c>
    </row>
    <row r="6159" spans="1:11" ht="40.049999999999997" customHeight="1" x14ac:dyDescent="0.25">
      <c r="A6159" s="11" t="s">
        <v>13377</v>
      </c>
      <c r="B6159" s="11" t="s">
        <v>13377</v>
      </c>
      <c r="C6159" s="11" t="s">
        <v>17</v>
      </c>
      <c r="D6159" s="11" t="s">
        <v>18</v>
      </c>
      <c r="E6159" s="12" t="s">
        <v>668</v>
      </c>
      <c r="F6159" s="12" t="s">
        <v>669</v>
      </c>
      <c r="G6159" s="12" t="s">
        <v>21</v>
      </c>
      <c r="H6159" s="11" t="s">
        <v>22</v>
      </c>
      <c r="I6159" s="13" t="s">
        <v>13378</v>
      </c>
      <c r="J6159" s="14" t="str">
        <f>HYPERLINK("https://www.boe.es/gazeta/dias/1839/03/28/pdfs/GMD-1839-1594.pdf#page=4","Abrir facsímil")</f>
        <v>Abrir facsímil</v>
      </c>
      <c r="K6159" s="12" t="s">
        <v>24</v>
      </c>
    </row>
    <row r="6160" spans="1:11" ht="40.049999999999997" customHeight="1" x14ac:dyDescent="0.25">
      <c r="A6160" s="11" t="s">
        <v>13379</v>
      </c>
      <c r="B6160" s="11" t="s">
        <v>13379</v>
      </c>
      <c r="C6160" s="11" t="s">
        <v>17</v>
      </c>
      <c r="D6160" s="11" t="s">
        <v>18</v>
      </c>
      <c r="E6160" s="12" t="s">
        <v>1682</v>
      </c>
      <c r="F6160" s="12" t="s">
        <v>1683</v>
      </c>
      <c r="G6160" s="12" t="s">
        <v>21</v>
      </c>
      <c r="H6160" s="11" t="s">
        <v>22</v>
      </c>
      <c r="I6160" s="13" t="s">
        <v>13380</v>
      </c>
      <c r="J6160" s="14" t="str">
        <f>HYPERLINK("https://www.boe.es/gazeta/dias/1839/12/26/pdfs/GMD-1839-1873.pdf#page=4","Abrir facsímil")</f>
        <v>Abrir facsímil</v>
      </c>
      <c r="K6160" s="12" t="s">
        <v>24</v>
      </c>
    </row>
    <row r="6161" spans="1:11" ht="40.049999999999997" customHeight="1" x14ac:dyDescent="0.25">
      <c r="A6161" s="11" t="s">
        <v>13381</v>
      </c>
      <c r="B6161" s="11" t="s">
        <v>13381</v>
      </c>
      <c r="C6161" s="11" t="s">
        <v>17</v>
      </c>
      <c r="D6161" s="11" t="s">
        <v>18</v>
      </c>
      <c r="E6161" s="12" t="s">
        <v>888</v>
      </c>
      <c r="F6161" s="12" t="s">
        <v>889</v>
      </c>
      <c r="G6161" s="12" t="s">
        <v>40</v>
      </c>
      <c r="H6161" s="11" t="s">
        <v>22</v>
      </c>
      <c r="I6161" s="13" t="s">
        <v>13382</v>
      </c>
      <c r="J6161" s="14" t="str">
        <f>HYPERLINK("https://www.boe.es/gazeta/dias/1839/05/14/pdfs/GMD-1839-1641.pdf#page=2","Abrir facsímil")</f>
        <v>Abrir facsímil</v>
      </c>
      <c r="K6161" s="12" t="s">
        <v>24</v>
      </c>
    </row>
    <row r="6162" spans="1:11" ht="40.049999999999997" customHeight="1" x14ac:dyDescent="0.25">
      <c r="A6162" s="11" t="s">
        <v>13381</v>
      </c>
      <c r="B6162" s="11" t="s">
        <v>13381</v>
      </c>
      <c r="C6162" s="11" t="s">
        <v>80</v>
      </c>
      <c r="D6162" s="11" t="s">
        <v>18</v>
      </c>
      <c r="E6162" s="12" t="s">
        <v>355</v>
      </c>
      <c r="F6162" s="12" t="s">
        <v>356</v>
      </c>
      <c r="G6162" s="12" t="s">
        <v>40</v>
      </c>
      <c r="H6162" s="11" t="s">
        <v>22</v>
      </c>
      <c r="I6162" s="13" t="s">
        <v>13383</v>
      </c>
      <c r="J6162" s="14" t="str">
        <f>HYPERLINK("https://www.boe.es/gazeta/dias/1839/05/31/pdfs/GMD-1839-1658.pdf#page=2","Abrir facsímil")</f>
        <v>Abrir facsímil</v>
      </c>
      <c r="K6162" s="12" t="s">
        <v>24</v>
      </c>
    </row>
    <row r="6163" spans="1:11" ht="40.049999999999997" customHeight="1" x14ac:dyDescent="0.25">
      <c r="A6163" s="11" t="s">
        <v>13384</v>
      </c>
      <c r="B6163" s="11" t="s">
        <v>13384</v>
      </c>
      <c r="C6163" s="11" t="s">
        <v>137</v>
      </c>
      <c r="D6163" s="11" t="s">
        <v>18</v>
      </c>
      <c r="E6163" s="12" t="s">
        <v>1523</v>
      </c>
      <c r="F6163" s="12" t="s">
        <v>1524</v>
      </c>
      <c r="G6163" s="12" t="s">
        <v>21</v>
      </c>
      <c r="H6163" s="11" t="s">
        <v>22</v>
      </c>
      <c r="I6163" s="13" t="s">
        <v>13385</v>
      </c>
      <c r="J6163" s="14" t="str">
        <f>HYPERLINK("https://www.boe.es/gazeta/dias/1839/08/29/pdfs/GMD-1839-1750.pdf#page=4","Abrir facsímil")</f>
        <v>Abrir facsímil</v>
      </c>
      <c r="K6163" s="12" t="s">
        <v>24</v>
      </c>
    </row>
    <row r="6164" spans="1:11" ht="40.049999999999997" customHeight="1" x14ac:dyDescent="0.25">
      <c r="A6164" s="11" t="s">
        <v>13386</v>
      </c>
      <c r="B6164" s="11" t="s">
        <v>13386</v>
      </c>
      <c r="C6164" s="11" t="s">
        <v>17</v>
      </c>
      <c r="D6164" s="11" t="s">
        <v>18</v>
      </c>
      <c r="E6164" s="12" t="s">
        <v>548</v>
      </c>
      <c r="F6164" s="12" t="s">
        <v>549</v>
      </c>
      <c r="G6164" s="12" t="s">
        <v>21</v>
      </c>
      <c r="H6164" s="11" t="s">
        <v>22</v>
      </c>
      <c r="I6164" s="13" t="s">
        <v>13387</v>
      </c>
      <c r="J6164" s="14" t="str">
        <f>HYPERLINK("https://www.boe.es/gazeta/dias/1839/06/06/pdfs/GMD-1839-1664.pdf#page=4","Abrir facsímil")</f>
        <v>Abrir facsímil</v>
      </c>
      <c r="K6164" s="12" t="s">
        <v>24</v>
      </c>
    </row>
    <row r="6165" spans="1:11" ht="40.049999999999997" customHeight="1" x14ac:dyDescent="0.25">
      <c r="A6165" s="11" t="s">
        <v>13386</v>
      </c>
      <c r="B6165" s="11" t="s">
        <v>13386</v>
      </c>
      <c r="C6165" s="11" t="s">
        <v>137</v>
      </c>
      <c r="D6165" s="11" t="s">
        <v>18</v>
      </c>
      <c r="E6165" s="12" t="s">
        <v>1685</v>
      </c>
      <c r="F6165" s="12" t="s">
        <v>1686</v>
      </c>
      <c r="G6165" s="12" t="s">
        <v>21</v>
      </c>
      <c r="H6165" s="11" t="s">
        <v>22</v>
      </c>
      <c r="I6165" s="13" t="s">
        <v>13388</v>
      </c>
      <c r="J6165" s="14" t="str">
        <f>HYPERLINK("https://www.boe.es/gazeta/dias/1839/04/27/pdfs/GMD-1839-1624.pdf#page=4","Abrir facsímil")</f>
        <v>Abrir facsímil</v>
      </c>
      <c r="K6165" s="12" t="s">
        <v>24</v>
      </c>
    </row>
    <row r="6166" spans="1:11" ht="40.049999999999997" customHeight="1" x14ac:dyDescent="0.25">
      <c r="A6166" s="11" t="s">
        <v>13389</v>
      </c>
      <c r="B6166" s="11" t="s">
        <v>13389</v>
      </c>
      <c r="C6166" s="11" t="s">
        <v>17</v>
      </c>
      <c r="D6166" s="11" t="s">
        <v>43</v>
      </c>
      <c r="E6166" s="12" t="s">
        <v>3224</v>
      </c>
      <c r="F6166" s="12" t="s">
        <v>3225</v>
      </c>
      <c r="G6166" s="12" t="s">
        <v>21</v>
      </c>
      <c r="H6166" s="11" t="s">
        <v>22</v>
      </c>
      <c r="I6166" s="13" t="s">
        <v>13390</v>
      </c>
      <c r="J6166" s="14" t="str">
        <f>HYPERLINK("https://www.boe.es/gazeta/dias/1839/06/03/pdfs/GMD-1839-1661.pdf#page=4","Abrir facsímil")</f>
        <v>Abrir facsímil</v>
      </c>
      <c r="K6166" s="12" t="s">
        <v>24</v>
      </c>
    </row>
    <row r="6167" spans="1:11" ht="40.049999999999997" customHeight="1" x14ac:dyDescent="0.25">
      <c r="A6167" s="11" t="s">
        <v>13391</v>
      </c>
      <c r="B6167" s="11" t="s">
        <v>13391</v>
      </c>
      <c r="C6167" s="11" t="s">
        <v>17</v>
      </c>
      <c r="D6167" s="11" t="s">
        <v>18</v>
      </c>
      <c r="E6167" s="12" t="s">
        <v>349</v>
      </c>
      <c r="F6167" s="12" t="s">
        <v>350</v>
      </c>
      <c r="G6167" s="12" t="s">
        <v>21</v>
      </c>
      <c r="H6167" s="11" t="s">
        <v>22</v>
      </c>
      <c r="I6167" s="13" t="s">
        <v>13392</v>
      </c>
      <c r="J6167" s="14" t="str">
        <f>HYPERLINK("https://www.boe.es/gazeta/dias/1839/12/25/pdfs/GMD-1839-1872.pdf#page=4","Abrir facsímil")</f>
        <v>Abrir facsímil</v>
      </c>
      <c r="K6167" s="12" t="s">
        <v>24</v>
      </c>
    </row>
    <row r="6168" spans="1:11" ht="40.049999999999997" customHeight="1" x14ac:dyDescent="0.25">
      <c r="A6168" s="11" t="s">
        <v>13393</v>
      </c>
      <c r="B6168" s="11" t="s">
        <v>13393</v>
      </c>
      <c r="C6168" s="11" t="s">
        <v>80</v>
      </c>
      <c r="D6168" s="11" t="s">
        <v>18</v>
      </c>
      <c r="E6168" s="12" t="s">
        <v>2138</v>
      </c>
      <c r="F6168" s="12" t="s">
        <v>2139</v>
      </c>
      <c r="G6168" s="12" t="s">
        <v>305</v>
      </c>
      <c r="H6168" s="11" t="s">
        <v>22</v>
      </c>
      <c r="I6168" s="13" t="s">
        <v>13394</v>
      </c>
      <c r="J6168" s="14" t="str">
        <f>HYPERLINK("https://www.boe.es/gazeta/dias/1839/10/02/pdfs/GMD-1839-1788.pdf#page=6","Abrir facsímil")</f>
        <v>Abrir facsímil</v>
      </c>
      <c r="K6168" s="12" t="s">
        <v>24</v>
      </c>
    </row>
    <row r="6169" spans="1:11" ht="40.049999999999997" customHeight="1" x14ac:dyDescent="0.25">
      <c r="A6169" s="11" t="s">
        <v>13393</v>
      </c>
      <c r="B6169" s="11" t="s">
        <v>13393</v>
      </c>
      <c r="C6169" s="11" t="s">
        <v>17</v>
      </c>
      <c r="D6169" s="11" t="s">
        <v>18</v>
      </c>
      <c r="E6169" s="12" t="s">
        <v>197</v>
      </c>
      <c r="F6169" s="12" t="s">
        <v>198</v>
      </c>
      <c r="G6169" s="12" t="s">
        <v>21</v>
      </c>
      <c r="H6169" s="11" t="s">
        <v>22</v>
      </c>
      <c r="I6169" s="13" t="s">
        <v>13395</v>
      </c>
      <c r="J6169" s="14" t="str">
        <f>HYPERLINK("https://www.boe.es/gazeta/dias/1839/10/04/pdfs/GMD-1839-1790.pdf#page=4","Abrir facsímil")</f>
        <v>Abrir facsímil</v>
      </c>
      <c r="K6169" s="12" t="s">
        <v>24</v>
      </c>
    </row>
    <row r="6170" spans="1:11" ht="40.049999999999997" customHeight="1" x14ac:dyDescent="0.25">
      <c r="A6170" s="11" t="s">
        <v>13393</v>
      </c>
      <c r="B6170" s="11" t="s">
        <v>13393</v>
      </c>
      <c r="C6170" s="11" t="s">
        <v>17</v>
      </c>
      <c r="D6170" s="11" t="s">
        <v>18</v>
      </c>
      <c r="E6170" s="12" t="s">
        <v>713</v>
      </c>
      <c r="F6170" s="12" t="s">
        <v>714</v>
      </c>
      <c r="G6170" s="12" t="s">
        <v>21</v>
      </c>
      <c r="H6170" s="11" t="s">
        <v>22</v>
      </c>
      <c r="I6170" s="13" t="s">
        <v>13396</v>
      </c>
      <c r="J6170" s="14" t="str">
        <f>HYPERLINK("https://www.boe.es/gazeta/dias/1839/12/18/pdfs/GMD-1839-1865.pdf#page=4","Abrir facsímil")</f>
        <v>Abrir facsímil</v>
      </c>
      <c r="K6170" s="12" t="s">
        <v>24</v>
      </c>
    </row>
    <row r="6171" spans="1:11" ht="40.049999999999997" customHeight="1" x14ac:dyDescent="0.25">
      <c r="A6171" s="11" t="s">
        <v>13393</v>
      </c>
      <c r="B6171" s="11" t="s">
        <v>13393</v>
      </c>
      <c r="C6171" s="11" t="s">
        <v>101</v>
      </c>
      <c r="D6171" s="11" t="s">
        <v>102</v>
      </c>
      <c r="E6171" s="12" t="s">
        <v>695</v>
      </c>
      <c r="F6171" s="12" t="s">
        <v>696</v>
      </c>
      <c r="G6171" s="12" t="s">
        <v>21</v>
      </c>
      <c r="H6171" s="11" t="s">
        <v>22</v>
      </c>
      <c r="I6171" s="13" t="s">
        <v>13397</v>
      </c>
      <c r="J6171" s="14" t="str">
        <f>HYPERLINK("https://www.boe.es/gazeta/dias/1839/12/19/pdfs/GMD-1839-1866.pdf#page=4","Abrir facsímil")</f>
        <v>Abrir facsímil</v>
      </c>
      <c r="K6171" s="12" t="s">
        <v>24</v>
      </c>
    </row>
    <row r="6172" spans="1:11" ht="40.049999999999997" customHeight="1" x14ac:dyDescent="0.25">
      <c r="A6172" s="11" t="s">
        <v>13393</v>
      </c>
      <c r="B6172" s="11" t="s">
        <v>13393</v>
      </c>
      <c r="C6172" s="11" t="s">
        <v>17</v>
      </c>
      <c r="D6172" s="11" t="s">
        <v>18</v>
      </c>
      <c r="E6172" s="12" t="s">
        <v>1682</v>
      </c>
      <c r="F6172" s="12" t="s">
        <v>1683</v>
      </c>
      <c r="G6172" s="12" t="s">
        <v>21</v>
      </c>
      <c r="H6172" s="11" t="s">
        <v>22</v>
      </c>
      <c r="I6172" s="13" t="s">
        <v>13398</v>
      </c>
      <c r="J6172" s="14" t="str">
        <f>HYPERLINK("https://www.boe.es/gazeta/dias/1839/12/26/pdfs/GMD-1839-1873.pdf#page=4","Abrir facsímil")</f>
        <v>Abrir facsímil</v>
      </c>
      <c r="K6172" s="12" t="s">
        <v>24</v>
      </c>
    </row>
    <row r="6173" spans="1:11" ht="40.049999999999997" customHeight="1" x14ac:dyDescent="0.25">
      <c r="A6173" s="11" t="s">
        <v>13393</v>
      </c>
      <c r="B6173" s="11" t="s">
        <v>13393</v>
      </c>
      <c r="C6173" s="11" t="s">
        <v>59</v>
      </c>
      <c r="D6173" s="11" t="s">
        <v>60</v>
      </c>
      <c r="E6173" s="12" t="s">
        <v>1520</v>
      </c>
      <c r="F6173" s="12" t="s">
        <v>1521</v>
      </c>
      <c r="G6173" s="12" t="s">
        <v>21</v>
      </c>
      <c r="H6173" s="11" t="s">
        <v>22</v>
      </c>
      <c r="I6173" s="13" t="s">
        <v>13399</v>
      </c>
      <c r="J6173" s="14" t="str">
        <f>HYPERLINK("https://www.boe.es/gazeta/dias/1839/12/27/pdfs/GMD-1839-1874.pdf#page=4","Abrir facsímil")</f>
        <v>Abrir facsímil</v>
      </c>
      <c r="K6173" s="12" t="s">
        <v>24</v>
      </c>
    </row>
    <row r="6174" spans="1:11" ht="40.049999999999997" customHeight="1" x14ac:dyDescent="0.25">
      <c r="A6174" s="11" t="s">
        <v>13400</v>
      </c>
      <c r="B6174" s="11" t="s">
        <v>13400</v>
      </c>
      <c r="C6174" s="11" t="s">
        <v>17</v>
      </c>
      <c r="D6174" s="11" t="s">
        <v>18</v>
      </c>
      <c r="E6174" s="12" t="s">
        <v>448</v>
      </c>
      <c r="F6174" s="12" t="s">
        <v>449</v>
      </c>
      <c r="G6174" s="12" t="s">
        <v>40</v>
      </c>
      <c r="H6174" s="11" t="s">
        <v>22</v>
      </c>
      <c r="I6174" s="13" t="s">
        <v>13401</v>
      </c>
      <c r="J6174" s="14" t="str">
        <f>HYPERLINK("https://www.boe.es/gazeta/dias/1839/02/06/pdfs/GMD-1839-1544.pdf#page=2","Abrir facsímil")</f>
        <v>Abrir facsímil</v>
      </c>
      <c r="K6174" s="12" t="s">
        <v>24</v>
      </c>
    </row>
    <row r="6175" spans="1:11" ht="40.049999999999997" customHeight="1" x14ac:dyDescent="0.25">
      <c r="A6175" s="11" t="s">
        <v>13402</v>
      </c>
      <c r="B6175" s="11" t="s">
        <v>13402</v>
      </c>
      <c r="C6175" s="11" t="s">
        <v>17</v>
      </c>
      <c r="D6175" s="11" t="s">
        <v>18</v>
      </c>
      <c r="E6175" s="12" t="s">
        <v>308</v>
      </c>
      <c r="F6175" s="12" t="s">
        <v>309</v>
      </c>
      <c r="G6175" s="12" t="s">
        <v>40</v>
      </c>
      <c r="H6175" s="11" t="s">
        <v>22</v>
      </c>
      <c r="I6175" s="13" t="s">
        <v>13403</v>
      </c>
      <c r="J6175" s="14" t="str">
        <f>HYPERLINK("https://www.boe.es/gazeta/dias/1839/07/29/pdfs/GMD-1839-1718.pdf#page=2","Abrir facsímil")</f>
        <v>Abrir facsímil</v>
      </c>
      <c r="K6175" s="12" t="s">
        <v>24</v>
      </c>
    </row>
    <row r="6176" spans="1:11" ht="40.049999999999997" customHeight="1" x14ac:dyDescent="0.25">
      <c r="A6176" s="11" t="s">
        <v>13404</v>
      </c>
      <c r="B6176" s="11" t="s">
        <v>13404</v>
      </c>
      <c r="C6176" s="11" t="s">
        <v>17</v>
      </c>
      <c r="D6176" s="11" t="s">
        <v>18</v>
      </c>
      <c r="E6176" s="12" t="s">
        <v>1086</v>
      </c>
      <c r="F6176" s="12" t="s">
        <v>1087</v>
      </c>
      <c r="G6176" s="12" t="s">
        <v>40</v>
      </c>
      <c r="H6176" s="11" t="s">
        <v>22</v>
      </c>
      <c r="I6176" s="13" t="s">
        <v>13405</v>
      </c>
      <c r="J6176" s="14" t="str">
        <f>HYPERLINK("https://www.boe.es/gazeta/dias/1839/10/26/pdfs/GMD-1839-1812.pdf#page=2","Abrir facsímil")</f>
        <v>Abrir facsímil</v>
      </c>
      <c r="K6176" s="12" t="s">
        <v>24</v>
      </c>
    </row>
    <row r="6177" spans="1:11" ht="40.049999999999997" customHeight="1" x14ac:dyDescent="0.25">
      <c r="A6177" s="11" t="s">
        <v>13406</v>
      </c>
      <c r="B6177" s="11" t="s">
        <v>13406</v>
      </c>
      <c r="C6177" s="11" t="s">
        <v>17</v>
      </c>
      <c r="D6177" s="11" t="s">
        <v>18</v>
      </c>
      <c r="E6177" s="12" t="s">
        <v>1909</v>
      </c>
      <c r="F6177" s="12" t="s">
        <v>1910</v>
      </c>
      <c r="G6177" s="12" t="s">
        <v>40</v>
      </c>
      <c r="H6177" s="11" t="s">
        <v>22</v>
      </c>
      <c r="I6177" s="13" t="s">
        <v>13407</v>
      </c>
      <c r="J6177" s="14" t="str">
        <f>HYPERLINK("https://www.boe.es/gazeta/dias/1839/10/27/pdfs/GMD-1839-1813.pdf#page=2","Abrir facsímil")</f>
        <v>Abrir facsímil</v>
      </c>
      <c r="K6177" s="12" t="s">
        <v>24</v>
      </c>
    </row>
    <row r="6178" spans="1:11" ht="40.049999999999997" customHeight="1" x14ac:dyDescent="0.25">
      <c r="A6178" s="11" t="s">
        <v>13408</v>
      </c>
      <c r="B6178" s="11" t="s">
        <v>13408</v>
      </c>
      <c r="C6178" s="11" t="s">
        <v>17</v>
      </c>
      <c r="D6178" s="11" t="s">
        <v>18</v>
      </c>
      <c r="E6178" s="12" t="s">
        <v>1446</v>
      </c>
      <c r="F6178" s="12" t="s">
        <v>1447</v>
      </c>
      <c r="G6178" s="12" t="s">
        <v>21</v>
      </c>
      <c r="H6178" s="11" t="s">
        <v>22</v>
      </c>
      <c r="I6178" s="13" t="s">
        <v>13409</v>
      </c>
      <c r="J6178" s="14" t="str">
        <f>HYPERLINK("https://www.boe.es/gazeta/dias/1839/08/25/pdfs/GMD-1839-1746.pdf#page=4","Abrir facsímil")</f>
        <v>Abrir facsímil</v>
      </c>
      <c r="K6178" s="12" t="s">
        <v>24</v>
      </c>
    </row>
    <row r="6179" spans="1:11" ht="40.049999999999997" customHeight="1" x14ac:dyDescent="0.25">
      <c r="A6179" s="11" t="s">
        <v>13408</v>
      </c>
      <c r="B6179" s="11" t="s">
        <v>13408</v>
      </c>
      <c r="C6179" s="11" t="s">
        <v>17</v>
      </c>
      <c r="D6179" s="11" t="s">
        <v>18</v>
      </c>
      <c r="E6179" s="12" t="s">
        <v>4463</v>
      </c>
      <c r="F6179" s="12" t="s">
        <v>4464</v>
      </c>
      <c r="G6179" s="12" t="s">
        <v>21</v>
      </c>
      <c r="H6179" s="11" t="s">
        <v>22</v>
      </c>
      <c r="I6179" s="13" t="s">
        <v>13410</v>
      </c>
      <c r="J6179" s="14" t="str">
        <f>HYPERLINK("https://www.boe.es/gazeta/dias/1839/08/28/pdfs/GMD-1839-1749.pdf#page=4","Abrir facsímil")</f>
        <v>Abrir facsímil</v>
      </c>
      <c r="K6179" s="12" t="s">
        <v>24</v>
      </c>
    </row>
    <row r="6180" spans="1:11" ht="40.049999999999997" customHeight="1" x14ac:dyDescent="0.25">
      <c r="A6180" s="11" t="s">
        <v>13411</v>
      </c>
      <c r="B6180" s="11" t="s">
        <v>13411</v>
      </c>
      <c r="C6180" s="11" t="s">
        <v>17</v>
      </c>
      <c r="D6180" s="11" t="s">
        <v>18</v>
      </c>
      <c r="E6180" s="12" t="s">
        <v>1611</v>
      </c>
      <c r="F6180" s="12" t="s">
        <v>1612</v>
      </c>
      <c r="G6180" s="12" t="s">
        <v>21</v>
      </c>
      <c r="H6180" s="11" t="s">
        <v>22</v>
      </c>
      <c r="I6180" s="13" t="s">
        <v>13412</v>
      </c>
      <c r="J6180" s="14" t="str">
        <f>HYPERLINK("https://www.boe.es/gazeta/dias/1839/05/03/pdfs/GMD-1839-1630.pdf#page=4","Abrir facsímil")</f>
        <v>Abrir facsímil</v>
      </c>
      <c r="K6180" s="12" t="s">
        <v>24</v>
      </c>
    </row>
    <row r="6181" spans="1:11" ht="40.049999999999997" customHeight="1" x14ac:dyDescent="0.25">
      <c r="A6181" s="11" t="s">
        <v>13411</v>
      </c>
      <c r="B6181" s="11" t="s">
        <v>13411</v>
      </c>
      <c r="C6181" s="11" t="s">
        <v>17</v>
      </c>
      <c r="D6181" s="11" t="s">
        <v>18</v>
      </c>
      <c r="E6181" s="12" t="s">
        <v>1332</v>
      </c>
      <c r="F6181" s="12" t="s">
        <v>1333</v>
      </c>
      <c r="G6181" s="12" t="s">
        <v>21</v>
      </c>
      <c r="H6181" s="11" t="s">
        <v>22</v>
      </c>
      <c r="I6181" s="13" t="s">
        <v>13413</v>
      </c>
      <c r="J6181" s="14" t="str">
        <f>HYPERLINK("https://www.boe.es/gazeta/dias/1839/05/04/pdfs/GMD-1839-1631.pdf#page=4","Abrir facsímil")</f>
        <v>Abrir facsímil</v>
      </c>
      <c r="K6181" s="12" t="s">
        <v>24</v>
      </c>
    </row>
    <row r="6182" spans="1:11" ht="40.049999999999997" customHeight="1" x14ac:dyDescent="0.25">
      <c r="A6182" s="11" t="s">
        <v>13414</v>
      </c>
      <c r="B6182" s="11" t="s">
        <v>13414</v>
      </c>
      <c r="C6182" s="11" t="s">
        <v>17</v>
      </c>
      <c r="D6182" s="11" t="s">
        <v>18</v>
      </c>
      <c r="E6182" s="12" t="s">
        <v>1340</v>
      </c>
      <c r="F6182" s="12" t="s">
        <v>1341</v>
      </c>
      <c r="G6182" s="12" t="s">
        <v>21</v>
      </c>
      <c r="H6182" s="11" t="s">
        <v>22</v>
      </c>
      <c r="I6182" s="13" t="s">
        <v>13415</v>
      </c>
      <c r="J6182" s="14" t="str">
        <f>HYPERLINK("https://www.boe.es/gazeta/dias/1839/05/05/pdfs/GMD-1839-1632.pdf#page=4","Abrir facsímil")</f>
        <v>Abrir facsímil</v>
      </c>
      <c r="K6182" s="12" t="s">
        <v>24</v>
      </c>
    </row>
    <row r="6183" spans="1:11" ht="40.049999999999997" customHeight="1" x14ac:dyDescent="0.25">
      <c r="A6183" s="11" t="s">
        <v>13416</v>
      </c>
      <c r="B6183" s="11" t="s">
        <v>13416</v>
      </c>
      <c r="C6183" s="11" t="s">
        <v>17</v>
      </c>
      <c r="D6183" s="11" t="s">
        <v>18</v>
      </c>
      <c r="E6183" s="12" t="s">
        <v>1467</v>
      </c>
      <c r="F6183" s="12" t="s">
        <v>1468</v>
      </c>
      <c r="G6183" s="12" t="s">
        <v>21</v>
      </c>
      <c r="H6183" s="11" t="s">
        <v>22</v>
      </c>
      <c r="I6183" s="13" t="s">
        <v>13417</v>
      </c>
      <c r="J6183" s="14" t="str">
        <f>HYPERLINK("https://www.boe.es/gazeta/dias/1839/03/05/pdfs/GMD-1839-1571.pdf#page=4","Abrir facsímil")</f>
        <v>Abrir facsímil</v>
      </c>
      <c r="K6183" s="12" t="s">
        <v>24</v>
      </c>
    </row>
    <row r="6184" spans="1:11" ht="40.049999999999997" customHeight="1" x14ac:dyDescent="0.25">
      <c r="A6184" s="11" t="s">
        <v>13416</v>
      </c>
      <c r="B6184" s="11" t="s">
        <v>13416</v>
      </c>
      <c r="C6184" s="11" t="s">
        <v>101</v>
      </c>
      <c r="D6184" s="11" t="s">
        <v>43</v>
      </c>
      <c r="E6184" s="12" t="s">
        <v>68</v>
      </c>
      <c r="F6184" s="12" t="s">
        <v>69</v>
      </c>
      <c r="G6184" s="12" t="s">
        <v>21</v>
      </c>
      <c r="H6184" s="11" t="s">
        <v>22</v>
      </c>
      <c r="I6184" s="13" t="s">
        <v>13418</v>
      </c>
      <c r="J6184" s="14" t="str">
        <f>HYPERLINK("https://www.boe.es/gazeta/dias/1839/02/09/pdfs/GMD-1839-1547.pdf#page=4","Abrir facsímil")</f>
        <v>Abrir facsímil</v>
      </c>
      <c r="K6184" s="12" t="s">
        <v>24</v>
      </c>
    </row>
    <row r="6185" spans="1:11" ht="40.049999999999997" customHeight="1" x14ac:dyDescent="0.25">
      <c r="A6185" s="11" t="s">
        <v>13416</v>
      </c>
      <c r="B6185" s="11" t="s">
        <v>13416</v>
      </c>
      <c r="C6185" s="11" t="s">
        <v>17</v>
      </c>
      <c r="D6185" s="11" t="s">
        <v>18</v>
      </c>
      <c r="E6185" s="12" t="s">
        <v>398</v>
      </c>
      <c r="F6185" s="12" t="s">
        <v>399</v>
      </c>
      <c r="G6185" s="12" t="s">
        <v>21</v>
      </c>
      <c r="H6185" s="11" t="s">
        <v>22</v>
      </c>
      <c r="I6185" s="13" t="s">
        <v>13419</v>
      </c>
      <c r="J6185" s="14" t="str">
        <f>HYPERLINK("https://www.boe.es/gazeta/dias/1839/05/17/pdfs/GMD-1839-1644.pdf#page=4","Abrir facsímil")</f>
        <v>Abrir facsímil</v>
      </c>
      <c r="K6185" s="12" t="s">
        <v>24</v>
      </c>
    </row>
    <row r="6186" spans="1:11" ht="40.049999999999997" customHeight="1" x14ac:dyDescent="0.25">
      <c r="A6186" s="11" t="s">
        <v>13416</v>
      </c>
      <c r="B6186" s="11" t="s">
        <v>13416</v>
      </c>
      <c r="C6186" s="11" t="s">
        <v>17</v>
      </c>
      <c r="D6186" s="11" t="s">
        <v>18</v>
      </c>
      <c r="E6186" s="12" t="s">
        <v>1149</v>
      </c>
      <c r="F6186" s="12" t="s">
        <v>1150</v>
      </c>
      <c r="G6186" s="12" t="s">
        <v>21</v>
      </c>
      <c r="H6186" s="11" t="s">
        <v>22</v>
      </c>
      <c r="I6186" s="13" t="s">
        <v>13420</v>
      </c>
      <c r="J6186" s="14" t="str">
        <f>HYPERLINK("https://www.boe.es/gazeta/dias/1839/06/25/pdfs/GMD-1839-1683.pdf#page=4","Abrir facsímil")</f>
        <v>Abrir facsímil</v>
      </c>
      <c r="K6186" s="12" t="s">
        <v>24</v>
      </c>
    </row>
    <row r="6187" spans="1:11" ht="40.049999999999997" customHeight="1" x14ac:dyDescent="0.25">
      <c r="A6187" s="11" t="s">
        <v>13416</v>
      </c>
      <c r="B6187" s="11" t="s">
        <v>13416</v>
      </c>
      <c r="C6187" s="11" t="s">
        <v>17</v>
      </c>
      <c r="D6187" s="11" t="s">
        <v>18</v>
      </c>
      <c r="E6187" s="12" t="s">
        <v>1685</v>
      </c>
      <c r="F6187" s="12" t="s">
        <v>1686</v>
      </c>
      <c r="G6187" s="12" t="s">
        <v>40</v>
      </c>
      <c r="H6187" s="11" t="s">
        <v>22</v>
      </c>
      <c r="I6187" s="13" t="s">
        <v>13421</v>
      </c>
      <c r="J6187" s="14" t="str">
        <f>HYPERLINK("https://www.boe.es/gazeta/dias/1839/04/27/pdfs/GMD-1839-1624.pdf#page=2","Abrir facsímil")</f>
        <v>Abrir facsímil</v>
      </c>
      <c r="K6187" s="12" t="s">
        <v>24</v>
      </c>
    </row>
    <row r="6188" spans="1:11" ht="40.049999999999997" customHeight="1" x14ac:dyDescent="0.25">
      <c r="A6188" s="11" t="s">
        <v>13422</v>
      </c>
      <c r="B6188" s="11" t="s">
        <v>13422</v>
      </c>
      <c r="C6188" s="11" t="s">
        <v>17</v>
      </c>
      <c r="D6188" s="11" t="s">
        <v>18</v>
      </c>
      <c r="E6188" s="12" t="s">
        <v>327</v>
      </c>
      <c r="F6188" s="12" t="s">
        <v>328</v>
      </c>
      <c r="G6188" s="12" t="s">
        <v>46</v>
      </c>
      <c r="H6188" s="11" t="s">
        <v>22</v>
      </c>
      <c r="I6188" s="13" t="s">
        <v>13423</v>
      </c>
      <c r="J6188" s="14" t="str">
        <f>HYPERLINK("https://www.boe.es/gazeta/dias/1839/08/05/pdfs/GMD-1839-1725.pdf#page=3","Abrir facsímil")</f>
        <v>Abrir facsímil</v>
      </c>
      <c r="K6188" s="12" t="s">
        <v>24</v>
      </c>
    </row>
    <row r="6189" spans="1:11" ht="40.049999999999997" customHeight="1" x14ac:dyDescent="0.25">
      <c r="A6189" s="11" t="s">
        <v>13424</v>
      </c>
      <c r="B6189" s="11" t="s">
        <v>13424</v>
      </c>
      <c r="C6189" s="11" t="s">
        <v>17</v>
      </c>
      <c r="D6189" s="11" t="s">
        <v>18</v>
      </c>
      <c r="E6189" s="12" t="s">
        <v>81</v>
      </c>
      <c r="F6189" s="12" t="s">
        <v>82</v>
      </c>
      <c r="G6189" s="12" t="s">
        <v>21</v>
      </c>
      <c r="H6189" s="11" t="s">
        <v>22</v>
      </c>
      <c r="I6189" s="13" t="s">
        <v>13425</v>
      </c>
      <c r="J6189" s="14" t="str">
        <f>HYPERLINK("https://www.boe.es/gazeta/dias/1839/03/03/pdfs/GMD-1839-1569.pdf#page=4","Abrir facsímil")</f>
        <v>Abrir facsímil</v>
      </c>
      <c r="K6189" s="12" t="s">
        <v>24</v>
      </c>
    </row>
    <row r="6190" spans="1:11" ht="40.049999999999997" customHeight="1" x14ac:dyDescent="0.25">
      <c r="A6190" s="11" t="s">
        <v>13426</v>
      </c>
      <c r="B6190" s="11" t="s">
        <v>13426</v>
      </c>
      <c r="C6190" s="11" t="s">
        <v>137</v>
      </c>
      <c r="D6190" s="11" t="s">
        <v>18</v>
      </c>
      <c r="E6190" s="12" t="s">
        <v>5806</v>
      </c>
      <c r="F6190" s="12" t="s">
        <v>5807</v>
      </c>
      <c r="G6190" s="12" t="s">
        <v>21</v>
      </c>
      <c r="H6190" s="11" t="s">
        <v>22</v>
      </c>
      <c r="I6190" s="13" t="s">
        <v>13427</v>
      </c>
      <c r="J6190" s="14" t="str">
        <f>HYPERLINK("https://www.boe.es/gazeta/dias/1839/02/16/pdfs/GMD-1839-1554.pdf#page=4","Abrir facsímil")</f>
        <v>Abrir facsímil</v>
      </c>
      <c r="K6190" s="12" t="s">
        <v>24</v>
      </c>
    </row>
    <row r="6191" spans="1:11" ht="40.049999999999997" customHeight="1" x14ac:dyDescent="0.25">
      <c r="A6191" s="11" t="s">
        <v>13428</v>
      </c>
      <c r="B6191" s="11" t="s">
        <v>13428</v>
      </c>
      <c r="C6191" s="11" t="s">
        <v>17</v>
      </c>
      <c r="D6191" s="11" t="s">
        <v>18</v>
      </c>
      <c r="E6191" s="12" t="s">
        <v>385</v>
      </c>
      <c r="F6191" s="12" t="s">
        <v>386</v>
      </c>
      <c r="G6191" s="12" t="s">
        <v>29</v>
      </c>
      <c r="H6191" s="11" t="s">
        <v>22</v>
      </c>
      <c r="I6191" s="13" t="s">
        <v>13429</v>
      </c>
      <c r="J6191" s="14" t="str">
        <f>HYPERLINK("https://www.boe.es/gazeta/dias/1839/08/01/pdfs/GMD-1839-1721.pdf#page=1","Abrir facsímil")</f>
        <v>Abrir facsímil</v>
      </c>
      <c r="K6191" s="12" t="s">
        <v>24</v>
      </c>
    </row>
    <row r="6192" spans="1:11" ht="40.049999999999997" customHeight="1" x14ac:dyDescent="0.25">
      <c r="A6192" s="11" t="s">
        <v>13428</v>
      </c>
      <c r="B6192" s="11" t="s">
        <v>13428</v>
      </c>
      <c r="C6192" s="11" t="s">
        <v>17</v>
      </c>
      <c r="D6192" s="11" t="s">
        <v>18</v>
      </c>
      <c r="E6192" s="12" t="s">
        <v>587</v>
      </c>
      <c r="F6192" s="12" t="s">
        <v>588</v>
      </c>
      <c r="G6192" s="12" t="s">
        <v>29</v>
      </c>
      <c r="H6192" s="11" t="s">
        <v>22</v>
      </c>
      <c r="I6192" s="13" t="s">
        <v>13430</v>
      </c>
      <c r="J6192" s="14" t="str">
        <f>HYPERLINK("https://www.boe.es/gazeta/dias/1839/05/02/pdfs/GMD-1839-1629.pdf#page=1","Abrir facsímil")</f>
        <v>Abrir facsímil</v>
      </c>
      <c r="K6192" s="12" t="s">
        <v>24</v>
      </c>
    </row>
    <row r="6193" spans="1:11" ht="40.049999999999997" customHeight="1" x14ac:dyDescent="0.25">
      <c r="A6193" s="11" t="s">
        <v>13428</v>
      </c>
      <c r="B6193" s="11" t="s">
        <v>13428</v>
      </c>
      <c r="C6193" s="11" t="s">
        <v>17</v>
      </c>
      <c r="D6193" s="11" t="s">
        <v>18</v>
      </c>
      <c r="E6193" s="12" t="s">
        <v>1611</v>
      </c>
      <c r="F6193" s="12" t="s">
        <v>1612</v>
      </c>
      <c r="G6193" s="12" t="s">
        <v>21</v>
      </c>
      <c r="H6193" s="11" t="s">
        <v>22</v>
      </c>
      <c r="I6193" s="13" t="s">
        <v>13431</v>
      </c>
      <c r="J6193" s="14" t="str">
        <f>HYPERLINK("https://www.boe.es/gazeta/dias/1839/05/03/pdfs/GMD-1839-1630.pdf#page=4","Abrir facsímil")</f>
        <v>Abrir facsímil</v>
      </c>
      <c r="K6193" s="12" t="s">
        <v>24</v>
      </c>
    </row>
    <row r="6194" spans="1:11" ht="40.049999999999997" customHeight="1" x14ac:dyDescent="0.25">
      <c r="A6194" s="11" t="s">
        <v>13428</v>
      </c>
      <c r="B6194" s="11" t="s">
        <v>13428</v>
      </c>
      <c r="C6194" s="11" t="s">
        <v>59</v>
      </c>
      <c r="D6194" s="11" t="s">
        <v>60</v>
      </c>
      <c r="E6194" s="12" t="s">
        <v>1340</v>
      </c>
      <c r="F6194" s="12" t="s">
        <v>1341</v>
      </c>
      <c r="G6194" s="12" t="s">
        <v>29</v>
      </c>
      <c r="H6194" s="11" t="s">
        <v>22</v>
      </c>
      <c r="I6194" s="13" t="s">
        <v>13432</v>
      </c>
      <c r="J6194" s="14" t="str">
        <f>HYPERLINK("https://www.boe.es/gazeta/dias/1839/05/05/pdfs/GMD-1839-1632.pdf#page=1","Abrir facsímil")</f>
        <v>Abrir facsímil</v>
      </c>
      <c r="K6194" s="12" t="s">
        <v>24</v>
      </c>
    </row>
    <row r="6195" spans="1:11" ht="40.049999999999997" customHeight="1" x14ac:dyDescent="0.25">
      <c r="A6195" s="11" t="s">
        <v>13428</v>
      </c>
      <c r="B6195" s="11" t="s">
        <v>13428</v>
      </c>
      <c r="C6195" s="11" t="s">
        <v>59</v>
      </c>
      <c r="D6195" s="11" t="s">
        <v>60</v>
      </c>
      <c r="E6195" s="12" t="s">
        <v>2210</v>
      </c>
      <c r="F6195" s="12" t="s">
        <v>2211</v>
      </c>
      <c r="G6195" s="12" t="s">
        <v>29</v>
      </c>
      <c r="H6195" s="11" t="s">
        <v>22</v>
      </c>
      <c r="I6195" s="13" t="s">
        <v>13433</v>
      </c>
      <c r="J6195" s="14" t="str">
        <f>HYPERLINK("https://www.boe.es/gazeta/dias/1839/09/05/pdfs/GMD-1839-1758.pdf#page=1","Abrir facsímil")</f>
        <v>Abrir facsímil</v>
      </c>
      <c r="K6195" s="12" t="s">
        <v>24</v>
      </c>
    </row>
    <row r="6196" spans="1:11" ht="40.049999999999997" customHeight="1" x14ac:dyDescent="0.25">
      <c r="A6196" s="11" t="s">
        <v>13428</v>
      </c>
      <c r="B6196" s="11" t="s">
        <v>13428</v>
      </c>
      <c r="C6196" s="11" t="s">
        <v>17</v>
      </c>
      <c r="D6196" s="11" t="s">
        <v>18</v>
      </c>
      <c r="E6196" s="12" t="s">
        <v>548</v>
      </c>
      <c r="F6196" s="12" t="s">
        <v>549</v>
      </c>
      <c r="G6196" s="12" t="s">
        <v>29</v>
      </c>
      <c r="H6196" s="11" t="s">
        <v>22</v>
      </c>
      <c r="I6196" s="13" t="s">
        <v>13434</v>
      </c>
      <c r="J6196" s="14" t="str">
        <f>HYPERLINK("https://www.boe.es/gazeta/dias/1839/06/06/pdfs/GMD-1839-1664.pdf#page=1","Abrir facsímil")</f>
        <v>Abrir facsímil</v>
      </c>
      <c r="K6196" s="12" t="s">
        <v>24</v>
      </c>
    </row>
    <row r="6197" spans="1:11" ht="40.049999999999997" customHeight="1" x14ac:dyDescent="0.25">
      <c r="A6197" s="11" t="s">
        <v>13428</v>
      </c>
      <c r="B6197" s="11" t="s">
        <v>13428</v>
      </c>
      <c r="C6197" s="11" t="s">
        <v>17</v>
      </c>
      <c r="D6197" s="11" t="s">
        <v>18</v>
      </c>
      <c r="E6197" s="12" t="s">
        <v>503</v>
      </c>
      <c r="F6197" s="12" t="s">
        <v>504</v>
      </c>
      <c r="G6197" s="12" t="s">
        <v>46</v>
      </c>
      <c r="H6197" s="11" t="s">
        <v>22</v>
      </c>
      <c r="I6197" s="13" t="s">
        <v>13435</v>
      </c>
      <c r="J6197" s="14" t="str">
        <f>HYPERLINK("https://www.boe.es/gazeta/dias/1839/06/07/pdfs/GMD-1839-1665.pdf#page=3","Abrir facsímil")</f>
        <v>Abrir facsímil</v>
      </c>
      <c r="K6197" s="12" t="s">
        <v>24</v>
      </c>
    </row>
    <row r="6198" spans="1:11" ht="40.049999999999997" customHeight="1" x14ac:dyDescent="0.25">
      <c r="A6198" s="11" t="s">
        <v>13428</v>
      </c>
      <c r="B6198" s="11" t="s">
        <v>13428</v>
      </c>
      <c r="C6198" s="11" t="s">
        <v>17</v>
      </c>
      <c r="D6198" s="11" t="s">
        <v>18</v>
      </c>
      <c r="E6198" s="12" t="s">
        <v>420</v>
      </c>
      <c r="F6198" s="12" t="s">
        <v>421</v>
      </c>
      <c r="G6198" s="12" t="s">
        <v>40</v>
      </c>
      <c r="H6198" s="11" t="s">
        <v>22</v>
      </c>
      <c r="I6198" s="13" t="s">
        <v>13436</v>
      </c>
      <c r="J6198" s="14" t="str">
        <f>HYPERLINK("https://www.boe.es/gazeta/dias/1839/03/12/pdfs/GMD-1839-1578.pdf#page=2","Abrir facsímil")</f>
        <v>Abrir facsímil</v>
      </c>
      <c r="K6198" s="12" t="s">
        <v>24</v>
      </c>
    </row>
    <row r="6199" spans="1:11" ht="40.049999999999997" customHeight="1" x14ac:dyDescent="0.25">
      <c r="A6199" s="11" t="s">
        <v>13428</v>
      </c>
      <c r="B6199" s="11" t="s">
        <v>13428</v>
      </c>
      <c r="C6199" s="11" t="s">
        <v>17</v>
      </c>
      <c r="D6199" s="11" t="s">
        <v>18</v>
      </c>
      <c r="E6199" s="12" t="s">
        <v>2919</v>
      </c>
      <c r="F6199" s="12" t="s">
        <v>2920</v>
      </c>
      <c r="G6199" s="12" t="s">
        <v>29</v>
      </c>
      <c r="H6199" s="11" t="s">
        <v>22</v>
      </c>
      <c r="I6199" s="13" t="s">
        <v>13437</v>
      </c>
      <c r="J6199" s="14" t="str">
        <f>HYPERLINK("https://www.boe.es/gazeta/dias/1839/11/12/pdfs/GMD-1839-1829.pdf#page=1","Abrir facsímil")</f>
        <v>Abrir facsímil</v>
      </c>
      <c r="K6199" s="12" t="s">
        <v>24</v>
      </c>
    </row>
    <row r="6200" spans="1:11" ht="40.049999999999997" customHeight="1" x14ac:dyDescent="0.25">
      <c r="A6200" s="11" t="s">
        <v>13428</v>
      </c>
      <c r="B6200" s="11" t="s">
        <v>13428</v>
      </c>
      <c r="C6200" s="11" t="s">
        <v>17</v>
      </c>
      <c r="D6200" s="11" t="s">
        <v>18</v>
      </c>
      <c r="E6200" s="12" t="s">
        <v>1069</v>
      </c>
      <c r="F6200" s="12" t="s">
        <v>1070</v>
      </c>
      <c r="G6200" s="12" t="s">
        <v>29</v>
      </c>
      <c r="H6200" s="11" t="s">
        <v>22</v>
      </c>
      <c r="I6200" s="13" t="s">
        <v>13438</v>
      </c>
      <c r="J6200" s="14" t="str">
        <f>HYPERLINK("https://www.boe.es/gazeta/dias/1839/10/15/pdfs/GMD-1839-1801.pdf#page=1","Abrir facsímil")</f>
        <v>Abrir facsímil</v>
      </c>
      <c r="K6200" s="12" t="s">
        <v>24</v>
      </c>
    </row>
    <row r="6201" spans="1:11" ht="40.049999999999997" customHeight="1" x14ac:dyDescent="0.25">
      <c r="A6201" s="11" t="s">
        <v>13428</v>
      </c>
      <c r="B6201" s="11" t="s">
        <v>13428</v>
      </c>
      <c r="C6201" s="11" t="s">
        <v>17</v>
      </c>
      <c r="D6201" s="11" t="s">
        <v>18</v>
      </c>
      <c r="E6201" s="12" t="s">
        <v>343</v>
      </c>
      <c r="F6201" s="12" t="s">
        <v>344</v>
      </c>
      <c r="G6201" s="12" t="s">
        <v>29</v>
      </c>
      <c r="H6201" s="11" t="s">
        <v>22</v>
      </c>
      <c r="I6201" s="13" t="s">
        <v>13439</v>
      </c>
      <c r="J6201" s="14" t="str">
        <f>HYPERLINK("https://www.boe.es/gazeta/dias/1839/05/20/pdfs/GMD-1839-1647.pdf#page=1","Abrir facsímil")</f>
        <v>Abrir facsímil</v>
      </c>
      <c r="K6201" s="12" t="s">
        <v>24</v>
      </c>
    </row>
    <row r="6202" spans="1:11" ht="40.049999999999997" customHeight="1" x14ac:dyDescent="0.25">
      <c r="A6202" s="11" t="s">
        <v>13428</v>
      </c>
      <c r="B6202" s="11" t="s">
        <v>13428</v>
      </c>
      <c r="C6202" s="11" t="s">
        <v>17</v>
      </c>
      <c r="D6202" s="11" t="s">
        <v>18</v>
      </c>
      <c r="E6202" s="12" t="s">
        <v>2069</v>
      </c>
      <c r="F6202" s="12" t="s">
        <v>2070</v>
      </c>
      <c r="G6202" s="12" t="s">
        <v>29</v>
      </c>
      <c r="H6202" s="11" t="s">
        <v>22</v>
      </c>
      <c r="I6202" s="13" t="s">
        <v>13440</v>
      </c>
      <c r="J6202" s="14" t="str">
        <f>HYPERLINK("https://www.boe.es/gazeta/dias/1839/10/20/pdfs/GMD-1839-1806.pdf#page=1","Abrir facsímil")</f>
        <v>Abrir facsímil</v>
      </c>
      <c r="K6202" s="12" t="s">
        <v>24</v>
      </c>
    </row>
    <row r="6203" spans="1:11" ht="40.049999999999997" customHeight="1" x14ac:dyDescent="0.25">
      <c r="A6203" s="11" t="s">
        <v>13428</v>
      </c>
      <c r="B6203" s="11" t="s">
        <v>13428</v>
      </c>
      <c r="C6203" s="11" t="s">
        <v>59</v>
      </c>
      <c r="D6203" s="11" t="s">
        <v>60</v>
      </c>
      <c r="E6203" s="12" t="s">
        <v>1584</v>
      </c>
      <c r="F6203" s="12" t="s">
        <v>1585</v>
      </c>
      <c r="G6203" s="12" t="s">
        <v>46</v>
      </c>
      <c r="H6203" s="11" t="s">
        <v>22</v>
      </c>
      <c r="I6203" s="13" t="s">
        <v>13441</v>
      </c>
      <c r="J6203" s="14" t="str">
        <f>HYPERLINK("https://www.boe.es/gazeta/dias/1839/11/20/pdfs/GMD-1839-1837.pdf#page=3","Abrir facsímil")</f>
        <v>Abrir facsímil</v>
      </c>
      <c r="K6203" s="12" t="s">
        <v>24</v>
      </c>
    </row>
    <row r="6204" spans="1:11" ht="40.049999999999997" customHeight="1" x14ac:dyDescent="0.25">
      <c r="A6204" s="11" t="s">
        <v>13428</v>
      </c>
      <c r="B6204" s="11" t="s">
        <v>13428</v>
      </c>
      <c r="C6204" s="11" t="s">
        <v>17</v>
      </c>
      <c r="D6204" s="11" t="s">
        <v>18</v>
      </c>
      <c r="E6204" s="12" t="s">
        <v>3601</v>
      </c>
      <c r="F6204" s="12" t="s">
        <v>3602</v>
      </c>
      <c r="G6204" s="12" t="s">
        <v>29</v>
      </c>
      <c r="H6204" s="11" t="s">
        <v>22</v>
      </c>
      <c r="I6204" s="13" t="s">
        <v>13442</v>
      </c>
      <c r="J6204" s="14" t="str">
        <f>HYPERLINK("https://www.boe.es/gazeta/dias/1839/03/21/pdfs/GMD-1839-1587.pdf#page=1","Abrir facsímil")</f>
        <v>Abrir facsímil</v>
      </c>
      <c r="K6204" s="12" t="s">
        <v>24</v>
      </c>
    </row>
    <row r="6205" spans="1:11" ht="40.049999999999997" customHeight="1" x14ac:dyDescent="0.25">
      <c r="A6205" s="11" t="s">
        <v>13428</v>
      </c>
      <c r="B6205" s="11" t="s">
        <v>13428</v>
      </c>
      <c r="C6205" s="11" t="s">
        <v>17</v>
      </c>
      <c r="D6205" s="11" t="s">
        <v>18</v>
      </c>
      <c r="E6205" s="12" t="s">
        <v>1433</v>
      </c>
      <c r="F6205" s="12" t="s">
        <v>1434</v>
      </c>
      <c r="G6205" s="12" t="s">
        <v>29</v>
      </c>
      <c r="H6205" s="11" t="s">
        <v>22</v>
      </c>
      <c r="I6205" s="13" t="s">
        <v>13443</v>
      </c>
      <c r="J6205" s="14" t="str">
        <f>HYPERLINK("https://www.boe.es/gazeta/dias/1839/10/22/pdfs/GMD-1839-1808.pdf#page=1","Abrir facsímil")</f>
        <v>Abrir facsímil</v>
      </c>
      <c r="K6205" s="12" t="s">
        <v>24</v>
      </c>
    </row>
    <row r="6206" spans="1:11" ht="40.049999999999997" customHeight="1" x14ac:dyDescent="0.25">
      <c r="A6206" s="11" t="s">
        <v>13428</v>
      </c>
      <c r="B6206" s="11" t="s">
        <v>13428</v>
      </c>
      <c r="C6206" s="11" t="s">
        <v>17</v>
      </c>
      <c r="D6206" s="11" t="s">
        <v>18</v>
      </c>
      <c r="E6206" s="12" t="s">
        <v>2432</v>
      </c>
      <c r="F6206" s="12" t="s">
        <v>2581</v>
      </c>
      <c r="G6206" s="12" t="s">
        <v>29</v>
      </c>
      <c r="H6206" s="11" t="s">
        <v>22</v>
      </c>
      <c r="I6206" s="13" t="s">
        <v>13444</v>
      </c>
      <c r="J6206" s="14" t="str">
        <f>HYPERLINK("https://www.boe.es/gazeta/dias/1839/07/23/pdfs/GMD-1839-1711.pdf#page=1","Abrir facsímil")</f>
        <v>Abrir facsímil</v>
      </c>
      <c r="K6206" s="12" t="s">
        <v>24</v>
      </c>
    </row>
    <row r="6207" spans="1:11" ht="40.049999999999997" customHeight="1" x14ac:dyDescent="0.25">
      <c r="A6207" s="11" t="s">
        <v>13428</v>
      </c>
      <c r="B6207" s="11" t="s">
        <v>13428</v>
      </c>
      <c r="C6207" s="11" t="s">
        <v>59</v>
      </c>
      <c r="D6207" s="11" t="s">
        <v>60</v>
      </c>
      <c r="E6207" s="12" t="s">
        <v>479</v>
      </c>
      <c r="F6207" s="12" t="s">
        <v>480</v>
      </c>
      <c r="G6207" s="12" t="s">
        <v>29</v>
      </c>
      <c r="H6207" s="11" t="s">
        <v>22</v>
      </c>
      <c r="I6207" s="13" t="s">
        <v>13445</v>
      </c>
      <c r="J6207" s="14" t="str">
        <f>HYPERLINK("https://www.boe.es/gazeta/dias/1839/06/24/pdfs/GMD-1839-1682.pdf#page=1","Abrir facsímil")</f>
        <v>Abrir facsímil</v>
      </c>
      <c r="K6207" s="12" t="s">
        <v>24</v>
      </c>
    </row>
    <row r="6208" spans="1:11" ht="40.049999999999997" customHeight="1" x14ac:dyDescent="0.25">
      <c r="A6208" s="11" t="s">
        <v>13428</v>
      </c>
      <c r="B6208" s="11" t="s">
        <v>13428</v>
      </c>
      <c r="C6208" s="11" t="s">
        <v>17</v>
      </c>
      <c r="D6208" s="11" t="s">
        <v>18</v>
      </c>
      <c r="E6208" s="12" t="s">
        <v>2435</v>
      </c>
      <c r="F6208" s="12" t="s">
        <v>2436</v>
      </c>
      <c r="G6208" s="12" t="s">
        <v>29</v>
      </c>
      <c r="H6208" s="11" t="s">
        <v>22</v>
      </c>
      <c r="I6208" s="13" t="s">
        <v>13446</v>
      </c>
      <c r="J6208" s="14" t="str">
        <f>HYPERLINK("https://www.boe.es/gazeta/dias/1839/07/24/pdfs/GMD-1839-1713.pdf#page=1","Abrir facsímil")</f>
        <v>Abrir facsímil</v>
      </c>
      <c r="K6208" s="12" t="s">
        <v>24</v>
      </c>
    </row>
    <row r="6209" spans="1:11" ht="40.049999999999997" customHeight="1" x14ac:dyDescent="0.25">
      <c r="A6209" s="11" t="s">
        <v>13428</v>
      </c>
      <c r="B6209" s="11" t="s">
        <v>13428</v>
      </c>
      <c r="C6209" s="11" t="s">
        <v>17</v>
      </c>
      <c r="D6209" s="11" t="s">
        <v>18</v>
      </c>
      <c r="E6209" s="12" t="s">
        <v>1149</v>
      </c>
      <c r="F6209" s="12" t="s">
        <v>1150</v>
      </c>
      <c r="G6209" s="12" t="s">
        <v>29</v>
      </c>
      <c r="H6209" s="11" t="s">
        <v>22</v>
      </c>
      <c r="I6209" s="13" t="s">
        <v>13447</v>
      </c>
      <c r="J6209" s="14" t="str">
        <f>HYPERLINK("https://www.boe.es/gazeta/dias/1839/06/25/pdfs/GMD-1839-1683.pdf#page=1","Abrir facsímil")</f>
        <v>Abrir facsímil</v>
      </c>
      <c r="K6209" s="12" t="s">
        <v>24</v>
      </c>
    </row>
    <row r="6210" spans="1:11" ht="40.049999999999997" customHeight="1" x14ac:dyDescent="0.25">
      <c r="A6210" s="11" t="s">
        <v>13428</v>
      </c>
      <c r="B6210" s="11" t="s">
        <v>13428</v>
      </c>
      <c r="C6210" s="11" t="s">
        <v>17</v>
      </c>
      <c r="D6210" s="11" t="s">
        <v>18</v>
      </c>
      <c r="E6210" s="12" t="s">
        <v>826</v>
      </c>
      <c r="F6210" s="12" t="s">
        <v>827</v>
      </c>
      <c r="G6210" s="12" t="s">
        <v>29</v>
      </c>
      <c r="H6210" s="11" t="s">
        <v>22</v>
      </c>
      <c r="I6210" s="13" t="s">
        <v>13448</v>
      </c>
      <c r="J6210" s="14" t="str">
        <f>HYPERLINK("https://www.boe.es/gazeta/dias/1839/09/25/pdfs/GMD-1839-1781.pdf#page=1","Abrir facsímil")</f>
        <v>Abrir facsímil</v>
      </c>
      <c r="K6210" s="12" t="s">
        <v>24</v>
      </c>
    </row>
    <row r="6211" spans="1:11" ht="40.049999999999997" customHeight="1" x14ac:dyDescent="0.25">
      <c r="A6211" s="11" t="s">
        <v>13428</v>
      </c>
      <c r="B6211" s="11" t="s">
        <v>13428</v>
      </c>
      <c r="C6211" s="11" t="s">
        <v>17</v>
      </c>
      <c r="D6211" s="11" t="s">
        <v>18</v>
      </c>
      <c r="E6211" s="12" t="s">
        <v>1749</v>
      </c>
      <c r="F6211" s="12" t="s">
        <v>1750</v>
      </c>
      <c r="G6211" s="12" t="s">
        <v>29</v>
      </c>
      <c r="H6211" s="11" t="s">
        <v>22</v>
      </c>
      <c r="I6211" s="13" t="s">
        <v>13449</v>
      </c>
      <c r="J6211" s="14" t="str">
        <f>HYPERLINK("https://www.boe.es/gazeta/dias/1839/06/28/pdfs/GMD-1839-1686.pdf#page=1","Abrir facsímil")</f>
        <v>Abrir facsímil</v>
      </c>
      <c r="K6211" s="12" t="s">
        <v>24</v>
      </c>
    </row>
    <row r="6212" spans="1:11" ht="40.049999999999997" customHeight="1" x14ac:dyDescent="0.25">
      <c r="A6212" s="11" t="s">
        <v>13428</v>
      </c>
      <c r="B6212" s="11" t="s">
        <v>13428</v>
      </c>
      <c r="C6212" s="11" t="s">
        <v>17</v>
      </c>
      <c r="D6212" s="11" t="s">
        <v>18</v>
      </c>
      <c r="E6212" s="12" t="s">
        <v>1551</v>
      </c>
      <c r="F6212" s="12" t="s">
        <v>1552</v>
      </c>
      <c r="G6212" s="12" t="s">
        <v>29</v>
      </c>
      <c r="H6212" s="11" t="s">
        <v>22</v>
      </c>
      <c r="I6212" s="13" t="s">
        <v>13450</v>
      </c>
      <c r="J6212" s="14" t="str">
        <f>HYPERLINK("https://www.boe.es/gazeta/dias/1839/06/30/pdfs/GMD-1839-1688.pdf#page=1","Abrir facsímil")</f>
        <v>Abrir facsímil</v>
      </c>
      <c r="K6212" s="12" t="s">
        <v>24</v>
      </c>
    </row>
    <row r="6213" spans="1:11" ht="40.049999999999997" customHeight="1" x14ac:dyDescent="0.25">
      <c r="A6213" s="11" t="s">
        <v>13428</v>
      </c>
      <c r="B6213" s="11" t="s">
        <v>13428</v>
      </c>
      <c r="C6213" s="11" t="s">
        <v>59</v>
      </c>
      <c r="D6213" s="11" t="s">
        <v>60</v>
      </c>
      <c r="E6213" s="12" t="s">
        <v>716</v>
      </c>
      <c r="F6213" s="12" t="s">
        <v>717</v>
      </c>
      <c r="G6213" s="12" t="s">
        <v>40</v>
      </c>
      <c r="H6213" s="11" t="s">
        <v>22</v>
      </c>
      <c r="I6213" s="13" t="s">
        <v>13451</v>
      </c>
      <c r="J6213" s="14" t="str">
        <f>HYPERLINK("https://www.boe.es/gazeta/dias/1839/07/30/pdfs/GMD-1839-1719.pdf#page=2","Abrir facsímil")</f>
        <v>Abrir facsímil</v>
      </c>
      <c r="K6213" s="12" t="s">
        <v>24</v>
      </c>
    </row>
    <row r="6214" spans="1:11" ht="40.049999999999997" customHeight="1" x14ac:dyDescent="0.25">
      <c r="A6214" s="11" t="s">
        <v>13452</v>
      </c>
      <c r="B6214" s="11" t="s">
        <v>13452</v>
      </c>
      <c r="C6214" s="11" t="s">
        <v>17</v>
      </c>
      <c r="D6214" s="11" t="s">
        <v>18</v>
      </c>
      <c r="E6214" s="12" t="s">
        <v>1631</v>
      </c>
      <c r="F6214" s="12" t="s">
        <v>1632</v>
      </c>
      <c r="G6214" s="12" t="s">
        <v>29</v>
      </c>
      <c r="H6214" s="11" t="s">
        <v>22</v>
      </c>
      <c r="I6214" s="13" t="s">
        <v>13453</v>
      </c>
      <c r="J6214" s="14" t="str">
        <f>HYPERLINK("https://www.boe.es/gazeta/dias/1839/05/10/pdfs/GMD-1839-1637.pdf#page=1","Abrir facsímil")</f>
        <v>Abrir facsímil</v>
      </c>
      <c r="K6214" s="12" t="s">
        <v>24</v>
      </c>
    </row>
    <row r="6215" spans="1:11" ht="40.049999999999997" customHeight="1" x14ac:dyDescent="0.25">
      <c r="A6215" s="11" t="s">
        <v>13452</v>
      </c>
      <c r="B6215" s="11" t="s">
        <v>13452</v>
      </c>
      <c r="C6215" s="11" t="s">
        <v>17</v>
      </c>
      <c r="D6215" s="11" t="s">
        <v>18</v>
      </c>
      <c r="E6215" s="12" t="s">
        <v>483</v>
      </c>
      <c r="F6215" s="12" t="s">
        <v>484</v>
      </c>
      <c r="G6215" s="12" t="s">
        <v>29</v>
      </c>
      <c r="H6215" s="11" t="s">
        <v>22</v>
      </c>
      <c r="I6215" s="13" t="s">
        <v>13454</v>
      </c>
      <c r="J6215" s="14" t="str">
        <f>HYPERLINK("https://www.boe.es/gazeta/dias/1839/11/18/pdfs/GMD-1839-1835.pdf#page=1","Abrir facsímil")</f>
        <v>Abrir facsímil</v>
      </c>
      <c r="K6215" s="12" t="s">
        <v>24</v>
      </c>
    </row>
    <row r="6216" spans="1:11" ht="40.049999999999997" customHeight="1" x14ac:dyDescent="0.25">
      <c r="A6216" s="11" t="s">
        <v>13452</v>
      </c>
      <c r="B6216" s="11" t="s">
        <v>13452</v>
      </c>
      <c r="C6216" s="11" t="s">
        <v>80</v>
      </c>
      <c r="D6216" s="11" t="s">
        <v>18</v>
      </c>
      <c r="E6216" s="12" t="s">
        <v>1523</v>
      </c>
      <c r="F6216" s="12" t="s">
        <v>1524</v>
      </c>
      <c r="G6216" s="12" t="s">
        <v>29</v>
      </c>
      <c r="H6216" s="11" t="s">
        <v>22</v>
      </c>
      <c r="I6216" s="13" t="s">
        <v>13455</v>
      </c>
      <c r="J6216" s="14" t="str">
        <f>HYPERLINK("https://www.boe.es/gazeta/dias/1839/08/29/pdfs/GMD-1839-1750.pdf#page=1","Abrir facsímil")</f>
        <v>Abrir facsímil</v>
      </c>
      <c r="K6216" s="12" t="s">
        <v>24</v>
      </c>
    </row>
    <row r="6217" spans="1:11" ht="40.049999999999997" customHeight="1" x14ac:dyDescent="0.25">
      <c r="A6217" s="11" t="s">
        <v>13456</v>
      </c>
      <c r="B6217" s="11" t="s">
        <v>13456</v>
      </c>
      <c r="C6217" s="11" t="s">
        <v>101</v>
      </c>
      <c r="D6217" s="11" t="s">
        <v>43</v>
      </c>
      <c r="E6217" s="12" t="s">
        <v>4451</v>
      </c>
      <c r="F6217" s="12" t="s">
        <v>4452</v>
      </c>
      <c r="G6217" s="12" t="s">
        <v>29</v>
      </c>
      <c r="H6217" s="11" t="s">
        <v>22</v>
      </c>
      <c r="I6217" s="13" t="s">
        <v>13457</v>
      </c>
      <c r="J6217" s="14" t="str">
        <f>HYPERLINK("https://www.boe.es/gazeta/dias/1839/12/02/pdfs/GMD-1839-1849.pdf#page=1","Abrir facsímil")</f>
        <v>Abrir facsímil</v>
      </c>
      <c r="K6217" s="12" t="s">
        <v>24</v>
      </c>
    </row>
    <row r="6218" spans="1:11" ht="40.049999999999997" customHeight="1" x14ac:dyDescent="0.25">
      <c r="A6218" s="11" t="s">
        <v>13456</v>
      </c>
      <c r="B6218" s="11" t="s">
        <v>13456</v>
      </c>
      <c r="C6218" s="11" t="s">
        <v>17</v>
      </c>
      <c r="D6218" s="11" t="s">
        <v>18</v>
      </c>
      <c r="E6218" s="12" t="s">
        <v>2320</v>
      </c>
      <c r="F6218" s="12" t="s">
        <v>2321</v>
      </c>
      <c r="G6218" s="12" t="s">
        <v>40</v>
      </c>
      <c r="H6218" s="11" t="s">
        <v>22</v>
      </c>
      <c r="I6218" s="13" t="s">
        <v>13458</v>
      </c>
      <c r="J6218" s="14" t="str">
        <f>HYPERLINK("https://www.boe.es/gazeta/dias/1839/11/13/pdfs/GMD-1839-1830.pdf#page=2","Abrir facsímil")</f>
        <v>Abrir facsímil</v>
      </c>
      <c r="K6218" s="12" t="s">
        <v>24</v>
      </c>
    </row>
    <row r="6219" spans="1:11" ht="40.049999999999997" customHeight="1" x14ac:dyDescent="0.25">
      <c r="A6219" s="11" t="s">
        <v>13456</v>
      </c>
      <c r="B6219" s="11" t="s">
        <v>13456</v>
      </c>
      <c r="C6219" s="11" t="s">
        <v>59</v>
      </c>
      <c r="D6219" s="11" t="s">
        <v>60</v>
      </c>
      <c r="E6219" s="12" t="s">
        <v>308</v>
      </c>
      <c r="F6219" s="12" t="s">
        <v>309</v>
      </c>
      <c r="G6219" s="12" t="s">
        <v>29</v>
      </c>
      <c r="H6219" s="11" t="s">
        <v>22</v>
      </c>
      <c r="I6219" s="13" t="s">
        <v>13459</v>
      </c>
      <c r="J6219" s="14" t="str">
        <f>HYPERLINK("https://www.boe.es/gazeta/dias/1839/07/29/pdfs/GMD-1839-1718.pdf#page=1","Abrir facsímil")</f>
        <v>Abrir facsímil</v>
      </c>
      <c r="K6219" s="12" t="s">
        <v>24</v>
      </c>
    </row>
    <row r="6220" spans="1:11" ht="40.049999999999997" customHeight="1" x14ac:dyDescent="0.25">
      <c r="A6220" s="11" t="s">
        <v>13460</v>
      </c>
      <c r="B6220" s="11" t="s">
        <v>13460</v>
      </c>
      <c r="C6220" s="11" t="s">
        <v>17</v>
      </c>
      <c r="D6220" s="11" t="s">
        <v>18</v>
      </c>
      <c r="E6220" s="12" t="s">
        <v>453</v>
      </c>
      <c r="F6220" s="12" t="s">
        <v>454</v>
      </c>
      <c r="G6220" s="12" t="s">
        <v>40</v>
      </c>
      <c r="H6220" s="11" t="s">
        <v>22</v>
      </c>
      <c r="I6220" s="13" t="s">
        <v>13461</v>
      </c>
      <c r="J6220" s="14" t="str">
        <f>HYPERLINK("https://www.boe.es/gazeta/dias/1839/02/07/pdfs/GMD-1839-1545.pdf#page=2","Abrir facsímil")</f>
        <v>Abrir facsímil</v>
      </c>
      <c r="K6220" s="12" t="s">
        <v>24</v>
      </c>
    </row>
    <row r="6221" spans="1:11" ht="40.049999999999997" customHeight="1" x14ac:dyDescent="0.25">
      <c r="A6221" s="11" t="s">
        <v>13460</v>
      </c>
      <c r="B6221" s="11" t="s">
        <v>13460</v>
      </c>
      <c r="C6221" s="11" t="s">
        <v>17</v>
      </c>
      <c r="D6221" s="11" t="s">
        <v>18</v>
      </c>
      <c r="E6221" s="12" t="s">
        <v>804</v>
      </c>
      <c r="F6221" s="12" t="s">
        <v>805</v>
      </c>
      <c r="G6221" s="12" t="s">
        <v>40</v>
      </c>
      <c r="H6221" s="11" t="s">
        <v>22</v>
      </c>
      <c r="I6221" s="13" t="s">
        <v>13462</v>
      </c>
      <c r="J6221" s="14" t="str">
        <f>HYPERLINK("https://www.boe.es/gazeta/dias/1839/01/08/pdfs/GMD-1839-1515.pdf#page=2","Abrir facsímil")</f>
        <v>Abrir facsímil</v>
      </c>
      <c r="K6221" s="12" t="s">
        <v>24</v>
      </c>
    </row>
    <row r="6222" spans="1:11" ht="40.049999999999997" customHeight="1" x14ac:dyDescent="0.25">
      <c r="A6222" s="11" t="s">
        <v>13460</v>
      </c>
      <c r="B6222" s="11" t="s">
        <v>13460</v>
      </c>
      <c r="C6222" s="11" t="s">
        <v>17</v>
      </c>
      <c r="D6222" s="11" t="s">
        <v>18</v>
      </c>
      <c r="E6222" s="12" t="s">
        <v>157</v>
      </c>
      <c r="F6222" s="12" t="s">
        <v>158</v>
      </c>
      <c r="G6222" s="12" t="s">
        <v>40</v>
      </c>
      <c r="H6222" s="11" t="s">
        <v>22</v>
      </c>
      <c r="I6222" s="13" t="s">
        <v>13463</v>
      </c>
      <c r="J6222" s="14" t="str">
        <f>HYPERLINK("https://www.boe.es/gazeta/dias/1839/02/08/pdfs/GMD-1839-1546.pdf#page=2","Abrir facsímil")</f>
        <v>Abrir facsímil</v>
      </c>
      <c r="K6222" s="12" t="s">
        <v>24</v>
      </c>
    </row>
    <row r="6223" spans="1:11" ht="40.049999999999997" customHeight="1" x14ac:dyDescent="0.25">
      <c r="A6223" s="11" t="s">
        <v>13460</v>
      </c>
      <c r="B6223" s="11" t="s">
        <v>13460</v>
      </c>
      <c r="C6223" s="11" t="s">
        <v>17</v>
      </c>
      <c r="D6223" s="11" t="s">
        <v>18</v>
      </c>
      <c r="E6223" s="12" t="s">
        <v>192</v>
      </c>
      <c r="F6223" s="12" t="s">
        <v>193</v>
      </c>
      <c r="G6223" s="12" t="s">
        <v>46</v>
      </c>
      <c r="H6223" s="11" t="s">
        <v>22</v>
      </c>
      <c r="I6223" s="13" t="s">
        <v>13464</v>
      </c>
      <c r="J6223" s="14" t="str">
        <f>HYPERLINK("https://www.boe.es/gazeta/dias/1839/01/12/pdfs/GMD-1839-1519.pdf#page=3","Abrir facsímil")</f>
        <v>Abrir facsímil</v>
      </c>
      <c r="K6223" s="12" t="s">
        <v>24</v>
      </c>
    </row>
    <row r="6224" spans="1:11" ht="40.049999999999997" customHeight="1" x14ac:dyDescent="0.25">
      <c r="A6224" s="11" t="s">
        <v>13460</v>
      </c>
      <c r="B6224" s="11" t="s">
        <v>13460</v>
      </c>
      <c r="C6224" s="11" t="s">
        <v>17</v>
      </c>
      <c r="D6224" s="11" t="s">
        <v>18</v>
      </c>
      <c r="E6224" s="12" t="s">
        <v>5399</v>
      </c>
      <c r="F6224" s="12" t="s">
        <v>5400</v>
      </c>
      <c r="G6224" s="12" t="s">
        <v>40</v>
      </c>
      <c r="H6224" s="11" t="s">
        <v>22</v>
      </c>
      <c r="I6224" s="13" t="s">
        <v>13465</v>
      </c>
      <c r="J6224" s="14" t="str">
        <f>HYPERLINK("https://www.boe.es/gazeta/dias/1839/10/14/pdfs/GMD-1839-1800.pdf#page=2","Abrir facsímil")</f>
        <v>Abrir facsímil</v>
      </c>
      <c r="K6224" s="12" t="s">
        <v>24</v>
      </c>
    </row>
    <row r="6225" spans="1:11" ht="40.049999999999997" customHeight="1" x14ac:dyDescent="0.25">
      <c r="A6225" s="11" t="s">
        <v>13460</v>
      </c>
      <c r="B6225" s="11" t="s">
        <v>13460</v>
      </c>
      <c r="C6225" s="11" t="s">
        <v>17</v>
      </c>
      <c r="D6225" s="11" t="s">
        <v>18</v>
      </c>
      <c r="E6225" s="12" t="s">
        <v>1179</v>
      </c>
      <c r="F6225" s="12" t="s">
        <v>1180</v>
      </c>
      <c r="G6225" s="12" t="s">
        <v>40</v>
      </c>
      <c r="H6225" s="11" t="s">
        <v>22</v>
      </c>
      <c r="I6225" s="13" t="s">
        <v>13466</v>
      </c>
      <c r="J6225" s="14" t="str">
        <f>HYPERLINK("https://www.boe.es/gazeta/dias/1839/10/18/pdfs/GMD-1839-1804.pdf#page=2","Abrir facsímil")</f>
        <v>Abrir facsímil</v>
      </c>
      <c r="K6225" s="12" t="s">
        <v>24</v>
      </c>
    </row>
    <row r="6226" spans="1:11" ht="40.049999999999997" customHeight="1" x14ac:dyDescent="0.25">
      <c r="A6226" s="11" t="s">
        <v>13460</v>
      </c>
      <c r="B6226" s="11" t="s">
        <v>13460</v>
      </c>
      <c r="C6226" s="11" t="s">
        <v>17</v>
      </c>
      <c r="D6226" s="11" t="s">
        <v>18</v>
      </c>
      <c r="E6226" s="12" t="s">
        <v>1076</v>
      </c>
      <c r="F6226" s="12" t="s">
        <v>1077</v>
      </c>
      <c r="G6226" s="12" t="s">
        <v>21</v>
      </c>
      <c r="H6226" s="11" t="s">
        <v>22</v>
      </c>
      <c r="I6226" s="13" t="s">
        <v>13467</v>
      </c>
      <c r="J6226" s="14" t="str">
        <f>HYPERLINK("https://www.boe.es/gazeta/dias/1839/10/19/pdfs/GMD-1839-1805.pdf#page=4","Abrir facsímil")</f>
        <v>Abrir facsímil</v>
      </c>
      <c r="K6226" s="12" t="s">
        <v>24</v>
      </c>
    </row>
    <row r="6227" spans="1:11" ht="40.049999999999997" customHeight="1" x14ac:dyDescent="0.25">
      <c r="A6227" s="11" t="s">
        <v>13460</v>
      </c>
      <c r="B6227" s="11" t="s">
        <v>13460</v>
      </c>
      <c r="C6227" s="11" t="s">
        <v>17</v>
      </c>
      <c r="D6227" s="11" t="s">
        <v>18</v>
      </c>
      <c r="E6227" s="12" t="s">
        <v>2069</v>
      </c>
      <c r="F6227" s="12" t="s">
        <v>2070</v>
      </c>
      <c r="G6227" s="12" t="s">
        <v>566</v>
      </c>
      <c r="H6227" s="11" t="s">
        <v>22</v>
      </c>
      <c r="I6227" s="13" t="s">
        <v>13468</v>
      </c>
      <c r="J6227" s="14" t="str">
        <f>HYPERLINK("https://www.boe.es/gazeta/dias/1839/10/20/pdfs/GMD-1839-1806.pdf#page=5","Abrir facsímil")</f>
        <v>Abrir facsímil</v>
      </c>
      <c r="K6227" s="12" t="s">
        <v>24</v>
      </c>
    </row>
    <row r="6228" spans="1:11" ht="40.049999999999997" customHeight="1" x14ac:dyDescent="0.25">
      <c r="A6228" s="11" t="s">
        <v>13460</v>
      </c>
      <c r="B6228" s="11" t="s">
        <v>13460</v>
      </c>
      <c r="C6228" s="11" t="s">
        <v>17</v>
      </c>
      <c r="D6228" s="11" t="s">
        <v>18</v>
      </c>
      <c r="E6228" s="12" t="s">
        <v>794</v>
      </c>
      <c r="F6228" s="12" t="s">
        <v>795</v>
      </c>
      <c r="G6228" s="12" t="s">
        <v>46</v>
      </c>
      <c r="H6228" s="11" t="s">
        <v>22</v>
      </c>
      <c r="I6228" s="13" t="s">
        <v>13469</v>
      </c>
      <c r="J6228" s="14" t="str">
        <f>HYPERLINK("https://www.boe.es/gazeta/dias/1839/01/22/pdfs/GMD-1839-1529.pdf#page=3","Abrir facsímil")</f>
        <v>Abrir facsímil</v>
      </c>
      <c r="K6228" s="12" t="s">
        <v>24</v>
      </c>
    </row>
    <row r="6229" spans="1:11" ht="40.049999999999997" customHeight="1" x14ac:dyDescent="0.25">
      <c r="A6229" s="11" t="s">
        <v>13460</v>
      </c>
      <c r="B6229" s="11" t="s">
        <v>13460</v>
      </c>
      <c r="C6229" s="11" t="s">
        <v>101</v>
      </c>
      <c r="D6229" s="11" t="s">
        <v>43</v>
      </c>
      <c r="E6229" s="12" t="s">
        <v>239</v>
      </c>
      <c r="F6229" s="12" t="s">
        <v>240</v>
      </c>
      <c r="G6229" s="12" t="s">
        <v>40</v>
      </c>
      <c r="H6229" s="11" t="s">
        <v>22</v>
      </c>
      <c r="I6229" s="13" t="s">
        <v>13470</v>
      </c>
      <c r="J6229" s="14" t="str">
        <f>HYPERLINK("https://www.boe.es/gazeta/dias/1839/09/22/pdfs/GMD-1839-1777.pdf#page=2","Abrir facsímil")</f>
        <v>Abrir facsímil</v>
      </c>
      <c r="K6229" s="12" t="s">
        <v>24</v>
      </c>
    </row>
    <row r="6230" spans="1:11" ht="40.049999999999997" customHeight="1" x14ac:dyDescent="0.25">
      <c r="A6230" s="11" t="s">
        <v>13460</v>
      </c>
      <c r="B6230" s="11" t="s">
        <v>13460</v>
      </c>
      <c r="C6230" s="11" t="s">
        <v>17</v>
      </c>
      <c r="D6230" s="11" t="s">
        <v>18</v>
      </c>
      <c r="E6230" s="12" t="s">
        <v>1433</v>
      </c>
      <c r="F6230" s="12" t="s">
        <v>1434</v>
      </c>
      <c r="G6230" s="12" t="s">
        <v>46</v>
      </c>
      <c r="H6230" s="11" t="s">
        <v>22</v>
      </c>
      <c r="I6230" s="13" t="s">
        <v>13471</v>
      </c>
      <c r="J6230" s="14" t="str">
        <f>HYPERLINK("https://www.boe.es/gazeta/dias/1839/10/22/pdfs/GMD-1839-1808.pdf#page=3","Abrir facsímil")</f>
        <v>Abrir facsímil</v>
      </c>
      <c r="K6230" s="12" t="s">
        <v>24</v>
      </c>
    </row>
    <row r="6231" spans="1:11" ht="40.049999999999997" customHeight="1" x14ac:dyDescent="0.25">
      <c r="A6231" s="11" t="s">
        <v>13460</v>
      </c>
      <c r="B6231" s="11" t="s">
        <v>13460</v>
      </c>
      <c r="C6231" s="11" t="s">
        <v>101</v>
      </c>
      <c r="D6231" s="11" t="s">
        <v>43</v>
      </c>
      <c r="E6231" s="12" t="s">
        <v>2658</v>
      </c>
      <c r="F6231" s="12" t="s">
        <v>2659</v>
      </c>
      <c r="G6231" s="12" t="s">
        <v>21</v>
      </c>
      <c r="H6231" s="11" t="s">
        <v>22</v>
      </c>
      <c r="I6231" s="13" t="s">
        <v>13472</v>
      </c>
      <c r="J6231" s="14" t="str">
        <f>HYPERLINK("https://www.boe.es/gazeta/dias/1839/06/27/pdfs/GMD-1839-1685.pdf#page=4","Abrir facsímil")</f>
        <v>Abrir facsímil</v>
      </c>
      <c r="K6231" s="12" t="s">
        <v>24</v>
      </c>
    </row>
    <row r="6232" spans="1:11" ht="40.049999999999997" customHeight="1" x14ac:dyDescent="0.25">
      <c r="A6232" s="11" t="s">
        <v>13473</v>
      </c>
      <c r="B6232" s="11" t="s">
        <v>13473</v>
      </c>
      <c r="C6232" s="11" t="s">
        <v>59</v>
      </c>
      <c r="D6232" s="11" t="s">
        <v>60</v>
      </c>
      <c r="E6232" s="12" t="s">
        <v>1648</v>
      </c>
      <c r="F6232" s="12" t="s">
        <v>2458</v>
      </c>
      <c r="G6232" s="12" t="s">
        <v>29</v>
      </c>
      <c r="H6232" s="11" t="s">
        <v>22</v>
      </c>
      <c r="I6232" s="13" t="s">
        <v>13474</v>
      </c>
      <c r="J6232" s="14" t="str">
        <f>HYPERLINK("https://www.boe.es/datos/pdfs/BOE//1839/1739/E00001-00001.pdf#page=1","Abrir facsímil")</f>
        <v>Abrir facsímil</v>
      </c>
      <c r="K6232" s="12" t="s">
        <v>24</v>
      </c>
    </row>
    <row r="6233" spans="1:11" ht="40.049999999999997" customHeight="1" x14ac:dyDescent="0.25">
      <c r="A6233" s="11" t="s">
        <v>13475</v>
      </c>
      <c r="B6233" s="11" t="s">
        <v>13475</v>
      </c>
      <c r="C6233" s="11" t="s">
        <v>17</v>
      </c>
      <c r="D6233" s="11" t="s">
        <v>18</v>
      </c>
      <c r="E6233" s="12" t="s">
        <v>2069</v>
      </c>
      <c r="F6233" s="12" t="s">
        <v>2070</v>
      </c>
      <c r="G6233" s="12" t="s">
        <v>566</v>
      </c>
      <c r="H6233" s="11" t="s">
        <v>22</v>
      </c>
      <c r="I6233" s="13" t="s">
        <v>13476</v>
      </c>
      <c r="J6233" s="14" t="str">
        <f>HYPERLINK("https://www.boe.es/gazeta/dias/1839/10/20/pdfs/GMD-1839-1806.pdf#page=5","Abrir facsímil")</f>
        <v>Abrir facsímil</v>
      </c>
      <c r="K6233" s="12" t="s">
        <v>24</v>
      </c>
    </row>
    <row r="6234" spans="1:11" ht="40.049999999999997" customHeight="1" x14ac:dyDescent="0.25">
      <c r="A6234" s="11" t="s">
        <v>13477</v>
      </c>
      <c r="B6234" s="11" t="s">
        <v>13477</v>
      </c>
      <c r="C6234" s="11" t="s">
        <v>80</v>
      </c>
      <c r="D6234" s="11" t="s">
        <v>18</v>
      </c>
      <c r="E6234" s="12" t="s">
        <v>1929</v>
      </c>
      <c r="F6234" s="12" t="s">
        <v>1930</v>
      </c>
      <c r="G6234" s="12" t="s">
        <v>29</v>
      </c>
      <c r="H6234" s="11" t="s">
        <v>22</v>
      </c>
      <c r="I6234" s="13" t="s">
        <v>13478</v>
      </c>
      <c r="J6234" s="14" t="str">
        <f>HYPERLINK("https://www.boe.es/gazeta/dias/1839/02/01/pdfs/GMD-1839-1539.pdf#page=1","Abrir facsímil")</f>
        <v>Abrir facsímil</v>
      </c>
      <c r="K6234" s="12" t="s">
        <v>24</v>
      </c>
    </row>
    <row r="6235" spans="1:11" ht="40.049999999999997" customHeight="1" x14ac:dyDescent="0.25">
      <c r="A6235" s="11" t="s">
        <v>13477</v>
      </c>
      <c r="B6235" s="11" t="s">
        <v>13477</v>
      </c>
      <c r="C6235" s="11" t="s">
        <v>59</v>
      </c>
      <c r="D6235" s="11" t="s">
        <v>60</v>
      </c>
      <c r="E6235" s="12" t="s">
        <v>4287</v>
      </c>
      <c r="F6235" s="12" t="s">
        <v>4288</v>
      </c>
      <c r="G6235" s="12" t="s">
        <v>21</v>
      </c>
      <c r="H6235" s="11" t="s">
        <v>22</v>
      </c>
      <c r="I6235" s="13" t="s">
        <v>13479</v>
      </c>
      <c r="J6235" s="14" t="str">
        <f>HYPERLINK("https://www.boe.es/gazeta/dias/1839/06/01/pdfs/GMD-1839-1659.pdf#page=4","Abrir facsímil")</f>
        <v>Abrir facsímil</v>
      </c>
      <c r="K6235" s="12" t="s">
        <v>24</v>
      </c>
    </row>
    <row r="6236" spans="1:11" ht="40.049999999999997" customHeight="1" x14ac:dyDescent="0.25">
      <c r="A6236" s="11" t="s">
        <v>13477</v>
      </c>
      <c r="B6236" s="11" t="s">
        <v>13477</v>
      </c>
      <c r="C6236" s="11" t="s">
        <v>17</v>
      </c>
      <c r="D6236" s="11" t="s">
        <v>18</v>
      </c>
      <c r="E6236" s="12" t="s">
        <v>381</v>
      </c>
      <c r="F6236" s="12" t="s">
        <v>382</v>
      </c>
      <c r="G6236" s="12" t="s">
        <v>21</v>
      </c>
      <c r="H6236" s="11" t="s">
        <v>22</v>
      </c>
      <c r="I6236" s="13" t="s">
        <v>13480</v>
      </c>
      <c r="J6236" s="14" t="str">
        <f>HYPERLINK("https://www.boe.es/gazeta/dias/1839/06/02/pdfs/GMD-1839-1660.pdf#page=4","Abrir facsímil")</f>
        <v>Abrir facsímil</v>
      </c>
      <c r="K6236" s="12" t="s">
        <v>24</v>
      </c>
    </row>
    <row r="6237" spans="1:11" ht="40.049999999999997" customHeight="1" x14ac:dyDescent="0.25">
      <c r="A6237" s="11" t="s">
        <v>13477</v>
      </c>
      <c r="B6237" s="11" t="s">
        <v>13477</v>
      </c>
      <c r="C6237" s="11" t="s">
        <v>80</v>
      </c>
      <c r="D6237" s="11" t="s">
        <v>18</v>
      </c>
      <c r="E6237" s="12" t="s">
        <v>2138</v>
      </c>
      <c r="F6237" s="12" t="s">
        <v>2139</v>
      </c>
      <c r="G6237" s="12" t="s">
        <v>305</v>
      </c>
      <c r="H6237" s="11" t="s">
        <v>22</v>
      </c>
      <c r="I6237" s="13" t="s">
        <v>13481</v>
      </c>
      <c r="J6237" s="14" t="str">
        <f>HYPERLINK("https://www.boe.es/gazeta/dias/1839/10/02/pdfs/GMD-1839-1788.pdf#page=6","Abrir facsímil")</f>
        <v>Abrir facsímil</v>
      </c>
      <c r="K6237" s="12" t="s">
        <v>24</v>
      </c>
    </row>
    <row r="6238" spans="1:11" ht="40.049999999999997" customHeight="1" x14ac:dyDescent="0.25">
      <c r="A6238" s="11" t="s">
        <v>13477</v>
      </c>
      <c r="B6238" s="11" t="s">
        <v>13477</v>
      </c>
      <c r="C6238" s="11" t="s">
        <v>17</v>
      </c>
      <c r="D6238" s="11" t="s">
        <v>18</v>
      </c>
      <c r="E6238" s="12" t="s">
        <v>1509</v>
      </c>
      <c r="F6238" s="12" t="s">
        <v>1510</v>
      </c>
      <c r="G6238" s="12" t="s">
        <v>305</v>
      </c>
      <c r="H6238" s="11" t="s">
        <v>22</v>
      </c>
      <c r="I6238" s="13" t="s">
        <v>13482</v>
      </c>
      <c r="J6238" s="14" t="str">
        <f>HYPERLINK("https://www.boe.es/gazeta/dias/1839/10/07/pdfs/GMD-1839-1793.pdf#page=6","Abrir facsímil")</f>
        <v>Abrir facsímil</v>
      </c>
      <c r="K6238" s="12" t="s">
        <v>24</v>
      </c>
    </row>
    <row r="6239" spans="1:11" ht="40.049999999999997" customHeight="1" x14ac:dyDescent="0.25">
      <c r="A6239" s="11" t="s">
        <v>13477</v>
      </c>
      <c r="B6239" s="11" t="s">
        <v>13477</v>
      </c>
      <c r="C6239" s="11" t="s">
        <v>17</v>
      </c>
      <c r="D6239" s="11" t="s">
        <v>18</v>
      </c>
      <c r="E6239" s="12" t="s">
        <v>510</v>
      </c>
      <c r="F6239" s="12" t="s">
        <v>511</v>
      </c>
      <c r="G6239" s="12" t="s">
        <v>46</v>
      </c>
      <c r="H6239" s="11" t="s">
        <v>22</v>
      </c>
      <c r="I6239" s="13" t="s">
        <v>13483</v>
      </c>
      <c r="J6239" s="14" t="str">
        <f>HYPERLINK("https://www.boe.es/gazeta/dias/1839/05/13/pdfs/GMD-1839-1640.pdf#page=3","Abrir facsímil")</f>
        <v>Abrir facsímil</v>
      </c>
      <c r="K6239" s="12" t="s">
        <v>24</v>
      </c>
    </row>
    <row r="6240" spans="1:11" ht="40.049999999999997" customHeight="1" x14ac:dyDescent="0.25">
      <c r="A6240" s="11" t="s">
        <v>13477</v>
      </c>
      <c r="B6240" s="11" t="s">
        <v>13477</v>
      </c>
      <c r="C6240" s="11" t="s">
        <v>17</v>
      </c>
      <c r="D6240" s="11" t="s">
        <v>18</v>
      </c>
      <c r="E6240" s="12" t="s">
        <v>2415</v>
      </c>
      <c r="F6240" s="12" t="s">
        <v>2416</v>
      </c>
      <c r="G6240" s="12" t="s">
        <v>21</v>
      </c>
      <c r="H6240" s="11" t="s">
        <v>22</v>
      </c>
      <c r="I6240" s="13" t="s">
        <v>13484</v>
      </c>
      <c r="J6240" s="14" t="str">
        <f>HYPERLINK("https://www.boe.es/gazeta/dias/1839/12/22/pdfs/GMD-1839-1869.pdf#page=4","Abrir facsímil")</f>
        <v>Abrir facsímil</v>
      </c>
      <c r="K6240" s="12" t="s">
        <v>24</v>
      </c>
    </row>
    <row r="6241" spans="1:11" ht="40.049999999999997" customHeight="1" x14ac:dyDescent="0.25">
      <c r="A6241" s="11" t="s">
        <v>13485</v>
      </c>
      <c r="B6241" s="11" t="s">
        <v>13485</v>
      </c>
      <c r="C6241" s="11" t="s">
        <v>17</v>
      </c>
      <c r="D6241" s="11" t="s">
        <v>18</v>
      </c>
      <c r="E6241" s="12" t="s">
        <v>2650</v>
      </c>
      <c r="F6241" s="12" t="s">
        <v>2651</v>
      </c>
      <c r="G6241" s="12" t="s">
        <v>21</v>
      </c>
      <c r="H6241" s="11" t="s">
        <v>22</v>
      </c>
      <c r="I6241" s="13" t="s">
        <v>13486</v>
      </c>
      <c r="J6241" s="14" t="str">
        <f>HYPERLINK("https://www.boe.es/gazeta/dias/1839/09/15/pdfs/GMD-1839-1768.pdf#page=4","Abrir facsímil")</f>
        <v>Abrir facsímil</v>
      </c>
      <c r="K6241" s="12" t="s">
        <v>24</v>
      </c>
    </row>
    <row r="6242" spans="1:11" ht="40.049999999999997" customHeight="1" x14ac:dyDescent="0.25">
      <c r="A6242" s="11" t="s">
        <v>13487</v>
      </c>
      <c r="B6242" s="11" t="s">
        <v>13487</v>
      </c>
      <c r="C6242" s="11" t="s">
        <v>80</v>
      </c>
      <c r="D6242" s="11" t="s">
        <v>18</v>
      </c>
      <c r="E6242" s="12" t="s">
        <v>690</v>
      </c>
      <c r="F6242" s="12" t="s">
        <v>691</v>
      </c>
      <c r="G6242" s="12" t="s">
        <v>21</v>
      </c>
      <c r="H6242" s="11" t="s">
        <v>22</v>
      </c>
      <c r="I6242" s="13" t="s">
        <v>13488</v>
      </c>
      <c r="J6242" s="14" t="str">
        <f>HYPERLINK("https://www.boe.es/gazeta/dias/1839/12/08/pdfs/GMD-1839-1855.pdf#page=4","Abrir facsímil")</f>
        <v>Abrir facsímil</v>
      </c>
      <c r="K6242" s="12" t="s">
        <v>24</v>
      </c>
    </row>
    <row r="6243" spans="1:11" ht="40.049999999999997" customHeight="1" x14ac:dyDescent="0.25">
      <c r="A6243" s="11" t="s">
        <v>13489</v>
      </c>
      <c r="B6243" s="11" t="s">
        <v>13489</v>
      </c>
      <c r="C6243" s="11" t="s">
        <v>17</v>
      </c>
      <c r="D6243" s="11" t="s">
        <v>18</v>
      </c>
      <c r="E6243" s="12" t="s">
        <v>197</v>
      </c>
      <c r="F6243" s="12" t="s">
        <v>198</v>
      </c>
      <c r="G6243" s="12" t="s">
        <v>21</v>
      </c>
      <c r="H6243" s="11" t="s">
        <v>22</v>
      </c>
      <c r="I6243" s="13" t="s">
        <v>13490</v>
      </c>
      <c r="J6243" s="14" t="str">
        <f>HYPERLINK("https://www.boe.es/gazeta/dias/1839/10/04/pdfs/GMD-1839-1790.pdf#page=4","Abrir facsímil")</f>
        <v>Abrir facsímil</v>
      </c>
      <c r="K6243" s="12" t="s">
        <v>24</v>
      </c>
    </row>
    <row r="6244" spans="1:11" ht="40.049999999999997" customHeight="1" x14ac:dyDescent="0.25">
      <c r="A6244" s="11" t="s">
        <v>13489</v>
      </c>
      <c r="B6244" s="11" t="s">
        <v>13489</v>
      </c>
      <c r="C6244" s="11" t="s">
        <v>17</v>
      </c>
      <c r="D6244" s="11" t="s">
        <v>18</v>
      </c>
      <c r="E6244" s="12" t="s">
        <v>713</v>
      </c>
      <c r="F6244" s="12" t="s">
        <v>714</v>
      </c>
      <c r="G6244" s="12" t="s">
        <v>21</v>
      </c>
      <c r="H6244" s="11" t="s">
        <v>22</v>
      </c>
      <c r="I6244" s="13" t="s">
        <v>13491</v>
      </c>
      <c r="J6244" s="14" t="str">
        <f>HYPERLINK("https://www.boe.es/gazeta/dias/1839/12/18/pdfs/GMD-1839-1865.pdf#page=4","Abrir facsímil")</f>
        <v>Abrir facsímil</v>
      </c>
      <c r="K6244" s="12" t="s">
        <v>24</v>
      </c>
    </row>
    <row r="6245" spans="1:11" ht="40.049999999999997" customHeight="1" x14ac:dyDescent="0.25">
      <c r="A6245" s="11" t="s">
        <v>13489</v>
      </c>
      <c r="B6245" s="11" t="s">
        <v>13489</v>
      </c>
      <c r="C6245" s="11" t="s">
        <v>101</v>
      </c>
      <c r="D6245" s="11" t="s">
        <v>102</v>
      </c>
      <c r="E6245" s="12" t="s">
        <v>695</v>
      </c>
      <c r="F6245" s="12" t="s">
        <v>696</v>
      </c>
      <c r="G6245" s="12" t="s">
        <v>21</v>
      </c>
      <c r="H6245" s="11" t="s">
        <v>22</v>
      </c>
      <c r="I6245" s="13" t="s">
        <v>13492</v>
      </c>
      <c r="J6245" s="14" t="str">
        <f>HYPERLINK("https://www.boe.es/gazeta/dias/1839/12/19/pdfs/GMD-1839-1866.pdf#page=4","Abrir facsímil")</f>
        <v>Abrir facsímil</v>
      </c>
      <c r="K6245" s="12" t="s">
        <v>24</v>
      </c>
    </row>
    <row r="6246" spans="1:11" ht="40.049999999999997" customHeight="1" x14ac:dyDescent="0.25">
      <c r="A6246" s="11" t="s">
        <v>13489</v>
      </c>
      <c r="B6246" s="11" t="s">
        <v>13489</v>
      </c>
      <c r="C6246" s="11" t="s">
        <v>17</v>
      </c>
      <c r="D6246" s="11" t="s">
        <v>18</v>
      </c>
      <c r="E6246" s="12" t="s">
        <v>1682</v>
      </c>
      <c r="F6246" s="12" t="s">
        <v>1683</v>
      </c>
      <c r="G6246" s="12" t="s">
        <v>21</v>
      </c>
      <c r="H6246" s="11" t="s">
        <v>22</v>
      </c>
      <c r="I6246" s="13" t="s">
        <v>13493</v>
      </c>
      <c r="J6246" s="14" t="str">
        <f>HYPERLINK("https://www.boe.es/gazeta/dias/1839/12/26/pdfs/GMD-1839-1873.pdf#page=4","Abrir facsímil")</f>
        <v>Abrir facsímil</v>
      </c>
      <c r="K6246" s="12" t="s">
        <v>24</v>
      </c>
    </row>
    <row r="6247" spans="1:11" ht="40.049999999999997" customHeight="1" x14ac:dyDescent="0.25">
      <c r="A6247" s="11" t="s">
        <v>13494</v>
      </c>
      <c r="B6247" s="11" t="s">
        <v>13494</v>
      </c>
      <c r="C6247" s="11" t="s">
        <v>17</v>
      </c>
      <c r="D6247" s="11" t="s">
        <v>18</v>
      </c>
      <c r="E6247" s="12" t="s">
        <v>349</v>
      </c>
      <c r="F6247" s="12" t="s">
        <v>350</v>
      </c>
      <c r="G6247" s="12" t="s">
        <v>21</v>
      </c>
      <c r="H6247" s="11" t="s">
        <v>22</v>
      </c>
      <c r="I6247" s="13" t="s">
        <v>13495</v>
      </c>
      <c r="J6247" s="14" t="str">
        <f>HYPERLINK("https://www.boe.es/gazeta/dias/1839/12/25/pdfs/GMD-1839-1872.pdf#page=4","Abrir facsímil")</f>
        <v>Abrir facsímil</v>
      </c>
      <c r="K6247" s="12" t="s">
        <v>24</v>
      </c>
    </row>
    <row r="6248" spans="1:11" ht="40.049999999999997" customHeight="1" x14ac:dyDescent="0.25">
      <c r="A6248" s="11" t="s">
        <v>13494</v>
      </c>
      <c r="B6248" s="11" t="s">
        <v>13494</v>
      </c>
      <c r="C6248" s="11" t="s">
        <v>59</v>
      </c>
      <c r="D6248" s="11" t="s">
        <v>60</v>
      </c>
      <c r="E6248" s="12" t="s">
        <v>1520</v>
      </c>
      <c r="F6248" s="12" t="s">
        <v>1521</v>
      </c>
      <c r="G6248" s="12" t="s">
        <v>21</v>
      </c>
      <c r="H6248" s="11" t="s">
        <v>22</v>
      </c>
      <c r="I6248" s="13" t="s">
        <v>13496</v>
      </c>
      <c r="J6248" s="14" t="str">
        <f>HYPERLINK("https://www.boe.es/gazeta/dias/1839/12/27/pdfs/GMD-1839-1874.pdf#page=4","Abrir facsímil")</f>
        <v>Abrir facsímil</v>
      </c>
      <c r="K6248" s="12" t="s">
        <v>24</v>
      </c>
    </row>
    <row r="6249" spans="1:11" ht="40.049999999999997" customHeight="1" x14ac:dyDescent="0.25">
      <c r="A6249" s="11" t="s">
        <v>13497</v>
      </c>
      <c r="B6249" s="11" t="s">
        <v>13497</v>
      </c>
      <c r="C6249" s="11" t="s">
        <v>80</v>
      </c>
      <c r="D6249" s="11" t="s">
        <v>18</v>
      </c>
      <c r="E6249" s="12" t="s">
        <v>1374</v>
      </c>
      <c r="F6249" s="12" t="s">
        <v>1375</v>
      </c>
      <c r="G6249" s="12" t="s">
        <v>29</v>
      </c>
      <c r="H6249" s="11" t="s">
        <v>63</v>
      </c>
      <c r="I6249" s="13" t="s">
        <v>13498</v>
      </c>
      <c r="J6249" s="14" t="str">
        <f>HYPERLINK("https://www.boe.es/gazeta/dias/1839/07/20/pdfs/GMD-1839-1708.pdf#page=1","Abrir facsímil")</f>
        <v>Abrir facsímil</v>
      </c>
      <c r="K6249" s="12" t="s">
        <v>65</v>
      </c>
    </row>
    <row r="6250" spans="1:11" ht="40.049999999999997" customHeight="1" x14ac:dyDescent="0.25">
      <c r="A6250" s="11" t="s">
        <v>13499</v>
      </c>
      <c r="B6250" s="11" t="s">
        <v>13499</v>
      </c>
      <c r="C6250" s="11" t="s">
        <v>59</v>
      </c>
      <c r="D6250" s="11" t="s">
        <v>60</v>
      </c>
      <c r="E6250" s="12" t="s">
        <v>2050</v>
      </c>
      <c r="F6250" s="12" t="s">
        <v>2051</v>
      </c>
      <c r="G6250" s="12" t="s">
        <v>21</v>
      </c>
      <c r="H6250" s="11" t="s">
        <v>22</v>
      </c>
      <c r="I6250" s="13" t="s">
        <v>13500</v>
      </c>
      <c r="J6250" s="14" t="str">
        <f>HYPERLINK("https://www.boe.es/gazeta/dias/1839/01/09/pdfs/GMD-1839-1516.pdf#page=4","Abrir facsímil")</f>
        <v>Abrir facsímil</v>
      </c>
      <c r="K6250" s="12" t="s">
        <v>24</v>
      </c>
    </row>
    <row r="6251" spans="1:11" ht="40.049999999999997" customHeight="1" x14ac:dyDescent="0.25">
      <c r="A6251" s="11" t="s">
        <v>13501</v>
      </c>
      <c r="B6251" s="11" t="s">
        <v>13501</v>
      </c>
      <c r="C6251" s="11" t="s">
        <v>17</v>
      </c>
      <c r="D6251" s="11" t="s">
        <v>18</v>
      </c>
      <c r="E6251" s="12" t="s">
        <v>343</v>
      </c>
      <c r="F6251" s="12" t="s">
        <v>344</v>
      </c>
      <c r="G6251" s="12" t="s">
        <v>29</v>
      </c>
      <c r="H6251" s="11" t="s">
        <v>22</v>
      </c>
      <c r="I6251" s="13" t="s">
        <v>13502</v>
      </c>
      <c r="J6251" s="14" t="str">
        <f>HYPERLINK("https://www.boe.es/gazeta/dias/1839/05/20/pdfs/GMD-1839-1647.pdf#page=1","Abrir facsímil")</f>
        <v>Abrir facsímil</v>
      </c>
      <c r="K6251" s="12" t="s">
        <v>24</v>
      </c>
    </row>
    <row r="6252" spans="1:11" ht="40.049999999999997" customHeight="1" x14ac:dyDescent="0.25">
      <c r="A6252" s="11" t="s">
        <v>13503</v>
      </c>
      <c r="B6252" s="11" t="s">
        <v>13503</v>
      </c>
      <c r="C6252" s="11" t="s">
        <v>80</v>
      </c>
      <c r="D6252" s="11" t="s">
        <v>173</v>
      </c>
      <c r="E6252" s="12" t="s">
        <v>782</v>
      </c>
      <c r="F6252" s="12" t="s">
        <v>783</v>
      </c>
      <c r="G6252" s="12" t="s">
        <v>21</v>
      </c>
      <c r="H6252" s="11" t="s">
        <v>22</v>
      </c>
      <c r="I6252" s="13" t="s">
        <v>13504</v>
      </c>
      <c r="J6252" s="14" t="str">
        <f>HYPERLINK("https://www.boe.es/gazeta/dias/1839/05/09/pdfs/GMD-1839-1636.pdf#page=4","Abrir facsímil")</f>
        <v>Abrir facsímil</v>
      </c>
      <c r="K6252" s="12" t="s">
        <v>24</v>
      </c>
    </row>
    <row r="6253" spans="1:11" ht="40.049999999999997" customHeight="1" x14ac:dyDescent="0.25">
      <c r="A6253" s="11" t="s">
        <v>13503</v>
      </c>
      <c r="B6253" s="11" t="s">
        <v>13503</v>
      </c>
      <c r="C6253" s="11" t="s">
        <v>17</v>
      </c>
      <c r="D6253" s="11" t="s">
        <v>18</v>
      </c>
      <c r="E6253" s="12" t="s">
        <v>794</v>
      </c>
      <c r="F6253" s="12" t="s">
        <v>795</v>
      </c>
      <c r="G6253" s="12" t="s">
        <v>21</v>
      </c>
      <c r="H6253" s="11" t="s">
        <v>22</v>
      </c>
      <c r="I6253" s="13" t="s">
        <v>13505</v>
      </c>
      <c r="J6253" s="14" t="str">
        <f>HYPERLINK("https://www.boe.es/gazeta/dias/1839/01/22/pdfs/GMD-1839-1529.pdf#page=4","Abrir facsímil")</f>
        <v>Abrir facsímil</v>
      </c>
      <c r="K6253" s="12" t="s">
        <v>24</v>
      </c>
    </row>
    <row r="6254" spans="1:11" ht="40.049999999999997" customHeight="1" x14ac:dyDescent="0.25">
      <c r="A6254" s="11" t="s">
        <v>13503</v>
      </c>
      <c r="B6254" s="11" t="s">
        <v>13503</v>
      </c>
      <c r="C6254" s="11" t="s">
        <v>17</v>
      </c>
      <c r="D6254" s="11" t="s">
        <v>18</v>
      </c>
      <c r="E6254" s="12" t="s">
        <v>844</v>
      </c>
      <c r="F6254" s="12" t="s">
        <v>845</v>
      </c>
      <c r="G6254" s="12" t="s">
        <v>21</v>
      </c>
      <c r="H6254" s="11" t="s">
        <v>22</v>
      </c>
      <c r="I6254" s="13" t="s">
        <v>13506</v>
      </c>
      <c r="J6254" s="14" t="str">
        <f>HYPERLINK("https://www.boe.es/gazeta/dias/1839/12/24/pdfs/GMD-1839-1871.pdf#page=4","Abrir facsímil")</f>
        <v>Abrir facsímil</v>
      </c>
      <c r="K6254" s="12" t="s">
        <v>24</v>
      </c>
    </row>
    <row r="6255" spans="1:11" ht="40.049999999999997" customHeight="1" x14ac:dyDescent="0.25">
      <c r="A6255" s="11" t="s">
        <v>13503</v>
      </c>
      <c r="B6255" s="11" t="s">
        <v>13503</v>
      </c>
      <c r="C6255" s="11" t="s">
        <v>80</v>
      </c>
      <c r="D6255" s="11" t="s">
        <v>18</v>
      </c>
      <c r="E6255" s="12" t="s">
        <v>1159</v>
      </c>
      <c r="F6255" s="12" t="s">
        <v>1160</v>
      </c>
      <c r="G6255" s="12" t="s">
        <v>21</v>
      </c>
      <c r="H6255" s="11" t="s">
        <v>22</v>
      </c>
      <c r="I6255" s="13" t="s">
        <v>13507</v>
      </c>
      <c r="J6255" s="14" t="str">
        <f>HYPERLINK("https://www.boe.es/gazeta/dias/1839/11/26/pdfs/GMD-1839-1843.pdf#page=4","Abrir facsímil")</f>
        <v>Abrir facsímil</v>
      </c>
      <c r="K6255" s="12" t="s">
        <v>24</v>
      </c>
    </row>
    <row r="6256" spans="1:11" ht="40.049999999999997" customHeight="1" x14ac:dyDescent="0.25">
      <c r="A6256" s="11" t="s">
        <v>13508</v>
      </c>
      <c r="B6256" s="11" t="s">
        <v>13508</v>
      </c>
      <c r="C6256" s="11" t="s">
        <v>101</v>
      </c>
      <c r="D6256" s="11" t="s">
        <v>43</v>
      </c>
      <c r="E6256" s="12" t="s">
        <v>592</v>
      </c>
      <c r="F6256" s="12" t="s">
        <v>593</v>
      </c>
      <c r="G6256" s="12" t="s">
        <v>46</v>
      </c>
      <c r="H6256" s="11" t="s">
        <v>22</v>
      </c>
      <c r="I6256" s="13" t="s">
        <v>13509</v>
      </c>
      <c r="J6256" s="14" t="str">
        <f>HYPERLINK("https://www.boe.es/gazeta/dias/1839/09/14/pdfs/GMD-1839-1767.pdf#page=3","Abrir facsímil")</f>
        <v>Abrir facsímil</v>
      </c>
      <c r="K6256" s="12" t="s">
        <v>24</v>
      </c>
    </row>
    <row r="6257" spans="1:11" ht="40.049999999999997" customHeight="1" x14ac:dyDescent="0.25">
      <c r="A6257" s="11" t="s">
        <v>13510</v>
      </c>
      <c r="B6257" s="11" t="s">
        <v>13510</v>
      </c>
      <c r="C6257" s="11" t="s">
        <v>17</v>
      </c>
      <c r="D6257" s="11" t="s">
        <v>18</v>
      </c>
      <c r="E6257" s="12" t="s">
        <v>1813</v>
      </c>
      <c r="F6257" s="12" t="s">
        <v>1814</v>
      </c>
      <c r="G6257" s="12" t="s">
        <v>21</v>
      </c>
      <c r="H6257" s="11" t="s">
        <v>22</v>
      </c>
      <c r="I6257" s="13" t="s">
        <v>13511</v>
      </c>
      <c r="J6257" s="14" t="str">
        <f>HYPERLINK("https://www.boe.es/gazeta/dias/1839/09/02/pdfs/GMD-1839-1754.pdf#page=4","Abrir facsímil")</f>
        <v>Abrir facsímil</v>
      </c>
      <c r="K6257" s="12" t="s">
        <v>24</v>
      </c>
    </row>
    <row r="6258" spans="1:11" ht="40.049999999999997" customHeight="1" x14ac:dyDescent="0.25">
      <c r="A6258" s="11" t="s">
        <v>13510</v>
      </c>
      <c r="B6258" s="11" t="s">
        <v>13510</v>
      </c>
      <c r="C6258" s="11" t="s">
        <v>80</v>
      </c>
      <c r="D6258" s="11" t="s">
        <v>18</v>
      </c>
      <c r="E6258" s="12" t="s">
        <v>138</v>
      </c>
      <c r="F6258" s="12" t="s">
        <v>139</v>
      </c>
      <c r="G6258" s="12" t="s">
        <v>21</v>
      </c>
      <c r="H6258" s="11" t="s">
        <v>22</v>
      </c>
      <c r="I6258" s="13" t="s">
        <v>13512</v>
      </c>
      <c r="J6258" s="14" t="str">
        <f>HYPERLINK("https://www.boe.es/gazeta/dias/1839/10/09/pdfs/GMD-1839-1795.pdf#page=4","Abrir facsímil")</f>
        <v>Abrir facsímil</v>
      </c>
      <c r="K6258" s="12" t="s">
        <v>24</v>
      </c>
    </row>
    <row r="6259" spans="1:11" ht="40.049999999999997" customHeight="1" x14ac:dyDescent="0.25">
      <c r="A6259" s="11" t="s">
        <v>13510</v>
      </c>
      <c r="B6259" s="11" t="s">
        <v>13510</v>
      </c>
      <c r="C6259" s="11" t="s">
        <v>17</v>
      </c>
      <c r="D6259" s="11" t="s">
        <v>18</v>
      </c>
      <c r="E6259" s="12" t="s">
        <v>1019</v>
      </c>
      <c r="F6259" s="12" t="s">
        <v>1020</v>
      </c>
      <c r="G6259" s="12" t="s">
        <v>21</v>
      </c>
      <c r="H6259" s="11" t="s">
        <v>22</v>
      </c>
      <c r="I6259" s="13" t="s">
        <v>13513</v>
      </c>
      <c r="J6259" s="14" t="str">
        <f>HYPERLINK("https://www.boe.es/gazeta/dias/1839/07/15/pdfs/GMD-1839-1703.pdf#page=4","Abrir facsímil")</f>
        <v>Abrir facsímil</v>
      </c>
      <c r="K6259" s="12" t="s">
        <v>24</v>
      </c>
    </row>
    <row r="6260" spans="1:11" ht="40.049999999999997" customHeight="1" x14ac:dyDescent="0.25">
      <c r="A6260" s="11" t="s">
        <v>13514</v>
      </c>
      <c r="B6260" s="11" t="s">
        <v>13514</v>
      </c>
      <c r="C6260" s="11" t="s">
        <v>101</v>
      </c>
      <c r="D6260" s="11" t="s">
        <v>43</v>
      </c>
      <c r="E6260" s="12" t="s">
        <v>372</v>
      </c>
      <c r="F6260" s="12" t="s">
        <v>373</v>
      </c>
      <c r="G6260" s="12" t="s">
        <v>21</v>
      </c>
      <c r="H6260" s="11" t="s">
        <v>22</v>
      </c>
      <c r="I6260" s="13" t="s">
        <v>13515</v>
      </c>
      <c r="J6260" s="14" t="str">
        <f>HYPERLINK("https://www.boe.es/gazeta/dias/1839/11/08/pdfs/GMD-1839-1825.pdf#page=4","Abrir facsímil")</f>
        <v>Abrir facsímil</v>
      </c>
      <c r="K6260" s="12" t="s">
        <v>24</v>
      </c>
    </row>
    <row r="6261" spans="1:11" ht="40.049999999999997" customHeight="1" x14ac:dyDescent="0.25">
      <c r="A6261" s="11" t="s">
        <v>13514</v>
      </c>
      <c r="B6261" s="11" t="s">
        <v>13514</v>
      </c>
      <c r="C6261" s="11" t="s">
        <v>17</v>
      </c>
      <c r="D6261" s="11" t="s">
        <v>18</v>
      </c>
      <c r="E6261" s="12" t="s">
        <v>426</v>
      </c>
      <c r="F6261" s="12" t="s">
        <v>427</v>
      </c>
      <c r="G6261" s="12" t="s">
        <v>21</v>
      </c>
      <c r="H6261" s="11" t="s">
        <v>22</v>
      </c>
      <c r="I6261" s="13" t="s">
        <v>13516</v>
      </c>
      <c r="J6261" s="14" t="str">
        <f>HYPERLINK("https://www.boe.es/gazeta/dias/1839/08/11/pdfs/GMD-1839-1731.pdf#page=4","Abrir facsímil")</f>
        <v>Abrir facsímil</v>
      </c>
      <c r="K6261" s="12" t="s">
        <v>24</v>
      </c>
    </row>
    <row r="6262" spans="1:11" ht="40.049999999999997" customHeight="1" x14ac:dyDescent="0.25">
      <c r="A6262" s="11" t="s">
        <v>13514</v>
      </c>
      <c r="B6262" s="11" t="s">
        <v>13514</v>
      </c>
      <c r="C6262" s="11" t="s">
        <v>80</v>
      </c>
      <c r="D6262" s="11" t="s">
        <v>18</v>
      </c>
      <c r="E6262" s="12" t="s">
        <v>185</v>
      </c>
      <c r="F6262" s="12" t="s">
        <v>186</v>
      </c>
      <c r="G6262" s="12" t="s">
        <v>29</v>
      </c>
      <c r="H6262" s="11" t="s">
        <v>22</v>
      </c>
      <c r="I6262" s="13" t="s">
        <v>13517</v>
      </c>
      <c r="J6262" s="14" t="str">
        <f>HYPERLINK("https://www.boe.es/gazeta/dias/1839/01/15/pdfs/GMD-1839-1522.pdf#page=1","Abrir facsímil")</f>
        <v>Abrir facsímil</v>
      </c>
      <c r="K6262" s="12" t="s">
        <v>24</v>
      </c>
    </row>
    <row r="6263" spans="1:11" ht="40.049999999999997" customHeight="1" x14ac:dyDescent="0.25">
      <c r="A6263" s="11" t="s">
        <v>13514</v>
      </c>
      <c r="B6263" s="11" t="s">
        <v>13514</v>
      </c>
      <c r="C6263" s="11" t="s">
        <v>17</v>
      </c>
      <c r="D6263" s="11" t="s">
        <v>18</v>
      </c>
      <c r="E6263" s="12" t="s">
        <v>185</v>
      </c>
      <c r="F6263" s="12" t="s">
        <v>186</v>
      </c>
      <c r="G6263" s="12" t="s">
        <v>21</v>
      </c>
      <c r="H6263" s="11" t="s">
        <v>22</v>
      </c>
      <c r="I6263" s="13" t="s">
        <v>13518</v>
      </c>
      <c r="J6263" s="14" t="str">
        <f>HYPERLINK("https://www.boe.es/gazeta/dias/1839/01/15/pdfs/GMD-1839-1522.pdf#page=4","Abrir facsímil")</f>
        <v>Abrir facsímil</v>
      </c>
      <c r="K6263" s="12" t="s">
        <v>24</v>
      </c>
    </row>
    <row r="6264" spans="1:11" ht="40.049999999999997" customHeight="1" x14ac:dyDescent="0.25">
      <c r="A6264" s="11" t="s">
        <v>13514</v>
      </c>
      <c r="B6264" s="11" t="s">
        <v>13514</v>
      </c>
      <c r="C6264" s="11" t="s">
        <v>17</v>
      </c>
      <c r="D6264" s="11" t="s">
        <v>18</v>
      </c>
      <c r="E6264" s="12" t="s">
        <v>1565</v>
      </c>
      <c r="F6264" s="12" t="s">
        <v>1566</v>
      </c>
      <c r="G6264" s="12" t="s">
        <v>21</v>
      </c>
      <c r="H6264" s="11" t="s">
        <v>22</v>
      </c>
      <c r="I6264" s="13" t="s">
        <v>13519</v>
      </c>
      <c r="J6264" s="14" t="str">
        <f>HYPERLINK("https://www.boe.es/gazeta/dias/1839/06/17/pdfs/GMD-1839-1675.pdf#page=4","Abrir facsímil")</f>
        <v>Abrir facsímil</v>
      </c>
      <c r="K6264" s="12" t="s">
        <v>24</v>
      </c>
    </row>
    <row r="6265" spans="1:11" ht="40.049999999999997" customHeight="1" x14ac:dyDescent="0.25">
      <c r="A6265" s="11" t="s">
        <v>13514</v>
      </c>
      <c r="B6265" s="11" t="s">
        <v>13514</v>
      </c>
      <c r="C6265" s="11" t="s">
        <v>137</v>
      </c>
      <c r="D6265" s="11" t="s">
        <v>18</v>
      </c>
      <c r="E6265" s="12" t="s">
        <v>1703</v>
      </c>
      <c r="F6265" s="12" t="s">
        <v>1704</v>
      </c>
      <c r="G6265" s="12" t="s">
        <v>29</v>
      </c>
      <c r="H6265" s="11" t="s">
        <v>22</v>
      </c>
      <c r="I6265" s="13" t="s">
        <v>13520</v>
      </c>
      <c r="J6265" s="14" t="str">
        <f>HYPERLINK("https://www.boe.es/gazeta/dias/1839/01/21/pdfs/GMD-1839-1528.pdf#page=1","Abrir facsímil")</f>
        <v>Abrir facsímil</v>
      </c>
      <c r="K6265" s="12" t="s">
        <v>24</v>
      </c>
    </row>
    <row r="6266" spans="1:11" ht="40.049999999999997" customHeight="1" x14ac:dyDescent="0.25">
      <c r="A6266" s="11" t="s">
        <v>13514</v>
      </c>
      <c r="B6266" s="11" t="s">
        <v>13514</v>
      </c>
      <c r="C6266" s="11" t="s">
        <v>17</v>
      </c>
      <c r="D6266" s="11" t="s">
        <v>18</v>
      </c>
      <c r="E6266" s="12" t="s">
        <v>1474</v>
      </c>
      <c r="F6266" s="12" t="s">
        <v>1475</v>
      </c>
      <c r="G6266" s="12" t="s">
        <v>21</v>
      </c>
      <c r="H6266" s="11" t="s">
        <v>22</v>
      </c>
      <c r="I6266" s="13" t="s">
        <v>13521</v>
      </c>
      <c r="J6266" s="14" t="str">
        <f>HYPERLINK("https://www.boe.es/gazeta/dias/1839/02/28/pdfs/GMD-1839-1566.pdf#page=4","Abrir facsímil")</f>
        <v>Abrir facsímil</v>
      </c>
      <c r="K6266" s="12" t="s">
        <v>24</v>
      </c>
    </row>
    <row r="6267" spans="1:11" ht="40.049999999999997" customHeight="1" x14ac:dyDescent="0.25">
      <c r="A6267" s="11" t="s">
        <v>13514</v>
      </c>
      <c r="B6267" s="11" t="s">
        <v>13514</v>
      </c>
      <c r="C6267" s="11" t="s">
        <v>101</v>
      </c>
      <c r="D6267" s="11" t="s">
        <v>43</v>
      </c>
      <c r="E6267" s="12" t="s">
        <v>401</v>
      </c>
      <c r="F6267" s="12" t="s">
        <v>402</v>
      </c>
      <c r="G6267" s="12" t="s">
        <v>21</v>
      </c>
      <c r="H6267" s="11" t="s">
        <v>22</v>
      </c>
      <c r="I6267" s="13" t="s">
        <v>13522</v>
      </c>
      <c r="J6267" s="14" t="str">
        <f>HYPERLINK("https://www.boe.es/gazeta/dias/1839/03/29/pdfs/GMD-1839-1595.pdf#page=4","Abrir facsímil")</f>
        <v>Abrir facsímil</v>
      </c>
      <c r="K6267" s="12" t="s">
        <v>24</v>
      </c>
    </row>
    <row r="6268" spans="1:11" ht="40.049999999999997" customHeight="1" x14ac:dyDescent="0.25">
      <c r="A6268" s="11" t="s">
        <v>13514</v>
      </c>
      <c r="B6268" s="11" t="s">
        <v>13514</v>
      </c>
      <c r="C6268" s="11" t="s">
        <v>17</v>
      </c>
      <c r="D6268" s="11" t="s">
        <v>18</v>
      </c>
      <c r="E6268" s="12" t="s">
        <v>951</v>
      </c>
      <c r="F6268" s="12" t="s">
        <v>952</v>
      </c>
      <c r="G6268" s="12" t="s">
        <v>21</v>
      </c>
      <c r="H6268" s="11" t="s">
        <v>22</v>
      </c>
      <c r="I6268" s="13" t="s">
        <v>13523</v>
      </c>
      <c r="J6268" s="14" t="str">
        <f>HYPERLINK("https://www.boe.es/gazeta/dias/1839/12/30/pdfs/GMD-1839-1877.pdf#page=4","Abrir facsímil")</f>
        <v>Abrir facsímil</v>
      </c>
      <c r="K6268" s="12" t="s">
        <v>24</v>
      </c>
    </row>
    <row r="6269" spans="1:11" ht="40.049999999999997" customHeight="1" x14ac:dyDescent="0.25">
      <c r="A6269" s="11" t="s">
        <v>13524</v>
      </c>
      <c r="B6269" s="11" t="s">
        <v>13525</v>
      </c>
      <c r="C6269" s="11" t="s">
        <v>137</v>
      </c>
      <c r="D6269" s="11" t="s">
        <v>18</v>
      </c>
      <c r="E6269" s="12" t="s">
        <v>2851</v>
      </c>
      <c r="F6269" s="12" t="s">
        <v>2852</v>
      </c>
      <c r="G6269" s="12" t="s">
        <v>29</v>
      </c>
      <c r="H6269" s="11" t="s">
        <v>63</v>
      </c>
      <c r="I6269" s="13" t="s">
        <v>13526</v>
      </c>
      <c r="J6269" s="14" t="str">
        <f>HYPERLINK("https://www.boe.es/gazeta/dias/1839/05/16/pdfs/GMD-1839-1643.pdf#page=1","Abrir facsímil")</f>
        <v>Abrir facsímil</v>
      </c>
      <c r="K6269" s="12" t="s">
        <v>65</v>
      </c>
    </row>
    <row r="6270" spans="1:11" ht="40.049999999999997" customHeight="1" x14ac:dyDescent="0.25">
      <c r="A6270" s="11" t="s">
        <v>13527</v>
      </c>
      <c r="B6270" s="11" t="s">
        <v>13527</v>
      </c>
      <c r="C6270" s="11" t="s">
        <v>17</v>
      </c>
      <c r="D6270" s="11" t="s">
        <v>18</v>
      </c>
      <c r="E6270" s="12" t="s">
        <v>1891</v>
      </c>
      <c r="F6270" s="12" t="s">
        <v>1892</v>
      </c>
      <c r="G6270" s="12" t="s">
        <v>46</v>
      </c>
      <c r="H6270" s="11" t="s">
        <v>22</v>
      </c>
      <c r="I6270" s="13" t="s">
        <v>13528</v>
      </c>
      <c r="J6270" s="14" t="str">
        <f>HYPERLINK("https://www.boe.es/gazeta/dias/1839/12/14/pdfs/GMD-1839-1861.pdf#page=3","Abrir facsímil")</f>
        <v>Abrir facsímil</v>
      </c>
      <c r="K6270" s="12" t="s">
        <v>24</v>
      </c>
    </row>
    <row r="6271" spans="1:11" ht="40.049999999999997" customHeight="1" x14ac:dyDescent="0.25">
      <c r="A6271" s="11" t="s">
        <v>13529</v>
      </c>
      <c r="B6271" s="11" t="s">
        <v>13529</v>
      </c>
      <c r="C6271" s="11" t="s">
        <v>17</v>
      </c>
      <c r="D6271" s="11" t="s">
        <v>18</v>
      </c>
      <c r="E6271" s="12" t="s">
        <v>197</v>
      </c>
      <c r="F6271" s="12" t="s">
        <v>198</v>
      </c>
      <c r="G6271" s="12" t="s">
        <v>21</v>
      </c>
      <c r="H6271" s="11" t="s">
        <v>22</v>
      </c>
      <c r="I6271" s="13" t="s">
        <v>13530</v>
      </c>
      <c r="J6271" s="14" t="str">
        <f>HYPERLINK("https://www.boe.es/gazeta/dias/1839/10/04/pdfs/GMD-1839-1790.pdf#page=4","Abrir facsímil")</f>
        <v>Abrir facsímil</v>
      </c>
      <c r="K6271" s="12" t="s">
        <v>24</v>
      </c>
    </row>
    <row r="6272" spans="1:11" ht="40.049999999999997" customHeight="1" x14ac:dyDescent="0.25">
      <c r="A6272" s="11" t="s">
        <v>13529</v>
      </c>
      <c r="B6272" s="11" t="s">
        <v>13529</v>
      </c>
      <c r="C6272" s="11" t="s">
        <v>17</v>
      </c>
      <c r="D6272" s="11" t="s">
        <v>18</v>
      </c>
      <c r="E6272" s="12" t="s">
        <v>2881</v>
      </c>
      <c r="F6272" s="12" t="s">
        <v>2882</v>
      </c>
      <c r="G6272" s="12" t="s">
        <v>29</v>
      </c>
      <c r="H6272" s="11" t="s">
        <v>22</v>
      </c>
      <c r="I6272" s="13" t="s">
        <v>13531</v>
      </c>
      <c r="J6272" s="14" t="str">
        <f>HYPERLINK("https://www.boe.es/gazeta/dias/1839/05/08/pdfs/GMD-1839-1635.pdf#page=1","Abrir facsímil")</f>
        <v>Abrir facsímil</v>
      </c>
      <c r="K6272" s="12" t="s">
        <v>24</v>
      </c>
    </row>
    <row r="6273" spans="1:11" ht="40.049999999999997" customHeight="1" x14ac:dyDescent="0.25">
      <c r="A6273" s="11" t="s">
        <v>13529</v>
      </c>
      <c r="B6273" s="11" t="s">
        <v>13529</v>
      </c>
      <c r="C6273" s="11" t="s">
        <v>101</v>
      </c>
      <c r="D6273" s="11" t="s">
        <v>43</v>
      </c>
      <c r="E6273" s="12" t="s">
        <v>61</v>
      </c>
      <c r="F6273" s="12" t="s">
        <v>62</v>
      </c>
      <c r="G6273" s="12" t="s">
        <v>46</v>
      </c>
      <c r="H6273" s="11" t="s">
        <v>22</v>
      </c>
      <c r="I6273" s="13" t="s">
        <v>13532</v>
      </c>
      <c r="J6273" s="14" t="str">
        <f>HYPERLINK("https://www.boe.es/gazeta/dias/1839/09/10/pdfs/GMD-1839-1763.pdf#page=3","Abrir facsímil")</f>
        <v>Abrir facsímil</v>
      </c>
      <c r="K6273" s="12" t="s">
        <v>24</v>
      </c>
    </row>
    <row r="6274" spans="1:11" ht="40.049999999999997" customHeight="1" x14ac:dyDescent="0.25">
      <c r="A6274" s="11" t="s">
        <v>13529</v>
      </c>
      <c r="B6274" s="11" t="s">
        <v>13529</v>
      </c>
      <c r="C6274" s="11" t="s">
        <v>17</v>
      </c>
      <c r="D6274" s="11" t="s">
        <v>18</v>
      </c>
      <c r="E6274" s="12" t="s">
        <v>561</v>
      </c>
      <c r="F6274" s="12" t="s">
        <v>562</v>
      </c>
      <c r="G6274" s="12" t="s">
        <v>40</v>
      </c>
      <c r="H6274" s="11" t="s">
        <v>22</v>
      </c>
      <c r="I6274" s="13" t="s">
        <v>13533</v>
      </c>
      <c r="J6274" s="14" t="str">
        <f>HYPERLINK("https://www.boe.es/gazeta/dias/1839/09/11/pdfs/GMD-1839-1764.pdf#page=2","Abrir facsímil")</f>
        <v>Abrir facsímil</v>
      </c>
      <c r="K6274" s="12" t="s">
        <v>24</v>
      </c>
    </row>
    <row r="6275" spans="1:11" ht="40.049999999999997" customHeight="1" x14ac:dyDescent="0.25">
      <c r="A6275" s="11" t="s">
        <v>13529</v>
      </c>
      <c r="B6275" s="11" t="s">
        <v>13529</v>
      </c>
      <c r="C6275" s="11" t="s">
        <v>17</v>
      </c>
      <c r="D6275" s="11" t="s">
        <v>18</v>
      </c>
      <c r="E6275" s="12" t="s">
        <v>834</v>
      </c>
      <c r="F6275" s="12" t="s">
        <v>835</v>
      </c>
      <c r="G6275" s="12" t="s">
        <v>29</v>
      </c>
      <c r="H6275" s="11" t="s">
        <v>22</v>
      </c>
      <c r="I6275" s="13" t="s">
        <v>13534</v>
      </c>
      <c r="J6275" s="14" t="str">
        <f>HYPERLINK("https://www.boe.es/gazeta/dias/1839/08/17/pdfs/GMD-1839-1737.pdf#page=1","Abrir facsímil")</f>
        <v>Abrir facsímil</v>
      </c>
      <c r="K6275" s="12" t="s">
        <v>24</v>
      </c>
    </row>
    <row r="6276" spans="1:11" ht="40.049999999999997" customHeight="1" x14ac:dyDescent="0.25">
      <c r="A6276" s="11" t="s">
        <v>13529</v>
      </c>
      <c r="B6276" s="11" t="s">
        <v>13529</v>
      </c>
      <c r="C6276" s="11" t="s">
        <v>17</v>
      </c>
      <c r="D6276" s="11" t="s">
        <v>18</v>
      </c>
      <c r="E6276" s="12" t="s">
        <v>295</v>
      </c>
      <c r="F6276" s="12" t="s">
        <v>296</v>
      </c>
      <c r="G6276" s="12" t="s">
        <v>29</v>
      </c>
      <c r="H6276" s="11" t="s">
        <v>22</v>
      </c>
      <c r="I6276" s="13" t="s">
        <v>13535</v>
      </c>
      <c r="J6276" s="14" t="str">
        <f>HYPERLINK("https://www.boe.es/gazeta/dias/1839/08/19/pdfs/GMD-1839-1740.pdf#page=1","Abrir facsímil")</f>
        <v>Abrir facsímil</v>
      </c>
      <c r="K6276" s="12" t="s">
        <v>24</v>
      </c>
    </row>
    <row r="6277" spans="1:11" ht="40.049999999999997" customHeight="1" x14ac:dyDescent="0.25">
      <c r="A6277" s="11" t="s">
        <v>13529</v>
      </c>
      <c r="B6277" s="11" t="s">
        <v>13529</v>
      </c>
      <c r="C6277" s="11" t="s">
        <v>17</v>
      </c>
      <c r="D6277" s="11" t="s">
        <v>18</v>
      </c>
      <c r="E6277" s="12" t="s">
        <v>1584</v>
      </c>
      <c r="F6277" s="12" t="s">
        <v>1585</v>
      </c>
      <c r="G6277" s="12" t="s">
        <v>29</v>
      </c>
      <c r="H6277" s="11" t="s">
        <v>22</v>
      </c>
      <c r="I6277" s="13" t="s">
        <v>13536</v>
      </c>
      <c r="J6277" s="14" t="str">
        <f>HYPERLINK("https://www.boe.es/gazeta/dias/1839/11/20/pdfs/GMD-1839-1837.pdf#page=1","Abrir facsímil")</f>
        <v>Abrir facsímil</v>
      </c>
      <c r="K6277" s="12" t="s">
        <v>24</v>
      </c>
    </row>
    <row r="6278" spans="1:11" ht="40.049999999999997" customHeight="1" x14ac:dyDescent="0.25">
      <c r="A6278" s="11" t="s">
        <v>13537</v>
      </c>
      <c r="B6278" s="11" t="s">
        <v>13537</v>
      </c>
      <c r="C6278" s="11" t="s">
        <v>17</v>
      </c>
      <c r="D6278" s="11" t="s">
        <v>18</v>
      </c>
      <c r="E6278" s="12" t="s">
        <v>243</v>
      </c>
      <c r="F6278" s="12" t="s">
        <v>244</v>
      </c>
      <c r="G6278" s="12" t="s">
        <v>40</v>
      </c>
      <c r="H6278" s="11" t="s">
        <v>63</v>
      </c>
      <c r="I6278" s="13" t="s">
        <v>13538</v>
      </c>
      <c r="J6278" s="14" t="str">
        <f>HYPERLINK("https://www.boe.es/gazeta/dias/1839/09/23/pdfs/GMD-1839-1779.pdf#page=2","Abrir facsímil")</f>
        <v>Abrir facsímil</v>
      </c>
      <c r="K6278" s="12" t="s">
        <v>65</v>
      </c>
    </row>
    <row r="6279" spans="1:11" ht="40.049999999999997" customHeight="1" x14ac:dyDescent="0.25">
      <c r="A6279" s="11" t="s">
        <v>13529</v>
      </c>
      <c r="B6279" s="11" t="s">
        <v>13529</v>
      </c>
      <c r="C6279" s="11" t="s">
        <v>17</v>
      </c>
      <c r="D6279" s="11" t="s">
        <v>18</v>
      </c>
      <c r="E6279" s="12" t="s">
        <v>664</v>
      </c>
      <c r="F6279" s="12" t="s">
        <v>665</v>
      </c>
      <c r="G6279" s="12" t="s">
        <v>40</v>
      </c>
      <c r="H6279" s="11" t="s">
        <v>22</v>
      </c>
      <c r="I6279" s="13" t="s">
        <v>13539</v>
      </c>
      <c r="J6279" s="14" t="str">
        <f>HYPERLINK("https://www.boe.es/gazeta/dias/1839/01/24/pdfs/GMD-1839-1531.pdf#page=2","Abrir facsímil")</f>
        <v>Abrir facsímil</v>
      </c>
      <c r="K6279" s="12" t="s">
        <v>24</v>
      </c>
    </row>
    <row r="6280" spans="1:11" ht="40.049999999999997" customHeight="1" x14ac:dyDescent="0.25">
      <c r="A6280" s="11" t="s">
        <v>13537</v>
      </c>
      <c r="B6280" s="11" t="s">
        <v>13537</v>
      </c>
      <c r="C6280" s="11" t="s">
        <v>17</v>
      </c>
      <c r="D6280" s="11" t="s">
        <v>18</v>
      </c>
      <c r="E6280" s="12" t="s">
        <v>826</v>
      </c>
      <c r="F6280" s="12" t="s">
        <v>827</v>
      </c>
      <c r="G6280" s="12" t="s">
        <v>46</v>
      </c>
      <c r="H6280" s="11" t="s">
        <v>63</v>
      </c>
      <c r="I6280" s="13" t="s">
        <v>13540</v>
      </c>
      <c r="J6280" s="14" t="str">
        <f>HYPERLINK("https://www.boe.es/gazeta/dias/1839/09/25/pdfs/GMD-1839-1781.pdf#page=3","Abrir facsímil")</f>
        <v>Abrir facsímil</v>
      </c>
      <c r="K6280" s="12" t="s">
        <v>65</v>
      </c>
    </row>
    <row r="6281" spans="1:11" ht="40.049999999999997" customHeight="1" x14ac:dyDescent="0.25">
      <c r="A6281" s="11" t="s">
        <v>13529</v>
      </c>
      <c r="B6281" s="11" t="s">
        <v>13529</v>
      </c>
      <c r="C6281" s="11" t="s">
        <v>17</v>
      </c>
      <c r="D6281" s="11" t="s">
        <v>18</v>
      </c>
      <c r="E6281" s="12" t="s">
        <v>284</v>
      </c>
      <c r="F6281" s="12" t="s">
        <v>285</v>
      </c>
      <c r="G6281" s="12" t="s">
        <v>40</v>
      </c>
      <c r="H6281" s="11" t="s">
        <v>22</v>
      </c>
      <c r="I6281" s="13" t="s">
        <v>13541</v>
      </c>
      <c r="J6281" s="14" t="str">
        <f>HYPERLINK("https://www.boe.es/gazeta/dias/1839/01/27/pdfs/GMD-1839-1534.pdf#page=2","Abrir facsímil")</f>
        <v>Abrir facsímil</v>
      </c>
      <c r="K6281" s="12" t="s">
        <v>24</v>
      </c>
    </row>
    <row r="6282" spans="1:11" ht="40.049999999999997" customHeight="1" x14ac:dyDescent="0.25">
      <c r="A6282" s="11" t="s">
        <v>13529</v>
      </c>
      <c r="B6282" s="11" t="s">
        <v>13529</v>
      </c>
      <c r="C6282" s="11" t="s">
        <v>17</v>
      </c>
      <c r="D6282" s="11" t="s">
        <v>18</v>
      </c>
      <c r="E6282" s="12" t="s">
        <v>2349</v>
      </c>
      <c r="F6282" s="12" t="s">
        <v>2350</v>
      </c>
      <c r="G6282" s="12" t="s">
        <v>46</v>
      </c>
      <c r="H6282" s="11" t="s">
        <v>22</v>
      </c>
      <c r="I6282" s="13" t="s">
        <v>13542</v>
      </c>
      <c r="J6282" s="14" t="str">
        <f>HYPERLINK("https://www.boe.es/gazeta/dias/1839/09/29/pdfs/GMD-1839-1785.pdf#page=3","Abrir facsímil")</f>
        <v>Abrir facsímil</v>
      </c>
      <c r="K6282" s="12" t="s">
        <v>24</v>
      </c>
    </row>
    <row r="6283" spans="1:11" ht="40.049999999999997" customHeight="1" x14ac:dyDescent="0.25">
      <c r="A6283" s="11" t="s">
        <v>13543</v>
      </c>
      <c r="B6283" s="11" t="s">
        <v>13543</v>
      </c>
      <c r="C6283" s="11" t="s">
        <v>17</v>
      </c>
      <c r="D6283" s="11" t="s">
        <v>18</v>
      </c>
      <c r="E6283" s="12" t="s">
        <v>984</v>
      </c>
      <c r="F6283" s="12" t="s">
        <v>985</v>
      </c>
      <c r="G6283" s="12" t="s">
        <v>29</v>
      </c>
      <c r="H6283" s="11" t="s">
        <v>63</v>
      </c>
      <c r="I6283" s="13" t="s">
        <v>13544</v>
      </c>
      <c r="J6283" s="14" t="str">
        <f>HYPERLINK("https://www.boe.es/gazeta/dias/1839/04/10/pdfs/GMD-1839-1607.pdf#page=1","Abrir facsímil")</f>
        <v>Abrir facsímil</v>
      </c>
      <c r="K6283" s="12" t="s">
        <v>65</v>
      </c>
    </row>
    <row r="6284" spans="1:11" ht="40.049999999999997" customHeight="1" x14ac:dyDescent="0.25">
      <c r="A6284" s="11" t="s">
        <v>13543</v>
      </c>
      <c r="B6284" s="11" t="s">
        <v>13543</v>
      </c>
      <c r="C6284" s="11" t="s">
        <v>80</v>
      </c>
      <c r="D6284" s="11" t="s">
        <v>18</v>
      </c>
      <c r="E6284" s="12" t="s">
        <v>510</v>
      </c>
      <c r="F6284" s="12" t="s">
        <v>511</v>
      </c>
      <c r="G6284" s="12" t="s">
        <v>29</v>
      </c>
      <c r="H6284" s="11" t="s">
        <v>63</v>
      </c>
      <c r="I6284" s="13" t="s">
        <v>13545</v>
      </c>
      <c r="J6284" s="14" t="str">
        <f>HYPERLINK("https://www.boe.es/gazeta/dias/1839/05/13/pdfs/GMD-1839-1640.pdf#page=1","Abrir facsímil")</f>
        <v>Abrir facsímil</v>
      </c>
      <c r="K6284" s="12" t="s">
        <v>65</v>
      </c>
    </row>
    <row r="6285" spans="1:11" ht="40.049999999999997" customHeight="1" x14ac:dyDescent="0.25">
      <c r="A6285" s="11" t="s">
        <v>13543</v>
      </c>
      <c r="B6285" s="11" t="s">
        <v>13543</v>
      </c>
      <c r="C6285" s="11" t="s">
        <v>17</v>
      </c>
      <c r="D6285" s="11" t="s">
        <v>18</v>
      </c>
      <c r="E6285" s="12" t="s">
        <v>395</v>
      </c>
      <c r="F6285" s="12" t="s">
        <v>396</v>
      </c>
      <c r="G6285" s="12" t="s">
        <v>29</v>
      </c>
      <c r="H6285" s="11" t="s">
        <v>63</v>
      </c>
      <c r="I6285" s="13" t="s">
        <v>13546</v>
      </c>
      <c r="J6285" s="14" t="str">
        <f>HYPERLINK("https://www.boe.es/gazeta/dias/1839/03/15/pdfs/GMD-1839-1581.pdf#page=1","Abrir facsímil")</f>
        <v>Abrir facsímil</v>
      </c>
      <c r="K6285" s="12" t="s">
        <v>65</v>
      </c>
    </row>
    <row r="6286" spans="1:11" ht="40.049999999999997" customHeight="1" x14ac:dyDescent="0.25">
      <c r="A6286" s="11" t="s">
        <v>13543</v>
      </c>
      <c r="B6286" s="11" t="s">
        <v>13543</v>
      </c>
      <c r="C6286" s="11" t="s">
        <v>80</v>
      </c>
      <c r="D6286" s="11" t="s">
        <v>18</v>
      </c>
      <c r="E6286" s="12" t="s">
        <v>1252</v>
      </c>
      <c r="F6286" s="12" t="s">
        <v>1253</v>
      </c>
      <c r="G6286" s="12" t="s">
        <v>29</v>
      </c>
      <c r="H6286" s="11" t="s">
        <v>63</v>
      </c>
      <c r="I6286" s="13" t="s">
        <v>13547</v>
      </c>
      <c r="J6286" s="14" t="str">
        <f>HYPERLINK("https://www.boe.es/gazeta/dias/1839/06/15/pdfs/GMD-1839-1673.pdf#page=1","Abrir facsímil")</f>
        <v>Abrir facsímil</v>
      </c>
      <c r="K6286" s="12" t="s">
        <v>65</v>
      </c>
    </row>
    <row r="6287" spans="1:11" ht="40.049999999999997" customHeight="1" x14ac:dyDescent="0.25">
      <c r="A6287" s="11" t="s">
        <v>13543</v>
      </c>
      <c r="B6287" s="11" t="s">
        <v>13543</v>
      </c>
      <c r="C6287" s="11" t="s">
        <v>17</v>
      </c>
      <c r="D6287" s="11" t="s">
        <v>18</v>
      </c>
      <c r="E6287" s="12" t="s">
        <v>1794</v>
      </c>
      <c r="F6287" s="12" t="s">
        <v>1795</v>
      </c>
      <c r="G6287" s="12" t="s">
        <v>29</v>
      </c>
      <c r="H6287" s="11" t="s">
        <v>63</v>
      </c>
      <c r="I6287" s="13" t="s">
        <v>13548</v>
      </c>
      <c r="J6287" s="14" t="str">
        <f>HYPERLINK("https://www.boe.es/gazeta/dias/1839/02/22/pdfs/GMD-1839-1560.pdf#page=1","Abrir facsímil")</f>
        <v>Abrir facsímil</v>
      </c>
      <c r="K6287" s="12" t="s">
        <v>65</v>
      </c>
    </row>
    <row r="6288" spans="1:11" ht="40.049999999999997" customHeight="1" x14ac:dyDescent="0.25">
      <c r="A6288" s="11" t="s">
        <v>13543</v>
      </c>
      <c r="B6288" s="11" t="s">
        <v>13543</v>
      </c>
      <c r="C6288" s="11" t="s">
        <v>17</v>
      </c>
      <c r="D6288" s="11" t="s">
        <v>18</v>
      </c>
      <c r="E6288" s="12" t="s">
        <v>1398</v>
      </c>
      <c r="F6288" s="12" t="s">
        <v>1399</v>
      </c>
      <c r="G6288" s="12" t="s">
        <v>29</v>
      </c>
      <c r="H6288" s="11" t="s">
        <v>63</v>
      </c>
      <c r="I6288" s="13" t="s">
        <v>13549</v>
      </c>
      <c r="J6288" s="14" t="str">
        <f>HYPERLINK("https://www.boe.es/gazeta/dias/1839/05/27/pdfs/GMD-1839-1654.pdf#page=1","Abrir facsímil")</f>
        <v>Abrir facsímil</v>
      </c>
      <c r="K6288" s="12" t="s">
        <v>65</v>
      </c>
    </row>
    <row r="6289" spans="1:11" ht="40.049999999999997" customHeight="1" x14ac:dyDescent="0.25">
      <c r="A6289" s="11" t="s">
        <v>13543</v>
      </c>
      <c r="B6289" s="11" t="s">
        <v>13543</v>
      </c>
      <c r="C6289" s="11" t="s">
        <v>17</v>
      </c>
      <c r="D6289" s="11" t="s">
        <v>18</v>
      </c>
      <c r="E6289" s="12" t="s">
        <v>1287</v>
      </c>
      <c r="F6289" s="12" t="s">
        <v>1288</v>
      </c>
      <c r="G6289" s="12" t="s">
        <v>29</v>
      </c>
      <c r="H6289" s="11" t="s">
        <v>63</v>
      </c>
      <c r="I6289" s="13" t="s">
        <v>13550</v>
      </c>
      <c r="J6289" s="14" t="str">
        <f>HYPERLINK("https://www.boe.es/gazeta/dias/1839/10/30/pdfs/GMD-1839-1816.pdf#page=1","Abrir facsímil")</f>
        <v>Abrir facsímil</v>
      </c>
      <c r="K6289" s="12" t="s">
        <v>65</v>
      </c>
    </row>
    <row r="6290" spans="1:11" ht="40.049999999999997" customHeight="1" x14ac:dyDescent="0.25">
      <c r="A6290" s="11" t="s">
        <v>13551</v>
      </c>
      <c r="B6290" s="11" t="s">
        <v>13551</v>
      </c>
      <c r="C6290" s="11" t="s">
        <v>101</v>
      </c>
      <c r="D6290" s="11" t="s">
        <v>43</v>
      </c>
      <c r="E6290" s="12" t="s">
        <v>61</v>
      </c>
      <c r="F6290" s="12" t="s">
        <v>62</v>
      </c>
      <c r="G6290" s="12" t="s">
        <v>46</v>
      </c>
      <c r="H6290" s="11" t="s">
        <v>63</v>
      </c>
      <c r="I6290" s="13" t="s">
        <v>13552</v>
      </c>
      <c r="J6290" s="14" t="str">
        <f>HYPERLINK("https://www.boe.es/gazeta/dias/1839/09/10/pdfs/GMD-1839-1763.pdf#page=3","Abrir facsímil")</f>
        <v>Abrir facsímil</v>
      </c>
      <c r="K6290" s="12" t="s">
        <v>65</v>
      </c>
    </row>
    <row r="6291" spans="1:11" ht="40.049999999999997" customHeight="1" x14ac:dyDescent="0.25">
      <c r="A6291" s="11" t="s">
        <v>13551</v>
      </c>
      <c r="B6291" s="11" t="s">
        <v>13551</v>
      </c>
      <c r="C6291" s="11" t="s">
        <v>17</v>
      </c>
      <c r="D6291" s="11" t="s">
        <v>18</v>
      </c>
      <c r="E6291" s="12" t="s">
        <v>561</v>
      </c>
      <c r="F6291" s="12" t="s">
        <v>562</v>
      </c>
      <c r="G6291" s="12" t="s">
        <v>40</v>
      </c>
      <c r="H6291" s="11" t="s">
        <v>63</v>
      </c>
      <c r="I6291" s="13" t="s">
        <v>13553</v>
      </c>
      <c r="J6291" s="14" t="str">
        <f>HYPERLINK("https://www.boe.es/gazeta/dias/1839/09/11/pdfs/GMD-1839-1764.pdf#page=2","Abrir facsímil")</f>
        <v>Abrir facsímil</v>
      </c>
      <c r="K6291" s="12" t="s">
        <v>65</v>
      </c>
    </row>
    <row r="6292" spans="1:11" ht="40.049999999999997" customHeight="1" x14ac:dyDescent="0.25">
      <c r="A6292" s="11" t="s">
        <v>13554</v>
      </c>
      <c r="B6292" s="11" t="s">
        <v>13555</v>
      </c>
      <c r="C6292" s="11" t="s">
        <v>101</v>
      </c>
      <c r="D6292" s="11" t="s">
        <v>102</v>
      </c>
      <c r="E6292" s="12" t="s">
        <v>340</v>
      </c>
      <c r="F6292" s="12" t="s">
        <v>341</v>
      </c>
      <c r="G6292" s="12" t="s">
        <v>29</v>
      </c>
      <c r="H6292" s="11" t="s">
        <v>63</v>
      </c>
      <c r="I6292" s="13" t="s">
        <v>13556</v>
      </c>
      <c r="J6292" s="14" t="str">
        <f>HYPERLINK("https://www.boe.es/gazeta/dias/1839/03/19/pdfs/GMD-1839-1585.pdf#page=1","Abrir facsímil")</f>
        <v>Abrir facsímil</v>
      </c>
      <c r="K6292" s="12" t="s">
        <v>65</v>
      </c>
    </row>
    <row r="6293" spans="1:11" ht="40.049999999999997" customHeight="1" x14ac:dyDescent="0.25">
      <c r="A6293" s="11" t="s">
        <v>13557</v>
      </c>
      <c r="B6293" s="11" t="s">
        <v>13557</v>
      </c>
      <c r="C6293" s="11" t="s">
        <v>101</v>
      </c>
      <c r="D6293" s="11" t="s">
        <v>102</v>
      </c>
      <c r="E6293" s="12" t="s">
        <v>303</v>
      </c>
      <c r="F6293" s="12" t="s">
        <v>304</v>
      </c>
      <c r="G6293" s="12" t="s">
        <v>305</v>
      </c>
      <c r="H6293" s="11" t="s">
        <v>63</v>
      </c>
      <c r="I6293" s="13" t="s">
        <v>13558</v>
      </c>
      <c r="J6293" s="14" t="str">
        <f>HYPERLINK("https://www.boe.es/gazeta/dias/1839/10/06/pdfs/GMD-1839-1792.pdf#page=6","Abrir facsímil")</f>
        <v>Abrir facsímil</v>
      </c>
      <c r="K6293" s="12" t="s">
        <v>65</v>
      </c>
    </row>
    <row r="6294" spans="1:11" ht="40.049999999999997" customHeight="1" x14ac:dyDescent="0.25">
      <c r="A6294" s="11" t="s">
        <v>13557</v>
      </c>
      <c r="B6294" s="11" t="s">
        <v>13557</v>
      </c>
      <c r="C6294" s="11" t="s">
        <v>17</v>
      </c>
      <c r="D6294" s="11" t="s">
        <v>18</v>
      </c>
      <c r="E6294" s="12" t="s">
        <v>287</v>
      </c>
      <c r="F6294" s="12" t="s">
        <v>288</v>
      </c>
      <c r="G6294" s="12" t="s">
        <v>46</v>
      </c>
      <c r="H6294" s="11" t="s">
        <v>63</v>
      </c>
      <c r="I6294" s="13" t="s">
        <v>13559</v>
      </c>
      <c r="J6294" s="14" t="str">
        <f>HYPERLINK("https://www.boe.es/gazeta/dias/1839/11/27/pdfs/GMD-1839-1844.pdf#page=3","Abrir facsímil")</f>
        <v>Abrir facsímil</v>
      </c>
      <c r="K6294" s="12" t="s">
        <v>65</v>
      </c>
    </row>
    <row r="6295" spans="1:11" ht="40.049999999999997" customHeight="1" x14ac:dyDescent="0.25">
      <c r="A6295" s="11" t="s">
        <v>13560</v>
      </c>
      <c r="B6295" s="11" t="s">
        <v>13560</v>
      </c>
      <c r="C6295" s="11" t="s">
        <v>17</v>
      </c>
      <c r="D6295" s="11" t="s">
        <v>18</v>
      </c>
      <c r="E6295" s="12" t="s">
        <v>1654</v>
      </c>
      <c r="F6295" s="12" t="s">
        <v>1655</v>
      </c>
      <c r="G6295" s="12" t="s">
        <v>40</v>
      </c>
      <c r="H6295" s="11" t="s">
        <v>22</v>
      </c>
      <c r="I6295" s="13" t="s">
        <v>13561</v>
      </c>
      <c r="J6295" s="14" t="str">
        <f>HYPERLINK("https://www.boe.es/gazeta/dias/1839/11/19/pdfs/GMD-1839-1836.pdf#page=2","Abrir facsímil")</f>
        <v>Abrir facsímil</v>
      </c>
      <c r="K6295" s="12" t="s">
        <v>24</v>
      </c>
    </row>
    <row r="6296" spans="1:11" ht="40.049999999999997" customHeight="1" x14ac:dyDescent="0.25">
      <c r="A6296" s="11" t="s">
        <v>13560</v>
      </c>
      <c r="B6296" s="11" t="s">
        <v>13560</v>
      </c>
      <c r="C6296" s="11" t="s">
        <v>101</v>
      </c>
      <c r="D6296" s="11" t="s">
        <v>102</v>
      </c>
      <c r="E6296" s="12" t="s">
        <v>857</v>
      </c>
      <c r="F6296" s="12" t="s">
        <v>858</v>
      </c>
      <c r="G6296" s="12" t="s">
        <v>40</v>
      </c>
      <c r="H6296" s="11" t="s">
        <v>22</v>
      </c>
      <c r="I6296" s="13" t="s">
        <v>13562</v>
      </c>
      <c r="J6296" s="14" t="str">
        <f>HYPERLINK("https://www.boe.es/gazeta/dias/1839/11/21/pdfs/GMD-1839-1838.pdf#page=2","Abrir facsímil")</f>
        <v>Abrir facsímil</v>
      </c>
      <c r="K6296" s="12" t="s">
        <v>24</v>
      </c>
    </row>
    <row r="6297" spans="1:11" ht="40.049999999999997" customHeight="1" x14ac:dyDescent="0.25">
      <c r="A6297" s="11" t="s">
        <v>13563</v>
      </c>
      <c r="B6297" s="11" t="s">
        <v>13563</v>
      </c>
      <c r="C6297" s="11" t="s">
        <v>17</v>
      </c>
      <c r="D6297" s="11" t="s">
        <v>18</v>
      </c>
      <c r="E6297" s="12" t="s">
        <v>507</v>
      </c>
      <c r="F6297" s="12" t="s">
        <v>508</v>
      </c>
      <c r="G6297" s="12" t="s">
        <v>29</v>
      </c>
      <c r="H6297" s="11" t="s">
        <v>63</v>
      </c>
      <c r="I6297" s="13" t="s">
        <v>13564</v>
      </c>
      <c r="J6297" s="14" t="str">
        <f>HYPERLINK("https://www.boe.es/gazeta/dias/1839/08/12/pdfs/GMD-1839-1732.pdf#page=1","Abrir facsímil")</f>
        <v>Abrir facsímil</v>
      </c>
      <c r="K6297" s="12" t="s">
        <v>65</v>
      </c>
    </row>
    <row r="6298" spans="1:11" ht="40.049999999999997" customHeight="1" x14ac:dyDescent="0.25">
      <c r="A6298" s="11" t="s">
        <v>13563</v>
      </c>
      <c r="B6298" s="11" t="s">
        <v>13563</v>
      </c>
      <c r="C6298" s="11" t="s">
        <v>17</v>
      </c>
      <c r="D6298" s="11" t="s">
        <v>18</v>
      </c>
      <c r="E6298" s="12" t="s">
        <v>695</v>
      </c>
      <c r="F6298" s="12" t="s">
        <v>696</v>
      </c>
      <c r="G6298" s="12" t="s">
        <v>40</v>
      </c>
      <c r="H6298" s="11" t="s">
        <v>63</v>
      </c>
      <c r="I6298" s="13" t="s">
        <v>13565</v>
      </c>
      <c r="J6298" s="14" t="str">
        <f>HYPERLINK("https://www.boe.es/gazeta/dias/1839/12/19/pdfs/GMD-1839-1866.pdf#page=2","Abrir facsímil")</f>
        <v>Abrir facsímil</v>
      </c>
      <c r="K6298" s="12" t="s">
        <v>65</v>
      </c>
    </row>
    <row r="6299" spans="1:11" ht="40.049999999999997" customHeight="1" x14ac:dyDescent="0.25">
      <c r="A6299" s="11" t="s">
        <v>13563</v>
      </c>
      <c r="B6299" s="11" t="s">
        <v>13563</v>
      </c>
      <c r="C6299" s="11" t="s">
        <v>17</v>
      </c>
      <c r="D6299" s="11" t="s">
        <v>18</v>
      </c>
      <c r="E6299" s="12" t="s">
        <v>287</v>
      </c>
      <c r="F6299" s="12" t="s">
        <v>288</v>
      </c>
      <c r="G6299" s="12" t="s">
        <v>40</v>
      </c>
      <c r="H6299" s="11" t="s">
        <v>63</v>
      </c>
      <c r="I6299" s="13" t="s">
        <v>13566</v>
      </c>
      <c r="J6299" s="14" t="str">
        <f>HYPERLINK("https://www.boe.es/gazeta/dias/1839/11/27/pdfs/GMD-1839-1844.pdf#page=2","Abrir facsímil")</f>
        <v>Abrir facsímil</v>
      </c>
      <c r="K6299" s="12" t="s">
        <v>65</v>
      </c>
    </row>
    <row r="6300" spans="1:11" ht="40.049999999999997" customHeight="1" x14ac:dyDescent="0.25">
      <c r="A6300" s="11" t="s">
        <v>13567</v>
      </c>
      <c r="B6300" s="11" t="s">
        <v>13567</v>
      </c>
      <c r="C6300" s="11" t="s">
        <v>101</v>
      </c>
      <c r="D6300" s="11" t="s">
        <v>102</v>
      </c>
      <c r="E6300" s="12" t="s">
        <v>2165</v>
      </c>
      <c r="F6300" s="12" t="s">
        <v>2166</v>
      </c>
      <c r="G6300" s="12" t="s">
        <v>40</v>
      </c>
      <c r="H6300" s="11" t="s">
        <v>22</v>
      </c>
      <c r="I6300" s="13" t="s">
        <v>13568</v>
      </c>
      <c r="J6300" s="14" t="str">
        <f>HYPERLINK("https://www.boe.es/gazeta/dias/1839/01/06/pdfs/GMD-1839-1513.pdf#page=2","Abrir facsímil")</f>
        <v>Abrir facsímil</v>
      </c>
      <c r="K6300" s="12" t="s">
        <v>24</v>
      </c>
    </row>
    <row r="6301" spans="1:11" ht="40.049999999999997" customHeight="1" x14ac:dyDescent="0.25">
      <c r="A6301" s="11" t="s">
        <v>13567</v>
      </c>
      <c r="B6301" s="11" t="s">
        <v>13567</v>
      </c>
      <c r="C6301" s="11" t="s">
        <v>101</v>
      </c>
      <c r="D6301" s="11" t="s">
        <v>43</v>
      </c>
      <c r="E6301" s="12" t="s">
        <v>284</v>
      </c>
      <c r="F6301" s="12" t="s">
        <v>285</v>
      </c>
      <c r="G6301" s="12" t="s">
        <v>40</v>
      </c>
      <c r="H6301" s="11" t="s">
        <v>22</v>
      </c>
      <c r="I6301" s="13" t="s">
        <v>13569</v>
      </c>
      <c r="J6301" s="14" t="str">
        <f>HYPERLINK("https://www.boe.es/gazeta/dias/1839/01/27/pdfs/GMD-1839-1534.pdf#page=2","Abrir facsímil")</f>
        <v>Abrir facsímil</v>
      </c>
      <c r="K6301" s="12" t="s">
        <v>24</v>
      </c>
    </row>
    <row r="6302" spans="1:11" ht="40.049999999999997" customHeight="1" x14ac:dyDescent="0.25">
      <c r="A6302" s="11" t="s">
        <v>13570</v>
      </c>
      <c r="B6302" s="11" t="s">
        <v>13570</v>
      </c>
      <c r="C6302" s="11" t="s">
        <v>17</v>
      </c>
      <c r="D6302" s="11" t="s">
        <v>18</v>
      </c>
      <c r="E6302" s="12" t="s">
        <v>308</v>
      </c>
      <c r="F6302" s="12" t="s">
        <v>309</v>
      </c>
      <c r="G6302" s="12" t="s">
        <v>40</v>
      </c>
      <c r="H6302" s="11" t="s">
        <v>22</v>
      </c>
      <c r="I6302" s="13" t="s">
        <v>13571</v>
      </c>
      <c r="J6302" s="14" t="str">
        <f>HYPERLINK("https://www.boe.es/gazeta/dias/1839/07/29/pdfs/GMD-1839-1718.pdf#page=2","Abrir facsímil")</f>
        <v>Abrir facsímil</v>
      </c>
      <c r="K6302" s="12" t="s">
        <v>24</v>
      </c>
    </row>
    <row r="6303" spans="1:11" ht="40.049999999999997" customHeight="1" x14ac:dyDescent="0.25">
      <c r="A6303" s="11" t="s">
        <v>13572</v>
      </c>
      <c r="B6303" s="11" t="s">
        <v>13572</v>
      </c>
      <c r="C6303" s="11" t="s">
        <v>17</v>
      </c>
      <c r="D6303" s="11" t="s">
        <v>18</v>
      </c>
      <c r="E6303" s="12" t="s">
        <v>817</v>
      </c>
      <c r="F6303" s="12" t="s">
        <v>818</v>
      </c>
      <c r="G6303" s="12" t="s">
        <v>21</v>
      </c>
      <c r="H6303" s="11" t="s">
        <v>22</v>
      </c>
      <c r="I6303" s="13" t="s">
        <v>13573</v>
      </c>
      <c r="J6303" s="14" t="str">
        <f>HYPERLINK("https://www.boe.es/gazeta/dias/1839/05/28/pdfs/GMD-1839-1655.pdf#page=4","Abrir facsímil")</f>
        <v>Abrir facsímil</v>
      </c>
      <c r="K6303" s="12" t="s">
        <v>24</v>
      </c>
    </row>
    <row r="6304" spans="1:11" ht="40.049999999999997" customHeight="1" x14ac:dyDescent="0.25">
      <c r="A6304" s="11" t="s">
        <v>13574</v>
      </c>
      <c r="B6304" s="11" t="s">
        <v>13574</v>
      </c>
      <c r="C6304" s="11" t="s">
        <v>17</v>
      </c>
      <c r="D6304" s="11" t="s">
        <v>18</v>
      </c>
      <c r="E6304" s="12" t="s">
        <v>1654</v>
      </c>
      <c r="F6304" s="12" t="s">
        <v>1655</v>
      </c>
      <c r="G6304" s="12" t="s">
        <v>40</v>
      </c>
      <c r="H6304" s="11" t="s">
        <v>22</v>
      </c>
      <c r="I6304" s="13" t="s">
        <v>13575</v>
      </c>
      <c r="J6304" s="14" t="str">
        <f>HYPERLINK("https://www.boe.es/gazeta/dias/1839/11/19/pdfs/GMD-1839-1836.pdf#page=2","Abrir facsímil")</f>
        <v>Abrir facsímil</v>
      </c>
      <c r="K6304" s="12" t="s">
        <v>24</v>
      </c>
    </row>
    <row r="6305" spans="1:11" ht="40.049999999999997" customHeight="1" x14ac:dyDescent="0.25">
      <c r="A6305" s="11" t="s">
        <v>13576</v>
      </c>
      <c r="B6305" s="11" t="s">
        <v>13576</v>
      </c>
      <c r="C6305" s="11" t="s">
        <v>17</v>
      </c>
      <c r="D6305" s="11" t="s">
        <v>18</v>
      </c>
      <c r="E6305" s="12" t="s">
        <v>1565</v>
      </c>
      <c r="F6305" s="12" t="s">
        <v>1566</v>
      </c>
      <c r="G6305" s="12" t="s">
        <v>21</v>
      </c>
      <c r="H6305" s="11" t="s">
        <v>22</v>
      </c>
      <c r="I6305" s="13" t="s">
        <v>13577</v>
      </c>
      <c r="J6305" s="14" t="str">
        <f>HYPERLINK("https://www.boe.es/gazeta/dias/1839/06/17/pdfs/GMD-1839-1675.pdf#page=4","Abrir facsímil")</f>
        <v>Abrir facsímil</v>
      </c>
      <c r="K6305" s="12" t="s">
        <v>24</v>
      </c>
    </row>
    <row r="6306" spans="1:11" ht="40.049999999999997" customHeight="1" x14ac:dyDescent="0.25">
      <c r="A6306" s="11" t="s">
        <v>13578</v>
      </c>
      <c r="B6306" s="11" t="s">
        <v>13578</v>
      </c>
      <c r="C6306" s="11" t="s">
        <v>80</v>
      </c>
      <c r="D6306" s="11" t="s">
        <v>18</v>
      </c>
      <c r="E6306" s="12" t="s">
        <v>2165</v>
      </c>
      <c r="F6306" s="12" t="s">
        <v>2166</v>
      </c>
      <c r="G6306" s="12" t="s">
        <v>21</v>
      </c>
      <c r="H6306" s="11" t="s">
        <v>22</v>
      </c>
      <c r="I6306" s="13" t="s">
        <v>13579</v>
      </c>
      <c r="J6306" s="14" t="str">
        <f>HYPERLINK("https://www.boe.es/gazeta/dias/1839/01/06/pdfs/GMD-1839-1513.pdf#page=4","Abrir facsímil")</f>
        <v>Abrir facsímil</v>
      </c>
      <c r="K6306" s="12" t="s">
        <v>24</v>
      </c>
    </row>
    <row r="6307" spans="1:11" ht="40.049999999999997" customHeight="1" x14ac:dyDescent="0.25">
      <c r="A6307" s="11" t="s">
        <v>13580</v>
      </c>
      <c r="B6307" s="11" t="s">
        <v>13580</v>
      </c>
      <c r="C6307" s="11" t="s">
        <v>137</v>
      </c>
      <c r="D6307" s="11" t="s">
        <v>18</v>
      </c>
      <c r="E6307" s="12" t="s">
        <v>1136</v>
      </c>
      <c r="F6307" s="12" t="s">
        <v>1137</v>
      </c>
      <c r="G6307" s="12" t="s">
        <v>40</v>
      </c>
      <c r="H6307" s="11" t="s">
        <v>22</v>
      </c>
      <c r="I6307" s="13" t="s">
        <v>13581</v>
      </c>
      <c r="J6307" s="14" t="str">
        <f>HYPERLINK("https://www.boe.es/gazeta/dias/1839/04/03/pdfs/GMD-1839-1600.pdf#page=2","Abrir facsímil")</f>
        <v>Abrir facsímil</v>
      </c>
      <c r="K6307" s="12" t="s">
        <v>24</v>
      </c>
    </row>
    <row r="6308" spans="1:11" ht="40.049999999999997" customHeight="1" x14ac:dyDescent="0.25">
      <c r="A6308" s="11" t="s">
        <v>13582</v>
      </c>
      <c r="B6308" s="11" t="s">
        <v>13582</v>
      </c>
      <c r="C6308" s="11" t="s">
        <v>101</v>
      </c>
      <c r="D6308" s="11" t="s">
        <v>43</v>
      </c>
      <c r="E6308" s="12" t="s">
        <v>1366</v>
      </c>
      <c r="F6308" s="12" t="s">
        <v>1367</v>
      </c>
      <c r="G6308" s="12" t="s">
        <v>46</v>
      </c>
      <c r="H6308" s="11" t="s">
        <v>63</v>
      </c>
      <c r="I6308" s="13" t="s">
        <v>13583</v>
      </c>
      <c r="J6308" s="14" t="str">
        <f>HYPERLINK("https://www.boe.es/gazeta/dias/1839/09/09/pdfs/GMD-1839-1762.pdf#page=3","Abrir facsímil")</f>
        <v>Abrir facsímil</v>
      </c>
      <c r="K6308" s="12" t="s">
        <v>65</v>
      </c>
    </row>
    <row r="6309" spans="1:11" ht="40.049999999999997" customHeight="1" x14ac:dyDescent="0.25">
      <c r="A6309" s="11" t="s">
        <v>13584</v>
      </c>
      <c r="B6309" s="11" t="s">
        <v>13585</v>
      </c>
      <c r="C6309" s="11" t="s">
        <v>101</v>
      </c>
      <c r="D6309" s="11" t="s">
        <v>43</v>
      </c>
      <c r="E6309" s="12" t="s">
        <v>258</v>
      </c>
      <c r="F6309" s="12" t="s">
        <v>259</v>
      </c>
      <c r="G6309" s="12" t="s">
        <v>46</v>
      </c>
      <c r="H6309" s="11" t="s">
        <v>63</v>
      </c>
      <c r="I6309" s="13" t="s">
        <v>13586</v>
      </c>
      <c r="J6309" s="14" t="str">
        <f>HYPERLINK("https://www.boe.es/gazeta/dias/1839/01/02/pdfs/GMD-1839-1509.pdf#page=3","Abrir facsímil")</f>
        <v>Abrir facsímil</v>
      </c>
      <c r="K6309" s="12" t="s">
        <v>65</v>
      </c>
    </row>
    <row r="6310" spans="1:11" ht="40.049999999999997" customHeight="1" x14ac:dyDescent="0.25">
      <c r="A6310" s="11" t="s">
        <v>13587</v>
      </c>
      <c r="B6310" s="11" t="s">
        <v>13587</v>
      </c>
      <c r="C6310" s="11" t="s">
        <v>17</v>
      </c>
      <c r="D6310" s="11" t="s">
        <v>18</v>
      </c>
      <c r="E6310" s="12" t="s">
        <v>1606</v>
      </c>
      <c r="F6310" s="12" t="s">
        <v>1607</v>
      </c>
      <c r="G6310" s="12" t="s">
        <v>40</v>
      </c>
      <c r="H6310" s="11" t="s">
        <v>22</v>
      </c>
      <c r="I6310" s="13" t="s">
        <v>13588</v>
      </c>
      <c r="J6310" s="14" t="str">
        <f>HYPERLINK("https://www.boe.es/gazeta/dias/1839/07/02/pdfs/GMD-1839-1690.pdf#page=2","Abrir facsímil")</f>
        <v>Abrir facsímil</v>
      </c>
      <c r="K6310" s="12" t="s">
        <v>24</v>
      </c>
    </row>
    <row r="6311" spans="1:11" ht="40.049999999999997" customHeight="1" x14ac:dyDescent="0.25">
      <c r="A6311" s="11" t="s">
        <v>13589</v>
      </c>
      <c r="B6311" s="11" t="s">
        <v>13589</v>
      </c>
      <c r="C6311" s="11" t="s">
        <v>17</v>
      </c>
      <c r="D6311" s="11" t="s">
        <v>18</v>
      </c>
      <c r="E6311" s="12" t="s">
        <v>668</v>
      </c>
      <c r="F6311" s="12" t="s">
        <v>669</v>
      </c>
      <c r="G6311" s="12" t="s">
        <v>21</v>
      </c>
      <c r="H6311" s="11" t="s">
        <v>22</v>
      </c>
      <c r="I6311" s="13" t="s">
        <v>13590</v>
      </c>
      <c r="J6311" s="14" t="str">
        <f>HYPERLINK("https://www.boe.es/gazeta/dias/1839/03/28/pdfs/GMD-1839-1594.pdf#page=4","Abrir facsímil")</f>
        <v>Abrir facsímil</v>
      </c>
      <c r="K6311" s="12" t="s">
        <v>24</v>
      </c>
    </row>
    <row r="6312" spans="1:11" ht="40.049999999999997" customHeight="1" x14ac:dyDescent="0.25">
      <c r="A6312" s="11" t="s">
        <v>13591</v>
      </c>
      <c r="B6312" s="11" t="s">
        <v>13591</v>
      </c>
      <c r="C6312" s="11" t="s">
        <v>80</v>
      </c>
      <c r="D6312" s="11" t="s">
        <v>18</v>
      </c>
      <c r="E6312" s="12" t="s">
        <v>1391</v>
      </c>
      <c r="F6312" s="12" t="s">
        <v>1392</v>
      </c>
      <c r="G6312" s="12" t="s">
        <v>40</v>
      </c>
      <c r="H6312" s="11" t="s">
        <v>22</v>
      </c>
      <c r="I6312" s="13" t="s">
        <v>13592</v>
      </c>
      <c r="J6312" s="14" t="str">
        <f>HYPERLINK("https://www.boe.es/gazeta/dias/1839/05/12/pdfs/GMD-1839-1639.pdf#page=2","Abrir facsímil")</f>
        <v>Abrir facsímil</v>
      </c>
      <c r="K6312" s="12" t="s">
        <v>24</v>
      </c>
    </row>
    <row r="6313" spans="1:11" ht="40.049999999999997" customHeight="1" x14ac:dyDescent="0.25">
      <c r="A6313" s="11" t="s">
        <v>13593</v>
      </c>
      <c r="B6313" s="11" t="s">
        <v>13593</v>
      </c>
      <c r="C6313" s="11" t="s">
        <v>17</v>
      </c>
      <c r="D6313" s="11" t="s">
        <v>18</v>
      </c>
      <c r="E6313" s="12" t="s">
        <v>262</v>
      </c>
      <c r="F6313" s="12" t="s">
        <v>263</v>
      </c>
      <c r="G6313" s="12" t="s">
        <v>21</v>
      </c>
      <c r="H6313" s="11" t="s">
        <v>22</v>
      </c>
      <c r="I6313" s="13" t="s">
        <v>13594</v>
      </c>
      <c r="J6313" s="14" t="str">
        <f>HYPERLINK("https://www.boe.es/gazeta/dias/1839/01/01/pdfs/GMD-1839-1508.pdf#page=4","Abrir facsímil")</f>
        <v>Abrir facsímil</v>
      </c>
      <c r="K6313" s="12" t="s">
        <v>24</v>
      </c>
    </row>
    <row r="6314" spans="1:11" ht="40.049999999999997" customHeight="1" x14ac:dyDescent="0.25">
      <c r="A6314" s="11" t="s">
        <v>13593</v>
      </c>
      <c r="B6314" s="11" t="s">
        <v>13593</v>
      </c>
      <c r="C6314" s="11" t="s">
        <v>17</v>
      </c>
      <c r="D6314" s="11" t="s">
        <v>18</v>
      </c>
      <c r="E6314" s="12" t="s">
        <v>217</v>
      </c>
      <c r="F6314" s="12" t="s">
        <v>218</v>
      </c>
      <c r="G6314" s="12" t="s">
        <v>40</v>
      </c>
      <c r="H6314" s="11" t="s">
        <v>22</v>
      </c>
      <c r="I6314" s="13" t="s">
        <v>13595</v>
      </c>
      <c r="J6314" s="14" t="str">
        <f>HYPERLINK("https://www.boe.es/gazeta/dias/1839/08/06/pdfs/GMD-1839-1726.pdf#page=2","Abrir facsímil")</f>
        <v>Abrir facsímil</v>
      </c>
      <c r="K6314" s="12" t="s">
        <v>24</v>
      </c>
    </row>
    <row r="6315" spans="1:11" ht="40.049999999999997" customHeight="1" x14ac:dyDescent="0.25">
      <c r="A6315" s="11" t="s">
        <v>13593</v>
      </c>
      <c r="B6315" s="11" t="s">
        <v>13593</v>
      </c>
      <c r="C6315" s="11" t="s">
        <v>17</v>
      </c>
      <c r="D6315" s="11" t="s">
        <v>18</v>
      </c>
      <c r="E6315" s="12" t="s">
        <v>4189</v>
      </c>
      <c r="F6315" s="12" t="s">
        <v>4190</v>
      </c>
      <c r="G6315" s="12" t="s">
        <v>21</v>
      </c>
      <c r="H6315" s="11" t="s">
        <v>22</v>
      </c>
      <c r="I6315" s="13" t="s">
        <v>13596</v>
      </c>
      <c r="J6315" s="14" t="str">
        <f>HYPERLINK("https://www.boe.es/gazeta/dias/1839/02/13/pdfs/GMD-1839-1551.pdf#page=4","Abrir facsímil")</f>
        <v>Abrir facsímil</v>
      </c>
      <c r="K6315" s="12" t="s">
        <v>24</v>
      </c>
    </row>
    <row r="6316" spans="1:11" ht="40.049999999999997" customHeight="1" x14ac:dyDescent="0.25">
      <c r="A6316" s="11" t="s">
        <v>13593</v>
      </c>
      <c r="B6316" s="11" t="s">
        <v>13593</v>
      </c>
      <c r="C6316" s="11" t="s">
        <v>17</v>
      </c>
      <c r="D6316" s="11" t="s">
        <v>18</v>
      </c>
      <c r="E6316" s="12" t="s">
        <v>395</v>
      </c>
      <c r="F6316" s="12" t="s">
        <v>396</v>
      </c>
      <c r="G6316" s="12" t="s">
        <v>46</v>
      </c>
      <c r="H6316" s="11" t="s">
        <v>22</v>
      </c>
      <c r="I6316" s="13" t="s">
        <v>13597</v>
      </c>
      <c r="J6316" s="14" t="str">
        <f>HYPERLINK("https://www.boe.es/gazeta/dias/1839/03/15/pdfs/GMD-1839-1581.pdf#page=3","Abrir facsímil")</f>
        <v>Abrir facsímil</v>
      </c>
      <c r="K6316" s="12" t="s">
        <v>24</v>
      </c>
    </row>
    <row r="6317" spans="1:11" ht="40.049999999999997" customHeight="1" x14ac:dyDescent="0.25">
      <c r="A6317" s="11" t="s">
        <v>13593</v>
      </c>
      <c r="B6317" s="11" t="s">
        <v>13593</v>
      </c>
      <c r="C6317" s="11" t="s">
        <v>17</v>
      </c>
      <c r="D6317" s="11" t="s">
        <v>18</v>
      </c>
      <c r="E6317" s="12" t="s">
        <v>1644</v>
      </c>
      <c r="F6317" s="12" t="s">
        <v>1645</v>
      </c>
      <c r="G6317" s="12" t="s">
        <v>21</v>
      </c>
      <c r="H6317" s="11" t="s">
        <v>22</v>
      </c>
      <c r="I6317" s="13" t="s">
        <v>13598</v>
      </c>
      <c r="J6317" s="14" t="str">
        <f>HYPERLINK("https://www.boe.es/gazeta/dias/1839/04/16/pdfs/GMD-1839-1613.pdf#page=4","Abrir facsímil")</f>
        <v>Abrir facsímil</v>
      </c>
      <c r="K6317" s="12" t="s">
        <v>24</v>
      </c>
    </row>
    <row r="6318" spans="1:11" ht="40.049999999999997" customHeight="1" x14ac:dyDescent="0.25">
      <c r="A6318" s="11" t="s">
        <v>13599</v>
      </c>
      <c r="B6318" s="11" t="s">
        <v>13599</v>
      </c>
      <c r="C6318" s="11" t="s">
        <v>101</v>
      </c>
      <c r="D6318" s="11" t="s">
        <v>43</v>
      </c>
      <c r="E6318" s="12" t="s">
        <v>116</v>
      </c>
      <c r="F6318" s="12" t="s">
        <v>117</v>
      </c>
      <c r="G6318" s="12" t="s">
        <v>40</v>
      </c>
      <c r="H6318" s="11" t="s">
        <v>22</v>
      </c>
      <c r="I6318" s="13" t="s">
        <v>13600</v>
      </c>
      <c r="J6318" s="14" t="str">
        <f>HYPERLINK("https://www.boe.es/gazeta/dias/1839/10/10/pdfs/GMD-1839-1796.pdf#page=2","Abrir facsímil")</f>
        <v>Abrir facsímil</v>
      </c>
      <c r="K6318" s="12" t="s">
        <v>24</v>
      </c>
    </row>
    <row r="6319" spans="1:11" ht="40.049999999999997" customHeight="1" x14ac:dyDescent="0.25">
      <c r="A6319" s="11" t="s">
        <v>13601</v>
      </c>
      <c r="B6319" s="11" t="s">
        <v>13601</v>
      </c>
      <c r="C6319" s="11" t="s">
        <v>17</v>
      </c>
      <c r="D6319" s="11" t="s">
        <v>18</v>
      </c>
      <c r="E6319" s="12" t="s">
        <v>3134</v>
      </c>
      <c r="F6319" s="12" t="s">
        <v>3135</v>
      </c>
      <c r="G6319" s="12" t="s">
        <v>40</v>
      </c>
      <c r="H6319" s="11" t="s">
        <v>22</v>
      </c>
      <c r="I6319" s="13" t="s">
        <v>13602</v>
      </c>
      <c r="J6319" s="14" t="str">
        <f>HYPERLINK("https://www.boe.es/gazeta/dias/1839/08/09/pdfs/GMD-1839-1729.pdf#page=2","Abrir facsímil")</f>
        <v>Abrir facsímil</v>
      </c>
      <c r="K6319" s="12" t="s">
        <v>24</v>
      </c>
    </row>
    <row r="6320" spans="1:11" ht="40.049999999999997" customHeight="1" x14ac:dyDescent="0.25">
      <c r="A6320" s="11" t="s">
        <v>13601</v>
      </c>
      <c r="B6320" s="11" t="s">
        <v>13601</v>
      </c>
      <c r="C6320" s="11" t="s">
        <v>80</v>
      </c>
      <c r="D6320" s="11" t="s">
        <v>18</v>
      </c>
      <c r="E6320" s="12" t="s">
        <v>2995</v>
      </c>
      <c r="F6320" s="12" t="s">
        <v>2996</v>
      </c>
      <c r="G6320" s="12" t="s">
        <v>46</v>
      </c>
      <c r="H6320" s="11" t="s">
        <v>22</v>
      </c>
      <c r="I6320" s="13" t="s">
        <v>13603</v>
      </c>
      <c r="J6320" s="14" t="str">
        <f>HYPERLINK("https://www.boe.es/gazeta/dias/1839/06/16/pdfs/GMD-1839-1674.pdf#page=3","Abrir facsímil")</f>
        <v>Abrir facsímil</v>
      </c>
      <c r="K6320" s="12" t="s">
        <v>24</v>
      </c>
    </row>
    <row r="6321" spans="1:11" ht="40.049999999999997" customHeight="1" x14ac:dyDescent="0.25">
      <c r="A6321" s="11" t="s">
        <v>13601</v>
      </c>
      <c r="B6321" s="11" t="s">
        <v>13601</v>
      </c>
      <c r="C6321" s="11" t="s">
        <v>17</v>
      </c>
      <c r="D6321" s="11" t="s">
        <v>18</v>
      </c>
      <c r="E6321" s="12" t="s">
        <v>2349</v>
      </c>
      <c r="F6321" s="12" t="s">
        <v>2350</v>
      </c>
      <c r="G6321" s="12" t="s">
        <v>566</v>
      </c>
      <c r="H6321" s="11" t="s">
        <v>22</v>
      </c>
      <c r="I6321" s="13" t="s">
        <v>13604</v>
      </c>
      <c r="J6321" s="14" t="str">
        <f>HYPERLINK("https://www.boe.es/gazeta/dias/1839/09/29/pdfs/GMD-1839-1785.pdf#page=5","Abrir facsímil")</f>
        <v>Abrir facsímil</v>
      </c>
      <c r="K6321" s="12" t="s">
        <v>24</v>
      </c>
    </row>
    <row r="6322" spans="1:11" ht="40.049999999999997" customHeight="1" x14ac:dyDescent="0.25">
      <c r="A6322" s="11" t="s">
        <v>13601</v>
      </c>
      <c r="B6322" s="11" t="s">
        <v>13601</v>
      </c>
      <c r="C6322" s="11" t="s">
        <v>17</v>
      </c>
      <c r="D6322" s="11" t="s">
        <v>18</v>
      </c>
      <c r="E6322" s="12" t="s">
        <v>577</v>
      </c>
      <c r="F6322" s="12" t="s">
        <v>578</v>
      </c>
      <c r="G6322" s="12" t="s">
        <v>40</v>
      </c>
      <c r="H6322" s="11" t="s">
        <v>22</v>
      </c>
      <c r="I6322" s="13" t="s">
        <v>13605</v>
      </c>
      <c r="J6322" s="14" t="str">
        <f>HYPERLINK("https://www.boe.es/gazeta/dias/1839/09/30/pdfs/GMD-1839-1786.pdf#page=2","Abrir facsímil")</f>
        <v>Abrir facsímil</v>
      </c>
      <c r="K6322" s="12" t="s">
        <v>24</v>
      </c>
    </row>
    <row r="6323" spans="1:11" ht="40.049999999999997" customHeight="1" x14ac:dyDescent="0.25">
      <c r="A6323" s="11" t="s">
        <v>13606</v>
      </c>
      <c r="B6323" s="11" t="s">
        <v>13606</v>
      </c>
      <c r="C6323" s="11" t="s">
        <v>17</v>
      </c>
      <c r="D6323" s="11" t="s">
        <v>18</v>
      </c>
      <c r="E6323" s="12" t="s">
        <v>154</v>
      </c>
      <c r="F6323" s="12" t="s">
        <v>155</v>
      </c>
      <c r="G6323" s="12" t="s">
        <v>40</v>
      </c>
      <c r="H6323" s="11" t="s">
        <v>22</v>
      </c>
      <c r="I6323" s="13" t="s">
        <v>13607</v>
      </c>
      <c r="J6323" s="14" t="str">
        <f>HYPERLINK("https://www.boe.es/gazeta/dias/1839/02/02/pdfs/GMD-1839-1540.pdf#page=2","Abrir facsímil")</f>
        <v>Abrir facsímil</v>
      </c>
      <c r="K6323" s="12" t="s">
        <v>24</v>
      </c>
    </row>
    <row r="6324" spans="1:11" ht="40.049999999999997" customHeight="1" x14ac:dyDescent="0.25">
      <c r="A6324" s="11" t="s">
        <v>13606</v>
      </c>
      <c r="B6324" s="11" t="s">
        <v>13606</v>
      </c>
      <c r="C6324" s="11" t="s">
        <v>80</v>
      </c>
      <c r="D6324" s="11" t="s">
        <v>18</v>
      </c>
      <c r="E6324" s="12" t="s">
        <v>4451</v>
      </c>
      <c r="F6324" s="12" t="s">
        <v>4452</v>
      </c>
      <c r="G6324" s="12" t="s">
        <v>46</v>
      </c>
      <c r="H6324" s="11" t="s">
        <v>22</v>
      </c>
      <c r="I6324" s="13" t="s">
        <v>13608</v>
      </c>
      <c r="J6324" s="14" t="str">
        <f>HYPERLINK("https://www.boe.es/gazeta/dias/1839/12/02/pdfs/GMD-1839-1849.pdf#page=3","Abrir facsímil")</f>
        <v>Abrir facsímil</v>
      </c>
      <c r="K6324" s="12" t="s">
        <v>24</v>
      </c>
    </row>
    <row r="6325" spans="1:11" ht="40.049999999999997" customHeight="1" x14ac:dyDescent="0.25">
      <c r="A6325" s="11" t="s">
        <v>13606</v>
      </c>
      <c r="B6325" s="11" t="s">
        <v>13606</v>
      </c>
      <c r="C6325" s="11" t="s">
        <v>101</v>
      </c>
      <c r="D6325" s="11" t="s">
        <v>43</v>
      </c>
      <c r="E6325" s="12" t="s">
        <v>2227</v>
      </c>
      <c r="F6325" s="12" t="s">
        <v>2228</v>
      </c>
      <c r="G6325" s="12" t="s">
        <v>29</v>
      </c>
      <c r="H6325" s="11" t="s">
        <v>22</v>
      </c>
      <c r="I6325" s="13" t="s">
        <v>13609</v>
      </c>
      <c r="J6325" s="14" t="str">
        <f>HYPERLINK("https://www.boe.es/gazeta/dias/1839/12/04/pdfs/GMD-1839-1851.pdf#page=1","Abrir facsímil")</f>
        <v>Abrir facsímil</v>
      </c>
      <c r="K6325" s="12" t="s">
        <v>24</v>
      </c>
    </row>
    <row r="6326" spans="1:11" ht="40.049999999999997" customHeight="1" x14ac:dyDescent="0.25">
      <c r="A6326" s="11" t="s">
        <v>13606</v>
      </c>
      <c r="B6326" s="11" t="s">
        <v>13606</v>
      </c>
      <c r="C6326" s="11" t="s">
        <v>59</v>
      </c>
      <c r="D6326" s="11" t="s">
        <v>60</v>
      </c>
      <c r="E6326" s="12" t="s">
        <v>2210</v>
      </c>
      <c r="F6326" s="12" t="s">
        <v>2211</v>
      </c>
      <c r="G6326" s="12" t="s">
        <v>40</v>
      </c>
      <c r="H6326" s="11" t="s">
        <v>22</v>
      </c>
      <c r="I6326" s="13" t="s">
        <v>13610</v>
      </c>
      <c r="J6326" s="14" t="str">
        <f>HYPERLINK("https://www.boe.es/gazeta/dias/1839/09/05/pdfs/GMD-1839-1758.pdf#page=2","Abrir facsímil")</f>
        <v>Abrir facsímil</v>
      </c>
      <c r="K6326" s="12" t="s">
        <v>24</v>
      </c>
    </row>
    <row r="6327" spans="1:11" ht="40.049999999999997" customHeight="1" x14ac:dyDescent="0.25">
      <c r="A6327" s="11" t="s">
        <v>13606</v>
      </c>
      <c r="B6327" s="11" t="s">
        <v>13606</v>
      </c>
      <c r="C6327" s="11" t="s">
        <v>80</v>
      </c>
      <c r="D6327" s="11" t="s">
        <v>18</v>
      </c>
      <c r="E6327" s="12" t="s">
        <v>770</v>
      </c>
      <c r="F6327" s="12" t="s">
        <v>771</v>
      </c>
      <c r="G6327" s="12" t="s">
        <v>29</v>
      </c>
      <c r="H6327" s="11" t="s">
        <v>22</v>
      </c>
      <c r="I6327" s="13" t="s">
        <v>13611</v>
      </c>
      <c r="J6327" s="14" t="str">
        <f>HYPERLINK("https://www.boe.es/gazeta/dias/1839/12/05/pdfs/GMD-1839-1852.pdf#page=1","Abrir facsímil")</f>
        <v>Abrir facsímil</v>
      </c>
      <c r="K6327" s="12" t="s">
        <v>24</v>
      </c>
    </row>
    <row r="6328" spans="1:11" ht="40.049999999999997" customHeight="1" x14ac:dyDescent="0.25">
      <c r="A6328" s="11" t="s">
        <v>13606</v>
      </c>
      <c r="B6328" s="11" t="s">
        <v>13606</v>
      </c>
      <c r="C6328" s="11" t="s">
        <v>17</v>
      </c>
      <c r="D6328" s="11" t="s">
        <v>43</v>
      </c>
      <c r="E6328" s="12" t="s">
        <v>236</v>
      </c>
      <c r="F6328" s="12" t="s">
        <v>237</v>
      </c>
      <c r="G6328" s="12" t="s">
        <v>40</v>
      </c>
      <c r="H6328" s="11" t="s">
        <v>22</v>
      </c>
      <c r="I6328" s="13" t="s">
        <v>13612</v>
      </c>
      <c r="J6328" s="14" t="str">
        <f>HYPERLINK("https://www.boe.es/gazeta/dias/1839/09/18/pdfs/GMD-1839-1771.pdf#page=2","Abrir facsímil")</f>
        <v>Abrir facsímil</v>
      </c>
      <c r="K6328" s="12" t="s">
        <v>24</v>
      </c>
    </row>
    <row r="6329" spans="1:11" ht="40.049999999999997" customHeight="1" x14ac:dyDescent="0.25">
      <c r="A6329" s="11" t="s">
        <v>13606</v>
      </c>
      <c r="B6329" s="11" t="s">
        <v>13606</v>
      </c>
      <c r="C6329" s="11" t="s">
        <v>17</v>
      </c>
      <c r="D6329" s="11" t="s">
        <v>18</v>
      </c>
      <c r="E6329" s="12" t="s">
        <v>713</v>
      </c>
      <c r="F6329" s="12" t="s">
        <v>714</v>
      </c>
      <c r="G6329" s="12" t="s">
        <v>40</v>
      </c>
      <c r="H6329" s="11" t="s">
        <v>22</v>
      </c>
      <c r="I6329" s="13" t="s">
        <v>13613</v>
      </c>
      <c r="J6329" s="14" t="str">
        <f>HYPERLINK("https://www.boe.es/gazeta/dias/1839/12/18/pdfs/GMD-1839-1865.pdf#page=2","Abrir facsímil")</f>
        <v>Abrir facsímil</v>
      </c>
      <c r="K6329" s="12" t="s">
        <v>24</v>
      </c>
    </row>
    <row r="6330" spans="1:11" ht="40.049999999999997" customHeight="1" x14ac:dyDescent="0.25">
      <c r="A6330" s="11" t="s">
        <v>13606</v>
      </c>
      <c r="B6330" s="11" t="s">
        <v>13606</v>
      </c>
      <c r="C6330" s="11" t="s">
        <v>17</v>
      </c>
      <c r="D6330" s="11" t="s">
        <v>18</v>
      </c>
      <c r="E6330" s="12" t="s">
        <v>1076</v>
      </c>
      <c r="F6330" s="12" t="s">
        <v>1077</v>
      </c>
      <c r="G6330" s="12" t="s">
        <v>21</v>
      </c>
      <c r="H6330" s="11" t="s">
        <v>22</v>
      </c>
      <c r="I6330" s="13" t="s">
        <v>13614</v>
      </c>
      <c r="J6330" s="14" t="str">
        <f>HYPERLINK("https://www.boe.es/gazeta/dias/1839/10/19/pdfs/GMD-1839-1805.pdf#page=4","Abrir facsímil")</f>
        <v>Abrir facsímil</v>
      </c>
      <c r="K6330" s="12" t="s">
        <v>24</v>
      </c>
    </row>
    <row r="6331" spans="1:11" ht="40.049999999999997" customHeight="1" x14ac:dyDescent="0.25">
      <c r="A6331" s="11" t="s">
        <v>13606</v>
      </c>
      <c r="B6331" s="11" t="s">
        <v>13606</v>
      </c>
      <c r="C6331" s="11" t="s">
        <v>17</v>
      </c>
      <c r="D6331" s="11" t="s">
        <v>18</v>
      </c>
      <c r="E6331" s="12" t="s">
        <v>794</v>
      </c>
      <c r="F6331" s="12" t="s">
        <v>795</v>
      </c>
      <c r="G6331" s="12" t="s">
        <v>46</v>
      </c>
      <c r="H6331" s="11" t="s">
        <v>22</v>
      </c>
      <c r="I6331" s="13" t="s">
        <v>13615</v>
      </c>
      <c r="J6331" s="14" t="str">
        <f>HYPERLINK("https://www.boe.es/gazeta/dias/1839/01/22/pdfs/GMD-1839-1529.pdf#page=3","Abrir facsímil")</f>
        <v>Abrir facsímil</v>
      </c>
      <c r="K6331" s="12" t="s">
        <v>24</v>
      </c>
    </row>
    <row r="6332" spans="1:11" ht="40.049999999999997" customHeight="1" x14ac:dyDescent="0.25">
      <c r="A6332" s="11" t="s">
        <v>13606</v>
      </c>
      <c r="B6332" s="11" t="s">
        <v>13606</v>
      </c>
      <c r="C6332" s="11" t="s">
        <v>17</v>
      </c>
      <c r="D6332" s="11" t="s">
        <v>18</v>
      </c>
      <c r="E6332" s="12" t="s">
        <v>926</v>
      </c>
      <c r="F6332" s="12" t="s">
        <v>927</v>
      </c>
      <c r="G6332" s="12" t="s">
        <v>29</v>
      </c>
      <c r="H6332" s="11" t="s">
        <v>22</v>
      </c>
      <c r="I6332" s="13" t="s">
        <v>13616</v>
      </c>
      <c r="J6332" s="14" t="str">
        <f>HYPERLINK("https://www.boe.es/gazeta/dias/1839/01/25/pdfs/GMD-1839-1532.pdf#page=1","Abrir facsímil")</f>
        <v>Abrir facsímil</v>
      </c>
      <c r="K6332" s="12" t="s">
        <v>24</v>
      </c>
    </row>
    <row r="6333" spans="1:11" ht="40.049999999999997" customHeight="1" x14ac:dyDescent="0.25">
      <c r="A6333" s="11" t="s">
        <v>13606</v>
      </c>
      <c r="B6333" s="11" t="s">
        <v>13606</v>
      </c>
      <c r="C6333" s="11" t="s">
        <v>17</v>
      </c>
      <c r="D6333" s="11" t="s">
        <v>18</v>
      </c>
      <c r="E6333" s="12" t="s">
        <v>1679</v>
      </c>
      <c r="F6333" s="12" t="s">
        <v>1680</v>
      </c>
      <c r="G6333" s="12" t="s">
        <v>46</v>
      </c>
      <c r="H6333" s="11" t="s">
        <v>22</v>
      </c>
      <c r="I6333" s="13" t="s">
        <v>13617</v>
      </c>
      <c r="J6333" s="14" t="str">
        <f>HYPERLINK("https://www.boe.es/gazeta/dias/1839/01/26/pdfs/GMD-1839-1533.pdf#page=3","Abrir facsímil")</f>
        <v>Abrir facsímil</v>
      </c>
      <c r="K6333" s="12" t="s">
        <v>24</v>
      </c>
    </row>
    <row r="6334" spans="1:11" ht="40.049999999999997" customHeight="1" x14ac:dyDescent="0.25">
      <c r="A6334" s="11" t="s">
        <v>13606</v>
      </c>
      <c r="B6334" s="11" t="s">
        <v>13606</v>
      </c>
      <c r="C6334" s="11" t="s">
        <v>17</v>
      </c>
      <c r="D6334" s="11" t="s">
        <v>18</v>
      </c>
      <c r="E6334" s="12" t="s">
        <v>571</v>
      </c>
      <c r="F6334" s="12" t="s">
        <v>572</v>
      </c>
      <c r="G6334" s="12" t="s">
        <v>305</v>
      </c>
      <c r="H6334" s="11" t="s">
        <v>22</v>
      </c>
      <c r="I6334" s="13" t="s">
        <v>13618</v>
      </c>
      <c r="J6334" s="14" t="str">
        <f>HYPERLINK("https://www.boe.es/gazeta/dias/1839/09/27/pdfs/GMD-1839-1783.pdf#page=6","Abrir facsímil")</f>
        <v>Abrir facsímil</v>
      </c>
      <c r="K6334" s="12" t="s">
        <v>24</v>
      </c>
    </row>
    <row r="6335" spans="1:11" ht="40.049999999999997" customHeight="1" x14ac:dyDescent="0.25">
      <c r="A6335" s="11" t="s">
        <v>13606</v>
      </c>
      <c r="B6335" s="11" t="s">
        <v>13606</v>
      </c>
      <c r="C6335" s="11" t="s">
        <v>17</v>
      </c>
      <c r="D6335" s="11" t="s">
        <v>18</v>
      </c>
      <c r="E6335" s="12" t="s">
        <v>668</v>
      </c>
      <c r="F6335" s="12" t="s">
        <v>669</v>
      </c>
      <c r="G6335" s="12" t="s">
        <v>40</v>
      </c>
      <c r="H6335" s="11" t="s">
        <v>22</v>
      </c>
      <c r="I6335" s="13" t="s">
        <v>13619</v>
      </c>
      <c r="J6335" s="14" t="str">
        <f>HYPERLINK("https://www.boe.es/gazeta/dias/1839/03/28/pdfs/GMD-1839-1594.pdf#page=2","Abrir facsímil")</f>
        <v>Abrir facsímil</v>
      </c>
      <c r="K6335" s="12" t="s">
        <v>24</v>
      </c>
    </row>
    <row r="6336" spans="1:11" ht="40.049999999999997" customHeight="1" x14ac:dyDescent="0.25">
      <c r="A6336" s="11" t="s">
        <v>13606</v>
      </c>
      <c r="B6336" s="11" t="s">
        <v>13606</v>
      </c>
      <c r="C6336" s="11" t="s">
        <v>101</v>
      </c>
      <c r="D6336" s="11" t="s">
        <v>43</v>
      </c>
      <c r="E6336" s="12" t="s">
        <v>862</v>
      </c>
      <c r="F6336" s="12" t="s">
        <v>863</v>
      </c>
      <c r="G6336" s="12" t="s">
        <v>40</v>
      </c>
      <c r="H6336" s="11" t="s">
        <v>22</v>
      </c>
      <c r="I6336" s="13" t="s">
        <v>13620</v>
      </c>
      <c r="J6336" s="14" t="str">
        <f>HYPERLINK("https://www.boe.es/gazeta/dias/1839/10/28/pdfs/GMD-1839-1814.pdf#page=2","Abrir facsímil")</f>
        <v>Abrir facsímil</v>
      </c>
      <c r="K6336" s="12" t="s">
        <v>24</v>
      </c>
    </row>
    <row r="6337" spans="1:11" ht="40.049999999999997" customHeight="1" x14ac:dyDescent="0.25">
      <c r="A6337" s="11" t="s">
        <v>13606</v>
      </c>
      <c r="B6337" s="11" t="s">
        <v>13606</v>
      </c>
      <c r="C6337" s="11" t="s">
        <v>59</v>
      </c>
      <c r="D6337" s="11" t="s">
        <v>60</v>
      </c>
      <c r="E6337" s="12" t="s">
        <v>1287</v>
      </c>
      <c r="F6337" s="12" t="s">
        <v>1288</v>
      </c>
      <c r="G6337" s="12" t="s">
        <v>40</v>
      </c>
      <c r="H6337" s="11" t="s">
        <v>22</v>
      </c>
      <c r="I6337" s="13" t="s">
        <v>13621</v>
      </c>
      <c r="J6337" s="14" t="str">
        <f>HYPERLINK("https://www.boe.es/gazeta/dias/1839/10/30/pdfs/GMD-1839-1816.pdf#page=2","Abrir facsímil")</f>
        <v>Abrir facsímil</v>
      </c>
      <c r="K6337" s="12" t="s">
        <v>24</v>
      </c>
    </row>
    <row r="6338" spans="1:11" ht="40.049999999999997" customHeight="1" x14ac:dyDescent="0.25">
      <c r="A6338" s="11" t="s">
        <v>13622</v>
      </c>
      <c r="B6338" s="11" t="s">
        <v>13622</v>
      </c>
      <c r="C6338" s="11" t="s">
        <v>17</v>
      </c>
      <c r="D6338" s="11" t="s">
        <v>18</v>
      </c>
      <c r="E6338" s="12" t="s">
        <v>405</v>
      </c>
      <c r="F6338" s="12" t="s">
        <v>406</v>
      </c>
      <c r="G6338" s="12" t="s">
        <v>46</v>
      </c>
      <c r="H6338" s="11" t="s">
        <v>22</v>
      </c>
      <c r="I6338" s="13" t="s">
        <v>13623</v>
      </c>
      <c r="J6338" s="14" t="str">
        <f>HYPERLINK("https://www.boe.es/gazeta/dias/1839/03/25/pdfs/GMD-1839-1591.pdf#page=3","Abrir facsímil")</f>
        <v>Abrir facsímil</v>
      </c>
      <c r="K6338" s="12" t="s">
        <v>24</v>
      </c>
    </row>
    <row r="6339" spans="1:11" ht="40.049999999999997" customHeight="1" x14ac:dyDescent="0.25">
      <c r="A6339" s="11" t="s">
        <v>13624</v>
      </c>
      <c r="B6339" s="11" t="s">
        <v>13624</v>
      </c>
      <c r="C6339" s="11" t="s">
        <v>101</v>
      </c>
      <c r="D6339" s="11" t="s">
        <v>43</v>
      </c>
      <c r="E6339" s="12" t="s">
        <v>416</v>
      </c>
      <c r="F6339" s="12" t="s">
        <v>417</v>
      </c>
      <c r="G6339" s="12" t="s">
        <v>29</v>
      </c>
      <c r="H6339" s="11" t="s">
        <v>22</v>
      </c>
      <c r="I6339" s="13" t="s">
        <v>13625</v>
      </c>
      <c r="J6339" s="14" t="str">
        <f>HYPERLINK("https://www.boe.es/gazeta/dias/1839/10/24/pdfs/GMD-1839-1810.pdf#page=1","Abrir facsímil")</f>
        <v>Abrir facsímil</v>
      </c>
      <c r="K6339" s="12" t="s">
        <v>24</v>
      </c>
    </row>
    <row r="6340" spans="1:11" ht="40.049999999999997" customHeight="1" x14ac:dyDescent="0.25">
      <c r="A6340" s="11" t="s">
        <v>13626</v>
      </c>
      <c r="B6340" s="11" t="s">
        <v>13626</v>
      </c>
      <c r="C6340" s="11" t="s">
        <v>17</v>
      </c>
      <c r="D6340" s="11" t="s">
        <v>18</v>
      </c>
      <c r="E6340" s="12" t="s">
        <v>596</v>
      </c>
      <c r="F6340" s="12" t="s">
        <v>597</v>
      </c>
      <c r="G6340" s="12" t="s">
        <v>46</v>
      </c>
      <c r="H6340" s="11" t="s">
        <v>22</v>
      </c>
      <c r="I6340" s="13" t="s">
        <v>13627</v>
      </c>
      <c r="J6340" s="14" t="str">
        <f>HYPERLINK("https://www.boe.es/gazeta/dias/1839/01/23/pdfs/GMD-1839-1530.pdf#page=3","Abrir facsímil")</f>
        <v>Abrir facsímil</v>
      </c>
      <c r="K6340" s="12" t="s">
        <v>24</v>
      </c>
    </row>
    <row r="6341" spans="1:11" ht="40.049999999999997" customHeight="1" x14ac:dyDescent="0.25">
      <c r="A6341" s="11" t="s">
        <v>13628</v>
      </c>
      <c r="B6341" s="11" t="s">
        <v>13628</v>
      </c>
      <c r="C6341" s="11" t="s">
        <v>17</v>
      </c>
      <c r="D6341" s="11" t="s">
        <v>18</v>
      </c>
      <c r="E6341" s="12" t="s">
        <v>448</v>
      </c>
      <c r="F6341" s="12" t="s">
        <v>449</v>
      </c>
      <c r="G6341" s="12" t="s">
        <v>40</v>
      </c>
      <c r="H6341" s="11" t="s">
        <v>22</v>
      </c>
      <c r="I6341" s="13" t="s">
        <v>13629</v>
      </c>
      <c r="J6341" s="14" t="str">
        <f>HYPERLINK("https://www.boe.es/gazeta/dias/1839/02/06/pdfs/GMD-1839-1544.pdf#page=2","Abrir facsímil")</f>
        <v>Abrir facsímil</v>
      </c>
      <c r="K6341" s="12" t="s">
        <v>24</v>
      </c>
    </row>
    <row r="6342" spans="1:11" ht="40.049999999999997" customHeight="1" x14ac:dyDescent="0.25">
      <c r="A6342" s="11" t="s">
        <v>13630</v>
      </c>
      <c r="B6342" s="11" t="s">
        <v>13630</v>
      </c>
      <c r="C6342" s="11" t="s">
        <v>17</v>
      </c>
      <c r="D6342" s="11" t="s">
        <v>18</v>
      </c>
      <c r="E6342" s="12" t="s">
        <v>1136</v>
      </c>
      <c r="F6342" s="12" t="s">
        <v>1137</v>
      </c>
      <c r="G6342" s="12" t="s">
        <v>46</v>
      </c>
      <c r="H6342" s="11" t="s">
        <v>22</v>
      </c>
      <c r="I6342" s="13" t="s">
        <v>13631</v>
      </c>
      <c r="J6342" s="14" t="str">
        <f>HYPERLINK("https://www.boe.es/gazeta/dias/1839/04/03/pdfs/GMD-1839-1600.pdf#page=3","Abrir facsímil")</f>
        <v>Abrir facsímil</v>
      </c>
      <c r="K6342" s="12" t="s">
        <v>24</v>
      </c>
    </row>
    <row r="6343" spans="1:11" ht="40.049999999999997" customHeight="1" x14ac:dyDescent="0.25">
      <c r="A6343" s="11" t="s">
        <v>13630</v>
      </c>
      <c r="B6343" s="11" t="s">
        <v>13630</v>
      </c>
      <c r="C6343" s="11" t="s">
        <v>17</v>
      </c>
      <c r="D6343" s="11" t="s">
        <v>18</v>
      </c>
      <c r="E6343" s="12" t="s">
        <v>3633</v>
      </c>
      <c r="F6343" s="12" t="s">
        <v>3634</v>
      </c>
      <c r="G6343" s="12" t="s">
        <v>40</v>
      </c>
      <c r="H6343" s="11" t="s">
        <v>22</v>
      </c>
      <c r="I6343" s="13" t="s">
        <v>13632</v>
      </c>
      <c r="J6343" s="14" t="str">
        <f>HYPERLINK("https://www.boe.es/gazeta/dias/1839/04/12/pdfs/GMD-1839-1609.pdf#page=2","Abrir facsímil")</f>
        <v>Abrir facsímil</v>
      </c>
      <c r="K6343" s="12" t="s">
        <v>24</v>
      </c>
    </row>
    <row r="6344" spans="1:11" ht="40.049999999999997" customHeight="1" x14ac:dyDescent="0.25">
      <c r="A6344" s="11" t="s">
        <v>13630</v>
      </c>
      <c r="B6344" s="11" t="s">
        <v>13630</v>
      </c>
      <c r="C6344" s="11" t="s">
        <v>80</v>
      </c>
      <c r="D6344" s="11" t="s">
        <v>18</v>
      </c>
      <c r="E6344" s="12" t="s">
        <v>352</v>
      </c>
      <c r="F6344" s="12" t="s">
        <v>353</v>
      </c>
      <c r="G6344" s="12" t="s">
        <v>40</v>
      </c>
      <c r="H6344" s="11" t="s">
        <v>22</v>
      </c>
      <c r="I6344" s="13" t="s">
        <v>13633</v>
      </c>
      <c r="J6344" s="14" t="str">
        <f>HYPERLINK("https://www.boe.es/gazeta/dias/1839/03/30/pdfs/GMD-1839-1596.pdf#page=2","Abrir facsímil")</f>
        <v>Abrir facsímil</v>
      </c>
      <c r="K6344" s="12" t="s">
        <v>24</v>
      </c>
    </row>
    <row r="6345" spans="1:11" ht="40.049999999999997" customHeight="1" x14ac:dyDescent="0.25">
      <c r="A6345" s="11" t="s">
        <v>13634</v>
      </c>
      <c r="B6345" s="11" t="s">
        <v>13634</v>
      </c>
      <c r="C6345" s="11" t="s">
        <v>59</v>
      </c>
      <c r="D6345" s="11" t="s">
        <v>60</v>
      </c>
      <c r="E6345" s="12" t="s">
        <v>1340</v>
      </c>
      <c r="F6345" s="12" t="s">
        <v>1341</v>
      </c>
      <c r="G6345" s="12" t="s">
        <v>29</v>
      </c>
      <c r="H6345" s="11" t="s">
        <v>22</v>
      </c>
      <c r="I6345" s="13" t="s">
        <v>13635</v>
      </c>
      <c r="J6345" s="14" t="str">
        <f>HYPERLINK("https://www.boe.es/gazeta/dias/1839/05/05/pdfs/GMD-1839-1632.pdf#page=1","Abrir facsímil")</f>
        <v>Abrir facsímil</v>
      </c>
      <c r="K6345" s="12" t="s">
        <v>24</v>
      </c>
    </row>
    <row r="6346" spans="1:11" ht="40.049999999999997" customHeight="1" x14ac:dyDescent="0.25">
      <c r="A6346" s="11" t="s">
        <v>13636</v>
      </c>
      <c r="B6346" s="11" t="s">
        <v>13636</v>
      </c>
      <c r="C6346" s="11" t="s">
        <v>137</v>
      </c>
      <c r="D6346" s="11" t="s">
        <v>18</v>
      </c>
      <c r="E6346" s="12" t="s">
        <v>959</v>
      </c>
      <c r="F6346" s="12" t="s">
        <v>960</v>
      </c>
      <c r="G6346" s="12" t="s">
        <v>46</v>
      </c>
      <c r="H6346" s="11" t="s">
        <v>22</v>
      </c>
      <c r="I6346" s="13" t="s">
        <v>13637</v>
      </c>
      <c r="J6346" s="14" t="str">
        <f>HYPERLINK("https://www.boe.es/gazeta/dias/1839/12/06/pdfs/GMD-1839-1853.pdf#page=3","Abrir facsímil")</f>
        <v>Abrir facsímil</v>
      </c>
      <c r="K6346" s="12" t="s">
        <v>24</v>
      </c>
    </row>
    <row r="6347" spans="1:11" ht="40.049999999999997" customHeight="1" x14ac:dyDescent="0.25">
      <c r="A6347" s="11" t="s">
        <v>13636</v>
      </c>
      <c r="B6347" s="11" t="s">
        <v>13636</v>
      </c>
      <c r="C6347" s="11" t="s">
        <v>17</v>
      </c>
      <c r="D6347" s="11" t="s">
        <v>18</v>
      </c>
      <c r="E6347" s="12" t="s">
        <v>929</v>
      </c>
      <c r="F6347" s="12" t="s">
        <v>930</v>
      </c>
      <c r="G6347" s="12" t="s">
        <v>40</v>
      </c>
      <c r="H6347" s="11" t="s">
        <v>22</v>
      </c>
      <c r="I6347" s="13" t="s">
        <v>13638</v>
      </c>
      <c r="J6347" s="14" t="str">
        <f>HYPERLINK("https://www.boe.es/gazeta/dias/1839/01/31/pdfs/GMD-1839-1538.pdf#page=2","Abrir facsímil")</f>
        <v>Abrir facsímil</v>
      </c>
      <c r="K6347" s="12" t="s">
        <v>24</v>
      </c>
    </row>
    <row r="6348" spans="1:11" ht="40.049999999999997" customHeight="1" x14ac:dyDescent="0.25">
      <c r="A6348" s="11" t="s">
        <v>13639</v>
      </c>
      <c r="B6348" s="11" t="s">
        <v>13639</v>
      </c>
      <c r="C6348" s="11" t="s">
        <v>80</v>
      </c>
      <c r="D6348" s="11" t="s">
        <v>18</v>
      </c>
      <c r="E6348" s="12" t="s">
        <v>744</v>
      </c>
      <c r="F6348" s="12" t="s">
        <v>745</v>
      </c>
      <c r="G6348" s="12" t="s">
        <v>40</v>
      </c>
      <c r="H6348" s="11" t="s">
        <v>22</v>
      </c>
      <c r="I6348" s="13" t="s">
        <v>13640</v>
      </c>
      <c r="J6348" s="14" t="str">
        <f>HYPERLINK("https://www.boe.es/gazeta/dias/1839/12/09/pdfs/GMD-1839-1856.pdf#page=2","Abrir facsímil")</f>
        <v>Abrir facsímil</v>
      </c>
      <c r="K6348" s="12" t="s">
        <v>24</v>
      </c>
    </row>
    <row r="6349" spans="1:11" ht="40.049999999999997" customHeight="1" x14ac:dyDescent="0.25">
      <c r="A6349" s="11" t="s">
        <v>13641</v>
      </c>
      <c r="B6349" s="11" t="s">
        <v>13641</v>
      </c>
      <c r="C6349" s="11" t="s">
        <v>17</v>
      </c>
      <c r="D6349" s="11" t="s">
        <v>18</v>
      </c>
      <c r="E6349" s="12" t="s">
        <v>38</v>
      </c>
      <c r="F6349" s="12" t="s">
        <v>39</v>
      </c>
      <c r="G6349" s="12" t="s">
        <v>46</v>
      </c>
      <c r="H6349" s="11" t="s">
        <v>22</v>
      </c>
      <c r="I6349" s="13" t="s">
        <v>13642</v>
      </c>
      <c r="J6349" s="14" t="str">
        <f>HYPERLINK("https://www.boe.es/gazeta/dias/1839/08/08/pdfs/GMD-1839-1728.pdf#page=3","Abrir facsímil")</f>
        <v>Abrir facsímil</v>
      </c>
      <c r="K6349" s="12" t="s">
        <v>24</v>
      </c>
    </row>
    <row r="6350" spans="1:11" ht="40.049999999999997" customHeight="1" x14ac:dyDescent="0.25">
      <c r="A6350" s="11" t="s">
        <v>13643</v>
      </c>
      <c r="B6350" s="11" t="s">
        <v>13643</v>
      </c>
      <c r="C6350" s="11" t="s">
        <v>59</v>
      </c>
      <c r="D6350" s="11" t="s">
        <v>60</v>
      </c>
      <c r="E6350" s="12" t="s">
        <v>385</v>
      </c>
      <c r="F6350" s="12" t="s">
        <v>386</v>
      </c>
      <c r="G6350" s="12" t="s">
        <v>40</v>
      </c>
      <c r="H6350" s="11" t="s">
        <v>63</v>
      </c>
      <c r="I6350" s="13" t="s">
        <v>13644</v>
      </c>
      <c r="J6350" s="14" t="str">
        <f>HYPERLINK("https://www.boe.es/gazeta/dias/1839/08/01/pdfs/GMD-1839-1721.pdf#page=2","Abrir facsímil")</f>
        <v>Abrir facsímil</v>
      </c>
      <c r="K6350" s="12" t="s">
        <v>65</v>
      </c>
    </row>
    <row r="6351" spans="1:11" ht="40.049999999999997" customHeight="1" x14ac:dyDescent="0.25">
      <c r="A6351" s="11" t="s">
        <v>13643</v>
      </c>
      <c r="B6351" s="11" t="s">
        <v>13643</v>
      </c>
      <c r="C6351" s="11" t="s">
        <v>17</v>
      </c>
      <c r="D6351" s="11" t="s">
        <v>18</v>
      </c>
      <c r="E6351" s="12" t="s">
        <v>1366</v>
      </c>
      <c r="F6351" s="12" t="s">
        <v>1367</v>
      </c>
      <c r="G6351" s="12" t="s">
        <v>40</v>
      </c>
      <c r="H6351" s="11" t="s">
        <v>63</v>
      </c>
      <c r="I6351" s="13" t="s">
        <v>13645</v>
      </c>
      <c r="J6351" s="14" t="str">
        <f>HYPERLINK("https://www.boe.es/gazeta/dias/1839/09/09/pdfs/GMD-1839-1762.pdf#page=2","Abrir facsímil")</f>
        <v>Abrir facsímil</v>
      </c>
      <c r="K6351" s="12" t="s">
        <v>65</v>
      </c>
    </row>
    <row r="6352" spans="1:11" ht="40.049999999999997" customHeight="1" x14ac:dyDescent="0.25">
      <c r="A6352" s="11" t="s">
        <v>13643</v>
      </c>
      <c r="B6352" s="11" t="s">
        <v>13643</v>
      </c>
      <c r="C6352" s="11" t="s">
        <v>101</v>
      </c>
      <c r="D6352" s="11" t="s">
        <v>102</v>
      </c>
      <c r="E6352" s="12" t="s">
        <v>1391</v>
      </c>
      <c r="F6352" s="12" t="s">
        <v>1392</v>
      </c>
      <c r="G6352" s="12" t="s">
        <v>29</v>
      </c>
      <c r="H6352" s="11" t="s">
        <v>63</v>
      </c>
      <c r="I6352" s="13" t="s">
        <v>13646</v>
      </c>
      <c r="J6352" s="14" t="str">
        <f>HYPERLINK("https://www.boe.es/gazeta/dias/1839/05/12/pdfs/GMD-1839-1639.pdf#page=1","Abrir facsímil")</f>
        <v>Abrir facsímil</v>
      </c>
      <c r="K6352" s="12" t="s">
        <v>65</v>
      </c>
    </row>
    <row r="6353" spans="1:11" ht="40.049999999999997" customHeight="1" x14ac:dyDescent="0.25">
      <c r="A6353" s="11" t="s">
        <v>13643</v>
      </c>
      <c r="B6353" s="11" t="s">
        <v>13643</v>
      </c>
      <c r="C6353" s="11" t="s">
        <v>59</v>
      </c>
      <c r="D6353" s="11" t="s">
        <v>60</v>
      </c>
      <c r="E6353" s="12" t="s">
        <v>469</v>
      </c>
      <c r="F6353" s="12" t="s">
        <v>470</v>
      </c>
      <c r="G6353" s="12" t="s">
        <v>29</v>
      </c>
      <c r="H6353" s="11" t="s">
        <v>63</v>
      </c>
      <c r="I6353" s="13" t="s">
        <v>13647</v>
      </c>
      <c r="J6353" s="14" t="str">
        <f>HYPERLINK("https://www.boe.es/gazeta/dias/1839/08/20/pdfs/GMD-1839-1741.pdf#page=1","Abrir facsímil")</f>
        <v>Abrir facsímil</v>
      </c>
      <c r="K6353" s="12" t="s">
        <v>65</v>
      </c>
    </row>
    <row r="6354" spans="1:11" ht="40.049999999999997" customHeight="1" x14ac:dyDescent="0.25">
      <c r="A6354" s="11" t="s">
        <v>13648</v>
      </c>
      <c r="B6354" s="11" t="s">
        <v>13648</v>
      </c>
      <c r="C6354" s="11" t="s">
        <v>17</v>
      </c>
      <c r="D6354" s="11" t="s">
        <v>18</v>
      </c>
      <c r="E6354" s="12" t="s">
        <v>266</v>
      </c>
      <c r="F6354" s="12" t="s">
        <v>267</v>
      </c>
      <c r="G6354" s="12" t="s">
        <v>21</v>
      </c>
      <c r="H6354" s="11" t="s">
        <v>22</v>
      </c>
      <c r="I6354" s="13" t="s">
        <v>13649</v>
      </c>
      <c r="J6354" s="14" t="str">
        <f>HYPERLINK("https://www.boe.es/gazeta/dias/1839/01/03/pdfs/GMD-1839-1510.pdf#page=4","Abrir facsímil")</f>
        <v>Abrir facsímil</v>
      </c>
      <c r="K6354" s="12" t="s">
        <v>24</v>
      </c>
    </row>
    <row r="6355" spans="1:11" ht="40.049999999999997" customHeight="1" x14ac:dyDescent="0.25">
      <c r="A6355" s="11" t="s">
        <v>13648</v>
      </c>
      <c r="B6355" s="11" t="s">
        <v>13648</v>
      </c>
      <c r="C6355" s="11" t="s">
        <v>80</v>
      </c>
      <c r="D6355" s="11" t="s">
        <v>18</v>
      </c>
      <c r="E6355" s="12" t="s">
        <v>160</v>
      </c>
      <c r="F6355" s="12" t="s">
        <v>161</v>
      </c>
      <c r="G6355" s="12" t="s">
        <v>21</v>
      </c>
      <c r="H6355" s="11" t="s">
        <v>22</v>
      </c>
      <c r="I6355" s="13" t="s">
        <v>13650</v>
      </c>
      <c r="J6355" s="14" t="str">
        <f>HYPERLINK("https://www.boe.es/gazeta/dias/1839/01/10/pdfs/GMD-1839-1517.pdf#page=4","Abrir facsímil")</f>
        <v>Abrir facsímil</v>
      </c>
      <c r="K6355" s="12" t="s">
        <v>24</v>
      </c>
    </row>
    <row r="6356" spans="1:11" ht="40.049999999999997" customHeight="1" x14ac:dyDescent="0.25">
      <c r="A6356" s="11" t="s">
        <v>13648</v>
      </c>
      <c r="B6356" s="11" t="s">
        <v>13648</v>
      </c>
      <c r="C6356" s="11" t="s">
        <v>80</v>
      </c>
      <c r="D6356" s="11" t="s">
        <v>18</v>
      </c>
      <c r="E6356" s="12" t="s">
        <v>2270</v>
      </c>
      <c r="F6356" s="12" t="s">
        <v>2271</v>
      </c>
      <c r="G6356" s="12" t="s">
        <v>21</v>
      </c>
      <c r="H6356" s="11" t="s">
        <v>22</v>
      </c>
      <c r="I6356" s="13" t="s">
        <v>13651</v>
      </c>
      <c r="J6356" s="14" t="str">
        <f>HYPERLINK("https://www.boe.es/gazeta/dias/1839/06/13/pdfs/GMD-1839-1671.pdf#page=4","Abrir facsímil")</f>
        <v>Abrir facsímil</v>
      </c>
      <c r="K6356" s="12" t="s">
        <v>24</v>
      </c>
    </row>
    <row r="6357" spans="1:11" ht="40.049999999999997" customHeight="1" x14ac:dyDescent="0.25">
      <c r="A6357" s="11" t="s">
        <v>13648</v>
      </c>
      <c r="B6357" s="11" t="s">
        <v>13648</v>
      </c>
      <c r="C6357" s="11" t="s">
        <v>59</v>
      </c>
      <c r="D6357" s="11" t="s">
        <v>60</v>
      </c>
      <c r="E6357" s="12" t="s">
        <v>1139</v>
      </c>
      <c r="F6357" s="12" t="s">
        <v>1140</v>
      </c>
      <c r="G6357" s="12" t="s">
        <v>21</v>
      </c>
      <c r="H6357" s="11" t="s">
        <v>22</v>
      </c>
      <c r="I6357" s="13" t="s">
        <v>13652</v>
      </c>
      <c r="J6357" s="14" t="str">
        <f>HYPERLINK("https://www.boe.es/gazeta/dias/1839/02/15/pdfs/GMD-1839-1553.pdf#page=4","Abrir facsímil")</f>
        <v>Abrir facsímil</v>
      </c>
      <c r="K6357" s="12" t="s">
        <v>24</v>
      </c>
    </row>
    <row r="6358" spans="1:11" ht="40.049999999999997" customHeight="1" x14ac:dyDescent="0.25">
      <c r="A6358" s="11" t="s">
        <v>13648</v>
      </c>
      <c r="B6358" s="11" t="s">
        <v>13648</v>
      </c>
      <c r="C6358" s="11" t="s">
        <v>17</v>
      </c>
      <c r="D6358" s="11" t="s">
        <v>18</v>
      </c>
      <c r="E6358" s="12" t="s">
        <v>148</v>
      </c>
      <c r="F6358" s="12" t="s">
        <v>149</v>
      </c>
      <c r="G6358" s="12" t="s">
        <v>21</v>
      </c>
      <c r="H6358" s="11" t="s">
        <v>22</v>
      </c>
      <c r="I6358" s="13" t="s">
        <v>13653</v>
      </c>
      <c r="J6358" s="14" t="str">
        <f>HYPERLINK("https://www.boe.es/gazeta/dias/1839/07/16/pdfs/GMD-1839-1704.pdf#page=4","Abrir facsímil")</f>
        <v>Abrir facsímil</v>
      </c>
      <c r="K6358" s="12" t="s">
        <v>24</v>
      </c>
    </row>
    <row r="6359" spans="1:11" ht="40.049999999999997" customHeight="1" x14ac:dyDescent="0.25">
      <c r="A6359" s="11" t="s">
        <v>13648</v>
      </c>
      <c r="B6359" s="11" t="s">
        <v>13648</v>
      </c>
      <c r="C6359" s="11" t="s">
        <v>80</v>
      </c>
      <c r="D6359" s="11" t="s">
        <v>18</v>
      </c>
      <c r="E6359" s="12" t="s">
        <v>280</v>
      </c>
      <c r="F6359" s="12" t="s">
        <v>281</v>
      </c>
      <c r="G6359" s="12" t="s">
        <v>21</v>
      </c>
      <c r="H6359" s="11" t="s">
        <v>22</v>
      </c>
      <c r="I6359" s="13" t="s">
        <v>13654</v>
      </c>
      <c r="J6359" s="14" t="str">
        <f>HYPERLINK("https://www.boe.es/gazeta/dias/1839/08/21/pdfs/GMD-1839-1742.pdf#page=4","Abrir facsímil")</f>
        <v>Abrir facsímil</v>
      </c>
      <c r="K6359" s="12" t="s">
        <v>24</v>
      </c>
    </row>
    <row r="6360" spans="1:11" ht="40.049999999999997" customHeight="1" x14ac:dyDescent="0.25">
      <c r="A6360" s="11" t="s">
        <v>13648</v>
      </c>
      <c r="B6360" s="11" t="s">
        <v>13648</v>
      </c>
      <c r="C6360" s="11" t="s">
        <v>17</v>
      </c>
      <c r="D6360" s="11" t="s">
        <v>18</v>
      </c>
      <c r="E6360" s="12" t="s">
        <v>243</v>
      </c>
      <c r="F6360" s="12" t="s">
        <v>244</v>
      </c>
      <c r="G6360" s="12" t="s">
        <v>29</v>
      </c>
      <c r="H6360" s="11" t="s">
        <v>22</v>
      </c>
      <c r="I6360" s="13" t="s">
        <v>13655</v>
      </c>
      <c r="J6360" s="14" t="str">
        <f>HYPERLINK("https://www.boe.es/gazeta/dias/1839/09/23/pdfs/GMD-1839-1779.pdf#page=1","Abrir facsímil")</f>
        <v>Abrir facsímil</v>
      </c>
      <c r="K6360" s="12" t="s">
        <v>24</v>
      </c>
    </row>
    <row r="6361" spans="1:11" ht="40.049999999999997" customHeight="1" x14ac:dyDescent="0.25">
      <c r="A6361" s="11" t="s">
        <v>13656</v>
      </c>
      <c r="B6361" s="11" t="s">
        <v>13656</v>
      </c>
      <c r="C6361" s="11" t="s">
        <v>17</v>
      </c>
      <c r="D6361" s="11" t="s">
        <v>18</v>
      </c>
      <c r="E6361" s="12" t="s">
        <v>2440</v>
      </c>
      <c r="F6361" s="12" t="s">
        <v>2441</v>
      </c>
      <c r="G6361" s="12" t="s">
        <v>21</v>
      </c>
      <c r="H6361" s="11" t="s">
        <v>22</v>
      </c>
      <c r="I6361" s="13" t="s">
        <v>13657</v>
      </c>
      <c r="J6361" s="14" t="str">
        <f>HYPERLINK("https://www.boe.es/gazeta/dias/1839/12/01/pdfs/GMD-1839-1848.pdf#page=4","Abrir facsímil")</f>
        <v>Abrir facsímil</v>
      </c>
      <c r="K6361" s="12" t="s">
        <v>24</v>
      </c>
    </row>
    <row r="6362" spans="1:11" ht="40.049999999999997" customHeight="1" x14ac:dyDescent="0.25">
      <c r="A6362" s="11" t="s">
        <v>13656</v>
      </c>
      <c r="B6362" s="11" t="s">
        <v>13656</v>
      </c>
      <c r="C6362" s="11" t="s">
        <v>80</v>
      </c>
      <c r="D6362" s="11" t="s">
        <v>18</v>
      </c>
      <c r="E6362" s="12" t="s">
        <v>132</v>
      </c>
      <c r="F6362" s="12" t="s">
        <v>133</v>
      </c>
      <c r="G6362" s="12" t="s">
        <v>21</v>
      </c>
      <c r="H6362" s="11" t="s">
        <v>22</v>
      </c>
      <c r="I6362" s="13" t="s">
        <v>13658</v>
      </c>
      <c r="J6362" s="14" t="str">
        <f>HYPERLINK("https://www.boe.es/gazeta/dias/1839/08/02/pdfs/GMD-1839-1722.pdf#page=4","Abrir facsímil")</f>
        <v>Abrir facsímil</v>
      </c>
      <c r="K6362" s="12" t="s">
        <v>24</v>
      </c>
    </row>
    <row r="6363" spans="1:11" ht="40.049999999999997" customHeight="1" x14ac:dyDescent="0.25">
      <c r="A6363" s="11" t="s">
        <v>13656</v>
      </c>
      <c r="B6363" s="11" t="s">
        <v>13656</v>
      </c>
      <c r="C6363" s="11" t="s">
        <v>17</v>
      </c>
      <c r="D6363" s="11" t="s">
        <v>18</v>
      </c>
      <c r="E6363" s="12" t="s">
        <v>360</v>
      </c>
      <c r="F6363" s="12" t="s">
        <v>361</v>
      </c>
      <c r="G6363" s="12" t="s">
        <v>21</v>
      </c>
      <c r="H6363" s="11" t="s">
        <v>22</v>
      </c>
      <c r="I6363" s="13" t="s">
        <v>13659</v>
      </c>
      <c r="J6363" s="14" t="str">
        <f>HYPERLINK("https://www.boe.es/gazeta/dias/1839/08/22/pdfs/GMD-1839-1743.pdf#page=4","Abrir facsímil")</f>
        <v>Abrir facsímil</v>
      </c>
      <c r="K6363" s="12" t="s">
        <v>24</v>
      </c>
    </row>
    <row r="6364" spans="1:11" ht="40.049999999999997" customHeight="1" x14ac:dyDescent="0.25">
      <c r="A6364" s="11" t="s">
        <v>13656</v>
      </c>
      <c r="B6364" s="11" t="s">
        <v>13656</v>
      </c>
      <c r="C6364" s="11" t="s">
        <v>80</v>
      </c>
      <c r="D6364" s="11" t="s">
        <v>18</v>
      </c>
      <c r="E6364" s="12" t="s">
        <v>2117</v>
      </c>
      <c r="F6364" s="12" t="s">
        <v>2118</v>
      </c>
      <c r="G6364" s="12" t="s">
        <v>21</v>
      </c>
      <c r="H6364" s="11" t="s">
        <v>22</v>
      </c>
      <c r="I6364" s="13" t="s">
        <v>13660</v>
      </c>
      <c r="J6364" s="14" t="str">
        <f>HYPERLINK("https://www.boe.es/gazeta/dias/1839/06/23/pdfs/GMD-1839-1681.pdf#page=4","Abrir facsímil")</f>
        <v>Abrir facsímil</v>
      </c>
      <c r="K6364" s="12" t="s">
        <v>24</v>
      </c>
    </row>
    <row r="6365" spans="1:11" ht="40.049999999999997" customHeight="1" x14ac:dyDescent="0.25">
      <c r="A6365" s="11" t="s">
        <v>13661</v>
      </c>
      <c r="B6365" s="11" t="s">
        <v>13661</v>
      </c>
      <c r="C6365" s="11" t="s">
        <v>17</v>
      </c>
      <c r="D6365" s="11" t="s">
        <v>18</v>
      </c>
      <c r="E6365" s="12" t="s">
        <v>1772</v>
      </c>
      <c r="F6365" s="12" t="s">
        <v>1773</v>
      </c>
      <c r="G6365" s="12" t="s">
        <v>21</v>
      </c>
      <c r="H6365" s="11" t="s">
        <v>22</v>
      </c>
      <c r="I6365" s="13" t="s">
        <v>13662</v>
      </c>
      <c r="J6365" s="14" t="str">
        <f>HYPERLINK("https://www.boe.es/gazeta/dias/1839/05/07/pdfs/GMD-1839-1634.pdf#page=4","Abrir facsímil")</f>
        <v>Abrir facsímil</v>
      </c>
      <c r="K6365" s="12" t="s">
        <v>24</v>
      </c>
    </row>
    <row r="6366" spans="1:11" ht="40.049999999999997" customHeight="1" x14ac:dyDescent="0.25">
      <c r="A6366" s="11" t="s">
        <v>13661</v>
      </c>
      <c r="B6366" s="11" t="s">
        <v>13661</v>
      </c>
      <c r="C6366" s="11" t="s">
        <v>17</v>
      </c>
      <c r="D6366" s="11" t="s">
        <v>18</v>
      </c>
      <c r="E6366" s="12" t="s">
        <v>2482</v>
      </c>
      <c r="F6366" s="12" t="s">
        <v>2483</v>
      </c>
      <c r="G6366" s="12" t="s">
        <v>21</v>
      </c>
      <c r="H6366" s="11" t="s">
        <v>22</v>
      </c>
      <c r="I6366" s="13" t="s">
        <v>13663</v>
      </c>
      <c r="J6366" s="14" t="str">
        <f>HYPERLINK("https://www.boe.es/gazeta/dias/1839/07/07/pdfs/GMD-1839-1695.pdf#page=4","Abrir facsímil")</f>
        <v>Abrir facsímil</v>
      </c>
      <c r="K6366" s="12" t="s">
        <v>24</v>
      </c>
    </row>
    <row r="6367" spans="1:11" ht="40.049999999999997" customHeight="1" x14ac:dyDescent="0.25">
      <c r="A6367" s="11" t="s">
        <v>13661</v>
      </c>
      <c r="B6367" s="11" t="s">
        <v>13661</v>
      </c>
      <c r="C6367" s="11" t="s">
        <v>80</v>
      </c>
      <c r="D6367" s="11" t="s">
        <v>173</v>
      </c>
      <c r="E6367" s="12" t="s">
        <v>68</v>
      </c>
      <c r="F6367" s="12" t="s">
        <v>69</v>
      </c>
      <c r="G6367" s="12" t="s">
        <v>21</v>
      </c>
      <c r="H6367" s="11" t="s">
        <v>22</v>
      </c>
      <c r="I6367" s="13" t="s">
        <v>13664</v>
      </c>
      <c r="J6367" s="14" t="str">
        <f>HYPERLINK("https://www.boe.es/gazeta/dias/1839/02/09/pdfs/GMD-1839-1547.pdf#page=4","Abrir facsímil")</f>
        <v>Abrir facsímil</v>
      </c>
      <c r="K6367" s="12" t="s">
        <v>24</v>
      </c>
    </row>
    <row r="6368" spans="1:11" ht="40.049999999999997" customHeight="1" x14ac:dyDescent="0.25">
      <c r="A6368" s="11" t="s">
        <v>13661</v>
      </c>
      <c r="B6368" s="11" t="s">
        <v>13661</v>
      </c>
      <c r="C6368" s="11" t="s">
        <v>137</v>
      </c>
      <c r="D6368" s="11" t="s">
        <v>18</v>
      </c>
      <c r="E6368" s="12" t="s">
        <v>4189</v>
      </c>
      <c r="F6368" s="12" t="s">
        <v>4190</v>
      </c>
      <c r="G6368" s="12" t="s">
        <v>46</v>
      </c>
      <c r="H6368" s="11" t="s">
        <v>22</v>
      </c>
      <c r="I6368" s="13" t="s">
        <v>13665</v>
      </c>
      <c r="J6368" s="14" t="str">
        <f>HYPERLINK("https://www.boe.es/gazeta/dias/1839/02/13/pdfs/GMD-1839-1551.pdf#page=3","Abrir facsímil")</f>
        <v>Abrir facsímil</v>
      </c>
      <c r="K6368" s="12" t="s">
        <v>24</v>
      </c>
    </row>
    <row r="6369" spans="1:11" ht="40.049999999999997" customHeight="1" x14ac:dyDescent="0.25">
      <c r="A6369" s="11" t="s">
        <v>13661</v>
      </c>
      <c r="B6369" s="11" t="s">
        <v>13661</v>
      </c>
      <c r="C6369" s="11" t="s">
        <v>80</v>
      </c>
      <c r="D6369" s="11" t="s">
        <v>18</v>
      </c>
      <c r="E6369" s="12" t="s">
        <v>469</v>
      </c>
      <c r="F6369" s="12" t="s">
        <v>470</v>
      </c>
      <c r="G6369" s="12" t="s">
        <v>21</v>
      </c>
      <c r="H6369" s="11" t="s">
        <v>22</v>
      </c>
      <c r="I6369" s="13" t="s">
        <v>13666</v>
      </c>
      <c r="J6369" s="14" t="str">
        <f>HYPERLINK("https://www.boe.es/gazeta/dias/1839/08/20/pdfs/GMD-1839-1741.pdf#page=4","Abrir facsímil")</f>
        <v>Abrir facsímil</v>
      </c>
      <c r="K6369" s="12" t="s">
        <v>24</v>
      </c>
    </row>
    <row r="6370" spans="1:11" ht="40.049999999999997" customHeight="1" x14ac:dyDescent="0.25">
      <c r="A6370" s="11" t="s">
        <v>13661</v>
      </c>
      <c r="B6370" s="11" t="s">
        <v>13661</v>
      </c>
      <c r="C6370" s="11" t="s">
        <v>80</v>
      </c>
      <c r="D6370" s="11" t="s">
        <v>18</v>
      </c>
      <c r="E6370" s="12" t="s">
        <v>611</v>
      </c>
      <c r="F6370" s="12" t="s">
        <v>612</v>
      </c>
      <c r="G6370" s="12" t="s">
        <v>21</v>
      </c>
      <c r="H6370" s="11" t="s">
        <v>22</v>
      </c>
      <c r="I6370" s="13" t="s">
        <v>13667</v>
      </c>
      <c r="J6370" s="14" t="str">
        <f>HYPERLINK("https://www.boe.es/gazeta/dias/1839/07/22/pdfs/GMD-1839-1710.pdf#page=4","Abrir facsímil")</f>
        <v>Abrir facsímil</v>
      </c>
      <c r="K6370" s="12" t="s">
        <v>24</v>
      </c>
    </row>
    <row r="6371" spans="1:11" ht="40.049999999999997" customHeight="1" x14ac:dyDescent="0.25">
      <c r="A6371" s="11" t="s">
        <v>13661</v>
      </c>
      <c r="B6371" s="11" t="s">
        <v>13661</v>
      </c>
      <c r="C6371" s="11" t="s">
        <v>80</v>
      </c>
      <c r="D6371" s="11" t="s">
        <v>18</v>
      </c>
      <c r="E6371" s="12" t="s">
        <v>2415</v>
      </c>
      <c r="F6371" s="12" t="s">
        <v>2416</v>
      </c>
      <c r="G6371" s="12" t="s">
        <v>21</v>
      </c>
      <c r="H6371" s="11" t="s">
        <v>22</v>
      </c>
      <c r="I6371" s="13" t="s">
        <v>13668</v>
      </c>
      <c r="J6371" s="14" t="str">
        <f>HYPERLINK("https://www.boe.es/gazeta/dias/1839/12/22/pdfs/GMD-1839-1869.pdf#page=4","Abrir facsímil")</f>
        <v>Abrir facsímil</v>
      </c>
      <c r="K6371" s="12" t="s">
        <v>24</v>
      </c>
    </row>
    <row r="6372" spans="1:11" ht="40.049999999999997" customHeight="1" x14ac:dyDescent="0.25">
      <c r="A6372" s="11" t="s">
        <v>13661</v>
      </c>
      <c r="B6372" s="11" t="s">
        <v>13661</v>
      </c>
      <c r="C6372" s="11" t="s">
        <v>80</v>
      </c>
      <c r="D6372" s="11" t="s">
        <v>18</v>
      </c>
      <c r="E6372" s="12" t="s">
        <v>89</v>
      </c>
      <c r="F6372" s="12" t="s">
        <v>90</v>
      </c>
      <c r="G6372" s="12" t="s">
        <v>21</v>
      </c>
      <c r="H6372" s="11" t="s">
        <v>22</v>
      </c>
      <c r="I6372" s="13" t="s">
        <v>13669</v>
      </c>
      <c r="J6372" s="14" t="str">
        <f>HYPERLINK("https://www.boe.es/gazeta/dias/1839/11/28/pdfs/GMD-1839-1845.pdf#page=4","Abrir facsímil")</f>
        <v>Abrir facsímil</v>
      </c>
      <c r="K6372" s="12" t="s">
        <v>24</v>
      </c>
    </row>
    <row r="6373" spans="1:11" ht="40.049999999999997" customHeight="1" x14ac:dyDescent="0.25">
      <c r="A6373" s="11" t="s">
        <v>13661</v>
      </c>
      <c r="B6373" s="11" t="s">
        <v>13661</v>
      </c>
      <c r="C6373" s="11" t="s">
        <v>59</v>
      </c>
      <c r="D6373" s="11" t="s">
        <v>60</v>
      </c>
      <c r="E6373" s="12" t="s">
        <v>1692</v>
      </c>
      <c r="F6373" s="12" t="s">
        <v>1693</v>
      </c>
      <c r="G6373" s="12" t="s">
        <v>21</v>
      </c>
      <c r="H6373" s="11" t="s">
        <v>22</v>
      </c>
      <c r="I6373" s="13" t="s">
        <v>13670</v>
      </c>
      <c r="J6373" s="14" t="str">
        <f>HYPERLINK("https://www.boe.es/gazeta/dias/1839/05/30/pdfs/GMD-1839-1657.pdf#page=4","Abrir facsímil")</f>
        <v>Abrir facsímil</v>
      </c>
      <c r="K6373" s="12" t="s">
        <v>24</v>
      </c>
    </row>
    <row r="6374" spans="1:11" ht="40.049999999999997" customHeight="1" x14ac:dyDescent="0.25">
      <c r="A6374" s="11" t="s">
        <v>13661</v>
      </c>
      <c r="B6374" s="11" t="s">
        <v>13661</v>
      </c>
      <c r="C6374" s="11" t="s">
        <v>17</v>
      </c>
      <c r="D6374" s="11" t="s">
        <v>18</v>
      </c>
      <c r="E6374" s="12" t="s">
        <v>907</v>
      </c>
      <c r="F6374" s="12" t="s">
        <v>908</v>
      </c>
      <c r="G6374" s="12" t="s">
        <v>46</v>
      </c>
      <c r="H6374" s="11" t="s">
        <v>22</v>
      </c>
      <c r="I6374" s="13" t="s">
        <v>13671</v>
      </c>
      <c r="J6374" s="14" t="str">
        <f>HYPERLINK("https://www.boe.es/gazeta/dias/1839/07/31/pdfs/GMD-1839-1720.pdf#page=3","Abrir facsímil")</f>
        <v>Abrir facsímil</v>
      </c>
      <c r="K6374" s="12" t="s">
        <v>24</v>
      </c>
    </row>
    <row r="6375" spans="1:11" ht="40.049999999999997" customHeight="1" x14ac:dyDescent="0.25">
      <c r="A6375" s="11" t="s">
        <v>13672</v>
      </c>
      <c r="B6375" s="11" t="s">
        <v>13672</v>
      </c>
      <c r="C6375" s="11" t="s">
        <v>17</v>
      </c>
      <c r="D6375" s="11" t="s">
        <v>18</v>
      </c>
      <c r="E6375" s="12" t="s">
        <v>1460</v>
      </c>
      <c r="F6375" s="12" t="s">
        <v>1461</v>
      </c>
      <c r="G6375" s="12" t="s">
        <v>21</v>
      </c>
      <c r="H6375" s="11" t="s">
        <v>22</v>
      </c>
      <c r="I6375" s="13" t="s">
        <v>13673</v>
      </c>
      <c r="J6375" s="14" t="str">
        <f>HYPERLINK("https://www.boe.es/gazeta/dias/1839/03/01/pdfs/GMD-1839-1567.pdf#page=4","Abrir facsímil")</f>
        <v>Abrir facsímil</v>
      </c>
      <c r="K6375" s="12" t="s">
        <v>24</v>
      </c>
    </row>
    <row r="6376" spans="1:11" ht="40.049999999999997" customHeight="1" x14ac:dyDescent="0.25">
      <c r="A6376" s="11" t="s">
        <v>13672</v>
      </c>
      <c r="B6376" s="11" t="s">
        <v>13672</v>
      </c>
      <c r="C6376" s="11" t="s">
        <v>17</v>
      </c>
      <c r="D6376" s="11" t="s">
        <v>18</v>
      </c>
      <c r="E6376" s="12" t="s">
        <v>1606</v>
      </c>
      <c r="F6376" s="12" t="s">
        <v>1607</v>
      </c>
      <c r="G6376" s="12" t="s">
        <v>21</v>
      </c>
      <c r="H6376" s="11" t="s">
        <v>22</v>
      </c>
      <c r="I6376" s="13" t="s">
        <v>13674</v>
      </c>
      <c r="J6376" s="14" t="str">
        <f>HYPERLINK("https://www.boe.es/gazeta/dias/1839/07/02/pdfs/GMD-1839-1690.pdf#page=4","Abrir facsímil")</f>
        <v>Abrir facsímil</v>
      </c>
      <c r="K6376" s="12" t="s">
        <v>24</v>
      </c>
    </row>
    <row r="6377" spans="1:11" ht="40.049999999999997" customHeight="1" x14ac:dyDescent="0.25">
      <c r="A6377" s="11" t="s">
        <v>13672</v>
      </c>
      <c r="B6377" s="11" t="s">
        <v>13672</v>
      </c>
      <c r="C6377" s="11" t="s">
        <v>80</v>
      </c>
      <c r="D6377" s="11" t="s">
        <v>18</v>
      </c>
      <c r="E6377" s="12" t="s">
        <v>779</v>
      </c>
      <c r="F6377" s="12" t="s">
        <v>780</v>
      </c>
      <c r="G6377" s="12" t="s">
        <v>21</v>
      </c>
      <c r="H6377" s="11" t="s">
        <v>22</v>
      </c>
      <c r="I6377" s="13" t="s">
        <v>13675</v>
      </c>
      <c r="J6377" s="14" t="str">
        <f>HYPERLINK("https://www.boe.es/gazeta/dias/1839/02/03/pdfs/GMD-1839-1541.pdf#page=4","Abrir facsímil")</f>
        <v>Abrir facsímil</v>
      </c>
      <c r="K6377" s="12" t="s">
        <v>24</v>
      </c>
    </row>
    <row r="6378" spans="1:11" ht="40.049999999999997" customHeight="1" x14ac:dyDescent="0.25">
      <c r="A6378" s="11" t="s">
        <v>13672</v>
      </c>
      <c r="B6378" s="11" t="s">
        <v>13672</v>
      </c>
      <c r="C6378" s="11" t="s">
        <v>17</v>
      </c>
      <c r="D6378" s="11" t="s">
        <v>18</v>
      </c>
      <c r="E6378" s="12" t="s">
        <v>81</v>
      </c>
      <c r="F6378" s="12" t="s">
        <v>82</v>
      </c>
      <c r="G6378" s="12" t="s">
        <v>21</v>
      </c>
      <c r="H6378" s="11" t="s">
        <v>22</v>
      </c>
      <c r="I6378" s="13" t="s">
        <v>13676</v>
      </c>
      <c r="J6378" s="14" t="str">
        <f>HYPERLINK("https://www.boe.es/gazeta/dias/1839/03/03/pdfs/GMD-1839-1569.pdf#page=4","Abrir facsímil")</f>
        <v>Abrir facsímil</v>
      </c>
      <c r="K6378" s="12" t="s">
        <v>24</v>
      </c>
    </row>
    <row r="6379" spans="1:11" ht="40.049999999999997" customHeight="1" x14ac:dyDescent="0.25">
      <c r="A6379" s="11" t="s">
        <v>13672</v>
      </c>
      <c r="B6379" s="11" t="s">
        <v>13672</v>
      </c>
      <c r="C6379" s="11" t="s">
        <v>80</v>
      </c>
      <c r="D6379" s="11" t="s">
        <v>18</v>
      </c>
      <c r="E6379" s="12" t="s">
        <v>3224</v>
      </c>
      <c r="F6379" s="12" t="s">
        <v>3225</v>
      </c>
      <c r="G6379" s="12" t="s">
        <v>21</v>
      </c>
      <c r="H6379" s="11" t="s">
        <v>22</v>
      </c>
      <c r="I6379" s="13" t="s">
        <v>13677</v>
      </c>
      <c r="J6379" s="14" t="str">
        <f>HYPERLINK("https://www.boe.es/gazeta/dias/1839/06/03/pdfs/GMD-1839-1661.pdf#page=4","Abrir facsímil")</f>
        <v>Abrir facsímil</v>
      </c>
      <c r="K6379" s="12" t="s">
        <v>24</v>
      </c>
    </row>
    <row r="6380" spans="1:11" ht="40.049999999999997" customHeight="1" x14ac:dyDescent="0.25">
      <c r="A6380" s="11" t="s">
        <v>13672</v>
      </c>
      <c r="B6380" s="11" t="s">
        <v>13672</v>
      </c>
      <c r="C6380" s="11" t="s">
        <v>137</v>
      </c>
      <c r="D6380" s="11" t="s">
        <v>18</v>
      </c>
      <c r="E6380" s="12" t="s">
        <v>4472</v>
      </c>
      <c r="F6380" s="12" t="s">
        <v>4473</v>
      </c>
      <c r="G6380" s="12" t="s">
        <v>21</v>
      </c>
      <c r="H6380" s="11" t="s">
        <v>22</v>
      </c>
      <c r="I6380" s="13" t="s">
        <v>13678</v>
      </c>
      <c r="J6380" s="14" t="str">
        <f>HYPERLINK("https://www.boe.es/gazeta/dias/1839/08/03/pdfs/GMD-1839-1723.pdf#page=4","Abrir facsímil")</f>
        <v>Abrir facsímil</v>
      </c>
      <c r="K6380" s="12" t="s">
        <v>24</v>
      </c>
    </row>
    <row r="6381" spans="1:11" ht="40.049999999999997" customHeight="1" x14ac:dyDescent="0.25">
      <c r="A6381" s="11" t="s">
        <v>13672</v>
      </c>
      <c r="B6381" s="11" t="s">
        <v>13672</v>
      </c>
      <c r="C6381" s="11" t="s">
        <v>17</v>
      </c>
      <c r="D6381" s="11" t="s">
        <v>43</v>
      </c>
      <c r="E6381" s="12" t="s">
        <v>883</v>
      </c>
      <c r="F6381" s="12" t="s">
        <v>884</v>
      </c>
      <c r="G6381" s="12" t="s">
        <v>46</v>
      </c>
      <c r="H6381" s="11" t="s">
        <v>22</v>
      </c>
      <c r="I6381" s="13" t="s">
        <v>13679</v>
      </c>
      <c r="J6381" s="14" t="str">
        <f>HYPERLINK("https://www.boe.es/gazeta/dias/1839/11/03/pdfs/GMD-1839-1820.pdf#page=3","Abrir facsímil")</f>
        <v>Abrir facsímil</v>
      </c>
      <c r="K6381" s="12" t="s">
        <v>24</v>
      </c>
    </row>
    <row r="6382" spans="1:11" ht="40.049999999999997" customHeight="1" x14ac:dyDescent="0.25">
      <c r="A6382" s="11" t="s">
        <v>13672</v>
      </c>
      <c r="B6382" s="11" t="s">
        <v>13672</v>
      </c>
      <c r="C6382" s="11" t="s">
        <v>17</v>
      </c>
      <c r="D6382" s="11" t="s">
        <v>18</v>
      </c>
      <c r="E6382" s="12" t="s">
        <v>1332</v>
      </c>
      <c r="F6382" s="12" t="s">
        <v>1333</v>
      </c>
      <c r="G6382" s="12" t="s">
        <v>21</v>
      </c>
      <c r="H6382" s="11" t="s">
        <v>22</v>
      </c>
      <c r="I6382" s="13" t="s">
        <v>13680</v>
      </c>
      <c r="J6382" s="14" t="str">
        <f>HYPERLINK("https://www.boe.es/gazeta/dias/1839/05/04/pdfs/GMD-1839-1631.pdf#page=4","Abrir facsímil")</f>
        <v>Abrir facsímil</v>
      </c>
      <c r="K6382" s="12" t="s">
        <v>24</v>
      </c>
    </row>
    <row r="6383" spans="1:11" ht="40.049999999999997" customHeight="1" x14ac:dyDescent="0.25">
      <c r="A6383" s="11" t="s">
        <v>13672</v>
      </c>
      <c r="B6383" s="11" t="s">
        <v>13672</v>
      </c>
      <c r="C6383" s="11" t="s">
        <v>80</v>
      </c>
      <c r="D6383" s="11" t="s">
        <v>18</v>
      </c>
      <c r="E6383" s="12" t="s">
        <v>848</v>
      </c>
      <c r="F6383" s="12" t="s">
        <v>849</v>
      </c>
      <c r="G6383" s="12" t="s">
        <v>21</v>
      </c>
      <c r="H6383" s="11" t="s">
        <v>22</v>
      </c>
      <c r="I6383" s="13" t="s">
        <v>13681</v>
      </c>
      <c r="J6383" s="14" t="str">
        <f>HYPERLINK("https://www.boe.es/gazeta/dias/1839/08/04/pdfs/GMD-1839-1724.pdf#page=4","Abrir facsímil")</f>
        <v>Abrir facsímil</v>
      </c>
      <c r="K6383" s="12" t="s">
        <v>24</v>
      </c>
    </row>
    <row r="6384" spans="1:11" ht="40.049999999999997" customHeight="1" x14ac:dyDescent="0.25">
      <c r="A6384" s="11" t="s">
        <v>13672</v>
      </c>
      <c r="B6384" s="11" t="s">
        <v>13672</v>
      </c>
      <c r="C6384" s="11" t="s">
        <v>80</v>
      </c>
      <c r="D6384" s="11" t="s">
        <v>18</v>
      </c>
      <c r="E6384" s="12" t="s">
        <v>291</v>
      </c>
      <c r="F6384" s="12" t="s">
        <v>292</v>
      </c>
      <c r="G6384" s="12" t="s">
        <v>21</v>
      </c>
      <c r="H6384" s="11" t="s">
        <v>22</v>
      </c>
      <c r="I6384" s="13" t="s">
        <v>13682</v>
      </c>
      <c r="J6384" s="14" t="str">
        <f>HYPERLINK("https://www.boe.es/gazeta/dias/1839/09/04/pdfs/GMD-1839-1757.pdf#page=4","Abrir facsímil")</f>
        <v>Abrir facsímil</v>
      </c>
      <c r="K6384" s="12" t="s">
        <v>24</v>
      </c>
    </row>
    <row r="6385" spans="1:11" ht="40.049999999999997" customHeight="1" x14ac:dyDescent="0.25">
      <c r="A6385" s="11" t="s">
        <v>13672</v>
      </c>
      <c r="B6385" s="11" t="s">
        <v>13672</v>
      </c>
      <c r="C6385" s="11" t="s">
        <v>17</v>
      </c>
      <c r="D6385" s="11" t="s">
        <v>18</v>
      </c>
      <c r="E6385" s="12" t="s">
        <v>49</v>
      </c>
      <c r="F6385" s="12" t="s">
        <v>50</v>
      </c>
      <c r="G6385" s="12" t="s">
        <v>21</v>
      </c>
      <c r="H6385" s="11" t="s">
        <v>22</v>
      </c>
      <c r="I6385" s="13" t="s">
        <v>13683</v>
      </c>
      <c r="J6385" s="14" t="str">
        <f>HYPERLINK("https://www.boe.es/gazeta/dias/1839/01/05/pdfs/GMD-1839-1512.pdf#page=4","Abrir facsímil")</f>
        <v>Abrir facsímil</v>
      </c>
      <c r="K6385" s="12" t="s">
        <v>24</v>
      </c>
    </row>
    <row r="6386" spans="1:11" ht="40.049999999999997" customHeight="1" x14ac:dyDescent="0.25">
      <c r="A6386" s="11" t="s">
        <v>13672</v>
      </c>
      <c r="B6386" s="11" t="s">
        <v>13672</v>
      </c>
      <c r="C6386" s="11" t="s">
        <v>17</v>
      </c>
      <c r="D6386" s="11" t="s">
        <v>18</v>
      </c>
      <c r="E6386" s="12" t="s">
        <v>751</v>
      </c>
      <c r="F6386" s="12" t="s">
        <v>752</v>
      </c>
      <c r="G6386" s="12" t="s">
        <v>21</v>
      </c>
      <c r="H6386" s="11" t="s">
        <v>22</v>
      </c>
      <c r="I6386" s="13" t="s">
        <v>13684</v>
      </c>
      <c r="J6386" s="14" t="str">
        <f>HYPERLINK("https://www.boe.es/gazeta/dias/1839/02/05/pdfs/GMD-1839-1543.pdf#page=4","Abrir facsímil")</f>
        <v>Abrir facsímil</v>
      </c>
      <c r="K6386" s="12" t="s">
        <v>24</v>
      </c>
    </row>
    <row r="6387" spans="1:11" ht="40.049999999999997" customHeight="1" x14ac:dyDescent="0.25">
      <c r="A6387" s="11" t="s">
        <v>13672</v>
      </c>
      <c r="B6387" s="11" t="s">
        <v>13672</v>
      </c>
      <c r="C6387" s="11" t="s">
        <v>17</v>
      </c>
      <c r="D6387" s="11" t="s">
        <v>43</v>
      </c>
      <c r="E6387" s="12" t="s">
        <v>1467</v>
      </c>
      <c r="F6387" s="12" t="s">
        <v>1468</v>
      </c>
      <c r="G6387" s="12" t="s">
        <v>21</v>
      </c>
      <c r="H6387" s="11" t="s">
        <v>22</v>
      </c>
      <c r="I6387" s="13" t="s">
        <v>13685</v>
      </c>
      <c r="J6387" s="14" t="str">
        <f>HYPERLINK("https://www.boe.es/gazeta/dias/1839/03/05/pdfs/GMD-1839-1571.pdf#page=4","Abrir facsímil")</f>
        <v>Abrir facsímil</v>
      </c>
      <c r="K6387" s="12" t="s">
        <v>24</v>
      </c>
    </row>
    <row r="6388" spans="1:11" ht="40.049999999999997" customHeight="1" x14ac:dyDescent="0.25">
      <c r="A6388" s="11" t="s">
        <v>13672</v>
      </c>
      <c r="B6388" s="11" t="s">
        <v>13672</v>
      </c>
      <c r="C6388" s="11" t="s">
        <v>80</v>
      </c>
      <c r="D6388" s="11" t="s">
        <v>18</v>
      </c>
      <c r="E6388" s="12" t="s">
        <v>2210</v>
      </c>
      <c r="F6388" s="12" t="s">
        <v>2211</v>
      </c>
      <c r="G6388" s="12" t="s">
        <v>21</v>
      </c>
      <c r="H6388" s="11" t="s">
        <v>22</v>
      </c>
      <c r="I6388" s="13" t="s">
        <v>13686</v>
      </c>
      <c r="J6388" s="14" t="str">
        <f>HYPERLINK("https://www.boe.es/gazeta/dias/1839/09/05/pdfs/GMD-1839-1758.pdf#page=4","Abrir facsímil")</f>
        <v>Abrir facsímil</v>
      </c>
      <c r="K6388" s="12" t="s">
        <v>24</v>
      </c>
    </row>
    <row r="6389" spans="1:11" ht="40.049999999999997" customHeight="1" x14ac:dyDescent="0.25">
      <c r="A6389" s="11" t="s">
        <v>13672</v>
      </c>
      <c r="B6389" s="11" t="s">
        <v>13672</v>
      </c>
      <c r="C6389" s="11" t="s">
        <v>17</v>
      </c>
      <c r="D6389" s="11" t="s">
        <v>18</v>
      </c>
      <c r="E6389" s="12" t="s">
        <v>54</v>
      </c>
      <c r="F6389" s="12" t="s">
        <v>55</v>
      </c>
      <c r="G6389" s="12" t="s">
        <v>305</v>
      </c>
      <c r="H6389" s="11" t="s">
        <v>22</v>
      </c>
      <c r="I6389" s="13" t="s">
        <v>13687</v>
      </c>
      <c r="J6389" s="14" t="str">
        <f>HYPERLINK("https://www.boe.es/gazeta/dias/1839/10/05/pdfs/GMD-1839-1791.pdf#page=6","Abrir facsímil")</f>
        <v>Abrir facsímil</v>
      </c>
      <c r="K6389" s="12" t="s">
        <v>24</v>
      </c>
    </row>
    <row r="6390" spans="1:11" ht="40.049999999999997" customHeight="1" x14ac:dyDescent="0.25">
      <c r="A6390" s="11" t="s">
        <v>13672</v>
      </c>
      <c r="B6390" s="11" t="s">
        <v>13672</v>
      </c>
      <c r="C6390" s="11" t="s">
        <v>17</v>
      </c>
      <c r="D6390" s="11" t="s">
        <v>18</v>
      </c>
      <c r="E6390" s="12" t="s">
        <v>4921</v>
      </c>
      <c r="F6390" s="12" t="s">
        <v>4922</v>
      </c>
      <c r="G6390" s="12" t="s">
        <v>21</v>
      </c>
      <c r="H6390" s="11" t="s">
        <v>22</v>
      </c>
      <c r="I6390" s="13" t="s">
        <v>13688</v>
      </c>
      <c r="J6390" s="14" t="str">
        <f>HYPERLINK("https://www.boe.es/gazeta/dias/1839/11/05/pdfs/GMD-1839-1822.pdf#page=4","Abrir facsímil")</f>
        <v>Abrir facsímil</v>
      </c>
      <c r="K6390" s="12" t="s">
        <v>24</v>
      </c>
    </row>
    <row r="6391" spans="1:11" ht="40.049999999999997" customHeight="1" x14ac:dyDescent="0.25">
      <c r="A6391" s="11" t="s">
        <v>13672</v>
      </c>
      <c r="B6391" s="11" t="s">
        <v>13672</v>
      </c>
      <c r="C6391" s="11" t="s">
        <v>17</v>
      </c>
      <c r="D6391" s="11" t="s">
        <v>18</v>
      </c>
      <c r="E6391" s="12" t="s">
        <v>2165</v>
      </c>
      <c r="F6391" s="12" t="s">
        <v>2166</v>
      </c>
      <c r="G6391" s="12" t="s">
        <v>21</v>
      </c>
      <c r="H6391" s="11" t="s">
        <v>22</v>
      </c>
      <c r="I6391" s="13" t="s">
        <v>13689</v>
      </c>
      <c r="J6391" s="14" t="str">
        <f>HYPERLINK("https://www.boe.es/gazeta/dias/1839/01/06/pdfs/GMD-1839-1513.pdf#page=4","Abrir facsímil")</f>
        <v>Abrir facsímil</v>
      </c>
      <c r="K6391" s="12" t="s">
        <v>24</v>
      </c>
    </row>
    <row r="6392" spans="1:11" ht="40.049999999999997" customHeight="1" x14ac:dyDescent="0.25">
      <c r="A6392" s="11" t="s">
        <v>13672</v>
      </c>
      <c r="B6392" s="11" t="s">
        <v>13672</v>
      </c>
      <c r="C6392" s="11" t="s">
        <v>17</v>
      </c>
      <c r="D6392" s="11" t="s">
        <v>18</v>
      </c>
      <c r="E6392" s="12" t="s">
        <v>3566</v>
      </c>
      <c r="F6392" s="12" t="s">
        <v>3567</v>
      </c>
      <c r="G6392" s="12" t="s">
        <v>21</v>
      </c>
      <c r="H6392" s="11" t="s">
        <v>22</v>
      </c>
      <c r="I6392" s="13" t="s">
        <v>13690</v>
      </c>
      <c r="J6392" s="14" t="str">
        <f>HYPERLINK("https://www.boe.es/gazeta/dias/1839/07/06/pdfs/GMD-1839-1694.pdf#page=4","Abrir facsímil")</f>
        <v>Abrir facsímil</v>
      </c>
      <c r="K6392" s="12" t="s">
        <v>24</v>
      </c>
    </row>
    <row r="6393" spans="1:11" ht="40.049999999999997" customHeight="1" x14ac:dyDescent="0.25">
      <c r="A6393" s="11" t="s">
        <v>13672</v>
      </c>
      <c r="B6393" s="11" t="s">
        <v>13672</v>
      </c>
      <c r="C6393" s="11" t="s">
        <v>80</v>
      </c>
      <c r="D6393" s="11" t="s">
        <v>18</v>
      </c>
      <c r="E6393" s="12" t="s">
        <v>2738</v>
      </c>
      <c r="F6393" s="12" t="s">
        <v>2739</v>
      </c>
      <c r="G6393" s="12" t="s">
        <v>21</v>
      </c>
      <c r="H6393" s="11" t="s">
        <v>22</v>
      </c>
      <c r="I6393" s="13" t="s">
        <v>13691</v>
      </c>
      <c r="J6393" s="14" t="str">
        <f>HYPERLINK("https://www.boe.es/gazeta/dias/1839/09/06/pdfs/GMD-1839-1759.pdf#page=4","Abrir facsímil")</f>
        <v>Abrir facsímil</v>
      </c>
      <c r="K6393" s="12" t="s">
        <v>24</v>
      </c>
    </row>
    <row r="6394" spans="1:11" ht="40.049999999999997" customHeight="1" x14ac:dyDescent="0.25">
      <c r="A6394" s="11" t="s">
        <v>13672</v>
      </c>
      <c r="B6394" s="11" t="s">
        <v>13672</v>
      </c>
      <c r="C6394" s="11" t="s">
        <v>17</v>
      </c>
      <c r="D6394" s="11" t="s">
        <v>18</v>
      </c>
      <c r="E6394" s="12" t="s">
        <v>4044</v>
      </c>
      <c r="F6394" s="12" t="s">
        <v>4045</v>
      </c>
      <c r="G6394" s="12" t="s">
        <v>46</v>
      </c>
      <c r="H6394" s="11" t="s">
        <v>22</v>
      </c>
      <c r="I6394" s="13" t="s">
        <v>13692</v>
      </c>
      <c r="J6394" s="14" t="str">
        <f>HYPERLINK("https://www.boe.es/gazeta/dias/1839/01/07/pdfs/GMD-1839-1514.pdf#page=3","Abrir facsímil")</f>
        <v>Abrir facsímil</v>
      </c>
      <c r="K6394" s="12" t="s">
        <v>24</v>
      </c>
    </row>
    <row r="6395" spans="1:11" ht="40.049999999999997" customHeight="1" x14ac:dyDescent="0.25">
      <c r="A6395" s="11" t="s">
        <v>13672</v>
      </c>
      <c r="B6395" s="11" t="s">
        <v>13672</v>
      </c>
      <c r="C6395" s="11" t="s">
        <v>80</v>
      </c>
      <c r="D6395" s="11" t="s">
        <v>18</v>
      </c>
      <c r="E6395" s="12" t="s">
        <v>453</v>
      </c>
      <c r="F6395" s="12" t="s">
        <v>454</v>
      </c>
      <c r="G6395" s="12" t="s">
        <v>21</v>
      </c>
      <c r="H6395" s="11" t="s">
        <v>22</v>
      </c>
      <c r="I6395" s="13" t="s">
        <v>13693</v>
      </c>
      <c r="J6395" s="14" t="str">
        <f>HYPERLINK("https://www.boe.es/gazeta/dias/1839/02/07/pdfs/GMD-1839-1545.pdf#page=4","Abrir facsímil")</f>
        <v>Abrir facsímil</v>
      </c>
      <c r="K6395" s="12" t="s">
        <v>24</v>
      </c>
    </row>
    <row r="6396" spans="1:11" ht="40.049999999999997" customHeight="1" x14ac:dyDescent="0.25">
      <c r="A6396" s="11" t="s">
        <v>13672</v>
      </c>
      <c r="B6396" s="11" t="s">
        <v>13672</v>
      </c>
      <c r="C6396" s="11" t="s">
        <v>59</v>
      </c>
      <c r="D6396" s="11" t="s">
        <v>60</v>
      </c>
      <c r="E6396" s="12" t="s">
        <v>4055</v>
      </c>
      <c r="F6396" s="12" t="s">
        <v>4056</v>
      </c>
      <c r="G6396" s="12" t="s">
        <v>46</v>
      </c>
      <c r="H6396" s="11" t="s">
        <v>22</v>
      </c>
      <c r="I6396" s="13" t="s">
        <v>13694</v>
      </c>
      <c r="J6396" s="14" t="str">
        <f>HYPERLINK("https://www.boe.es/gazeta/dias/1839/03/07/pdfs/GMD-1839-1573.pdf#page=3","Abrir facsímil")</f>
        <v>Abrir facsímil</v>
      </c>
      <c r="K6396" s="12" t="s">
        <v>24</v>
      </c>
    </row>
    <row r="6397" spans="1:11" ht="40.049999999999997" customHeight="1" x14ac:dyDescent="0.25">
      <c r="A6397" s="11" t="s">
        <v>13672</v>
      </c>
      <c r="B6397" s="11" t="s">
        <v>13672</v>
      </c>
      <c r="C6397" s="11" t="s">
        <v>80</v>
      </c>
      <c r="D6397" s="11" t="s">
        <v>18</v>
      </c>
      <c r="E6397" s="12" t="s">
        <v>1623</v>
      </c>
      <c r="F6397" s="12" t="s">
        <v>1624</v>
      </c>
      <c r="G6397" s="12" t="s">
        <v>46</v>
      </c>
      <c r="H6397" s="11" t="s">
        <v>22</v>
      </c>
      <c r="I6397" s="13" t="s">
        <v>13695</v>
      </c>
      <c r="J6397" s="14" t="str">
        <f>HYPERLINK("https://www.boe.es/gazeta/dias/1839/04/07/pdfs/GMD-1839-1604.pdf#page=3","Abrir facsímil")</f>
        <v>Abrir facsímil</v>
      </c>
      <c r="K6397" s="12" t="s">
        <v>24</v>
      </c>
    </row>
    <row r="6398" spans="1:11" ht="40.049999999999997" customHeight="1" x14ac:dyDescent="0.25">
      <c r="A6398" s="11" t="s">
        <v>13672</v>
      </c>
      <c r="B6398" s="11" t="s">
        <v>13672</v>
      </c>
      <c r="C6398" s="11" t="s">
        <v>101</v>
      </c>
      <c r="D6398" s="11" t="s">
        <v>43</v>
      </c>
      <c r="E6398" s="12" t="s">
        <v>1623</v>
      </c>
      <c r="F6398" s="12" t="s">
        <v>1624</v>
      </c>
      <c r="G6398" s="12" t="s">
        <v>21</v>
      </c>
      <c r="H6398" s="11" t="s">
        <v>22</v>
      </c>
      <c r="I6398" s="13" t="s">
        <v>13696</v>
      </c>
      <c r="J6398" s="14" t="str">
        <f>HYPERLINK("https://www.boe.es/gazeta/dias/1839/04/07/pdfs/GMD-1839-1604.pdf#page=4","Abrir facsímil")</f>
        <v>Abrir facsímil</v>
      </c>
      <c r="K6398" s="12" t="s">
        <v>24</v>
      </c>
    </row>
    <row r="6399" spans="1:11" ht="40.049999999999997" customHeight="1" x14ac:dyDescent="0.25">
      <c r="A6399" s="11" t="s">
        <v>13672</v>
      </c>
      <c r="B6399" s="11" t="s">
        <v>13672</v>
      </c>
      <c r="C6399" s="11" t="s">
        <v>17</v>
      </c>
      <c r="D6399" s="11" t="s">
        <v>18</v>
      </c>
      <c r="E6399" s="12" t="s">
        <v>1008</v>
      </c>
      <c r="F6399" s="12" t="s">
        <v>1009</v>
      </c>
      <c r="G6399" s="12" t="s">
        <v>21</v>
      </c>
      <c r="H6399" s="11" t="s">
        <v>22</v>
      </c>
      <c r="I6399" s="13" t="s">
        <v>13697</v>
      </c>
      <c r="J6399" s="14" t="str">
        <f>HYPERLINK("https://www.boe.es/gazeta/dias/1839/09/07/pdfs/GMD-1839-1760.pdf#page=4","Abrir facsímil")</f>
        <v>Abrir facsímil</v>
      </c>
      <c r="K6399" s="12" t="s">
        <v>24</v>
      </c>
    </row>
    <row r="6400" spans="1:11" ht="40.049999999999997" customHeight="1" x14ac:dyDescent="0.25">
      <c r="A6400" s="11" t="s">
        <v>13672</v>
      </c>
      <c r="B6400" s="11" t="s">
        <v>13672</v>
      </c>
      <c r="C6400" s="11" t="s">
        <v>80</v>
      </c>
      <c r="D6400" s="11" t="s">
        <v>18</v>
      </c>
      <c r="E6400" s="12" t="s">
        <v>804</v>
      </c>
      <c r="F6400" s="12" t="s">
        <v>805</v>
      </c>
      <c r="G6400" s="12" t="s">
        <v>21</v>
      </c>
      <c r="H6400" s="11" t="s">
        <v>22</v>
      </c>
      <c r="I6400" s="13" t="s">
        <v>13698</v>
      </c>
      <c r="J6400" s="14" t="str">
        <f>HYPERLINK("https://www.boe.es/gazeta/dias/1839/01/08/pdfs/GMD-1839-1515.pdf#page=4","Abrir facsímil")</f>
        <v>Abrir facsímil</v>
      </c>
      <c r="K6400" s="12" t="s">
        <v>24</v>
      </c>
    </row>
    <row r="6401" spans="1:11" ht="40.049999999999997" customHeight="1" x14ac:dyDescent="0.25">
      <c r="A6401" s="11" t="s">
        <v>13672</v>
      </c>
      <c r="B6401" s="11" t="s">
        <v>13672</v>
      </c>
      <c r="C6401" s="11" t="s">
        <v>80</v>
      </c>
      <c r="D6401" s="11" t="s">
        <v>18</v>
      </c>
      <c r="E6401" s="12" t="s">
        <v>2881</v>
      </c>
      <c r="F6401" s="12" t="s">
        <v>2882</v>
      </c>
      <c r="G6401" s="12" t="s">
        <v>21</v>
      </c>
      <c r="H6401" s="11" t="s">
        <v>22</v>
      </c>
      <c r="I6401" s="13" t="s">
        <v>13699</v>
      </c>
      <c r="J6401" s="14" t="str">
        <f>HYPERLINK("https://www.boe.es/gazeta/dias/1839/05/08/pdfs/GMD-1839-1635.pdf#page=4","Abrir facsímil")</f>
        <v>Abrir facsímil</v>
      </c>
      <c r="K6401" s="12" t="s">
        <v>24</v>
      </c>
    </row>
    <row r="6402" spans="1:11" ht="40.049999999999997" customHeight="1" x14ac:dyDescent="0.25">
      <c r="A6402" s="11" t="s">
        <v>13672</v>
      </c>
      <c r="B6402" s="11" t="s">
        <v>13672</v>
      </c>
      <c r="C6402" s="11" t="s">
        <v>80</v>
      </c>
      <c r="D6402" s="11" t="s">
        <v>18</v>
      </c>
      <c r="E6402" s="12" t="s">
        <v>121</v>
      </c>
      <c r="F6402" s="12" t="s">
        <v>122</v>
      </c>
      <c r="G6402" s="12" t="s">
        <v>21</v>
      </c>
      <c r="H6402" s="11" t="s">
        <v>22</v>
      </c>
      <c r="I6402" s="13" t="s">
        <v>13700</v>
      </c>
      <c r="J6402" s="14" t="str">
        <f>HYPERLINK("https://www.boe.es/gazeta/dias/1839/06/08/pdfs/GMD-1839-1666.pdf#page=4","Abrir facsímil")</f>
        <v>Abrir facsímil</v>
      </c>
      <c r="K6402" s="12" t="s">
        <v>24</v>
      </c>
    </row>
    <row r="6403" spans="1:11" ht="40.049999999999997" customHeight="1" x14ac:dyDescent="0.25">
      <c r="A6403" s="11" t="s">
        <v>13672</v>
      </c>
      <c r="B6403" s="11" t="s">
        <v>13672</v>
      </c>
      <c r="C6403" s="11" t="s">
        <v>17</v>
      </c>
      <c r="D6403" s="11" t="s">
        <v>18</v>
      </c>
      <c r="E6403" s="12" t="s">
        <v>372</v>
      </c>
      <c r="F6403" s="12" t="s">
        <v>373</v>
      </c>
      <c r="G6403" s="12" t="s">
        <v>46</v>
      </c>
      <c r="H6403" s="11" t="s">
        <v>22</v>
      </c>
      <c r="I6403" s="13" t="s">
        <v>13701</v>
      </c>
      <c r="J6403" s="14" t="str">
        <f>HYPERLINK("https://www.boe.es/gazeta/dias/1839/11/08/pdfs/GMD-1839-1825.pdf#page=3","Abrir facsímil")</f>
        <v>Abrir facsímil</v>
      </c>
      <c r="K6403" s="12" t="s">
        <v>24</v>
      </c>
    </row>
    <row r="6404" spans="1:11" ht="40.049999999999997" customHeight="1" x14ac:dyDescent="0.25">
      <c r="A6404" s="11" t="s">
        <v>13672</v>
      </c>
      <c r="B6404" s="11" t="s">
        <v>13672</v>
      </c>
      <c r="C6404" s="11" t="s">
        <v>80</v>
      </c>
      <c r="D6404" s="11" t="s">
        <v>18</v>
      </c>
      <c r="E6404" s="12" t="s">
        <v>690</v>
      </c>
      <c r="F6404" s="12" t="s">
        <v>691</v>
      </c>
      <c r="G6404" s="12" t="s">
        <v>21</v>
      </c>
      <c r="H6404" s="11" t="s">
        <v>22</v>
      </c>
      <c r="I6404" s="13" t="s">
        <v>13702</v>
      </c>
      <c r="J6404" s="14" t="str">
        <f>HYPERLINK("https://www.boe.es/gazeta/dias/1839/12/08/pdfs/GMD-1839-1855.pdf#page=4","Abrir facsímil")</f>
        <v>Abrir facsímil</v>
      </c>
      <c r="K6404" s="12" t="s">
        <v>24</v>
      </c>
    </row>
    <row r="6405" spans="1:11" ht="40.049999999999997" customHeight="1" x14ac:dyDescent="0.25">
      <c r="A6405" s="11" t="s">
        <v>13672</v>
      </c>
      <c r="B6405" s="11" t="s">
        <v>13672</v>
      </c>
      <c r="C6405" s="11" t="s">
        <v>137</v>
      </c>
      <c r="D6405" s="11" t="s">
        <v>18</v>
      </c>
      <c r="E6405" s="12" t="s">
        <v>2050</v>
      </c>
      <c r="F6405" s="12" t="s">
        <v>2051</v>
      </c>
      <c r="G6405" s="12" t="s">
        <v>21</v>
      </c>
      <c r="H6405" s="11" t="s">
        <v>22</v>
      </c>
      <c r="I6405" s="13" t="s">
        <v>13703</v>
      </c>
      <c r="J6405" s="14" t="str">
        <f>HYPERLINK("https://www.boe.es/gazeta/dias/1839/01/09/pdfs/GMD-1839-1516.pdf#page=4","Abrir facsímil")</f>
        <v>Abrir facsímil</v>
      </c>
      <c r="K6405" s="12" t="s">
        <v>24</v>
      </c>
    </row>
    <row r="6406" spans="1:11" ht="40.049999999999997" customHeight="1" x14ac:dyDescent="0.25">
      <c r="A6406" s="11" t="s">
        <v>13672</v>
      </c>
      <c r="B6406" s="11" t="s">
        <v>13672</v>
      </c>
      <c r="C6406" s="11" t="s">
        <v>80</v>
      </c>
      <c r="D6406" s="11" t="s">
        <v>18</v>
      </c>
      <c r="E6406" s="12" t="s">
        <v>1001</v>
      </c>
      <c r="F6406" s="12" t="s">
        <v>1002</v>
      </c>
      <c r="G6406" s="12" t="s">
        <v>21</v>
      </c>
      <c r="H6406" s="11" t="s">
        <v>22</v>
      </c>
      <c r="I6406" s="13" t="s">
        <v>13704</v>
      </c>
      <c r="J6406" s="14" t="str">
        <f>HYPERLINK("https://www.boe.es/gazeta/dias/1839/07/09/pdfs/GMD-1839-1697.pdf#page=4","Abrir facsímil")</f>
        <v>Abrir facsímil</v>
      </c>
      <c r="K6406" s="12" t="s">
        <v>24</v>
      </c>
    </row>
    <row r="6407" spans="1:11" ht="40.049999999999997" customHeight="1" x14ac:dyDescent="0.25">
      <c r="A6407" s="11" t="s">
        <v>13672</v>
      </c>
      <c r="B6407" s="11" t="s">
        <v>13672</v>
      </c>
      <c r="C6407" s="11" t="s">
        <v>80</v>
      </c>
      <c r="D6407" s="11" t="s">
        <v>18</v>
      </c>
      <c r="E6407" s="12" t="s">
        <v>3134</v>
      </c>
      <c r="F6407" s="12" t="s">
        <v>3135</v>
      </c>
      <c r="G6407" s="12" t="s">
        <v>21</v>
      </c>
      <c r="H6407" s="11" t="s">
        <v>22</v>
      </c>
      <c r="I6407" s="13" t="s">
        <v>13705</v>
      </c>
      <c r="J6407" s="14" t="str">
        <f>HYPERLINK("https://www.boe.es/gazeta/dias/1839/08/09/pdfs/GMD-1839-1729.pdf#page=4","Abrir facsímil")</f>
        <v>Abrir facsímil</v>
      </c>
      <c r="K6407" s="12" t="s">
        <v>24</v>
      </c>
    </row>
    <row r="6408" spans="1:11" ht="40.049999999999997" customHeight="1" x14ac:dyDescent="0.25">
      <c r="A6408" s="11" t="s">
        <v>13672</v>
      </c>
      <c r="B6408" s="11" t="s">
        <v>13672</v>
      </c>
      <c r="C6408" s="11" t="s">
        <v>80</v>
      </c>
      <c r="D6408" s="11" t="s">
        <v>18</v>
      </c>
      <c r="E6408" s="12" t="s">
        <v>582</v>
      </c>
      <c r="F6408" s="12" t="s">
        <v>583</v>
      </c>
      <c r="G6408" s="12" t="s">
        <v>21</v>
      </c>
      <c r="H6408" s="11" t="s">
        <v>22</v>
      </c>
      <c r="I6408" s="13" t="s">
        <v>13706</v>
      </c>
      <c r="J6408" s="14" t="str">
        <f>HYPERLINK("https://www.boe.es/gazeta/dias/1839/11/09/pdfs/GMD-1839-1826.pdf#page=4","Abrir facsímil")</f>
        <v>Abrir facsímil</v>
      </c>
      <c r="K6408" s="12" t="s">
        <v>24</v>
      </c>
    </row>
    <row r="6409" spans="1:11" ht="40.049999999999997" customHeight="1" x14ac:dyDescent="0.25">
      <c r="A6409" s="11" t="s">
        <v>13672</v>
      </c>
      <c r="B6409" s="11" t="s">
        <v>13672</v>
      </c>
      <c r="C6409" s="11" t="s">
        <v>80</v>
      </c>
      <c r="D6409" s="11" t="s">
        <v>173</v>
      </c>
      <c r="E6409" s="12" t="s">
        <v>1628</v>
      </c>
      <c r="F6409" s="12" t="s">
        <v>1629</v>
      </c>
      <c r="G6409" s="12" t="s">
        <v>21</v>
      </c>
      <c r="H6409" s="11" t="s">
        <v>22</v>
      </c>
      <c r="I6409" s="13" t="s">
        <v>13707</v>
      </c>
      <c r="J6409" s="14" t="str">
        <f>HYPERLINK("https://www.boe.es/gazeta/dias/1839/03/10/pdfs/GMD-1839-1576.pdf#page=4","Abrir facsímil")</f>
        <v>Abrir facsímil</v>
      </c>
      <c r="K6409" s="12" t="s">
        <v>24</v>
      </c>
    </row>
    <row r="6410" spans="1:11" ht="40.049999999999997" customHeight="1" x14ac:dyDescent="0.25">
      <c r="A6410" s="11" t="s">
        <v>13672</v>
      </c>
      <c r="B6410" s="11" t="s">
        <v>13672</v>
      </c>
      <c r="C6410" s="11" t="s">
        <v>59</v>
      </c>
      <c r="D6410" s="11" t="s">
        <v>60</v>
      </c>
      <c r="E6410" s="12" t="s">
        <v>527</v>
      </c>
      <c r="F6410" s="12" t="s">
        <v>528</v>
      </c>
      <c r="G6410" s="12" t="s">
        <v>21</v>
      </c>
      <c r="H6410" s="11" t="s">
        <v>22</v>
      </c>
      <c r="I6410" s="13" t="s">
        <v>13708</v>
      </c>
      <c r="J6410" s="14" t="str">
        <f>HYPERLINK("https://www.boe.es/gazeta/dias/1839/07/10/pdfs/GMD-1839-1698.pdf#page=4","Abrir facsímil")</f>
        <v>Abrir facsímil</v>
      </c>
      <c r="K6410" s="12" t="s">
        <v>24</v>
      </c>
    </row>
    <row r="6411" spans="1:11" ht="40.049999999999997" customHeight="1" x14ac:dyDescent="0.25">
      <c r="A6411" s="11" t="s">
        <v>13672</v>
      </c>
      <c r="B6411" s="11" t="s">
        <v>13672</v>
      </c>
      <c r="C6411" s="11" t="s">
        <v>80</v>
      </c>
      <c r="D6411" s="11" t="s">
        <v>18</v>
      </c>
      <c r="E6411" s="12" t="s">
        <v>141</v>
      </c>
      <c r="F6411" s="12" t="s">
        <v>142</v>
      </c>
      <c r="G6411" s="12" t="s">
        <v>21</v>
      </c>
      <c r="H6411" s="11" t="s">
        <v>22</v>
      </c>
      <c r="I6411" s="13" t="s">
        <v>13709</v>
      </c>
      <c r="J6411" s="14" t="str">
        <f>HYPERLINK("https://www.boe.es/gazeta/dias/1839/11/10/pdfs/GMD-1839-1827.pdf#page=4","Abrir facsímil")</f>
        <v>Abrir facsímil</v>
      </c>
      <c r="K6411" s="12" t="s">
        <v>24</v>
      </c>
    </row>
    <row r="6412" spans="1:11" ht="40.049999999999997" customHeight="1" x14ac:dyDescent="0.25">
      <c r="A6412" s="11" t="s">
        <v>13672</v>
      </c>
      <c r="B6412" s="11" t="s">
        <v>13672</v>
      </c>
      <c r="C6412" s="11" t="s">
        <v>17</v>
      </c>
      <c r="D6412" s="11" t="s">
        <v>18</v>
      </c>
      <c r="E6412" s="12" t="s">
        <v>330</v>
      </c>
      <c r="F6412" s="12" t="s">
        <v>331</v>
      </c>
      <c r="G6412" s="12" t="s">
        <v>46</v>
      </c>
      <c r="H6412" s="11" t="s">
        <v>22</v>
      </c>
      <c r="I6412" s="13" t="s">
        <v>13710</v>
      </c>
      <c r="J6412" s="14" t="str">
        <f>HYPERLINK("https://www.boe.es/gazeta/dias/1839/04/11/pdfs/GMD-1839-1608.pdf#page=3","Abrir facsímil")</f>
        <v>Abrir facsímil</v>
      </c>
      <c r="K6412" s="12" t="s">
        <v>24</v>
      </c>
    </row>
    <row r="6413" spans="1:11" ht="40.049999999999997" customHeight="1" x14ac:dyDescent="0.25">
      <c r="A6413" s="11" t="s">
        <v>13672</v>
      </c>
      <c r="B6413" s="11" t="s">
        <v>13672</v>
      </c>
      <c r="C6413" s="11" t="s">
        <v>17</v>
      </c>
      <c r="D6413" s="11" t="s">
        <v>18</v>
      </c>
      <c r="E6413" s="12" t="s">
        <v>426</v>
      </c>
      <c r="F6413" s="12" t="s">
        <v>427</v>
      </c>
      <c r="G6413" s="12" t="s">
        <v>21</v>
      </c>
      <c r="H6413" s="11" t="s">
        <v>22</v>
      </c>
      <c r="I6413" s="13" t="s">
        <v>13711</v>
      </c>
      <c r="J6413" s="14" t="str">
        <f>HYPERLINK("https://www.boe.es/gazeta/dias/1839/08/11/pdfs/GMD-1839-1731.pdf#page=4","Abrir facsímil")</f>
        <v>Abrir facsímil</v>
      </c>
      <c r="K6413" s="12" t="s">
        <v>24</v>
      </c>
    </row>
    <row r="6414" spans="1:11" ht="40.049999999999997" customHeight="1" x14ac:dyDescent="0.25">
      <c r="A6414" s="11" t="s">
        <v>13672</v>
      </c>
      <c r="B6414" s="11" t="s">
        <v>13672</v>
      </c>
      <c r="C6414" s="11" t="s">
        <v>17</v>
      </c>
      <c r="D6414" s="11" t="s">
        <v>18</v>
      </c>
      <c r="E6414" s="12" t="s">
        <v>561</v>
      </c>
      <c r="F6414" s="12" t="s">
        <v>562</v>
      </c>
      <c r="G6414" s="12" t="s">
        <v>21</v>
      </c>
      <c r="H6414" s="11" t="s">
        <v>22</v>
      </c>
      <c r="I6414" s="13" t="s">
        <v>13712</v>
      </c>
      <c r="J6414" s="14" t="str">
        <f>HYPERLINK("https://www.boe.es/gazeta/dias/1839/09/11/pdfs/GMD-1839-1764.pdf#page=4","Abrir facsímil")</f>
        <v>Abrir facsímil</v>
      </c>
      <c r="K6414" s="12" t="s">
        <v>24</v>
      </c>
    </row>
    <row r="6415" spans="1:11" ht="40.049999999999997" customHeight="1" x14ac:dyDescent="0.25">
      <c r="A6415" s="11" t="s">
        <v>13672</v>
      </c>
      <c r="B6415" s="11" t="s">
        <v>13672</v>
      </c>
      <c r="C6415" s="11" t="s">
        <v>80</v>
      </c>
      <c r="D6415" s="11" t="s">
        <v>18</v>
      </c>
      <c r="E6415" s="12" t="s">
        <v>2107</v>
      </c>
      <c r="F6415" s="12" t="s">
        <v>2108</v>
      </c>
      <c r="G6415" s="12" t="s">
        <v>21</v>
      </c>
      <c r="H6415" s="11" t="s">
        <v>22</v>
      </c>
      <c r="I6415" s="13" t="s">
        <v>13713</v>
      </c>
      <c r="J6415" s="14" t="str">
        <f>HYPERLINK("https://www.boe.es/gazeta/dias/1839/10/11/pdfs/GMD-1839-1797.pdf#page=4","Abrir facsímil")</f>
        <v>Abrir facsímil</v>
      </c>
      <c r="K6415" s="12" t="s">
        <v>24</v>
      </c>
    </row>
    <row r="6416" spans="1:11" ht="40.049999999999997" customHeight="1" x14ac:dyDescent="0.25">
      <c r="A6416" s="11" t="s">
        <v>13672</v>
      </c>
      <c r="B6416" s="11" t="s">
        <v>13672</v>
      </c>
      <c r="C6416" s="11" t="s">
        <v>80</v>
      </c>
      <c r="D6416" s="11" t="s">
        <v>18</v>
      </c>
      <c r="E6416" s="12" t="s">
        <v>2449</v>
      </c>
      <c r="F6416" s="12" t="s">
        <v>2450</v>
      </c>
      <c r="G6416" s="12" t="s">
        <v>21</v>
      </c>
      <c r="H6416" s="11" t="s">
        <v>22</v>
      </c>
      <c r="I6416" s="13" t="s">
        <v>13714</v>
      </c>
      <c r="J6416" s="14" t="str">
        <f>HYPERLINK("https://www.boe.es/gazeta/dias/1839/12/11/pdfs/GMD-1839-1858.pdf#page=4","Abrir facsímil")</f>
        <v>Abrir facsímil</v>
      </c>
      <c r="K6416" s="12" t="s">
        <v>24</v>
      </c>
    </row>
    <row r="6417" spans="1:11" ht="40.049999999999997" customHeight="1" x14ac:dyDescent="0.25">
      <c r="A6417" s="11" t="s">
        <v>13672</v>
      </c>
      <c r="B6417" s="11" t="s">
        <v>13672</v>
      </c>
      <c r="C6417" s="11" t="s">
        <v>80</v>
      </c>
      <c r="D6417" s="11" t="s">
        <v>18</v>
      </c>
      <c r="E6417" s="12" t="s">
        <v>192</v>
      </c>
      <c r="F6417" s="12" t="s">
        <v>193</v>
      </c>
      <c r="G6417" s="12" t="s">
        <v>21</v>
      </c>
      <c r="H6417" s="11" t="s">
        <v>22</v>
      </c>
      <c r="I6417" s="13" t="s">
        <v>13715</v>
      </c>
      <c r="J6417" s="14" t="str">
        <f>HYPERLINK("https://www.boe.es/gazeta/dias/1839/01/12/pdfs/GMD-1839-1519.pdf#page=4","Abrir facsímil")</f>
        <v>Abrir facsímil</v>
      </c>
      <c r="K6417" s="12" t="s">
        <v>24</v>
      </c>
    </row>
    <row r="6418" spans="1:11" ht="40.049999999999997" customHeight="1" x14ac:dyDescent="0.25">
      <c r="A6418" s="11" t="s">
        <v>13672</v>
      </c>
      <c r="B6418" s="11" t="s">
        <v>13672</v>
      </c>
      <c r="C6418" s="11" t="s">
        <v>17</v>
      </c>
      <c r="D6418" s="11" t="s">
        <v>18</v>
      </c>
      <c r="E6418" s="12" t="s">
        <v>272</v>
      </c>
      <c r="F6418" s="12" t="s">
        <v>273</v>
      </c>
      <c r="G6418" s="12" t="s">
        <v>21</v>
      </c>
      <c r="H6418" s="11" t="s">
        <v>22</v>
      </c>
      <c r="I6418" s="13" t="s">
        <v>13716</v>
      </c>
      <c r="J6418" s="14" t="str">
        <f>HYPERLINK("https://www.boe.es/gazeta/dias/1839/02/12/pdfs/GMD-1839-1550.pdf#page=4","Abrir facsímil")</f>
        <v>Abrir facsímil</v>
      </c>
      <c r="K6418" s="12" t="s">
        <v>24</v>
      </c>
    </row>
    <row r="6419" spans="1:11" ht="40.049999999999997" customHeight="1" x14ac:dyDescent="0.25">
      <c r="A6419" s="11" t="s">
        <v>13672</v>
      </c>
      <c r="B6419" s="11" t="s">
        <v>13672</v>
      </c>
      <c r="C6419" s="11" t="s">
        <v>17</v>
      </c>
      <c r="D6419" s="11" t="s">
        <v>18</v>
      </c>
      <c r="E6419" s="12" t="s">
        <v>420</v>
      </c>
      <c r="F6419" s="12" t="s">
        <v>421</v>
      </c>
      <c r="G6419" s="12" t="s">
        <v>46</v>
      </c>
      <c r="H6419" s="11" t="s">
        <v>22</v>
      </c>
      <c r="I6419" s="13" t="s">
        <v>13717</v>
      </c>
      <c r="J6419" s="14" t="str">
        <f>HYPERLINK("https://www.boe.es/gazeta/dias/1839/03/12/pdfs/GMD-1839-1578.pdf#page=3","Abrir facsímil")</f>
        <v>Abrir facsímil</v>
      </c>
      <c r="K6419" s="12" t="s">
        <v>24</v>
      </c>
    </row>
    <row r="6420" spans="1:11" ht="40.049999999999997" customHeight="1" x14ac:dyDescent="0.25">
      <c r="A6420" s="11" t="s">
        <v>13672</v>
      </c>
      <c r="B6420" s="11" t="s">
        <v>13672</v>
      </c>
      <c r="C6420" s="11" t="s">
        <v>17</v>
      </c>
      <c r="D6420" s="11" t="s">
        <v>18</v>
      </c>
      <c r="E6420" s="12" t="s">
        <v>420</v>
      </c>
      <c r="F6420" s="12" t="s">
        <v>421</v>
      </c>
      <c r="G6420" s="12" t="s">
        <v>21</v>
      </c>
      <c r="H6420" s="11" t="s">
        <v>22</v>
      </c>
      <c r="I6420" s="13" t="s">
        <v>13718</v>
      </c>
      <c r="J6420" s="14" t="str">
        <f>HYPERLINK("https://www.boe.es/gazeta/dias/1839/03/12/pdfs/GMD-1839-1578.pdf#page=4","Abrir facsímil")</f>
        <v>Abrir facsímil</v>
      </c>
      <c r="K6420" s="12" t="s">
        <v>24</v>
      </c>
    </row>
    <row r="6421" spans="1:11" ht="40.049999999999997" customHeight="1" x14ac:dyDescent="0.25">
      <c r="A6421" s="11" t="s">
        <v>13672</v>
      </c>
      <c r="B6421" s="11" t="s">
        <v>13672</v>
      </c>
      <c r="C6421" s="11" t="s">
        <v>101</v>
      </c>
      <c r="D6421" s="11" t="s">
        <v>102</v>
      </c>
      <c r="E6421" s="12" t="s">
        <v>507</v>
      </c>
      <c r="F6421" s="12" t="s">
        <v>508</v>
      </c>
      <c r="G6421" s="12" t="s">
        <v>21</v>
      </c>
      <c r="H6421" s="11" t="s">
        <v>22</v>
      </c>
      <c r="I6421" s="13" t="s">
        <v>13719</v>
      </c>
      <c r="J6421" s="14" t="str">
        <f>HYPERLINK("https://www.boe.es/gazeta/dias/1839/08/12/pdfs/GMD-1839-1732.pdf#page=4","Abrir facsímil")</f>
        <v>Abrir facsímil</v>
      </c>
      <c r="K6421" s="12" t="s">
        <v>24</v>
      </c>
    </row>
    <row r="6422" spans="1:11" ht="40.049999999999997" customHeight="1" x14ac:dyDescent="0.25">
      <c r="A6422" s="11" t="s">
        <v>13672</v>
      </c>
      <c r="B6422" s="11" t="s">
        <v>13672</v>
      </c>
      <c r="C6422" s="11" t="s">
        <v>137</v>
      </c>
      <c r="D6422" s="11" t="s">
        <v>18</v>
      </c>
      <c r="E6422" s="12" t="s">
        <v>163</v>
      </c>
      <c r="F6422" s="12" t="s">
        <v>164</v>
      </c>
      <c r="G6422" s="12" t="s">
        <v>21</v>
      </c>
      <c r="H6422" s="11" t="s">
        <v>22</v>
      </c>
      <c r="I6422" s="13" t="s">
        <v>13720</v>
      </c>
      <c r="J6422" s="14" t="str">
        <f>HYPERLINK("https://www.boe.es/gazeta/dias/1839/01/13/pdfs/GMD-1839-1520.pdf#page=4","Abrir facsímil")</f>
        <v>Abrir facsímil</v>
      </c>
      <c r="K6422" s="12" t="s">
        <v>24</v>
      </c>
    </row>
    <row r="6423" spans="1:11" ht="40.049999999999997" customHeight="1" x14ac:dyDescent="0.25">
      <c r="A6423" s="11" t="s">
        <v>13672</v>
      </c>
      <c r="B6423" s="11" t="s">
        <v>13672</v>
      </c>
      <c r="C6423" s="11" t="s">
        <v>59</v>
      </c>
      <c r="D6423" s="11" t="s">
        <v>60</v>
      </c>
      <c r="E6423" s="12" t="s">
        <v>1512</v>
      </c>
      <c r="F6423" s="12" t="s">
        <v>1513</v>
      </c>
      <c r="G6423" s="12" t="s">
        <v>46</v>
      </c>
      <c r="H6423" s="11" t="s">
        <v>22</v>
      </c>
      <c r="I6423" s="13" t="s">
        <v>13721</v>
      </c>
      <c r="J6423" s="14" t="str">
        <f>HYPERLINK("https://www.boe.es/gazeta/dias/1839/04/13/pdfs/GMD-1839-1610.pdf#page=3","Abrir facsímil")</f>
        <v>Abrir facsímil</v>
      </c>
      <c r="K6423" s="12" t="s">
        <v>24</v>
      </c>
    </row>
    <row r="6424" spans="1:11" ht="40.049999999999997" customHeight="1" x14ac:dyDescent="0.25">
      <c r="A6424" s="11" t="s">
        <v>13672</v>
      </c>
      <c r="B6424" s="11" t="s">
        <v>13672</v>
      </c>
      <c r="C6424" s="11" t="s">
        <v>80</v>
      </c>
      <c r="D6424" s="11" t="s">
        <v>18</v>
      </c>
      <c r="E6424" s="12" t="s">
        <v>1100</v>
      </c>
      <c r="F6424" s="12" t="s">
        <v>1101</v>
      </c>
      <c r="G6424" s="12" t="s">
        <v>21</v>
      </c>
      <c r="H6424" s="11" t="s">
        <v>22</v>
      </c>
      <c r="I6424" s="13" t="s">
        <v>13722</v>
      </c>
      <c r="J6424" s="14" t="str">
        <f>HYPERLINK("https://www.boe.es/gazeta/dias/1839/09/13/pdfs/GMD-1839-1766.pdf#page=4","Abrir facsímil")</f>
        <v>Abrir facsímil</v>
      </c>
      <c r="K6424" s="12" t="s">
        <v>24</v>
      </c>
    </row>
    <row r="6425" spans="1:11" ht="40.049999999999997" customHeight="1" x14ac:dyDescent="0.25">
      <c r="A6425" s="11" t="s">
        <v>13672</v>
      </c>
      <c r="B6425" s="11" t="s">
        <v>13672</v>
      </c>
      <c r="C6425" s="11" t="s">
        <v>17</v>
      </c>
      <c r="D6425" s="11" t="s">
        <v>18</v>
      </c>
      <c r="E6425" s="12" t="s">
        <v>299</v>
      </c>
      <c r="F6425" s="12" t="s">
        <v>300</v>
      </c>
      <c r="G6425" s="12" t="s">
        <v>21</v>
      </c>
      <c r="H6425" s="11" t="s">
        <v>22</v>
      </c>
      <c r="I6425" s="13" t="s">
        <v>13723</v>
      </c>
      <c r="J6425" s="14" t="str">
        <f>HYPERLINK("https://www.boe.es/gazeta/dias/1839/02/14/pdfs/GMD-1839-1552.pdf#page=4","Abrir facsímil")</f>
        <v>Abrir facsímil</v>
      </c>
      <c r="K6425" s="12" t="s">
        <v>24</v>
      </c>
    </row>
    <row r="6426" spans="1:11" ht="40.049999999999997" customHeight="1" x14ac:dyDescent="0.25">
      <c r="A6426" s="11" t="s">
        <v>13672</v>
      </c>
      <c r="B6426" s="11" t="s">
        <v>13672</v>
      </c>
      <c r="C6426" s="11" t="s">
        <v>59</v>
      </c>
      <c r="D6426" s="11" t="s">
        <v>60</v>
      </c>
      <c r="E6426" s="12" t="s">
        <v>903</v>
      </c>
      <c r="F6426" s="12" t="s">
        <v>904</v>
      </c>
      <c r="G6426" s="12" t="s">
        <v>21</v>
      </c>
      <c r="H6426" s="11" t="s">
        <v>22</v>
      </c>
      <c r="I6426" s="13" t="s">
        <v>13724</v>
      </c>
      <c r="J6426" s="14" t="str">
        <f>HYPERLINK("https://www.boe.es/gazeta/dias/1839/03/14/pdfs/GMD-1839-1580.pdf#page=4","Abrir facsímil")</f>
        <v>Abrir facsímil</v>
      </c>
      <c r="K6426" s="12" t="s">
        <v>24</v>
      </c>
    </row>
    <row r="6427" spans="1:11" ht="40.049999999999997" customHeight="1" x14ac:dyDescent="0.25">
      <c r="A6427" s="11" t="s">
        <v>13672</v>
      </c>
      <c r="B6427" s="11" t="s">
        <v>13672</v>
      </c>
      <c r="C6427" s="11" t="s">
        <v>80</v>
      </c>
      <c r="D6427" s="11" t="s">
        <v>18</v>
      </c>
      <c r="E6427" s="12" t="s">
        <v>336</v>
      </c>
      <c r="F6427" s="12" t="s">
        <v>337</v>
      </c>
      <c r="G6427" s="12" t="s">
        <v>21</v>
      </c>
      <c r="H6427" s="11" t="s">
        <v>22</v>
      </c>
      <c r="I6427" s="13" t="s">
        <v>13725</v>
      </c>
      <c r="J6427" s="14" t="str">
        <f>HYPERLINK("https://www.boe.es/gazeta/dias/1839/07/14/pdfs/GMD-1839-1702.pdf#page=4","Abrir facsímil")</f>
        <v>Abrir facsímil</v>
      </c>
      <c r="K6427" s="12" t="s">
        <v>24</v>
      </c>
    </row>
    <row r="6428" spans="1:11" ht="40.049999999999997" customHeight="1" x14ac:dyDescent="0.25">
      <c r="A6428" s="11" t="s">
        <v>13672</v>
      </c>
      <c r="B6428" s="11" t="s">
        <v>13672</v>
      </c>
      <c r="C6428" s="11" t="s">
        <v>17</v>
      </c>
      <c r="D6428" s="11" t="s">
        <v>18</v>
      </c>
      <c r="E6428" s="12" t="s">
        <v>2452</v>
      </c>
      <c r="F6428" s="12" t="s">
        <v>2453</v>
      </c>
      <c r="G6428" s="12" t="s">
        <v>21</v>
      </c>
      <c r="H6428" s="11" t="s">
        <v>22</v>
      </c>
      <c r="I6428" s="13" t="s">
        <v>13726</v>
      </c>
      <c r="J6428" s="14" t="str">
        <f>HYPERLINK("https://www.boe.es/gazeta/dias/1839/11/14/pdfs/GMD-1839-1831.pdf#page=4","Abrir facsímil")</f>
        <v>Abrir facsímil</v>
      </c>
      <c r="K6428" s="12" t="s">
        <v>24</v>
      </c>
    </row>
    <row r="6429" spans="1:11" ht="40.049999999999997" customHeight="1" x14ac:dyDescent="0.25">
      <c r="A6429" s="11" t="s">
        <v>13672</v>
      </c>
      <c r="B6429" s="11" t="s">
        <v>13672</v>
      </c>
      <c r="C6429" s="11" t="s">
        <v>80</v>
      </c>
      <c r="D6429" s="11" t="s">
        <v>18</v>
      </c>
      <c r="E6429" s="12" t="s">
        <v>1891</v>
      </c>
      <c r="F6429" s="12" t="s">
        <v>1892</v>
      </c>
      <c r="G6429" s="12" t="s">
        <v>21</v>
      </c>
      <c r="H6429" s="11" t="s">
        <v>22</v>
      </c>
      <c r="I6429" s="13" t="s">
        <v>13727</v>
      </c>
      <c r="J6429" s="14" t="str">
        <f>HYPERLINK("https://www.boe.es/gazeta/dias/1839/12/14/pdfs/GMD-1839-1861.pdf#page=4","Abrir facsímil")</f>
        <v>Abrir facsímil</v>
      </c>
      <c r="K6429" s="12" t="s">
        <v>24</v>
      </c>
    </row>
    <row r="6430" spans="1:11" ht="40.049999999999997" customHeight="1" x14ac:dyDescent="0.25">
      <c r="A6430" s="11" t="s">
        <v>13672</v>
      </c>
      <c r="B6430" s="11" t="s">
        <v>13672</v>
      </c>
      <c r="C6430" s="11" t="s">
        <v>80</v>
      </c>
      <c r="D6430" s="11" t="s">
        <v>18</v>
      </c>
      <c r="E6430" s="12" t="s">
        <v>395</v>
      </c>
      <c r="F6430" s="12" t="s">
        <v>396</v>
      </c>
      <c r="G6430" s="12" t="s">
        <v>21</v>
      </c>
      <c r="H6430" s="11" t="s">
        <v>22</v>
      </c>
      <c r="I6430" s="13" t="s">
        <v>13728</v>
      </c>
      <c r="J6430" s="14" t="str">
        <f>HYPERLINK("https://www.boe.es/gazeta/dias/1839/03/15/pdfs/GMD-1839-1581.pdf#page=4","Abrir facsímil")</f>
        <v>Abrir facsímil</v>
      </c>
      <c r="K6430" s="12" t="s">
        <v>24</v>
      </c>
    </row>
    <row r="6431" spans="1:11" ht="40.049999999999997" customHeight="1" x14ac:dyDescent="0.25">
      <c r="A6431" s="11" t="s">
        <v>13672</v>
      </c>
      <c r="B6431" s="11" t="s">
        <v>13672</v>
      </c>
      <c r="C6431" s="11" t="s">
        <v>80</v>
      </c>
      <c r="D6431" s="11" t="s">
        <v>18</v>
      </c>
      <c r="E6431" s="12" t="s">
        <v>1252</v>
      </c>
      <c r="F6431" s="12" t="s">
        <v>1253</v>
      </c>
      <c r="G6431" s="12" t="s">
        <v>21</v>
      </c>
      <c r="H6431" s="11" t="s">
        <v>22</v>
      </c>
      <c r="I6431" s="13" t="s">
        <v>13729</v>
      </c>
      <c r="J6431" s="14" t="str">
        <f>HYPERLINK("https://www.boe.es/gazeta/dias/1839/06/15/pdfs/GMD-1839-1673.pdf#page=4","Abrir facsímil")</f>
        <v>Abrir facsímil</v>
      </c>
      <c r="K6431" s="12" t="s">
        <v>24</v>
      </c>
    </row>
    <row r="6432" spans="1:11" ht="40.049999999999997" customHeight="1" x14ac:dyDescent="0.25">
      <c r="A6432" s="11" t="s">
        <v>13672</v>
      </c>
      <c r="B6432" s="11" t="s">
        <v>13672</v>
      </c>
      <c r="C6432" s="11" t="s">
        <v>59</v>
      </c>
      <c r="D6432" s="11" t="s">
        <v>60</v>
      </c>
      <c r="E6432" s="12" t="s">
        <v>1019</v>
      </c>
      <c r="F6432" s="12" t="s">
        <v>1020</v>
      </c>
      <c r="G6432" s="12" t="s">
        <v>40</v>
      </c>
      <c r="H6432" s="11" t="s">
        <v>22</v>
      </c>
      <c r="I6432" s="13" t="s">
        <v>13730</v>
      </c>
      <c r="J6432" s="14" t="str">
        <f>HYPERLINK("https://www.boe.es/gazeta/dias/1839/07/15/pdfs/GMD-1839-1703.pdf#page=2","Abrir facsímil")</f>
        <v>Abrir facsímil</v>
      </c>
      <c r="K6432" s="12" t="s">
        <v>24</v>
      </c>
    </row>
    <row r="6433" spans="1:11" ht="40.049999999999997" customHeight="1" x14ac:dyDescent="0.25">
      <c r="A6433" s="11" t="s">
        <v>13672</v>
      </c>
      <c r="B6433" s="11" t="s">
        <v>13672</v>
      </c>
      <c r="C6433" s="11" t="s">
        <v>17</v>
      </c>
      <c r="D6433" s="11" t="s">
        <v>18</v>
      </c>
      <c r="E6433" s="12" t="s">
        <v>5138</v>
      </c>
      <c r="F6433" s="12" t="s">
        <v>5139</v>
      </c>
      <c r="G6433" s="12" t="s">
        <v>21</v>
      </c>
      <c r="H6433" s="11" t="s">
        <v>22</v>
      </c>
      <c r="I6433" s="13" t="s">
        <v>13731</v>
      </c>
      <c r="J6433" s="14" t="str">
        <f>HYPERLINK("https://www.boe.es/gazeta/dias/1839/08/15/pdfs/GMD-1839-1735.pdf#page=4","Abrir facsímil")</f>
        <v>Abrir facsímil</v>
      </c>
      <c r="K6433" s="12" t="s">
        <v>24</v>
      </c>
    </row>
    <row r="6434" spans="1:11" ht="40.049999999999997" customHeight="1" x14ac:dyDescent="0.25">
      <c r="A6434" s="11" t="s">
        <v>13672</v>
      </c>
      <c r="B6434" s="11" t="s">
        <v>13672</v>
      </c>
      <c r="C6434" s="11" t="s">
        <v>80</v>
      </c>
      <c r="D6434" s="11" t="s">
        <v>18</v>
      </c>
      <c r="E6434" s="12" t="s">
        <v>2650</v>
      </c>
      <c r="F6434" s="12" t="s">
        <v>2651</v>
      </c>
      <c r="G6434" s="12" t="s">
        <v>21</v>
      </c>
      <c r="H6434" s="11" t="s">
        <v>22</v>
      </c>
      <c r="I6434" s="13" t="s">
        <v>13732</v>
      </c>
      <c r="J6434" s="14" t="str">
        <f>HYPERLINK("https://www.boe.es/gazeta/dias/1839/09/15/pdfs/GMD-1839-1768.pdf#page=4","Abrir facsímil")</f>
        <v>Abrir facsímil</v>
      </c>
      <c r="K6434" s="12" t="s">
        <v>24</v>
      </c>
    </row>
    <row r="6435" spans="1:11" ht="40.049999999999997" customHeight="1" x14ac:dyDescent="0.25">
      <c r="A6435" s="11" t="s">
        <v>13672</v>
      </c>
      <c r="B6435" s="11" t="s">
        <v>13672</v>
      </c>
      <c r="C6435" s="11" t="s">
        <v>17</v>
      </c>
      <c r="D6435" s="11" t="s">
        <v>18</v>
      </c>
      <c r="E6435" s="12" t="s">
        <v>175</v>
      </c>
      <c r="F6435" s="12" t="s">
        <v>176</v>
      </c>
      <c r="G6435" s="12" t="s">
        <v>21</v>
      </c>
      <c r="H6435" s="11" t="s">
        <v>22</v>
      </c>
      <c r="I6435" s="13" t="s">
        <v>13733</v>
      </c>
      <c r="J6435" s="14" t="str">
        <f>HYPERLINK("https://www.boe.es/gazeta/dias/1839/01/16/pdfs/GMD-1839-1523.pdf#page=4","Abrir facsímil")</f>
        <v>Abrir facsímil</v>
      </c>
      <c r="K6435" s="12" t="s">
        <v>24</v>
      </c>
    </row>
    <row r="6436" spans="1:11" ht="40.049999999999997" customHeight="1" x14ac:dyDescent="0.25">
      <c r="A6436" s="11" t="s">
        <v>13672</v>
      </c>
      <c r="B6436" s="11" t="s">
        <v>13672</v>
      </c>
      <c r="C6436" s="11" t="s">
        <v>17</v>
      </c>
      <c r="D6436" s="11" t="s">
        <v>18</v>
      </c>
      <c r="E6436" s="12" t="s">
        <v>5806</v>
      </c>
      <c r="F6436" s="12" t="s">
        <v>5807</v>
      </c>
      <c r="G6436" s="12" t="s">
        <v>21</v>
      </c>
      <c r="H6436" s="11" t="s">
        <v>22</v>
      </c>
      <c r="I6436" s="13" t="s">
        <v>13734</v>
      </c>
      <c r="J6436" s="14" t="str">
        <f>HYPERLINK("https://www.boe.es/gazeta/dias/1839/02/16/pdfs/GMD-1839-1554.pdf#page=4","Abrir facsímil")</f>
        <v>Abrir facsímil</v>
      </c>
      <c r="K6436" s="12" t="s">
        <v>24</v>
      </c>
    </row>
    <row r="6437" spans="1:11" ht="40.049999999999997" customHeight="1" x14ac:dyDescent="0.25">
      <c r="A6437" s="11" t="s">
        <v>13672</v>
      </c>
      <c r="B6437" s="11" t="s">
        <v>13672</v>
      </c>
      <c r="C6437" s="11" t="s">
        <v>80</v>
      </c>
      <c r="D6437" s="11" t="s">
        <v>18</v>
      </c>
      <c r="E6437" s="12" t="s">
        <v>2851</v>
      </c>
      <c r="F6437" s="12" t="s">
        <v>2852</v>
      </c>
      <c r="G6437" s="12" t="s">
        <v>21</v>
      </c>
      <c r="H6437" s="11" t="s">
        <v>22</v>
      </c>
      <c r="I6437" s="13" t="s">
        <v>13735</v>
      </c>
      <c r="J6437" s="14" t="str">
        <f>HYPERLINK("https://www.boe.es/gazeta/dias/1839/05/16/pdfs/GMD-1839-1643.pdf#page=4","Abrir facsímil")</f>
        <v>Abrir facsímil</v>
      </c>
      <c r="K6437" s="12" t="s">
        <v>24</v>
      </c>
    </row>
    <row r="6438" spans="1:11" ht="40.049999999999997" customHeight="1" x14ac:dyDescent="0.25">
      <c r="A6438" s="11" t="s">
        <v>13672</v>
      </c>
      <c r="B6438" s="11" t="s">
        <v>13672</v>
      </c>
      <c r="C6438" s="11" t="s">
        <v>80</v>
      </c>
      <c r="D6438" s="11" t="s">
        <v>18</v>
      </c>
      <c r="E6438" s="12" t="s">
        <v>2021</v>
      </c>
      <c r="F6438" s="12" t="s">
        <v>2022</v>
      </c>
      <c r="G6438" s="12" t="s">
        <v>21</v>
      </c>
      <c r="H6438" s="11" t="s">
        <v>22</v>
      </c>
      <c r="I6438" s="13" t="s">
        <v>13736</v>
      </c>
      <c r="J6438" s="14" t="str">
        <f>HYPERLINK("https://www.boe.es/gazeta/dias/1839/02/17/pdfs/GMD-1839-1555.pdf#page=4","Abrir facsímil")</f>
        <v>Abrir facsímil</v>
      </c>
      <c r="K6438" s="12" t="s">
        <v>24</v>
      </c>
    </row>
    <row r="6439" spans="1:11" ht="40.049999999999997" customHeight="1" x14ac:dyDescent="0.25">
      <c r="A6439" s="11" t="s">
        <v>13672</v>
      </c>
      <c r="B6439" s="11" t="s">
        <v>13672</v>
      </c>
      <c r="C6439" s="11" t="s">
        <v>80</v>
      </c>
      <c r="D6439" s="11" t="s">
        <v>18</v>
      </c>
      <c r="E6439" s="12" t="s">
        <v>4550</v>
      </c>
      <c r="F6439" s="12" t="s">
        <v>4551</v>
      </c>
      <c r="G6439" s="12" t="s">
        <v>21</v>
      </c>
      <c r="H6439" s="11" t="s">
        <v>22</v>
      </c>
      <c r="I6439" s="13" t="s">
        <v>13737</v>
      </c>
      <c r="J6439" s="14" t="str">
        <f>HYPERLINK("https://www.boe.es/gazeta/dias/1839/04/17/pdfs/GMD-1839-1614.pdf#page=4","Abrir facsímil")</f>
        <v>Abrir facsímil</v>
      </c>
      <c r="K6439" s="12" t="s">
        <v>24</v>
      </c>
    </row>
    <row r="6440" spans="1:11" ht="40.049999999999997" customHeight="1" x14ac:dyDescent="0.25">
      <c r="A6440" s="11" t="s">
        <v>13672</v>
      </c>
      <c r="B6440" s="11" t="s">
        <v>13672</v>
      </c>
      <c r="C6440" s="11" t="s">
        <v>17</v>
      </c>
      <c r="D6440" s="11" t="s">
        <v>18</v>
      </c>
      <c r="E6440" s="12" t="s">
        <v>398</v>
      </c>
      <c r="F6440" s="12" t="s">
        <v>399</v>
      </c>
      <c r="G6440" s="12" t="s">
        <v>46</v>
      </c>
      <c r="H6440" s="11" t="s">
        <v>22</v>
      </c>
      <c r="I6440" s="13" t="s">
        <v>13738</v>
      </c>
      <c r="J6440" s="14" t="str">
        <f>HYPERLINK("https://www.boe.es/gazeta/dias/1839/05/17/pdfs/GMD-1839-1644.pdf#page=3","Abrir facsímil")</f>
        <v>Abrir facsímil</v>
      </c>
      <c r="K6440" s="12" t="s">
        <v>24</v>
      </c>
    </row>
    <row r="6441" spans="1:11" ht="40.049999999999997" customHeight="1" x14ac:dyDescent="0.25">
      <c r="A6441" s="11" t="s">
        <v>13672</v>
      </c>
      <c r="B6441" s="11" t="s">
        <v>13672</v>
      </c>
      <c r="C6441" s="11" t="s">
        <v>101</v>
      </c>
      <c r="D6441" s="11" t="s">
        <v>43</v>
      </c>
      <c r="E6441" s="12" t="s">
        <v>1072</v>
      </c>
      <c r="F6441" s="12" t="s">
        <v>1073</v>
      </c>
      <c r="G6441" s="12" t="s">
        <v>21</v>
      </c>
      <c r="H6441" s="11" t="s">
        <v>22</v>
      </c>
      <c r="I6441" s="13" t="s">
        <v>13739</v>
      </c>
      <c r="J6441" s="14" t="str">
        <f>HYPERLINK("https://www.boe.es/gazeta/dias/1839/01/18/pdfs/GMD-1839-1525.pdf#page=4","Abrir facsímil")</f>
        <v>Abrir facsímil</v>
      </c>
      <c r="K6441" s="12" t="s">
        <v>24</v>
      </c>
    </row>
    <row r="6442" spans="1:11" ht="40.049999999999997" customHeight="1" x14ac:dyDescent="0.25">
      <c r="A6442" s="11" t="s">
        <v>13672</v>
      </c>
      <c r="B6442" s="11" t="s">
        <v>13672</v>
      </c>
      <c r="C6442" s="11" t="s">
        <v>59</v>
      </c>
      <c r="D6442" s="11" t="s">
        <v>60</v>
      </c>
      <c r="E6442" s="12" t="s">
        <v>870</v>
      </c>
      <c r="F6442" s="12" t="s">
        <v>871</v>
      </c>
      <c r="G6442" s="12" t="s">
        <v>21</v>
      </c>
      <c r="H6442" s="11" t="s">
        <v>22</v>
      </c>
      <c r="I6442" s="13" t="s">
        <v>13740</v>
      </c>
      <c r="J6442" s="14" t="str">
        <f>HYPERLINK("https://www.boe.es/gazeta/dias/1839/04/18/pdfs/GMD-1839-1615.pdf#page=4","Abrir facsímil")</f>
        <v>Abrir facsímil</v>
      </c>
      <c r="K6442" s="12" t="s">
        <v>24</v>
      </c>
    </row>
    <row r="6443" spans="1:11" ht="40.049999999999997" customHeight="1" x14ac:dyDescent="0.25">
      <c r="A6443" s="11" t="s">
        <v>13672</v>
      </c>
      <c r="B6443" s="11" t="s">
        <v>13672</v>
      </c>
      <c r="C6443" s="11" t="s">
        <v>80</v>
      </c>
      <c r="D6443" s="11" t="s">
        <v>18</v>
      </c>
      <c r="E6443" s="12" t="s">
        <v>1378</v>
      </c>
      <c r="F6443" s="12" t="s">
        <v>1379</v>
      </c>
      <c r="G6443" s="12" t="s">
        <v>21</v>
      </c>
      <c r="H6443" s="11" t="s">
        <v>22</v>
      </c>
      <c r="I6443" s="13" t="s">
        <v>13741</v>
      </c>
      <c r="J6443" s="14" t="str">
        <f>HYPERLINK("https://www.boe.es/gazeta/dias/1839/05/18/pdfs/GMD-1839-1645.pdf#page=4","Abrir facsímil")</f>
        <v>Abrir facsímil</v>
      </c>
      <c r="K6443" s="12" t="s">
        <v>24</v>
      </c>
    </row>
    <row r="6444" spans="1:11" ht="40.049999999999997" customHeight="1" x14ac:dyDescent="0.25">
      <c r="A6444" s="11" t="s">
        <v>13672</v>
      </c>
      <c r="B6444" s="11" t="s">
        <v>13672</v>
      </c>
      <c r="C6444" s="11" t="s">
        <v>80</v>
      </c>
      <c r="D6444" s="11" t="s">
        <v>18</v>
      </c>
      <c r="E6444" s="12" t="s">
        <v>685</v>
      </c>
      <c r="F6444" s="12" t="s">
        <v>686</v>
      </c>
      <c r="G6444" s="12" t="s">
        <v>21</v>
      </c>
      <c r="H6444" s="11" t="s">
        <v>22</v>
      </c>
      <c r="I6444" s="13" t="s">
        <v>13742</v>
      </c>
      <c r="J6444" s="14" t="str">
        <f>HYPERLINK("https://www.boe.es/gazeta/dias/1839/06/18/pdfs/GMD-1839-1676.pdf#page=4","Abrir facsímil")</f>
        <v>Abrir facsímil</v>
      </c>
      <c r="K6444" s="12" t="s">
        <v>24</v>
      </c>
    </row>
    <row r="6445" spans="1:11" ht="40.049999999999997" customHeight="1" x14ac:dyDescent="0.25">
      <c r="A6445" s="11" t="s">
        <v>13672</v>
      </c>
      <c r="B6445" s="11" t="s">
        <v>13672</v>
      </c>
      <c r="C6445" s="11" t="s">
        <v>17</v>
      </c>
      <c r="D6445" s="11" t="s">
        <v>18</v>
      </c>
      <c r="E6445" s="12" t="s">
        <v>1406</v>
      </c>
      <c r="F6445" s="12" t="s">
        <v>1407</v>
      </c>
      <c r="G6445" s="12" t="s">
        <v>21</v>
      </c>
      <c r="H6445" s="11" t="s">
        <v>22</v>
      </c>
      <c r="I6445" s="13" t="s">
        <v>13743</v>
      </c>
      <c r="J6445" s="14" t="str">
        <f>HYPERLINK("https://www.boe.es/gazeta/dias/1839/07/18/pdfs/GMD-1839-1706.pdf#page=4","Abrir facsímil")</f>
        <v>Abrir facsímil</v>
      </c>
      <c r="K6445" s="12" t="s">
        <v>24</v>
      </c>
    </row>
    <row r="6446" spans="1:11" ht="40.049999999999997" customHeight="1" x14ac:dyDescent="0.25">
      <c r="A6446" s="11" t="s">
        <v>13672</v>
      </c>
      <c r="B6446" s="11" t="s">
        <v>13672</v>
      </c>
      <c r="C6446" s="11" t="s">
        <v>59</v>
      </c>
      <c r="D6446" s="11" t="s">
        <v>60</v>
      </c>
      <c r="E6446" s="12" t="s">
        <v>1648</v>
      </c>
      <c r="F6446" s="12" t="s">
        <v>2458</v>
      </c>
      <c r="G6446" s="12" t="s">
        <v>29</v>
      </c>
      <c r="H6446" s="11" t="s">
        <v>22</v>
      </c>
      <c r="I6446" s="13" t="s">
        <v>13744</v>
      </c>
      <c r="J6446" s="14" t="str">
        <f>HYPERLINK("https://www.boe.es/datos/pdfs/BOE//1839/1739/E00001-00001.pdf#page=1","Abrir facsímil")</f>
        <v>Abrir facsímil</v>
      </c>
      <c r="K6446" s="12" t="s">
        <v>24</v>
      </c>
    </row>
    <row r="6447" spans="1:11" ht="40.049999999999997" customHeight="1" x14ac:dyDescent="0.25">
      <c r="A6447" s="11" t="s">
        <v>13672</v>
      </c>
      <c r="B6447" s="11" t="s">
        <v>13672</v>
      </c>
      <c r="C6447" s="11" t="s">
        <v>80</v>
      </c>
      <c r="D6447" s="11" t="s">
        <v>18</v>
      </c>
      <c r="E6447" s="12" t="s">
        <v>3668</v>
      </c>
      <c r="F6447" s="12" t="s">
        <v>3669</v>
      </c>
      <c r="G6447" s="12" t="s">
        <v>21</v>
      </c>
      <c r="H6447" s="11" t="s">
        <v>22</v>
      </c>
      <c r="I6447" s="13" t="s">
        <v>13745</v>
      </c>
      <c r="J6447" s="14" t="str">
        <f>HYPERLINK("https://www.boe.es/gazeta/dias/1839/05/19/pdfs/GMD-1839-1646.pdf#page=4","Abrir facsímil")</f>
        <v>Abrir facsímil</v>
      </c>
      <c r="K6447" s="12" t="s">
        <v>24</v>
      </c>
    </row>
    <row r="6448" spans="1:11" ht="40.049999999999997" customHeight="1" x14ac:dyDescent="0.25">
      <c r="A6448" s="11" t="s">
        <v>13672</v>
      </c>
      <c r="B6448" s="11" t="s">
        <v>13672</v>
      </c>
      <c r="C6448" s="11" t="s">
        <v>17</v>
      </c>
      <c r="D6448" s="11" t="s">
        <v>18</v>
      </c>
      <c r="E6448" s="12" t="s">
        <v>555</v>
      </c>
      <c r="F6448" s="12" t="s">
        <v>556</v>
      </c>
      <c r="G6448" s="12" t="s">
        <v>21</v>
      </c>
      <c r="H6448" s="11" t="s">
        <v>22</v>
      </c>
      <c r="I6448" s="13" t="s">
        <v>13746</v>
      </c>
      <c r="J6448" s="14" t="str">
        <f>HYPERLINK("https://www.boe.es/gazeta/dias/1839/07/19/pdfs/GMD-1839-1707.pdf#page=4","Abrir facsímil")</f>
        <v>Abrir facsímil</v>
      </c>
      <c r="K6448" s="12" t="s">
        <v>24</v>
      </c>
    </row>
    <row r="6449" spans="1:11" ht="40.049999999999997" customHeight="1" x14ac:dyDescent="0.25">
      <c r="A6449" s="11" t="s">
        <v>13672</v>
      </c>
      <c r="B6449" s="11" t="s">
        <v>13672</v>
      </c>
      <c r="C6449" s="11" t="s">
        <v>80</v>
      </c>
      <c r="D6449" s="11" t="s">
        <v>18</v>
      </c>
      <c r="E6449" s="12" t="s">
        <v>1654</v>
      </c>
      <c r="F6449" s="12" t="s">
        <v>1655</v>
      </c>
      <c r="G6449" s="12" t="s">
        <v>21</v>
      </c>
      <c r="H6449" s="11" t="s">
        <v>22</v>
      </c>
      <c r="I6449" s="13" t="s">
        <v>13747</v>
      </c>
      <c r="J6449" s="14" t="str">
        <f>HYPERLINK("https://www.boe.es/gazeta/dias/1839/11/19/pdfs/GMD-1839-1836.pdf#page=4","Abrir facsímil")</f>
        <v>Abrir facsímil</v>
      </c>
      <c r="K6449" s="12" t="s">
        <v>24</v>
      </c>
    </row>
    <row r="6450" spans="1:11" ht="40.049999999999997" customHeight="1" x14ac:dyDescent="0.25">
      <c r="A6450" s="11" t="s">
        <v>13672</v>
      </c>
      <c r="B6450" s="11" t="s">
        <v>13672</v>
      </c>
      <c r="C6450" s="11" t="s">
        <v>17</v>
      </c>
      <c r="D6450" s="11" t="s">
        <v>18</v>
      </c>
      <c r="E6450" s="12" t="s">
        <v>695</v>
      </c>
      <c r="F6450" s="12" t="s">
        <v>696</v>
      </c>
      <c r="G6450" s="12" t="s">
        <v>21</v>
      </c>
      <c r="H6450" s="11" t="s">
        <v>22</v>
      </c>
      <c r="I6450" s="13" t="s">
        <v>13748</v>
      </c>
      <c r="J6450" s="14" t="str">
        <f>HYPERLINK("https://www.boe.es/gazeta/dias/1839/12/19/pdfs/GMD-1839-1866.pdf#page=4","Abrir facsímil")</f>
        <v>Abrir facsímil</v>
      </c>
      <c r="K6450" s="12" t="s">
        <v>24</v>
      </c>
    </row>
    <row r="6451" spans="1:11" ht="40.049999999999997" customHeight="1" x14ac:dyDescent="0.25">
      <c r="A6451" s="11" t="s">
        <v>13672</v>
      </c>
      <c r="B6451" s="11" t="s">
        <v>13672</v>
      </c>
      <c r="C6451" s="11" t="s">
        <v>17</v>
      </c>
      <c r="D6451" s="11" t="s">
        <v>18</v>
      </c>
      <c r="E6451" s="12" t="s">
        <v>2253</v>
      </c>
      <c r="F6451" s="12" t="s">
        <v>2254</v>
      </c>
      <c r="G6451" s="12" t="s">
        <v>21</v>
      </c>
      <c r="H6451" s="11" t="s">
        <v>22</v>
      </c>
      <c r="I6451" s="13" t="s">
        <v>13749</v>
      </c>
      <c r="J6451" s="14" t="str">
        <f>HYPERLINK("https://www.boe.es/gazeta/dias/1839/02/20/pdfs/GMD-1839-1558.pdf#page=4","Abrir facsímil")</f>
        <v>Abrir facsímil</v>
      </c>
      <c r="K6451" s="12" t="s">
        <v>24</v>
      </c>
    </row>
    <row r="6452" spans="1:11" ht="40.049999999999997" customHeight="1" x14ac:dyDescent="0.25">
      <c r="A6452" s="11" t="s">
        <v>13672</v>
      </c>
      <c r="B6452" s="11" t="s">
        <v>13672</v>
      </c>
      <c r="C6452" s="11" t="s">
        <v>17</v>
      </c>
      <c r="D6452" s="11" t="s">
        <v>18</v>
      </c>
      <c r="E6452" s="12" t="s">
        <v>3009</v>
      </c>
      <c r="F6452" s="12" t="s">
        <v>3010</v>
      </c>
      <c r="G6452" s="12" t="s">
        <v>21</v>
      </c>
      <c r="H6452" s="11" t="s">
        <v>22</v>
      </c>
      <c r="I6452" s="13" t="s">
        <v>13750</v>
      </c>
      <c r="J6452" s="14" t="str">
        <f>HYPERLINK("https://www.boe.es/gazeta/dias/1839/04/20/pdfs/GMD-1839-1617.pdf#page=4","Abrir facsímil")</f>
        <v>Abrir facsímil</v>
      </c>
      <c r="K6452" s="12" t="s">
        <v>24</v>
      </c>
    </row>
    <row r="6453" spans="1:11" ht="40.049999999999997" customHeight="1" x14ac:dyDescent="0.25">
      <c r="A6453" s="11" t="s">
        <v>13672</v>
      </c>
      <c r="B6453" s="11" t="s">
        <v>13672</v>
      </c>
      <c r="C6453" s="11" t="s">
        <v>59</v>
      </c>
      <c r="D6453" s="11" t="s">
        <v>60</v>
      </c>
      <c r="E6453" s="12" t="s">
        <v>1584</v>
      </c>
      <c r="F6453" s="12" t="s">
        <v>1585</v>
      </c>
      <c r="G6453" s="12" t="s">
        <v>21</v>
      </c>
      <c r="H6453" s="11" t="s">
        <v>22</v>
      </c>
      <c r="I6453" s="13" t="s">
        <v>13751</v>
      </c>
      <c r="J6453" s="14" t="str">
        <f>HYPERLINK("https://www.boe.es/gazeta/dias/1839/11/20/pdfs/GMD-1839-1837.pdf#page=4","Abrir facsímil")</f>
        <v>Abrir facsímil</v>
      </c>
      <c r="K6453" s="12" t="s">
        <v>24</v>
      </c>
    </row>
    <row r="6454" spans="1:11" ht="40.049999999999997" customHeight="1" x14ac:dyDescent="0.25">
      <c r="A6454" s="11" t="s">
        <v>13672</v>
      </c>
      <c r="B6454" s="11" t="s">
        <v>13672</v>
      </c>
      <c r="C6454" s="11" t="s">
        <v>17</v>
      </c>
      <c r="D6454" s="11" t="s">
        <v>18</v>
      </c>
      <c r="E6454" s="12" t="s">
        <v>1517</v>
      </c>
      <c r="F6454" s="12" t="s">
        <v>1518</v>
      </c>
      <c r="G6454" s="12" t="s">
        <v>21</v>
      </c>
      <c r="H6454" s="11" t="s">
        <v>22</v>
      </c>
      <c r="I6454" s="13" t="s">
        <v>13752</v>
      </c>
      <c r="J6454" s="14" t="str">
        <f>HYPERLINK("https://www.boe.es/gazeta/dias/1839/12/20/pdfs/GMD-1839-1867.pdf#page=4","Abrir facsímil")</f>
        <v>Abrir facsímil</v>
      </c>
      <c r="K6454" s="12" t="s">
        <v>24</v>
      </c>
    </row>
    <row r="6455" spans="1:11" ht="40.049999999999997" customHeight="1" x14ac:dyDescent="0.25">
      <c r="A6455" s="11" t="s">
        <v>13672</v>
      </c>
      <c r="B6455" s="11" t="s">
        <v>13672</v>
      </c>
      <c r="C6455" s="11" t="s">
        <v>80</v>
      </c>
      <c r="D6455" s="11" t="s">
        <v>18</v>
      </c>
      <c r="E6455" s="12" t="s">
        <v>516</v>
      </c>
      <c r="F6455" s="12" t="s">
        <v>517</v>
      </c>
      <c r="G6455" s="12" t="s">
        <v>21</v>
      </c>
      <c r="H6455" s="11" t="s">
        <v>22</v>
      </c>
      <c r="I6455" s="13" t="s">
        <v>13753</v>
      </c>
      <c r="J6455" s="14" t="str">
        <f>HYPERLINK("https://www.boe.es/gazeta/dias/1839/06/21/pdfs/GMD-1839-1679.pdf#page=4","Abrir facsímil")</f>
        <v>Abrir facsímil</v>
      </c>
      <c r="K6455" s="12" t="s">
        <v>24</v>
      </c>
    </row>
    <row r="6456" spans="1:11" ht="40.049999999999997" customHeight="1" x14ac:dyDescent="0.25">
      <c r="A6456" s="11" t="s">
        <v>13672</v>
      </c>
      <c r="B6456" s="11" t="s">
        <v>13672</v>
      </c>
      <c r="C6456" s="11" t="s">
        <v>80</v>
      </c>
      <c r="D6456" s="11" t="s">
        <v>18</v>
      </c>
      <c r="E6456" s="12" t="s">
        <v>2215</v>
      </c>
      <c r="F6456" s="12" t="s">
        <v>2216</v>
      </c>
      <c r="G6456" s="12" t="s">
        <v>21</v>
      </c>
      <c r="H6456" s="11" t="s">
        <v>22</v>
      </c>
      <c r="I6456" s="13" t="s">
        <v>13754</v>
      </c>
      <c r="J6456" s="14" t="str">
        <f>HYPERLINK("https://www.boe.es/gazeta/dias/1839/07/21/pdfs/GMD-1839-1709.pdf#page=4","Abrir facsímil")</f>
        <v>Abrir facsímil</v>
      </c>
      <c r="K6456" s="12" t="s">
        <v>24</v>
      </c>
    </row>
    <row r="6457" spans="1:11" ht="40.049999999999997" customHeight="1" x14ac:dyDescent="0.25">
      <c r="A6457" s="11" t="s">
        <v>13672</v>
      </c>
      <c r="B6457" s="11" t="s">
        <v>13672</v>
      </c>
      <c r="C6457" s="11" t="s">
        <v>101</v>
      </c>
      <c r="D6457" s="11" t="s">
        <v>43</v>
      </c>
      <c r="E6457" s="12" t="s">
        <v>794</v>
      </c>
      <c r="F6457" s="12" t="s">
        <v>795</v>
      </c>
      <c r="G6457" s="12" t="s">
        <v>21</v>
      </c>
      <c r="H6457" s="11" t="s">
        <v>22</v>
      </c>
      <c r="I6457" s="13" t="s">
        <v>13755</v>
      </c>
      <c r="J6457" s="14" t="str">
        <f>HYPERLINK("https://www.boe.es/gazeta/dias/1839/01/22/pdfs/GMD-1839-1529.pdf#page=4","Abrir facsímil")</f>
        <v>Abrir facsímil</v>
      </c>
      <c r="K6457" s="12" t="s">
        <v>24</v>
      </c>
    </row>
    <row r="6458" spans="1:11" ht="40.049999999999997" customHeight="1" x14ac:dyDescent="0.25">
      <c r="A6458" s="11" t="s">
        <v>13672</v>
      </c>
      <c r="B6458" s="11" t="s">
        <v>13672</v>
      </c>
      <c r="C6458" s="11" t="s">
        <v>80</v>
      </c>
      <c r="D6458" s="11" t="s">
        <v>18</v>
      </c>
      <c r="E6458" s="12" t="s">
        <v>1794</v>
      </c>
      <c r="F6458" s="12" t="s">
        <v>1795</v>
      </c>
      <c r="G6458" s="12" t="s">
        <v>21</v>
      </c>
      <c r="H6458" s="11" t="s">
        <v>22</v>
      </c>
      <c r="I6458" s="13" t="s">
        <v>13756</v>
      </c>
      <c r="J6458" s="14" t="str">
        <f>HYPERLINK("https://www.boe.es/gazeta/dias/1839/02/22/pdfs/GMD-1839-1560.pdf#page=4","Abrir facsímil")</f>
        <v>Abrir facsímil</v>
      </c>
      <c r="K6458" s="12" t="s">
        <v>24</v>
      </c>
    </row>
    <row r="6459" spans="1:11" ht="40.049999999999997" customHeight="1" x14ac:dyDescent="0.25">
      <c r="A6459" s="11" t="s">
        <v>13672</v>
      </c>
      <c r="B6459" s="11" t="s">
        <v>13672</v>
      </c>
      <c r="C6459" s="11" t="s">
        <v>17</v>
      </c>
      <c r="D6459" s="11" t="s">
        <v>18</v>
      </c>
      <c r="E6459" s="12" t="s">
        <v>1663</v>
      </c>
      <c r="F6459" s="12" t="s">
        <v>1664</v>
      </c>
      <c r="G6459" s="12" t="s">
        <v>40</v>
      </c>
      <c r="H6459" s="11" t="s">
        <v>22</v>
      </c>
      <c r="I6459" s="13" t="s">
        <v>13757</v>
      </c>
      <c r="J6459" s="14" t="str">
        <f>HYPERLINK("https://www.boe.es/gazeta/dias/1839/03/22/pdfs/GMD-1839-1588.pdf#page=2","Abrir facsímil")</f>
        <v>Abrir facsímil</v>
      </c>
      <c r="K6459" s="12" t="s">
        <v>24</v>
      </c>
    </row>
    <row r="6460" spans="1:11" ht="40.049999999999997" customHeight="1" x14ac:dyDescent="0.25">
      <c r="A6460" s="11" t="s">
        <v>13672</v>
      </c>
      <c r="B6460" s="11" t="s">
        <v>13672</v>
      </c>
      <c r="C6460" s="11" t="s">
        <v>101</v>
      </c>
      <c r="D6460" s="11" t="s">
        <v>43</v>
      </c>
      <c r="E6460" s="12" t="s">
        <v>1663</v>
      </c>
      <c r="F6460" s="12" t="s">
        <v>1664</v>
      </c>
      <c r="G6460" s="12" t="s">
        <v>21</v>
      </c>
      <c r="H6460" s="11" t="s">
        <v>22</v>
      </c>
      <c r="I6460" s="13" t="s">
        <v>13758</v>
      </c>
      <c r="J6460" s="14" t="str">
        <f>HYPERLINK("https://www.boe.es/gazeta/dias/1839/03/22/pdfs/GMD-1839-1588.pdf#page=4","Abrir facsímil")</f>
        <v>Abrir facsímil</v>
      </c>
      <c r="K6460" s="12" t="s">
        <v>24</v>
      </c>
    </row>
    <row r="6461" spans="1:11" ht="40.049999999999997" customHeight="1" x14ac:dyDescent="0.25">
      <c r="A6461" s="11" t="s">
        <v>13672</v>
      </c>
      <c r="B6461" s="11" t="s">
        <v>13672</v>
      </c>
      <c r="C6461" s="11" t="s">
        <v>17</v>
      </c>
      <c r="D6461" s="11" t="s">
        <v>18</v>
      </c>
      <c r="E6461" s="12" t="s">
        <v>7119</v>
      </c>
      <c r="F6461" s="12" t="s">
        <v>7120</v>
      </c>
      <c r="G6461" s="12" t="s">
        <v>21</v>
      </c>
      <c r="H6461" s="11" t="s">
        <v>22</v>
      </c>
      <c r="I6461" s="13" t="s">
        <v>13759</v>
      </c>
      <c r="J6461" s="14" t="str">
        <f>HYPERLINK("https://www.boe.es/gazeta/dias/1839/05/22/pdfs/GMD-1839-1649.pdf#page=4","Abrir facsímil")</f>
        <v>Abrir facsímil</v>
      </c>
      <c r="K6461" s="12" t="s">
        <v>24</v>
      </c>
    </row>
    <row r="6462" spans="1:11" ht="40.049999999999997" customHeight="1" x14ac:dyDescent="0.25">
      <c r="A6462" s="11" t="s">
        <v>13672</v>
      </c>
      <c r="B6462" s="11" t="s">
        <v>13672</v>
      </c>
      <c r="C6462" s="11" t="s">
        <v>80</v>
      </c>
      <c r="D6462" s="11" t="s">
        <v>18</v>
      </c>
      <c r="E6462" s="12" t="s">
        <v>1433</v>
      </c>
      <c r="F6462" s="12" t="s">
        <v>1434</v>
      </c>
      <c r="G6462" s="12" t="s">
        <v>21</v>
      </c>
      <c r="H6462" s="11" t="s">
        <v>22</v>
      </c>
      <c r="I6462" s="13" t="s">
        <v>13760</v>
      </c>
      <c r="J6462" s="14" t="str">
        <f>HYPERLINK("https://www.boe.es/gazeta/dias/1839/10/22/pdfs/GMD-1839-1808.pdf#page=4","Abrir facsímil")</f>
        <v>Abrir facsímil</v>
      </c>
      <c r="K6462" s="12" t="s">
        <v>24</v>
      </c>
    </row>
    <row r="6463" spans="1:11" ht="40.049999999999997" customHeight="1" x14ac:dyDescent="0.25">
      <c r="A6463" s="11" t="s">
        <v>13672</v>
      </c>
      <c r="B6463" s="11" t="s">
        <v>13672</v>
      </c>
      <c r="C6463" s="11" t="s">
        <v>80</v>
      </c>
      <c r="D6463" s="11" t="s">
        <v>18</v>
      </c>
      <c r="E6463" s="12" t="s">
        <v>1012</v>
      </c>
      <c r="F6463" s="12" t="s">
        <v>1013</v>
      </c>
      <c r="G6463" s="12" t="s">
        <v>21</v>
      </c>
      <c r="H6463" s="11" t="s">
        <v>22</v>
      </c>
      <c r="I6463" s="13" t="s">
        <v>13761</v>
      </c>
      <c r="J6463" s="14" t="str">
        <f>HYPERLINK("https://www.boe.es/gazeta/dias/1839/11/22/pdfs/GMD-1839-1839.pdf#page=4","Abrir facsímil")</f>
        <v>Abrir facsímil</v>
      </c>
      <c r="K6463" s="12" t="s">
        <v>24</v>
      </c>
    </row>
    <row r="6464" spans="1:11" ht="40.049999999999997" customHeight="1" x14ac:dyDescent="0.25">
      <c r="A6464" s="11" t="s">
        <v>13672</v>
      </c>
      <c r="B6464" s="11" t="s">
        <v>13672</v>
      </c>
      <c r="C6464" s="11" t="s">
        <v>17</v>
      </c>
      <c r="D6464" s="11" t="s">
        <v>18</v>
      </c>
      <c r="E6464" s="12" t="s">
        <v>1895</v>
      </c>
      <c r="F6464" s="12" t="s">
        <v>1896</v>
      </c>
      <c r="G6464" s="12" t="s">
        <v>46</v>
      </c>
      <c r="H6464" s="11" t="s">
        <v>22</v>
      </c>
      <c r="I6464" s="13" t="s">
        <v>13762</v>
      </c>
      <c r="J6464" s="14" t="str">
        <f>HYPERLINK("https://www.boe.es/gazeta/dias/1839/12/23/pdfs/GMD-1839-1870.pdf#page=3","Abrir facsímil")</f>
        <v>Abrir facsímil</v>
      </c>
      <c r="K6464" s="12" t="s">
        <v>24</v>
      </c>
    </row>
    <row r="6465" spans="1:11" ht="40.049999999999997" customHeight="1" x14ac:dyDescent="0.25">
      <c r="A6465" s="11" t="s">
        <v>13672</v>
      </c>
      <c r="B6465" s="11" t="s">
        <v>13672</v>
      </c>
      <c r="C6465" s="11" t="s">
        <v>80</v>
      </c>
      <c r="D6465" s="11" t="s">
        <v>18</v>
      </c>
      <c r="E6465" s="12" t="s">
        <v>664</v>
      </c>
      <c r="F6465" s="12" t="s">
        <v>665</v>
      </c>
      <c r="G6465" s="12" t="s">
        <v>21</v>
      </c>
      <c r="H6465" s="11" t="s">
        <v>22</v>
      </c>
      <c r="I6465" s="13" t="s">
        <v>13763</v>
      </c>
      <c r="J6465" s="14" t="str">
        <f>HYPERLINK("https://www.boe.es/gazeta/dias/1839/01/24/pdfs/GMD-1839-1531.pdf#page=4","Abrir facsímil")</f>
        <v>Abrir facsímil</v>
      </c>
      <c r="K6465" s="12" t="s">
        <v>24</v>
      </c>
    </row>
    <row r="6466" spans="1:11" ht="40.049999999999997" customHeight="1" x14ac:dyDescent="0.25">
      <c r="A6466" s="11" t="s">
        <v>13672</v>
      </c>
      <c r="B6466" s="11" t="s">
        <v>13672</v>
      </c>
      <c r="C6466" s="11" t="s">
        <v>17</v>
      </c>
      <c r="D6466" s="11" t="s">
        <v>18</v>
      </c>
      <c r="E6466" s="12" t="s">
        <v>1208</v>
      </c>
      <c r="F6466" s="12" t="s">
        <v>1209</v>
      </c>
      <c r="G6466" s="12" t="s">
        <v>21</v>
      </c>
      <c r="H6466" s="11" t="s">
        <v>22</v>
      </c>
      <c r="I6466" s="13" t="s">
        <v>13764</v>
      </c>
      <c r="J6466" s="14" t="str">
        <f>HYPERLINK("https://www.boe.es/gazeta/dias/1839/04/24/pdfs/GMD-1839-1621.pdf#page=4","Abrir facsímil")</f>
        <v>Abrir facsímil</v>
      </c>
      <c r="K6466" s="12" t="s">
        <v>24</v>
      </c>
    </row>
    <row r="6467" spans="1:11" ht="40.049999999999997" customHeight="1" x14ac:dyDescent="0.25">
      <c r="A6467" s="11" t="s">
        <v>13672</v>
      </c>
      <c r="B6467" s="11" t="s">
        <v>13672</v>
      </c>
      <c r="C6467" s="11" t="s">
        <v>137</v>
      </c>
      <c r="D6467" s="11" t="s">
        <v>18</v>
      </c>
      <c r="E6467" s="12" t="s">
        <v>246</v>
      </c>
      <c r="F6467" s="12" t="s">
        <v>247</v>
      </c>
      <c r="G6467" s="12" t="s">
        <v>21</v>
      </c>
      <c r="H6467" s="11" t="s">
        <v>22</v>
      </c>
      <c r="I6467" s="13" t="s">
        <v>13765</v>
      </c>
      <c r="J6467" s="14" t="str">
        <f>HYPERLINK("https://www.boe.es/gazeta/dias/1839/11/24/pdfs/GMD-1839-1841.pdf#page=4","Abrir facsímil")</f>
        <v>Abrir facsímil</v>
      </c>
      <c r="K6467" s="12" t="s">
        <v>24</v>
      </c>
    </row>
    <row r="6468" spans="1:11" ht="40.049999999999997" customHeight="1" x14ac:dyDescent="0.25">
      <c r="A6468" s="11" t="s">
        <v>13672</v>
      </c>
      <c r="B6468" s="11" t="s">
        <v>13672</v>
      </c>
      <c r="C6468" s="11" t="s">
        <v>80</v>
      </c>
      <c r="D6468" s="11" t="s">
        <v>18</v>
      </c>
      <c r="E6468" s="12" t="s">
        <v>775</v>
      </c>
      <c r="F6468" s="12" t="s">
        <v>776</v>
      </c>
      <c r="G6468" s="12" t="s">
        <v>21</v>
      </c>
      <c r="H6468" s="11" t="s">
        <v>22</v>
      </c>
      <c r="I6468" s="13" t="s">
        <v>13766</v>
      </c>
      <c r="J6468" s="14" t="str">
        <f>HYPERLINK("https://www.boe.es/gazeta/dias/1839/02/25/pdfs/GMD-1839-1563.pdf#page=4","Abrir facsímil")</f>
        <v>Abrir facsímil</v>
      </c>
      <c r="K6468" s="12" t="s">
        <v>24</v>
      </c>
    </row>
    <row r="6469" spans="1:11" ht="40.049999999999997" customHeight="1" x14ac:dyDescent="0.25">
      <c r="A6469" s="11" t="s">
        <v>13672</v>
      </c>
      <c r="B6469" s="11" t="s">
        <v>13672</v>
      </c>
      <c r="C6469" s="11" t="s">
        <v>17</v>
      </c>
      <c r="D6469" s="11" t="s">
        <v>18</v>
      </c>
      <c r="E6469" s="12" t="s">
        <v>405</v>
      </c>
      <c r="F6469" s="12" t="s">
        <v>406</v>
      </c>
      <c r="G6469" s="12" t="s">
        <v>21</v>
      </c>
      <c r="H6469" s="11" t="s">
        <v>22</v>
      </c>
      <c r="I6469" s="13" t="s">
        <v>13767</v>
      </c>
      <c r="J6469" s="14" t="str">
        <f>HYPERLINK("https://www.boe.es/gazeta/dias/1839/03/25/pdfs/GMD-1839-1591.pdf#page=4","Abrir facsímil")</f>
        <v>Abrir facsímil</v>
      </c>
      <c r="K6469" s="12" t="s">
        <v>24</v>
      </c>
    </row>
    <row r="6470" spans="1:11" ht="40.049999999999997" customHeight="1" x14ac:dyDescent="0.25">
      <c r="A6470" s="11" t="s">
        <v>13672</v>
      </c>
      <c r="B6470" s="11" t="s">
        <v>13672</v>
      </c>
      <c r="C6470" s="11" t="s">
        <v>80</v>
      </c>
      <c r="D6470" s="11" t="s">
        <v>18</v>
      </c>
      <c r="E6470" s="12" t="s">
        <v>1446</v>
      </c>
      <c r="F6470" s="12" t="s">
        <v>1447</v>
      </c>
      <c r="G6470" s="12" t="s">
        <v>21</v>
      </c>
      <c r="H6470" s="11" t="s">
        <v>22</v>
      </c>
      <c r="I6470" s="13" t="s">
        <v>13768</v>
      </c>
      <c r="J6470" s="14" t="str">
        <f>HYPERLINK("https://www.boe.es/gazeta/dias/1839/08/25/pdfs/GMD-1839-1746.pdf#page=4","Abrir facsímil")</f>
        <v>Abrir facsímil</v>
      </c>
      <c r="K6470" s="12" t="s">
        <v>24</v>
      </c>
    </row>
    <row r="6471" spans="1:11" ht="40.049999999999997" customHeight="1" x14ac:dyDescent="0.25">
      <c r="A6471" s="11" t="s">
        <v>13672</v>
      </c>
      <c r="B6471" s="11" t="s">
        <v>13672</v>
      </c>
      <c r="C6471" s="11" t="s">
        <v>17</v>
      </c>
      <c r="D6471" s="11" t="s">
        <v>18</v>
      </c>
      <c r="E6471" s="12" t="s">
        <v>4787</v>
      </c>
      <c r="F6471" s="12" t="s">
        <v>4788</v>
      </c>
      <c r="G6471" s="12" t="s">
        <v>21</v>
      </c>
      <c r="H6471" s="11" t="s">
        <v>22</v>
      </c>
      <c r="I6471" s="13" t="s">
        <v>13769</v>
      </c>
      <c r="J6471" s="14" t="str">
        <f>HYPERLINK("https://www.boe.es/gazeta/dias/1839/05/26/pdfs/GMD-1839-1653.pdf#page=4","Abrir facsímil")</f>
        <v>Abrir facsímil</v>
      </c>
      <c r="K6471" s="12" t="s">
        <v>24</v>
      </c>
    </row>
    <row r="6472" spans="1:11" ht="40.049999999999997" customHeight="1" x14ac:dyDescent="0.25">
      <c r="A6472" s="11" t="s">
        <v>13672</v>
      </c>
      <c r="B6472" s="11" t="s">
        <v>13672</v>
      </c>
      <c r="C6472" s="11" t="s">
        <v>17</v>
      </c>
      <c r="D6472" s="11" t="s">
        <v>18</v>
      </c>
      <c r="E6472" s="12" t="s">
        <v>1395</v>
      </c>
      <c r="F6472" s="12" t="s">
        <v>1396</v>
      </c>
      <c r="G6472" s="12" t="s">
        <v>21</v>
      </c>
      <c r="H6472" s="11" t="s">
        <v>22</v>
      </c>
      <c r="I6472" s="13" t="s">
        <v>13770</v>
      </c>
      <c r="J6472" s="14" t="str">
        <f>HYPERLINK("https://www.boe.es/gazeta/dias/1839/06/26/pdfs/GMD-1839-1684.pdf#page=4","Abrir facsímil")</f>
        <v>Abrir facsímil</v>
      </c>
      <c r="K6472" s="12" t="s">
        <v>24</v>
      </c>
    </row>
    <row r="6473" spans="1:11" ht="40.049999999999997" customHeight="1" x14ac:dyDescent="0.25">
      <c r="A6473" s="11" t="s">
        <v>13672</v>
      </c>
      <c r="B6473" s="11" t="s">
        <v>13672</v>
      </c>
      <c r="C6473" s="11" t="s">
        <v>17</v>
      </c>
      <c r="D6473" s="11" t="s">
        <v>18</v>
      </c>
      <c r="E6473" s="12" t="s">
        <v>638</v>
      </c>
      <c r="F6473" s="12" t="s">
        <v>639</v>
      </c>
      <c r="G6473" s="12" t="s">
        <v>21</v>
      </c>
      <c r="H6473" s="11" t="s">
        <v>22</v>
      </c>
      <c r="I6473" s="13" t="s">
        <v>13771</v>
      </c>
      <c r="J6473" s="14" t="str">
        <f>HYPERLINK("https://www.boe.es/gazeta/dias/1839/08/26/pdfs/GMD-1839-1747.pdf#page=4","Abrir facsímil")</f>
        <v>Abrir facsímil</v>
      </c>
      <c r="K6473" s="12" t="s">
        <v>24</v>
      </c>
    </row>
    <row r="6474" spans="1:11" ht="40.049999999999997" customHeight="1" x14ac:dyDescent="0.25">
      <c r="A6474" s="11" t="s">
        <v>13672</v>
      </c>
      <c r="B6474" s="11" t="s">
        <v>13672</v>
      </c>
      <c r="C6474" s="11" t="s">
        <v>80</v>
      </c>
      <c r="D6474" s="11" t="s">
        <v>18</v>
      </c>
      <c r="E6474" s="12" t="s">
        <v>284</v>
      </c>
      <c r="F6474" s="12" t="s">
        <v>285</v>
      </c>
      <c r="G6474" s="12" t="s">
        <v>21</v>
      </c>
      <c r="H6474" s="11" t="s">
        <v>22</v>
      </c>
      <c r="I6474" s="13" t="s">
        <v>13772</v>
      </c>
      <c r="J6474" s="14" t="str">
        <f>HYPERLINK("https://www.boe.es/gazeta/dias/1839/01/27/pdfs/GMD-1839-1534.pdf#page=4","Abrir facsímil")</f>
        <v>Abrir facsímil</v>
      </c>
      <c r="K6474" s="12" t="s">
        <v>24</v>
      </c>
    </row>
    <row r="6475" spans="1:11" ht="40.049999999999997" customHeight="1" x14ac:dyDescent="0.25">
      <c r="A6475" s="11" t="s">
        <v>13672</v>
      </c>
      <c r="B6475" s="11" t="s">
        <v>13672</v>
      </c>
      <c r="C6475" s="11" t="s">
        <v>17</v>
      </c>
      <c r="D6475" s="11" t="s">
        <v>18</v>
      </c>
      <c r="E6475" s="12" t="s">
        <v>1685</v>
      </c>
      <c r="F6475" s="12" t="s">
        <v>1686</v>
      </c>
      <c r="G6475" s="12" t="s">
        <v>21</v>
      </c>
      <c r="H6475" s="11" t="s">
        <v>22</v>
      </c>
      <c r="I6475" s="13" t="s">
        <v>13773</v>
      </c>
      <c r="J6475" s="14" t="str">
        <f>HYPERLINK("https://www.boe.es/gazeta/dias/1839/04/27/pdfs/GMD-1839-1624.pdf#page=4","Abrir facsímil")</f>
        <v>Abrir facsímil</v>
      </c>
      <c r="K6475" s="12" t="s">
        <v>24</v>
      </c>
    </row>
    <row r="6476" spans="1:11" ht="40.049999999999997" customHeight="1" x14ac:dyDescent="0.25">
      <c r="A6476" s="11" t="s">
        <v>13672</v>
      </c>
      <c r="B6476" s="11" t="s">
        <v>13672</v>
      </c>
      <c r="C6476" s="11" t="s">
        <v>17</v>
      </c>
      <c r="D6476" s="11" t="s">
        <v>18</v>
      </c>
      <c r="E6476" s="12" t="s">
        <v>1588</v>
      </c>
      <c r="F6476" s="12" t="s">
        <v>1589</v>
      </c>
      <c r="G6476" s="12" t="s">
        <v>21</v>
      </c>
      <c r="H6476" s="11" t="s">
        <v>22</v>
      </c>
      <c r="I6476" s="13" t="s">
        <v>13774</v>
      </c>
      <c r="J6476" s="14" t="str">
        <f>HYPERLINK("https://www.boe.es/gazeta/dias/1839/07/27/pdfs/GMD-1839-1716.pdf#page=4","Abrir facsímil")</f>
        <v>Abrir facsímil</v>
      </c>
      <c r="K6476" s="12" t="s">
        <v>24</v>
      </c>
    </row>
    <row r="6477" spans="1:11" ht="40.049999999999997" customHeight="1" x14ac:dyDescent="0.25">
      <c r="A6477" s="11" t="s">
        <v>13672</v>
      </c>
      <c r="B6477" s="11" t="s">
        <v>13672</v>
      </c>
      <c r="C6477" s="11" t="s">
        <v>17</v>
      </c>
      <c r="D6477" s="11" t="s">
        <v>18</v>
      </c>
      <c r="E6477" s="12" t="s">
        <v>571</v>
      </c>
      <c r="F6477" s="12" t="s">
        <v>572</v>
      </c>
      <c r="G6477" s="12" t="s">
        <v>305</v>
      </c>
      <c r="H6477" s="11" t="s">
        <v>22</v>
      </c>
      <c r="I6477" s="13" t="s">
        <v>13775</v>
      </c>
      <c r="J6477" s="14" t="str">
        <f>HYPERLINK("https://www.boe.es/gazeta/dias/1839/09/27/pdfs/GMD-1839-1783.pdf#page=6","Abrir facsímil")</f>
        <v>Abrir facsímil</v>
      </c>
      <c r="K6477" s="12" t="s">
        <v>24</v>
      </c>
    </row>
    <row r="6478" spans="1:11" ht="40.049999999999997" customHeight="1" x14ac:dyDescent="0.25">
      <c r="A6478" s="11" t="s">
        <v>13672</v>
      </c>
      <c r="B6478" s="11" t="s">
        <v>13672</v>
      </c>
      <c r="C6478" s="11" t="s">
        <v>80</v>
      </c>
      <c r="D6478" s="11" t="s">
        <v>18</v>
      </c>
      <c r="E6478" s="12" t="s">
        <v>817</v>
      </c>
      <c r="F6478" s="12" t="s">
        <v>818</v>
      </c>
      <c r="G6478" s="12" t="s">
        <v>21</v>
      </c>
      <c r="H6478" s="11" t="s">
        <v>22</v>
      </c>
      <c r="I6478" s="13" t="s">
        <v>13776</v>
      </c>
      <c r="J6478" s="14" t="str">
        <f>HYPERLINK("https://www.boe.es/gazeta/dias/1839/05/28/pdfs/GMD-1839-1655.pdf#page=4","Abrir facsímil")</f>
        <v>Abrir facsímil</v>
      </c>
      <c r="K6478" s="12" t="s">
        <v>24</v>
      </c>
    </row>
    <row r="6479" spans="1:11" ht="40.049999999999997" customHeight="1" x14ac:dyDescent="0.25">
      <c r="A6479" s="11" t="s">
        <v>13672</v>
      </c>
      <c r="B6479" s="11" t="s">
        <v>13672</v>
      </c>
      <c r="C6479" s="11" t="s">
        <v>17</v>
      </c>
      <c r="D6479" s="11" t="s">
        <v>18</v>
      </c>
      <c r="E6479" s="12" t="s">
        <v>4463</v>
      </c>
      <c r="F6479" s="12" t="s">
        <v>4464</v>
      </c>
      <c r="G6479" s="12" t="s">
        <v>21</v>
      </c>
      <c r="H6479" s="11" t="s">
        <v>22</v>
      </c>
      <c r="I6479" s="13" t="s">
        <v>13777</v>
      </c>
      <c r="J6479" s="14" t="str">
        <f>HYPERLINK("https://www.boe.es/gazeta/dias/1839/08/28/pdfs/GMD-1839-1749.pdf#page=4","Abrir facsímil")</f>
        <v>Abrir facsímil</v>
      </c>
      <c r="K6479" s="12" t="s">
        <v>24</v>
      </c>
    </row>
    <row r="6480" spans="1:11" ht="40.049999999999997" customHeight="1" x14ac:dyDescent="0.25">
      <c r="A6480" s="11" t="s">
        <v>13672</v>
      </c>
      <c r="B6480" s="11" t="s">
        <v>13672</v>
      </c>
      <c r="C6480" s="11" t="s">
        <v>17</v>
      </c>
      <c r="D6480" s="11" t="s">
        <v>18</v>
      </c>
      <c r="E6480" s="12" t="s">
        <v>1807</v>
      </c>
      <c r="F6480" s="12" t="s">
        <v>1808</v>
      </c>
      <c r="G6480" s="12" t="s">
        <v>21</v>
      </c>
      <c r="H6480" s="11" t="s">
        <v>22</v>
      </c>
      <c r="I6480" s="13" t="s">
        <v>13778</v>
      </c>
      <c r="J6480" s="14" t="str">
        <f>HYPERLINK("https://www.boe.es/gazeta/dias/1839/01/29/pdfs/GMD-1839-1536.pdf#page=4","Abrir facsímil")</f>
        <v>Abrir facsímil</v>
      </c>
      <c r="K6480" s="12" t="s">
        <v>24</v>
      </c>
    </row>
    <row r="6481" spans="1:11" ht="40.049999999999997" customHeight="1" x14ac:dyDescent="0.25">
      <c r="A6481" s="11" t="s">
        <v>13672</v>
      </c>
      <c r="B6481" s="11" t="s">
        <v>13672</v>
      </c>
      <c r="C6481" s="11" t="s">
        <v>17</v>
      </c>
      <c r="D6481" s="11" t="s">
        <v>18</v>
      </c>
      <c r="E6481" s="12" t="s">
        <v>401</v>
      </c>
      <c r="F6481" s="12" t="s">
        <v>402</v>
      </c>
      <c r="G6481" s="12" t="s">
        <v>21</v>
      </c>
      <c r="H6481" s="11" t="s">
        <v>22</v>
      </c>
      <c r="I6481" s="13" t="s">
        <v>13779</v>
      </c>
      <c r="J6481" s="14" t="str">
        <f>HYPERLINK("https://www.boe.es/gazeta/dias/1839/03/29/pdfs/GMD-1839-1595.pdf#page=4","Abrir facsímil")</f>
        <v>Abrir facsímil</v>
      </c>
      <c r="K6481" s="12" t="s">
        <v>24</v>
      </c>
    </row>
    <row r="6482" spans="1:11" ht="40.049999999999997" customHeight="1" x14ac:dyDescent="0.25">
      <c r="A6482" s="11" t="s">
        <v>13672</v>
      </c>
      <c r="B6482" s="11" t="s">
        <v>13672</v>
      </c>
      <c r="C6482" s="11" t="s">
        <v>80</v>
      </c>
      <c r="D6482" s="11" t="s">
        <v>18</v>
      </c>
      <c r="E6482" s="12" t="s">
        <v>616</v>
      </c>
      <c r="F6482" s="12" t="s">
        <v>617</v>
      </c>
      <c r="G6482" s="12" t="s">
        <v>21</v>
      </c>
      <c r="H6482" s="11" t="s">
        <v>22</v>
      </c>
      <c r="I6482" s="13" t="s">
        <v>13780</v>
      </c>
      <c r="J6482" s="14" t="str">
        <f>HYPERLINK("https://www.boe.es/gazeta/dias/1839/05/29/pdfs/GMD-1839-1656.pdf#page=4","Abrir facsímil")</f>
        <v>Abrir facsímil</v>
      </c>
      <c r="K6482" s="12" t="s">
        <v>24</v>
      </c>
    </row>
    <row r="6483" spans="1:11" ht="40.049999999999997" customHeight="1" x14ac:dyDescent="0.25">
      <c r="A6483" s="11" t="s">
        <v>13672</v>
      </c>
      <c r="B6483" s="11" t="s">
        <v>13672</v>
      </c>
      <c r="C6483" s="11" t="s">
        <v>80</v>
      </c>
      <c r="D6483" s="11" t="s">
        <v>18</v>
      </c>
      <c r="E6483" s="12" t="s">
        <v>2349</v>
      </c>
      <c r="F6483" s="12" t="s">
        <v>2350</v>
      </c>
      <c r="G6483" s="12" t="s">
        <v>305</v>
      </c>
      <c r="H6483" s="11" t="s">
        <v>22</v>
      </c>
      <c r="I6483" s="13" t="s">
        <v>13781</v>
      </c>
      <c r="J6483" s="14" t="str">
        <f>HYPERLINK("https://www.boe.es/gazeta/dias/1839/09/29/pdfs/GMD-1839-1785.pdf#page=6","Abrir facsímil")</f>
        <v>Abrir facsímil</v>
      </c>
      <c r="K6483" s="12" t="s">
        <v>24</v>
      </c>
    </row>
    <row r="6484" spans="1:11" ht="40.049999999999997" customHeight="1" x14ac:dyDescent="0.25">
      <c r="A6484" s="11" t="s">
        <v>13672</v>
      </c>
      <c r="B6484" s="11" t="s">
        <v>13672</v>
      </c>
      <c r="C6484" s="11" t="s">
        <v>17</v>
      </c>
      <c r="D6484" s="11" t="s">
        <v>18</v>
      </c>
      <c r="E6484" s="12" t="s">
        <v>1867</v>
      </c>
      <c r="F6484" s="12" t="s">
        <v>1868</v>
      </c>
      <c r="G6484" s="12" t="s">
        <v>21</v>
      </c>
      <c r="H6484" s="11" t="s">
        <v>22</v>
      </c>
      <c r="I6484" s="13" t="s">
        <v>13782</v>
      </c>
      <c r="J6484" s="14" t="str">
        <f>HYPERLINK("https://www.boe.es/gazeta/dias/1839/01/30/pdfs/GMD-1839-1537.pdf#page=4","Abrir facsímil")</f>
        <v>Abrir facsímil</v>
      </c>
      <c r="K6484" s="12" t="s">
        <v>24</v>
      </c>
    </row>
    <row r="6485" spans="1:11" ht="40.049999999999997" customHeight="1" x14ac:dyDescent="0.25">
      <c r="A6485" s="11" t="s">
        <v>13672</v>
      </c>
      <c r="B6485" s="11" t="s">
        <v>13672</v>
      </c>
      <c r="C6485" s="11" t="s">
        <v>17</v>
      </c>
      <c r="D6485" s="11" t="s">
        <v>18</v>
      </c>
      <c r="E6485" s="12" t="s">
        <v>716</v>
      </c>
      <c r="F6485" s="12" t="s">
        <v>717</v>
      </c>
      <c r="G6485" s="12" t="s">
        <v>21</v>
      </c>
      <c r="H6485" s="11" t="s">
        <v>22</v>
      </c>
      <c r="I6485" s="13" t="s">
        <v>13783</v>
      </c>
      <c r="J6485" s="14" t="str">
        <f>HYPERLINK("https://www.boe.es/gazeta/dias/1839/07/30/pdfs/GMD-1839-1719.pdf#page=4","Abrir facsímil")</f>
        <v>Abrir facsímil</v>
      </c>
      <c r="K6485" s="12" t="s">
        <v>24</v>
      </c>
    </row>
    <row r="6486" spans="1:11" ht="40.049999999999997" customHeight="1" x14ac:dyDescent="0.25">
      <c r="A6486" s="11" t="s">
        <v>13672</v>
      </c>
      <c r="B6486" s="11" t="s">
        <v>13672</v>
      </c>
      <c r="C6486" s="11" t="s">
        <v>80</v>
      </c>
      <c r="D6486" s="11" t="s">
        <v>18</v>
      </c>
      <c r="E6486" s="12" t="s">
        <v>1118</v>
      </c>
      <c r="F6486" s="12" t="s">
        <v>1119</v>
      </c>
      <c r="G6486" s="12" t="s">
        <v>21</v>
      </c>
      <c r="H6486" s="11" t="s">
        <v>22</v>
      </c>
      <c r="I6486" s="13" t="s">
        <v>13784</v>
      </c>
      <c r="J6486" s="14" t="str">
        <f>HYPERLINK("https://www.boe.es/gazeta/dias/1839/08/30/pdfs/GMD-1839-1751.pdf#page=4","Abrir facsímil")</f>
        <v>Abrir facsímil</v>
      </c>
      <c r="K6486" s="12" t="s">
        <v>24</v>
      </c>
    </row>
    <row r="6487" spans="1:11" ht="40.049999999999997" customHeight="1" x14ac:dyDescent="0.25">
      <c r="A6487" s="11" t="s">
        <v>13672</v>
      </c>
      <c r="B6487" s="11" t="s">
        <v>13672</v>
      </c>
      <c r="C6487" s="11" t="s">
        <v>137</v>
      </c>
      <c r="D6487" s="11" t="s">
        <v>18</v>
      </c>
      <c r="E6487" s="12" t="s">
        <v>951</v>
      </c>
      <c r="F6487" s="12" t="s">
        <v>952</v>
      </c>
      <c r="G6487" s="12" t="s">
        <v>21</v>
      </c>
      <c r="H6487" s="11" t="s">
        <v>22</v>
      </c>
      <c r="I6487" s="13" t="s">
        <v>13785</v>
      </c>
      <c r="J6487" s="14" t="str">
        <f>HYPERLINK("https://www.boe.es/gazeta/dias/1839/12/30/pdfs/GMD-1839-1877.pdf#page=4","Abrir facsímil")</f>
        <v>Abrir facsímil</v>
      </c>
      <c r="K6487" s="12" t="s">
        <v>24</v>
      </c>
    </row>
    <row r="6488" spans="1:11" ht="40.049999999999997" customHeight="1" x14ac:dyDescent="0.25">
      <c r="A6488" s="11" t="s">
        <v>13672</v>
      </c>
      <c r="B6488" s="11" t="s">
        <v>13672</v>
      </c>
      <c r="C6488" s="11" t="s">
        <v>17</v>
      </c>
      <c r="D6488" s="11" t="s">
        <v>18</v>
      </c>
      <c r="E6488" s="12" t="s">
        <v>929</v>
      </c>
      <c r="F6488" s="12" t="s">
        <v>930</v>
      </c>
      <c r="G6488" s="12" t="s">
        <v>21</v>
      </c>
      <c r="H6488" s="11" t="s">
        <v>22</v>
      </c>
      <c r="I6488" s="13" t="s">
        <v>13786</v>
      </c>
      <c r="J6488" s="14" t="str">
        <f>HYPERLINK("https://www.boe.es/gazeta/dias/1839/01/31/pdfs/GMD-1839-1538.pdf#page=4","Abrir facsímil")</f>
        <v>Abrir facsímil</v>
      </c>
      <c r="K6488" s="12" t="s">
        <v>24</v>
      </c>
    </row>
    <row r="6489" spans="1:11" ht="40.049999999999997" customHeight="1" x14ac:dyDescent="0.25">
      <c r="A6489" s="11" t="s">
        <v>13787</v>
      </c>
      <c r="B6489" s="11" t="s">
        <v>13787</v>
      </c>
      <c r="C6489" s="11" t="s">
        <v>17</v>
      </c>
      <c r="D6489" s="11" t="s">
        <v>18</v>
      </c>
      <c r="E6489" s="12" t="s">
        <v>700</v>
      </c>
      <c r="F6489" s="12" t="s">
        <v>701</v>
      </c>
      <c r="G6489" s="12" t="s">
        <v>21</v>
      </c>
      <c r="H6489" s="11" t="s">
        <v>22</v>
      </c>
      <c r="I6489" s="13" t="s">
        <v>13788</v>
      </c>
      <c r="J6489" s="14" t="str">
        <f>HYPERLINK("https://www.boe.es/gazeta/dias/1839/09/01/pdfs/GMD-1839-1753.pdf#page=4","Abrir facsímil")</f>
        <v>Abrir facsímil</v>
      </c>
      <c r="K6489" s="12" t="s">
        <v>24</v>
      </c>
    </row>
    <row r="6490" spans="1:11" ht="40.049999999999997" customHeight="1" x14ac:dyDescent="0.25">
      <c r="A6490" s="11" t="s">
        <v>13787</v>
      </c>
      <c r="B6490" s="11" t="s">
        <v>13787</v>
      </c>
      <c r="C6490" s="11" t="s">
        <v>80</v>
      </c>
      <c r="D6490" s="11" t="s">
        <v>18</v>
      </c>
      <c r="E6490" s="12" t="s">
        <v>1614</v>
      </c>
      <c r="F6490" s="12" t="s">
        <v>1615</v>
      </c>
      <c r="G6490" s="12" t="s">
        <v>21</v>
      </c>
      <c r="H6490" s="11" t="s">
        <v>22</v>
      </c>
      <c r="I6490" s="13" t="s">
        <v>13789</v>
      </c>
      <c r="J6490" s="14" t="str">
        <f>HYPERLINK("https://www.boe.es/gazeta/dias/1839/07/03/pdfs/GMD-1839-1691.pdf#page=4","Abrir facsímil")</f>
        <v>Abrir facsímil</v>
      </c>
      <c r="K6490" s="12" t="s">
        <v>24</v>
      </c>
    </row>
    <row r="6491" spans="1:11" ht="40.049999999999997" customHeight="1" x14ac:dyDescent="0.25">
      <c r="A6491" s="11" t="s">
        <v>13787</v>
      </c>
      <c r="B6491" s="11" t="s">
        <v>13787</v>
      </c>
      <c r="C6491" s="11" t="s">
        <v>17</v>
      </c>
      <c r="D6491" s="11" t="s">
        <v>18</v>
      </c>
      <c r="E6491" s="12" t="s">
        <v>4475</v>
      </c>
      <c r="F6491" s="12" t="s">
        <v>4476</v>
      </c>
      <c r="G6491" s="12" t="s">
        <v>46</v>
      </c>
      <c r="H6491" s="11" t="s">
        <v>22</v>
      </c>
      <c r="I6491" s="13" t="s">
        <v>13790</v>
      </c>
      <c r="J6491" s="14" t="str">
        <f>HYPERLINK("https://www.boe.es/gazeta/dias/1839/07/04/pdfs/GMD-1839-1692.pdf#page=3","Abrir facsímil")</f>
        <v>Abrir facsímil</v>
      </c>
      <c r="K6491" s="12" t="s">
        <v>24</v>
      </c>
    </row>
    <row r="6492" spans="1:11" ht="40.049999999999997" customHeight="1" x14ac:dyDescent="0.25">
      <c r="A6492" s="11" t="s">
        <v>13787</v>
      </c>
      <c r="B6492" s="11" t="s">
        <v>13787</v>
      </c>
      <c r="C6492" s="11" t="s">
        <v>80</v>
      </c>
      <c r="D6492" s="11" t="s">
        <v>18</v>
      </c>
      <c r="E6492" s="12" t="s">
        <v>934</v>
      </c>
      <c r="F6492" s="12" t="s">
        <v>935</v>
      </c>
      <c r="G6492" s="12" t="s">
        <v>21</v>
      </c>
      <c r="H6492" s="11" t="s">
        <v>22</v>
      </c>
      <c r="I6492" s="13" t="s">
        <v>13791</v>
      </c>
      <c r="J6492" s="14" t="str">
        <f>HYPERLINK("https://www.boe.es/gazeta/dias/1839/11/07/pdfs/GMD-1839-1824.pdf#page=4","Abrir facsímil")</f>
        <v>Abrir facsímil</v>
      </c>
      <c r="K6492" s="12" t="s">
        <v>24</v>
      </c>
    </row>
    <row r="6493" spans="1:11" ht="40.049999999999997" customHeight="1" x14ac:dyDescent="0.25">
      <c r="A6493" s="11" t="s">
        <v>13787</v>
      </c>
      <c r="B6493" s="11" t="s">
        <v>13787</v>
      </c>
      <c r="C6493" s="11" t="s">
        <v>17</v>
      </c>
      <c r="D6493" s="11" t="s">
        <v>18</v>
      </c>
      <c r="E6493" s="12" t="s">
        <v>782</v>
      </c>
      <c r="F6493" s="12" t="s">
        <v>783</v>
      </c>
      <c r="G6493" s="12" t="s">
        <v>46</v>
      </c>
      <c r="H6493" s="11" t="s">
        <v>22</v>
      </c>
      <c r="I6493" s="13" t="s">
        <v>13792</v>
      </c>
      <c r="J6493" s="14" t="str">
        <f>HYPERLINK("https://www.boe.es/gazeta/dias/1839/05/09/pdfs/GMD-1839-1636.pdf#page=3","Abrir facsímil")</f>
        <v>Abrir facsímil</v>
      </c>
      <c r="K6493" s="12" t="s">
        <v>24</v>
      </c>
    </row>
    <row r="6494" spans="1:11" ht="40.049999999999997" customHeight="1" x14ac:dyDescent="0.25">
      <c r="A6494" s="11" t="s">
        <v>13787</v>
      </c>
      <c r="B6494" s="11" t="s">
        <v>13787</v>
      </c>
      <c r="C6494" s="11" t="s">
        <v>59</v>
      </c>
      <c r="D6494" s="11" t="s">
        <v>60</v>
      </c>
      <c r="E6494" s="12" t="s">
        <v>984</v>
      </c>
      <c r="F6494" s="12" t="s">
        <v>985</v>
      </c>
      <c r="G6494" s="12" t="s">
        <v>21</v>
      </c>
      <c r="H6494" s="11" t="s">
        <v>22</v>
      </c>
      <c r="I6494" s="13" t="s">
        <v>13793</v>
      </c>
      <c r="J6494" s="14" t="str">
        <f>HYPERLINK("https://www.boe.es/gazeta/dias/1839/04/10/pdfs/GMD-1839-1607.pdf#page=4","Abrir facsímil")</f>
        <v>Abrir facsímil</v>
      </c>
      <c r="K6494" s="12" t="s">
        <v>24</v>
      </c>
    </row>
    <row r="6495" spans="1:11" ht="40.049999999999997" customHeight="1" x14ac:dyDescent="0.25">
      <c r="A6495" s="11" t="s">
        <v>13787</v>
      </c>
      <c r="B6495" s="11" t="s">
        <v>13787</v>
      </c>
      <c r="C6495" s="11" t="s">
        <v>80</v>
      </c>
      <c r="D6495" s="11" t="s">
        <v>18</v>
      </c>
      <c r="E6495" s="12" t="s">
        <v>3289</v>
      </c>
      <c r="F6495" s="12" t="s">
        <v>3290</v>
      </c>
      <c r="G6495" s="12" t="s">
        <v>21</v>
      </c>
      <c r="H6495" s="11" t="s">
        <v>22</v>
      </c>
      <c r="I6495" s="13" t="s">
        <v>13794</v>
      </c>
      <c r="J6495" s="14" t="str">
        <f>HYPERLINK("https://www.boe.es/gazeta/dias/1839/12/10/pdfs/GMD-1839-1857.pdf#page=4","Abrir facsímil")</f>
        <v>Abrir facsímil</v>
      </c>
      <c r="K6495" s="12" t="s">
        <v>24</v>
      </c>
    </row>
    <row r="6496" spans="1:11" ht="40.049999999999997" customHeight="1" x14ac:dyDescent="0.25">
      <c r="A6496" s="11" t="s">
        <v>13787</v>
      </c>
      <c r="B6496" s="11" t="s">
        <v>13787</v>
      </c>
      <c r="C6496" s="11" t="s">
        <v>80</v>
      </c>
      <c r="D6496" s="11" t="s">
        <v>18</v>
      </c>
      <c r="E6496" s="12" t="s">
        <v>2320</v>
      </c>
      <c r="F6496" s="12" t="s">
        <v>2321</v>
      </c>
      <c r="G6496" s="12" t="s">
        <v>21</v>
      </c>
      <c r="H6496" s="11" t="s">
        <v>22</v>
      </c>
      <c r="I6496" s="13" t="s">
        <v>13795</v>
      </c>
      <c r="J6496" s="14" t="str">
        <f>HYPERLINK("https://www.boe.es/gazeta/dias/1839/11/13/pdfs/GMD-1839-1830.pdf#page=4","Abrir facsímil")</f>
        <v>Abrir facsímil</v>
      </c>
      <c r="K6496" s="12" t="s">
        <v>24</v>
      </c>
    </row>
    <row r="6497" spans="1:11" ht="40.049999999999997" customHeight="1" x14ac:dyDescent="0.25">
      <c r="A6497" s="11" t="s">
        <v>13787</v>
      </c>
      <c r="B6497" s="11" t="s">
        <v>13787</v>
      </c>
      <c r="C6497" s="11" t="s">
        <v>80</v>
      </c>
      <c r="D6497" s="11" t="s">
        <v>18</v>
      </c>
      <c r="E6497" s="12" t="s">
        <v>2374</v>
      </c>
      <c r="F6497" s="12" t="s">
        <v>2375</v>
      </c>
      <c r="G6497" s="12" t="s">
        <v>46</v>
      </c>
      <c r="H6497" s="11" t="s">
        <v>22</v>
      </c>
      <c r="I6497" s="13" t="s">
        <v>13796</v>
      </c>
      <c r="J6497" s="14" t="str">
        <f>HYPERLINK("https://www.boe.es/gazeta/dias/1839/06/14/pdfs/GMD-1839-1672.pdf#page=3","Abrir facsímil")</f>
        <v>Abrir facsímil</v>
      </c>
      <c r="K6497" s="12" t="s">
        <v>24</v>
      </c>
    </row>
    <row r="6498" spans="1:11" ht="40.049999999999997" customHeight="1" x14ac:dyDescent="0.25">
      <c r="A6498" s="11" t="s">
        <v>13787</v>
      </c>
      <c r="B6498" s="11" t="s">
        <v>13787</v>
      </c>
      <c r="C6498" s="11" t="s">
        <v>80</v>
      </c>
      <c r="D6498" s="11" t="s">
        <v>18</v>
      </c>
      <c r="E6498" s="12" t="s">
        <v>1528</v>
      </c>
      <c r="F6498" s="12" t="s">
        <v>1529</v>
      </c>
      <c r="G6498" s="12" t="s">
        <v>21</v>
      </c>
      <c r="H6498" s="11" t="s">
        <v>22</v>
      </c>
      <c r="I6498" s="13" t="s">
        <v>13797</v>
      </c>
      <c r="J6498" s="14" t="str">
        <f>HYPERLINK("https://www.boe.es/gazeta/dias/1839/12/15/pdfs/GMD-1839-1862.pdf#page=4","Abrir facsímil")</f>
        <v>Abrir facsímil</v>
      </c>
      <c r="K6498" s="12" t="s">
        <v>24</v>
      </c>
    </row>
    <row r="6499" spans="1:11" ht="40.049999999999997" customHeight="1" x14ac:dyDescent="0.25">
      <c r="A6499" s="11" t="s">
        <v>13787</v>
      </c>
      <c r="B6499" s="11" t="s">
        <v>13787</v>
      </c>
      <c r="C6499" s="11" t="s">
        <v>80</v>
      </c>
      <c r="D6499" s="11" t="s">
        <v>18</v>
      </c>
      <c r="E6499" s="12" t="s">
        <v>1179</v>
      </c>
      <c r="F6499" s="12" t="s">
        <v>1180</v>
      </c>
      <c r="G6499" s="12" t="s">
        <v>305</v>
      </c>
      <c r="H6499" s="11" t="s">
        <v>22</v>
      </c>
      <c r="I6499" s="13" t="s">
        <v>13798</v>
      </c>
      <c r="J6499" s="14" t="str">
        <f>HYPERLINK("https://www.boe.es/gazeta/dias/1839/10/18/pdfs/GMD-1839-1804.pdf#page=6","Abrir facsímil")</f>
        <v>Abrir facsímil</v>
      </c>
      <c r="K6499" s="12" t="s">
        <v>24</v>
      </c>
    </row>
    <row r="6500" spans="1:11" ht="40.049999999999997" customHeight="1" x14ac:dyDescent="0.25">
      <c r="A6500" s="11" t="s">
        <v>13787</v>
      </c>
      <c r="B6500" s="11" t="s">
        <v>13787</v>
      </c>
      <c r="C6500" s="11" t="s">
        <v>17</v>
      </c>
      <c r="D6500" s="11" t="s">
        <v>18</v>
      </c>
      <c r="E6500" s="12" t="s">
        <v>295</v>
      </c>
      <c r="F6500" s="12" t="s">
        <v>296</v>
      </c>
      <c r="G6500" s="12" t="s">
        <v>21</v>
      </c>
      <c r="H6500" s="11" t="s">
        <v>22</v>
      </c>
      <c r="I6500" s="13" t="s">
        <v>13799</v>
      </c>
      <c r="J6500" s="14" t="str">
        <f>HYPERLINK("https://www.boe.es/gazeta/dias/1839/08/19/pdfs/GMD-1839-1740.pdf#page=4","Abrir facsímil")</f>
        <v>Abrir facsímil</v>
      </c>
      <c r="K6500" s="12" t="s">
        <v>24</v>
      </c>
    </row>
    <row r="6501" spans="1:11" ht="40.049999999999997" customHeight="1" x14ac:dyDescent="0.25">
      <c r="A6501" s="11" t="s">
        <v>13800</v>
      </c>
      <c r="B6501" s="11" t="s">
        <v>13800</v>
      </c>
      <c r="C6501" s="11" t="s">
        <v>80</v>
      </c>
      <c r="D6501" s="11" t="s">
        <v>18</v>
      </c>
      <c r="E6501" s="12" t="s">
        <v>4463</v>
      </c>
      <c r="F6501" s="12" t="s">
        <v>4464</v>
      </c>
      <c r="G6501" s="12" t="s">
        <v>21</v>
      </c>
      <c r="H6501" s="11" t="s">
        <v>22</v>
      </c>
      <c r="I6501" s="13" t="s">
        <v>13801</v>
      </c>
      <c r="J6501" s="14" t="str">
        <f>HYPERLINK("https://www.boe.es/gazeta/dias/1839/08/28/pdfs/GMD-1839-1749.pdf#page=4","Abrir facsímil")</f>
        <v>Abrir facsímil</v>
      </c>
      <c r="K6501" s="12" t="s">
        <v>24</v>
      </c>
    </row>
    <row r="6502" spans="1:11" ht="40.049999999999997" customHeight="1" x14ac:dyDescent="0.25">
      <c r="A6502" s="11" t="s">
        <v>13802</v>
      </c>
      <c r="B6502" s="11" t="s">
        <v>13802</v>
      </c>
      <c r="C6502" s="11" t="s">
        <v>17</v>
      </c>
      <c r="D6502" s="11" t="s">
        <v>18</v>
      </c>
      <c r="E6502" s="12" t="s">
        <v>7860</v>
      </c>
      <c r="F6502" s="12" t="s">
        <v>7861</v>
      </c>
      <c r="G6502" s="12" t="s">
        <v>21</v>
      </c>
      <c r="H6502" s="11" t="s">
        <v>22</v>
      </c>
      <c r="I6502" s="13" t="s">
        <v>13803</v>
      </c>
      <c r="J6502" s="14" t="str">
        <f>HYPERLINK("https://www.boe.es/gazeta/dias/1839/03/04/pdfs/GMD-1839-1570.pdf#page=4","Abrir facsímil")</f>
        <v>Abrir facsímil</v>
      </c>
      <c r="K6502" s="12" t="s">
        <v>24</v>
      </c>
    </row>
    <row r="6503" spans="1:11" ht="40.049999999999997" customHeight="1" x14ac:dyDescent="0.25">
      <c r="A6503" s="11" t="s">
        <v>13802</v>
      </c>
      <c r="B6503" s="11" t="s">
        <v>13802</v>
      </c>
      <c r="C6503" s="11" t="s">
        <v>17</v>
      </c>
      <c r="D6503" s="11" t="s">
        <v>18</v>
      </c>
      <c r="E6503" s="12" t="s">
        <v>2507</v>
      </c>
      <c r="F6503" s="12" t="s">
        <v>2508</v>
      </c>
      <c r="G6503" s="12" t="s">
        <v>46</v>
      </c>
      <c r="H6503" s="11" t="s">
        <v>22</v>
      </c>
      <c r="I6503" s="13" t="s">
        <v>13804</v>
      </c>
      <c r="J6503" s="14" t="str">
        <f>HYPERLINK("https://www.boe.es/gazeta/dias/1839/03/08/pdfs/GMD-1839-1574.pdf#page=3","Abrir facsímil")</f>
        <v>Abrir facsímil</v>
      </c>
      <c r="K6503" s="12" t="s">
        <v>24</v>
      </c>
    </row>
    <row r="6504" spans="1:11" ht="40.049999999999997" customHeight="1" x14ac:dyDescent="0.25">
      <c r="A6504" s="11" t="s">
        <v>13802</v>
      </c>
      <c r="B6504" s="11" t="s">
        <v>13802</v>
      </c>
      <c r="C6504" s="11" t="s">
        <v>17</v>
      </c>
      <c r="D6504" s="11" t="s">
        <v>18</v>
      </c>
      <c r="E6504" s="12" t="s">
        <v>3705</v>
      </c>
      <c r="F6504" s="12" t="s">
        <v>3706</v>
      </c>
      <c r="G6504" s="12" t="s">
        <v>29</v>
      </c>
      <c r="H6504" s="11" t="s">
        <v>22</v>
      </c>
      <c r="I6504" s="13" t="s">
        <v>13805</v>
      </c>
      <c r="J6504" s="14" t="str">
        <f>HYPERLINK("https://www.boe.es/gazeta/dias/1839/03/09/pdfs/GMD-1839-1575.pdf#page=1","Abrir facsímil")</f>
        <v>Abrir facsímil</v>
      </c>
      <c r="K6504" s="12" t="s">
        <v>24</v>
      </c>
    </row>
    <row r="6505" spans="1:11" ht="40.049999999999997" customHeight="1" x14ac:dyDescent="0.25">
      <c r="A6505" s="11" t="s">
        <v>13802</v>
      </c>
      <c r="B6505" s="11" t="s">
        <v>13802</v>
      </c>
      <c r="C6505" s="11" t="s">
        <v>17</v>
      </c>
      <c r="D6505" s="11" t="s">
        <v>18</v>
      </c>
      <c r="E6505" s="12" t="s">
        <v>1663</v>
      </c>
      <c r="F6505" s="12" t="s">
        <v>1664</v>
      </c>
      <c r="G6505" s="12" t="s">
        <v>40</v>
      </c>
      <c r="H6505" s="11" t="s">
        <v>22</v>
      </c>
      <c r="I6505" s="13" t="s">
        <v>13806</v>
      </c>
      <c r="J6505" s="14" t="str">
        <f>HYPERLINK("https://www.boe.es/gazeta/dias/1839/03/22/pdfs/GMD-1839-1588.pdf#page=2","Abrir facsímil")</f>
        <v>Abrir facsímil</v>
      </c>
      <c r="K6505" s="12" t="s">
        <v>24</v>
      </c>
    </row>
    <row r="6506" spans="1:11" ht="40.049999999999997" customHeight="1" x14ac:dyDescent="0.25">
      <c r="A6506" s="11" t="s">
        <v>13807</v>
      </c>
      <c r="B6506" s="11" t="s">
        <v>13807</v>
      </c>
      <c r="C6506" s="11" t="s">
        <v>17</v>
      </c>
      <c r="D6506" s="11" t="s">
        <v>18</v>
      </c>
      <c r="E6506" s="12" t="s">
        <v>262</v>
      </c>
      <c r="F6506" s="12" t="s">
        <v>263</v>
      </c>
      <c r="G6506" s="12" t="s">
        <v>21</v>
      </c>
      <c r="H6506" s="11" t="s">
        <v>22</v>
      </c>
      <c r="I6506" s="13" t="s">
        <v>13808</v>
      </c>
      <c r="J6506" s="14" t="str">
        <f>HYPERLINK("https://www.boe.es/gazeta/dias/1839/01/01/pdfs/GMD-1839-1508.pdf#page=4","Abrir facsímil")</f>
        <v>Abrir facsímil</v>
      </c>
      <c r="K6506" s="12" t="s">
        <v>24</v>
      </c>
    </row>
    <row r="6507" spans="1:11" ht="40.049999999999997" customHeight="1" x14ac:dyDescent="0.25">
      <c r="A6507" s="11" t="s">
        <v>13807</v>
      </c>
      <c r="B6507" s="11" t="s">
        <v>13807</v>
      </c>
      <c r="C6507" s="11" t="s">
        <v>17</v>
      </c>
      <c r="D6507" s="11" t="s">
        <v>18</v>
      </c>
      <c r="E6507" s="12" t="s">
        <v>272</v>
      </c>
      <c r="F6507" s="12" t="s">
        <v>273</v>
      </c>
      <c r="G6507" s="12" t="s">
        <v>21</v>
      </c>
      <c r="H6507" s="11" t="s">
        <v>22</v>
      </c>
      <c r="I6507" s="13" t="s">
        <v>13809</v>
      </c>
      <c r="J6507" s="14" t="str">
        <f>HYPERLINK("https://www.boe.es/gazeta/dias/1839/02/12/pdfs/GMD-1839-1550.pdf#page=4","Abrir facsímil")</f>
        <v>Abrir facsímil</v>
      </c>
      <c r="K6507" s="12" t="s">
        <v>24</v>
      </c>
    </row>
    <row r="6508" spans="1:11" ht="40.049999999999997" customHeight="1" x14ac:dyDescent="0.25">
      <c r="A6508" s="11" t="s">
        <v>13810</v>
      </c>
      <c r="B6508" s="11" t="s">
        <v>13810</v>
      </c>
      <c r="C6508" s="11" t="s">
        <v>17</v>
      </c>
      <c r="D6508" s="11" t="s">
        <v>18</v>
      </c>
      <c r="E6508" s="12" t="s">
        <v>929</v>
      </c>
      <c r="F6508" s="12" t="s">
        <v>930</v>
      </c>
      <c r="G6508" s="12" t="s">
        <v>21</v>
      </c>
      <c r="H6508" s="11" t="s">
        <v>22</v>
      </c>
      <c r="I6508" s="13" t="s">
        <v>13811</v>
      </c>
      <c r="J6508" s="14" t="str">
        <f>HYPERLINK("https://www.boe.es/gazeta/dias/1839/01/31/pdfs/GMD-1839-1538.pdf#page=4","Abrir facsímil")</f>
        <v>Abrir facsímil</v>
      </c>
      <c r="K6508" s="12" t="s">
        <v>24</v>
      </c>
    </row>
    <row r="6509" spans="1:11" ht="40.049999999999997" customHeight="1" x14ac:dyDescent="0.25">
      <c r="A6509" s="11" t="s">
        <v>13812</v>
      </c>
      <c r="B6509" s="11" t="s">
        <v>13812</v>
      </c>
      <c r="C6509" s="11" t="s">
        <v>80</v>
      </c>
      <c r="D6509" s="11" t="s">
        <v>18</v>
      </c>
      <c r="E6509" s="12" t="s">
        <v>269</v>
      </c>
      <c r="F6509" s="12" t="s">
        <v>270</v>
      </c>
      <c r="G6509" s="12" t="s">
        <v>21</v>
      </c>
      <c r="H6509" s="11" t="s">
        <v>22</v>
      </c>
      <c r="I6509" s="13" t="s">
        <v>13813</v>
      </c>
      <c r="J6509" s="14" t="str">
        <f>HYPERLINK("https://www.boe.es/gazeta/dias/1839/02/10/pdfs/GMD-1839-1548.pdf#page=4","Abrir facsímil")</f>
        <v>Abrir facsímil</v>
      </c>
      <c r="K6509" s="12" t="s">
        <v>24</v>
      </c>
    </row>
    <row r="6510" spans="1:11" ht="40.049999999999997" customHeight="1" x14ac:dyDescent="0.25">
      <c r="A6510" s="11" t="s">
        <v>13814</v>
      </c>
      <c r="B6510" s="11" t="s">
        <v>13814</v>
      </c>
      <c r="C6510" s="11" t="s">
        <v>17</v>
      </c>
      <c r="D6510" s="11" t="s">
        <v>18</v>
      </c>
      <c r="E6510" s="12" t="s">
        <v>1391</v>
      </c>
      <c r="F6510" s="12" t="s">
        <v>1392</v>
      </c>
      <c r="G6510" s="12" t="s">
        <v>40</v>
      </c>
      <c r="H6510" s="11" t="s">
        <v>22</v>
      </c>
      <c r="I6510" s="13" t="s">
        <v>13815</v>
      </c>
      <c r="J6510" s="14" t="str">
        <f>HYPERLINK("https://www.boe.es/gazeta/dias/1839/05/12/pdfs/GMD-1839-1639.pdf#page=2","Abrir facsímil")</f>
        <v>Abrir facsímil</v>
      </c>
      <c r="K6510" s="12" t="s">
        <v>24</v>
      </c>
    </row>
    <row r="6511" spans="1:11" ht="40.049999999999997" customHeight="1" x14ac:dyDescent="0.25">
      <c r="A6511" s="11" t="s">
        <v>13814</v>
      </c>
      <c r="B6511" s="11" t="s">
        <v>13814</v>
      </c>
      <c r="C6511" s="11" t="s">
        <v>17</v>
      </c>
      <c r="D6511" s="11" t="s">
        <v>18</v>
      </c>
      <c r="E6511" s="12" t="s">
        <v>398</v>
      </c>
      <c r="F6511" s="12" t="s">
        <v>399</v>
      </c>
      <c r="G6511" s="12" t="s">
        <v>40</v>
      </c>
      <c r="H6511" s="11" t="s">
        <v>22</v>
      </c>
      <c r="I6511" s="13" t="s">
        <v>13816</v>
      </c>
      <c r="J6511" s="14" t="str">
        <f>HYPERLINK("https://www.boe.es/gazeta/dias/1839/05/17/pdfs/GMD-1839-1644.pdf#page=2","Abrir facsímil")</f>
        <v>Abrir facsímil</v>
      </c>
      <c r="K6511" s="12" t="s">
        <v>24</v>
      </c>
    </row>
    <row r="6512" spans="1:11" ht="40.049999999999997" customHeight="1" x14ac:dyDescent="0.25">
      <c r="A6512" s="11" t="s">
        <v>13814</v>
      </c>
      <c r="B6512" s="11" t="s">
        <v>13814</v>
      </c>
      <c r="C6512" s="11" t="s">
        <v>101</v>
      </c>
      <c r="D6512" s="11" t="s">
        <v>102</v>
      </c>
      <c r="E6512" s="12" t="s">
        <v>128</v>
      </c>
      <c r="F6512" s="12" t="s">
        <v>129</v>
      </c>
      <c r="G6512" s="12" t="s">
        <v>21</v>
      </c>
      <c r="H6512" s="11" t="s">
        <v>22</v>
      </c>
      <c r="I6512" s="13" t="s">
        <v>13817</v>
      </c>
      <c r="J6512" s="14" t="str">
        <f>HYPERLINK("https://www.boe.es/gazeta/dias/1839/05/25/pdfs/GMD-1839-1652.pdf#page=4","Abrir facsímil")</f>
        <v>Abrir facsímil</v>
      </c>
      <c r="K6512" s="12" t="s">
        <v>24</v>
      </c>
    </row>
    <row r="6513" spans="1:11" ht="40.049999999999997" customHeight="1" x14ac:dyDescent="0.25">
      <c r="A6513" s="11" t="s">
        <v>13814</v>
      </c>
      <c r="B6513" s="11" t="s">
        <v>13814</v>
      </c>
      <c r="C6513" s="11" t="s">
        <v>17</v>
      </c>
      <c r="D6513" s="11" t="s">
        <v>18</v>
      </c>
      <c r="E6513" s="12" t="s">
        <v>1692</v>
      </c>
      <c r="F6513" s="12" t="s">
        <v>1693</v>
      </c>
      <c r="G6513" s="12" t="s">
        <v>40</v>
      </c>
      <c r="H6513" s="11" t="s">
        <v>22</v>
      </c>
      <c r="I6513" s="13" t="s">
        <v>13818</v>
      </c>
      <c r="J6513" s="14" t="str">
        <f>HYPERLINK("https://www.boe.es/gazeta/dias/1839/05/30/pdfs/GMD-1839-1657.pdf#page=2","Abrir facsímil")</f>
        <v>Abrir facsímil</v>
      </c>
      <c r="K6513" s="12" t="s">
        <v>24</v>
      </c>
    </row>
    <row r="6514" spans="1:11" ht="40.049999999999997" customHeight="1" x14ac:dyDescent="0.25">
      <c r="A6514" s="11" t="s">
        <v>13819</v>
      </c>
      <c r="B6514" s="11" t="s">
        <v>13819</v>
      </c>
      <c r="C6514" s="11" t="s">
        <v>80</v>
      </c>
      <c r="D6514" s="11" t="s">
        <v>18</v>
      </c>
      <c r="E6514" s="12" t="s">
        <v>398</v>
      </c>
      <c r="F6514" s="12" t="s">
        <v>399</v>
      </c>
      <c r="G6514" s="12" t="s">
        <v>21</v>
      </c>
      <c r="H6514" s="11" t="s">
        <v>22</v>
      </c>
      <c r="I6514" s="13" t="s">
        <v>13820</v>
      </c>
      <c r="J6514" s="14" t="str">
        <f>HYPERLINK("https://www.boe.es/gazeta/dias/1839/05/17/pdfs/GMD-1839-1644.pdf#page=4","Abrir facsímil")</f>
        <v>Abrir facsímil</v>
      </c>
      <c r="K6514" s="12" t="s">
        <v>24</v>
      </c>
    </row>
    <row r="6515" spans="1:11" ht="40.049999999999997" customHeight="1" x14ac:dyDescent="0.25">
      <c r="A6515" s="11" t="s">
        <v>13821</v>
      </c>
      <c r="B6515" s="11" t="s">
        <v>13821</v>
      </c>
      <c r="C6515" s="11" t="s">
        <v>137</v>
      </c>
      <c r="D6515" s="11" t="s">
        <v>18</v>
      </c>
      <c r="E6515" s="12" t="s">
        <v>462</v>
      </c>
      <c r="F6515" s="12" t="s">
        <v>463</v>
      </c>
      <c r="G6515" s="12" t="s">
        <v>21</v>
      </c>
      <c r="H6515" s="11" t="s">
        <v>22</v>
      </c>
      <c r="I6515" s="13" t="s">
        <v>13822</v>
      </c>
      <c r="J6515" s="14" t="str">
        <f>HYPERLINK("https://www.boe.es/gazeta/dias/1839/06/19/pdfs/GMD-1839-1677.pdf#page=4","Abrir facsímil")</f>
        <v>Abrir facsímil</v>
      </c>
      <c r="K6515" s="12" t="s">
        <v>24</v>
      </c>
    </row>
    <row r="6516" spans="1:11" ht="40.049999999999997" customHeight="1" x14ac:dyDescent="0.25">
      <c r="A6516" s="11" t="s">
        <v>13823</v>
      </c>
      <c r="B6516" s="11" t="s">
        <v>13823</v>
      </c>
      <c r="C6516" s="11" t="s">
        <v>80</v>
      </c>
      <c r="D6516" s="11" t="s">
        <v>18</v>
      </c>
      <c r="E6516" s="12" t="s">
        <v>2738</v>
      </c>
      <c r="F6516" s="12" t="s">
        <v>2739</v>
      </c>
      <c r="G6516" s="12" t="s">
        <v>21</v>
      </c>
      <c r="H6516" s="11" t="s">
        <v>22</v>
      </c>
      <c r="I6516" s="13" t="s">
        <v>13824</v>
      </c>
      <c r="J6516" s="14" t="str">
        <f>HYPERLINK("https://www.boe.es/gazeta/dias/1839/09/06/pdfs/GMD-1839-1759.pdf#page=4","Abrir facsímil")</f>
        <v>Abrir facsímil</v>
      </c>
      <c r="K6516" s="12" t="s">
        <v>24</v>
      </c>
    </row>
    <row r="6517" spans="1:11" ht="40.049999999999997" customHeight="1" x14ac:dyDescent="0.25">
      <c r="A6517" s="11" t="s">
        <v>13823</v>
      </c>
      <c r="B6517" s="11" t="s">
        <v>13823</v>
      </c>
      <c r="C6517" s="11" t="s">
        <v>17</v>
      </c>
      <c r="D6517" s="11" t="s">
        <v>18</v>
      </c>
      <c r="E6517" s="12" t="s">
        <v>4485</v>
      </c>
      <c r="F6517" s="12" t="s">
        <v>4486</v>
      </c>
      <c r="G6517" s="12" t="s">
        <v>21</v>
      </c>
      <c r="H6517" s="11" t="s">
        <v>22</v>
      </c>
      <c r="I6517" s="13" t="s">
        <v>13825</v>
      </c>
      <c r="J6517" s="14" t="str">
        <f>HYPERLINK("https://www.boe.es/gazeta/dias/1839/07/08/pdfs/GMD-1839-1696.pdf#page=4","Abrir facsímil")</f>
        <v>Abrir facsímil</v>
      </c>
      <c r="K6517" s="12" t="s">
        <v>24</v>
      </c>
    </row>
    <row r="6518" spans="1:11" ht="40.049999999999997" customHeight="1" x14ac:dyDescent="0.25">
      <c r="A6518" s="11" t="s">
        <v>13823</v>
      </c>
      <c r="B6518" s="11" t="s">
        <v>13823</v>
      </c>
      <c r="C6518" s="11" t="s">
        <v>17</v>
      </c>
      <c r="D6518" s="11" t="s">
        <v>18</v>
      </c>
      <c r="E6518" s="12" t="s">
        <v>1648</v>
      </c>
      <c r="F6518" s="12" t="s">
        <v>1649</v>
      </c>
      <c r="G6518" s="12" t="s">
        <v>21</v>
      </c>
      <c r="H6518" s="11" t="s">
        <v>22</v>
      </c>
      <c r="I6518" s="13" t="s">
        <v>13826</v>
      </c>
      <c r="J6518" s="14" t="str">
        <f>HYPERLINK("https://www.boe.es/gazeta/dias/1839/08/18/pdfs/GMD-1839-1738.pdf#page=4","Abrir facsímil")</f>
        <v>Abrir facsímil</v>
      </c>
      <c r="K6518" s="12" t="s">
        <v>24</v>
      </c>
    </row>
    <row r="6519" spans="1:11" ht="40.049999999999997" customHeight="1" x14ac:dyDescent="0.25">
      <c r="A6519" s="11" t="s">
        <v>13827</v>
      </c>
      <c r="B6519" s="11" t="s">
        <v>13827</v>
      </c>
      <c r="C6519" s="11" t="s">
        <v>137</v>
      </c>
      <c r="D6519" s="11" t="s">
        <v>18</v>
      </c>
      <c r="E6519" s="12" t="s">
        <v>4463</v>
      </c>
      <c r="F6519" s="12" t="s">
        <v>4464</v>
      </c>
      <c r="G6519" s="12" t="s">
        <v>21</v>
      </c>
      <c r="H6519" s="11" t="s">
        <v>22</v>
      </c>
      <c r="I6519" s="13" t="s">
        <v>13828</v>
      </c>
      <c r="J6519" s="14" t="str">
        <f>HYPERLINK("https://www.boe.es/gazeta/dias/1839/08/28/pdfs/GMD-1839-1749.pdf#page=4","Abrir facsímil")</f>
        <v>Abrir facsímil</v>
      </c>
      <c r="K6519" s="12" t="s">
        <v>24</v>
      </c>
    </row>
    <row r="6520" spans="1:11" ht="40.049999999999997" customHeight="1" x14ac:dyDescent="0.25">
      <c r="A6520" s="11" t="s">
        <v>13829</v>
      </c>
      <c r="B6520" s="11" t="s">
        <v>13829</v>
      </c>
      <c r="C6520" s="11" t="s">
        <v>137</v>
      </c>
      <c r="D6520" s="11" t="s">
        <v>18</v>
      </c>
      <c r="E6520" s="12" t="s">
        <v>1523</v>
      </c>
      <c r="F6520" s="12" t="s">
        <v>1524</v>
      </c>
      <c r="G6520" s="12" t="s">
        <v>21</v>
      </c>
      <c r="H6520" s="11" t="s">
        <v>22</v>
      </c>
      <c r="I6520" s="13" t="s">
        <v>13830</v>
      </c>
      <c r="J6520" s="14" t="str">
        <f>HYPERLINK("https://www.boe.es/gazeta/dias/1839/08/29/pdfs/GMD-1839-1750.pdf#page=4","Abrir facsímil")</f>
        <v>Abrir facsímil</v>
      </c>
      <c r="K6520" s="12" t="s">
        <v>24</v>
      </c>
    </row>
    <row r="6521" spans="1:11" ht="40.049999999999997" customHeight="1" x14ac:dyDescent="0.25">
      <c r="A6521" s="11" t="s">
        <v>13831</v>
      </c>
      <c r="B6521" s="11" t="s">
        <v>13832</v>
      </c>
      <c r="C6521" s="11" t="s">
        <v>137</v>
      </c>
      <c r="D6521" s="11" t="s">
        <v>18</v>
      </c>
      <c r="E6521" s="12" t="s">
        <v>372</v>
      </c>
      <c r="F6521" s="12" t="s">
        <v>373</v>
      </c>
      <c r="G6521" s="12" t="s">
        <v>21</v>
      </c>
      <c r="H6521" s="11" t="s">
        <v>63</v>
      </c>
      <c r="I6521" s="13" t="s">
        <v>13833</v>
      </c>
      <c r="J6521" s="14" t="str">
        <f>HYPERLINK("https://www.boe.es/gazeta/dias/1839/11/08/pdfs/GMD-1839-1825.pdf#page=4","Abrir facsímil")</f>
        <v>Abrir facsímil</v>
      </c>
      <c r="K6521" s="12" t="s">
        <v>65</v>
      </c>
    </row>
    <row r="6522" spans="1:11" ht="40.049999999999997" customHeight="1" x14ac:dyDescent="0.25">
      <c r="A6522" s="11" t="s">
        <v>13834</v>
      </c>
      <c r="B6522" s="11" t="s">
        <v>13834</v>
      </c>
      <c r="C6522" s="11" t="s">
        <v>80</v>
      </c>
      <c r="D6522" s="11" t="s">
        <v>173</v>
      </c>
      <c r="E6522" s="12" t="s">
        <v>395</v>
      </c>
      <c r="F6522" s="12" t="s">
        <v>396</v>
      </c>
      <c r="G6522" s="12" t="s">
        <v>21</v>
      </c>
      <c r="H6522" s="11" t="s">
        <v>22</v>
      </c>
      <c r="I6522" s="13" t="s">
        <v>13835</v>
      </c>
      <c r="J6522" s="14" t="str">
        <f>HYPERLINK("https://www.boe.es/gazeta/dias/1839/03/15/pdfs/GMD-1839-1581.pdf#page=4","Abrir facsímil")</f>
        <v>Abrir facsímil</v>
      </c>
      <c r="K6522" s="12" t="s">
        <v>24</v>
      </c>
    </row>
    <row r="6523" spans="1:11" ht="40.049999999999997" customHeight="1" x14ac:dyDescent="0.25">
      <c r="A6523" s="11" t="s">
        <v>13836</v>
      </c>
      <c r="B6523" s="11" t="s">
        <v>13836</v>
      </c>
      <c r="C6523" s="11" t="s">
        <v>17</v>
      </c>
      <c r="D6523" s="11" t="s">
        <v>18</v>
      </c>
      <c r="E6523" s="12" t="s">
        <v>690</v>
      </c>
      <c r="F6523" s="12" t="s">
        <v>691</v>
      </c>
      <c r="G6523" s="12" t="s">
        <v>46</v>
      </c>
      <c r="H6523" s="11" t="s">
        <v>22</v>
      </c>
      <c r="I6523" s="13" t="s">
        <v>13837</v>
      </c>
      <c r="J6523" s="14" t="str">
        <f>HYPERLINK("https://www.boe.es/gazeta/dias/1839/12/08/pdfs/GMD-1839-1855.pdf#page=3","Abrir facsímil")</f>
        <v>Abrir facsímil</v>
      </c>
      <c r="K6523" s="12" t="s">
        <v>24</v>
      </c>
    </row>
    <row r="6524" spans="1:11" ht="40.049999999999997" customHeight="1" x14ac:dyDescent="0.25">
      <c r="A6524" s="11" t="s">
        <v>13838</v>
      </c>
      <c r="B6524" s="11" t="s">
        <v>13838</v>
      </c>
      <c r="C6524" s="11" t="s">
        <v>59</v>
      </c>
      <c r="D6524" s="11" t="s">
        <v>60</v>
      </c>
      <c r="E6524" s="12" t="s">
        <v>736</v>
      </c>
      <c r="F6524" s="12" t="s">
        <v>737</v>
      </c>
      <c r="G6524" s="12" t="s">
        <v>21</v>
      </c>
      <c r="H6524" s="11" t="s">
        <v>63</v>
      </c>
      <c r="I6524" s="13" t="s">
        <v>13839</v>
      </c>
      <c r="J6524" s="14" t="str">
        <f>HYPERLINK("https://www.boe.es/gazeta/dias/1839/10/13/pdfs/GMD-1839-1799.pdf#page=4","Abrir facsímil")</f>
        <v>Abrir facsímil</v>
      </c>
      <c r="K6524" s="12" t="s">
        <v>65</v>
      </c>
    </row>
    <row r="6525" spans="1:11" ht="40.049999999999997" customHeight="1" x14ac:dyDescent="0.25">
      <c r="A6525" s="11" t="s">
        <v>13840</v>
      </c>
      <c r="B6525" s="11" t="s">
        <v>13840</v>
      </c>
      <c r="C6525" s="11" t="s">
        <v>17</v>
      </c>
      <c r="D6525" s="11" t="s">
        <v>18</v>
      </c>
      <c r="E6525" s="12" t="s">
        <v>700</v>
      </c>
      <c r="F6525" s="12" t="s">
        <v>701</v>
      </c>
      <c r="G6525" s="12" t="s">
        <v>40</v>
      </c>
      <c r="H6525" s="11" t="s">
        <v>63</v>
      </c>
      <c r="I6525" s="13" t="s">
        <v>13841</v>
      </c>
      <c r="J6525" s="14" t="str">
        <f>HYPERLINK("https://www.boe.es/gazeta/dias/1839/09/01/pdfs/GMD-1839-1753.pdf#page=2","Abrir facsímil")</f>
        <v>Abrir facsímil</v>
      </c>
      <c r="K6525" s="12" t="s">
        <v>65</v>
      </c>
    </row>
    <row r="6526" spans="1:11" ht="40.049999999999997" customHeight="1" x14ac:dyDescent="0.25">
      <c r="A6526" s="11" t="s">
        <v>13842</v>
      </c>
      <c r="B6526" s="11" t="s">
        <v>13842</v>
      </c>
      <c r="C6526" s="11" t="s">
        <v>101</v>
      </c>
      <c r="D6526" s="11" t="s">
        <v>43</v>
      </c>
      <c r="E6526" s="12" t="s">
        <v>647</v>
      </c>
      <c r="F6526" s="12" t="s">
        <v>648</v>
      </c>
      <c r="G6526" s="12" t="s">
        <v>40</v>
      </c>
      <c r="H6526" s="11" t="s">
        <v>22</v>
      </c>
      <c r="I6526" s="13" t="s">
        <v>13843</v>
      </c>
      <c r="J6526" s="14" t="str">
        <f>HYPERLINK("https://www.boe.es/gazeta/dias/1839/10/08/pdfs/GMD-1839-1794.pdf#page=2","Abrir facsímil")</f>
        <v>Abrir facsímil</v>
      </c>
      <c r="K6526" s="12" t="s">
        <v>24</v>
      </c>
    </row>
    <row r="6527" spans="1:11" ht="40.049999999999997" customHeight="1" x14ac:dyDescent="0.25">
      <c r="A6527" s="11" t="s">
        <v>13844</v>
      </c>
      <c r="B6527" s="11" t="s">
        <v>13844</v>
      </c>
      <c r="C6527" s="11" t="s">
        <v>17</v>
      </c>
      <c r="D6527" s="11" t="s">
        <v>18</v>
      </c>
      <c r="E6527" s="12" t="s">
        <v>1332</v>
      </c>
      <c r="F6527" s="12" t="s">
        <v>1333</v>
      </c>
      <c r="G6527" s="12" t="s">
        <v>21</v>
      </c>
      <c r="H6527" s="11" t="s">
        <v>22</v>
      </c>
      <c r="I6527" s="13" t="s">
        <v>13845</v>
      </c>
      <c r="J6527" s="14" t="str">
        <f>HYPERLINK("https://www.boe.es/gazeta/dias/1839/05/04/pdfs/GMD-1839-1631.pdf#page=4","Abrir facsímil")</f>
        <v>Abrir facsímil</v>
      </c>
      <c r="K6527" s="12" t="s">
        <v>24</v>
      </c>
    </row>
    <row r="6528" spans="1:11" ht="40.049999999999997" customHeight="1" x14ac:dyDescent="0.25">
      <c r="A6528" s="11" t="s">
        <v>13846</v>
      </c>
      <c r="B6528" s="11" t="s">
        <v>13846</v>
      </c>
      <c r="C6528" s="11" t="s">
        <v>17</v>
      </c>
      <c r="D6528" s="11" t="s">
        <v>18</v>
      </c>
      <c r="E6528" s="12" t="s">
        <v>611</v>
      </c>
      <c r="F6528" s="12" t="s">
        <v>612</v>
      </c>
      <c r="G6528" s="12" t="s">
        <v>21</v>
      </c>
      <c r="H6528" s="11" t="s">
        <v>22</v>
      </c>
      <c r="I6528" s="13" t="s">
        <v>13847</v>
      </c>
      <c r="J6528" s="14" t="str">
        <f>HYPERLINK("https://www.boe.es/gazeta/dias/1839/07/22/pdfs/GMD-1839-1710.pdf#page=4","Abrir facsímil")</f>
        <v>Abrir facsímil</v>
      </c>
      <c r="K6528" s="12" t="s">
        <v>24</v>
      </c>
    </row>
    <row r="6529" spans="1:11" ht="40.049999999999997" customHeight="1" x14ac:dyDescent="0.25">
      <c r="A6529" s="11" t="s">
        <v>13848</v>
      </c>
      <c r="B6529" s="11" t="s">
        <v>13848</v>
      </c>
      <c r="C6529" s="11" t="s">
        <v>17</v>
      </c>
      <c r="D6529" s="11" t="s">
        <v>18</v>
      </c>
      <c r="E6529" s="12" t="s">
        <v>700</v>
      </c>
      <c r="F6529" s="12" t="s">
        <v>701</v>
      </c>
      <c r="G6529" s="12" t="s">
        <v>21</v>
      </c>
      <c r="H6529" s="11" t="s">
        <v>63</v>
      </c>
      <c r="I6529" s="13" t="s">
        <v>13849</v>
      </c>
      <c r="J6529" s="14" t="str">
        <f>HYPERLINK("https://www.boe.es/gazeta/dias/1839/09/01/pdfs/GMD-1839-1753.pdf#page=4","Abrir facsímil")</f>
        <v>Abrir facsímil</v>
      </c>
      <c r="K6529" s="12" t="s">
        <v>65</v>
      </c>
    </row>
    <row r="6530" spans="1:11" ht="40.049999999999997" customHeight="1" x14ac:dyDescent="0.25">
      <c r="A6530" s="11" t="s">
        <v>13850</v>
      </c>
      <c r="B6530" s="11" t="s">
        <v>13850</v>
      </c>
      <c r="C6530" s="11" t="s">
        <v>17</v>
      </c>
      <c r="D6530" s="11" t="s">
        <v>18</v>
      </c>
      <c r="E6530" s="12" t="s">
        <v>621</v>
      </c>
      <c r="F6530" s="12" t="s">
        <v>622</v>
      </c>
      <c r="G6530" s="12" t="s">
        <v>40</v>
      </c>
      <c r="H6530" s="11" t="s">
        <v>22</v>
      </c>
      <c r="I6530" s="13" t="s">
        <v>13851</v>
      </c>
      <c r="J6530" s="14" t="str">
        <f>HYPERLINK("https://www.boe.es/gazeta/dias/1839/04/14/pdfs/GMD-1839-1611.pdf#page=2","Abrir facsímil")</f>
        <v>Abrir facsímil</v>
      </c>
      <c r="K6530" s="12" t="s">
        <v>24</v>
      </c>
    </row>
    <row r="6531" spans="1:11" ht="40.049999999999997" customHeight="1" x14ac:dyDescent="0.25">
      <c r="A6531" s="11" t="s">
        <v>13852</v>
      </c>
      <c r="B6531" s="11" t="s">
        <v>13853</v>
      </c>
      <c r="C6531" s="11" t="s">
        <v>17</v>
      </c>
      <c r="D6531" s="11" t="s">
        <v>18</v>
      </c>
      <c r="E6531" s="12" t="s">
        <v>1079</v>
      </c>
      <c r="F6531" s="12" t="s">
        <v>1080</v>
      </c>
      <c r="G6531" s="12" t="s">
        <v>21</v>
      </c>
      <c r="H6531" s="11" t="s">
        <v>22</v>
      </c>
      <c r="I6531" s="13" t="s">
        <v>13854</v>
      </c>
      <c r="J6531" s="14" t="str">
        <f>HYPERLINK("https://www.boe.es/gazeta/dias/1839/05/24/pdfs/GMD-1839-1651.pdf#page=4","Abrir facsímil")</f>
        <v>Abrir facsímil</v>
      </c>
      <c r="K6531" s="12" t="s">
        <v>24</v>
      </c>
    </row>
    <row r="6532" spans="1:11" ht="40.049999999999997" customHeight="1" x14ac:dyDescent="0.25">
      <c r="A6532" s="11" t="s">
        <v>13855</v>
      </c>
      <c r="B6532" s="11" t="s">
        <v>13856</v>
      </c>
      <c r="C6532" s="11" t="s">
        <v>17</v>
      </c>
      <c r="D6532" s="11" t="s">
        <v>18</v>
      </c>
      <c r="E6532" s="12" t="s">
        <v>132</v>
      </c>
      <c r="F6532" s="12" t="s">
        <v>133</v>
      </c>
      <c r="G6532" s="12" t="s">
        <v>40</v>
      </c>
      <c r="H6532" s="11" t="s">
        <v>63</v>
      </c>
      <c r="I6532" s="13" t="s">
        <v>13857</v>
      </c>
      <c r="J6532" s="14" t="str">
        <f>HYPERLINK("https://www.boe.es/gazeta/dias/1839/08/02/pdfs/GMD-1839-1722.pdf#page=2","Abrir facsímil")</f>
        <v>Abrir facsímil</v>
      </c>
      <c r="K6532" s="12" t="s">
        <v>65</v>
      </c>
    </row>
    <row r="6533" spans="1:11" ht="40.049999999999997" customHeight="1" x14ac:dyDescent="0.25">
      <c r="A6533" s="11" t="s">
        <v>13858</v>
      </c>
      <c r="B6533" s="11" t="s">
        <v>13859</v>
      </c>
      <c r="C6533" s="11" t="s">
        <v>17</v>
      </c>
      <c r="D6533" s="11" t="s">
        <v>43</v>
      </c>
      <c r="E6533" s="12" t="s">
        <v>469</v>
      </c>
      <c r="F6533" s="12" t="s">
        <v>470</v>
      </c>
      <c r="G6533" s="12" t="s">
        <v>21</v>
      </c>
      <c r="H6533" s="11" t="s">
        <v>63</v>
      </c>
      <c r="I6533" s="13" t="s">
        <v>13860</v>
      </c>
      <c r="J6533" s="14" t="str">
        <f>HYPERLINK("https://www.boe.es/gazeta/dias/1839/08/20/pdfs/GMD-1839-1741.pdf#page=4","Abrir facsímil")</f>
        <v>Abrir facsímil</v>
      </c>
      <c r="K6533" s="12" t="s">
        <v>65</v>
      </c>
    </row>
    <row r="6534" spans="1:11" ht="40.049999999999997" customHeight="1" x14ac:dyDescent="0.25">
      <c r="A6534" s="11" t="s">
        <v>13861</v>
      </c>
      <c r="B6534" s="11" t="s">
        <v>13862</v>
      </c>
      <c r="C6534" s="11" t="s">
        <v>17</v>
      </c>
      <c r="D6534" s="11" t="s">
        <v>18</v>
      </c>
      <c r="E6534" s="12" t="s">
        <v>3134</v>
      </c>
      <c r="F6534" s="12" t="s">
        <v>3135</v>
      </c>
      <c r="G6534" s="12" t="s">
        <v>40</v>
      </c>
      <c r="H6534" s="11" t="s">
        <v>63</v>
      </c>
      <c r="I6534" s="13" t="s">
        <v>13863</v>
      </c>
      <c r="J6534" s="14" t="str">
        <f>HYPERLINK("https://www.boe.es/gazeta/dias/1839/08/09/pdfs/GMD-1839-1729.pdf#page=2","Abrir facsímil")</f>
        <v>Abrir facsímil</v>
      </c>
      <c r="K6534" s="12" t="s">
        <v>65</v>
      </c>
    </row>
    <row r="6535" spans="1:11" ht="40.049999999999997" customHeight="1" x14ac:dyDescent="0.25">
      <c r="A6535" s="11" t="s">
        <v>13864</v>
      </c>
      <c r="B6535" s="11" t="s">
        <v>13865</v>
      </c>
      <c r="C6535" s="11" t="s">
        <v>17</v>
      </c>
      <c r="D6535" s="11" t="s">
        <v>18</v>
      </c>
      <c r="E6535" s="12" t="s">
        <v>1467</v>
      </c>
      <c r="F6535" s="12" t="s">
        <v>1468</v>
      </c>
      <c r="G6535" s="12" t="s">
        <v>21</v>
      </c>
      <c r="H6535" s="11" t="s">
        <v>63</v>
      </c>
      <c r="I6535" s="13" t="s">
        <v>13866</v>
      </c>
      <c r="J6535" s="14" t="str">
        <f>HYPERLINK("https://www.boe.es/gazeta/dias/1839/03/05/pdfs/GMD-1839-1571.pdf#page=4","Abrir facsímil")</f>
        <v>Abrir facsímil</v>
      </c>
      <c r="K6535" s="12" t="s">
        <v>65</v>
      </c>
    </row>
    <row r="6536" spans="1:11" ht="40.049999999999997" customHeight="1" x14ac:dyDescent="0.25">
      <c r="A6536" s="11" t="s">
        <v>13867</v>
      </c>
      <c r="B6536" s="11" t="s">
        <v>13868</v>
      </c>
      <c r="C6536" s="11" t="s">
        <v>137</v>
      </c>
      <c r="D6536" s="11" t="s">
        <v>18</v>
      </c>
      <c r="E6536" s="12" t="s">
        <v>592</v>
      </c>
      <c r="F6536" s="12" t="s">
        <v>593</v>
      </c>
      <c r="G6536" s="12" t="s">
        <v>21</v>
      </c>
      <c r="H6536" s="11" t="s">
        <v>63</v>
      </c>
      <c r="I6536" s="13" t="s">
        <v>13869</v>
      </c>
      <c r="J6536" s="14" t="str">
        <f>HYPERLINK("https://www.boe.es/gazeta/dias/1839/09/14/pdfs/GMD-1839-1767.pdf#page=4","Abrir facsímil")</f>
        <v>Abrir facsímil</v>
      </c>
      <c r="K6536" s="12" t="s">
        <v>65</v>
      </c>
    </row>
    <row r="6537" spans="1:11" ht="40.049999999999997" customHeight="1" x14ac:dyDescent="0.25">
      <c r="A6537" s="11" t="s">
        <v>13870</v>
      </c>
      <c r="B6537" s="11" t="s">
        <v>13871</v>
      </c>
      <c r="C6537" s="11" t="s">
        <v>80</v>
      </c>
      <c r="D6537" s="11" t="s">
        <v>18</v>
      </c>
      <c r="E6537" s="12" t="s">
        <v>4044</v>
      </c>
      <c r="F6537" s="12" t="s">
        <v>4045</v>
      </c>
      <c r="G6537" s="12" t="s">
        <v>29</v>
      </c>
      <c r="H6537" s="11" t="s">
        <v>63</v>
      </c>
      <c r="I6537" s="13" t="s">
        <v>13872</v>
      </c>
      <c r="J6537" s="14" t="str">
        <f>HYPERLINK("https://www.boe.es/gazeta/dias/1839/01/07/pdfs/GMD-1839-1514.pdf#page=1","Abrir facsímil")</f>
        <v>Abrir facsímil</v>
      </c>
      <c r="K6537" s="12" t="s">
        <v>65</v>
      </c>
    </row>
    <row r="6538" spans="1:11" ht="40.049999999999997" customHeight="1" x14ac:dyDescent="0.25">
      <c r="A6538" s="11" t="s">
        <v>13873</v>
      </c>
      <c r="B6538" s="11" t="s">
        <v>13874</v>
      </c>
      <c r="C6538" s="11" t="s">
        <v>59</v>
      </c>
      <c r="D6538" s="11" t="s">
        <v>60</v>
      </c>
      <c r="E6538" s="12" t="s">
        <v>269</v>
      </c>
      <c r="F6538" s="12" t="s">
        <v>270</v>
      </c>
      <c r="G6538" s="12" t="s">
        <v>46</v>
      </c>
      <c r="H6538" s="11" t="s">
        <v>22</v>
      </c>
      <c r="I6538" s="13" t="s">
        <v>13875</v>
      </c>
      <c r="J6538" s="14" t="str">
        <f>HYPERLINK("https://www.boe.es/gazeta/dias/1839/02/10/pdfs/GMD-1839-1548.pdf#page=3","Abrir facsímil")</f>
        <v>Abrir facsímil</v>
      </c>
      <c r="K6538" s="12" t="s">
        <v>24</v>
      </c>
    </row>
    <row r="6539" spans="1:11" ht="40.049999999999997" customHeight="1" x14ac:dyDescent="0.25">
      <c r="A6539" s="11" t="s">
        <v>13876</v>
      </c>
      <c r="B6539" s="11" t="s">
        <v>13877</v>
      </c>
      <c r="C6539" s="11" t="s">
        <v>17</v>
      </c>
      <c r="D6539" s="11" t="s">
        <v>18</v>
      </c>
      <c r="E6539" s="12" t="s">
        <v>230</v>
      </c>
      <c r="F6539" s="12" t="s">
        <v>231</v>
      </c>
      <c r="G6539" s="12" t="s">
        <v>21</v>
      </c>
      <c r="H6539" s="11" t="s">
        <v>63</v>
      </c>
      <c r="I6539" s="13" t="s">
        <v>13878</v>
      </c>
      <c r="J6539" s="14" t="str">
        <f>HYPERLINK("https://www.boe.es/gazeta/dias/1839/09/16/pdfs/GMD-1839-1769.pdf#page=4","Abrir facsímil")</f>
        <v>Abrir facsímil</v>
      </c>
      <c r="K6539" s="12" t="s">
        <v>65</v>
      </c>
    </row>
    <row r="6540" spans="1:11" ht="40.049999999999997" customHeight="1" x14ac:dyDescent="0.25">
      <c r="A6540" s="11" t="s">
        <v>13879</v>
      </c>
      <c r="B6540" s="11" t="s">
        <v>13880</v>
      </c>
      <c r="C6540" s="11" t="s">
        <v>101</v>
      </c>
      <c r="D6540" s="11" t="s">
        <v>43</v>
      </c>
      <c r="E6540" s="12" t="s">
        <v>258</v>
      </c>
      <c r="F6540" s="12" t="s">
        <v>259</v>
      </c>
      <c r="G6540" s="12" t="s">
        <v>21</v>
      </c>
      <c r="H6540" s="11" t="s">
        <v>63</v>
      </c>
      <c r="I6540" s="13" t="s">
        <v>13881</v>
      </c>
      <c r="J6540" s="14" t="str">
        <f>HYPERLINK("https://www.boe.es/gazeta/dias/1839/01/02/pdfs/GMD-1839-1509.pdf#page=4","Abrir facsímil")</f>
        <v>Abrir facsímil</v>
      </c>
      <c r="K6540" s="12" t="s">
        <v>65</v>
      </c>
    </row>
    <row r="6541" spans="1:11" ht="40.049999999999997" customHeight="1" x14ac:dyDescent="0.25">
      <c r="A6541" s="11" t="s">
        <v>13882</v>
      </c>
      <c r="B6541" s="11" t="s">
        <v>13882</v>
      </c>
      <c r="C6541" s="11" t="s">
        <v>80</v>
      </c>
      <c r="D6541" s="11" t="s">
        <v>18</v>
      </c>
      <c r="E6541" s="12" t="s">
        <v>181</v>
      </c>
      <c r="F6541" s="12" t="s">
        <v>182</v>
      </c>
      <c r="G6541" s="12" t="s">
        <v>21</v>
      </c>
      <c r="H6541" s="11" t="s">
        <v>22</v>
      </c>
      <c r="I6541" s="13" t="s">
        <v>13883</v>
      </c>
      <c r="J6541" s="14" t="str">
        <f>HYPERLINK("https://www.boe.es/gazeta/dias/1839/01/11/pdfs/GMD-1839-1518.pdf#page=4","Abrir facsímil")</f>
        <v>Abrir facsímil</v>
      </c>
      <c r="K6541" s="12" t="s">
        <v>24</v>
      </c>
    </row>
    <row r="6542" spans="1:11" ht="40.049999999999997" customHeight="1" x14ac:dyDescent="0.25">
      <c r="A6542" s="11" t="s">
        <v>13884</v>
      </c>
      <c r="B6542" s="11" t="s">
        <v>13884</v>
      </c>
      <c r="C6542" s="11" t="s">
        <v>17</v>
      </c>
      <c r="D6542" s="11" t="s">
        <v>18</v>
      </c>
      <c r="E6542" s="12" t="s">
        <v>1356</v>
      </c>
      <c r="F6542" s="12" t="s">
        <v>1357</v>
      </c>
      <c r="G6542" s="12" t="s">
        <v>21</v>
      </c>
      <c r="H6542" s="11" t="s">
        <v>22</v>
      </c>
      <c r="I6542" s="13" t="s">
        <v>13885</v>
      </c>
      <c r="J6542" s="14" t="str">
        <f>HYPERLINK("https://www.boe.es/gazeta/dias/1839/06/05/pdfs/GMD-1839-1663.pdf#page=4","Abrir facsímil")</f>
        <v>Abrir facsímil</v>
      </c>
      <c r="K6542" s="12" t="s">
        <v>24</v>
      </c>
    </row>
    <row r="6543" spans="1:11" ht="40.049999999999997" customHeight="1" x14ac:dyDescent="0.25">
      <c r="A6543" s="11" t="s">
        <v>13884</v>
      </c>
      <c r="B6543" s="11" t="s">
        <v>13884</v>
      </c>
      <c r="C6543" s="11" t="s">
        <v>80</v>
      </c>
      <c r="D6543" s="11" t="s">
        <v>18</v>
      </c>
      <c r="E6543" s="12" t="s">
        <v>2432</v>
      </c>
      <c r="F6543" s="12" t="s">
        <v>2581</v>
      </c>
      <c r="G6543" s="12" t="s">
        <v>21</v>
      </c>
      <c r="H6543" s="11" t="s">
        <v>22</v>
      </c>
      <c r="I6543" s="13" t="s">
        <v>13886</v>
      </c>
      <c r="J6543" s="14" t="str">
        <f>HYPERLINK("https://www.boe.es/gazeta/dias/1839/07/23/pdfs/GMD-1839-1711.pdf#page=4","Abrir facsímil")</f>
        <v>Abrir facsímil</v>
      </c>
      <c r="K6543" s="12" t="s">
        <v>24</v>
      </c>
    </row>
    <row r="6544" spans="1:11" ht="40.049999999999997" customHeight="1" x14ac:dyDescent="0.25">
      <c r="A6544" s="11" t="s">
        <v>13887</v>
      </c>
      <c r="B6544" s="11" t="s">
        <v>13887</v>
      </c>
      <c r="C6544" s="11" t="s">
        <v>59</v>
      </c>
      <c r="D6544" s="11" t="s">
        <v>60</v>
      </c>
      <c r="E6544" s="12" t="s">
        <v>154</v>
      </c>
      <c r="F6544" s="12" t="s">
        <v>155</v>
      </c>
      <c r="G6544" s="12" t="s">
        <v>21</v>
      </c>
      <c r="H6544" s="11" t="s">
        <v>22</v>
      </c>
      <c r="I6544" s="13" t="s">
        <v>13888</v>
      </c>
      <c r="J6544" s="14" t="str">
        <f>HYPERLINK("https://www.boe.es/gazeta/dias/1839/02/02/pdfs/GMD-1839-1540.pdf#page=4","Abrir facsímil")</f>
        <v>Abrir facsímil</v>
      </c>
      <c r="K6544" s="12" t="s">
        <v>24</v>
      </c>
    </row>
    <row r="6545" spans="1:11" ht="40.049999999999997" customHeight="1" x14ac:dyDescent="0.25">
      <c r="A6545" s="11" t="s">
        <v>13887</v>
      </c>
      <c r="B6545" s="11" t="s">
        <v>13887</v>
      </c>
      <c r="C6545" s="11" t="s">
        <v>17</v>
      </c>
      <c r="D6545" s="11" t="s">
        <v>18</v>
      </c>
      <c r="E6545" s="12" t="s">
        <v>7860</v>
      </c>
      <c r="F6545" s="12" t="s">
        <v>7861</v>
      </c>
      <c r="G6545" s="12" t="s">
        <v>21</v>
      </c>
      <c r="H6545" s="11" t="s">
        <v>22</v>
      </c>
      <c r="I6545" s="13" t="s">
        <v>13889</v>
      </c>
      <c r="J6545" s="14" t="str">
        <f>HYPERLINK("https://www.boe.es/gazeta/dias/1839/03/04/pdfs/GMD-1839-1570.pdf#page=4","Abrir facsímil")</f>
        <v>Abrir facsímil</v>
      </c>
      <c r="K6545" s="12" t="s">
        <v>24</v>
      </c>
    </row>
    <row r="6546" spans="1:11" ht="40.049999999999997" customHeight="1" x14ac:dyDescent="0.25">
      <c r="A6546" s="11" t="s">
        <v>13887</v>
      </c>
      <c r="B6546" s="11" t="s">
        <v>13887</v>
      </c>
      <c r="C6546" s="11" t="s">
        <v>17</v>
      </c>
      <c r="D6546" s="11" t="s">
        <v>18</v>
      </c>
      <c r="E6546" s="12" t="s">
        <v>751</v>
      </c>
      <c r="F6546" s="12" t="s">
        <v>752</v>
      </c>
      <c r="G6546" s="12" t="s">
        <v>21</v>
      </c>
      <c r="H6546" s="11" t="s">
        <v>22</v>
      </c>
      <c r="I6546" s="13" t="s">
        <v>13890</v>
      </c>
      <c r="J6546" s="14" t="str">
        <f>HYPERLINK("https://www.boe.es/gazeta/dias/1839/02/05/pdfs/GMD-1839-1543.pdf#page=4","Abrir facsímil")</f>
        <v>Abrir facsímil</v>
      </c>
      <c r="K6546" s="12" t="s">
        <v>24</v>
      </c>
    </row>
    <row r="6547" spans="1:11" ht="40.049999999999997" customHeight="1" x14ac:dyDescent="0.25">
      <c r="A6547" s="11" t="s">
        <v>13887</v>
      </c>
      <c r="B6547" s="11" t="s">
        <v>13887</v>
      </c>
      <c r="C6547" s="11" t="s">
        <v>80</v>
      </c>
      <c r="D6547" s="11" t="s">
        <v>18</v>
      </c>
      <c r="E6547" s="12" t="s">
        <v>2165</v>
      </c>
      <c r="F6547" s="12" t="s">
        <v>2166</v>
      </c>
      <c r="G6547" s="12" t="s">
        <v>21</v>
      </c>
      <c r="H6547" s="11" t="s">
        <v>22</v>
      </c>
      <c r="I6547" s="13" t="s">
        <v>13891</v>
      </c>
      <c r="J6547" s="14" t="str">
        <f>HYPERLINK("https://www.boe.es/gazeta/dias/1839/01/06/pdfs/GMD-1839-1513.pdf#page=4","Abrir facsímil")</f>
        <v>Abrir facsímil</v>
      </c>
      <c r="K6547" s="12" t="s">
        <v>24</v>
      </c>
    </row>
    <row r="6548" spans="1:11" ht="40.049999999999997" customHeight="1" x14ac:dyDescent="0.25">
      <c r="A6548" s="11" t="s">
        <v>13887</v>
      </c>
      <c r="B6548" s="11" t="s">
        <v>13887</v>
      </c>
      <c r="C6548" s="11" t="s">
        <v>137</v>
      </c>
      <c r="D6548" s="11" t="s">
        <v>18</v>
      </c>
      <c r="E6548" s="12" t="s">
        <v>3566</v>
      </c>
      <c r="F6548" s="12" t="s">
        <v>3567</v>
      </c>
      <c r="G6548" s="12" t="s">
        <v>46</v>
      </c>
      <c r="H6548" s="11" t="s">
        <v>22</v>
      </c>
      <c r="I6548" s="13" t="s">
        <v>13892</v>
      </c>
      <c r="J6548" s="14" t="str">
        <f>HYPERLINK("https://www.boe.es/gazeta/dias/1839/07/06/pdfs/GMD-1839-1694.pdf#page=3","Abrir facsímil")</f>
        <v>Abrir facsímil</v>
      </c>
      <c r="K6548" s="12" t="s">
        <v>24</v>
      </c>
    </row>
    <row r="6549" spans="1:11" ht="40.049999999999997" customHeight="1" x14ac:dyDescent="0.25">
      <c r="A6549" s="11" t="s">
        <v>13887</v>
      </c>
      <c r="B6549" s="11" t="s">
        <v>13887</v>
      </c>
      <c r="C6549" s="11" t="s">
        <v>17</v>
      </c>
      <c r="D6549" s="11" t="s">
        <v>18</v>
      </c>
      <c r="E6549" s="12" t="s">
        <v>1772</v>
      </c>
      <c r="F6549" s="12" t="s">
        <v>1773</v>
      </c>
      <c r="G6549" s="12" t="s">
        <v>21</v>
      </c>
      <c r="H6549" s="11" t="s">
        <v>22</v>
      </c>
      <c r="I6549" s="13" t="s">
        <v>13893</v>
      </c>
      <c r="J6549" s="14" t="str">
        <f>HYPERLINK("https://www.boe.es/gazeta/dias/1839/05/07/pdfs/GMD-1839-1634.pdf#page=4","Abrir facsímil")</f>
        <v>Abrir facsímil</v>
      </c>
      <c r="K6549" s="12" t="s">
        <v>24</v>
      </c>
    </row>
    <row r="6550" spans="1:11" ht="40.049999999999997" customHeight="1" x14ac:dyDescent="0.25">
      <c r="A6550" s="11" t="s">
        <v>13887</v>
      </c>
      <c r="B6550" s="11" t="s">
        <v>13887</v>
      </c>
      <c r="C6550" s="11" t="s">
        <v>59</v>
      </c>
      <c r="D6550" s="11" t="s">
        <v>60</v>
      </c>
      <c r="E6550" s="12" t="s">
        <v>2301</v>
      </c>
      <c r="F6550" s="12" t="s">
        <v>2302</v>
      </c>
      <c r="G6550" s="12" t="s">
        <v>21</v>
      </c>
      <c r="H6550" s="11" t="s">
        <v>22</v>
      </c>
      <c r="I6550" s="13" t="s">
        <v>13894</v>
      </c>
      <c r="J6550" s="14" t="str">
        <f>HYPERLINK("https://www.boe.es/gazeta/dias/1839/09/08/pdfs/GMD-1839-1761.pdf#page=4","Abrir facsímil")</f>
        <v>Abrir facsímil</v>
      </c>
      <c r="K6550" s="12" t="s">
        <v>24</v>
      </c>
    </row>
    <row r="6551" spans="1:11" ht="40.049999999999997" customHeight="1" x14ac:dyDescent="0.25">
      <c r="A6551" s="11" t="s">
        <v>13887</v>
      </c>
      <c r="B6551" s="11" t="s">
        <v>13887</v>
      </c>
      <c r="C6551" s="11" t="s">
        <v>59</v>
      </c>
      <c r="D6551" s="11" t="s">
        <v>60</v>
      </c>
      <c r="E6551" s="12" t="s">
        <v>2050</v>
      </c>
      <c r="F6551" s="12" t="s">
        <v>2051</v>
      </c>
      <c r="G6551" s="12" t="s">
        <v>21</v>
      </c>
      <c r="H6551" s="11" t="s">
        <v>22</v>
      </c>
      <c r="I6551" s="13" t="s">
        <v>13895</v>
      </c>
      <c r="J6551" s="14" t="str">
        <f>HYPERLINK("https://www.boe.es/gazeta/dias/1839/01/09/pdfs/GMD-1839-1516.pdf#page=4","Abrir facsímil")</f>
        <v>Abrir facsímil</v>
      </c>
      <c r="K6551" s="12" t="s">
        <v>24</v>
      </c>
    </row>
    <row r="6552" spans="1:11" ht="40.049999999999997" customHeight="1" x14ac:dyDescent="0.25">
      <c r="A6552" s="11" t="s">
        <v>13887</v>
      </c>
      <c r="B6552" s="11" t="s">
        <v>13887</v>
      </c>
      <c r="C6552" s="11" t="s">
        <v>17</v>
      </c>
      <c r="D6552" s="11" t="s">
        <v>18</v>
      </c>
      <c r="E6552" s="12" t="s">
        <v>984</v>
      </c>
      <c r="F6552" s="12" t="s">
        <v>985</v>
      </c>
      <c r="G6552" s="12" t="s">
        <v>21</v>
      </c>
      <c r="H6552" s="11" t="s">
        <v>22</v>
      </c>
      <c r="I6552" s="13" t="s">
        <v>13896</v>
      </c>
      <c r="J6552" s="14" t="str">
        <f>HYPERLINK("https://www.boe.es/gazeta/dias/1839/04/10/pdfs/GMD-1839-1607.pdf#page=4","Abrir facsímil")</f>
        <v>Abrir facsímil</v>
      </c>
      <c r="K6552" s="12" t="s">
        <v>24</v>
      </c>
    </row>
    <row r="6553" spans="1:11" ht="40.049999999999997" customHeight="1" x14ac:dyDescent="0.25">
      <c r="A6553" s="11" t="s">
        <v>13887</v>
      </c>
      <c r="B6553" s="11" t="s">
        <v>13887</v>
      </c>
      <c r="C6553" s="11" t="s">
        <v>101</v>
      </c>
      <c r="D6553" s="11" t="s">
        <v>102</v>
      </c>
      <c r="E6553" s="12" t="s">
        <v>330</v>
      </c>
      <c r="F6553" s="12" t="s">
        <v>331</v>
      </c>
      <c r="G6553" s="12" t="s">
        <v>46</v>
      </c>
      <c r="H6553" s="11" t="s">
        <v>22</v>
      </c>
      <c r="I6553" s="13" t="s">
        <v>13897</v>
      </c>
      <c r="J6553" s="14" t="str">
        <f>HYPERLINK("https://www.boe.es/gazeta/dias/1839/04/11/pdfs/GMD-1839-1608.pdf#page=3","Abrir facsímil")</f>
        <v>Abrir facsímil</v>
      </c>
      <c r="K6553" s="12" t="s">
        <v>24</v>
      </c>
    </row>
    <row r="6554" spans="1:11" ht="40.049999999999997" customHeight="1" x14ac:dyDescent="0.25">
      <c r="A6554" s="11" t="s">
        <v>13887</v>
      </c>
      <c r="B6554" s="11" t="s">
        <v>13887</v>
      </c>
      <c r="C6554" s="11" t="s">
        <v>17</v>
      </c>
      <c r="D6554" s="11" t="s">
        <v>18</v>
      </c>
      <c r="E6554" s="12" t="s">
        <v>192</v>
      </c>
      <c r="F6554" s="12" t="s">
        <v>193</v>
      </c>
      <c r="G6554" s="12" t="s">
        <v>40</v>
      </c>
      <c r="H6554" s="11" t="s">
        <v>22</v>
      </c>
      <c r="I6554" s="13" t="s">
        <v>13898</v>
      </c>
      <c r="J6554" s="14" t="str">
        <f>HYPERLINK("https://www.boe.es/gazeta/dias/1839/01/12/pdfs/GMD-1839-1519.pdf#page=2","Abrir facsímil")</f>
        <v>Abrir facsímil</v>
      </c>
      <c r="K6554" s="12" t="s">
        <v>24</v>
      </c>
    </row>
    <row r="6555" spans="1:11" ht="40.049999999999997" customHeight="1" x14ac:dyDescent="0.25">
      <c r="A6555" s="11" t="s">
        <v>13887</v>
      </c>
      <c r="B6555" s="11" t="s">
        <v>13887</v>
      </c>
      <c r="C6555" s="11" t="s">
        <v>17</v>
      </c>
      <c r="D6555" s="11" t="s">
        <v>18</v>
      </c>
      <c r="E6555" s="12" t="s">
        <v>272</v>
      </c>
      <c r="F6555" s="12" t="s">
        <v>273</v>
      </c>
      <c r="G6555" s="12" t="s">
        <v>46</v>
      </c>
      <c r="H6555" s="11" t="s">
        <v>22</v>
      </c>
      <c r="I6555" s="13" t="s">
        <v>13899</v>
      </c>
      <c r="J6555" s="14" t="str">
        <f>HYPERLINK("https://www.boe.es/gazeta/dias/1839/02/12/pdfs/GMD-1839-1550.pdf#page=3","Abrir facsímil")</f>
        <v>Abrir facsímil</v>
      </c>
      <c r="K6555" s="12" t="s">
        <v>24</v>
      </c>
    </row>
    <row r="6556" spans="1:11" ht="40.049999999999997" customHeight="1" x14ac:dyDescent="0.25">
      <c r="A6556" s="11" t="s">
        <v>13887</v>
      </c>
      <c r="B6556" s="11" t="s">
        <v>13887</v>
      </c>
      <c r="C6556" s="11" t="s">
        <v>17</v>
      </c>
      <c r="D6556" s="11" t="s">
        <v>18</v>
      </c>
      <c r="E6556" s="12" t="s">
        <v>2919</v>
      </c>
      <c r="F6556" s="12" t="s">
        <v>2920</v>
      </c>
      <c r="G6556" s="12" t="s">
        <v>21</v>
      </c>
      <c r="H6556" s="11" t="s">
        <v>22</v>
      </c>
      <c r="I6556" s="13" t="s">
        <v>13900</v>
      </c>
      <c r="J6556" s="14" t="str">
        <f>HYPERLINK("https://www.boe.es/gazeta/dias/1839/11/12/pdfs/GMD-1839-1829.pdf#page=4","Abrir facsímil")</f>
        <v>Abrir facsímil</v>
      </c>
      <c r="K6556" s="12" t="s">
        <v>24</v>
      </c>
    </row>
    <row r="6557" spans="1:11" ht="40.049999999999997" customHeight="1" x14ac:dyDescent="0.25">
      <c r="A6557" s="11" t="s">
        <v>13887</v>
      </c>
      <c r="B6557" s="11" t="s">
        <v>13887</v>
      </c>
      <c r="C6557" s="11" t="s">
        <v>17</v>
      </c>
      <c r="D6557" s="11" t="s">
        <v>18</v>
      </c>
      <c r="E6557" s="12" t="s">
        <v>163</v>
      </c>
      <c r="F6557" s="12" t="s">
        <v>164</v>
      </c>
      <c r="G6557" s="12" t="s">
        <v>29</v>
      </c>
      <c r="H6557" s="11" t="s">
        <v>22</v>
      </c>
      <c r="I6557" s="13" t="s">
        <v>13901</v>
      </c>
      <c r="J6557" s="14" t="str">
        <f>HYPERLINK("https://www.boe.es/gazeta/dias/1839/01/13/pdfs/GMD-1839-1520.pdf#page=1","Abrir facsímil")</f>
        <v>Abrir facsímil</v>
      </c>
      <c r="K6557" s="12" t="s">
        <v>24</v>
      </c>
    </row>
    <row r="6558" spans="1:11" ht="40.049999999999997" customHeight="1" x14ac:dyDescent="0.25">
      <c r="A6558" s="11" t="s">
        <v>13887</v>
      </c>
      <c r="B6558" s="11" t="s">
        <v>13887</v>
      </c>
      <c r="C6558" s="11" t="s">
        <v>101</v>
      </c>
      <c r="D6558" s="11" t="s">
        <v>102</v>
      </c>
      <c r="E6558" s="12" t="s">
        <v>2320</v>
      </c>
      <c r="F6558" s="12" t="s">
        <v>2321</v>
      </c>
      <c r="G6558" s="12" t="s">
        <v>21</v>
      </c>
      <c r="H6558" s="11" t="s">
        <v>22</v>
      </c>
      <c r="I6558" s="13" t="s">
        <v>13902</v>
      </c>
      <c r="J6558" s="14" t="str">
        <f>HYPERLINK("https://www.boe.es/gazeta/dias/1839/11/13/pdfs/GMD-1839-1830.pdf#page=4","Abrir facsímil")</f>
        <v>Abrir facsímil</v>
      </c>
      <c r="K6558" s="12" t="s">
        <v>24</v>
      </c>
    </row>
    <row r="6559" spans="1:11" ht="40.049999999999997" customHeight="1" x14ac:dyDescent="0.25">
      <c r="A6559" s="11" t="s">
        <v>13887</v>
      </c>
      <c r="B6559" s="11" t="s">
        <v>13887</v>
      </c>
      <c r="C6559" s="11" t="s">
        <v>80</v>
      </c>
      <c r="D6559" s="11" t="s">
        <v>18</v>
      </c>
      <c r="E6559" s="12" t="s">
        <v>720</v>
      </c>
      <c r="F6559" s="12" t="s">
        <v>721</v>
      </c>
      <c r="G6559" s="12" t="s">
        <v>21</v>
      </c>
      <c r="H6559" s="11" t="s">
        <v>22</v>
      </c>
      <c r="I6559" s="13" t="s">
        <v>13903</v>
      </c>
      <c r="J6559" s="14" t="str">
        <f>HYPERLINK("https://www.boe.es/gazeta/dias/1839/01/14/pdfs/GMD-1839-1521.pdf#page=4","Abrir facsímil")</f>
        <v>Abrir facsímil</v>
      </c>
      <c r="K6559" s="12" t="s">
        <v>24</v>
      </c>
    </row>
    <row r="6560" spans="1:11" ht="40.049999999999997" customHeight="1" x14ac:dyDescent="0.25">
      <c r="A6560" s="11" t="s">
        <v>13887</v>
      </c>
      <c r="B6560" s="11" t="s">
        <v>13887</v>
      </c>
      <c r="C6560" s="11" t="s">
        <v>17</v>
      </c>
      <c r="D6560" s="11" t="s">
        <v>18</v>
      </c>
      <c r="E6560" s="12" t="s">
        <v>185</v>
      </c>
      <c r="F6560" s="12" t="s">
        <v>186</v>
      </c>
      <c r="G6560" s="12" t="s">
        <v>46</v>
      </c>
      <c r="H6560" s="11" t="s">
        <v>22</v>
      </c>
      <c r="I6560" s="13" t="s">
        <v>13904</v>
      </c>
      <c r="J6560" s="14" t="str">
        <f>HYPERLINK("https://www.boe.es/gazeta/dias/1839/01/15/pdfs/GMD-1839-1522.pdf#page=3","Abrir facsímil")</f>
        <v>Abrir facsímil</v>
      </c>
      <c r="K6560" s="12" t="s">
        <v>24</v>
      </c>
    </row>
    <row r="6561" spans="1:11" ht="40.049999999999997" customHeight="1" x14ac:dyDescent="0.25">
      <c r="A6561" s="11" t="s">
        <v>13887</v>
      </c>
      <c r="B6561" s="11" t="s">
        <v>13887</v>
      </c>
      <c r="C6561" s="11" t="s">
        <v>17</v>
      </c>
      <c r="D6561" s="11" t="s">
        <v>18</v>
      </c>
      <c r="E6561" s="12" t="s">
        <v>1644</v>
      </c>
      <c r="F6561" s="12" t="s">
        <v>1645</v>
      </c>
      <c r="G6561" s="12" t="s">
        <v>46</v>
      </c>
      <c r="H6561" s="11" t="s">
        <v>22</v>
      </c>
      <c r="I6561" s="13" t="s">
        <v>13905</v>
      </c>
      <c r="J6561" s="14" t="str">
        <f>HYPERLINK("https://www.boe.es/gazeta/dias/1839/04/16/pdfs/GMD-1839-1613.pdf#page=3","Abrir facsímil")</f>
        <v>Abrir facsímil</v>
      </c>
      <c r="K6561" s="12" t="s">
        <v>24</v>
      </c>
    </row>
    <row r="6562" spans="1:11" ht="40.049999999999997" customHeight="1" x14ac:dyDescent="0.25">
      <c r="A6562" s="11" t="s">
        <v>13887</v>
      </c>
      <c r="B6562" s="11" t="s">
        <v>13887</v>
      </c>
      <c r="C6562" s="11" t="s">
        <v>80</v>
      </c>
      <c r="D6562" s="11" t="s">
        <v>18</v>
      </c>
      <c r="E6562" s="12" t="s">
        <v>2155</v>
      </c>
      <c r="F6562" s="12" t="s">
        <v>2156</v>
      </c>
      <c r="G6562" s="12" t="s">
        <v>21</v>
      </c>
      <c r="H6562" s="11" t="s">
        <v>22</v>
      </c>
      <c r="I6562" s="13" t="s">
        <v>13906</v>
      </c>
      <c r="J6562" s="14" t="str">
        <f>HYPERLINK("https://www.boe.es/gazeta/dias/1839/01/17/pdfs/GMD-1839-1524.pdf#page=4","Abrir facsímil")</f>
        <v>Abrir facsímil</v>
      </c>
      <c r="K6562" s="12" t="s">
        <v>24</v>
      </c>
    </row>
    <row r="6563" spans="1:11" ht="40.049999999999997" customHeight="1" x14ac:dyDescent="0.25">
      <c r="A6563" s="11" t="s">
        <v>13887</v>
      </c>
      <c r="B6563" s="11" t="s">
        <v>13887</v>
      </c>
      <c r="C6563" s="11" t="s">
        <v>17</v>
      </c>
      <c r="D6563" s="11" t="s">
        <v>18</v>
      </c>
      <c r="E6563" s="12" t="s">
        <v>870</v>
      </c>
      <c r="F6563" s="12" t="s">
        <v>871</v>
      </c>
      <c r="G6563" s="12" t="s">
        <v>21</v>
      </c>
      <c r="H6563" s="11" t="s">
        <v>22</v>
      </c>
      <c r="I6563" s="13" t="s">
        <v>13907</v>
      </c>
      <c r="J6563" s="14" t="str">
        <f>HYPERLINK("https://www.boe.es/gazeta/dias/1839/04/18/pdfs/GMD-1839-1615.pdf#page=4","Abrir facsímil")</f>
        <v>Abrir facsímil</v>
      </c>
      <c r="K6563" s="12" t="s">
        <v>24</v>
      </c>
    </row>
    <row r="6564" spans="1:11" ht="40.049999999999997" customHeight="1" x14ac:dyDescent="0.25">
      <c r="A6564" s="11" t="s">
        <v>13887</v>
      </c>
      <c r="B6564" s="11" t="s">
        <v>13887</v>
      </c>
      <c r="C6564" s="11" t="s">
        <v>17</v>
      </c>
      <c r="D6564" s="11" t="s">
        <v>18</v>
      </c>
      <c r="E6564" s="12" t="s">
        <v>2392</v>
      </c>
      <c r="F6564" s="12" t="s">
        <v>2393</v>
      </c>
      <c r="G6564" s="12" t="s">
        <v>21</v>
      </c>
      <c r="H6564" s="11" t="s">
        <v>22</v>
      </c>
      <c r="I6564" s="13" t="s">
        <v>13908</v>
      </c>
      <c r="J6564" s="14" t="str">
        <f>HYPERLINK("https://www.boe.es/gazeta/dias/1839/05/21/pdfs/GMD-1839-1648.pdf#page=4","Abrir facsímil")</f>
        <v>Abrir facsímil</v>
      </c>
      <c r="K6564" s="12" t="s">
        <v>24</v>
      </c>
    </row>
    <row r="6565" spans="1:11" ht="40.049999999999997" customHeight="1" x14ac:dyDescent="0.25">
      <c r="A6565" s="11" t="s">
        <v>13887</v>
      </c>
      <c r="B6565" s="11" t="s">
        <v>13887</v>
      </c>
      <c r="C6565" s="11" t="s">
        <v>80</v>
      </c>
      <c r="D6565" s="11" t="s">
        <v>18</v>
      </c>
      <c r="E6565" s="12" t="s">
        <v>280</v>
      </c>
      <c r="F6565" s="12" t="s">
        <v>281</v>
      </c>
      <c r="G6565" s="12" t="s">
        <v>21</v>
      </c>
      <c r="H6565" s="11" t="s">
        <v>22</v>
      </c>
      <c r="I6565" s="13" t="s">
        <v>13909</v>
      </c>
      <c r="J6565" s="14" t="str">
        <f>HYPERLINK("https://www.boe.es/gazeta/dias/1839/08/21/pdfs/GMD-1839-1742.pdf#page=4","Abrir facsímil")</f>
        <v>Abrir facsímil</v>
      </c>
      <c r="K6565" s="12" t="s">
        <v>24</v>
      </c>
    </row>
    <row r="6566" spans="1:11" ht="40.049999999999997" customHeight="1" x14ac:dyDescent="0.25">
      <c r="A6566" s="11" t="s">
        <v>13887</v>
      </c>
      <c r="B6566" s="11" t="s">
        <v>13887</v>
      </c>
      <c r="C6566" s="11" t="s">
        <v>80</v>
      </c>
      <c r="D6566" s="11" t="s">
        <v>18</v>
      </c>
      <c r="E6566" s="12" t="s">
        <v>1666</v>
      </c>
      <c r="F6566" s="12" t="s">
        <v>1667</v>
      </c>
      <c r="G6566" s="12" t="s">
        <v>40</v>
      </c>
      <c r="H6566" s="11" t="s">
        <v>22</v>
      </c>
      <c r="I6566" s="13" t="s">
        <v>13910</v>
      </c>
      <c r="J6566" s="14" t="str">
        <f>HYPERLINK("https://www.boe.es/gazeta/dias/1839/04/22/pdfs/GMD-1839-1619.pdf#page=2","Abrir facsímil")</f>
        <v>Abrir facsímil</v>
      </c>
      <c r="K6566" s="12" t="s">
        <v>24</v>
      </c>
    </row>
    <row r="6567" spans="1:11" ht="40.049999999999997" customHeight="1" x14ac:dyDescent="0.25">
      <c r="A6567" s="11" t="s">
        <v>13887</v>
      </c>
      <c r="B6567" s="11" t="s">
        <v>13887</v>
      </c>
      <c r="C6567" s="11" t="s">
        <v>17</v>
      </c>
      <c r="D6567" s="11" t="s">
        <v>18</v>
      </c>
      <c r="E6567" s="12" t="s">
        <v>596</v>
      </c>
      <c r="F6567" s="12" t="s">
        <v>597</v>
      </c>
      <c r="G6567" s="12" t="s">
        <v>21</v>
      </c>
      <c r="H6567" s="11" t="s">
        <v>22</v>
      </c>
      <c r="I6567" s="13" t="s">
        <v>13911</v>
      </c>
      <c r="J6567" s="14" t="str">
        <f>HYPERLINK("https://www.boe.es/gazeta/dias/1839/01/23/pdfs/GMD-1839-1530.pdf#page=4","Abrir facsímil")</f>
        <v>Abrir facsímil</v>
      </c>
      <c r="K6567" s="12" t="s">
        <v>24</v>
      </c>
    </row>
    <row r="6568" spans="1:11" ht="40.049999999999997" customHeight="1" x14ac:dyDescent="0.25">
      <c r="A6568" s="11" t="s">
        <v>13887</v>
      </c>
      <c r="B6568" s="11" t="s">
        <v>13887</v>
      </c>
      <c r="C6568" s="11" t="s">
        <v>17</v>
      </c>
      <c r="D6568" s="11" t="s">
        <v>18</v>
      </c>
      <c r="E6568" s="12" t="s">
        <v>94</v>
      </c>
      <c r="F6568" s="12" t="s">
        <v>95</v>
      </c>
      <c r="G6568" s="12" t="s">
        <v>21</v>
      </c>
      <c r="H6568" s="11" t="s">
        <v>22</v>
      </c>
      <c r="I6568" s="13" t="s">
        <v>13912</v>
      </c>
      <c r="J6568" s="14" t="str">
        <f>HYPERLINK("https://www.boe.es/gazeta/dias/1839/02/24/pdfs/GMD-1839-1562.pdf#page=4","Abrir facsímil")</f>
        <v>Abrir facsímil</v>
      </c>
      <c r="K6568" s="12" t="s">
        <v>24</v>
      </c>
    </row>
    <row r="6569" spans="1:11" ht="40.049999999999997" customHeight="1" x14ac:dyDescent="0.25">
      <c r="A6569" s="11" t="s">
        <v>13887</v>
      </c>
      <c r="B6569" s="11" t="s">
        <v>13887</v>
      </c>
      <c r="C6569" s="11" t="s">
        <v>17</v>
      </c>
      <c r="D6569" s="11" t="s">
        <v>18</v>
      </c>
      <c r="E6569" s="12" t="s">
        <v>926</v>
      </c>
      <c r="F6569" s="12" t="s">
        <v>927</v>
      </c>
      <c r="G6569" s="12" t="s">
        <v>29</v>
      </c>
      <c r="H6569" s="11" t="s">
        <v>22</v>
      </c>
      <c r="I6569" s="13" t="s">
        <v>13913</v>
      </c>
      <c r="J6569" s="14" t="str">
        <f>HYPERLINK("https://www.boe.es/gazeta/dias/1839/01/25/pdfs/GMD-1839-1532.pdf#page=1","Abrir facsímil")</f>
        <v>Abrir facsímil</v>
      </c>
      <c r="K6569" s="12" t="s">
        <v>24</v>
      </c>
    </row>
    <row r="6570" spans="1:11" ht="40.049999999999997" customHeight="1" x14ac:dyDescent="0.25">
      <c r="A6570" s="11" t="s">
        <v>13887</v>
      </c>
      <c r="B6570" s="11" t="s">
        <v>13887</v>
      </c>
      <c r="C6570" s="11" t="s">
        <v>17</v>
      </c>
      <c r="D6570" s="11" t="s">
        <v>18</v>
      </c>
      <c r="E6570" s="12" t="s">
        <v>111</v>
      </c>
      <c r="F6570" s="12" t="s">
        <v>112</v>
      </c>
      <c r="G6570" s="12" t="s">
        <v>21</v>
      </c>
      <c r="H6570" s="11" t="s">
        <v>22</v>
      </c>
      <c r="I6570" s="13" t="s">
        <v>13914</v>
      </c>
      <c r="J6570" s="14" t="str">
        <f>HYPERLINK("https://www.boe.es/gazeta/dias/1839/07/25/pdfs/GMD-1839-1714.pdf#page=4","Abrir facsímil")</f>
        <v>Abrir facsímil</v>
      </c>
      <c r="K6570" s="12" t="s">
        <v>24</v>
      </c>
    </row>
    <row r="6571" spans="1:11" ht="40.049999999999997" customHeight="1" x14ac:dyDescent="0.25">
      <c r="A6571" s="11" t="s">
        <v>13887</v>
      </c>
      <c r="B6571" s="11" t="s">
        <v>13887</v>
      </c>
      <c r="C6571" s="11" t="s">
        <v>80</v>
      </c>
      <c r="D6571" s="11" t="s">
        <v>18</v>
      </c>
      <c r="E6571" s="12" t="s">
        <v>1395</v>
      </c>
      <c r="F6571" s="12" t="s">
        <v>1396</v>
      </c>
      <c r="G6571" s="12" t="s">
        <v>46</v>
      </c>
      <c r="H6571" s="11" t="s">
        <v>22</v>
      </c>
      <c r="I6571" s="13" t="s">
        <v>13915</v>
      </c>
      <c r="J6571" s="14" t="str">
        <f>HYPERLINK("https://www.boe.es/gazeta/dias/1839/06/26/pdfs/GMD-1839-1684.pdf#page=3","Abrir facsímil")</f>
        <v>Abrir facsímil</v>
      </c>
      <c r="K6571" s="12" t="s">
        <v>24</v>
      </c>
    </row>
    <row r="6572" spans="1:11" ht="40.049999999999997" customHeight="1" x14ac:dyDescent="0.25">
      <c r="A6572" s="11" t="s">
        <v>13887</v>
      </c>
      <c r="B6572" s="11" t="s">
        <v>13887</v>
      </c>
      <c r="C6572" s="11" t="s">
        <v>17</v>
      </c>
      <c r="D6572" s="11" t="s">
        <v>18</v>
      </c>
      <c r="E6572" s="12" t="s">
        <v>1490</v>
      </c>
      <c r="F6572" s="12" t="s">
        <v>1491</v>
      </c>
      <c r="G6572" s="12" t="s">
        <v>21</v>
      </c>
      <c r="H6572" s="11" t="s">
        <v>22</v>
      </c>
      <c r="I6572" s="13" t="s">
        <v>13916</v>
      </c>
      <c r="J6572" s="14" t="str">
        <f>HYPERLINK("https://www.boe.es/gazeta/dias/1839/02/27/pdfs/GMD-1839-1565.pdf#page=4","Abrir facsímil")</f>
        <v>Abrir facsímil</v>
      </c>
      <c r="K6572" s="12" t="s">
        <v>24</v>
      </c>
    </row>
    <row r="6573" spans="1:11" ht="40.049999999999997" customHeight="1" x14ac:dyDescent="0.25">
      <c r="A6573" s="11" t="s">
        <v>13887</v>
      </c>
      <c r="B6573" s="11" t="s">
        <v>13887</v>
      </c>
      <c r="C6573" s="11" t="s">
        <v>101</v>
      </c>
      <c r="D6573" s="11" t="s">
        <v>43</v>
      </c>
      <c r="E6573" s="12" t="s">
        <v>1807</v>
      </c>
      <c r="F6573" s="12" t="s">
        <v>1808</v>
      </c>
      <c r="G6573" s="12" t="s">
        <v>21</v>
      </c>
      <c r="H6573" s="11" t="s">
        <v>22</v>
      </c>
      <c r="I6573" s="13" t="s">
        <v>13917</v>
      </c>
      <c r="J6573" s="14" t="str">
        <f>HYPERLINK("https://www.boe.es/gazeta/dias/1839/01/29/pdfs/GMD-1839-1536.pdf#page=4","Abrir facsímil")</f>
        <v>Abrir facsímil</v>
      </c>
      <c r="K6573" s="12" t="s">
        <v>24</v>
      </c>
    </row>
    <row r="6574" spans="1:11" ht="40.049999999999997" customHeight="1" x14ac:dyDescent="0.25">
      <c r="A6574" s="11" t="s">
        <v>13887</v>
      </c>
      <c r="B6574" s="11" t="s">
        <v>13887</v>
      </c>
      <c r="C6574" s="11" t="s">
        <v>137</v>
      </c>
      <c r="D6574" s="11" t="s">
        <v>18</v>
      </c>
      <c r="E6574" s="12" t="s">
        <v>1523</v>
      </c>
      <c r="F6574" s="12" t="s">
        <v>1524</v>
      </c>
      <c r="G6574" s="12" t="s">
        <v>21</v>
      </c>
      <c r="H6574" s="11" t="s">
        <v>22</v>
      </c>
      <c r="I6574" s="13" t="s">
        <v>13918</v>
      </c>
      <c r="J6574" s="14" t="str">
        <f>HYPERLINK("https://www.boe.es/gazeta/dias/1839/08/29/pdfs/GMD-1839-1750.pdf#page=4","Abrir facsímil")</f>
        <v>Abrir facsímil</v>
      </c>
      <c r="K6574" s="12" t="s">
        <v>24</v>
      </c>
    </row>
    <row r="6575" spans="1:11" ht="40.049999999999997" customHeight="1" x14ac:dyDescent="0.25">
      <c r="A6575" s="11" t="s">
        <v>13919</v>
      </c>
      <c r="B6575" s="11" t="s">
        <v>13919</v>
      </c>
      <c r="C6575" s="11" t="s">
        <v>17</v>
      </c>
      <c r="D6575" s="11" t="s">
        <v>18</v>
      </c>
      <c r="E6575" s="12" t="s">
        <v>2650</v>
      </c>
      <c r="F6575" s="12" t="s">
        <v>2651</v>
      </c>
      <c r="G6575" s="12" t="s">
        <v>21</v>
      </c>
      <c r="H6575" s="11" t="s">
        <v>22</v>
      </c>
      <c r="I6575" s="13" t="s">
        <v>13920</v>
      </c>
      <c r="J6575" s="14" t="str">
        <f>HYPERLINK("https://www.boe.es/gazeta/dias/1839/09/15/pdfs/GMD-1839-1768.pdf#page=4","Abrir facsímil")</f>
        <v>Abrir facsímil</v>
      </c>
      <c r="K6575" s="12" t="s">
        <v>24</v>
      </c>
    </row>
    <row r="6576" spans="1:11" ht="40.049999999999997" customHeight="1" x14ac:dyDescent="0.25">
      <c r="A6576" s="11" t="s">
        <v>13921</v>
      </c>
      <c r="B6576" s="11" t="s">
        <v>13921</v>
      </c>
      <c r="C6576" s="11" t="s">
        <v>17</v>
      </c>
      <c r="D6576" s="11" t="s">
        <v>18</v>
      </c>
      <c r="E6576" s="12" t="s">
        <v>230</v>
      </c>
      <c r="F6576" s="12" t="s">
        <v>231</v>
      </c>
      <c r="G6576" s="12" t="s">
        <v>29</v>
      </c>
      <c r="H6576" s="11" t="s">
        <v>22</v>
      </c>
      <c r="I6576" s="13" t="s">
        <v>13922</v>
      </c>
      <c r="J6576" s="14" t="str">
        <f>HYPERLINK("https://www.boe.es/gazeta/dias/1839/09/16/pdfs/GMD-1839-1769.pdf#page=1","Abrir facsímil")</f>
        <v>Abrir facsímil</v>
      </c>
      <c r="K6576" s="12" t="s">
        <v>24</v>
      </c>
    </row>
    <row r="6577" spans="1:11" ht="40.049999999999997" customHeight="1" x14ac:dyDescent="0.25">
      <c r="A6577" s="11" t="s">
        <v>13921</v>
      </c>
      <c r="B6577" s="11" t="s">
        <v>13921</v>
      </c>
      <c r="C6577" s="11" t="s">
        <v>17</v>
      </c>
      <c r="D6577" s="11" t="s">
        <v>18</v>
      </c>
      <c r="E6577" s="12" t="s">
        <v>2069</v>
      </c>
      <c r="F6577" s="12" t="s">
        <v>2070</v>
      </c>
      <c r="G6577" s="12" t="s">
        <v>566</v>
      </c>
      <c r="H6577" s="11" t="s">
        <v>22</v>
      </c>
      <c r="I6577" s="13" t="s">
        <v>13923</v>
      </c>
      <c r="J6577" s="14" t="str">
        <f>HYPERLINK("https://www.boe.es/gazeta/dias/1839/10/20/pdfs/GMD-1839-1806.pdf#page=5","Abrir facsímil")</f>
        <v>Abrir facsímil</v>
      </c>
      <c r="K6577" s="12" t="s">
        <v>24</v>
      </c>
    </row>
    <row r="6578" spans="1:11" ht="40.049999999999997" customHeight="1" x14ac:dyDescent="0.25">
      <c r="A6578" s="11" t="s">
        <v>13921</v>
      </c>
      <c r="B6578" s="11" t="s">
        <v>13921</v>
      </c>
      <c r="C6578" s="11" t="s">
        <v>80</v>
      </c>
      <c r="D6578" s="11" t="s">
        <v>18</v>
      </c>
      <c r="E6578" s="12" t="s">
        <v>1663</v>
      </c>
      <c r="F6578" s="12" t="s">
        <v>1664</v>
      </c>
      <c r="G6578" s="12" t="s">
        <v>46</v>
      </c>
      <c r="H6578" s="11" t="s">
        <v>22</v>
      </c>
      <c r="I6578" s="13" t="s">
        <v>13924</v>
      </c>
      <c r="J6578" s="14" t="str">
        <f>HYPERLINK("https://www.boe.es/gazeta/dias/1839/03/22/pdfs/GMD-1839-1588.pdf#page=3","Abrir facsímil")</f>
        <v>Abrir facsímil</v>
      </c>
      <c r="K6578" s="12" t="s">
        <v>24</v>
      </c>
    </row>
    <row r="6579" spans="1:11" ht="40.049999999999997" customHeight="1" x14ac:dyDescent="0.25">
      <c r="A6579" s="11" t="s">
        <v>13921</v>
      </c>
      <c r="B6579" s="11" t="s">
        <v>13921</v>
      </c>
      <c r="C6579" s="11" t="s">
        <v>17</v>
      </c>
      <c r="D6579" s="11" t="s">
        <v>18</v>
      </c>
      <c r="E6579" s="12" t="s">
        <v>243</v>
      </c>
      <c r="F6579" s="12" t="s">
        <v>244</v>
      </c>
      <c r="G6579" s="12" t="s">
        <v>46</v>
      </c>
      <c r="H6579" s="11" t="s">
        <v>22</v>
      </c>
      <c r="I6579" s="13" t="s">
        <v>13925</v>
      </c>
      <c r="J6579" s="14" t="str">
        <f>HYPERLINK("https://www.boe.es/gazeta/dias/1839/09/23/pdfs/GMD-1839-1779.pdf#page=3","Abrir facsímil")</f>
        <v>Abrir facsímil</v>
      </c>
      <c r="K6579" s="12" t="s">
        <v>24</v>
      </c>
    </row>
    <row r="6580" spans="1:11" ht="40.049999999999997" customHeight="1" x14ac:dyDescent="0.25">
      <c r="A6580" s="11" t="s">
        <v>13921</v>
      </c>
      <c r="B6580" s="11" t="s">
        <v>13921</v>
      </c>
      <c r="C6580" s="11" t="s">
        <v>17</v>
      </c>
      <c r="D6580" s="11" t="s">
        <v>18</v>
      </c>
      <c r="E6580" s="12" t="s">
        <v>276</v>
      </c>
      <c r="F6580" s="12" t="s">
        <v>277</v>
      </c>
      <c r="G6580" s="12" t="s">
        <v>46</v>
      </c>
      <c r="H6580" s="11" t="s">
        <v>22</v>
      </c>
      <c r="I6580" s="13" t="s">
        <v>13926</v>
      </c>
      <c r="J6580" s="14" t="str">
        <f>HYPERLINK("https://www.boe.es/gazeta/dias/1839/09/24/pdfs/GMD-1839-1780.pdf#page=3","Abrir facsímil")</f>
        <v>Abrir facsímil</v>
      </c>
      <c r="K6580" s="12" t="s">
        <v>24</v>
      </c>
    </row>
    <row r="6581" spans="1:11" ht="40.049999999999997" customHeight="1" x14ac:dyDescent="0.25">
      <c r="A6581" s="11" t="s">
        <v>13927</v>
      </c>
      <c r="B6581" s="11" t="s">
        <v>13927</v>
      </c>
      <c r="C6581" s="11" t="s">
        <v>17</v>
      </c>
      <c r="D6581" s="11" t="s">
        <v>18</v>
      </c>
      <c r="E6581" s="12" t="s">
        <v>571</v>
      </c>
      <c r="F6581" s="12" t="s">
        <v>572</v>
      </c>
      <c r="G6581" s="12" t="s">
        <v>40</v>
      </c>
      <c r="H6581" s="11" t="s">
        <v>22</v>
      </c>
      <c r="I6581" s="13" t="s">
        <v>13928</v>
      </c>
      <c r="J6581" s="14" t="str">
        <f>HYPERLINK("https://www.boe.es/gazeta/dias/1839/09/27/pdfs/GMD-1839-1783.pdf#page=2","Abrir facsímil")</f>
        <v>Abrir facsímil</v>
      </c>
      <c r="K6581" s="12" t="s">
        <v>24</v>
      </c>
    </row>
    <row r="6582" spans="1:11" ht="40.049999999999997" customHeight="1" x14ac:dyDescent="0.25">
      <c r="A6582" s="11" t="s">
        <v>13929</v>
      </c>
      <c r="B6582" s="11" t="s">
        <v>13929</v>
      </c>
      <c r="C6582" s="11" t="s">
        <v>59</v>
      </c>
      <c r="D6582" s="11" t="s">
        <v>60</v>
      </c>
      <c r="E6582" s="12" t="s">
        <v>2138</v>
      </c>
      <c r="F6582" s="12" t="s">
        <v>2139</v>
      </c>
      <c r="G6582" s="12" t="s">
        <v>40</v>
      </c>
      <c r="H6582" s="11" t="s">
        <v>22</v>
      </c>
      <c r="I6582" s="13" t="s">
        <v>13930</v>
      </c>
      <c r="J6582" s="14" t="str">
        <f>HYPERLINK("https://www.boe.es/gazeta/dias/1839/10/02/pdfs/GMD-1839-1788.pdf#page=2","Abrir facsímil")</f>
        <v>Abrir facsímil</v>
      </c>
      <c r="K6582" s="12" t="s">
        <v>24</v>
      </c>
    </row>
    <row r="6583" spans="1:11" ht="40.049999999999997" customHeight="1" x14ac:dyDescent="0.25">
      <c r="A6583" s="11" t="s">
        <v>13929</v>
      </c>
      <c r="B6583" s="11" t="s">
        <v>13929</v>
      </c>
      <c r="C6583" s="11" t="s">
        <v>59</v>
      </c>
      <c r="D6583" s="11" t="s">
        <v>60</v>
      </c>
      <c r="E6583" s="12" t="s">
        <v>233</v>
      </c>
      <c r="F6583" s="12" t="s">
        <v>234</v>
      </c>
      <c r="G6583" s="12" t="s">
        <v>46</v>
      </c>
      <c r="H6583" s="11" t="s">
        <v>22</v>
      </c>
      <c r="I6583" s="13" t="s">
        <v>13931</v>
      </c>
      <c r="J6583" s="14" t="str">
        <f>HYPERLINK("https://www.boe.es/gazeta/dias/1839/09/17/pdfs/GMD-1839-1770.pdf#page=3","Abrir facsímil")</f>
        <v>Abrir facsímil</v>
      </c>
      <c r="K6583" s="12" t="s">
        <v>24</v>
      </c>
    </row>
    <row r="6584" spans="1:11" ht="40.049999999999997" customHeight="1" x14ac:dyDescent="0.25">
      <c r="A6584" s="11" t="s">
        <v>13932</v>
      </c>
      <c r="B6584" s="11" t="s">
        <v>13932</v>
      </c>
      <c r="C6584" s="11" t="s">
        <v>17</v>
      </c>
      <c r="D6584" s="11" t="s">
        <v>18</v>
      </c>
      <c r="E6584" s="12" t="s">
        <v>2210</v>
      </c>
      <c r="F6584" s="12" t="s">
        <v>2211</v>
      </c>
      <c r="G6584" s="12" t="s">
        <v>46</v>
      </c>
      <c r="H6584" s="11" t="s">
        <v>22</v>
      </c>
      <c r="I6584" s="13" t="s">
        <v>13933</v>
      </c>
      <c r="J6584" s="14" t="str">
        <f>HYPERLINK("https://www.boe.es/gazeta/dias/1839/09/05/pdfs/GMD-1839-1758.pdf#page=3","Abrir facsímil")</f>
        <v>Abrir facsímil</v>
      </c>
      <c r="K6584" s="12" t="s">
        <v>24</v>
      </c>
    </row>
    <row r="6585" spans="1:11" ht="40.049999999999997" customHeight="1" x14ac:dyDescent="0.25">
      <c r="A6585" s="11" t="s">
        <v>13934</v>
      </c>
      <c r="B6585" s="11" t="s">
        <v>13934</v>
      </c>
      <c r="C6585" s="11" t="s">
        <v>137</v>
      </c>
      <c r="D6585" s="11" t="s">
        <v>18</v>
      </c>
      <c r="E6585" s="12" t="s">
        <v>375</v>
      </c>
      <c r="F6585" s="12" t="s">
        <v>376</v>
      </c>
      <c r="G6585" s="12" t="s">
        <v>29</v>
      </c>
      <c r="H6585" s="11" t="s">
        <v>22</v>
      </c>
      <c r="I6585" s="13" t="s">
        <v>13935</v>
      </c>
      <c r="J6585" s="14" t="str">
        <f>HYPERLINK("https://www.boe.es/gazeta/dias/1839/11/25/pdfs/GMD-1839-1842.pdf#page=1","Abrir facsímil")</f>
        <v>Abrir facsímil</v>
      </c>
      <c r="K6585" s="12" t="s">
        <v>24</v>
      </c>
    </row>
    <row r="6586" spans="1:11" ht="40.049999999999997" customHeight="1" x14ac:dyDescent="0.25">
      <c r="A6586" s="11" t="s">
        <v>13936</v>
      </c>
      <c r="B6586" s="11" t="s">
        <v>13936</v>
      </c>
      <c r="C6586" s="11" t="s">
        <v>17</v>
      </c>
      <c r="D6586" s="11" t="s">
        <v>43</v>
      </c>
      <c r="E6586" s="12" t="s">
        <v>516</v>
      </c>
      <c r="F6586" s="12" t="s">
        <v>517</v>
      </c>
      <c r="G6586" s="12" t="s">
        <v>21</v>
      </c>
      <c r="H6586" s="11" t="s">
        <v>22</v>
      </c>
      <c r="I6586" s="13" t="s">
        <v>13937</v>
      </c>
      <c r="J6586" s="14" t="str">
        <f>HYPERLINK("https://www.boe.es/gazeta/dias/1839/06/21/pdfs/GMD-1839-1679.pdf#page=4","Abrir facsímil")</f>
        <v>Abrir facsímil</v>
      </c>
      <c r="K6586" s="12" t="s">
        <v>24</v>
      </c>
    </row>
    <row r="6587" spans="1:11" ht="40.049999999999997" customHeight="1" x14ac:dyDescent="0.25">
      <c r="A6587" s="11" t="s">
        <v>13938</v>
      </c>
      <c r="B6587" s="11" t="s">
        <v>13938</v>
      </c>
      <c r="C6587" s="11" t="s">
        <v>80</v>
      </c>
      <c r="D6587" s="11" t="s">
        <v>18</v>
      </c>
      <c r="E6587" s="12" t="s">
        <v>197</v>
      </c>
      <c r="F6587" s="12" t="s">
        <v>198</v>
      </c>
      <c r="G6587" s="12" t="s">
        <v>21</v>
      </c>
      <c r="H6587" s="11" t="s">
        <v>22</v>
      </c>
      <c r="I6587" s="13" t="s">
        <v>13939</v>
      </c>
      <c r="J6587" s="14" t="str">
        <f>HYPERLINK("https://www.boe.es/gazeta/dias/1839/10/04/pdfs/GMD-1839-1790.pdf#page=4","Abrir facsímil")</f>
        <v>Abrir facsímil</v>
      </c>
      <c r="K6587" s="12" t="s">
        <v>24</v>
      </c>
    </row>
    <row r="6588" spans="1:11" ht="40.049999999999997" customHeight="1" x14ac:dyDescent="0.25">
      <c r="A6588" s="11" t="s">
        <v>13938</v>
      </c>
      <c r="B6588" s="11" t="s">
        <v>13938</v>
      </c>
      <c r="C6588" s="11" t="s">
        <v>17</v>
      </c>
      <c r="D6588" s="11" t="s">
        <v>18</v>
      </c>
      <c r="E6588" s="12" t="s">
        <v>168</v>
      </c>
      <c r="F6588" s="12" t="s">
        <v>169</v>
      </c>
      <c r="G6588" s="12" t="s">
        <v>21</v>
      </c>
      <c r="H6588" s="11" t="s">
        <v>22</v>
      </c>
      <c r="I6588" s="13" t="s">
        <v>13940</v>
      </c>
      <c r="J6588" s="14" t="str">
        <f>HYPERLINK("https://www.boe.es/gazeta/dias/1839/07/12/pdfs/GMD-1839-1700.pdf#page=4","Abrir facsímil")</f>
        <v>Abrir facsímil</v>
      </c>
      <c r="K6588" s="12" t="s">
        <v>24</v>
      </c>
    </row>
    <row r="6589" spans="1:11" ht="40.049999999999997" customHeight="1" x14ac:dyDescent="0.25">
      <c r="A6589" s="11" t="s">
        <v>13941</v>
      </c>
      <c r="B6589" s="11" t="s">
        <v>13941</v>
      </c>
      <c r="C6589" s="11" t="s">
        <v>101</v>
      </c>
      <c r="D6589" s="11" t="s">
        <v>43</v>
      </c>
      <c r="E6589" s="12" t="s">
        <v>269</v>
      </c>
      <c r="F6589" s="12" t="s">
        <v>270</v>
      </c>
      <c r="G6589" s="12" t="s">
        <v>46</v>
      </c>
      <c r="H6589" s="11" t="s">
        <v>22</v>
      </c>
      <c r="I6589" s="13" t="s">
        <v>13942</v>
      </c>
      <c r="J6589" s="14" t="str">
        <f>HYPERLINK("https://www.boe.es/gazeta/dias/1839/02/10/pdfs/GMD-1839-1548.pdf#page=3","Abrir facsímil")</f>
        <v>Abrir facsímil</v>
      </c>
      <c r="K6589" s="12" t="s">
        <v>24</v>
      </c>
    </row>
    <row r="6590" spans="1:11" ht="40.049999999999997" customHeight="1" x14ac:dyDescent="0.25">
      <c r="A6590" s="11" t="s">
        <v>13943</v>
      </c>
      <c r="B6590" s="11" t="s">
        <v>13944</v>
      </c>
      <c r="C6590" s="11" t="s">
        <v>101</v>
      </c>
      <c r="D6590" s="11" t="s">
        <v>43</v>
      </c>
      <c r="E6590" s="12" t="s">
        <v>54</v>
      </c>
      <c r="F6590" s="12" t="s">
        <v>55</v>
      </c>
      <c r="G6590" s="12" t="s">
        <v>305</v>
      </c>
      <c r="H6590" s="11" t="s">
        <v>63</v>
      </c>
      <c r="I6590" s="13" t="s">
        <v>13945</v>
      </c>
      <c r="J6590" s="14" t="str">
        <f>HYPERLINK("https://www.boe.es/gazeta/dias/1839/10/05/pdfs/GMD-1839-1791.pdf#page=6","Abrir facsímil")</f>
        <v>Abrir facsímil</v>
      </c>
      <c r="K6590" s="12" t="s">
        <v>65</v>
      </c>
    </row>
    <row r="6591" spans="1:11" ht="40.049999999999997" customHeight="1" x14ac:dyDescent="0.25">
      <c r="A6591" s="11" t="s">
        <v>13946</v>
      </c>
      <c r="B6591" s="11" t="s">
        <v>13946</v>
      </c>
      <c r="C6591" s="11" t="s">
        <v>17</v>
      </c>
      <c r="D6591" s="11" t="s">
        <v>18</v>
      </c>
      <c r="E6591" s="12" t="s">
        <v>2222</v>
      </c>
      <c r="F6591" s="12" t="s">
        <v>2223</v>
      </c>
      <c r="G6591" s="12" t="s">
        <v>40</v>
      </c>
      <c r="H6591" s="11" t="s">
        <v>22</v>
      </c>
      <c r="I6591" s="13" t="s">
        <v>13947</v>
      </c>
      <c r="J6591" s="14" t="str">
        <f>HYPERLINK("https://www.boe.es/gazeta/dias/1839/09/19/pdfs/GMD-1839-1773.pdf#page=2","Abrir facsímil")</f>
        <v>Abrir facsímil</v>
      </c>
      <c r="K6591" s="12" t="s">
        <v>24</v>
      </c>
    </row>
    <row r="6592" spans="1:11" ht="40.049999999999997" customHeight="1" x14ac:dyDescent="0.25">
      <c r="A6592" s="11" t="s">
        <v>13948</v>
      </c>
      <c r="B6592" s="11" t="s">
        <v>13948</v>
      </c>
      <c r="C6592" s="11" t="s">
        <v>59</v>
      </c>
      <c r="D6592" s="11" t="s">
        <v>60</v>
      </c>
      <c r="E6592" s="12" t="s">
        <v>2050</v>
      </c>
      <c r="F6592" s="12" t="s">
        <v>2051</v>
      </c>
      <c r="G6592" s="12" t="s">
        <v>40</v>
      </c>
      <c r="H6592" s="11" t="s">
        <v>22</v>
      </c>
      <c r="I6592" s="13" t="s">
        <v>13949</v>
      </c>
      <c r="J6592" s="14" t="str">
        <f>HYPERLINK("https://www.boe.es/gazeta/dias/1839/01/09/pdfs/GMD-1839-1516.pdf#page=2","Abrir facsímil")</f>
        <v>Abrir facsímil</v>
      </c>
      <c r="K6592" s="12" t="s">
        <v>24</v>
      </c>
    </row>
    <row r="6593" spans="1:11" ht="40.049999999999997" customHeight="1" x14ac:dyDescent="0.25">
      <c r="A6593" s="11" t="s">
        <v>13948</v>
      </c>
      <c r="B6593" s="11" t="s">
        <v>13948</v>
      </c>
      <c r="C6593" s="11" t="s">
        <v>101</v>
      </c>
      <c r="D6593" s="11" t="s">
        <v>43</v>
      </c>
      <c r="E6593" s="12" t="s">
        <v>138</v>
      </c>
      <c r="F6593" s="12" t="s">
        <v>139</v>
      </c>
      <c r="G6593" s="12" t="s">
        <v>46</v>
      </c>
      <c r="H6593" s="11" t="s">
        <v>22</v>
      </c>
      <c r="I6593" s="13" t="s">
        <v>13950</v>
      </c>
      <c r="J6593" s="14" t="str">
        <f>HYPERLINK("https://www.boe.es/gazeta/dias/1839/10/09/pdfs/GMD-1839-1795.pdf#page=3","Abrir facsímil")</f>
        <v>Abrir facsímil</v>
      </c>
      <c r="K6593" s="12" t="s">
        <v>24</v>
      </c>
    </row>
    <row r="6594" spans="1:11" ht="40.049999999999997" customHeight="1" x14ac:dyDescent="0.25">
      <c r="A6594" s="11" t="s">
        <v>13948</v>
      </c>
      <c r="B6594" s="11" t="s">
        <v>13948</v>
      </c>
      <c r="C6594" s="11" t="s">
        <v>17</v>
      </c>
      <c r="D6594" s="11" t="s">
        <v>18</v>
      </c>
      <c r="E6594" s="12" t="s">
        <v>181</v>
      </c>
      <c r="F6594" s="12" t="s">
        <v>182</v>
      </c>
      <c r="G6594" s="12" t="s">
        <v>29</v>
      </c>
      <c r="H6594" s="11" t="s">
        <v>22</v>
      </c>
      <c r="I6594" s="13" t="s">
        <v>13951</v>
      </c>
      <c r="J6594" s="14" t="str">
        <f>HYPERLINK("https://www.boe.es/gazeta/dias/1839/01/11/pdfs/GMD-1839-1518.pdf#page=1","Abrir facsímil")</f>
        <v>Abrir facsímil</v>
      </c>
      <c r="K6594" s="12" t="s">
        <v>24</v>
      </c>
    </row>
    <row r="6595" spans="1:11" ht="40.049999999999997" customHeight="1" x14ac:dyDescent="0.25">
      <c r="A6595" s="11" t="s">
        <v>13948</v>
      </c>
      <c r="B6595" s="11" t="s">
        <v>13948</v>
      </c>
      <c r="C6595" s="11" t="s">
        <v>101</v>
      </c>
      <c r="D6595" s="11" t="s">
        <v>43</v>
      </c>
      <c r="E6595" s="12" t="s">
        <v>561</v>
      </c>
      <c r="F6595" s="12" t="s">
        <v>562</v>
      </c>
      <c r="G6595" s="12" t="s">
        <v>40</v>
      </c>
      <c r="H6595" s="11" t="s">
        <v>22</v>
      </c>
      <c r="I6595" s="13" t="s">
        <v>13952</v>
      </c>
      <c r="J6595" s="14" t="str">
        <f>HYPERLINK("https://www.boe.es/gazeta/dias/1839/09/11/pdfs/GMD-1839-1764.pdf#page=2","Abrir facsímil")</f>
        <v>Abrir facsímil</v>
      </c>
      <c r="K6595" s="12" t="s">
        <v>24</v>
      </c>
    </row>
    <row r="6596" spans="1:11" ht="40.049999999999997" customHeight="1" x14ac:dyDescent="0.25">
      <c r="A6596" s="11" t="s">
        <v>13948</v>
      </c>
      <c r="B6596" s="11" t="s">
        <v>13948</v>
      </c>
      <c r="C6596" s="11" t="s">
        <v>17</v>
      </c>
      <c r="D6596" s="11" t="s">
        <v>18</v>
      </c>
      <c r="E6596" s="12" t="s">
        <v>230</v>
      </c>
      <c r="F6596" s="12" t="s">
        <v>231</v>
      </c>
      <c r="G6596" s="12" t="s">
        <v>29</v>
      </c>
      <c r="H6596" s="11" t="s">
        <v>22</v>
      </c>
      <c r="I6596" s="13" t="s">
        <v>13953</v>
      </c>
      <c r="J6596" s="14" t="str">
        <f>HYPERLINK("https://www.boe.es/gazeta/dias/1839/09/16/pdfs/GMD-1839-1769.pdf#page=1","Abrir facsímil")</f>
        <v>Abrir facsímil</v>
      </c>
      <c r="K6596" s="12" t="s">
        <v>24</v>
      </c>
    </row>
    <row r="6597" spans="1:11" ht="40.049999999999997" customHeight="1" x14ac:dyDescent="0.25">
      <c r="A6597" s="11" t="s">
        <v>13948</v>
      </c>
      <c r="B6597" s="11" t="s">
        <v>13948</v>
      </c>
      <c r="C6597" s="11" t="s">
        <v>101</v>
      </c>
      <c r="D6597" s="11" t="s">
        <v>43</v>
      </c>
      <c r="E6597" s="12" t="s">
        <v>233</v>
      </c>
      <c r="F6597" s="12" t="s">
        <v>234</v>
      </c>
      <c r="G6597" s="12" t="s">
        <v>46</v>
      </c>
      <c r="H6597" s="11" t="s">
        <v>22</v>
      </c>
      <c r="I6597" s="13" t="s">
        <v>13954</v>
      </c>
      <c r="J6597" s="14" t="str">
        <f>HYPERLINK("https://www.boe.es/gazeta/dias/1839/09/17/pdfs/GMD-1839-1770.pdf#page=3","Abrir facsímil")</f>
        <v>Abrir facsímil</v>
      </c>
      <c r="K6597" s="12" t="s">
        <v>24</v>
      </c>
    </row>
    <row r="6598" spans="1:11" ht="40.049999999999997" customHeight="1" x14ac:dyDescent="0.25">
      <c r="A6598" s="11" t="s">
        <v>13948</v>
      </c>
      <c r="B6598" s="11" t="s">
        <v>13948</v>
      </c>
      <c r="C6598" s="11" t="s">
        <v>17</v>
      </c>
      <c r="D6598" s="11" t="s">
        <v>18</v>
      </c>
      <c r="E6598" s="12" t="s">
        <v>19</v>
      </c>
      <c r="F6598" s="12" t="s">
        <v>20</v>
      </c>
      <c r="G6598" s="12" t="s">
        <v>40</v>
      </c>
      <c r="H6598" s="11" t="s">
        <v>22</v>
      </c>
      <c r="I6598" s="13" t="s">
        <v>13955</v>
      </c>
      <c r="J6598" s="14" t="str">
        <f>HYPERLINK("https://www.boe.es/gazeta/dias/1839/01/19/pdfs/GMD-1839-1526.pdf#page=2","Abrir facsímil")</f>
        <v>Abrir facsímil</v>
      </c>
      <c r="K6598" s="12" t="s">
        <v>24</v>
      </c>
    </row>
    <row r="6599" spans="1:11" ht="40.049999999999997" customHeight="1" x14ac:dyDescent="0.25">
      <c r="A6599" s="11" t="s">
        <v>13948</v>
      </c>
      <c r="B6599" s="11" t="s">
        <v>13948</v>
      </c>
      <c r="C6599" s="11" t="s">
        <v>17</v>
      </c>
      <c r="D6599" s="11" t="s">
        <v>18</v>
      </c>
      <c r="E6599" s="12" t="s">
        <v>433</v>
      </c>
      <c r="F6599" s="12" t="s">
        <v>434</v>
      </c>
      <c r="G6599" s="12" t="s">
        <v>46</v>
      </c>
      <c r="H6599" s="11" t="s">
        <v>22</v>
      </c>
      <c r="I6599" s="13" t="s">
        <v>13956</v>
      </c>
      <c r="J6599" s="14" t="str">
        <f>HYPERLINK("https://www.boe.es/gazeta/dias/1839/01/20/pdfs/GMD-1839-1527.pdf#page=3","Abrir facsímil")</f>
        <v>Abrir facsímil</v>
      </c>
      <c r="K6599" s="12" t="s">
        <v>24</v>
      </c>
    </row>
    <row r="6600" spans="1:11" ht="40.049999999999997" customHeight="1" x14ac:dyDescent="0.25">
      <c r="A6600" s="11" t="s">
        <v>13948</v>
      </c>
      <c r="B6600" s="11" t="s">
        <v>13948</v>
      </c>
      <c r="C6600" s="11" t="s">
        <v>17</v>
      </c>
      <c r="D6600" s="11" t="s">
        <v>43</v>
      </c>
      <c r="E6600" s="12" t="s">
        <v>2949</v>
      </c>
      <c r="F6600" s="12" t="s">
        <v>2950</v>
      </c>
      <c r="G6600" s="12" t="s">
        <v>21</v>
      </c>
      <c r="H6600" s="11" t="s">
        <v>22</v>
      </c>
      <c r="I6600" s="13" t="s">
        <v>13957</v>
      </c>
      <c r="J6600" s="14" t="str">
        <f>HYPERLINK("https://www.boe.es/gazeta/dias/1839/10/21/pdfs/GMD-1839-1807.pdf#page=4","Abrir facsímil")</f>
        <v>Abrir facsímil</v>
      </c>
      <c r="K6600" s="12" t="s">
        <v>24</v>
      </c>
    </row>
    <row r="6601" spans="1:11" ht="40.049999999999997" customHeight="1" x14ac:dyDescent="0.25">
      <c r="A6601" s="11" t="s">
        <v>13948</v>
      </c>
      <c r="B6601" s="11" t="s">
        <v>13948</v>
      </c>
      <c r="C6601" s="11" t="s">
        <v>59</v>
      </c>
      <c r="D6601" s="11" t="s">
        <v>60</v>
      </c>
      <c r="E6601" s="12" t="s">
        <v>596</v>
      </c>
      <c r="F6601" s="12" t="s">
        <v>597</v>
      </c>
      <c r="G6601" s="12" t="s">
        <v>46</v>
      </c>
      <c r="H6601" s="11" t="s">
        <v>22</v>
      </c>
      <c r="I6601" s="13" t="s">
        <v>13958</v>
      </c>
      <c r="J6601" s="14" t="str">
        <f>HYPERLINK("https://www.boe.es/gazeta/dias/1839/01/23/pdfs/GMD-1839-1530.pdf#page=3","Abrir facsímil")</f>
        <v>Abrir facsímil</v>
      </c>
      <c r="K6601" s="12" t="s">
        <v>24</v>
      </c>
    </row>
    <row r="6602" spans="1:11" ht="40.049999999999997" customHeight="1" x14ac:dyDescent="0.25">
      <c r="A6602" s="11" t="s">
        <v>13948</v>
      </c>
      <c r="B6602" s="11" t="s">
        <v>13948</v>
      </c>
      <c r="C6602" s="11" t="s">
        <v>17</v>
      </c>
      <c r="D6602" s="11" t="s">
        <v>18</v>
      </c>
      <c r="E6602" s="12" t="s">
        <v>568</v>
      </c>
      <c r="F6602" s="12" t="s">
        <v>569</v>
      </c>
      <c r="G6602" s="12" t="s">
        <v>46</v>
      </c>
      <c r="H6602" s="11" t="s">
        <v>22</v>
      </c>
      <c r="I6602" s="13" t="s">
        <v>13959</v>
      </c>
      <c r="J6602" s="14" t="str">
        <f>HYPERLINK("https://www.boe.es/gazeta/dias/1839/10/23/pdfs/GMD-1839-1809.pdf#page=3","Abrir facsímil")</f>
        <v>Abrir facsímil</v>
      </c>
      <c r="K6602" s="12" t="s">
        <v>24</v>
      </c>
    </row>
    <row r="6603" spans="1:11" ht="40.049999999999997" customHeight="1" x14ac:dyDescent="0.25">
      <c r="A6603" s="11" t="s">
        <v>13948</v>
      </c>
      <c r="B6603" s="11" t="s">
        <v>13948</v>
      </c>
      <c r="C6603" s="11" t="s">
        <v>137</v>
      </c>
      <c r="D6603" s="11" t="s">
        <v>18</v>
      </c>
      <c r="E6603" s="12" t="s">
        <v>650</v>
      </c>
      <c r="F6603" s="12" t="s">
        <v>651</v>
      </c>
      <c r="G6603" s="12" t="s">
        <v>40</v>
      </c>
      <c r="H6603" s="11" t="s">
        <v>22</v>
      </c>
      <c r="I6603" s="13" t="s">
        <v>13960</v>
      </c>
      <c r="J6603" s="14" t="str">
        <f>HYPERLINK("https://www.boe.es/gazeta/dias/1839/10/25/pdfs/GMD-1839-1811.pdf#page=2","Abrir facsímil")</f>
        <v>Abrir facsímil</v>
      </c>
      <c r="K6603" s="12" t="s">
        <v>24</v>
      </c>
    </row>
    <row r="6604" spans="1:11" ht="40.049999999999997" customHeight="1" x14ac:dyDescent="0.25">
      <c r="A6604" s="11" t="s">
        <v>13948</v>
      </c>
      <c r="B6604" s="11" t="s">
        <v>13948</v>
      </c>
      <c r="C6604" s="11" t="s">
        <v>59</v>
      </c>
      <c r="D6604" s="11" t="s">
        <v>60</v>
      </c>
      <c r="E6604" s="12" t="s">
        <v>1086</v>
      </c>
      <c r="F6604" s="12" t="s">
        <v>1087</v>
      </c>
      <c r="G6604" s="12" t="s">
        <v>40</v>
      </c>
      <c r="H6604" s="11" t="s">
        <v>22</v>
      </c>
      <c r="I6604" s="13" t="s">
        <v>13961</v>
      </c>
      <c r="J6604" s="14" t="str">
        <f>HYPERLINK("https://www.boe.es/gazeta/dias/1839/10/26/pdfs/GMD-1839-1812.pdf#page=2","Abrir facsímil")</f>
        <v>Abrir facsímil</v>
      </c>
      <c r="K6604" s="12" t="s">
        <v>24</v>
      </c>
    </row>
    <row r="6605" spans="1:11" ht="40.049999999999997" customHeight="1" x14ac:dyDescent="0.25">
      <c r="A6605" s="11" t="s">
        <v>13948</v>
      </c>
      <c r="B6605" s="11" t="s">
        <v>13948</v>
      </c>
      <c r="C6605" s="11" t="s">
        <v>17</v>
      </c>
      <c r="D6605" s="11" t="s">
        <v>18</v>
      </c>
      <c r="E6605" s="12" t="s">
        <v>284</v>
      </c>
      <c r="F6605" s="12" t="s">
        <v>285</v>
      </c>
      <c r="G6605" s="12" t="s">
        <v>40</v>
      </c>
      <c r="H6605" s="11" t="s">
        <v>22</v>
      </c>
      <c r="I6605" s="13" t="s">
        <v>13962</v>
      </c>
      <c r="J6605" s="14" t="str">
        <f>HYPERLINK("https://www.boe.es/gazeta/dias/1839/01/27/pdfs/GMD-1839-1534.pdf#page=2","Abrir facsímil")</f>
        <v>Abrir facsímil</v>
      </c>
      <c r="K6605" s="12" t="s">
        <v>24</v>
      </c>
    </row>
    <row r="6606" spans="1:11" ht="40.049999999999997" customHeight="1" x14ac:dyDescent="0.25">
      <c r="A6606" s="11" t="s">
        <v>13948</v>
      </c>
      <c r="B6606" s="11" t="s">
        <v>13948</v>
      </c>
      <c r="C6606" s="11" t="s">
        <v>137</v>
      </c>
      <c r="D6606" s="11" t="s">
        <v>18</v>
      </c>
      <c r="E6606" s="12" t="s">
        <v>1909</v>
      </c>
      <c r="F6606" s="12" t="s">
        <v>1910</v>
      </c>
      <c r="G6606" s="12" t="s">
        <v>40</v>
      </c>
      <c r="H6606" s="11" t="s">
        <v>22</v>
      </c>
      <c r="I6606" s="13" t="s">
        <v>13963</v>
      </c>
      <c r="J6606" s="14" t="str">
        <f>HYPERLINK("https://www.boe.es/gazeta/dias/1839/10/27/pdfs/GMD-1839-1813.pdf#page=2","Abrir facsímil")</f>
        <v>Abrir facsímil</v>
      </c>
      <c r="K6606" s="12" t="s">
        <v>24</v>
      </c>
    </row>
    <row r="6607" spans="1:11" ht="40.049999999999997" customHeight="1" x14ac:dyDescent="0.25">
      <c r="A6607" s="11" t="s">
        <v>13948</v>
      </c>
      <c r="B6607" s="11" t="s">
        <v>13948</v>
      </c>
      <c r="C6607" s="11" t="s">
        <v>17</v>
      </c>
      <c r="D6607" s="11" t="s">
        <v>18</v>
      </c>
      <c r="E6607" s="12" t="s">
        <v>1807</v>
      </c>
      <c r="F6607" s="12" t="s">
        <v>1808</v>
      </c>
      <c r="G6607" s="12" t="s">
        <v>40</v>
      </c>
      <c r="H6607" s="11" t="s">
        <v>22</v>
      </c>
      <c r="I6607" s="13" t="s">
        <v>13964</v>
      </c>
      <c r="J6607" s="14" t="str">
        <f>HYPERLINK("https://www.boe.es/gazeta/dias/1839/01/29/pdfs/GMD-1839-1536.pdf#page=2","Abrir facsímil")</f>
        <v>Abrir facsímil</v>
      </c>
      <c r="K6607" s="12" t="s">
        <v>24</v>
      </c>
    </row>
    <row r="6608" spans="1:11" ht="40.049999999999997" customHeight="1" x14ac:dyDescent="0.25">
      <c r="A6608" s="11" t="s">
        <v>13948</v>
      </c>
      <c r="B6608" s="11" t="s">
        <v>13948</v>
      </c>
      <c r="C6608" s="11" t="s">
        <v>17</v>
      </c>
      <c r="D6608" s="11" t="s">
        <v>18</v>
      </c>
      <c r="E6608" s="12" t="s">
        <v>577</v>
      </c>
      <c r="F6608" s="12" t="s">
        <v>578</v>
      </c>
      <c r="G6608" s="12" t="s">
        <v>40</v>
      </c>
      <c r="H6608" s="11" t="s">
        <v>22</v>
      </c>
      <c r="I6608" s="13" t="s">
        <v>13965</v>
      </c>
      <c r="J6608" s="14" t="str">
        <f>HYPERLINK("https://www.boe.es/gazeta/dias/1839/09/30/pdfs/GMD-1839-1786.pdf#page=2","Abrir facsímil")</f>
        <v>Abrir facsímil</v>
      </c>
      <c r="K6608" s="12" t="s">
        <v>24</v>
      </c>
    </row>
    <row r="6609" spans="1:11" ht="40.049999999999997" customHeight="1" x14ac:dyDescent="0.25">
      <c r="A6609" s="11" t="s">
        <v>13966</v>
      </c>
      <c r="B6609" s="11" t="s">
        <v>13966</v>
      </c>
      <c r="C6609" s="11" t="s">
        <v>17</v>
      </c>
      <c r="D6609" s="11" t="s">
        <v>43</v>
      </c>
      <c r="E6609" s="12" t="s">
        <v>2165</v>
      </c>
      <c r="F6609" s="12" t="s">
        <v>2166</v>
      </c>
      <c r="G6609" s="12" t="s">
        <v>40</v>
      </c>
      <c r="H6609" s="11" t="s">
        <v>22</v>
      </c>
      <c r="I6609" s="13" t="s">
        <v>13967</v>
      </c>
      <c r="J6609" s="14" t="str">
        <f>HYPERLINK("https://www.boe.es/gazeta/dias/1839/01/06/pdfs/GMD-1839-1513.pdf#page=2","Abrir facsímil")</f>
        <v>Abrir facsímil</v>
      </c>
      <c r="K6609" s="12" t="s">
        <v>24</v>
      </c>
    </row>
    <row r="6610" spans="1:11" ht="40.049999999999997" customHeight="1" x14ac:dyDescent="0.25">
      <c r="A6610" s="11" t="s">
        <v>13968</v>
      </c>
      <c r="B6610" s="11" t="s">
        <v>13968</v>
      </c>
      <c r="C6610" s="11" t="s">
        <v>17</v>
      </c>
      <c r="D6610" s="11" t="s">
        <v>18</v>
      </c>
      <c r="E6610" s="12" t="s">
        <v>2962</v>
      </c>
      <c r="F6610" s="12" t="s">
        <v>2963</v>
      </c>
      <c r="G6610" s="12" t="s">
        <v>40</v>
      </c>
      <c r="H6610" s="11" t="s">
        <v>63</v>
      </c>
      <c r="I6610" s="13" t="s">
        <v>13969</v>
      </c>
      <c r="J6610" s="14" t="str">
        <f>HYPERLINK("https://www.boe.es/gazeta/dias/1839/12/21/pdfs/GMD-1839-1868.pdf#page=2","Abrir facsímil")</f>
        <v>Abrir facsímil</v>
      </c>
      <c r="K6610" s="12" t="s">
        <v>65</v>
      </c>
    </row>
    <row r="6611" spans="1:11" ht="40.049999999999997" customHeight="1" x14ac:dyDescent="0.25">
      <c r="A6611" s="11" t="s">
        <v>13970</v>
      </c>
      <c r="B6611" s="11" t="s">
        <v>13971</v>
      </c>
      <c r="C6611" s="11" t="s">
        <v>17</v>
      </c>
      <c r="D6611" s="11" t="s">
        <v>18</v>
      </c>
      <c r="E6611" s="12" t="s">
        <v>779</v>
      </c>
      <c r="F6611" s="12" t="s">
        <v>780</v>
      </c>
      <c r="G6611" s="12" t="s">
        <v>29</v>
      </c>
      <c r="H6611" s="11" t="s">
        <v>63</v>
      </c>
      <c r="I6611" s="13" t="s">
        <v>13972</v>
      </c>
      <c r="J6611" s="14" t="str">
        <f>HYPERLINK("https://www.boe.es/gazeta/dias/1839/02/03/pdfs/GMD-1839-1541.pdf#page=1","Abrir facsímil")</f>
        <v>Abrir facsímil</v>
      </c>
      <c r="K6611" s="12" t="s">
        <v>65</v>
      </c>
    </row>
    <row r="6612" spans="1:11" ht="40.049999999999997" customHeight="1" x14ac:dyDescent="0.25">
      <c r="A6612" s="11" t="s">
        <v>13973</v>
      </c>
      <c r="B6612" s="11" t="s">
        <v>13973</v>
      </c>
      <c r="C6612" s="11" t="s">
        <v>17</v>
      </c>
      <c r="D6612" s="11" t="s">
        <v>18</v>
      </c>
      <c r="E6612" s="12" t="s">
        <v>1813</v>
      </c>
      <c r="F6612" s="12" t="s">
        <v>1814</v>
      </c>
      <c r="G6612" s="12" t="s">
        <v>21</v>
      </c>
      <c r="H6612" s="11" t="s">
        <v>22</v>
      </c>
      <c r="I6612" s="13" t="s">
        <v>13974</v>
      </c>
      <c r="J6612" s="14" t="str">
        <f>HYPERLINK("https://www.boe.es/gazeta/dias/1839/09/02/pdfs/GMD-1839-1754.pdf#page=4","Abrir facsímil")</f>
        <v>Abrir facsímil</v>
      </c>
      <c r="K6612" s="12" t="s">
        <v>24</v>
      </c>
    </row>
    <row r="6613" spans="1:11" ht="40.049999999999997" customHeight="1" x14ac:dyDescent="0.25">
      <c r="A6613" s="11" t="s">
        <v>13973</v>
      </c>
      <c r="B6613" s="11" t="s">
        <v>13973</v>
      </c>
      <c r="C6613" s="11" t="s">
        <v>17</v>
      </c>
      <c r="D6613" s="11" t="s">
        <v>18</v>
      </c>
      <c r="E6613" s="12" t="s">
        <v>1565</v>
      </c>
      <c r="F6613" s="12" t="s">
        <v>1566</v>
      </c>
      <c r="G6613" s="12" t="s">
        <v>21</v>
      </c>
      <c r="H6613" s="11" t="s">
        <v>22</v>
      </c>
      <c r="I6613" s="13" t="s">
        <v>13975</v>
      </c>
      <c r="J6613" s="14" t="str">
        <f>HYPERLINK("https://www.boe.es/gazeta/dias/1839/06/17/pdfs/GMD-1839-1675.pdf#page=4","Abrir facsímil")</f>
        <v>Abrir facsímil</v>
      </c>
      <c r="K6613" s="12" t="s">
        <v>24</v>
      </c>
    </row>
    <row r="6614" spans="1:11" ht="40.049999999999997" customHeight="1" x14ac:dyDescent="0.25">
      <c r="A6614" s="11" t="s">
        <v>13976</v>
      </c>
      <c r="B6614" s="11" t="s">
        <v>13976</v>
      </c>
      <c r="C6614" s="11" t="s">
        <v>101</v>
      </c>
      <c r="D6614" s="11" t="s">
        <v>43</v>
      </c>
      <c r="E6614" s="12" t="s">
        <v>372</v>
      </c>
      <c r="F6614" s="12" t="s">
        <v>373</v>
      </c>
      <c r="G6614" s="12" t="s">
        <v>21</v>
      </c>
      <c r="H6614" s="11" t="s">
        <v>22</v>
      </c>
      <c r="I6614" s="13" t="s">
        <v>13977</v>
      </c>
      <c r="J6614" s="14" t="str">
        <f>HYPERLINK("https://www.boe.es/gazeta/dias/1839/11/08/pdfs/GMD-1839-1825.pdf#page=4","Abrir facsímil")</f>
        <v>Abrir facsímil</v>
      </c>
      <c r="K6614" s="12" t="s">
        <v>24</v>
      </c>
    </row>
    <row r="6615" spans="1:11" ht="40.049999999999997" customHeight="1" x14ac:dyDescent="0.25">
      <c r="A6615" s="11" t="s">
        <v>13976</v>
      </c>
      <c r="B6615" s="11" t="s">
        <v>13976</v>
      </c>
      <c r="C6615" s="11" t="s">
        <v>17</v>
      </c>
      <c r="D6615" s="11" t="s">
        <v>18</v>
      </c>
      <c r="E6615" s="12" t="s">
        <v>1474</v>
      </c>
      <c r="F6615" s="12" t="s">
        <v>1475</v>
      </c>
      <c r="G6615" s="12" t="s">
        <v>21</v>
      </c>
      <c r="H6615" s="11" t="s">
        <v>22</v>
      </c>
      <c r="I6615" s="13" t="s">
        <v>13978</v>
      </c>
      <c r="J6615" s="14" t="str">
        <f>HYPERLINK("https://www.boe.es/gazeta/dias/1839/02/28/pdfs/GMD-1839-1566.pdf#page=4","Abrir facsímil")</f>
        <v>Abrir facsímil</v>
      </c>
      <c r="K6615" s="12" t="s">
        <v>24</v>
      </c>
    </row>
    <row r="6616" spans="1:11" ht="40.049999999999997" customHeight="1" x14ac:dyDescent="0.25">
      <c r="A6616" s="11" t="s">
        <v>13979</v>
      </c>
      <c r="B6616" s="11" t="s">
        <v>13979</v>
      </c>
      <c r="C6616" s="11" t="s">
        <v>17</v>
      </c>
      <c r="D6616" s="11" t="s">
        <v>18</v>
      </c>
      <c r="E6616" s="12" t="s">
        <v>1631</v>
      </c>
      <c r="F6616" s="12" t="s">
        <v>1632</v>
      </c>
      <c r="G6616" s="12" t="s">
        <v>46</v>
      </c>
      <c r="H6616" s="11" t="s">
        <v>63</v>
      </c>
      <c r="I6616" s="13" t="s">
        <v>13980</v>
      </c>
      <c r="J6616" s="14" t="str">
        <f>HYPERLINK("https://www.boe.es/gazeta/dias/1839/05/10/pdfs/GMD-1839-1637.pdf#page=3","Abrir facsímil")</f>
        <v>Abrir facsímil</v>
      </c>
      <c r="K6616" s="12" t="s">
        <v>65</v>
      </c>
    </row>
    <row r="6617" spans="1:11" ht="40.049999999999997" customHeight="1" x14ac:dyDescent="0.25">
      <c r="A6617" s="11" t="s">
        <v>13981</v>
      </c>
      <c r="B6617" s="11" t="s">
        <v>13982</v>
      </c>
      <c r="C6617" s="11" t="s">
        <v>17</v>
      </c>
      <c r="D6617" s="11" t="s">
        <v>18</v>
      </c>
      <c r="E6617" s="12" t="s">
        <v>857</v>
      </c>
      <c r="F6617" s="12" t="s">
        <v>858</v>
      </c>
      <c r="G6617" s="12" t="s">
        <v>29</v>
      </c>
      <c r="H6617" s="11" t="s">
        <v>63</v>
      </c>
      <c r="I6617" s="13" t="s">
        <v>13983</v>
      </c>
      <c r="J6617" s="14" t="str">
        <f>HYPERLINK("https://www.boe.es/gazeta/dias/1839/11/21/pdfs/GMD-1839-1838.pdf#page=1","Abrir facsímil")</f>
        <v>Abrir facsímil</v>
      </c>
      <c r="K6617" s="12" t="s">
        <v>65</v>
      </c>
    </row>
    <row r="6618" spans="1:11" ht="40.049999999999997" customHeight="1" x14ac:dyDescent="0.25">
      <c r="A6618" s="11" t="s">
        <v>13984</v>
      </c>
      <c r="B6618" s="11" t="s">
        <v>13985</v>
      </c>
      <c r="C6618" s="11" t="s">
        <v>17</v>
      </c>
      <c r="D6618" s="11" t="s">
        <v>18</v>
      </c>
      <c r="E6618" s="12" t="s">
        <v>695</v>
      </c>
      <c r="F6618" s="12" t="s">
        <v>696</v>
      </c>
      <c r="G6618" s="12" t="s">
        <v>46</v>
      </c>
      <c r="H6618" s="11" t="s">
        <v>63</v>
      </c>
      <c r="I6618" s="13" t="s">
        <v>13986</v>
      </c>
      <c r="J6618" s="14" t="str">
        <f>HYPERLINK("https://www.boe.es/gazeta/dias/1839/12/19/pdfs/GMD-1839-1866.pdf#page=3","Abrir facsímil")</f>
        <v>Abrir facsímil</v>
      </c>
      <c r="K6618" s="12" t="s">
        <v>65</v>
      </c>
    </row>
    <row r="6619" spans="1:11" ht="40.049999999999997" customHeight="1" x14ac:dyDescent="0.25">
      <c r="A6619" s="11" t="s">
        <v>13987</v>
      </c>
      <c r="B6619" s="11" t="s">
        <v>13988</v>
      </c>
      <c r="C6619" s="11" t="s">
        <v>59</v>
      </c>
      <c r="D6619" s="11" t="s">
        <v>60</v>
      </c>
      <c r="E6619" s="12" t="s">
        <v>555</v>
      </c>
      <c r="F6619" s="12" t="s">
        <v>556</v>
      </c>
      <c r="G6619" s="12" t="s">
        <v>21</v>
      </c>
      <c r="H6619" s="11" t="s">
        <v>63</v>
      </c>
      <c r="I6619" s="13" t="s">
        <v>13989</v>
      </c>
      <c r="J6619" s="14" t="str">
        <f>HYPERLINK("https://www.boe.es/gazeta/dias/1839/07/19/pdfs/GMD-1839-1707.pdf#page=4","Abrir facsímil")</f>
        <v>Abrir facsímil</v>
      </c>
      <c r="K6619" s="12" t="s">
        <v>65</v>
      </c>
    </row>
    <row r="6620" spans="1:11" ht="40.049999999999997" customHeight="1" x14ac:dyDescent="0.25">
      <c r="A6620" s="11" t="s">
        <v>13990</v>
      </c>
      <c r="B6620" s="11" t="s">
        <v>13990</v>
      </c>
      <c r="C6620" s="11" t="s">
        <v>17</v>
      </c>
      <c r="D6620" s="11" t="s">
        <v>18</v>
      </c>
      <c r="E6620" s="12" t="s">
        <v>883</v>
      </c>
      <c r="F6620" s="12" t="s">
        <v>884</v>
      </c>
      <c r="G6620" s="12" t="s">
        <v>40</v>
      </c>
      <c r="H6620" s="11" t="s">
        <v>22</v>
      </c>
      <c r="I6620" s="13" t="s">
        <v>13991</v>
      </c>
      <c r="J6620" s="14" t="str">
        <f>HYPERLINK("https://www.boe.es/gazeta/dias/1839/11/03/pdfs/GMD-1839-1820.pdf#page=2","Abrir facsímil")</f>
        <v>Abrir facsímil</v>
      </c>
      <c r="K6620" s="12" t="s">
        <v>24</v>
      </c>
    </row>
    <row r="6621" spans="1:11" ht="40.049999999999997" customHeight="1" x14ac:dyDescent="0.25">
      <c r="A6621" s="11" t="s">
        <v>13990</v>
      </c>
      <c r="B6621" s="11" t="s">
        <v>13990</v>
      </c>
      <c r="C6621" s="11" t="s">
        <v>17</v>
      </c>
      <c r="D6621" s="11" t="s">
        <v>18</v>
      </c>
      <c r="E6621" s="12" t="s">
        <v>500</v>
      </c>
      <c r="F6621" s="12" t="s">
        <v>501</v>
      </c>
      <c r="G6621" s="12" t="s">
        <v>40</v>
      </c>
      <c r="H6621" s="11" t="s">
        <v>22</v>
      </c>
      <c r="I6621" s="13" t="s">
        <v>13992</v>
      </c>
      <c r="J6621" s="14" t="str">
        <f>HYPERLINK("https://www.boe.es/gazeta/dias/1839/11/06/pdfs/GMD-1839-1823.pdf#page=2","Abrir facsímil")</f>
        <v>Abrir facsímil</v>
      </c>
      <c r="K6621" s="12" t="s">
        <v>24</v>
      </c>
    </row>
    <row r="6622" spans="1:11" ht="40.049999999999997" customHeight="1" x14ac:dyDescent="0.25">
      <c r="A6622" s="11" t="s">
        <v>13990</v>
      </c>
      <c r="B6622" s="11" t="s">
        <v>13990</v>
      </c>
      <c r="C6622" s="11" t="s">
        <v>80</v>
      </c>
      <c r="D6622" s="11" t="s">
        <v>18</v>
      </c>
      <c r="E6622" s="12" t="s">
        <v>582</v>
      </c>
      <c r="F6622" s="12" t="s">
        <v>583</v>
      </c>
      <c r="G6622" s="12" t="s">
        <v>40</v>
      </c>
      <c r="H6622" s="11" t="s">
        <v>22</v>
      </c>
      <c r="I6622" s="13" t="s">
        <v>13993</v>
      </c>
      <c r="J6622" s="14" t="str">
        <f>HYPERLINK("https://www.boe.es/gazeta/dias/1839/11/09/pdfs/GMD-1839-1826.pdf#page=2","Abrir facsímil")</f>
        <v>Abrir facsímil</v>
      </c>
      <c r="K6622" s="12" t="s">
        <v>24</v>
      </c>
    </row>
    <row r="6623" spans="1:11" ht="40.049999999999997" customHeight="1" x14ac:dyDescent="0.25">
      <c r="A6623" s="11" t="s">
        <v>13994</v>
      </c>
      <c r="B6623" s="11" t="s">
        <v>13994</v>
      </c>
      <c r="C6623" s="11" t="s">
        <v>17</v>
      </c>
      <c r="D6623" s="11" t="s">
        <v>18</v>
      </c>
      <c r="E6623" s="12" t="s">
        <v>246</v>
      </c>
      <c r="F6623" s="12" t="s">
        <v>247</v>
      </c>
      <c r="G6623" s="12" t="s">
        <v>46</v>
      </c>
      <c r="H6623" s="11" t="s">
        <v>22</v>
      </c>
      <c r="I6623" s="13" t="s">
        <v>13995</v>
      </c>
      <c r="J6623" s="14" t="str">
        <f>HYPERLINK("https://www.boe.es/gazeta/dias/1839/11/24/pdfs/GMD-1839-1841.pdf#page=3","Abrir facsímil")</f>
        <v>Abrir facsímil</v>
      </c>
      <c r="K6623" s="12" t="s">
        <v>24</v>
      </c>
    </row>
    <row r="6624" spans="1:11" ht="40.049999999999997" customHeight="1" x14ac:dyDescent="0.25">
      <c r="A6624" s="11" t="s">
        <v>13996</v>
      </c>
      <c r="B6624" s="11" t="s">
        <v>13996</v>
      </c>
      <c r="C6624" s="11" t="s">
        <v>80</v>
      </c>
      <c r="D6624" s="11" t="s">
        <v>18</v>
      </c>
      <c r="E6624" s="12" t="s">
        <v>1682</v>
      </c>
      <c r="F6624" s="12" t="s">
        <v>1683</v>
      </c>
      <c r="G6624" s="12" t="s">
        <v>21</v>
      </c>
      <c r="H6624" s="11" t="s">
        <v>22</v>
      </c>
      <c r="I6624" s="13" t="s">
        <v>13997</v>
      </c>
      <c r="J6624" s="14" t="str">
        <f>HYPERLINK("https://www.boe.es/gazeta/dias/1839/12/26/pdfs/GMD-1839-1873.pdf#page=4","Abrir facsímil")</f>
        <v>Abrir facsímil</v>
      </c>
      <c r="K6624" s="12" t="s">
        <v>24</v>
      </c>
    </row>
    <row r="6625" spans="1:11" ht="40.049999999999997" customHeight="1" x14ac:dyDescent="0.25">
      <c r="A6625" s="11" t="s">
        <v>13998</v>
      </c>
      <c r="B6625" s="11" t="s">
        <v>13998</v>
      </c>
      <c r="C6625" s="11" t="s">
        <v>137</v>
      </c>
      <c r="D6625" s="11" t="s">
        <v>18</v>
      </c>
      <c r="E6625" s="12" t="s">
        <v>1672</v>
      </c>
      <c r="F6625" s="12" t="s">
        <v>1673</v>
      </c>
      <c r="G6625" s="12" t="s">
        <v>40</v>
      </c>
      <c r="H6625" s="11" t="s">
        <v>63</v>
      </c>
      <c r="I6625" s="13" t="s">
        <v>13999</v>
      </c>
      <c r="J6625" s="14" t="str">
        <f>HYPERLINK("https://www.boe.es/gazeta/dias/1839/08/24/pdfs/GMD-1839-1745.pdf#page=2","Abrir facsímil")</f>
        <v>Abrir facsímil</v>
      </c>
      <c r="K6625" s="12" t="s">
        <v>65</v>
      </c>
    </row>
    <row r="6626" spans="1:11" ht="40.049999999999997" customHeight="1" x14ac:dyDescent="0.25">
      <c r="A6626" s="11" t="s">
        <v>14000</v>
      </c>
      <c r="B6626" s="11" t="s">
        <v>14000</v>
      </c>
      <c r="C6626" s="11" t="s">
        <v>17</v>
      </c>
      <c r="D6626" s="11" t="s">
        <v>18</v>
      </c>
      <c r="E6626" s="12" t="s">
        <v>369</v>
      </c>
      <c r="F6626" s="12" t="s">
        <v>370</v>
      </c>
      <c r="G6626" s="12" t="s">
        <v>46</v>
      </c>
      <c r="H6626" s="11" t="s">
        <v>63</v>
      </c>
      <c r="I6626" s="13" t="s">
        <v>14001</v>
      </c>
      <c r="J6626" s="14" t="str">
        <f>HYPERLINK("https://www.boe.es/gazeta/dias/1839/11/01/pdfs/GMD-1839-1818.pdf#page=3","Abrir facsímil")</f>
        <v>Abrir facsímil</v>
      </c>
      <c r="K6626" s="12" t="s">
        <v>65</v>
      </c>
    </row>
    <row r="6627" spans="1:11" ht="40.049999999999997" customHeight="1" x14ac:dyDescent="0.25">
      <c r="A6627" s="11" t="s">
        <v>14000</v>
      </c>
      <c r="B6627" s="11" t="s">
        <v>14000</v>
      </c>
      <c r="C6627" s="11" t="s">
        <v>101</v>
      </c>
      <c r="D6627" s="11" t="s">
        <v>102</v>
      </c>
      <c r="E6627" s="12" t="s">
        <v>1606</v>
      </c>
      <c r="F6627" s="12" t="s">
        <v>1607</v>
      </c>
      <c r="G6627" s="12" t="s">
        <v>46</v>
      </c>
      <c r="H6627" s="11" t="s">
        <v>63</v>
      </c>
      <c r="I6627" s="13" t="s">
        <v>14002</v>
      </c>
      <c r="J6627" s="14" t="str">
        <f>HYPERLINK("https://www.boe.es/gazeta/dias/1839/07/02/pdfs/GMD-1839-1690.pdf#page=3","Abrir facsímil")</f>
        <v>Abrir facsímil</v>
      </c>
      <c r="K6627" s="12" t="s">
        <v>65</v>
      </c>
    </row>
    <row r="6628" spans="1:11" ht="40.049999999999997" customHeight="1" x14ac:dyDescent="0.25">
      <c r="A6628" s="11" t="s">
        <v>14000</v>
      </c>
      <c r="B6628" s="11" t="s">
        <v>14000</v>
      </c>
      <c r="C6628" s="11" t="s">
        <v>17</v>
      </c>
      <c r="D6628" s="11" t="s">
        <v>18</v>
      </c>
      <c r="E6628" s="12" t="s">
        <v>3224</v>
      </c>
      <c r="F6628" s="12" t="s">
        <v>3225</v>
      </c>
      <c r="G6628" s="12" t="s">
        <v>46</v>
      </c>
      <c r="H6628" s="11" t="s">
        <v>63</v>
      </c>
      <c r="I6628" s="13" t="s">
        <v>14003</v>
      </c>
      <c r="J6628" s="14" t="str">
        <f>HYPERLINK("https://www.boe.es/gazeta/dias/1839/06/03/pdfs/GMD-1839-1661.pdf#page=3","Abrir facsímil")</f>
        <v>Abrir facsímil</v>
      </c>
      <c r="K6628" s="12" t="s">
        <v>65</v>
      </c>
    </row>
    <row r="6629" spans="1:11" ht="40.049999999999997" customHeight="1" x14ac:dyDescent="0.25">
      <c r="A6629" s="11" t="s">
        <v>14000</v>
      </c>
      <c r="B6629" s="11" t="s">
        <v>14000</v>
      </c>
      <c r="C6629" s="11" t="s">
        <v>17</v>
      </c>
      <c r="D6629" s="11" t="s">
        <v>18</v>
      </c>
      <c r="E6629" s="12" t="s">
        <v>3236</v>
      </c>
      <c r="F6629" s="12" t="s">
        <v>3237</v>
      </c>
      <c r="G6629" s="12" t="s">
        <v>40</v>
      </c>
      <c r="H6629" s="11" t="s">
        <v>63</v>
      </c>
      <c r="I6629" s="13" t="s">
        <v>14004</v>
      </c>
      <c r="J6629" s="14" t="str">
        <f>HYPERLINK("https://www.boe.es/gazeta/dias/1839/12/03/pdfs/GMD-1839-1850.pdf#page=2","Abrir facsímil")</f>
        <v>Abrir facsímil</v>
      </c>
      <c r="K6629" s="12" t="s">
        <v>65</v>
      </c>
    </row>
    <row r="6630" spans="1:11" ht="40.049999999999997" customHeight="1" x14ac:dyDescent="0.25">
      <c r="A6630" s="11" t="s">
        <v>14000</v>
      </c>
      <c r="B6630" s="11" t="s">
        <v>14000</v>
      </c>
      <c r="C6630" s="11" t="s">
        <v>17</v>
      </c>
      <c r="D6630" s="11" t="s">
        <v>18</v>
      </c>
      <c r="E6630" s="12" t="s">
        <v>1388</v>
      </c>
      <c r="F6630" s="12" t="s">
        <v>1389</v>
      </c>
      <c r="G6630" s="12" t="s">
        <v>46</v>
      </c>
      <c r="H6630" s="11" t="s">
        <v>63</v>
      </c>
      <c r="I6630" s="13" t="s">
        <v>14005</v>
      </c>
      <c r="J6630" s="14" t="str">
        <f>HYPERLINK("https://www.boe.es/gazeta/dias/1839/06/04/pdfs/GMD-1839-1662.pdf#page=3","Abrir facsímil")</f>
        <v>Abrir facsímil</v>
      </c>
      <c r="K6630" s="12" t="s">
        <v>65</v>
      </c>
    </row>
    <row r="6631" spans="1:11" ht="40.049999999999997" customHeight="1" x14ac:dyDescent="0.25">
      <c r="A6631" s="11" t="s">
        <v>14000</v>
      </c>
      <c r="B6631" s="11" t="s">
        <v>14000</v>
      </c>
      <c r="C6631" s="11" t="s">
        <v>17</v>
      </c>
      <c r="D6631" s="11" t="s">
        <v>18</v>
      </c>
      <c r="E6631" s="12" t="s">
        <v>1388</v>
      </c>
      <c r="F6631" s="12" t="s">
        <v>1389</v>
      </c>
      <c r="G6631" s="12" t="s">
        <v>21</v>
      </c>
      <c r="H6631" s="11" t="s">
        <v>63</v>
      </c>
      <c r="I6631" s="13" t="s">
        <v>14006</v>
      </c>
      <c r="J6631" s="14" t="str">
        <f>HYPERLINK("https://www.boe.es/gazeta/dias/1839/06/04/pdfs/GMD-1839-1662.pdf#page=4","Abrir facsímil")</f>
        <v>Abrir facsímil</v>
      </c>
      <c r="K6631" s="12" t="s">
        <v>65</v>
      </c>
    </row>
    <row r="6632" spans="1:11" ht="40.049999999999997" customHeight="1" x14ac:dyDescent="0.25">
      <c r="A6632" s="11" t="s">
        <v>14000</v>
      </c>
      <c r="B6632" s="11" t="s">
        <v>14000</v>
      </c>
      <c r="C6632" s="11" t="s">
        <v>17</v>
      </c>
      <c r="D6632" s="11" t="s">
        <v>18</v>
      </c>
      <c r="E6632" s="12" t="s">
        <v>141</v>
      </c>
      <c r="F6632" s="12" t="s">
        <v>142</v>
      </c>
      <c r="G6632" s="12" t="s">
        <v>46</v>
      </c>
      <c r="H6632" s="11" t="s">
        <v>63</v>
      </c>
      <c r="I6632" s="13" t="s">
        <v>14007</v>
      </c>
      <c r="J6632" s="14" t="str">
        <f>HYPERLINK("https://www.boe.es/gazeta/dias/1839/11/10/pdfs/GMD-1839-1827.pdf#page=3","Abrir facsímil")</f>
        <v>Abrir facsímil</v>
      </c>
      <c r="K6632" s="12" t="s">
        <v>65</v>
      </c>
    </row>
    <row r="6633" spans="1:11" ht="40.049999999999997" customHeight="1" x14ac:dyDescent="0.25">
      <c r="A6633" s="11" t="s">
        <v>14008</v>
      </c>
      <c r="B6633" s="11" t="s">
        <v>14008</v>
      </c>
      <c r="C6633" s="11" t="s">
        <v>17</v>
      </c>
      <c r="D6633" s="11" t="s">
        <v>18</v>
      </c>
      <c r="E6633" s="12" t="s">
        <v>254</v>
      </c>
      <c r="F6633" s="12" t="s">
        <v>255</v>
      </c>
      <c r="G6633" s="12" t="s">
        <v>21</v>
      </c>
      <c r="H6633" s="11" t="s">
        <v>63</v>
      </c>
      <c r="I6633" s="13" t="s">
        <v>14009</v>
      </c>
      <c r="J6633" s="14" t="str">
        <f>HYPERLINK("https://www.boe.es/gazeta/dias/1839/09/12/pdfs/GMD-1839-1765.pdf#page=4","Abrir facsímil")</f>
        <v>Abrir facsímil</v>
      </c>
      <c r="K6633" s="12" t="s">
        <v>65</v>
      </c>
    </row>
    <row r="6634" spans="1:11" ht="40.049999999999997" customHeight="1" x14ac:dyDescent="0.25">
      <c r="A6634" s="11" t="s">
        <v>14010</v>
      </c>
      <c r="B6634" s="11" t="s">
        <v>14010</v>
      </c>
      <c r="C6634" s="11" t="s">
        <v>17</v>
      </c>
      <c r="D6634" s="11" t="s">
        <v>18</v>
      </c>
      <c r="E6634" s="12" t="s">
        <v>2205</v>
      </c>
      <c r="F6634" s="12" t="s">
        <v>2206</v>
      </c>
      <c r="G6634" s="12" t="s">
        <v>40</v>
      </c>
      <c r="H6634" s="11" t="s">
        <v>63</v>
      </c>
      <c r="I6634" s="13" t="s">
        <v>14011</v>
      </c>
      <c r="J6634" s="14" t="str">
        <f>HYPERLINK("https://www.boe.es/gazeta/dias/1839/07/11/pdfs/GMD-1839-1699.pdf#page=2","Abrir facsímil")</f>
        <v>Abrir facsímil</v>
      </c>
      <c r="K6634" s="12" t="s">
        <v>65</v>
      </c>
    </row>
    <row r="6635" spans="1:11" ht="40.049999999999997" customHeight="1" x14ac:dyDescent="0.25">
      <c r="A6635" s="11" t="s">
        <v>14010</v>
      </c>
      <c r="B6635" s="11" t="s">
        <v>14010</v>
      </c>
      <c r="C6635" s="11" t="s">
        <v>17</v>
      </c>
      <c r="D6635" s="11" t="s">
        <v>18</v>
      </c>
      <c r="E6635" s="12" t="s">
        <v>1528</v>
      </c>
      <c r="F6635" s="12" t="s">
        <v>1529</v>
      </c>
      <c r="G6635" s="12" t="s">
        <v>46</v>
      </c>
      <c r="H6635" s="11" t="s">
        <v>63</v>
      </c>
      <c r="I6635" s="13" t="s">
        <v>14012</v>
      </c>
      <c r="J6635" s="14" t="str">
        <f>HYPERLINK("https://www.boe.es/gazeta/dias/1839/12/15/pdfs/GMD-1839-1862.pdf#page=3","Abrir facsímil")</f>
        <v>Abrir facsímil</v>
      </c>
      <c r="K6635" s="12" t="s">
        <v>65</v>
      </c>
    </row>
    <row r="6636" spans="1:11" ht="40.049999999999997" customHeight="1" x14ac:dyDescent="0.25">
      <c r="A6636" s="11" t="s">
        <v>14013</v>
      </c>
      <c r="B6636" s="11" t="s">
        <v>14013</v>
      </c>
      <c r="C6636" s="11" t="s">
        <v>137</v>
      </c>
      <c r="D6636" s="11" t="s">
        <v>18</v>
      </c>
      <c r="E6636" s="12" t="s">
        <v>108</v>
      </c>
      <c r="F6636" s="12" t="s">
        <v>109</v>
      </c>
      <c r="G6636" s="12" t="s">
        <v>21</v>
      </c>
      <c r="H6636" s="11" t="s">
        <v>22</v>
      </c>
      <c r="I6636" s="13" t="s">
        <v>14014</v>
      </c>
      <c r="J6636" s="14" t="str">
        <f>HYPERLINK("https://www.boe.es/gazeta/dias/1839/01/04/pdfs/GMD-1839-1511.pdf#page=4","Abrir facsímil")</f>
        <v>Abrir facsímil</v>
      </c>
      <c r="K6636" s="12" t="s">
        <v>24</v>
      </c>
    </row>
    <row r="6637" spans="1:11" ht="40.049999999999997" customHeight="1" x14ac:dyDescent="0.25">
      <c r="A6637" s="11" t="s">
        <v>14013</v>
      </c>
      <c r="B6637" s="11" t="s">
        <v>14013</v>
      </c>
      <c r="C6637" s="11" t="s">
        <v>17</v>
      </c>
      <c r="D6637" s="11" t="s">
        <v>18</v>
      </c>
      <c r="E6637" s="12" t="s">
        <v>751</v>
      </c>
      <c r="F6637" s="12" t="s">
        <v>752</v>
      </c>
      <c r="G6637" s="12" t="s">
        <v>40</v>
      </c>
      <c r="H6637" s="11" t="s">
        <v>22</v>
      </c>
      <c r="I6637" s="13" t="s">
        <v>14015</v>
      </c>
      <c r="J6637" s="14" t="str">
        <f>HYPERLINK("https://www.boe.es/gazeta/dias/1839/02/05/pdfs/GMD-1839-1543.pdf#page=2","Abrir facsímil")</f>
        <v>Abrir facsímil</v>
      </c>
      <c r="K6637" s="12" t="s">
        <v>24</v>
      </c>
    </row>
    <row r="6638" spans="1:11" ht="40.049999999999997" customHeight="1" x14ac:dyDescent="0.25">
      <c r="A6638" s="11" t="s">
        <v>14013</v>
      </c>
      <c r="B6638" s="11" t="s">
        <v>14013</v>
      </c>
      <c r="C6638" s="11" t="s">
        <v>17</v>
      </c>
      <c r="D6638" s="11" t="s">
        <v>18</v>
      </c>
      <c r="E6638" s="12" t="s">
        <v>2210</v>
      </c>
      <c r="F6638" s="12" t="s">
        <v>2211</v>
      </c>
      <c r="G6638" s="12" t="s">
        <v>46</v>
      </c>
      <c r="H6638" s="11" t="s">
        <v>22</v>
      </c>
      <c r="I6638" s="13" t="s">
        <v>14016</v>
      </c>
      <c r="J6638" s="14" t="str">
        <f>HYPERLINK("https://www.boe.es/gazeta/dias/1839/09/05/pdfs/GMD-1839-1758.pdf#page=3","Abrir facsímil")</f>
        <v>Abrir facsímil</v>
      </c>
      <c r="K6638" s="12" t="s">
        <v>24</v>
      </c>
    </row>
    <row r="6639" spans="1:11" ht="40.049999999999997" customHeight="1" x14ac:dyDescent="0.25">
      <c r="A6639" s="11" t="s">
        <v>14013</v>
      </c>
      <c r="B6639" s="11" t="s">
        <v>14013</v>
      </c>
      <c r="C6639" s="11" t="s">
        <v>17</v>
      </c>
      <c r="D6639" s="11" t="s">
        <v>18</v>
      </c>
      <c r="E6639" s="12" t="s">
        <v>54</v>
      </c>
      <c r="F6639" s="12" t="s">
        <v>55</v>
      </c>
      <c r="G6639" s="12" t="s">
        <v>566</v>
      </c>
      <c r="H6639" s="11" t="s">
        <v>22</v>
      </c>
      <c r="I6639" s="13" t="s">
        <v>14017</v>
      </c>
      <c r="J6639" s="14" t="str">
        <f>HYPERLINK("https://www.boe.es/gazeta/dias/1839/10/05/pdfs/GMD-1839-1791.pdf#page=5","Abrir facsímil")</f>
        <v>Abrir facsímil</v>
      </c>
      <c r="K6639" s="12" t="s">
        <v>24</v>
      </c>
    </row>
    <row r="6640" spans="1:11" ht="40.049999999999997" customHeight="1" x14ac:dyDescent="0.25">
      <c r="A6640" s="11" t="s">
        <v>14013</v>
      </c>
      <c r="B6640" s="11" t="s">
        <v>14013</v>
      </c>
      <c r="C6640" s="11" t="s">
        <v>101</v>
      </c>
      <c r="D6640" s="11" t="s">
        <v>43</v>
      </c>
      <c r="E6640" s="12" t="s">
        <v>647</v>
      </c>
      <c r="F6640" s="12" t="s">
        <v>648</v>
      </c>
      <c r="G6640" s="12" t="s">
        <v>40</v>
      </c>
      <c r="H6640" s="11" t="s">
        <v>22</v>
      </c>
      <c r="I6640" s="13" t="s">
        <v>14018</v>
      </c>
      <c r="J6640" s="14" t="str">
        <f>HYPERLINK("https://www.boe.es/gazeta/dias/1839/10/08/pdfs/GMD-1839-1794.pdf#page=2","Abrir facsímil")</f>
        <v>Abrir facsímil</v>
      </c>
      <c r="K6640" s="12" t="s">
        <v>24</v>
      </c>
    </row>
    <row r="6641" spans="1:11" ht="40.049999999999997" customHeight="1" x14ac:dyDescent="0.25">
      <c r="A6641" s="11" t="s">
        <v>14013</v>
      </c>
      <c r="B6641" s="11" t="s">
        <v>14013</v>
      </c>
      <c r="C6641" s="11" t="s">
        <v>101</v>
      </c>
      <c r="D6641" s="11" t="s">
        <v>43</v>
      </c>
      <c r="E6641" s="12" t="s">
        <v>561</v>
      </c>
      <c r="F6641" s="12" t="s">
        <v>562</v>
      </c>
      <c r="G6641" s="12" t="s">
        <v>46</v>
      </c>
      <c r="H6641" s="11" t="s">
        <v>22</v>
      </c>
      <c r="I6641" s="13" t="s">
        <v>14019</v>
      </c>
      <c r="J6641" s="14" t="str">
        <f>HYPERLINK("https://www.boe.es/gazeta/dias/1839/09/11/pdfs/GMD-1839-1764.pdf#page=3","Abrir facsímil")</f>
        <v>Abrir facsímil</v>
      </c>
      <c r="K6641" s="12" t="s">
        <v>24</v>
      </c>
    </row>
    <row r="6642" spans="1:11" ht="40.049999999999997" customHeight="1" x14ac:dyDescent="0.25">
      <c r="A6642" s="11" t="s">
        <v>14013</v>
      </c>
      <c r="B6642" s="11" t="s">
        <v>14013</v>
      </c>
      <c r="C6642" s="11" t="s">
        <v>17</v>
      </c>
      <c r="D6642" s="11" t="s">
        <v>18</v>
      </c>
      <c r="E6642" s="12" t="s">
        <v>233</v>
      </c>
      <c r="F6642" s="12" t="s">
        <v>234</v>
      </c>
      <c r="G6642" s="12" t="s">
        <v>40</v>
      </c>
      <c r="H6642" s="11" t="s">
        <v>22</v>
      </c>
      <c r="I6642" s="13" t="s">
        <v>14020</v>
      </c>
      <c r="J6642" s="14" t="str">
        <f>HYPERLINK("https://www.boe.es/gazeta/dias/1839/09/17/pdfs/GMD-1839-1770.pdf#page=2","Abrir facsímil")</f>
        <v>Abrir facsímil</v>
      </c>
      <c r="K6642" s="12" t="s">
        <v>24</v>
      </c>
    </row>
    <row r="6643" spans="1:11" ht="40.049999999999997" customHeight="1" x14ac:dyDescent="0.25">
      <c r="A6643" s="11" t="s">
        <v>14013</v>
      </c>
      <c r="B6643" s="11" t="s">
        <v>14013</v>
      </c>
      <c r="C6643" s="11" t="s">
        <v>137</v>
      </c>
      <c r="D6643" s="11" t="s">
        <v>18</v>
      </c>
      <c r="E6643" s="12" t="s">
        <v>1076</v>
      </c>
      <c r="F6643" s="12" t="s">
        <v>1077</v>
      </c>
      <c r="G6643" s="12" t="s">
        <v>21</v>
      </c>
      <c r="H6643" s="11" t="s">
        <v>22</v>
      </c>
      <c r="I6643" s="13" t="s">
        <v>14021</v>
      </c>
      <c r="J6643" s="14" t="str">
        <f>HYPERLINK("https://www.boe.es/gazeta/dias/1839/10/19/pdfs/GMD-1839-1805.pdf#page=4","Abrir facsímil")</f>
        <v>Abrir facsímil</v>
      </c>
      <c r="K6643" s="12" t="s">
        <v>24</v>
      </c>
    </row>
    <row r="6644" spans="1:11" ht="40.049999999999997" customHeight="1" x14ac:dyDescent="0.25">
      <c r="A6644" s="11" t="s">
        <v>14013</v>
      </c>
      <c r="B6644" s="11" t="s">
        <v>14013</v>
      </c>
      <c r="C6644" s="11" t="s">
        <v>17</v>
      </c>
      <c r="D6644" s="11" t="s">
        <v>18</v>
      </c>
      <c r="E6644" s="12" t="s">
        <v>1433</v>
      </c>
      <c r="F6644" s="12" t="s">
        <v>1434</v>
      </c>
      <c r="G6644" s="12" t="s">
        <v>21</v>
      </c>
      <c r="H6644" s="11" t="s">
        <v>22</v>
      </c>
      <c r="I6644" s="13" t="s">
        <v>14022</v>
      </c>
      <c r="J6644" s="14" t="str">
        <f>HYPERLINK("https://www.boe.es/gazeta/dias/1839/10/22/pdfs/GMD-1839-1808.pdf#page=4","Abrir facsímil")</f>
        <v>Abrir facsímil</v>
      </c>
      <c r="K6644" s="12" t="s">
        <v>24</v>
      </c>
    </row>
    <row r="6645" spans="1:11" ht="40.049999999999997" customHeight="1" x14ac:dyDescent="0.25">
      <c r="A6645" s="11" t="s">
        <v>14013</v>
      </c>
      <c r="B6645" s="11" t="s">
        <v>14013</v>
      </c>
      <c r="C6645" s="11" t="s">
        <v>59</v>
      </c>
      <c r="D6645" s="11" t="s">
        <v>60</v>
      </c>
      <c r="E6645" s="12" t="s">
        <v>596</v>
      </c>
      <c r="F6645" s="12" t="s">
        <v>597</v>
      </c>
      <c r="G6645" s="12" t="s">
        <v>21</v>
      </c>
      <c r="H6645" s="11" t="s">
        <v>22</v>
      </c>
      <c r="I6645" s="13" t="s">
        <v>14023</v>
      </c>
      <c r="J6645" s="14" t="str">
        <f>HYPERLINK("https://www.boe.es/gazeta/dias/1839/01/23/pdfs/GMD-1839-1530.pdf#page=4","Abrir facsímil")</f>
        <v>Abrir facsímil</v>
      </c>
      <c r="K6645" s="12" t="s">
        <v>24</v>
      </c>
    </row>
    <row r="6646" spans="1:11" ht="40.049999999999997" customHeight="1" x14ac:dyDescent="0.25">
      <c r="A6646" s="11" t="s">
        <v>14024</v>
      </c>
      <c r="B6646" s="11" t="s">
        <v>14024</v>
      </c>
      <c r="C6646" s="11" t="s">
        <v>80</v>
      </c>
      <c r="D6646" s="11" t="s">
        <v>18</v>
      </c>
      <c r="E6646" s="12" t="s">
        <v>2227</v>
      </c>
      <c r="F6646" s="12" t="s">
        <v>2228</v>
      </c>
      <c r="G6646" s="12" t="s">
        <v>21</v>
      </c>
      <c r="H6646" s="11" t="s">
        <v>22</v>
      </c>
      <c r="I6646" s="13" t="s">
        <v>14025</v>
      </c>
      <c r="J6646" s="14" t="str">
        <f>HYPERLINK("https://www.boe.es/gazeta/dias/1839/12/04/pdfs/GMD-1839-1851.pdf#page=4","Abrir facsímil")</f>
        <v>Abrir facsímil</v>
      </c>
      <c r="K6646" s="12" t="s">
        <v>24</v>
      </c>
    </row>
    <row r="6647" spans="1:11" ht="40.049999999999997" customHeight="1" x14ac:dyDescent="0.25">
      <c r="A6647" s="11" t="s">
        <v>14026</v>
      </c>
      <c r="B6647" s="11" t="s">
        <v>14026</v>
      </c>
      <c r="C6647" s="11" t="s">
        <v>137</v>
      </c>
      <c r="D6647" s="11" t="s">
        <v>18</v>
      </c>
      <c r="E6647" s="12" t="s">
        <v>959</v>
      </c>
      <c r="F6647" s="12" t="s">
        <v>960</v>
      </c>
      <c r="G6647" s="12" t="s">
        <v>46</v>
      </c>
      <c r="H6647" s="11" t="s">
        <v>22</v>
      </c>
      <c r="I6647" s="13" t="s">
        <v>14027</v>
      </c>
      <c r="J6647" s="14" t="str">
        <f>HYPERLINK("https://www.boe.es/gazeta/dias/1839/12/06/pdfs/GMD-1839-1853.pdf#page=3","Abrir facsímil")</f>
        <v>Abrir facsímil</v>
      </c>
      <c r="K6647" s="12" t="s">
        <v>24</v>
      </c>
    </row>
    <row r="6648" spans="1:11" ht="40.049999999999997" customHeight="1" x14ac:dyDescent="0.25">
      <c r="A6648" s="11" t="s">
        <v>14028</v>
      </c>
      <c r="B6648" s="11" t="s">
        <v>14028</v>
      </c>
      <c r="C6648" s="11" t="s">
        <v>17</v>
      </c>
      <c r="D6648" s="11" t="s">
        <v>18</v>
      </c>
      <c r="E6648" s="12" t="s">
        <v>2227</v>
      </c>
      <c r="F6648" s="12" t="s">
        <v>2228</v>
      </c>
      <c r="G6648" s="12" t="s">
        <v>40</v>
      </c>
      <c r="H6648" s="11" t="s">
        <v>63</v>
      </c>
      <c r="I6648" s="13" t="s">
        <v>14029</v>
      </c>
      <c r="J6648" s="14" t="str">
        <f>HYPERLINK("https://www.boe.es/gazeta/dias/1839/12/04/pdfs/GMD-1839-1851.pdf#page=2","Abrir facsímil")</f>
        <v>Abrir facsímil</v>
      </c>
      <c r="K6648" s="12" t="s">
        <v>65</v>
      </c>
    </row>
    <row r="6649" spans="1:11" ht="40.049999999999997" customHeight="1" x14ac:dyDescent="0.25">
      <c r="A6649" s="11" t="s">
        <v>14030</v>
      </c>
      <c r="B6649" s="11" t="s">
        <v>14031</v>
      </c>
      <c r="C6649" s="11" t="s">
        <v>137</v>
      </c>
      <c r="D6649" s="11" t="s">
        <v>18</v>
      </c>
      <c r="E6649" s="12" t="s">
        <v>1895</v>
      </c>
      <c r="F6649" s="12" t="s">
        <v>1896</v>
      </c>
      <c r="G6649" s="12" t="s">
        <v>29</v>
      </c>
      <c r="H6649" s="11" t="s">
        <v>63</v>
      </c>
      <c r="I6649" s="13" t="s">
        <v>14032</v>
      </c>
      <c r="J6649" s="14" t="str">
        <f>HYPERLINK("https://www.boe.es/gazeta/dias/1839/12/23/pdfs/GMD-1839-1870.pdf#page=1","Abrir facsímil")</f>
        <v>Abrir facsímil</v>
      </c>
      <c r="K6649" s="12" t="s">
        <v>65</v>
      </c>
    </row>
    <row r="6650" spans="1:11" ht="40.049999999999997" customHeight="1" x14ac:dyDescent="0.25">
      <c r="A6650" s="11" t="s">
        <v>14033</v>
      </c>
      <c r="B6650" s="11" t="s">
        <v>14034</v>
      </c>
      <c r="C6650" s="11" t="s">
        <v>17</v>
      </c>
      <c r="D6650" s="11" t="s">
        <v>43</v>
      </c>
      <c r="E6650" s="12" t="s">
        <v>1069</v>
      </c>
      <c r="F6650" s="12" t="s">
        <v>1070</v>
      </c>
      <c r="G6650" s="12" t="s">
        <v>40</v>
      </c>
      <c r="H6650" s="11" t="s">
        <v>63</v>
      </c>
      <c r="I6650" s="13" t="s">
        <v>14035</v>
      </c>
      <c r="J6650" s="14" t="str">
        <f>HYPERLINK("https://www.boe.es/gazeta/dias/1839/10/15/pdfs/GMD-1839-1801.pdf#page=2","Abrir facsímil")</f>
        <v>Abrir facsímil</v>
      </c>
      <c r="K6650" s="12" t="s">
        <v>65</v>
      </c>
    </row>
    <row r="6651" spans="1:11" ht="40.049999999999997" customHeight="1" x14ac:dyDescent="0.25">
      <c r="A6651" s="11" t="s">
        <v>14036</v>
      </c>
      <c r="B6651" s="11" t="s">
        <v>14036</v>
      </c>
      <c r="C6651" s="11" t="s">
        <v>17</v>
      </c>
      <c r="D6651" s="11" t="s">
        <v>18</v>
      </c>
      <c r="E6651" s="12" t="s">
        <v>262</v>
      </c>
      <c r="F6651" s="12" t="s">
        <v>263</v>
      </c>
      <c r="G6651" s="12" t="s">
        <v>40</v>
      </c>
      <c r="H6651" s="11" t="s">
        <v>22</v>
      </c>
      <c r="I6651" s="13" t="s">
        <v>14037</v>
      </c>
      <c r="J6651" s="14" t="str">
        <f>HYPERLINK("https://www.boe.es/gazeta/dias/1839/01/01/pdfs/GMD-1839-1508.pdf#page=2","Abrir facsímil")</f>
        <v>Abrir facsímil</v>
      </c>
      <c r="K6651" s="12" t="s">
        <v>24</v>
      </c>
    </row>
    <row r="6652" spans="1:11" ht="40.049999999999997" customHeight="1" x14ac:dyDescent="0.25">
      <c r="A6652" s="11" t="s">
        <v>14038</v>
      </c>
      <c r="B6652" s="11" t="s">
        <v>14038</v>
      </c>
      <c r="C6652" s="11" t="s">
        <v>17</v>
      </c>
      <c r="D6652" s="11" t="s">
        <v>18</v>
      </c>
      <c r="E6652" s="12" t="s">
        <v>303</v>
      </c>
      <c r="F6652" s="12" t="s">
        <v>304</v>
      </c>
      <c r="G6652" s="12" t="s">
        <v>305</v>
      </c>
      <c r="H6652" s="11" t="s">
        <v>22</v>
      </c>
      <c r="I6652" s="13" t="s">
        <v>14039</v>
      </c>
      <c r="J6652" s="14" t="str">
        <f>HYPERLINK("https://www.boe.es/gazeta/dias/1839/10/06/pdfs/GMD-1839-1792.pdf#page=6","Abrir facsímil")</f>
        <v>Abrir facsímil</v>
      </c>
      <c r="K6652" s="12" t="s">
        <v>24</v>
      </c>
    </row>
    <row r="6653" spans="1:11" ht="40.049999999999997" customHeight="1" x14ac:dyDescent="0.25">
      <c r="A6653" s="11" t="s">
        <v>14040</v>
      </c>
      <c r="B6653" s="11" t="s">
        <v>14040</v>
      </c>
      <c r="C6653" s="11" t="s">
        <v>137</v>
      </c>
      <c r="D6653" s="11" t="s">
        <v>18</v>
      </c>
      <c r="E6653" s="12" t="s">
        <v>4463</v>
      </c>
      <c r="F6653" s="12" t="s">
        <v>4464</v>
      </c>
      <c r="G6653" s="12" t="s">
        <v>21</v>
      </c>
      <c r="H6653" s="11" t="s">
        <v>63</v>
      </c>
      <c r="I6653" s="13" t="s">
        <v>14041</v>
      </c>
      <c r="J6653" s="14" t="str">
        <f>HYPERLINK("https://www.boe.es/gazeta/dias/1839/08/28/pdfs/GMD-1839-1749.pdf#page=4","Abrir facsímil")</f>
        <v>Abrir facsímil</v>
      </c>
      <c r="K6653" s="12" t="s">
        <v>65</v>
      </c>
    </row>
    <row r="6654" spans="1:11" ht="40.049999999999997" customHeight="1" x14ac:dyDescent="0.25">
      <c r="A6654" s="11" t="s">
        <v>14042</v>
      </c>
      <c r="B6654" s="11" t="s">
        <v>14042</v>
      </c>
      <c r="C6654" s="11" t="s">
        <v>17</v>
      </c>
      <c r="D6654" s="11" t="s">
        <v>43</v>
      </c>
      <c r="E6654" s="12" t="s">
        <v>272</v>
      </c>
      <c r="F6654" s="12" t="s">
        <v>273</v>
      </c>
      <c r="G6654" s="12" t="s">
        <v>21</v>
      </c>
      <c r="H6654" s="11" t="s">
        <v>22</v>
      </c>
      <c r="I6654" s="13" t="s">
        <v>14043</v>
      </c>
      <c r="J6654" s="14" t="str">
        <f>HYPERLINK("https://www.boe.es/gazeta/dias/1839/02/12/pdfs/GMD-1839-1550.pdf#page=4","Abrir facsímil")</f>
        <v>Abrir facsímil</v>
      </c>
      <c r="K6654" s="12" t="s">
        <v>24</v>
      </c>
    </row>
    <row r="6655" spans="1:11" ht="40.049999999999997" customHeight="1" x14ac:dyDescent="0.25">
      <c r="A6655" s="11" t="s">
        <v>14044</v>
      </c>
      <c r="B6655" s="11" t="s">
        <v>14044</v>
      </c>
      <c r="C6655" s="11" t="s">
        <v>59</v>
      </c>
      <c r="D6655" s="11" t="s">
        <v>60</v>
      </c>
      <c r="E6655" s="12" t="s">
        <v>779</v>
      </c>
      <c r="F6655" s="12" t="s">
        <v>780</v>
      </c>
      <c r="G6655" s="12" t="s">
        <v>21</v>
      </c>
      <c r="H6655" s="11" t="s">
        <v>22</v>
      </c>
      <c r="I6655" s="13" t="s">
        <v>14045</v>
      </c>
      <c r="J6655" s="14" t="str">
        <f>HYPERLINK("https://www.boe.es/gazeta/dias/1839/02/03/pdfs/GMD-1839-1541.pdf#page=4","Abrir facsímil")</f>
        <v>Abrir facsímil</v>
      </c>
      <c r="K6655" s="12" t="s">
        <v>24</v>
      </c>
    </row>
    <row r="6656" spans="1:11" ht="40.049999999999997" customHeight="1" x14ac:dyDescent="0.25">
      <c r="A6656" s="11" t="s">
        <v>14044</v>
      </c>
      <c r="B6656" s="11" t="s">
        <v>14044</v>
      </c>
      <c r="C6656" s="11" t="s">
        <v>17</v>
      </c>
      <c r="D6656" s="11" t="s">
        <v>18</v>
      </c>
      <c r="E6656" s="12" t="s">
        <v>272</v>
      </c>
      <c r="F6656" s="12" t="s">
        <v>273</v>
      </c>
      <c r="G6656" s="12" t="s">
        <v>21</v>
      </c>
      <c r="H6656" s="11" t="s">
        <v>22</v>
      </c>
      <c r="I6656" s="13" t="s">
        <v>14046</v>
      </c>
      <c r="J6656" s="14" t="str">
        <f>HYPERLINK("https://www.boe.es/gazeta/dias/1839/02/12/pdfs/GMD-1839-1550.pdf#page=4","Abrir facsímil")</f>
        <v>Abrir facsímil</v>
      </c>
      <c r="K6656" s="12" t="s">
        <v>24</v>
      </c>
    </row>
    <row r="6657" spans="1:11" ht="40.049999999999997" customHeight="1" x14ac:dyDescent="0.25">
      <c r="A6657" s="11" t="s">
        <v>14044</v>
      </c>
      <c r="B6657" s="11" t="s">
        <v>14044</v>
      </c>
      <c r="C6657" s="11" t="s">
        <v>101</v>
      </c>
      <c r="D6657" s="11" t="s">
        <v>102</v>
      </c>
      <c r="E6657" s="12" t="s">
        <v>2452</v>
      </c>
      <c r="F6657" s="12" t="s">
        <v>2453</v>
      </c>
      <c r="G6657" s="12" t="s">
        <v>40</v>
      </c>
      <c r="H6657" s="11" t="s">
        <v>22</v>
      </c>
      <c r="I6657" s="13" t="s">
        <v>14047</v>
      </c>
      <c r="J6657" s="14" t="str">
        <f>HYPERLINK("https://www.boe.es/gazeta/dias/1839/11/14/pdfs/GMD-1839-1831.pdf#page=2","Abrir facsímil")</f>
        <v>Abrir facsímil</v>
      </c>
      <c r="K6657" s="12" t="s">
        <v>24</v>
      </c>
    </row>
    <row r="6658" spans="1:11" ht="40.049999999999997" customHeight="1" x14ac:dyDescent="0.25">
      <c r="A6658" s="11" t="s">
        <v>14044</v>
      </c>
      <c r="B6658" s="11" t="s">
        <v>14044</v>
      </c>
      <c r="C6658" s="11" t="s">
        <v>17</v>
      </c>
      <c r="D6658" s="11" t="s">
        <v>18</v>
      </c>
      <c r="E6658" s="12" t="s">
        <v>2021</v>
      </c>
      <c r="F6658" s="12" t="s">
        <v>2022</v>
      </c>
      <c r="G6658" s="12" t="s">
        <v>21</v>
      </c>
      <c r="H6658" s="11" t="s">
        <v>22</v>
      </c>
      <c r="I6658" s="13" t="s">
        <v>14048</v>
      </c>
      <c r="J6658" s="14" t="str">
        <f>HYPERLINK("https://www.boe.es/gazeta/dias/1839/02/17/pdfs/GMD-1839-1555.pdf#page=4","Abrir facsímil")</f>
        <v>Abrir facsímil</v>
      </c>
      <c r="K6658" s="12" t="s">
        <v>24</v>
      </c>
    </row>
    <row r="6659" spans="1:11" ht="40.049999999999997" customHeight="1" x14ac:dyDescent="0.25">
      <c r="A6659" s="11" t="s">
        <v>14049</v>
      </c>
      <c r="B6659" s="11" t="s">
        <v>14049</v>
      </c>
      <c r="C6659" s="11" t="s">
        <v>80</v>
      </c>
      <c r="D6659" s="11" t="s">
        <v>18</v>
      </c>
      <c r="E6659" s="12" t="s">
        <v>4044</v>
      </c>
      <c r="F6659" s="12" t="s">
        <v>4045</v>
      </c>
      <c r="G6659" s="12" t="s">
        <v>21</v>
      </c>
      <c r="H6659" s="11" t="s">
        <v>22</v>
      </c>
      <c r="I6659" s="13" t="s">
        <v>14050</v>
      </c>
      <c r="J6659" s="14" t="str">
        <f>HYPERLINK("https://www.boe.es/gazeta/dias/1839/01/07/pdfs/GMD-1839-1514.pdf#page=4","Abrir facsímil")</f>
        <v>Abrir facsímil</v>
      </c>
      <c r="K6659" s="12" t="s">
        <v>24</v>
      </c>
    </row>
    <row r="6660" spans="1:11" ht="40.049999999999997" customHeight="1" x14ac:dyDescent="0.25">
      <c r="A6660" s="11" t="s">
        <v>14051</v>
      </c>
      <c r="B6660" s="11" t="s">
        <v>14051</v>
      </c>
      <c r="C6660" s="11" t="s">
        <v>17</v>
      </c>
      <c r="D6660" s="11" t="s">
        <v>18</v>
      </c>
      <c r="E6660" s="12" t="s">
        <v>870</v>
      </c>
      <c r="F6660" s="12" t="s">
        <v>871</v>
      </c>
      <c r="G6660" s="12" t="s">
        <v>21</v>
      </c>
      <c r="H6660" s="11" t="s">
        <v>22</v>
      </c>
      <c r="I6660" s="13" t="s">
        <v>14052</v>
      </c>
      <c r="J6660" s="14" t="str">
        <f>HYPERLINK("https://www.boe.es/gazeta/dias/1839/04/18/pdfs/GMD-1839-1615.pdf#page=4","Abrir facsímil")</f>
        <v>Abrir facsímil</v>
      </c>
      <c r="K6660" s="12" t="s">
        <v>24</v>
      </c>
    </row>
    <row r="6661" spans="1:11" ht="40.049999999999997" customHeight="1" x14ac:dyDescent="0.25">
      <c r="A6661" s="11" t="s">
        <v>14053</v>
      </c>
      <c r="B6661" s="11" t="s">
        <v>14053</v>
      </c>
      <c r="C6661" s="11" t="s">
        <v>17</v>
      </c>
      <c r="D6661" s="11" t="s">
        <v>18</v>
      </c>
      <c r="E6661" s="12" t="s">
        <v>1654</v>
      </c>
      <c r="F6661" s="12" t="s">
        <v>1655</v>
      </c>
      <c r="G6661" s="12" t="s">
        <v>40</v>
      </c>
      <c r="H6661" s="11" t="s">
        <v>22</v>
      </c>
      <c r="I6661" s="13" t="s">
        <v>14054</v>
      </c>
      <c r="J6661" s="14" t="str">
        <f>HYPERLINK("https://www.boe.es/gazeta/dias/1839/11/19/pdfs/GMD-1839-1836.pdf#page=2","Abrir facsímil")</f>
        <v>Abrir facsímil</v>
      </c>
      <c r="K6661" s="12" t="s">
        <v>24</v>
      </c>
    </row>
    <row r="6662" spans="1:11" ht="40.049999999999997" customHeight="1" x14ac:dyDescent="0.25">
      <c r="A6662" s="11" t="s">
        <v>14055</v>
      </c>
      <c r="B6662" s="11" t="s">
        <v>14055</v>
      </c>
      <c r="C6662" s="11" t="s">
        <v>80</v>
      </c>
      <c r="D6662" s="11" t="s">
        <v>18</v>
      </c>
      <c r="E6662" s="12" t="s">
        <v>355</v>
      </c>
      <c r="F6662" s="12" t="s">
        <v>356</v>
      </c>
      <c r="G6662" s="12" t="s">
        <v>40</v>
      </c>
      <c r="H6662" s="11" t="s">
        <v>22</v>
      </c>
      <c r="I6662" s="13" t="s">
        <v>14056</v>
      </c>
      <c r="J6662" s="14" t="str">
        <f>HYPERLINK("https://www.boe.es/gazeta/dias/1839/05/31/pdfs/GMD-1839-1658.pdf#page=2","Abrir facsímil")</f>
        <v>Abrir facsímil</v>
      </c>
      <c r="K6662" s="12" t="s">
        <v>24</v>
      </c>
    </row>
    <row r="6663" spans="1:11" ht="40.049999999999997" customHeight="1" x14ac:dyDescent="0.25">
      <c r="A6663" s="11" t="s">
        <v>14057</v>
      </c>
      <c r="B6663" s="11" t="s">
        <v>14057</v>
      </c>
      <c r="C6663" s="11" t="s">
        <v>17</v>
      </c>
      <c r="D6663" s="11" t="s">
        <v>18</v>
      </c>
      <c r="E6663" s="12" t="s">
        <v>821</v>
      </c>
      <c r="F6663" s="12" t="s">
        <v>822</v>
      </c>
      <c r="G6663" s="12" t="s">
        <v>46</v>
      </c>
      <c r="H6663" s="11" t="s">
        <v>63</v>
      </c>
      <c r="I6663" s="13" t="s">
        <v>14058</v>
      </c>
      <c r="J6663" s="14" t="str">
        <f>HYPERLINK("https://www.boe.es/gazeta/dias/1839/09/20/pdfs/GMD-1839-1775.pdf#page=3","Abrir facsímil")</f>
        <v>Abrir facsímil</v>
      </c>
      <c r="K6663" s="12" t="s">
        <v>65</v>
      </c>
    </row>
    <row r="6664" spans="1:11" ht="40.049999999999997" customHeight="1" x14ac:dyDescent="0.25">
      <c r="A6664" s="11" t="s">
        <v>14059</v>
      </c>
      <c r="B6664" s="11" t="s">
        <v>14059</v>
      </c>
      <c r="C6664" s="11" t="s">
        <v>17</v>
      </c>
      <c r="D6664" s="11" t="s">
        <v>18</v>
      </c>
      <c r="E6664" s="12" t="s">
        <v>222</v>
      </c>
      <c r="F6664" s="12" t="s">
        <v>223</v>
      </c>
      <c r="G6664" s="12" t="s">
        <v>21</v>
      </c>
      <c r="H6664" s="11" t="s">
        <v>63</v>
      </c>
      <c r="I6664" s="13" t="s">
        <v>14060</v>
      </c>
      <c r="J6664" s="14" t="str">
        <f>HYPERLINK("https://www.boe.es/gazeta/dias/1839/06/22/pdfs/GMD-1839-1680.pdf#page=4","Abrir facsímil")</f>
        <v>Abrir facsímil</v>
      </c>
      <c r="K6664" s="12" t="s">
        <v>65</v>
      </c>
    </row>
    <row r="6665" spans="1:11" ht="40.049999999999997" customHeight="1" x14ac:dyDescent="0.25">
      <c r="A6665" s="11" t="s">
        <v>14061</v>
      </c>
      <c r="B6665" s="11" t="s">
        <v>14061</v>
      </c>
      <c r="C6665" s="11" t="s">
        <v>101</v>
      </c>
      <c r="D6665" s="11" t="s">
        <v>43</v>
      </c>
      <c r="E6665" s="12" t="s">
        <v>561</v>
      </c>
      <c r="F6665" s="12" t="s">
        <v>562</v>
      </c>
      <c r="G6665" s="12" t="s">
        <v>21</v>
      </c>
      <c r="H6665" s="11" t="s">
        <v>63</v>
      </c>
      <c r="I6665" s="13" t="s">
        <v>14062</v>
      </c>
      <c r="J6665" s="14" t="str">
        <f>HYPERLINK("https://www.boe.es/gazeta/dias/1839/09/11/pdfs/GMD-1839-1764.pdf#page=4","Abrir facsímil")</f>
        <v>Abrir facsímil</v>
      </c>
      <c r="K6665" s="12" t="s">
        <v>65</v>
      </c>
    </row>
    <row r="6666" spans="1:11" ht="40.049999999999997" customHeight="1" x14ac:dyDescent="0.25">
      <c r="A6666" s="11" t="s">
        <v>14063</v>
      </c>
      <c r="B6666" s="11" t="s">
        <v>14063</v>
      </c>
      <c r="C6666" s="11" t="s">
        <v>59</v>
      </c>
      <c r="D6666" s="11" t="s">
        <v>60</v>
      </c>
      <c r="E6666" s="12" t="s">
        <v>3009</v>
      </c>
      <c r="F6666" s="12" t="s">
        <v>3010</v>
      </c>
      <c r="G6666" s="12" t="s">
        <v>21</v>
      </c>
      <c r="H6666" s="11" t="s">
        <v>22</v>
      </c>
      <c r="I6666" s="13" t="s">
        <v>14064</v>
      </c>
      <c r="J6666" s="14" t="str">
        <f>HYPERLINK("https://www.boe.es/gazeta/dias/1839/04/20/pdfs/GMD-1839-1617.pdf#page=4","Abrir facsímil")</f>
        <v>Abrir facsímil</v>
      </c>
      <c r="K6666" s="12" t="s">
        <v>24</v>
      </c>
    </row>
    <row r="6667" spans="1:11" ht="40.049999999999997" customHeight="1" x14ac:dyDescent="0.25">
      <c r="A6667" s="11" t="s">
        <v>14065</v>
      </c>
      <c r="B6667" s="11" t="s">
        <v>14065</v>
      </c>
      <c r="C6667" s="11" t="s">
        <v>80</v>
      </c>
      <c r="D6667" s="11" t="s">
        <v>18</v>
      </c>
      <c r="E6667" s="12" t="s">
        <v>2452</v>
      </c>
      <c r="F6667" s="12" t="s">
        <v>2453</v>
      </c>
      <c r="G6667" s="12" t="s">
        <v>21</v>
      </c>
      <c r="H6667" s="11" t="s">
        <v>22</v>
      </c>
      <c r="I6667" s="13" t="s">
        <v>14066</v>
      </c>
      <c r="J6667" s="14" t="str">
        <f>HYPERLINK("https://www.boe.es/gazeta/dias/1839/11/14/pdfs/GMD-1839-1831.pdf#page=4","Abrir facsímil")</f>
        <v>Abrir facsímil</v>
      </c>
      <c r="K6667" s="12" t="s">
        <v>24</v>
      </c>
    </row>
    <row r="6668" spans="1:11" ht="40.049999999999997" customHeight="1" x14ac:dyDescent="0.25">
      <c r="A6668" s="11" t="s">
        <v>14065</v>
      </c>
      <c r="B6668" s="11" t="s">
        <v>14065</v>
      </c>
      <c r="C6668" s="11" t="s">
        <v>17</v>
      </c>
      <c r="D6668" s="11" t="s">
        <v>18</v>
      </c>
      <c r="E6668" s="12" t="s">
        <v>1301</v>
      </c>
      <c r="F6668" s="12" t="s">
        <v>1302</v>
      </c>
      <c r="G6668" s="12" t="s">
        <v>21</v>
      </c>
      <c r="H6668" s="11" t="s">
        <v>22</v>
      </c>
      <c r="I6668" s="13" t="s">
        <v>14067</v>
      </c>
      <c r="J6668" s="14" t="str">
        <f>HYPERLINK("https://www.boe.es/gazeta/dias/1839/11/16/pdfs/GMD-1839-1833.pdf#page=4","Abrir facsímil")</f>
        <v>Abrir facsímil</v>
      </c>
      <c r="K6668" s="12" t="s">
        <v>24</v>
      </c>
    </row>
    <row r="6669" spans="1:11" ht="40.049999999999997" customHeight="1" x14ac:dyDescent="0.25">
      <c r="A6669" s="11" t="s">
        <v>14068</v>
      </c>
      <c r="B6669" s="11" t="s">
        <v>14069</v>
      </c>
      <c r="C6669" s="11" t="s">
        <v>101</v>
      </c>
      <c r="D6669" s="11" t="s">
        <v>43</v>
      </c>
      <c r="E6669" s="12" t="s">
        <v>303</v>
      </c>
      <c r="F6669" s="12" t="s">
        <v>304</v>
      </c>
      <c r="G6669" s="12" t="s">
        <v>29</v>
      </c>
      <c r="H6669" s="11" t="s">
        <v>22</v>
      </c>
      <c r="I6669" s="13" t="s">
        <v>14070</v>
      </c>
      <c r="J6669" s="14" t="str">
        <f>HYPERLINK("https://www.boe.es/gazeta/dias/1839/10/06/pdfs/GMD-1839-1792.pdf#page=1","Abrir facsímil")</f>
        <v>Abrir facsímil</v>
      </c>
      <c r="K6669" s="12" t="s">
        <v>24</v>
      </c>
    </row>
    <row r="6670" spans="1:11" ht="40.049999999999997" customHeight="1" x14ac:dyDescent="0.25">
      <c r="A6670" s="11" t="s">
        <v>14071</v>
      </c>
      <c r="B6670" s="11" t="s">
        <v>14071</v>
      </c>
      <c r="C6670" s="11" t="s">
        <v>17</v>
      </c>
      <c r="D6670" s="11" t="s">
        <v>18</v>
      </c>
      <c r="E6670" s="12" t="s">
        <v>1807</v>
      </c>
      <c r="F6670" s="12" t="s">
        <v>1808</v>
      </c>
      <c r="G6670" s="12" t="s">
        <v>40</v>
      </c>
      <c r="H6670" s="11" t="s">
        <v>22</v>
      </c>
      <c r="I6670" s="13" t="s">
        <v>14072</v>
      </c>
      <c r="J6670" s="14" t="str">
        <f>HYPERLINK("https://www.boe.es/gazeta/dias/1839/01/29/pdfs/GMD-1839-1536.pdf#page=2","Abrir facsímil")</f>
        <v>Abrir facsímil</v>
      </c>
      <c r="K6670" s="12" t="s">
        <v>24</v>
      </c>
    </row>
    <row r="6671" spans="1:11" ht="40.049999999999997" customHeight="1" x14ac:dyDescent="0.25">
      <c r="A6671" s="11" t="s">
        <v>14073</v>
      </c>
      <c r="B6671" s="11" t="s">
        <v>14074</v>
      </c>
      <c r="C6671" s="11" t="s">
        <v>17</v>
      </c>
      <c r="D6671" s="11" t="s">
        <v>43</v>
      </c>
      <c r="E6671" s="12" t="s">
        <v>269</v>
      </c>
      <c r="F6671" s="12" t="s">
        <v>270</v>
      </c>
      <c r="G6671" s="12" t="s">
        <v>40</v>
      </c>
      <c r="H6671" s="11" t="s">
        <v>63</v>
      </c>
      <c r="I6671" s="13" t="s">
        <v>14075</v>
      </c>
      <c r="J6671" s="14" t="str">
        <f>HYPERLINK("https://www.boe.es/gazeta/dias/1839/02/10/pdfs/GMD-1839-1548.pdf#page=2","Abrir facsímil")</f>
        <v>Abrir facsímil</v>
      </c>
      <c r="K6671" s="12" t="s">
        <v>65</v>
      </c>
    </row>
    <row r="6672" spans="1:11" ht="40.049999999999997" customHeight="1" x14ac:dyDescent="0.25">
      <c r="A6672" s="11" t="s">
        <v>14076</v>
      </c>
      <c r="B6672" s="11" t="s">
        <v>14076</v>
      </c>
      <c r="C6672" s="11" t="s">
        <v>59</v>
      </c>
      <c r="D6672" s="11" t="s">
        <v>60</v>
      </c>
      <c r="E6672" s="12" t="s">
        <v>2320</v>
      </c>
      <c r="F6672" s="12" t="s">
        <v>2321</v>
      </c>
      <c r="G6672" s="12" t="s">
        <v>46</v>
      </c>
      <c r="H6672" s="11" t="s">
        <v>22</v>
      </c>
      <c r="I6672" s="13" t="s">
        <v>14077</v>
      </c>
      <c r="J6672" s="14" t="str">
        <f>HYPERLINK("https://www.boe.es/gazeta/dias/1839/11/13/pdfs/GMD-1839-1830.pdf#page=3","Abrir facsímil")</f>
        <v>Abrir facsímil</v>
      </c>
      <c r="K6672" s="12" t="s">
        <v>24</v>
      </c>
    </row>
    <row r="6673" spans="1:11" ht="40.049999999999997" customHeight="1" x14ac:dyDescent="0.25">
      <c r="A6673" s="11" t="s">
        <v>14076</v>
      </c>
      <c r="B6673" s="11" t="s">
        <v>14076</v>
      </c>
      <c r="C6673" s="11" t="s">
        <v>17</v>
      </c>
      <c r="D6673" s="11" t="s">
        <v>18</v>
      </c>
      <c r="E6673" s="12" t="s">
        <v>888</v>
      </c>
      <c r="F6673" s="12" t="s">
        <v>889</v>
      </c>
      <c r="G6673" s="12" t="s">
        <v>40</v>
      </c>
      <c r="H6673" s="11" t="s">
        <v>22</v>
      </c>
      <c r="I6673" s="13" t="s">
        <v>14078</v>
      </c>
      <c r="J6673" s="14" t="str">
        <f>HYPERLINK("https://www.boe.es/gazeta/dias/1839/05/14/pdfs/GMD-1839-1641.pdf#page=2","Abrir facsímil")</f>
        <v>Abrir facsímil</v>
      </c>
      <c r="K6673" s="12" t="s">
        <v>24</v>
      </c>
    </row>
    <row r="6674" spans="1:11" ht="40.049999999999997" customHeight="1" x14ac:dyDescent="0.25">
      <c r="A6674" s="11" t="s">
        <v>14076</v>
      </c>
      <c r="B6674" s="11" t="s">
        <v>14076</v>
      </c>
      <c r="C6674" s="11" t="s">
        <v>17</v>
      </c>
      <c r="D6674" s="11" t="s">
        <v>18</v>
      </c>
      <c r="E6674" s="12" t="s">
        <v>3668</v>
      </c>
      <c r="F6674" s="12" t="s">
        <v>3669</v>
      </c>
      <c r="G6674" s="12" t="s">
        <v>21</v>
      </c>
      <c r="H6674" s="11" t="s">
        <v>22</v>
      </c>
      <c r="I6674" s="13" t="s">
        <v>14079</v>
      </c>
      <c r="J6674" s="14" t="str">
        <f>HYPERLINK("https://www.boe.es/gazeta/dias/1839/05/19/pdfs/GMD-1839-1646.pdf#page=4","Abrir facsímil")</f>
        <v>Abrir facsímil</v>
      </c>
      <c r="K6674" s="12" t="s">
        <v>24</v>
      </c>
    </row>
    <row r="6675" spans="1:11" ht="40.049999999999997" customHeight="1" x14ac:dyDescent="0.25">
      <c r="A6675" s="11" t="s">
        <v>14076</v>
      </c>
      <c r="B6675" s="11" t="s">
        <v>14076</v>
      </c>
      <c r="C6675" s="11" t="s">
        <v>59</v>
      </c>
      <c r="D6675" s="11" t="s">
        <v>60</v>
      </c>
      <c r="E6675" s="12" t="s">
        <v>222</v>
      </c>
      <c r="F6675" s="12" t="s">
        <v>223</v>
      </c>
      <c r="G6675" s="12" t="s">
        <v>29</v>
      </c>
      <c r="H6675" s="11" t="s">
        <v>22</v>
      </c>
      <c r="I6675" s="13" t="s">
        <v>14080</v>
      </c>
      <c r="J6675" s="14" t="str">
        <f>HYPERLINK("https://www.boe.es/gazeta/dias/1839/06/22/pdfs/GMD-1839-1680.pdf#page=1","Abrir facsímil")</f>
        <v>Abrir facsímil</v>
      </c>
      <c r="K6675" s="12" t="s">
        <v>24</v>
      </c>
    </row>
    <row r="6676" spans="1:11" ht="40.049999999999997" customHeight="1" x14ac:dyDescent="0.25">
      <c r="A6676" s="11" t="s">
        <v>14081</v>
      </c>
      <c r="B6676" s="11" t="s">
        <v>14082</v>
      </c>
      <c r="C6676" s="11" t="s">
        <v>17</v>
      </c>
      <c r="D6676" s="11" t="s">
        <v>18</v>
      </c>
      <c r="E6676" s="12" t="s">
        <v>2443</v>
      </c>
      <c r="F6676" s="12" t="s">
        <v>2444</v>
      </c>
      <c r="G6676" s="12" t="s">
        <v>40</v>
      </c>
      <c r="H6676" s="11" t="s">
        <v>22</v>
      </c>
      <c r="I6676" s="13" t="s">
        <v>14083</v>
      </c>
      <c r="J6676" s="14" t="str">
        <f>HYPERLINK("https://www.boe.es/gazeta/dias/1839/11/02/pdfs/GMD-1839-1819.pdf#page=2","Abrir facsímil")</f>
        <v>Abrir facsímil</v>
      </c>
      <c r="K6676" s="12" t="s">
        <v>24</v>
      </c>
    </row>
    <row r="6677" spans="1:11" ht="40.049999999999997" customHeight="1" x14ac:dyDescent="0.25">
      <c r="A6677" s="11" t="s">
        <v>14084</v>
      </c>
      <c r="B6677" s="11" t="s">
        <v>14085</v>
      </c>
      <c r="C6677" s="11" t="s">
        <v>101</v>
      </c>
      <c r="D6677" s="11" t="s">
        <v>102</v>
      </c>
      <c r="E6677" s="12" t="s">
        <v>998</v>
      </c>
      <c r="F6677" s="12" t="s">
        <v>999</v>
      </c>
      <c r="G6677" s="12" t="s">
        <v>21</v>
      </c>
      <c r="H6677" s="11" t="s">
        <v>63</v>
      </c>
      <c r="I6677" s="13" t="s">
        <v>14086</v>
      </c>
      <c r="J6677" s="14" t="str">
        <f>HYPERLINK("https://www.boe.es/gazeta/dias/1839/05/06/pdfs/GMD-1839-1633.pdf#page=4","Abrir facsímil")</f>
        <v>Abrir facsímil</v>
      </c>
      <c r="K6677" s="12" t="s">
        <v>65</v>
      </c>
    </row>
    <row r="6678" spans="1:11" ht="40.049999999999997" customHeight="1" x14ac:dyDescent="0.25">
      <c r="A6678" s="11" t="s">
        <v>14087</v>
      </c>
      <c r="B6678" s="11" t="s">
        <v>14087</v>
      </c>
      <c r="C6678" s="11" t="s">
        <v>17</v>
      </c>
      <c r="D6678" s="11" t="s">
        <v>18</v>
      </c>
      <c r="E6678" s="12" t="s">
        <v>212</v>
      </c>
      <c r="F6678" s="12" t="s">
        <v>213</v>
      </c>
      <c r="G6678" s="12" t="s">
        <v>46</v>
      </c>
      <c r="H6678" s="11" t="s">
        <v>22</v>
      </c>
      <c r="I6678" s="13" t="s">
        <v>14088</v>
      </c>
      <c r="J6678" s="14" t="str">
        <f>HYPERLINK("https://www.boe.es/gazeta/dias/1839/10/03/pdfs/GMD-1839-1789.pdf#page=3","Abrir facsímil")</f>
        <v>Abrir facsímil</v>
      </c>
      <c r="K6678" s="12" t="s">
        <v>24</v>
      </c>
    </row>
    <row r="6679" spans="1:11" ht="40.049999999999997" customHeight="1" x14ac:dyDescent="0.25">
      <c r="A6679" s="11" t="s">
        <v>14087</v>
      </c>
      <c r="B6679" s="11" t="s">
        <v>14087</v>
      </c>
      <c r="C6679" s="11" t="s">
        <v>137</v>
      </c>
      <c r="D6679" s="11" t="s">
        <v>18</v>
      </c>
      <c r="E6679" s="12" t="s">
        <v>61</v>
      </c>
      <c r="F6679" s="12" t="s">
        <v>62</v>
      </c>
      <c r="G6679" s="12" t="s">
        <v>40</v>
      </c>
      <c r="H6679" s="11" t="s">
        <v>22</v>
      </c>
      <c r="I6679" s="13" t="s">
        <v>14089</v>
      </c>
      <c r="J6679" s="14" t="str">
        <f>HYPERLINK("https://www.boe.es/gazeta/dias/1839/09/10/pdfs/GMD-1839-1763.pdf#page=2","Abrir facsímil")</f>
        <v>Abrir facsímil</v>
      </c>
      <c r="K6679" s="12" t="s">
        <v>24</v>
      </c>
    </row>
    <row r="6680" spans="1:11" ht="40.049999999999997" customHeight="1" x14ac:dyDescent="0.25">
      <c r="A6680" s="11" t="s">
        <v>14087</v>
      </c>
      <c r="B6680" s="11" t="s">
        <v>14087</v>
      </c>
      <c r="C6680" s="11" t="s">
        <v>17</v>
      </c>
      <c r="D6680" s="11" t="s">
        <v>18</v>
      </c>
      <c r="E6680" s="12" t="s">
        <v>723</v>
      </c>
      <c r="F6680" s="12" t="s">
        <v>724</v>
      </c>
      <c r="G6680" s="12" t="s">
        <v>46</v>
      </c>
      <c r="H6680" s="11" t="s">
        <v>22</v>
      </c>
      <c r="I6680" s="13" t="s">
        <v>14090</v>
      </c>
      <c r="J6680" s="14" t="str">
        <f>HYPERLINK("https://www.boe.es/gazeta/dias/1839/09/26/pdfs/GMD-1839-1782.pdf#page=3","Abrir facsímil")</f>
        <v>Abrir facsímil</v>
      </c>
      <c r="K6680" s="12" t="s">
        <v>24</v>
      </c>
    </row>
    <row r="6681" spans="1:11" ht="40.049999999999997" customHeight="1" x14ac:dyDescent="0.25">
      <c r="A6681" s="11" t="s">
        <v>14091</v>
      </c>
      <c r="B6681" s="11" t="s">
        <v>14091</v>
      </c>
      <c r="C6681" s="11" t="s">
        <v>101</v>
      </c>
      <c r="D6681" s="11" t="s">
        <v>43</v>
      </c>
      <c r="E6681" s="12" t="s">
        <v>2222</v>
      </c>
      <c r="F6681" s="12" t="s">
        <v>2223</v>
      </c>
      <c r="G6681" s="12" t="s">
        <v>46</v>
      </c>
      <c r="H6681" s="11" t="s">
        <v>22</v>
      </c>
      <c r="I6681" s="13" t="s">
        <v>14092</v>
      </c>
      <c r="J6681" s="14" t="str">
        <f>HYPERLINK("https://www.boe.es/gazeta/dias/1839/09/19/pdfs/GMD-1839-1773.pdf#page=3","Abrir facsímil")</f>
        <v>Abrir facsímil</v>
      </c>
      <c r="K6681" s="12" t="s">
        <v>24</v>
      </c>
    </row>
    <row r="6682" spans="1:11" ht="40.049999999999997" customHeight="1" x14ac:dyDescent="0.25">
      <c r="A6682" s="11" t="s">
        <v>14091</v>
      </c>
      <c r="B6682" s="11" t="s">
        <v>14091</v>
      </c>
      <c r="C6682" s="11" t="s">
        <v>101</v>
      </c>
      <c r="D6682" s="11" t="s">
        <v>43</v>
      </c>
      <c r="E6682" s="12" t="s">
        <v>571</v>
      </c>
      <c r="F6682" s="12" t="s">
        <v>572</v>
      </c>
      <c r="G6682" s="12" t="s">
        <v>46</v>
      </c>
      <c r="H6682" s="11" t="s">
        <v>22</v>
      </c>
      <c r="I6682" s="13" t="s">
        <v>14093</v>
      </c>
      <c r="J6682" s="14" t="str">
        <f>HYPERLINK("https://www.boe.es/gazeta/dias/1839/09/27/pdfs/GMD-1839-1783.pdf#page=3","Abrir facsímil")</f>
        <v>Abrir facsímil</v>
      </c>
      <c r="K6682" s="12" t="s">
        <v>24</v>
      </c>
    </row>
    <row r="6683" spans="1:11" ht="40.049999999999997" customHeight="1" x14ac:dyDescent="0.25">
      <c r="A6683" s="11" t="s">
        <v>14094</v>
      </c>
      <c r="B6683" s="11" t="s">
        <v>14094</v>
      </c>
      <c r="C6683" s="11" t="s">
        <v>17</v>
      </c>
      <c r="D6683" s="11" t="s">
        <v>18</v>
      </c>
      <c r="E6683" s="12" t="s">
        <v>548</v>
      </c>
      <c r="F6683" s="12" t="s">
        <v>549</v>
      </c>
      <c r="G6683" s="12" t="s">
        <v>40</v>
      </c>
      <c r="H6683" s="11" t="s">
        <v>63</v>
      </c>
      <c r="I6683" s="13" t="s">
        <v>14095</v>
      </c>
      <c r="J6683" s="14" t="str">
        <f>HYPERLINK("https://www.boe.es/gazeta/dias/1839/06/06/pdfs/GMD-1839-1664.pdf#page=2","Abrir facsímil")</f>
        <v>Abrir facsímil</v>
      </c>
      <c r="K6683" s="12" t="s">
        <v>65</v>
      </c>
    </row>
    <row r="6684" spans="1:11" ht="40.049999999999997" customHeight="1" x14ac:dyDescent="0.25">
      <c r="A6684" s="11" t="s">
        <v>14096</v>
      </c>
      <c r="B6684" s="11" t="s">
        <v>14096</v>
      </c>
      <c r="C6684" s="11" t="s">
        <v>17</v>
      </c>
      <c r="D6684" s="11" t="s">
        <v>18</v>
      </c>
      <c r="E6684" s="12" t="s">
        <v>4485</v>
      </c>
      <c r="F6684" s="12" t="s">
        <v>4486</v>
      </c>
      <c r="G6684" s="12" t="s">
        <v>21</v>
      </c>
      <c r="H6684" s="11" t="s">
        <v>22</v>
      </c>
      <c r="I6684" s="13" t="s">
        <v>14097</v>
      </c>
      <c r="J6684" s="14" t="str">
        <f>HYPERLINK("https://www.boe.es/gazeta/dias/1839/07/08/pdfs/GMD-1839-1696.pdf#page=4","Abrir facsímil")</f>
        <v>Abrir facsímil</v>
      </c>
      <c r="K6684" s="12" t="s">
        <v>24</v>
      </c>
    </row>
    <row r="6685" spans="1:11" ht="40.049999999999997" customHeight="1" x14ac:dyDescent="0.25">
      <c r="A6685" s="11" t="s">
        <v>14096</v>
      </c>
      <c r="B6685" s="11" t="s">
        <v>14096</v>
      </c>
      <c r="C6685" s="11" t="s">
        <v>17</v>
      </c>
      <c r="D6685" s="11" t="s">
        <v>18</v>
      </c>
      <c r="E6685" s="12" t="s">
        <v>3766</v>
      </c>
      <c r="F6685" s="12" t="s">
        <v>3767</v>
      </c>
      <c r="G6685" s="12" t="s">
        <v>21</v>
      </c>
      <c r="H6685" s="11" t="s">
        <v>22</v>
      </c>
      <c r="I6685" s="13" t="s">
        <v>14098</v>
      </c>
      <c r="J6685" s="14" t="str">
        <f>HYPERLINK("https://www.boe.es/gazeta/dias/1839/06/10/pdfs/GMD-1839-1668.pdf#page=4","Abrir facsímil")</f>
        <v>Abrir facsímil</v>
      </c>
      <c r="K6685" s="12" t="s">
        <v>24</v>
      </c>
    </row>
    <row r="6686" spans="1:11" ht="40.049999999999997" customHeight="1" x14ac:dyDescent="0.25">
      <c r="A6686" s="11" t="s">
        <v>14099</v>
      </c>
      <c r="B6686" s="11" t="s">
        <v>14099</v>
      </c>
      <c r="C6686" s="11" t="s">
        <v>80</v>
      </c>
      <c r="D6686" s="11" t="s">
        <v>18</v>
      </c>
      <c r="E6686" s="12" t="s">
        <v>372</v>
      </c>
      <c r="F6686" s="12" t="s">
        <v>373</v>
      </c>
      <c r="G6686" s="12" t="s">
        <v>21</v>
      </c>
      <c r="H6686" s="11" t="s">
        <v>22</v>
      </c>
      <c r="I6686" s="13" t="s">
        <v>14100</v>
      </c>
      <c r="J6686" s="14" t="str">
        <f>HYPERLINK("https://www.boe.es/gazeta/dias/1839/11/08/pdfs/GMD-1839-1825.pdf#page=4","Abrir facsímil")</f>
        <v>Abrir facsímil</v>
      </c>
      <c r="K6686" s="12" t="s">
        <v>24</v>
      </c>
    </row>
    <row r="6687" spans="1:11" ht="40.049999999999997" customHeight="1" x14ac:dyDescent="0.25">
      <c r="A6687" s="11" t="s">
        <v>14101</v>
      </c>
      <c r="B6687" s="11" t="s">
        <v>14101</v>
      </c>
      <c r="C6687" s="11" t="s">
        <v>17</v>
      </c>
      <c r="D6687" s="11" t="s">
        <v>18</v>
      </c>
      <c r="E6687" s="12" t="s">
        <v>372</v>
      </c>
      <c r="F6687" s="12" t="s">
        <v>373</v>
      </c>
      <c r="G6687" s="12" t="s">
        <v>21</v>
      </c>
      <c r="H6687" s="11" t="s">
        <v>22</v>
      </c>
      <c r="I6687" s="13" t="s">
        <v>14102</v>
      </c>
      <c r="J6687" s="14" t="str">
        <f>HYPERLINK("https://www.boe.es/gazeta/dias/1839/11/08/pdfs/GMD-1839-1825.pdf#page=4","Abrir facsímil")</f>
        <v>Abrir facsímil</v>
      </c>
      <c r="K6687" s="12" t="s">
        <v>24</v>
      </c>
    </row>
    <row r="6688" spans="1:11" ht="40.049999999999997" customHeight="1" x14ac:dyDescent="0.25">
      <c r="A6688" s="11" t="s">
        <v>14103</v>
      </c>
      <c r="B6688" s="11" t="s">
        <v>14103</v>
      </c>
      <c r="C6688" s="11" t="s">
        <v>80</v>
      </c>
      <c r="D6688" s="11" t="s">
        <v>18</v>
      </c>
      <c r="E6688" s="12" t="s">
        <v>489</v>
      </c>
      <c r="F6688" s="12" t="s">
        <v>490</v>
      </c>
      <c r="G6688" s="12" t="s">
        <v>21</v>
      </c>
      <c r="H6688" s="11" t="s">
        <v>22</v>
      </c>
      <c r="I6688" s="13" t="s">
        <v>14104</v>
      </c>
      <c r="J6688" s="14" t="str">
        <f>HYPERLINK("https://www.boe.es/gazeta/dias/1839/06/29/pdfs/GMD-1839-1687.pdf#page=4","Abrir facsímil")</f>
        <v>Abrir facsímil</v>
      </c>
      <c r="K6688" s="12" t="s">
        <v>24</v>
      </c>
    </row>
    <row r="6689" spans="1:11" ht="40.049999999999997" customHeight="1" x14ac:dyDescent="0.25">
      <c r="A6689" s="11" t="s">
        <v>14105</v>
      </c>
      <c r="B6689" s="11" t="s">
        <v>14105</v>
      </c>
      <c r="C6689" s="11" t="s">
        <v>17</v>
      </c>
      <c r="D6689" s="11" t="s">
        <v>18</v>
      </c>
      <c r="E6689" s="12" t="s">
        <v>303</v>
      </c>
      <c r="F6689" s="12" t="s">
        <v>304</v>
      </c>
      <c r="G6689" s="12" t="s">
        <v>305</v>
      </c>
      <c r="H6689" s="11" t="s">
        <v>22</v>
      </c>
      <c r="I6689" s="13" t="s">
        <v>14106</v>
      </c>
      <c r="J6689" s="14" t="str">
        <f>HYPERLINK("https://www.boe.es/gazeta/dias/1839/10/06/pdfs/GMD-1839-1792.pdf#page=6","Abrir facsímil")</f>
        <v>Abrir facsímil</v>
      </c>
      <c r="K6689" s="12" t="s">
        <v>24</v>
      </c>
    </row>
    <row r="6690" spans="1:11" ht="40.049999999999997" customHeight="1" x14ac:dyDescent="0.25">
      <c r="A6690" s="11" t="s">
        <v>14107</v>
      </c>
      <c r="B6690" s="11" t="s">
        <v>14107</v>
      </c>
      <c r="C6690" s="11" t="s">
        <v>17</v>
      </c>
      <c r="D6690" s="11" t="s">
        <v>18</v>
      </c>
      <c r="E6690" s="12" t="s">
        <v>1183</v>
      </c>
      <c r="F6690" s="12" t="s">
        <v>1184</v>
      </c>
      <c r="G6690" s="12" t="s">
        <v>21</v>
      </c>
      <c r="H6690" s="11" t="s">
        <v>22</v>
      </c>
      <c r="I6690" s="13" t="s">
        <v>14108</v>
      </c>
      <c r="J6690" s="14" t="str">
        <f>HYPERLINK("https://www.boe.es/gazeta/dias/1839/07/26/pdfs/GMD-1839-1715.pdf#page=4","Abrir facsímil")</f>
        <v>Abrir facsímil</v>
      </c>
      <c r="K6690" s="12" t="s">
        <v>24</v>
      </c>
    </row>
    <row r="6691" spans="1:11" ht="40.049999999999997" customHeight="1" x14ac:dyDescent="0.25">
      <c r="A6691" s="11" t="s">
        <v>14109</v>
      </c>
      <c r="B6691" s="11" t="s">
        <v>14109</v>
      </c>
      <c r="C6691" s="11" t="s">
        <v>80</v>
      </c>
      <c r="D6691" s="11" t="s">
        <v>18</v>
      </c>
      <c r="E6691" s="12" t="s">
        <v>409</v>
      </c>
      <c r="F6691" s="12" t="s">
        <v>410</v>
      </c>
      <c r="G6691" s="12" t="s">
        <v>21</v>
      </c>
      <c r="H6691" s="11" t="s">
        <v>22</v>
      </c>
      <c r="I6691" s="13" t="s">
        <v>14110</v>
      </c>
      <c r="J6691" s="14" t="str">
        <f>HYPERLINK("https://www.boe.es/gazeta/dias/1839/07/05/pdfs/GMD-1839-1693.pdf#page=4","Abrir facsímil")</f>
        <v>Abrir facsímil</v>
      </c>
      <c r="K6691" s="12" t="s">
        <v>24</v>
      </c>
    </row>
    <row r="6692" spans="1:11" ht="40.049999999999997" customHeight="1" x14ac:dyDescent="0.25">
      <c r="A6692" s="11" t="s">
        <v>14111</v>
      </c>
      <c r="B6692" s="11" t="s">
        <v>14111</v>
      </c>
      <c r="C6692" s="11" t="s">
        <v>101</v>
      </c>
      <c r="D6692" s="11" t="s">
        <v>43</v>
      </c>
      <c r="E6692" s="12" t="s">
        <v>1679</v>
      </c>
      <c r="F6692" s="12" t="s">
        <v>1680</v>
      </c>
      <c r="G6692" s="12" t="s">
        <v>21</v>
      </c>
      <c r="H6692" s="11" t="s">
        <v>22</v>
      </c>
      <c r="I6692" s="13" t="s">
        <v>14112</v>
      </c>
      <c r="J6692" s="14" t="str">
        <f>HYPERLINK("https://www.boe.es/gazeta/dias/1839/01/26/pdfs/GMD-1839-1533.pdf#page=4","Abrir facsímil")</f>
        <v>Abrir facsímil</v>
      </c>
      <c r="K6692" s="12" t="s">
        <v>24</v>
      </c>
    </row>
    <row r="6693" spans="1:11" ht="40.049999999999997" customHeight="1" x14ac:dyDescent="0.25">
      <c r="A6693" s="11" t="s">
        <v>14113</v>
      </c>
      <c r="B6693" s="11" t="s">
        <v>14114</v>
      </c>
      <c r="C6693" s="11" t="s">
        <v>101</v>
      </c>
      <c r="D6693" s="11" t="s">
        <v>43</v>
      </c>
      <c r="E6693" s="12" t="s">
        <v>19</v>
      </c>
      <c r="F6693" s="12" t="s">
        <v>20</v>
      </c>
      <c r="G6693" s="12" t="s">
        <v>46</v>
      </c>
      <c r="H6693" s="11" t="s">
        <v>22</v>
      </c>
      <c r="I6693" s="13" t="s">
        <v>14115</v>
      </c>
      <c r="J6693" s="14" t="str">
        <f>HYPERLINK("https://www.boe.es/gazeta/dias/1839/01/19/pdfs/GMD-1839-1526.pdf#page=3","Abrir facsímil")</f>
        <v>Abrir facsímil</v>
      </c>
      <c r="K6693" s="12" t="s">
        <v>24</v>
      </c>
    </row>
    <row r="6694" spans="1:11" ht="40.049999999999997" customHeight="1" x14ac:dyDescent="0.25">
      <c r="A6694" s="11" t="s">
        <v>14116</v>
      </c>
      <c r="B6694" s="11" t="s">
        <v>14117</v>
      </c>
      <c r="C6694" s="11" t="s">
        <v>137</v>
      </c>
      <c r="D6694" s="11" t="s">
        <v>18</v>
      </c>
      <c r="E6694" s="12" t="s">
        <v>1703</v>
      </c>
      <c r="F6694" s="12" t="s">
        <v>1704</v>
      </c>
      <c r="G6694" s="12" t="s">
        <v>40</v>
      </c>
      <c r="H6694" s="11" t="s">
        <v>22</v>
      </c>
      <c r="I6694" s="13" t="s">
        <v>14118</v>
      </c>
      <c r="J6694" s="14" t="str">
        <f>HYPERLINK("https://www.boe.es/gazeta/dias/1839/01/21/pdfs/GMD-1839-1528.pdf#page=2","Abrir facsímil")</f>
        <v>Abrir facsímil</v>
      </c>
      <c r="K6694" s="12" t="s">
        <v>24</v>
      </c>
    </row>
    <row r="6695" spans="1:11" ht="40.049999999999997" customHeight="1" x14ac:dyDescent="0.25">
      <c r="A6695" s="11" t="s">
        <v>14119</v>
      </c>
      <c r="B6695" s="11" t="s">
        <v>14120</v>
      </c>
      <c r="C6695" s="11" t="s">
        <v>17</v>
      </c>
      <c r="D6695" s="11" t="s">
        <v>18</v>
      </c>
      <c r="E6695" s="12" t="s">
        <v>160</v>
      </c>
      <c r="F6695" s="12" t="s">
        <v>161</v>
      </c>
      <c r="G6695" s="12" t="s">
        <v>40</v>
      </c>
      <c r="H6695" s="11" t="s">
        <v>22</v>
      </c>
      <c r="I6695" s="13" t="s">
        <v>14121</v>
      </c>
      <c r="J6695" s="14" t="str">
        <f>HYPERLINK("https://www.boe.es/gazeta/dias/1839/01/10/pdfs/GMD-1839-1517.pdf#page=2","Abrir facsímil")</f>
        <v>Abrir facsímil</v>
      </c>
      <c r="K6695" s="12" t="s">
        <v>24</v>
      </c>
    </row>
    <row r="6696" spans="1:11" ht="40.049999999999997" customHeight="1" x14ac:dyDescent="0.25">
      <c r="A6696" s="11" t="s">
        <v>14122</v>
      </c>
      <c r="B6696" s="11" t="s">
        <v>14122</v>
      </c>
      <c r="C6696" s="11" t="s">
        <v>80</v>
      </c>
      <c r="D6696" s="11" t="s">
        <v>18</v>
      </c>
      <c r="E6696" s="12" t="s">
        <v>474</v>
      </c>
      <c r="F6696" s="12" t="s">
        <v>475</v>
      </c>
      <c r="G6696" s="12" t="s">
        <v>46</v>
      </c>
      <c r="H6696" s="11" t="s">
        <v>22</v>
      </c>
      <c r="I6696" s="13" t="s">
        <v>14123</v>
      </c>
      <c r="J6696" s="14" t="str">
        <f>HYPERLINK("https://www.boe.es/gazeta/dias/1839/03/31/pdfs/GMD-1839-1597.pdf#page=3","Abrir facsímil")</f>
        <v>Abrir facsímil</v>
      </c>
      <c r="K6696" s="12" t="s">
        <v>24</v>
      </c>
    </row>
    <row r="6697" spans="1:11" ht="40.049999999999997" customHeight="1" x14ac:dyDescent="0.25">
      <c r="A6697" s="11" t="s">
        <v>14124</v>
      </c>
      <c r="B6697" s="11" t="s">
        <v>14124</v>
      </c>
      <c r="C6697" s="11" t="s">
        <v>137</v>
      </c>
      <c r="D6697" s="11" t="s">
        <v>18</v>
      </c>
      <c r="E6697" s="12" t="s">
        <v>49</v>
      </c>
      <c r="F6697" s="12" t="s">
        <v>50</v>
      </c>
      <c r="G6697" s="12" t="s">
        <v>46</v>
      </c>
      <c r="H6697" s="11" t="s">
        <v>22</v>
      </c>
      <c r="I6697" s="13" t="s">
        <v>14125</v>
      </c>
      <c r="J6697" s="14" t="str">
        <f>HYPERLINK("https://www.boe.es/gazeta/dias/1839/01/05/pdfs/GMD-1839-1512.pdf#page=3","Abrir facsímil")</f>
        <v>Abrir facsímil</v>
      </c>
      <c r="K6697" s="12" t="s">
        <v>24</v>
      </c>
    </row>
    <row r="6698" spans="1:11" ht="40.049999999999997" customHeight="1" x14ac:dyDescent="0.25">
      <c r="A6698" s="11" t="s">
        <v>14126</v>
      </c>
      <c r="B6698" s="11" t="s">
        <v>14127</v>
      </c>
      <c r="C6698" s="11" t="s">
        <v>59</v>
      </c>
      <c r="D6698" s="11" t="s">
        <v>60</v>
      </c>
      <c r="E6698" s="12" t="s">
        <v>2491</v>
      </c>
      <c r="F6698" s="12" t="s">
        <v>2492</v>
      </c>
      <c r="G6698" s="12" t="s">
        <v>29</v>
      </c>
      <c r="H6698" s="11" t="s">
        <v>22</v>
      </c>
      <c r="I6698" s="13" t="s">
        <v>14128</v>
      </c>
      <c r="J6698" s="14" t="str">
        <f>HYPERLINK("https://www.boe.es/gazeta/dias/1839/05/01/pdfs/GMD-1839-1628.pdf#page=1","Abrir facsímil")</f>
        <v>Abrir facsímil</v>
      </c>
      <c r="K6698" s="12" t="s">
        <v>24</v>
      </c>
    </row>
    <row r="6699" spans="1:11" ht="40.049999999999997" customHeight="1" x14ac:dyDescent="0.25">
      <c r="A6699" s="11" t="s">
        <v>14129</v>
      </c>
      <c r="B6699" s="11" t="s">
        <v>14129</v>
      </c>
      <c r="C6699" s="11" t="s">
        <v>59</v>
      </c>
      <c r="D6699" s="11" t="s">
        <v>60</v>
      </c>
      <c r="E6699" s="12" t="s">
        <v>2155</v>
      </c>
      <c r="F6699" s="12" t="s">
        <v>2156</v>
      </c>
      <c r="G6699" s="12" t="s">
        <v>21</v>
      </c>
      <c r="H6699" s="11" t="s">
        <v>63</v>
      </c>
      <c r="I6699" s="13" t="s">
        <v>14130</v>
      </c>
      <c r="J6699" s="14" t="str">
        <f>HYPERLINK("https://www.boe.es/gazeta/dias/1839/01/17/pdfs/GMD-1839-1524.pdf#page=4","Abrir facsímil")</f>
        <v>Abrir facsímil</v>
      </c>
      <c r="K6699" s="12" t="s">
        <v>65</v>
      </c>
    </row>
    <row r="6700" spans="1:11" ht="40.049999999999997" customHeight="1" x14ac:dyDescent="0.25">
      <c r="A6700" s="11" t="s">
        <v>14131</v>
      </c>
      <c r="B6700" s="11" t="s">
        <v>14131</v>
      </c>
      <c r="C6700" s="11" t="s">
        <v>137</v>
      </c>
      <c r="D6700" s="11" t="s">
        <v>18</v>
      </c>
      <c r="E6700" s="12" t="s">
        <v>44</v>
      </c>
      <c r="F6700" s="12" t="s">
        <v>45</v>
      </c>
      <c r="G6700" s="12" t="s">
        <v>40</v>
      </c>
      <c r="H6700" s="11" t="s">
        <v>63</v>
      </c>
      <c r="I6700" s="13" t="s">
        <v>14132</v>
      </c>
      <c r="J6700" s="14" t="str">
        <f>HYPERLINK("https://www.boe.es/gazeta/dias/1839/11/15/pdfs/GMD-1839-1832.pdf#page=2","Abrir facsímil")</f>
        <v>Abrir facsímil</v>
      </c>
      <c r="K6700" s="12" t="s">
        <v>65</v>
      </c>
    </row>
    <row r="6701" spans="1:11" ht="40.049999999999997" customHeight="1" x14ac:dyDescent="0.25">
      <c r="A6701" s="11" t="s">
        <v>14133</v>
      </c>
      <c r="B6701" s="11" t="s">
        <v>14134</v>
      </c>
      <c r="C6701" s="11" t="s">
        <v>80</v>
      </c>
      <c r="D6701" s="11" t="s">
        <v>18</v>
      </c>
      <c r="E6701" s="12" t="s">
        <v>2210</v>
      </c>
      <c r="F6701" s="12" t="s">
        <v>2211</v>
      </c>
      <c r="G6701" s="12" t="s">
        <v>29</v>
      </c>
      <c r="H6701" s="11" t="s">
        <v>63</v>
      </c>
      <c r="I6701" s="13" t="s">
        <v>14135</v>
      </c>
      <c r="J6701" s="14" t="str">
        <f>HYPERLINK("https://www.boe.es/gazeta/dias/1839/09/05/pdfs/GMD-1839-1758.pdf#page=1","Abrir facsímil")</f>
        <v>Abrir facsímil</v>
      </c>
      <c r="K6701" s="12" t="s">
        <v>65</v>
      </c>
    </row>
    <row r="6702" spans="1:11" ht="40.049999999999997" customHeight="1" x14ac:dyDescent="0.25">
      <c r="A6702" s="11" t="s">
        <v>14136</v>
      </c>
      <c r="B6702" s="11" t="s">
        <v>14137</v>
      </c>
      <c r="C6702" s="11" t="s">
        <v>17</v>
      </c>
      <c r="D6702" s="11" t="s">
        <v>18</v>
      </c>
      <c r="E6702" s="12" t="s">
        <v>1794</v>
      </c>
      <c r="F6702" s="12" t="s">
        <v>1795</v>
      </c>
      <c r="G6702" s="12" t="s">
        <v>21</v>
      </c>
      <c r="H6702" s="11" t="s">
        <v>63</v>
      </c>
      <c r="I6702" s="13" t="s">
        <v>14138</v>
      </c>
      <c r="J6702" s="14" t="str">
        <f>HYPERLINK("https://www.boe.es/gazeta/dias/1839/02/22/pdfs/GMD-1839-1560.pdf#page=4","Abrir facsímil")</f>
        <v>Abrir facsímil</v>
      </c>
      <c r="K6702" s="12" t="s">
        <v>65</v>
      </c>
    </row>
    <row r="6703" spans="1:11" ht="40.049999999999997" customHeight="1" x14ac:dyDescent="0.25">
      <c r="A6703" s="11" t="s">
        <v>14139</v>
      </c>
      <c r="B6703" s="11" t="s">
        <v>14140</v>
      </c>
      <c r="C6703" s="11" t="s">
        <v>59</v>
      </c>
      <c r="D6703" s="11" t="s">
        <v>60</v>
      </c>
      <c r="E6703" s="12" t="s">
        <v>2738</v>
      </c>
      <c r="F6703" s="12" t="s">
        <v>2739</v>
      </c>
      <c r="G6703" s="12" t="s">
        <v>40</v>
      </c>
      <c r="H6703" s="11" t="s">
        <v>22</v>
      </c>
      <c r="I6703" s="13" t="s">
        <v>14141</v>
      </c>
      <c r="J6703" s="14" t="str">
        <f>HYPERLINK("https://www.boe.es/gazeta/dias/1839/09/06/pdfs/GMD-1839-1759.pdf#page=2","Abrir facsímil")</f>
        <v>Abrir facsímil</v>
      </c>
      <c r="K6703" s="12" t="s">
        <v>24</v>
      </c>
    </row>
    <row r="6704" spans="1:11" ht="40.049999999999997" customHeight="1" x14ac:dyDescent="0.25">
      <c r="A6704" s="11" t="s">
        <v>14142</v>
      </c>
      <c r="B6704" s="11" t="s">
        <v>14143</v>
      </c>
      <c r="C6704" s="11" t="s">
        <v>17</v>
      </c>
      <c r="D6704" s="11" t="s">
        <v>18</v>
      </c>
      <c r="E6704" s="12" t="s">
        <v>2650</v>
      </c>
      <c r="F6704" s="12" t="s">
        <v>2651</v>
      </c>
      <c r="G6704" s="12" t="s">
        <v>40</v>
      </c>
      <c r="H6704" s="11" t="s">
        <v>63</v>
      </c>
      <c r="I6704" s="13" t="s">
        <v>14144</v>
      </c>
      <c r="J6704" s="14" t="str">
        <f>HYPERLINK("https://www.boe.es/gazeta/dias/1839/09/15/pdfs/GMD-1839-1768.pdf#page=2","Abrir facsímil")</f>
        <v>Abrir facsímil</v>
      </c>
      <c r="K6704" s="12" t="s">
        <v>65</v>
      </c>
    </row>
    <row r="6705" spans="1:11" ht="40.049999999999997" customHeight="1" x14ac:dyDescent="0.25">
      <c r="A6705" s="11" t="s">
        <v>14145</v>
      </c>
      <c r="B6705" s="11" t="s">
        <v>14146</v>
      </c>
      <c r="C6705" s="11" t="s">
        <v>17</v>
      </c>
      <c r="D6705" s="11" t="s">
        <v>18</v>
      </c>
      <c r="E6705" s="12" t="s">
        <v>462</v>
      </c>
      <c r="F6705" s="12" t="s">
        <v>463</v>
      </c>
      <c r="G6705" s="12" t="s">
        <v>40</v>
      </c>
      <c r="H6705" s="11" t="s">
        <v>63</v>
      </c>
      <c r="I6705" s="13" t="s">
        <v>14147</v>
      </c>
      <c r="J6705" s="14" t="str">
        <f>HYPERLINK("https://www.boe.es/gazeta/dias/1839/06/19/pdfs/GMD-1839-1677.pdf#page=2","Abrir facsímil")</f>
        <v>Abrir facsímil</v>
      </c>
      <c r="K6705" s="12" t="s">
        <v>65</v>
      </c>
    </row>
    <row r="6706" spans="1:11" ht="40.049999999999997" customHeight="1" x14ac:dyDescent="0.25">
      <c r="A6706" s="11" t="s">
        <v>14148</v>
      </c>
      <c r="B6706" s="11" t="s">
        <v>14149</v>
      </c>
      <c r="C6706" s="11" t="s">
        <v>17</v>
      </c>
      <c r="D6706" s="11" t="s">
        <v>18</v>
      </c>
      <c r="E6706" s="12" t="s">
        <v>340</v>
      </c>
      <c r="F6706" s="12" t="s">
        <v>341</v>
      </c>
      <c r="G6706" s="12" t="s">
        <v>21</v>
      </c>
      <c r="H6706" s="11" t="s">
        <v>22</v>
      </c>
      <c r="I6706" s="13" t="s">
        <v>14150</v>
      </c>
      <c r="J6706" s="14" t="str">
        <f>HYPERLINK("https://www.boe.es/gazeta/dias/1839/03/19/pdfs/GMD-1839-1585.pdf#page=4","Abrir facsímil")</f>
        <v>Abrir facsímil</v>
      </c>
      <c r="K6706" s="12" t="s">
        <v>24</v>
      </c>
    </row>
    <row r="6707" spans="1:11" ht="40.049999999999997" customHeight="1" x14ac:dyDescent="0.25">
      <c r="A6707" s="11" t="s">
        <v>14151</v>
      </c>
      <c r="B6707" s="11" t="s">
        <v>14152</v>
      </c>
      <c r="C6707" s="11" t="s">
        <v>17</v>
      </c>
      <c r="D6707" s="11" t="s">
        <v>18</v>
      </c>
      <c r="E6707" s="12" t="s">
        <v>1631</v>
      </c>
      <c r="F6707" s="12" t="s">
        <v>1632</v>
      </c>
      <c r="G6707" s="12" t="s">
        <v>21</v>
      </c>
      <c r="H6707" s="11" t="s">
        <v>63</v>
      </c>
      <c r="I6707" s="13" t="s">
        <v>14153</v>
      </c>
      <c r="J6707" s="14" t="str">
        <f>HYPERLINK("https://www.boe.es/gazeta/dias/1839/05/10/pdfs/GMD-1839-1637.pdf#page=4","Abrir facsímil")</f>
        <v>Abrir facsímil</v>
      </c>
      <c r="K6707" s="12" t="s">
        <v>65</v>
      </c>
    </row>
    <row r="6708" spans="1:11" ht="40.049999999999997" customHeight="1" x14ac:dyDescent="0.25">
      <c r="A6708" s="11" t="s">
        <v>14151</v>
      </c>
      <c r="B6708" s="11" t="s">
        <v>14152</v>
      </c>
      <c r="C6708" s="11" t="s">
        <v>80</v>
      </c>
      <c r="D6708" s="11" t="s">
        <v>18</v>
      </c>
      <c r="E6708" s="12" t="s">
        <v>1208</v>
      </c>
      <c r="F6708" s="12" t="s">
        <v>1209</v>
      </c>
      <c r="G6708" s="12" t="s">
        <v>21</v>
      </c>
      <c r="H6708" s="11" t="s">
        <v>63</v>
      </c>
      <c r="I6708" s="13" t="s">
        <v>14154</v>
      </c>
      <c r="J6708" s="14" t="str">
        <f>HYPERLINK("https://www.boe.es/gazeta/dias/1839/04/24/pdfs/GMD-1839-1621.pdf#page=4","Abrir facsímil")</f>
        <v>Abrir facsímil</v>
      </c>
      <c r="K6708" s="12" t="s">
        <v>65</v>
      </c>
    </row>
    <row r="6709" spans="1:11" ht="40.049999999999997" customHeight="1" x14ac:dyDescent="0.25">
      <c r="A6709" s="11" t="s">
        <v>14155</v>
      </c>
      <c r="B6709" s="11" t="s">
        <v>14156</v>
      </c>
      <c r="C6709" s="11" t="s">
        <v>137</v>
      </c>
      <c r="D6709" s="11" t="s">
        <v>18</v>
      </c>
      <c r="E6709" s="12" t="s">
        <v>168</v>
      </c>
      <c r="F6709" s="12" t="s">
        <v>169</v>
      </c>
      <c r="G6709" s="12" t="s">
        <v>21</v>
      </c>
      <c r="H6709" s="11" t="s">
        <v>22</v>
      </c>
      <c r="I6709" s="13" t="s">
        <v>14157</v>
      </c>
      <c r="J6709" s="14" t="str">
        <f>HYPERLINK("https://www.boe.es/gazeta/dias/1839/07/12/pdfs/GMD-1839-1700.pdf#page=4","Abrir facsímil")</f>
        <v>Abrir facsímil</v>
      </c>
      <c r="K6709" s="12" t="s">
        <v>24</v>
      </c>
    </row>
    <row r="6710" spans="1:11" ht="40.049999999999997" customHeight="1" x14ac:dyDescent="0.25">
      <c r="A6710" s="11" t="s">
        <v>14158</v>
      </c>
      <c r="B6710" s="11" t="s">
        <v>14159</v>
      </c>
      <c r="C6710" s="11" t="s">
        <v>101</v>
      </c>
      <c r="D6710" s="11" t="s">
        <v>43</v>
      </c>
      <c r="E6710" s="12" t="s">
        <v>236</v>
      </c>
      <c r="F6710" s="12" t="s">
        <v>237</v>
      </c>
      <c r="G6710" s="12" t="s">
        <v>46</v>
      </c>
      <c r="H6710" s="11" t="s">
        <v>63</v>
      </c>
      <c r="I6710" s="13" t="s">
        <v>14160</v>
      </c>
      <c r="J6710" s="14" t="str">
        <f>HYPERLINK("https://www.boe.es/gazeta/dias/1839/09/18/pdfs/GMD-1839-1771.pdf#page=3","Abrir facsímil")</f>
        <v>Abrir facsímil</v>
      </c>
      <c r="K6710" s="12" t="s">
        <v>65</v>
      </c>
    </row>
    <row r="6711" spans="1:11" ht="40.049999999999997" customHeight="1" x14ac:dyDescent="0.25">
      <c r="A6711" s="11" t="s">
        <v>14161</v>
      </c>
      <c r="B6711" s="11" t="s">
        <v>14162</v>
      </c>
      <c r="C6711" s="11" t="s">
        <v>80</v>
      </c>
      <c r="D6711" s="11" t="s">
        <v>18</v>
      </c>
      <c r="E6711" s="12" t="s">
        <v>903</v>
      </c>
      <c r="F6711" s="12" t="s">
        <v>904</v>
      </c>
      <c r="G6711" s="12" t="s">
        <v>40</v>
      </c>
      <c r="H6711" s="11" t="s">
        <v>63</v>
      </c>
      <c r="I6711" s="13" t="s">
        <v>14163</v>
      </c>
      <c r="J6711" s="14" t="str">
        <f>HYPERLINK("https://www.boe.es/gazeta/dias/1839/03/14/pdfs/GMD-1839-1580.pdf#page=2","Abrir facsímil")</f>
        <v>Abrir facsímil</v>
      </c>
      <c r="K6711" s="12" t="s">
        <v>65</v>
      </c>
    </row>
    <row r="6712" spans="1:11" ht="40.049999999999997" customHeight="1" x14ac:dyDescent="0.25">
      <c r="A6712" s="11" t="s">
        <v>14164</v>
      </c>
      <c r="B6712" s="11" t="s">
        <v>14165</v>
      </c>
      <c r="C6712" s="11" t="s">
        <v>101</v>
      </c>
      <c r="D6712" s="11" t="s">
        <v>43</v>
      </c>
      <c r="E6712" s="12" t="s">
        <v>19</v>
      </c>
      <c r="F6712" s="12" t="s">
        <v>20</v>
      </c>
      <c r="G6712" s="12" t="s">
        <v>46</v>
      </c>
      <c r="H6712" s="11" t="s">
        <v>63</v>
      </c>
      <c r="I6712" s="13" t="s">
        <v>14166</v>
      </c>
      <c r="J6712" s="14" t="str">
        <f>HYPERLINK("https://www.boe.es/gazeta/dias/1839/01/19/pdfs/GMD-1839-1526.pdf#page=3","Abrir facsímil")</f>
        <v>Abrir facsímil</v>
      </c>
      <c r="K6712" s="12" t="s">
        <v>65</v>
      </c>
    </row>
    <row r="6713" spans="1:11" ht="40.049999999999997" customHeight="1" x14ac:dyDescent="0.25">
      <c r="A6713" s="11" t="s">
        <v>14167</v>
      </c>
      <c r="B6713" s="11" t="s">
        <v>14168</v>
      </c>
      <c r="C6713" s="11" t="s">
        <v>17</v>
      </c>
      <c r="D6713" s="11" t="s">
        <v>18</v>
      </c>
      <c r="E6713" s="12" t="s">
        <v>2165</v>
      </c>
      <c r="F6713" s="12" t="s">
        <v>2166</v>
      </c>
      <c r="G6713" s="12" t="s">
        <v>46</v>
      </c>
      <c r="H6713" s="11" t="s">
        <v>63</v>
      </c>
      <c r="I6713" s="13" t="s">
        <v>14169</v>
      </c>
      <c r="J6713" s="14" t="str">
        <f>HYPERLINK("https://www.boe.es/gazeta/dias/1839/01/06/pdfs/GMD-1839-1513.pdf#page=3","Abrir facsímil")</f>
        <v>Abrir facsímil</v>
      </c>
      <c r="K6713" s="12" t="s">
        <v>65</v>
      </c>
    </row>
    <row r="6714" spans="1:11" ht="40.049999999999997" customHeight="1" x14ac:dyDescent="0.25">
      <c r="A6714" s="11" t="s">
        <v>14170</v>
      </c>
      <c r="B6714" s="11" t="s">
        <v>14171</v>
      </c>
      <c r="C6714" s="11" t="s">
        <v>17</v>
      </c>
      <c r="D6714" s="11" t="s">
        <v>18</v>
      </c>
      <c r="E6714" s="12" t="s">
        <v>3224</v>
      </c>
      <c r="F6714" s="12" t="s">
        <v>3225</v>
      </c>
      <c r="G6714" s="12" t="s">
        <v>46</v>
      </c>
      <c r="H6714" s="11" t="s">
        <v>63</v>
      </c>
      <c r="I6714" s="13" t="s">
        <v>14172</v>
      </c>
      <c r="J6714" s="14" t="str">
        <f>HYPERLINK("https://www.boe.es/gazeta/dias/1839/06/03/pdfs/GMD-1839-1661.pdf#page=3","Abrir facsímil")</f>
        <v>Abrir facsímil</v>
      </c>
      <c r="K6714" s="12" t="s">
        <v>65</v>
      </c>
    </row>
    <row r="6715" spans="1:11" ht="40.049999999999997" customHeight="1" x14ac:dyDescent="0.25">
      <c r="A6715" s="11" t="s">
        <v>14173</v>
      </c>
      <c r="B6715" s="11" t="s">
        <v>14174</v>
      </c>
      <c r="C6715" s="11" t="s">
        <v>17</v>
      </c>
      <c r="D6715" s="11" t="s">
        <v>18</v>
      </c>
      <c r="E6715" s="12" t="s">
        <v>269</v>
      </c>
      <c r="F6715" s="12" t="s">
        <v>270</v>
      </c>
      <c r="G6715" s="12" t="s">
        <v>46</v>
      </c>
      <c r="H6715" s="11" t="s">
        <v>22</v>
      </c>
      <c r="I6715" s="13" t="s">
        <v>14175</v>
      </c>
      <c r="J6715" s="14" t="str">
        <f>HYPERLINK("https://www.boe.es/gazeta/dias/1839/02/10/pdfs/GMD-1839-1548.pdf#page=3","Abrir facsímil")</f>
        <v>Abrir facsímil</v>
      </c>
      <c r="K6715" s="12" t="s">
        <v>24</v>
      </c>
    </row>
    <row r="6716" spans="1:11" ht="40.049999999999997" customHeight="1" x14ac:dyDescent="0.25">
      <c r="A6716" s="11" t="s">
        <v>14176</v>
      </c>
      <c r="B6716" s="11" t="s">
        <v>14177</v>
      </c>
      <c r="C6716" s="11" t="s">
        <v>80</v>
      </c>
      <c r="D6716" s="11" t="s">
        <v>18</v>
      </c>
      <c r="E6716" s="12" t="s">
        <v>207</v>
      </c>
      <c r="F6716" s="12" t="s">
        <v>208</v>
      </c>
      <c r="G6716" s="12" t="s">
        <v>40</v>
      </c>
      <c r="H6716" s="11" t="s">
        <v>63</v>
      </c>
      <c r="I6716" s="13" t="s">
        <v>14178</v>
      </c>
      <c r="J6716" s="14" t="str">
        <f>HYPERLINK("https://www.boe.es/gazeta/dias/1839/02/19/pdfs/GMD-1839-1557.pdf#page=2","Abrir facsímil")</f>
        <v>Abrir facsímil</v>
      </c>
      <c r="K6716" s="12" t="s">
        <v>65</v>
      </c>
    </row>
    <row r="6717" spans="1:11" ht="40.049999999999997" customHeight="1" x14ac:dyDescent="0.25">
      <c r="A6717" s="11" t="s">
        <v>14179</v>
      </c>
      <c r="B6717" s="11" t="s">
        <v>14180</v>
      </c>
      <c r="C6717" s="11" t="s">
        <v>80</v>
      </c>
      <c r="D6717" s="11" t="s">
        <v>18</v>
      </c>
      <c r="E6717" s="12" t="s">
        <v>4044</v>
      </c>
      <c r="F6717" s="12" t="s">
        <v>4045</v>
      </c>
      <c r="G6717" s="12" t="s">
        <v>21</v>
      </c>
      <c r="H6717" s="11" t="s">
        <v>63</v>
      </c>
      <c r="I6717" s="13" t="s">
        <v>14181</v>
      </c>
      <c r="J6717" s="14" t="str">
        <f>HYPERLINK("https://www.boe.es/gazeta/dias/1839/01/07/pdfs/GMD-1839-1514.pdf#page=4","Abrir facsímil")</f>
        <v>Abrir facsímil</v>
      </c>
      <c r="K6717" s="12" t="s">
        <v>65</v>
      </c>
    </row>
    <row r="6718" spans="1:11" ht="40.049999999999997" customHeight="1" x14ac:dyDescent="0.25">
      <c r="A6718" s="11" t="s">
        <v>14182</v>
      </c>
      <c r="B6718" s="11" t="s">
        <v>14182</v>
      </c>
      <c r="C6718" s="11" t="s">
        <v>137</v>
      </c>
      <c r="D6718" s="11" t="s">
        <v>18</v>
      </c>
      <c r="E6718" s="12" t="s">
        <v>3391</v>
      </c>
      <c r="F6718" s="12" t="s">
        <v>3392</v>
      </c>
      <c r="G6718" s="12" t="s">
        <v>21</v>
      </c>
      <c r="H6718" s="11" t="s">
        <v>22</v>
      </c>
      <c r="I6718" s="13" t="s">
        <v>14183</v>
      </c>
      <c r="J6718" s="14" t="str">
        <f>HYPERLINK("https://www.boe.es/gazeta/dias/1839/12/31/pdfs/GMD-1839-1878.pdf#page=4","Abrir facsímil")</f>
        <v>Abrir facsímil</v>
      </c>
      <c r="K6718" s="12" t="s">
        <v>24</v>
      </c>
    </row>
    <row r="6719" spans="1:11" ht="40.049999999999997" customHeight="1" x14ac:dyDescent="0.25">
      <c r="A6719" s="11" t="s">
        <v>14184</v>
      </c>
      <c r="B6719" s="11" t="s">
        <v>14184</v>
      </c>
      <c r="C6719" s="11" t="s">
        <v>17</v>
      </c>
      <c r="D6719" s="11" t="s">
        <v>18</v>
      </c>
      <c r="E6719" s="12" t="s">
        <v>1648</v>
      </c>
      <c r="F6719" s="12" t="s">
        <v>1649</v>
      </c>
      <c r="G6719" s="12" t="s">
        <v>21</v>
      </c>
      <c r="H6719" s="11" t="s">
        <v>22</v>
      </c>
      <c r="I6719" s="13" t="s">
        <v>14185</v>
      </c>
      <c r="J6719" s="14" t="str">
        <f>HYPERLINK("https://www.boe.es/gazeta/dias/1839/08/18/pdfs/GMD-1839-1738.pdf#page=4","Abrir facsímil")</f>
        <v>Abrir facsímil</v>
      </c>
      <c r="K6719" s="12" t="s">
        <v>24</v>
      </c>
    </row>
    <row r="6720" spans="1:11" ht="40.049999999999997" customHeight="1" x14ac:dyDescent="0.25">
      <c r="A6720" s="11" t="s">
        <v>14186</v>
      </c>
      <c r="B6720" s="11" t="s">
        <v>14186</v>
      </c>
      <c r="C6720" s="11" t="s">
        <v>17</v>
      </c>
      <c r="D6720" s="11" t="s">
        <v>18</v>
      </c>
      <c r="E6720" s="12" t="s">
        <v>5399</v>
      </c>
      <c r="F6720" s="12" t="s">
        <v>5400</v>
      </c>
      <c r="G6720" s="12" t="s">
        <v>21</v>
      </c>
      <c r="H6720" s="11" t="s">
        <v>22</v>
      </c>
      <c r="I6720" s="13" t="s">
        <v>14187</v>
      </c>
      <c r="J6720" s="14" t="str">
        <f>HYPERLINK("https://www.boe.es/gazeta/dias/1839/10/14/pdfs/GMD-1839-1800.pdf#page=4","Abrir facsímil")</f>
        <v>Abrir facsímil</v>
      </c>
      <c r="K6720" s="12" t="s">
        <v>24</v>
      </c>
    </row>
    <row r="6721" spans="1:11" ht="40.049999999999997" customHeight="1" x14ac:dyDescent="0.25">
      <c r="A6721" s="11" t="s">
        <v>14186</v>
      </c>
      <c r="B6721" s="11" t="s">
        <v>14186</v>
      </c>
      <c r="C6721" s="11" t="s">
        <v>17</v>
      </c>
      <c r="D6721" s="11" t="s">
        <v>18</v>
      </c>
      <c r="E6721" s="12" t="s">
        <v>1648</v>
      </c>
      <c r="F6721" s="12" t="s">
        <v>1649</v>
      </c>
      <c r="G6721" s="12" t="s">
        <v>21</v>
      </c>
      <c r="H6721" s="11" t="s">
        <v>22</v>
      </c>
      <c r="I6721" s="13" t="s">
        <v>14188</v>
      </c>
      <c r="J6721" s="14" t="str">
        <f>HYPERLINK("https://www.boe.es/gazeta/dias/1839/08/18/pdfs/GMD-1839-1738.pdf#page=4","Abrir facsímil")</f>
        <v>Abrir facsímil</v>
      </c>
      <c r="K6721" s="12" t="s">
        <v>24</v>
      </c>
    </row>
    <row r="6722" spans="1:11" ht="40.049999999999997" customHeight="1" x14ac:dyDescent="0.25">
      <c r="A6722" s="11" t="s">
        <v>14189</v>
      </c>
      <c r="B6722" s="11" t="s">
        <v>14189</v>
      </c>
      <c r="C6722" s="11" t="s">
        <v>17</v>
      </c>
      <c r="D6722" s="11" t="s">
        <v>18</v>
      </c>
      <c r="E6722" s="12" t="s">
        <v>375</v>
      </c>
      <c r="F6722" s="12" t="s">
        <v>376</v>
      </c>
      <c r="G6722" s="12" t="s">
        <v>29</v>
      </c>
      <c r="H6722" s="11" t="s">
        <v>22</v>
      </c>
      <c r="I6722" s="13" t="s">
        <v>14190</v>
      </c>
      <c r="J6722" s="14" t="str">
        <f>HYPERLINK("https://www.boe.es/gazeta/dias/1839/11/25/pdfs/GMD-1839-1842.pdf#page=1","Abrir facsímil")</f>
        <v>Abrir facsímil</v>
      </c>
      <c r="K6722" s="12" t="s">
        <v>24</v>
      </c>
    </row>
    <row r="6723" spans="1:11" ht="40.049999999999997" customHeight="1" x14ac:dyDescent="0.25">
      <c r="A6723" s="11" t="s">
        <v>14191</v>
      </c>
      <c r="B6723" s="11" t="s">
        <v>14192</v>
      </c>
      <c r="C6723" s="11" t="s">
        <v>17</v>
      </c>
      <c r="D6723" s="11" t="s">
        <v>18</v>
      </c>
      <c r="E6723" s="12" t="s">
        <v>38</v>
      </c>
      <c r="F6723" s="12" t="s">
        <v>39</v>
      </c>
      <c r="G6723" s="12" t="s">
        <v>29</v>
      </c>
      <c r="H6723" s="11" t="s">
        <v>63</v>
      </c>
      <c r="I6723" s="13" t="s">
        <v>14193</v>
      </c>
      <c r="J6723" s="14" t="str">
        <f>HYPERLINK("https://www.boe.es/gazeta/dias/1839/08/08/pdfs/GMD-1839-1728.pdf#page=1","Abrir facsímil")</f>
        <v>Abrir facsímil</v>
      </c>
      <c r="K6723" s="12" t="s">
        <v>65</v>
      </c>
    </row>
    <row r="6724" spans="1:11" ht="40.049999999999997" customHeight="1" x14ac:dyDescent="0.25">
      <c r="A6724" s="11" t="s">
        <v>14194</v>
      </c>
      <c r="B6724" s="11" t="s">
        <v>14195</v>
      </c>
      <c r="C6724" s="11" t="s">
        <v>59</v>
      </c>
      <c r="D6724" s="11" t="s">
        <v>60</v>
      </c>
      <c r="E6724" s="12" t="s">
        <v>202</v>
      </c>
      <c r="F6724" s="12" t="s">
        <v>203</v>
      </c>
      <c r="G6724" s="12" t="s">
        <v>46</v>
      </c>
      <c r="H6724" s="11" t="s">
        <v>63</v>
      </c>
      <c r="I6724" s="13" t="s">
        <v>14196</v>
      </c>
      <c r="J6724" s="14" t="str">
        <f>HYPERLINK("https://www.boe.es/gazeta/dias/1839/04/05/pdfs/GMD-1839-1602.pdf#page=3","Abrir facsímil")</f>
        <v>Abrir facsímil</v>
      </c>
      <c r="K6724" s="12" t="s">
        <v>65</v>
      </c>
    </row>
    <row r="6725" spans="1:11" ht="40.049999999999997" customHeight="1" x14ac:dyDescent="0.25">
      <c r="A6725" s="11" t="s">
        <v>14197</v>
      </c>
      <c r="B6725" s="11" t="s">
        <v>14197</v>
      </c>
      <c r="C6725" s="11" t="s">
        <v>137</v>
      </c>
      <c r="D6725" s="11" t="s">
        <v>18</v>
      </c>
      <c r="E6725" s="12" t="s">
        <v>160</v>
      </c>
      <c r="F6725" s="12" t="s">
        <v>161</v>
      </c>
      <c r="G6725" s="12" t="s">
        <v>40</v>
      </c>
      <c r="H6725" s="11" t="s">
        <v>63</v>
      </c>
      <c r="I6725" s="13" t="s">
        <v>14198</v>
      </c>
      <c r="J6725" s="14" t="str">
        <f>HYPERLINK("https://www.boe.es/gazeta/dias/1839/01/10/pdfs/GMD-1839-1517.pdf#page=2","Abrir facsímil")</f>
        <v>Abrir facsímil</v>
      </c>
      <c r="K6725" s="12" t="s">
        <v>65</v>
      </c>
    </row>
    <row r="6726" spans="1:11" ht="40.049999999999997" customHeight="1" x14ac:dyDescent="0.25">
      <c r="A6726" s="11" t="s">
        <v>14199</v>
      </c>
      <c r="B6726" s="11" t="s">
        <v>14200</v>
      </c>
      <c r="C6726" s="11" t="s">
        <v>17</v>
      </c>
      <c r="D6726" s="11" t="s">
        <v>18</v>
      </c>
      <c r="E6726" s="12" t="s">
        <v>677</v>
      </c>
      <c r="F6726" s="12" t="s">
        <v>678</v>
      </c>
      <c r="G6726" s="12" t="s">
        <v>21</v>
      </c>
      <c r="H6726" s="11" t="s">
        <v>63</v>
      </c>
      <c r="I6726" s="13" t="s">
        <v>14201</v>
      </c>
      <c r="J6726" s="14" t="str">
        <f>HYPERLINK("https://www.boe.es/gazeta/dias/1839/04/28/pdfs/GMD-1839-1625.pdf#page=4","Abrir facsímil")</f>
        <v>Abrir facsímil</v>
      </c>
      <c r="K6726" s="12" t="s">
        <v>65</v>
      </c>
    </row>
    <row r="6727" spans="1:11" ht="40.049999999999997" customHeight="1" x14ac:dyDescent="0.25">
      <c r="A6727" s="11" t="s">
        <v>14202</v>
      </c>
      <c r="B6727" s="11" t="s">
        <v>14203</v>
      </c>
      <c r="C6727" s="11" t="s">
        <v>59</v>
      </c>
      <c r="D6727" s="11" t="s">
        <v>60</v>
      </c>
      <c r="E6727" s="12" t="s">
        <v>160</v>
      </c>
      <c r="F6727" s="12" t="s">
        <v>161</v>
      </c>
      <c r="G6727" s="12" t="s">
        <v>40</v>
      </c>
      <c r="H6727" s="11" t="s">
        <v>63</v>
      </c>
      <c r="I6727" s="13" t="s">
        <v>14204</v>
      </c>
      <c r="J6727" s="14" t="str">
        <f>HYPERLINK("https://www.boe.es/gazeta/dias/1839/01/10/pdfs/GMD-1839-1517.pdf#page=2","Abrir facsímil")</f>
        <v>Abrir facsímil</v>
      </c>
      <c r="K6727" s="12" t="s">
        <v>65</v>
      </c>
    </row>
    <row r="6728" spans="1:11" ht="40.049999999999997" customHeight="1" x14ac:dyDescent="0.25">
      <c r="A6728" s="11" t="s">
        <v>14205</v>
      </c>
      <c r="B6728" s="11" t="s">
        <v>14206</v>
      </c>
      <c r="C6728" s="11" t="s">
        <v>17</v>
      </c>
      <c r="D6728" s="11" t="s">
        <v>18</v>
      </c>
      <c r="E6728" s="12" t="s">
        <v>1057</v>
      </c>
      <c r="F6728" s="12" t="s">
        <v>1058</v>
      </c>
      <c r="G6728" s="12" t="s">
        <v>305</v>
      </c>
      <c r="H6728" s="11" t="s">
        <v>63</v>
      </c>
      <c r="I6728" s="13" t="s">
        <v>14207</v>
      </c>
      <c r="J6728" s="14" t="str">
        <f>HYPERLINK("https://www.boe.es/gazeta/dias/1839/10/01/pdfs/GMD-1839-1787.pdf#page=6","Abrir facsímil")</f>
        <v>Abrir facsímil</v>
      </c>
      <c r="K6728" s="12" t="s">
        <v>65</v>
      </c>
    </row>
    <row r="6729" spans="1:11" ht="40.049999999999997" customHeight="1" x14ac:dyDescent="0.25">
      <c r="A6729" s="11" t="s">
        <v>14205</v>
      </c>
      <c r="B6729" s="11" t="s">
        <v>14206</v>
      </c>
      <c r="C6729" s="11" t="s">
        <v>17</v>
      </c>
      <c r="D6729" s="11" t="s">
        <v>18</v>
      </c>
      <c r="E6729" s="12" t="s">
        <v>61</v>
      </c>
      <c r="F6729" s="12" t="s">
        <v>62</v>
      </c>
      <c r="G6729" s="12" t="s">
        <v>21</v>
      </c>
      <c r="H6729" s="11" t="s">
        <v>63</v>
      </c>
      <c r="I6729" s="13" t="s">
        <v>14208</v>
      </c>
      <c r="J6729" s="14" t="str">
        <f>HYPERLINK("https://www.boe.es/gazeta/dias/1839/09/10/pdfs/GMD-1839-1763.pdf#page=4","Abrir facsímil")</f>
        <v>Abrir facsímil</v>
      </c>
      <c r="K6729" s="12" t="s">
        <v>65</v>
      </c>
    </row>
    <row r="6730" spans="1:11" ht="40.049999999999997" customHeight="1" x14ac:dyDescent="0.25">
      <c r="A6730" s="11" t="s">
        <v>14209</v>
      </c>
      <c r="B6730" s="11" t="s">
        <v>14210</v>
      </c>
      <c r="C6730" s="11" t="s">
        <v>17</v>
      </c>
      <c r="D6730" s="11" t="s">
        <v>18</v>
      </c>
      <c r="E6730" s="12" t="s">
        <v>907</v>
      </c>
      <c r="F6730" s="12" t="s">
        <v>908</v>
      </c>
      <c r="G6730" s="12" t="s">
        <v>21</v>
      </c>
      <c r="H6730" s="11" t="s">
        <v>63</v>
      </c>
      <c r="I6730" s="13" t="s">
        <v>14211</v>
      </c>
      <c r="J6730" s="14" t="str">
        <f>HYPERLINK("https://www.boe.es/gazeta/dias/1839/07/31/pdfs/GMD-1839-1720.pdf#page=4","Abrir facsímil")</f>
        <v>Abrir facsímil</v>
      </c>
      <c r="K6730" s="12" t="s">
        <v>65</v>
      </c>
    </row>
    <row r="6731" spans="1:11" ht="40.049999999999997" customHeight="1" x14ac:dyDescent="0.25">
      <c r="A6731" s="11" t="s">
        <v>14212</v>
      </c>
      <c r="B6731" s="11" t="s">
        <v>14213</v>
      </c>
      <c r="C6731" s="11" t="s">
        <v>17</v>
      </c>
      <c r="D6731" s="11" t="s">
        <v>18</v>
      </c>
      <c r="E6731" s="12" t="s">
        <v>844</v>
      </c>
      <c r="F6731" s="12" t="s">
        <v>845</v>
      </c>
      <c r="G6731" s="12" t="s">
        <v>21</v>
      </c>
      <c r="H6731" s="11" t="s">
        <v>63</v>
      </c>
      <c r="I6731" s="13" t="s">
        <v>14214</v>
      </c>
      <c r="J6731" s="14" t="str">
        <f>HYPERLINK("https://www.boe.es/gazeta/dias/1839/12/24/pdfs/GMD-1839-1871.pdf#page=4","Abrir facsímil")</f>
        <v>Abrir facsímil</v>
      </c>
      <c r="K6731" s="12" t="s">
        <v>65</v>
      </c>
    </row>
    <row r="6732" spans="1:11" ht="40.049999999999997" customHeight="1" x14ac:dyDescent="0.25">
      <c r="A6732" s="11" t="s">
        <v>14215</v>
      </c>
      <c r="B6732" s="11" t="s">
        <v>14216</v>
      </c>
      <c r="C6732" s="11" t="s">
        <v>17</v>
      </c>
      <c r="D6732" s="11" t="s">
        <v>18</v>
      </c>
      <c r="E6732" s="12" t="s">
        <v>2155</v>
      </c>
      <c r="F6732" s="12" t="s">
        <v>2156</v>
      </c>
      <c r="G6732" s="12" t="s">
        <v>29</v>
      </c>
      <c r="H6732" s="11" t="s">
        <v>63</v>
      </c>
      <c r="I6732" s="13" t="s">
        <v>14217</v>
      </c>
      <c r="J6732" s="14" t="str">
        <f>HYPERLINK("https://www.boe.es/gazeta/dias/1839/01/17/pdfs/GMD-1839-1524.pdf#page=1","Abrir facsímil")</f>
        <v>Abrir facsímil</v>
      </c>
      <c r="K6732" s="12" t="s">
        <v>65</v>
      </c>
    </row>
    <row r="6733" spans="1:11" ht="40.049999999999997" customHeight="1" x14ac:dyDescent="0.25">
      <c r="A6733" s="11" t="s">
        <v>14218</v>
      </c>
      <c r="B6733" s="11" t="s">
        <v>14218</v>
      </c>
      <c r="C6733" s="11" t="s">
        <v>17</v>
      </c>
      <c r="D6733" s="11" t="s">
        <v>43</v>
      </c>
      <c r="E6733" s="12" t="s">
        <v>1813</v>
      </c>
      <c r="F6733" s="12" t="s">
        <v>1814</v>
      </c>
      <c r="G6733" s="12" t="s">
        <v>46</v>
      </c>
      <c r="H6733" s="11" t="s">
        <v>63</v>
      </c>
      <c r="I6733" s="13" t="s">
        <v>14219</v>
      </c>
      <c r="J6733" s="14" t="str">
        <f>HYPERLINK("https://www.boe.es/gazeta/dias/1839/09/02/pdfs/GMD-1839-1754.pdf#page=3","Abrir facsímil")</f>
        <v>Abrir facsímil</v>
      </c>
      <c r="K6733" s="12" t="s">
        <v>65</v>
      </c>
    </row>
    <row r="6734" spans="1:11" ht="40.049999999999997" customHeight="1" x14ac:dyDescent="0.25">
      <c r="A6734" s="11" t="s">
        <v>14218</v>
      </c>
      <c r="B6734" s="11" t="s">
        <v>14218</v>
      </c>
      <c r="C6734" s="11" t="s">
        <v>17</v>
      </c>
      <c r="D6734" s="11" t="s">
        <v>18</v>
      </c>
      <c r="E6734" s="12" t="s">
        <v>4189</v>
      </c>
      <c r="F6734" s="12" t="s">
        <v>4190</v>
      </c>
      <c r="G6734" s="12" t="s">
        <v>46</v>
      </c>
      <c r="H6734" s="11" t="s">
        <v>63</v>
      </c>
      <c r="I6734" s="13" t="s">
        <v>14220</v>
      </c>
      <c r="J6734" s="14" t="str">
        <f>HYPERLINK("https://www.boe.es/gazeta/dias/1839/02/13/pdfs/GMD-1839-1551.pdf#page=3","Abrir facsímil")</f>
        <v>Abrir facsímil</v>
      </c>
      <c r="K6734" s="12" t="s">
        <v>65</v>
      </c>
    </row>
    <row r="6735" spans="1:11" ht="40.049999999999997" customHeight="1" x14ac:dyDescent="0.25">
      <c r="A6735" s="11" t="s">
        <v>14218</v>
      </c>
      <c r="B6735" s="11" t="s">
        <v>14218</v>
      </c>
      <c r="C6735" s="11" t="s">
        <v>17</v>
      </c>
      <c r="D6735" s="11" t="s">
        <v>18</v>
      </c>
      <c r="E6735" s="12" t="s">
        <v>1019</v>
      </c>
      <c r="F6735" s="12" t="s">
        <v>1020</v>
      </c>
      <c r="G6735" s="12" t="s">
        <v>40</v>
      </c>
      <c r="H6735" s="11" t="s">
        <v>63</v>
      </c>
      <c r="I6735" s="13" t="s">
        <v>14221</v>
      </c>
      <c r="J6735" s="14" t="str">
        <f>HYPERLINK("https://www.boe.es/gazeta/dias/1839/07/15/pdfs/GMD-1839-1703.pdf#page=2","Abrir facsímil")</f>
        <v>Abrir facsímil</v>
      </c>
      <c r="K6735" s="12" t="s">
        <v>65</v>
      </c>
    </row>
    <row r="6736" spans="1:11" ht="40.049999999999997" customHeight="1" x14ac:dyDescent="0.25">
      <c r="A6736" s="11" t="s">
        <v>14218</v>
      </c>
      <c r="B6736" s="11" t="s">
        <v>14218</v>
      </c>
      <c r="C6736" s="11" t="s">
        <v>17</v>
      </c>
      <c r="D6736" s="11" t="s">
        <v>18</v>
      </c>
      <c r="E6736" s="12" t="s">
        <v>1019</v>
      </c>
      <c r="F6736" s="12" t="s">
        <v>1020</v>
      </c>
      <c r="G6736" s="12" t="s">
        <v>46</v>
      </c>
      <c r="H6736" s="11" t="s">
        <v>63</v>
      </c>
      <c r="I6736" s="13" t="s">
        <v>14222</v>
      </c>
      <c r="J6736" s="14" t="str">
        <f>HYPERLINK("https://www.boe.es/gazeta/dias/1839/07/15/pdfs/GMD-1839-1703.pdf#page=3","Abrir facsímil")</f>
        <v>Abrir facsímil</v>
      </c>
      <c r="K6736" s="12" t="s">
        <v>65</v>
      </c>
    </row>
    <row r="6737" spans="1:11" ht="40.049999999999997" customHeight="1" x14ac:dyDescent="0.25">
      <c r="A6737" s="11" t="s">
        <v>14218</v>
      </c>
      <c r="B6737" s="11" t="s">
        <v>14218</v>
      </c>
      <c r="C6737" s="11" t="s">
        <v>17</v>
      </c>
      <c r="D6737" s="11" t="s">
        <v>18</v>
      </c>
      <c r="E6737" s="12" t="s">
        <v>496</v>
      </c>
      <c r="F6737" s="12" t="s">
        <v>497</v>
      </c>
      <c r="G6737" s="12" t="s">
        <v>46</v>
      </c>
      <c r="H6737" s="11" t="s">
        <v>63</v>
      </c>
      <c r="I6737" s="13" t="s">
        <v>14223</v>
      </c>
      <c r="J6737" s="14" t="str">
        <f>HYPERLINK("https://www.boe.es/gazeta/dias/1839/11/23/pdfs/GMD-1839-1840.pdf#page=3","Abrir facsímil")</f>
        <v>Abrir facsímil</v>
      </c>
      <c r="K6737" s="12" t="s">
        <v>65</v>
      </c>
    </row>
    <row r="6738" spans="1:11" ht="40.049999999999997" customHeight="1" x14ac:dyDescent="0.25">
      <c r="A6738" s="11" t="s">
        <v>14218</v>
      </c>
      <c r="B6738" s="11" t="s">
        <v>14218</v>
      </c>
      <c r="C6738" s="11" t="s">
        <v>17</v>
      </c>
      <c r="D6738" s="11" t="s">
        <v>18</v>
      </c>
      <c r="E6738" s="12" t="s">
        <v>496</v>
      </c>
      <c r="F6738" s="12" t="s">
        <v>497</v>
      </c>
      <c r="G6738" s="12" t="s">
        <v>21</v>
      </c>
      <c r="H6738" s="11" t="s">
        <v>63</v>
      </c>
      <c r="I6738" s="13" t="s">
        <v>14224</v>
      </c>
      <c r="J6738" s="14" t="str">
        <f>HYPERLINK("https://www.boe.es/gazeta/dias/1839/11/23/pdfs/GMD-1839-1840.pdf#page=4","Abrir facsímil")</f>
        <v>Abrir facsímil</v>
      </c>
      <c r="K6738" s="12" t="s">
        <v>65</v>
      </c>
    </row>
    <row r="6739" spans="1:11" ht="40.049999999999997" customHeight="1" x14ac:dyDescent="0.25">
      <c r="A6739" s="11" t="s">
        <v>14218</v>
      </c>
      <c r="B6739" s="11" t="s">
        <v>14218</v>
      </c>
      <c r="C6739" s="11" t="s">
        <v>59</v>
      </c>
      <c r="D6739" s="11" t="s">
        <v>60</v>
      </c>
      <c r="E6739" s="12" t="s">
        <v>775</v>
      </c>
      <c r="F6739" s="12" t="s">
        <v>776</v>
      </c>
      <c r="G6739" s="12" t="s">
        <v>46</v>
      </c>
      <c r="H6739" s="11" t="s">
        <v>63</v>
      </c>
      <c r="I6739" s="13" t="s">
        <v>14225</v>
      </c>
      <c r="J6739" s="14" t="str">
        <f>HYPERLINK("https://www.boe.es/gazeta/dias/1839/02/25/pdfs/GMD-1839-1563.pdf#page=3","Abrir facsímil")</f>
        <v>Abrir facsímil</v>
      </c>
      <c r="K6739" s="12" t="s">
        <v>65</v>
      </c>
    </row>
    <row r="6740" spans="1:11" ht="40.049999999999997" customHeight="1" x14ac:dyDescent="0.25">
      <c r="A6740" s="11" t="s">
        <v>14226</v>
      </c>
      <c r="B6740" s="11" t="s">
        <v>14226</v>
      </c>
      <c r="C6740" s="11" t="s">
        <v>137</v>
      </c>
      <c r="D6740" s="11" t="s">
        <v>18</v>
      </c>
      <c r="E6740" s="12" t="s">
        <v>775</v>
      </c>
      <c r="F6740" s="12" t="s">
        <v>776</v>
      </c>
      <c r="G6740" s="12" t="s">
        <v>46</v>
      </c>
      <c r="H6740" s="11" t="s">
        <v>63</v>
      </c>
      <c r="I6740" s="13" t="s">
        <v>14227</v>
      </c>
      <c r="J6740" s="14" t="str">
        <f>HYPERLINK("https://www.boe.es/gazeta/dias/1839/02/25/pdfs/GMD-1839-1563.pdf#page=3","Abrir facsímil")</f>
        <v>Abrir facsímil</v>
      </c>
      <c r="K6740" s="12" t="s">
        <v>65</v>
      </c>
    </row>
    <row r="6741" spans="1:11" ht="40.049999999999997" customHeight="1" x14ac:dyDescent="0.25">
      <c r="A6741" s="11" t="s">
        <v>14228</v>
      </c>
      <c r="B6741" s="11" t="s">
        <v>14229</v>
      </c>
      <c r="C6741" s="11" t="s">
        <v>17</v>
      </c>
      <c r="D6741" s="11" t="s">
        <v>18</v>
      </c>
      <c r="E6741" s="12" t="s">
        <v>496</v>
      </c>
      <c r="F6741" s="12" t="s">
        <v>497</v>
      </c>
      <c r="G6741" s="12" t="s">
        <v>46</v>
      </c>
      <c r="H6741" s="11" t="s">
        <v>22</v>
      </c>
      <c r="I6741" s="13" t="s">
        <v>14230</v>
      </c>
      <c r="J6741" s="14" t="str">
        <f>HYPERLINK("https://www.boe.es/gazeta/dias/1839/11/23/pdfs/GMD-1839-1840.pdf#page=3","Abrir facsímil")</f>
        <v>Abrir facsímil</v>
      </c>
      <c r="K6741" s="12" t="s">
        <v>24</v>
      </c>
    </row>
    <row r="6742" spans="1:11" ht="40.049999999999997" customHeight="1" x14ac:dyDescent="0.25">
      <c r="A6742" s="11" t="s">
        <v>14231</v>
      </c>
      <c r="B6742" s="11" t="s">
        <v>14232</v>
      </c>
      <c r="C6742" s="11" t="s">
        <v>17</v>
      </c>
      <c r="D6742" s="11" t="s">
        <v>18</v>
      </c>
      <c r="E6742" s="12" t="s">
        <v>217</v>
      </c>
      <c r="F6742" s="12" t="s">
        <v>218</v>
      </c>
      <c r="G6742" s="12" t="s">
        <v>46</v>
      </c>
      <c r="H6742" s="11" t="s">
        <v>22</v>
      </c>
      <c r="I6742" s="13" t="s">
        <v>14233</v>
      </c>
      <c r="J6742" s="14" t="str">
        <f>HYPERLINK("https://www.boe.es/gazeta/dias/1839/08/06/pdfs/GMD-1839-1726.pdf#page=3","Abrir facsímil")</f>
        <v>Abrir facsímil</v>
      </c>
      <c r="K6742" s="12" t="s">
        <v>24</v>
      </c>
    </row>
    <row r="6743" spans="1:11" ht="40.049999999999997" customHeight="1" x14ac:dyDescent="0.25">
      <c r="A6743" s="11" t="s">
        <v>14234</v>
      </c>
      <c r="B6743" s="11" t="s">
        <v>14235</v>
      </c>
      <c r="C6743" s="11" t="s">
        <v>17</v>
      </c>
      <c r="D6743" s="11" t="s">
        <v>18</v>
      </c>
      <c r="E6743" s="12" t="s">
        <v>809</v>
      </c>
      <c r="F6743" s="12" t="s">
        <v>810</v>
      </c>
      <c r="G6743" s="12" t="s">
        <v>46</v>
      </c>
      <c r="H6743" s="11" t="s">
        <v>22</v>
      </c>
      <c r="I6743" s="13" t="s">
        <v>14236</v>
      </c>
      <c r="J6743" s="14" t="str">
        <f>HYPERLINK("https://www.boe.es/gazeta/dias/1839/02/11/pdfs/GMD-1839-1549.pdf#page=3","Abrir facsímil")</f>
        <v>Abrir facsímil</v>
      </c>
      <c r="K6743" s="12" t="s">
        <v>24</v>
      </c>
    </row>
    <row r="6744" spans="1:11" ht="40.049999999999997" customHeight="1" x14ac:dyDescent="0.25">
      <c r="A6744" s="11" t="s">
        <v>14237</v>
      </c>
      <c r="B6744" s="11" t="s">
        <v>14238</v>
      </c>
      <c r="C6744" s="11" t="s">
        <v>59</v>
      </c>
      <c r="D6744" s="11" t="s">
        <v>60</v>
      </c>
      <c r="E6744" s="12" t="s">
        <v>496</v>
      </c>
      <c r="F6744" s="12" t="s">
        <v>497</v>
      </c>
      <c r="G6744" s="12" t="s">
        <v>46</v>
      </c>
      <c r="H6744" s="11" t="s">
        <v>63</v>
      </c>
      <c r="I6744" s="13" t="s">
        <v>14239</v>
      </c>
      <c r="J6744" s="14" t="str">
        <f>HYPERLINK("https://www.boe.es/gazeta/dias/1839/11/23/pdfs/GMD-1839-1840.pdf#page=3","Abrir facsímil")</f>
        <v>Abrir facsímil</v>
      </c>
      <c r="K6744" s="12" t="s">
        <v>65</v>
      </c>
    </row>
    <row r="6745" spans="1:11" ht="40.049999999999997" customHeight="1" x14ac:dyDescent="0.25">
      <c r="A6745" s="11" t="s">
        <v>14240</v>
      </c>
      <c r="B6745" s="11" t="s">
        <v>14241</v>
      </c>
      <c r="C6745" s="11" t="s">
        <v>101</v>
      </c>
      <c r="D6745" s="11" t="s">
        <v>102</v>
      </c>
      <c r="E6745" s="12" t="s">
        <v>258</v>
      </c>
      <c r="F6745" s="12" t="s">
        <v>259</v>
      </c>
      <c r="G6745" s="12" t="s">
        <v>21</v>
      </c>
      <c r="H6745" s="11" t="s">
        <v>63</v>
      </c>
      <c r="I6745" s="13" t="s">
        <v>14242</v>
      </c>
      <c r="J6745" s="14" t="str">
        <f>HYPERLINK("https://www.boe.es/gazeta/dias/1839/01/02/pdfs/GMD-1839-1509.pdf#page=4","Abrir facsímil")</f>
        <v>Abrir facsímil</v>
      </c>
      <c r="K6745" s="12" t="s">
        <v>65</v>
      </c>
    </row>
    <row r="6746" spans="1:11" ht="40.049999999999997" customHeight="1" x14ac:dyDescent="0.25">
      <c r="A6746" s="11" t="s">
        <v>14240</v>
      </c>
      <c r="B6746" s="11" t="s">
        <v>14241</v>
      </c>
      <c r="C6746" s="11" t="s">
        <v>17</v>
      </c>
      <c r="D6746" s="11" t="s">
        <v>18</v>
      </c>
      <c r="E6746" s="12" t="s">
        <v>111</v>
      </c>
      <c r="F6746" s="12" t="s">
        <v>112</v>
      </c>
      <c r="G6746" s="12" t="s">
        <v>40</v>
      </c>
      <c r="H6746" s="11" t="s">
        <v>63</v>
      </c>
      <c r="I6746" s="13" t="s">
        <v>14243</v>
      </c>
      <c r="J6746" s="14" t="str">
        <f>HYPERLINK("https://www.boe.es/gazeta/dias/1839/07/25/pdfs/GMD-1839-1714.pdf#page=2","Abrir facsímil")</f>
        <v>Abrir facsímil</v>
      </c>
      <c r="K6746" s="12" t="s">
        <v>65</v>
      </c>
    </row>
    <row r="6747" spans="1:11" ht="40.049999999999997" customHeight="1" x14ac:dyDescent="0.25">
      <c r="A6747" s="11" t="s">
        <v>14244</v>
      </c>
      <c r="B6747" s="11" t="s">
        <v>14245</v>
      </c>
      <c r="C6747" s="11" t="s">
        <v>17</v>
      </c>
      <c r="D6747" s="11" t="s">
        <v>18</v>
      </c>
      <c r="E6747" s="12" t="s">
        <v>1867</v>
      </c>
      <c r="F6747" s="12" t="s">
        <v>1868</v>
      </c>
      <c r="G6747" s="12" t="s">
        <v>21</v>
      </c>
      <c r="H6747" s="11" t="s">
        <v>63</v>
      </c>
      <c r="I6747" s="13" t="s">
        <v>14246</v>
      </c>
      <c r="J6747" s="14" t="str">
        <f>HYPERLINK("https://www.boe.es/gazeta/dias/1839/01/30/pdfs/GMD-1839-1537.pdf#page=4","Abrir facsímil")</f>
        <v>Abrir facsímil</v>
      </c>
      <c r="K6747" s="12" t="s">
        <v>65</v>
      </c>
    </row>
    <row r="6748" spans="1:11" ht="40.049999999999997" customHeight="1" x14ac:dyDescent="0.25">
      <c r="A6748" s="11" t="s">
        <v>14247</v>
      </c>
      <c r="B6748" s="11" t="s">
        <v>14248</v>
      </c>
      <c r="C6748" s="11" t="s">
        <v>17</v>
      </c>
      <c r="D6748" s="11" t="s">
        <v>18</v>
      </c>
      <c r="E6748" s="12" t="s">
        <v>809</v>
      </c>
      <c r="F6748" s="12" t="s">
        <v>810</v>
      </c>
      <c r="G6748" s="12" t="s">
        <v>46</v>
      </c>
      <c r="H6748" s="11" t="s">
        <v>63</v>
      </c>
      <c r="I6748" s="13" t="s">
        <v>14249</v>
      </c>
      <c r="J6748" s="14" t="str">
        <f>HYPERLINK("https://www.boe.es/gazeta/dias/1839/02/11/pdfs/GMD-1839-1549.pdf#page=3","Abrir facsímil")</f>
        <v>Abrir facsímil</v>
      </c>
      <c r="K6748" s="12" t="s">
        <v>65</v>
      </c>
    </row>
    <row r="6749" spans="1:11" ht="40.049999999999997" customHeight="1" x14ac:dyDescent="0.25">
      <c r="A6749" s="11" t="s">
        <v>14250</v>
      </c>
      <c r="B6749" s="11" t="s">
        <v>14250</v>
      </c>
      <c r="C6749" s="11" t="s">
        <v>59</v>
      </c>
      <c r="D6749" s="11" t="s">
        <v>60</v>
      </c>
      <c r="E6749" s="12" t="s">
        <v>222</v>
      </c>
      <c r="F6749" s="12" t="s">
        <v>223</v>
      </c>
      <c r="G6749" s="12" t="s">
        <v>46</v>
      </c>
      <c r="H6749" s="11" t="s">
        <v>63</v>
      </c>
      <c r="I6749" s="13" t="s">
        <v>14251</v>
      </c>
      <c r="J6749" s="14" t="str">
        <f>HYPERLINK("https://www.boe.es/gazeta/dias/1839/06/22/pdfs/GMD-1839-1680.pdf#page=3","Abrir facsímil")</f>
        <v>Abrir facsímil</v>
      </c>
      <c r="K6749" s="12" t="s">
        <v>65</v>
      </c>
    </row>
    <row r="6750" spans="1:11" ht="40.049999999999997" customHeight="1" x14ac:dyDescent="0.25">
      <c r="A6750" s="11" t="s">
        <v>14252</v>
      </c>
      <c r="B6750" s="11" t="s">
        <v>14253</v>
      </c>
      <c r="C6750" s="11" t="s">
        <v>80</v>
      </c>
      <c r="D6750" s="11" t="s">
        <v>18</v>
      </c>
      <c r="E6750" s="12" t="s">
        <v>951</v>
      </c>
      <c r="F6750" s="12" t="s">
        <v>952</v>
      </c>
      <c r="G6750" s="12" t="s">
        <v>46</v>
      </c>
      <c r="H6750" s="11" t="s">
        <v>63</v>
      </c>
      <c r="I6750" s="13" t="s">
        <v>14254</v>
      </c>
      <c r="J6750" s="14" t="str">
        <f>HYPERLINK("https://www.boe.es/gazeta/dias/1839/12/30/pdfs/GMD-1839-1877.pdf#page=3","Abrir facsímil")</f>
        <v>Abrir facsímil</v>
      </c>
      <c r="K6750" s="12" t="s">
        <v>65</v>
      </c>
    </row>
    <row r="6751" spans="1:11" ht="40.049999999999997" customHeight="1" x14ac:dyDescent="0.25">
      <c r="A6751" s="11" t="s">
        <v>14255</v>
      </c>
      <c r="B6751" s="11" t="s">
        <v>14256</v>
      </c>
      <c r="C6751" s="11" t="s">
        <v>80</v>
      </c>
      <c r="D6751" s="11" t="s">
        <v>18</v>
      </c>
      <c r="E6751" s="12" t="s">
        <v>1144</v>
      </c>
      <c r="F6751" s="12" t="s">
        <v>1145</v>
      </c>
      <c r="G6751" s="12" t="s">
        <v>21</v>
      </c>
      <c r="H6751" s="11" t="s">
        <v>63</v>
      </c>
      <c r="I6751" s="13" t="s">
        <v>14257</v>
      </c>
      <c r="J6751" s="14" t="str">
        <f>HYPERLINK("https://www.boe.es/gazeta/dias/1839/08/13/pdfs/GMD-1839-1733.pdf#page=4","Abrir facsímil")</f>
        <v>Abrir facsímil</v>
      </c>
      <c r="K6751" s="12" t="s">
        <v>65</v>
      </c>
    </row>
    <row r="6752" spans="1:11" ht="40.049999999999997" customHeight="1" x14ac:dyDescent="0.25">
      <c r="A6752" s="11" t="s">
        <v>14258</v>
      </c>
      <c r="B6752" s="11" t="s">
        <v>14258</v>
      </c>
      <c r="C6752" s="11" t="s">
        <v>17</v>
      </c>
      <c r="D6752" s="11" t="s">
        <v>18</v>
      </c>
      <c r="E6752" s="12" t="s">
        <v>643</v>
      </c>
      <c r="F6752" s="12" t="s">
        <v>644</v>
      </c>
      <c r="G6752" s="12" t="s">
        <v>21</v>
      </c>
      <c r="H6752" s="11" t="s">
        <v>63</v>
      </c>
      <c r="I6752" s="13" t="s">
        <v>14259</v>
      </c>
      <c r="J6752" s="14" t="str">
        <f>HYPERLINK("https://www.boe.es/gazeta/dias/1839/03/20/pdfs/GMD-1839-1586.pdf#page=4","Abrir facsímil")</f>
        <v>Abrir facsímil</v>
      </c>
      <c r="K6752" s="12" t="s">
        <v>65</v>
      </c>
    </row>
    <row r="6753" spans="1:11" ht="40.049999999999997" customHeight="1" x14ac:dyDescent="0.25">
      <c r="A6753" s="11" t="s">
        <v>14260</v>
      </c>
      <c r="B6753" s="11" t="s">
        <v>14261</v>
      </c>
      <c r="C6753" s="11" t="s">
        <v>137</v>
      </c>
      <c r="D6753" s="11" t="s">
        <v>18</v>
      </c>
      <c r="E6753" s="12" t="s">
        <v>2658</v>
      </c>
      <c r="F6753" s="12" t="s">
        <v>2659</v>
      </c>
      <c r="G6753" s="12" t="s">
        <v>46</v>
      </c>
      <c r="H6753" s="11" t="s">
        <v>63</v>
      </c>
      <c r="I6753" s="13" t="s">
        <v>14262</v>
      </c>
      <c r="J6753" s="14" t="str">
        <f>HYPERLINK("https://www.boe.es/gazeta/dias/1839/06/27/pdfs/GMD-1839-1685.pdf#page=3","Abrir facsímil")</f>
        <v>Abrir facsímil</v>
      </c>
      <c r="K6753" s="12" t="s">
        <v>65</v>
      </c>
    </row>
    <row r="6754" spans="1:11" ht="40.049999999999997" customHeight="1" x14ac:dyDescent="0.25">
      <c r="A6754" s="11" t="s">
        <v>14263</v>
      </c>
      <c r="B6754" s="11" t="s">
        <v>14264</v>
      </c>
      <c r="C6754" s="11" t="s">
        <v>17</v>
      </c>
      <c r="D6754" s="11" t="s">
        <v>18</v>
      </c>
      <c r="E6754" s="12" t="s">
        <v>474</v>
      </c>
      <c r="F6754" s="12" t="s">
        <v>475</v>
      </c>
      <c r="G6754" s="12" t="s">
        <v>46</v>
      </c>
      <c r="H6754" s="11" t="s">
        <v>63</v>
      </c>
      <c r="I6754" s="13" t="s">
        <v>14265</v>
      </c>
      <c r="J6754" s="14" t="str">
        <f>HYPERLINK("https://www.boe.es/gazeta/dias/1839/03/31/pdfs/GMD-1839-1597.pdf#page=3","Abrir facsímil")</f>
        <v>Abrir facsímil</v>
      </c>
      <c r="K6754" s="12" t="s">
        <v>65</v>
      </c>
    </row>
    <row r="6755" spans="1:11" ht="40.049999999999997" customHeight="1" x14ac:dyDescent="0.25">
      <c r="A6755" s="11" t="s">
        <v>14266</v>
      </c>
      <c r="B6755" s="11" t="s">
        <v>14266</v>
      </c>
      <c r="C6755" s="11" t="s">
        <v>17</v>
      </c>
      <c r="D6755" s="11" t="s">
        <v>18</v>
      </c>
      <c r="E6755" s="12" t="s">
        <v>327</v>
      </c>
      <c r="F6755" s="12" t="s">
        <v>328</v>
      </c>
      <c r="G6755" s="12" t="s">
        <v>21</v>
      </c>
      <c r="H6755" s="11" t="s">
        <v>22</v>
      </c>
      <c r="I6755" s="13" t="s">
        <v>14267</v>
      </c>
      <c r="J6755" s="14" t="str">
        <f>HYPERLINK("https://www.boe.es/gazeta/dias/1839/08/05/pdfs/GMD-1839-1725.pdf#page=4","Abrir facsímil")</f>
        <v>Abrir facsímil</v>
      </c>
      <c r="K6755" s="12" t="s">
        <v>24</v>
      </c>
    </row>
    <row r="6756" spans="1:11" ht="40.049999999999997" customHeight="1" x14ac:dyDescent="0.25">
      <c r="A6756" s="11" t="s">
        <v>14268</v>
      </c>
      <c r="B6756" s="11" t="s">
        <v>14269</v>
      </c>
      <c r="C6756" s="11" t="s">
        <v>80</v>
      </c>
      <c r="D6756" s="11" t="s">
        <v>18</v>
      </c>
      <c r="E6756" s="12" t="s">
        <v>330</v>
      </c>
      <c r="F6756" s="12" t="s">
        <v>331</v>
      </c>
      <c r="G6756" s="12" t="s">
        <v>21</v>
      </c>
      <c r="H6756" s="11" t="s">
        <v>63</v>
      </c>
      <c r="I6756" s="13" t="s">
        <v>14270</v>
      </c>
      <c r="J6756" s="14" t="str">
        <f>HYPERLINK("https://www.boe.es/gazeta/dias/1839/04/11/pdfs/GMD-1839-1608.pdf#page=4","Abrir facsímil")</f>
        <v>Abrir facsímil</v>
      </c>
      <c r="K6756" s="12" t="s">
        <v>65</v>
      </c>
    </row>
    <row r="6757" spans="1:11" ht="40.049999999999997" customHeight="1" x14ac:dyDescent="0.25">
      <c r="A6757" s="11" t="s">
        <v>14268</v>
      </c>
      <c r="B6757" s="11" t="s">
        <v>14269</v>
      </c>
      <c r="C6757" s="11" t="s">
        <v>17</v>
      </c>
      <c r="D6757" s="11" t="s">
        <v>18</v>
      </c>
      <c r="E6757" s="12" t="s">
        <v>2650</v>
      </c>
      <c r="F6757" s="12" t="s">
        <v>2651</v>
      </c>
      <c r="G6757" s="12" t="s">
        <v>21</v>
      </c>
      <c r="H6757" s="11" t="s">
        <v>63</v>
      </c>
      <c r="I6757" s="13" t="s">
        <v>14271</v>
      </c>
      <c r="J6757" s="14" t="str">
        <f>HYPERLINK("https://www.boe.es/gazeta/dias/1839/09/15/pdfs/GMD-1839-1768.pdf#page=4","Abrir facsímil")</f>
        <v>Abrir facsímil</v>
      </c>
      <c r="K6757" s="12" t="s">
        <v>65</v>
      </c>
    </row>
    <row r="6758" spans="1:11" ht="40.049999999999997" customHeight="1" x14ac:dyDescent="0.25">
      <c r="A6758" s="11" t="s">
        <v>14272</v>
      </c>
      <c r="B6758" s="11" t="s">
        <v>14273</v>
      </c>
      <c r="C6758" s="11" t="s">
        <v>17</v>
      </c>
      <c r="D6758" s="11" t="s">
        <v>18</v>
      </c>
      <c r="E6758" s="12" t="s">
        <v>568</v>
      </c>
      <c r="F6758" s="12" t="s">
        <v>569</v>
      </c>
      <c r="G6758" s="12" t="s">
        <v>46</v>
      </c>
      <c r="H6758" s="11" t="s">
        <v>63</v>
      </c>
      <c r="I6758" s="13" t="s">
        <v>14274</v>
      </c>
      <c r="J6758" s="14" t="str">
        <f>HYPERLINK("https://www.boe.es/gazeta/dias/1839/10/23/pdfs/GMD-1839-1809.pdf#page=3","Abrir facsímil")</f>
        <v>Abrir facsímil</v>
      </c>
      <c r="K6758" s="12" t="s">
        <v>65</v>
      </c>
    </row>
    <row r="6759" spans="1:11" ht="40.049999999999997" customHeight="1" x14ac:dyDescent="0.25">
      <c r="A6759" s="11" t="s">
        <v>14275</v>
      </c>
      <c r="B6759" s="11" t="s">
        <v>14276</v>
      </c>
      <c r="C6759" s="11" t="s">
        <v>80</v>
      </c>
      <c r="D6759" s="11" t="s">
        <v>18</v>
      </c>
      <c r="E6759" s="12" t="s">
        <v>1895</v>
      </c>
      <c r="F6759" s="12" t="s">
        <v>1896</v>
      </c>
      <c r="G6759" s="12" t="s">
        <v>46</v>
      </c>
      <c r="H6759" s="11" t="s">
        <v>63</v>
      </c>
      <c r="I6759" s="13" t="s">
        <v>14277</v>
      </c>
      <c r="J6759" s="14" t="str">
        <f>HYPERLINK("https://www.boe.es/gazeta/dias/1839/12/23/pdfs/GMD-1839-1870.pdf#page=3","Abrir facsímil")</f>
        <v>Abrir facsímil</v>
      </c>
      <c r="K6759" s="12" t="s">
        <v>65</v>
      </c>
    </row>
    <row r="6760" spans="1:11" ht="40.049999999999997" customHeight="1" x14ac:dyDescent="0.25">
      <c r="A6760" s="11" t="s">
        <v>14278</v>
      </c>
      <c r="B6760" s="11" t="s">
        <v>14278</v>
      </c>
      <c r="C6760" s="11" t="s">
        <v>101</v>
      </c>
      <c r="D6760" s="11" t="s">
        <v>102</v>
      </c>
      <c r="E6760" s="12" t="s">
        <v>736</v>
      </c>
      <c r="F6760" s="12" t="s">
        <v>737</v>
      </c>
      <c r="G6760" s="12" t="s">
        <v>21</v>
      </c>
      <c r="H6760" s="11" t="s">
        <v>22</v>
      </c>
      <c r="I6760" s="13" t="s">
        <v>14279</v>
      </c>
      <c r="J6760" s="14" t="str">
        <f>HYPERLINK("https://www.boe.es/gazeta/dias/1839/10/13/pdfs/GMD-1839-1799.pdf#page=4","Abrir facsímil")</f>
        <v>Abrir facsímil</v>
      </c>
      <c r="K6760" s="12" t="s">
        <v>24</v>
      </c>
    </row>
    <row r="6761" spans="1:11" ht="40.049999999999997" customHeight="1" x14ac:dyDescent="0.25">
      <c r="A6761" s="11" t="s">
        <v>14278</v>
      </c>
      <c r="B6761" s="11" t="s">
        <v>14278</v>
      </c>
      <c r="C6761" s="11" t="s">
        <v>137</v>
      </c>
      <c r="D6761" s="11" t="s">
        <v>18</v>
      </c>
      <c r="E6761" s="12" t="s">
        <v>230</v>
      </c>
      <c r="F6761" s="12" t="s">
        <v>231</v>
      </c>
      <c r="G6761" s="12" t="s">
        <v>46</v>
      </c>
      <c r="H6761" s="11" t="s">
        <v>22</v>
      </c>
      <c r="I6761" s="13" t="s">
        <v>14280</v>
      </c>
      <c r="J6761" s="14" t="str">
        <f>HYPERLINK("https://www.boe.es/gazeta/dias/1839/09/16/pdfs/GMD-1839-1769.pdf#page=3","Abrir facsímil")</f>
        <v>Abrir facsímil</v>
      </c>
      <c r="K6761" s="12" t="s">
        <v>24</v>
      </c>
    </row>
    <row r="6762" spans="1:11" ht="40.049999999999997" customHeight="1" x14ac:dyDescent="0.25">
      <c r="A6762" s="11" t="s">
        <v>14281</v>
      </c>
      <c r="B6762" s="11" t="s">
        <v>14281</v>
      </c>
      <c r="C6762" s="11" t="s">
        <v>137</v>
      </c>
      <c r="D6762" s="11" t="s">
        <v>18</v>
      </c>
      <c r="E6762" s="12" t="s">
        <v>254</v>
      </c>
      <c r="F6762" s="12" t="s">
        <v>255</v>
      </c>
      <c r="G6762" s="12" t="s">
        <v>46</v>
      </c>
      <c r="H6762" s="11" t="s">
        <v>22</v>
      </c>
      <c r="I6762" s="13" t="s">
        <v>14282</v>
      </c>
      <c r="J6762" s="14" t="str">
        <f>HYPERLINK("https://www.boe.es/gazeta/dias/1839/09/12/pdfs/GMD-1839-1765.pdf#page=3","Abrir facsímil")</f>
        <v>Abrir facsímil</v>
      </c>
      <c r="K6762" s="12" t="s">
        <v>24</v>
      </c>
    </row>
    <row r="6763" spans="1:11" ht="40.049999999999997" customHeight="1" x14ac:dyDescent="0.25">
      <c r="A6763" s="11" t="s">
        <v>14283</v>
      </c>
      <c r="B6763" s="11" t="s">
        <v>14283</v>
      </c>
      <c r="C6763" s="11" t="s">
        <v>17</v>
      </c>
      <c r="D6763" s="11" t="s">
        <v>18</v>
      </c>
      <c r="E6763" s="12" t="s">
        <v>821</v>
      </c>
      <c r="F6763" s="12" t="s">
        <v>822</v>
      </c>
      <c r="G6763" s="12" t="s">
        <v>40</v>
      </c>
      <c r="H6763" s="11" t="s">
        <v>22</v>
      </c>
      <c r="I6763" s="13" t="s">
        <v>14284</v>
      </c>
      <c r="J6763" s="14" t="str">
        <f>HYPERLINK("https://www.boe.es/gazeta/dias/1839/09/20/pdfs/GMD-1839-1775.pdf#page=2","Abrir facsímil")</f>
        <v>Abrir facsímil</v>
      </c>
      <c r="K6763" s="12" t="s">
        <v>24</v>
      </c>
    </row>
    <row r="6764" spans="1:11" ht="40.049999999999997" customHeight="1" x14ac:dyDescent="0.25">
      <c r="A6764" s="11" t="s">
        <v>14285</v>
      </c>
      <c r="B6764" s="11" t="s">
        <v>14285</v>
      </c>
      <c r="C6764" s="11" t="s">
        <v>17</v>
      </c>
      <c r="D6764" s="11" t="s">
        <v>18</v>
      </c>
      <c r="E6764" s="12" t="s">
        <v>1682</v>
      </c>
      <c r="F6764" s="12" t="s">
        <v>1683</v>
      </c>
      <c r="G6764" s="12" t="s">
        <v>46</v>
      </c>
      <c r="H6764" s="11" t="s">
        <v>22</v>
      </c>
      <c r="I6764" s="13" t="s">
        <v>14286</v>
      </c>
      <c r="J6764" s="14" t="str">
        <f>HYPERLINK("https://www.boe.es/gazeta/dias/1839/12/26/pdfs/GMD-1839-1873.pdf#page=3","Abrir facsímil")</f>
        <v>Abrir facsímil</v>
      </c>
      <c r="K6764" s="12" t="s">
        <v>24</v>
      </c>
    </row>
    <row r="6765" spans="1:11" ht="40.049999999999997" customHeight="1" x14ac:dyDescent="0.25">
      <c r="A6765" s="11" t="s">
        <v>14287</v>
      </c>
      <c r="B6765" s="11" t="s">
        <v>14287</v>
      </c>
      <c r="C6765" s="11" t="s">
        <v>17</v>
      </c>
      <c r="D6765" s="11" t="s">
        <v>18</v>
      </c>
      <c r="E6765" s="12" t="s">
        <v>1301</v>
      </c>
      <c r="F6765" s="12" t="s">
        <v>1302</v>
      </c>
      <c r="G6765" s="12" t="s">
        <v>40</v>
      </c>
      <c r="H6765" s="11" t="s">
        <v>63</v>
      </c>
      <c r="I6765" s="13" t="s">
        <v>14288</v>
      </c>
      <c r="J6765" s="14" t="str">
        <f>HYPERLINK("https://www.boe.es/gazeta/dias/1839/11/16/pdfs/GMD-1839-1833.pdf#page=2","Abrir facsímil")</f>
        <v>Abrir facsímil</v>
      </c>
      <c r="K6765" s="12" t="s">
        <v>65</v>
      </c>
    </row>
    <row r="6766" spans="1:11" ht="40.049999999999997" customHeight="1" x14ac:dyDescent="0.25">
      <c r="A6766" s="11" t="s">
        <v>14289</v>
      </c>
      <c r="B6766" s="11" t="s">
        <v>14289</v>
      </c>
      <c r="C6766" s="11" t="s">
        <v>17</v>
      </c>
      <c r="D6766" s="11" t="s">
        <v>18</v>
      </c>
      <c r="E6766" s="12" t="s">
        <v>2881</v>
      </c>
      <c r="F6766" s="12" t="s">
        <v>2882</v>
      </c>
      <c r="G6766" s="12" t="s">
        <v>40</v>
      </c>
      <c r="H6766" s="11" t="s">
        <v>22</v>
      </c>
      <c r="I6766" s="13" t="s">
        <v>14290</v>
      </c>
      <c r="J6766" s="14" t="str">
        <f>HYPERLINK("https://www.boe.es/gazeta/dias/1839/05/08/pdfs/GMD-1839-1635.pdf#page=2","Abrir facsímil")</f>
        <v>Abrir facsímil</v>
      </c>
      <c r="K6766" s="12" t="s">
        <v>24</v>
      </c>
    </row>
    <row r="6767" spans="1:11" ht="40.049999999999997" customHeight="1" x14ac:dyDescent="0.25">
      <c r="A6767" s="11" t="s">
        <v>14289</v>
      </c>
      <c r="B6767" s="11" t="s">
        <v>14289</v>
      </c>
      <c r="C6767" s="11" t="s">
        <v>17</v>
      </c>
      <c r="D6767" s="11" t="s">
        <v>18</v>
      </c>
      <c r="E6767" s="12" t="s">
        <v>1631</v>
      </c>
      <c r="F6767" s="12" t="s">
        <v>1632</v>
      </c>
      <c r="G6767" s="12" t="s">
        <v>29</v>
      </c>
      <c r="H6767" s="11" t="s">
        <v>22</v>
      </c>
      <c r="I6767" s="13" t="s">
        <v>14291</v>
      </c>
      <c r="J6767" s="14" t="str">
        <f>HYPERLINK("https://www.boe.es/gazeta/dias/1839/05/10/pdfs/GMD-1839-1637.pdf#page=1","Abrir facsímil")</f>
        <v>Abrir facsímil</v>
      </c>
      <c r="K6767" s="12" t="s">
        <v>24</v>
      </c>
    </row>
    <row r="6768" spans="1:11" ht="40.049999999999997" customHeight="1" x14ac:dyDescent="0.25">
      <c r="A6768" s="11" t="s">
        <v>14289</v>
      </c>
      <c r="B6768" s="11" t="s">
        <v>14289</v>
      </c>
      <c r="C6768" s="11" t="s">
        <v>17</v>
      </c>
      <c r="D6768" s="11" t="s">
        <v>18</v>
      </c>
      <c r="E6768" s="12" t="s">
        <v>483</v>
      </c>
      <c r="F6768" s="12" t="s">
        <v>484</v>
      </c>
      <c r="G6768" s="12" t="s">
        <v>29</v>
      </c>
      <c r="H6768" s="11" t="s">
        <v>22</v>
      </c>
      <c r="I6768" s="13" t="s">
        <v>14292</v>
      </c>
      <c r="J6768" s="14" t="str">
        <f>HYPERLINK("https://www.boe.es/gazeta/dias/1839/11/18/pdfs/GMD-1839-1835.pdf#page=1","Abrir facsímil")</f>
        <v>Abrir facsímil</v>
      </c>
      <c r="K6768" s="12" t="s">
        <v>24</v>
      </c>
    </row>
    <row r="6769" spans="1:11" ht="40.049999999999997" customHeight="1" x14ac:dyDescent="0.25">
      <c r="A6769" s="11" t="s">
        <v>14293</v>
      </c>
      <c r="B6769" s="11" t="s">
        <v>14293</v>
      </c>
      <c r="C6769" s="11" t="s">
        <v>80</v>
      </c>
      <c r="D6769" s="11" t="s">
        <v>18</v>
      </c>
      <c r="E6769" s="12" t="s">
        <v>1523</v>
      </c>
      <c r="F6769" s="12" t="s">
        <v>1524</v>
      </c>
      <c r="G6769" s="12" t="s">
        <v>29</v>
      </c>
      <c r="H6769" s="11" t="s">
        <v>22</v>
      </c>
      <c r="I6769" s="13" t="s">
        <v>14294</v>
      </c>
      <c r="J6769" s="14" t="str">
        <f>HYPERLINK("https://www.boe.es/gazeta/dias/1839/08/29/pdfs/GMD-1839-1750.pdf#page=1","Abrir facsímil")</f>
        <v>Abrir facsímil</v>
      </c>
      <c r="K6769" s="12" t="s">
        <v>24</v>
      </c>
    </row>
    <row r="6770" spans="1:11" ht="40.049999999999997" customHeight="1" x14ac:dyDescent="0.25">
      <c r="A6770" s="11" t="s">
        <v>14295</v>
      </c>
      <c r="B6770" s="11" t="s">
        <v>14295</v>
      </c>
      <c r="C6770" s="11" t="s">
        <v>101</v>
      </c>
      <c r="D6770" s="11" t="s">
        <v>43</v>
      </c>
      <c r="E6770" s="12" t="s">
        <v>798</v>
      </c>
      <c r="F6770" s="12" t="s">
        <v>799</v>
      </c>
      <c r="G6770" s="12" t="s">
        <v>29</v>
      </c>
      <c r="H6770" s="11" t="s">
        <v>63</v>
      </c>
      <c r="I6770" s="13" t="s">
        <v>14296</v>
      </c>
      <c r="J6770" s="14" t="str">
        <f>HYPERLINK("https://www.boe.es/gazeta/dias/1839/09/03/pdfs/GMD-1839-1755.pdf#page=1","Abrir facsímil")</f>
        <v>Abrir facsímil</v>
      </c>
      <c r="K6770" s="12" t="s">
        <v>65</v>
      </c>
    </row>
    <row r="6771" spans="1:11" ht="40.049999999999997" customHeight="1" x14ac:dyDescent="0.25">
      <c r="A6771" s="11" t="s">
        <v>14295</v>
      </c>
      <c r="B6771" s="11" t="s">
        <v>14295</v>
      </c>
      <c r="C6771" s="11" t="s">
        <v>17</v>
      </c>
      <c r="D6771" s="11" t="s">
        <v>18</v>
      </c>
      <c r="E6771" s="12" t="s">
        <v>647</v>
      </c>
      <c r="F6771" s="12" t="s">
        <v>648</v>
      </c>
      <c r="G6771" s="12" t="s">
        <v>29</v>
      </c>
      <c r="H6771" s="11" t="s">
        <v>63</v>
      </c>
      <c r="I6771" s="13" t="s">
        <v>14297</v>
      </c>
      <c r="J6771" s="14" t="str">
        <f>HYPERLINK("https://www.boe.es/gazeta/dias/1839/10/08/pdfs/GMD-1839-1794.pdf#page=1","Abrir facsímil")</f>
        <v>Abrir facsímil</v>
      </c>
      <c r="K6771" s="12" t="s">
        <v>65</v>
      </c>
    </row>
    <row r="6772" spans="1:11" ht="40.049999999999997" customHeight="1" x14ac:dyDescent="0.25">
      <c r="A6772" s="11" t="s">
        <v>14295</v>
      </c>
      <c r="B6772" s="11" t="s">
        <v>14295</v>
      </c>
      <c r="C6772" s="11" t="s">
        <v>17</v>
      </c>
      <c r="D6772" s="11" t="s">
        <v>18</v>
      </c>
      <c r="E6772" s="12" t="s">
        <v>233</v>
      </c>
      <c r="F6772" s="12" t="s">
        <v>234</v>
      </c>
      <c r="G6772" s="12" t="s">
        <v>46</v>
      </c>
      <c r="H6772" s="11" t="s">
        <v>63</v>
      </c>
      <c r="I6772" s="13" t="s">
        <v>14298</v>
      </c>
      <c r="J6772" s="14" t="str">
        <f>HYPERLINK("https://www.boe.es/gazeta/dias/1839/09/17/pdfs/GMD-1839-1770.pdf#page=3","Abrir facsímil")</f>
        <v>Abrir facsímil</v>
      </c>
      <c r="K6772" s="12" t="s">
        <v>65</v>
      </c>
    </row>
    <row r="6773" spans="1:11" ht="40.049999999999997" customHeight="1" x14ac:dyDescent="0.25">
      <c r="A6773" s="11" t="s">
        <v>14299</v>
      </c>
      <c r="B6773" s="11" t="s">
        <v>14300</v>
      </c>
      <c r="C6773" s="11" t="s">
        <v>80</v>
      </c>
      <c r="D6773" s="11" t="s">
        <v>18</v>
      </c>
      <c r="E6773" s="12" t="s">
        <v>647</v>
      </c>
      <c r="F6773" s="12" t="s">
        <v>648</v>
      </c>
      <c r="G6773" s="12" t="s">
        <v>14301</v>
      </c>
      <c r="H6773" s="11" t="s">
        <v>63</v>
      </c>
      <c r="I6773" s="13" t="s">
        <v>14302</v>
      </c>
      <c r="J6773" s="14" t="str">
        <f>HYPERLINK("https://www.boe.es/gazeta/dias/1839/10/08/pdfs/GMD-1839-1794.pdf#page=8","Abrir facsímil")</f>
        <v>Abrir facsímil</v>
      </c>
      <c r="K6773" s="12" t="s">
        <v>65</v>
      </c>
    </row>
    <row r="6774" spans="1:11" ht="40.049999999999997" customHeight="1" x14ac:dyDescent="0.25">
      <c r="A6774" s="11" t="s">
        <v>14303</v>
      </c>
      <c r="B6774" s="11" t="s">
        <v>14304</v>
      </c>
      <c r="C6774" s="11" t="s">
        <v>80</v>
      </c>
      <c r="D6774" s="11" t="s">
        <v>18</v>
      </c>
      <c r="E6774" s="12" t="s">
        <v>116</v>
      </c>
      <c r="F6774" s="12" t="s">
        <v>117</v>
      </c>
      <c r="G6774" s="12" t="s">
        <v>46</v>
      </c>
      <c r="H6774" s="11" t="s">
        <v>63</v>
      </c>
      <c r="I6774" s="13" t="s">
        <v>14305</v>
      </c>
      <c r="J6774" s="14" t="str">
        <f>HYPERLINK("https://www.boe.es/gazeta/dias/1839/10/10/pdfs/GMD-1839-1796.pdf#page=3","Abrir facsímil")</f>
        <v>Abrir facsímil</v>
      </c>
      <c r="K6774" s="12" t="s">
        <v>65</v>
      </c>
    </row>
    <row r="6775" spans="1:11" ht="40.049999999999997" customHeight="1" x14ac:dyDescent="0.25">
      <c r="A6775" s="11" t="s">
        <v>14306</v>
      </c>
      <c r="B6775" s="11" t="s">
        <v>14306</v>
      </c>
      <c r="C6775" s="11" t="s">
        <v>59</v>
      </c>
      <c r="D6775" s="11" t="s">
        <v>60</v>
      </c>
      <c r="E6775" s="12" t="s">
        <v>4287</v>
      </c>
      <c r="F6775" s="12" t="s">
        <v>4288</v>
      </c>
      <c r="G6775" s="12" t="s">
        <v>40</v>
      </c>
      <c r="H6775" s="11" t="s">
        <v>63</v>
      </c>
      <c r="I6775" s="13" t="s">
        <v>14307</v>
      </c>
      <c r="J6775" s="14" t="str">
        <f>HYPERLINK("https://www.boe.es/gazeta/dias/1839/06/01/pdfs/GMD-1839-1659.pdf#page=2","Abrir facsímil")</f>
        <v>Abrir facsímil</v>
      </c>
      <c r="K6775" s="12" t="s">
        <v>65</v>
      </c>
    </row>
    <row r="6776" spans="1:11" ht="40.049999999999997" customHeight="1" x14ac:dyDescent="0.25">
      <c r="A6776" s="11" t="s">
        <v>14306</v>
      </c>
      <c r="B6776" s="11" t="s">
        <v>14306</v>
      </c>
      <c r="C6776" s="11" t="s">
        <v>101</v>
      </c>
      <c r="D6776" s="11" t="s">
        <v>43</v>
      </c>
      <c r="E6776" s="12" t="s">
        <v>54</v>
      </c>
      <c r="F6776" s="12" t="s">
        <v>55</v>
      </c>
      <c r="G6776" s="12" t="s">
        <v>21</v>
      </c>
      <c r="H6776" s="11" t="s">
        <v>63</v>
      </c>
      <c r="I6776" s="13" t="s">
        <v>14308</v>
      </c>
      <c r="J6776" s="14" t="str">
        <f>HYPERLINK("https://www.boe.es/gazeta/dias/1839/10/05/pdfs/GMD-1839-1791.pdf#page=4","Abrir facsímil")</f>
        <v>Abrir facsímil</v>
      </c>
      <c r="K6776" s="12" t="s">
        <v>65</v>
      </c>
    </row>
    <row r="6777" spans="1:11" ht="40.049999999999997" customHeight="1" x14ac:dyDescent="0.25">
      <c r="A6777" s="11" t="s">
        <v>14306</v>
      </c>
      <c r="B6777" s="11" t="s">
        <v>14306</v>
      </c>
      <c r="C6777" s="11" t="s">
        <v>17</v>
      </c>
      <c r="D6777" s="11" t="s">
        <v>18</v>
      </c>
      <c r="E6777" s="12" t="s">
        <v>54</v>
      </c>
      <c r="F6777" s="12" t="s">
        <v>55</v>
      </c>
      <c r="G6777" s="12" t="s">
        <v>305</v>
      </c>
      <c r="H6777" s="11" t="s">
        <v>63</v>
      </c>
      <c r="I6777" s="13" t="s">
        <v>14309</v>
      </c>
      <c r="J6777" s="14" t="str">
        <f>HYPERLINK("https://www.boe.es/gazeta/dias/1839/10/05/pdfs/GMD-1839-1791.pdf#page=6","Abrir facsímil")</f>
        <v>Abrir facsímil</v>
      </c>
      <c r="K6777" s="12" t="s">
        <v>65</v>
      </c>
    </row>
    <row r="6778" spans="1:11" ht="40.049999999999997" customHeight="1" x14ac:dyDescent="0.25">
      <c r="A6778" s="11" t="s">
        <v>14306</v>
      </c>
      <c r="B6778" s="11" t="s">
        <v>14306</v>
      </c>
      <c r="C6778" s="11" t="s">
        <v>101</v>
      </c>
      <c r="D6778" s="11" t="s">
        <v>43</v>
      </c>
      <c r="E6778" s="12" t="s">
        <v>770</v>
      </c>
      <c r="F6778" s="12" t="s">
        <v>771</v>
      </c>
      <c r="G6778" s="12" t="s">
        <v>29</v>
      </c>
      <c r="H6778" s="11" t="s">
        <v>63</v>
      </c>
      <c r="I6778" s="13" t="s">
        <v>14310</v>
      </c>
      <c r="J6778" s="14" t="str">
        <f>HYPERLINK("https://www.boe.es/gazeta/dias/1839/12/05/pdfs/GMD-1839-1852.pdf#page=1","Abrir facsímil")</f>
        <v>Abrir facsímil</v>
      </c>
      <c r="K6778" s="12" t="s">
        <v>65</v>
      </c>
    </row>
    <row r="6779" spans="1:11" ht="40.049999999999997" customHeight="1" x14ac:dyDescent="0.25">
      <c r="A6779" s="11" t="s">
        <v>14306</v>
      </c>
      <c r="B6779" s="11" t="s">
        <v>14306</v>
      </c>
      <c r="C6779" s="11" t="s">
        <v>17</v>
      </c>
      <c r="D6779" s="11" t="s">
        <v>18</v>
      </c>
      <c r="E6779" s="12" t="s">
        <v>1509</v>
      </c>
      <c r="F6779" s="12" t="s">
        <v>1510</v>
      </c>
      <c r="G6779" s="12" t="s">
        <v>40</v>
      </c>
      <c r="H6779" s="11" t="s">
        <v>63</v>
      </c>
      <c r="I6779" s="13" t="s">
        <v>14311</v>
      </c>
      <c r="J6779" s="14" t="str">
        <f>HYPERLINK("https://www.boe.es/gazeta/dias/1839/10/07/pdfs/GMD-1839-1793.pdf#page=2","Abrir facsímil")</f>
        <v>Abrir facsímil</v>
      </c>
      <c r="K6779" s="12" t="s">
        <v>65</v>
      </c>
    </row>
    <row r="6780" spans="1:11" ht="40.049999999999997" customHeight="1" x14ac:dyDescent="0.25">
      <c r="A6780" s="11" t="s">
        <v>14306</v>
      </c>
      <c r="B6780" s="11" t="s">
        <v>14306</v>
      </c>
      <c r="C6780" s="11" t="s">
        <v>17</v>
      </c>
      <c r="D6780" s="11" t="s">
        <v>18</v>
      </c>
      <c r="E6780" s="12" t="s">
        <v>647</v>
      </c>
      <c r="F6780" s="12" t="s">
        <v>648</v>
      </c>
      <c r="G6780" s="12" t="s">
        <v>29</v>
      </c>
      <c r="H6780" s="11" t="s">
        <v>63</v>
      </c>
      <c r="I6780" s="13" t="s">
        <v>14312</v>
      </c>
      <c r="J6780" s="14" t="str">
        <f>HYPERLINK("https://www.boe.es/gazeta/dias/1839/10/08/pdfs/GMD-1839-1794.pdf#page=1","Abrir facsímil")</f>
        <v>Abrir facsímil</v>
      </c>
      <c r="K6780" s="12" t="s">
        <v>65</v>
      </c>
    </row>
    <row r="6781" spans="1:11" ht="40.049999999999997" customHeight="1" x14ac:dyDescent="0.25">
      <c r="A6781" s="11" t="s">
        <v>14306</v>
      </c>
      <c r="B6781" s="11" t="s">
        <v>14306</v>
      </c>
      <c r="C6781" s="11" t="s">
        <v>80</v>
      </c>
      <c r="D6781" s="11" t="s">
        <v>18</v>
      </c>
      <c r="E6781" s="12" t="s">
        <v>68</v>
      </c>
      <c r="F6781" s="12" t="s">
        <v>69</v>
      </c>
      <c r="G6781" s="12" t="s">
        <v>21</v>
      </c>
      <c r="H6781" s="11" t="s">
        <v>63</v>
      </c>
      <c r="I6781" s="13" t="s">
        <v>14313</v>
      </c>
      <c r="J6781" s="14" t="str">
        <f>HYPERLINK("https://www.boe.es/gazeta/dias/1839/02/09/pdfs/GMD-1839-1547.pdf#page=4","Abrir facsímil")</f>
        <v>Abrir facsímil</v>
      </c>
      <c r="K6781" s="12" t="s">
        <v>65</v>
      </c>
    </row>
    <row r="6782" spans="1:11" ht="40.049999999999997" customHeight="1" x14ac:dyDescent="0.25">
      <c r="A6782" s="11" t="s">
        <v>14306</v>
      </c>
      <c r="B6782" s="11" t="s">
        <v>14306</v>
      </c>
      <c r="C6782" s="11" t="s">
        <v>17</v>
      </c>
      <c r="D6782" s="11" t="s">
        <v>18</v>
      </c>
      <c r="E6782" s="12" t="s">
        <v>141</v>
      </c>
      <c r="F6782" s="12" t="s">
        <v>142</v>
      </c>
      <c r="G6782" s="12" t="s">
        <v>29</v>
      </c>
      <c r="H6782" s="11" t="s">
        <v>63</v>
      </c>
      <c r="I6782" s="13" t="s">
        <v>14314</v>
      </c>
      <c r="J6782" s="14" t="str">
        <f>HYPERLINK("https://www.boe.es/gazeta/dias/1839/11/10/pdfs/GMD-1839-1827.pdf#page=1","Abrir facsímil")</f>
        <v>Abrir facsímil</v>
      </c>
      <c r="K6782" s="12" t="s">
        <v>65</v>
      </c>
    </row>
    <row r="6783" spans="1:11" ht="40.049999999999997" customHeight="1" x14ac:dyDescent="0.25">
      <c r="A6783" s="11" t="s">
        <v>14306</v>
      </c>
      <c r="B6783" s="11" t="s">
        <v>14306</v>
      </c>
      <c r="C6783" s="11" t="s">
        <v>101</v>
      </c>
      <c r="D6783" s="11" t="s">
        <v>43</v>
      </c>
      <c r="E6783" s="12" t="s">
        <v>561</v>
      </c>
      <c r="F6783" s="12" t="s">
        <v>562</v>
      </c>
      <c r="G6783" s="12" t="s">
        <v>21</v>
      </c>
      <c r="H6783" s="11" t="s">
        <v>63</v>
      </c>
      <c r="I6783" s="13" t="s">
        <v>14315</v>
      </c>
      <c r="J6783" s="14" t="str">
        <f>HYPERLINK("https://www.boe.es/gazeta/dias/1839/09/11/pdfs/GMD-1839-1764.pdf#page=4","Abrir facsímil")</f>
        <v>Abrir facsímil</v>
      </c>
      <c r="K6783" s="12" t="s">
        <v>65</v>
      </c>
    </row>
    <row r="6784" spans="1:11" ht="40.049999999999997" customHeight="1" x14ac:dyDescent="0.25">
      <c r="A6784" s="11" t="s">
        <v>14306</v>
      </c>
      <c r="B6784" s="11" t="s">
        <v>14306</v>
      </c>
      <c r="C6784" s="11" t="s">
        <v>101</v>
      </c>
      <c r="D6784" s="11" t="s">
        <v>43</v>
      </c>
      <c r="E6784" s="12" t="s">
        <v>254</v>
      </c>
      <c r="F6784" s="12" t="s">
        <v>255</v>
      </c>
      <c r="G6784" s="12" t="s">
        <v>29</v>
      </c>
      <c r="H6784" s="11" t="s">
        <v>63</v>
      </c>
      <c r="I6784" s="13" t="s">
        <v>14316</v>
      </c>
      <c r="J6784" s="14" t="str">
        <f>HYPERLINK("https://www.boe.es/gazeta/dias/1839/09/12/pdfs/GMD-1839-1765.pdf#page=1","Abrir facsímil")</f>
        <v>Abrir facsímil</v>
      </c>
      <c r="K6784" s="12" t="s">
        <v>65</v>
      </c>
    </row>
    <row r="6785" spans="1:11" ht="40.049999999999997" customHeight="1" x14ac:dyDescent="0.25">
      <c r="A6785" s="11" t="s">
        <v>14306</v>
      </c>
      <c r="B6785" s="11" t="s">
        <v>14306</v>
      </c>
      <c r="C6785" s="11" t="s">
        <v>59</v>
      </c>
      <c r="D6785" s="11" t="s">
        <v>60</v>
      </c>
      <c r="E6785" s="12" t="s">
        <v>2374</v>
      </c>
      <c r="F6785" s="12" t="s">
        <v>2375</v>
      </c>
      <c r="G6785" s="12" t="s">
        <v>40</v>
      </c>
      <c r="H6785" s="11" t="s">
        <v>63</v>
      </c>
      <c r="I6785" s="13" t="s">
        <v>14317</v>
      </c>
      <c r="J6785" s="14" t="str">
        <f>HYPERLINK("https://www.boe.es/gazeta/dias/1839/06/14/pdfs/GMD-1839-1672.pdf#page=2","Abrir facsímil")</f>
        <v>Abrir facsímil</v>
      </c>
      <c r="K6785" s="12" t="s">
        <v>65</v>
      </c>
    </row>
    <row r="6786" spans="1:11" ht="40.049999999999997" customHeight="1" x14ac:dyDescent="0.25">
      <c r="A6786" s="11" t="s">
        <v>14306</v>
      </c>
      <c r="B6786" s="11" t="s">
        <v>14306</v>
      </c>
      <c r="C6786" s="11" t="s">
        <v>80</v>
      </c>
      <c r="D6786" s="11" t="s">
        <v>173</v>
      </c>
      <c r="E6786" s="12" t="s">
        <v>564</v>
      </c>
      <c r="F6786" s="12" t="s">
        <v>565</v>
      </c>
      <c r="G6786" s="12" t="s">
        <v>40</v>
      </c>
      <c r="H6786" s="11" t="s">
        <v>63</v>
      </c>
      <c r="I6786" s="13" t="s">
        <v>14318</v>
      </c>
      <c r="J6786" s="14" t="str">
        <f>HYPERLINK("https://www.boe.es/gazeta/dias/1839/10/17/pdfs/GMD-1839-1803.pdf#page=2","Abrir facsímil")</f>
        <v>Abrir facsímil</v>
      </c>
      <c r="K6786" s="12" t="s">
        <v>65</v>
      </c>
    </row>
    <row r="6787" spans="1:11" ht="40.049999999999997" customHeight="1" x14ac:dyDescent="0.25">
      <c r="A6787" s="11" t="s">
        <v>14306</v>
      </c>
      <c r="B6787" s="11" t="s">
        <v>14306</v>
      </c>
      <c r="C6787" s="11" t="s">
        <v>17</v>
      </c>
      <c r="D6787" s="11" t="s">
        <v>18</v>
      </c>
      <c r="E6787" s="12" t="s">
        <v>19</v>
      </c>
      <c r="F6787" s="12" t="s">
        <v>20</v>
      </c>
      <c r="G6787" s="12" t="s">
        <v>21</v>
      </c>
      <c r="H6787" s="11" t="s">
        <v>63</v>
      </c>
      <c r="I6787" s="13" t="s">
        <v>14319</v>
      </c>
      <c r="J6787" s="14" t="str">
        <f>HYPERLINK("https://www.boe.es/gazeta/dias/1839/01/19/pdfs/GMD-1839-1526.pdf#page=4","Abrir facsímil")</f>
        <v>Abrir facsímil</v>
      </c>
      <c r="K6787" s="12" t="s">
        <v>65</v>
      </c>
    </row>
    <row r="6788" spans="1:11" ht="40.049999999999997" customHeight="1" x14ac:dyDescent="0.25">
      <c r="A6788" s="11" t="s">
        <v>14306</v>
      </c>
      <c r="B6788" s="11" t="s">
        <v>14306</v>
      </c>
      <c r="C6788" s="11" t="s">
        <v>17</v>
      </c>
      <c r="D6788" s="11" t="s">
        <v>18</v>
      </c>
      <c r="E6788" s="12" t="s">
        <v>2392</v>
      </c>
      <c r="F6788" s="12" t="s">
        <v>2393</v>
      </c>
      <c r="G6788" s="12" t="s">
        <v>21</v>
      </c>
      <c r="H6788" s="11" t="s">
        <v>63</v>
      </c>
      <c r="I6788" s="13" t="s">
        <v>14320</v>
      </c>
      <c r="J6788" s="14" t="str">
        <f>HYPERLINK("https://www.boe.es/gazeta/dias/1839/05/21/pdfs/GMD-1839-1648.pdf#page=4","Abrir facsímil")</f>
        <v>Abrir facsímil</v>
      </c>
      <c r="K6788" s="12" t="s">
        <v>65</v>
      </c>
    </row>
    <row r="6789" spans="1:11" ht="40.049999999999997" customHeight="1" x14ac:dyDescent="0.25">
      <c r="A6789" s="11" t="s">
        <v>14306</v>
      </c>
      <c r="B6789" s="11" t="s">
        <v>14306</v>
      </c>
      <c r="C6789" s="11" t="s">
        <v>101</v>
      </c>
      <c r="D6789" s="11" t="s">
        <v>43</v>
      </c>
      <c r="E6789" s="12" t="s">
        <v>2949</v>
      </c>
      <c r="F6789" s="12" t="s">
        <v>2950</v>
      </c>
      <c r="G6789" s="12" t="s">
        <v>46</v>
      </c>
      <c r="H6789" s="11" t="s">
        <v>63</v>
      </c>
      <c r="I6789" s="13" t="s">
        <v>14321</v>
      </c>
      <c r="J6789" s="14" t="str">
        <f>HYPERLINK("https://www.boe.es/gazeta/dias/1839/10/21/pdfs/GMD-1839-1807.pdf#page=3","Abrir facsímil")</f>
        <v>Abrir facsímil</v>
      </c>
      <c r="K6789" s="12" t="s">
        <v>65</v>
      </c>
    </row>
    <row r="6790" spans="1:11" ht="40.049999999999997" customHeight="1" x14ac:dyDescent="0.25">
      <c r="A6790" s="11" t="s">
        <v>14306</v>
      </c>
      <c r="B6790" s="11" t="s">
        <v>14306</v>
      </c>
      <c r="C6790" s="11" t="s">
        <v>59</v>
      </c>
      <c r="D6790" s="11" t="s">
        <v>60</v>
      </c>
      <c r="E6790" s="12" t="s">
        <v>2949</v>
      </c>
      <c r="F6790" s="12" t="s">
        <v>2950</v>
      </c>
      <c r="G6790" s="12" t="s">
        <v>21</v>
      </c>
      <c r="H6790" s="11" t="s">
        <v>63</v>
      </c>
      <c r="I6790" s="13" t="s">
        <v>14322</v>
      </c>
      <c r="J6790" s="14" t="str">
        <f>HYPERLINK("https://www.boe.es/gazeta/dias/1839/10/21/pdfs/GMD-1839-1807.pdf#page=4","Abrir facsímil")</f>
        <v>Abrir facsímil</v>
      </c>
      <c r="K6790" s="12" t="s">
        <v>65</v>
      </c>
    </row>
    <row r="6791" spans="1:11" ht="40.049999999999997" customHeight="1" x14ac:dyDescent="0.25">
      <c r="A6791" s="11" t="s">
        <v>14306</v>
      </c>
      <c r="B6791" s="11" t="s">
        <v>14306</v>
      </c>
      <c r="C6791" s="11" t="s">
        <v>59</v>
      </c>
      <c r="D6791" s="11" t="s">
        <v>60</v>
      </c>
      <c r="E6791" s="12" t="s">
        <v>243</v>
      </c>
      <c r="F6791" s="12" t="s">
        <v>244</v>
      </c>
      <c r="G6791" s="12" t="s">
        <v>46</v>
      </c>
      <c r="H6791" s="11" t="s">
        <v>63</v>
      </c>
      <c r="I6791" s="13" t="s">
        <v>14323</v>
      </c>
      <c r="J6791" s="14" t="str">
        <f>HYPERLINK("https://www.boe.es/gazeta/dias/1839/09/23/pdfs/GMD-1839-1779.pdf#page=3","Abrir facsímil")</f>
        <v>Abrir facsímil</v>
      </c>
      <c r="K6791" s="12" t="s">
        <v>65</v>
      </c>
    </row>
    <row r="6792" spans="1:11" ht="40.049999999999997" customHeight="1" x14ac:dyDescent="0.25">
      <c r="A6792" s="11" t="s">
        <v>14306</v>
      </c>
      <c r="B6792" s="11" t="s">
        <v>14306</v>
      </c>
      <c r="C6792" s="11" t="s">
        <v>101</v>
      </c>
      <c r="D6792" s="11" t="s">
        <v>43</v>
      </c>
      <c r="E6792" s="12" t="s">
        <v>416</v>
      </c>
      <c r="F6792" s="12" t="s">
        <v>417</v>
      </c>
      <c r="G6792" s="12" t="s">
        <v>46</v>
      </c>
      <c r="H6792" s="11" t="s">
        <v>63</v>
      </c>
      <c r="I6792" s="13" t="s">
        <v>14324</v>
      </c>
      <c r="J6792" s="14" t="str">
        <f>HYPERLINK("https://www.boe.es/gazeta/dias/1839/10/24/pdfs/GMD-1839-1810.pdf#page=3","Abrir facsímil")</f>
        <v>Abrir facsímil</v>
      </c>
      <c r="K6792" s="12" t="s">
        <v>65</v>
      </c>
    </row>
    <row r="6793" spans="1:11" ht="40.049999999999997" customHeight="1" x14ac:dyDescent="0.25">
      <c r="A6793" s="11" t="s">
        <v>14306</v>
      </c>
      <c r="B6793" s="11" t="s">
        <v>14306</v>
      </c>
      <c r="C6793" s="11" t="s">
        <v>17</v>
      </c>
      <c r="D6793" s="11" t="s">
        <v>18</v>
      </c>
      <c r="E6793" s="12" t="s">
        <v>826</v>
      </c>
      <c r="F6793" s="12" t="s">
        <v>827</v>
      </c>
      <c r="G6793" s="12" t="s">
        <v>29</v>
      </c>
      <c r="H6793" s="11" t="s">
        <v>63</v>
      </c>
      <c r="I6793" s="13" t="s">
        <v>14325</v>
      </c>
      <c r="J6793" s="14" t="str">
        <f>HYPERLINK("https://www.boe.es/gazeta/dias/1839/09/25/pdfs/GMD-1839-1781.pdf#page=1","Abrir facsímil")</f>
        <v>Abrir facsímil</v>
      </c>
      <c r="K6793" s="12" t="s">
        <v>65</v>
      </c>
    </row>
    <row r="6794" spans="1:11" ht="40.049999999999997" customHeight="1" x14ac:dyDescent="0.25">
      <c r="A6794" s="11" t="s">
        <v>14306</v>
      </c>
      <c r="B6794" s="11" t="s">
        <v>14306</v>
      </c>
      <c r="C6794" s="11" t="s">
        <v>59</v>
      </c>
      <c r="D6794" s="11" t="s">
        <v>60</v>
      </c>
      <c r="E6794" s="12" t="s">
        <v>571</v>
      </c>
      <c r="F6794" s="12" t="s">
        <v>572</v>
      </c>
      <c r="G6794" s="12" t="s">
        <v>29</v>
      </c>
      <c r="H6794" s="11" t="s">
        <v>63</v>
      </c>
      <c r="I6794" s="13" t="s">
        <v>14326</v>
      </c>
      <c r="J6794" s="14" t="str">
        <f>HYPERLINK("https://www.boe.es/gazeta/dias/1839/09/27/pdfs/GMD-1839-1783.pdf#page=1","Abrir facsímil")</f>
        <v>Abrir facsímil</v>
      </c>
      <c r="K6794" s="12" t="s">
        <v>65</v>
      </c>
    </row>
    <row r="6795" spans="1:11" ht="40.049999999999997" customHeight="1" x14ac:dyDescent="0.25">
      <c r="A6795" s="11" t="s">
        <v>14306</v>
      </c>
      <c r="B6795" s="11" t="s">
        <v>14306</v>
      </c>
      <c r="C6795" s="11" t="s">
        <v>59</v>
      </c>
      <c r="D6795" s="11" t="s">
        <v>60</v>
      </c>
      <c r="E6795" s="12" t="s">
        <v>571</v>
      </c>
      <c r="F6795" s="12" t="s">
        <v>572</v>
      </c>
      <c r="G6795" s="12" t="s">
        <v>40</v>
      </c>
      <c r="H6795" s="11" t="s">
        <v>63</v>
      </c>
      <c r="I6795" s="13" t="s">
        <v>14327</v>
      </c>
      <c r="J6795" s="14" t="str">
        <f>HYPERLINK("https://www.boe.es/gazeta/dias/1839/09/27/pdfs/GMD-1839-1783.pdf#page=2","Abrir facsímil")</f>
        <v>Abrir facsímil</v>
      </c>
      <c r="K6795" s="12" t="s">
        <v>65</v>
      </c>
    </row>
    <row r="6796" spans="1:11" ht="40.049999999999997" customHeight="1" x14ac:dyDescent="0.25">
      <c r="A6796" s="11" t="s">
        <v>14306</v>
      </c>
      <c r="B6796" s="11" t="s">
        <v>14306</v>
      </c>
      <c r="C6796" s="11" t="s">
        <v>17</v>
      </c>
      <c r="D6796" s="11" t="s">
        <v>18</v>
      </c>
      <c r="E6796" s="12" t="s">
        <v>574</v>
      </c>
      <c r="F6796" s="12" t="s">
        <v>575</v>
      </c>
      <c r="G6796" s="12" t="s">
        <v>21</v>
      </c>
      <c r="H6796" s="11" t="s">
        <v>63</v>
      </c>
      <c r="I6796" s="13" t="s">
        <v>14328</v>
      </c>
      <c r="J6796" s="14" t="str">
        <f>HYPERLINK("https://www.boe.es/gazeta/dias/1839/09/28/pdfs/GMD-1839-1784.pdf#page=4","Abrir facsímil")</f>
        <v>Abrir facsímil</v>
      </c>
      <c r="K6796" s="12" t="s">
        <v>65</v>
      </c>
    </row>
    <row r="6797" spans="1:11" ht="40.049999999999997" customHeight="1" x14ac:dyDescent="0.25">
      <c r="A6797" s="11" t="s">
        <v>14306</v>
      </c>
      <c r="B6797" s="11" t="s">
        <v>14306</v>
      </c>
      <c r="C6797" s="11" t="s">
        <v>17</v>
      </c>
      <c r="D6797" s="11" t="s">
        <v>18</v>
      </c>
      <c r="E6797" s="12" t="s">
        <v>1692</v>
      </c>
      <c r="F6797" s="12" t="s">
        <v>1693</v>
      </c>
      <c r="G6797" s="12" t="s">
        <v>21</v>
      </c>
      <c r="H6797" s="11" t="s">
        <v>63</v>
      </c>
      <c r="I6797" s="13" t="s">
        <v>14329</v>
      </c>
      <c r="J6797" s="14" t="str">
        <f>HYPERLINK("https://www.boe.es/gazeta/dias/1839/05/30/pdfs/GMD-1839-1657.pdf#page=4","Abrir facsímil")</f>
        <v>Abrir facsímil</v>
      </c>
      <c r="K6797" s="12" t="s">
        <v>65</v>
      </c>
    </row>
    <row r="6798" spans="1:11" ht="40.049999999999997" customHeight="1" x14ac:dyDescent="0.25">
      <c r="A6798" s="11" t="s">
        <v>14306</v>
      </c>
      <c r="B6798" s="11" t="s">
        <v>14306</v>
      </c>
      <c r="C6798" s="11" t="s">
        <v>17</v>
      </c>
      <c r="D6798" s="11" t="s">
        <v>18</v>
      </c>
      <c r="E6798" s="12" t="s">
        <v>1287</v>
      </c>
      <c r="F6798" s="12" t="s">
        <v>1288</v>
      </c>
      <c r="G6798" s="12" t="s">
        <v>46</v>
      </c>
      <c r="H6798" s="11" t="s">
        <v>63</v>
      </c>
      <c r="I6798" s="13" t="s">
        <v>14330</v>
      </c>
      <c r="J6798" s="14" t="str">
        <f>HYPERLINK("https://www.boe.es/gazeta/dias/1839/10/30/pdfs/GMD-1839-1816.pdf#page=3","Abrir facsímil")</f>
        <v>Abrir facsímil</v>
      </c>
      <c r="K6798" s="12" t="s">
        <v>65</v>
      </c>
    </row>
    <row r="6799" spans="1:11" ht="40.049999999999997" customHeight="1" x14ac:dyDescent="0.25">
      <c r="A6799" s="11" t="s">
        <v>14306</v>
      </c>
      <c r="B6799" s="11" t="s">
        <v>14306</v>
      </c>
      <c r="C6799" s="11" t="s">
        <v>101</v>
      </c>
      <c r="D6799" s="11" t="s">
        <v>43</v>
      </c>
      <c r="E6799" s="12" t="s">
        <v>653</v>
      </c>
      <c r="F6799" s="12" t="s">
        <v>654</v>
      </c>
      <c r="G6799" s="12" t="s">
        <v>40</v>
      </c>
      <c r="H6799" s="11" t="s">
        <v>63</v>
      </c>
      <c r="I6799" s="13" t="s">
        <v>14331</v>
      </c>
      <c r="J6799" s="14" t="str">
        <f>HYPERLINK("https://www.boe.es/gazeta/dias/1839/10/31/pdfs/GMD-1839-1817.pdf#page=2","Abrir facsímil")</f>
        <v>Abrir facsímil</v>
      </c>
      <c r="K6799" s="12" t="s">
        <v>65</v>
      </c>
    </row>
    <row r="6800" spans="1:11" ht="40.049999999999997" customHeight="1" x14ac:dyDescent="0.25">
      <c r="A6800" s="11" t="s">
        <v>14332</v>
      </c>
      <c r="B6800" s="11" t="s">
        <v>14333</v>
      </c>
      <c r="C6800" s="11" t="s">
        <v>17</v>
      </c>
      <c r="D6800" s="11" t="s">
        <v>18</v>
      </c>
      <c r="E6800" s="12" t="s">
        <v>1606</v>
      </c>
      <c r="F6800" s="12" t="s">
        <v>1607</v>
      </c>
      <c r="G6800" s="12" t="s">
        <v>21</v>
      </c>
      <c r="H6800" s="11" t="s">
        <v>22</v>
      </c>
      <c r="I6800" s="13" t="s">
        <v>14334</v>
      </c>
      <c r="J6800" s="14" t="str">
        <f>HYPERLINK("https://www.boe.es/gazeta/dias/1839/07/02/pdfs/GMD-1839-1690.pdf#page=4","Abrir facsímil")</f>
        <v>Abrir facsímil</v>
      </c>
      <c r="K6800" s="12" t="s">
        <v>24</v>
      </c>
    </row>
    <row r="6801" spans="1:11" ht="40.049999999999997" customHeight="1" x14ac:dyDescent="0.25">
      <c r="A6801" s="11" t="s">
        <v>14335</v>
      </c>
      <c r="B6801" s="11" t="s">
        <v>14336</v>
      </c>
      <c r="C6801" s="11" t="s">
        <v>17</v>
      </c>
      <c r="D6801" s="11" t="s">
        <v>18</v>
      </c>
      <c r="E6801" s="12" t="s">
        <v>103</v>
      </c>
      <c r="F6801" s="12" t="s">
        <v>104</v>
      </c>
      <c r="G6801" s="12" t="s">
        <v>40</v>
      </c>
      <c r="H6801" s="11" t="s">
        <v>63</v>
      </c>
      <c r="I6801" s="13" t="s">
        <v>14337</v>
      </c>
      <c r="J6801" s="14" t="str">
        <f>HYPERLINK("https://www.boe.es/gazeta/dias/1839/10/12/pdfs/GMD-1839-1798.pdf#page=2","Abrir facsímil")</f>
        <v>Abrir facsímil</v>
      </c>
      <c r="K6801" s="12" t="s">
        <v>65</v>
      </c>
    </row>
    <row r="6802" spans="1:11" ht="40.049999999999997" customHeight="1" x14ac:dyDescent="0.25">
      <c r="A6802" s="11" t="s">
        <v>14335</v>
      </c>
      <c r="B6802" s="11" t="s">
        <v>14336</v>
      </c>
      <c r="C6802" s="11" t="s">
        <v>59</v>
      </c>
      <c r="D6802" s="11" t="s">
        <v>60</v>
      </c>
      <c r="E6802" s="12" t="s">
        <v>185</v>
      </c>
      <c r="F6802" s="12" t="s">
        <v>186</v>
      </c>
      <c r="G6802" s="12" t="s">
        <v>21</v>
      </c>
      <c r="H6802" s="11" t="s">
        <v>63</v>
      </c>
      <c r="I6802" s="13" t="s">
        <v>14338</v>
      </c>
      <c r="J6802" s="14" t="str">
        <f>HYPERLINK("https://www.boe.es/gazeta/dias/1839/01/15/pdfs/GMD-1839-1522.pdf#page=4","Abrir facsímil")</f>
        <v>Abrir facsímil</v>
      </c>
      <c r="K6802" s="12" t="s">
        <v>65</v>
      </c>
    </row>
    <row r="6803" spans="1:11" ht="40.049999999999997" customHeight="1" x14ac:dyDescent="0.25">
      <c r="A6803" s="11" t="s">
        <v>14335</v>
      </c>
      <c r="B6803" s="11" t="s">
        <v>14336</v>
      </c>
      <c r="C6803" s="11" t="s">
        <v>101</v>
      </c>
      <c r="D6803" s="11" t="s">
        <v>102</v>
      </c>
      <c r="E6803" s="12" t="s">
        <v>1076</v>
      </c>
      <c r="F6803" s="12" t="s">
        <v>1077</v>
      </c>
      <c r="G6803" s="12" t="s">
        <v>40</v>
      </c>
      <c r="H6803" s="11" t="s">
        <v>63</v>
      </c>
      <c r="I6803" s="13" t="s">
        <v>14339</v>
      </c>
      <c r="J6803" s="14" t="str">
        <f>HYPERLINK("https://www.boe.es/gazeta/dias/1839/10/19/pdfs/GMD-1839-1805.pdf#page=2","Abrir facsímil")</f>
        <v>Abrir facsímil</v>
      </c>
      <c r="K6803" s="12" t="s">
        <v>65</v>
      </c>
    </row>
    <row r="6804" spans="1:11" ht="40.049999999999997" customHeight="1" x14ac:dyDescent="0.25">
      <c r="A6804" s="11" t="s">
        <v>14335</v>
      </c>
      <c r="B6804" s="11" t="s">
        <v>14336</v>
      </c>
      <c r="C6804" s="11" t="s">
        <v>101</v>
      </c>
      <c r="D6804" s="11" t="s">
        <v>43</v>
      </c>
      <c r="E6804" s="12" t="s">
        <v>243</v>
      </c>
      <c r="F6804" s="12" t="s">
        <v>244</v>
      </c>
      <c r="G6804" s="12" t="s">
        <v>46</v>
      </c>
      <c r="H6804" s="11" t="s">
        <v>63</v>
      </c>
      <c r="I6804" s="13" t="s">
        <v>14340</v>
      </c>
      <c r="J6804" s="14" t="str">
        <f>HYPERLINK("https://www.boe.es/gazeta/dias/1839/09/23/pdfs/GMD-1839-1779.pdf#page=3","Abrir facsímil")</f>
        <v>Abrir facsímil</v>
      </c>
      <c r="K6804" s="12" t="s">
        <v>65</v>
      </c>
    </row>
    <row r="6805" spans="1:11" ht="40.049999999999997" customHeight="1" x14ac:dyDescent="0.25">
      <c r="A6805" s="11" t="s">
        <v>14335</v>
      </c>
      <c r="B6805" s="11" t="s">
        <v>14336</v>
      </c>
      <c r="C6805" s="11" t="s">
        <v>17</v>
      </c>
      <c r="D6805" s="11" t="s">
        <v>18</v>
      </c>
      <c r="E6805" s="12" t="s">
        <v>2349</v>
      </c>
      <c r="F6805" s="12" t="s">
        <v>2350</v>
      </c>
      <c r="G6805" s="12" t="s">
        <v>29</v>
      </c>
      <c r="H6805" s="11" t="s">
        <v>63</v>
      </c>
      <c r="I6805" s="13" t="s">
        <v>14341</v>
      </c>
      <c r="J6805" s="14" t="str">
        <f>HYPERLINK("https://www.boe.es/gazeta/dias/1839/09/29/pdfs/GMD-1839-1785.pdf#page=1","Abrir facsímil")</f>
        <v>Abrir facsímil</v>
      </c>
      <c r="K6805" s="12" t="s">
        <v>65</v>
      </c>
    </row>
    <row r="6806" spans="1:11" ht="40.049999999999997" customHeight="1" x14ac:dyDescent="0.25">
      <c r="A6806" s="11" t="s">
        <v>14335</v>
      </c>
      <c r="B6806" s="11" t="s">
        <v>14336</v>
      </c>
      <c r="C6806" s="11" t="s">
        <v>17</v>
      </c>
      <c r="D6806" s="11" t="s">
        <v>43</v>
      </c>
      <c r="E6806" s="12" t="s">
        <v>3391</v>
      </c>
      <c r="F6806" s="12" t="s">
        <v>3392</v>
      </c>
      <c r="G6806" s="12" t="s">
        <v>46</v>
      </c>
      <c r="H6806" s="11" t="s">
        <v>63</v>
      </c>
      <c r="I6806" s="13" t="s">
        <v>14342</v>
      </c>
      <c r="J6806" s="14" t="str">
        <f>HYPERLINK("https://www.boe.es/gazeta/dias/1839/12/31/pdfs/GMD-1839-1878.pdf#page=3","Abrir facsímil")</f>
        <v>Abrir facsímil</v>
      </c>
      <c r="K6806" s="12" t="s">
        <v>65</v>
      </c>
    </row>
    <row r="6807" spans="1:11" ht="40.049999999999997" customHeight="1" x14ac:dyDescent="0.25">
      <c r="A6807" s="11" t="s">
        <v>14343</v>
      </c>
      <c r="B6807" s="11" t="s">
        <v>14344</v>
      </c>
      <c r="C6807" s="11" t="s">
        <v>17</v>
      </c>
      <c r="D6807" s="11" t="s">
        <v>18</v>
      </c>
      <c r="E6807" s="12" t="s">
        <v>592</v>
      </c>
      <c r="F6807" s="12" t="s">
        <v>593</v>
      </c>
      <c r="G6807" s="12" t="s">
        <v>29</v>
      </c>
      <c r="H6807" s="11" t="s">
        <v>63</v>
      </c>
      <c r="I6807" s="13" t="s">
        <v>14345</v>
      </c>
      <c r="J6807" s="14" t="str">
        <f>HYPERLINK("https://www.boe.es/gazeta/dias/1839/09/14/pdfs/GMD-1839-1767.pdf#page=1","Abrir facsímil")</f>
        <v>Abrir facsímil</v>
      </c>
      <c r="K6807" s="12" t="s">
        <v>65</v>
      </c>
    </row>
    <row r="6808" spans="1:11" ht="40.049999999999997" customHeight="1" x14ac:dyDescent="0.25">
      <c r="A6808" s="11" t="s">
        <v>14346</v>
      </c>
      <c r="B6808" s="11" t="s">
        <v>14346</v>
      </c>
      <c r="C6808" s="11" t="s">
        <v>17</v>
      </c>
      <c r="D6808" s="11" t="s">
        <v>18</v>
      </c>
      <c r="E6808" s="12" t="s">
        <v>4485</v>
      </c>
      <c r="F6808" s="12" t="s">
        <v>4486</v>
      </c>
      <c r="G6808" s="12" t="s">
        <v>21</v>
      </c>
      <c r="H6808" s="11" t="s">
        <v>63</v>
      </c>
      <c r="I6808" s="13" t="s">
        <v>14347</v>
      </c>
      <c r="J6808" s="14" t="str">
        <f>HYPERLINK("https://www.boe.es/gazeta/dias/1839/07/08/pdfs/GMD-1839-1696.pdf#page=4","Abrir facsímil")</f>
        <v>Abrir facsímil</v>
      </c>
      <c r="K6808" s="12" t="s">
        <v>65</v>
      </c>
    </row>
    <row r="6809" spans="1:11" ht="40.049999999999997" customHeight="1" x14ac:dyDescent="0.25">
      <c r="A6809" s="11" t="s">
        <v>14348</v>
      </c>
      <c r="B6809" s="11" t="s">
        <v>14349</v>
      </c>
      <c r="C6809" s="11" t="s">
        <v>59</v>
      </c>
      <c r="D6809" s="11" t="s">
        <v>60</v>
      </c>
      <c r="E6809" s="12" t="s">
        <v>2069</v>
      </c>
      <c r="F6809" s="12" t="s">
        <v>2070</v>
      </c>
      <c r="G6809" s="12" t="s">
        <v>29</v>
      </c>
      <c r="H6809" s="11" t="s">
        <v>63</v>
      </c>
      <c r="I6809" s="13" t="s">
        <v>14350</v>
      </c>
      <c r="J6809" s="14" t="str">
        <f>HYPERLINK("https://www.boe.es/gazeta/dias/1839/10/20/pdfs/GMD-1839-1806.pdf#page=1","Abrir facsímil")</f>
        <v>Abrir facsímil</v>
      </c>
      <c r="K6809" s="12" t="s">
        <v>65</v>
      </c>
    </row>
    <row r="6810" spans="1:11" ht="40.049999999999997" customHeight="1" x14ac:dyDescent="0.25">
      <c r="A6810" s="11" t="s">
        <v>14351</v>
      </c>
      <c r="B6810" s="11" t="s">
        <v>14351</v>
      </c>
      <c r="C6810" s="11" t="s">
        <v>59</v>
      </c>
      <c r="D6810" s="11" t="s">
        <v>60</v>
      </c>
      <c r="E6810" s="12" t="s">
        <v>2919</v>
      </c>
      <c r="F6810" s="12" t="s">
        <v>2920</v>
      </c>
      <c r="G6810" s="12" t="s">
        <v>21</v>
      </c>
      <c r="H6810" s="11" t="s">
        <v>63</v>
      </c>
      <c r="I6810" s="13" t="s">
        <v>14352</v>
      </c>
      <c r="J6810" s="14" t="str">
        <f>HYPERLINK("https://www.boe.es/gazeta/dias/1839/11/12/pdfs/GMD-1839-1829.pdf#page=4","Abrir facsímil")</f>
        <v>Abrir facsímil</v>
      </c>
      <c r="K6810" s="12" t="s">
        <v>65</v>
      </c>
    </row>
    <row r="6811" spans="1:11" ht="40.049999999999997" customHeight="1" x14ac:dyDescent="0.25">
      <c r="A6811" s="11" t="s">
        <v>14353</v>
      </c>
      <c r="B6811" s="11" t="s">
        <v>14354</v>
      </c>
      <c r="C6811" s="11" t="s">
        <v>101</v>
      </c>
      <c r="D6811" s="11" t="s">
        <v>102</v>
      </c>
      <c r="E6811" s="12" t="s">
        <v>998</v>
      </c>
      <c r="F6811" s="12" t="s">
        <v>999</v>
      </c>
      <c r="G6811" s="12" t="s">
        <v>21</v>
      </c>
      <c r="H6811" s="11" t="s">
        <v>22</v>
      </c>
      <c r="I6811" s="13" t="s">
        <v>14355</v>
      </c>
      <c r="J6811" s="14" t="str">
        <f>HYPERLINK("https://www.boe.es/gazeta/dias/1839/05/06/pdfs/GMD-1839-1633.pdf#page=4","Abrir facsímil")</f>
        <v>Abrir facsímil</v>
      </c>
      <c r="K6811" s="12" t="s">
        <v>24</v>
      </c>
    </row>
    <row r="6812" spans="1:11" ht="40.049999999999997" customHeight="1" x14ac:dyDescent="0.25">
      <c r="A6812" s="11" t="s">
        <v>14356</v>
      </c>
      <c r="B6812" s="11" t="s">
        <v>14357</v>
      </c>
      <c r="C6812" s="11" t="s">
        <v>80</v>
      </c>
      <c r="D6812" s="11" t="s">
        <v>18</v>
      </c>
      <c r="E6812" s="12" t="s">
        <v>1395</v>
      </c>
      <c r="F6812" s="12" t="s">
        <v>1396</v>
      </c>
      <c r="G6812" s="12" t="s">
        <v>21</v>
      </c>
      <c r="H6812" s="11" t="s">
        <v>63</v>
      </c>
      <c r="I6812" s="13" t="s">
        <v>14358</v>
      </c>
      <c r="J6812" s="14" t="str">
        <f>HYPERLINK("https://www.boe.es/gazeta/dias/1839/06/26/pdfs/GMD-1839-1684.pdf#page=4","Abrir facsímil")</f>
        <v>Abrir facsímil</v>
      </c>
      <c r="K6812" s="12" t="s">
        <v>65</v>
      </c>
    </row>
    <row r="6813" spans="1:11" ht="40.049999999999997" customHeight="1" x14ac:dyDescent="0.25">
      <c r="A6813" s="11" t="s">
        <v>14359</v>
      </c>
      <c r="B6813" s="11" t="s">
        <v>14359</v>
      </c>
      <c r="C6813" s="11" t="s">
        <v>17</v>
      </c>
      <c r="D6813" s="11" t="s">
        <v>18</v>
      </c>
      <c r="E6813" s="12" t="s">
        <v>770</v>
      </c>
      <c r="F6813" s="12" t="s">
        <v>771</v>
      </c>
      <c r="G6813" s="12" t="s">
        <v>46</v>
      </c>
      <c r="H6813" s="11" t="s">
        <v>63</v>
      </c>
      <c r="I6813" s="13" t="s">
        <v>14360</v>
      </c>
      <c r="J6813" s="14" t="str">
        <f>HYPERLINK("https://www.boe.es/gazeta/dias/1839/12/05/pdfs/GMD-1839-1852.pdf#page=3","Abrir facsímil")</f>
        <v>Abrir facsímil</v>
      </c>
      <c r="K6813" s="12" t="s">
        <v>65</v>
      </c>
    </row>
    <row r="6814" spans="1:11" ht="40.049999999999997" customHeight="1" x14ac:dyDescent="0.25">
      <c r="A6814" s="11" t="s">
        <v>14361</v>
      </c>
      <c r="B6814" s="11" t="s">
        <v>14362</v>
      </c>
      <c r="C6814" s="11" t="s">
        <v>17</v>
      </c>
      <c r="D6814" s="11" t="s">
        <v>18</v>
      </c>
      <c r="E6814" s="12" t="s">
        <v>1123</v>
      </c>
      <c r="F6814" s="12" t="s">
        <v>1124</v>
      </c>
      <c r="G6814" s="12" t="s">
        <v>21</v>
      </c>
      <c r="H6814" s="11" t="s">
        <v>63</v>
      </c>
      <c r="I6814" s="13" t="s">
        <v>14363</v>
      </c>
      <c r="J6814" s="14" t="str">
        <f>HYPERLINK("https://www.boe.es/gazeta/dias/1839/08/10/pdfs/GMD-1839-1730.pdf#page=4","Abrir facsímil")</f>
        <v>Abrir facsímil</v>
      </c>
      <c r="K6814" s="12" t="s">
        <v>65</v>
      </c>
    </row>
    <row r="6815" spans="1:11" ht="40.049999999999997" customHeight="1" x14ac:dyDescent="0.25">
      <c r="A6815" s="11" t="s">
        <v>14364</v>
      </c>
      <c r="B6815" s="11" t="s">
        <v>14365</v>
      </c>
      <c r="C6815" s="11" t="s">
        <v>80</v>
      </c>
      <c r="D6815" s="11" t="s">
        <v>18</v>
      </c>
      <c r="E6815" s="12" t="s">
        <v>84</v>
      </c>
      <c r="F6815" s="12" t="s">
        <v>85</v>
      </c>
      <c r="G6815" s="12" t="s">
        <v>29</v>
      </c>
      <c r="H6815" s="11" t="s">
        <v>63</v>
      </c>
      <c r="I6815" s="13" t="s">
        <v>14366</v>
      </c>
      <c r="J6815" s="14" t="str">
        <f>HYPERLINK("https://www.boe.es/gazeta/dias/1839/03/11/pdfs/GMD-1839-1577.pdf#page=1","Abrir facsímil")</f>
        <v>Abrir facsímil</v>
      </c>
      <c r="K6815" s="12" t="s">
        <v>65</v>
      </c>
    </row>
    <row r="6816" spans="1:11" ht="40.049999999999997" customHeight="1" x14ac:dyDescent="0.25">
      <c r="A6816" s="11" t="s">
        <v>14367</v>
      </c>
      <c r="B6816" s="11" t="s">
        <v>14368</v>
      </c>
      <c r="C6816" s="11" t="s">
        <v>17</v>
      </c>
      <c r="D6816" s="11" t="s">
        <v>18</v>
      </c>
      <c r="E6816" s="12" t="s">
        <v>1252</v>
      </c>
      <c r="F6816" s="12" t="s">
        <v>1253</v>
      </c>
      <c r="G6816" s="12" t="s">
        <v>29</v>
      </c>
      <c r="H6816" s="11" t="s">
        <v>63</v>
      </c>
      <c r="I6816" s="13" t="s">
        <v>14369</v>
      </c>
      <c r="J6816" s="14" t="str">
        <f>HYPERLINK("https://www.boe.es/gazeta/dias/1839/06/15/pdfs/GMD-1839-1673.pdf#page=1","Abrir facsímil")</f>
        <v>Abrir facsímil</v>
      </c>
      <c r="K6816" s="12" t="s">
        <v>65</v>
      </c>
    </row>
    <row r="6817" spans="1:11" ht="40.049999999999997" customHeight="1" x14ac:dyDescent="0.25">
      <c r="A6817" s="11" t="s">
        <v>14370</v>
      </c>
      <c r="B6817" s="11" t="s">
        <v>14371</v>
      </c>
      <c r="C6817" s="11" t="s">
        <v>17</v>
      </c>
      <c r="D6817" s="11" t="s">
        <v>18</v>
      </c>
      <c r="E6817" s="12" t="s">
        <v>474</v>
      </c>
      <c r="F6817" s="12" t="s">
        <v>475</v>
      </c>
      <c r="G6817" s="12" t="s">
        <v>21</v>
      </c>
      <c r="H6817" s="11" t="s">
        <v>63</v>
      </c>
      <c r="I6817" s="13" t="s">
        <v>14372</v>
      </c>
      <c r="J6817" s="14" t="str">
        <f>HYPERLINK("https://www.boe.es/gazeta/dias/1839/03/31/pdfs/GMD-1839-1597.pdf#page=4","Abrir facsímil")</f>
        <v>Abrir facsímil</v>
      </c>
      <c r="K6817" s="12" t="s">
        <v>65</v>
      </c>
    </row>
    <row r="6818" spans="1:11" ht="40.049999999999997" customHeight="1" x14ac:dyDescent="0.25">
      <c r="A6818" s="11" t="s">
        <v>14373</v>
      </c>
      <c r="B6818" s="11" t="s">
        <v>14374</v>
      </c>
      <c r="C6818" s="11" t="s">
        <v>101</v>
      </c>
      <c r="D6818" s="11" t="s">
        <v>43</v>
      </c>
      <c r="E6818" s="12" t="s">
        <v>685</v>
      </c>
      <c r="F6818" s="12" t="s">
        <v>686</v>
      </c>
      <c r="G6818" s="12" t="s">
        <v>21</v>
      </c>
      <c r="H6818" s="11" t="s">
        <v>63</v>
      </c>
      <c r="I6818" s="13" t="s">
        <v>14375</v>
      </c>
      <c r="J6818" s="14" t="str">
        <f>HYPERLINK("https://www.boe.es/gazeta/dias/1839/06/18/pdfs/GMD-1839-1676.pdf#page=4","Abrir facsímil")</f>
        <v>Abrir facsímil</v>
      </c>
      <c r="K6818" s="12" t="s">
        <v>65</v>
      </c>
    </row>
    <row r="6819" spans="1:11" ht="40.049999999999997" customHeight="1" x14ac:dyDescent="0.25">
      <c r="A6819" s="11" t="s">
        <v>14376</v>
      </c>
      <c r="B6819" s="11" t="s">
        <v>14377</v>
      </c>
      <c r="C6819" s="11" t="s">
        <v>17</v>
      </c>
      <c r="D6819" s="11" t="s">
        <v>18</v>
      </c>
      <c r="E6819" s="12" t="s">
        <v>287</v>
      </c>
      <c r="F6819" s="12" t="s">
        <v>288</v>
      </c>
      <c r="G6819" s="12" t="s">
        <v>46</v>
      </c>
      <c r="H6819" s="11" t="s">
        <v>63</v>
      </c>
      <c r="I6819" s="13" t="s">
        <v>14378</v>
      </c>
      <c r="J6819" s="14" t="str">
        <f>HYPERLINK("https://www.boe.es/gazeta/dias/1839/11/27/pdfs/GMD-1839-1844.pdf#page=3","Abrir facsímil")</f>
        <v>Abrir facsímil</v>
      </c>
      <c r="K6819" s="12" t="s">
        <v>65</v>
      </c>
    </row>
    <row r="6820" spans="1:11" ht="40.049999999999997" customHeight="1" x14ac:dyDescent="0.25">
      <c r="A6820" s="11" t="s">
        <v>14379</v>
      </c>
      <c r="B6820" s="11" t="s">
        <v>14380</v>
      </c>
      <c r="C6820" s="11" t="s">
        <v>80</v>
      </c>
      <c r="D6820" s="11" t="s">
        <v>18</v>
      </c>
      <c r="E6820" s="12" t="s">
        <v>1027</v>
      </c>
      <c r="F6820" s="12" t="s">
        <v>1028</v>
      </c>
      <c r="G6820" s="12" t="s">
        <v>21</v>
      </c>
      <c r="H6820" s="11" t="s">
        <v>63</v>
      </c>
      <c r="I6820" s="13" t="s">
        <v>14381</v>
      </c>
      <c r="J6820" s="14" t="str">
        <f>HYPERLINK("https://www.boe.es/gazeta/dias/1839/08/16/pdfs/GMD-1839-1736.pdf#page=4","Abrir facsímil")</f>
        <v>Abrir facsímil</v>
      </c>
      <c r="K6820" s="12" t="s">
        <v>65</v>
      </c>
    </row>
    <row r="6821" spans="1:11" ht="40.049999999999997" customHeight="1" x14ac:dyDescent="0.25">
      <c r="A6821" s="11" t="s">
        <v>14382</v>
      </c>
      <c r="B6821" s="11" t="s">
        <v>14383</v>
      </c>
      <c r="C6821" s="11" t="s">
        <v>137</v>
      </c>
      <c r="D6821" s="11" t="s">
        <v>18</v>
      </c>
      <c r="E6821" s="12" t="s">
        <v>76</v>
      </c>
      <c r="F6821" s="12" t="s">
        <v>77</v>
      </c>
      <c r="G6821" s="12" t="s">
        <v>46</v>
      </c>
      <c r="H6821" s="11" t="s">
        <v>63</v>
      </c>
      <c r="I6821" s="13" t="s">
        <v>14384</v>
      </c>
      <c r="J6821" s="14" t="str">
        <f>HYPERLINK("https://www.boe.es/gazeta/dias/1839/03/13/pdfs/GMD-1839-1579.pdf#page=3","Abrir facsímil")</f>
        <v>Abrir facsímil</v>
      </c>
      <c r="K6821" s="12" t="s">
        <v>65</v>
      </c>
    </row>
    <row r="6822" spans="1:11" ht="40.049999999999997" customHeight="1" x14ac:dyDescent="0.25">
      <c r="A6822" s="11" t="s">
        <v>14385</v>
      </c>
      <c r="B6822" s="11" t="s">
        <v>14385</v>
      </c>
      <c r="C6822" s="11" t="s">
        <v>80</v>
      </c>
      <c r="D6822" s="11" t="s">
        <v>18</v>
      </c>
      <c r="E6822" s="12" t="s">
        <v>2995</v>
      </c>
      <c r="F6822" s="12" t="s">
        <v>2996</v>
      </c>
      <c r="G6822" s="12" t="s">
        <v>21</v>
      </c>
      <c r="H6822" s="11" t="s">
        <v>63</v>
      </c>
      <c r="I6822" s="13" t="s">
        <v>14386</v>
      </c>
      <c r="J6822" s="14" t="str">
        <f>HYPERLINK("https://www.boe.es/gazeta/dias/1839/06/16/pdfs/GMD-1839-1674.pdf#page=4","Abrir facsímil")</f>
        <v>Abrir facsímil</v>
      </c>
      <c r="K6822" s="12" t="s">
        <v>65</v>
      </c>
    </row>
    <row r="6823" spans="1:11" ht="40.049999999999997" customHeight="1" x14ac:dyDescent="0.25">
      <c r="A6823" s="11" t="s">
        <v>14385</v>
      </c>
      <c r="B6823" s="11" t="s">
        <v>14385</v>
      </c>
      <c r="C6823" s="11" t="s">
        <v>17</v>
      </c>
      <c r="D6823" s="11" t="s">
        <v>18</v>
      </c>
      <c r="E6823" s="12" t="s">
        <v>643</v>
      </c>
      <c r="F6823" s="12" t="s">
        <v>644</v>
      </c>
      <c r="G6823" s="12" t="s">
        <v>21</v>
      </c>
      <c r="H6823" s="11" t="s">
        <v>63</v>
      </c>
      <c r="I6823" s="13" t="s">
        <v>14387</v>
      </c>
      <c r="J6823" s="14" t="str">
        <f>HYPERLINK("https://www.boe.es/gazeta/dias/1839/03/20/pdfs/GMD-1839-1586.pdf#page=4","Abrir facsímil")</f>
        <v>Abrir facsímil</v>
      </c>
      <c r="K6823" s="12" t="s">
        <v>65</v>
      </c>
    </row>
    <row r="6824" spans="1:11" ht="40.049999999999997" customHeight="1" x14ac:dyDescent="0.25">
      <c r="A6824" s="11" t="s">
        <v>14388</v>
      </c>
      <c r="B6824" s="11" t="s">
        <v>14388</v>
      </c>
      <c r="C6824" s="11" t="s">
        <v>101</v>
      </c>
      <c r="D6824" s="11" t="s">
        <v>43</v>
      </c>
      <c r="E6824" s="12" t="s">
        <v>453</v>
      </c>
      <c r="F6824" s="12" t="s">
        <v>454</v>
      </c>
      <c r="G6824" s="12" t="s">
        <v>40</v>
      </c>
      <c r="H6824" s="11" t="s">
        <v>63</v>
      </c>
      <c r="I6824" s="13" t="s">
        <v>14389</v>
      </c>
      <c r="J6824" s="14" t="str">
        <f>HYPERLINK("https://www.boe.es/gazeta/dias/1839/02/07/pdfs/GMD-1839-1545.pdf#page=2","Abrir facsímil")</f>
        <v>Abrir facsímil</v>
      </c>
      <c r="K6824" s="12" t="s">
        <v>65</v>
      </c>
    </row>
    <row r="6825" spans="1:11" ht="40.049999999999997" customHeight="1" x14ac:dyDescent="0.25">
      <c r="A6825" s="11" t="s">
        <v>14390</v>
      </c>
      <c r="B6825" s="11" t="s">
        <v>14391</v>
      </c>
      <c r="C6825" s="11" t="s">
        <v>17</v>
      </c>
      <c r="D6825" s="11" t="s">
        <v>18</v>
      </c>
      <c r="E6825" s="12" t="s">
        <v>756</v>
      </c>
      <c r="F6825" s="12" t="s">
        <v>757</v>
      </c>
      <c r="G6825" s="12" t="s">
        <v>21</v>
      </c>
      <c r="H6825" s="11" t="s">
        <v>63</v>
      </c>
      <c r="I6825" s="13" t="s">
        <v>14392</v>
      </c>
      <c r="J6825" s="14" t="str">
        <f>HYPERLINK("https://www.boe.es/gazeta/dias/1839/12/17/pdfs/GMD-1839-1864.pdf#page=4","Abrir facsímil")</f>
        <v>Abrir facsímil</v>
      </c>
      <c r="K6825" s="12" t="s">
        <v>65</v>
      </c>
    </row>
    <row r="6826" spans="1:11" ht="40.049999999999997" customHeight="1" x14ac:dyDescent="0.25">
      <c r="A6826" s="11" t="s">
        <v>14393</v>
      </c>
      <c r="B6826" s="11" t="s">
        <v>14393</v>
      </c>
      <c r="C6826" s="11" t="s">
        <v>17</v>
      </c>
      <c r="D6826" s="11" t="s">
        <v>18</v>
      </c>
      <c r="E6826" s="12" t="s">
        <v>756</v>
      </c>
      <c r="F6826" s="12" t="s">
        <v>757</v>
      </c>
      <c r="G6826" s="12" t="s">
        <v>46</v>
      </c>
      <c r="H6826" s="11" t="s">
        <v>63</v>
      </c>
      <c r="I6826" s="13" t="s">
        <v>14394</v>
      </c>
      <c r="J6826" s="14" t="str">
        <f>HYPERLINK("https://www.boe.es/gazeta/dias/1839/12/17/pdfs/GMD-1839-1864.pdf#page=3","Abrir facsímil")</f>
        <v>Abrir facsímil</v>
      </c>
      <c r="K6826" s="12" t="s">
        <v>65</v>
      </c>
    </row>
    <row r="6827" spans="1:11" ht="40.049999999999997" customHeight="1" x14ac:dyDescent="0.25">
      <c r="A6827" s="11" t="s">
        <v>14395</v>
      </c>
      <c r="B6827" s="11" t="s">
        <v>14395</v>
      </c>
      <c r="C6827" s="11" t="s">
        <v>17</v>
      </c>
      <c r="D6827" s="11" t="s">
        <v>18</v>
      </c>
      <c r="E6827" s="12" t="s">
        <v>704</v>
      </c>
      <c r="F6827" s="12" t="s">
        <v>705</v>
      </c>
      <c r="G6827" s="12" t="s">
        <v>21</v>
      </c>
      <c r="H6827" s="11" t="s">
        <v>22</v>
      </c>
      <c r="I6827" s="13" t="s">
        <v>14396</v>
      </c>
      <c r="J6827" s="14" t="str">
        <f>HYPERLINK("https://www.boe.es/gazeta/dias/1839/03/02/pdfs/GMD-1839-1568.pdf#page=4","Abrir facsímil")</f>
        <v>Abrir facsímil</v>
      </c>
      <c r="K6827" s="12" t="s">
        <v>24</v>
      </c>
    </row>
    <row r="6828" spans="1:11" ht="40.049999999999997" customHeight="1" x14ac:dyDescent="0.25">
      <c r="A6828" s="11" t="s">
        <v>14395</v>
      </c>
      <c r="B6828" s="11" t="s">
        <v>14395</v>
      </c>
      <c r="C6828" s="11" t="s">
        <v>80</v>
      </c>
      <c r="D6828" s="11" t="s">
        <v>18</v>
      </c>
      <c r="E6828" s="12" t="s">
        <v>4451</v>
      </c>
      <c r="F6828" s="12" t="s">
        <v>4452</v>
      </c>
      <c r="G6828" s="12" t="s">
        <v>21</v>
      </c>
      <c r="H6828" s="11" t="s">
        <v>22</v>
      </c>
      <c r="I6828" s="13" t="s">
        <v>14397</v>
      </c>
      <c r="J6828" s="14" t="str">
        <f>HYPERLINK("https://www.boe.es/gazeta/dias/1839/12/02/pdfs/GMD-1839-1849.pdf#page=4","Abrir facsímil")</f>
        <v>Abrir facsímil</v>
      </c>
      <c r="K6828" s="12" t="s">
        <v>24</v>
      </c>
    </row>
    <row r="6829" spans="1:11" ht="40.049999999999997" customHeight="1" x14ac:dyDescent="0.25">
      <c r="A6829" s="11" t="s">
        <v>14395</v>
      </c>
      <c r="B6829" s="11" t="s">
        <v>14395</v>
      </c>
      <c r="C6829" s="11" t="s">
        <v>80</v>
      </c>
      <c r="D6829" s="11" t="s">
        <v>18</v>
      </c>
      <c r="E6829" s="12" t="s">
        <v>217</v>
      </c>
      <c r="F6829" s="12" t="s">
        <v>218</v>
      </c>
      <c r="G6829" s="12" t="s">
        <v>21</v>
      </c>
      <c r="H6829" s="11" t="s">
        <v>22</v>
      </c>
      <c r="I6829" s="13" t="s">
        <v>14398</v>
      </c>
      <c r="J6829" s="14" t="str">
        <f>HYPERLINK("https://www.boe.es/gazeta/dias/1839/08/06/pdfs/GMD-1839-1726.pdf#page=4","Abrir facsímil")</f>
        <v>Abrir facsímil</v>
      </c>
      <c r="K6829" s="12" t="s">
        <v>24</v>
      </c>
    </row>
    <row r="6830" spans="1:11" ht="40.049999999999997" customHeight="1" x14ac:dyDescent="0.25">
      <c r="A6830" s="11" t="s">
        <v>14395</v>
      </c>
      <c r="B6830" s="11" t="s">
        <v>14395</v>
      </c>
      <c r="C6830" s="11" t="s">
        <v>80</v>
      </c>
      <c r="D6830" s="11" t="s">
        <v>173</v>
      </c>
      <c r="E6830" s="12" t="s">
        <v>782</v>
      </c>
      <c r="F6830" s="12" t="s">
        <v>783</v>
      </c>
      <c r="G6830" s="12" t="s">
        <v>21</v>
      </c>
      <c r="H6830" s="11" t="s">
        <v>22</v>
      </c>
      <c r="I6830" s="13" t="s">
        <v>14399</v>
      </c>
      <c r="J6830" s="14" t="str">
        <f>HYPERLINK("https://www.boe.es/gazeta/dias/1839/05/09/pdfs/GMD-1839-1636.pdf#page=4","Abrir facsímil")</f>
        <v>Abrir facsímil</v>
      </c>
      <c r="K6830" s="12" t="s">
        <v>24</v>
      </c>
    </row>
    <row r="6831" spans="1:11" ht="40.049999999999997" customHeight="1" x14ac:dyDescent="0.25">
      <c r="A6831" s="11" t="s">
        <v>14395</v>
      </c>
      <c r="B6831" s="11" t="s">
        <v>14395</v>
      </c>
      <c r="C6831" s="11" t="s">
        <v>17</v>
      </c>
      <c r="D6831" s="11" t="s">
        <v>18</v>
      </c>
      <c r="E6831" s="12" t="s">
        <v>1123</v>
      </c>
      <c r="F6831" s="12" t="s">
        <v>1124</v>
      </c>
      <c r="G6831" s="12" t="s">
        <v>21</v>
      </c>
      <c r="H6831" s="11" t="s">
        <v>22</v>
      </c>
      <c r="I6831" s="13" t="s">
        <v>14400</v>
      </c>
      <c r="J6831" s="14" t="str">
        <f>HYPERLINK("https://www.boe.es/gazeta/dias/1839/08/10/pdfs/GMD-1839-1730.pdf#page=4","Abrir facsímil")</f>
        <v>Abrir facsímil</v>
      </c>
      <c r="K6831" s="12" t="s">
        <v>24</v>
      </c>
    </row>
    <row r="6832" spans="1:11" ht="40.049999999999997" customHeight="1" x14ac:dyDescent="0.25">
      <c r="A6832" s="11" t="s">
        <v>14395</v>
      </c>
      <c r="B6832" s="11" t="s">
        <v>14395</v>
      </c>
      <c r="C6832" s="11" t="s">
        <v>137</v>
      </c>
      <c r="D6832" s="11" t="s">
        <v>18</v>
      </c>
      <c r="E6832" s="12" t="s">
        <v>168</v>
      </c>
      <c r="F6832" s="12" t="s">
        <v>169</v>
      </c>
      <c r="G6832" s="12" t="s">
        <v>21</v>
      </c>
      <c r="H6832" s="11" t="s">
        <v>22</v>
      </c>
      <c r="I6832" s="13" t="s">
        <v>14401</v>
      </c>
      <c r="J6832" s="14" t="str">
        <f>HYPERLINK("https://www.boe.es/gazeta/dias/1839/07/12/pdfs/GMD-1839-1700.pdf#page=4","Abrir facsímil")</f>
        <v>Abrir facsímil</v>
      </c>
      <c r="K6832" s="12" t="s">
        <v>24</v>
      </c>
    </row>
    <row r="6833" spans="1:11" ht="40.049999999999997" customHeight="1" x14ac:dyDescent="0.25">
      <c r="A6833" s="11" t="s">
        <v>14395</v>
      </c>
      <c r="B6833" s="11" t="s">
        <v>14395</v>
      </c>
      <c r="C6833" s="11" t="s">
        <v>17</v>
      </c>
      <c r="D6833" s="11" t="s">
        <v>18</v>
      </c>
      <c r="E6833" s="12" t="s">
        <v>163</v>
      </c>
      <c r="F6833" s="12" t="s">
        <v>164</v>
      </c>
      <c r="G6833" s="12" t="s">
        <v>21</v>
      </c>
      <c r="H6833" s="11" t="s">
        <v>22</v>
      </c>
      <c r="I6833" s="13" t="s">
        <v>14402</v>
      </c>
      <c r="J6833" s="14" t="str">
        <f>HYPERLINK("https://www.boe.es/gazeta/dias/1839/01/13/pdfs/GMD-1839-1520.pdf#page=4","Abrir facsímil")</f>
        <v>Abrir facsímil</v>
      </c>
      <c r="K6833" s="12" t="s">
        <v>24</v>
      </c>
    </row>
    <row r="6834" spans="1:11" ht="40.049999999999997" customHeight="1" x14ac:dyDescent="0.25">
      <c r="A6834" s="11" t="s">
        <v>14395</v>
      </c>
      <c r="B6834" s="11" t="s">
        <v>14395</v>
      </c>
      <c r="C6834" s="11" t="s">
        <v>17</v>
      </c>
      <c r="D6834" s="11" t="s">
        <v>18</v>
      </c>
      <c r="E6834" s="12" t="s">
        <v>510</v>
      </c>
      <c r="F6834" s="12" t="s">
        <v>511</v>
      </c>
      <c r="G6834" s="12" t="s">
        <v>21</v>
      </c>
      <c r="H6834" s="11" t="s">
        <v>22</v>
      </c>
      <c r="I6834" s="13" t="s">
        <v>14403</v>
      </c>
      <c r="J6834" s="14" t="str">
        <f>HYPERLINK("https://www.boe.es/gazeta/dias/1839/05/13/pdfs/GMD-1839-1640.pdf#page=4","Abrir facsímil")</f>
        <v>Abrir facsímil</v>
      </c>
      <c r="K6834" s="12" t="s">
        <v>24</v>
      </c>
    </row>
    <row r="6835" spans="1:11" ht="40.049999999999997" customHeight="1" x14ac:dyDescent="0.25">
      <c r="A6835" s="11" t="s">
        <v>14395</v>
      </c>
      <c r="B6835" s="11" t="s">
        <v>14395</v>
      </c>
      <c r="C6835" s="11" t="s">
        <v>17</v>
      </c>
      <c r="D6835" s="11" t="s">
        <v>18</v>
      </c>
      <c r="E6835" s="12" t="s">
        <v>621</v>
      </c>
      <c r="F6835" s="12" t="s">
        <v>622</v>
      </c>
      <c r="G6835" s="12" t="s">
        <v>21</v>
      </c>
      <c r="H6835" s="11" t="s">
        <v>22</v>
      </c>
      <c r="I6835" s="13" t="s">
        <v>14404</v>
      </c>
      <c r="J6835" s="14" t="str">
        <f>HYPERLINK("https://www.boe.es/gazeta/dias/1839/04/14/pdfs/GMD-1839-1611.pdf#page=4","Abrir facsímil")</f>
        <v>Abrir facsímil</v>
      </c>
      <c r="K6835" s="12" t="s">
        <v>24</v>
      </c>
    </row>
    <row r="6836" spans="1:11" ht="40.049999999999997" customHeight="1" x14ac:dyDescent="0.25">
      <c r="A6836" s="11" t="s">
        <v>14395</v>
      </c>
      <c r="B6836" s="11" t="s">
        <v>14395</v>
      </c>
      <c r="C6836" s="11" t="s">
        <v>80</v>
      </c>
      <c r="D6836" s="11" t="s">
        <v>18</v>
      </c>
      <c r="E6836" s="12" t="s">
        <v>2374</v>
      </c>
      <c r="F6836" s="12" t="s">
        <v>2375</v>
      </c>
      <c r="G6836" s="12" t="s">
        <v>21</v>
      </c>
      <c r="H6836" s="11" t="s">
        <v>22</v>
      </c>
      <c r="I6836" s="13" t="s">
        <v>14405</v>
      </c>
      <c r="J6836" s="14" t="str">
        <f>HYPERLINK("https://www.boe.es/gazeta/dias/1839/06/14/pdfs/GMD-1839-1672.pdf#page=4","Abrir facsímil")</f>
        <v>Abrir facsímil</v>
      </c>
      <c r="K6836" s="12" t="s">
        <v>24</v>
      </c>
    </row>
    <row r="6837" spans="1:11" ht="40.049999999999997" customHeight="1" x14ac:dyDescent="0.25">
      <c r="A6837" s="11" t="s">
        <v>14395</v>
      </c>
      <c r="B6837" s="11" t="s">
        <v>14395</v>
      </c>
      <c r="C6837" s="11" t="s">
        <v>17</v>
      </c>
      <c r="D6837" s="11" t="s">
        <v>18</v>
      </c>
      <c r="E6837" s="12" t="s">
        <v>2995</v>
      </c>
      <c r="F6837" s="12" t="s">
        <v>2996</v>
      </c>
      <c r="G6837" s="12" t="s">
        <v>46</v>
      </c>
      <c r="H6837" s="11" t="s">
        <v>22</v>
      </c>
      <c r="I6837" s="13" t="s">
        <v>14406</v>
      </c>
      <c r="J6837" s="14" t="str">
        <f>HYPERLINK("https://www.boe.es/gazeta/dias/1839/06/16/pdfs/GMD-1839-1674.pdf#page=3","Abrir facsímil")</f>
        <v>Abrir facsímil</v>
      </c>
      <c r="K6837" s="12" t="s">
        <v>24</v>
      </c>
    </row>
    <row r="6838" spans="1:11" ht="40.049999999999997" customHeight="1" x14ac:dyDescent="0.25">
      <c r="A6838" s="11" t="s">
        <v>14395</v>
      </c>
      <c r="B6838" s="11" t="s">
        <v>14395</v>
      </c>
      <c r="C6838" s="11" t="s">
        <v>17</v>
      </c>
      <c r="D6838" s="11" t="s">
        <v>18</v>
      </c>
      <c r="E6838" s="12" t="s">
        <v>1565</v>
      </c>
      <c r="F6838" s="12" t="s">
        <v>1566</v>
      </c>
      <c r="G6838" s="12" t="s">
        <v>21</v>
      </c>
      <c r="H6838" s="11" t="s">
        <v>22</v>
      </c>
      <c r="I6838" s="13" t="s">
        <v>14407</v>
      </c>
      <c r="J6838" s="14" t="str">
        <f>HYPERLINK("https://www.boe.es/gazeta/dias/1839/06/17/pdfs/GMD-1839-1675.pdf#page=4","Abrir facsímil")</f>
        <v>Abrir facsímil</v>
      </c>
      <c r="K6838" s="12" t="s">
        <v>24</v>
      </c>
    </row>
    <row r="6839" spans="1:11" ht="40.049999999999997" customHeight="1" x14ac:dyDescent="0.25">
      <c r="A6839" s="11" t="s">
        <v>14395</v>
      </c>
      <c r="B6839" s="11" t="s">
        <v>14395</v>
      </c>
      <c r="C6839" s="11" t="s">
        <v>17</v>
      </c>
      <c r="D6839" s="11" t="s">
        <v>18</v>
      </c>
      <c r="E6839" s="12" t="s">
        <v>1406</v>
      </c>
      <c r="F6839" s="12" t="s">
        <v>1407</v>
      </c>
      <c r="G6839" s="12" t="s">
        <v>21</v>
      </c>
      <c r="H6839" s="11" t="s">
        <v>22</v>
      </c>
      <c r="I6839" s="13" t="s">
        <v>14408</v>
      </c>
      <c r="J6839" s="14" t="str">
        <f>HYPERLINK("https://www.boe.es/gazeta/dias/1839/07/18/pdfs/GMD-1839-1706.pdf#page=4","Abrir facsímil")</f>
        <v>Abrir facsímil</v>
      </c>
      <c r="K6839" s="12" t="s">
        <v>24</v>
      </c>
    </row>
    <row r="6840" spans="1:11" ht="40.049999999999997" customHeight="1" x14ac:dyDescent="0.25">
      <c r="A6840" s="11" t="s">
        <v>14395</v>
      </c>
      <c r="B6840" s="11" t="s">
        <v>14395</v>
      </c>
      <c r="C6840" s="11" t="s">
        <v>17</v>
      </c>
      <c r="D6840" s="11" t="s">
        <v>18</v>
      </c>
      <c r="E6840" s="12" t="s">
        <v>794</v>
      </c>
      <c r="F6840" s="12" t="s">
        <v>795</v>
      </c>
      <c r="G6840" s="12" t="s">
        <v>21</v>
      </c>
      <c r="H6840" s="11" t="s">
        <v>22</v>
      </c>
      <c r="I6840" s="13" t="s">
        <v>14409</v>
      </c>
      <c r="J6840" s="14" t="str">
        <f>HYPERLINK("https://www.boe.es/gazeta/dias/1839/01/22/pdfs/GMD-1839-1529.pdf#page=4","Abrir facsímil")</f>
        <v>Abrir facsímil</v>
      </c>
      <c r="K6840" s="12" t="s">
        <v>24</v>
      </c>
    </row>
    <row r="6841" spans="1:11" ht="40.049999999999997" customHeight="1" x14ac:dyDescent="0.25">
      <c r="A6841" s="11" t="s">
        <v>14395</v>
      </c>
      <c r="B6841" s="11" t="s">
        <v>14395</v>
      </c>
      <c r="C6841" s="11" t="s">
        <v>17</v>
      </c>
      <c r="D6841" s="11" t="s">
        <v>18</v>
      </c>
      <c r="E6841" s="12" t="s">
        <v>1666</v>
      </c>
      <c r="F6841" s="12" t="s">
        <v>1667</v>
      </c>
      <c r="G6841" s="12" t="s">
        <v>21</v>
      </c>
      <c r="H6841" s="11" t="s">
        <v>22</v>
      </c>
      <c r="I6841" s="13" t="s">
        <v>14410</v>
      </c>
      <c r="J6841" s="14" t="str">
        <f>HYPERLINK("https://www.boe.es/gazeta/dias/1839/04/22/pdfs/GMD-1839-1619.pdf#page=4","Abrir facsímil")</f>
        <v>Abrir facsímil</v>
      </c>
      <c r="K6841" s="12" t="s">
        <v>24</v>
      </c>
    </row>
    <row r="6842" spans="1:11" ht="40.049999999999997" customHeight="1" x14ac:dyDescent="0.25">
      <c r="A6842" s="11" t="s">
        <v>14395</v>
      </c>
      <c r="B6842" s="11" t="s">
        <v>14395</v>
      </c>
      <c r="C6842" s="11" t="s">
        <v>80</v>
      </c>
      <c r="D6842" s="11" t="s">
        <v>18</v>
      </c>
      <c r="E6842" s="12" t="s">
        <v>239</v>
      </c>
      <c r="F6842" s="12" t="s">
        <v>240</v>
      </c>
      <c r="G6842" s="12" t="s">
        <v>21</v>
      </c>
      <c r="H6842" s="11" t="s">
        <v>22</v>
      </c>
      <c r="I6842" s="13" t="s">
        <v>14411</v>
      </c>
      <c r="J6842" s="14" t="str">
        <f>HYPERLINK("https://www.boe.es/gazeta/dias/1839/09/22/pdfs/GMD-1839-1777.pdf#page=4","Abrir facsímil")</f>
        <v>Abrir facsímil</v>
      </c>
      <c r="K6842" s="12" t="s">
        <v>24</v>
      </c>
    </row>
    <row r="6843" spans="1:11" ht="40.049999999999997" customHeight="1" x14ac:dyDescent="0.25">
      <c r="A6843" s="11" t="s">
        <v>14395</v>
      </c>
      <c r="B6843" s="11" t="s">
        <v>14395</v>
      </c>
      <c r="C6843" s="11" t="s">
        <v>17</v>
      </c>
      <c r="D6843" s="11" t="s">
        <v>18</v>
      </c>
      <c r="E6843" s="12" t="s">
        <v>243</v>
      </c>
      <c r="F6843" s="12" t="s">
        <v>244</v>
      </c>
      <c r="G6843" s="12" t="s">
        <v>21</v>
      </c>
      <c r="H6843" s="11" t="s">
        <v>22</v>
      </c>
      <c r="I6843" s="13" t="s">
        <v>14412</v>
      </c>
      <c r="J6843" s="14" t="str">
        <f>HYPERLINK("https://www.boe.es/gazeta/dias/1839/09/23/pdfs/GMD-1839-1779.pdf#page=4","Abrir facsímil")</f>
        <v>Abrir facsímil</v>
      </c>
      <c r="K6843" s="12" t="s">
        <v>24</v>
      </c>
    </row>
    <row r="6844" spans="1:11" ht="40.049999999999997" customHeight="1" x14ac:dyDescent="0.25">
      <c r="A6844" s="11" t="s">
        <v>14395</v>
      </c>
      <c r="B6844" s="11" t="s">
        <v>14395</v>
      </c>
      <c r="C6844" s="11" t="s">
        <v>101</v>
      </c>
      <c r="D6844" s="11" t="s">
        <v>102</v>
      </c>
      <c r="E6844" s="12" t="s">
        <v>479</v>
      </c>
      <c r="F6844" s="12" t="s">
        <v>480</v>
      </c>
      <c r="G6844" s="12" t="s">
        <v>21</v>
      </c>
      <c r="H6844" s="11" t="s">
        <v>22</v>
      </c>
      <c r="I6844" s="13" t="s">
        <v>14413</v>
      </c>
      <c r="J6844" s="14" t="str">
        <f>HYPERLINK("https://www.boe.es/gazeta/dias/1839/06/24/pdfs/GMD-1839-1682.pdf#page=4","Abrir facsímil")</f>
        <v>Abrir facsímil</v>
      </c>
      <c r="K6844" s="12" t="s">
        <v>24</v>
      </c>
    </row>
    <row r="6845" spans="1:11" ht="40.049999999999997" customHeight="1" x14ac:dyDescent="0.25">
      <c r="A6845" s="11" t="s">
        <v>14395</v>
      </c>
      <c r="B6845" s="11" t="s">
        <v>14395</v>
      </c>
      <c r="C6845" s="11" t="s">
        <v>80</v>
      </c>
      <c r="D6845" s="11" t="s">
        <v>173</v>
      </c>
      <c r="E6845" s="12" t="s">
        <v>4787</v>
      </c>
      <c r="F6845" s="12" t="s">
        <v>4788</v>
      </c>
      <c r="G6845" s="12" t="s">
        <v>21</v>
      </c>
      <c r="H6845" s="11" t="s">
        <v>22</v>
      </c>
      <c r="I6845" s="13" t="s">
        <v>14414</v>
      </c>
      <c r="J6845" s="14" t="str">
        <f>HYPERLINK("https://www.boe.es/gazeta/dias/1839/05/26/pdfs/GMD-1839-1653.pdf#page=4","Abrir facsímil")</f>
        <v>Abrir facsímil</v>
      </c>
      <c r="K6845" s="12" t="s">
        <v>24</v>
      </c>
    </row>
    <row r="6846" spans="1:11" ht="40.049999999999997" customHeight="1" x14ac:dyDescent="0.25">
      <c r="A6846" s="11" t="s">
        <v>14395</v>
      </c>
      <c r="B6846" s="11" t="s">
        <v>14395</v>
      </c>
      <c r="C6846" s="11" t="s">
        <v>17</v>
      </c>
      <c r="D6846" s="11" t="s">
        <v>18</v>
      </c>
      <c r="E6846" s="12" t="s">
        <v>1682</v>
      </c>
      <c r="F6846" s="12" t="s">
        <v>1683</v>
      </c>
      <c r="G6846" s="12" t="s">
        <v>21</v>
      </c>
      <c r="H6846" s="11" t="s">
        <v>22</v>
      </c>
      <c r="I6846" s="13" t="s">
        <v>14415</v>
      </c>
      <c r="J6846" s="14" t="str">
        <f>HYPERLINK("https://www.boe.es/gazeta/dias/1839/12/26/pdfs/GMD-1839-1873.pdf#page=4","Abrir facsímil")</f>
        <v>Abrir facsímil</v>
      </c>
      <c r="K6846" s="12" t="s">
        <v>24</v>
      </c>
    </row>
    <row r="6847" spans="1:11" ht="40.049999999999997" customHeight="1" x14ac:dyDescent="0.25">
      <c r="A6847" s="11" t="s">
        <v>14395</v>
      </c>
      <c r="B6847" s="11" t="s">
        <v>14395</v>
      </c>
      <c r="C6847" s="11" t="s">
        <v>17</v>
      </c>
      <c r="D6847" s="11" t="s">
        <v>18</v>
      </c>
      <c r="E6847" s="12" t="s">
        <v>1474</v>
      </c>
      <c r="F6847" s="12" t="s">
        <v>1475</v>
      </c>
      <c r="G6847" s="12" t="s">
        <v>21</v>
      </c>
      <c r="H6847" s="11" t="s">
        <v>22</v>
      </c>
      <c r="I6847" s="13" t="s">
        <v>14416</v>
      </c>
      <c r="J6847" s="14" t="str">
        <f>HYPERLINK("https://www.boe.es/gazeta/dias/1839/02/28/pdfs/GMD-1839-1566.pdf#page=4","Abrir facsímil")</f>
        <v>Abrir facsímil</v>
      </c>
      <c r="K6847" s="12" t="s">
        <v>24</v>
      </c>
    </row>
    <row r="6848" spans="1:11" ht="40.049999999999997" customHeight="1" x14ac:dyDescent="0.25">
      <c r="A6848" s="11" t="s">
        <v>14395</v>
      </c>
      <c r="B6848" s="11" t="s">
        <v>14395</v>
      </c>
      <c r="C6848" s="11" t="s">
        <v>80</v>
      </c>
      <c r="D6848" s="11" t="s">
        <v>18</v>
      </c>
      <c r="E6848" s="12" t="s">
        <v>1988</v>
      </c>
      <c r="F6848" s="12" t="s">
        <v>1989</v>
      </c>
      <c r="G6848" s="12" t="s">
        <v>305</v>
      </c>
      <c r="H6848" s="11" t="s">
        <v>22</v>
      </c>
      <c r="I6848" s="13" t="s">
        <v>14417</v>
      </c>
      <c r="J6848" s="14" t="str">
        <f>HYPERLINK("https://www.boe.es/gazeta/dias/1839/10/29/pdfs/GMD-1839-1815.pdf#page=6","Abrir facsímil")</f>
        <v>Abrir facsímil</v>
      </c>
      <c r="K6848" s="12" t="s">
        <v>24</v>
      </c>
    </row>
    <row r="6849" spans="1:11" ht="40.049999999999997" customHeight="1" x14ac:dyDescent="0.25">
      <c r="A6849" s="11" t="s">
        <v>14395</v>
      </c>
      <c r="B6849" s="11" t="s">
        <v>14395</v>
      </c>
      <c r="C6849" s="11" t="s">
        <v>17</v>
      </c>
      <c r="D6849" s="11" t="s">
        <v>18</v>
      </c>
      <c r="E6849" s="12" t="s">
        <v>929</v>
      </c>
      <c r="F6849" s="12" t="s">
        <v>930</v>
      </c>
      <c r="G6849" s="12" t="s">
        <v>21</v>
      </c>
      <c r="H6849" s="11" t="s">
        <v>22</v>
      </c>
      <c r="I6849" s="13" t="s">
        <v>14418</v>
      </c>
      <c r="J6849" s="14" t="str">
        <f>HYPERLINK("https://www.boe.es/gazeta/dias/1839/01/31/pdfs/GMD-1839-1538.pdf#page=4","Abrir facsímil")</f>
        <v>Abrir facsímil</v>
      </c>
      <c r="K6849" s="12" t="s">
        <v>24</v>
      </c>
    </row>
    <row r="6850" spans="1:11" ht="40.049999999999997" customHeight="1" x14ac:dyDescent="0.25">
      <c r="A6850" s="11" t="s">
        <v>14419</v>
      </c>
      <c r="B6850" s="11" t="s">
        <v>14419</v>
      </c>
      <c r="C6850" s="11" t="s">
        <v>17</v>
      </c>
      <c r="D6850" s="11" t="s">
        <v>18</v>
      </c>
      <c r="E6850" s="12" t="s">
        <v>1772</v>
      </c>
      <c r="F6850" s="12" t="s">
        <v>1773</v>
      </c>
      <c r="G6850" s="12" t="s">
        <v>46</v>
      </c>
      <c r="H6850" s="11" t="s">
        <v>63</v>
      </c>
      <c r="I6850" s="13" t="s">
        <v>14420</v>
      </c>
      <c r="J6850" s="14" t="str">
        <f>HYPERLINK("https://www.boe.es/gazeta/dias/1839/05/07/pdfs/GMD-1839-1634.pdf#page=3","Abrir facsímil")</f>
        <v>Abrir facsímil</v>
      </c>
      <c r="K6850" s="12" t="s">
        <v>65</v>
      </c>
    </row>
    <row r="6851" spans="1:11" ht="40.049999999999997" customHeight="1" x14ac:dyDescent="0.25">
      <c r="A6851" s="11" t="s">
        <v>14421</v>
      </c>
      <c r="B6851" s="11" t="s">
        <v>14421</v>
      </c>
      <c r="C6851" s="11" t="s">
        <v>80</v>
      </c>
      <c r="D6851" s="11" t="s">
        <v>18</v>
      </c>
      <c r="E6851" s="12" t="s">
        <v>340</v>
      </c>
      <c r="F6851" s="12" t="s">
        <v>341</v>
      </c>
      <c r="G6851" s="12" t="s">
        <v>21</v>
      </c>
      <c r="H6851" s="11" t="s">
        <v>22</v>
      </c>
      <c r="I6851" s="13" t="s">
        <v>14422</v>
      </c>
      <c r="J6851" s="14" t="str">
        <f>HYPERLINK("https://www.boe.es/gazeta/dias/1839/03/19/pdfs/GMD-1839-1585.pdf#page=4","Abrir facsímil")</f>
        <v>Abrir facsímil</v>
      </c>
      <c r="K6851" s="12" t="s">
        <v>24</v>
      </c>
    </row>
    <row r="6852" spans="1:11" ht="40.049999999999997" customHeight="1" x14ac:dyDescent="0.25">
      <c r="A6852" s="11" t="s">
        <v>14423</v>
      </c>
      <c r="B6852" s="11" t="s">
        <v>14423</v>
      </c>
      <c r="C6852" s="11" t="s">
        <v>17</v>
      </c>
      <c r="D6852" s="11" t="s">
        <v>18</v>
      </c>
      <c r="E6852" s="12" t="s">
        <v>202</v>
      </c>
      <c r="F6852" s="12" t="s">
        <v>203</v>
      </c>
      <c r="G6852" s="12" t="s">
        <v>46</v>
      </c>
      <c r="H6852" s="11" t="s">
        <v>63</v>
      </c>
      <c r="I6852" s="13" t="s">
        <v>14424</v>
      </c>
      <c r="J6852" s="14" t="str">
        <f>HYPERLINK("https://www.boe.es/gazeta/dias/1839/04/05/pdfs/GMD-1839-1602.pdf#page=3","Abrir facsímil")</f>
        <v>Abrir facsímil</v>
      </c>
      <c r="K6852" s="12" t="s">
        <v>65</v>
      </c>
    </row>
    <row r="6853" spans="1:11" ht="40.049999999999997" customHeight="1" x14ac:dyDescent="0.25">
      <c r="A6853" s="11" t="s">
        <v>14423</v>
      </c>
      <c r="B6853" s="11" t="s">
        <v>14423</v>
      </c>
      <c r="C6853" s="11" t="s">
        <v>17</v>
      </c>
      <c r="D6853" s="11" t="s">
        <v>18</v>
      </c>
      <c r="E6853" s="12" t="s">
        <v>2881</v>
      </c>
      <c r="F6853" s="12" t="s">
        <v>2882</v>
      </c>
      <c r="G6853" s="12" t="s">
        <v>40</v>
      </c>
      <c r="H6853" s="11" t="s">
        <v>63</v>
      </c>
      <c r="I6853" s="13" t="s">
        <v>14425</v>
      </c>
      <c r="J6853" s="14" t="str">
        <f>HYPERLINK("https://www.boe.es/gazeta/dias/1839/05/08/pdfs/GMD-1839-1635.pdf#page=2","Abrir facsímil")</f>
        <v>Abrir facsímil</v>
      </c>
      <c r="K6853" s="12" t="s">
        <v>65</v>
      </c>
    </row>
    <row r="6854" spans="1:11" ht="40.049999999999997" customHeight="1" x14ac:dyDescent="0.25">
      <c r="A6854" s="11" t="s">
        <v>14423</v>
      </c>
      <c r="B6854" s="11" t="s">
        <v>14423</v>
      </c>
      <c r="C6854" s="11" t="s">
        <v>17</v>
      </c>
      <c r="D6854" s="11" t="s">
        <v>18</v>
      </c>
      <c r="E6854" s="12" t="s">
        <v>462</v>
      </c>
      <c r="F6854" s="12" t="s">
        <v>463</v>
      </c>
      <c r="G6854" s="12" t="s">
        <v>46</v>
      </c>
      <c r="H6854" s="11" t="s">
        <v>63</v>
      </c>
      <c r="I6854" s="13" t="s">
        <v>14426</v>
      </c>
      <c r="J6854" s="14" t="str">
        <f>HYPERLINK("https://www.boe.es/gazeta/dias/1839/06/19/pdfs/GMD-1839-1677.pdf#page=3","Abrir facsímil")</f>
        <v>Abrir facsímil</v>
      </c>
      <c r="K6854" s="12" t="s">
        <v>65</v>
      </c>
    </row>
    <row r="6855" spans="1:11" ht="40.049999999999997" customHeight="1" x14ac:dyDescent="0.25">
      <c r="A6855" s="11" t="s">
        <v>14423</v>
      </c>
      <c r="B6855" s="11" t="s">
        <v>14423</v>
      </c>
      <c r="C6855" s="11" t="s">
        <v>101</v>
      </c>
      <c r="D6855" s="11" t="s">
        <v>43</v>
      </c>
      <c r="E6855" s="12" t="s">
        <v>695</v>
      </c>
      <c r="F6855" s="12" t="s">
        <v>696</v>
      </c>
      <c r="G6855" s="12" t="s">
        <v>46</v>
      </c>
      <c r="H6855" s="11" t="s">
        <v>63</v>
      </c>
      <c r="I6855" s="13" t="s">
        <v>14427</v>
      </c>
      <c r="J6855" s="14" t="str">
        <f>HYPERLINK("https://www.boe.es/gazeta/dias/1839/12/19/pdfs/GMD-1839-1866.pdf#page=3","Abrir facsímil")</f>
        <v>Abrir facsímil</v>
      </c>
      <c r="K6855" s="12" t="s">
        <v>65</v>
      </c>
    </row>
    <row r="6856" spans="1:11" ht="40.049999999999997" customHeight="1" x14ac:dyDescent="0.25">
      <c r="A6856" s="11" t="s">
        <v>14423</v>
      </c>
      <c r="B6856" s="11" t="s">
        <v>14423</v>
      </c>
      <c r="C6856" s="11" t="s">
        <v>17</v>
      </c>
      <c r="D6856" s="11" t="s">
        <v>18</v>
      </c>
      <c r="E6856" s="12" t="s">
        <v>1284</v>
      </c>
      <c r="F6856" s="12" t="s">
        <v>1285</v>
      </c>
      <c r="G6856" s="12" t="s">
        <v>40</v>
      </c>
      <c r="H6856" s="11" t="s">
        <v>63</v>
      </c>
      <c r="I6856" s="13" t="s">
        <v>14428</v>
      </c>
      <c r="J6856" s="14" t="str">
        <f>HYPERLINK("https://www.boe.es/gazeta/dias/1839/03/27/pdfs/GMD-1839-1593.pdf#page=2","Abrir facsímil")</f>
        <v>Abrir facsímil</v>
      </c>
      <c r="K6856" s="12" t="s">
        <v>65</v>
      </c>
    </row>
    <row r="6857" spans="1:11" ht="40.049999999999997" customHeight="1" x14ac:dyDescent="0.25">
      <c r="A6857" s="11" t="s">
        <v>14429</v>
      </c>
      <c r="B6857" s="11" t="s">
        <v>14430</v>
      </c>
      <c r="C6857" s="11" t="s">
        <v>17</v>
      </c>
      <c r="D6857" s="11" t="s">
        <v>18</v>
      </c>
      <c r="E6857" s="12" t="s">
        <v>202</v>
      </c>
      <c r="F6857" s="12" t="s">
        <v>203</v>
      </c>
      <c r="G6857" s="12" t="s">
        <v>21</v>
      </c>
      <c r="H6857" s="11" t="s">
        <v>63</v>
      </c>
      <c r="I6857" s="13" t="s">
        <v>14431</v>
      </c>
      <c r="J6857" s="14" t="str">
        <f>HYPERLINK("https://www.boe.es/gazeta/dias/1839/04/05/pdfs/GMD-1839-1602.pdf#page=4","Abrir facsímil")</f>
        <v>Abrir facsímil</v>
      </c>
      <c r="K6857" s="12" t="s">
        <v>65</v>
      </c>
    </row>
    <row r="6858" spans="1:11" ht="40.049999999999997" customHeight="1" x14ac:dyDescent="0.25">
      <c r="A6858" s="11" t="s">
        <v>14429</v>
      </c>
      <c r="B6858" s="11" t="s">
        <v>14430</v>
      </c>
      <c r="C6858" s="11" t="s">
        <v>17</v>
      </c>
      <c r="D6858" s="11" t="s">
        <v>18</v>
      </c>
      <c r="E6858" s="12" t="s">
        <v>4108</v>
      </c>
      <c r="F6858" s="12" t="s">
        <v>4109</v>
      </c>
      <c r="G6858" s="12" t="s">
        <v>21</v>
      </c>
      <c r="H6858" s="11" t="s">
        <v>63</v>
      </c>
      <c r="I6858" s="13" t="s">
        <v>14432</v>
      </c>
      <c r="J6858" s="14" t="str">
        <f>HYPERLINK("https://www.boe.es/gazeta/dias/1839/03/23/pdfs/GMD-1839-1589.pdf#page=4","Abrir facsímil")</f>
        <v>Abrir facsímil</v>
      </c>
      <c r="K6858" s="12" t="s">
        <v>65</v>
      </c>
    </row>
    <row r="6859" spans="1:11" ht="40.049999999999997" customHeight="1" x14ac:dyDescent="0.25">
      <c r="A6859" s="11" t="s">
        <v>14433</v>
      </c>
      <c r="B6859" s="11" t="s">
        <v>14434</v>
      </c>
      <c r="C6859" s="11" t="s">
        <v>17</v>
      </c>
      <c r="D6859" s="11" t="s">
        <v>18</v>
      </c>
      <c r="E6859" s="12" t="s">
        <v>262</v>
      </c>
      <c r="F6859" s="12" t="s">
        <v>263</v>
      </c>
      <c r="G6859" s="12" t="s">
        <v>46</v>
      </c>
      <c r="H6859" s="11" t="s">
        <v>63</v>
      </c>
      <c r="I6859" s="13" t="s">
        <v>14435</v>
      </c>
      <c r="J6859" s="14" t="str">
        <f>HYPERLINK("https://www.boe.es/gazeta/dias/1839/01/01/pdfs/GMD-1839-1508.pdf#page=3","Abrir facsímil")</f>
        <v>Abrir facsímil</v>
      </c>
      <c r="K6859" s="12" t="s">
        <v>65</v>
      </c>
    </row>
    <row r="6860" spans="1:11" ht="40.049999999999997" customHeight="1" x14ac:dyDescent="0.25">
      <c r="A6860" s="11" t="s">
        <v>14436</v>
      </c>
      <c r="B6860" s="11" t="s">
        <v>14437</v>
      </c>
      <c r="C6860" s="11" t="s">
        <v>17</v>
      </c>
      <c r="D6860" s="11" t="s">
        <v>18</v>
      </c>
      <c r="E6860" s="12" t="s">
        <v>695</v>
      </c>
      <c r="F6860" s="12" t="s">
        <v>696</v>
      </c>
      <c r="G6860" s="12" t="s">
        <v>21</v>
      </c>
      <c r="H6860" s="11" t="s">
        <v>63</v>
      </c>
      <c r="I6860" s="13" t="s">
        <v>14438</v>
      </c>
      <c r="J6860" s="14" t="str">
        <f>HYPERLINK("https://www.boe.es/gazeta/dias/1839/12/19/pdfs/GMD-1839-1866.pdf#page=4","Abrir facsímil")</f>
        <v>Abrir facsímil</v>
      </c>
      <c r="K6860" s="12" t="s">
        <v>65</v>
      </c>
    </row>
    <row r="6861" spans="1:11" ht="40.049999999999997" customHeight="1" x14ac:dyDescent="0.25">
      <c r="A6861" s="11" t="s">
        <v>14439</v>
      </c>
      <c r="B6861" s="11" t="s">
        <v>14440</v>
      </c>
      <c r="C6861" s="11" t="s">
        <v>59</v>
      </c>
      <c r="D6861" s="11" t="s">
        <v>60</v>
      </c>
      <c r="E6861" s="12" t="s">
        <v>61</v>
      </c>
      <c r="F6861" s="12" t="s">
        <v>62</v>
      </c>
      <c r="G6861" s="12" t="s">
        <v>21</v>
      </c>
      <c r="H6861" s="11" t="s">
        <v>63</v>
      </c>
      <c r="I6861" s="13" t="s">
        <v>14441</v>
      </c>
      <c r="J6861" s="14" t="str">
        <f>HYPERLINK("https://www.boe.es/gazeta/dias/1839/09/10/pdfs/GMD-1839-1763.pdf#page=4","Abrir facsímil")</f>
        <v>Abrir facsímil</v>
      </c>
      <c r="K6861" s="12" t="s">
        <v>65</v>
      </c>
    </row>
    <row r="6862" spans="1:11" ht="40.049999999999997" customHeight="1" x14ac:dyDescent="0.25">
      <c r="A6862" s="11" t="s">
        <v>14442</v>
      </c>
      <c r="B6862" s="11" t="s">
        <v>14443</v>
      </c>
      <c r="C6862" s="11" t="s">
        <v>59</v>
      </c>
      <c r="D6862" s="11" t="s">
        <v>60</v>
      </c>
      <c r="E6862" s="12" t="s">
        <v>462</v>
      </c>
      <c r="F6862" s="12" t="s">
        <v>463</v>
      </c>
      <c r="G6862" s="12" t="s">
        <v>46</v>
      </c>
      <c r="H6862" s="11" t="s">
        <v>63</v>
      </c>
      <c r="I6862" s="13" t="s">
        <v>14444</v>
      </c>
      <c r="J6862" s="14" t="str">
        <f>HYPERLINK("https://www.boe.es/gazeta/dias/1839/06/19/pdfs/GMD-1839-1677.pdf#page=3","Abrir facsímil")</f>
        <v>Abrir facsímil</v>
      </c>
      <c r="K6862" s="12" t="s">
        <v>65</v>
      </c>
    </row>
    <row r="6863" spans="1:11" ht="40.049999999999997" customHeight="1" x14ac:dyDescent="0.25">
      <c r="A6863" s="11" t="s">
        <v>14445</v>
      </c>
      <c r="B6863" s="11" t="s">
        <v>14446</v>
      </c>
      <c r="C6863" s="11" t="s">
        <v>101</v>
      </c>
      <c r="D6863" s="11" t="s">
        <v>102</v>
      </c>
      <c r="E6863" s="12" t="s">
        <v>1057</v>
      </c>
      <c r="F6863" s="12" t="s">
        <v>1058</v>
      </c>
      <c r="G6863" s="12" t="s">
        <v>305</v>
      </c>
      <c r="H6863" s="11" t="s">
        <v>63</v>
      </c>
      <c r="I6863" s="13" t="s">
        <v>14447</v>
      </c>
      <c r="J6863" s="14" t="str">
        <f>HYPERLINK("https://www.boe.es/gazeta/dias/1839/10/01/pdfs/GMD-1839-1787.pdf#page=6","Abrir facsímil")</f>
        <v>Abrir facsímil</v>
      </c>
      <c r="K6863" s="12" t="s">
        <v>65</v>
      </c>
    </row>
    <row r="6864" spans="1:11" ht="40.049999999999997" customHeight="1" x14ac:dyDescent="0.25">
      <c r="A6864" s="11" t="s">
        <v>14448</v>
      </c>
      <c r="B6864" s="11" t="s">
        <v>14449</v>
      </c>
      <c r="C6864" s="11" t="s">
        <v>17</v>
      </c>
      <c r="D6864" s="11" t="s">
        <v>18</v>
      </c>
      <c r="E6864" s="12" t="s">
        <v>479</v>
      </c>
      <c r="F6864" s="12" t="s">
        <v>480</v>
      </c>
      <c r="G6864" s="12" t="s">
        <v>21</v>
      </c>
      <c r="H6864" s="11" t="s">
        <v>63</v>
      </c>
      <c r="I6864" s="13" t="s">
        <v>14450</v>
      </c>
      <c r="J6864" s="14" t="str">
        <f>HYPERLINK("https://www.boe.es/gazeta/dias/1839/06/24/pdfs/GMD-1839-1682.pdf#page=4","Abrir facsímil")</f>
        <v>Abrir facsímil</v>
      </c>
      <c r="K6864" s="12" t="s">
        <v>65</v>
      </c>
    </row>
    <row r="6865" spans="1:11" ht="40.049999999999997" customHeight="1" x14ac:dyDescent="0.25">
      <c r="A6865" s="11" t="s">
        <v>14451</v>
      </c>
      <c r="B6865" s="11" t="s">
        <v>14452</v>
      </c>
      <c r="C6865" s="11" t="s">
        <v>17</v>
      </c>
      <c r="D6865" s="11" t="s">
        <v>18</v>
      </c>
      <c r="E6865" s="12" t="s">
        <v>44</v>
      </c>
      <c r="F6865" s="12" t="s">
        <v>45</v>
      </c>
      <c r="G6865" s="12" t="s">
        <v>21</v>
      </c>
      <c r="H6865" s="11" t="s">
        <v>63</v>
      </c>
      <c r="I6865" s="13" t="s">
        <v>14453</v>
      </c>
      <c r="J6865" s="14" t="str">
        <f>HYPERLINK("https://www.boe.es/gazeta/dias/1839/11/15/pdfs/GMD-1839-1832.pdf#page=4","Abrir facsímil")</f>
        <v>Abrir facsímil</v>
      </c>
      <c r="K6865" s="12" t="s">
        <v>65</v>
      </c>
    </row>
    <row r="6866" spans="1:11" ht="40.049999999999997" customHeight="1" x14ac:dyDescent="0.25">
      <c r="A6866" s="11" t="s">
        <v>14454</v>
      </c>
      <c r="B6866" s="11" t="s">
        <v>14455</v>
      </c>
      <c r="C6866" s="11" t="s">
        <v>80</v>
      </c>
      <c r="D6866" s="11" t="s">
        <v>18</v>
      </c>
      <c r="E6866" s="12" t="s">
        <v>522</v>
      </c>
      <c r="F6866" s="12" t="s">
        <v>523</v>
      </c>
      <c r="G6866" s="12" t="s">
        <v>40</v>
      </c>
      <c r="H6866" s="11" t="s">
        <v>63</v>
      </c>
      <c r="I6866" s="13" t="s">
        <v>14456</v>
      </c>
      <c r="J6866" s="14" t="str">
        <f>HYPERLINK("https://www.boe.es/gazeta/dias/1839/08/27/pdfs/GMD-1839-1748.pdf#page=2","Abrir facsímil")</f>
        <v>Abrir facsímil</v>
      </c>
      <c r="K6866" s="12" t="s">
        <v>65</v>
      </c>
    </row>
    <row r="6867" spans="1:11" ht="40.049999999999997" customHeight="1" x14ac:dyDescent="0.25">
      <c r="A6867" s="11" t="s">
        <v>14457</v>
      </c>
      <c r="B6867" s="11" t="s">
        <v>14458</v>
      </c>
      <c r="C6867" s="11" t="s">
        <v>59</v>
      </c>
      <c r="D6867" s="11" t="s">
        <v>60</v>
      </c>
      <c r="E6867" s="12" t="s">
        <v>280</v>
      </c>
      <c r="F6867" s="12" t="s">
        <v>281</v>
      </c>
      <c r="G6867" s="12" t="s">
        <v>46</v>
      </c>
      <c r="H6867" s="11" t="s">
        <v>63</v>
      </c>
      <c r="I6867" s="13" t="s">
        <v>14459</v>
      </c>
      <c r="J6867" s="14" t="str">
        <f>HYPERLINK("https://www.boe.es/gazeta/dias/1839/08/21/pdfs/GMD-1839-1742.pdf#page=3","Abrir facsímil")</f>
        <v>Abrir facsímil</v>
      </c>
      <c r="K6867" s="12" t="s">
        <v>65</v>
      </c>
    </row>
    <row r="6868" spans="1:11" ht="40.049999999999997" customHeight="1" x14ac:dyDescent="0.25">
      <c r="A6868" s="11" t="s">
        <v>14460</v>
      </c>
      <c r="B6868" s="11" t="s">
        <v>14461</v>
      </c>
      <c r="C6868" s="11" t="s">
        <v>101</v>
      </c>
      <c r="D6868" s="11" t="s">
        <v>102</v>
      </c>
      <c r="E6868" s="12" t="s">
        <v>2995</v>
      </c>
      <c r="F6868" s="12" t="s">
        <v>2996</v>
      </c>
      <c r="G6868" s="12" t="s">
        <v>29</v>
      </c>
      <c r="H6868" s="11" t="s">
        <v>63</v>
      </c>
      <c r="I6868" s="13" t="s">
        <v>14462</v>
      </c>
      <c r="J6868" s="14" t="str">
        <f>HYPERLINK("https://www.boe.es/gazeta/dias/1839/06/16/pdfs/GMD-1839-1674.pdf#page=1","Abrir facsímil")</f>
        <v>Abrir facsímil</v>
      </c>
      <c r="K6868" s="12" t="s">
        <v>65</v>
      </c>
    </row>
    <row r="6869" spans="1:11" ht="40.049999999999997" customHeight="1" x14ac:dyDescent="0.25">
      <c r="A6869" s="11" t="s">
        <v>14463</v>
      </c>
      <c r="B6869" s="11" t="s">
        <v>14464</v>
      </c>
      <c r="C6869" s="11" t="s">
        <v>17</v>
      </c>
      <c r="D6869" s="11" t="s">
        <v>18</v>
      </c>
      <c r="E6869" s="12" t="s">
        <v>2215</v>
      </c>
      <c r="F6869" s="12" t="s">
        <v>2216</v>
      </c>
      <c r="G6869" s="12" t="s">
        <v>21</v>
      </c>
      <c r="H6869" s="11" t="s">
        <v>63</v>
      </c>
      <c r="I6869" s="13" t="s">
        <v>14465</v>
      </c>
      <c r="J6869" s="14" t="str">
        <f>HYPERLINK("https://www.boe.es/gazeta/dias/1839/07/21/pdfs/GMD-1839-1709.pdf#page=4","Abrir facsímil")</f>
        <v>Abrir facsímil</v>
      </c>
      <c r="K6869" s="12" t="s">
        <v>65</v>
      </c>
    </row>
    <row r="6870" spans="1:11" ht="40.049999999999997" customHeight="1" x14ac:dyDescent="0.25">
      <c r="A6870" s="11" t="s">
        <v>14466</v>
      </c>
      <c r="B6870" s="11" t="s">
        <v>14467</v>
      </c>
      <c r="C6870" s="11" t="s">
        <v>17</v>
      </c>
      <c r="D6870" s="11" t="s">
        <v>18</v>
      </c>
      <c r="E6870" s="12" t="s">
        <v>2962</v>
      </c>
      <c r="F6870" s="12" t="s">
        <v>2963</v>
      </c>
      <c r="G6870" s="12" t="s">
        <v>40</v>
      </c>
      <c r="H6870" s="11" t="s">
        <v>63</v>
      </c>
      <c r="I6870" s="13" t="s">
        <v>14468</v>
      </c>
      <c r="J6870" s="14" t="str">
        <f>HYPERLINK("https://www.boe.es/gazeta/dias/1839/12/21/pdfs/GMD-1839-1868.pdf#page=2","Abrir facsímil")</f>
        <v>Abrir facsímil</v>
      </c>
      <c r="K6870" s="12" t="s">
        <v>65</v>
      </c>
    </row>
    <row r="6871" spans="1:11" ht="40.049999999999997" customHeight="1" x14ac:dyDescent="0.25">
      <c r="A6871" s="11" t="s">
        <v>14469</v>
      </c>
      <c r="B6871" s="11" t="s">
        <v>14469</v>
      </c>
      <c r="C6871" s="11" t="s">
        <v>17</v>
      </c>
      <c r="D6871" s="11" t="s">
        <v>18</v>
      </c>
      <c r="E6871" s="12" t="s">
        <v>395</v>
      </c>
      <c r="F6871" s="12" t="s">
        <v>396</v>
      </c>
      <c r="G6871" s="12" t="s">
        <v>46</v>
      </c>
      <c r="H6871" s="11" t="s">
        <v>63</v>
      </c>
      <c r="I6871" s="13" t="s">
        <v>14470</v>
      </c>
      <c r="J6871" s="14" t="str">
        <f>HYPERLINK("https://www.boe.es/gazeta/dias/1839/03/15/pdfs/GMD-1839-1581.pdf#page=3","Abrir facsímil")</f>
        <v>Abrir facsímil</v>
      </c>
      <c r="K6871" s="12" t="s">
        <v>65</v>
      </c>
    </row>
    <row r="6872" spans="1:11" ht="40.049999999999997" customHeight="1" x14ac:dyDescent="0.25">
      <c r="A6872" s="11" t="s">
        <v>14471</v>
      </c>
      <c r="B6872" s="11" t="s">
        <v>14471</v>
      </c>
      <c r="C6872" s="11" t="s">
        <v>137</v>
      </c>
      <c r="D6872" s="11" t="s">
        <v>18</v>
      </c>
      <c r="E6872" s="12" t="s">
        <v>185</v>
      </c>
      <c r="F6872" s="12" t="s">
        <v>186</v>
      </c>
      <c r="G6872" s="12" t="s">
        <v>21</v>
      </c>
      <c r="H6872" s="11" t="s">
        <v>63</v>
      </c>
      <c r="I6872" s="13" t="s">
        <v>14472</v>
      </c>
      <c r="J6872" s="14" t="str">
        <f>HYPERLINK("https://www.boe.es/gazeta/dias/1839/01/15/pdfs/GMD-1839-1522.pdf#page=4","Abrir facsímil")</f>
        <v>Abrir facsímil</v>
      </c>
      <c r="K6872" s="12" t="s">
        <v>65</v>
      </c>
    </row>
    <row r="6873" spans="1:11" ht="40.049999999999997" customHeight="1" x14ac:dyDescent="0.25">
      <c r="A6873" s="11" t="s">
        <v>14473</v>
      </c>
      <c r="B6873" s="11" t="s">
        <v>14473</v>
      </c>
      <c r="C6873" s="11" t="s">
        <v>101</v>
      </c>
      <c r="D6873" s="11" t="s">
        <v>43</v>
      </c>
      <c r="E6873" s="12" t="s">
        <v>1909</v>
      </c>
      <c r="F6873" s="12" t="s">
        <v>1910</v>
      </c>
      <c r="G6873" s="12" t="s">
        <v>46</v>
      </c>
      <c r="H6873" s="11" t="s">
        <v>22</v>
      </c>
      <c r="I6873" s="13" t="s">
        <v>14474</v>
      </c>
      <c r="J6873" s="14" t="str">
        <f>HYPERLINK("https://www.boe.es/gazeta/dias/1839/10/27/pdfs/GMD-1839-1813.pdf#page=3","Abrir facsímil")</f>
        <v>Abrir facsímil</v>
      </c>
      <c r="K6873" s="12" t="s">
        <v>24</v>
      </c>
    </row>
    <row r="6874" spans="1:11" ht="40.049999999999997" customHeight="1" x14ac:dyDescent="0.25">
      <c r="A6874" s="11" t="s">
        <v>14475</v>
      </c>
      <c r="B6874" s="11" t="s">
        <v>14476</v>
      </c>
      <c r="C6874" s="11" t="s">
        <v>17</v>
      </c>
      <c r="D6874" s="11" t="s">
        <v>18</v>
      </c>
      <c r="E6874" s="12" t="s">
        <v>4189</v>
      </c>
      <c r="F6874" s="12" t="s">
        <v>4190</v>
      </c>
      <c r="G6874" s="12" t="s">
        <v>46</v>
      </c>
      <c r="H6874" s="11" t="s">
        <v>22</v>
      </c>
      <c r="I6874" s="13" t="s">
        <v>14477</v>
      </c>
      <c r="J6874" s="14" t="str">
        <f>HYPERLINK("https://www.boe.es/gazeta/dias/1839/02/13/pdfs/GMD-1839-1551.pdf#page=3","Abrir facsímil")</f>
        <v>Abrir facsímil</v>
      </c>
      <c r="K6874" s="12" t="s">
        <v>24</v>
      </c>
    </row>
    <row r="6875" spans="1:11" ht="40.049999999999997" customHeight="1" x14ac:dyDescent="0.25">
      <c r="A6875" s="11" t="s">
        <v>14478</v>
      </c>
      <c r="B6875" s="11" t="s">
        <v>14478</v>
      </c>
      <c r="C6875" s="11" t="s">
        <v>17</v>
      </c>
      <c r="D6875" s="11" t="s">
        <v>18</v>
      </c>
      <c r="E6875" s="12" t="s">
        <v>3134</v>
      </c>
      <c r="F6875" s="12" t="s">
        <v>3135</v>
      </c>
      <c r="G6875" s="12" t="s">
        <v>40</v>
      </c>
      <c r="H6875" s="11" t="s">
        <v>22</v>
      </c>
      <c r="I6875" s="13" t="s">
        <v>14479</v>
      </c>
      <c r="J6875" s="14" t="str">
        <f>HYPERLINK("https://www.boe.es/gazeta/dias/1839/08/09/pdfs/GMD-1839-1729.pdf#page=2","Abrir facsímil")</f>
        <v>Abrir facsímil</v>
      </c>
      <c r="K6875" s="12" t="s">
        <v>24</v>
      </c>
    </row>
    <row r="6876" spans="1:11" ht="40.049999999999997" customHeight="1" x14ac:dyDescent="0.25">
      <c r="A6876" s="11" t="s">
        <v>14480</v>
      </c>
      <c r="B6876" s="11" t="s">
        <v>14481</v>
      </c>
      <c r="C6876" s="11" t="s">
        <v>17</v>
      </c>
      <c r="D6876" s="11" t="s">
        <v>18</v>
      </c>
      <c r="E6876" s="12" t="s">
        <v>736</v>
      </c>
      <c r="F6876" s="12" t="s">
        <v>737</v>
      </c>
      <c r="G6876" s="12" t="s">
        <v>46</v>
      </c>
      <c r="H6876" s="11" t="s">
        <v>22</v>
      </c>
      <c r="I6876" s="13" t="s">
        <v>14482</v>
      </c>
      <c r="J6876" s="14" t="str">
        <f>HYPERLINK("https://www.boe.es/gazeta/dias/1839/10/13/pdfs/GMD-1839-1799.pdf#page=3","Abrir facsímil")</f>
        <v>Abrir facsímil</v>
      </c>
      <c r="K6876" s="12" t="s">
        <v>24</v>
      </c>
    </row>
    <row r="6877" spans="1:11" ht="40.049999999999997" customHeight="1" x14ac:dyDescent="0.25">
      <c r="A6877" s="11" t="s">
        <v>14483</v>
      </c>
      <c r="B6877" s="11" t="s">
        <v>14483</v>
      </c>
      <c r="C6877" s="11" t="s">
        <v>17</v>
      </c>
      <c r="D6877" s="11" t="s">
        <v>18</v>
      </c>
      <c r="E6877" s="12" t="s">
        <v>349</v>
      </c>
      <c r="F6877" s="12" t="s">
        <v>350</v>
      </c>
      <c r="G6877" s="12" t="s">
        <v>29</v>
      </c>
      <c r="H6877" s="11" t="s">
        <v>22</v>
      </c>
      <c r="I6877" s="13" t="s">
        <v>14484</v>
      </c>
      <c r="J6877" s="14" t="str">
        <f>HYPERLINK("https://www.boe.es/gazeta/dias/1839/12/25/pdfs/GMD-1839-1872.pdf#page=1","Abrir facsímil")</f>
        <v>Abrir facsímil</v>
      </c>
      <c r="K6877" s="12" t="s">
        <v>24</v>
      </c>
    </row>
    <row r="6878" spans="1:11" ht="40.049999999999997" customHeight="1" x14ac:dyDescent="0.25">
      <c r="A6878" s="11" t="s">
        <v>14485</v>
      </c>
      <c r="B6878" s="11" t="s">
        <v>14486</v>
      </c>
      <c r="C6878" s="11" t="s">
        <v>80</v>
      </c>
      <c r="D6878" s="11" t="s">
        <v>18</v>
      </c>
      <c r="E6878" s="12" t="s">
        <v>121</v>
      </c>
      <c r="F6878" s="12" t="s">
        <v>122</v>
      </c>
      <c r="G6878" s="12" t="s">
        <v>21</v>
      </c>
      <c r="H6878" s="11" t="s">
        <v>63</v>
      </c>
      <c r="I6878" s="13" t="s">
        <v>14487</v>
      </c>
      <c r="J6878" s="14" t="str">
        <f>HYPERLINK("https://www.boe.es/gazeta/dias/1839/06/08/pdfs/GMD-1839-1666.pdf#page=4","Abrir facsímil")</f>
        <v>Abrir facsímil</v>
      </c>
      <c r="K6878" s="12" t="s">
        <v>65</v>
      </c>
    </row>
    <row r="6879" spans="1:11" ht="40.049999999999997" customHeight="1" x14ac:dyDescent="0.25">
      <c r="A6879" s="11" t="s">
        <v>14488</v>
      </c>
      <c r="B6879" s="11" t="s">
        <v>14489</v>
      </c>
      <c r="C6879" s="11" t="s">
        <v>59</v>
      </c>
      <c r="D6879" s="11" t="s">
        <v>60</v>
      </c>
      <c r="E6879" s="12" t="s">
        <v>398</v>
      </c>
      <c r="F6879" s="12" t="s">
        <v>399</v>
      </c>
      <c r="G6879" s="12" t="s">
        <v>46</v>
      </c>
      <c r="H6879" s="11" t="s">
        <v>63</v>
      </c>
      <c r="I6879" s="13" t="s">
        <v>14490</v>
      </c>
      <c r="J6879" s="14" t="str">
        <f>HYPERLINK("https://www.boe.es/gazeta/dias/1839/05/17/pdfs/GMD-1839-1644.pdf#page=3","Abrir facsímil")</f>
        <v>Abrir facsímil</v>
      </c>
      <c r="K6879" s="12" t="s">
        <v>65</v>
      </c>
    </row>
    <row r="6880" spans="1:11" ht="40.049999999999997" customHeight="1" x14ac:dyDescent="0.25">
      <c r="A6880" s="11" t="s">
        <v>14491</v>
      </c>
      <c r="B6880" s="11" t="s">
        <v>14491</v>
      </c>
      <c r="C6880" s="11" t="s">
        <v>17</v>
      </c>
      <c r="D6880" s="11" t="s">
        <v>18</v>
      </c>
      <c r="E6880" s="12" t="s">
        <v>1057</v>
      </c>
      <c r="F6880" s="12" t="s">
        <v>1058</v>
      </c>
      <c r="G6880" s="12" t="s">
        <v>566</v>
      </c>
      <c r="H6880" s="11" t="s">
        <v>63</v>
      </c>
      <c r="I6880" s="13" t="s">
        <v>14492</v>
      </c>
      <c r="J6880" s="14" t="str">
        <f>HYPERLINK("https://www.boe.es/gazeta/dias/1839/10/01/pdfs/GMD-1839-1787.pdf#page=5","Abrir facsímil")</f>
        <v>Abrir facsímil</v>
      </c>
      <c r="K6880" s="12" t="s">
        <v>65</v>
      </c>
    </row>
    <row r="6881" spans="1:11" ht="40.049999999999997" customHeight="1" x14ac:dyDescent="0.25">
      <c r="A6881" s="11" t="s">
        <v>14491</v>
      </c>
      <c r="B6881" s="11" t="s">
        <v>14491</v>
      </c>
      <c r="C6881" s="11" t="s">
        <v>17</v>
      </c>
      <c r="D6881" s="11" t="s">
        <v>18</v>
      </c>
      <c r="E6881" s="12" t="s">
        <v>821</v>
      </c>
      <c r="F6881" s="12" t="s">
        <v>822</v>
      </c>
      <c r="G6881" s="12" t="s">
        <v>21</v>
      </c>
      <c r="H6881" s="11" t="s">
        <v>63</v>
      </c>
      <c r="I6881" s="13" t="s">
        <v>14493</v>
      </c>
      <c r="J6881" s="14" t="str">
        <f>HYPERLINK("https://www.boe.es/gazeta/dias/1839/09/20/pdfs/GMD-1839-1775.pdf#page=4","Abrir facsímil")</f>
        <v>Abrir facsímil</v>
      </c>
      <c r="K6881" s="12" t="s">
        <v>65</v>
      </c>
    </row>
    <row r="6882" spans="1:11" ht="40.049999999999997" customHeight="1" x14ac:dyDescent="0.25">
      <c r="A6882" s="11" t="s">
        <v>14494</v>
      </c>
      <c r="B6882" s="11" t="s">
        <v>14495</v>
      </c>
      <c r="C6882" s="11" t="s">
        <v>17</v>
      </c>
      <c r="D6882" s="11" t="s">
        <v>18</v>
      </c>
      <c r="E6882" s="12" t="s">
        <v>1729</v>
      </c>
      <c r="F6882" s="12" t="s">
        <v>1730</v>
      </c>
      <c r="G6882" s="12" t="s">
        <v>46</v>
      </c>
      <c r="H6882" s="11" t="s">
        <v>63</v>
      </c>
      <c r="I6882" s="13" t="s">
        <v>14496</v>
      </c>
      <c r="J6882" s="14" t="str">
        <f>HYPERLINK("https://www.boe.es/gazeta/dias/1839/04/25/pdfs/GMD-1839-1622.pdf#page=3","Abrir facsímil")</f>
        <v>Abrir facsímil</v>
      </c>
      <c r="K6882" s="12" t="s">
        <v>65</v>
      </c>
    </row>
    <row r="6883" spans="1:11" ht="40.049999999999997" customHeight="1" x14ac:dyDescent="0.25">
      <c r="A6883" s="11" t="s">
        <v>14497</v>
      </c>
      <c r="B6883" s="11" t="s">
        <v>14498</v>
      </c>
      <c r="C6883" s="11" t="s">
        <v>17</v>
      </c>
      <c r="D6883" s="11" t="s">
        <v>18</v>
      </c>
      <c r="E6883" s="12" t="s">
        <v>355</v>
      </c>
      <c r="F6883" s="12" t="s">
        <v>356</v>
      </c>
      <c r="G6883" s="12" t="s">
        <v>21</v>
      </c>
      <c r="H6883" s="11" t="s">
        <v>63</v>
      </c>
      <c r="I6883" s="13" t="s">
        <v>14499</v>
      </c>
      <c r="J6883" s="14" t="str">
        <f>HYPERLINK("https://www.boe.es/gazeta/dias/1839/05/31/pdfs/GMD-1839-1658.pdf#page=4","Abrir facsímil")</f>
        <v>Abrir facsímil</v>
      </c>
      <c r="K6883" s="12" t="s">
        <v>65</v>
      </c>
    </row>
    <row r="6884" spans="1:11" ht="40.049999999999997" customHeight="1" x14ac:dyDescent="0.25">
      <c r="A6884" s="11" t="s">
        <v>14500</v>
      </c>
      <c r="B6884" s="11" t="s">
        <v>14501</v>
      </c>
      <c r="C6884" s="11" t="s">
        <v>80</v>
      </c>
      <c r="D6884" s="11" t="s">
        <v>18</v>
      </c>
      <c r="E6884" s="12" t="s">
        <v>132</v>
      </c>
      <c r="F6884" s="12" t="s">
        <v>133</v>
      </c>
      <c r="G6884" s="12" t="s">
        <v>21</v>
      </c>
      <c r="H6884" s="11" t="s">
        <v>22</v>
      </c>
      <c r="I6884" s="13" t="s">
        <v>14502</v>
      </c>
      <c r="J6884" s="14" t="str">
        <f>HYPERLINK("https://www.boe.es/gazeta/dias/1839/08/02/pdfs/GMD-1839-1722.pdf#page=4","Abrir facsímil")</f>
        <v>Abrir facsímil</v>
      </c>
      <c r="K6884" s="12" t="s">
        <v>24</v>
      </c>
    </row>
    <row r="6885" spans="1:11" ht="40.049999999999997" customHeight="1" x14ac:dyDescent="0.25">
      <c r="A6885" s="11" t="s">
        <v>14503</v>
      </c>
      <c r="B6885" s="11" t="s">
        <v>14504</v>
      </c>
      <c r="C6885" s="11" t="s">
        <v>17</v>
      </c>
      <c r="D6885" s="11" t="s">
        <v>18</v>
      </c>
      <c r="E6885" s="12" t="s">
        <v>76</v>
      </c>
      <c r="F6885" s="12" t="s">
        <v>77</v>
      </c>
      <c r="G6885" s="12" t="s">
        <v>46</v>
      </c>
      <c r="H6885" s="11" t="s">
        <v>63</v>
      </c>
      <c r="I6885" s="13" t="s">
        <v>14505</v>
      </c>
      <c r="J6885" s="14" t="str">
        <f>HYPERLINK("https://www.boe.es/gazeta/dias/1839/03/13/pdfs/GMD-1839-1579.pdf#page=3","Abrir facsímil")</f>
        <v>Abrir facsímil</v>
      </c>
      <c r="K6885" s="12" t="s">
        <v>65</v>
      </c>
    </row>
    <row r="6886" spans="1:11" ht="40.049999999999997" customHeight="1" x14ac:dyDescent="0.25">
      <c r="A6886" s="11" t="s">
        <v>14506</v>
      </c>
      <c r="B6886" s="11" t="s">
        <v>14507</v>
      </c>
      <c r="C6886" s="11" t="s">
        <v>17</v>
      </c>
      <c r="D6886" s="11" t="s">
        <v>18</v>
      </c>
      <c r="E6886" s="12" t="s">
        <v>395</v>
      </c>
      <c r="F6886" s="12" t="s">
        <v>396</v>
      </c>
      <c r="G6886" s="12" t="s">
        <v>46</v>
      </c>
      <c r="H6886" s="11" t="s">
        <v>63</v>
      </c>
      <c r="I6886" s="13" t="s">
        <v>14508</v>
      </c>
      <c r="J6886" s="14" t="str">
        <f>HYPERLINK("https://www.boe.es/gazeta/dias/1839/03/15/pdfs/GMD-1839-1581.pdf#page=3","Abrir facsímil")</f>
        <v>Abrir facsímil</v>
      </c>
      <c r="K6886" s="12" t="s">
        <v>65</v>
      </c>
    </row>
    <row r="6887" spans="1:11" ht="40.049999999999997" customHeight="1" x14ac:dyDescent="0.25">
      <c r="A6887" s="11" t="s">
        <v>14509</v>
      </c>
      <c r="B6887" s="11" t="s">
        <v>14510</v>
      </c>
      <c r="C6887" s="11" t="s">
        <v>17</v>
      </c>
      <c r="D6887" s="11" t="s">
        <v>18</v>
      </c>
      <c r="E6887" s="12" t="s">
        <v>385</v>
      </c>
      <c r="F6887" s="12" t="s">
        <v>386</v>
      </c>
      <c r="G6887" s="12" t="s">
        <v>29</v>
      </c>
      <c r="H6887" s="11" t="s">
        <v>63</v>
      </c>
      <c r="I6887" s="13" t="s">
        <v>14511</v>
      </c>
      <c r="J6887" s="14" t="str">
        <f>HYPERLINK("https://www.boe.es/gazeta/dias/1839/08/01/pdfs/GMD-1839-1721.pdf#page=1","Abrir facsímil")</f>
        <v>Abrir facsímil</v>
      </c>
      <c r="K6887" s="12" t="s">
        <v>65</v>
      </c>
    </row>
    <row r="6888" spans="1:11" ht="40.049999999999997" customHeight="1" x14ac:dyDescent="0.25">
      <c r="A6888" s="11" t="s">
        <v>14512</v>
      </c>
      <c r="B6888" s="11" t="s">
        <v>14513</v>
      </c>
      <c r="C6888" s="11" t="s">
        <v>80</v>
      </c>
      <c r="D6888" s="11" t="s">
        <v>18</v>
      </c>
      <c r="E6888" s="12" t="s">
        <v>320</v>
      </c>
      <c r="F6888" s="12" t="s">
        <v>321</v>
      </c>
      <c r="G6888" s="12" t="s">
        <v>29</v>
      </c>
      <c r="H6888" s="11" t="s">
        <v>22</v>
      </c>
      <c r="I6888" s="13" t="s">
        <v>14514</v>
      </c>
      <c r="J6888" s="14" t="str">
        <f>HYPERLINK("https://www.boe.es/gazeta/dias/1839/05/11/pdfs/GMD-1839-1638.pdf#page=1","Abrir facsímil")</f>
        <v>Abrir facsímil</v>
      </c>
      <c r="K6888" s="12" t="s">
        <v>24</v>
      </c>
    </row>
    <row r="6889" spans="1:11" ht="40.049999999999997" customHeight="1" x14ac:dyDescent="0.25">
      <c r="A6889" s="11" t="s">
        <v>14515</v>
      </c>
      <c r="B6889" s="11" t="s">
        <v>14516</v>
      </c>
      <c r="C6889" s="11" t="s">
        <v>59</v>
      </c>
      <c r="D6889" s="11" t="s">
        <v>60</v>
      </c>
      <c r="E6889" s="12" t="s">
        <v>571</v>
      </c>
      <c r="F6889" s="12" t="s">
        <v>572</v>
      </c>
      <c r="G6889" s="12" t="s">
        <v>40</v>
      </c>
      <c r="H6889" s="11" t="s">
        <v>63</v>
      </c>
      <c r="I6889" s="13" t="s">
        <v>14517</v>
      </c>
      <c r="J6889" s="14" t="str">
        <f>HYPERLINK("https://www.boe.es/gazeta/dias/1839/09/27/pdfs/GMD-1839-1783.pdf#page=2","Abrir facsímil")</f>
        <v>Abrir facsímil</v>
      </c>
      <c r="K6889" s="12" t="s">
        <v>65</v>
      </c>
    </row>
    <row r="6890" spans="1:11" ht="40.049999999999997" customHeight="1" x14ac:dyDescent="0.25">
      <c r="A6890" s="11" t="s">
        <v>14518</v>
      </c>
      <c r="B6890" s="11" t="s">
        <v>14519</v>
      </c>
      <c r="C6890" s="11" t="s">
        <v>101</v>
      </c>
      <c r="D6890" s="11" t="s">
        <v>43</v>
      </c>
      <c r="E6890" s="12" t="s">
        <v>1909</v>
      </c>
      <c r="F6890" s="12" t="s">
        <v>1910</v>
      </c>
      <c r="G6890" s="12" t="s">
        <v>46</v>
      </c>
      <c r="H6890" s="11" t="s">
        <v>63</v>
      </c>
      <c r="I6890" s="13" t="s">
        <v>14520</v>
      </c>
      <c r="J6890" s="14" t="str">
        <f>HYPERLINK("https://www.boe.es/gazeta/dias/1839/10/27/pdfs/GMD-1839-1813.pdf#page=3","Abrir facsímil")</f>
        <v>Abrir facsímil</v>
      </c>
      <c r="K6890" s="12" t="s">
        <v>65</v>
      </c>
    </row>
    <row r="6891" spans="1:11" ht="40.049999999999997" customHeight="1" x14ac:dyDescent="0.25">
      <c r="A6891" s="11" t="s">
        <v>14521</v>
      </c>
      <c r="B6891" s="11" t="s">
        <v>14522</v>
      </c>
      <c r="C6891" s="11" t="s">
        <v>17</v>
      </c>
      <c r="D6891" s="11" t="s">
        <v>18</v>
      </c>
      <c r="E6891" s="12" t="s">
        <v>4108</v>
      </c>
      <c r="F6891" s="12" t="s">
        <v>4109</v>
      </c>
      <c r="G6891" s="12" t="s">
        <v>40</v>
      </c>
      <c r="H6891" s="11" t="s">
        <v>63</v>
      </c>
      <c r="I6891" s="13" t="s">
        <v>14523</v>
      </c>
      <c r="J6891" s="14" t="str">
        <f>HYPERLINK("https://www.boe.es/gazeta/dias/1839/03/23/pdfs/GMD-1839-1589.pdf#page=2","Abrir facsímil")</f>
        <v>Abrir facsímil</v>
      </c>
      <c r="K6891" s="12" t="s">
        <v>65</v>
      </c>
    </row>
    <row r="6892" spans="1:11" ht="40.049999999999997" customHeight="1" x14ac:dyDescent="0.25">
      <c r="A6892" s="11" t="s">
        <v>14524</v>
      </c>
      <c r="B6892" s="11" t="s">
        <v>14524</v>
      </c>
      <c r="C6892" s="11" t="s">
        <v>59</v>
      </c>
      <c r="D6892" s="11" t="s">
        <v>60</v>
      </c>
      <c r="E6892" s="12" t="s">
        <v>704</v>
      </c>
      <c r="F6892" s="12" t="s">
        <v>705</v>
      </c>
      <c r="G6892" s="12" t="s">
        <v>46</v>
      </c>
      <c r="H6892" s="11" t="s">
        <v>63</v>
      </c>
      <c r="I6892" s="13" t="s">
        <v>14525</v>
      </c>
      <c r="J6892" s="14" t="str">
        <f>HYPERLINK("https://www.boe.es/gazeta/dias/1839/03/02/pdfs/GMD-1839-1568.pdf#page=3","Abrir facsímil")</f>
        <v>Abrir facsímil</v>
      </c>
      <c r="K6892" s="12" t="s">
        <v>65</v>
      </c>
    </row>
    <row r="6893" spans="1:11" ht="40.049999999999997" customHeight="1" x14ac:dyDescent="0.25">
      <c r="A6893" s="11" t="s">
        <v>14524</v>
      </c>
      <c r="B6893" s="11" t="s">
        <v>14524</v>
      </c>
      <c r="C6893" s="11" t="s">
        <v>17</v>
      </c>
      <c r="D6893" s="11" t="s">
        <v>18</v>
      </c>
      <c r="E6893" s="12" t="s">
        <v>448</v>
      </c>
      <c r="F6893" s="12" t="s">
        <v>449</v>
      </c>
      <c r="G6893" s="12" t="s">
        <v>29</v>
      </c>
      <c r="H6893" s="11" t="s">
        <v>63</v>
      </c>
      <c r="I6893" s="13" t="s">
        <v>14526</v>
      </c>
      <c r="J6893" s="14" t="str">
        <f>HYPERLINK("https://www.boe.es/gazeta/dias/1839/02/06/pdfs/GMD-1839-1544.pdf#page=1","Abrir facsímil")</f>
        <v>Abrir facsímil</v>
      </c>
      <c r="K6893" s="12" t="s">
        <v>65</v>
      </c>
    </row>
    <row r="6894" spans="1:11" ht="40.049999999999997" customHeight="1" x14ac:dyDescent="0.25">
      <c r="A6894" s="11" t="s">
        <v>14524</v>
      </c>
      <c r="B6894" s="11" t="s">
        <v>14524</v>
      </c>
      <c r="C6894" s="11" t="s">
        <v>17</v>
      </c>
      <c r="D6894" s="11" t="s">
        <v>18</v>
      </c>
      <c r="E6894" s="12" t="s">
        <v>320</v>
      </c>
      <c r="F6894" s="12" t="s">
        <v>321</v>
      </c>
      <c r="G6894" s="12" t="s">
        <v>21</v>
      </c>
      <c r="H6894" s="11" t="s">
        <v>63</v>
      </c>
      <c r="I6894" s="13" t="s">
        <v>14527</v>
      </c>
      <c r="J6894" s="14" t="str">
        <f>HYPERLINK("https://www.boe.es/gazeta/dias/1839/05/11/pdfs/GMD-1839-1638.pdf#page=4","Abrir facsímil")</f>
        <v>Abrir facsímil</v>
      </c>
      <c r="K6894" s="12" t="s">
        <v>65</v>
      </c>
    </row>
    <row r="6895" spans="1:11" ht="40.049999999999997" customHeight="1" x14ac:dyDescent="0.25">
      <c r="A6895" s="11" t="s">
        <v>14524</v>
      </c>
      <c r="B6895" s="11" t="s">
        <v>14524</v>
      </c>
      <c r="C6895" s="11" t="s">
        <v>137</v>
      </c>
      <c r="D6895" s="11" t="s">
        <v>18</v>
      </c>
      <c r="E6895" s="12" t="s">
        <v>4189</v>
      </c>
      <c r="F6895" s="12" t="s">
        <v>4190</v>
      </c>
      <c r="G6895" s="12" t="s">
        <v>29</v>
      </c>
      <c r="H6895" s="11" t="s">
        <v>63</v>
      </c>
      <c r="I6895" s="13" t="s">
        <v>14528</v>
      </c>
      <c r="J6895" s="14" t="str">
        <f>HYPERLINK("https://www.boe.es/gazeta/dias/1839/02/13/pdfs/GMD-1839-1551.pdf#page=1","Abrir facsímil")</f>
        <v>Abrir facsímil</v>
      </c>
      <c r="K6895" s="12" t="s">
        <v>65</v>
      </c>
    </row>
    <row r="6896" spans="1:11" ht="40.049999999999997" customHeight="1" x14ac:dyDescent="0.25">
      <c r="A6896" s="11" t="s">
        <v>14524</v>
      </c>
      <c r="B6896" s="11" t="s">
        <v>14524</v>
      </c>
      <c r="C6896" s="11" t="s">
        <v>17</v>
      </c>
      <c r="D6896" s="11" t="s">
        <v>18</v>
      </c>
      <c r="E6896" s="12" t="s">
        <v>1100</v>
      </c>
      <c r="F6896" s="12" t="s">
        <v>1101</v>
      </c>
      <c r="G6896" s="12" t="s">
        <v>29</v>
      </c>
      <c r="H6896" s="11" t="s">
        <v>63</v>
      </c>
      <c r="I6896" s="13" t="s">
        <v>14529</v>
      </c>
      <c r="J6896" s="14" t="str">
        <f>HYPERLINK("https://www.boe.es/gazeta/dias/1839/09/13/pdfs/GMD-1839-1766.pdf#page=1","Abrir facsímil")</f>
        <v>Abrir facsímil</v>
      </c>
      <c r="K6896" s="12" t="s">
        <v>65</v>
      </c>
    </row>
    <row r="6897" spans="1:11" ht="40.049999999999997" customHeight="1" x14ac:dyDescent="0.25">
      <c r="A6897" s="11" t="s">
        <v>14524</v>
      </c>
      <c r="B6897" s="11" t="s">
        <v>14524</v>
      </c>
      <c r="C6897" s="11" t="s">
        <v>17</v>
      </c>
      <c r="D6897" s="11" t="s">
        <v>18</v>
      </c>
      <c r="E6897" s="12" t="s">
        <v>736</v>
      </c>
      <c r="F6897" s="12" t="s">
        <v>737</v>
      </c>
      <c r="G6897" s="12" t="s">
        <v>46</v>
      </c>
      <c r="H6897" s="11" t="s">
        <v>63</v>
      </c>
      <c r="I6897" s="13" t="s">
        <v>14530</v>
      </c>
      <c r="J6897" s="14" t="str">
        <f>HYPERLINK("https://www.boe.es/gazeta/dias/1839/10/13/pdfs/GMD-1839-1799.pdf#page=3","Abrir facsímil")</f>
        <v>Abrir facsímil</v>
      </c>
      <c r="K6897" s="12" t="s">
        <v>65</v>
      </c>
    </row>
    <row r="6898" spans="1:11" ht="40.049999999999997" customHeight="1" x14ac:dyDescent="0.25">
      <c r="A6898" s="11" t="s">
        <v>14524</v>
      </c>
      <c r="B6898" s="11" t="s">
        <v>14524</v>
      </c>
      <c r="C6898" s="11" t="s">
        <v>101</v>
      </c>
      <c r="D6898" s="11" t="s">
        <v>43</v>
      </c>
      <c r="E6898" s="12" t="s">
        <v>592</v>
      </c>
      <c r="F6898" s="12" t="s">
        <v>593</v>
      </c>
      <c r="G6898" s="12" t="s">
        <v>46</v>
      </c>
      <c r="H6898" s="11" t="s">
        <v>63</v>
      </c>
      <c r="I6898" s="13" t="s">
        <v>14531</v>
      </c>
      <c r="J6898" s="14" t="str">
        <f>HYPERLINK("https://www.boe.es/gazeta/dias/1839/09/14/pdfs/GMD-1839-1767.pdf#page=3","Abrir facsímil")</f>
        <v>Abrir facsímil</v>
      </c>
      <c r="K6898" s="12" t="s">
        <v>65</v>
      </c>
    </row>
    <row r="6899" spans="1:11" ht="40.049999999999997" customHeight="1" x14ac:dyDescent="0.25">
      <c r="A6899" s="11" t="s">
        <v>14524</v>
      </c>
      <c r="B6899" s="11" t="s">
        <v>14524</v>
      </c>
      <c r="C6899" s="11" t="s">
        <v>17</v>
      </c>
      <c r="D6899" s="11" t="s">
        <v>43</v>
      </c>
      <c r="E6899" s="12" t="s">
        <v>1069</v>
      </c>
      <c r="F6899" s="12" t="s">
        <v>1070</v>
      </c>
      <c r="G6899" s="12" t="s">
        <v>21</v>
      </c>
      <c r="H6899" s="11" t="s">
        <v>63</v>
      </c>
      <c r="I6899" s="13" t="s">
        <v>14532</v>
      </c>
      <c r="J6899" s="14" t="str">
        <f>HYPERLINK("https://www.boe.es/gazeta/dias/1839/10/15/pdfs/GMD-1839-1801.pdf#page=4","Abrir facsímil")</f>
        <v>Abrir facsímil</v>
      </c>
      <c r="K6899" s="12" t="s">
        <v>65</v>
      </c>
    </row>
    <row r="6900" spans="1:11" ht="40.049999999999997" customHeight="1" x14ac:dyDescent="0.25">
      <c r="A6900" s="11" t="s">
        <v>14524</v>
      </c>
      <c r="B6900" s="11" t="s">
        <v>14524</v>
      </c>
      <c r="C6900" s="11" t="s">
        <v>137</v>
      </c>
      <c r="D6900" s="11" t="s">
        <v>18</v>
      </c>
      <c r="E6900" s="12" t="s">
        <v>2021</v>
      </c>
      <c r="F6900" s="12" t="s">
        <v>2022</v>
      </c>
      <c r="G6900" s="12" t="s">
        <v>46</v>
      </c>
      <c r="H6900" s="11" t="s">
        <v>63</v>
      </c>
      <c r="I6900" s="13" t="s">
        <v>14533</v>
      </c>
      <c r="J6900" s="14" t="str">
        <f>HYPERLINK("https://www.boe.es/gazeta/dias/1839/02/17/pdfs/GMD-1839-1555.pdf#page=3","Abrir facsímil")</f>
        <v>Abrir facsímil</v>
      </c>
      <c r="K6900" s="12" t="s">
        <v>65</v>
      </c>
    </row>
    <row r="6901" spans="1:11" ht="40.049999999999997" customHeight="1" x14ac:dyDescent="0.25">
      <c r="A6901" s="11" t="s">
        <v>14524</v>
      </c>
      <c r="B6901" s="11" t="s">
        <v>14524</v>
      </c>
      <c r="C6901" s="11" t="s">
        <v>17</v>
      </c>
      <c r="D6901" s="11" t="s">
        <v>18</v>
      </c>
      <c r="E6901" s="12" t="s">
        <v>1179</v>
      </c>
      <c r="F6901" s="12" t="s">
        <v>1180</v>
      </c>
      <c r="G6901" s="12" t="s">
        <v>46</v>
      </c>
      <c r="H6901" s="11" t="s">
        <v>63</v>
      </c>
      <c r="I6901" s="13" t="s">
        <v>14534</v>
      </c>
      <c r="J6901" s="14" t="str">
        <f>HYPERLINK("https://www.boe.es/gazeta/dias/1839/10/18/pdfs/GMD-1839-1804.pdf#page=3","Abrir facsímil")</f>
        <v>Abrir facsímil</v>
      </c>
      <c r="K6901" s="12" t="s">
        <v>65</v>
      </c>
    </row>
    <row r="6902" spans="1:11" ht="40.049999999999997" customHeight="1" x14ac:dyDescent="0.25">
      <c r="A6902" s="11" t="s">
        <v>14524</v>
      </c>
      <c r="B6902" s="11" t="s">
        <v>14524</v>
      </c>
      <c r="C6902" s="11" t="s">
        <v>17</v>
      </c>
      <c r="D6902" s="11" t="s">
        <v>18</v>
      </c>
      <c r="E6902" s="12" t="s">
        <v>239</v>
      </c>
      <c r="F6902" s="12" t="s">
        <v>240</v>
      </c>
      <c r="G6902" s="12" t="s">
        <v>40</v>
      </c>
      <c r="H6902" s="11" t="s">
        <v>63</v>
      </c>
      <c r="I6902" s="13" t="s">
        <v>14535</v>
      </c>
      <c r="J6902" s="14" t="str">
        <f>HYPERLINK("https://www.boe.es/gazeta/dias/1839/09/22/pdfs/GMD-1839-1777.pdf#page=2","Abrir facsímil")</f>
        <v>Abrir facsímil</v>
      </c>
      <c r="K6902" s="12" t="s">
        <v>65</v>
      </c>
    </row>
    <row r="6903" spans="1:11" ht="40.049999999999997" customHeight="1" x14ac:dyDescent="0.25">
      <c r="A6903" s="11" t="s">
        <v>14524</v>
      </c>
      <c r="B6903" s="11" t="s">
        <v>14524</v>
      </c>
      <c r="C6903" s="11" t="s">
        <v>101</v>
      </c>
      <c r="D6903" s="11" t="s">
        <v>43</v>
      </c>
      <c r="E6903" s="12" t="s">
        <v>568</v>
      </c>
      <c r="F6903" s="12" t="s">
        <v>569</v>
      </c>
      <c r="G6903" s="12" t="s">
        <v>21</v>
      </c>
      <c r="H6903" s="11" t="s">
        <v>63</v>
      </c>
      <c r="I6903" s="13" t="s">
        <v>14536</v>
      </c>
      <c r="J6903" s="14" t="str">
        <f>HYPERLINK("https://www.boe.es/gazeta/dias/1839/10/23/pdfs/GMD-1839-1809.pdf#page=4","Abrir facsímil")</f>
        <v>Abrir facsímil</v>
      </c>
      <c r="K6903" s="12" t="s">
        <v>65</v>
      </c>
    </row>
    <row r="6904" spans="1:11" ht="40.049999999999997" customHeight="1" x14ac:dyDescent="0.25">
      <c r="A6904" s="11" t="s">
        <v>14537</v>
      </c>
      <c r="B6904" s="11" t="s">
        <v>14538</v>
      </c>
      <c r="C6904" s="11" t="s">
        <v>101</v>
      </c>
      <c r="D6904" s="11" t="s">
        <v>43</v>
      </c>
      <c r="E6904" s="12" t="s">
        <v>587</v>
      </c>
      <c r="F6904" s="12" t="s">
        <v>588</v>
      </c>
      <c r="G6904" s="12" t="s">
        <v>21</v>
      </c>
      <c r="H6904" s="11" t="s">
        <v>63</v>
      </c>
      <c r="I6904" s="13" t="s">
        <v>14539</v>
      </c>
      <c r="J6904" s="14" t="str">
        <f>HYPERLINK("https://www.boe.es/gazeta/dias/1839/05/02/pdfs/GMD-1839-1629.pdf#page=4","Abrir facsímil")</f>
        <v>Abrir facsímil</v>
      </c>
      <c r="K6904" s="12" t="s">
        <v>65</v>
      </c>
    </row>
    <row r="6905" spans="1:11" ht="40.049999999999997" customHeight="1" x14ac:dyDescent="0.25">
      <c r="A6905" s="11" t="s">
        <v>14540</v>
      </c>
      <c r="B6905" s="11" t="s">
        <v>14541</v>
      </c>
      <c r="C6905" s="11" t="s">
        <v>17</v>
      </c>
      <c r="D6905" s="11" t="s">
        <v>18</v>
      </c>
      <c r="E6905" s="12" t="s">
        <v>2222</v>
      </c>
      <c r="F6905" s="12" t="s">
        <v>2223</v>
      </c>
      <c r="G6905" s="12" t="s">
        <v>21</v>
      </c>
      <c r="H6905" s="11" t="s">
        <v>63</v>
      </c>
      <c r="I6905" s="13" t="s">
        <v>14542</v>
      </c>
      <c r="J6905" s="14" t="str">
        <f>HYPERLINK("https://www.boe.es/gazeta/dias/1839/09/19/pdfs/GMD-1839-1773.pdf#page=4","Abrir facsímil")</f>
        <v>Abrir facsímil</v>
      </c>
      <c r="K6905" s="12" t="s">
        <v>65</v>
      </c>
    </row>
    <row r="6906" spans="1:11" ht="40.049999999999997" customHeight="1" x14ac:dyDescent="0.25">
      <c r="A6906" s="11" t="s">
        <v>14540</v>
      </c>
      <c r="B6906" s="11" t="s">
        <v>14541</v>
      </c>
      <c r="C6906" s="11" t="s">
        <v>137</v>
      </c>
      <c r="D6906" s="11" t="s">
        <v>18</v>
      </c>
      <c r="E6906" s="12" t="s">
        <v>1108</v>
      </c>
      <c r="F6906" s="12" t="s">
        <v>1109</v>
      </c>
      <c r="G6906" s="12" t="s">
        <v>21</v>
      </c>
      <c r="H6906" s="11" t="s">
        <v>63</v>
      </c>
      <c r="I6906" s="13" t="s">
        <v>14543</v>
      </c>
      <c r="J6906" s="14" t="str">
        <f>HYPERLINK("https://www.boe.es/gazeta/dias/1839/09/21/pdfs/GMD-1839-1776.pdf#page=4","Abrir facsímil")</f>
        <v>Abrir facsímil</v>
      </c>
      <c r="K6906" s="12" t="s">
        <v>65</v>
      </c>
    </row>
    <row r="6907" spans="1:11" ht="40.049999999999997" customHeight="1" x14ac:dyDescent="0.25">
      <c r="A6907" s="11" t="s">
        <v>14544</v>
      </c>
      <c r="B6907" s="11" t="s">
        <v>14545</v>
      </c>
      <c r="C6907" s="11" t="s">
        <v>17</v>
      </c>
      <c r="D6907" s="11" t="s">
        <v>18</v>
      </c>
      <c r="E6907" s="12" t="s">
        <v>2021</v>
      </c>
      <c r="F6907" s="12" t="s">
        <v>2022</v>
      </c>
      <c r="G6907" s="12" t="s">
        <v>46</v>
      </c>
      <c r="H6907" s="11" t="s">
        <v>63</v>
      </c>
      <c r="I6907" s="13" t="s">
        <v>14546</v>
      </c>
      <c r="J6907" s="14" t="str">
        <f>HYPERLINK("https://www.boe.es/gazeta/dias/1839/02/17/pdfs/GMD-1839-1555.pdf#page=3","Abrir facsímil")</f>
        <v>Abrir facsímil</v>
      </c>
      <c r="K6907" s="12" t="s">
        <v>65</v>
      </c>
    </row>
    <row r="6908" spans="1:11" ht="40.049999999999997" customHeight="1" x14ac:dyDescent="0.25">
      <c r="A6908" s="11" t="s">
        <v>14547</v>
      </c>
      <c r="B6908" s="11" t="s">
        <v>14548</v>
      </c>
      <c r="C6908" s="11" t="s">
        <v>17</v>
      </c>
      <c r="D6908" s="11" t="s">
        <v>18</v>
      </c>
      <c r="E6908" s="12" t="s">
        <v>527</v>
      </c>
      <c r="F6908" s="12" t="s">
        <v>528</v>
      </c>
      <c r="G6908" s="12" t="s">
        <v>40</v>
      </c>
      <c r="H6908" s="11" t="s">
        <v>63</v>
      </c>
      <c r="I6908" s="13" t="s">
        <v>14549</v>
      </c>
      <c r="J6908" s="14" t="str">
        <f>HYPERLINK("https://www.boe.es/gazeta/dias/1839/07/10/pdfs/GMD-1839-1698.pdf#page=2","Abrir facsímil")</f>
        <v>Abrir facsímil</v>
      </c>
      <c r="K6908" s="12" t="s">
        <v>65</v>
      </c>
    </row>
    <row r="6909" spans="1:11" ht="40.049999999999997" customHeight="1" x14ac:dyDescent="0.25">
      <c r="A6909" s="11" t="s">
        <v>14550</v>
      </c>
      <c r="B6909" s="11" t="s">
        <v>14550</v>
      </c>
      <c r="C6909" s="11" t="s">
        <v>59</v>
      </c>
      <c r="D6909" s="11" t="s">
        <v>60</v>
      </c>
      <c r="E6909" s="12" t="s">
        <v>1474</v>
      </c>
      <c r="F6909" s="12" t="s">
        <v>1475</v>
      </c>
      <c r="G6909" s="12" t="s">
        <v>46</v>
      </c>
      <c r="H6909" s="11" t="s">
        <v>63</v>
      </c>
      <c r="I6909" s="13" t="s">
        <v>14551</v>
      </c>
      <c r="J6909" s="14" t="str">
        <f>HYPERLINK("https://www.boe.es/gazeta/dias/1839/02/28/pdfs/GMD-1839-1566.pdf#page=3","Abrir facsímil")</f>
        <v>Abrir facsímil</v>
      </c>
      <c r="K6909" s="12" t="s">
        <v>65</v>
      </c>
    </row>
    <row r="6910" spans="1:11" ht="40.049999999999997" customHeight="1" x14ac:dyDescent="0.25">
      <c r="A6910" s="11" t="s">
        <v>14552</v>
      </c>
      <c r="B6910" s="11" t="s">
        <v>14552</v>
      </c>
      <c r="C6910" s="11" t="s">
        <v>80</v>
      </c>
      <c r="D6910" s="11" t="s">
        <v>173</v>
      </c>
      <c r="E6910" s="12" t="s">
        <v>1474</v>
      </c>
      <c r="F6910" s="12" t="s">
        <v>1475</v>
      </c>
      <c r="G6910" s="12" t="s">
        <v>21</v>
      </c>
      <c r="H6910" s="11" t="s">
        <v>63</v>
      </c>
      <c r="I6910" s="13" t="s">
        <v>14553</v>
      </c>
      <c r="J6910" s="14" t="str">
        <f>HYPERLINK("https://www.boe.es/gazeta/dias/1839/02/28/pdfs/GMD-1839-1566.pdf#page=4","Abrir facsímil")</f>
        <v>Abrir facsímil</v>
      </c>
      <c r="K6910" s="12" t="s">
        <v>65</v>
      </c>
    </row>
    <row r="6911" spans="1:11" ht="40.049999999999997" customHeight="1" x14ac:dyDescent="0.25">
      <c r="A6911" s="11" t="s">
        <v>14552</v>
      </c>
      <c r="B6911" s="11" t="s">
        <v>14552</v>
      </c>
      <c r="C6911" s="11" t="s">
        <v>17</v>
      </c>
      <c r="D6911" s="11" t="s">
        <v>18</v>
      </c>
      <c r="E6911" s="12" t="s">
        <v>574</v>
      </c>
      <c r="F6911" s="12" t="s">
        <v>575</v>
      </c>
      <c r="G6911" s="12" t="s">
        <v>29</v>
      </c>
      <c r="H6911" s="11" t="s">
        <v>63</v>
      </c>
      <c r="I6911" s="13" t="s">
        <v>14554</v>
      </c>
      <c r="J6911" s="14" t="str">
        <f>HYPERLINK("https://www.boe.es/gazeta/dias/1839/09/28/pdfs/GMD-1839-1784.pdf#page=1","Abrir facsímil")</f>
        <v>Abrir facsímil</v>
      </c>
      <c r="K6911" s="12" t="s">
        <v>65</v>
      </c>
    </row>
    <row r="6912" spans="1:11" ht="40.049999999999997" customHeight="1" x14ac:dyDescent="0.25">
      <c r="A6912" s="11" t="s">
        <v>14555</v>
      </c>
      <c r="B6912" s="11" t="s">
        <v>14555</v>
      </c>
      <c r="C6912" s="11" t="s">
        <v>17</v>
      </c>
      <c r="D6912" s="11" t="s">
        <v>18</v>
      </c>
      <c r="E6912" s="12" t="s">
        <v>1069</v>
      </c>
      <c r="F6912" s="12" t="s">
        <v>1070</v>
      </c>
      <c r="G6912" s="12" t="s">
        <v>46</v>
      </c>
      <c r="H6912" s="11" t="s">
        <v>22</v>
      </c>
      <c r="I6912" s="13" t="s">
        <v>14556</v>
      </c>
      <c r="J6912" s="14" t="str">
        <f>HYPERLINK("https://www.boe.es/gazeta/dias/1839/10/15/pdfs/GMD-1839-1801.pdf#page=3","Abrir facsímil")</f>
        <v>Abrir facsímil</v>
      </c>
      <c r="K6912" s="12" t="s">
        <v>24</v>
      </c>
    </row>
    <row r="6913" spans="1:11" ht="40.049999999999997" customHeight="1" x14ac:dyDescent="0.25">
      <c r="A6913" s="11" t="s">
        <v>14557</v>
      </c>
      <c r="B6913" s="11" t="s">
        <v>14558</v>
      </c>
      <c r="C6913" s="11" t="s">
        <v>17</v>
      </c>
      <c r="D6913" s="11" t="s">
        <v>18</v>
      </c>
      <c r="E6913" s="12" t="s">
        <v>420</v>
      </c>
      <c r="F6913" s="12" t="s">
        <v>421</v>
      </c>
      <c r="G6913" s="12" t="s">
        <v>46</v>
      </c>
      <c r="H6913" s="11" t="s">
        <v>63</v>
      </c>
      <c r="I6913" s="13" t="s">
        <v>14559</v>
      </c>
      <c r="J6913" s="14" t="str">
        <f>HYPERLINK("https://www.boe.es/gazeta/dias/1839/03/12/pdfs/GMD-1839-1578.pdf#page=3","Abrir facsímil")</f>
        <v>Abrir facsímil</v>
      </c>
      <c r="K6913" s="12" t="s">
        <v>65</v>
      </c>
    </row>
    <row r="6914" spans="1:11" ht="40.049999999999997" customHeight="1" x14ac:dyDescent="0.25">
      <c r="A6914" s="11" t="s">
        <v>14560</v>
      </c>
      <c r="B6914" s="11" t="s">
        <v>14560</v>
      </c>
      <c r="C6914" s="11" t="s">
        <v>17</v>
      </c>
      <c r="D6914" s="11" t="s">
        <v>18</v>
      </c>
      <c r="E6914" s="12" t="s">
        <v>1057</v>
      </c>
      <c r="F6914" s="12" t="s">
        <v>1058</v>
      </c>
      <c r="G6914" s="12" t="s">
        <v>566</v>
      </c>
      <c r="H6914" s="11" t="s">
        <v>63</v>
      </c>
      <c r="I6914" s="13" t="s">
        <v>14561</v>
      </c>
      <c r="J6914" s="14" t="str">
        <f>HYPERLINK("https://www.boe.es/gazeta/dias/1839/10/01/pdfs/GMD-1839-1787.pdf#page=5","Abrir facsímil")</f>
        <v>Abrir facsímil</v>
      </c>
      <c r="K6914" s="12" t="s">
        <v>65</v>
      </c>
    </row>
    <row r="6915" spans="1:11" ht="40.049999999999997" customHeight="1" x14ac:dyDescent="0.25">
      <c r="A6915" s="11" t="s">
        <v>14560</v>
      </c>
      <c r="B6915" s="11" t="s">
        <v>14560</v>
      </c>
      <c r="C6915" s="11" t="s">
        <v>17</v>
      </c>
      <c r="D6915" s="11" t="s">
        <v>18</v>
      </c>
      <c r="E6915" s="12" t="s">
        <v>690</v>
      </c>
      <c r="F6915" s="12" t="s">
        <v>691</v>
      </c>
      <c r="G6915" s="12" t="s">
        <v>40</v>
      </c>
      <c r="H6915" s="11" t="s">
        <v>63</v>
      </c>
      <c r="I6915" s="13" t="s">
        <v>14562</v>
      </c>
      <c r="J6915" s="14" t="str">
        <f>HYPERLINK("https://www.boe.es/gazeta/dias/1839/12/08/pdfs/GMD-1839-1855.pdf#page=2","Abrir facsímil")</f>
        <v>Abrir facsímil</v>
      </c>
      <c r="K6915" s="12" t="s">
        <v>65</v>
      </c>
    </row>
    <row r="6916" spans="1:11" ht="40.049999999999997" customHeight="1" x14ac:dyDescent="0.25">
      <c r="A6916" s="11" t="s">
        <v>14560</v>
      </c>
      <c r="B6916" s="11" t="s">
        <v>14560</v>
      </c>
      <c r="C6916" s="11" t="s">
        <v>17</v>
      </c>
      <c r="D6916" s="11" t="s">
        <v>18</v>
      </c>
      <c r="E6916" s="12" t="s">
        <v>2262</v>
      </c>
      <c r="F6916" s="12" t="s">
        <v>2263</v>
      </c>
      <c r="G6916" s="12" t="s">
        <v>46</v>
      </c>
      <c r="H6916" s="11" t="s">
        <v>63</v>
      </c>
      <c r="I6916" s="13" t="s">
        <v>14563</v>
      </c>
      <c r="J6916" s="14" t="str">
        <f>HYPERLINK("https://www.boe.es/gazeta/dias/1839/03/16/pdfs/GMD-1839-1582.pdf#page=3","Abrir facsímil")</f>
        <v>Abrir facsímil</v>
      </c>
      <c r="K6916" s="12" t="s">
        <v>65</v>
      </c>
    </row>
    <row r="6917" spans="1:11" ht="40.049999999999997" customHeight="1" x14ac:dyDescent="0.25">
      <c r="A6917" s="11" t="s">
        <v>14564</v>
      </c>
      <c r="B6917" s="11" t="s">
        <v>14565</v>
      </c>
      <c r="C6917" s="11" t="s">
        <v>17</v>
      </c>
      <c r="D6917" s="11" t="s">
        <v>43</v>
      </c>
      <c r="E6917" s="12" t="s">
        <v>555</v>
      </c>
      <c r="F6917" s="12" t="s">
        <v>556</v>
      </c>
      <c r="G6917" s="12" t="s">
        <v>21</v>
      </c>
      <c r="H6917" s="11" t="s">
        <v>63</v>
      </c>
      <c r="I6917" s="13" t="s">
        <v>14566</v>
      </c>
      <c r="J6917" s="14" t="str">
        <f>HYPERLINK("https://www.boe.es/gazeta/dias/1839/07/19/pdfs/GMD-1839-1707.pdf#page=4","Abrir facsímil")</f>
        <v>Abrir facsímil</v>
      </c>
      <c r="K6917" s="12" t="s">
        <v>65</v>
      </c>
    </row>
    <row r="6918" spans="1:11" ht="40.049999999999997" customHeight="1" x14ac:dyDescent="0.25">
      <c r="A6918" s="11" t="s">
        <v>14567</v>
      </c>
      <c r="B6918" s="11" t="s">
        <v>14567</v>
      </c>
      <c r="C6918" s="11" t="s">
        <v>101</v>
      </c>
      <c r="D6918" s="11" t="s">
        <v>102</v>
      </c>
      <c r="E6918" s="12" t="s">
        <v>426</v>
      </c>
      <c r="F6918" s="12" t="s">
        <v>427</v>
      </c>
      <c r="G6918" s="12" t="s">
        <v>29</v>
      </c>
      <c r="H6918" s="11" t="s">
        <v>63</v>
      </c>
      <c r="I6918" s="13" t="s">
        <v>14568</v>
      </c>
      <c r="J6918" s="14" t="str">
        <f>HYPERLINK("https://www.boe.es/gazeta/dias/1839/08/11/pdfs/GMD-1839-1731.pdf#page=1","Abrir facsímil")</f>
        <v>Abrir facsímil</v>
      </c>
      <c r="K6918" s="12" t="s">
        <v>65</v>
      </c>
    </row>
    <row r="6919" spans="1:11" ht="40.049999999999997" customHeight="1" x14ac:dyDescent="0.25">
      <c r="A6919" s="11" t="s">
        <v>14569</v>
      </c>
      <c r="B6919" s="11" t="s">
        <v>14570</v>
      </c>
      <c r="C6919" s="11" t="s">
        <v>17</v>
      </c>
      <c r="D6919" s="11" t="s">
        <v>18</v>
      </c>
      <c r="E6919" s="12" t="s">
        <v>2349</v>
      </c>
      <c r="F6919" s="12" t="s">
        <v>2350</v>
      </c>
      <c r="G6919" s="12" t="s">
        <v>29</v>
      </c>
      <c r="H6919" s="11" t="s">
        <v>63</v>
      </c>
      <c r="I6919" s="13" t="s">
        <v>14571</v>
      </c>
      <c r="J6919" s="14" t="str">
        <f>HYPERLINK("https://www.boe.es/gazeta/dias/1839/09/29/pdfs/GMD-1839-1785.pdf#page=1","Abrir facsímil")</f>
        <v>Abrir facsímil</v>
      </c>
      <c r="K6919" s="12" t="s">
        <v>65</v>
      </c>
    </row>
    <row r="6920" spans="1:11" ht="40.049999999999997" customHeight="1" x14ac:dyDescent="0.25">
      <c r="A6920" s="11" t="s">
        <v>14572</v>
      </c>
      <c r="B6920" s="11" t="s">
        <v>14573</v>
      </c>
      <c r="C6920" s="11" t="s">
        <v>59</v>
      </c>
      <c r="D6920" s="11" t="s">
        <v>60</v>
      </c>
      <c r="E6920" s="12" t="s">
        <v>68</v>
      </c>
      <c r="F6920" s="12" t="s">
        <v>69</v>
      </c>
      <c r="G6920" s="12" t="s">
        <v>29</v>
      </c>
      <c r="H6920" s="11" t="s">
        <v>63</v>
      </c>
      <c r="I6920" s="13" t="s">
        <v>14574</v>
      </c>
      <c r="J6920" s="14" t="str">
        <f>HYPERLINK("https://www.boe.es/gazeta/dias/1839/02/09/pdfs/GMD-1839-1547.pdf#page=1","Abrir facsímil")</f>
        <v>Abrir facsímil</v>
      </c>
      <c r="K6920" s="12" t="s">
        <v>65</v>
      </c>
    </row>
    <row r="6921" spans="1:11" ht="40.049999999999997" customHeight="1" x14ac:dyDescent="0.25">
      <c r="A6921" s="11" t="s">
        <v>14575</v>
      </c>
      <c r="B6921" s="11" t="s">
        <v>14575</v>
      </c>
      <c r="C6921" s="11" t="s">
        <v>17</v>
      </c>
      <c r="D6921" s="11" t="s">
        <v>18</v>
      </c>
      <c r="E6921" s="12" t="s">
        <v>303</v>
      </c>
      <c r="F6921" s="12" t="s">
        <v>304</v>
      </c>
      <c r="G6921" s="12" t="s">
        <v>40</v>
      </c>
      <c r="H6921" s="11" t="s">
        <v>63</v>
      </c>
      <c r="I6921" s="13" t="s">
        <v>14576</v>
      </c>
      <c r="J6921" s="14" t="str">
        <f>HYPERLINK("https://www.boe.es/gazeta/dias/1839/10/06/pdfs/GMD-1839-1792.pdf#page=2","Abrir facsímil")</f>
        <v>Abrir facsímil</v>
      </c>
      <c r="K6921" s="12" t="s">
        <v>65</v>
      </c>
    </row>
    <row r="6922" spans="1:11" ht="40.049999999999997" customHeight="1" x14ac:dyDescent="0.25">
      <c r="A6922" s="11" t="s">
        <v>14575</v>
      </c>
      <c r="B6922" s="11" t="s">
        <v>14575</v>
      </c>
      <c r="C6922" s="11" t="s">
        <v>137</v>
      </c>
      <c r="D6922" s="11" t="s">
        <v>18</v>
      </c>
      <c r="E6922" s="12" t="s">
        <v>1100</v>
      </c>
      <c r="F6922" s="12" t="s">
        <v>1101</v>
      </c>
      <c r="G6922" s="12" t="s">
        <v>29</v>
      </c>
      <c r="H6922" s="11" t="s">
        <v>63</v>
      </c>
      <c r="I6922" s="13" t="s">
        <v>14577</v>
      </c>
      <c r="J6922" s="14" t="str">
        <f>HYPERLINK("https://www.boe.es/gazeta/dias/1839/09/13/pdfs/GMD-1839-1766.pdf#page=1","Abrir facsímil")</f>
        <v>Abrir facsímil</v>
      </c>
      <c r="K6922" s="12" t="s">
        <v>65</v>
      </c>
    </row>
    <row r="6923" spans="1:11" ht="40.049999999999997" customHeight="1" x14ac:dyDescent="0.25">
      <c r="A6923" s="11" t="s">
        <v>14575</v>
      </c>
      <c r="B6923" s="11" t="s">
        <v>14575</v>
      </c>
      <c r="C6923" s="11" t="s">
        <v>17</v>
      </c>
      <c r="D6923" s="11" t="s">
        <v>43</v>
      </c>
      <c r="E6923" s="12" t="s">
        <v>1076</v>
      </c>
      <c r="F6923" s="12" t="s">
        <v>1077</v>
      </c>
      <c r="G6923" s="12" t="s">
        <v>21</v>
      </c>
      <c r="H6923" s="11" t="s">
        <v>63</v>
      </c>
      <c r="I6923" s="13" t="s">
        <v>14578</v>
      </c>
      <c r="J6923" s="14" t="str">
        <f>HYPERLINK("https://www.boe.es/gazeta/dias/1839/10/19/pdfs/GMD-1839-1805.pdf#page=4","Abrir facsímil")</f>
        <v>Abrir facsímil</v>
      </c>
      <c r="K6923" s="12" t="s">
        <v>65</v>
      </c>
    </row>
    <row r="6924" spans="1:11" ht="40.049999999999997" customHeight="1" x14ac:dyDescent="0.25">
      <c r="A6924" s="11" t="s">
        <v>14579</v>
      </c>
      <c r="B6924" s="11" t="s">
        <v>14580</v>
      </c>
      <c r="C6924" s="11" t="s">
        <v>17</v>
      </c>
      <c r="D6924" s="11" t="s">
        <v>18</v>
      </c>
      <c r="E6924" s="12" t="s">
        <v>1606</v>
      </c>
      <c r="F6924" s="12" t="s">
        <v>1607</v>
      </c>
      <c r="G6924" s="12" t="s">
        <v>21</v>
      </c>
      <c r="H6924" s="11" t="s">
        <v>63</v>
      </c>
      <c r="I6924" s="13" t="s">
        <v>14581</v>
      </c>
      <c r="J6924" s="14" t="str">
        <f>HYPERLINK("https://www.boe.es/gazeta/dias/1839/07/02/pdfs/GMD-1839-1690.pdf#page=4","Abrir facsímil")</f>
        <v>Abrir facsímil</v>
      </c>
      <c r="K6924" s="12" t="s">
        <v>65</v>
      </c>
    </row>
    <row r="6925" spans="1:11" ht="40.049999999999997" customHeight="1" x14ac:dyDescent="0.25">
      <c r="A6925" s="11" t="s">
        <v>14582</v>
      </c>
      <c r="B6925" s="11" t="s">
        <v>14583</v>
      </c>
      <c r="C6925" s="11" t="s">
        <v>17</v>
      </c>
      <c r="D6925" s="11" t="s">
        <v>18</v>
      </c>
      <c r="E6925" s="12" t="s">
        <v>3705</v>
      </c>
      <c r="F6925" s="12" t="s">
        <v>3706</v>
      </c>
      <c r="G6925" s="12" t="s">
        <v>29</v>
      </c>
      <c r="H6925" s="11" t="s">
        <v>63</v>
      </c>
      <c r="I6925" s="13" t="s">
        <v>14584</v>
      </c>
      <c r="J6925" s="14" t="str">
        <f>HYPERLINK("https://www.boe.es/gazeta/dias/1839/03/09/pdfs/GMD-1839-1575.pdf#page=1","Abrir facsímil")</f>
        <v>Abrir facsímil</v>
      </c>
      <c r="K6925" s="12" t="s">
        <v>65</v>
      </c>
    </row>
    <row r="6926" spans="1:11" ht="40.049999999999997" customHeight="1" x14ac:dyDescent="0.25">
      <c r="A6926" s="11" t="s">
        <v>14585</v>
      </c>
      <c r="B6926" s="11" t="s">
        <v>14586</v>
      </c>
      <c r="C6926" s="11" t="s">
        <v>17</v>
      </c>
      <c r="D6926" s="11" t="s">
        <v>18</v>
      </c>
      <c r="E6926" s="12" t="s">
        <v>405</v>
      </c>
      <c r="F6926" s="12" t="s">
        <v>406</v>
      </c>
      <c r="G6926" s="12" t="s">
        <v>29</v>
      </c>
      <c r="H6926" s="11" t="s">
        <v>22</v>
      </c>
      <c r="I6926" s="13" t="s">
        <v>14587</v>
      </c>
      <c r="J6926" s="14" t="str">
        <f>HYPERLINK("https://www.boe.es/gazeta/dias/1839/03/25/pdfs/GMD-1839-1591.pdf#page=1","Abrir facsímil")</f>
        <v>Abrir facsímil</v>
      </c>
      <c r="K6926" s="12" t="s">
        <v>24</v>
      </c>
    </row>
    <row r="6927" spans="1:11" ht="40.049999999999997" customHeight="1" x14ac:dyDescent="0.25">
      <c r="A6927" s="11" t="s">
        <v>14588</v>
      </c>
      <c r="B6927" s="11" t="s">
        <v>14588</v>
      </c>
      <c r="C6927" s="11" t="s">
        <v>17</v>
      </c>
      <c r="D6927" s="11" t="s">
        <v>18</v>
      </c>
      <c r="E6927" s="12" t="s">
        <v>3705</v>
      </c>
      <c r="F6927" s="12" t="s">
        <v>3706</v>
      </c>
      <c r="G6927" s="12" t="s">
        <v>40</v>
      </c>
      <c r="H6927" s="11" t="s">
        <v>63</v>
      </c>
      <c r="I6927" s="13" t="s">
        <v>14589</v>
      </c>
      <c r="J6927" s="14" t="str">
        <f>HYPERLINK("https://www.boe.es/gazeta/dias/1839/03/09/pdfs/GMD-1839-1575.pdf#page=2","Abrir facsímil")</f>
        <v>Abrir facsímil</v>
      </c>
      <c r="K6927" s="12" t="s">
        <v>65</v>
      </c>
    </row>
    <row r="6928" spans="1:11" ht="40.049999999999997" customHeight="1" x14ac:dyDescent="0.25">
      <c r="A6928" s="11" t="s">
        <v>14588</v>
      </c>
      <c r="B6928" s="11" t="s">
        <v>14588</v>
      </c>
      <c r="C6928" s="11" t="s">
        <v>59</v>
      </c>
      <c r="D6928" s="11" t="s">
        <v>60</v>
      </c>
      <c r="E6928" s="12" t="s">
        <v>1685</v>
      </c>
      <c r="F6928" s="12" t="s">
        <v>1686</v>
      </c>
      <c r="G6928" s="12" t="s">
        <v>29</v>
      </c>
      <c r="H6928" s="11" t="s">
        <v>63</v>
      </c>
      <c r="I6928" s="13" t="s">
        <v>14590</v>
      </c>
      <c r="J6928" s="14" t="str">
        <f>HYPERLINK("https://www.boe.es/gazeta/dias/1839/04/27/pdfs/GMD-1839-1624.pdf#page=1","Abrir facsímil")</f>
        <v>Abrir facsímil</v>
      </c>
      <c r="K6928" s="12" t="s">
        <v>65</v>
      </c>
    </row>
    <row r="6929" spans="1:11" ht="40.049999999999997" customHeight="1" x14ac:dyDescent="0.25">
      <c r="A6929" s="11" t="s">
        <v>14591</v>
      </c>
      <c r="B6929" s="11" t="s">
        <v>14591</v>
      </c>
      <c r="C6929" s="11" t="s">
        <v>17</v>
      </c>
      <c r="D6929" s="11" t="s">
        <v>18</v>
      </c>
      <c r="E6929" s="12" t="s">
        <v>1340</v>
      </c>
      <c r="F6929" s="12" t="s">
        <v>1341</v>
      </c>
      <c r="G6929" s="12" t="s">
        <v>21</v>
      </c>
      <c r="H6929" s="11" t="s">
        <v>63</v>
      </c>
      <c r="I6929" s="13" t="s">
        <v>14592</v>
      </c>
      <c r="J6929" s="14" t="str">
        <f>HYPERLINK("https://www.boe.es/gazeta/dias/1839/05/05/pdfs/GMD-1839-1632.pdf#page=4","Abrir facsímil")</f>
        <v>Abrir facsímil</v>
      </c>
      <c r="K6929" s="12" t="s">
        <v>65</v>
      </c>
    </row>
    <row r="6930" spans="1:11" ht="40.049999999999997" customHeight="1" x14ac:dyDescent="0.25">
      <c r="A6930" s="11" t="s">
        <v>14591</v>
      </c>
      <c r="B6930" s="11" t="s">
        <v>14591</v>
      </c>
      <c r="C6930" s="11" t="s">
        <v>80</v>
      </c>
      <c r="D6930" s="11" t="s">
        <v>18</v>
      </c>
      <c r="E6930" s="12" t="s">
        <v>3705</v>
      </c>
      <c r="F6930" s="12" t="s">
        <v>3706</v>
      </c>
      <c r="G6930" s="12" t="s">
        <v>40</v>
      </c>
      <c r="H6930" s="11" t="s">
        <v>63</v>
      </c>
      <c r="I6930" s="13" t="s">
        <v>14593</v>
      </c>
      <c r="J6930" s="14" t="str">
        <f>HYPERLINK("https://www.boe.es/gazeta/dias/1839/03/09/pdfs/GMD-1839-1575.pdf#page=2","Abrir facsímil")</f>
        <v>Abrir facsímil</v>
      </c>
      <c r="K6930" s="12" t="s">
        <v>65</v>
      </c>
    </row>
    <row r="6931" spans="1:11" ht="40.049999999999997" customHeight="1" x14ac:dyDescent="0.25">
      <c r="A6931" s="11" t="s">
        <v>14591</v>
      </c>
      <c r="B6931" s="11" t="s">
        <v>14591</v>
      </c>
      <c r="C6931" s="11" t="s">
        <v>17</v>
      </c>
      <c r="D6931" s="11" t="s">
        <v>18</v>
      </c>
      <c r="E6931" s="12" t="s">
        <v>330</v>
      </c>
      <c r="F6931" s="12" t="s">
        <v>331</v>
      </c>
      <c r="G6931" s="12" t="s">
        <v>46</v>
      </c>
      <c r="H6931" s="11" t="s">
        <v>63</v>
      </c>
      <c r="I6931" s="13" t="s">
        <v>14594</v>
      </c>
      <c r="J6931" s="14" t="str">
        <f>HYPERLINK("https://www.boe.es/gazeta/dias/1839/04/11/pdfs/GMD-1839-1608.pdf#page=3","Abrir facsímil")</f>
        <v>Abrir facsímil</v>
      </c>
      <c r="K6931" s="12" t="s">
        <v>65</v>
      </c>
    </row>
    <row r="6932" spans="1:11" ht="40.049999999999997" customHeight="1" x14ac:dyDescent="0.25">
      <c r="A6932" s="11" t="s">
        <v>14591</v>
      </c>
      <c r="B6932" s="11" t="s">
        <v>14591</v>
      </c>
      <c r="C6932" s="11" t="s">
        <v>80</v>
      </c>
      <c r="D6932" s="11" t="s">
        <v>173</v>
      </c>
      <c r="E6932" s="12" t="s">
        <v>2919</v>
      </c>
      <c r="F6932" s="12" t="s">
        <v>2920</v>
      </c>
      <c r="G6932" s="12" t="s">
        <v>21</v>
      </c>
      <c r="H6932" s="11" t="s">
        <v>63</v>
      </c>
      <c r="I6932" s="13" t="s">
        <v>14595</v>
      </c>
      <c r="J6932" s="14" t="str">
        <f>HYPERLINK("https://www.boe.es/gazeta/dias/1839/11/12/pdfs/GMD-1839-1829.pdf#page=4","Abrir facsímil")</f>
        <v>Abrir facsímil</v>
      </c>
      <c r="K6932" s="12" t="s">
        <v>65</v>
      </c>
    </row>
    <row r="6933" spans="1:11" ht="40.049999999999997" customHeight="1" x14ac:dyDescent="0.25">
      <c r="A6933" s="11" t="s">
        <v>14591</v>
      </c>
      <c r="B6933" s="11" t="s">
        <v>14591</v>
      </c>
      <c r="C6933" s="11" t="s">
        <v>137</v>
      </c>
      <c r="D6933" s="11" t="s">
        <v>18</v>
      </c>
      <c r="E6933" s="12" t="s">
        <v>2851</v>
      </c>
      <c r="F6933" s="12" t="s">
        <v>2852</v>
      </c>
      <c r="G6933" s="12" t="s">
        <v>29</v>
      </c>
      <c r="H6933" s="11" t="s">
        <v>63</v>
      </c>
      <c r="I6933" s="13" t="s">
        <v>14596</v>
      </c>
      <c r="J6933" s="14" t="str">
        <f>HYPERLINK("https://www.boe.es/gazeta/dias/1839/05/16/pdfs/GMD-1839-1643.pdf#page=1","Abrir facsímil")</f>
        <v>Abrir facsímil</v>
      </c>
      <c r="K6933" s="12" t="s">
        <v>65</v>
      </c>
    </row>
    <row r="6934" spans="1:11" ht="40.049999999999997" customHeight="1" x14ac:dyDescent="0.25">
      <c r="A6934" s="11" t="s">
        <v>14591</v>
      </c>
      <c r="B6934" s="11" t="s">
        <v>14591</v>
      </c>
      <c r="C6934" s="11" t="s">
        <v>137</v>
      </c>
      <c r="D6934" s="11" t="s">
        <v>18</v>
      </c>
      <c r="E6934" s="12" t="s">
        <v>2069</v>
      </c>
      <c r="F6934" s="12" t="s">
        <v>2070</v>
      </c>
      <c r="G6934" s="12" t="s">
        <v>305</v>
      </c>
      <c r="H6934" s="11" t="s">
        <v>63</v>
      </c>
      <c r="I6934" s="13" t="s">
        <v>14597</v>
      </c>
      <c r="J6934" s="14" t="str">
        <f>HYPERLINK("https://www.boe.es/gazeta/dias/1839/10/20/pdfs/GMD-1839-1806.pdf#page=6","Abrir facsímil")</f>
        <v>Abrir facsímil</v>
      </c>
      <c r="K6934" s="12" t="s">
        <v>65</v>
      </c>
    </row>
    <row r="6935" spans="1:11" ht="40.049999999999997" customHeight="1" x14ac:dyDescent="0.25">
      <c r="A6935" s="11" t="s">
        <v>14591</v>
      </c>
      <c r="B6935" s="11" t="s">
        <v>14591</v>
      </c>
      <c r="C6935" s="11" t="s">
        <v>80</v>
      </c>
      <c r="D6935" s="11" t="s">
        <v>18</v>
      </c>
      <c r="E6935" s="12" t="s">
        <v>519</v>
      </c>
      <c r="F6935" s="12" t="s">
        <v>520</v>
      </c>
      <c r="G6935" s="12" t="s">
        <v>29</v>
      </c>
      <c r="H6935" s="11" t="s">
        <v>63</v>
      </c>
      <c r="I6935" s="13" t="s">
        <v>14598</v>
      </c>
      <c r="J6935" s="14" t="str">
        <f>HYPERLINK("https://www.boe.es/gazeta/dias/1839/02/23/pdfs/GMD-1839-1561.pdf#page=1","Abrir facsímil")</f>
        <v>Abrir facsímil</v>
      </c>
      <c r="K6935" s="12" t="s">
        <v>65</v>
      </c>
    </row>
    <row r="6936" spans="1:11" ht="40.049999999999997" customHeight="1" x14ac:dyDescent="0.25">
      <c r="A6936" s="11" t="s">
        <v>14591</v>
      </c>
      <c r="B6936" s="11" t="s">
        <v>14591</v>
      </c>
      <c r="C6936" s="11" t="s">
        <v>17</v>
      </c>
      <c r="D6936" s="11" t="s">
        <v>18</v>
      </c>
      <c r="E6936" s="12" t="s">
        <v>1685</v>
      </c>
      <c r="F6936" s="12" t="s">
        <v>1686</v>
      </c>
      <c r="G6936" s="12" t="s">
        <v>29</v>
      </c>
      <c r="H6936" s="11" t="s">
        <v>63</v>
      </c>
      <c r="I6936" s="13" t="s">
        <v>14599</v>
      </c>
      <c r="J6936" s="14" t="str">
        <f>HYPERLINK("https://www.boe.es/gazeta/dias/1839/04/27/pdfs/GMD-1839-1624.pdf#page=1","Abrir facsímil")</f>
        <v>Abrir facsímil</v>
      </c>
      <c r="K6936" s="12" t="s">
        <v>65</v>
      </c>
    </row>
    <row r="6937" spans="1:11" ht="40.049999999999997" customHeight="1" x14ac:dyDescent="0.25">
      <c r="A6937" s="11" t="s">
        <v>14591</v>
      </c>
      <c r="B6937" s="11" t="s">
        <v>14591</v>
      </c>
      <c r="C6937" s="11" t="s">
        <v>17</v>
      </c>
      <c r="D6937" s="11" t="s">
        <v>18</v>
      </c>
      <c r="E6937" s="12" t="s">
        <v>1909</v>
      </c>
      <c r="F6937" s="12" t="s">
        <v>1910</v>
      </c>
      <c r="G6937" s="12" t="s">
        <v>21</v>
      </c>
      <c r="H6937" s="11" t="s">
        <v>63</v>
      </c>
      <c r="I6937" s="13" t="s">
        <v>14600</v>
      </c>
      <c r="J6937" s="14" t="str">
        <f>HYPERLINK("https://www.boe.es/gazeta/dias/1839/10/27/pdfs/GMD-1839-1813.pdf#page=4","Abrir facsímil")</f>
        <v>Abrir facsímil</v>
      </c>
      <c r="K6937" s="12" t="s">
        <v>65</v>
      </c>
    </row>
    <row r="6938" spans="1:11" ht="40.049999999999997" customHeight="1" x14ac:dyDescent="0.25">
      <c r="A6938" s="11" t="s">
        <v>14591</v>
      </c>
      <c r="B6938" s="11" t="s">
        <v>14591</v>
      </c>
      <c r="C6938" s="11" t="s">
        <v>80</v>
      </c>
      <c r="D6938" s="11" t="s">
        <v>18</v>
      </c>
      <c r="E6938" s="12" t="s">
        <v>1269</v>
      </c>
      <c r="F6938" s="12" t="s">
        <v>1270</v>
      </c>
      <c r="G6938" s="12" t="s">
        <v>29</v>
      </c>
      <c r="H6938" s="11" t="s">
        <v>63</v>
      </c>
      <c r="I6938" s="13" t="s">
        <v>14601</v>
      </c>
      <c r="J6938" s="14" t="str">
        <f>HYPERLINK("https://www.boe.es/gazeta/dias/1839/04/29/pdfs/GMD-1839-1626.pdf#page=1","Abrir facsímil")</f>
        <v>Abrir facsímil</v>
      </c>
      <c r="K6938" s="12" t="s">
        <v>65</v>
      </c>
    </row>
    <row r="6939" spans="1:11" ht="40.049999999999997" customHeight="1" x14ac:dyDescent="0.25">
      <c r="A6939" s="11" t="s">
        <v>14591</v>
      </c>
      <c r="B6939" s="11" t="s">
        <v>14591</v>
      </c>
      <c r="C6939" s="11" t="s">
        <v>17</v>
      </c>
      <c r="D6939" s="11" t="s">
        <v>18</v>
      </c>
      <c r="E6939" s="12" t="s">
        <v>1269</v>
      </c>
      <c r="F6939" s="12" t="s">
        <v>1270</v>
      </c>
      <c r="G6939" s="12" t="s">
        <v>40</v>
      </c>
      <c r="H6939" s="11" t="s">
        <v>63</v>
      </c>
      <c r="I6939" s="13" t="s">
        <v>14602</v>
      </c>
      <c r="J6939" s="14" t="str">
        <f>HYPERLINK("https://www.boe.es/gazeta/dias/1839/04/29/pdfs/GMD-1839-1626.pdf#page=2","Abrir facsímil")</f>
        <v>Abrir facsímil</v>
      </c>
      <c r="K6939" s="12" t="s">
        <v>65</v>
      </c>
    </row>
    <row r="6940" spans="1:11" ht="40.049999999999997" customHeight="1" x14ac:dyDescent="0.25">
      <c r="A6940" s="11" t="s">
        <v>14603</v>
      </c>
      <c r="B6940" s="11" t="s">
        <v>14604</v>
      </c>
      <c r="C6940" s="11" t="s">
        <v>17</v>
      </c>
      <c r="D6940" s="11" t="s">
        <v>18</v>
      </c>
      <c r="E6940" s="12" t="s">
        <v>3705</v>
      </c>
      <c r="F6940" s="12" t="s">
        <v>3706</v>
      </c>
      <c r="G6940" s="12" t="s">
        <v>40</v>
      </c>
      <c r="H6940" s="11" t="s">
        <v>63</v>
      </c>
      <c r="I6940" s="13" t="s">
        <v>14605</v>
      </c>
      <c r="J6940" s="14" t="str">
        <f>HYPERLINK("https://www.boe.es/gazeta/dias/1839/03/09/pdfs/GMD-1839-1575.pdf#page=2","Abrir facsímil")</f>
        <v>Abrir facsímil</v>
      </c>
      <c r="K6940" s="12" t="s">
        <v>65</v>
      </c>
    </row>
    <row r="6941" spans="1:11" ht="40.049999999999997" customHeight="1" x14ac:dyDescent="0.25">
      <c r="A6941" s="11" t="s">
        <v>14606</v>
      </c>
      <c r="B6941" s="11" t="s">
        <v>14606</v>
      </c>
      <c r="C6941" s="11" t="s">
        <v>17</v>
      </c>
      <c r="D6941" s="11" t="s">
        <v>18</v>
      </c>
      <c r="E6941" s="12" t="s">
        <v>116</v>
      </c>
      <c r="F6941" s="12" t="s">
        <v>117</v>
      </c>
      <c r="G6941" s="12" t="s">
        <v>40</v>
      </c>
      <c r="H6941" s="11" t="s">
        <v>63</v>
      </c>
      <c r="I6941" s="13" t="s">
        <v>14607</v>
      </c>
      <c r="J6941" s="14" t="str">
        <f>HYPERLINK("https://www.boe.es/gazeta/dias/1839/10/10/pdfs/GMD-1839-1796.pdf#page=2","Abrir facsímil")</f>
        <v>Abrir facsímil</v>
      </c>
      <c r="K6941" s="12" t="s">
        <v>65</v>
      </c>
    </row>
    <row r="6942" spans="1:11" ht="40.049999999999997" customHeight="1" x14ac:dyDescent="0.25">
      <c r="A6942" s="11" t="s">
        <v>14606</v>
      </c>
      <c r="B6942" s="11" t="s">
        <v>14606</v>
      </c>
      <c r="C6942" s="11" t="s">
        <v>17</v>
      </c>
      <c r="D6942" s="11" t="s">
        <v>18</v>
      </c>
      <c r="E6942" s="12" t="s">
        <v>736</v>
      </c>
      <c r="F6942" s="12" t="s">
        <v>737</v>
      </c>
      <c r="G6942" s="12" t="s">
        <v>46</v>
      </c>
      <c r="H6942" s="11" t="s">
        <v>63</v>
      </c>
      <c r="I6942" s="13" t="s">
        <v>14608</v>
      </c>
      <c r="J6942" s="14" t="str">
        <f>HYPERLINK("https://www.boe.es/gazeta/dias/1839/10/13/pdfs/GMD-1839-1799.pdf#page=3","Abrir facsímil")</f>
        <v>Abrir facsímil</v>
      </c>
      <c r="K6942" s="12" t="s">
        <v>65</v>
      </c>
    </row>
    <row r="6943" spans="1:11" ht="40.049999999999997" customHeight="1" x14ac:dyDescent="0.25">
      <c r="A6943" s="11" t="s">
        <v>14606</v>
      </c>
      <c r="B6943" s="11" t="s">
        <v>14606</v>
      </c>
      <c r="C6943" s="11" t="s">
        <v>17</v>
      </c>
      <c r="D6943" s="11" t="s">
        <v>18</v>
      </c>
      <c r="E6943" s="12" t="s">
        <v>1069</v>
      </c>
      <c r="F6943" s="12" t="s">
        <v>1070</v>
      </c>
      <c r="G6943" s="12" t="s">
        <v>21</v>
      </c>
      <c r="H6943" s="11" t="s">
        <v>63</v>
      </c>
      <c r="I6943" s="13" t="s">
        <v>14609</v>
      </c>
      <c r="J6943" s="14" t="str">
        <f>HYPERLINK("https://www.boe.es/gazeta/dias/1839/10/15/pdfs/GMD-1839-1801.pdf#page=4","Abrir facsímil")</f>
        <v>Abrir facsímil</v>
      </c>
      <c r="K6943" s="12" t="s">
        <v>65</v>
      </c>
    </row>
    <row r="6944" spans="1:11" ht="40.049999999999997" customHeight="1" x14ac:dyDescent="0.25">
      <c r="A6944" s="11" t="s">
        <v>14606</v>
      </c>
      <c r="B6944" s="11" t="s">
        <v>14606</v>
      </c>
      <c r="C6944" s="11" t="s">
        <v>17</v>
      </c>
      <c r="D6944" s="11" t="s">
        <v>18</v>
      </c>
      <c r="E6944" s="12" t="s">
        <v>564</v>
      </c>
      <c r="F6944" s="12" t="s">
        <v>565</v>
      </c>
      <c r="G6944" s="12" t="s">
        <v>46</v>
      </c>
      <c r="H6944" s="11" t="s">
        <v>63</v>
      </c>
      <c r="I6944" s="13" t="s">
        <v>14610</v>
      </c>
      <c r="J6944" s="14" t="str">
        <f>HYPERLINK("https://www.boe.es/gazeta/dias/1839/10/17/pdfs/GMD-1839-1803.pdf#page=3","Abrir facsímil")</f>
        <v>Abrir facsímil</v>
      </c>
      <c r="K6944" s="12" t="s">
        <v>65</v>
      </c>
    </row>
    <row r="6945" spans="1:11" ht="40.049999999999997" customHeight="1" x14ac:dyDescent="0.25">
      <c r="A6945" s="11" t="s">
        <v>14606</v>
      </c>
      <c r="B6945" s="11" t="s">
        <v>14606</v>
      </c>
      <c r="C6945" s="11" t="s">
        <v>80</v>
      </c>
      <c r="D6945" s="11" t="s">
        <v>18</v>
      </c>
      <c r="E6945" s="12" t="s">
        <v>568</v>
      </c>
      <c r="F6945" s="12" t="s">
        <v>569</v>
      </c>
      <c r="G6945" s="12" t="s">
        <v>21</v>
      </c>
      <c r="H6945" s="11" t="s">
        <v>63</v>
      </c>
      <c r="I6945" s="13" t="s">
        <v>14611</v>
      </c>
      <c r="J6945" s="14" t="str">
        <f>HYPERLINK("https://www.boe.es/gazeta/dias/1839/10/23/pdfs/GMD-1839-1809.pdf#page=4","Abrir facsímil")</f>
        <v>Abrir facsímil</v>
      </c>
      <c r="K6945" s="12" t="s">
        <v>65</v>
      </c>
    </row>
    <row r="6946" spans="1:11" ht="40.049999999999997" customHeight="1" x14ac:dyDescent="0.25">
      <c r="A6946" s="11" t="s">
        <v>14612</v>
      </c>
      <c r="B6946" s="11" t="s">
        <v>14612</v>
      </c>
      <c r="C6946" s="11" t="s">
        <v>17</v>
      </c>
      <c r="D6946" s="11" t="s">
        <v>18</v>
      </c>
      <c r="E6946" s="12" t="s">
        <v>821</v>
      </c>
      <c r="F6946" s="12" t="s">
        <v>822</v>
      </c>
      <c r="G6946" s="12" t="s">
        <v>40</v>
      </c>
      <c r="H6946" s="11" t="s">
        <v>63</v>
      </c>
      <c r="I6946" s="13" t="s">
        <v>14613</v>
      </c>
      <c r="J6946" s="14" t="str">
        <f>HYPERLINK("https://www.boe.es/gazeta/dias/1839/09/20/pdfs/GMD-1839-1775.pdf#page=2","Abrir facsímil")</f>
        <v>Abrir facsímil</v>
      </c>
      <c r="K6946" s="12" t="s">
        <v>65</v>
      </c>
    </row>
    <row r="6947" spans="1:11" ht="40.049999999999997" customHeight="1" x14ac:dyDescent="0.25">
      <c r="A6947" s="11" t="s">
        <v>14614</v>
      </c>
      <c r="B6947" s="11" t="s">
        <v>14614</v>
      </c>
      <c r="C6947" s="11" t="s">
        <v>17</v>
      </c>
      <c r="D6947" s="11" t="s">
        <v>18</v>
      </c>
      <c r="E6947" s="12" t="s">
        <v>883</v>
      </c>
      <c r="F6947" s="12" t="s">
        <v>884</v>
      </c>
      <c r="G6947" s="12" t="s">
        <v>40</v>
      </c>
      <c r="H6947" s="11" t="s">
        <v>22</v>
      </c>
      <c r="I6947" s="13" t="s">
        <v>14615</v>
      </c>
      <c r="J6947" s="14" t="str">
        <f>HYPERLINK("https://www.boe.es/gazeta/dias/1839/11/03/pdfs/GMD-1839-1820.pdf#page=2","Abrir facsímil")</f>
        <v>Abrir facsímil</v>
      </c>
      <c r="K6947" s="12" t="s">
        <v>24</v>
      </c>
    </row>
    <row r="6948" spans="1:11" ht="40.049999999999997" customHeight="1" x14ac:dyDescent="0.25">
      <c r="A6948" s="11" t="s">
        <v>14614</v>
      </c>
      <c r="B6948" s="11" t="s">
        <v>14614</v>
      </c>
      <c r="C6948" s="11" t="s">
        <v>17</v>
      </c>
      <c r="D6948" s="11" t="s">
        <v>18</v>
      </c>
      <c r="E6948" s="12" t="s">
        <v>1414</v>
      </c>
      <c r="F6948" s="12" t="s">
        <v>1415</v>
      </c>
      <c r="G6948" s="12" t="s">
        <v>21</v>
      </c>
      <c r="H6948" s="11" t="s">
        <v>22</v>
      </c>
      <c r="I6948" s="13" t="s">
        <v>14616</v>
      </c>
      <c r="J6948" s="14" t="str">
        <f>HYPERLINK("https://www.boe.es/gazeta/dias/1839/06/12/pdfs/GMD-1839-1670.pdf#page=4","Abrir facsímil")</f>
        <v>Abrir facsímil</v>
      </c>
      <c r="K6948" s="12" t="s">
        <v>24</v>
      </c>
    </row>
    <row r="6949" spans="1:11" ht="40.049999999999997" customHeight="1" x14ac:dyDescent="0.25">
      <c r="A6949" s="11" t="s">
        <v>14614</v>
      </c>
      <c r="B6949" s="11" t="s">
        <v>14614</v>
      </c>
      <c r="C6949" s="11" t="s">
        <v>80</v>
      </c>
      <c r="D6949" s="11" t="s">
        <v>18</v>
      </c>
      <c r="E6949" s="12" t="s">
        <v>946</v>
      </c>
      <c r="F6949" s="12" t="s">
        <v>947</v>
      </c>
      <c r="G6949" s="12" t="s">
        <v>21</v>
      </c>
      <c r="H6949" s="11" t="s">
        <v>22</v>
      </c>
      <c r="I6949" s="13" t="s">
        <v>14617</v>
      </c>
      <c r="J6949" s="14" t="str">
        <f>HYPERLINK("https://www.boe.es/gazeta/dias/1839/04/15/pdfs/GMD-1839-1612.pdf#page=4","Abrir facsímil")</f>
        <v>Abrir facsímil</v>
      </c>
      <c r="K6949" s="12" t="s">
        <v>24</v>
      </c>
    </row>
    <row r="6950" spans="1:11" ht="40.049999999999997" customHeight="1" x14ac:dyDescent="0.25">
      <c r="A6950" s="11" t="s">
        <v>14614</v>
      </c>
      <c r="B6950" s="11" t="s">
        <v>14614</v>
      </c>
      <c r="C6950" s="11" t="s">
        <v>17</v>
      </c>
      <c r="D6950" s="11" t="s">
        <v>18</v>
      </c>
      <c r="E6950" s="12" t="s">
        <v>4550</v>
      </c>
      <c r="F6950" s="12" t="s">
        <v>4551</v>
      </c>
      <c r="G6950" s="12" t="s">
        <v>21</v>
      </c>
      <c r="H6950" s="11" t="s">
        <v>22</v>
      </c>
      <c r="I6950" s="13" t="s">
        <v>14618</v>
      </c>
      <c r="J6950" s="14" t="str">
        <f>HYPERLINK("https://www.boe.es/gazeta/dias/1839/04/17/pdfs/GMD-1839-1614.pdf#page=4","Abrir facsímil")</f>
        <v>Abrir facsímil</v>
      </c>
      <c r="K6950" s="12" t="s">
        <v>24</v>
      </c>
    </row>
    <row r="6951" spans="1:11" ht="40.049999999999997" customHeight="1" x14ac:dyDescent="0.25">
      <c r="A6951" s="11" t="s">
        <v>14614</v>
      </c>
      <c r="B6951" s="11" t="s">
        <v>14614</v>
      </c>
      <c r="C6951" s="11" t="s">
        <v>17</v>
      </c>
      <c r="D6951" s="11" t="s">
        <v>18</v>
      </c>
      <c r="E6951" s="12" t="s">
        <v>479</v>
      </c>
      <c r="F6951" s="12" t="s">
        <v>480</v>
      </c>
      <c r="G6951" s="12" t="s">
        <v>21</v>
      </c>
      <c r="H6951" s="11" t="s">
        <v>22</v>
      </c>
      <c r="I6951" s="13" t="s">
        <v>14619</v>
      </c>
      <c r="J6951" s="14" t="str">
        <f>HYPERLINK("https://www.boe.es/gazeta/dias/1839/06/24/pdfs/GMD-1839-1682.pdf#page=4","Abrir facsímil")</f>
        <v>Abrir facsímil</v>
      </c>
      <c r="K6951" s="12" t="s">
        <v>24</v>
      </c>
    </row>
    <row r="6952" spans="1:11" ht="40.049999999999997" customHeight="1" x14ac:dyDescent="0.25">
      <c r="A6952" s="11" t="s">
        <v>14614</v>
      </c>
      <c r="B6952" s="11" t="s">
        <v>14614</v>
      </c>
      <c r="C6952" s="11" t="s">
        <v>17</v>
      </c>
      <c r="D6952" s="11" t="s">
        <v>18</v>
      </c>
      <c r="E6952" s="12" t="s">
        <v>668</v>
      </c>
      <c r="F6952" s="12" t="s">
        <v>669</v>
      </c>
      <c r="G6952" s="12" t="s">
        <v>21</v>
      </c>
      <c r="H6952" s="11" t="s">
        <v>22</v>
      </c>
      <c r="I6952" s="13" t="s">
        <v>14620</v>
      </c>
      <c r="J6952" s="14" t="str">
        <f>HYPERLINK("https://www.boe.es/gazeta/dias/1839/03/28/pdfs/GMD-1839-1594.pdf#page=4","Abrir facsímil")</f>
        <v>Abrir facsímil</v>
      </c>
      <c r="K6952" s="12" t="s">
        <v>24</v>
      </c>
    </row>
    <row r="6953" spans="1:11" ht="40.049999999999997" customHeight="1" x14ac:dyDescent="0.25">
      <c r="A6953" s="11" t="s">
        <v>14614</v>
      </c>
      <c r="B6953" s="11" t="s">
        <v>14614</v>
      </c>
      <c r="C6953" s="11" t="s">
        <v>17</v>
      </c>
      <c r="D6953" s="11" t="s">
        <v>18</v>
      </c>
      <c r="E6953" s="12" t="s">
        <v>401</v>
      </c>
      <c r="F6953" s="12" t="s">
        <v>402</v>
      </c>
      <c r="G6953" s="12" t="s">
        <v>21</v>
      </c>
      <c r="H6953" s="11" t="s">
        <v>22</v>
      </c>
      <c r="I6953" s="13" t="s">
        <v>14621</v>
      </c>
      <c r="J6953" s="14" t="str">
        <f>HYPERLINK("https://www.boe.es/gazeta/dias/1839/03/29/pdfs/GMD-1839-1595.pdf#page=4","Abrir facsímil")</f>
        <v>Abrir facsímil</v>
      </c>
      <c r="K6953" s="12" t="s">
        <v>24</v>
      </c>
    </row>
    <row r="6954" spans="1:11" ht="40.049999999999997" customHeight="1" x14ac:dyDescent="0.25">
      <c r="A6954" s="11" t="s">
        <v>14614</v>
      </c>
      <c r="B6954" s="11" t="s">
        <v>14614</v>
      </c>
      <c r="C6954" s="11" t="s">
        <v>17</v>
      </c>
      <c r="D6954" s="11" t="s">
        <v>18</v>
      </c>
      <c r="E6954" s="12" t="s">
        <v>1269</v>
      </c>
      <c r="F6954" s="12" t="s">
        <v>1270</v>
      </c>
      <c r="G6954" s="12" t="s">
        <v>21</v>
      </c>
      <c r="H6954" s="11" t="s">
        <v>22</v>
      </c>
      <c r="I6954" s="13" t="s">
        <v>14622</v>
      </c>
      <c r="J6954" s="14" t="str">
        <f>HYPERLINK("https://www.boe.es/gazeta/dias/1839/04/29/pdfs/GMD-1839-1626.pdf#page=4","Abrir facsímil")</f>
        <v>Abrir facsímil</v>
      </c>
      <c r="K6954" s="12" t="s">
        <v>24</v>
      </c>
    </row>
    <row r="6955" spans="1:11" ht="40.049999999999997" customHeight="1" x14ac:dyDescent="0.25">
      <c r="A6955" s="11" t="s">
        <v>14614</v>
      </c>
      <c r="B6955" s="11" t="s">
        <v>14614</v>
      </c>
      <c r="C6955" s="11" t="s">
        <v>17</v>
      </c>
      <c r="D6955" s="11" t="s">
        <v>18</v>
      </c>
      <c r="E6955" s="12" t="s">
        <v>3391</v>
      </c>
      <c r="F6955" s="12" t="s">
        <v>3392</v>
      </c>
      <c r="G6955" s="12" t="s">
        <v>21</v>
      </c>
      <c r="H6955" s="11" t="s">
        <v>22</v>
      </c>
      <c r="I6955" s="13" t="s">
        <v>14623</v>
      </c>
      <c r="J6955" s="14" t="str">
        <f>HYPERLINK("https://www.boe.es/gazeta/dias/1839/12/31/pdfs/GMD-1839-1878.pdf#page=4","Abrir facsímil")</f>
        <v>Abrir facsímil</v>
      </c>
      <c r="K6955" s="12" t="s">
        <v>24</v>
      </c>
    </row>
    <row r="6956" spans="1:11" ht="40.049999999999997" customHeight="1" x14ac:dyDescent="0.25">
      <c r="A6956" s="11" t="s">
        <v>14624</v>
      </c>
      <c r="B6956" s="11" t="s">
        <v>14624</v>
      </c>
      <c r="C6956" s="11" t="s">
        <v>80</v>
      </c>
      <c r="D6956" s="11" t="s">
        <v>18</v>
      </c>
      <c r="E6956" s="12" t="s">
        <v>1310</v>
      </c>
      <c r="F6956" s="12" t="s">
        <v>1311</v>
      </c>
      <c r="G6956" s="12" t="s">
        <v>40</v>
      </c>
      <c r="H6956" s="11" t="s">
        <v>22</v>
      </c>
      <c r="I6956" s="13" t="s">
        <v>14625</v>
      </c>
      <c r="J6956" s="14" t="str">
        <f>HYPERLINK("https://www.boe.es/gazeta/dias/1839/04/23/pdfs/GMD-1839-1620.pdf#page=2","Abrir facsímil")</f>
        <v>Abrir facsímil</v>
      </c>
      <c r="K6956" s="12" t="s">
        <v>24</v>
      </c>
    </row>
    <row r="6957" spans="1:11" ht="40.049999999999997" customHeight="1" x14ac:dyDescent="0.25">
      <c r="A6957" s="11" t="s">
        <v>14626</v>
      </c>
      <c r="B6957" s="11" t="s">
        <v>14626</v>
      </c>
      <c r="C6957" s="11" t="s">
        <v>17</v>
      </c>
      <c r="D6957" s="11" t="s">
        <v>18</v>
      </c>
      <c r="E6957" s="12" t="s">
        <v>926</v>
      </c>
      <c r="F6957" s="12" t="s">
        <v>927</v>
      </c>
      <c r="G6957" s="12" t="s">
        <v>29</v>
      </c>
      <c r="H6957" s="11" t="s">
        <v>22</v>
      </c>
      <c r="I6957" s="13" t="s">
        <v>14627</v>
      </c>
      <c r="J6957" s="14" t="str">
        <f>HYPERLINK("https://www.boe.es/gazeta/dias/1839/01/25/pdfs/GMD-1839-1532.pdf#page=1","Abrir facsímil")</f>
        <v>Abrir facsímil</v>
      </c>
      <c r="K6957" s="12" t="s">
        <v>24</v>
      </c>
    </row>
    <row r="6958" spans="1:11" ht="40.049999999999997" customHeight="1" x14ac:dyDescent="0.25">
      <c r="A6958" s="11" t="s">
        <v>14628</v>
      </c>
      <c r="B6958" s="11" t="s">
        <v>14628</v>
      </c>
      <c r="C6958" s="11" t="s">
        <v>101</v>
      </c>
      <c r="D6958" s="11" t="s">
        <v>102</v>
      </c>
      <c r="E6958" s="12" t="s">
        <v>700</v>
      </c>
      <c r="F6958" s="12" t="s">
        <v>701</v>
      </c>
      <c r="G6958" s="12" t="s">
        <v>46</v>
      </c>
      <c r="H6958" s="11" t="s">
        <v>22</v>
      </c>
      <c r="I6958" s="13" t="s">
        <v>14629</v>
      </c>
      <c r="J6958" s="14" t="str">
        <f>HYPERLINK("https://www.boe.es/gazeta/dias/1839/09/01/pdfs/GMD-1839-1753.pdf#page=3","Abrir facsímil")</f>
        <v>Abrir facsímil</v>
      </c>
      <c r="K6958" s="12" t="s">
        <v>24</v>
      </c>
    </row>
    <row r="6959" spans="1:11" ht="40.049999999999997" customHeight="1" x14ac:dyDescent="0.25">
      <c r="A6959" s="11" t="s">
        <v>14630</v>
      </c>
      <c r="B6959" s="11" t="s">
        <v>14630</v>
      </c>
      <c r="C6959" s="11" t="s">
        <v>137</v>
      </c>
      <c r="D6959" s="11" t="s">
        <v>18</v>
      </c>
      <c r="E6959" s="12" t="s">
        <v>2881</v>
      </c>
      <c r="F6959" s="12" t="s">
        <v>2882</v>
      </c>
      <c r="G6959" s="12" t="s">
        <v>40</v>
      </c>
      <c r="H6959" s="11" t="s">
        <v>22</v>
      </c>
      <c r="I6959" s="13" t="s">
        <v>14631</v>
      </c>
      <c r="J6959" s="14" t="str">
        <f>HYPERLINK("https://www.boe.es/gazeta/dias/1839/05/08/pdfs/GMD-1839-1635.pdf#page=2","Abrir facsímil")</f>
        <v>Abrir facsímil</v>
      </c>
      <c r="K6959" s="12" t="s">
        <v>24</v>
      </c>
    </row>
    <row r="6960" spans="1:11" ht="40.049999999999997" customHeight="1" x14ac:dyDescent="0.25">
      <c r="A6960" s="11" t="s">
        <v>14632</v>
      </c>
      <c r="B6960" s="11" t="s">
        <v>14632</v>
      </c>
      <c r="C6960" s="11" t="s">
        <v>137</v>
      </c>
      <c r="D6960" s="11" t="s">
        <v>18</v>
      </c>
      <c r="E6960" s="12" t="s">
        <v>2881</v>
      </c>
      <c r="F6960" s="12" t="s">
        <v>2882</v>
      </c>
      <c r="G6960" s="12" t="s">
        <v>21</v>
      </c>
      <c r="H6960" s="11" t="s">
        <v>63</v>
      </c>
      <c r="I6960" s="13" t="s">
        <v>14633</v>
      </c>
      <c r="J6960" s="14" t="str">
        <f>HYPERLINK("https://www.boe.es/gazeta/dias/1839/05/08/pdfs/GMD-1839-1635.pdf#page=4","Abrir facsímil")</f>
        <v>Abrir facsímil</v>
      </c>
      <c r="K6960" s="12" t="s">
        <v>65</v>
      </c>
    </row>
    <row r="6961" spans="1:11" ht="40.049999999999997" customHeight="1" x14ac:dyDescent="0.25">
      <c r="A6961" s="11" t="s">
        <v>14634</v>
      </c>
      <c r="B6961" s="11" t="s">
        <v>14634</v>
      </c>
      <c r="C6961" s="11" t="s">
        <v>80</v>
      </c>
      <c r="D6961" s="11" t="s">
        <v>18</v>
      </c>
      <c r="E6961" s="12" t="s">
        <v>217</v>
      </c>
      <c r="F6961" s="12" t="s">
        <v>218</v>
      </c>
      <c r="G6961" s="12" t="s">
        <v>46</v>
      </c>
      <c r="H6961" s="11" t="s">
        <v>63</v>
      </c>
      <c r="I6961" s="13" t="s">
        <v>14635</v>
      </c>
      <c r="J6961" s="14" t="str">
        <f>HYPERLINK("https://www.boe.es/gazeta/dias/1839/08/06/pdfs/GMD-1839-1726.pdf#page=3","Abrir facsímil")</f>
        <v>Abrir facsímil</v>
      </c>
      <c r="K6961" s="12" t="s">
        <v>65</v>
      </c>
    </row>
    <row r="6962" spans="1:11" ht="40.049999999999997" customHeight="1" x14ac:dyDescent="0.25">
      <c r="A6962" s="11" t="s">
        <v>14634</v>
      </c>
      <c r="B6962" s="11" t="s">
        <v>14634</v>
      </c>
      <c r="C6962" s="11" t="s">
        <v>80</v>
      </c>
      <c r="D6962" s="11" t="s">
        <v>173</v>
      </c>
      <c r="E6962" s="12" t="s">
        <v>192</v>
      </c>
      <c r="F6962" s="12" t="s">
        <v>193</v>
      </c>
      <c r="G6962" s="12" t="s">
        <v>40</v>
      </c>
      <c r="H6962" s="11" t="s">
        <v>63</v>
      </c>
      <c r="I6962" s="13" t="s">
        <v>14636</v>
      </c>
      <c r="J6962" s="14" t="str">
        <f>HYPERLINK("https://www.boe.es/gazeta/dias/1839/01/12/pdfs/GMD-1839-1519.pdf#page=2","Abrir facsímil")</f>
        <v>Abrir facsímil</v>
      </c>
      <c r="K6962" s="12" t="s">
        <v>65</v>
      </c>
    </row>
    <row r="6963" spans="1:11" ht="40.049999999999997" customHeight="1" x14ac:dyDescent="0.25">
      <c r="A6963" s="11" t="s">
        <v>14637</v>
      </c>
      <c r="B6963" s="11" t="s">
        <v>14638</v>
      </c>
      <c r="C6963" s="11" t="s">
        <v>17</v>
      </c>
      <c r="D6963" s="11" t="s">
        <v>18</v>
      </c>
      <c r="E6963" s="12" t="s">
        <v>1072</v>
      </c>
      <c r="F6963" s="12" t="s">
        <v>1073</v>
      </c>
      <c r="G6963" s="12" t="s">
        <v>21</v>
      </c>
      <c r="H6963" s="11" t="s">
        <v>22</v>
      </c>
      <c r="I6963" s="13" t="s">
        <v>14639</v>
      </c>
      <c r="J6963" s="14" t="str">
        <f>HYPERLINK("https://www.boe.es/gazeta/dias/1839/01/18/pdfs/GMD-1839-1525.pdf#page=4","Abrir facsímil")</f>
        <v>Abrir facsímil</v>
      </c>
      <c r="K6963" s="12" t="s">
        <v>24</v>
      </c>
    </row>
    <row r="6964" spans="1:11" ht="40.049999999999997" customHeight="1" x14ac:dyDescent="0.25">
      <c r="A6964" s="11" t="s">
        <v>14640</v>
      </c>
      <c r="B6964" s="11" t="s">
        <v>14641</v>
      </c>
      <c r="C6964" s="11" t="s">
        <v>17</v>
      </c>
      <c r="D6964" s="11" t="s">
        <v>18</v>
      </c>
      <c r="E6964" s="12" t="s">
        <v>1072</v>
      </c>
      <c r="F6964" s="12" t="s">
        <v>1073</v>
      </c>
      <c r="G6964" s="12" t="s">
        <v>21</v>
      </c>
      <c r="H6964" s="11" t="s">
        <v>22</v>
      </c>
      <c r="I6964" s="13" t="s">
        <v>14642</v>
      </c>
      <c r="J6964" s="14" t="str">
        <f>HYPERLINK("https://www.boe.es/gazeta/dias/1839/01/18/pdfs/GMD-1839-1525.pdf#page=4","Abrir facsímil")</f>
        <v>Abrir facsímil</v>
      </c>
      <c r="K6964" s="12" t="s">
        <v>24</v>
      </c>
    </row>
    <row r="6965" spans="1:11" ht="40.049999999999997" customHeight="1" x14ac:dyDescent="0.25">
      <c r="A6965" s="11" t="s">
        <v>14643</v>
      </c>
      <c r="B6965" s="11" t="s">
        <v>14643</v>
      </c>
      <c r="C6965" s="11" t="s">
        <v>17</v>
      </c>
      <c r="D6965" s="11" t="s">
        <v>18</v>
      </c>
      <c r="E6965" s="12" t="s">
        <v>1460</v>
      </c>
      <c r="F6965" s="12" t="s">
        <v>1461</v>
      </c>
      <c r="G6965" s="12" t="s">
        <v>21</v>
      </c>
      <c r="H6965" s="11" t="s">
        <v>63</v>
      </c>
      <c r="I6965" s="13" t="s">
        <v>14644</v>
      </c>
      <c r="J6965" s="14" t="str">
        <f>HYPERLINK("https://www.boe.es/gazeta/dias/1839/03/01/pdfs/GMD-1839-1567.pdf#page=4","Abrir facsímil")</f>
        <v>Abrir facsímil</v>
      </c>
      <c r="K6965" s="12" t="s">
        <v>65</v>
      </c>
    </row>
    <row r="6966" spans="1:11" ht="40.049999999999997" customHeight="1" x14ac:dyDescent="0.25">
      <c r="A6966" s="11" t="s">
        <v>14643</v>
      </c>
      <c r="B6966" s="11" t="s">
        <v>14643</v>
      </c>
      <c r="C6966" s="11" t="s">
        <v>80</v>
      </c>
      <c r="D6966" s="11" t="s">
        <v>18</v>
      </c>
      <c r="E6966" s="12" t="s">
        <v>4287</v>
      </c>
      <c r="F6966" s="12" t="s">
        <v>4288</v>
      </c>
      <c r="G6966" s="12" t="s">
        <v>21</v>
      </c>
      <c r="H6966" s="11" t="s">
        <v>63</v>
      </c>
      <c r="I6966" s="13" t="s">
        <v>14645</v>
      </c>
      <c r="J6966" s="14" t="str">
        <f>HYPERLINK("https://www.boe.es/gazeta/dias/1839/06/01/pdfs/GMD-1839-1659.pdf#page=4","Abrir facsímil")</f>
        <v>Abrir facsímil</v>
      </c>
      <c r="K6966" s="12" t="s">
        <v>65</v>
      </c>
    </row>
    <row r="6967" spans="1:11" ht="40.049999999999997" customHeight="1" x14ac:dyDescent="0.25">
      <c r="A6967" s="11" t="s">
        <v>14643</v>
      </c>
      <c r="B6967" s="11" t="s">
        <v>14643</v>
      </c>
      <c r="C6967" s="11" t="s">
        <v>17</v>
      </c>
      <c r="D6967" s="11" t="s">
        <v>18</v>
      </c>
      <c r="E6967" s="12" t="s">
        <v>700</v>
      </c>
      <c r="F6967" s="12" t="s">
        <v>701</v>
      </c>
      <c r="G6967" s="12" t="s">
        <v>40</v>
      </c>
      <c r="H6967" s="11" t="s">
        <v>63</v>
      </c>
      <c r="I6967" s="13" t="s">
        <v>14646</v>
      </c>
      <c r="J6967" s="14" t="str">
        <f>HYPERLINK("https://www.boe.es/gazeta/dias/1839/09/01/pdfs/GMD-1839-1753.pdf#page=2","Abrir facsímil")</f>
        <v>Abrir facsímil</v>
      </c>
      <c r="K6967" s="12" t="s">
        <v>65</v>
      </c>
    </row>
    <row r="6968" spans="1:11" ht="40.049999999999997" customHeight="1" x14ac:dyDescent="0.25">
      <c r="A6968" s="11" t="s">
        <v>14643</v>
      </c>
      <c r="B6968" s="11" t="s">
        <v>14643</v>
      </c>
      <c r="C6968" s="11" t="s">
        <v>17</v>
      </c>
      <c r="D6968" s="11" t="s">
        <v>18</v>
      </c>
      <c r="E6968" s="12" t="s">
        <v>1301</v>
      </c>
      <c r="F6968" s="12" t="s">
        <v>1302</v>
      </c>
      <c r="G6968" s="12" t="s">
        <v>40</v>
      </c>
      <c r="H6968" s="11" t="s">
        <v>63</v>
      </c>
      <c r="I6968" s="13" t="s">
        <v>14647</v>
      </c>
      <c r="J6968" s="14" t="str">
        <f>HYPERLINK("https://www.boe.es/gazeta/dias/1839/11/16/pdfs/GMD-1839-1833.pdf#page=2","Abrir facsímil")</f>
        <v>Abrir facsímil</v>
      </c>
      <c r="K6968" s="12" t="s">
        <v>65</v>
      </c>
    </row>
    <row r="6969" spans="1:11" ht="40.049999999999997" customHeight="1" x14ac:dyDescent="0.25">
      <c r="A6969" s="11" t="s">
        <v>14643</v>
      </c>
      <c r="B6969" s="11" t="s">
        <v>14643</v>
      </c>
      <c r="C6969" s="11" t="s">
        <v>101</v>
      </c>
      <c r="D6969" s="11" t="s">
        <v>43</v>
      </c>
      <c r="E6969" s="12" t="s">
        <v>834</v>
      </c>
      <c r="F6969" s="12" t="s">
        <v>835</v>
      </c>
      <c r="G6969" s="12" t="s">
        <v>40</v>
      </c>
      <c r="H6969" s="11" t="s">
        <v>63</v>
      </c>
      <c r="I6969" s="13" t="s">
        <v>14648</v>
      </c>
      <c r="J6969" s="14" t="str">
        <f>HYPERLINK("https://www.boe.es/gazeta/dias/1839/08/17/pdfs/GMD-1839-1737.pdf#page=2","Abrir facsímil")</f>
        <v>Abrir facsímil</v>
      </c>
      <c r="K6969" s="12" t="s">
        <v>65</v>
      </c>
    </row>
    <row r="6970" spans="1:11" ht="40.049999999999997" customHeight="1" x14ac:dyDescent="0.25">
      <c r="A6970" s="11" t="s">
        <v>14643</v>
      </c>
      <c r="B6970" s="11" t="s">
        <v>14643</v>
      </c>
      <c r="C6970" s="11" t="s">
        <v>59</v>
      </c>
      <c r="D6970" s="11" t="s">
        <v>60</v>
      </c>
      <c r="E6970" s="12" t="s">
        <v>1584</v>
      </c>
      <c r="F6970" s="12" t="s">
        <v>1585</v>
      </c>
      <c r="G6970" s="12" t="s">
        <v>46</v>
      </c>
      <c r="H6970" s="11" t="s">
        <v>63</v>
      </c>
      <c r="I6970" s="13" t="s">
        <v>14649</v>
      </c>
      <c r="J6970" s="14" t="str">
        <f>HYPERLINK("https://www.boe.es/gazeta/dias/1839/11/20/pdfs/GMD-1839-1837.pdf#page=3","Abrir facsímil")</f>
        <v>Abrir facsímil</v>
      </c>
      <c r="K6970" s="12" t="s">
        <v>65</v>
      </c>
    </row>
    <row r="6971" spans="1:11" ht="40.049999999999997" customHeight="1" x14ac:dyDescent="0.25">
      <c r="A6971" s="11" t="s">
        <v>14650</v>
      </c>
      <c r="B6971" s="11" t="s">
        <v>14650</v>
      </c>
      <c r="C6971" s="11" t="s">
        <v>17</v>
      </c>
      <c r="D6971" s="11" t="s">
        <v>18</v>
      </c>
      <c r="E6971" s="12" t="s">
        <v>287</v>
      </c>
      <c r="F6971" s="12" t="s">
        <v>288</v>
      </c>
      <c r="G6971" s="12" t="s">
        <v>40</v>
      </c>
      <c r="H6971" s="11" t="s">
        <v>63</v>
      </c>
      <c r="I6971" s="13" t="s">
        <v>14651</v>
      </c>
      <c r="J6971" s="14" t="str">
        <f>HYPERLINK("https://www.boe.es/gazeta/dias/1839/11/27/pdfs/GMD-1839-1844.pdf#page=2","Abrir facsímil")</f>
        <v>Abrir facsímil</v>
      </c>
      <c r="K6971" s="12" t="s">
        <v>65</v>
      </c>
    </row>
    <row r="6972" spans="1:11" ht="40.049999999999997" customHeight="1" x14ac:dyDescent="0.25">
      <c r="A6972" s="11" t="s">
        <v>14652</v>
      </c>
      <c r="B6972" s="11" t="s">
        <v>14652</v>
      </c>
      <c r="C6972" s="11" t="s">
        <v>59</v>
      </c>
      <c r="D6972" s="11" t="s">
        <v>60</v>
      </c>
      <c r="E6972" s="12" t="s">
        <v>388</v>
      </c>
      <c r="F6972" s="12" t="s">
        <v>389</v>
      </c>
      <c r="G6972" s="12" t="s">
        <v>40</v>
      </c>
      <c r="H6972" s="11" t="s">
        <v>63</v>
      </c>
      <c r="I6972" s="13" t="s">
        <v>14653</v>
      </c>
      <c r="J6972" s="14" t="str">
        <f>HYPERLINK("https://www.boe.es/gazeta/dias/1839/08/07/pdfs/GMD-1839-1727.pdf#page=2","Abrir facsímil")</f>
        <v>Abrir facsímil</v>
      </c>
      <c r="K6972" s="12" t="s">
        <v>65</v>
      </c>
    </row>
    <row r="6973" spans="1:11" ht="40.049999999999997" customHeight="1" x14ac:dyDescent="0.25">
      <c r="A6973" s="11" t="s">
        <v>14654</v>
      </c>
      <c r="B6973" s="11" t="s">
        <v>14654</v>
      </c>
      <c r="C6973" s="11" t="s">
        <v>137</v>
      </c>
      <c r="D6973" s="11" t="s">
        <v>18</v>
      </c>
      <c r="E6973" s="12" t="s">
        <v>1460</v>
      </c>
      <c r="F6973" s="12" t="s">
        <v>1461</v>
      </c>
      <c r="G6973" s="12" t="s">
        <v>29</v>
      </c>
      <c r="H6973" s="11" t="s">
        <v>22</v>
      </c>
      <c r="I6973" s="13" t="s">
        <v>14655</v>
      </c>
      <c r="J6973" s="14" t="str">
        <f>HYPERLINK("https://www.boe.es/gazeta/dias/1839/03/01/pdfs/GMD-1839-1567.pdf#page=1","Abrir facsímil")</f>
        <v>Abrir facsímil</v>
      </c>
      <c r="K6973" s="12" t="s">
        <v>24</v>
      </c>
    </row>
    <row r="6974" spans="1:11" ht="40.049999999999997" customHeight="1" x14ac:dyDescent="0.25">
      <c r="A6974" s="11" t="s">
        <v>14654</v>
      </c>
      <c r="B6974" s="11" t="s">
        <v>14654</v>
      </c>
      <c r="C6974" s="11" t="s">
        <v>80</v>
      </c>
      <c r="D6974" s="11" t="s">
        <v>18</v>
      </c>
      <c r="E6974" s="12" t="s">
        <v>3705</v>
      </c>
      <c r="F6974" s="12" t="s">
        <v>3706</v>
      </c>
      <c r="G6974" s="12" t="s">
        <v>29</v>
      </c>
      <c r="H6974" s="11" t="s">
        <v>22</v>
      </c>
      <c r="I6974" s="13" t="s">
        <v>14656</v>
      </c>
      <c r="J6974" s="14" t="str">
        <f>HYPERLINK("https://www.boe.es/gazeta/dias/1839/03/09/pdfs/GMD-1839-1575.pdf#page=1","Abrir facsímil")</f>
        <v>Abrir facsímil</v>
      </c>
      <c r="K6974" s="12" t="s">
        <v>24</v>
      </c>
    </row>
    <row r="6975" spans="1:11" ht="40.049999999999997" customHeight="1" x14ac:dyDescent="0.25">
      <c r="A6975" s="11" t="s">
        <v>14657</v>
      </c>
      <c r="B6975" s="11" t="s">
        <v>14657</v>
      </c>
      <c r="C6975" s="11" t="s">
        <v>80</v>
      </c>
      <c r="D6975" s="11" t="s">
        <v>18</v>
      </c>
      <c r="E6975" s="12" t="s">
        <v>2021</v>
      </c>
      <c r="F6975" s="12" t="s">
        <v>2022</v>
      </c>
      <c r="G6975" s="12" t="s">
        <v>21</v>
      </c>
      <c r="H6975" s="11" t="s">
        <v>22</v>
      </c>
      <c r="I6975" s="13" t="s">
        <v>14658</v>
      </c>
      <c r="J6975" s="14" t="str">
        <f>HYPERLINK("https://www.boe.es/gazeta/dias/1839/02/17/pdfs/GMD-1839-1555.pdf#page=4","Abrir facsímil")</f>
        <v>Abrir facsímil</v>
      </c>
      <c r="K6975" s="12" t="s">
        <v>24</v>
      </c>
    </row>
    <row r="6976" spans="1:11" ht="40.049999999999997" customHeight="1" x14ac:dyDescent="0.25">
      <c r="A6976" s="11" t="s">
        <v>14659</v>
      </c>
      <c r="B6976" s="11" t="s">
        <v>14659</v>
      </c>
      <c r="C6976" s="11" t="s">
        <v>101</v>
      </c>
      <c r="D6976" s="11" t="s">
        <v>102</v>
      </c>
      <c r="E6976" s="12" t="s">
        <v>1606</v>
      </c>
      <c r="F6976" s="12" t="s">
        <v>1607</v>
      </c>
      <c r="G6976" s="12" t="s">
        <v>46</v>
      </c>
      <c r="H6976" s="11" t="s">
        <v>22</v>
      </c>
      <c r="I6976" s="13" t="s">
        <v>14660</v>
      </c>
      <c r="J6976" s="14" t="str">
        <f>HYPERLINK("https://www.boe.es/gazeta/dias/1839/07/02/pdfs/GMD-1839-1690.pdf#page=3","Abrir facsímil")</f>
        <v>Abrir facsímil</v>
      </c>
      <c r="K6976" s="12" t="s">
        <v>24</v>
      </c>
    </row>
    <row r="6977" spans="1:11" ht="40.049999999999997" customHeight="1" x14ac:dyDescent="0.25">
      <c r="A6977" s="11" t="s">
        <v>14661</v>
      </c>
      <c r="B6977" s="11" t="s">
        <v>14661</v>
      </c>
      <c r="C6977" s="11" t="s">
        <v>101</v>
      </c>
      <c r="D6977" s="11" t="s">
        <v>102</v>
      </c>
      <c r="E6977" s="12" t="s">
        <v>1159</v>
      </c>
      <c r="F6977" s="12" t="s">
        <v>1160</v>
      </c>
      <c r="G6977" s="12" t="s">
        <v>29</v>
      </c>
      <c r="H6977" s="11" t="s">
        <v>63</v>
      </c>
      <c r="I6977" s="13" t="s">
        <v>14662</v>
      </c>
      <c r="J6977" s="14" t="str">
        <f>HYPERLINK("https://www.boe.es/gazeta/dias/1839/11/26/pdfs/GMD-1839-1843.pdf#page=1","Abrir facsímil")</f>
        <v>Abrir facsímil</v>
      </c>
      <c r="K6977" s="12" t="s">
        <v>65</v>
      </c>
    </row>
    <row r="6978" spans="1:11" ht="40.049999999999997" customHeight="1" x14ac:dyDescent="0.25">
      <c r="A6978" s="11" t="s">
        <v>14663</v>
      </c>
      <c r="B6978" s="11" t="s">
        <v>14663</v>
      </c>
      <c r="C6978" s="11" t="s">
        <v>17</v>
      </c>
      <c r="D6978" s="11" t="s">
        <v>18</v>
      </c>
      <c r="E6978" s="12" t="s">
        <v>303</v>
      </c>
      <c r="F6978" s="12" t="s">
        <v>304</v>
      </c>
      <c r="G6978" s="12" t="s">
        <v>305</v>
      </c>
      <c r="H6978" s="11" t="s">
        <v>63</v>
      </c>
      <c r="I6978" s="13" t="s">
        <v>14664</v>
      </c>
      <c r="J6978" s="14" t="str">
        <f>HYPERLINK("https://www.boe.es/gazeta/dias/1839/10/06/pdfs/GMD-1839-1792.pdf#page=6","Abrir facsímil")</f>
        <v>Abrir facsímil</v>
      </c>
      <c r="K6978" s="12" t="s">
        <v>65</v>
      </c>
    </row>
    <row r="6979" spans="1:11" ht="40.049999999999997" customHeight="1" x14ac:dyDescent="0.25">
      <c r="A6979" s="11" t="s">
        <v>14663</v>
      </c>
      <c r="B6979" s="11" t="s">
        <v>14663</v>
      </c>
      <c r="C6979" s="11" t="s">
        <v>17</v>
      </c>
      <c r="D6979" s="11" t="s">
        <v>18</v>
      </c>
      <c r="E6979" s="12" t="s">
        <v>111</v>
      </c>
      <c r="F6979" s="12" t="s">
        <v>112</v>
      </c>
      <c r="G6979" s="12" t="s">
        <v>40</v>
      </c>
      <c r="H6979" s="11" t="s">
        <v>63</v>
      </c>
      <c r="I6979" s="13" t="s">
        <v>14665</v>
      </c>
      <c r="J6979" s="14" t="str">
        <f>HYPERLINK("https://www.boe.es/gazeta/dias/1839/07/25/pdfs/GMD-1839-1714.pdf#page=2","Abrir facsímil")</f>
        <v>Abrir facsímil</v>
      </c>
      <c r="K6979" s="12" t="s">
        <v>65</v>
      </c>
    </row>
    <row r="6980" spans="1:11" ht="40.049999999999997" customHeight="1" x14ac:dyDescent="0.25">
      <c r="A6980" s="11" t="s">
        <v>14663</v>
      </c>
      <c r="B6980" s="11" t="s">
        <v>14663</v>
      </c>
      <c r="C6980" s="11" t="s">
        <v>80</v>
      </c>
      <c r="D6980" s="11" t="s">
        <v>173</v>
      </c>
      <c r="E6980" s="12" t="s">
        <v>308</v>
      </c>
      <c r="F6980" s="12" t="s">
        <v>309</v>
      </c>
      <c r="G6980" s="12" t="s">
        <v>40</v>
      </c>
      <c r="H6980" s="11" t="s">
        <v>63</v>
      </c>
      <c r="I6980" s="13" t="s">
        <v>14666</v>
      </c>
      <c r="J6980" s="14" t="str">
        <f>HYPERLINK("https://www.boe.es/gazeta/dias/1839/07/29/pdfs/GMD-1839-1718.pdf#page=2","Abrir facsímil")</f>
        <v>Abrir facsímil</v>
      </c>
      <c r="K6980" s="12" t="s">
        <v>65</v>
      </c>
    </row>
    <row r="6981" spans="1:11" ht="40.049999999999997" customHeight="1" x14ac:dyDescent="0.25">
      <c r="A6981" s="11" t="s">
        <v>14667</v>
      </c>
      <c r="B6981" s="11" t="s">
        <v>14668</v>
      </c>
      <c r="C6981" s="11" t="s">
        <v>80</v>
      </c>
      <c r="D6981" s="11" t="s">
        <v>18</v>
      </c>
      <c r="E6981" s="12" t="s">
        <v>217</v>
      </c>
      <c r="F6981" s="12" t="s">
        <v>218</v>
      </c>
      <c r="G6981" s="12" t="s">
        <v>46</v>
      </c>
      <c r="H6981" s="11" t="s">
        <v>22</v>
      </c>
      <c r="I6981" s="13" t="s">
        <v>14669</v>
      </c>
      <c r="J6981" s="14" t="str">
        <f>HYPERLINK("https://www.boe.es/gazeta/dias/1839/08/06/pdfs/GMD-1839-1726.pdf#page=3","Abrir facsímil")</f>
        <v>Abrir facsímil</v>
      </c>
      <c r="K6981" s="12" t="s">
        <v>24</v>
      </c>
    </row>
    <row r="6982" spans="1:11" ht="40.049999999999997" customHeight="1" x14ac:dyDescent="0.25">
      <c r="A6982" s="11" t="s">
        <v>14670</v>
      </c>
      <c r="B6982" s="11" t="s">
        <v>14670</v>
      </c>
      <c r="C6982" s="11" t="s">
        <v>59</v>
      </c>
      <c r="D6982" s="11" t="s">
        <v>60</v>
      </c>
      <c r="E6982" s="12" t="s">
        <v>1460</v>
      </c>
      <c r="F6982" s="12" t="s">
        <v>1461</v>
      </c>
      <c r="G6982" s="12" t="s">
        <v>46</v>
      </c>
      <c r="H6982" s="11" t="s">
        <v>63</v>
      </c>
      <c r="I6982" s="13" t="s">
        <v>14671</v>
      </c>
      <c r="J6982" s="14" t="str">
        <f>HYPERLINK("https://www.boe.es/gazeta/dias/1839/03/01/pdfs/GMD-1839-1567.pdf#page=3","Abrir facsímil")</f>
        <v>Abrir facsímil</v>
      </c>
      <c r="K6982" s="12" t="s">
        <v>65</v>
      </c>
    </row>
    <row r="6983" spans="1:11" ht="40.049999999999997" customHeight="1" x14ac:dyDescent="0.25">
      <c r="A6983" s="11" t="s">
        <v>14672</v>
      </c>
      <c r="B6983" s="11" t="s">
        <v>14673</v>
      </c>
      <c r="C6983" s="11" t="s">
        <v>17</v>
      </c>
      <c r="D6983" s="11" t="s">
        <v>18</v>
      </c>
      <c r="E6983" s="12" t="s">
        <v>1269</v>
      </c>
      <c r="F6983" s="12" t="s">
        <v>1270</v>
      </c>
      <c r="G6983" s="12" t="s">
        <v>21</v>
      </c>
      <c r="H6983" s="11" t="s">
        <v>22</v>
      </c>
      <c r="I6983" s="13" t="s">
        <v>14674</v>
      </c>
      <c r="J6983" s="14" t="str">
        <f>HYPERLINK("https://www.boe.es/gazeta/dias/1839/04/29/pdfs/GMD-1839-1626.pdf#page=4","Abrir facsímil")</f>
        <v>Abrir facsímil</v>
      </c>
      <c r="K6983" s="12" t="s">
        <v>24</v>
      </c>
    </row>
    <row r="6984" spans="1:11" ht="40.049999999999997" customHeight="1" x14ac:dyDescent="0.25">
      <c r="A6984" s="11" t="s">
        <v>14675</v>
      </c>
      <c r="B6984" s="11" t="s">
        <v>14675</v>
      </c>
      <c r="C6984" s="11" t="s">
        <v>101</v>
      </c>
      <c r="D6984" s="11" t="s">
        <v>43</v>
      </c>
      <c r="E6984" s="12" t="s">
        <v>653</v>
      </c>
      <c r="F6984" s="12" t="s">
        <v>654</v>
      </c>
      <c r="G6984" s="12" t="s">
        <v>29</v>
      </c>
      <c r="H6984" s="11" t="s">
        <v>63</v>
      </c>
      <c r="I6984" s="13" t="s">
        <v>14676</v>
      </c>
      <c r="J6984" s="14" t="str">
        <f>HYPERLINK("https://www.boe.es/gazeta/dias/1839/10/31/pdfs/GMD-1839-1817.pdf#page=1","Abrir facsímil")</f>
        <v>Abrir facsímil</v>
      </c>
      <c r="K6984" s="12" t="s">
        <v>65</v>
      </c>
    </row>
    <row r="6985" spans="1:11" ht="40.049999999999997" customHeight="1" x14ac:dyDescent="0.25">
      <c r="A6985" s="11" t="s">
        <v>14677</v>
      </c>
      <c r="B6985" s="11" t="s">
        <v>14677</v>
      </c>
      <c r="C6985" s="11" t="s">
        <v>17</v>
      </c>
      <c r="D6985" s="11" t="s">
        <v>18</v>
      </c>
      <c r="E6985" s="12" t="s">
        <v>207</v>
      </c>
      <c r="F6985" s="12" t="s">
        <v>208</v>
      </c>
      <c r="G6985" s="12" t="s">
        <v>21</v>
      </c>
      <c r="H6985" s="11" t="s">
        <v>22</v>
      </c>
      <c r="I6985" s="13" t="s">
        <v>14678</v>
      </c>
      <c r="J6985" s="14" t="str">
        <f>HYPERLINK("https://www.boe.es/gazeta/dias/1839/02/19/pdfs/GMD-1839-1557.pdf#page=4","Abrir facsímil")</f>
        <v>Abrir facsímil</v>
      </c>
      <c r="K6985" s="12" t="s">
        <v>24</v>
      </c>
    </row>
    <row r="6986" spans="1:11" ht="40.049999999999997" customHeight="1" x14ac:dyDescent="0.25">
      <c r="A6986" s="11" t="s">
        <v>14679</v>
      </c>
      <c r="B6986" s="11" t="s">
        <v>14679</v>
      </c>
      <c r="C6986" s="11" t="s">
        <v>17</v>
      </c>
      <c r="D6986" s="11" t="s">
        <v>18</v>
      </c>
      <c r="E6986" s="12" t="s">
        <v>1631</v>
      </c>
      <c r="F6986" s="12" t="s">
        <v>1632</v>
      </c>
      <c r="G6986" s="12" t="s">
        <v>40</v>
      </c>
      <c r="H6986" s="11" t="s">
        <v>22</v>
      </c>
      <c r="I6986" s="13" t="s">
        <v>14680</v>
      </c>
      <c r="J6986" s="14" t="str">
        <f>HYPERLINK("https://www.boe.es/gazeta/dias/1839/05/10/pdfs/GMD-1839-1637.pdf#page=2","Abrir facsímil")</f>
        <v>Abrir facsímil</v>
      </c>
      <c r="K6986" s="12" t="s">
        <v>24</v>
      </c>
    </row>
    <row r="6987" spans="1:11" ht="40.049999999999997" customHeight="1" x14ac:dyDescent="0.25">
      <c r="A6987" s="11" t="s">
        <v>14681</v>
      </c>
      <c r="B6987" s="11" t="s">
        <v>14681</v>
      </c>
      <c r="C6987" s="11" t="s">
        <v>101</v>
      </c>
      <c r="D6987" s="11" t="s">
        <v>102</v>
      </c>
      <c r="E6987" s="12" t="s">
        <v>291</v>
      </c>
      <c r="F6987" s="12" t="s">
        <v>292</v>
      </c>
      <c r="G6987" s="12" t="s">
        <v>29</v>
      </c>
      <c r="H6987" s="11" t="s">
        <v>63</v>
      </c>
      <c r="I6987" s="13" t="s">
        <v>14682</v>
      </c>
      <c r="J6987" s="14" t="str">
        <f>HYPERLINK("https://www.boe.es/gazeta/dias/1839/09/04/pdfs/GMD-1839-1757.pdf#page=1","Abrir facsímil")</f>
        <v>Abrir facsímil</v>
      </c>
      <c r="K6987" s="12" t="s">
        <v>65</v>
      </c>
    </row>
    <row r="6988" spans="1:11" ht="40.049999999999997" customHeight="1" x14ac:dyDescent="0.25">
      <c r="A6988" s="11" t="s">
        <v>14681</v>
      </c>
      <c r="B6988" s="11" t="s">
        <v>14681</v>
      </c>
      <c r="C6988" s="11" t="s">
        <v>59</v>
      </c>
      <c r="D6988" s="11" t="s">
        <v>60</v>
      </c>
      <c r="E6988" s="12" t="s">
        <v>121</v>
      </c>
      <c r="F6988" s="12" t="s">
        <v>122</v>
      </c>
      <c r="G6988" s="12" t="s">
        <v>29</v>
      </c>
      <c r="H6988" s="11" t="s">
        <v>63</v>
      </c>
      <c r="I6988" s="13" t="s">
        <v>14683</v>
      </c>
      <c r="J6988" s="14" t="str">
        <f>HYPERLINK("https://www.boe.es/gazeta/dias/1839/06/08/pdfs/GMD-1839-1666.pdf#page=1","Abrir facsímil")</f>
        <v>Abrir facsímil</v>
      </c>
      <c r="K6988" s="12" t="s">
        <v>65</v>
      </c>
    </row>
    <row r="6989" spans="1:11" ht="40.049999999999997" customHeight="1" x14ac:dyDescent="0.25">
      <c r="A6989" s="11" t="s">
        <v>14681</v>
      </c>
      <c r="B6989" s="11" t="s">
        <v>14681</v>
      </c>
      <c r="C6989" s="11" t="s">
        <v>137</v>
      </c>
      <c r="D6989" s="11" t="s">
        <v>18</v>
      </c>
      <c r="E6989" s="12" t="s">
        <v>185</v>
      </c>
      <c r="F6989" s="12" t="s">
        <v>186</v>
      </c>
      <c r="G6989" s="12" t="s">
        <v>21</v>
      </c>
      <c r="H6989" s="11" t="s">
        <v>63</v>
      </c>
      <c r="I6989" s="13" t="s">
        <v>14684</v>
      </c>
      <c r="J6989" s="14" t="str">
        <f>HYPERLINK("https://www.boe.es/gazeta/dias/1839/01/15/pdfs/GMD-1839-1522.pdf#page=4","Abrir facsímil")</f>
        <v>Abrir facsímil</v>
      </c>
      <c r="K6989" s="12" t="s">
        <v>65</v>
      </c>
    </row>
    <row r="6990" spans="1:11" ht="40.049999999999997" customHeight="1" x14ac:dyDescent="0.25">
      <c r="A6990" s="11" t="s">
        <v>14681</v>
      </c>
      <c r="B6990" s="11" t="s">
        <v>14681</v>
      </c>
      <c r="C6990" s="11" t="s">
        <v>17</v>
      </c>
      <c r="D6990" s="11" t="s">
        <v>18</v>
      </c>
      <c r="E6990" s="12" t="s">
        <v>230</v>
      </c>
      <c r="F6990" s="12" t="s">
        <v>231</v>
      </c>
      <c r="G6990" s="12" t="s">
        <v>29</v>
      </c>
      <c r="H6990" s="11" t="s">
        <v>63</v>
      </c>
      <c r="I6990" s="13" t="s">
        <v>14685</v>
      </c>
      <c r="J6990" s="14" t="str">
        <f>HYPERLINK("https://www.boe.es/gazeta/dias/1839/09/16/pdfs/GMD-1839-1769.pdf#page=1","Abrir facsímil")</f>
        <v>Abrir facsímil</v>
      </c>
      <c r="K6990" s="12" t="s">
        <v>65</v>
      </c>
    </row>
    <row r="6991" spans="1:11" ht="40.049999999999997" customHeight="1" x14ac:dyDescent="0.25">
      <c r="A6991" s="11" t="s">
        <v>14681</v>
      </c>
      <c r="B6991" s="11" t="s">
        <v>14681</v>
      </c>
      <c r="C6991" s="11" t="s">
        <v>17</v>
      </c>
      <c r="D6991" s="11" t="s">
        <v>18</v>
      </c>
      <c r="E6991" s="12" t="s">
        <v>280</v>
      </c>
      <c r="F6991" s="12" t="s">
        <v>281</v>
      </c>
      <c r="G6991" s="12" t="s">
        <v>29</v>
      </c>
      <c r="H6991" s="11" t="s">
        <v>63</v>
      </c>
      <c r="I6991" s="13" t="s">
        <v>14686</v>
      </c>
      <c r="J6991" s="14" t="str">
        <f>HYPERLINK("https://www.boe.es/gazeta/dias/1839/08/21/pdfs/GMD-1839-1742.pdf#page=1","Abrir facsímil")</f>
        <v>Abrir facsímil</v>
      </c>
      <c r="K6991" s="12" t="s">
        <v>65</v>
      </c>
    </row>
    <row r="6992" spans="1:11" ht="40.049999999999997" customHeight="1" x14ac:dyDescent="0.25">
      <c r="A6992" s="11" t="s">
        <v>14687</v>
      </c>
      <c r="B6992" s="11" t="s">
        <v>14687</v>
      </c>
      <c r="C6992" s="11" t="s">
        <v>137</v>
      </c>
      <c r="D6992" s="11" t="s">
        <v>18</v>
      </c>
      <c r="E6992" s="12" t="s">
        <v>1406</v>
      </c>
      <c r="F6992" s="12" t="s">
        <v>1407</v>
      </c>
      <c r="G6992" s="12" t="s">
        <v>40</v>
      </c>
      <c r="H6992" s="11" t="s">
        <v>22</v>
      </c>
      <c r="I6992" s="13" t="s">
        <v>14688</v>
      </c>
      <c r="J6992" s="14" t="str">
        <f>HYPERLINK("https://www.boe.es/gazeta/dias/1839/07/18/pdfs/GMD-1839-1706.pdf#page=2","Abrir facsímil")</f>
        <v>Abrir facsímil</v>
      </c>
      <c r="K6992" s="12" t="s">
        <v>24</v>
      </c>
    </row>
    <row r="6993" spans="1:11" ht="40.049999999999997" customHeight="1" x14ac:dyDescent="0.25">
      <c r="A6993" s="11" t="s">
        <v>14689</v>
      </c>
      <c r="B6993" s="11" t="s">
        <v>14689</v>
      </c>
      <c r="C6993" s="11" t="s">
        <v>101</v>
      </c>
      <c r="D6993" s="11" t="s">
        <v>43</v>
      </c>
      <c r="E6993" s="12" t="s">
        <v>1867</v>
      </c>
      <c r="F6993" s="12" t="s">
        <v>1868</v>
      </c>
      <c r="G6993" s="12" t="s">
        <v>21</v>
      </c>
      <c r="H6993" s="11" t="s">
        <v>22</v>
      </c>
      <c r="I6993" s="13" t="s">
        <v>14690</v>
      </c>
      <c r="J6993" s="14" t="str">
        <f>HYPERLINK("https://www.boe.es/gazeta/dias/1839/01/30/pdfs/GMD-1839-1537.pdf#page=4","Abrir facsímil")</f>
        <v>Abrir facsímil</v>
      </c>
      <c r="K6993" s="12" t="s">
        <v>24</v>
      </c>
    </row>
    <row r="6994" spans="1:11" ht="40.049999999999997" customHeight="1" x14ac:dyDescent="0.25">
      <c r="A6994" s="11" t="s">
        <v>14691</v>
      </c>
      <c r="B6994" s="11" t="s">
        <v>14691</v>
      </c>
      <c r="C6994" s="11" t="s">
        <v>17</v>
      </c>
      <c r="D6994" s="11" t="s">
        <v>18</v>
      </c>
      <c r="E6994" s="12" t="s">
        <v>163</v>
      </c>
      <c r="F6994" s="12" t="s">
        <v>164</v>
      </c>
      <c r="G6994" s="12" t="s">
        <v>21</v>
      </c>
      <c r="H6994" s="11" t="s">
        <v>22</v>
      </c>
      <c r="I6994" s="13" t="s">
        <v>14692</v>
      </c>
      <c r="J6994" s="14" t="str">
        <f>HYPERLINK("https://www.boe.es/gazeta/dias/1839/01/13/pdfs/GMD-1839-1520.pdf#page=4","Abrir facsímil")</f>
        <v>Abrir facsímil</v>
      </c>
      <c r="K6994" s="12" t="s">
        <v>24</v>
      </c>
    </row>
    <row r="6995" spans="1:11" ht="40.049999999999997" customHeight="1" x14ac:dyDescent="0.25">
      <c r="A6995" s="11" t="s">
        <v>14691</v>
      </c>
      <c r="B6995" s="11" t="s">
        <v>14691</v>
      </c>
      <c r="C6995" s="11" t="s">
        <v>80</v>
      </c>
      <c r="D6995" s="11" t="s">
        <v>18</v>
      </c>
      <c r="E6995" s="12" t="s">
        <v>5806</v>
      </c>
      <c r="F6995" s="12" t="s">
        <v>5807</v>
      </c>
      <c r="G6995" s="12" t="s">
        <v>21</v>
      </c>
      <c r="H6995" s="11" t="s">
        <v>22</v>
      </c>
      <c r="I6995" s="13" t="s">
        <v>14693</v>
      </c>
      <c r="J6995" s="14" t="str">
        <f>HYPERLINK("https://www.boe.es/gazeta/dias/1839/02/16/pdfs/GMD-1839-1554.pdf#page=4","Abrir facsímil")</f>
        <v>Abrir facsímil</v>
      </c>
      <c r="K6995" s="12" t="s">
        <v>24</v>
      </c>
    </row>
    <row r="6996" spans="1:11" ht="40.049999999999997" customHeight="1" x14ac:dyDescent="0.25">
      <c r="A6996" s="11" t="s">
        <v>14694</v>
      </c>
      <c r="B6996" s="11" t="s">
        <v>14694</v>
      </c>
      <c r="C6996" s="11" t="s">
        <v>137</v>
      </c>
      <c r="D6996" s="11" t="s">
        <v>18</v>
      </c>
      <c r="E6996" s="12" t="s">
        <v>510</v>
      </c>
      <c r="F6996" s="12" t="s">
        <v>511</v>
      </c>
      <c r="G6996" s="12" t="s">
        <v>21</v>
      </c>
      <c r="H6996" s="11" t="s">
        <v>22</v>
      </c>
      <c r="I6996" s="13" t="s">
        <v>14695</v>
      </c>
      <c r="J6996" s="14" t="str">
        <f>HYPERLINK("https://www.boe.es/gazeta/dias/1839/05/13/pdfs/GMD-1839-1640.pdf#page=4","Abrir facsímil")</f>
        <v>Abrir facsímil</v>
      </c>
      <c r="K6996" s="12" t="s">
        <v>24</v>
      </c>
    </row>
    <row r="6997" spans="1:11" ht="40.049999999999997" customHeight="1" x14ac:dyDescent="0.25">
      <c r="A6997" s="11" t="s">
        <v>14696</v>
      </c>
      <c r="B6997" s="11" t="s">
        <v>14696</v>
      </c>
      <c r="C6997" s="11" t="s">
        <v>17</v>
      </c>
      <c r="D6997" s="11" t="s">
        <v>18</v>
      </c>
      <c r="E6997" s="12" t="s">
        <v>49</v>
      </c>
      <c r="F6997" s="12" t="s">
        <v>50</v>
      </c>
      <c r="G6997" s="12" t="s">
        <v>40</v>
      </c>
      <c r="H6997" s="11" t="s">
        <v>22</v>
      </c>
      <c r="I6997" s="13" t="s">
        <v>14697</v>
      </c>
      <c r="J6997" s="14" t="str">
        <f>HYPERLINK("https://www.boe.es/gazeta/dias/1839/01/05/pdfs/GMD-1839-1512.pdf#page=2","Abrir facsímil")</f>
        <v>Abrir facsímil</v>
      </c>
      <c r="K6997" s="12" t="s">
        <v>24</v>
      </c>
    </row>
    <row r="6998" spans="1:11" ht="40.049999999999997" customHeight="1" x14ac:dyDescent="0.25">
      <c r="A6998" s="11" t="s">
        <v>14698</v>
      </c>
      <c r="B6998" s="11" t="s">
        <v>14698</v>
      </c>
      <c r="C6998" s="11" t="s">
        <v>137</v>
      </c>
      <c r="D6998" s="11" t="s">
        <v>18</v>
      </c>
      <c r="E6998" s="12" t="s">
        <v>462</v>
      </c>
      <c r="F6998" s="12" t="s">
        <v>463</v>
      </c>
      <c r="G6998" s="12" t="s">
        <v>21</v>
      </c>
      <c r="H6998" s="11" t="s">
        <v>63</v>
      </c>
      <c r="I6998" s="13" t="s">
        <v>14699</v>
      </c>
      <c r="J6998" s="14" t="str">
        <f>HYPERLINK("https://www.boe.es/gazeta/dias/1839/06/19/pdfs/GMD-1839-1677.pdf#page=4","Abrir facsímil")</f>
        <v>Abrir facsímil</v>
      </c>
      <c r="K6998" s="12" t="s">
        <v>65</v>
      </c>
    </row>
    <row r="6999" spans="1:11" ht="40.049999999999997" customHeight="1" x14ac:dyDescent="0.25">
      <c r="A6999" s="11" t="s">
        <v>14700</v>
      </c>
      <c r="B6999" s="11" t="s">
        <v>14700</v>
      </c>
      <c r="C6999" s="11" t="s">
        <v>17</v>
      </c>
      <c r="D6999" s="11" t="s">
        <v>18</v>
      </c>
      <c r="E6999" s="12" t="s">
        <v>103</v>
      </c>
      <c r="F6999" s="12" t="s">
        <v>104</v>
      </c>
      <c r="G6999" s="12" t="s">
        <v>29</v>
      </c>
      <c r="H6999" s="11" t="s">
        <v>63</v>
      </c>
      <c r="I6999" s="13" t="s">
        <v>14701</v>
      </c>
      <c r="J6999" s="14" t="str">
        <f>HYPERLINK("https://www.boe.es/gazeta/dias/1839/10/12/pdfs/GMD-1839-1798.pdf#page=1","Abrir facsímil")</f>
        <v>Abrir facsímil</v>
      </c>
      <c r="K6999" s="12" t="s">
        <v>65</v>
      </c>
    </row>
    <row r="7000" spans="1:11" ht="40.049999999999997" customHeight="1" x14ac:dyDescent="0.25">
      <c r="A7000" s="11" t="s">
        <v>14700</v>
      </c>
      <c r="B7000" s="11" t="s">
        <v>14700</v>
      </c>
      <c r="C7000" s="11" t="s">
        <v>80</v>
      </c>
      <c r="D7000" s="11" t="s">
        <v>18</v>
      </c>
      <c r="E7000" s="12" t="s">
        <v>1584</v>
      </c>
      <c r="F7000" s="12" t="s">
        <v>1585</v>
      </c>
      <c r="G7000" s="12" t="s">
        <v>21</v>
      </c>
      <c r="H7000" s="11" t="s">
        <v>63</v>
      </c>
      <c r="I7000" s="13" t="s">
        <v>14702</v>
      </c>
      <c r="J7000" s="14" t="str">
        <f>HYPERLINK("https://www.boe.es/gazeta/dias/1839/11/20/pdfs/GMD-1839-1837.pdf#page=4","Abrir facsímil")</f>
        <v>Abrir facsímil</v>
      </c>
      <c r="K7000" s="12" t="s">
        <v>65</v>
      </c>
    </row>
    <row r="7001" spans="1:11" ht="40.049999999999997" customHeight="1" x14ac:dyDescent="0.25">
      <c r="A7001" s="11" t="s">
        <v>14703</v>
      </c>
      <c r="B7001" s="11" t="s">
        <v>14704</v>
      </c>
      <c r="C7001" s="11" t="s">
        <v>80</v>
      </c>
      <c r="D7001" s="11" t="s">
        <v>18</v>
      </c>
      <c r="E7001" s="12" t="s">
        <v>1725</v>
      </c>
      <c r="F7001" s="12" t="s">
        <v>1726</v>
      </c>
      <c r="G7001" s="12" t="s">
        <v>46</v>
      </c>
      <c r="H7001" s="11" t="s">
        <v>22</v>
      </c>
      <c r="I7001" s="13" t="s">
        <v>14705</v>
      </c>
      <c r="J7001" s="14" t="str">
        <f>HYPERLINK("https://www.boe.es/gazeta/dias/1839/11/17/pdfs/GMD-1839-1834.pdf#page=3","Abrir facsímil")</f>
        <v>Abrir facsímil</v>
      </c>
      <c r="K7001" s="12" t="s">
        <v>24</v>
      </c>
    </row>
    <row r="7002" spans="1:11" ht="40.049999999999997" customHeight="1" x14ac:dyDescent="0.25">
      <c r="A7002" s="11" t="s">
        <v>14706</v>
      </c>
      <c r="B7002" s="11" t="s">
        <v>14707</v>
      </c>
      <c r="C7002" s="11" t="s">
        <v>59</v>
      </c>
      <c r="D7002" s="11" t="s">
        <v>60</v>
      </c>
      <c r="E7002" s="12" t="s">
        <v>1433</v>
      </c>
      <c r="F7002" s="12" t="s">
        <v>1434</v>
      </c>
      <c r="G7002" s="12" t="s">
        <v>29</v>
      </c>
      <c r="H7002" s="11" t="s">
        <v>22</v>
      </c>
      <c r="I7002" s="13" t="s">
        <v>14708</v>
      </c>
      <c r="J7002" s="14" t="str">
        <f>HYPERLINK("https://www.boe.es/gazeta/dias/1839/10/22/pdfs/GMD-1839-1808.pdf#page=1","Abrir facsímil")</f>
        <v>Abrir facsímil</v>
      </c>
      <c r="K7002" s="12" t="s">
        <v>24</v>
      </c>
    </row>
    <row r="7003" spans="1:11" ht="40.049999999999997" customHeight="1" x14ac:dyDescent="0.25">
      <c r="A7003" s="11" t="s">
        <v>14709</v>
      </c>
      <c r="B7003" s="11" t="s">
        <v>14710</v>
      </c>
      <c r="C7003" s="11" t="s">
        <v>17</v>
      </c>
      <c r="D7003" s="11" t="s">
        <v>18</v>
      </c>
      <c r="E7003" s="12" t="s">
        <v>19</v>
      </c>
      <c r="F7003" s="12" t="s">
        <v>20</v>
      </c>
      <c r="G7003" s="12" t="s">
        <v>40</v>
      </c>
      <c r="H7003" s="11" t="s">
        <v>63</v>
      </c>
      <c r="I7003" s="13" t="s">
        <v>14711</v>
      </c>
      <c r="J7003" s="14" t="str">
        <f>HYPERLINK("https://www.boe.es/gazeta/dias/1839/01/19/pdfs/GMD-1839-1526.pdf#page=2","Abrir facsímil")</f>
        <v>Abrir facsímil</v>
      </c>
      <c r="K7003" s="12" t="s">
        <v>65</v>
      </c>
    </row>
    <row r="7004" spans="1:11" ht="40.049999999999997" customHeight="1" x14ac:dyDescent="0.25">
      <c r="A7004" s="11" t="s">
        <v>14712</v>
      </c>
      <c r="B7004" s="11" t="s">
        <v>14713</v>
      </c>
      <c r="C7004" s="11" t="s">
        <v>137</v>
      </c>
      <c r="D7004" s="11" t="s">
        <v>18</v>
      </c>
      <c r="E7004" s="12" t="s">
        <v>272</v>
      </c>
      <c r="F7004" s="12" t="s">
        <v>273</v>
      </c>
      <c r="G7004" s="12" t="s">
        <v>29</v>
      </c>
      <c r="H7004" s="11" t="s">
        <v>63</v>
      </c>
      <c r="I7004" s="13" t="s">
        <v>14714</v>
      </c>
      <c r="J7004" s="14" t="str">
        <f>HYPERLINK("https://www.boe.es/gazeta/dias/1839/02/12/pdfs/GMD-1839-1550.pdf#page=1","Abrir facsímil")</f>
        <v>Abrir facsímil</v>
      </c>
      <c r="K7004" s="12" t="s">
        <v>65</v>
      </c>
    </row>
    <row r="7005" spans="1:11" ht="40.049999999999997" customHeight="1" x14ac:dyDescent="0.25">
      <c r="A7005" s="11" t="s">
        <v>14715</v>
      </c>
      <c r="B7005" s="11" t="s">
        <v>14715</v>
      </c>
      <c r="C7005" s="11" t="s">
        <v>137</v>
      </c>
      <c r="D7005" s="11" t="s">
        <v>18</v>
      </c>
      <c r="E7005" s="12" t="s">
        <v>574</v>
      </c>
      <c r="F7005" s="12" t="s">
        <v>575</v>
      </c>
      <c r="G7005" s="12" t="s">
        <v>29</v>
      </c>
      <c r="H7005" s="11" t="s">
        <v>63</v>
      </c>
      <c r="I7005" s="13" t="s">
        <v>14716</v>
      </c>
      <c r="J7005" s="14" t="str">
        <f>HYPERLINK("https://www.boe.es/gazeta/dias/1839/09/28/pdfs/GMD-1839-1784.pdf#page=1","Abrir facsímil")</f>
        <v>Abrir facsímil</v>
      </c>
      <c r="K7005" s="12" t="s">
        <v>65</v>
      </c>
    </row>
    <row r="7006" spans="1:11" ht="40.049999999999997" customHeight="1" x14ac:dyDescent="0.25">
      <c r="A7006" s="11" t="s">
        <v>14717</v>
      </c>
      <c r="B7006" s="11" t="s">
        <v>14717</v>
      </c>
      <c r="C7006" s="11" t="s">
        <v>59</v>
      </c>
      <c r="D7006" s="11" t="s">
        <v>60</v>
      </c>
      <c r="E7006" s="12" t="s">
        <v>561</v>
      </c>
      <c r="F7006" s="12" t="s">
        <v>562</v>
      </c>
      <c r="G7006" s="12" t="s">
        <v>29</v>
      </c>
      <c r="H7006" s="11" t="s">
        <v>63</v>
      </c>
      <c r="I7006" s="13" t="s">
        <v>14718</v>
      </c>
      <c r="J7006" s="14" t="str">
        <f>HYPERLINK("https://www.boe.es/gazeta/dias/1839/09/11/pdfs/GMD-1839-1764.pdf#page=1","Abrir facsímil")</f>
        <v>Abrir facsímil</v>
      </c>
      <c r="K7006" s="12" t="s">
        <v>65</v>
      </c>
    </row>
    <row r="7007" spans="1:11" ht="40.049999999999997" customHeight="1" x14ac:dyDescent="0.25">
      <c r="A7007" s="11" t="s">
        <v>14717</v>
      </c>
      <c r="B7007" s="11" t="s">
        <v>14717</v>
      </c>
      <c r="C7007" s="11" t="s">
        <v>80</v>
      </c>
      <c r="D7007" s="11" t="s">
        <v>18</v>
      </c>
      <c r="E7007" s="12" t="s">
        <v>346</v>
      </c>
      <c r="F7007" s="12" t="s">
        <v>347</v>
      </c>
      <c r="G7007" s="12" t="s">
        <v>29</v>
      </c>
      <c r="H7007" s="11" t="s">
        <v>63</v>
      </c>
      <c r="I7007" s="13" t="s">
        <v>14719</v>
      </c>
      <c r="J7007" s="14" t="str">
        <f>HYPERLINK("https://www.boe.es/gazeta/dias/1839/03/24/pdfs/GMD-1839-1590.pdf#page=1","Abrir facsímil")</f>
        <v>Abrir facsímil</v>
      </c>
      <c r="K7007" s="12" t="s">
        <v>65</v>
      </c>
    </row>
    <row r="7008" spans="1:11" ht="40.049999999999997" customHeight="1" x14ac:dyDescent="0.25">
      <c r="A7008" s="11" t="s">
        <v>14720</v>
      </c>
      <c r="B7008" s="11" t="s">
        <v>14720</v>
      </c>
      <c r="C7008" s="11" t="s">
        <v>59</v>
      </c>
      <c r="D7008" s="11" t="s">
        <v>60</v>
      </c>
      <c r="E7008" s="12" t="s">
        <v>2443</v>
      </c>
      <c r="F7008" s="12" t="s">
        <v>2444</v>
      </c>
      <c r="G7008" s="12" t="s">
        <v>40</v>
      </c>
      <c r="H7008" s="11" t="s">
        <v>63</v>
      </c>
      <c r="I7008" s="13" t="s">
        <v>14721</v>
      </c>
      <c r="J7008" s="14" t="str">
        <f>HYPERLINK("https://www.boe.es/gazeta/dias/1839/11/02/pdfs/GMD-1839-1819.pdf#page=2","Abrir facsímil")</f>
        <v>Abrir facsímil</v>
      </c>
      <c r="K7008" s="12" t="s">
        <v>65</v>
      </c>
    </row>
    <row r="7009" spans="1:11" ht="40.049999999999997" customHeight="1" x14ac:dyDescent="0.25">
      <c r="A7009" s="11" t="s">
        <v>14720</v>
      </c>
      <c r="B7009" s="11" t="s">
        <v>14720</v>
      </c>
      <c r="C7009" s="11" t="s">
        <v>101</v>
      </c>
      <c r="D7009" s="11" t="s">
        <v>43</v>
      </c>
      <c r="E7009" s="12" t="s">
        <v>2165</v>
      </c>
      <c r="F7009" s="12" t="s">
        <v>2166</v>
      </c>
      <c r="G7009" s="12" t="s">
        <v>46</v>
      </c>
      <c r="H7009" s="11" t="s">
        <v>63</v>
      </c>
      <c r="I7009" s="13" t="s">
        <v>14722</v>
      </c>
      <c r="J7009" s="14" t="str">
        <f>HYPERLINK("https://www.boe.es/gazeta/dias/1839/01/06/pdfs/GMD-1839-1513.pdf#page=3","Abrir facsímil")</f>
        <v>Abrir facsímil</v>
      </c>
      <c r="K7009" s="12" t="s">
        <v>65</v>
      </c>
    </row>
    <row r="7010" spans="1:11" ht="40.049999999999997" customHeight="1" x14ac:dyDescent="0.25">
      <c r="A7010" s="11" t="s">
        <v>14720</v>
      </c>
      <c r="B7010" s="11" t="s">
        <v>14720</v>
      </c>
      <c r="C7010" s="11" t="s">
        <v>80</v>
      </c>
      <c r="D7010" s="11" t="s">
        <v>18</v>
      </c>
      <c r="E7010" s="12" t="s">
        <v>500</v>
      </c>
      <c r="F7010" s="12" t="s">
        <v>501</v>
      </c>
      <c r="G7010" s="12" t="s">
        <v>29</v>
      </c>
      <c r="H7010" s="11" t="s">
        <v>63</v>
      </c>
      <c r="I7010" s="13" t="s">
        <v>14723</v>
      </c>
      <c r="J7010" s="14" t="str">
        <f>HYPERLINK("https://www.boe.es/gazeta/dias/1839/11/06/pdfs/GMD-1839-1823.pdf#page=1","Abrir facsímil")</f>
        <v>Abrir facsímil</v>
      </c>
      <c r="K7010" s="12" t="s">
        <v>65</v>
      </c>
    </row>
    <row r="7011" spans="1:11" ht="40.049999999999997" customHeight="1" x14ac:dyDescent="0.25">
      <c r="A7011" s="11" t="s">
        <v>14720</v>
      </c>
      <c r="B7011" s="11" t="s">
        <v>14720</v>
      </c>
      <c r="C7011" s="11" t="s">
        <v>59</v>
      </c>
      <c r="D7011" s="11" t="s">
        <v>60</v>
      </c>
      <c r="E7011" s="12" t="s">
        <v>561</v>
      </c>
      <c r="F7011" s="12" t="s">
        <v>562</v>
      </c>
      <c r="G7011" s="12" t="s">
        <v>29</v>
      </c>
      <c r="H7011" s="11" t="s">
        <v>63</v>
      </c>
      <c r="I7011" s="13" t="s">
        <v>14724</v>
      </c>
      <c r="J7011" s="14" t="str">
        <f>HYPERLINK("https://www.boe.es/gazeta/dias/1839/09/11/pdfs/GMD-1839-1764.pdf#page=1","Abrir facsímil")</f>
        <v>Abrir facsímil</v>
      </c>
      <c r="K7011" s="12" t="s">
        <v>65</v>
      </c>
    </row>
    <row r="7012" spans="1:11" ht="40.049999999999997" customHeight="1" x14ac:dyDescent="0.25">
      <c r="A7012" s="11" t="s">
        <v>14720</v>
      </c>
      <c r="B7012" s="11" t="s">
        <v>14720</v>
      </c>
      <c r="C7012" s="11" t="s">
        <v>101</v>
      </c>
      <c r="D7012" s="11" t="s">
        <v>43</v>
      </c>
      <c r="E7012" s="12" t="s">
        <v>2320</v>
      </c>
      <c r="F7012" s="12" t="s">
        <v>2321</v>
      </c>
      <c r="G7012" s="12" t="s">
        <v>46</v>
      </c>
      <c r="H7012" s="11" t="s">
        <v>63</v>
      </c>
      <c r="I7012" s="13" t="s">
        <v>14725</v>
      </c>
      <c r="J7012" s="14" t="str">
        <f>HYPERLINK("https://www.boe.es/gazeta/dias/1839/11/13/pdfs/GMD-1839-1830.pdf#page=3","Abrir facsímil")</f>
        <v>Abrir facsímil</v>
      </c>
      <c r="K7012" s="12" t="s">
        <v>65</v>
      </c>
    </row>
    <row r="7013" spans="1:11" ht="40.049999999999997" customHeight="1" x14ac:dyDescent="0.25">
      <c r="A7013" s="11" t="s">
        <v>14720</v>
      </c>
      <c r="B7013" s="11" t="s">
        <v>14720</v>
      </c>
      <c r="C7013" s="11" t="s">
        <v>17</v>
      </c>
      <c r="D7013" s="11" t="s">
        <v>18</v>
      </c>
      <c r="E7013" s="12" t="s">
        <v>2262</v>
      </c>
      <c r="F7013" s="12" t="s">
        <v>2263</v>
      </c>
      <c r="G7013" s="12" t="s">
        <v>40</v>
      </c>
      <c r="H7013" s="11" t="s">
        <v>63</v>
      </c>
      <c r="I7013" s="13" t="s">
        <v>14726</v>
      </c>
      <c r="J7013" s="14" t="str">
        <f>HYPERLINK("https://www.boe.es/gazeta/dias/1839/03/16/pdfs/GMD-1839-1582.pdf#page=2","Abrir facsímil")</f>
        <v>Abrir facsímil</v>
      </c>
      <c r="K7013" s="12" t="s">
        <v>65</v>
      </c>
    </row>
    <row r="7014" spans="1:11" ht="40.049999999999997" customHeight="1" x14ac:dyDescent="0.25">
      <c r="A7014" s="11" t="s">
        <v>14720</v>
      </c>
      <c r="B7014" s="11" t="s">
        <v>14720</v>
      </c>
      <c r="C7014" s="11" t="s">
        <v>59</v>
      </c>
      <c r="D7014" s="11" t="s">
        <v>60</v>
      </c>
      <c r="E7014" s="12" t="s">
        <v>1076</v>
      </c>
      <c r="F7014" s="12" t="s">
        <v>1077</v>
      </c>
      <c r="G7014" s="12" t="s">
        <v>29</v>
      </c>
      <c r="H7014" s="11" t="s">
        <v>63</v>
      </c>
      <c r="I7014" s="13" t="s">
        <v>14727</v>
      </c>
      <c r="J7014" s="14" t="str">
        <f>HYPERLINK("https://www.boe.es/gazeta/dias/1839/10/19/pdfs/GMD-1839-1805.pdf#page=1","Abrir facsímil")</f>
        <v>Abrir facsímil</v>
      </c>
      <c r="K7014" s="12" t="s">
        <v>65</v>
      </c>
    </row>
    <row r="7015" spans="1:11" ht="40.049999999999997" customHeight="1" x14ac:dyDescent="0.25">
      <c r="A7015" s="11" t="s">
        <v>14720</v>
      </c>
      <c r="B7015" s="11" t="s">
        <v>14720</v>
      </c>
      <c r="C7015" s="11" t="s">
        <v>17</v>
      </c>
      <c r="D7015" s="11" t="s">
        <v>18</v>
      </c>
      <c r="E7015" s="12" t="s">
        <v>1584</v>
      </c>
      <c r="F7015" s="12" t="s">
        <v>1585</v>
      </c>
      <c r="G7015" s="12" t="s">
        <v>46</v>
      </c>
      <c r="H7015" s="11" t="s">
        <v>63</v>
      </c>
      <c r="I7015" s="13" t="s">
        <v>14728</v>
      </c>
      <c r="J7015" s="14" t="str">
        <f>HYPERLINK("https://www.boe.es/gazeta/dias/1839/11/20/pdfs/GMD-1839-1837.pdf#page=3","Abrir facsímil")</f>
        <v>Abrir facsímil</v>
      </c>
      <c r="K7015" s="12" t="s">
        <v>65</v>
      </c>
    </row>
    <row r="7016" spans="1:11" ht="40.049999999999997" customHeight="1" x14ac:dyDescent="0.25">
      <c r="A7016" s="11" t="s">
        <v>14720</v>
      </c>
      <c r="B7016" s="11" t="s">
        <v>14720</v>
      </c>
      <c r="C7016" s="11" t="s">
        <v>137</v>
      </c>
      <c r="D7016" s="11" t="s">
        <v>18</v>
      </c>
      <c r="E7016" s="12" t="s">
        <v>489</v>
      </c>
      <c r="F7016" s="12" t="s">
        <v>490</v>
      </c>
      <c r="G7016" s="12" t="s">
        <v>29</v>
      </c>
      <c r="H7016" s="11" t="s">
        <v>63</v>
      </c>
      <c r="I7016" s="13" t="s">
        <v>14729</v>
      </c>
      <c r="J7016" s="14" t="str">
        <f>HYPERLINK("https://www.boe.es/gazeta/dias/1839/06/29/pdfs/GMD-1839-1687.pdf#page=1","Abrir facsímil")</f>
        <v>Abrir facsímil</v>
      </c>
      <c r="K7016" s="12" t="s">
        <v>65</v>
      </c>
    </row>
    <row r="7017" spans="1:11" ht="40.049999999999997" customHeight="1" x14ac:dyDescent="0.25">
      <c r="A7017" s="11" t="s">
        <v>14730</v>
      </c>
      <c r="B7017" s="11" t="s">
        <v>14730</v>
      </c>
      <c r="C7017" s="11" t="s">
        <v>80</v>
      </c>
      <c r="D7017" s="11" t="s">
        <v>173</v>
      </c>
      <c r="E7017" s="12" t="s">
        <v>779</v>
      </c>
      <c r="F7017" s="12" t="s">
        <v>780</v>
      </c>
      <c r="G7017" s="12" t="s">
        <v>21</v>
      </c>
      <c r="H7017" s="11" t="s">
        <v>22</v>
      </c>
      <c r="I7017" s="13" t="s">
        <v>14731</v>
      </c>
      <c r="J7017" s="14" t="str">
        <f>HYPERLINK("https://www.boe.es/gazeta/dias/1839/02/03/pdfs/GMD-1839-1541.pdf#page=4","Abrir facsímil")</f>
        <v>Abrir facsímil</v>
      </c>
      <c r="K7017" s="12" t="s">
        <v>24</v>
      </c>
    </row>
    <row r="7018" spans="1:11" ht="40.049999999999997" customHeight="1" x14ac:dyDescent="0.25">
      <c r="A7018" s="11" t="s">
        <v>14732</v>
      </c>
      <c r="B7018" s="11" t="s">
        <v>14732</v>
      </c>
      <c r="C7018" s="11" t="s">
        <v>80</v>
      </c>
      <c r="D7018" s="11" t="s">
        <v>173</v>
      </c>
      <c r="E7018" s="12" t="s">
        <v>929</v>
      </c>
      <c r="F7018" s="12" t="s">
        <v>930</v>
      </c>
      <c r="G7018" s="12" t="s">
        <v>21</v>
      </c>
      <c r="H7018" s="11" t="s">
        <v>22</v>
      </c>
      <c r="I7018" s="13" t="s">
        <v>14733</v>
      </c>
      <c r="J7018" s="14" t="str">
        <f>HYPERLINK("https://www.boe.es/gazeta/dias/1839/01/31/pdfs/GMD-1839-1538.pdf#page=4","Abrir facsímil")</f>
        <v>Abrir facsímil</v>
      </c>
      <c r="K7018" s="12" t="s">
        <v>24</v>
      </c>
    </row>
    <row r="7019" spans="1:11" ht="40.049999999999997" customHeight="1" x14ac:dyDescent="0.25">
      <c r="A7019" s="11" t="s">
        <v>14734</v>
      </c>
      <c r="B7019" s="11" t="s">
        <v>14735</v>
      </c>
      <c r="C7019" s="11" t="s">
        <v>17</v>
      </c>
      <c r="D7019" s="11" t="s">
        <v>18</v>
      </c>
      <c r="E7019" s="12" t="s">
        <v>1008</v>
      </c>
      <c r="F7019" s="12" t="s">
        <v>1009</v>
      </c>
      <c r="G7019" s="12" t="s">
        <v>21</v>
      </c>
      <c r="H7019" s="11" t="s">
        <v>22</v>
      </c>
      <c r="I7019" s="13" t="s">
        <v>14736</v>
      </c>
      <c r="J7019" s="14" t="str">
        <f>HYPERLINK("https://www.boe.es/gazeta/dias/1839/09/07/pdfs/GMD-1839-1760.pdf#page=4","Abrir facsímil")</f>
        <v>Abrir facsímil</v>
      </c>
      <c r="K7019" s="12" t="s">
        <v>24</v>
      </c>
    </row>
    <row r="7020" spans="1:11" ht="40.049999999999997" customHeight="1" x14ac:dyDescent="0.25">
      <c r="A7020" s="11" t="s">
        <v>14737</v>
      </c>
      <c r="B7020" s="11" t="s">
        <v>14737</v>
      </c>
      <c r="C7020" s="11" t="s">
        <v>17</v>
      </c>
      <c r="D7020" s="11" t="s">
        <v>18</v>
      </c>
      <c r="E7020" s="12" t="s">
        <v>700</v>
      </c>
      <c r="F7020" s="12" t="s">
        <v>701</v>
      </c>
      <c r="G7020" s="12" t="s">
        <v>29</v>
      </c>
      <c r="H7020" s="11" t="s">
        <v>63</v>
      </c>
      <c r="I7020" s="13" t="s">
        <v>14738</v>
      </c>
      <c r="J7020" s="14" t="str">
        <f>HYPERLINK("https://www.boe.es/gazeta/dias/1839/09/01/pdfs/GMD-1839-1753.pdf#page=1","Abrir facsímil")</f>
        <v>Abrir facsímil</v>
      </c>
      <c r="K7020" s="12" t="s">
        <v>65</v>
      </c>
    </row>
    <row r="7021" spans="1:11" ht="40.049999999999997" customHeight="1" x14ac:dyDescent="0.25">
      <c r="A7021" s="11" t="s">
        <v>14739</v>
      </c>
      <c r="B7021" s="11" t="s">
        <v>14739</v>
      </c>
      <c r="C7021" s="11" t="s">
        <v>17</v>
      </c>
      <c r="D7021" s="11" t="s">
        <v>18</v>
      </c>
      <c r="E7021" s="12" t="s">
        <v>276</v>
      </c>
      <c r="F7021" s="12" t="s">
        <v>277</v>
      </c>
      <c r="G7021" s="12" t="s">
        <v>46</v>
      </c>
      <c r="H7021" s="11" t="s">
        <v>63</v>
      </c>
      <c r="I7021" s="13" t="s">
        <v>14740</v>
      </c>
      <c r="J7021" s="14" t="str">
        <f>HYPERLINK("https://www.boe.es/gazeta/dias/1839/09/24/pdfs/GMD-1839-1780.pdf#page=3","Abrir facsímil")</f>
        <v>Abrir facsímil</v>
      </c>
      <c r="K7021" s="12" t="s">
        <v>65</v>
      </c>
    </row>
    <row r="7022" spans="1:11" ht="40.049999999999997" customHeight="1" x14ac:dyDescent="0.25">
      <c r="A7022" s="11" t="s">
        <v>14741</v>
      </c>
      <c r="B7022" s="11" t="s">
        <v>14741</v>
      </c>
      <c r="C7022" s="11" t="s">
        <v>17</v>
      </c>
      <c r="D7022" s="11" t="s">
        <v>18</v>
      </c>
      <c r="E7022" s="12" t="s">
        <v>1703</v>
      </c>
      <c r="F7022" s="12" t="s">
        <v>1704</v>
      </c>
      <c r="G7022" s="12" t="s">
        <v>46</v>
      </c>
      <c r="H7022" s="11" t="s">
        <v>63</v>
      </c>
      <c r="I7022" s="13" t="s">
        <v>14742</v>
      </c>
      <c r="J7022" s="14" t="str">
        <f>HYPERLINK("https://www.boe.es/gazeta/dias/1839/01/21/pdfs/GMD-1839-1528.pdf#page=3","Abrir facsímil")</f>
        <v>Abrir facsímil</v>
      </c>
      <c r="K7022" s="12" t="s">
        <v>65</v>
      </c>
    </row>
    <row r="7023" spans="1:11" ht="40.049999999999997" customHeight="1" x14ac:dyDescent="0.25">
      <c r="A7023" s="11" t="s">
        <v>14743</v>
      </c>
      <c r="B7023" s="11" t="s">
        <v>14743</v>
      </c>
      <c r="C7023" s="11" t="s">
        <v>17</v>
      </c>
      <c r="D7023" s="11" t="s">
        <v>18</v>
      </c>
      <c r="E7023" s="12" t="s">
        <v>258</v>
      </c>
      <c r="F7023" s="12" t="s">
        <v>259</v>
      </c>
      <c r="G7023" s="12" t="s">
        <v>40</v>
      </c>
      <c r="H7023" s="11" t="s">
        <v>63</v>
      </c>
      <c r="I7023" s="13" t="s">
        <v>14744</v>
      </c>
      <c r="J7023" s="14" t="str">
        <f>HYPERLINK("https://www.boe.es/gazeta/dias/1839/01/02/pdfs/GMD-1839-1509.pdf#page=2","Abrir facsímil")</f>
        <v>Abrir facsímil</v>
      </c>
      <c r="K7023" s="12" t="s">
        <v>65</v>
      </c>
    </row>
    <row r="7024" spans="1:11" ht="40.049999999999997" customHeight="1" x14ac:dyDescent="0.25">
      <c r="A7024" s="11" t="s">
        <v>14743</v>
      </c>
      <c r="B7024" s="11" t="s">
        <v>14743</v>
      </c>
      <c r="C7024" s="11" t="s">
        <v>80</v>
      </c>
      <c r="D7024" s="11" t="s">
        <v>18</v>
      </c>
      <c r="E7024" s="12" t="s">
        <v>798</v>
      </c>
      <c r="F7024" s="12" t="s">
        <v>799</v>
      </c>
      <c r="G7024" s="12" t="s">
        <v>40</v>
      </c>
      <c r="H7024" s="11" t="s">
        <v>63</v>
      </c>
      <c r="I7024" s="13" t="s">
        <v>14745</v>
      </c>
      <c r="J7024" s="14" t="str">
        <f>HYPERLINK("https://www.boe.es/gazeta/dias/1839/09/03/pdfs/GMD-1839-1755.pdf#page=2","Abrir facsímil")</f>
        <v>Abrir facsímil</v>
      </c>
      <c r="K7024" s="12" t="s">
        <v>65</v>
      </c>
    </row>
    <row r="7025" spans="1:11" ht="40.049999999999997" customHeight="1" x14ac:dyDescent="0.25">
      <c r="A7025" s="11" t="s">
        <v>14743</v>
      </c>
      <c r="B7025" s="11" t="s">
        <v>14743</v>
      </c>
      <c r="C7025" s="11" t="s">
        <v>17</v>
      </c>
      <c r="D7025" s="11" t="s">
        <v>18</v>
      </c>
      <c r="E7025" s="12" t="s">
        <v>4044</v>
      </c>
      <c r="F7025" s="12" t="s">
        <v>4045</v>
      </c>
      <c r="G7025" s="12" t="s">
        <v>40</v>
      </c>
      <c r="H7025" s="11" t="s">
        <v>63</v>
      </c>
      <c r="I7025" s="13" t="s">
        <v>14746</v>
      </c>
      <c r="J7025" s="14" t="str">
        <f>HYPERLINK("https://www.boe.es/gazeta/dias/1839/01/07/pdfs/GMD-1839-1514.pdf#page=2","Abrir facsímil")</f>
        <v>Abrir facsímil</v>
      </c>
      <c r="K7025" s="12" t="s">
        <v>65</v>
      </c>
    </row>
    <row r="7026" spans="1:11" ht="40.049999999999997" customHeight="1" x14ac:dyDescent="0.25">
      <c r="A7026" s="11" t="s">
        <v>14743</v>
      </c>
      <c r="B7026" s="11" t="s">
        <v>14743</v>
      </c>
      <c r="C7026" s="11" t="s">
        <v>17</v>
      </c>
      <c r="D7026" s="11" t="s">
        <v>18</v>
      </c>
      <c r="E7026" s="12" t="s">
        <v>157</v>
      </c>
      <c r="F7026" s="12" t="s">
        <v>158</v>
      </c>
      <c r="G7026" s="12" t="s">
        <v>40</v>
      </c>
      <c r="H7026" s="11" t="s">
        <v>63</v>
      </c>
      <c r="I7026" s="13" t="s">
        <v>14747</v>
      </c>
      <c r="J7026" s="14" t="str">
        <f>HYPERLINK("https://www.boe.es/gazeta/dias/1839/02/08/pdfs/GMD-1839-1546.pdf#page=2","Abrir facsímil")</f>
        <v>Abrir facsímil</v>
      </c>
      <c r="K7026" s="12" t="s">
        <v>65</v>
      </c>
    </row>
    <row r="7027" spans="1:11" ht="40.049999999999997" customHeight="1" x14ac:dyDescent="0.25">
      <c r="A7027" s="11" t="s">
        <v>14743</v>
      </c>
      <c r="B7027" s="11" t="s">
        <v>14743</v>
      </c>
      <c r="C7027" s="11" t="s">
        <v>17</v>
      </c>
      <c r="D7027" s="11" t="s">
        <v>18</v>
      </c>
      <c r="E7027" s="12" t="s">
        <v>2050</v>
      </c>
      <c r="F7027" s="12" t="s">
        <v>2051</v>
      </c>
      <c r="G7027" s="12" t="s">
        <v>29</v>
      </c>
      <c r="H7027" s="11" t="s">
        <v>63</v>
      </c>
      <c r="I7027" s="13" t="s">
        <v>14748</v>
      </c>
      <c r="J7027" s="14" t="str">
        <f>HYPERLINK("https://www.boe.es/gazeta/dias/1839/01/09/pdfs/GMD-1839-1516.pdf#page=1","Abrir facsímil")</f>
        <v>Abrir facsímil</v>
      </c>
      <c r="K7027" s="12" t="s">
        <v>65</v>
      </c>
    </row>
    <row r="7028" spans="1:11" ht="40.049999999999997" customHeight="1" x14ac:dyDescent="0.25">
      <c r="A7028" s="11" t="s">
        <v>14743</v>
      </c>
      <c r="B7028" s="11" t="s">
        <v>14743</v>
      </c>
      <c r="C7028" s="11" t="s">
        <v>80</v>
      </c>
      <c r="D7028" s="11" t="s">
        <v>18</v>
      </c>
      <c r="E7028" s="12" t="s">
        <v>2069</v>
      </c>
      <c r="F7028" s="12" t="s">
        <v>2070</v>
      </c>
      <c r="G7028" s="12" t="s">
        <v>21</v>
      </c>
      <c r="H7028" s="11" t="s">
        <v>63</v>
      </c>
      <c r="I7028" s="13" t="s">
        <v>14749</v>
      </c>
      <c r="J7028" s="14" t="str">
        <f>HYPERLINK("https://www.boe.es/gazeta/dias/1839/10/20/pdfs/GMD-1839-1806.pdf#page=4","Abrir facsímil")</f>
        <v>Abrir facsímil</v>
      </c>
      <c r="K7028" s="12" t="s">
        <v>65</v>
      </c>
    </row>
    <row r="7029" spans="1:11" ht="40.049999999999997" customHeight="1" x14ac:dyDescent="0.25">
      <c r="A7029" s="11" t="s">
        <v>14743</v>
      </c>
      <c r="B7029" s="11" t="s">
        <v>14743</v>
      </c>
      <c r="C7029" s="11" t="s">
        <v>137</v>
      </c>
      <c r="D7029" s="11" t="s">
        <v>18</v>
      </c>
      <c r="E7029" s="12" t="s">
        <v>2069</v>
      </c>
      <c r="F7029" s="12" t="s">
        <v>2070</v>
      </c>
      <c r="G7029" s="12" t="s">
        <v>566</v>
      </c>
      <c r="H7029" s="11" t="s">
        <v>63</v>
      </c>
      <c r="I7029" s="13" t="s">
        <v>14750</v>
      </c>
      <c r="J7029" s="14" t="str">
        <f>HYPERLINK("https://www.boe.es/gazeta/dias/1839/10/20/pdfs/GMD-1839-1806.pdf#page=5","Abrir facsímil")</f>
        <v>Abrir facsímil</v>
      </c>
      <c r="K7029" s="12" t="s">
        <v>65</v>
      </c>
    </row>
    <row r="7030" spans="1:11" ht="40.049999999999997" customHeight="1" x14ac:dyDescent="0.25">
      <c r="A7030" s="11" t="s">
        <v>14743</v>
      </c>
      <c r="B7030" s="11" t="s">
        <v>14743</v>
      </c>
      <c r="C7030" s="11" t="s">
        <v>17</v>
      </c>
      <c r="D7030" s="11" t="s">
        <v>18</v>
      </c>
      <c r="E7030" s="12" t="s">
        <v>2949</v>
      </c>
      <c r="F7030" s="12" t="s">
        <v>2950</v>
      </c>
      <c r="G7030" s="12" t="s">
        <v>46</v>
      </c>
      <c r="H7030" s="11" t="s">
        <v>63</v>
      </c>
      <c r="I7030" s="13" t="s">
        <v>14751</v>
      </c>
      <c r="J7030" s="14" t="str">
        <f>HYPERLINK("https://www.boe.es/gazeta/dias/1839/10/21/pdfs/GMD-1839-1807.pdf#page=3","Abrir facsímil")</f>
        <v>Abrir facsímil</v>
      </c>
      <c r="K7030" s="12" t="s">
        <v>65</v>
      </c>
    </row>
    <row r="7031" spans="1:11" ht="40.049999999999997" customHeight="1" x14ac:dyDescent="0.25">
      <c r="A7031" s="11" t="s">
        <v>14743</v>
      </c>
      <c r="B7031" s="11" t="s">
        <v>14743</v>
      </c>
      <c r="C7031" s="11" t="s">
        <v>59</v>
      </c>
      <c r="D7031" s="11" t="s">
        <v>60</v>
      </c>
      <c r="E7031" s="12" t="s">
        <v>1663</v>
      </c>
      <c r="F7031" s="12" t="s">
        <v>1664</v>
      </c>
      <c r="G7031" s="12" t="s">
        <v>21</v>
      </c>
      <c r="H7031" s="11" t="s">
        <v>63</v>
      </c>
      <c r="I7031" s="13" t="s">
        <v>14752</v>
      </c>
      <c r="J7031" s="14" t="str">
        <f>HYPERLINK("https://www.boe.es/gazeta/dias/1839/03/22/pdfs/GMD-1839-1588.pdf#page=4","Abrir facsímil")</f>
        <v>Abrir facsímil</v>
      </c>
      <c r="K7031" s="12" t="s">
        <v>65</v>
      </c>
    </row>
    <row r="7032" spans="1:11" ht="40.049999999999997" customHeight="1" x14ac:dyDescent="0.25">
      <c r="A7032" s="11" t="s">
        <v>14743</v>
      </c>
      <c r="B7032" s="11" t="s">
        <v>14743</v>
      </c>
      <c r="C7032" s="11" t="s">
        <v>101</v>
      </c>
      <c r="D7032" s="11" t="s">
        <v>43</v>
      </c>
      <c r="E7032" s="12" t="s">
        <v>568</v>
      </c>
      <c r="F7032" s="12" t="s">
        <v>569</v>
      </c>
      <c r="G7032" s="12" t="s">
        <v>46</v>
      </c>
      <c r="H7032" s="11" t="s">
        <v>63</v>
      </c>
      <c r="I7032" s="13" t="s">
        <v>14753</v>
      </c>
      <c r="J7032" s="14" t="str">
        <f>HYPERLINK("https://www.boe.es/gazeta/dias/1839/10/23/pdfs/GMD-1839-1809.pdf#page=3","Abrir facsímil")</f>
        <v>Abrir facsímil</v>
      </c>
      <c r="K7032" s="12" t="s">
        <v>65</v>
      </c>
    </row>
    <row r="7033" spans="1:11" ht="40.049999999999997" customHeight="1" x14ac:dyDescent="0.25">
      <c r="A7033" s="11" t="s">
        <v>14754</v>
      </c>
      <c r="B7033" s="11" t="s">
        <v>14754</v>
      </c>
      <c r="C7033" s="11" t="s">
        <v>17</v>
      </c>
      <c r="D7033" s="11" t="s">
        <v>18</v>
      </c>
      <c r="E7033" s="12" t="s">
        <v>1988</v>
      </c>
      <c r="F7033" s="12" t="s">
        <v>1989</v>
      </c>
      <c r="G7033" s="12" t="s">
        <v>40</v>
      </c>
      <c r="H7033" s="11" t="s">
        <v>22</v>
      </c>
      <c r="I7033" s="13" t="s">
        <v>14755</v>
      </c>
      <c r="J7033" s="14" t="str">
        <f>HYPERLINK("https://www.boe.es/gazeta/dias/1839/10/29/pdfs/GMD-1839-1815.pdf#page=2","Abrir facsímil")</f>
        <v>Abrir facsímil</v>
      </c>
      <c r="K7033" s="12" t="s">
        <v>24</v>
      </c>
    </row>
    <row r="7034" spans="1:11" ht="40.049999999999997" customHeight="1" x14ac:dyDescent="0.25">
      <c r="A7034" s="11" t="s">
        <v>14756</v>
      </c>
      <c r="B7034" s="11" t="s">
        <v>14757</v>
      </c>
      <c r="C7034" s="11" t="s">
        <v>80</v>
      </c>
      <c r="D7034" s="11" t="s">
        <v>18</v>
      </c>
      <c r="E7034" s="12" t="s">
        <v>5845</v>
      </c>
      <c r="F7034" s="12" t="s">
        <v>5846</v>
      </c>
      <c r="G7034" s="12" t="s">
        <v>29</v>
      </c>
      <c r="H7034" s="11" t="s">
        <v>63</v>
      </c>
      <c r="I7034" s="13" t="s">
        <v>14758</v>
      </c>
      <c r="J7034" s="14" t="str">
        <f>HYPERLINK("https://www.boe.es/gazeta/dias/1839/04/01/pdfs/GMD-1839-1598.pdf#page=1","Abrir facsímil")</f>
        <v>Abrir facsímil</v>
      </c>
      <c r="K7034" s="12" t="s">
        <v>65</v>
      </c>
    </row>
    <row r="7035" spans="1:11" ht="40.049999999999997" customHeight="1" x14ac:dyDescent="0.25">
      <c r="A7035" s="11" t="s">
        <v>14756</v>
      </c>
      <c r="B7035" s="11" t="s">
        <v>14757</v>
      </c>
      <c r="C7035" s="11" t="s">
        <v>80</v>
      </c>
      <c r="D7035" s="11" t="s">
        <v>18</v>
      </c>
      <c r="E7035" s="12" t="s">
        <v>519</v>
      </c>
      <c r="F7035" s="12" t="s">
        <v>520</v>
      </c>
      <c r="G7035" s="12" t="s">
        <v>21</v>
      </c>
      <c r="H7035" s="11" t="s">
        <v>63</v>
      </c>
      <c r="I7035" s="13" t="s">
        <v>14759</v>
      </c>
      <c r="J7035" s="14" t="str">
        <f>HYPERLINK("https://www.boe.es/gazeta/dias/1839/02/23/pdfs/GMD-1839-1561.pdf#page=4","Abrir facsímil")</f>
        <v>Abrir facsímil</v>
      </c>
      <c r="K7035" s="12" t="s">
        <v>65</v>
      </c>
    </row>
    <row r="7036" spans="1:11" ht="40.049999999999997" customHeight="1" x14ac:dyDescent="0.25">
      <c r="A7036" s="11" t="s">
        <v>14760</v>
      </c>
      <c r="B7036" s="11" t="s">
        <v>14760</v>
      </c>
      <c r="C7036" s="11" t="s">
        <v>17</v>
      </c>
      <c r="D7036" s="11" t="s">
        <v>18</v>
      </c>
      <c r="E7036" s="12" t="s">
        <v>736</v>
      </c>
      <c r="F7036" s="12" t="s">
        <v>737</v>
      </c>
      <c r="G7036" s="12" t="s">
        <v>46</v>
      </c>
      <c r="H7036" s="11" t="s">
        <v>22</v>
      </c>
      <c r="I7036" s="13" t="s">
        <v>14761</v>
      </c>
      <c r="J7036" s="14" t="str">
        <f>HYPERLINK("https://www.boe.es/gazeta/dias/1839/10/13/pdfs/GMD-1839-1799.pdf#page=3","Abrir facsímil")</f>
        <v>Abrir facsímil</v>
      </c>
      <c r="K7036" s="12" t="s">
        <v>24</v>
      </c>
    </row>
    <row r="7037" spans="1:11" ht="40.049999999999997" customHeight="1" x14ac:dyDescent="0.25">
      <c r="A7037" s="11" t="s">
        <v>14762</v>
      </c>
      <c r="B7037" s="11" t="s">
        <v>14762</v>
      </c>
      <c r="C7037" s="11" t="s">
        <v>80</v>
      </c>
      <c r="D7037" s="11" t="s">
        <v>18</v>
      </c>
      <c r="E7037" s="12" t="s">
        <v>736</v>
      </c>
      <c r="F7037" s="12" t="s">
        <v>737</v>
      </c>
      <c r="G7037" s="12" t="s">
        <v>21</v>
      </c>
      <c r="H7037" s="11" t="s">
        <v>63</v>
      </c>
      <c r="I7037" s="13" t="s">
        <v>14763</v>
      </c>
      <c r="J7037" s="14" t="str">
        <f>HYPERLINK("https://www.boe.es/gazeta/dias/1839/10/13/pdfs/GMD-1839-1799.pdf#page=4","Abrir facsímil")</f>
        <v>Abrir facsímil</v>
      </c>
      <c r="K7037" s="12" t="s">
        <v>65</v>
      </c>
    </row>
    <row r="7038" spans="1:11" ht="40.049999999999997" customHeight="1" x14ac:dyDescent="0.25">
      <c r="A7038" s="11" t="s">
        <v>14762</v>
      </c>
      <c r="B7038" s="11" t="s">
        <v>14762</v>
      </c>
      <c r="C7038" s="11" t="s">
        <v>80</v>
      </c>
      <c r="D7038" s="11" t="s">
        <v>18</v>
      </c>
      <c r="E7038" s="12" t="s">
        <v>1988</v>
      </c>
      <c r="F7038" s="12" t="s">
        <v>1989</v>
      </c>
      <c r="G7038" s="12" t="s">
        <v>566</v>
      </c>
      <c r="H7038" s="11" t="s">
        <v>63</v>
      </c>
      <c r="I7038" s="13" t="s">
        <v>14764</v>
      </c>
      <c r="J7038" s="14" t="str">
        <f>HYPERLINK("https://www.boe.es/gazeta/dias/1839/10/29/pdfs/GMD-1839-1815.pdf#page=5","Abrir facsímil")</f>
        <v>Abrir facsímil</v>
      </c>
      <c r="K7038" s="12" t="s">
        <v>65</v>
      </c>
    </row>
    <row r="7039" spans="1:11" ht="40.049999999999997" customHeight="1" x14ac:dyDescent="0.25">
      <c r="A7039" s="11" t="s">
        <v>14765</v>
      </c>
      <c r="B7039" s="11" t="s">
        <v>14765</v>
      </c>
      <c r="C7039" s="11" t="s">
        <v>59</v>
      </c>
      <c r="D7039" s="11" t="s">
        <v>60</v>
      </c>
      <c r="E7039" s="12" t="s">
        <v>61</v>
      </c>
      <c r="F7039" s="12" t="s">
        <v>62</v>
      </c>
      <c r="G7039" s="12" t="s">
        <v>21</v>
      </c>
      <c r="H7039" s="11" t="s">
        <v>63</v>
      </c>
      <c r="I7039" s="13" t="s">
        <v>14766</v>
      </c>
      <c r="J7039" s="14" t="str">
        <f>HYPERLINK("https://www.boe.es/gazeta/dias/1839/09/10/pdfs/GMD-1839-1763.pdf#page=4","Abrir facsímil")</f>
        <v>Abrir facsímil</v>
      </c>
      <c r="K7039" s="12" t="s">
        <v>65</v>
      </c>
    </row>
    <row r="7040" spans="1:11" ht="40.049999999999997" customHeight="1" x14ac:dyDescent="0.25">
      <c r="A7040" s="11" t="s">
        <v>14767</v>
      </c>
      <c r="B7040" s="11" t="s">
        <v>14768</v>
      </c>
      <c r="C7040" s="11" t="s">
        <v>17</v>
      </c>
      <c r="D7040" s="11" t="s">
        <v>18</v>
      </c>
      <c r="E7040" s="12" t="s">
        <v>1310</v>
      </c>
      <c r="F7040" s="12" t="s">
        <v>1311</v>
      </c>
      <c r="G7040" s="12" t="s">
        <v>40</v>
      </c>
      <c r="H7040" s="11" t="s">
        <v>63</v>
      </c>
      <c r="I7040" s="13" t="s">
        <v>14769</v>
      </c>
      <c r="J7040" s="14" t="str">
        <f>HYPERLINK("https://www.boe.es/gazeta/dias/1839/04/23/pdfs/GMD-1839-1620.pdf#page=2","Abrir facsímil")</f>
        <v>Abrir facsímil</v>
      </c>
      <c r="K7040" s="12" t="s">
        <v>65</v>
      </c>
    </row>
    <row r="7041" spans="1:11" ht="40.049999999999997" customHeight="1" x14ac:dyDescent="0.25">
      <c r="A7041" s="11" t="s">
        <v>14770</v>
      </c>
      <c r="B7041" s="11" t="s">
        <v>14770</v>
      </c>
      <c r="C7041" s="11" t="s">
        <v>80</v>
      </c>
      <c r="D7041" s="11" t="s">
        <v>18</v>
      </c>
      <c r="E7041" s="12" t="s">
        <v>736</v>
      </c>
      <c r="F7041" s="12" t="s">
        <v>737</v>
      </c>
      <c r="G7041" s="12" t="s">
        <v>21</v>
      </c>
      <c r="H7041" s="11" t="s">
        <v>63</v>
      </c>
      <c r="I7041" s="13" t="s">
        <v>14771</v>
      </c>
      <c r="J7041" s="14" t="str">
        <f>HYPERLINK("https://www.boe.es/gazeta/dias/1839/10/13/pdfs/GMD-1839-1799.pdf#page=4","Abrir facsímil")</f>
        <v>Abrir facsímil</v>
      </c>
      <c r="K7041" s="12" t="s">
        <v>65</v>
      </c>
    </row>
    <row r="7042" spans="1:11" ht="40.049999999999997" customHeight="1" x14ac:dyDescent="0.25">
      <c r="A7042" s="11" t="s">
        <v>14772</v>
      </c>
      <c r="B7042" s="11" t="s">
        <v>14772</v>
      </c>
      <c r="C7042" s="11" t="s">
        <v>17</v>
      </c>
      <c r="D7042" s="11" t="s">
        <v>18</v>
      </c>
      <c r="E7042" s="12" t="s">
        <v>258</v>
      </c>
      <c r="F7042" s="12" t="s">
        <v>259</v>
      </c>
      <c r="G7042" s="12" t="s">
        <v>21</v>
      </c>
      <c r="H7042" s="11" t="s">
        <v>63</v>
      </c>
      <c r="I7042" s="13" t="s">
        <v>14773</v>
      </c>
      <c r="J7042" s="14" t="str">
        <f>HYPERLINK("https://www.boe.es/gazeta/dias/1839/01/02/pdfs/GMD-1839-1509.pdf#page=4","Abrir facsímil")</f>
        <v>Abrir facsímil</v>
      </c>
      <c r="K7042" s="12" t="s">
        <v>65</v>
      </c>
    </row>
    <row r="7043" spans="1:11" ht="40.049999999999997" customHeight="1" x14ac:dyDescent="0.25">
      <c r="A7043" s="11" t="s">
        <v>14772</v>
      </c>
      <c r="B7043" s="11" t="s">
        <v>14772</v>
      </c>
      <c r="C7043" s="11" t="s">
        <v>80</v>
      </c>
      <c r="D7043" s="11" t="s">
        <v>18</v>
      </c>
      <c r="E7043" s="12" t="s">
        <v>3009</v>
      </c>
      <c r="F7043" s="12" t="s">
        <v>3010</v>
      </c>
      <c r="G7043" s="12" t="s">
        <v>46</v>
      </c>
      <c r="H7043" s="11" t="s">
        <v>63</v>
      </c>
      <c r="I7043" s="13" t="s">
        <v>14774</v>
      </c>
      <c r="J7043" s="14" t="str">
        <f>HYPERLINK("https://www.boe.es/gazeta/dias/1839/04/20/pdfs/GMD-1839-1617.pdf#page=3","Abrir facsímil")</f>
        <v>Abrir facsímil</v>
      </c>
      <c r="K7043" s="12" t="s">
        <v>65</v>
      </c>
    </row>
    <row r="7044" spans="1:11" ht="40.049999999999997" customHeight="1" x14ac:dyDescent="0.25">
      <c r="A7044" s="11" t="s">
        <v>14775</v>
      </c>
      <c r="B7044" s="11" t="s">
        <v>14776</v>
      </c>
      <c r="C7044" s="11" t="s">
        <v>80</v>
      </c>
      <c r="D7044" s="11" t="s">
        <v>18</v>
      </c>
      <c r="E7044" s="12" t="s">
        <v>303</v>
      </c>
      <c r="F7044" s="12" t="s">
        <v>304</v>
      </c>
      <c r="G7044" s="12" t="s">
        <v>305</v>
      </c>
      <c r="H7044" s="11" t="s">
        <v>63</v>
      </c>
      <c r="I7044" s="13" t="s">
        <v>14777</v>
      </c>
      <c r="J7044" s="14" t="str">
        <f>HYPERLINK("https://www.boe.es/gazeta/dias/1839/10/06/pdfs/GMD-1839-1792.pdf#page=6","Abrir facsímil")</f>
        <v>Abrir facsímil</v>
      </c>
      <c r="K7044" s="12" t="s">
        <v>65</v>
      </c>
    </row>
    <row r="7045" spans="1:11" ht="40.049999999999997" customHeight="1" x14ac:dyDescent="0.25">
      <c r="A7045" s="11" t="s">
        <v>14775</v>
      </c>
      <c r="B7045" s="11" t="s">
        <v>14776</v>
      </c>
      <c r="C7045" s="11" t="s">
        <v>17</v>
      </c>
      <c r="D7045" s="11" t="s">
        <v>18</v>
      </c>
      <c r="E7045" s="12" t="s">
        <v>230</v>
      </c>
      <c r="F7045" s="12" t="s">
        <v>231</v>
      </c>
      <c r="G7045" s="12" t="s">
        <v>21</v>
      </c>
      <c r="H7045" s="11" t="s">
        <v>63</v>
      </c>
      <c r="I7045" s="13" t="s">
        <v>14778</v>
      </c>
      <c r="J7045" s="14" t="str">
        <f>HYPERLINK("https://www.boe.es/gazeta/dias/1839/09/16/pdfs/GMD-1839-1769.pdf#page=4","Abrir facsímil")</f>
        <v>Abrir facsímil</v>
      </c>
      <c r="K7045" s="12" t="s">
        <v>65</v>
      </c>
    </row>
    <row r="7046" spans="1:11" ht="40.049999999999997" customHeight="1" x14ac:dyDescent="0.25">
      <c r="A7046" s="11" t="s">
        <v>14779</v>
      </c>
      <c r="B7046" s="11" t="s">
        <v>14779</v>
      </c>
      <c r="C7046" s="11" t="s">
        <v>80</v>
      </c>
      <c r="D7046" s="11" t="s">
        <v>173</v>
      </c>
      <c r="E7046" s="12" t="s">
        <v>303</v>
      </c>
      <c r="F7046" s="12" t="s">
        <v>304</v>
      </c>
      <c r="G7046" s="12" t="s">
        <v>305</v>
      </c>
      <c r="H7046" s="11" t="s">
        <v>22</v>
      </c>
      <c r="I7046" s="13" t="s">
        <v>14780</v>
      </c>
      <c r="J7046" s="14" t="str">
        <f>HYPERLINK("https://www.boe.es/gazeta/dias/1839/10/06/pdfs/GMD-1839-1792.pdf#page=6","Abrir facsímil")</f>
        <v>Abrir facsímil</v>
      </c>
      <c r="K7046" s="12" t="s">
        <v>24</v>
      </c>
    </row>
    <row r="7047" spans="1:11" ht="40.049999999999997" customHeight="1" x14ac:dyDescent="0.25">
      <c r="A7047" s="11" t="s">
        <v>14781</v>
      </c>
      <c r="B7047" s="11" t="s">
        <v>14781</v>
      </c>
      <c r="C7047" s="11" t="s">
        <v>59</v>
      </c>
      <c r="D7047" s="11" t="s">
        <v>60</v>
      </c>
      <c r="E7047" s="12" t="s">
        <v>246</v>
      </c>
      <c r="F7047" s="12" t="s">
        <v>247</v>
      </c>
      <c r="G7047" s="12" t="s">
        <v>21</v>
      </c>
      <c r="H7047" s="11" t="s">
        <v>63</v>
      </c>
      <c r="I7047" s="13" t="s">
        <v>14782</v>
      </c>
      <c r="J7047" s="14" t="str">
        <f>HYPERLINK("https://www.boe.es/gazeta/dias/1839/11/24/pdfs/GMD-1839-1841.pdf#page=4","Abrir facsímil")</f>
        <v>Abrir facsímil</v>
      </c>
      <c r="K7047" s="12" t="s">
        <v>65</v>
      </c>
    </row>
    <row r="7048" spans="1:11" ht="40.049999999999997" customHeight="1" x14ac:dyDescent="0.25">
      <c r="A7048" s="11" t="s">
        <v>14783</v>
      </c>
      <c r="B7048" s="11" t="s">
        <v>14783</v>
      </c>
      <c r="C7048" s="11" t="s">
        <v>17</v>
      </c>
      <c r="D7048" s="11" t="s">
        <v>18</v>
      </c>
      <c r="E7048" s="12" t="s">
        <v>1512</v>
      </c>
      <c r="F7048" s="12" t="s">
        <v>1513</v>
      </c>
      <c r="G7048" s="12" t="s">
        <v>46</v>
      </c>
      <c r="H7048" s="11" t="s">
        <v>63</v>
      </c>
      <c r="I7048" s="13" t="s">
        <v>14784</v>
      </c>
      <c r="J7048" s="14" t="str">
        <f>HYPERLINK("https://www.boe.es/gazeta/dias/1839/04/13/pdfs/GMD-1839-1610.pdf#page=3","Abrir facsímil")</f>
        <v>Abrir facsímil</v>
      </c>
      <c r="K7048" s="12" t="s">
        <v>65</v>
      </c>
    </row>
    <row r="7049" spans="1:11" ht="40.049999999999997" customHeight="1" x14ac:dyDescent="0.25">
      <c r="A7049" s="11" t="s">
        <v>14785</v>
      </c>
      <c r="B7049" s="11" t="s">
        <v>14785</v>
      </c>
      <c r="C7049" s="11" t="s">
        <v>59</v>
      </c>
      <c r="D7049" s="11" t="s">
        <v>60</v>
      </c>
      <c r="E7049" s="12" t="s">
        <v>1008</v>
      </c>
      <c r="F7049" s="12" t="s">
        <v>1009</v>
      </c>
      <c r="G7049" s="12" t="s">
        <v>29</v>
      </c>
      <c r="H7049" s="11" t="s">
        <v>63</v>
      </c>
      <c r="I7049" s="13" t="s">
        <v>14786</v>
      </c>
      <c r="J7049" s="14" t="str">
        <f>HYPERLINK("https://www.boe.es/gazeta/dias/1839/09/07/pdfs/GMD-1839-1760.pdf#page=1","Abrir facsímil")</f>
        <v>Abrir facsímil</v>
      </c>
      <c r="K7049" s="12" t="s">
        <v>65</v>
      </c>
    </row>
    <row r="7050" spans="1:11" ht="40.049999999999997" customHeight="1" x14ac:dyDescent="0.25">
      <c r="A7050" s="11" t="s">
        <v>14785</v>
      </c>
      <c r="B7050" s="11" t="s">
        <v>14785</v>
      </c>
      <c r="C7050" s="11" t="s">
        <v>17</v>
      </c>
      <c r="D7050" s="11" t="s">
        <v>18</v>
      </c>
      <c r="E7050" s="12" t="s">
        <v>2449</v>
      </c>
      <c r="F7050" s="12" t="s">
        <v>2450</v>
      </c>
      <c r="G7050" s="12" t="s">
        <v>40</v>
      </c>
      <c r="H7050" s="11" t="s">
        <v>63</v>
      </c>
      <c r="I7050" s="13" t="s">
        <v>14787</v>
      </c>
      <c r="J7050" s="14" t="str">
        <f>HYPERLINK("https://www.boe.es/gazeta/dias/1839/12/11/pdfs/GMD-1839-1858.pdf#page=2","Abrir facsímil")</f>
        <v>Abrir facsímil</v>
      </c>
      <c r="K7050" s="12" t="s">
        <v>65</v>
      </c>
    </row>
    <row r="7051" spans="1:11" ht="40.049999999999997" customHeight="1" x14ac:dyDescent="0.25">
      <c r="A7051" s="11" t="s">
        <v>14785</v>
      </c>
      <c r="B7051" s="11" t="s">
        <v>14785</v>
      </c>
      <c r="C7051" s="11" t="s">
        <v>17</v>
      </c>
      <c r="D7051" s="11" t="s">
        <v>18</v>
      </c>
      <c r="E7051" s="12" t="s">
        <v>601</v>
      </c>
      <c r="F7051" s="12" t="s">
        <v>602</v>
      </c>
      <c r="G7051" s="12" t="s">
        <v>29</v>
      </c>
      <c r="H7051" s="11" t="s">
        <v>63</v>
      </c>
      <c r="I7051" s="13" t="s">
        <v>14788</v>
      </c>
      <c r="J7051" s="14" t="str">
        <f>HYPERLINK("https://www.boe.es/gazeta/dias/1839/04/21/pdfs/GMD-1839-1618.pdf#page=1","Abrir facsímil")</f>
        <v>Abrir facsímil</v>
      </c>
      <c r="K7051" s="12" t="s">
        <v>65</v>
      </c>
    </row>
    <row r="7052" spans="1:11" ht="40.049999999999997" customHeight="1" x14ac:dyDescent="0.25">
      <c r="A7052" s="11" t="s">
        <v>14789</v>
      </c>
      <c r="B7052" s="11" t="s">
        <v>14789</v>
      </c>
      <c r="C7052" s="11" t="s">
        <v>17</v>
      </c>
      <c r="D7052" s="11" t="s">
        <v>18</v>
      </c>
      <c r="E7052" s="12" t="s">
        <v>1336</v>
      </c>
      <c r="F7052" s="12" t="s">
        <v>1337</v>
      </c>
      <c r="G7052" s="12" t="s">
        <v>40</v>
      </c>
      <c r="H7052" s="11" t="s">
        <v>63</v>
      </c>
      <c r="I7052" s="13" t="s">
        <v>14790</v>
      </c>
      <c r="J7052" s="14" t="str">
        <f>HYPERLINK("https://www.boe.es/gazeta/dias/1839/02/26/pdfs/GMD-1839-1564.pdf#page=2","Abrir facsímil")</f>
        <v>Abrir facsímil</v>
      </c>
      <c r="K7052" s="12" t="s">
        <v>65</v>
      </c>
    </row>
    <row r="7053" spans="1:11" ht="40.049999999999997" customHeight="1" x14ac:dyDescent="0.25">
      <c r="A7053" s="11" t="s">
        <v>14791</v>
      </c>
      <c r="B7053" s="11" t="s">
        <v>14792</v>
      </c>
      <c r="C7053" s="11" t="s">
        <v>137</v>
      </c>
      <c r="D7053" s="11" t="s">
        <v>18</v>
      </c>
      <c r="E7053" s="12" t="s">
        <v>1813</v>
      </c>
      <c r="F7053" s="12" t="s">
        <v>1814</v>
      </c>
      <c r="G7053" s="12" t="s">
        <v>21</v>
      </c>
      <c r="H7053" s="11" t="s">
        <v>63</v>
      </c>
      <c r="I7053" s="13" t="s">
        <v>14793</v>
      </c>
      <c r="J7053" s="14" t="str">
        <f>HYPERLINK("https://www.boe.es/gazeta/dias/1839/09/02/pdfs/GMD-1839-1754.pdf#page=4","Abrir facsímil")</f>
        <v>Abrir facsímil</v>
      </c>
      <c r="K7053" s="12" t="s">
        <v>65</v>
      </c>
    </row>
    <row r="7054" spans="1:11" ht="40.049999999999997" customHeight="1" x14ac:dyDescent="0.25">
      <c r="A7054" s="11" t="s">
        <v>14794</v>
      </c>
      <c r="B7054" s="11" t="s">
        <v>14795</v>
      </c>
      <c r="C7054" s="11" t="s">
        <v>17</v>
      </c>
      <c r="D7054" s="11" t="s">
        <v>18</v>
      </c>
      <c r="E7054" s="12" t="s">
        <v>474</v>
      </c>
      <c r="F7054" s="12" t="s">
        <v>475</v>
      </c>
      <c r="G7054" s="12" t="s">
        <v>21</v>
      </c>
      <c r="H7054" s="11" t="s">
        <v>63</v>
      </c>
      <c r="I7054" s="13" t="s">
        <v>14796</v>
      </c>
      <c r="J7054" s="14" t="str">
        <f>HYPERLINK("https://www.boe.es/gazeta/dias/1839/03/31/pdfs/GMD-1839-1597.pdf#page=4","Abrir facsímil")</f>
        <v>Abrir facsímil</v>
      </c>
      <c r="K7054" s="12" t="s">
        <v>65</v>
      </c>
    </row>
    <row r="7055" spans="1:11" ht="40.049999999999997" customHeight="1" x14ac:dyDescent="0.25">
      <c r="A7055" s="11" t="s">
        <v>14797</v>
      </c>
      <c r="B7055" s="11" t="s">
        <v>14797</v>
      </c>
      <c r="C7055" s="11" t="s">
        <v>80</v>
      </c>
      <c r="D7055" s="11" t="s">
        <v>18</v>
      </c>
      <c r="E7055" s="12" t="s">
        <v>1696</v>
      </c>
      <c r="F7055" s="12" t="s">
        <v>1697</v>
      </c>
      <c r="G7055" s="12" t="s">
        <v>29</v>
      </c>
      <c r="H7055" s="11" t="s">
        <v>63</v>
      </c>
      <c r="I7055" s="13" t="s">
        <v>14798</v>
      </c>
      <c r="J7055" s="14" t="str">
        <f>HYPERLINK("https://www.boe.es/gazeta/dias/1839/08/31/pdfs/GMD-1839-1752.pdf#page=1","Abrir facsímil")</f>
        <v>Abrir facsímil</v>
      </c>
      <c r="K7055" s="12" t="s">
        <v>65</v>
      </c>
    </row>
    <row r="7056" spans="1:11" ht="40.049999999999997" customHeight="1" x14ac:dyDescent="0.25">
      <c r="A7056" s="11" t="s">
        <v>14799</v>
      </c>
      <c r="B7056" s="11" t="s">
        <v>14799</v>
      </c>
      <c r="C7056" s="11" t="s">
        <v>137</v>
      </c>
      <c r="D7056" s="11" t="s">
        <v>18</v>
      </c>
      <c r="E7056" s="12" t="s">
        <v>4787</v>
      </c>
      <c r="F7056" s="12" t="s">
        <v>4788</v>
      </c>
      <c r="G7056" s="12" t="s">
        <v>29</v>
      </c>
      <c r="H7056" s="11" t="s">
        <v>63</v>
      </c>
      <c r="I7056" s="13" t="s">
        <v>14800</v>
      </c>
      <c r="J7056" s="14" t="str">
        <f>HYPERLINK("https://www.boe.es/gazeta/dias/1839/05/26/pdfs/GMD-1839-1653.pdf#page=1","Abrir facsímil")</f>
        <v>Abrir facsímil</v>
      </c>
      <c r="K7056" s="12" t="s">
        <v>65</v>
      </c>
    </row>
    <row r="7057" spans="1:11" ht="40.049999999999997" customHeight="1" x14ac:dyDescent="0.25">
      <c r="A7057" s="11" t="s">
        <v>14801</v>
      </c>
      <c r="B7057" s="11" t="s">
        <v>14801</v>
      </c>
      <c r="C7057" s="11" t="s">
        <v>17</v>
      </c>
      <c r="D7057" s="11" t="s">
        <v>18</v>
      </c>
      <c r="E7057" s="12" t="s">
        <v>677</v>
      </c>
      <c r="F7057" s="12" t="s">
        <v>678</v>
      </c>
      <c r="G7057" s="12" t="s">
        <v>40</v>
      </c>
      <c r="H7057" s="11" t="s">
        <v>63</v>
      </c>
      <c r="I7057" s="13" t="s">
        <v>14802</v>
      </c>
      <c r="J7057" s="14" t="str">
        <f>HYPERLINK("https://www.boe.es/gazeta/dias/1839/04/28/pdfs/GMD-1839-1625.pdf#page=2","Abrir facsímil")</f>
        <v>Abrir facsímil</v>
      </c>
      <c r="K7057" s="12" t="s">
        <v>65</v>
      </c>
    </row>
    <row r="7058" spans="1:11" ht="40.049999999999997" customHeight="1" x14ac:dyDescent="0.25">
      <c r="A7058" s="11" t="s">
        <v>14803</v>
      </c>
      <c r="B7058" s="11" t="s">
        <v>14803</v>
      </c>
      <c r="C7058" s="11" t="s">
        <v>137</v>
      </c>
      <c r="D7058" s="11" t="s">
        <v>18</v>
      </c>
      <c r="E7058" s="12" t="s">
        <v>433</v>
      </c>
      <c r="F7058" s="12" t="s">
        <v>434</v>
      </c>
      <c r="G7058" s="12" t="s">
        <v>40</v>
      </c>
      <c r="H7058" s="11" t="s">
        <v>22</v>
      </c>
      <c r="I7058" s="13" t="s">
        <v>14804</v>
      </c>
      <c r="J7058" s="14" t="str">
        <f>HYPERLINK("https://www.boe.es/gazeta/dias/1839/01/20/pdfs/GMD-1839-1527.pdf#page=2","Abrir facsímil")</f>
        <v>Abrir facsímil</v>
      </c>
      <c r="K7058" s="12" t="s">
        <v>24</v>
      </c>
    </row>
    <row r="7059" spans="1:11" ht="40.049999999999997" customHeight="1" x14ac:dyDescent="0.25">
      <c r="A7059" s="11" t="s">
        <v>14805</v>
      </c>
      <c r="B7059" s="11" t="s">
        <v>14806</v>
      </c>
      <c r="C7059" s="11" t="s">
        <v>137</v>
      </c>
      <c r="D7059" s="11" t="s">
        <v>18</v>
      </c>
      <c r="E7059" s="12" t="s">
        <v>433</v>
      </c>
      <c r="F7059" s="12" t="s">
        <v>434</v>
      </c>
      <c r="G7059" s="12" t="s">
        <v>40</v>
      </c>
      <c r="H7059" s="11" t="s">
        <v>63</v>
      </c>
      <c r="I7059" s="13" t="s">
        <v>14807</v>
      </c>
      <c r="J7059" s="14" t="str">
        <f>HYPERLINK("https://www.boe.es/gazeta/dias/1839/01/20/pdfs/GMD-1839-1527.pdf#page=2","Abrir facsímil")</f>
        <v>Abrir facsímil</v>
      </c>
      <c r="K7059" s="12" t="s">
        <v>65</v>
      </c>
    </row>
    <row r="7060" spans="1:11" ht="40.049999999999997" customHeight="1" x14ac:dyDescent="0.25">
      <c r="A7060" s="11" t="s">
        <v>14808</v>
      </c>
      <c r="B7060" s="11" t="s">
        <v>14809</v>
      </c>
      <c r="C7060" s="11" t="s">
        <v>17</v>
      </c>
      <c r="D7060" s="11" t="s">
        <v>18</v>
      </c>
      <c r="E7060" s="12" t="s">
        <v>258</v>
      </c>
      <c r="F7060" s="12" t="s">
        <v>259</v>
      </c>
      <c r="G7060" s="12" t="s">
        <v>40</v>
      </c>
      <c r="H7060" s="11" t="s">
        <v>63</v>
      </c>
      <c r="I7060" s="13" t="s">
        <v>14810</v>
      </c>
      <c r="J7060" s="14" t="str">
        <f>HYPERLINK("https://www.boe.es/gazeta/dias/1839/01/02/pdfs/GMD-1839-1509.pdf#page=2","Abrir facsímil")</f>
        <v>Abrir facsímil</v>
      </c>
      <c r="K7060" s="12" t="s">
        <v>65</v>
      </c>
    </row>
    <row r="7061" spans="1:11" ht="40.049999999999997" customHeight="1" x14ac:dyDescent="0.25">
      <c r="A7061" s="11" t="s">
        <v>14811</v>
      </c>
      <c r="B7061" s="11" t="s">
        <v>14811</v>
      </c>
      <c r="C7061" s="11" t="s">
        <v>80</v>
      </c>
      <c r="D7061" s="11" t="s">
        <v>18</v>
      </c>
      <c r="E7061" s="12" t="s">
        <v>1696</v>
      </c>
      <c r="F7061" s="12" t="s">
        <v>1697</v>
      </c>
      <c r="G7061" s="12" t="s">
        <v>29</v>
      </c>
      <c r="H7061" s="11" t="s">
        <v>63</v>
      </c>
      <c r="I7061" s="13" t="s">
        <v>14812</v>
      </c>
      <c r="J7061" s="14" t="str">
        <f>HYPERLINK("https://www.boe.es/gazeta/dias/1839/08/31/pdfs/GMD-1839-1752.pdf#page=1","Abrir facsímil")</f>
        <v>Abrir facsímil</v>
      </c>
      <c r="K7061" s="12" t="s">
        <v>65</v>
      </c>
    </row>
    <row r="7062" spans="1:11" ht="40.049999999999997" customHeight="1" x14ac:dyDescent="0.25">
      <c r="A7062" s="11" t="s">
        <v>14813</v>
      </c>
      <c r="B7062" s="11" t="s">
        <v>14814</v>
      </c>
      <c r="C7062" s="11" t="s">
        <v>17</v>
      </c>
      <c r="D7062" s="11" t="s">
        <v>18</v>
      </c>
      <c r="E7062" s="12" t="s">
        <v>1794</v>
      </c>
      <c r="F7062" s="12" t="s">
        <v>1795</v>
      </c>
      <c r="G7062" s="12" t="s">
        <v>40</v>
      </c>
      <c r="H7062" s="11" t="s">
        <v>63</v>
      </c>
      <c r="I7062" s="13" t="s">
        <v>14815</v>
      </c>
      <c r="J7062" s="14" t="str">
        <f>HYPERLINK("https://www.boe.es/gazeta/dias/1839/02/22/pdfs/GMD-1839-1560.pdf#page=2","Abrir facsímil")</f>
        <v>Abrir facsímil</v>
      </c>
      <c r="K7062" s="12" t="s">
        <v>65</v>
      </c>
    </row>
    <row r="7063" spans="1:11" ht="40.049999999999997" customHeight="1" x14ac:dyDescent="0.25">
      <c r="A7063" s="11" t="s">
        <v>14816</v>
      </c>
      <c r="B7063" s="11" t="s">
        <v>14816</v>
      </c>
      <c r="C7063" s="11" t="s">
        <v>17</v>
      </c>
      <c r="D7063" s="11" t="s">
        <v>18</v>
      </c>
      <c r="E7063" s="12" t="s">
        <v>785</v>
      </c>
      <c r="F7063" s="12" t="s">
        <v>786</v>
      </c>
      <c r="G7063" s="12" t="s">
        <v>29</v>
      </c>
      <c r="H7063" s="11" t="s">
        <v>63</v>
      </c>
      <c r="I7063" s="13" t="s">
        <v>14817</v>
      </c>
      <c r="J7063" s="14" t="str">
        <f>HYPERLINK("https://www.boe.es/gazeta/dias/1839/07/13/pdfs/GMD-1839-1701.pdf#page=1","Abrir facsímil")</f>
        <v>Abrir facsímil</v>
      </c>
      <c r="K7063" s="12" t="s">
        <v>65</v>
      </c>
    </row>
    <row r="7064" spans="1:11" ht="40.049999999999997" customHeight="1" x14ac:dyDescent="0.25">
      <c r="A7064" s="11" t="s">
        <v>14818</v>
      </c>
      <c r="B7064" s="11" t="s">
        <v>14818</v>
      </c>
      <c r="C7064" s="11" t="s">
        <v>59</v>
      </c>
      <c r="D7064" s="11" t="s">
        <v>60</v>
      </c>
      <c r="E7064" s="12" t="s">
        <v>1895</v>
      </c>
      <c r="F7064" s="12" t="s">
        <v>1896</v>
      </c>
      <c r="G7064" s="12" t="s">
        <v>29</v>
      </c>
      <c r="H7064" s="11" t="s">
        <v>63</v>
      </c>
      <c r="I7064" s="13" t="s">
        <v>14819</v>
      </c>
      <c r="J7064" s="14" t="str">
        <f>HYPERLINK("https://www.boe.es/gazeta/dias/1839/12/23/pdfs/GMD-1839-1870.pdf#page=1","Abrir facsímil")</f>
        <v>Abrir facsímil</v>
      </c>
      <c r="K7064" s="12" t="s">
        <v>65</v>
      </c>
    </row>
    <row r="7065" spans="1:11" ht="40.049999999999997" customHeight="1" x14ac:dyDescent="0.25">
      <c r="A7065" s="11" t="s">
        <v>14820</v>
      </c>
      <c r="B7065" s="11" t="s">
        <v>14820</v>
      </c>
      <c r="C7065" s="11" t="s">
        <v>80</v>
      </c>
      <c r="D7065" s="11" t="s">
        <v>18</v>
      </c>
      <c r="E7065" s="12" t="s">
        <v>1159</v>
      </c>
      <c r="F7065" s="12" t="s">
        <v>1160</v>
      </c>
      <c r="G7065" s="12" t="s">
        <v>21</v>
      </c>
      <c r="H7065" s="11" t="s">
        <v>63</v>
      </c>
      <c r="I7065" s="13" t="s">
        <v>14821</v>
      </c>
      <c r="J7065" s="14" t="str">
        <f>HYPERLINK("https://www.boe.es/gazeta/dias/1839/11/26/pdfs/GMD-1839-1843.pdf#page=4","Abrir facsímil")</f>
        <v>Abrir facsímil</v>
      </c>
      <c r="K7065" s="12" t="s">
        <v>65</v>
      </c>
    </row>
    <row r="7066" spans="1:11" ht="40.049999999999997" customHeight="1" x14ac:dyDescent="0.25">
      <c r="A7066" s="11" t="s">
        <v>14822</v>
      </c>
      <c r="B7066" s="11" t="s">
        <v>14823</v>
      </c>
      <c r="C7066" s="11" t="s">
        <v>17</v>
      </c>
      <c r="D7066" s="11" t="s">
        <v>18</v>
      </c>
      <c r="E7066" s="12" t="s">
        <v>4451</v>
      </c>
      <c r="F7066" s="12" t="s">
        <v>4452</v>
      </c>
      <c r="G7066" s="12" t="s">
        <v>29</v>
      </c>
      <c r="H7066" s="11" t="s">
        <v>63</v>
      </c>
      <c r="I7066" s="13" t="s">
        <v>14824</v>
      </c>
      <c r="J7066" s="14" t="str">
        <f>HYPERLINK("https://www.boe.es/gazeta/dias/1839/12/02/pdfs/GMD-1839-1849.pdf#page=1","Abrir facsímil")</f>
        <v>Abrir facsímil</v>
      </c>
      <c r="K7066" s="12" t="s">
        <v>65</v>
      </c>
    </row>
    <row r="7067" spans="1:11" ht="40.049999999999997" customHeight="1" x14ac:dyDescent="0.25">
      <c r="A7067" s="11" t="s">
        <v>14825</v>
      </c>
      <c r="B7067" s="11" t="s">
        <v>14826</v>
      </c>
      <c r="C7067" s="11" t="s">
        <v>137</v>
      </c>
      <c r="D7067" s="11" t="s">
        <v>18</v>
      </c>
      <c r="E7067" s="12" t="s">
        <v>716</v>
      </c>
      <c r="F7067" s="12" t="s">
        <v>717</v>
      </c>
      <c r="G7067" s="12" t="s">
        <v>46</v>
      </c>
      <c r="H7067" s="11" t="s">
        <v>63</v>
      </c>
      <c r="I7067" s="13" t="s">
        <v>14827</v>
      </c>
      <c r="J7067" s="14" t="str">
        <f>HYPERLINK("https://www.boe.es/gazeta/dias/1839/07/30/pdfs/GMD-1839-1719.pdf#page=3","Abrir facsímil")</f>
        <v>Abrir facsímil</v>
      </c>
      <c r="K7067" s="12" t="s">
        <v>65</v>
      </c>
    </row>
    <row r="7068" spans="1:11" ht="40.049999999999997" customHeight="1" x14ac:dyDescent="0.25">
      <c r="A7068" s="11" t="s">
        <v>14828</v>
      </c>
      <c r="B7068" s="11" t="s">
        <v>14829</v>
      </c>
      <c r="C7068" s="11" t="s">
        <v>17</v>
      </c>
      <c r="D7068" s="11" t="s">
        <v>18</v>
      </c>
      <c r="E7068" s="12" t="s">
        <v>54</v>
      </c>
      <c r="F7068" s="12" t="s">
        <v>55</v>
      </c>
      <c r="G7068" s="12" t="s">
        <v>46</v>
      </c>
      <c r="H7068" s="11" t="s">
        <v>63</v>
      </c>
      <c r="I7068" s="13" t="s">
        <v>14830</v>
      </c>
      <c r="J7068" s="14" t="str">
        <f>HYPERLINK("https://www.boe.es/gazeta/dias/1839/10/05/pdfs/GMD-1839-1791.pdf#page=3","Abrir facsímil")</f>
        <v>Abrir facsímil</v>
      </c>
      <c r="K7068" s="12" t="s">
        <v>65</v>
      </c>
    </row>
    <row r="7069" spans="1:11" ht="40.049999999999997" customHeight="1" x14ac:dyDescent="0.25">
      <c r="A7069" s="11" t="s">
        <v>14831</v>
      </c>
      <c r="B7069" s="11" t="s">
        <v>14831</v>
      </c>
      <c r="C7069" s="11" t="s">
        <v>17</v>
      </c>
      <c r="D7069" s="11" t="s">
        <v>18</v>
      </c>
      <c r="E7069" s="12" t="s">
        <v>700</v>
      </c>
      <c r="F7069" s="12" t="s">
        <v>701</v>
      </c>
      <c r="G7069" s="12" t="s">
        <v>40</v>
      </c>
      <c r="H7069" s="11" t="s">
        <v>63</v>
      </c>
      <c r="I7069" s="13" t="s">
        <v>14832</v>
      </c>
      <c r="J7069" s="14" t="str">
        <f>HYPERLINK("https://www.boe.es/gazeta/dias/1839/09/01/pdfs/GMD-1839-1753.pdf#page=2","Abrir facsímil")</f>
        <v>Abrir facsímil</v>
      </c>
      <c r="K7069" s="12" t="s">
        <v>65</v>
      </c>
    </row>
    <row r="7070" spans="1:11" ht="40.049999999999997" customHeight="1" x14ac:dyDescent="0.25">
      <c r="A7070" s="11" t="s">
        <v>14831</v>
      </c>
      <c r="B7070" s="11" t="s">
        <v>14831</v>
      </c>
      <c r="C7070" s="11" t="s">
        <v>17</v>
      </c>
      <c r="D7070" s="11" t="s">
        <v>18</v>
      </c>
      <c r="E7070" s="12" t="s">
        <v>132</v>
      </c>
      <c r="F7070" s="12" t="s">
        <v>133</v>
      </c>
      <c r="G7070" s="12" t="s">
        <v>46</v>
      </c>
      <c r="H7070" s="11" t="s">
        <v>63</v>
      </c>
      <c r="I7070" s="13" t="s">
        <v>14833</v>
      </c>
      <c r="J7070" s="14" t="str">
        <f>HYPERLINK("https://www.boe.es/gazeta/dias/1839/08/02/pdfs/GMD-1839-1722.pdf#page=3","Abrir facsímil")</f>
        <v>Abrir facsímil</v>
      </c>
      <c r="K7070" s="12" t="s">
        <v>65</v>
      </c>
    </row>
    <row r="7071" spans="1:11" ht="40.049999999999997" customHeight="1" x14ac:dyDescent="0.25">
      <c r="A7071" s="11" t="s">
        <v>14831</v>
      </c>
      <c r="B7071" s="11" t="s">
        <v>14831</v>
      </c>
      <c r="C7071" s="11" t="s">
        <v>17</v>
      </c>
      <c r="D7071" s="11" t="s">
        <v>18</v>
      </c>
      <c r="E7071" s="12" t="s">
        <v>202</v>
      </c>
      <c r="F7071" s="12" t="s">
        <v>203</v>
      </c>
      <c r="G7071" s="12" t="s">
        <v>46</v>
      </c>
      <c r="H7071" s="11" t="s">
        <v>63</v>
      </c>
      <c r="I7071" s="13" t="s">
        <v>14834</v>
      </c>
      <c r="J7071" s="14" t="str">
        <f>HYPERLINK("https://www.boe.es/gazeta/dias/1839/04/05/pdfs/GMD-1839-1602.pdf#page=3","Abrir facsímil")</f>
        <v>Abrir facsímil</v>
      </c>
      <c r="K7071" s="12" t="s">
        <v>65</v>
      </c>
    </row>
    <row r="7072" spans="1:11" ht="40.049999999999997" customHeight="1" x14ac:dyDescent="0.25">
      <c r="A7072" s="11" t="s">
        <v>14831</v>
      </c>
      <c r="B7072" s="11" t="s">
        <v>14831</v>
      </c>
      <c r="C7072" s="11" t="s">
        <v>17</v>
      </c>
      <c r="D7072" s="11" t="s">
        <v>18</v>
      </c>
      <c r="E7072" s="12" t="s">
        <v>1509</v>
      </c>
      <c r="F7072" s="12" t="s">
        <v>1510</v>
      </c>
      <c r="G7072" s="12" t="s">
        <v>305</v>
      </c>
      <c r="H7072" s="11" t="s">
        <v>63</v>
      </c>
      <c r="I7072" s="13" t="s">
        <v>14835</v>
      </c>
      <c r="J7072" s="14" t="str">
        <f>HYPERLINK("https://www.boe.es/gazeta/dias/1839/10/07/pdfs/GMD-1839-1793.pdf#page=6","Abrir facsímil")</f>
        <v>Abrir facsímil</v>
      </c>
      <c r="K7072" s="12" t="s">
        <v>65</v>
      </c>
    </row>
    <row r="7073" spans="1:11" ht="40.049999999999997" customHeight="1" x14ac:dyDescent="0.25">
      <c r="A7073" s="11" t="s">
        <v>14831</v>
      </c>
      <c r="B7073" s="11" t="s">
        <v>14831</v>
      </c>
      <c r="C7073" s="11" t="s">
        <v>59</v>
      </c>
      <c r="D7073" s="11" t="s">
        <v>60</v>
      </c>
      <c r="E7073" s="12" t="s">
        <v>713</v>
      </c>
      <c r="F7073" s="12" t="s">
        <v>714</v>
      </c>
      <c r="G7073" s="12" t="s">
        <v>21</v>
      </c>
      <c r="H7073" s="11" t="s">
        <v>63</v>
      </c>
      <c r="I7073" s="13" t="s">
        <v>14836</v>
      </c>
      <c r="J7073" s="14" t="str">
        <f>HYPERLINK("https://www.boe.es/gazeta/dias/1839/12/18/pdfs/GMD-1839-1865.pdf#page=4","Abrir facsímil")</f>
        <v>Abrir facsímil</v>
      </c>
      <c r="K7073" s="12" t="s">
        <v>65</v>
      </c>
    </row>
    <row r="7074" spans="1:11" ht="40.049999999999997" customHeight="1" x14ac:dyDescent="0.25">
      <c r="A7074" s="11" t="s">
        <v>14831</v>
      </c>
      <c r="B7074" s="11" t="s">
        <v>14831</v>
      </c>
      <c r="C7074" s="11" t="s">
        <v>17</v>
      </c>
      <c r="D7074" s="11" t="s">
        <v>18</v>
      </c>
      <c r="E7074" s="12" t="s">
        <v>2658</v>
      </c>
      <c r="F7074" s="12" t="s">
        <v>2659</v>
      </c>
      <c r="G7074" s="12" t="s">
        <v>46</v>
      </c>
      <c r="H7074" s="11" t="s">
        <v>63</v>
      </c>
      <c r="I7074" s="13" t="s">
        <v>14837</v>
      </c>
      <c r="J7074" s="14" t="str">
        <f>HYPERLINK("https://www.boe.es/gazeta/dias/1839/06/27/pdfs/GMD-1839-1685.pdf#page=3","Abrir facsímil")</f>
        <v>Abrir facsímil</v>
      </c>
      <c r="K7074" s="12" t="s">
        <v>65</v>
      </c>
    </row>
    <row r="7075" spans="1:11" ht="40.049999999999997" customHeight="1" x14ac:dyDescent="0.25">
      <c r="A7075" s="11" t="s">
        <v>14838</v>
      </c>
      <c r="B7075" s="11" t="s">
        <v>14838</v>
      </c>
      <c r="C7075" s="11" t="s">
        <v>17</v>
      </c>
      <c r="D7075" s="11" t="s">
        <v>18</v>
      </c>
      <c r="E7075" s="12" t="s">
        <v>1891</v>
      </c>
      <c r="F7075" s="12" t="s">
        <v>1892</v>
      </c>
      <c r="G7075" s="12" t="s">
        <v>21</v>
      </c>
      <c r="H7075" s="11" t="s">
        <v>63</v>
      </c>
      <c r="I7075" s="13" t="s">
        <v>14839</v>
      </c>
      <c r="J7075" s="14" t="str">
        <f>HYPERLINK("https://www.boe.es/gazeta/dias/1839/12/14/pdfs/GMD-1839-1861.pdf#page=4","Abrir facsímil")</f>
        <v>Abrir facsímil</v>
      </c>
      <c r="K7075" s="12" t="s">
        <v>65</v>
      </c>
    </row>
    <row r="7076" spans="1:11" ht="40.049999999999997" customHeight="1" x14ac:dyDescent="0.25">
      <c r="A7076" s="11" t="s">
        <v>14838</v>
      </c>
      <c r="B7076" s="11" t="s">
        <v>14838</v>
      </c>
      <c r="C7076" s="11" t="s">
        <v>137</v>
      </c>
      <c r="D7076" s="11" t="s">
        <v>18</v>
      </c>
      <c r="E7076" s="12" t="s">
        <v>1528</v>
      </c>
      <c r="F7076" s="12" t="s">
        <v>1529</v>
      </c>
      <c r="G7076" s="12" t="s">
        <v>21</v>
      </c>
      <c r="H7076" s="11" t="s">
        <v>63</v>
      </c>
      <c r="I7076" s="13" t="s">
        <v>14840</v>
      </c>
      <c r="J7076" s="14" t="str">
        <f>HYPERLINK("https://www.boe.es/gazeta/dias/1839/12/15/pdfs/GMD-1839-1862.pdf#page=4","Abrir facsímil")</f>
        <v>Abrir facsímil</v>
      </c>
      <c r="K7076" s="12" t="s">
        <v>65</v>
      </c>
    </row>
    <row r="7077" spans="1:11" ht="40.049999999999997" customHeight="1" x14ac:dyDescent="0.25">
      <c r="A7077" s="11" t="s">
        <v>14838</v>
      </c>
      <c r="B7077" s="11" t="s">
        <v>14838</v>
      </c>
      <c r="C7077" s="11" t="s">
        <v>17</v>
      </c>
      <c r="D7077" s="11" t="s">
        <v>18</v>
      </c>
      <c r="E7077" s="12" t="s">
        <v>1537</v>
      </c>
      <c r="F7077" s="12" t="s">
        <v>1538</v>
      </c>
      <c r="G7077" s="12" t="s">
        <v>21</v>
      </c>
      <c r="H7077" s="11" t="s">
        <v>63</v>
      </c>
      <c r="I7077" s="13" t="s">
        <v>14841</v>
      </c>
      <c r="J7077" s="14" t="str">
        <f>HYPERLINK("https://www.boe.es/gazeta/dias/1839/12/16/pdfs/GMD-1839-1863.pdf#page=4","Abrir facsímil")</f>
        <v>Abrir facsímil</v>
      </c>
      <c r="K7077" s="12" t="s">
        <v>65</v>
      </c>
    </row>
    <row r="7078" spans="1:11" ht="40.049999999999997" customHeight="1" x14ac:dyDescent="0.25">
      <c r="A7078" s="11" t="s">
        <v>14842</v>
      </c>
      <c r="B7078" s="11" t="s">
        <v>14843</v>
      </c>
      <c r="C7078" s="11" t="s">
        <v>17</v>
      </c>
      <c r="D7078" s="11" t="s">
        <v>18</v>
      </c>
      <c r="E7078" s="12" t="s">
        <v>181</v>
      </c>
      <c r="F7078" s="12" t="s">
        <v>182</v>
      </c>
      <c r="G7078" s="12" t="s">
        <v>29</v>
      </c>
      <c r="H7078" s="11" t="s">
        <v>63</v>
      </c>
      <c r="I7078" s="13" t="s">
        <v>14844</v>
      </c>
      <c r="J7078" s="14" t="str">
        <f>HYPERLINK("https://www.boe.es/gazeta/dias/1839/01/11/pdfs/GMD-1839-1518.pdf#page=1","Abrir facsímil")</f>
        <v>Abrir facsímil</v>
      </c>
      <c r="K7078" s="12" t="s">
        <v>65</v>
      </c>
    </row>
    <row r="7079" spans="1:11" ht="40.049999999999997" customHeight="1" x14ac:dyDescent="0.25">
      <c r="A7079" s="11" t="s">
        <v>14845</v>
      </c>
      <c r="B7079" s="11" t="s">
        <v>14846</v>
      </c>
      <c r="C7079" s="11" t="s">
        <v>17</v>
      </c>
      <c r="D7079" s="11" t="s">
        <v>18</v>
      </c>
      <c r="E7079" s="12" t="s">
        <v>258</v>
      </c>
      <c r="F7079" s="12" t="s">
        <v>259</v>
      </c>
      <c r="G7079" s="12" t="s">
        <v>46</v>
      </c>
      <c r="H7079" s="11" t="s">
        <v>22</v>
      </c>
      <c r="I7079" s="13" t="s">
        <v>14847</v>
      </c>
      <c r="J7079" s="14" t="str">
        <f>HYPERLINK("https://www.boe.es/gazeta/dias/1839/01/02/pdfs/GMD-1839-1509.pdf#page=3","Abrir facsímil")</f>
        <v>Abrir facsímil</v>
      </c>
      <c r="K7079" s="12" t="s">
        <v>24</v>
      </c>
    </row>
    <row r="7080" spans="1:11" ht="40.049999999999997" customHeight="1" x14ac:dyDescent="0.25">
      <c r="A7080" s="11" t="s">
        <v>14848</v>
      </c>
      <c r="B7080" s="11" t="s">
        <v>14849</v>
      </c>
      <c r="C7080" s="11" t="s">
        <v>80</v>
      </c>
      <c r="D7080" s="11" t="s">
        <v>18</v>
      </c>
      <c r="E7080" s="12" t="s">
        <v>138</v>
      </c>
      <c r="F7080" s="12" t="s">
        <v>139</v>
      </c>
      <c r="G7080" s="12" t="s">
        <v>21</v>
      </c>
      <c r="H7080" s="11" t="s">
        <v>63</v>
      </c>
      <c r="I7080" s="13" t="s">
        <v>14850</v>
      </c>
      <c r="J7080" s="14" t="str">
        <f>HYPERLINK("https://www.boe.es/gazeta/dias/1839/10/09/pdfs/GMD-1839-1795.pdf#page=4","Abrir facsímil")</f>
        <v>Abrir facsímil</v>
      </c>
      <c r="K7080" s="12" t="s">
        <v>65</v>
      </c>
    </row>
    <row r="7081" spans="1:11" ht="40.049999999999997" customHeight="1" x14ac:dyDescent="0.25">
      <c r="A7081" s="11" t="s">
        <v>14851</v>
      </c>
      <c r="B7081" s="11" t="s">
        <v>14851</v>
      </c>
      <c r="C7081" s="11" t="s">
        <v>80</v>
      </c>
      <c r="D7081" s="11" t="s">
        <v>18</v>
      </c>
      <c r="E7081" s="12" t="s">
        <v>2881</v>
      </c>
      <c r="F7081" s="12" t="s">
        <v>2882</v>
      </c>
      <c r="G7081" s="12" t="s">
        <v>21</v>
      </c>
      <c r="H7081" s="11" t="s">
        <v>63</v>
      </c>
      <c r="I7081" s="13" t="s">
        <v>14852</v>
      </c>
      <c r="J7081" s="14" t="str">
        <f>HYPERLINK("https://www.boe.es/gazeta/dias/1839/05/08/pdfs/GMD-1839-1635.pdf#page=4","Abrir facsímil")</f>
        <v>Abrir facsímil</v>
      </c>
      <c r="K7081" s="12" t="s">
        <v>65</v>
      </c>
    </row>
    <row r="7082" spans="1:11" ht="40.049999999999997" customHeight="1" x14ac:dyDescent="0.25">
      <c r="A7082" s="11" t="s">
        <v>14853</v>
      </c>
      <c r="B7082" s="11" t="s">
        <v>14853</v>
      </c>
      <c r="C7082" s="11" t="s">
        <v>101</v>
      </c>
      <c r="D7082" s="11" t="s">
        <v>43</v>
      </c>
      <c r="E7082" s="12" t="s">
        <v>571</v>
      </c>
      <c r="F7082" s="12" t="s">
        <v>572</v>
      </c>
      <c r="G7082" s="12" t="s">
        <v>21</v>
      </c>
      <c r="H7082" s="11" t="s">
        <v>22</v>
      </c>
      <c r="I7082" s="13" t="s">
        <v>14854</v>
      </c>
      <c r="J7082" s="14" t="str">
        <f>HYPERLINK("https://www.boe.es/gazeta/dias/1839/09/27/pdfs/GMD-1839-1783.pdf#page=4","Abrir facsímil")</f>
        <v>Abrir facsímil</v>
      </c>
      <c r="K7082" s="12" t="s">
        <v>24</v>
      </c>
    </row>
    <row r="7083" spans="1:11" ht="40.049999999999997" customHeight="1" x14ac:dyDescent="0.25">
      <c r="A7083" s="11" t="s">
        <v>14855</v>
      </c>
      <c r="B7083" s="11" t="s">
        <v>14855</v>
      </c>
      <c r="C7083" s="11" t="s">
        <v>137</v>
      </c>
      <c r="D7083" s="11" t="s">
        <v>18</v>
      </c>
      <c r="E7083" s="12" t="s">
        <v>516</v>
      </c>
      <c r="F7083" s="12" t="s">
        <v>517</v>
      </c>
      <c r="G7083" s="12" t="s">
        <v>21</v>
      </c>
      <c r="H7083" s="11" t="s">
        <v>63</v>
      </c>
      <c r="I7083" s="13" t="s">
        <v>14856</v>
      </c>
      <c r="J7083" s="14" t="str">
        <f>HYPERLINK("https://www.boe.es/gazeta/dias/1839/06/21/pdfs/GMD-1839-1679.pdf#page=4","Abrir facsímil")</f>
        <v>Abrir facsímil</v>
      </c>
      <c r="K7083" s="12" t="s">
        <v>65</v>
      </c>
    </row>
    <row r="7084" spans="1:11" ht="40.049999999999997" customHeight="1" x14ac:dyDescent="0.25">
      <c r="A7084" s="11" t="s">
        <v>14857</v>
      </c>
      <c r="B7084" s="11" t="s">
        <v>14857</v>
      </c>
      <c r="C7084" s="11" t="s">
        <v>17</v>
      </c>
      <c r="D7084" s="11" t="s">
        <v>18</v>
      </c>
      <c r="E7084" s="12" t="s">
        <v>700</v>
      </c>
      <c r="F7084" s="12" t="s">
        <v>701</v>
      </c>
      <c r="G7084" s="12" t="s">
        <v>40</v>
      </c>
      <c r="H7084" s="11" t="s">
        <v>63</v>
      </c>
      <c r="I7084" s="13" t="s">
        <v>14858</v>
      </c>
      <c r="J7084" s="14" t="str">
        <f>HYPERLINK("https://www.boe.es/gazeta/dias/1839/09/01/pdfs/GMD-1839-1753.pdf#page=2","Abrir facsímil")</f>
        <v>Abrir facsímil</v>
      </c>
      <c r="K7084" s="12" t="s">
        <v>65</v>
      </c>
    </row>
    <row r="7085" spans="1:11" ht="40.049999999999997" customHeight="1" x14ac:dyDescent="0.25">
      <c r="A7085" s="11" t="s">
        <v>14857</v>
      </c>
      <c r="B7085" s="11" t="s">
        <v>14857</v>
      </c>
      <c r="C7085" s="11" t="s">
        <v>17</v>
      </c>
      <c r="D7085" s="11" t="s">
        <v>18</v>
      </c>
      <c r="E7085" s="12" t="s">
        <v>369</v>
      </c>
      <c r="F7085" s="12" t="s">
        <v>370</v>
      </c>
      <c r="G7085" s="12" t="s">
        <v>46</v>
      </c>
      <c r="H7085" s="11" t="s">
        <v>63</v>
      </c>
      <c r="I7085" s="13" t="s">
        <v>14859</v>
      </c>
      <c r="J7085" s="14" t="str">
        <f>HYPERLINK("https://www.boe.es/gazeta/dias/1839/11/01/pdfs/GMD-1839-1818.pdf#page=3","Abrir facsímil")</f>
        <v>Abrir facsímil</v>
      </c>
      <c r="K7085" s="12" t="s">
        <v>65</v>
      </c>
    </row>
    <row r="7086" spans="1:11" ht="40.049999999999997" customHeight="1" x14ac:dyDescent="0.25">
      <c r="A7086" s="11" t="s">
        <v>14857</v>
      </c>
      <c r="B7086" s="11" t="s">
        <v>14857</v>
      </c>
      <c r="C7086" s="11" t="s">
        <v>17</v>
      </c>
      <c r="D7086" s="11" t="s">
        <v>18</v>
      </c>
      <c r="E7086" s="12" t="s">
        <v>1509</v>
      </c>
      <c r="F7086" s="12" t="s">
        <v>1510</v>
      </c>
      <c r="G7086" s="12" t="s">
        <v>305</v>
      </c>
      <c r="H7086" s="11" t="s">
        <v>63</v>
      </c>
      <c r="I7086" s="13" t="s">
        <v>14860</v>
      </c>
      <c r="J7086" s="14" t="str">
        <f>HYPERLINK("https://www.boe.es/gazeta/dias/1839/10/07/pdfs/GMD-1839-1793.pdf#page=6","Abrir facsímil")</f>
        <v>Abrir facsímil</v>
      </c>
      <c r="K7086" s="12" t="s">
        <v>65</v>
      </c>
    </row>
    <row r="7087" spans="1:11" ht="40.049999999999997" customHeight="1" x14ac:dyDescent="0.25">
      <c r="A7087" s="11" t="s">
        <v>14857</v>
      </c>
      <c r="B7087" s="11" t="s">
        <v>14857</v>
      </c>
      <c r="C7087" s="11" t="s">
        <v>80</v>
      </c>
      <c r="D7087" s="11" t="s">
        <v>18</v>
      </c>
      <c r="E7087" s="12" t="s">
        <v>192</v>
      </c>
      <c r="F7087" s="12" t="s">
        <v>193</v>
      </c>
      <c r="G7087" s="12" t="s">
        <v>40</v>
      </c>
      <c r="H7087" s="11" t="s">
        <v>63</v>
      </c>
      <c r="I7087" s="13" t="s">
        <v>14861</v>
      </c>
      <c r="J7087" s="14" t="str">
        <f>HYPERLINK("https://www.boe.es/gazeta/dias/1839/01/12/pdfs/GMD-1839-1519.pdf#page=2","Abrir facsímil")</f>
        <v>Abrir facsímil</v>
      </c>
      <c r="K7087" s="12" t="s">
        <v>65</v>
      </c>
    </row>
    <row r="7088" spans="1:11" ht="40.049999999999997" customHeight="1" x14ac:dyDescent="0.25">
      <c r="A7088" s="11" t="s">
        <v>14857</v>
      </c>
      <c r="B7088" s="11" t="s">
        <v>14857</v>
      </c>
      <c r="C7088" s="11" t="s">
        <v>17</v>
      </c>
      <c r="D7088" s="11" t="s">
        <v>18</v>
      </c>
      <c r="E7088" s="12" t="s">
        <v>3633</v>
      </c>
      <c r="F7088" s="12" t="s">
        <v>3634</v>
      </c>
      <c r="G7088" s="12" t="s">
        <v>40</v>
      </c>
      <c r="H7088" s="11" t="s">
        <v>63</v>
      </c>
      <c r="I7088" s="13" t="s">
        <v>14862</v>
      </c>
      <c r="J7088" s="14" t="str">
        <f>HYPERLINK("https://www.boe.es/gazeta/dias/1839/04/12/pdfs/GMD-1839-1609.pdf#page=2","Abrir facsímil")</f>
        <v>Abrir facsímil</v>
      </c>
      <c r="K7088" s="12" t="s">
        <v>65</v>
      </c>
    </row>
    <row r="7089" spans="1:11" ht="40.049999999999997" customHeight="1" x14ac:dyDescent="0.25">
      <c r="A7089" s="11" t="s">
        <v>14857</v>
      </c>
      <c r="B7089" s="11" t="s">
        <v>14857</v>
      </c>
      <c r="C7089" s="11" t="s">
        <v>17</v>
      </c>
      <c r="D7089" s="11" t="s">
        <v>18</v>
      </c>
      <c r="E7089" s="12" t="s">
        <v>1414</v>
      </c>
      <c r="F7089" s="12" t="s">
        <v>1415</v>
      </c>
      <c r="G7089" s="12" t="s">
        <v>21</v>
      </c>
      <c r="H7089" s="11" t="s">
        <v>63</v>
      </c>
      <c r="I7089" s="13" t="s">
        <v>14863</v>
      </c>
      <c r="J7089" s="14" t="str">
        <f>HYPERLINK("https://www.boe.es/gazeta/dias/1839/06/12/pdfs/GMD-1839-1670.pdf#page=4","Abrir facsímil")</f>
        <v>Abrir facsímil</v>
      </c>
      <c r="K7089" s="12" t="s">
        <v>65</v>
      </c>
    </row>
    <row r="7090" spans="1:11" ht="40.049999999999997" customHeight="1" x14ac:dyDescent="0.25">
      <c r="A7090" s="11" t="s">
        <v>14857</v>
      </c>
      <c r="B7090" s="11" t="s">
        <v>14857</v>
      </c>
      <c r="C7090" s="11" t="s">
        <v>59</v>
      </c>
      <c r="D7090" s="11" t="s">
        <v>60</v>
      </c>
      <c r="E7090" s="12" t="s">
        <v>574</v>
      </c>
      <c r="F7090" s="12" t="s">
        <v>575</v>
      </c>
      <c r="G7090" s="12" t="s">
        <v>29</v>
      </c>
      <c r="H7090" s="11" t="s">
        <v>63</v>
      </c>
      <c r="I7090" s="13" t="s">
        <v>14864</v>
      </c>
      <c r="J7090" s="14" t="str">
        <f>HYPERLINK("https://www.boe.es/gazeta/dias/1839/09/28/pdfs/GMD-1839-1784.pdf#page=1","Abrir facsímil")</f>
        <v>Abrir facsímil</v>
      </c>
      <c r="K7090" s="12" t="s">
        <v>65</v>
      </c>
    </row>
    <row r="7091" spans="1:11" ht="40.049999999999997" customHeight="1" x14ac:dyDescent="0.25">
      <c r="A7091" s="11" t="s">
        <v>14857</v>
      </c>
      <c r="B7091" s="11" t="s">
        <v>14857</v>
      </c>
      <c r="C7091" s="11" t="s">
        <v>137</v>
      </c>
      <c r="D7091" s="11" t="s">
        <v>18</v>
      </c>
      <c r="E7091" s="12" t="s">
        <v>489</v>
      </c>
      <c r="F7091" s="12" t="s">
        <v>490</v>
      </c>
      <c r="G7091" s="12" t="s">
        <v>21</v>
      </c>
      <c r="H7091" s="11" t="s">
        <v>63</v>
      </c>
      <c r="I7091" s="13" t="s">
        <v>14865</v>
      </c>
      <c r="J7091" s="14" t="str">
        <f>HYPERLINK("https://www.boe.es/gazeta/dias/1839/06/29/pdfs/GMD-1839-1687.pdf#page=4","Abrir facsímil")</f>
        <v>Abrir facsímil</v>
      </c>
      <c r="K7091" s="12" t="s">
        <v>65</v>
      </c>
    </row>
    <row r="7092" spans="1:11" ht="40.049999999999997" customHeight="1" x14ac:dyDescent="0.25">
      <c r="A7092" s="11" t="s">
        <v>14857</v>
      </c>
      <c r="B7092" s="11" t="s">
        <v>14857</v>
      </c>
      <c r="C7092" s="11" t="s">
        <v>17</v>
      </c>
      <c r="D7092" s="11" t="s">
        <v>18</v>
      </c>
      <c r="E7092" s="12" t="s">
        <v>308</v>
      </c>
      <c r="F7092" s="12" t="s">
        <v>309</v>
      </c>
      <c r="G7092" s="12" t="s">
        <v>29</v>
      </c>
      <c r="H7092" s="11" t="s">
        <v>63</v>
      </c>
      <c r="I7092" s="13" t="s">
        <v>14866</v>
      </c>
      <c r="J7092" s="14" t="str">
        <f>HYPERLINK("https://www.boe.es/gazeta/dias/1839/07/29/pdfs/GMD-1839-1718.pdf#page=1","Abrir facsímil")</f>
        <v>Abrir facsímil</v>
      </c>
      <c r="K7092" s="12" t="s">
        <v>65</v>
      </c>
    </row>
    <row r="7093" spans="1:11" ht="40.049999999999997" customHeight="1" x14ac:dyDescent="0.25">
      <c r="A7093" s="11" t="s">
        <v>14857</v>
      </c>
      <c r="B7093" s="11" t="s">
        <v>14857</v>
      </c>
      <c r="C7093" s="11" t="s">
        <v>17</v>
      </c>
      <c r="D7093" s="11" t="s">
        <v>43</v>
      </c>
      <c r="E7093" s="12" t="s">
        <v>1523</v>
      </c>
      <c r="F7093" s="12" t="s">
        <v>1524</v>
      </c>
      <c r="G7093" s="12" t="s">
        <v>21</v>
      </c>
      <c r="H7093" s="11" t="s">
        <v>63</v>
      </c>
      <c r="I7093" s="13" t="s">
        <v>14867</v>
      </c>
      <c r="J7093" s="14" t="str">
        <f>HYPERLINK("https://www.boe.es/gazeta/dias/1839/08/29/pdfs/GMD-1839-1750.pdf#page=4","Abrir facsímil")</f>
        <v>Abrir facsímil</v>
      </c>
      <c r="K7093" s="12" t="s">
        <v>65</v>
      </c>
    </row>
    <row r="7094" spans="1:11" ht="40.049999999999997" customHeight="1" x14ac:dyDescent="0.25">
      <c r="A7094" s="11" t="s">
        <v>14868</v>
      </c>
      <c r="B7094" s="11" t="s">
        <v>14869</v>
      </c>
      <c r="C7094" s="11" t="s">
        <v>17</v>
      </c>
      <c r="D7094" s="11" t="s">
        <v>43</v>
      </c>
      <c r="E7094" s="12" t="s">
        <v>1446</v>
      </c>
      <c r="F7094" s="12" t="s">
        <v>1447</v>
      </c>
      <c r="G7094" s="12" t="s">
        <v>21</v>
      </c>
      <c r="H7094" s="11" t="s">
        <v>22</v>
      </c>
      <c r="I7094" s="13" t="s">
        <v>14870</v>
      </c>
      <c r="J7094" s="14" t="str">
        <f>HYPERLINK("https://www.boe.es/gazeta/dias/1839/08/25/pdfs/GMD-1839-1746.pdf#page=4","Abrir facsímil")</f>
        <v>Abrir facsímil</v>
      </c>
      <c r="K7094" s="12" t="s">
        <v>24</v>
      </c>
    </row>
    <row r="7095" spans="1:11" ht="40.049999999999997" customHeight="1" x14ac:dyDescent="0.25">
      <c r="A7095" s="11" t="s">
        <v>14871</v>
      </c>
      <c r="B7095" s="11" t="s">
        <v>14871</v>
      </c>
      <c r="C7095" s="11" t="s">
        <v>101</v>
      </c>
      <c r="D7095" s="11" t="s">
        <v>43</v>
      </c>
      <c r="E7095" s="12" t="s">
        <v>197</v>
      </c>
      <c r="F7095" s="12" t="s">
        <v>198</v>
      </c>
      <c r="G7095" s="12" t="s">
        <v>40</v>
      </c>
      <c r="H7095" s="11" t="s">
        <v>63</v>
      </c>
      <c r="I7095" s="13" t="s">
        <v>14872</v>
      </c>
      <c r="J7095" s="14" t="str">
        <f>HYPERLINK("https://www.boe.es/gazeta/dias/1839/10/04/pdfs/GMD-1839-1790.pdf#page=2","Abrir facsímil")</f>
        <v>Abrir facsímil</v>
      </c>
      <c r="K7095" s="12" t="s">
        <v>65</v>
      </c>
    </row>
    <row r="7096" spans="1:11" ht="40.049999999999997" customHeight="1" x14ac:dyDescent="0.25">
      <c r="A7096" s="11" t="s">
        <v>14873</v>
      </c>
      <c r="B7096" s="11" t="s">
        <v>14873</v>
      </c>
      <c r="C7096" s="11" t="s">
        <v>17</v>
      </c>
      <c r="D7096" s="11" t="s">
        <v>18</v>
      </c>
      <c r="E7096" s="12" t="s">
        <v>54</v>
      </c>
      <c r="F7096" s="12" t="s">
        <v>55</v>
      </c>
      <c r="G7096" s="12" t="s">
        <v>46</v>
      </c>
      <c r="H7096" s="11" t="s">
        <v>22</v>
      </c>
      <c r="I7096" s="13" t="s">
        <v>14874</v>
      </c>
      <c r="J7096" s="14" t="str">
        <f>HYPERLINK("https://www.boe.es/gazeta/dias/1839/10/05/pdfs/GMD-1839-1791.pdf#page=3","Abrir facsímil")</f>
        <v>Abrir facsímil</v>
      </c>
      <c r="K7096" s="12" t="s">
        <v>24</v>
      </c>
    </row>
    <row r="7097" spans="1:11" ht="40.049999999999997" customHeight="1" x14ac:dyDescent="0.25">
      <c r="A7097" s="11" t="s">
        <v>14871</v>
      </c>
      <c r="B7097" s="11" t="s">
        <v>14871</v>
      </c>
      <c r="C7097" s="11" t="s">
        <v>17</v>
      </c>
      <c r="D7097" s="11" t="s">
        <v>18</v>
      </c>
      <c r="E7097" s="12" t="s">
        <v>561</v>
      </c>
      <c r="F7097" s="12" t="s">
        <v>562</v>
      </c>
      <c r="G7097" s="12" t="s">
        <v>46</v>
      </c>
      <c r="H7097" s="11" t="s">
        <v>63</v>
      </c>
      <c r="I7097" s="13" t="s">
        <v>14875</v>
      </c>
      <c r="J7097" s="14" t="str">
        <f>HYPERLINK("https://www.boe.es/gazeta/dias/1839/09/11/pdfs/GMD-1839-1764.pdf#page=3","Abrir facsímil")</f>
        <v>Abrir facsímil</v>
      </c>
      <c r="K7097" s="12" t="s">
        <v>65</v>
      </c>
    </row>
    <row r="7098" spans="1:11" ht="40.049999999999997" customHeight="1" x14ac:dyDescent="0.25">
      <c r="A7098" s="11" t="s">
        <v>14871</v>
      </c>
      <c r="B7098" s="11" t="s">
        <v>14871</v>
      </c>
      <c r="C7098" s="11" t="s">
        <v>80</v>
      </c>
      <c r="D7098" s="11" t="s">
        <v>18</v>
      </c>
      <c r="E7098" s="12" t="s">
        <v>561</v>
      </c>
      <c r="F7098" s="12" t="s">
        <v>562</v>
      </c>
      <c r="G7098" s="12" t="s">
        <v>21</v>
      </c>
      <c r="H7098" s="11" t="s">
        <v>63</v>
      </c>
      <c r="I7098" s="13" t="s">
        <v>14876</v>
      </c>
      <c r="J7098" s="14" t="str">
        <f>HYPERLINK("https://www.boe.es/gazeta/dias/1839/09/11/pdfs/GMD-1839-1764.pdf#page=4","Abrir facsímil")</f>
        <v>Abrir facsímil</v>
      </c>
      <c r="K7098" s="12" t="s">
        <v>65</v>
      </c>
    </row>
    <row r="7099" spans="1:11" ht="40.049999999999997" customHeight="1" x14ac:dyDescent="0.25">
      <c r="A7099" s="11" t="s">
        <v>14871</v>
      </c>
      <c r="B7099" s="11" t="s">
        <v>14871</v>
      </c>
      <c r="C7099" s="11" t="s">
        <v>17</v>
      </c>
      <c r="D7099" s="11" t="s">
        <v>18</v>
      </c>
      <c r="E7099" s="12" t="s">
        <v>254</v>
      </c>
      <c r="F7099" s="12" t="s">
        <v>255</v>
      </c>
      <c r="G7099" s="12" t="s">
        <v>40</v>
      </c>
      <c r="H7099" s="11" t="s">
        <v>63</v>
      </c>
      <c r="I7099" s="13" t="s">
        <v>14877</v>
      </c>
      <c r="J7099" s="14" t="str">
        <f>HYPERLINK("https://www.boe.es/gazeta/dias/1839/09/12/pdfs/GMD-1839-1765.pdf#page=2","Abrir facsímil")</f>
        <v>Abrir facsímil</v>
      </c>
      <c r="K7099" s="12" t="s">
        <v>65</v>
      </c>
    </row>
    <row r="7100" spans="1:11" ht="40.049999999999997" customHeight="1" x14ac:dyDescent="0.25">
      <c r="A7100" s="11" t="s">
        <v>14871</v>
      </c>
      <c r="B7100" s="11" t="s">
        <v>14871</v>
      </c>
      <c r="C7100" s="11" t="s">
        <v>17</v>
      </c>
      <c r="D7100" s="11" t="s">
        <v>18</v>
      </c>
      <c r="E7100" s="12" t="s">
        <v>2650</v>
      </c>
      <c r="F7100" s="12" t="s">
        <v>2651</v>
      </c>
      <c r="G7100" s="12" t="s">
        <v>40</v>
      </c>
      <c r="H7100" s="11" t="s">
        <v>63</v>
      </c>
      <c r="I7100" s="13" t="s">
        <v>14878</v>
      </c>
      <c r="J7100" s="14" t="str">
        <f>HYPERLINK("https://www.boe.es/gazeta/dias/1839/09/15/pdfs/GMD-1839-1768.pdf#page=2","Abrir facsímil")</f>
        <v>Abrir facsímil</v>
      </c>
      <c r="K7100" s="12" t="s">
        <v>65</v>
      </c>
    </row>
    <row r="7101" spans="1:11" ht="40.049999999999997" customHeight="1" x14ac:dyDescent="0.25">
      <c r="A7101" s="11" t="s">
        <v>14873</v>
      </c>
      <c r="B7101" s="11" t="s">
        <v>14873</v>
      </c>
      <c r="C7101" s="11" t="s">
        <v>137</v>
      </c>
      <c r="D7101" s="11" t="s">
        <v>18</v>
      </c>
      <c r="E7101" s="12" t="s">
        <v>1086</v>
      </c>
      <c r="F7101" s="12" t="s">
        <v>1087</v>
      </c>
      <c r="G7101" s="12" t="s">
        <v>21</v>
      </c>
      <c r="H7101" s="11" t="s">
        <v>22</v>
      </c>
      <c r="I7101" s="13" t="s">
        <v>14879</v>
      </c>
      <c r="J7101" s="14" t="str">
        <f>HYPERLINK("https://www.boe.es/gazeta/dias/1839/10/26/pdfs/GMD-1839-1812.pdf#page=4","Abrir facsímil")</f>
        <v>Abrir facsímil</v>
      </c>
      <c r="K7101" s="12" t="s">
        <v>24</v>
      </c>
    </row>
    <row r="7102" spans="1:11" ht="40.049999999999997" customHeight="1" x14ac:dyDescent="0.25">
      <c r="A7102" s="11" t="s">
        <v>14871</v>
      </c>
      <c r="B7102" s="11" t="s">
        <v>14871</v>
      </c>
      <c r="C7102" s="11" t="s">
        <v>101</v>
      </c>
      <c r="D7102" s="11" t="s">
        <v>43</v>
      </c>
      <c r="E7102" s="12" t="s">
        <v>571</v>
      </c>
      <c r="F7102" s="12" t="s">
        <v>572</v>
      </c>
      <c r="G7102" s="12" t="s">
        <v>46</v>
      </c>
      <c r="H7102" s="11" t="s">
        <v>63</v>
      </c>
      <c r="I7102" s="13" t="s">
        <v>14880</v>
      </c>
      <c r="J7102" s="14" t="str">
        <f>HYPERLINK("https://www.boe.es/gazeta/dias/1839/09/27/pdfs/GMD-1839-1783.pdf#page=3","Abrir facsímil")</f>
        <v>Abrir facsímil</v>
      </c>
      <c r="K7102" s="12" t="s">
        <v>65</v>
      </c>
    </row>
    <row r="7103" spans="1:11" ht="40.049999999999997" customHeight="1" x14ac:dyDescent="0.25">
      <c r="A7103" s="11" t="s">
        <v>14871</v>
      </c>
      <c r="B7103" s="11" t="s">
        <v>14871</v>
      </c>
      <c r="C7103" s="11" t="s">
        <v>137</v>
      </c>
      <c r="D7103" s="11" t="s">
        <v>18</v>
      </c>
      <c r="E7103" s="12" t="s">
        <v>571</v>
      </c>
      <c r="F7103" s="12" t="s">
        <v>572</v>
      </c>
      <c r="G7103" s="12" t="s">
        <v>21</v>
      </c>
      <c r="H7103" s="11" t="s">
        <v>63</v>
      </c>
      <c r="I7103" s="13" t="s">
        <v>14881</v>
      </c>
      <c r="J7103" s="14" t="str">
        <f>HYPERLINK("https://www.boe.es/gazeta/dias/1839/09/27/pdfs/GMD-1839-1783.pdf#page=4","Abrir facsímil")</f>
        <v>Abrir facsímil</v>
      </c>
      <c r="K7103" s="12" t="s">
        <v>65</v>
      </c>
    </row>
    <row r="7104" spans="1:11" ht="40.049999999999997" customHeight="1" x14ac:dyDescent="0.25">
      <c r="A7104" s="11" t="s">
        <v>14882</v>
      </c>
      <c r="B7104" s="11" t="s">
        <v>14883</v>
      </c>
      <c r="C7104" s="11" t="s">
        <v>80</v>
      </c>
      <c r="D7104" s="11" t="s">
        <v>18</v>
      </c>
      <c r="E7104" s="12" t="s">
        <v>2301</v>
      </c>
      <c r="F7104" s="12" t="s">
        <v>2302</v>
      </c>
      <c r="G7104" s="12" t="s">
        <v>46</v>
      </c>
      <c r="H7104" s="11" t="s">
        <v>63</v>
      </c>
      <c r="I7104" s="13" t="s">
        <v>14884</v>
      </c>
      <c r="J7104" s="14" t="str">
        <f>HYPERLINK("https://www.boe.es/gazeta/dias/1839/09/08/pdfs/GMD-1839-1761.pdf#page=3","Abrir facsímil")</f>
        <v>Abrir facsímil</v>
      </c>
      <c r="K7104" s="12" t="s">
        <v>65</v>
      </c>
    </row>
    <row r="7105" spans="1:11" ht="40.049999999999997" customHeight="1" x14ac:dyDescent="0.25">
      <c r="A7105" s="11" t="s">
        <v>14885</v>
      </c>
      <c r="B7105" s="11" t="s">
        <v>14886</v>
      </c>
      <c r="C7105" s="11" t="s">
        <v>17</v>
      </c>
      <c r="D7105" s="11" t="s">
        <v>18</v>
      </c>
      <c r="E7105" s="12" t="s">
        <v>54</v>
      </c>
      <c r="F7105" s="12" t="s">
        <v>55</v>
      </c>
      <c r="G7105" s="12" t="s">
        <v>46</v>
      </c>
      <c r="H7105" s="11" t="s">
        <v>63</v>
      </c>
      <c r="I7105" s="13" t="s">
        <v>14887</v>
      </c>
      <c r="J7105" s="14" t="str">
        <f>HYPERLINK("https://www.boe.es/gazeta/dias/1839/10/05/pdfs/GMD-1839-1791.pdf#page=3","Abrir facsímil")</f>
        <v>Abrir facsímil</v>
      </c>
      <c r="K7105" s="12" t="s">
        <v>65</v>
      </c>
    </row>
    <row r="7106" spans="1:11" ht="40.049999999999997" customHeight="1" x14ac:dyDescent="0.25">
      <c r="A7106" s="11" t="s">
        <v>14888</v>
      </c>
      <c r="B7106" s="11" t="s">
        <v>14889</v>
      </c>
      <c r="C7106" s="11" t="s">
        <v>80</v>
      </c>
      <c r="D7106" s="11" t="s">
        <v>18</v>
      </c>
      <c r="E7106" s="12" t="s">
        <v>561</v>
      </c>
      <c r="F7106" s="12" t="s">
        <v>562</v>
      </c>
      <c r="G7106" s="12" t="s">
        <v>21</v>
      </c>
      <c r="H7106" s="11" t="s">
        <v>63</v>
      </c>
      <c r="I7106" s="13" t="s">
        <v>14890</v>
      </c>
      <c r="J7106" s="14" t="str">
        <f>HYPERLINK("https://www.boe.es/gazeta/dias/1839/09/11/pdfs/GMD-1839-1764.pdf#page=4","Abrir facsímil")</f>
        <v>Abrir facsímil</v>
      </c>
      <c r="K7106" s="12" t="s">
        <v>65</v>
      </c>
    </row>
    <row r="7107" spans="1:11" ht="40.049999999999997" customHeight="1" x14ac:dyDescent="0.25">
      <c r="A7107" s="11" t="s">
        <v>14888</v>
      </c>
      <c r="B7107" s="11" t="s">
        <v>14889</v>
      </c>
      <c r="C7107" s="11" t="s">
        <v>17</v>
      </c>
      <c r="D7107" s="11" t="s">
        <v>18</v>
      </c>
      <c r="E7107" s="12" t="s">
        <v>254</v>
      </c>
      <c r="F7107" s="12" t="s">
        <v>255</v>
      </c>
      <c r="G7107" s="12" t="s">
        <v>40</v>
      </c>
      <c r="H7107" s="11" t="s">
        <v>63</v>
      </c>
      <c r="I7107" s="13" t="s">
        <v>14891</v>
      </c>
      <c r="J7107" s="14" t="str">
        <f>HYPERLINK("https://www.boe.es/gazeta/dias/1839/09/12/pdfs/GMD-1839-1765.pdf#page=2","Abrir facsímil")</f>
        <v>Abrir facsímil</v>
      </c>
      <c r="K7107" s="12" t="s">
        <v>65</v>
      </c>
    </row>
    <row r="7108" spans="1:11" ht="40.049999999999997" customHeight="1" x14ac:dyDescent="0.25">
      <c r="A7108" s="11" t="s">
        <v>14892</v>
      </c>
      <c r="B7108" s="11" t="s">
        <v>14892</v>
      </c>
      <c r="C7108" s="11" t="s">
        <v>17</v>
      </c>
      <c r="D7108" s="11" t="s">
        <v>18</v>
      </c>
      <c r="E7108" s="12" t="s">
        <v>254</v>
      </c>
      <c r="F7108" s="12" t="s">
        <v>255</v>
      </c>
      <c r="G7108" s="12" t="s">
        <v>40</v>
      </c>
      <c r="H7108" s="11" t="s">
        <v>63</v>
      </c>
      <c r="I7108" s="13" t="s">
        <v>14893</v>
      </c>
      <c r="J7108" s="14" t="str">
        <f>HYPERLINK("https://www.boe.es/gazeta/dias/1839/09/12/pdfs/GMD-1839-1765.pdf#page=2","Abrir facsímil")</f>
        <v>Abrir facsímil</v>
      </c>
      <c r="K7108" s="12" t="s">
        <v>65</v>
      </c>
    </row>
    <row r="7109" spans="1:11" ht="40.049999999999997" customHeight="1" x14ac:dyDescent="0.25">
      <c r="A7109" s="11" t="s">
        <v>14894</v>
      </c>
      <c r="B7109" s="11" t="s">
        <v>14895</v>
      </c>
      <c r="C7109" s="11" t="s">
        <v>17</v>
      </c>
      <c r="D7109" s="11" t="s">
        <v>18</v>
      </c>
      <c r="E7109" s="12" t="s">
        <v>254</v>
      </c>
      <c r="F7109" s="12" t="s">
        <v>255</v>
      </c>
      <c r="G7109" s="12" t="s">
        <v>40</v>
      </c>
      <c r="H7109" s="11" t="s">
        <v>63</v>
      </c>
      <c r="I7109" s="13" t="s">
        <v>14896</v>
      </c>
      <c r="J7109" s="14" t="str">
        <f>HYPERLINK("https://www.boe.es/gazeta/dias/1839/09/12/pdfs/GMD-1839-1765.pdf#page=2","Abrir facsímil")</f>
        <v>Abrir facsímil</v>
      </c>
      <c r="K7109" s="12" t="s">
        <v>65</v>
      </c>
    </row>
    <row r="7110" spans="1:11" ht="40.049999999999997" customHeight="1" x14ac:dyDescent="0.25">
      <c r="A7110" s="11" t="s">
        <v>14897</v>
      </c>
      <c r="B7110" s="11" t="s">
        <v>14897</v>
      </c>
      <c r="C7110" s="11" t="s">
        <v>17</v>
      </c>
      <c r="D7110" s="11" t="s">
        <v>18</v>
      </c>
      <c r="E7110" s="12" t="s">
        <v>1460</v>
      </c>
      <c r="F7110" s="12" t="s">
        <v>1461</v>
      </c>
      <c r="G7110" s="12" t="s">
        <v>46</v>
      </c>
      <c r="H7110" s="11" t="s">
        <v>63</v>
      </c>
      <c r="I7110" s="13" t="s">
        <v>14898</v>
      </c>
      <c r="J7110" s="14" t="str">
        <f>HYPERLINK("https://www.boe.es/gazeta/dias/1839/03/01/pdfs/GMD-1839-1567.pdf#page=3","Abrir facsímil")</f>
        <v>Abrir facsímil</v>
      </c>
      <c r="K7110" s="12" t="s">
        <v>65</v>
      </c>
    </row>
    <row r="7111" spans="1:11" ht="40.049999999999997" customHeight="1" x14ac:dyDescent="0.25">
      <c r="A7111" s="11" t="s">
        <v>14897</v>
      </c>
      <c r="B7111" s="11" t="s">
        <v>14897</v>
      </c>
      <c r="C7111" s="11" t="s">
        <v>137</v>
      </c>
      <c r="D7111" s="11" t="s">
        <v>18</v>
      </c>
      <c r="E7111" s="12" t="s">
        <v>49</v>
      </c>
      <c r="F7111" s="12" t="s">
        <v>50</v>
      </c>
      <c r="G7111" s="12" t="s">
        <v>46</v>
      </c>
      <c r="H7111" s="11" t="s">
        <v>63</v>
      </c>
      <c r="I7111" s="13" t="s">
        <v>14899</v>
      </c>
      <c r="J7111" s="14" t="str">
        <f>HYPERLINK("https://www.boe.es/gazeta/dias/1839/01/05/pdfs/GMD-1839-1512.pdf#page=3","Abrir facsímil")</f>
        <v>Abrir facsímil</v>
      </c>
      <c r="K7111" s="12" t="s">
        <v>65</v>
      </c>
    </row>
    <row r="7112" spans="1:11" ht="40.049999999999997" customHeight="1" x14ac:dyDescent="0.25">
      <c r="A7112" s="11" t="s">
        <v>14897</v>
      </c>
      <c r="B7112" s="11" t="s">
        <v>14897</v>
      </c>
      <c r="C7112" s="11" t="s">
        <v>17</v>
      </c>
      <c r="D7112" s="11" t="s">
        <v>18</v>
      </c>
      <c r="E7112" s="12" t="s">
        <v>207</v>
      </c>
      <c r="F7112" s="12" t="s">
        <v>208</v>
      </c>
      <c r="G7112" s="12" t="s">
        <v>40</v>
      </c>
      <c r="H7112" s="11" t="s">
        <v>63</v>
      </c>
      <c r="I7112" s="13" t="s">
        <v>14900</v>
      </c>
      <c r="J7112" s="14" t="str">
        <f>HYPERLINK("https://www.boe.es/gazeta/dias/1839/02/19/pdfs/GMD-1839-1557.pdf#page=2","Abrir facsímil")</f>
        <v>Abrir facsímil</v>
      </c>
      <c r="K7112" s="12" t="s">
        <v>65</v>
      </c>
    </row>
    <row r="7113" spans="1:11" ht="40.049999999999997" customHeight="1" x14ac:dyDescent="0.25">
      <c r="A7113" s="11" t="s">
        <v>14897</v>
      </c>
      <c r="B7113" s="11" t="s">
        <v>14897</v>
      </c>
      <c r="C7113" s="11" t="s">
        <v>80</v>
      </c>
      <c r="D7113" s="11" t="s">
        <v>18</v>
      </c>
      <c r="E7113" s="12" t="s">
        <v>462</v>
      </c>
      <c r="F7113" s="12" t="s">
        <v>463</v>
      </c>
      <c r="G7113" s="12" t="s">
        <v>21</v>
      </c>
      <c r="H7113" s="11" t="s">
        <v>63</v>
      </c>
      <c r="I7113" s="13" t="s">
        <v>14901</v>
      </c>
      <c r="J7113" s="14" t="str">
        <f>HYPERLINK("https://www.boe.es/gazeta/dias/1839/06/19/pdfs/GMD-1839-1677.pdf#page=4","Abrir facsímil")</f>
        <v>Abrir facsímil</v>
      </c>
      <c r="K7113" s="12" t="s">
        <v>65</v>
      </c>
    </row>
    <row r="7114" spans="1:11" ht="40.049999999999997" customHeight="1" x14ac:dyDescent="0.25">
      <c r="A7114" s="11" t="s">
        <v>14897</v>
      </c>
      <c r="B7114" s="11" t="s">
        <v>14897</v>
      </c>
      <c r="C7114" s="11" t="s">
        <v>17</v>
      </c>
      <c r="D7114" s="11" t="s">
        <v>18</v>
      </c>
      <c r="E7114" s="12" t="s">
        <v>1588</v>
      </c>
      <c r="F7114" s="12" t="s">
        <v>1589</v>
      </c>
      <c r="G7114" s="12" t="s">
        <v>21</v>
      </c>
      <c r="H7114" s="11" t="s">
        <v>63</v>
      </c>
      <c r="I7114" s="13" t="s">
        <v>14902</v>
      </c>
      <c r="J7114" s="14" t="str">
        <f>HYPERLINK("https://www.boe.es/gazeta/dias/1839/07/27/pdfs/GMD-1839-1716.pdf#page=4","Abrir facsímil")</f>
        <v>Abrir facsímil</v>
      </c>
      <c r="K7114" s="12" t="s">
        <v>65</v>
      </c>
    </row>
    <row r="7115" spans="1:11" ht="40.049999999999997" customHeight="1" x14ac:dyDescent="0.25">
      <c r="A7115" s="11" t="s">
        <v>14897</v>
      </c>
      <c r="B7115" s="11" t="s">
        <v>14897</v>
      </c>
      <c r="C7115" s="11" t="s">
        <v>17</v>
      </c>
      <c r="D7115" s="11" t="s">
        <v>18</v>
      </c>
      <c r="E7115" s="12" t="s">
        <v>89</v>
      </c>
      <c r="F7115" s="12" t="s">
        <v>90</v>
      </c>
      <c r="G7115" s="12" t="s">
        <v>29</v>
      </c>
      <c r="H7115" s="11" t="s">
        <v>63</v>
      </c>
      <c r="I7115" s="13" t="s">
        <v>14903</v>
      </c>
      <c r="J7115" s="14" t="str">
        <f>HYPERLINK("https://www.boe.es/gazeta/dias/1839/11/28/pdfs/GMD-1839-1845.pdf#page=1","Abrir facsímil")</f>
        <v>Abrir facsímil</v>
      </c>
      <c r="K7115" s="12" t="s">
        <v>65</v>
      </c>
    </row>
    <row r="7116" spans="1:11" ht="40.049999999999997" customHeight="1" x14ac:dyDescent="0.25">
      <c r="A7116" s="11" t="s">
        <v>14904</v>
      </c>
      <c r="B7116" s="11" t="s">
        <v>14905</v>
      </c>
      <c r="C7116" s="11" t="s">
        <v>80</v>
      </c>
      <c r="D7116" s="11" t="s">
        <v>18</v>
      </c>
      <c r="E7116" s="12" t="s">
        <v>1398</v>
      </c>
      <c r="F7116" s="12" t="s">
        <v>1399</v>
      </c>
      <c r="G7116" s="12" t="s">
        <v>21</v>
      </c>
      <c r="H7116" s="11" t="s">
        <v>63</v>
      </c>
      <c r="I7116" s="13" t="s">
        <v>14906</v>
      </c>
      <c r="J7116" s="14" t="str">
        <f>HYPERLINK("https://www.boe.es/gazeta/dias/1839/05/27/pdfs/GMD-1839-1654.pdf#page=4","Abrir facsímil")</f>
        <v>Abrir facsímil</v>
      </c>
      <c r="K7116" s="12" t="s">
        <v>65</v>
      </c>
    </row>
    <row r="7117" spans="1:11" ht="40.049999999999997" customHeight="1" x14ac:dyDescent="0.25">
      <c r="A7117" s="11" t="s">
        <v>14907</v>
      </c>
      <c r="B7117" s="11" t="s">
        <v>14908</v>
      </c>
      <c r="C7117" s="11" t="s">
        <v>59</v>
      </c>
      <c r="D7117" s="11" t="s">
        <v>60</v>
      </c>
      <c r="E7117" s="12" t="s">
        <v>2491</v>
      </c>
      <c r="F7117" s="12" t="s">
        <v>2492</v>
      </c>
      <c r="G7117" s="12" t="s">
        <v>29</v>
      </c>
      <c r="H7117" s="11" t="s">
        <v>63</v>
      </c>
      <c r="I7117" s="13" t="s">
        <v>14909</v>
      </c>
      <c r="J7117" s="14" t="str">
        <f>HYPERLINK("https://www.boe.es/gazeta/dias/1839/05/01/pdfs/GMD-1839-1628.pdf#page=1","Abrir facsímil")</f>
        <v>Abrir facsímil</v>
      </c>
      <c r="K7117" s="12" t="s">
        <v>65</v>
      </c>
    </row>
    <row r="7118" spans="1:11" ht="40.049999999999997" customHeight="1" x14ac:dyDescent="0.25">
      <c r="A7118" s="11" t="s">
        <v>14910</v>
      </c>
      <c r="B7118" s="11" t="s">
        <v>14911</v>
      </c>
      <c r="C7118" s="11" t="s">
        <v>59</v>
      </c>
      <c r="D7118" s="11" t="s">
        <v>60</v>
      </c>
      <c r="E7118" s="12" t="s">
        <v>2349</v>
      </c>
      <c r="F7118" s="12" t="s">
        <v>2350</v>
      </c>
      <c r="G7118" s="12" t="s">
        <v>29</v>
      </c>
      <c r="H7118" s="11" t="s">
        <v>63</v>
      </c>
      <c r="I7118" s="13" t="s">
        <v>14912</v>
      </c>
      <c r="J7118" s="14" t="str">
        <f>HYPERLINK("https://www.boe.es/gazeta/dias/1839/09/29/pdfs/GMD-1839-1785.pdf#page=1","Abrir facsímil")</f>
        <v>Abrir facsímil</v>
      </c>
      <c r="K7118" s="12" t="s">
        <v>65</v>
      </c>
    </row>
    <row r="7119" spans="1:11" ht="40.049999999999997" customHeight="1" x14ac:dyDescent="0.25">
      <c r="A7119" s="11" t="s">
        <v>14913</v>
      </c>
      <c r="B7119" s="11" t="s">
        <v>14914</v>
      </c>
      <c r="C7119" s="11" t="s">
        <v>137</v>
      </c>
      <c r="D7119" s="11" t="s">
        <v>18</v>
      </c>
      <c r="E7119" s="12" t="s">
        <v>369</v>
      </c>
      <c r="F7119" s="12" t="s">
        <v>370</v>
      </c>
      <c r="G7119" s="12" t="s">
        <v>29</v>
      </c>
      <c r="H7119" s="11" t="s">
        <v>63</v>
      </c>
      <c r="I7119" s="13" t="s">
        <v>14915</v>
      </c>
      <c r="J7119" s="14" t="str">
        <f>HYPERLINK("https://www.boe.es/gazeta/dias/1839/11/01/pdfs/GMD-1839-1818.pdf#page=1","Abrir facsímil")</f>
        <v>Abrir facsímil</v>
      </c>
      <c r="K7119" s="12" t="s">
        <v>65</v>
      </c>
    </row>
    <row r="7120" spans="1:11" ht="40.049999999999997" customHeight="1" x14ac:dyDescent="0.25">
      <c r="A7120" s="11" t="s">
        <v>14913</v>
      </c>
      <c r="B7120" s="11" t="s">
        <v>14914</v>
      </c>
      <c r="C7120" s="11" t="s">
        <v>59</v>
      </c>
      <c r="D7120" s="11" t="s">
        <v>60</v>
      </c>
      <c r="E7120" s="12" t="s">
        <v>2440</v>
      </c>
      <c r="F7120" s="12" t="s">
        <v>2441</v>
      </c>
      <c r="G7120" s="12" t="s">
        <v>29</v>
      </c>
      <c r="H7120" s="11" t="s">
        <v>63</v>
      </c>
      <c r="I7120" s="13" t="s">
        <v>14916</v>
      </c>
      <c r="J7120" s="14" t="str">
        <f>HYPERLINK("https://www.boe.es/gazeta/dias/1839/12/01/pdfs/GMD-1839-1848.pdf#page=1","Abrir facsímil")</f>
        <v>Abrir facsímil</v>
      </c>
      <c r="K7120" s="12" t="s">
        <v>65</v>
      </c>
    </row>
    <row r="7121" spans="1:11" ht="40.049999999999997" customHeight="1" x14ac:dyDescent="0.25">
      <c r="A7121" s="11" t="s">
        <v>14913</v>
      </c>
      <c r="B7121" s="11" t="s">
        <v>14914</v>
      </c>
      <c r="C7121" s="11" t="s">
        <v>17</v>
      </c>
      <c r="D7121" s="11" t="s">
        <v>18</v>
      </c>
      <c r="E7121" s="12" t="s">
        <v>132</v>
      </c>
      <c r="F7121" s="12" t="s">
        <v>133</v>
      </c>
      <c r="G7121" s="12" t="s">
        <v>29</v>
      </c>
      <c r="H7121" s="11" t="s">
        <v>63</v>
      </c>
      <c r="I7121" s="13" t="s">
        <v>14917</v>
      </c>
      <c r="J7121" s="14" t="str">
        <f>HYPERLINK("https://www.boe.es/gazeta/dias/1839/08/02/pdfs/GMD-1839-1722.pdf#page=1","Abrir facsímil")</f>
        <v>Abrir facsímil</v>
      </c>
      <c r="K7121" s="12" t="s">
        <v>65</v>
      </c>
    </row>
    <row r="7122" spans="1:11" ht="40.049999999999997" customHeight="1" x14ac:dyDescent="0.25">
      <c r="A7122" s="11" t="s">
        <v>14913</v>
      </c>
      <c r="B7122" s="11" t="s">
        <v>14914</v>
      </c>
      <c r="C7122" s="11" t="s">
        <v>59</v>
      </c>
      <c r="D7122" s="11" t="s">
        <v>60</v>
      </c>
      <c r="E7122" s="12" t="s">
        <v>1813</v>
      </c>
      <c r="F7122" s="12" t="s">
        <v>1814</v>
      </c>
      <c r="G7122" s="12" t="s">
        <v>29</v>
      </c>
      <c r="H7122" s="11" t="s">
        <v>63</v>
      </c>
      <c r="I7122" s="13" t="s">
        <v>14918</v>
      </c>
      <c r="J7122" s="14" t="str">
        <f>HYPERLINK("https://www.boe.es/gazeta/dias/1839/09/02/pdfs/GMD-1839-1754.pdf#page=1","Abrir facsímil")</f>
        <v>Abrir facsímil</v>
      </c>
      <c r="K7122" s="12" t="s">
        <v>65</v>
      </c>
    </row>
    <row r="7123" spans="1:11" ht="40.049999999999997" customHeight="1" x14ac:dyDescent="0.25">
      <c r="A7123" s="11" t="s">
        <v>14913</v>
      </c>
      <c r="B7123" s="11" t="s">
        <v>14914</v>
      </c>
      <c r="C7123" s="11" t="s">
        <v>17</v>
      </c>
      <c r="D7123" s="11" t="s">
        <v>18</v>
      </c>
      <c r="E7123" s="12" t="s">
        <v>2138</v>
      </c>
      <c r="F7123" s="12" t="s">
        <v>2139</v>
      </c>
      <c r="G7123" s="12" t="s">
        <v>29</v>
      </c>
      <c r="H7123" s="11" t="s">
        <v>63</v>
      </c>
      <c r="I7123" s="13" t="s">
        <v>14919</v>
      </c>
      <c r="J7123" s="14" t="str">
        <f>HYPERLINK("https://www.boe.es/gazeta/dias/1839/10/02/pdfs/GMD-1839-1788.pdf#page=1","Abrir facsímil")</f>
        <v>Abrir facsímil</v>
      </c>
      <c r="K7123" s="12" t="s">
        <v>65</v>
      </c>
    </row>
    <row r="7124" spans="1:11" ht="40.049999999999997" customHeight="1" x14ac:dyDescent="0.25">
      <c r="A7124" s="11" t="s">
        <v>14913</v>
      </c>
      <c r="B7124" s="11" t="s">
        <v>14914</v>
      </c>
      <c r="C7124" s="11" t="s">
        <v>17</v>
      </c>
      <c r="D7124" s="11" t="s">
        <v>18</v>
      </c>
      <c r="E7124" s="12" t="s">
        <v>1611</v>
      </c>
      <c r="F7124" s="12" t="s">
        <v>1612</v>
      </c>
      <c r="G7124" s="12" t="s">
        <v>29</v>
      </c>
      <c r="H7124" s="11" t="s">
        <v>63</v>
      </c>
      <c r="I7124" s="13" t="s">
        <v>14920</v>
      </c>
      <c r="J7124" s="14" t="str">
        <f>HYPERLINK("https://www.boe.es/gazeta/dias/1839/05/03/pdfs/GMD-1839-1630.pdf#page=1","Abrir facsímil")</f>
        <v>Abrir facsímil</v>
      </c>
      <c r="K7124" s="12" t="s">
        <v>65</v>
      </c>
    </row>
    <row r="7125" spans="1:11" ht="40.049999999999997" customHeight="1" x14ac:dyDescent="0.25">
      <c r="A7125" s="11" t="s">
        <v>14913</v>
      </c>
      <c r="B7125" s="11" t="s">
        <v>14914</v>
      </c>
      <c r="C7125" s="11" t="s">
        <v>17</v>
      </c>
      <c r="D7125" s="11" t="s">
        <v>18</v>
      </c>
      <c r="E7125" s="12" t="s">
        <v>798</v>
      </c>
      <c r="F7125" s="12" t="s">
        <v>799</v>
      </c>
      <c r="G7125" s="12" t="s">
        <v>29</v>
      </c>
      <c r="H7125" s="11" t="s">
        <v>63</v>
      </c>
      <c r="I7125" s="13" t="s">
        <v>14921</v>
      </c>
      <c r="J7125" s="14" t="str">
        <f>HYPERLINK("https://www.boe.es/gazeta/dias/1839/09/03/pdfs/GMD-1839-1755.pdf#page=1","Abrir facsímil")</f>
        <v>Abrir facsímil</v>
      </c>
      <c r="K7125" s="12" t="s">
        <v>65</v>
      </c>
    </row>
    <row r="7126" spans="1:11" ht="40.049999999999997" customHeight="1" x14ac:dyDescent="0.25">
      <c r="A7126" s="11" t="s">
        <v>14913</v>
      </c>
      <c r="B7126" s="11" t="s">
        <v>14914</v>
      </c>
      <c r="C7126" s="11" t="s">
        <v>59</v>
      </c>
      <c r="D7126" s="11" t="s">
        <v>60</v>
      </c>
      <c r="E7126" s="12" t="s">
        <v>3236</v>
      </c>
      <c r="F7126" s="12" t="s">
        <v>3237</v>
      </c>
      <c r="G7126" s="12" t="s">
        <v>29</v>
      </c>
      <c r="H7126" s="11" t="s">
        <v>63</v>
      </c>
      <c r="I7126" s="13" t="s">
        <v>14922</v>
      </c>
      <c r="J7126" s="14" t="str">
        <f>HYPERLINK("https://www.boe.es/gazeta/dias/1839/12/03/pdfs/GMD-1839-1850.pdf#page=1","Abrir facsímil")</f>
        <v>Abrir facsímil</v>
      </c>
      <c r="K7126" s="12" t="s">
        <v>65</v>
      </c>
    </row>
    <row r="7127" spans="1:11" ht="40.049999999999997" customHeight="1" x14ac:dyDescent="0.25">
      <c r="A7127" s="11" t="s">
        <v>14913</v>
      </c>
      <c r="B7127" s="11" t="s">
        <v>14914</v>
      </c>
      <c r="C7127" s="11" t="s">
        <v>101</v>
      </c>
      <c r="D7127" s="11" t="s">
        <v>102</v>
      </c>
      <c r="E7127" s="12" t="s">
        <v>848</v>
      </c>
      <c r="F7127" s="12" t="s">
        <v>849</v>
      </c>
      <c r="G7127" s="12" t="s">
        <v>29</v>
      </c>
      <c r="H7127" s="11" t="s">
        <v>63</v>
      </c>
      <c r="I7127" s="13" t="s">
        <v>14923</v>
      </c>
      <c r="J7127" s="14" t="str">
        <f>HYPERLINK("https://www.boe.es/gazeta/dias/1839/08/04/pdfs/GMD-1839-1724.pdf#page=1","Abrir facsímil")</f>
        <v>Abrir facsímil</v>
      </c>
      <c r="K7127" s="12" t="s">
        <v>65</v>
      </c>
    </row>
    <row r="7128" spans="1:11" ht="40.049999999999997" customHeight="1" x14ac:dyDescent="0.25">
      <c r="A7128" s="11" t="s">
        <v>14913</v>
      </c>
      <c r="B7128" s="11" t="s">
        <v>14914</v>
      </c>
      <c r="C7128" s="11" t="s">
        <v>59</v>
      </c>
      <c r="D7128" s="11" t="s">
        <v>60</v>
      </c>
      <c r="E7128" s="12" t="s">
        <v>2227</v>
      </c>
      <c r="F7128" s="12" t="s">
        <v>2228</v>
      </c>
      <c r="G7128" s="12" t="s">
        <v>29</v>
      </c>
      <c r="H7128" s="11" t="s">
        <v>63</v>
      </c>
      <c r="I7128" s="13" t="s">
        <v>14924</v>
      </c>
      <c r="J7128" s="14" t="str">
        <f>HYPERLINK("https://www.boe.es/gazeta/dias/1839/12/04/pdfs/GMD-1839-1851.pdf#page=1","Abrir facsímil")</f>
        <v>Abrir facsímil</v>
      </c>
      <c r="K7128" s="12" t="s">
        <v>65</v>
      </c>
    </row>
    <row r="7129" spans="1:11" ht="40.049999999999997" customHeight="1" x14ac:dyDescent="0.25">
      <c r="A7129" s="11" t="s">
        <v>14913</v>
      </c>
      <c r="B7129" s="11" t="s">
        <v>14914</v>
      </c>
      <c r="C7129" s="11" t="s">
        <v>17</v>
      </c>
      <c r="D7129" s="11" t="s">
        <v>18</v>
      </c>
      <c r="E7129" s="12" t="s">
        <v>2210</v>
      </c>
      <c r="F7129" s="12" t="s">
        <v>2211</v>
      </c>
      <c r="G7129" s="12" t="s">
        <v>29</v>
      </c>
      <c r="H7129" s="11" t="s">
        <v>63</v>
      </c>
      <c r="I7129" s="13" t="s">
        <v>14925</v>
      </c>
      <c r="J7129" s="14" t="str">
        <f>HYPERLINK("https://www.boe.es/gazeta/dias/1839/09/05/pdfs/GMD-1839-1758.pdf#page=1","Abrir facsímil")</f>
        <v>Abrir facsímil</v>
      </c>
      <c r="K7129" s="12" t="s">
        <v>65</v>
      </c>
    </row>
    <row r="7130" spans="1:11" ht="40.049999999999997" customHeight="1" x14ac:dyDescent="0.25">
      <c r="A7130" s="11" t="s">
        <v>14913</v>
      </c>
      <c r="B7130" s="11" t="s">
        <v>14914</v>
      </c>
      <c r="C7130" s="11" t="s">
        <v>17</v>
      </c>
      <c r="D7130" s="11" t="s">
        <v>18</v>
      </c>
      <c r="E7130" s="12" t="s">
        <v>303</v>
      </c>
      <c r="F7130" s="12" t="s">
        <v>304</v>
      </c>
      <c r="G7130" s="12" t="s">
        <v>29</v>
      </c>
      <c r="H7130" s="11" t="s">
        <v>63</v>
      </c>
      <c r="I7130" s="13" t="s">
        <v>14926</v>
      </c>
      <c r="J7130" s="14" t="str">
        <f>HYPERLINK("https://www.boe.es/gazeta/dias/1839/10/06/pdfs/GMD-1839-1792.pdf#page=1","Abrir facsímil")</f>
        <v>Abrir facsímil</v>
      </c>
      <c r="K7130" s="12" t="s">
        <v>65</v>
      </c>
    </row>
    <row r="7131" spans="1:11" ht="40.049999999999997" customHeight="1" x14ac:dyDescent="0.25">
      <c r="A7131" s="11" t="s">
        <v>14913</v>
      </c>
      <c r="B7131" s="11" t="s">
        <v>14914</v>
      </c>
      <c r="C7131" s="11" t="s">
        <v>17</v>
      </c>
      <c r="D7131" s="11" t="s">
        <v>18</v>
      </c>
      <c r="E7131" s="12" t="s">
        <v>1772</v>
      </c>
      <c r="F7131" s="12" t="s">
        <v>1773</v>
      </c>
      <c r="G7131" s="12" t="s">
        <v>29</v>
      </c>
      <c r="H7131" s="11" t="s">
        <v>63</v>
      </c>
      <c r="I7131" s="13" t="s">
        <v>14927</v>
      </c>
      <c r="J7131" s="14" t="str">
        <f>HYPERLINK("https://www.boe.es/gazeta/dias/1839/05/07/pdfs/GMD-1839-1634.pdf#page=1","Abrir facsímil")</f>
        <v>Abrir facsímil</v>
      </c>
      <c r="K7131" s="12" t="s">
        <v>65</v>
      </c>
    </row>
    <row r="7132" spans="1:11" ht="40.049999999999997" customHeight="1" x14ac:dyDescent="0.25">
      <c r="A7132" s="11" t="s">
        <v>14913</v>
      </c>
      <c r="B7132" s="11" t="s">
        <v>14914</v>
      </c>
      <c r="C7132" s="11" t="s">
        <v>137</v>
      </c>
      <c r="D7132" s="11" t="s">
        <v>18</v>
      </c>
      <c r="E7132" s="12" t="s">
        <v>1509</v>
      </c>
      <c r="F7132" s="12" t="s">
        <v>1510</v>
      </c>
      <c r="G7132" s="12" t="s">
        <v>29</v>
      </c>
      <c r="H7132" s="11" t="s">
        <v>63</v>
      </c>
      <c r="I7132" s="13" t="s">
        <v>14928</v>
      </c>
      <c r="J7132" s="14" t="str">
        <f>HYPERLINK("https://www.boe.es/gazeta/dias/1839/10/07/pdfs/GMD-1839-1793.pdf#page=1","Abrir facsímil")</f>
        <v>Abrir facsímil</v>
      </c>
      <c r="K7132" s="12" t="s">
        <v>65</v>
      </c>
    </row>
    <row r="7133" spans="1:11" ht="40.049999999999997" customHeight="1" x14ac:dyDescent="0.25">
      <c r="A7133" s="11" t="s">
        <v>14913</v>
      </c>
      <c r="B7133" s="11" t="s">
        <v>14914</v>
      </c>
      <c r="C7133" s="11" t="s">
        <v>17</v>
      </c>
      <c r="D7133" s="11" t="s">
        <v>18</v>
      </c>
      <c r="E7133" s="12" t="s">
        <v>934</v>
      </c>
      <c r="F7133" s="12" t="s">
        <v>935</v>
      </c>
      <c r="G7133" s="12" t="s">
        <v>29</v>
      </c>
      <c r="H7133" s="11" t="s">
        <v>63</v>
      </c>
      <c r="I7133" s="13" t="s">
        <v>14929</v>
      </c>
      <c r="J7133" s="14" t="str">
        <f>HYPERLINK("https://www.boe.es/gazeta/dias/1839/11/07/pdfs/GMD-1839-1824.pdf#page=1","Abrir facsímil")</f>
        <v>Abrir facsímil</v>
      </c>
      <c r="K7133" s="12" t="s">
        <v>65</v>
      </c>
    </row>
    <row r="7134" spans="1:11" ht="40.049999999999997" customHeight="1" x14ac:dyDescent="0.25">
      <c r="A7134" s="11" t="s">
        <v>14913</v>
      </c>
      <c r="B7134" s="11" t="s">
        <v>14914</v>
      </c>
      <c r="C7134" s="11" t="s">
        <v>17</v>
      </c>
      <c r="D7134" s="11" t="s">
        <v>18</v>
      </c>
      <c r="E7134" s="12" t="s">
        <v>647</v>
      </c>
      <c r="F7134" s="12" t="s">
        <v>648</v>
      </c>
      <c r="G7134" s="12" t="s">
        <v>29</v>
      </c>
      <c r="H7134" s="11" t="s">
        <v>63</v>
      </c>
      <c r="I7134" s="13" t="s">
        <v>14930</v>
      </c>
      <c r="J7134" s="14" t="str">
        <f>HYPERLINK("https://www.boe.es/gazeta/dias/1839/10/08/pdfs/GMD-1839-1794.pdf#page=1","Abrir facsímil")</f>
        <v>Abrir facsímil</v>
      </c>
      <c r="K7134" s="12" t="s">
        <v>65</v>
      </c>
    </row>
    <row r="7135" spans="1:11" ht="40.049999999999997" customHeight="1" x14ac:dyDescent="0.25">
      <c r="A7135" s="11" t="s">
        <v>14913</v>
      </c>
      <c r="B7135" s="11" t="s">
        <v>14914</v>
      </c>
      <c r="C7135" s="11" t="s">
        <v>17</v>
      </c>
      <c r="D7135" s="11" t="s">
        <v>18</v>
      </c>
      <c r="E7135" s="12" t="s">
        <v>1366</v>
      </c>
      <c r="F7135" s="12" t="s">
        <v>1367</v>
      </c>
      <c r="G7135" s="12" t="s">
        <v>29</v>
      </c>
      <c r="H7135" s="11" t="s">
        <v>63</v>
      </c>
      <c r="I7135" s="13" t="s">
        <v>14931</v>
      </c>
      <c r="J7135" s="14" t="str">
        <f>HYPERLINK("https://www.boe.es/gazeta/dias/1839/09/09/pdfs/GMD-1839-1762.pdf#page=1","Abrir facsímil")</f>
        <v>Abrir facsímil</v>
      </c>
      <c r="K7135" s="12" t="s">
        <v>65</v>
      </c>
    </row>
    <row r="7136" spans="1:11" ht="40.049999999999997" customHeight="1" x14ac:dyDescent="0.25">
      <c r="A7136" s="11" t="s">
        <v>14913</v>
      </c>
      <c r="B7136" s="11" t="s">
        <v>14914</v>
      </c>
      <c r="C7136" s="11" t="s">
        <v>17</v>
      </c>
      <c r="D7136" s="11" t="s">
        <v>18</v>
      </c>
      <c r="E7136" s="12" t="s">
        <v>138</v>
      </c>
      <c r="F7136" s="12" t="s">
        <v>139</v>
      </c>
      <c r="G7136" s="12" t="s">
        <v>29</v>
      </c>
      <c r="H7136" s="11" t="s">
        <v>63</v>
      </c>
      <c r="I7136" s="13" t="s">
        <v>14932</v>
      </c>
      <c r="J7136" s="14" t="str">
        <f>HYPERLINK("https://www.boe.es/gazeta/dias/1839/10/09/pdfs/GMD-1839-1795.pdf#page=1","Abrir facsímil")</f>
        <v>Abrir facsímil</v>
      </c>
      <c r="K7136" s="12" t="s">
        <v>65</v>
      </c>
    </row>
    <row r="7137" spans="1:11" ht="40.049999999999997" customHeight="1" x14ac:dyDescent="0.25">
      <c r="A7137" s="11" t="s">
        <v>14913</v>
      </c>
      <c r="B7137" s="11" t="s">
        <v>14914</v>
      </c>
      <c r="C7137" s="11" t="s">
        <v>17</v>
      </c>
      <c r="D7137" s="11" t="s">
        <v>18</v>
      </c>
      <c r="E7137" s="12" t="s">
        <v>744</v>
      </c>
      <c r="F7137" s="12" t="s">
        <v>745</v>
      </c>
      <c r="G7137" s="12" t="s">
        <v>29</v>
      </c>
      <c r="H7137" s="11" t="s">
        <v>63</v>
      </c>
      <c r="I7137" s="13" t="s">
        <v>14933</v>
      </c>
      <c r="J7137" s="14" t="str">
        <f>HYPERLINK("https://www.boe.es/gazeta/dias/1839/12/09/pdfs/GMD-1839-1856.pdf#page=1","Abrir facsímil")</f>
        <v>Abrir facsímil</v>
      </c>
      <c r="K7137" s="12" t="s">
        <v>65</v>
      </c>
    </row>
    <row r="7138" spans="1:11" ht="40.049999999999997" customHeight="1" x14ac:dyDescent="0.25">
      <c r="A7138" s="11" t="s">
        <v>14913</v>
      </c>
      <c r="B7138" s="11" t="s">
        <v>14914</v>
      </c>
      <c r="C7138" s="11" t="s">
        <v>17</v>
      </c>
      <c r="D7138" s="11" t="s">
        <v>18</v>
      </c>
      <c r="E7138" s="12" t="s">
        <v>1123</v>
      </c>
      <c r="F7138" s="12" t="s">
        <v>1124</v>
      </c>
      <c r="G7138" s="12" t="s">
        <v>29</v>
      </c>
      <c r="H7138" s="11" t="s">
        <v>63</v>
      </c>
      <c r="I7138" s="13" t="s">
        <v>14934</v>
      </c>
      <c r="J7138" s="14" t="str">
        <f>HYPERLINK("https://www.boe.es/gazeta/dias/1839/08/10/pdfs/GMD-1839-1730.pdf#page=1","Abrir facsímil")</f>
        <v>Abrir facsímil</v>
      </c>
      <c r="K7138" s="12" t="s">
        <v>65</v>
      </c>
    </row>
    <row r="7139" spans="1:11" ht="40.049999999999997" customHeight="1" x14ac:dyDescent="0.25">
      <c r="A7139" s="11" t="s">
        <v>14913</v>
      </c>
      <c r="B7139" s="11" t="s">
        <v>14914</v>
      </c>
      <c r="C7139" s="11" t="s">
        <v>17</v>
      </c>
      <c r="D7139" s="11" t="s">
        <v>18</v>
      </c>
      <c r="E7139" s="12" t="s">
        <v>61</v>
      </c>
      <c r="F7139" s="12" t="s">
        <v>62</v>
      </c>
      <c r="G7139" s="12" t="s">
        <v>29</v>
      </c>
      <c r="H7139" s="11" t="s">
        <v>63</v>
      </c>
      <c r="I7139" s="13" t="s">
        <v>14935</v>
      </c>
      <c r="J7139" s="14" t="str">
        <f>HYPERLINK("https://www.boe.es/gazeta/dias/1839/09/10/pdfs/GMD-1839-1763.pdf#page=1","Abrir facsímil")</f>
        <v>Abrir facsímil</v>
      </c>
      <c r="K7139" s="12" t="s">
        <v>65</v>
      </c>
    </row>
    <row r="7140" spans="1:11" ht="40.049999999999997" customHeight="1" x14ac:dyDescent="0.25">
      <c r="A7140" s="11" t="s">
        <v>14913</v>
      </c>
      <c r="B7140" s="11" t="s">
        <v>14914</v>
      </c>
      <c r="C7140" s="11" t="s">
        <v>17</v>
      </c>
      <c r="D7140" s="11" t="s">
        <v>18</v>
      </c>
      <c r="E7140" s="12" t="s">
        <v>116</v>
      </c>
      <c r="F7140" s="12" t="s">
        <v>117</v>
      </c>
      <c r="G7140" s="12" t="s">
        <v>29</v>
      </c>
      <c r="H7140" s="11" t="s">
        <v>63</v>
      </c>
      <c r="I7140" s="13" t="s">
        <v>14936</v>
      </c>
      <c r="J7140" s="14" t="str">
        <f>HYPERLINK("https://www.boe.es/gazeta/dias/1839/10/10/pdfs/GMD-1839-1796.pdf#page=1","Abrir facsímil")</f>
        <v>Abrir facsímil</v>
      </c>
      <c r="K7140" s="12" t="s">
        <v>65</v>
      </c>
    </row>
    <row r="7141" spans="1:11" ht="40.049999999999997" customHeight="1" x14ac:dyDescent="0.25">
      <c r="A7141" s="11" t="s">
        <v>14913</v>
      </c>
      <c r="B7141" s="11" t="s">
        <v>14914</v>
      </c>
      <c r="C7141" s="11" t="s">
        <v>80</v>
      </c>
      <c r="D7141" s="11" t="s">
        <v>18</v>
      </c>
      <c r="E7141" s="12" t="s">
        <v>3289</v>
      </c>
      <c r="F7141" s="12" t="s">
        <v>3290</v>
      </c>
      <c r="G7141" s="12" t="s">
        <v>29</v>
      </c>
      <c r="H7141" s="11" t="s">
        <v>63</v>
      </c>
      <c r="I7141" s="13" t="s">
        <v>14937</v>
      </c>
      <c r="J7141" s="14" t="str">
        <f>HYPERLINK("https://www.boe.es/gazeta/dias/1839/12/10/pdfs/GMD-1839-1857.pdf#page=1","Abrir facsímil")</f>
        <v>Abrir facsímil</v>
      </c>
      <c r="K7141" s="12" t="s">
        <v>65</v>
      </c>
    </row>
    <row r="7142" spans="1:11" ht="40.049999999999997" customHeight="1" x14ac:dyDescent="0.25">
      <c r="A7142" s="11" t="s">
        <v>14913</v>
      </c>
      <c r="B7142" s="11" t="s">
        <v>14914</v>
      </c>
      <c r="C7142" s="11" t="s">
        <v>17</v>
      </c>
      <c r="D7142" s="11" t="s">
        <v>18</v>
      </c>
      <c r="E7142" s="12" t="s">
        <v>544</v>
      </c>
      <c r="F7142" s="12" t="s">
        <v>545</v>
      </c>
      <c r="G7142" s="12" t="s">
        <v>29</v>
      </c>
      <c r="H7142" s="11" t="s">
        <v>63</v>
      </c>
      <c r="I7142" s="13" t="s">
        <v>14938</v>
      </c>
      <c r="J7142" s="14" t="str">
        <f>HYPERLINK("https://www.boe.es/gazeta/dias/1839/11/11/pdfs/GMD-1839-1828.pdf#page=1","Abrir facsímil")</f>
        <v>Abrir facsímil</v>
      </c>
      <c r="K7142" s="12" t="s">
        <v>65</v>
      </c>
    </row>
    <row r="7143" spans="1:11" ht="40.049999999999997" customHeight="1" x14ac:dyDescent="0.25">
      <c r="A7143" s="11" t="s">
        <v>14913</v>
      </c>
      <c r="B7143" s="11" t="s">
        <v>14914</v>
      </c>
      <c r="C7143" s="11" t="s">
        <v>17</v>
      </c>
      <c r="D7143" s="11" t="s">
        <v>18</v>
      </c>
      <c r="E7143" s="12" t="s">
        <v>2449</v>
      </c>
      <c r="F7143" s="12" t="s">
        <v>2450</v>
      </c>
      <c r="G7143" s="12" t="s">
        <v>29</v>
      </c>
      <c r="H7143" s="11" t="s">
        <v>63</v>
      </c>
      <c r="I7143" s="13" t="s">
        <v>14939</v>
      </c>
      <c r="J7143" s="14" t="str">
        <f>HYPERLINK("https://www.boe.es/gazeta/dias/1839/12/11/pdfs/GMD-1839-1858.pdf#page=1","Abrir facsímil")</f>
        <v>Abrir facsímil</v>
      </c>
      <c r="K7143" s="12" t="s">
        <v>65</v>
      </c>
    </row>
    <row r="7144" spans="1:11" ht="40.049999999999997" customHeight="1" x14ac:dyDescent="0.25">
      <c r="A7144" s="11" t="s">
        <v>14913</v>
      </c>
      <c r="B7144" s="11" t="s">
        <v>14914</v>
      </c>
      <c r="C7144" s="11" t="s">
        <v>17</v>
      </c>
      <c r="D7144" s="11" t="s">
        <v>18</v>
      </c>
      <c r="E7144" s="12" t="s">
        <v>507</v>
      </c>
      <c r="F7144" s="12" t="s">
        <v>508</v>
      </c>
      <c r="G7144" s="12" t="s">
        <v>29</v>
      </c>
      <c r="H7144" s="11" t="s">
        <v>63</v>
      </c>
      <c r="I7144" s="13" t="s">
        <v>14940</v>
      </c>
      <c r="J7144" s="14" t="str">
        <f>HYPERLINK("https://www.boe.es/gazeta/dias/1839/08/12/pdfs/GMD-1839-1732.pdf#page=1","Abrir facsímil")</f>
        <v>Abrir facsímil</v>
      </c>
      <c r="K7144" s="12" t="s">
        <v>65</v>
      </c>
    </row>
    <row r="7145" spans="1:11" ht="40.049999999999997" customHeight="1" x14ac:dyDescent="0.25">
      <c r="A7145" s="11" t="s">
        <v>14913</v>
      </c>
      <c r="B7145" s="11" t="s">
        <v>14914</v>
      </c>
      <c r="C7145" s="11" t="s">
        <v>101</v>
      </c>
      <c r="D7145" s="11" t="s">
        <v>43</v>
      </c>
      <c r="E7145" s="12" t="s">
        <v>254</v>
      </c>
      <c r="F7145" s="12" t="s">
        <v>255</v>
      </c>
      <c r="G7145" s="12" t="s">
        <v>29</v>
      </c>
      <c r="H7145" s="11" t="s">
        <v>63</v>
      </c>
      <c r="I7145" s="13" t="s">
        <v>14941</v>
      </c>
      <c r="J7145" s="14" t="str">
        <f>HYPERLINK("https://www.boe.es/gazeta/dias/1839/09/12/pdfs/GMD-1839-1765.pdf#page=1","Abrir facsímil")</f>
        <v>Abrir facsímil</v>
      </c>
      <c r="K7145" s="12" t="s">
        <v>65</v>
      </c>
    </row>
    <row r="7146" spans="1:11" ht="40.049999999999997" customHeight="1" x14ac:dyDescent="0.25">
      <c r="A7146" s="11" t="s">
        <v>14913</v>
      </c>
      <c r="B7146" s="11" t="s">
        <v>14914</v>
      </c>
      <c r="C7146" s="11" t="s">
        <v>17</v>
      </c>
      <c r="D7146" s="11" t="s">
        <v>18</v>
      </c>
      <c r="E7146" s="12" t="s">
        <v>103</v>
      </c>
      <c r="F7146" s="12" t="s">
        <v>104</v>
      </c>
      <c r="G7146" s="12" t="s">
        <v>29</v>
      </c>
      <c r="H7146" s="11" t="s">
        <v>63</v>
      </c>
      <c r="I7146" s="13" t="s">
        <v>14942</v>
      </c>
      <c r="J7146" s="14" t="str">
        <f>HYPERLINK("https://www.boe.es/gazeta/dias/1839/10/12/pdfs/GMD-1839-1798.pdf#page=1","Abrir facsímil")</f>
        <v>Abrir facsímil</v>
      </c>
      <c r="K7146" s="12" t="s">
        <v>65</v>
      </c>
    </row>
    <row r="7147" spans="1:11" ht="40.049999999999997" customHeight="1" x14ac:dyDescent="0.25">
      <c r="A7147" s="11" t="s">
        <v>14913</v>
      </c>
      <c r="B7147" s="11" t="s">
        <v>14914</v>
      </c>
      <c r="C7147" s="11" t="s">
        <v>17</v>
      </c>
      <c r="D7147" s="11" t="s">
        <v>18</v>
      </c>
      <c r="E7147" s="12" t="s">
        <v>1100</v>
      </c>
      <c r="F7147" s="12" t="s">
        <v>1101</v>
      </c>
      <c r="G7147" s="12" t="s">
        <v>29</v>
      </c>
      <c r="H7147" s="11" t="s">
        <v>63</v>
      </c>
      <c r="I7147" s="13" t="s">
        <v>14943</v>
      </c>
      <c r="J7147" s="14" t="str">
        <f>HYPERLINK("https://www.boe.es/gazeta/dias/1839/09/13/pdfs/GMD-1839-1766.pdf#page=1","Abrir facsímil")</f>
        <v>Abrir facsímil</v>
      </c>
      <c r="K7147" s="12" t="s">
        <v>65</v>
      </c>
    </row>
    <row r="7148" spans="1:11" ht="40.049999999999997" customHeight="1" x14ac:dyDescent="0.25">
      <c r="A7148" s="11" t="s">
        <v>14913</v>
      </c>
      <c r="B7148" s="11" t="s">
        <v>14914</v>
      </c>
      <c r="C7148" s="11" t="s">
        <v>17</v>
      </c>
      <c r="D7148" s="11" t="s">
        <v>18</v>
      </c>
      <c r="E7148" s="12" t="s">
        <v>736</v>
      </c>
      <c r="F7148" s="12" t="s">
        <v>737</v>
      </c>
      <c r="G7148" s="12" t="s">
        <v>29</v>
      </c>
      <c r="H7148" s="11" t="s">
        <v>63</v>
      </c>
      <c r="I7148" s="13" t="s">
        <v>14944</v>
      </c>
      <c r="J7148" s="14" t="str">
        <f>HYPERLINK("https://www.boe.es/gazeta/dias/1839/10/13/pdfs/GMD-1839-1799.pdf#page=1","Abrir facsímil")</f>
        <v>Abrir facsímil</v>
      </c>
      <c r="K7148" s="12" t="s">
        <v>65</v>
      </c>
    </row>
    <row r="7149" spans="1:11" ht="40.049999999999997" customHeight="1" x14ac:dyDescent="0.25">
      <c r="A7149" s="11" t="s">
        <v>14913</v>
      </c>
      <c r="B7149" s="11" t="s">
        <v>14914</v>
      </c>
      <c r="C7149" s="11" t="s">
        <v>17</v>
      </c>
      <c r="D7149" s="11" t="s">
        <v>18</v>
      </c>
      <c r="E7149" s="12" t="s">
        <v>2320</v>
      </c>
      <c r="F7149" s="12" t="s">
        <v>2321</v>
      </c>
      <c r="G7149" s="12" t="s">
        <v>29</v>
      </c>
      <c r="H7149" s="11" t="s">
        <v>63</v>
      </c>
      <c r="I7149" s="13" t="s">
        <v>14945</v>
      </c>
      <c r="J7149" s="14" t="str">
        <f>HYPERLINK("https://www.boe.es/gazeta/dias/1839/11/13/pdfs/GMD-1839-1830.pdf#page=1","Abrir facsímil")</f>
        <v>Abrir facsímil</v>
      </c>
      <c r="K7149" s="12" t="s">
        <v>65</v>
      </c>
    </row>
    <row r="7150" spans="1:11" ht="40.049999999999997" customHeight="1" x14ac:dyDescent="0.25">
      <c r="A7150" s="11" t="s">
        <v>14913</v>
      </c>
      <c r="B7150" s="11" t="s">
        <v>14914</v>
      </c>
      <c r="C7150" s="11" t="s">
        <v>17</v>
      </c>
      <c r="D7150" s="11" t="s">
        <v>18</v>
      </c>
      <c r="E7150" s="12" t="s">
        <v>365</v>
      </c>
      <c r="F7150" s="12" t="s">
        <v>366</v>
      </c>
      <c r="G7150" s="12" t="s">
        <v>29</v>
      </c>
      <c r="H7150" s="11" t="s">
        <v>63</v>
      </c>
      <c r="I7150" s="13" t="s">
        <v>14946</v>
      </c>
      <c r="J7150" s="14" t="str">
        <f>HYPERLINK("https://www.boe.es/gazeta/dias/1839/08/14/pdfs/GMD-1839-1734.pdf#page=1","Abrir facsímil")</f>
        <v>Abrir facsímil</v>
      </c>
      <c r="K7150" s="12" t="s">
        <v>65</v>
      </c>
    </row>
    <row r="7151" spans="1:11" ht="40.049999999999997" customHeight="1" x14ac:dyDescent="0.25">
      <c r="A7151" s="11" t="s">
        <v>14913</v>
      </c>
      <c r="B7151" s="11" t="s">
        <v>14914</v>
      </c>
      <c r="C7151" s="11" t="s">
        <v>17</v>
      </c>
      <c r="D7151" s="11" t="s">
        <v>18</v>
      </c>
      <c r="E7151" s="12" t="s">
        <v>5399</v>
      </c>
      <c r="F7151" s="12" t="s">
        <v>5400</v>
      </c>
      <c r="G7151" s="12" t="s">
        <v>29</v>
      </c>
      <c r="H7151" s="11" t="s">
        <v>63</v>
      </c>
      <c r="I7151" s="13" t="s">
        <v>14947</v>
      </c>
      <c r="J7151" s="14" t="str">
        <f>HYPERLINK("https://www.boe.es/gazeta/dias/1839/10/14/pdfs/GMD-1839-1800.pdf#page=1","Abrir facsímil")</f>
        <v>Abrir facsímil</v>
      </c>
      <c r="K7151" s="12" t="s">
        <v>65</v>
      </c>
    </row>
    <row r="7152" spans="1:11" ht="40.049999999999997" customHeight="1" x14ac:dyDescent="0.25">
      <c r="A7152" s="11" t="s">
        <v>14913</v>
      </c>
      <c r="B7152" s="11" t="s">
        <v>14914</v>
      </c>
      <c r="C7152" s="11" t="s">
        <v>101</v>
      </c>
      <c r="D7152" s="11" t="s">
        <v>102</v>
      </c>
      <c r="E7152" s="12" t="s">
        <v>2452</v>
      </c>
      <c r="F7152" s="12" t="s">
        <v>2453</v>
      </c>
      <c r="G7152" s="12" t="s">
        <v>29</v>
      </c>
      <c r="H7152" s="11" t="s">
        <v>63</v>
      </c>
      <c r="I7152" s="13" t="s">
        <v>14948</v>
      </c>
      <c r="J7152" s="14" t="str">
        <f>HYPERLINK("https://www.boe.es/gazeta/dias/1839/11/14/pdfs/GMD-1839-1831.pdf#page=1","Abrir facsímil")</f>
        <v>Abrir facsímil</v>
      </c>
      <c r="K7152" s="12" t="s">
        <v>65</v>
      </c>
    </row>
    <row r="7153" spans="1:11" ht="40.049999999999997" customHeight="1" x14ac:dyDescent="0.25">
      <c r="A7153" s="11" t="s">
        <v>14913</v>
      </c>
      <c r="B7153" s="11" t="s">
        <v>14914</v>
      </c>
      <c r="C7153" s="11" t="s">
        <v>17</v>
      </c>
      <c r="D7153" s="11" t="s">
        <v>18</v>
      </c>
      <c r="E7153" s="12" t="s">
        <v>1891</v>
      </c>
      <c r="F7153" s="12" t="s">
        <v>1892</v>
      </c>
      <c r="G7153" s="12" t="s">
        <v>29</v>
      </c>
      <c r="H7153" s="11" t="s">
        <v>63</v>
      </c>
      <c r="I7153" s="13" t="s">
        <v>14949</v>
      </c>
      <c r="J7153" s="14" t="str">
        <f>HYPERLINK("https://www.boe.es/gazeta/dias/1839/12/14/pdfs/GMD-1839-1861.pdf#page=1","Abrir facsímil")</f>
        <v>Abrir facsímil</v>
      </c>
      <c r="K7153" s="12" t="s">
        <v>65</v>
      </c>
    </row>
    <row r="7154" spans="1:11" ht="40.049999999999997" customHeight="1" x14ac:dyDescent="0.25">
      <c r="A7154" s="11" t="s">
        <v>14913</v>
      </c>
      <c r="B7154" s="11" t="s">
        <v>14914</v>
      </c>
      <c r="C7154" s="11" t="s">
        <v>17</v>
      </c>
      <c r="D7154" s="11" t="s">
        <v>18</v>
      </c>
      <c r="E7154" s="12" t="s">
        <v>2650</v>
      </c>
      <c r="F7154" s="12" t="s">
        <v>2651</v>
      </c>
      <c r="G7154" s="12" t="s">
        <v>29</v>
      </c>
      <c r="H7154" s="11" t="s">
        <v>63</v>
      </c>
      <c r="I7154" s="13" t="s">
        <v>14950</v>
      </c>
      <c r="J7154" s="14" t="str">
        <f>HYPERLINK("https://www.boe.es/gazeta/dias/1839/09/15/pdfs/GMD-1839-1768.pdf#page=1","Abrir facsímil")</f>
        <v>Abrir facsímil</v>
      </c>
      <c r="K7154" s="12" t="s">
        <v>65</v>
      </c>
    </row>
    <row r="7155" spans="1:11" ht="40.049999999999997" customHeight="1" x14ac:dyDescent="0.25">
      <c r="A7155" s="11" t="s">
        <v>14913</v>
      </c>
      <c r="B7155" s="11" t="s">
        <v>14914</v>
      </c>
      <c r="C7155" s="11" t="s">
        <v>101</v>
      </c>
      <c r="D7155" s="11" t="s">
        <v>102</v>
      </c>
      <c r="E7155" s="12" t="s">
        <v>44</v>
      </c>
      <c r="F7155" s="12" t="s">
        <v>45</v>
      </c>
      <c r="G7155" s="12" t="s">
        <v>29</v>
      </c>
      <c r="H7155" s="11" t="s">
        <v>63</v>
      </c>
      <c r="I7155" s="13" t="s">
        <v>14951</v>
      </c>
      <c r="J7155" s="14" t="str">
        <f>HYPERLINK("https://www.boe.es/gazeta/dias/1839/11/15/pdfs/GMD-1839-1832.pdf#page=1","Abrir facsímil")</f>
        <v>Abrir facsímil</v>
      </c>
      <c r="K7155" s="12" t="s">
        <v>65</v>
      </c>
    </row>
    <row r="7156" spans="1:11" ht="40.049999999999997" customHeight="1" x14ac:dyDescent="0.25">
      <c r="A7156" s="11" t="s">
        <v>14913</v>
      </c>
      <c r="B7156" s="11" t="s">
        <v>14914</v>
      </c>
      <c r="C7156" s="11" t="s">
        <v>80</v>
      </c>
      <c r="D7156" s="11" t="s">
        <v>18</v>
      </c>
      <c r="E7156" s="12" t="s">
        <v>1027</v>
      </c>
      <c r="F7156" s="12" t="s">
        <v>1028</v>
      </c>
      <c r="G7156" s="12" t="s">
        <v>29</v>
      </c>
      <c r="H7156" s="11" t="s">
        <v>63</v>
      </c>
      <c r="I7156" s="13" t="s">
        <v>14952</v>
      </c>
      <c r="J7156" s="14" t="str">
        <f>HYPERLINK("https://www.boe.es/gazeta/dias/1839/08/16/pdfs/GMD-1839-1736.pdf#page=1","Abrir facsímil")</f>
        <v>Abrir facsímil</v>
      </c>
      <c r="K7156" s="12" t="s">
        <v>65</v>
      </c>
    </row>
    <row r="7157" spans="1:11" ht="40.049999999999997" customHeight="1" x14ac:dyDescent="0.25">
      <c r="A7157" s="11" t="s">
        <v>14913</v>
      </c>
      <c r="B7157" s="11" t="s">
        <v>14914</v>
      </c>
      <c r="C7157" s="11" t="s">
        <v>80</v>
      </c>
      <c r="D7157" s="11" t="s">
        <v>18</v>
      </c>
      <c r="E7157" s="12" t="s">
        <v>230</v>
      </c>
      <c r="F7157" s="12" t="s">
        <v>231</v>
      </c>
      <c r="G7157" s="12" t="s">
        <v>29</v>
      </c>
      <c r="H7157" s="11" t="s">
        <v>63</v>
      </c>
      <c r="I7157" s="13" t="s">
        <v>14953</v>
      </c>
      <c r="J7157" s="14" t="str">
        <f>HYPERLINK("https://www.boe.es/gazeta/dias/1839/09/16/pdfs/GMD-1839-1769.pdf#page=1","Abrir facsímil")</f>
        <v>Abrir facsímil</v>
      </c>
      <c r="K7157" s="12" t="s">
        <v>65</v>
      </c>
    </row>
    <row r="7158" spans="1:11" ht="40.049999999999997" customHeight="1" x14ac:dyDescent="0.25">
      <c r="A7158" s="11" t="s">
        <v>14913</v>
      </c>
      <c r="B7158" s="11" t="s">
        <v>14914</v>
      </c>
      <c r="C7158" s="11" t="s">
        <v>17</v>
      </c>
      <c r="D7158" s="11" t="s">
        <v>18</v>
      </c>
      <c r="E7158" s="12" t="s">
        <v>1236</v>
      </c>
      <c r="F7158" s="12" t="s">
        <v>1237</v>
      </c>
      <c r="G7158" s="12" t="s">
        <v>29</v>
      </c>
      <c r="H7158" s="11" t="s">
        <v>63</v>
      </c>
      <c r="I7158" s="13" t="s">
        <v>14954</v>
      </c>
      <c r="J7158" s="14" t="str">
        <f>HYPERLINK("https://www.boe.es/gazeta/dias/1839/10/16/pdfs/GMD-1839-1802.pdf#page=1","Abrir facsímil")</f>
        <v>Abrir facsímil</v>
      </c>
      <c r="K7158" s="12" t="s">
        <v>65</v>
      </c>
    </row>
    <row r="7159" spans="1:11" ht="40.049999999999997" customHeight="1" x14ac:dyDescent="0.25">
      <c r="A7159" s="11" t="s">
        <v>14913</v>
      </c>
      <c r="B7159" s="11" t="s">
        <v>14914</v>
      </c>
      <c r="C7159" s="11" t="s">
        <v>17</v>
      </c>
      <c r="D7159" s="11" t="s">
        <v>18</v>
      </c>
      <c r="E7159" s="12" t="s">
        <v>1537</v>
      </c>
      <c r="F7159" s="12" t="s">
        <v>1538</v>
      </c>
      <c r="G7159" s="12" t="s">
        <v>29</v>
      </c>
      <c r="H7159" s="11" t="s">
        <v>63</v>
      </c>
      <c r="I7159" s="13" t="s">
        <v>14955</v>
      </c>
      <c r="J7159" s="14" t="str">
        <f>HYPERLINK("https://www.boe.es/gazeta/dias/1839/12/16/pdfs/GMD-1839-1863.pdf#page=1","Abrir facsímil")</f>
        <v>Abrir facsímil</v>
      </c>
      <c r="K7159" s="12" t="s">
        <v>65</v>
      </c>
    </row>
    <row r="7160" spans="1:11" ht="40.049999999999997" customHeight="1" x14ac:dyDescent="0.25">
      <c r="A7160" s="11" t="s">
        <v>14913</v>
      </c>
      <c r="B7160" s="11" t="s">
        <v>14914</v>
      </c>
      <c r="C7160" s="11" t="s">
        <v>17</v>
      </c>
      <c r="D7160" s="11" t="s">
        <v>18</v>
      </c>
      <c r="E7160" s="12" t="s">
        <v>1725</v>
      </c>
      <c r="F7160" s="12" t="s">
        <v>1726</v>
      </c>
      <c r="G7160" s="12" t="s">
        <v>29</v>
      </c>
      <c r="H7160" s="11" t="s">
        <v>63</v>
      </c>
      <c r="I7160" s="13" t="s">
        <v>14956</v>
      </c>
      <c r="J7160" s="14" t="str">
        <f>HYPERLINK("https://www.boe.es/gazeta/dias/1839/11/17/pdfs/GMD-1839-1834.pdf#page=1","Abrir facsímil")</f>
        <v>Abrir facsímil</v>
      </c>
      <c r="K7160" s="12" t="s">
        <v>65</v>
      </c>
    </row>
    <row r="7161" spans="1:11" ht="40.049999999999997" customHeight="1" x14ac:dyDescent="0.25">
      <c r="A7161" s="11" t="s">
        <v>14913</v>
      </c>
      <c r="B7161" s="11" t="s">
        <v>14914</v>
      </c>
      <c r="C7161" s="11" t="s">
        <v>17</v>
      </c>
      <c r="D7161" s="11" t="s">
        <v>18</v>
      </c>
      <c r="E7161" s="12" t="s">
        <v>756</v>
      </c>
      <c r="F7161" s="12" t="s">
        <v>757</v>
      </c>
      <c r="G7161" s="12" t="s">
        <v>29</v>
      </c>
      <c r="H7161" s="11" t="s">
        <v>63</v>
      </c>
      <c r="I7161" s="13" t="s">
        <v>14957</v>
      </c>
      <c r="J7161" s="14" t="str">
        <f>HYPERLINK("https://www.boe.es/gazeta/dias/1839/12/17/pdfs/GMD-1839-1864.pdf#page=1","Abrir facsímil")</f>
        <v>Abrir facsímil</v>
      </c>
      <c r="K7161" s="12" t="s">
        <v>65</v>
      </c>
    </row>
    <row r="7162" spans="1:11" ht="40.049999999999997" customHeight="1" x14ac:dyDescent="0.25">
      <c r="A7162" s="11" t="s">
        <v>14913</v>
      </c>
      <c r="B7162" s="11" t="s">
        <v>14914</v>
      </c>
      <c r="C7162" s="11" t="s">
        <v>17</v>
      </c>
      <c r="D7162" s="11" t="s">
        <v>18</v>
      </c>
      <c r="E7162" s="12" t="s">
        <v>236</v>
      </c>
      <c r="F7162" s="12" t="s">
        <v>237</v>
      </c>
      <c r="G7162" s="12" t="s">
        <v>29</v>
      </c>
      <c r="H7162" s="11" t="s">
        <v>63</v>
      </c>
      <c r="I7162" s="13" t="s">
        <v>14958</v>
      </c>
      <c r="J7162" s="14" t="str">
        <f>HYPERLINK("https://www.boe.es/gazeta/dias/1839/09/18/pdfs/GMD-1839-1771.pdf#page=1","Abrir facsímil")</f>
        <v>Abrir facsímil</v>
      </c>
      <c r="K7162" s="12" t="s">
        <v>65</v>
      </c>
    </row>
    <row r="7163" spans="1:11" ht="40.049999999999997" customHeight="1" x14ac:dyDescent="0.25">
      <c r="A7163" s="11" t="s">
        <v>14913</v>
      </c>
      <c r="B7163" s="11" t="s">
        <v>14914</v>
      </c>
      <c r="C7163" s="11" t="s">
        <v>17</v>
      </c>
      <c r="D7163" s="11" t="s">
        <v>18</v>
      </c>
      <c r="E7163" s="12" t="s">
        <v>713</v>
      </c>
      <c r="F7163" s="12" t="s">
        <v>714</v>
      </c>
      <c r="G7163" s="12" t="s">
        <v>29</v>
      </c>
      <c r="H7163" s="11" t="s">
        <v>63</v>
      </c>
      <c r="I7163" s="13" t="s">
        <v>14959</v>
      </c>
      <c r="J7163" s="14" t="str">
        <f>HYPERLINK("https://www.boe.es/gazeta/dias/1839/12/18/pdfs/GMD-1839-1865.pdf#page=1","Abrir facsímil")</f>
        <v>Abrir facsímil</v>
      </c>
      <c r="K7163" s="12" t="s">
        <v>65</v>
      </c>
    </row>
    <row r="7164" spans="1:11" ht="40.049999999999997" customHeight="1" x14ac:dyDescent="0.25">
      <c r="A7164" s="11" t="s">
        <v>14913</v>
      </c>
      <c r="B7164" s="11" t="s">
        <v>14914</v>
      </c>
      <c r="C7164" s="11" t="s">
        <v>17</v>
      </c>
      <c r="D7164" s="11" t="s">
        <v>18</v>
      </c>
      <c r="E7164" s="12" t="s">
        <v>2222</v>
      </c>
      <c r="F7164" s="12" t="s">
        <v>2223</v>
      </c>
      <c r="G7164" s="12" t="s">
        <v>29</v>
      </c>
      <c r="H7164" s="11" t="s">
        <v>63</v>
      </c>
      <c r="I7164" s="13" t="s">
        <v>14960</v>
      </c>
      <c r="J7164" s="14" t="str">
        <f>HYPERLINK("https://www.boe.es/gazeta/dias/1839/09/19/pdfs/GMD-1839-1773.pdf#page=1","Abrir facsímil")</f>
        <v>Abrir facsímil</v>
      </c>
      <c r="K7164" s="12" t="s">
        <v>65</v>
      </c>
    </row>
    <row r="7165" spans="1:11" ht="40.049999999999997" customHeight="1" x14ac:dyDescent="0.25">
      <c r="A7165" s="11" t="s">
        <v>14913</v>
      </c>
      <c r="B7165" s="11" t="s">
        <v>14914</v>
      </c>
      <c r="C7165" s="11" t="s">
        <v>17</v>
      </c>
      <c r="D7165" s="11" t="s">
        <v>18</v>
      </c>
      <c r="E7165" s="12" t="s">
        <v>1076</v>
      </c>
      <c r="F7165" s="12" t="s">
        <v>1077</v>
      </c>
      <c r="G7165" s="12" t="s">
        <v>29</v>
      </c>
      <c r="H7165" s="11" t="s">
        <v>63</v>
      </c>
      <c r="I7165" s="13" t="s">
        <v>14961</v>
      </c>
      <c r="J7165" s="14" t="str">
        <f>HYPERLINK("https://www.boe.es/gazeta/dias/1839/10/19/pdfs/GMD-1839-1805.pdf#page=1","Abrir facsímil")</f>
        <v>Abrir facsímil</v>
      </c>
      <c r="K7165" s="12" t="s">
        <v>65</v>
      </c>
    </row>
    <row r="7166" spans="1:11" ht="40.049999999999997" customHeight="1" x14ac:dyDescent="0.25">
      <c r="A7166" s="11" t="s">
        <v>14913</v>
      </c>
      <c r="B7166" s="11" t="s">
        <v>14914</v>
      </c>
      <c r="C7166" s="11" t="s">
        <v>137</v>
      </c>
      <c r="D7166" s="11" t="s">
        <v>18</v>
      </c>
      <c r="E7166" s="12" t="s">
        <v>1654</v>
      </c>
      <c r="F7166" s="12" t="s">
        <v>1655</v>
      </c>
      <c r="G7166" s="12" t="s">
        <v>29</v>
      </c>
      <c r="H7166" s="11" t="s">
        <v>63</v>
      </c>
      <c r="I7166" s="13" t="s">
        <v>14962</v>
      </c>
      <c r="J7166" s="14" t="str">
        <f>HYPERLINK("https://www.boe.es/gazeta/dias/1839/11/19/pdfs/GMD-1839-1836.pdf#page=1","Abrir facsímil")</f>
        <v>Abrir facsímil</v>
      </c>
      <c r="K7166" s="12" t="s">
        <v>65</v>
      </c>
    </row>
    <row r="7167" spans="1:11" ht="40.049999999999997" customHeight="1" x14ac:dyDescent="0.25">
      <c r="A7167" s="11" t="s">
        <v>14913</v>
      </c>
      <c r="B7167" s="11" t="s">
        <v>14914</v>
      </c>
      <c r="C7167" s="11" t="s">
        <v>17</v>
      </c>
      <c r="D7167" s="11" t="s">
        <v>18</v>
      </c>
      <c r="E7167" s="12" t="s">
        <v>695</v>
      </c>
      <c r="F7167" s="12" t="s">
        <v>696</v>
      </c>
      <c r="G7167" s="12" t="s">
        <v>29</v>
      </c>
      <c r="H7167" s="11" t="s">
        <v>63</v>
      </c>
      <c r="I7167" s="13" t="s">
        <v>14963</v>
      </c>
      <c r="J7167" s="14" t="str">
        <f>HYPERLINK("https://www.boe.es/gazeta/dias/1839/12/19/pdfs/GMD-1839-1866.pdf#page=1","Abrir facsímil")</f>
        <v>Abrir facsímil</v>
      </c>
      <c r="K7167" s="12" t="s">
        <v>65</v>
      </c>
    </row>
    <row r="7168" spans="1:11" ht="40.049999999999997" customHeight="1" x14ac:dyDescent="0.25">
      <c r="A7168" s="11" t="s">
        <v>14913</v>
      </c>
      <c r="B7168" s="11" t="s">
        <v>14914</v>
      </c>
      <c r="C7168" s="11" t="s">
        <v>17</v>
      </c>
      <c r="D7168" s="11" t="s">
        <v>18</v>
      </c>
      <c r="E7168" s="12" t="s">
        <v>469</v>
      </c>
      <c r="F7168" s="12" t="s">
        <v>470</v>
      </c>
      <c r="G7168" s="12" t="s">
        <v>29</v>
      </c>
      <c r="H7168" s="11" t="s">
        <v>63</v>
      </c>
      <c r="I7168" s="13" t="s">
        <v>14964</v>
      </c>
      <c r="J7168" s="14" t="str">
        <f>HYPERLINK("https://www.boe.es/gazeta/dias/1839/08/20/pdfs/GMD-1839-1741.pdf#page=1","Abrir facsímil")</f>
        <v>Abrir facsímil</v>
      </c>
      <c r="K7168" s="12" t="s">
        <v>65</v>
      </c>
    </row>
    <row r="7169" spans="1:11" ht="40.049999999999997" customHeight="1" x14ac:dyDescent="0.25">
      <c r="A7169" s="11" t="s">
        <v>14913</v>
      </c>
      <c r="B7169" s="11" t="s">
        <v>14914</v>
      </c>
      <c r="C7169" s="11" t="s">
        <v>17</v>
      </c>
      <c r="D7169" s="11" t="s">
        <v>18</v>
      </c>
      <c r="E7169" s="12" t="s">
        <v>821</v>
      </c>
      <c r="F7169" s="12" t="s">
        <v>822</v>
      </c>
      <c r="G7169" s="12" t="s">
        <v>29</v>
      </c>
      <c r="H7169" s="11" t="s">
        <v>63</v>
      </c>
      <c r="I7169" s="13" t="s">
        <v>14965</v>
      </c>
      <c r="J7169" s="14" t="str">
        <f>HYPERLINK("https://www.boe.es/gazeta/dias/1839/09/20/pdfs/GMD-1839-1775.pdf#page=1","Abrir facsímil")</f>
        <v>Abrir facsímil</v>
      </c>
      <c r="K7169" s="12" t="s">
        <v>65</v>
      </c>
    </row>
    <row r="7170" spans="1:11" ht="40.049999999999997" customHeight="1" x14ac:dyDescent="0.25">
      <c r="A7170" s="11" t="s">
        <v>14913</v>
      </c>
      <c r="B7170" s="11" t="s">
        <v>14914</v>
      </c>
      <c r="C7170" s="11" t="s">
        <v>80</v>
      </c>
      <c r="D7170" s="11" t="s">
        <v>18</v>
      </c>
      <c r="E7170" s="12" t="s">
        <v>2069</v>
      </c>
      <c r="F7170" s="12" t="s">
        <v>2070</v>
      </c>
      <c r="G7170" s="12" t="s">
        <v>29</v>
      </c>
      <c r="H7170" s="11" t="s">
        <v>63</v>
      </c>
      <c r="I7170" s="13" t="s">
        <v>14966</v>
      </c>
      <c r="J7170" s="14" t="str">
        <f>HYPERLINK("https://www.boe.es/gazeta/dias/1839/10/20/pdfs/GMD-1839-1806.pdf#page=1","Abrir facsímil")</f>
        <v>Abrir facsímil</v>
      </c>
      <c r="K7170" s="12" t="s">
        <v>65</v>
      </c>
    </row>
    <row r="7171" spans="1:11" ht="40.049999999999997" customHeight="1" x14ac:dyDescent="0.25">
      <c r="A7171" s="11" t="s">
        <v>14913</v>
      </c>
      <c r="B7171" s="11" t="s">
        <v>14914</v>
      </c>
      <c r="C7171" s="11" t="s">
        <v>17</v>
      </c>
      <c r="D7171" s="11" t="s">
        <v>18</v>
      </c>
      <c r="E7171" s="12" t="s">
        <v>1517</v>
      </c>
      <c r="F7171" s="12" t="s">
        <v>1518</v>
      </c>
      <c r="G7171" s="12" t="s">
        <v>29</v>
      </c>
      <c r="H7171" s="11" t="s">
        <v>63</v>
      </c>
      <c r="I7171" s="13" t="s">
        <v>14967</v>
      </c>
      <c r="J7171" s="14" t="str">
        <f>HYPERLINK("https://www.boe.es/gazeta/dias/1839/12/20/pdfs/GMD-1839-1867.pdf#page=1","Abrir facsímil")</f>
        <v>Abrir facsímil</v>
      </c>
      <c r="K7171" s="12" t="s">
        <v>65</v>
      </c>
    </row>
    <row r="7172" spans="1:11" ht="40.049999999999997" customHeight="1" x14ac:dyDescent="0.25">
      <c r="A7172" s="11" t="s">
        <v>14913</v>
      </c>
      <c r="B7172" s="11" t="s">
        <v>14914</v>
      </c>
      <c r="C7172" s="11" t="s">
        <v>17</v>
      </c>
      <c r="D7172" s="11" t="s">
        <v>18</v>
      </c>
      <c r="E7172" s="12" t="s">
        <v>2949</v>
      </c>
      <c r="F7172" s="12" t="s">
        <v>2950</v>
      </c>
      <c r="G7172" s="12" t="s">
        <v>29</v>
      </c>
      <c r="H7172" s="11" t="s">
        <v>63</v>
      </c>
      <c r="I7172" s="13" t="s">
        <v>14968</v>
      </c>
      <c r="J7172" s="14" t="str">
        <f>HYPERLINK("https://www.boe.es/gazeta/dias/1839/10/21/pdfs/GMD-1839-1807.pdf#page=1","Abrir facsímil")</f>
        <v>Abrir facsímil</v>
      </c>
      <c r="K7172" s="12" t="s">
        <v>65</v>
      </c>
    </row>
    <row r="7173" spans="1:11" ht="40.049999999999997" customHeight="1" x14ac:dyDescent="0.25">
      <c r="A7173" s="11" t="s">
        <v>14913</v>
      </c>
      <c r="B7173" s="11" t="s">
        <v>14914</v>
      </c>
      <c r="C7173" s="11" t="s">
        <v>17</v>
      </c>
      <c r="D7173" s="11" t="s">
        <v>18</v>
      </c>
      <c r="E7173" s="12" t="s">
        <v>857</v>
      </c>
      <c r="F7173" s="12" t="s">
        <v>858</v>
      </c>
      <c r="G7173" s="12" t="s">
        <v>29</v>
      </c>
      <c r="H7173" s="11" t="s">
        <v>63</v>
      </c>
      <c r="I7173" s="13" t="s">
        <v>14969</v>
      </c>
      <c r="J7173" s="14" t="str">
        <f>HYPERLINK("https://www.boe.es/gazeta/dias/1839/11/21/pdfs/GMD-1839-1838.pdf#page=1","Abrir facsímil")</f>
        <v>Abrir facsímil</v>
      </c>
      <c r="K7173" s="12" t="s">
        <v>65</v>
      </c>
    </row>
    <row r="7174" spans="1:11" ht="40.049999999999997" customHeight="1" x14ac:dyDescent="0.25">
      <c r="A7174" s="11" t="s">
        <v>14913</v>
      </c>
      <c r="B7174" s="11" t="s">
        <v>14914</v>
      </c>
      <c r="C7174" s="11" t="s">
        <v>17</v>
      </c>
      <c r="D7174" s="11" t="s">
        <v>18</v>
      </c>
      <c r="E7174" s="12" t="s">
        <v>2962</v>
      </c>
      <c r="F7174" s="12" t="s">
        <v>2963</v>
      </c>
      <c r="G7174" s="12" t="s">
        <v>29</v>
      </c>
      <c r="H7174" s="11" t="s">
        <v>63</v>
      </c>
      <c r="I7174" s="13" t="s">
        <v>14970</v>
      </c>
      <c r="J7174" s="14" t="str">
        <f>HYPERLINK("https://www.boe.es/gazeta/dias/1839/12/21/pdfs/GMD-1839-1868.pdf#page=1","Abrir facsímil")</f>
        <v>Abrir facsímil</v>
      </c>
      <c r="K7174" s="12" t="s">
        <v>65</v>
      </c>
    </row>
    <row r="7175" spans="1:11" ht="40.049999999999997" customHeight="1" x14ac:dyDescent="0.25">
      <c r="A7175" s="11" t="s">
        <v>14913</v>
      </c>
      <c r="B7175" s="11" t="s">
        <v>14914</v>
      </c>
      <c r="C7175" s="11" t="s">
        <v>17</v>
      </c>
      <c r="D7175" s="11" t="s">
        <v>18</v>
      </c>
      <c r="E7175" s="12" t="s">
        <v>360</v>
      </c>
      <c r="F7175" s="12" t="s">
        <v>361</v>
      </c>
      <c r="G7175" s="12" t="s">
        <v>29</v>
      </c>
      <c r="H7175" s="11" t="s">
        <v>63</v>
      </c>
      <c r="I7175" s="13" t="s">
        <v>14971</v>
      </c>
      <c r="J7175" s="14" t="str">
        <f>HYPERLINK("https://www.boe.es/gazeta/dias/1839/08/22/pdfs/GMD-1839-1743.pdf#page=1","Abrir facsímil")</f>
        <v>Abrir facsímil</v>
      </c>
      <c r="K7175" s="12" t="s">
        <v>65</v>
      </c>
    </row>
    <row r="7176" spans="1:11" ht="40.049999999999997" customHeight="1" x14ac:dyDescent="0.25">
      <c r="A7176" s="11" t="s">
        <v>14913</v>
      </c>
      <c r="B7176" s="11" t="s">
        <v>14914</v>
      </c>
      <c r="C7176" s="11" t="s">
        <v>17</v>
      </c>
      <c r="D7176" s="11" t="s">
        <v>18</v>
      </c>
      <c r="E7176" s="12" t="s">
        <v>239</v>
      </c>
      <c r="F7176" s="12" t="s">
        <v>240</v>
      </c>
      <c r="G7176" s="12" t="s">
        <v>29</v>
      </c>
      <c r="H7176" s="11" t="s">
        <v>63</v>
      </c>
      <c r="I7176" s="13" t="s">
        <v>14972</v>
      </c>
      <c r="J7176" s="14" t="str">
        <f>HYPERLINK("https://www.boe.es/gazeta/dias/1839/09/22/pdfs/GMD-1839-1777.pdf#page=1","Abrir facsímil")</f>
        <v>Abrir facsímil</v>
      </c>
      <c r="K7176" s="12" t="s">
        <v>65</v>
      </c>
    </row>
    <row r="7177" spans="1:11" ht="40.049999999999997" customHeight="1" x14ac:dyDescent="0.25">
      <c r="A7177" s="11" t="s">
        <v>14913</v>
      </c>
      <c r="B7177" s="11" t="s">
        <v>14914</v>
      </c>
      <c r="C7177" s="11" t="s">
        <v>17</v>
      </c>
      <c r="D7177" s="11" t="s">
        <v>18</v>
      </c>
      <c r="E7177" s="12" t="s">
        <v>1012</v>
      </c>
      <c r="F7177" s="12" t="s">
        <v>1013</v>
      </c>
      <c r="G7177" s="12" t="s">
        <v>29</v>
      </c>
      <c r="H7177" s="11" t="s">
        <v>63</v>
      </c>
      <c r="I7177" s="13" t="s">
        <v>14973</v>
      </c>
      <c r="J7177" s="14" t="str">
        <f>HYPERLINK("https://www.boe.es/gazeta/dias/1839/11/22/pdfs/GMD-1839-1839.pdf#page=1","Abrir facsímil")</f>
        <v>Abrir facsímil</v>
      </c>
      <c r="K7177" s="12" t="s">
        <v>65</v>
      </c>
    </row>
    <row r="7178" spans="1:11" ht="40.049999999999997" customHeight="1" x14ac:dyDescent="0.25">
      <c r="A7178" s="11" t="s">
        <v>14913</v>
      </c>
      <c r="B7178" s="11" t="s">
        <v>14914</v>
      </c>
      <c r="C7178" s="11" t="s">
        <v>17</v>
      </c>
      <c r="D7178" s="11" t="s">
        <v>18</v>
      </c>
      <c r="E7178" s="12" t="s">
        <v>496</v>
      </c>
      <c r="F7178" s="12" t="s">
        <v>497</v>
      </c>
      <c r="G7178" s="12" t="s">
        <v>29</v>
      </c>
      <c r="H7178" s="11" t="s">
        <v>63</v>
      </c>
      <c r="I7178" s="13" t="s">
        <v>14974</v>
      </c>
      <c r="J7178" s="14" t="str">
        <f>HYPERLINK("https://www.boe.es/gazeta/dias/1839/11/23/pdfs/GMD-1839-1840.pdf#page=1","Abrir facsímil")</f>
        <v>Abrir facsímil</v>
      </c>
      <c r="K7178" s="12" t="s">
        <v>65</v>
      </c>
    </row>
    <row r="7179" spans="1:11" ht="40.049999999999997" customHeight="1" x14ac:dyDescent="0.25">
      <c r="A7179" s="11" t="s">
        <v>14913</v>
      </c>
      <c r="B7179" s="11" t="s">
        <v>14914</v>
      </c>
      <c r="C7179" s="11" t="s">
        <v>17</v>
      </c>
      <c r="D7179" s="11" t="s">
        <v>18</v>
      </c>
      <c r="E7179" s="12" t="s">
        <v>1895</v>
      </c>
      <c r="F7179" s="12" t="s">
        <v>1896</v>
      </c>
      <c r="G7179" s="12" t="s">
        <v>29</v>
      </c>
      <c r="H7179" s="11" t="s">
        <v>63</v>
      </c>
      <c r="I7179" s="13" t="s">
        <v>14975</v>
      </c>
      <c r="J7179" s="14" t="str">
        <f>HYPERLINK("https://www.boe.es/gazeta/dias/1839/12/23/pdfs/GMD-1839-1870.pdf#page=1","Abrir facsímil")</f>
        <v>Abrir facsímil</v>
      </c>
      <c r="K7179" s="12" t="s">
        <v>65</v>
      </c>
    </row>
    <row r="7180" spans="1:11" ht="40.049999999999997" customHeight="1" x14ac:dyDescent="0.25">
      <c r="A7180" s="11" t="s">
        <v>14913</v>
      </c>
      <c r="B7180" s="11" t="s">
        <v>14914</v>
      </c>
      <c r="C7180" s="11" t="s">
        <v>17</v>
      </c>
      <c r="D7180" s="11" t="s">
        <v>18</v>
      </c>
      <c r="E7180" s="12" t="s">
        <v>1672</v>
      </c>
      <c r="F7180" s="12" t="s">
        <v>1673</v>
      </c>
      <c r="G7180" s="12" t="s">
        <v>29</v>
      </c>
      <c r="H7180" s="11" t="s">
        <v>63</v>
      </c>
      <c r="I7180" s="13" t="s">
        <v>14976</v>
      </c>
      <c r="J7180" s="14" t="str">
        <f>HYPERLINK("https://www.boe.es/gazeta/dias/1839/08/24/pdfs/GMD-1839-1745.pdf#page=1","Abrir facsímil")</f>
        <v>Abrir facsímil</v>
      </c>
      <c r="K7180" s="12" t="s">
        <v>65</v>
      </c>
    </row>
    <row r="7181" spans="1:11" ht="40.049999999999997" customHeight="1" x14ac:dyDescent="0.25">
      <c r="A7181" s="11" t="s">
        <v>14913</v>
      </c>
      <c r="B7181" s="11" t="s">
        <v>14914</v>
      </c>
      <c r="C7181" s="11" t="s">
        <v>101</v>
      </c>
      <c r="D7181" s="11" t="s">
        <v>43</v>
      </c>
      <c r="E7181" s="12" t="s">
        <v>276</v>
      </c>
      <c r="F7181" s="12" t="s">
        <v>277</v>
      </c>
      <c r="G7181" s="12" t="s">
        <v>29</v>
      </c>
      <c r="H7181" s="11" t="s">
        <v>63</v>
      </c>
      <c r="I7181" s="13" t="s">
        <v>14977</v>
      </c>
      <c r="J7181" s="14" t="str">
        <f>HYPERLINK("https://www.boe.es/gazeta/dias/1839/09/24/pdfs/GMD-1839-1780.pdf#page=1","Abrir facsímil")</f>
        <v>Abrir facsímil</v>
      </c>
      <c r="K7181" s="12" t="s">
        <v>65</v>
      </c>
    </row>
    <row r="7182" spans="1:11" ht="40.049999999999997" customHeight="1" x14ac:dyDescent="0.25">
      <c r="A7182" s="11" t="s">
        <v>14913</v>
      </c>
      <c r="B7182" s="11" t="s">
        <v>14914</v>
      </c>
      <c r="C7182" s="11" t="s">
        <v>59</v>
      </c>
      <c r="D7182" s="11" t="s">
        <v>60</v>
      </c>
      <c r="E7182" s="12" t="s">
        <v>416</v>
      </c>
      <c r="F7182" s="12" t="s">
        <v>417</v>
      </c>
      <c r="G7182" s="12" t="s">
        <v>29</v>
      </c>
      <c r="H7182" s="11" t="s">
        <v>63</v>
      </c>
      <c r="I7182" s="13" t="s">
        <v>14978</v>
      </c>
      <c r="J7182" s="14" t="str">
        <f>HYPERLINK("https://www.boe.es/gazeta/dias/1839/10/24/pdfs/GMD-1839-1810.pdf#page=1","Abrir facsímil")</f>
        <v>Abrir facsímil</v>
      </c>
      <c r="K7182" s="12" t="s">
        <v>65</v>
      </c>
    </row>
    <row r="7183" spans="1:11" ht="40.049999999999997" customHeight="1" x14ac:dyDescent="0.25">
      <c r="A7183" s="11" t="s">
        <v>14913</v>
      </c>
      <c r="B7183" s="11" t="s">
        <v>14914</v>
      </c>
      <c r="C7183" s="11" t="s">
        <v>17</v>
      </c>
      <c r="D7183" s="11" t="s">
        <v>18</v>
      </c>
      <c r="E7183" s="12" t="s">
        <v>844</v>
      </c>
      <c r="F7183" s="12" t="s">
        <v>845</v>
      </c>
      <c r="G7183" s="12" t="s">
        <v>29</v>
      </c>
      <c r="H7183" s="11" t="s">
        <v>63</v>
      </c>
      <c r="I7183" s="13" t="s">
        <v>14979</v>
      </c>
      <c r="J7183" s="14" t="str">
        <f>HYPERLINK("https://www.boe.es/gazeta/dias/1839/12/24/pdfs/GMD-1839-1871.pdf#page=1","Abrir facsímil")</f>
        <v>Abrir facsímil</v>
      </c>
      <c r="K7183" s="12" t="s">
        <v>65</v>
      </c>
    </row>
    <row r="7184" spans="1:11" ht="40.049999999999997" customHeight="1" x14ac:dyDescent="0.25">
      <c r="A7184" s="11" t="s">
        <v>14913</v>
      </c>
      <c r="B7184" s="11" t="s">
        <v>14914</v>
      </c>
      <c r="C7184" s="11" t="s">
        <v>80</v>
      </c>
      <c r="D7184" s="11" t="s">
        <v>18</v>
      </c>
      <c r="E7184" s="12" t="s">
        <v>111</v>
      </c>
      <c r="F7184" s="12" t="s">
        <v>112</v>
      </c>
      <c r="G7184" s="12" t="s">
        <v>29</v>
      </c>
      <c r="H7184" s="11" t="s">
        <v>63</v>
      </c>
      <c r="I7184" s="13" t="s">
        <v>14980</v>
      </c>
      <c r="J7184" s="14" t="str">
        <f>HYPERLINK("https://www.boe.es/gazeta/dias/1839/07/25/pdfs/GMD-1839-1714.pdf#page=1","Abrir facsímil")</f>
        <v>Abrir facsímil</v>
      </c>
      <c r="K7184" s="12" t="s">
        <v>65</v>
      </c>
    </row>
    <row r="7185" spans="1:11" ht="40.049999999999997" customHeight="1" x14ac:dyDescent="0.25">
      <c r="A7185" s="11" t="s">
        <v>14913</v>
      </c>
      <c r="B7185" s="11" t="s">
        <v>14914</v>
      </c>
      <c r="C7185" s="11" t="s">
        <v>17</v>
      </c>
      <c r="D7185" s="11" t="s">
        <v>18</v>
      </c>
      <c r="E7185" s="12" t="s">
        <v>375</v>
      </c>
      <c r="F7185" s="12" t="s">
        <v>376</v>
      </c>
      <c r="G7185" s="12" t="s">
        <v>29</v>
      </c>
      <c r="H7185" s="11" t="s">
        <v>63</v>
      </c>
      <c r="I7185" s="13" t="s">
        <v>14981</v>
      </c>
      <c r="J7185" s="14" t="str">
        <f>HYPERLINK("https://www.boe.es/gazeta/dias/1839/11/25/pdfs/GMD-1839-1842.pdf#page=1","Abrir facsímil")</f>
        <v>Abrir facsímil</v>
      </c>
      <c r="K7185" s="12" t="s">
        <v>65</v>
      </c>
    </row>
    <row r="7186" spans="1:11" ht="40.049999999999997" customHeight="1" x14ac:dyDescent="0.25">
      <c r="A7186" s="11" t="s">
        <v>14913</v>
      </c>
      <c r="B7186" s="11" t="s">
        <v>14914</v>
      </c>
      <c r="C7186" s="11" t="s">
        <v>17</v>
      </c>
      <c r="D7186" s="11" t="s">
        <v>18</v>
      </c>
      <c r="E7186" s="12" t="s">
        <v>349</v>
      </c>
      <c r="F7186" s="12" t="s">
        <v>350</v>
      </c>
      <c r="G7186" s="12" t="s">
        <v>29</v>
      </c>
      <c r="H7186" s="11" t="s">
        <v>63</v>
      </c>
      <c r="I7186" s="13" t="s">
        <v>14982</v>
      </c>
      <c r="J7186" s="14" t="str">
        <f>HYPERLINK("https://www.boe.es/gazeta/dias/1839/12/25/pdfs/GMD-1839-1872.pdf#page=1","Abrir facsímil")</f>
        <v>Abrir facsímil</v>
      </c>
      <c r="K7186" s="12" t="s">
        <v>65</v>
      </c>
    </row>
    <row r="7187" spans="1:11" ht="40.049999999999997" customHeight="1" x14ac:dyDescent="0.25">
      <c r="A7187" s="11" t="s">
        <v>14913</v>
      </c>
      <c r="B7187" s="11" t="s">
        <v>14914</v>
      </c>
      <c r="C7187" s="11" t="s">
        <v>17</v>
      </c>
      <c r="D7187" s="11" t="s">
        <v>18</v>
      </c>
      <c r="E7187" s="12" t="s">
        <v>638</v>
      </c>
      <c r="F7187" s="12" t="s">
        <v>639</v>
      </c>
      <c r="G7187" s="12" t="s">
        <v>29</v>
      </c>
      <c r="H7187" s="11" t="s">
        <v>63</v>
      </c>
      <c r="I7187" s="13" t="s">
        <v>14983</v>
      </c>
      <c r="J7187" s="14" t="str">
        <f>HYPERLINK("https://www.boe.es/gazeta/dias/1839/08/26/pdfs/GMD-1839-1747.pdf#page=1","Abrir facsímil")</f>
        <v>Abrir facsímil</v>
      </c>
      <c r="K7187" s="12" t="s">
        <v>65</v>
      </c>
    </row>
    <row r="7188" spans="1:11" ht="40.049999999999997" customHeight="1" x14ac:dyDescent="0.25">
      <c r="A7188" s="11" t="s">
        <v>14913</v>
      </c>
      <c r="B7188" s="11" t="s">
        <v>14914</v>
      </c>
      <c r="C7188" s="11" t="s">
        <v>59</v>
      </c>
      <c r="D7188" s="11" t="s">
        <v>60</v>
      </c>
      <c r="E7188" s="12" t="s">
        <v>1086</v>
      </c>
      <c r="F7188" s="12" t="s">
        <v>1087</v>
      </c>
      <c r="G7188" s="12" t="s">
        <v>29</v>
      </c>
      <c r="H7188" s="11" t="s">
        <v>63</v>
      </c>
      <c r="I7188" s="13" t="s">
        <v>14984</v>
      </c>
      <c r="J7188" s="14" t="str">
        <f>HYPERLINK("https://www.boe.es/gazeta/dias/1839/10/26/pdfs/GMD-1839-1812.pdf#page=1","Abrir facsímil")</f>
        <v>Abrir facsímil</v>
      </c>
      <c r="K7188" s="12" t="s">
        <v>65</v>
      </c>
    </row>
    <row r="7189" spans="1:11" ht="40.049999999999997" customHeight="1" x14ac:dyDescent="0.25">
      <c r="A7189" s="11" t="s">
        <v>14913</v>
      </c>
      <c r="B7189" s="11" t="s">
        <v>14914</v>
      </c>
      <c r="C7189" s="11" t="s">
        <v>80</v>
      </c>
      <c r="D7189" s="11" t="s">
        <v>18</v>
      </c>
      <c r="E7189" s="12" t="s">
        <v>1159</v>
      </c>
      <c r="F7189" s="12" t="s">
        <v>1160</v>
      </c>
      <c r="G7189" s="12" t="s">
        <v>29</v>
      </c>
      <c r="H7189" s="11" t="s">
        <v>63</v>
      </c>
      <c r="I7189" s="13" t="s">
        <v>14985</v>
      </c>
      <c r="J7189" s="14" t="str">
        <f>HYPERLINK("https://www.boe.es/gazeta/dias/1839/11/26/pdfs/GMD-1839-1843.pdf#page=1","Abrir facsímil")</f>
        <v>Abrir facsímil</v>
      </c>
      <c r="K7189" s="12" t="s">
        <v>65</v>
      </c>
    </row>
    <row r="7190" spans="1:11" ht="40.049999999999997" customHeight="1" x14ac:dyDescent="0.25">
      <c r="A7190" s="11" t="s">
        <v>14913</v>
      </c>
      <c r="B7190" s="11" t="s">
        <v>14914</v>
      </c>
      <c r="C7190" s="11" t="s">
        <v>80</v>
      </c>
      <c r="D7190" s="11" t="s">
        <v>18</v>
      </c>
      <c r="E7190" s="12" t="s">
        <v>522</v>
      </c>
      <c r="F7190" s="12" t="s">
        <v>523</v>
      </c>
      <c r="G7190" s="12" t="s">
        <v>29</v>
      </c>
      <c r="H7190" s="11" t="s">
        <v>63</v>
      </c>
      <c r="I7190" s="13" t="s">
        <v>14986</v>
      </c>
      <c r="J7190" s="14" t="str">
        <f>HYPERLINK("https://www.boe.es/gazeta/dias/1839/08/27/pdfs/GMD-1839-1748.pdf#page=1","Abrir facsímil")</f>
        <v>Abrir facsímil</v>
      </c>
      <c r="K7190" s="12" t="s">
        <v>65</v>
      </c>
    </row>
    <row r="7191" spans="1:11" ht="40.049999999999997" customHeight="1" x14ac:dyDescent="0.25">
      <c r="A7191" s="11" t="s">
        <v>14913</v>
      </c>
      <c r="B7191" s="11" t="s">
        <v>14914</v>
      </c>
      <c r="C7191" s="11" t="s">
        <v>59</v>
      </c>
      <c r="D7191" s="11" t="s">
        <v>60</v>
      </c>
      <c r="E7191" s="12" t="s">
        <v>571</v>
      </c>
      <c r="F7191" s="12" t="s">
        <v>572</v>
      </c>
      <c r="G7191" s="12" t="s">
        <v>29</v>
      </c>
      <c r="H7191" s="11" t="s">
        <v>63</v>
      </c>
      <c r="I7191" s="13" t="s">
        <v>14987</v>
      </c>
      <c r="J7191" s="14" t="str">
        <f>HYPERLINK("https://www.boe.es/gazeta/dias/1839/09/27/pdfs/GMD-1839-1783.pdf#page=1","Abrir facsímil")</f>
        <v>Abrir facsímil</v>
      </c>
      <c r="K7191" s="12" t="s">
        <v>65</v>
      </c>
    </row>
    <row r="7192" spans="1:11" ht="40.049999999999997" customHeight="1" x14ac:dyDescent="0.25">
      <c r="A7192" s="11" t="s">
        <v>14913</v>
      </c>
      <c r="B7192" s="11" t="s">
        <v>14914</v>
      </c>
      <c r="C7192" s="11" t="s">
        <v>101</v>
      </c>
      <c r="D7192" s="11" t="s">
        <v>102</v>
      </c>
      <c r="E7192" s="12" t="s">
        <v>1909</v>
      </c>
      <c r="F7192" s="12" t="s">
        <v>1910</v>
      </c>
      <c r="G7192" s="12" t="s">
        <v>29</v>
      </c>
      <c r="H7192" s="11" t="s">
        <v>63</v>
      </c>
      <c r="I7192" s="13" t="s">
        <v>14988</v>
      </c>
      <c r="J7192" s="14" t="str">
        <f>HYPERLINK("https://www.boe.es/gazeta/dias/1839/10/27/pdfs/GMD-1839-1813.pdf#page=1","Abrir facsímil")</f>
        <v>Abrir facsímil</v>
      </c>
      <c r="K7192" s="12" t="s">
        <v>65</v>
      </c>
    </row>
    <row r="7193" spans="1:11" ht="40.049999999999997" customHeight="1" x14ac:dyDescent="0.25">
      <c r="A7193" s="11" t="s">
        <v>14913</v>
      </c>
      <c r="B7193" s="11" t="s">
        <v>14914</v>
      </c>
      <c r="C7193" s="11" t="s">
        <v>17</v>
      </c>
      <c r="D7193" s="11" t="s">
        <v>18</v>
      </c>
      <c r="E7193" s="12" t="s">
        <v>287</v>
      </c>
      <c r="F7193" s="12" t="s">
        <v>288</v>
      </c>
      <c r="G7193" s="12" t="s">
        <v>29</v>
      </c>
      <c r="H7193" s="11" t="s">
        <v>63</v>
      </c>
      <c r="I7193" s="13" t="s">
        <v>14989</v>
      </c>
      <c r="J7193" s="14" t="str">
        <f>HYPERLINK("https://www.boe.es/gazeta/dias/1839/11/27/pdfs/GMD-1839-1844.pdf#page=1","Abrir facsímil")</f>
        <v>Abrir facsímil</v>
      </c>
      <c r="K7193" s="12" t="s">
        <v>65</v>
      </c>
    </row>
    <row r="7194" spans="1:11" ht="40.049999999999997" customHeight="1" x14ac:dyDescent="0.25">
      <c r="A7194" s="11" t="s">
        <v>14913</v>
      </c>
      <c r="B7194" s="11" t="s">
        <v>14914</v>
      </c>
      <c r="C7194" s="11" t="s">
        <v>17</v>
      </c>
      <c r="D7194" s="11" t="s">
        <v>18</v>
      </c>
      <c r="E7194" s="12" t="s">
        <v>1520</v>
      </c>
      <c r="F7194" s="12" t="s">
        <v>1521</v>
      </c>
      <c r="G7194" s="12" t="s">
        <v>29</v>
      </c>
      <c r="H7194" s="11" t="s">
        <v>63</v>
      </c>
      <c r="I7194" s="13" t="s">
        <v>14990</v>
      </c>
      <c r="J7194" s="14" t="str">
        <f>HYPERLINK("https://www.boe.es/gazeta/dias/1839/12/27/pdfs/GMD-1839-1874.pdf#page=1","Abrir facsímil")</f>
        <v>Abrir facsímil</v>
      </c>
      <c r="K7194" s="12" t="s">
        <v>65</v>
      </c>
    </row>
    <row r="7195" spans="1:11" ht="40.049999999999997" customHeight="1" x14ac:dyDescent="0.25">
      <c r="A7195" s="11" t="s">
        <v>14913</v>
      </c>
      <c r="B7195" s="11" t="s">
        <v>14914</v>
      </c>
      <c r="C7195" s="11" t="s">
        <v>59</v>
      </c>
      <c r="D7195" s="11" t="s">
        <v>60</v>
      </c>
      <c r="E7195" s="12" t="s">
        <v>574</v>
      </c>
      <c r="F7195" s="12" t="s">
        <v>575</v>
      </c>
      <c r="G7195" s="12" t="s">
        <v>29</v>
      </c>
      <c r="H7195" s="11" t="s">
        <v>63</v>
      </c>
      <c r="I7195" s="13" t="s">
        <v>14991</v>
      </c>
      <c r="J7195" s="14" t="str">
        <f>HYPERLINK("https://www.boe.es/gazeta/dias/1839/09/28/pdfs/GMD-1839-1784.pdf#page=1","Abrir facsímil")</f>
        <v>Abrir facsímil</v>
      </c>
      <c r="K7195" s="12" t="s">
        <v>65</v>
      </c>
    </row>
    <row r="7196" spans="1:11" ht="40.049999999999997" customHeight="1" x14ac:dyDescent="0.25">
      <c r="A7196" s="11" t="s">
        <v>14913</v>
      </c>
      <c r="B7196" s="11" t="s">
        <v>14914</v>
      </c>
      <c r="C7196" s="11" t="s">
        <v>17</v>
      </c>
      <c r="D7196" s="11" t="s">
        <v>18</v>
      </c>
      <c r="E7196" s="12" t="s">
        <v>862</v>
      </c>
      <c r="F7196" s="12" t="s">
        <v>863</v>
      </c>
      <c r="G7196" s="12" t="s">
        <v>29</v>
      </c>
      <c r="H7196" s="11" t="s">
        <v>63</v>
      </c>
      <c r="I7196" s="13" t="s">
        <v>14992</v>
      </c>
      <c r="J7196" s="14" t="str">
        <f>HYPERLINK("https://www.boe.es/gazeta/dias/1839/10/28/pdfs/GMD-1839-1814.pdf#page=1","Abrir facsímil")</f>
        <v>Abrir facsímil</v>
      </c>
      <c r="K7196" s="12" t="s">
        <v>65</v>
      </c>
    </row>
    <row r="7197" spans="1:11" ht="40.049999999999997" customHeight="1" x14ac:dyDescent="0.25">
      <c r="A7197" s="11" t="s">
        <v>14913</v>
      </c>
      <c r="B7197" s="11" t="s">
        <v>14914</v>
      </c>
      <c r="C7197" s="11" t="s">
        <v>17</v>
      </c>
      <c r="D7197" s="11" t="s">
        <v>18</v>
      </c>
      <c r="E7197" s="12" t="s">
        <v>892</v>
      </c>
      <c r="F7197" s="12" t="s">
        <v>893</v>
      </c>
      <c r="G7197" s="12" t="s">
        <v>29</v>
      </c>
      <c r="H7197" s="11" t="s">
        <v>63</v>
      </c>
      <c r="I7197" s="13" t="s">
        <v>14993</v>
      </c>
      <c r="J7197" s="14" t="str">
        <f>HYPERLINK("https://www.boe.es/gazeta/dias/1839/12/28/pdfs/GMD-1839-1875.pdf#page=1","Abrir facsímil")</f>
        <v>Abrir facsímil</v>
      </c>
      <c r="K7197" s="12" t="s">
        <v>65</v>
      </c>
    </row>
    <row r="7198" spans="1:11" ht="40.049999999999997" customHeight="1" x14ac:dyDescent="0.25">
      <c r="A7198" s="11" t="s">
        <v>14913</v>
      </c>
      <c r="B7198" s="11" t="s">
        <v>14914</v>
      </c>
      <c r="C7198" s="11" t="s">
        <v>137</v>
      </c>
      <c r="D7198" s="11" t="s">
        <v>18</v>
      </c>
      <c r="E7198" s="12" t="s">
        <v>308</v>
      </c>
      <c r="F7198" s="12" t="s">
        <v>309</v>
      </c>
      <c r="G7198" s="12" t="s">
        <v>29</v>
      </c>
      <c r="H7198" s="11" t="s">
        <v>63</v>
      </c>
      <c r="I7198" s="13" t="s">
        <v>14994</v>
      </c>
      <c r="J7198" s="14" t="str">
        <f>HYPERLINK("https://www.boe.es/gazeta/dias/1839/07/29/pdfs/GMD-1839-1718.pdf#page=1","Abrir facsímil")</f>
        <v>Abrir facsímil</v>
      </c>
      <c r="K7198" s="12" t="s">
        <v>65</v>
      </c>
    </row>
    <row r="7199" spans="1:11" ht="40.049999999999997" customHeight="1" x14ac:dyDescent="0.25">
      <c r="A7199" s="11" t="s">
        <v>14913</v>
      </c>
      <c r="B7199" s="11" t="s">
        <v>14914</v>
      </c>
      <c r="C7199" s="11" t="s">
        <v>17</v>
      </c>
      <c r="D7199" s="11" t="s">
        <v>18</v>
      </c>
      <c r="E7199" s="12" t="s">
        <v>1523</v>
      </c>
      <c r="F7199" s="12" t="s">
        <v>1524</v>
      </c>
      <c r="G7199" s="12" t="s">
        <v>29</v>
      </c>
      <c r="H7199" s="11" t="s">
        <v>63</v>
      </c>
      <c r="I7199" s="13" t="s">
        <v>14995</v>
      </c>
      <c r="J7199" s="14" t="str">
        <f>HYPERLINK("https://www.boe.es/gazeta/dias/1839/08/29/pdfs/GMD-1839-1750.pdf#page=1","Abrir facsímil")</f>
        <v>Abrir facsímil</v>
      </c>
      <c r="K7199" s="12" t="s">
        <v>65</v>
      </c>
    </row>
    <row r="7200" spans="1:11" ht="40.049999999999997" customHeight="1" x14ac:dyDescent="0.25">
      <c r="A7200" s="11" t="s">
        <v>14913</v>
      </c>
      <c r="B7200" s="11" t="s">
        <v>14914</v>
      </c>
      <c r="C7200" s="11" t="s">
        <v>17</v>
      </c>
      <c r="D7200" s="11" t="s">
        <v>18</v>
      </c>
      <c r="E7200" s="12" t="s">
        <v>1988</v>
      </c>
      <c r="F7200" s="12" t="s">
        <v>1989</v>
      </c>
      <c r="G7200" s="12" t="s">
        <v>29</v>
      </c>
      <c r="H7200" s="11" t="s">
        <v>63</v>
      </c>
      <c r="I7200" s="13" t="s">
        <v>14996</v>
      </c>
      <c r="J7200" s="14" t="str">
        <f>HYPERLINK("https://www.boe.es/gazeta/dias/1839/10/29/pdfs/GMD-1839-1815.pdf#page=1","Abrir facsímil")</f>
        <v>Abrir facsímil</v>
      </c>
      <c r="K7200" s="12" t="s">
        <v>65</v>
      </c>
    </row>
    <row r="7201" spans="1:11" ht="40.049999999999997" customHeight="1" x14ac:dyDescent="0.25">
      <c r="A7201" s="11" t="s">
        <v>14913</v>
      </c>
      <c r="B7201" s="11" t="s">
        <v>14914</v>
      </c>
      <c r="C7201" s="11" t="s">
        <v>17</v>
      </c>
      <c r="D7201" s="11" t="s">
        <v>18</v>
      </c>
      <c r="E7201" s="12" t="s">
        <v>4292</v>
      </c>
      <c r="F7201" s="12" t="s">
        <v>4293</v>
      </c>
      <c r="G7201" s="12" t="s">
        <v>29</v>
      </c>
      <c r="H7201" s="11" t="s">
        <v>63</v>
      </c>
      <c r="I7201" s="13" t="s">
        <v>14997</v>
      </c>
      <c r="J7201" s="14" t="str">
        <f>HYPERLINK("https://www.boe.es/gazeta/dias/1839/11/29/pdfs/GMD-1839-1846.pdf#page=1","Abrir facsímil")</f>
        <v>Abrir facsímil</v>
      </c>
      <c r="K7201" s="12" t="s">
        <v>65</v>
      </c>
    </row>
    <row r="7202" spans="1:11" ht="40.049999999999997" customHeight="1" x14ac:dyDescent="0.25">
      <c r="A7202" s="11" t="s">
        <v>14913</v>
      </c>
      <c r="B7202" s="11" t="s">
        <v>14914</v>
      </c>
      <c r="C7202" s="11" t="s">
        <v>59</v>
      </c>
      <c r="D7202" s="11" t="s">
        <v>60</v>
      </c>
      <c r="E7202" s="12" t="s">
        <v>2522</v>
      </c>
      <c r="F7202" s="12" t="s">
        <v>2523</v>
      </c>
      <c r="G7202" s="12" t="s">
        <v>29</v>
      </c>
      <c r="H7202" s="11" t="s">
        <v>63</v>
      </c>
      <c r="I7202" s="13" t="s">
        <v>14998</v>
      </c>
      <c r="J7202" s="14" t="str">
        <f>HYPERLINK("https://www.boe.es/gazeta/dias/1839/12/29/pdfs/GMD-1839-1876.pdf#page=1","Abrir facsímil")</f>
        <v>Abrir facsímil</v>
      </c>
      <c r="K7202" s="12" t="s">
        <v>65</v>
      </c>
    </row>
    <row r="7203" spans="1:11" ht="40.049999999999997" customHeight="1" x14ac:dyDescent="0.25">
      <c r="A7203" s="11" t="s">
        <v>14913</v>
      </c>
      <c r="B7203" s="11" t="s">
        <v>14914</v>
      </c>
      <c r="C7203" s="11" t="s">
        <v>17</v>
      </c>
      <c r="D7203" s="11" t="s">
        <v>18</v>
      </c>
      <c r="E7203" s="12" t="s">
        <v>1118</v>
      </c>
      <c r="F7203" s="12" t="s">
        <v>1119</v>
      </c>
      <c r="G7203" s="12" t="s">
        <v>29</v>
      </c>
      <c r="H7203" s="11" t="s">
        <v>63</v>
      </c>
      <c r="I7203" s="13" t="s">
        <v>14999</v>
      </c>
      <c r="J7203" s="14" t="str">
        <f>HYPERLINK("https://www.boe.es/gazeta/dias/1839/08/30/pdfs/GMD-1839-1751.pdf#page=1","Abrir facsímil")</f>
        <v>Abrir facsímil</v>
      </c>
      <c r="K7203" s="12" t="s">
        <v>65</v>
      </c>
    </row>
    <row r="7204" spans="1:11" ht="40.049999999999997" customHeight="1" x14ac:dyDescent="0.25">
      <c r="A7204" s="11" t="s">
        <v>14913</v>
      </c>
      <c r="B7204" s="11" t="s">
        <v>14914</v>
      </c>
      <c r="C7204" s="11" t="s">
        <v>17</v>
      </c>
      <c r="D7204" s="11" t="s">
        <v>18</v>
      </c>
      <c r="E7204" s="12" t="s">
        <v>577</v>
      </c>
      <c r="F7204" s="12" t="s">
        <v>578</v>
      </c>
      <c r="G7204" s="12" t="s">
        <v>29</v>
      </c>
      <c r="H7204" s="11" t="s">
        <v>63</v>
      </c>
      <c r="I7204" s="13" t="s">
        <v>15000</v>
      </c>
      <c r="J7204" s="14" t="str">
        <f>HYPERLINK("https://www.boe.es/gazeta/dias/1839/09/30/pdfs/GMD-1839-1786.pdf#page=1","Abrir facsímil")</f>
        <v>Abrir facsímil</v>
      </c>
      <c r="K7204" s="12" t="s">
        <v>65</v>
      </c>
    </row>
    <row r="7205" spans="1:11" ht="40.049999999999997" customHeight="1" x14ac:dyDescent="0.25">
      <c r="A7205" s="11" t="s">
        <v>14913</v>
      </c>
      <c r="B7205" s="11" t="s">
        <v>14914</v>
      </c>
      <c r="C7205" s="11" t="s">
        <v>59</v>
      </c>
      <c r="D7205" s="11" t="s">
        <v>60</v>
      </c>
      <c r="E7205" s="12" t="s">
        <v>1287</v>
      </c>
      <c r="F7205" s="12" t="s">
        <v>1288</v>
      </c>
      <c r="G7205" s="12" t="s">
        <v>29</v>
      </c>
      <c r="H7205" s="11" t="s">
        <v>63</v>
      </c>
      <c r="I7205" s="13" t="s">
        <v>15001</v>
      </c>
      <c r="J7205" s="14" t="str">
        <f>HYPERLINK("https://www.boe.es/gazeta/dias/1839/10/30/pdfs/GMD-1839-1816.pdf#page=1","Abrir facsímil")</f>
        <v>Abrir facsímil</v>
      </c>
      <c r="K7205" s="12" t="s">
        <v>65</v>
      </c>
    </row>
    <row r="7206" spans="1:11" ht="40.049999999999997" customHeight="1" x14ac:dyDescent="0.25">
      <c r="A7206" s="11" t="s">
        <v>14913</v>
      </c>
      <c r="B7206" s="11" t="s">
        <v>14914</v>
      </c>
      <c r="C7206" s="11" t="s">
        <v>17</v>
      </c>
      <c r="D7206" s="11" t="s">
        <v>18</v>
      </c>
      <c r="E7206" s="12" t="s">
        <v>312</v>
      </c>
      <c r="F7206" s="12" t="s">
        <v>313</v>
      </c>
      <c r="G7206" s="12" t="s">
        <v>29</v>
      </c>
      <c r="H7206" s="11" t="s">
        <v>63</v>
      </c>
      <c r="I7206" s="13" t="s">
        <v>15002</v>
      </c>
      <c r="J7206" s="14" t="str">
        <f>HYPERLINK("https://www.boe.es/gazeta/dias/1839/11/30/pdfs/GMD-1839-1847.pdf#page=1","Abrir facsímil")</f>
        <v>Abrir facsímil</v>
      </c>
      <c r="K7206" s="12" t="s">
        <v>65</v>
      </c>
    </row>
    <row r="7207" spans="1:11" ht="40.049999999999997" customHeight="1" x14ac:dyDescent="0.25">
      <c r="A7207" s="11" t="s">
        <v>14913</v>
      </c>
      <c r="B7207" s="11" t="s">
        <v>14914</v>
      </c>
      <c r="C7207" s="11" t="s">
        <v>101</v>
      </c>
      <c r="D7207" s="11" t="s">
        <v>102</v>
      </c>
      <c r="E7207" s="12" t="s">
        <v>951</v>
      </c>
      <c r="F7207" s="12" t="s">
        <v>952</v>
      </c>
      <c r="G7207" s="12" t="s">
        <v>29</v>
      </c>
      <c r="H7207" s="11" t="s">
        <v>63</v>
      </c>
      <c r="I7207" s="13" t="s">
        <v>15003</v>
      </c>
      <c r="J7207" s="14" t="str">
        <f>HYPERLINK("https://www.boe.es/gazeta/dias/1839/12/30/pdfs/GMD-1839-1877.pdf#page=1","Abrir facsímil")</f>
        <v>Abrir facsímil</v>
      </c>
      <c r="K7207" s="12" t="s">
        <v>65</v>
      </c>
    </row>
    <row r="7208" spans="1:11" ht="40.049999999999997" customHeight="1" x14ac:dyDescent="0.25">
      <c r="A7208" s="11" t="s">
        <v>14913</v>
      </c>
      <c r="B7208" s="11" t="s">
        <v>14914</v>
      </c>
      <c r="C7208" s="11" t="s">
        <v>101</v>
      </c>
      <c r="D7208" s="11" t="s">
        <v>102</v>
      </c>
      <c r="E7208" s="12" t="s">
        <v>907</v>
      </c>
      <c r="F7208" s="12" t="s">
        <v>908</v>
      </c>
      <c r="G7208" s="12" t="s">
        <v>29</v>
      </c>
      <c r="H7208" s="11" t="s">
        <v>63</v>
      </c>
      <c r="I7208" s="13" t="s">
        <v>15004</v>
      </c>
      <c r="J7208" s="14" t="str">
        <f>HYPERLINK("https://www.boe.es/gazeta/dias/1839/07/31/pdfs/GMD-1839-1720.pdf#page=1","Abrir facsímil")</f>
        <v>Abrir facsímil</v>
      </c>
      <c r="K7208" s="12" t="s">
        <v>65</v>
      </c>
    </row>
    <row r="7209" spans="1:11" ht="40.049999999999997" customHeight="1" x14ac:dyDescent="0.25">
      <c r="A7209" s="11" t="s">
        <v>14913</v>
      </c>
      <c r="B7209" s="11" t="s">
        <v>14914</v>
      </c>
      <c r="C7209" s="11" t="s">
        <v>80</v>
      </c>
      <c r="D7209" s="11" t="s">
        <v>18</v>
      </c>
      <c r="E7209" s="12" t="s">
        <v>1696</v>
      </c>
      <c r="F7209" s="12" t="s">
        <v>1697</v>
      </c>
      <c r="G7209" s="12" t="s">
        <v>29</v>
      </c>
      <c r="H7209" s="11" t="s">
        <v>63</v>
      </c>
      <c r="I7209" s="13" t="s">
        <v>15005</v>
      </c>
      <c r="J7209" s="14" t="str">
        <f>HYPERLINK("https://www.boe.es/gazeta/dias/1839/08/31/pdfs/GMD-1839-1752.pdf#page=1","Abrir facsímil")</f>
        <v>Abrir facsímil</v>
      </c>
      <c r="K7209" s="12" t="s">
        <v>65</v>
      </c>
    </row>
    <row r="7210" spans="1:11" ht="40.049999999999997" customHeight="1" x14ac:dyDescent="0.25">
      <c r="A7210" s="11" t="s">
        <v>15006</v>
      </c>
      <c r="B7210" s="11" t="s">
        <v>15007</v>
      </c>
      <c r="C7210" s="11" t="s">
        <v>17</v>
      </c>
      <c r="D7210" s="11" t="s">
        <v>18</v>
      </c>
      <c r="E7210" s="12" t="s">
        <v>564</v>
      </c>
      <c r="F7210" s="12" t="s">
        <v>565</v>
      </c>
      <c r="G7210" s="12" t="s">
        <v>46</v>
      </c>
      <c r="H7210" s="11" t="s">
        <v>63</v>
      </c>
      <c r="I7210" s="13" t="s">
        <v>15008</v>
      </c>
      <c r="J7210" s="14" t="str">
        <f>HYPERLINK("https://www.boe.es/gazeta/dias/1839/10/17/pdfs/GMD-1839-1803.pdf#page=3","Abrir facsímil")</f>
        <v>Abrir facsímil</v>
      </c>
      <c r="K7210" s="12" t="s">
        <v>65</v>
      </c>
    </row>
    <row r="7211" spans="1:11" ht="40.049999999999997" customHeight="1" x14ac:dyDescent="0.25">
      <c r="A7211" s="11" t="s">
        <v>15009</v>
      </c>
      <c r="B7211" s="11" t="s">
        <v>15010</v>
      </c>
      <c r="C7211" s="11" t="s">
        <v>17</v>
      </c>
      <c r="D7211" s="11" t="s">
        <v>18</v>
      </c>
      <c r="E7211" s="12" t="s">
        <v>375</v>
      </c>
      <c r="F7211" s="12" t="s">
        <v>376</v>
      </c>
      <c r="G7211" s="12" t="s">
        <v>21</v>
      </c>
      <c r="H7211" s="11" t="s">
        <v>63</v>
      </c>
      <c r="I7211" s="13" t="s">
        <v>15011</v>
      </c>
      <c r="J7211" s="14" t="str">
        <f>HYPERLINK("https://www.boe.es/gazeta/dias/1839/11/25/pdfs/GMD-1839-1842.pdf#page=4","Abrir facsímil")</f>
        <v>Abrir facsímil</v>
      </c>
      <c r="K7211" s="12" t="s">
        <v>65</v>
      </c>
    </row>
    <row r="7212" spans="1:11" ht="40.049999999999997" customHeight="1" x14ac:dyDescent="0.25">
      <c r="A7212" s="11" t="s">
        <v>15012</v>
      </c>
      <c r="B7212" s="11" t="s">
        <v>15013</v>
      </c>
      <c r="C7212" s="11" t="s">
        <v>137</v>
      </c>
      <c r="D7212" s="11" t="s">
        <v>18</v>
      </c>
      <c r="E7212" s="12" t="s">
        <v>138</v>
      </c>
      <c r="F7212" s="12" t="s">
        <v>139</v>
      </c>
      <c r="G7212" s="12" t="s">
        <v>21</v>
      </c>
      <c r="H7212" s="11" t="s">
        <v>63</v>
      </c>
      <c r="I7212" s="13" t="s">
        <v>15014</v>
      </c>
      <c r="J7212" s="14" t="str">
        <f>HYPERLINK("https://www.boe.es/gazeta/dias/1839/10/09/pdfs/GMD-1839-1795.pdf#page=4","Abrir facsímil")</f>
        <v>Abrir facsímil</v>
      </c>
      <c r="K7212" s="12" t="s">
        <v>65</v>
      </c>
    </row>
    <row r="7213" spans="1:11" ht="40.049999999999997" customHeight="1" x14ac:dyDescent="0.25">
      <c r="A7213" s="11" t="s">
        <v>15015</v>
      </c>
      <c r="B7213" s="11" t="s">
        <v>15016</v>
      </c>
      <c r="C7213" s="11" t="s">
        <v>59</v>
      </c>
      <c r="D7213" s="11" t="s">
        <v>60</v>
      </c>
      <c r="E7213" s="12" t="s">
        <v>217</v>
      </c>
      <c r="F7213" s="12" t="s">
        <v>218</v>
      </c>
      <c r="G7213" s="12" t="s">
        <v>29</v>
      </c>
      <c r="H7213" s="11" t="s">
        <v>63</v>
      </c>
      <c r="I7213" s="13" t="s">
        <v>15017</v>
      </c>
      <c r="J7213" s="14" t="str">
        <f>HYPERLINK("https://www.boe.es/gazeta/dias/1839/08/06/pdfs/GMD-1839-1726.pdf#page=1","Abrir facsímil")</f>
        <v>Abrir facsímil</v>
      </c>
      <c r="K7213" s="12" t="s">
        <v>65</v>
      </c>
    </row>
    <row r="7214" spans="1:11" ht="40.049999999999997" customHeight="1" x14ac:dyDescent="0.25">
      <c r="A7214" s="11" t="s">
        <v>15015</v>
      </c>
      <c r="B7214" s="11" t="s">
        <v>15016</v>
      </c>
      <c r="C7214" s="11" t="s">
        <v>101</v>
      </c>
      <c r="D7214" s="11" t="s">
        <v>43</v>
      </c>
      <c r="E7214" s="12" t="s">
        <v>500</v>
      </c>
      <c r="F7214" s="12" t="s">
        <v>501</v>
      </c>
      <c r="G7214" s="12" t="s">
        <v>29</v>
      </c>
      <c r="H7214" s="11" t="s">
        <v>63</v>
      </c>
      <c r="I7214" s="13" t="s">
        <v>15018</v>
      </c>
      <c r="J7214" s="14" t="str">
        <f>HYPERLINK("https://www.boe.es/gazeta/dias/1839/11/06/pdfs/GMD-1839-1823.pdf#page=1","Abrir facsímil")</f>
        <v>Abrir facsímil</v>
      </c>
      <c r="K7214" s="12" t="s">
        <v>65</v>
      </c>
    </row>
    <row r="7215" spans="1:11" ht="40.049999999999997" customHeight="1" x14ac:dyDescent="0.25">
      <c r="A7215" s="11" t="s">
        <v>15015</v>
      </c>
      <c r="B7215" s="11" t="s">
        <v>15016</v>
      </c>
      <c r="C7215" s="11" t="s">
        <v>101</v>
      </c>
      <c r="D7215" s="11" t="s">
        <v>102</v>
      </c>
      <c r="E7215" s="12" t="s">
        <v>372</v>
      </c>
      <c r="F7215" s="12" t="s">
        <v>373</v>
      </c>
      <c r="G7215" s="12" t="s">
        <v>29</v>
      </c>
      <c r="H7215" s="11" t="s">
        <v>63</v>
      </c>
      <c r="I7215" s="13" t="s">
        <v>15019</v>
      </c>
      <c r="J7215" s="14" t="str">
        <f>HYPERLINK("https://www.boe.es/gazeta/dias/1839/11/08/pdfs/GMD-1839-1825.pdf#page=1","Abrir facsímil")</f>
        <v>Abrir facsímil</v>
      </c>
      <c r="K7215" s="12" t="s">
        <v>65</v>
      </c>
    </row>
    <row r="7216" spans="1:11" ht="40.049999999999997" customHeight="1" x14ac:dyDescent="0.25">
      <c r="A7216" s="11" t="s">
        <v>15015</v>
      </c>
      <c r="B7216" s="11" t="s">
        <v>15016</v>
      </c>
      <c r="C7216" s="11" t="s">
        <v>59</v>
      </c>
      <c r="D7216" s="11" t="s">
        <v>60</v>
      </c>
      <c r="E7216" s="12" t="s">
        <v>1301</v>
      </c>
      <c r="F7216" s="12" t="s">
        <v>1302</v>
      </c>
      <c r="G7216" s="12" t="s">
        <v>29</v>
      </c>
      <c r="H7216" s="11" t="s">
        <v>63</v>
      </c>
      <c r="I7216" s="13" t="s">
        <v>15020</v>
      </c>
      <c r="J7216" s="14" t="str">
        <f>HYPERLINK("https://www.boe.es/gazeta/dias/1839/11/16/pdfs/GMD-1839-1833.pdf#page=1","Abrir facsímil")</f>
        <v>Abrir facsímil</v>
      </c>
      <c r="K7216" s="12" t="s">
        <v>65</v>
      </c>
    </row>
    <row r="7217" spans="1:11" ht="40.049999999999997" customHeight="1" x14ac:dyDescent="0.25">
      <c r="A7217" s="11" t="s">
        <v>15015</v>
      </c>
      <c r="B7217" s="11" t="s">
        <v>15016</v>
      </c>
      <c r="C7217" s="11" t="s">
        <v>17</v>
      </c>
      <c r="D7217" s="11" t="s">
        <v>18</v>
      </c>
      <c r="E7217" s="12" t="s">
        <v>246</v>
      </c>
      <c r="F7217" s="12" t="s">
        <v>247</v>
      </c>
      <c r="G7217" s="12" t="s">
        <v>29</v>
      </c>
      <c r="H7217" s="11" t="s">
        <v>63</v>
      </c>
      <c r="I7217" s="13" t="s">
        <v>15021</v>
      </c>
      <c r="J7217" s="14" t="str">
        <f>HYPERLINK("https://www.boe.es/gazeta/dias/1839/11/24/pdfs/GMD-1839-1841.pdf#page=1","Abrir facsímil")</f>
        <v>Abrir facsímil</v>
      </c>
      <c r="K7217" s="12" t="s">
        <v>65</v>
      </c>
    </row>
    <row r="7218" spans="1:11" ht="40.049999999999997" customHeight="1" x14ac:dyDescent="0.25">
      <c r="A7218" s="11" t="s">
        <v>15022</v>
      </c>
      <c r="B7218" s="11" t="s">
        <v>15023</v>
      </c>
      <c r="C7218" s="11" t="s">
        <v>137</v>
      </c>
      <c r="D7218" s="11" t="s">
        <v>18</v>
      </c>
      <c r="E7218" s="12" t="s">
        <v>89</v>
      </c>
      <c r="F7218" s="12" t="s">
        <v>90</v>
      </c>
      <c r="G7218" s="12" t="s">
        <v>21</v>
      </c>
      <c r="H7218" s="11" t="s">
        <v>63</v>
      </c>
      <c r="I7218" s="13" t="s">
        <v>15024</v>
      </c>
      <c r="J7218" s="14" t="str">
        <f>HYPERLINK("https://www.boe.es/gazeta/dias/1839/11/28/pdfs/GMD-1839-1845.pdf#page=4","Abrir facsímil")</f>
        <v>Abrir facsímil</v>
      </c>
      <c r="K7218" s="12" t="s">
        <v>65</v>
      </c>
    </row>
    <row r="7219" spans="1:11" ht="40.049999999999997" customHeight="1" x14ac:dyDescent="0.25">
      <c r="A7219" s="11" t="s">
        <v>15025</v>
      </c>
      <c r="B7219" s="11" t="s">
        <v>15025</v>
      </c>
      <c r="C7219" s="11" t="s">
        <v>17</v>
      </c>
      <c r="D7219" s="11" t="s">
        <v>18</v>
      </c>
      <c r="E7219" s="12" t="s">
        <v>489</v>
      </c>
      <c r="F7219" s="12" t="s">
        <v>490</v>
      </c>
      <c r="G7219" s="12" t="s">
        <v>21</v>
      </c>
      <c r="H7219" s="11" t="s">
        <v>63</v>
      </c>
      <c r="I7219" s="13" t="s">
        <v>15026</v>
      </c>
      <c r="J7219" s="14" t="str">
        <f>HYPERLINK("https://www.boe.es/gazeta/dias/1839/06/29/pdfs/GMD-1839-1687.pdf#page=4","Abrir facsímil")</f>
        <v>Abrir facsímil</v>
      </c>
      <c r="K7219" s="12" t="s">
        <v>65</v>
      </c>
    </row>
    <row r="7220" spans="1:11" ht="40.049999999999997" customHeight="1" x14ac:dyDescent="0.25">
      <c r="A7220" s="11" t="s">
        <v>15027</v>
      </c>
      <c r="B7220" s="11" t="s">
        <v>15028</v>
      </c>
      <c r="C7220" s="11" t="s">
        <v>80</v>
      </c>
      <c r="D7220" s="11" t="s">
        <v>18</v>
      </c>
      <c r="E7220" s="12" t="s">
        <v>959</v>
      </c>
      <c r="F7220" s="12" t="s">
        <v>960</v>
      </c>
      <c r="G7220" s="12" t="s">
        <v>29</v>
      </c>
      <c r="H7220" s="11" t="s">
        <v>63</v>
      </c>
      <c r="I7220" s="13" t="s">
        <v>15029</v>
      </c>
      <c r="J7220" s="14" t="str">
        <f>HYPERLINK("https://www.boe.es/gazeta/dias/1839/12/06/pdfs/GMD-1839-1853.pdf#page=1","Abrir facsímil")</f>
        <v>Abrir facsímil</v>
      </c>
      <c r="K7220" s="12" t="s">
        <v>65</v>
      </c>
    </row>
    <row r="7221" spans="1:11" ht="40.049999999999997" customHeight="1" x14ac:dyDescent="0.25">
      <c r="A7221" s="11" t="s">
        <v>15030</v>
      </c>
      <c r="B7221" s="11" t="s">
        <v>15030</v>
      </c>
      <c r="C7221" s="11" t="s">
        <v>80</v>
      </c>
      <c r="D7221" s="11" t="s">
        <v>18</v>
      </c>
      <c r="E7221" s="12" t="s">
        <v>2491</v>
      </c>
      <c r="F7221" s="12" t="s">
        <v>2492</v>
      </c>
      <c r="G7221" s="12" t="s">
        <v>21</v>
      </c>
      <c r="H7221" s="11" t="s">
        <v>63</v>
      </c>
      <c r="I7221" s="13" t="s">
        <v>15031</v>
      </c>
      <c r="J7221" s="14" t="str">
        <f>HYPERLINK("https://www.boe.es/gazeta/dias/1839/05/01/pdfs/GMD-1839-1628.pdf#page=4","Abrir facsímil")</f>
        <v>Abrir facsímil</v>
      </c>
      <c r="K7221" s="12" t="s">
        <v>65</v>
      </c>
    </row>
    <row r="7222" spans="1:11" ht="40.049999999999997" customHeight="1" x14ac:dyDescent="0.25">
      <c r="A7222" s="11" t="s">
        <v>15032</v>
      </c>
      <c r="B7222" s="11" t="s">
        <v>15033</v>
      </c>
      <c r="C7222" s="11" t="s">
        <v>17</v>
      </c>
      <c r="D7222" s="11" t="s">
        <v>18</v>
      </c>
      <c r="E7222" s="12" t="s">
        <v>185</v>
      </c>
      <c r="F7222" s="12" t="s">
        <v>186</v>
      </c>
      <c r="G7222" s="12" t="s">
        <v>29</v>
      </c>
      <c r="H7222" s="11" t="s">
        <v>63</v>
      </c>
      <c r="I7222" s="13" t="s">
        <v>15034</v>
      </c>
      <c r="J7222" s="14" t="str">
        <f>HYPERLINK("https://www.boe.es/gazeta/dias/1839/01/15/pdfs/GMD-1839-1522.pdf#page=1","Abrir facsímil")</f>
        <v>Abrir facsímil</v>
      </c>
      <c r="K7222" s="12" t="s">
        <v>65</v>
      </c>
    </row>
    <row r="7223" spans="1:11" ht="40.049999999999997" customHeight="1" x14ac:dyDescent="0.25">
      <c r="A7223" s="11" t="s">
        <v>15035</v>
      </c>
      <c r="B7223" s="11" t="s">
        <v>15035</v>
      </c>
      <c r="C7223" s="11" t="s">
        <v>17</v>
      </c>
      <c r="D7223" s="11" t="s">
        <v>18</v>
      </c>
      <c r="E7223" s="12" t="s">
        <v>2021</v>
      </c>
      <c r="F7223" s="12" t="s">
        <v>2022</v>
      </c>
      <c r="G7223" s="12" t="s">
        <v>29</v>
      </c>
      <c r="H7223" s="11" t="s">
        <v>63</v>
      </c>
      <c r="I7223" s="13" t="s">
        <v>15036</v>
      </c>
      <c r="J7223" s="14" t="str">
        <f>HYPERLINK("https://www.boe.es/gazeta/dias/1839/02/17/pdfs/GMD-1839-1555.pdf#page=1","Abrir facsímil")</f>
        <v>Abrir facsímil</v>
      </c>
      <c r="K7223" s="12" t="s">
        <v>65</v>
      </c>
    </row>
    <row r="7224" spans="1:11" ht="40.049999999999997" customHeight="1" x14ac:dyDescent="0.25">
      <c r="A7224" s="11" t="s">
        <v>15035</v>
      </c>
      <c r="B7224" s="11" t="s">
        <v>15035</v>
      </c>
      <c r="C7224" s="11" t="s">
        <v>17</v>
      </c>
      <c r="D7224" s="11" t="s">
        <v>18</v>
      </c>
      <c r="E7224" s="12" t="s">
        <v>1988</v>
      </c>
      <c r="F7224" s="12" t="s">
        <v>1989</v>
      </c>
      <c r="G7224" s="12" t="s">
        <v>305</v>
      </c>
      <c r="H7224" s="11" t="s">
        <v>63</v>
      </c>
      <c r="I7224" s="13" t="s">
        <v>15037</v>
      </c>
      <c r="J7224" s="14" t="str">
        <f>HYPERLINK("https://www.boe.es/gazeta/dias/1839/10/29/pdfs/GMD-1839-1815.pdf#page=6","Abrir facsímil")</f>
        <v>Abrir facsímil</v>
      </c>
      <c r="K7224" s="12" t="s">
        <v>65</v>
      </c>
    </row>
    <row r="7225" spans="1:11" ht="40.049999999999997" customHeight="1" x14ac:dyDescent="0.25">
      <c r="A7225" s="11" t="s">
        <v>15038</v>
      </c>
      <c r="B7225" s="11" t="s">
        <v>15038</v>
      </c>
      <c r="C7225" s="11" t="s">
        <v>101</v>
      </c>
      <c r="D7225" s="11" t="s">
        <v>43</v>
      </c>
      <c r="E7225" s="12" t="s">
        <v>2155</v>
      </c>
      <c r="F7225" s="12" t="s">
        <v>2156</v>
      </c>
      <c r="G7225" s="12" t="s">
        <v>40</v>
      </c>
      <c r="H7225" s="11" t="s">
        <v>22</v>
      </c>
      <c r="I7225" s="13" t="s">
        <v>15039</v>
      </c>
      <c r="J7225" s="14" t="str">
        <f>HYPERLINK("https://www.boe.es/gazeta/dias/1839/01/17/pdfs/GMD-1839-1524.pdf#page=2","Abrir facsímil")</f>
        <v>Abrir facsímil</v>
      </c>
      <c r="K7225" s="12" t="s">
        <v>24</v>
      </c>
    </row>
    <row r="7226" spans="1:11" ht="40.049999999999997" customHeight="1" x14ac:dyDescent="0.25">
      <c r="A7226" s="11" t="s">
        <v>15040</v>
      </c>
      <c r="B7226" s="11" t="s">
        <v>15041</v>
      </c>
      <c r="C7226" s="11" t="s">
        <v>101</v>
      </c>
      <c r="D7226" s="11" t="s">
        <v>43</v>
      </c>
      <c r="E7226" s="12" t="s">
        <v>453</v>
      </c>
      <c r="F7226" s="12" t="s">
        <v>454</v>
      </c>
      <c r="G7226" s="12" t="s">
        <v>40</v>
      </c>
      <c r="H7226" s="11" t="s">
        <v>63</v>
      </c>
      <c r="I7226" s="13" t="s">
        <v>15042</v>
      </c>
      <c r="J7226" s="14" t="str">
        <f>HYPERLINK("https://www.boe.es/gazeta/dias/1839/02/07/pdfs/GMD-1839-1545.pdf#page=2","Abrir facsímil")</f>
        <v>Abrir facsímil</v>
      </c>
      <c r="K7226" s="12" t="s">
        <v>65</v>
      </c>
    </row>
    <row r="7227" spans="1:11" ht="40.049999999999997" customHeight="1" x14ac:dyDescent="0.25">
      <c r="A7227" s="11" t="s">
        <v>15043</v>
      </c>
      <c r="B7227" s="11" t="s">
        <v>15043</v>
      </c>
      <c r="C7227" s="11" t="s">
        <v>137</v>
      </c>
      <c r="D7227" s="11" t="s">
        <v>18</v>
      </c>
      <c r="E7227" s="12" t="s">
        <v>49</v>
      </c>
      <c r="F7227" s="12" t="s">
        <v>50</v>
      </c>
      <c r="G7227" s="12" t="s">
        <v>46</v>
      </c>
      <c r="H7227" s="11" t="s">
        <v>63</v>
      </c>
      <c r="I7227" s="13" t="s">
        <v>15044</v>
      </c>
      <c r="J7227" s="14" t="str">
        <f>HYPERLINK("https://www.boe.es/gazeta/dias/1839/01/05/pdfs/GMD-1839-1512.pdf#page=3","Abrir facsímil")</f>
        <v>Abrir facsímil</v>
      </c>
      <c r="K7227" s="12" t="s">
        <v>65</v>
      </c>
    </row>
    <row r="7228" spans="1:11" ht="40.049999999999997" customHeight="1" x14ac:dyDescent="0.25">
      <c r="A7228" s="11" t="s">
        <v>15045</v>
      </c>
      <c r="B7228" s="11" t="s">
        <v>15046</v>
      </c>
      <c r="C7228" s="11" t="s">
        <v>137</v>
      </c>
      <c r="D7228" s="11" t="s">
        <v>18</v>
      </c>
      <c r="E7228" s="12" t="s">
        <v>1685</v>
      </c>
      <c r="F7228" s="12" t="s">
        <v>1686</v>
      </c>
      <c r="G7228" s="12" t="s">
        <v>40</v>
      </c>
      <c r="H7228" s="11" t="s">
        <v>63</v>
      </c>
      <c r="I7228" s="13" t="s">
        <v>15047</v>
      </c>
      <c r="J7228" s="14" t="str">
        <f>HYPERLINK("https://www.boe.es/gazeta/dias/1839/04/27/pdfs/GMD-1839-1624.pdf#page=2","Abrir facsímil")</f>
        <v>Abrir facsímil</v>
      </c>
      <c r="K7228" s="12" t="s">
        <v>65</v>
      </c>
    </row>
    <row r="7229" spans="1:11" ht="40.049999999999997" customHeight="1" x14ac:dyDescent="0.25">
      <c r="A7229" s="11" t="s">
        <v>15048</v>
      </c>
      <c r="B7229" s="11" t="s">
        <v>15049</v>
      </c>
      <c r="C7229" s="11" t="s">
        <v>101</v>
      </c>
      <c r="D7229" s="11" t="s">
        <v>102</v>
      </c>
      <c r="E7229" s="12" t="s">
        <v>2069</v>
      </c>
      <c r="F7229" s="12" t="s">
        <v>2070</v>
      </c>
      <c r="G7229" s="12" t="s">
        <v>305</v>
      </c>
      <c r="H7229" s="11" t="s">
        <v>22</v>
      </c>
      <c r="I7229" s="13" t="s">
        <v>15050</v>
      </c>
      <c r="J7229" s="14" t="str">
        <f>HYPERLINK("https://www.boe.es/gazeta/dias/1839/10/20/pdfs/GMD-1839-1806.pdf#page=6","Abrir facsímil")</f>
        <v>Abrir facsímil</v>
      </c>
      <c r="K7229" s="12" t="s">
        <v>24</v>
      </c>
    </row>
    <row r="7230" spans="1:11" ht="40.049999999999997" customHeight="1" x14ac:dyDescent="0.25">
      <c r="A7230" s="11" t="s">
        <v>15051</v>
      </c>
      <c r="B7230" s="11" t="s">
        <v>15052</v>
      </c>
      <c r="C7230" s="11" t="s">
        <v>80</v>
      </c>
      <c r="D7230" s="11" t="s">
        <v>18</v>
      </c>
      <c r="E7230" s="12" t="s">
        <v>1929</v>
      </c>
      <c r="F7230" s="12" t="s">
        <v>1930</v>
      </c>
      <c r="G7230" s="12" t="s">
        <v>29</v>
      </c>
      <c r="H7230" s="11" t="s">
        <v>63</v>
      </c>
      <c r="I7230" s="13" t="s">
        <v>15053</v>
      </c>
      <c r="J7230" s="14" t="str">
        <f>HYPERLINK("https://www.boe.es/gazeta/dias/1839/02/01/pdfs/GMD-1839-1539.pdf#page=1","Abrir facsímil")</f>
        <v>Abrir facsímil</v>
      </c>
      <c r="K7230" s="12" t="s">
        <v>65</v>
      </c>
    </row>
    <row r="7231" spans="1:11" ht="40.049999999999997" customHeight="1" x14ac:dyDescent="0.25">
      <c r="A7231" s="11" t="s">
        <v>15054</v>
      </c>
      <c r="B7231" s="11" t="s">
        <v>15055</v>
      </c>
      <c r="C7231" s="11" t="s">
        <v>17</v>
      </c>
      <c r="D7231" s="11" t="s">
        <v>18</v>
      </c>
      <c r="E7231" s="12" t="s">
        <v>76</v>
      </c>
      <c r="F7231" s="12" t="s">
        <v>77</v>
      </c>
      <c r="G7231" s="12" t="s">
        <v>29</v>
      </c>
      <c r="H7231" s="11" t="s">
        <v>63</v>
      </c>
      <c r="I7231" s="13" t="s">
        <v>15056</v>
      </c>
      <c r="J7231" s="14" t="str">
        <f>HYPERLINK("https://www.boe.es/gazeta/dias/1839/03/13/pdfs/GMD-1839-1579.pdf#page=1","Abrir facsímil")</f>
        <v>Abrir facsímil</v>
      </c>
      <c r="K7231" s="12" t="s">
        <v>65</v>
      </c>
    </row>
    <row r="7232" spans="1:11" ht="40.049999999999997" customHeight="1" x14ac:dyDescent="0.25">
      <c r="A7232" s="11" t="s">
        <v>15054</v>
      </c>
      <c r="B7232" s="11" t="s">
        <v>15055</v>
      </c>
      <c r="C7232" s="11" t="s">
        <v>17</v>
      </c>
      <c r="D7232" s="11" t="s">
        <v>18</v>
      </c>
      <c r="E7232" s="12" t="s">
        <v>7119</v>
      </c>
      <c r="F7232" s="12" t="s">
        <v>7120</v>
      </c>
      <c r="G7232" s="12" t="s">
        <v>29</v>
      </c>
      <c r="H7232" s="11" t="s">
        <v>63</v>
      </c>
      <c r="I7232" s="13" t="s">
        <v>15057</v>
      </c>
      <c r="J7232" s="14" t="str">
        <f>HYPERLINK("https://www.boe.es/gazeta/dias/1839/05/22/pdfs/GMD-1839-1649.pdf#page=1","Abrir facsímil")</f>
        <v>Abrir facsímil</v>
      </c>
      <c r="K7232" s="12" t="s">
        <v>65</v>
      </c>
    </row>
    <row r="7233" spans="1:11" ht="40.049999999999997" customHeight="1" x14ac:dyDescent="0.25">
      <c r="A7233" s="11" t="s">
        <v>15054</v>
      </c>
      <c r="B7233" s="11" t="s">
        <v>15055</v>
      </c>
      <c r="C7233" s="11" t="s">
        <v>17</v>
      </c>
      <c r="D7233" s="11" t="s">
        <v>18</v>
      </c>
      <c r="E7233" s="12" t="s">
        <v>616</v>
      </c>
      <c r="F7233" s="12" t="s">
        <v>617</v>
      </c>
      <c r="G7233" s="12" t="s">
        <v>29</v>
      </c>
      <c r="H7233" s="11" t="s">
        <v>63</v>
      </c>
      <c r="I7233" s="13" t="s">
        <v>15058</v>
      </c>
      <c r="J7233" s="14" t="str">
        <f>HYPERLINK("https://www.boe.es/gazeta/dias/1839/05/29/pdfs/GMD-1839-1656.pdf#page=1","Abrir facsímil")</f>
        <v>Abrir facsímil</v>
      </c>
      <c r="K7233" s="12" t="s">
        <v>65</v>
      </c>
    </row>
    <row r="7234" spans="1:11" ht="40.049999999999997" customHeight="1" x14ac:dyDescent="0.25">
      <c r="A7234" s="11" t="s">
        <v>15059</v>
      </c>
      <c r="B7234" s="11" t="s">
        <v>15060</v>
      </c>
      <c r="C7234" s="11" t="s">
        <v>80</v>
      </c>
      <c r="D7234" s="11" t="s">
        <v>18</v>
      </c>
      <c r="E7234" s="12" t="s">
        <v>2021</v>
      </c>
      <c r="F7234" s="12" t="s">
        <v>2022</v>
      </c>
      <c r="G7234" s="12" t="s">
        <v>29</v>
      </c>
      <c r="H7234" s="11" t="s">
        <v>63</v>
      </c>
      <c r="I7234" s="13" t="s">
        <v>15061</v>
      </c>
      <c r="J7234" s="14" t="str">
        <f>HYPERLINK("https://www.boe.es/gazeta/dias/1839/02/17/pdfs/GMD-1839-1555.pdf#page=1","Abrir facsímil")</f>
        <v>Abrir facsímil</v>
      </c>
      <c r="K7234" s="12" t="s">
        <v>65</v>
      </c>
    </row>
    <row r="7235" spans="1:11" ht="40.049999999999997" customHeight="1" x14ac:dyDescent="0.25">
      <c r="A7235" s="11" t="s">
        <v>15062</v>
      </c>
      <c r="B7235" s="11" t="s">
        <v>15063</v>
      </c>
      <c r="C7235" s="11" t="s">
        <v>80</v>
      </c>
      <c r="D7235" s="11" t="s">
        <v>18</v>
      </c>
      <c r="E7235" s="12" t="s">
        <v>262</v>
      </c>
      <c r="F7235" s="12" t="s">
        <v>263</v>
      </c>
      <c r="G7235" s="12" t="s">
        <v>29</v>
      </c>
      <c r="H7235" s="11" t="s">
        <v>63</v>
      </c>
      <c r="I7235" s="13" t="s">
        <v>15064</v>
      </c>
      <c r="J7235" s="14" t="str">
        <f>HYPERLINK("https://www.boe.es/gazeta/dias/1839/01/01/pdfs/GMD-1839-1508.pdf#page=1","Abrir facsímil")</f>
        <v>Abrir facsímil</v>
      </c>
      <c r="K7235" s="12" t="s">
        <v>65</v>
      </c>
    </row>
    <row r="7236" spans="1:11" ht="40.049999999999997" customHeight="1" x14ac:dyDescent="0.25">
      <c r="A7236" s="11" t="s">
        <v>15062</v>
      </c>
      <c r="B7236" s="11" t="s">
        <v>15063</v>
      </c>
      <c r="C7236" s="11" t="s">
        <v>17</v>
      </c>
      <c r="D7236" s="11" t="s">
        <v>18</v>
      </c>
      <c r="E7236" s="12" t="s">
        <v>1460</v>
      </c>
      <c r="F7236" s="12" t="s">
        <v>1461</v>
      </c>
      <c r="G7236" s="12" t="s">
        <v>29</v>
      </c>
      <c r="H7236" s="11" t="s">
        <v>63</v>
      </c>
      <c r="I7236" s="13" t="s">
        <v>15065</v>
      </c>
      <c r="J7236" s="14" t="str">
        <f>HYPERLINK("https://www.boe.es/gazeta/dias/1839/03/01/pdfs/GMD-1839-1567.pdf#page=1","Abrir facsímil")</f>
        <v>Abrir facsímil</v>
      </c>
      <c r="K7236" s="12" t="s">
        <v>65</v>
      </c>
    </row>
    <row r="7237" spans="1:11" ht="40.049999999999997" customHeight="1" x14ac:dyDescent="0.25">
      <c r="A7237" s="11" t="s">
        <v>15062</v>
      </c>
      <c r="B7237" s="11" t="s">
        <v>15063</v>
      </c>
      <c r="C7237" s="11" t="s">
        <v>80</v>
      </c>
      <c r="D7237" s="11" t="s">
        <v>173</v>
      </c>
      <c r="E7237" s="12" t="s">
        <v>5845</v>
      </c>
      <c r="F7237" s="12" t="s">
        <v>5846</v>
      </c>
      <c r="G7237" s="12" t="s">
        <v>29</v>
      </c>
      <c r="H7237" s="11" t="s">
        <v>63</v>
      </c>
      <c r="I7237" s="13" t="s">
        <v>15066</v>
      </c>
      <c r="J7237" s="14" t="str">
        <f>HYPERLINK("https://www.boe.es/gazeta/dias/1839/04/01/pdfs/GMD-1839-1598.pdf#page=1","Abrir facsímil")</f>
        <v>Abrir facsímil</v>
      </c>
      <c r="K7237" s="12" t="s">
        <v>65</v>
      </c>
    </row>
    <row r="7238" spans="1:11" ht="40.049999999999997" customHeight="1" x14ac:dyDescent="0.25">
      <c r="A7238" s="11" t="s">
        <v>15062</v>
      </c>
      <c r="B7238" s="11" t="s">
        <v>15063</v>
      </c>
      <c r="C7238" s="11" t="s">
        <v>17</v>
      </c>
      <c r="D7238" s="11" t="s">
        <v>18</v>
      </c>
      <c r="E7238" s="12" t="s">
        <v>4287</v>
      </c>
      <c r="F7238" s="12" t="s">
        <v>4288</v>
      </c>
      <c r="G7238" s="12" t="s">
        <v>29</v>
      </c>
      <c r="H7238" s="11" t="s">
        <v>63</v>
      </c>
      <c r="I7238" s="13" t="s">
        <v>15067</v>
      </c>
      <c r="J7238" s="14" t="str">
        <f>HYPERLINK("https://www.boe.es/gazeta/dias/1839/06/01/pdfs/GMD-1839-1659.pdf#page=1","Abrir facsímil")</f>
        <v>Abrir facsímil</v>
      </c>
      <c r="K7238" s="12" t="s">
        <v>65</v>
      </c>
    </row>
    <row r="7239" spans="1:11" ht="40.049999999999997" customHeight="1" x14ac:dyDescent="0.25">
      <c r="A7239" s="11" t="s">
        <v>15062</v>
      </c>
      <c r="B7239" s="11" t="s">
        <v>15063</v>
      </c>
      <c r="C7239" s="11" t="s">
        <v>137</v>
      </c>
      <c r="D7239" s="11" t="s">
        <v>18</v>
      </c>
      <c r="E7239" s="12" t="s">
        <v>2829</v>
      </c>
      <c r="F7239" s="12" t="s">
        <v>2830</v>
      </c>
      <c r="G7239" s="12" t="s">
        <v>29</v>
      </c>
      <c r="H7239" s="11" t="s">
        <v>63</v>
      </c>
      <c r="I7239" s="13" t="s">
        <v>15068</v>
      </c>
      <c r="J7239" s="14" t="str">
        <f>HYPERLINK("https://www.boe.es/gazeta/dias/1839/07/01/pdfs/GMD-1839-1689.pdf#page=1","Abrir facsímil")</f>
        <v>Abrir facsímil</v>
      </c>
      <c r="K7239" s="12" t="s">
        <v>65</v>
      </c>
    </row>
    <row r="7240" spans="1:11" ht="40.049999999999997" customHeight="1" x14ac:dyDescent="0.25">
      <c r="A7240" s="11" t="s">
        <v>15062</v>
      </c>
      <c r="B7240" s="11" t="s">
        <v>15063</v>
      </c>
      <c r="C7240" s="11" t="s">
        <v>59</v>
      </c>
      <c r="D7240" s="11" t="s">
        <v>60</v>
      </c>
      <c r="E7240" s="12" t="s">
        <v>258</v>
      </c>
      <c r="F7240" s="12" t="s">
        <v>259</v>
      </c>
      <c r="G7240" s="12" t="s">
        <v>29</v>
      </c>
      <c r="H7240" s="11" t="s">
        <v>63</v>
      </c>
      <c r="I7240" s="13" t="s">
        <v>15069</v>
      </c>
      <c r="J7240" s="14" t="str">
        <f>HYPERLINK("https://www.boe.es/gazeta/dias/1839/01/02/pdfs/GMD-1839-1509.pdf#page=1","Abrir facsímil")</f>
        <v>Abrir facsímil</v>
      </c>
      <c r="K7240" s="12" t="s">
        <v>65</v>
      </c>
    </row>
    <row r="7241" spans="1:11" ht="40.049999999999997" customHeight="1" x14ac:dyDescent="0.25">
      <c r="A7241" s="11" t="s">
        <v>15062</v>
      </c>
      <c r="B7241" s="11" t="s">
        <v>15063</v>
      </c>
      <c r="C7241" s="11" t="s">
        <v>59</v>
      </c>
      <c r="D7241" s="11" t="s">
        <v>60</v>
      </c>
      <c r="E7241" s="12" t="s">
        <v>154</v>
      </c>
      <c r="F7241" s="12" t="s">
        <v>155</v>
      </c>
      <c r="G7241" s="12" t="s">
        <v>29</v>
      </c>
      <c r="H7241" s="11" t="s">
        <v>63</v>
      </c>
      <c r="I7241" s="13" t="s">
        <v>15070</v>
      </c>
      <c r="J7241" s="14" t="str">
        <f>HYPERLINK("https://www.boe.es/gazeta/dias/1839/02/02/pdfs/GMD-1839-1540.pdf#page=1","Abrir facsímil")</f>
        <v>Abrir facsímil</v>
      </c>
      <c r="K7241" s="12" t="s">
        <v>65</v>
      </c>
    </row>
    <row r="7242" spans="1:11" ht="40.049999999999997" customHeight="1" x14ac:dyDescent="0.25">
      <c r="A7242" s="11" t="s">
        <v>15062</v>
      </c>
      <c r="B7242" s="11" t="s">
        <v>15063</v>
      </c>
      <c r="C7242" s="11" t="s">
        <v>17</v>
      </c>
      <c r="D7242" s="11" t="s">
        <v>18</v>
      </c>
      <c r="E7242" s="12" t="s">
        <v>704</v>
      </c>
      <c r="F7242" s="12" t="s">
        <v>705</v>
      </c>
      <c r="G7242" s="12" t="s">
        <v>29</v>
      </c>
      <c r="H7242" s="11" t="s">
        <v>63</v>
      </c>
      <c r="I7242" s="13" t="s">
        <v>15071</v>
      </c>
      <c r="J7242" s="14" t="str">
        <f>HYPERLINK("https://www.boe.es/gazeta/dias/1839/03/02/pdfs/GMD-1839-1568.pdf#page=1","Abrir facsímil")</f>
        <v>Abrir facsímil</v>
      </c>
      <c r="K7242" s="12" t="s">
        <v>65</v>
      </c>
    </row>
    <row r="7243" spans="1:11" ht="40.049999999999997" customHeight="1" x14ac:dyDescent="0.25">
      <c r="A7243" s="11" t="s">
        <v>15062</v>
      </c>
      <c r="B7243" s="11" t="s">
        <v>15063</v>
      </c>
      <c r="C7243" s="11" t="s">
        <v>17</v>
      </c>
      <c r="D7243" s="11" t="s">
        <v>18</v>
      </c>
      <c r="E7243" s="12" t="s">
        <v>266</v>
      </c>
      <c r="F7243" s="12" t="s">
        <v>267</v>
      </c>
      <c r="G7243" s="12" t="s">
        <v>29</v>
      </c>
      <c r="H7243" s="11" t="s">
        <v>63</v>
      </c>
      <c r="I7243" s="13" t="s">
        <v>15072</v>
      </c>
      <c r="J7243" s="14" t="str">
        <f>HYPERLINK("https://www.boe.es/gazeta/dias/1839/01/03/pdfs/GMD-1839-1510.pdf#page=1","Abrir facsímil")</f>
        <v>Abrir facsímil</v>
      </c>
      <c r="K7243" s="12" t="s">
        <v>65</v>
      </c>
    </row>
    <row r="7244" spans="1:11" ht="40.049999999999997" customHeight="1" x14ac:dyDescent="0.25">
      <c r="A7244" s="11" t="s">
        <v>15062</v>
      </c>
      <c r="B7244" s="11" t="s">
        <v>15063</v>
      </c>
      <c r="C7244" s="11" t="s">
        <v>17</v>
      </c>
      <c r="D7244" s="11" t="s">
        <v>18</v>
      </c>
      <c r="E7244" s="12" t="s">
        <v>779</v>
      </c>
      <c r="F7244" s="12" t="s">
        <v>780</v>
      </c>
      <c r="G7244" s="12" t="s">
        <v>29</v>
      </c>
      <c r="H7244" s="11" t="s">
        <v>63</v>
      </c>
      <c r="I7244" s="13" t="s">
        <v>15073</v>
      </c>
      <c r="J7244" s="14" t="str">
        <f>HYPERLINK("https://www.boe.es/gazeta/dias/1839/02/03/pdfs/GMD-1839-1541.pdf#page=1","Abrir facsímil")</f>
        <v>Abrir facsímil</v>
      </c>
      <c r="K7244" s="12" t="s">
        <v>65</v>
      </c>
    </row>
    <row r="7245" spans="1:11" ht="40.049999999999997" customHeight="1" x14ac:dyDescent="0.25">
      <c r="A7245" s="11" t="s">
        <v>15062</v>
      </c>
      <c r="B7245" s="11" t="s">
        <v>15063</v>
      </c>
      <c r="C7245" s="11" t="s">
        <v>17</v>
      </c>
      <c r="D7245" s="11" t="s">
        <v>18</v>
      </c>
      <c r="E7245" s="12" t="s">
        <v>81</v>
      </c>
      <c r="F7245" s="12" t="s">
        <v>82</v>
      </c>
      <c r="G7245" s="12" t="s">
        <v>29</v>
      </c>
      <c r="H7245" s="11" t="s">
        <v>63</v>
      </c>
      <c r="I7245" s="13" t="s">
        <v>15074</v>
      </c>
      <c r="J7245" s="14" t="str">
        <f>HYPERLINK("https://www.boe.es/gazeta/dias/1839/03/03/pdfs/GMD-1839-1569.pdf#page=1","Abrir facsímil")</f>
        <v>Abrir facsímil</v>
      </c>
      <c r="K7245" s="12" t="s">
        <v>65</v>
      </c>
    </row>
    <row r="7246" spans="1:11" ht="40.049999999999997" customHeight="1" x14ac:dyDescent="0.25">
      <c r="A7246" s="11" t="s">
        <v>15062</v>
      </c>
      <c r="B7246" s="11" t="s">
        <v>15063</v>
      </c>
      <c r="C7246" s="11" t="s">
        <v>17</v>
      </c>
      <c r="D7246" s="11" t="s">
        <v>18</v>
      </c>
      <c r="E7246" s="12" t="s">
        <v>4472</v>
      </c>
      <c r="F7246" s="12" t="s">
        <v>4473</v>
      </c>
      <c r="G7246" s="12" t="s">
        <v>29</v>
      </c>
      <c r="H7246" s="11" t="s">
        <v>63</v>
      </c>
      <c r="I7246" s="13" t="s">
        <v>15075</v>
      </c>
      <c r="J7246" s="14" t="str">
        <f>HYPERLINK("https://www.boe.es/gazeta/dias/1839/08/03/pdfs/GMD-1839-1723.pdf#page=1","Abrir facsímil")</f>
        <v>Abrir facsímil</v>
      </c>
      <c r="K7246" s="12" t="s">
        <v>65</v>
      </c>
    </row>
    <row r="7247" spans="1:11" ht="40.049999999999997" customHeight="1" x14ac:dyDescent="0.25">
      <c r="A7247" s="11" t="s">
        <v>15062</v>
      </c>
      <c r="B7247" s="11" t="s">
        <v>15063</v>
      </c>
      <c r="C7247" s="11" t="s">
        <v>17</v>
      </c>
      <c r="D7247" s="11" t="s">
        <v>18</v>
      </c>
      <c r="E7247" s="12" t="s">
        <v>108</v>
      </c>
      <c r="F7247" s="12" t="s">
        <v>109</v>
      </c>
      <c r="G7247" s="12" t="s">
        <v>29</v>
      </c>
      <c r="H7247" s="11" t="s">
        <v>63</v>
      </c>
      <c r="I7247" s="13" t="s">
        <v>15076</v>
      </c>
      <c r="J7247" s="14" t="str">
        <f>HYPERLINK("https://www.boe.es/gazeta/dias/1839/01/04/pdfs/GMD-1839-1511.pdf#page=1","Abrir facsímil")</f>
        <v>Abrir facsímil</v>
      </c>
      <c r="K7247" s="12" t="s">
        <v>65</v>
      </c>
    </row>
    <row r="7248" spans="1:11" ht="40.049999999999997" customHeight="1" x14ac:dyDescent="0.25">
      <c r="A7248" s="11" t="s">
        <v>15062</v>
      </c>
      <c r="B7248" s="11" t="s">
        <v>15063</v>
      </c>
      <c r="C7248" s="11" t="s">
        <v>17</v>
      </c>
      <c r="D7248" s="11" t="s">
        <v>18</v>
      </c>
      <c r="E7248" s="12" t="s">
        <v>324</v>
      </c>
      <c r="F7248" s="12" t="s">
        <v>325</v>
      </c>
      <c r="G7248" s="12" t="s">
        <v>29</v>
      </c>
      <c r="H7248" s="11" t="s">
        <v>63</v>
      </c>
      <c r="I7248" s="13" t="s">
        <v>15077</v>
      </c>
      <c r="J7248" s="14" t="str">
        <f>HYPERLINK("https://www.boe.es/gazeta/dias/1839/02/04/pdfs/GMD-1839-1542.pdf#page=1","Abrir facsímil")</f>
        <v>Abrir facsímil</v>
      </c>
      <c r="K7248" s="12" t="s">
        <v>65</v>
      </c>
    </row>
    <row r="7249" spans="1:11" ht="40.049999999999997" customHeight="1" x14ac:dyDescent="0.25">
      <c r="A7249" s="11" t="s">
        <v>15062</v>
      </c>
      <c r="B7249" s="11" t="s">
        <v>15063</v>
      </c>
      <c r="C7249" s="11" t="s">
        <v>17</v>
      </c>
      <c r="D7249" s="11" t="s">
        <v>18</v>
      </c>
      <c r="E7249" s="12" t="s">
        <v>7860</v>
      </c>
      <c r="F7249" s="12" t="s">
        <v>7861</v>
      </c>
      <c r="G7249" s="12" t="s">
        <v>29</v>
      </c>
      <c r="H7249" s="11" t="s">
        <v>63</v>
      </c>
      <c r="I7249" s="13" t="s">
        <v>15078</v>
      </c>
      <c r="J7249" s="14" t="str">
        <f>HYPERLINK("https://www.boe.es/gazeta/dias/1839/03/04/pdfs/GMD-1839-1570.pdf#page=1","Abrir facsímil")</f>
        <v>Abrir facsímil</v>
      </c>
      <c r="K7249" s="12" t="s">
        <v>65</v>
      </c>
    </row>
    <row r="7250" spans="1:11" ht="40.049999999999997" customHeight="1" x14ac:dyDescent="0.25">
      <c r="A7250" s="11" t="s">
        <v>15062</v>
      </c>
      <c r="B7250" s="11" t="s">
        <v>15063</v>
      </c>
      <c r="C7250" s="11" t="s">
        <v>101</v>
      </c>
      <c r="D7250" s="11" t="s">
        <v>43</v>
      </c>
      <c r="E7250" s="12" t="s">
        <v>3614</v>
      </c>
      <c r="F7250" s="12" t="s">
        <v>3615</v>
      </c>
      <c r="G7250" s="12" t="s">
        <v>29</v>
      </c>
      <c r="H7250" s="11" t="s">
        <v>63</v>
      </c>
      <c r="I7250" s="13" t="s">
        <v>15079</v>
      </c>
      <c r="J7250" s="14" t="str">
        <f>HYPERLINK("https://www.boe.es/gazeta/dias/1839/04/04/pdfs/GMD-1839-1601.pdf#page=1","Abrir facsímil")</f>
        <v>Abrir facsímil</v>
      </c>
      <c r="K7250" s="12" t="s">
        <v>65</v>
      </c>
    </row>
    <row r="7251" spans="1:11" ht="40.049999999999997" customHeight="1" x14ac:dyDescent="0.25">
      <c r="A7251" s="11" t="s">
        <v>15062</v>
      </c>
      <c r="B7251" s="11" t="s">
        <v>15063</v>
      </c>
      <c r="C7251" s="11" t="s">
        <v>80</v>
      </c>
      <c r="D7251" s="11" t="s">
        <v>18</v>
      </c>
      <c r="E7251" s="12" t="s">
        <v>1388</v>
      </c>
      <c r="F7251" s="12" t="s">
        <v>1389</v>
      </c>
      <c r="G7251" s="12" t="s">
        <v>29</v>
      </c>
      <c r="H7251" s="11" t="s">
        <v>63</v>
      </c>
      <c r="I7251" s="13" t="s">
        <v>15080</v>
      </c>
      <c r="J7251" s="14" t="str">
        <f>HYPERLINK("https://www.boe.es/gazeta/dias/1839/06/04/pdfs/GMD-1839-1662.pdf#page=1","Abrir facsímil")</f>
        <v>Abrir facsímil</v>
      </c>
      <c r="K7251" s="12" t="s">
        <v>65</v>
      </c>
    </row>
    <row r="7252" spans="1:11" ht="40.049999999999997" customHeight="1" x14ac:dyDescent="0.25">
      <c r="A7252" s="11" t="s">
        <v>15062</v>
      </c>
      <c r="B7252" s="11" t="s">
        <v>15063</v>
      </c>
      <c r="C7252" s="11" t="s">
        <v>101</v>
      </c>
      <c r="D7252" s="11" t="s">
        <v>43</v>
      </c>
      <c r="E7252" s="12" t="s">
        <v>4475</v>
      </c>
      <c r="F7252" s="12" t="s">
        <v>4476</v>
      </c>
      <c r="G7252" s="12" t="s">
        <v>29</v>
      </c>
      <c r="H7252" s="11" t="s">
        <v>63</v>
      </c>
      <c r="I7252" s="13" t="s">
        <v>15081</v>
      </c>
      <c r="J7252" s="14" t="str">
        <f>HYPERLINK("https://www.boe.es/gazeta/dias/1839/07/04/pdfs/GMD-1839-1692.pdf#page=1","Abrir facsímil")</f>
        <v>Abrir facsímil</v>
      </c>
      <c r="K7252" s="12" t="s">
        <v>65</v>
      </c>
    </row>
    <row r="7253" spans="1:11" ht="40.049999999999997" customHeight="1" x14ac:dyDescent="0.25">
      <c r="A7253" s="11" t="s">
        <v>15062</v>
      </c>
      <c r="B7253" s="11" t="s">
        <v>15063</v>
      </c>
      <c r="C7253" s="11" t="s">
        <v>17</v>
      </c>
      <c r="D7253" s="11" t="s">
        <v>18</v>
      </c>
      <c r="E7253" s="12" t="s">
        <v>49</v>
      </c>
      <c r="F7253" s="12" t="s">
        <v>50</v>
      </c>
      <c r="G7253" s="12" t="s">
        <v>29</v>
      </c>
      <c r="H7253" s="11" t="s">
        <v>63</v>
      </c>
      <c r="I7253" s="13" t="s">
        <v>15082</v>
      </c>
      <c r="J7253" s="14" t="str">
        <f>HYPERLINK("https://www.boe.es/gazeta/dias/1839/01/05/pdfs/GMD-1839-1512.pdf#page=1","Abrir facsímil")</f>
        <v>Abrir facsímil</v>
      </c>
      <c r="K7253" s="12" t="s">
        <v>65</v>
      </c>
    </row>
    <row r="7254" spans="1:11" ht="40.049999999999997" customHeight="1" x14ac:dyDescent="0.25">
      <c r="A7254" s="11" t="s">
        <v>15062</v>
      </c>
      <c r="B7254" s="11" t="s">
        <v>15063</v>
      </c>
      <c r="C7254" s="11" t="s">
        <v>17</v>
      </c>
      <c r="D7254" s="11" t="s">
        <v>18</v>
      </c>
      <c r="E7254" s="12" t="s">
        <v>751</v>
      </c>
      <c r="F7254" s="12" t="s">
        <v>752</v>
      </c>
      <c r="G7254" s="12" t="s">
        <v>29</v>
      </c>
      <c r="H7254" s="11" t="s">
        <v>63</v>
      </c>
      <c r="I7254" s="13" t="s">
        <v>15083</v>
      </c>
      <c r="J7254" s="14" t="str">
        <f>HYPERLINK("https://www.boe.es/gazeta/dias/1839/02/05/pdfs/GMD-1839-1543.pdf#page=1","Abrir facsímil")</f>
        <v>Abrir facsímil</v>
      </c>
      <c r="K7254" s="12" t="s">
        <v>65</v>
      </c>
    </row>
    <row r="7255" spans="1:11" ht="40.049999999999997" customHeight="1" x14ac:dyDescent="0.25">
      <c r="A7255" s="11" t="s">
        <v>15062</v>
      </c>
      <c r="B7255" s="11" t="s">
        <v>15063</v>
      </c>
      <c r="C7255" s="11" t="s">
        <v>59</v>
      </c>
      <c r="D7255" s="11" t="s">
        <v>60</v>
      </c>
      <c r="E7255" s="12" t="s">
        <v>1467</v>
      </c>
      <c r="F7255" s="12" t="s">
        <v>1468</v>
      </c>
      <c r="G7255" s="12" t="s">
        <v>29</v>
      </c>
      <c r="H7255" s="11" t="s">
        <v>63</v>
      </c>
      <c r="I7255" s="13" t="s">
        <v>15084</v>
      </c>
      <c r="J7255" s="14" t="str">
        <f>HYPERLINK("https://www.boe.es/gazeta/dias/1839/03/05/pdfs/GMD-1839-1571.pdf#page=1","Abrir facsímil")</f>
        <v>Abrir facsímil</v>
      </c>
      <c r="K7255" s="12" t="s">
        <v>65</v>
      </c>
    </row>
    <row r="7256" spans="1:11" ht="40.049999999999997" customHeight="1" x14ac:dyDescent="0.25">
      <c r="A7256" s="11" t="s">
        <v>15062</v>
      </c>
      <c r="B7256" s="11" t="s">
        <v>15063</v>
      </c>
      <c r="C7256" s="11" t="s">
        <v>17</v>
      </c>
      <c r="D7256" s="11" t="s">
        <v>18</v>
      </c>
      <c r="E7256" s="12" t="s">
        <v>202</v>
      </c>
      <c r="F7256" s="12" t="s">
        <v>203</v>
      </c>
      <c r="G7256" s="12" t="s">
        <v>29</v>
      </c>
      <c r="H7256" s="11" t="s">
        <v>63</v>
      </c>
      <c r="I7256" s="13" t="s">
        <v>15085</v>
      </c>
      <c r="J7256" s="14" t="str">
        <f>HYPERLINK("https://www.boe.es/gazeta/dias/1839/04/05/pdfs/GMD-1839-1602.pdf#page=1","Abrir facsímil")</f>
        <v>Abrir facsímil</v>
      </c>
      <c r="K7256" s="12" t="s">
        <v>65</v>
      </c>
    </row>
    <row r="7257" spans="1:11" ht="40.049999999999997" customHeight="1" x14ac:dyDescent="0.25">
      <c r="A7257" s="11" t="s">
        <v>15062</v>
      </c>
      <c r="B7257" s="11" t="s">
        <v>15063</v>
      </c>
      <c r="C7257" s="11" t="s">
        <v>17</v>
      </c>
      <c r="D7257" s="11" t="s">
        <v>18</v>
      </c>
      <c r="E7257" s="12" t="s">
        <v>1356</v>
      </c>
      <c r="F7257" s="12" t="s">
        <v>1357</v>
      </c>
      <c r="G7257" s="12" t="s">
        <v>29</v>
      </c>
      <c r="H7257" s="11" t="s">
        <v>63</v>
      </c>
      <c r="I7257" s="13" t="s">
        <v>15086</v>
      </c>
      <c r="J7257" s="14" t="str">
        <f>HYPERLINK("https://www.boe.es/gazeta/dias/1839/06/05/pdfs/GMD-1839-1663.pdf#page=1","Abrir facsímil")</f>
        <v>Abrir facsímil</v>
      </c>
      <c r="K7257" s="12" t="s">
        <v>65</v>
      </c>
    </row>
    <row r="7258" spans="1:11" ht="40.049999999999997" customHeight="1" x14ac:dyDescent="0.25">
      <c r="A7258" s="11" t="s">
        <v>15062</v>
      </c>
      <c r="B7258" s="11" t="s">
        <v>15063</v>
      </c>
      <c r="C7258" s="11" t="s">
        <v>101</v>
      </c>
      <c r="D7258" s="11" t="s">
        <v>43</v>
      </c>
      <c r="E7258" s="12" t="s">
        <v>409</v>
      </c>
      <c r="F7258" s="12" t="s">
        <v>410</v>
      </c>
      <c r="G7258" s="12" t="s">
        <v>29</v>
      </c>
      <c r="H7258" s="11" t="s">
        <v>63</v>
      </c>
      <c r="I7258" s="13" t="s">
        <v>15087</v>
      </c>
      <c r="J7258" s="14" t="str">
        <f>HYPERLINK("https://www.boe.es/gazeta/dias/1839/07/05/pdfs/GMD-1839-1693.pdf#page=1","Abrir facsímil")</f>
        <v>Abrir facsímil</v>
      </c>
      <c r="K7258" s="12" t="s">
        <v>65</v>
      </c>
    </row>
    <row r="7259" spans="1:11" ht="40.049999999999997" customHeight="1" x14ac:dyDescent="0.25">
      <c r="A7259" s="11" t="s">
        <v>15062</v>
      </c>
      <c r="B7259" s="11" t="s">
        <v>15063</v>
      </c>
      <c r="C7259" s="11" t="s">
        <v>17</v>
      </c>
      <c r="D7259" s="11" t="s">
        <v>18</v>
      </c>
      <c r="E7259" s="12" t="s">
        <v>2165</v>
      </c>
      <c r="F7259" s="12" t="s">
        <v>2166</v>
      </c>
      <c r="G7259" s="12" t="s">
        <v>29</v>
      </c>
      <c r="H7259" s="11" t="s">
        <v>63</v>
      </c>
      <c r="I7259" s="13" t="s">
        <v>15088</v>
      </c>
      <c r="J7259" s="14" t="str">
        <f>HYPERLINK("https://www.boe.es/gazeta/dias/1839/01/06/pdfs/GMD-1839-1513.pdf#page=1","Abrir facsímil")</f>
        <v>Abrir facsímil</v>
      </c>
      <c r="K7259" s="12" t="s">
        <v>65</v>
      </c>
    </row>
    <row r="7260" spans="1:11" ht="40.049999999999997" customHeight="1" x14ac:dyDescent="0.25">
      <c r="A7260" s="11" t="s">
        <v>15062</v>
      </c>
      <c r="B7260" s="11" t="s">
        <v>15063</v>
      </c>
      <c r="C7260" s="11" t="s">
        <v>17</v>
      </c>
      <c r="D7260" s="11" t="s">
        <v>18</v>
      </c>
      <c r="E7260" s="12" t="s">
        <v>448</v>
      </c>
      <c r="F7260" s="12" t="s">
        <v>449</v>
      </c>
      <c r="G7260" s="12" t="s">
        <v>29</v>
      </c>
      <c r="H7260" s="11" t="s">
        <v>63</v>
      </c>
      <c r="I7260" s="13" t="s">
        <v>15089</v>
      </c>
      <c r="J7260" s="14" t="str">
        <f>HYPERLINK("https://www.boe.es/gazeta/dias/1839/02/06/pdfs/GMD-1839-1544.pdf#page=1","Abrir facsímil")</f>
        <v>Abrir facsímil</v>
      </c>
      <c r="K7260" s="12" t="s">
        <v>65</v>
      </c>
    </row>
    <row r="7261" spans="1:11" ht="40.049999999999997" customHeight="1" x14ac:dyDescent="0.25">
      <c r="A7261" s="11" t="s">
        <v>15062</v>
      </c>
      <c r="B7261" s="11" t="s">
        <v>15063</v>
      </c>
      <c r="C7261" s="11" t="s">
        <v>17</v>
      </c>
      <c r="D7261" s="11" t="s">
        <v>18</v>
      </c>
      <c r="E7261" s="12" t="s">
        <v>548</v>
      </c>
      <c r="F7261" s="12" t="s">
        <v>549</v>
      </c>
      <c r="G7261" s="12" t="s">
        <v>29</v>
      </c>
      <c r="H7261" s="11" t="s">
        <v>63</v>
      </c>
      <c r="I7261" s="13" t="s">
        <v>15090</v>
      </c>
      <c r="J7261" s="14" t="str">
        <f>HYPERLINK("https://www.boe.es/gazeta/dias/1839/06/06/pdfs/GMD-1839-1664.pdf#page=1","Abrir facsímil")</f>
        <v>Abrir facsímil</v>
      </c>
      <c r="K7261" s="12" t="s">
        <v>65</v>
      </c>
    </row>
    <row r="7262" spans="1:11" ht="40.049999999999997" customHeight="1" x14ac:dyDescent="0.25">
      <c r="A7262" s="11" t="s">
        <v>15062</v>
      </c>
      <c r="B7262" s="11" t="s">
        <v>15063</v>
      </c>
      <c r="C7262" s="11" t="s">
        <v>101</v>
      </c>
      <c r="D7262" s="11" t="s">
        <v>43</v>
      </c>
      <c r="E7262" s="12" t="s">
        <v>3566</v>
      </c>
      <c r="F7262" s="12" t="s">
        <v>3567</v>
      </c>
      <c r="G7262" s="12" t="s">
        <v>29</v>
      </c>
      <c r="H7262" s="11" t="s">
        <v>63</v>
      </c>
      <c r="I7262" s="13" t="s">
        <v>15091</v>
      </c>
      <c r="J7262" s="14" t="str">
        <f>HYPERLINK("https://www.boe.es/gazeta/dias/1839/07/06/pdfs/GMD-1839-1694.pdf#page=1","Abrir facsímil")</f>
        <v>Abrir facsímil</v>
      </c>
      <c r="K7262" s="12" t="s">
        <v>65</v>
      </c>
    </row>
    <row r="7263" spans="1:11" ht="40.049999999999997" customHeight="1" x14ac:dyDescent="0.25">
      <c r="A7263" s="11" t="s">
        <v>15062</v>
      </c>
      <c r="B7263" s="11" t="s">
        <v>15063</v>
      </c>
      <c r="C7263" s="11" t="s">
        <v>17</v>
      </c>
      <c r="D7263" s="11" t="s">
        <v>18</v>
      </c>
      <c r="E7263" s="12" t="s">
        <v>4044</v>
      </c>
      <c r="F7263" s="12" t="s">
        <v>4045</v>
      </c>
      <c r="G7263" s="12" t="s">
        <v>29</v>
      </c>
      <c r="H7263" s="11" t="s">
        <v>63</v>
      </c>
      <c r="I7263" s="13" t="s">
        <v>15092</v>
      </c>
      <c r="J7263" s="14" t="str">
        <f>HYPERLINK("https://www.boe.es/gazeta/dias/1839/01/07/pdfs/GMD-1839-1514.pdf#page=1","Abrir facsímil")</f>
        <v>Abrir facsímil</v>
      </c>
      <c r="K7263" s="12" t="s">
        <v>65</v>
      </c>
    </row>
    <row r="7264" spans="1:11" ht="40.049999999999997" customHeight="1" x14ac:dyDescent="0.25">
      <c r="A7264" s="11" t="s">
        <v>15062</v>
      </c>
      <c r="B7264" s="11" t="s">
        <v>15063</v>
      </c>
      <c r="C7264" s="11" t="s">
        <v>137</v>
      </c>
      <c r="D7264" s="11" t="s">
        <v>18</v>
      </c>
      <c r="E7264" s="12" t="s">
        <v>4055</v>
      </c>
      <c r="F7264" s="12" t="s">
        <v>4056</v>
      </c>
      <c r="G7264" s="12" t="s">
        <v>29</v>
      </c>
      <c r="H7264" s="11" t="s">
        <v>63</v>
      </c>
      <c r="I7264" s="13" t="s">
        <v>15093</v>
      </c>
      <c r="J7264" s="14" t="str">
        <f>HYPERLINK("https://www.boe.es/gazeta/dias/1839/03/07/pdfs/GMD-1839-1573.pdf#page=1","Abrir facsímil")</f>
        <v>Abrir facsímil</v>
      </c>
      <c r="K7264" s="12" t="s">
        <v>65</v>
      </c>
    </row>
    <row r="7265" spans="1:11" ht="40.049999999999997" customHeight="1" x14ac:dyDescent="0.25">
      <c r="A7265" s="11" t="s">
        <v>15062</v>
      </c>
      <c r="B7265" s="11" t="s">
        <v>15063</v>
      </c>
      <c r="C7265" s="11" t="s">
        <v>17</v>
      </c>
      <c r="D7265" s="11" t="s">
        <v>18</v>
      </c>
      <c r="E7265" s="12" t="s">
        <v>1623</v>
      </c>
      <c r="F7265" s="12" t="s">
        <v>1624</v>
      </c>
      <c r="G7265" s="12" t="s">
        <v>29</v>
      </c>
      <c r="H7265" s="11" t="s">
        <v>63</v>
      </c>
      <c r="I7265" s="13" t="s">
        <v>15094</v>
      </c>
      <c r="J7265" s="14" t="str">
        <f>HYPERLINK("https://www.boe.es/gazeta/dias/1839/04/07/pdfs/GMD-1839-1604.pdf#page=1","Abrir facsímil")</f>
        <v>Abrir facsímil</v>
      </c>
      <c r="K7265" s="12" t="s">
        <v>65</v>
      </c>
    </row>
    <row r="7266" spans="1:11" ht="40.049999999999997" customHeight="1" x14ac:dyDescent="0.25">
      <c r="A7266" s="11" t="s">
        <v>15062</v>
      </c>
      <c r="B7266" s="11" t="s">
        <v>15063</v>
      </c>
      <c r="C7266" s="11" t="s">
        <v>17</v>
      </c>
      <c r="D7266" s="11" t="s">
        <v>18</v>
      </c>
      <c r="E7266" s="12" t="s">
        <v>503</v>
      </c>
      <c r="F7266" s="12" t="s">
        <v>504</v>
      </c>
      <c r="G7266" s="12" t="s">
        <v>29</v>
      </c>
      <c r="H7266" s="11" t="s">
        <v>63</v>
      </c>
      <c r="I7266" s="13" t="s">
        <v>15095</v>
      </c>
      <c r="J7266" s="14" t="str">
        <f>HYPERLINK("https://www.boe.es/gazeta/dias/1839/06/07/pdfs/GMD-1839-1665.pdf#page=1","Abrir facsímil")</f>
        <v>Abrir facsímil</v>
      </c>
      <c r="K7266" s="12" t="s">
        <v>65</v>
      </c>
    </row>
    <row r="7267" spans="1:11" ht="40.049999999999997" customHeight="1" x14ac:dyDescent="0.25">
      <c r="A7267" s="11" t="s">
        <v>15062</v>
      </c>
      <c r="B7267" s="11" t="s">
        <v>15063</v>
      </c>
      <c r="C7267" s="11" t="s">
        <v>101</v>
      </c>
      <c r="D7267" s="11" t="s">
        <v>43</v>
      </c>
      <c r="E7267" s="12" t="s">
        <v>804</v>
      </c>
      <c r="F7267" s="12" t="s">
        <v>805</v>
      </c>
      <c r="G7267" s="12" t="s">
        <v>29</v>
      </c>
      <c r="H7267" s="11" t="s">
        <v>63</v>
      </c>
      <c r="I7267" s="13" t="s">
        <v>15096</v>
      </c>
      <c r="J7267" s="14" t="str">
        <f>HYPERLINK("https://www.boe.es/gazeta/dias/1839/01/08/pdfs/GMD-1839-1515.pdf#page=1","Abrir facsímil")</f>
        <v>Abrir facsímil</v>
      </c>
      <c r="K7267" s="12" t="s">
        <v>65</v>
      </c>
    </row>
    <row r="7268" spans="1:11" ht="40.049999999999997" customHeight="1" x14ac:dyDescent="0.25">
      <c r="A7268" s="11" t="s">
        <v>15062</v>
      </c>
      <c r="B7268" s="11" t="s">
        <v>15063</v>
      </c>
      <c r="C7268" s="11" t="s">
        <v>17</v>
      </c>
      <c r="D7268" s="11" t="s">
        <v>18</v>
      </c>
      <c r="E7268" s="12" t="s">
        <v>2507</v>
      </c>
      <c r="F7268" s="12" t="s">
        <v>2508</v>
      </c>
      <c r="G7268" s="12" t="s">
        <v>29</v>
      </c>
      <c r="H7268" s="11" t="s">
        <v>63</v>
      </c>
      <c r="I7268" s="13" t="s">
        <v>15097</v>
      </c>
      <c r="J7268" s="14" t="str">
        <f>HYPERLINK("https://www.boe.es/gazeta/dias/1839/03/08/pdfs/GMD-1839-1574.pdf#page=1","Abrir facsímil")</f>
        <v>Abrir facsímil</v>
      </c>
      <c r="K7268" s="12" t="s">
        <v>65</v>
      </c>
    </row>
    <row r="7269" spans="1:11" ht="40.049999999999997" customHeight="1" x14ac:dyDescent="0.25">
      <c r="A7269" s="11" t="s">
        <v>15062</v>
      </c>
      <c r="B7269" s="11" t="s">
        <v>15063</v>
      </c>
      <c r="C7269" s="11" t="s">
        <v>137</v>
      </c>
      <c r="D7269" s="11" t="s">
        <v>18</v>
      </c>
      <c r="E7269" s="12" t="s">
        <v>1562</v>
      </c>
      <c r="F7269" s="12" t="s">
        <v>1563</v>
      </c>
      <c r="G7269" s="12" t="s">
        <v>29</v>
      </c>
      <c r="H7269" s="11" t="s">
        <v>63</v>
      </c>
      <c r="I7269" s="13" t="s">
        <v>15098</v>
      </c>
      <c r="J7269" s="14" t="str">
        <f>HYPERLINK("https://www.boe.es/gazeta/dias/1839/04/08/pdfs/GMD-1839-1605.pdf#page=1","Abrir facsímil")</f>
        <v>Abrir facsímil</v>
      </c>
      <c r="K7269" s="12" t="s">
        <v>65</v>
      </c>
    </row>
    <row r="7270" spans="1:11" ht="40.049999999999997" customHeight="1" x14ac:dyDescent="0.25">
      <c r="A7270" s="11" t="s">
        <v>15062</v>
      </c>
      <c r="B7270" s="11" t="s">
        <v>15063</v>
      </c>
      <c r="C7270" s="11" t="s">
        <v>101</v>
      </c>
      <c r="D7270" s="11" t="s">
        <v>102</v>
      </c>
      <c r="E7270" s="12" t="s">
        <v>121</v>
      </c>
      <c r="F7270" s="12" t="s">
        <v>122</v>
      </c>
      <c r="G7270" s="12" t="s">
        <v>29</v>
      </c>
      <c r="H7270" s="11" t="s">
        <v>63</v>
      </c>
      <c r="I7270" s="13" t="s">
        <v>15099</v>
      </c>
      <c r="J7270" s="14" t="str">
        <f>HYPERLINK("https://www.boe.es/gazeta/dias/1839/06/08/pdfs/GMD-1839-1666.pdf#page=1","Abrir facsímil")</f>
        <v>Abrir facsímil</v>
      </c>
      <c r="K7270" s="12" t="s">
        <v>65</v>
      </c>
    </row>
    <row r="7271" spans="1:11" ht="40.049999999999997" customHeight="1" x14ac:dyDescent="0.25">
      <c r="A7271" s="11" t="s">
        <v>15062</v>
      </c>
      <c r="B7271" s="11" t="s">
        <v>15063</v>
      </c>
      <c r="C7271" s="11" t="s">
        <v>17</v>
      </c>
      <c r="D7271" s="11" t="s">
        <v>18</v>
      </c>
      <c r="E7271" s="12" t="s">
        <v>4485</v>
      </c>
      <c r="F7271" s="12" t="s">
        <v>4486</v>
      </c>
      <c r="G7271" s="12" t="s">
        <v>29</v>
      </c>
      <c r="H7271" s="11" t="s">
        <v>63</v>
      </c>
      <c r="I7271" s="13" t="s">
        <v>15100</v>
      </c>
      <c r="J7271" s="14" t="str">
        <f>HYPERLINK("https://www.boe.es/gazeta/dias/1839/07/08/pdfs/GMD-1839-1696.pdf#page=1","Abrir facsímil")</f>
        <v>Abrir facsímil</v>
      </c>
      <c r="K7271" s="12" t="s">
        <v>65</v>
      </c>
    </row>
    <row r="7272" spans="1:11" ht="40.049999999999997" customHeight="1" x14ac:dyDescent="0.25">
      <c r="A7272" s="11" t="s">
        <v>15062</v>
      </c>
      <c r="B7272" s="11" t="s">
        <v>15063</v>
      </c>
      <c r="C7272" s="11" t="s">
        <v>17</v>
      </c>
      <c r="D7272" s="11" t="s">
        <v>18</v>
      </c>
      <c r="E7272" s="12" t="s">
        <v>68</v>
      </c>
      <c r="F7272" s="12" t="s">
        <v>69</v>
      </c>
      <c r="G7272" s="12" t="s">
        <v>29</v>
      </c>
      <c r="H7272" s="11" t="s">
        <v>63</v>
      </c>
      <c r="I7272" s="13" t="s">
        <v>15101</v>
      </c>
      <c r="J7272" s="14" t="str">
        <f>HYPERLINK("https://www.boe.es/gazeta/dias/1839/02/09/pdfs/GMD-1839-1547.pdf#page=1","Abrir facsímil")</f>
        <v>Abrir facsímil</v>
      </c>
      <c r="K7272" s="12" t="s">
        <v>65</v>
      </c>
    </row>
    <row r="7273" spans="1:11" ht="40.049999999999997" customHeight="1" x14ac:dyDescent="0.25">
      <c r="A7273" s="11" t="s">
        <v>15062</v>
      </c>
      <c r="B7273" s="11" t="s">
        <v>15063</v>
      </c>
      <c r="C7273" s="11" t="s">
        <v>17</v>
      </c>
      <c r="D7273" s="11" t="s">
        <v>18</v>
      </c>
      <c r="E7273" s="12" t="s">
        <v>1479</v>
      </c>
      <c r="F7273" s="12" t="s">
        <v>1480</v>
      </c>
      <c r="G7273" s="12" t="s">
        <v>29</v>
      </c>
      <c r="H7273" s="11" t="s">
        <v>63</v>
      </c>
      <c r="I7273" s="13" t="s">
        <v>15102</v>
      </c>
      <c r="J7273" s="14" t="str">
        <f>HYPERLINK("https://www.boe.es/gazeta/dias/1839/04/09/pdfs/GMD-1839-1606.pdf#page=1","Abrir facsímil")</f>
        <v>Abrir facsímil</v>
      </c>
      <c r="K7273" s="12" t="s">
        <v>65</v>
      </c>
    </row>
    <row r="7274" spans="1:11" ht="40.049999999999997" customHeight="1" x14ac:dyDescent="0.25">
      <c r="A7274" s="11" t="s">
        <v>15062</v>
      </c>
      <c r="B7274" s="11" t="s">
        <v>15063</v>
      </c>
      <c r="C7274" s="11" t="s">
        <v>17</v>
      </c>
      <c r="D7274" s="11" t="s">
        <v>18</v>
      </c>
      <c r="E7274" s="12" t="s">
        <v>782</v>
      </c>
      <c r="F7274" s="12" t="s">
        <v>783</v>
      </c>
      <c r="G7274" s="12" t="s">
        <v>29</v>
      </c>
      <c r="H7274" s="11" t="s">
        <v>63</v>
      </c>
      <c r="I7274" s="13" t="s">
        <v>15103</v>
      </c>
      <c r="J7274" s="14" t="str">
        <f>HYPERLINK("https://www.boe.es/gazeta/dias/1839/05/09/pdfs/GMD-1839-1636.pdf#page=1","Abrir facsímil")</f>
        <v>Abrir facsímil</v>
      </c>
      <c r="K7274" s="12" t="s">
        <v>65</v>
      </c>
    </row>
    <row r="7275" spans="1:11" ht="40.049999999999997" customHeight="1" x14ac:dyDescent="0.25">
      <c r="A7275" s="11" t="s">
        <v>15062</v>
      </c>
      <c r="B7275" s="11" t="s">
        <v>15063</v>
      </c>
      <c r="C7275" s="11" t="s">
        <v>59</v>
      </c>
      <c r="D7275" s="11" t="s">
        <v>60</v>
      </c>
      <c r="E7275" s="12" t="s">
        <v>3134</v>
      </c>
      <c r="F7275" s="12" t="s">
        <v>3135</v>
      </c>
      <c r="G7275" s="12" t="s">
        <v>29</v>
      </c>
      <c r="H7275" s="11" t="s">
        <v>63</v>
      </c>
      <c r="I7275" s="13" t="s">
        <v>15104</v>
      </c>
      <c r="J7275" s="14" t="str">
        <f>HYPERLINK("https://www.boe.es/gazeta/dias/1839/08/09/pdfs/GMD-1839-1729.pdf#page=1","Abrir facsímil")</f>
        <v>Abrir facsímil</v>
      </c>
      <c r="K7275" s="12" t="s">
        <v>65</v>
      </c>
    </row>
    <row r="7276" spans="1:11" ht="40.049999999999997" customHeight="1" x14ac:dyDescent="0.25">
      <c r="A7276" s="11" t="s">
        <v>15062</v>
      </c>
      <c r="B7276" s="11" t="s">
        <v>15063</v>
      </c>
      <c r="C7276" s="11" t="s">
        <v>17</v>
      </c>
      <c r="D7276" s="11" t="s">
        <v>18</v>
      </c>
      <c r="E7276" s="12" t="s">
        <v>160</v>
      </c>
      <c r="F7276" s="12" t="s">
        <v>161</v>
      </c>
      <c r="G7276" s="12" t="s">
        <v>29</v>
      </c>
      <c r="H7276" s="11" t="s">
        <v>63</v>
      </c>
      <c r="I7276" s="13" t="s">
        <v>15105</v>
      </c>
      <c r="J7276" s="14" t="str">
        <f>HYPERLINK("https://www.boe.es/gazeta/dias/1839/01/10/pdfs/GMD-1839-1517.pdf#page=1","Abrir facsímil")</f>
        <v>Abrir facsímil</v>
      </c>
      <c r="K7276" s="12" t="s">
        <v>65</v>
      </c>
    </row>
    <row r="7277" spans="1:11" ht="40.049999999999997" customHeight="1" x14ac:dyDescent="0.25">
      <c r="A7277" s="11" t="s">
        <v>15062</v>
      </c>
      <c r="B7277" s="11" t="s">
        <v>15063</v>
      </c>
      <c r="C7277" s="11" t="s">
        <v>59</v>
      </c>
      <c r="D7277" s="11" t="s">
        <v>60</v>
      </c>
      <c r="E7277" s="12" t="s">
        <v>269</v>
      </c>
      <c r="F7277" s="12" t="s">
        <v>270</v>
      </c>
      <c r="G7277" s="12" t="s">
        <v>29</v>
      </c>
      <c r="H7277" s="11" t="s">
        <v>63</v>
      </c>
      <c r="I7277" s="13" t="s">
        <v>15106</v>
      </c>
      <c r="J7277" s="14" t="str">
        <f>HYPERLINK("https://www.boe.es/gazeta/dias/1839/02/10/pdfs/GMD-1839-1548.pdf#page=1","Abrir facsímil")</f>
        <v>Abrir facsímil</v>
      </c>
      <c r="K7277" s="12" t="s">
        <v>65</v>
      </c>
    </row>
    <row r="7278" spans="1:11" ht="40.049999999999997" customHeight="1" x14ac:dyDescent="0.25">
      <c r="A7278" s="11" t="s">
        <v>15062</v>
      </c>
      <c r="B7278" s="11" t="s">
        <v>15063</v>
      </c>
      <c r="C7278" s="11" t="s">
        <v>17</v>
      </c>
      <c r="D7278" s="11" t="s">
        <v>18</v>
      </c>
      <c r="E7278" s="12" t="s">
        <v>1631</v>
      </c>
      <c r="F7278" s="12" t="s">
        <v>1632</v>
      </c>
      <c r="G7278" s="12" t="s">
        <v>29</v>
      </c>
      <c r="H7278" s="11" t="s">
        <v>63</v>
      </c>
      <c r="I7278" s="13" t="s">
        <v>15107</v>
      </c>
      <c r="J7278" s="14" t="str">
        <f>HYPERLINK("https://www.boe.es/gazeta/dias/1839/05/10/pdfs/GMD-1839-1637.pdf#page=1","Abrir facsímil")</f>
        <v>Abrir facsímil</v>
      </c>
      <c r="K7278" s="12" t="s">
        <v>65</v>
      </c>
    </row>
    <row r="7279" spans="1:11" ht="40.049999999999997" customHeight="1" x14ac:dyDescent="0.25">
      <c r="A7279" s="11" t="s">
        <v>15062</v>
      </c>
      <c r="B7279" s="11" t="s">
        <v>15063</v>
      </c>
      <c r="C7279" s="11" t="s">
        <v>17</v>
      </c>
      <c r="D7279" s="11" t="s">
        <v>18</v>
      </c>
      <c r="E7279" s="12" t="s">
        <v>3766</v>
      </c>
      <c r="F7279" s="12" t="s">
        <v>3767</v>
      </c>
      <c r="G7279" s="12" t="s">
        <v>29</v>
      </c>
      <c r="H7279" s="11" t="s">
        <v>63</v>
      </c>
      <c r="I7279" s="13" t="s">
        <v>15108</v>
      </c>
      <c r="J7279" s="14" t="str">
        <f>HYPERLINK("https://www.boe.es/gazeta/dias/1839/06/10/pdfs/GMD-1839-1668.pdf#page=1","Abrir facsímil")</f>
        <v>Abrir facsímil</v>
      </c>
      <c r="K7279" s="12" t="s">
        <v>65</v>
      </c>
    </row>
    <row r="7280" spans="1:11" ht="40.049999999999997" customHeight="1" x14ac:dyDescent="0.25">
      <c r="A7280" s="11" t="s">
        <v>15062</v>
      </c>
      <c r="B7280" s="11" t="s">
        <v>15063</v>
      </c>
      <c r="C7280" s="11" t="s">
        <v>137</v>
      </c>
      <c r="D7280" s="11" t="s">
        <v>18</v>
      </c>
      <c r="E7280" s="12" t="s">
        <v>527</v>
      </c>
      <c r="F7280" s="12" t="s">
        <v>528</v>
      </c>
      <c r="G7280" s="12" t="s">
        <v>29</v>
      </c>
      <c r="H7280" s="11" t="s">
        <v>63</v>
      </c>
      <c r="I7280" s="13" t="s">
        <v>15109</v>
      </c>
      <c r="J7280" s="14" t="str">
        <f>HYPERLINK("https://www.boe.es/gazeta/dias/1839/07/10/pdfs/GMD-1839-1698.pdf#page=1","Abrir facsímil")</f>
        <v>Abrir facsímil</v>
      </c>
      <c r="K7280" s="12" t="s">
        <v>65</v>
      </c>
    </row>
    <row r="7281" spans="1:11" ht="40.049999999999997" customHeight="1" x14ac:dyDescent="0.25">
      <c r="A7281" s="11" t="s">
        <v>15062</v>
      </c>
      <c r="B7281" s="11" t="s">
        <v>15063</v>
      </c>
      <c r="C7281" s="11" t="s">
        <v>80</v>
      </c>
      <c r="D7281" s="11" t="s">
        <v>18</v>
      </c>
      <c r="E7281" s="12" t="s">
        <v>181</v>
      </c>
      <c r="F7281" s="12" t="s">
        <v>182</v>
      </c>
      <c r="G7281" s="12" t="s">
        <v>29</v>
      </c>
      <c r="H7281" s="11" t="s">
        <v>63</v>
      </c>
      <c r="I7281" s="13" t="s">
        <v>15110</v>
      </c>
      <c r="J7281" s="14" t="str">
        <f>HYPERLINK("https://www.boe.es/gazeta/dias/1839/01/11/pdfs/GMD-1839-1518.pdf#page=1","Abrir facsímil")</f>
        <v>Abrir facsímil</v>
      </c>
      <c r="K7281" s="12" t="s">
        <v>65</v>
      </c>
    </row>
    <row r="7282" spans="1:11" ht="40.049999999999997" customHeight="1" x14ac:dyDescent="0.25">
      <c r="A7282" s="11" t="s">
        <v>15062</v>
      </c>
      <c r="B7282" s="11" t="s">
        <v>15063</v>
      </c>
      <c r="C7282" s="11" t="s">
        <v>17</v>
      </c>
      <c r="D7282" s="11" t="s">
        <v>18</v>
      </c>
      <c r="E7282" s="12" t="s">
        <v>809</v>
      </c>
      <c r="F7282" s="12" t="s">
        <v>810</v>
      </c>
      <c r="G7282" s="12" t="s">
        <v>29</v>
      </c>
      <c r="H7282" s="11" t="s">
        <v>63</v>
      </c>
      <c r="I7282" s="13" t="s">
        <v>15111</v>
      </c>
      <c r="J7282" s="14" t="str">
        <f>HYPERLINK("https://www.boe.es/gazeta/dias/1839/02/11/pdfs/GMD-1839-1549.pdf#page=1","Abrir facsímil")</f>
        <v>Abrir facsímil</v>
      </c>
      <c r="K7282" s="12" t="s">
        <v>65</v>
      </c>
    </row>
    <row r="7283" spans="1:11" ht="40.049999999999997" customHeight="1" x14ac:dyDescent="0.25">
      <c r="A7283" s="11" t="s">
        <v>15062</v>
      </c>
      <c r="B7283" s="11" t="s">
        <v>15063</v>
      </c>
      <c r="C7283" s="11" t="s">
        <v>17</v>
      </c>
      <c r="D7283" s="11" t="s">
        <v>18</v>
      </c>
      <c r="E7283" s="12" t="s">
        <v>84</v>
      </c>
      <c r="F7283" s="12" t="s">
        <v>85</v>
      </c>
      <c r="G7283" s="12" t="s">
        <v>29</v>
      </c>
      <c r="H7283" s="11" t="s">
        <v>63</v>
      </c>
      <c r="I7283" s="13" t="s">
        <v>15112</v>
      </c>
      <c r="J7283" s="14" t="str">
        <f>HYPERLINK("https://www.boe.es/gazeta/dias/1839/03/11/pdfs/GMD-1839-1577.pdf#page=1","Abrir facsímil")</f>
        <v>Abrir facsímil</v>
      </c>
      <c r="K7283" s="12" t="s">
        <v>65</v>
      </c>
    </row>
    <row r="7284" spans="1:11" ht="40.049999999999997" customHeight="1" x14ac:dyDescent="0.25">
      <c r="A7284" s="11" t="s">
        <v>15062</v>
      </c>
      <c r="B7284" s="11" t="s">
        <v>15063</v>
      </c>
      <c r="C7284" s="11" t="s">
        <v>17</v>
      </c>
      <c r="D7284" s="11" t="s">
        <v>18</v>
      </c>
      <c r="E7284" s="12" t="s">
        <v>330</v>
      </c>
      <c r="F7284" s="12" t="s">
        <v>331</v>
      </c>
      <c r="G7284" s="12" t="s">
        <v>29</v>
      </c>
      <c r="H7284" s="11" t="s">
        <v>63</v>
      </c>
      <c r="I7284" s="13" t="s">
        <v>15113</v>
      </c>
      <c r="J7284" s="14" t="str">
        <f>HYPERLINK("https://www.boe.es/gazeta/dias/1839/04/11/pdfs/GMD-1839-1608.pdf#page=1","Abrir facsímil")</f>
        <v>Abrir facsímil</v>
      </c>
      <c r="K7284" s="12" t="s">
        <v>65</v>
      </c>
    </row>
    <row r="7285" spans="1:11" ht="40.049999999999997" customHeight="1" x14ac:dyDescent="0.25">
      <c r="A7285" s="11" t="s">
        <v>15062</v>
      </c>
      <c r="B7285" s="11" t="s">
        <v>15063</v>
      </c>
      <c r="C7285" s="11" t="s">
        <v>59</v>
      </c>
      <c r="D7285" s="11" t="s">
        <v>60</v>
      </c>
      <c r="E7285" s="12" t="s">
        <v>320</v>
      </c>
      <c r="F7285" s="12" t="s">
        <v>321</v>
      </c>
      <c r="G7285" s="12" t="s">
        <v>29</v>
      </c>
      <c r="H7285" s="11" t="s">
        <v>63</v>
      </c>
      <c r="I7285" s="13" t="s">
        <v>15114</v>
      </c>
      <c r="J7285" s="14" t="str">
        <f>HYPERLINK("https://www.boe.es/gazeta/dias/1839/05/11/pdfs/GMD-1839-1638.pdf#page=1","Abrir facsímil")</f>
        <v>Abrir facsímil</v>
      </c>
      <c r="K7285" s="12" t="s">
        <v>65</v>
      </c>
    </row>
    <row r="7286" spans="1:11" ht="40.049999999999997" customHeight="1" x14ac:dyDescent="0.25">
      <c r="A7286" s="11" t="s">
        <v>15062</v>
      </c>
      <c r="B7286" s="11" t="s">
        <v>15063</v>
      </c>
      <c r="C7286" s="11" t="s">
        <v>17</v>
      </c>
      <c r="D7286" s="11" t="s">
        <v>18</v>
      </c>
      <c r="E7286" s="12" t="s">
        <v>333</v>
      </c>
      <c r="F7286" s="12" t="s">
        <v>334</v>
      </c>
      <c r="G7286" s="12" t="s">
        <v>29</v>
      </c>
      <c r="H7286" s="11" t="s">
        <v>63</v>
      </c>
      <c r="I7286" s="13" t="s">
        <v>15115</v>
      </c>
      <c r="J7286" s="14" t="str">
        <f>HYPERLINK("https://www.boe.es/gazeta/dias/1839/06/11/pdfs/GMD-1839-1669.pdf#page=1","Abrir facsímil")</f>
        <v>Abrir facsímil</v>
      </c>
      <c r="K7286" s="12" t="s">
        <v>65</v>
      </c>
    </row>
    <row r="7287" spans="1:11" ht="40.049999999999997" customHeight="1" x14ac:dyDescent="0.25">
      <c r="A7287" s="11" t="s">
        <v>15062</v>
      </c>
      <c r="B7287" s="11" t="s">
        <v>15063</v>
      </c>
      <c r="C7287" s="11" t="s">
        <v>137</v>
      </c>
      <c r="D7287" s="11" t="s">
        <v>18</v>
      </c>
      <c r="E7287" s="12" t="s">
        <v>426</v>
      </c>
      <c r="F7287" s="12" t="s">
        <v>427</v>
      </c>
      <c r="G7287" s="12" t="s">
        <v>29</v>
      </c>
      <c r="H7287" s="11" t="s">
        <v>63</v>
      </c>
      <c r="I7287" s="13" t="s">
        <v>15116</v>
      </c>
      <c r="J7287" s="14" t="str">
        <f>HYPERLINK("https://www.boe.es/gazeta/dias/1839/08/11/pdfs/GMD-1839-1731.pdf#page=1","Abrir facsímil")</f>
        <v>Abrir facsímil</v>
      </c>
      <c r="K7287" s="12" t="s">
        <v>65</v>
      </c>
    </row>
    <row r="7288" spans="1:11" ht="40.049999999999997" customHeight="1" x14ac:dyDescent="0.25">
      <c r="A7288" s="11" t="s">
        <v>15062</v>
      </c>
      <c r="B7288" s="11" t="s">
        <v>15063</v>
      </c>
      <c r="C7288" s="11" t="s">
        <v>59</v>
      </c>
      <c r="D7288" s="11" t="s">
        <v>60</v>
      </c>
      <c r="E7288" s="12" t="s">
        <v>192</v>
      </c>
      <c r="F7288" s="12" t="s">
        <v>193</v>
      </c>
      <c r="G7288" s="12" t="s">
        <v>29</v>
      </c>
      <c r="H7288" s="11" t="s">
        <v>63</v>
      </c>
      <c r="I7288" s="13" t="s">
        <v>15117</v>
      </c>
      <c r="J7288" s="14" t="str">
        <f>HYPERLINK("https://www.boe.es/gazeta/dias/1839/01/12/pdfs/GMD-1839-1519.pdf#page=1","Abrir facsímil")</f>
        <v>Abrir facsímil</v>
      </c>
      <c r="K7288" s="12" t="s">
        <v>65</v>
      </c>
    </row>
    <row r="7289" spans="1:11" ht="40.049999999999997" customHeight="1" x14ac:dyDescent="0.25">
      <c r="A7289" s="11" t="s">
        <v>15062</v>
      </c>
      <c r="B7289" s="11" t="s">
        <v>15063</v>
      </c>
      <c r="C7289" s="11" t="s">
        <v>101</v>
      </c>
      <c r="D7289" s="11" t="s">
        <v>102</v>
      </c>
      <c r="E7289" s="12" t="s">
        <v>272</v>
      </c>
      <c r="F7289" s="12" t="s">
        <v>273</v>
      </c>
      <c r="G7289" s="12" t="s">
        <v>29</v>
      </c>
      <c r="H7289" s="11" t="s">
        <v>63</v>
      </c>
      <c r="I7289" s="13" t="s">
        <v>15118</v>
      </c>
      <c r="J7289" s="14" t="str">
        <f>HYPERLINK("https://www.boe.es/gazeta/dias/1839/02/12/pdfs/GMD-1839-1550.pdf#page=1","Abrir facsímil")</f>
        <v>Abrir facsímil</v>
      </c>
      <c r="K7289" s="12" t="s">
        <v>65</v>
      </c>
    </row>
    <row r="7290" spans="1:11" ht="40.049999999999997" customHeight="1" x14ac:dyDescent="0.25">
      <c r="A7290" s="11" t="s">
        <v>15062</v>
      </c>
      <c r="B7290" s="11" t="s">
        <v>15063</v>
      </c>
      <c r="C7290" s="11" t="s">
        <v>80</v>
      </c>
      <c r="D7290" s="11" t="s">
        <v>173</v>
      </c>
      <c r="E7290" s="12" t="s">
        <v>420</v>
      </c>
      <c r="F7290" s="12" t="s">
        <v>421</v>
      </c>
      <c r="G7290" s="12" t="s">
        <v>29</v>
      </c>
      <c r="H7290" s="11" t="s">
        <v>63</v>
      </c>
      <c r="I7290" s="13" t="s">
        <v>15119</v>
      </c>
      <c r="J7290" s="14" t="str">
        <f>HYPERLINK("https://www.boe.es/gazeta/dias/1839/03/12/pdfs/GMD-1839-1578.pdf#page=1","Abrir facsímil")</f>
        <v>Abrir facsímil</v>
      </c>
      <c r="K7290" s="12" t="s">
        <v>65</v>
      </c>
    </row>
    <row r="7291" spans="1:11" ht="40.049999999999997" customHeight="1" x14ac:dyDescent="0.25">
      <c r="A7291" s="11" t="s">
        <v>15062</v>
      </c>
      <c r="B7291" s="11" t="s">
        <v>15063</v>
      </c>
      <c r="C7291" s="11" t="s">
        <v>17</v>
      </c>
      <c r="D7291" s="11" t="s">
        <v>18</v>
      </c>
      <c r="E7291" s="12" t="s">
        <v>1391</v>
      </c>
      <c r="F7291" s="12" t="s">
        <v>1392</v>
      </c>
      <c r="G7291" s="12" t="s">
        <v>29</v>
      </c>
      <c r="H7291" s="11" t="s">
        <v>63</v>
      </c>
      <c r="I7291" s="13" t="s">
        <v>15120</v>
      </c>
      <c r="J7291" s="14" t="str">
        <f>HYPERLINK("https://www.boe.es/gazeta/dias/1839/05/12/pdfs/GMD-1839-1639.pdf#page=1","Abrir facsímil")</f>
        <v>Abrir facsímil</v>
      </c>
      <c r="K7291" s="12" t="s">
        <v>65</v>
      </c>
    </row>
    <row r="7292" spans="1:11" ht="40.049999999999997" customHeight="1" x14ac:dyDescent="0.25">
      <c r="A7292" s="11" t="s">
        <v>15062</v>
      </c>
      <c r="B7292" s="11" t="s">
        <v>15063</v>
      </c>
      <c r="C7292" s="11" t="s">
        <v>17</v>
      </c>
      <c r="D7292" s="11" t="s">
        <v>18</v>
      </c>
      <c r="E7292" s="12" t="s">
        <v>1414</v>
      </c>
      <c r="F7292" s="12" t="s">
        <v>1415</v>
      </c>
      <c r="G7292" s="12" t="s">
        <v>29</v>
      </c>
      <c r="H7292" s="11" t="s">
        <v>63</v>
      </c>
      <c r="I7292" s="13" t="s">
        <v>15121</v>
      </c>
      <c r="J7292" s="14" t="str">
        <f>HYPERLINK("https://www.boe.es/gazeta/dias/1839/06/12/pdfs/GMD-1839-1670.pdf#page=1","Abrir facsímil")</f>
        <v>Abrir facsímil</v>
      </c>
      <c r="K7292" s="12" t="s">
        <v>65</v>
      </c>
    </row>
    <row r="7293" spans="1:11" ht="40.049999999999997" customHeight="1" x14ac:dyDescent="0.25">
      <c r="A7293" s="11" t="s">
        <v>15062</v>
      </c>
      <c r="B7293" s="11" t="s">
        <v>15063</v>
      </c>
      <c r="C7293" s="11" t="s">
        <v>59</v>
      </c>
      <c r="D7293" s="11" t="s">
        <v>60</v>
      </c>
      <c r="E7293" s="12" t="s">
        <v>1512</v>
      </c>
      <c r="F7293" s="12" t="s">
        <v>1513</v>
      </c>
      <c r="G7293" s="12" t="s">
        <v>29</v>
      </c>
      <c r="H7293" s="11" t="s">
        <v>63</v>
      </c>
      <c r="I7293" s="13" t="s">
        <v>15122</v>
      </c>
      <c r="J7293" s="14" t="str">
        <f>HYPERLINK("https://www.boe.es/gazeta/dias/1839/04/13/pdfs/GMD-1839-1610.pdf#page=1","Abrir facsímil")</f>
        <v>Abrir facsímil</v>
      </c>
      <c r="K7293" s="12" t="s">
        <v>65</v>
      </c>
    </row>
    <row r="7294" spans="1:11" ht="40.049999999999997" customHeight="1" x14ac:dyDescent="0.25">
      <c r="A7294" s="11" t="s">
        <v>15062</v>
      </c>
      <c r="B7294" s="11" t="s">
        <v>15063</v>
      </c>
      <c r="C7294" s="11" t="s">
        <v>17</v>
      </c>
      <c r="D7294" s="11" t="s">
        <v>18</v>
      </c>
      <c r="E7294" s="12" t="s">
        <v>2270</v>
      </c>
      <c r="F7294" s="12" t="s">
        <v>2271</v>
      </c>
      <c r="G7294" s="12" t="s">
        <v>29</v>
      </c>
      <c r="H7294" s="11" t="s">
        <v>63</v>
      </c>
      <c r="I7294" s="13" t="s">
        <v>15123</v>
      </c>
      <c r="J7294" s="14" t="str">
        <f>HYPERLINK("https://www.boe.es/gazeta/dias/1839/06/13/pdfs/GMD-1839-1671.pdf#page=1","Abrir facsímil")</f>
        <v>Abrir facsímil</v>
      </c>
      <c r="K7294" s="12" t="s">
        <v>65</v>
      </c>
    </row>
    <row r="7295" spans="1:11" ht="40.049999999999997" customHeight="1" x14ac:dyDescent="0.25">
      <c r="A7295" s="11" t="s">
        <v>15062</v>
      </c>
      <c r="B7295" s="11" t="s">
        <v>15063</v>
      </c>
      <c r="C7295" s="11" t="s">
        <v>59</v>
      </c>
      <c r="D7295" s="11" t="s">
        <v>60</v>
      </c>
      <c r="E7295" s="12" t="s">
        <v>720</v>
      </c>
      <c r="F7295" s="12" t="s">
        <v>721</v>
      </c>
      <c r="G7295" s="12" t="s">
        <v>29</v>
      </c>
      <c r="H7295" s="11" t="s">
        <v>63</v>
      </c>
      <c r="I7295" s="13" t="s">
        <v>15124</v>
      </c>
      <c r="J7295" s="14" t="str">
        <f>HYPERLINK("https://www.boe.es/gazeta/dias/1839/01/14/pdfs/GMD-1839-1521.pdf#page=1","Abrir facsímil")</f>
        <v>Abrir facsímil</v>
      </c>
      <c r="K7295" s="12" t="s">
        <v>65</v>
      </c>
    </row>
    <row r="7296" spans="1:11" ht="40.049999999999997" customHeight="1" x14ac:dyDescent="0.25">
      <c r="A7296" s="11" t="s">
        <v>15062</v>
      </c>
      <c r="B7296" s="11" t="s">
        <v>15063</v>
      </c>
      <c r="C7296" s="11" t="s">
        <v>17</v>
      </c>
      <c r="D7296" s="11" t="s">
        <v>18</v>
      </c>
      <c r="E7296" s="12" t="s">
        <v>903</v>
      </c>
      <c r="F7296" s="12" t="s">
        <v>904</v>
      </c>
      <c r="G7296" s="12" t="s">
        <v>29</v>
      </c>
      <c r="H7296" s="11" t="s">
        <v>63</v>
      </c>
      <c r="I7296" s="13" t="s">
        <v>15125</v>
      </c>
      <c r="J7296" s="14" t="str">
        <f>HYPERLINK("https://www.boe.es/gazeta/dias/1839/03/14/pdfs/GMD-1839-1580.pdf#page=1","Abrir facsímil")</f>
        <v>Abrir facsímil</v>
      </c>
      <c r="K7296" s="12" t="s">
        <v>65</v>
      </c>
    </row>
    <row r="7297" spans="1:11" ht="40.049999999999997" customHeight="1" x14ac:dyDescent="0.25">
      <c r="A7297" s="11" t="s">
        <v>15062</v>
      </c>
      <c r="B7297" s="11" t="s">
        <v>15063</v>
      </c>
      <c r="C7297" s="11" t="s">
        <v>137</v>
      </c>
      <c r="D7297" s="11" t="s">
        <v>18</v>
      </c>
      <c r="E7297" s="12" t="s">
        <v>621</v>
      </c>
      <c r="F7297" s="12" t="s">
        <v>622</v>
      </c>
      <c r="G7297" s="12" t="s">
        <v>29</v>
      </c>
      <c r="H7297" s="11" t="s">
        <v>63</v>
      </c>
      <c r="I7297" s="13" t="s">
        <v>15126</v>
      </c>
      <c r="J7297" s="14" t="str">
        <f>HYPERLINK("https://www.boe.es/gazeta/dias/1839/04/14/pdfs/GMD-1839-1611.pdf#page=1","Abrir facsímil")</f>
        <v>Abrir facsímil</v>
      </c>
      <c r="K7297" s="12" t="s">
        <v>65</v>
      </c>
    </row>
    <row r="7298" spans="1:11" ht="40.049999999999997" customHeight="1" x14ac:dyDescent="0.25">
      <c r="A7298" s="11" t="s">
        <v>15062</v>
      </c>
      <c r="B7298" s="11" t="s">
        <v>15063</v>
      </c>
      <c r="C7298" s="11" t="s">
        <v>17</v>
      </c>
      <c r="D7298" s="11" t="s">
        <v>18</v>
      </c>
      <c r="E7298" s="12" t="s">
        <v>888</v>
      </c>
      <c r="F7298" s="12" t="s">
        <v>889</v>
      </c>
      <c r="G7298" s="12" t="s">
        <v>29</v>
      </c>
      <c r="H7298" s="11" t="s">
        <v>63</v>
      </c>
      <c r="I7298" s="13" t="s">
        <v>15127</v>
      </c>
      <c r="J7298" s="14" t="str">
        <f>HYPERLINK("https://www.boe.es/gazeta/dias/1839/05/14/pdfs/GMD-1839-1641.pdf#page=1","Abrir facsímil")</f>
        <v>Abrir facsímil</v>
      </c>
      <c r="K7298" s="12" t="s">
        <v>65</v>
      </c>
    </row>
    <row r="7299" spans="1:11" ht="40.049999999999997" customHeight="1" x14ac:dyDescent="0.25">
      <c r="A7299" s="11" t="s">
        <v>15062</v>
      </c>
      <c r="B7299" s="11" t="s">
        <v>15063</v>
      </c>
      <c r="C7299" s="11" t="s">
        <v>101</v>
      </c>
      <c r="D7299" s="11" t="s">
        <v>102</v>
      </c>
      <c r="E7299" s="12" t="s">
        <v>2374</v>
      </c>
      <c r="F7299" s="12" t="s">
        <v>2375</v>
      </c>
      <c r="G7299" s="12" t="s">
        <v>29</v>
      </c>
      <c r="H7299" s="11" t="s">
        <v>63</v>
      </c>
      <c r="I7299" s="13" t="s">
        <v>15128</v>
      </c>
      <c r="J7299" s="14" t="str">
        <f>HYPERLINK("https://www.boe.es/gazeta/dias/1839/06/14/pdfs/GMD-1839-1672.pdf#page=1","Abrir facsímil")</f>
        <v>Abrir facsímil</v>
      </c>
      <c r="K7299" s="12" t="s">
        <v>65</v>
      </c>
    </row>
    <row r="7300" spans="1:11" ht="40.049999999999997" customHeight="1" x14ac:dyDescent="0.25">
      <c r="A7300" s="11" t="s">
        <v>15062</v>
      </c>
      <c r="B7300" s="11" t="s">
        <v>15063</v>
      </c>
      <c r="C7300" s="11" t="s">
        <v>101</v>
      </c>
      <c r="D7300" s="11" t="s">
        <v>43</v>
      </c>
      <c r="E7300" s="12" t="s">
        <v>336</v>
      </c>
      <c r="F7300" s="12" t="s">
        <v>337</v>
      </c>
      <c r="G7300" s="12" t="s">
        <v>29</v>
      </c>
      <c r="H7300" s="11" t="s">
        <v>63</v>
      </c>
      <c r="I7300" s="13" t="s">
        <v>15129</v>
      </c>
      <c r="J7300" s="14" t="str">
        <f>HYPERLINK("https://www.boe.es/gazeta/dias/1839/07/14/pdfs/GMD-1839-1702.pdf#page=1","Abrir facsímil")</f>
        <v>Abrir facsímil</v>
      </c>
      <c r="K7300" s="12" t="s">
        <v>65</v>
      </c>
    </row>
    <row r="7301" spans="1:11" ht="40.049999999999997" customHeight="1" x14ac:dyDescent="0.25">
      <c r="A7301" s="11" t="s">
        <v>15062</v>
      </c>
      <c r="B7301" s="11" t="s">
        <v>15063</v>
      </c>
      <c r="C7301" s="11" t="s">
        <v>101</v>
      </c>
      <c r="D7301" s="11" t="s">
        <v>43</v>
      </c>
      <c r="E7301" s="12" t="s">
        <v>1139</v>
      </c>
      <c r="F7301" s="12" t="s">
        <v>1140</v>
      </c>
      <c r="G7301" s="12" t="s">
        <v>29</v>
      </c>
      <c r="H7301" s="11" t="s">
        <v>63</v>
      </c>
      <c r="I7301" s="13" t="s">
        <v>15130</v>
      </c>
      <c r="J7301" s="14" t="str">
        <f>HYPERLINK("https://www.boe.es/gazeta/dias/1839/02/15/pdfs/GMD-1839-1553.pdf#page=1","Abrir facsímil")</f>
        <v>Abrir facsímil</v>
      </c>
      <c r="K7301" s="12" t="s">
        <v>65</v>
      </c>
    </row>
    <row r="7302" spans="1:11" ht="40.049999999999997" customHeight="1" x14ac:dyDescent="0.25">
      <c r="A7302" s="11" t="s">
        <v>15062</v>
      </c>
      <c r="B7302" s="11" t="s">
        <v>15063</v>
      </c>
      <c r="C7302" s="11" t="s">
        <v>17</v>
      </c>
      <c r="D7302" s="11" t="s">
        <v>18</v>
      </c>
      <c r="E7302" s="12" t="s">
        <v>395</v>
      </c>
      <c r="F7302" s="12" t="s">
        <v>396</v>
      </c>
      <c r="G7302" s="12" t="s">
        <v>29</v>
      </c>
      <c r="H7302" s="11" t="s">
        <v>63</v>
      </c>
      <c r="I7302" s="13" t="s">
        <v>15131</v>
      </c>
      <c r="J7302" s="14" t="str">
        <f>HYPERLINK("https://www.boe.es/gazeta/dias/1839/03/15/pdfs/GMD-1839-1581.pdf#page=1","Abrir facsímil")</f>
        <v>Abrir facsímil</v>
      </c>
      <c r="K7302" s="12" t="s">
        <v>65</v>
      </c>
    </row>
    <row r="7303" spans="1:11" ht="40.049999999999997" customHeight="1" x14ac:dyDescent="0.25">
      <c r="A7303" s="11" t="s">
        <v>15062</v>
      </c>
      <c r="B7303" s="11" t="s">
        <v>15063</v>
      </c>
      <c r="C7303" s="11" t="s">
        <v>17</v>
      </c>
      <c r="D7303" s="11" t="s">
        <v>18</v>
      </c>
      <c r="E7303" s="12" t="s">
        <v>946</v>
      </c>
      <c r="F7303" s="12" t="s">
        <v>947</v>
      </c>
      <c r="G7303" s="12" t="s">
        <v>29</v>
      </c>
      <c r="H7303" s="11" t="s">
        <v>63</v>
      </c>
      <c r="I7303" s="13" t="s">
        <v>15132</v>
      </c>
      <c r="J7303" s="14" t="str">
        <f>HYPERLINK("https://www.boe.es/gazeta/dias/1839/04/15/pdfs/GMD-1839-1612.pdf#page=1","Abrir facsímil")</f>
        <v>Abrir facsímil</v>
      </c>
      <c r="K7303" s="12" t="s">
        <v>65</v>
      </c>
    </row>
    <row r="7304" spans="1:11" ht="40.049999999999997" customHeight="1" x14ac:dyDescent="0.25">
      <c r="A7304" s="11" t="s">
        <v>15062</v>
      </c>
      <c r="B7304" s="11" t="s">
        <v>15063</v>
      </c>
      <c r="C7304" s="11" t="s">
        <v>101</v>
      </c>
      <c r="D7304" s="11" t="s">
        <v>43</v>
      </c>
      <c r="E7304" s="12" t="s">
        <v>3114</v>
      </c>
      <c r="F7304" s="12" t="s">
        <v>3115</v>
      </c>
      <c r="G7304" s="12" t="s">
        <v>29</v>
      </c>
      <c r="H7304" s="11" t="s">
        <v>63</v>
      </c>
      <c r="I7304" s="13" t="s">
        <v>15133</v>
      </c>
      <c r="J7304" s="14" t="str">
        <f>HYPERLINK("https://www.boe.es/gazeta/dias/1839/05/15/pdfs/GMD-1839-1642.pdf#page=1","Abrir facsímil")</f>
        <v>Abrir facsímil</v>
      </c>
      <c r="K7304" s="12" t="s">
        <v>65</v>
      </c>
    </row>
    <row r="7305" spans="1:11" ht="40.049999999999997" customHeight="1" x14ac:dyDescent="0.25">
      <c r="A7305" s="11" t="s">
        <v>15062</v>
      </c>
      <c r="B7305" s="11" t="s">
        <v>15063</v>
      </c>
      <c r="C7305" s="11" t="s">
        <v>80</v>
      </c>
      <c r="D7305" s="11" t="s">
        <v>18</v>
      </c>
      <c r="E7305" s="12" t="s">
        <v>1252</v>
      </c>
      <c r="F7305" s="12" t="s">
        <v>1253</v>
      </c>
      <c r="G7305" s="12" t="s">
        <v>29</v>
      </c>
      <c r="H7305" s="11" t="s">
        <v>63</v>
      </c>
      <c r="I7305" s="13" t="s">
        <v>15134</v>
      </c>
      <c r="J7305" s="14" t="str">
        <f>HYPERLINK("https://www.boe.es/gazeta/dias/1839/06/15/pdfs/GMD-1839-1673.pdf#page=1","Abrir facsímil")</f>
        <v>Abrir facsímil</v>
      </c>
      <c r="K7305" s="12" t="s">
        <v>65</v>
      </c>
    </row>
    <row r="7306" spans="1:11" ht="40.049999999999997" customHeight="1" x14ac:dyDescent="0.25">
      <c r="A7306" s="11" t="s">
        <v>15062</v>
      </c>
      <c r="B7306" s="11" t="s">
        <v>15063</v>
      </c>
      <c r="C7306" s="11" t="s">
        <v>17</v>
      </c>
      <c r="D7306" s="11" t="s">
        <v>18</v>
      </c>
      <c r="E7306" s="12" t="s">
        <v>1019</v>
      </c>
      <c r="F7306" s="12" t="s">
        <v>1020</v>
      </c>
      <c r="G7306" s="12" t="s">
        <v>29</v>
      </c>
      <c r="H7306" s="11" t="s">
        <v>63</v>
      </c>
      <c r="I7306" s="13" t="s">
        <v>15135</v>
      </c>
      <c r="J7306" s="14" t="str">
        <f>HYPERLINK("https://www.boe.es/gazeta/dias/1839/07/15/pdfs/GMD-1839-1703.pdf#page=1","Abrir facsímil")</f>
        <v>Abrir facsímil</v>
      </c>
      <c r="K7306" s="12" t="s">
        <v>65</v>
      </c>
    </row>
    <row r="7307" spans="1:11" ht="40.049999999999997" customHeight="1" x14ac:dyDescent="0.25">
      <c r="A7307" s="11" t="s">
        <v>15062</v>
      </c>
      <c r="B7307" s="11" t="s">
        <v>15063</v>
      </c>
      <c r="C7307" s="11" t="s">
        <v>17</v>
      </c>
      <c r="D7307" s="11" t="s">
        <v>18</v>
      </c>
      <c r="E7307" s="12" t="s">
        <v>5806</v>
      </c>
      <c r="F7307" s="12" t="s">
        <v>5807</v>
      </c>
      <c r="G7307" s="12" t="s">
        <v>29</v>
      </c>
      <c r="H7307" s="11" t="s">
        <v>63</v>
      </c>
      <c r="I7307" s="13" t="s">
        <v>15136</v>
      </c>
      <c r="J7307" s="14" t="str">
        <f>HYPERLINK("https://www.boe.es/gazeta/dias/1839/02/16/pdfs/GMD-1839-1554.pdf#page=1","Abrir facsímil")</f>
        <v>Abrir facsímil</v>
      </c>
      <c r="K7307" s="12" t="s">
        <v>65</v>
      </c>
    </row>
    <row r="7308" spans="1:11" ht="40.049999999999997" customHeight="1" x14ac:dyDescent="0.25">
      <c r="A7308" s="11" t="s">
        <v>15062</v>
      </c>
      <c r="B7308" s="11" t="s">
        <v>15063</v>
      </c>
      <c r="C7308" s="11" t="s">
        <v>80</v>
      </c>
      <c r="D7308" s="11" t="s">
        <v>18</v>
      </c>
      <c r="E7308" s="12" t="s">
        <v>2262</v>
      </c>
      <c r="F7308" s="12" t="s">
        <v>2263</v>
      </c>
      <c r="G7308" s="12" t="s">
        <v>29</v>
      </c>
      <c r="H7308" s="11" t="s">
        <v>63</v>
      </c>
      <c r="I7308" s="13" t="s">
        <v>15137</v>
      </c>
      <c r="J7308" s="14" t="str">
        <f>HYPERLINK("https://www.boe.es/gazeta/dias/1839/03/16/pdfs/GMD-1839-1582.pdf#page=1","Abrir facsímil")</f>
        <v>Abrir facsímil</v>
      </c>
      <c r="K7308" s="12" t="s">
        <v>65</v>
      </c>
    </row>
    <row r="7309" spans="1:11" ht="40.049999999999997" customHeight="1" x14ac:dyDescent="0.25">
      <c r="A7309" s="11" t="s">
        <v>15062</v>
      </c>
      <c r="B7309" s="11" t="s">
        <v>15063</v>
      </c>
      <c r="C7309" s="11" t="s">
        <v>17</v>
      </c>
      <c r="D7309" s="11" t="s">
        <v>18</v>
      </c>
      <c r="E7309" s="12" t="s">
        <v>2995</v>
      </c>
      <c r="F7309" s="12" t="s">
        <v>2996</v>
      </c>
      <c r="G7309" s="12" t="s">
        <v>29</v>
      </c>
      <c r="H7309" s="11" t="s">
        <v>63</v>
      </c>
      <c r="I7309" s="13" t="s">
        <v>15138</v>
      </c>
      <c r="J7309" s="14" t="str">
        <f>HYPERLINK("https://www.boe.es/gazeta/dias/1839/06/16/pdfs/GMD-1839-1674.pdf#page=1","Abrir facsímil")</f>
        <v>Abrir facsímil</v>
      </c>
      <c r="K7309" s="12" t="s">
        <v>65</v>
      </c>
    </row>
    <row r="7310" spans="1:11" ht="40.049999999999997" customHeight="1" x14ac:dyDescent="0.25">
      <c r="A7310" s="11" t="s">
        <v>15062</v>
      </c>
      <c r="B7310" s="11" t="s">
        <v>15063</v>
      </c>
      <c r="C7310" s="11" t="s">
        <v>17</v>
      </c>
      <c r="D7310" s="11" t="s">
        <v>18</v>
      </c>
      <c r="E7310" s="12" t="s">
        <v>148</v>
      </c>
      <c r="F7310" s="12" t="s">
        <v>149</v>
      </c>
      <c r="G7310" s="12" t="s">
        <v>29</v>
      </c>
      <c r="H7310" s="11" t="s">
        <v>63</v>
      </c>
      <c r="I7310" s="13" t="s">
        <v>15139</v>
      </c>
      <c r="J7310" s="14" t="str">
        <f>HYPERLINK("https://www.boe.es/gazeta/dias/1839/07/16/pdfs/GMD-1839-1704.pdf#page=1","Abrir facsímil")</f>
        <v>Abrir facsímil</v>
      </c>
      <c r="K7310" s="12" t="s">
        <v>65</v>
      </c>
    </row>
    <row r="7311" spans="1:11" ht="40.049999999999997" customHeight="1" x14ac:dyDescent="0.25">
      <c r="A7311" s="11" t="s">
        <v>15062</v>
      </c>
      <c r="B7311" s="11" t="s">
        <v>15063</v>
      </c>
      <c r="C7311" s="11" t="s">
        <v>17</v>
      </c>
      <c r="D7311" s="11" t="s">
        <v>18</v>
      </c>
      <c r="E7311" s="12" t="s">
        <v>2155</v>
      </c>
      <c r="F7311" s="12" t="s">
        <v>2156</v>
      </c>
      <c r="G7311" s="12" t="s">
        <v>29</v>
      </c>
      <c r="H7311" s="11" t="s">
        <v>63</v>
      </c>
      <c r="I7311" s="13" t="s">
        <v>15140</v>
      </c>
      <c r="J7311" s="14" t="str">
        <f>HYPERLINK("https://www.boe.es/gazeta/dias/1839/01/17/pdfs/GMD-1839-1524.pdf#page=1","Abrir facsímil")</f>
        <v>Abrir facsímil</v>
      </c>
      <c r="K7311" s="12" t="s">
        <v>65</v>
      </c>
    </row>
    <row r="7312" spans="1:11" ht="40.049999999999997" customHeight="1" x14ac:dyDescent="0.25">
      <c r="A7312" s="11" t="s">
        <v>15062</v>
      </c>
      <c r="B7312" s="11" t="s">
        <v>15063</v>
      </c>
      <c r="C7312" s="11" t="s">
        <v>17</v>
      </c>
      <c r="D7312" s="11" t="s">
        <v>18</v>
      </c>
      <c r="E7312" s="12" t="s">
        <v>513</v>
      </c>
      <c r="F7312" s="12" t="s">
        <v>514</v>
      </c>
      <c r="G7312" s="12" t="s">
        <v>29</v>
      </c>
      <c r="H7312" s="11" t="s">
        <v>63</v>
      </c>
      <c r="I7312" s="13" t="s">
        <v>15141</v>
      </c>
      <c r="J7312" s="14" t="str">
        <f>HYPERLINK("https://www.boe.es/gazeta/dias/1839/03/17/pdfs/GMD-1839-1583.pdf#page=1","Abrir facsímil")</f>
        <v>Abrir facsímil</v>
      </c>
      <c r="K7312" s="12" t="s">
        <v>65</v>
      </c>
    </row>
    <row r="7313" spans="1:11" ht="40.049999999999997" customHeight="1" x14ac:dyDescent="0.25">
      <c r="A7313" s="11" t="s">
        <v>15062</v>
      </c>
      <c r="B7313" s="11" t="s">
        <v>15063</v>
      </c>
      <c r="C7313" s="11" t="s">
        <v>59</v>
      </c>
      <c r="D7313" s="11" t="s">
        <v>60</v>
      </c>
      <c r="E7313" s="12" t="s">
        <v>398</v>
      </c>
      <c r="F7313" s="12" t="s">
        <v>399</v>
      </c>
      <c r="G7313" s="12" t="s">
        <v>29</v>
      </c>
      <c r="H7313" s="11" t="s">
        <v>63</v>
      </c>
      <c r="I7313" s="13" t="s">
        <v>15142</v>
      </c>
      <c r="J7313" s="14" t="str">
        <f>HYPERLINK("https://www.boe.es/gazeta/dias/1839/05/17/pdfs/GMD-1839-1644.pdf#page=1","Abrir facsímil")</f>
        <v>Abrir facsímil</v>
      </c>
      <c r="K7313" s="12" t="s">
        <v>65</v>
      </c>
    </row>
    <row r="7314" spans="1:11" ht="40.049999999999997" customHeight="1" x14ac:dyDescent="0.25">
      <c r="A7314" s="11" t="s">
        <v>15062</v>
      </c>
      <c r="B7314" s="11" t="s">
        <v>15063</v>
      </c>
      <c r="C7314" s="11" t="s">
        <v>17</v>
      </c>
      <c r="D7314" s="11" t="s">
        <v>18</v>
      </c>
      <c r="E7314" s="12" t="s">
        <v>438</v>
      </c>
      <c r="F7314" s="12" t="s">
        <v>439</v>
      </c>
      <c r="G7314" s="12" t="s">
        <v>29</v>
      </c>
      <c r="H7314" s="11" t="s">
        <v>63</v>
      </c>
      <c r="I7314" s="13" t="s">
        <v>15143</v>
      </c>
      <c r="J7314" s="14" t="str">
        <f>HYPERLINK("https://www.boe.es/gazeta/dias/1839/07/17/pdfs/GMD-1839-1705.pdf#page=1","Abrir facsímil")</f>
        <v>Abrir facsímil</v>
      </c>
      <c r="K7314" s="12" t="s">
        <v>65</v>
      </c>
    </row>
    <row r="7315" spans="1:11" ht="40.049999999999997" customHeight="1" x14ac:dyDescent="0.25">
      <c r="A7315" s="11" t="s">
        <v>15062</v>
      </c>
      <c r="B7315" s="11" t="s">
        <v>15063</v>
      </c>
      <c r="C7315" s="11" t="s">
        <v>101</v>
      </c>
      <c r="D7315" s="11" t="s">
        <v>43</v>
      </c>
      <c r="E7315" s="12" t="s">
        <v>1072</v>
      </c>
      <c r="F7315" s="12" t="s">
        <v>1073</v>
      </c>
      <c r="G7315" s="12" t="s">
        <v>29</v>
      </c>
      <c r="H7315" s="11" t="s">
        <v>63</v>
      </c>
      <c r="I7315" s="13" t="s">
        <v>15144</v>
      </c>
      <c r="J7315" s="14" t="str">
        <f>HYPERLINK("https://www.boe.es/gazeta/dias/1839/01/18/pdfs/GMD-1839-1525.pdf#page=1","Abrir facsímil")</f>
        <v>Abrir facsímil</v>
      </c>
      <c r="K7315" s="12" t="s">
        <v>65</v>
      </c>
    </row>
    <row r="7316" spans="1:11" ht="40.049999999999997" customHeight="1" x14ac:dyDescent="0.25">
      <c r="A7316" s="11" t="s">
        <v>15062</v>
      </c>
      <c r="B7316" s="11" t="s">
        <v>15063</v>
      </c>
      <c r="C7316" s="11" t="s">
        <v>17</v>
      </c>
      <c r="D7316" s="11" t="s">
        <v>18</v>
      </c>
      <c r="E7316" s="12" t="s">
        <v>1779</v>
      </c>
      <c r="F7316" s="12" t="s">
        <v>1780</v>
      </c>
      <c r="G7316" s="12" t="s">
        <v>29</v>
      </c>
      <c r="H7316" s="11" t="s">
        <v>63</v>
      </c>
      <c r="I7316" s="13" t="s">
        <v>15145</v>
      </c>
      <c r="J7316" s="14" t="str">
        <f>HYPERLINK("https://www.boe.es/gazeta/dias/1839/03/18/pdfs/GMD-1839-1584.pdf#page=1","Abrir facsímil")</f>
        <v>Abrir facsímil</v>
      </c>
      <c r="K7316" s="12" t="s">
        <v>65</v>
      </c>
    </row>
    <row r="7317" spans="1:11" ht="40.049999999999997" customHeight="1" x14ac:dyDescent="0.25">
      <c r="A7317" s="11" t="s">
        <v>15062</v>
      </c>
      <c r="B7317" s="11" t="s">
        <v>15063</v>
      </c>
      <c r="C7317" s="11" t="s">
        <v>17</v>
      </c>
      <c r="D7317" s="11" t="s">
        <v>18</v>
      </c>
      <c r="E7317" s="12" t="s">
        <v>870</v>
      </c>
      <c r="F7317" s="12" t="s">
        <v>871</v>
      </c>
      <c r="G7317" s="12" t="s">
        <v>29</v>
      </c>
      <c r="H7317" s="11" t="s">
        <v>63</v>
      </c>
      <c r="I7317" s="13" t="s">
        <v>15146</v>
      </c>
      <c r="J7317" s="14" t="str">
        <f>HYPERLINK("https://www.boe.es/gazeta/dias/1839/04/18/pdfs/GMD-1839-1615.pdf#page=1","Abrir facsímil")</f>
        <v>Abrir facsímil</v>
      </c>
      <c r="K7317" s="12" t="s">
        <v>65</v>
      </c>
    </row>
    <row r="7318" spans="1:11" ht="40.049999999999997" customHeight="1" x14ac:dyDescent="0.25">
      <c r="A7318" s="11" t="s">
        <v>15062</v>
      </c>
      <c r="B7318" s="11" t="s">
        <v>15063</v>
      </c>
      <c r="C7318" s="11" t="s">
        <v>17</v>
      </c>
      <c r="D7318" s="11" t="s">
        <v>18</v>
      </c>
      <c r="E7318" s="12" t="s">
        <v>1378</v>
      </c>
      <c r="F7318" s="12" t="s">
        <v>1379</v>
      </c>
      <c r="G7318" s="12" t="s">
        <v>29</v>
      </c>
      <c r="H7318" s="11" t="s">
        <v>63</v>
      </c>
      <c r="I7318" s="13" t="s">
        <v>15147</v>
      </c>
      <c r="J7318" s="14" t="str">
        <f>HYPERLINK("https://www.boe.es/gazeta/dias/1839/05/18/pdfs/GMD-1839-1645.pdf#page=1","Abrir facsímil")</f>
        <v>Abrir facsímil</v>
      </c>
      <c r="K7318" s="12" t="s">
        <v>65</v>
      </c>
    </row>
    <row r="7319" spans="1:11" ht="40.049999999999997" customHeight="1" x14ac:dyDescent="0.25">
      <c r="A7319" s="11" t="s">
        <v>15062</v>
      </c>
      <c r="B7319" s="11" t="s">
        <v>15063</v>
      </c>
      <c r="C7319" s="11" t="s">
        <v>17</v>
      </c>
      <c r="D7319" s="11" t="s">
        <v>18</v>
      </c>
      <c r="E7319" s="12" t="s">
        <v>685</v>
      </c>
      <c r="F7319" s="12" t="s">
        <v>686</v>
      </c>
      <c r="G7319" s="12" t="s">
        <v>29</v>
      </c>
      <c r="H7319" s="11" t="s">
        <v>63</v>
      </c>
      <c r="I7319" s="13" t="s">
        <v>15148</v>
      </c>
      <c r="J7319" s="14" t="str">
        <f>HYPERLINK("https://www.boe.es/gazeta/dias/1839/06/18/pdfs/GMD-1839-1676.pdf#page=1","Abrir facsímil")</f>
        <v>Abrir facsímil</v>
      </c>
      <c r="K7319" s="12" t="s">
        <v>65</v>
      </c>
    </row>
    <row r="7320" spans="1:11" ht="40.049999999999997" customHeight="1" x14ac:dyDescent="0.25">
      <c r="A7320" s="11" t="s">
        <v>15062</v>
      </c>
      <c r="B7320" s="11" t="s">
        <v>15063</v>
      </c>
      <c r="C7320" s="11" t="s">
        <v>17</v>
      </c>
      <c r="D7320" s="11" t="s">
        <v>18</v>
      </c>
      <c r="E7320" s="12" t="s">
        <v>340</v>
      </c>
      <c r="F7320" s="12" t="s">
        <v>341</v>
      </c>
      <c r="G7320" s="12" t="s">
        <v>29</v>
      </c>
      <c r="H7320" s="11" t="s">
        <v>63</v>
      </c>
      <c r="I7320" s="13" t="s">
        <v>15149</v>
      </c>
      <c r="J7320" s="14" t="str">
        <f>HYPERLINK("https://www.boe.es/gazeta/dias/1839/03/19/pdfs/GMD-1839-1585.pdf#page=1","Abrir facsímil")</f>
        <v>Abrir facsímil</v>
      </c>
      <c r="K7320" s="12" t="s">
        <v>65</v>
      </c>
    </row>
    <row r="7321" spans="1:11" ht="40.049999999999997" customHeight="1" x14ac:dyDescent="0.25">
      <c r="A7321" s="11" t="s">
        <v>15062</v>
      </c>
      <c r="B7321" s="11" t="s">
        <v>15063</v>
      </c>
      <c r="C7321" s="11" t="s">
        <v>17</v>
      </c>
      <c r="D7321" s="11" t="s">
        <v>18</v>
      </c>
      <c r="E7321" s="12" t="s">
        <v>3668</v>
      </c>
      <c r="F7321" s="12" t="s">
        <v>3669</v>
      </c>
      <c r="G7321" s="12" t="s">
        <v>29</v>
      </c>
      <c r="H7321" s="11" t="s">
        <v>63</v>
      </c>
      <c r="I7321" s="13" t="s">
        <v>15150</v>
      </c>
      <c r="J7321" s="14" t="str">
        <f>HYPERLINK("https://www.boe.es/gazeta/dias/1839/05/19/pdfs/GMD-1839-1646.pdf#page=1","Abrir facsímil")</f>
        <v>Abrir facsímil</v>
      </c>
      <c r="K7321" s="12" t="s">
        <v>65</v>
      </c>
    </row>
    <row r="7322" spans="1:11" ht="40.049999999999997" customHeight="1" x14ac:dyDescent="0.25">
      <c r="A7322" s="11" t="s">
        <v>15062</v>
      </c>
      <c r="B7322" s="11" t="s">
        <v>15063</v>
      </c>
      <c r="C7322" s="11" t="s">
        <v>17</v>
      </c>
      <c r="D7322" s="11" t="s">
        <v>18</v>
      </c>
      <c r="E7322" s="12" t="s">
        <v>462</v>
      </c>
      <c r="F7322" s="12" t="s">
        <v>463</v>
      </c>
      <c r="G7322" s="12" t="s">
        <v>29</v>
      </c>
      <c r="H7322" s="11" t="s">
        <v>63</v>
      </c>
      <c r="I7322" s="13" t="s">
        <v>15151</v>
      </c>
      <c r="J7322" s="14" t="str">
        <f>HYPERLINK("https://www.boe.es/gazeta/dias/1839/06/19/pdfs/GMD-1839-1677.pdf#page=1","Abrir facsímil")</f>
        <v>Abrir facsímil</v>
      </c>
      <c r="K7322" s="12" t="s">
        <v>65</v>
      </c>
    </row>
    <row r="7323" spans="1:11" ht="40.049999999999997" customHeight="1" x14ac:dyDescent="0.25">
      <c r="A7323" s="11" t="s">
        <v>15062</v>
      </c>
      <c r="B7323" s="11" t="s">
        <v>15063</v>
      </c>
      <c r="C7323" s="11" t="s">
        <v>17</v>
      </c>
      <c r="D7323" s="11" t="s">
        <v>18</v>
      </c>
      <c r="E7323" s="12" t="s">
        <v>2253</v>
      </c>
      <c r="F7323" s="12" t="s">
        <v>2254</v>
      </c>
      <c r="G7323" s="12" t="s">
        <v>29</v>
      </c>
      <c r="H7323" s="11" t="s">
        <v>63</v>
      </c>
      <c r="I7323" s="13" t="s">
        <v>15152</v>
      </c>
      <c r="J7323" s="14" t="str">
        <f>HYPERLINK("https://www.boe.es/gazeta/dias/1839/02/20/pdfs/GMD-1839-1558.pdf#page=1","Abrir facsímil")</f>
        <v>Abrir facsímil</v>
      </c>
      <c r="K7323" s="12" t="s">
        <v>65</v>
      </c>
    </row>
    <row r="7324" spans="1:11" ht="40.049999999999997" customHeight="1" x14ac:dyDescent="0.25">
      <c r="A7324" s="11" t="s">
        <v>15062</v>
      </c>
      <c r="B7324" s="11" t="s">
        <v>15063</v>
      </c>
      <c r="C7324" s="11" t="s">
        <v>17</v>
      </c>
      <c r="D7324" s="11" t="s">
        <v>18</v>
      </c>
      <c r="E7324" s="12" t="s">
        <v>643</v>
      </c>
      <c r="F7324" s="12" t="s">
        <v>644</v>
      </c>
      <c r="G7324" s="12" t="s">
        <v>29</v>
      </c>
      <c r="H7324" s="11" t="s">
        <v>63</v>
      </c>
      <c r="I7324" s="13" t="s">
        <v>15153</v>
      </c>
      <c r="J7324" s="14" t="str">
        <f>HYPERLINK("https://www.boe.es/gazeta/dias/1839/03/20/pdfs/GMD-1839-1586.pdf#page=1","Abrir facsímil")</f>
        <v>Abrir facsímil</v>
      </c>
      <c r="K7324" s="12" t="s">
        <v>65</v>
      </c>
    </row>
    <row r="7325" spans="1:11" ht="40.049999999999997" customHeight="1" x14ac:dyDescent="0.25">
      <c r="A7325" s="11" t="s">
        <v>15062</v>
      </c>
      <c r="B7325" s="11" t="s">
        <v>15063</v>
      </c>
      <c r="C7325" s="11" t="s">
        <v>80</v>
      </c>
      <c r="D7325" s="11" t="s">
        <v>18</v>
      </c>
      <c r="E7325" s="12" t="s">
        <v>3009</v>
      </c>
      <c r="F7325" s="12" t="s">
        <v>3010</v>
      </c>
      <c r="G7325" s="12" t="s">
        <v>29</v>
      </c>
      <c r="H7325" s="11" t="s">
        <v>63</v>
      </c>
      <c r="I7325" s="13" t="s">
        <v>15154</v>
      </c>
      <c r="J7325" s="14" t="str">
        <f>HYPERLINK("https://www.boe.es/gazeta/dias/1839/04/20/pdfs/GMD-1839-1617.pdf#page=1","Abrir facsímil")</f>
        <v>Abrir facsímil</v>
      </c>
      <c r="K7325" s="12" t="s">
        <v>65</v>
      </c>
    </row>
    <row r="7326" spans="1:11" ht="40.049999999999997" customHeight="1" x14ac:dyDescent="0.25">
      <c r="A7326" s="11" t="s">
        <v>15062</v>
      </c>
      <c r="B7326" s="11" t="s">
        <v>15063</v>
      </c>
      <c r="C7326" s="11" t="s">
        <v>17</v>
      </c>
      <c r="D7326" s="11" t="s">
        <v>18</v>
      </c>
      <c r="E7326" s="12" t="s">
        <v>343</v>
      </c>
      <c r="F7326" s="12" t="s">
        <v>344</v>
      </c>
      <c r="G7326" s="12" t="s">
        <v>29</v>
      </c>
      <c r="H7326" s="11" t="s">
        <v>63</v>
      </c>
      <c r="I7326" s="13" t="s">
        <v>15155</v>
      </c>
      <c r="J7326" s="14" t="str">
        <f>HYPERLINK("https://www.boe.es/gazeta/dias/1839/05/20/pdfs/GMD-1839-1647.pdf#page=1","Abrir facsímil")</f>
        <v>Abrir facsímil</v>
      </c>
      <c r="K7326" s="12" t="s">
        <v>65</v>
      </c>
    </row>
    <row r="7327" spans="1:11" ht="40.049999999999997" customHeight="1" x14ac:dyDescent="0.25">
      <c r="A7327" s="11" t="s">
        <v>15062</v>
      </c>
      <c r="B7327" s="11" t="s">
        <v>15063</v>
      </c>
      <c r="C7327" s="11" t="s">
        <v>137</v>
      </c>
      <c r="D7327" s="11" t="s">
        <v>18</v>
      </c>
      <c r="E7327" s="12" t="s">
        <v>2378</v>
      </c>
      <c r="F7327" s="12" t="s">
        <v>2379</v>
      </c>
      <c r="G7327" s="12" t="s">
        <v>29</v>
      </c>
      <c r="H7327" s="11" t="s">
        <v>63</v>
      </c>
      <c r="I7327" s="13" t="s">
        <v>15156</v>
      </c>
      <c r="J7327" s="14" t="str">
        <f>HYPERLINK("https://www.boe.es/gazeta/dias/1839/06/20/pdfs/GMD-1839-1678.pdf#page=1","Abrir facsímil")</f>
        <v>Abrir facsímil</v>
      </c>
      <c r="K7327" s="12" t="s">
        <v>65</v>
      </c>
    </row>
    <row r="7328" spans="1:11" ht="40.049999999999997" customHeight="1" x14ac:dyDescent="0.25">
      <c r="A7328" s="11" t="s">
        <v>15062</v>
      </c>
      <c r="B7328" s="11" t="s">
        <v>15063</v>
      </c>
      <c r="C7328" s="11" t="s">
        <v>59</v>
      </c>
      <c r="D7328" s="11" t="s">
        <v>60</v>
      </c>
      <c r="E7328" s="12" t="s">
        <v>1374</v>
      </c>
      <c r="F7328" s="12" t="s">
        <v>1375</v>
      </c>
      <c r="G7328" s="12" t="s">
        <v>29</v>
      </c>
      <c r="H7328" s="11" t="s">
        <v>63</v>
      </c>
      <c r="I7328" s="13" t="s">
        <v>15157</v>
      </c>
      <c r="J7328" s="14" t="str">
        <f>HYPERLINK("https://www.boe.es/gazeta/dias/1839/07/20/pdfs/GMD-1839-1708.pdf#page=1","Abrir facsímil")</f>
        <v>Abrir facsímil</v>
      </c>
      <c r="K7328" s="12" t="s">
        <v>65</v>
      </c>
    </row>
    <row r="7329" spans="1:11" ht="40.049999999999997" customHeight="1" x14ac:dyDescent="0.25">
      <c r="A7329" s="11" t="s">
        <v>15062</v>
      </c>
      <c r="B7329" s="11" t="s">
        <v>15063</v>
      </c>
      <c r="C7329" s="11" t="s">
        <v>17</v>
      </c>
      <c r="D7329" s="11" t="s">
        <v>18</v>
      </c>
      <c r="E7329" s="12" t="s">
        <v>1703</v>
      </c>
      <c r="F7329" s="12" t="s">
        <v>1704</v>
      </c>
      <c r="G7329" s="12" t="s">
        <v>29</v>
      </c>
      <c r="H7329" s="11" t="s">
        <v>63</v>
      </c>
      <c r="I7329" s="13" t="s">
        <v>15158</v>
      </c>
      <c r="J7329" s="14" t="str">
        <f>HYPERLINK("https://www.boe.es/gazeta/dias/1839/01/21/pdfs/GMD-1839-1528.pdf#page=1","Abrir facsímil")</f>
        <v>Abrir facsímil</v>
      </c>
      <c r="K7329" s="12" t="s">
        <v>65</v>
      </c>
    </row>
    <row r="7330" spans="1:11" ht="40.049999999999997" customHeight="1" x14ac:dyDescent="0.25">
      <c r="A7330" s="11" t="s">
        <v>15062</v>
      </c>
      <c r="B7330" s="11" t="s">
        <v>15063</v>
      </c>
      <c r="C7330" s="11" t="s">
        <v>17</v>
      </c>
      <c r="D7330" s="11" t="s">
        <v>18</v>
      </c>
      <c r="E7330" s="12" t="s">
        <v>601</v>
      </c>
      <c r="F7330" s="12" t="s">
        <v>602</v>
      </c>
      <c r="G7330" s="12" t="s">
        <v>29</v>
      </c>
      <c r="H7330" s="11" t="s">
        <v>63</v>
      </c>
      <c r="I7330" s="13" t="s">
        <v>15159</v>
      </c>
      <c r="J7330" s="14" t="str">
        <f>HYPERLINK("https://www.boe.es/gazeta/dias/1839/04/21/pdfs/GMD-1839-1618.pdf#page=1","Abrir facsímil")</f>
        <v>Abrir facsímil</v>
      </c>
      <c r="K7330" s="12" t="s">
        <v>65</v>
      </c>
    </row>
    <row r="7331" spans="1:11" ht="40.049999999999997" customHeight="1" x14ac:dyDescent="0.25">
      <c r="A7331" s="11" t="s">
        <v>15062</v>
      </c>
      <c r="B7331" s="11" t="s">
        <v>15063</v>
      </c>
      <c r="C7331" s="11" t="s">
        <v>17</v>
      </c>
      <c r="D7331" s="11" t="s">
        <v>18</v>
      </c>
      <c r="E7331" s="12" t="s">
        <v>2392</v>
      </c>
      <c r="F7331" s="12" t="s">
        <v>2393</v>
      </c>
      <c r="G7331" s="12" t="s">
        <v>29</v>
      </c>
      <c r="H7331" s="11" t="s">
        <v>63</v>
      </c>
      <c r="I7331" s="13" t="s">
        <v>15160</v>
      </c>
      <c r="J7331" s="14" t="str">
        <f>HYPERLINK("https://www.boe.es/gazeta/dias/1839/05/21/pdfs/GMD-1839-1648.pdf#page=1","Abrir facsímil")</f>
        <v>Abrir facsímil</v>
      </c>
      <c r="K7331" s="12" t="s">
        <v>65</v>
      </c>
    </row>
    <row r="7332" spans="1:11" ht="40.049999999999997" customHeight="1" x14ac:dyDescent="0.25">
      <c r="A7332" s="11" t="s">
        <v>15062</v>
      </c>
      <c r="B7332" s="11" t="s">
        <v>15063</v>
      </c>
      <c r="C7332" s="11" t="s">
        <v>101</v>
      </c>
      <c r="D7332" s="11" t="s">
        <v>43</v>
      </c>
      <c r="E7332" s="12" t="s">
        <v>516</v>
      </c>
      <c r="F7332" s="12" t="s">
        <v>517</v>
      </c>
      <c r="G7332" s="12" t="s">
        <v>29</v>
      </c>
      <c r="H7332" s="11" t="s">
        <v>63</v>
      </c>
      <c r="I7332" s="13" t="s">
        <v>15161</v>
      </c>
      <c r="J7332" s="14" t="str">
        <f>HYPERLINK("https://www.boe.es/gazeta/dias/1839/06/21/pdfs/GMD-1839-1679.pdf#page=1","Abrir facsímil")</f>
        <v>Abrir facsímil</v>
      </c>
      <c r="K7332" s="12" t="s">
        <v>65</v>
      </c>
    </row>
    <row r="7333" spans="1:11" ht="40.049999999999997" customHeight="1" x14ac:dyDescent="0.25">
      <c r="A7333" s="11" t="s">
        <v>15062</v>
      </c>
      <c r="B7333" s="11" t="s">
        <v>15063</v>
      </c>
      <c r="C7333" s="11" t="s">
        <v>17</v>
      </c>
      <c r="D7333" s="11" t="s">
        <v>18</v>
      </c>
      <c r="E7333" s="12" t="s">
        <v>794</v>
      </c>
      <c r="F7333" s="12" t="s">
        <v>795</v>
      </c>
      <c r="G7333" s="12" t="s">
        <v>29</v>
      </c>
      <c r="H7333" s="11" t="s">
        <v>63</v>
      </c>
      <c r="I7333" s="13" t="s">
        <v>15162</v>
      </c>
      <c r="J7333" s="14" t="str">
        <f>HYPERLINK("https://www.boe.es/gazeta/dias/1839/01/22/pdfs/GMD-1839-1529.pdf#page=1","Abrir facsímil")</f>
        <v>Abrir facsímil</v>
      </c>
      <c r="K7333" s="12" t="s">
        <v>65</v>
      </c>
    </row>
    <row r="7334" spans="1:11" ht="40.049999999999997" customHeight="1" x14ac:dyDescent="0.25">
      <c r="A7334" s="11" t="s">
        <v>15062</v>
      </c>
      <c r="B7334" s="11" t="s">
        <v>15063</v>
      </c>
      <c r="C7334" s="11" t="s">
        <v>17</v>
      </c>
      <c r="D7334" s="11" t="s">
        <v>18</v>
      </c>
      <c r="E7334" s="12" t="s">
        <v>1663</v>
      </c>
      <c r="F7334" s="12" t="s">
        <v>1664</v>
      </c>
      <c r="G7334" s="12" t="s">
        <v>29</v>
      </c>
      <c r="H7334" s="11" t="s">
        <v>63</v>
      </c>
      <c r="I7334" s="13" t="s">
        <v>15163</v>
      </c>
      <c r="J7334" s="14" t="str">
        <f>HYPERLINK("https://www.boe.es/gazeta/dias/1839/03/22/pdfs/GMD-1839-1588.pdf#page=1","Abrir facsímil")</f>
        <v>Abrir facsímil</v>
      </c>
      <c r="K7334" s="12" t="s">
        <v>65</v>
      </c>
    </row>
    <row r="7335" spans="1:11" ht="40.049999999999997" customHeight="1" x14ac:dyDescent="0.25">
      <c r="A7335" s="11" t="s">
        <v>15062</v>
      </c>
      <c r="B7335" s="11" t="s">
        <v>15063</v>
      </c>
      <c r="C7335" s="11" t="s">
        <v>17</v>
      </c>
      <c r="D7335" s="11" t="s">
        <v>18</v>
      </c>
      <c r="E7335" s="12" t="s">
        <v>1666</v>
      </c>
      <c r="F7335" s="12" t="s">
        <v>1667</v>
      </c>
      <c r="G7335" s="12" t="s">
        <v>29</v>
      </c>
      <c r="H7335" s="11" t="s">
        <v>63</v>
      </c>
      <c r="I7335" s="13" t="s">
        <v>15164</v>
      </c>
      <c r="J7335" s="14" t="str">
        <f>HYPERLINK("https://www.boe.es/gazeta/dias/1839/04/22/pdfs/GMD-1839-1619.pdf#page=1","Abrir facsímil")</f>
        <v>Abrir facsímil</v>
      </c>
      <c r="K7335" s="12" t="s">
        <v>65</v>
      </c>
    </row>
    <row r="7336" spans="1:11" ht="40.049999999999997" customHeight="1" x14ac:dyDescent="0.25">
      <c r="A7336" s="11" t="s">
        <v>15062</v>
      </c>
      <c r="B7336" s="11" t="s">
        <v>15063</v>
      </c>
      <c r="C7336" s="11" t="s">
        <v>80</v>
      </c>
      <c r="D7336" s="11" t="s">
        <v>18</v>
      </c>
      <c r="E7336" s="12" t="s">
        <v>222</v>
      </c>
      <c r="F7336" s="12" t="s">
        <v>223</v>
      </c>
      <c r="G7336" s="12" t="s">
        <v>29</v>
      </c>
      <c r="H7336" s="11" t="s">
        <v>63</v>
      </c>
      <c r="I7336" s="13" t="s">
        <v>15165</v>
      </c>
      <c r="J7336" s="14" t="str">
        <f>HYPERLINK("https://www.boe.es/gazeta/dias/1839/06/22/pdfs/GMD-1839-1680.pdf#page=1","Abrir facsímil")</f>
        <v>Abrir facsímil</v>
      </c>
      <c r="K7336" s="12" t="s">
        <v>65</v>
      </c>
    </row>
    <row r="7337" spans="1:11" ht="40.049999999999997" customHeight="1" x14ac:dyDescent="0.25">
      <c r="A7337" s="11" t="s">
        <v>15062</v>
      </c>
      <c r="B7337" s="11" t="s">
        <v>15063</v>
      </c>
      <c r="C7337" s="11" t="s">
        <v>17</v>
      </c>
      <c r="D7337" s="11" t="s">
        <v>18</v>
      </c>
      <c r="E7337" s="12" t="s">
        <v>611</v>
      </c>
      <c r="F7337" s="12" t="s">
        <v>612</v>
      </c>
      <c r="G7337" s="12" t="s">
        <v>29</v>
      </c>
      <c r="H7337" s="11" t="s">
        <v>63</v>
      </c>
      <c r="I7337" s="13" t="s">
        <v>15166</v>
      </c>
      <c r="J7337" s="14" t="str">
        <f>HYPERLINK("https://www.boe.es/gazeta/dias/1839/07/22/pdfs/GMD-1839-1710.pdf#page=1","Abrir facsímil")</f>
        <v>Abrir facsímil</v>
      </c>
      <c r="K7337" s="12" t="s">
        <v>65</v>
      </c>
    </row>
    <row r="7338" spans="1:11" ht="40.049999999999997" customHeight="1" x14ac:dyDescent="0.25">
      <c r="A7338" s="11" t="s">
        <v>15062</v>
      </c>
      <c r="B7338" s="11" t="s">
        <v>15063</v>
      </c>
      <c r="C7338" s="11" t="s">
        <v>17</v>
      </c>
      <c r="D7338" s="11" t="s">
        <v>18</v>
      </c>
      <c r="E7338" s="12" t="s">
        <v>519</v>
      </c>
      <c r="F7338" s="12" t="s">
        <v>520</v>
      </c>
      <c r="G7338" s="12" t="s">
        <v>29</v>
      </c>
      <c r="H7338" s="11" t="s">
        <v>63</v>
      </c>
      <c r="I7338" s="13" t="s">
        <v>15167</v>
      </c>
      <c r="J7338" s="14" t="str">
        <f>HYPERLINK("https://www.boe.es/gazeta/dias/1839/02/23/pdfs/GMD-1839-1561.pdf#page=1","Abrir facsímil")</f>
        <v>Abrir facsímil</v>
      </c>
      <c r="K7338" s="12" t="s">
        <v>65</v>
      </c>
    </row>
    <row r="7339" spans="1:11" ht="40.049999999999997" customHeight="1" x14ac:dyDescent="0.25">
      <c r="A7339" s="11" t="s">
        <v>15062</v>
      </c>
      <c r="B7339" s="11" t="s">
        <v>15063</v>
      </c>
      <c r="C7339" s="11" t="s">
        <v>80</v>
      </c>
      <c r="D7339" s="11" t="s">
        <v>18</v>
      </c>
      <c r="E7339" s="12" t="s">
        <v>4108</v>
      </c>
      <c r="F7339" s="12" t="s">
        <v>4109</v>
      </c>
      <c r="G7339" s="12" t="s">
        <v>29</v>
      </c>
      <c r="H7339" s="11" t="s">
        <v>63</v>
      </c>
      <c r="I7339" s="13" t="s">
        <v>15168</v>
      </c>
      <c r="J7339" s="14" t="str">
        <f>HYPERLINK("https://www.boe.es/gazeta/dias/1839/03/23/pdfs/GMD-1839-1589.pdf#page=1","Abrir facsímil")</f>
        <v>Abrir facsímil</v>
      </c>
      <c r="K7339" s="12" t="s">
        <v>65</v>
      </c>
    </row>
    <row r="7340" spans="1:11" ht="40.049999999999997" customHeight="1" x14ac:dyDescent="0.25">
      <c r="A7340" s="11" t="s">
        <v>15062</v>
      </c>
      <c r="B7340" s="11" t="s">
        <v>15063</v>
      </c>
      <c r="C7340" s="11" t="s">
        <v>17</v>
      </c>
      <c r="D7340" s="11" t="s">
        <v>18</v>
      </c>
      <c r="E7340" s="12" t="s">
        <v>1310</v>
      </c>
      <c r="F7340" s="12" t="s">
        <v>1311</v>
      </c>
      <c r="G7340" s="12" t="s">
        <v>29</v>
      </c>
      <c r="H7340" s="11" t="s">
        <v>63</v>
      </c>
      <c r="I7340" s="13" t="s">
        <v>15169</v>
      </c>
      <c r="J7340" s="14" t="str">
        <f>HYPERLINK("https://www.boe.es/gazeta/dias/1839/04/23/pdfs/GMD-1839-1620.pdf#page=1","Abrir facsímil")</f>
        <v>Abrir facsímil</v>
      </c>
      <c r="K7340" s="12" t="s">
        <v>65</v>
      </c>
    </row>
    <row r="7341" spans="1:11" ht="40.049999999999997" customHeight="1" x14ac:dyDescent="0.25">
      <c r="A7341" s="11" t="s">
        <v>15062</v>
      </c>
      <c r="B7341" s="11" t="s">
        <v>15063</v>
      </c>
      <c r="C7341" s="11" t="s">
        <v>17</v>
      </c>
      <c r="D7341" s="11" t="s">
        <v>18</v>
      </c>
      <c r="E7341" s="12" t="s">
        <v>2117</v>
      </c>
      <c r="F7341" s="12" t="s">
        <v>2118</v>
      </c>
      <c r="G7341" s="12" t="s">
        <v>29</v>
      </c>
      <c r="H7341" s="11" t="s">
        <v>63</v>
      </c>
      <c r="I7341" s="13" t="s">
        <v>15170</v>
      </c>
      <c r="J7341" s="14" t="str">
        <f>HYPERLINK("https://www.boe.es/gazeta/dias/1839/06/23/pdfs/GMD-1839-1681.pdf#page=1","Abrir facsímil")</f>
        <v>Abrir facsímil</v>
      </c>
      <c r="K7341" s="12" t="s">
        <v>65</v>
      </c>
    </row>
    <row r="7342" spans="1:11" ht="40.049999999999997" customHeight="1" x14ac:dyDescent="0.25">
      <c r="A7342" s="11" t="s">
        <v>15062</v>
      </c>
      <c r="B7342" s="11" t="s">
        <v>15063</v>
      </c>
      <c r="C7342" s="11" t="s">
        <v>137</v>
      </c>
      <c r="D7342" s="11" t="s">
        <v>18</v>
      </c>
      <c r="E7342" s="12" t="s">
        <v>94</v>
      </c>
      <c r="F7342" s="12" t="s">
        <v>95</v>
      </c>
      <c r="G7342" s="12" t="s">
        <v>29</v>
      </c>
      <c r="H7342" s="11" t="s">
        <v>63</v>
      </c>
      <c r="I7342" s="13" t="s">
        <v>15171</v>
      </c>
      <c r="J7342" s="14" t="str">
        <f>HYPERLINK("https://www.boe.es/gazeta/dias/1839/02/24/pdfs/GMD-1839-1562.pdf#page=1","Abrir facsímil")</f>
        <v>Abrir facsímil</v>
      </c>
      <c r="K7342" s="12" t="s">
        <v>65</v>
      </c>
    </row>
    <row r="7343" spans="1:11" ht="40.049999999999997" customHeight="1" x14ac:dyDescent="0.25">
      <c r="A7343" s="11" t="s">
        <v>15062</v>
      </c>
      <c r="B7343" s="11" t="s">
        <v>15063</v>
      </c>
      <c r="C7343" s="11" t="s">
        <v>59</v>
      </c>
      <c r="D7343" s="11" t="s">
        <v>60</v>
      </c>
      <c r="E7343" s="12" t="s">
        <v>1208</v>
      </c>
      <c r="F7343" s="12" t="s">
        <v>1209</v>
      </c>
      <c r="G7343" s="12" t="s">
        <v>29</v>
      </c>
      <c r="H7343" s="11" t="s">
        <v>63</v>
      </c>
      <c r="I7343" s="13" t="s">
        <v>15172</v>
      </c>
      <c r="J7343" s="14" t="str">
        <f>HYPERLINK("https://www.boe.es/gazeta/dias/1839/04/24/pdfs/GMD-1839-1621.pdf#page=1","Abrir facsímil")</f>
        <v>Abrir facsímil</v>
      </c>
      <c r="K7343" s="12" t="s">
        <v>65</v>
      </c>
    </row>
    <row r="7344" spans="1:11" ht="40.049999999999997" customHeight="1" x14ac:dyDescent="0.25">
      <c r="A7344" s="11" t="s">
        <v>15062</v>
      </c>
      <c r="B7344" s="11" t="s">
        <v>15063</v>
      </c>
      <c r="C7344" s="11" t="s">
        <v>17</v>
      </c>
      <c r="D7344" s="11" t="s">
        <v>18</v>
      </c>
      <c r="E7344" s="12" t="s">
        <v>1079</v>
      </c>
      <c r="F7344" s="12" t="s">
        <v>1080</v>
      </c>
      <c r="G7344" s="12" t="s">
        <v>29</v>
      </c>
      <c r="H7344" s="11" t="s">
        <v>63</v>
      </c>
      <c r="I7344" s="13" t="s">
        <v>15173</v>
      </c>
      <c r="J7344" s="14" t="str">
        <f>HYPERLINK("https://www.boe.es/gazeta/dias/1839/05/24/pdfs/GMD-1839-1651.pdf#page=1","Abrir facsímil")</f>
        <v>Abrir facsímil</v>
      </c>
      <c r="K7344" s="12" t="s">
        <v>65</v>
      </c>
    </row>
    <row r="7345" spans="1:11" ht="40.049999999999997" customHeight="1" x14ac:dyDescent="0.25">
      <c r="A7345" s="11" t="s">
        <v>15062</v>
      </c>
      <c r="B7345" s="11" t="s">
        <v>15063</v>
      </c>
      <c r="C7345" s="11" t="s">
        <v>17</v>
      </c>
      <c r="D7345" s="11" t="s">
        <v>18</v>
      </c>
      <c r="E7345" s="12" t="s">
        <v>775</v>
      </c>
      <c r="F7345" s="12" t="s">
        <v>776</v>
      </c>
      <c r="G7345" s="12" t="s">
        <v>29</v>
      </c>
      <c r="H7345" s="11" t="s">
        <v>63</v>
      </c>
      <c r="I7345" s="13" t="s">
        <v>15174</v>
      </c>
      <c r="J7345" s="14" t="str">
        <f>HYPERLINK("https://www.boe.es/gazeta/dias/1839/02/25/pdfs/GMD-1839-1563.pdf#page=1","Abrir facsímil")</f>
        <v>Abrir facsímil</v>
      </c>
      <c r="K7345" s="12" t="s">
        <v>65</v>
      </c>
    </row>
    <row r="7346" spans="1:11" ht="40.049999999999997" customHeight="1" x14ac:dyDescent="0.25">
      <c r="A7346" s="11" t="s">
        <v>15062</v>
      </c>
      <c r="B7346" s="11" t="s">
        <v>15063</v>
      </c>
      <c r="C7346" s="11" t="s">
        <v>17</v>
      </c>
      <c r="D7346" s="11" t="s">
        <v>18</v>
      </c>
      <c r="E7346" s="12" t="s">
        <v>405</v>
      </c>
      <c r="F7346" s="12" t="s">
        <v>406</v>
      </c>
      <c r="G7346" s="12" t="s">
        <v>29</v>
      </c>
      <c r="H7346" s="11" t="s">
        <v>63</v>
      </c>
      <c r="I7346" s="13" t="s">
        <v>15175</v>
      </c>
      <c r="J7346" s="14" t="str">
        <f>HYPERLINK("https://www.boe.es/gazeta/dias/1839/03/25/pdfs/GMD-1839-1591.pdf#page=1","Abrir facsímil")</f>
        <v>Abrir facsímil</v>
      </c>
      <c r="K7346" s="12" t="s">
        <v>65</v>
      </c>
    </row>
    <row r="7347" spans="1:11" ht="40.049999999999997" customHeight="1" x14ac:dyDescent="0.25">
      <c r="A7347" s="11" t="s">
        <v>15062</v>
      </c>
      <c r="B7347" s="11" t="s">
        <v>15063</v>
      </c>
      <c r="C7347" s="11" t="s">
        <v>17</v>
      </c>
      <c r="D7347" s="11" t="s">
        <v>18</v>
      </c>
      <c r="E7347" s="12" t="s">
        <v>128</v>
      </c>
      <c r="F7347" s="12" t="s">
        <v>129</v>
      </c>
      <c r="G7347" s="12" t="s">
        <v>29</v>
      </c>
      <c r="H7347" s="11" t="s">
        <v>63</v>
      </c>
      <c r="I7347" s="13" t="s">
        <v>15176</v>
      </c>
      <c r="J7347" s="14" t="str">
        <f>HYPERLINK("https://www.boe.es/gazeta/dias/1839/05/25/pdfs/GMD-1839-1652.pdf#page=1","Abrir facsímil")</f>
        <v>Abrir facsímil</v>
      </c>
      <c r="K7347" s="12" t="s">
        <v>65</v>
      </c>
    </row>
    <row r="7348" spans="1:11" ht="40.049999999999997" customHeight="1" x14ac:dyDescent="0.25">
      <c r="A7348" s="11" t="s">
        <v>15062</v>
      </c>
      <c r="B7348" s="11" t="s">
        <v>15063</v>
      </c>
      <c r="C7348" s="11" t="s">
        <v>17</v>
      </c>
      <c r="D7348" s="11" t="s">
        <v>18</v>
      </c>
      <c r="E7348" s="12" t="s">
        <v>1149</v>
      </c>
      <c r="F7348" s="12" t="s">
        <v>1150</v>
      </c>
      <c r="G7348" s="12" t="s">
        <v>29</v>
      </c>
      <c r="H7348" s="11" t="s">
        <v>63</v>
      </c>
      <c r="I7348" s="13" t="s">
        <v>15177</v>
      </c>
      <c r="J7348" s="14" t="str">
        <f>HYPERLINK("https://www.boe.es/gazeta/dias/1839/06/25/pdfs/GMD-1839-1683.pdf#page=1","Abrir facsímil")</f>
        <v>Abrir facsímil</v>
      </c>
      <c r="K7348" s="12" t="s">
        <v>65</v>
      </c>
    </row>
    <row r="7349" spans="1:11" ht="40.049999999999997" customHeight="1" x14ac:dyDescent="0.25">
      <c r="A7349" s="11" t="s">
        <v>15062</v>
      </c>
      <c r="B7349" s="11" t="s">
        <v>15063</v>
      </c>
      <c r="C7349" s="11" t="s">
        <v>17</v>
      </c>
      <c r="D7349" s="11" t="s">
        <v>18</v>
      </c>
      <c r="E7349" s="12" t="s">
        <v>1336</v>
      </c>
      <c r="F7349" s="12" t="s">
        <v>1337</v>
      </c>
      <c r="G7349" s="12" t="s">
        <v>29</v>
      </c>
      <c r="H7349" s="11" t="s">
        <v>63</v>
      </c>
      <c r="I7349" s="13" t="s">
        <v>15178</v>
      </c>
      <c r="J7349" s="14" t="str">
        <f>HYPERLINK("https://www.boe.es/gazeta/dias/1839/02/26/pdfs/GMD-1839-1564.pdf#page=1","Abrir facsímil")</f>
        <v>Abrir facsímil</v>
      </c>
      <c r="K7349" s="12" t="s">
        <v>65</v>
      </c>
    </row>
    <row r="7350" spans="1:11" ht="40.049999999999997" customHeight="1" x14ac:dyDescent="0.25">
      <c r="A7350" s="11" t="s">
        <v>15062</v>
      </c>
      <c r="B7350" s="11" t="s">
        <v>15063</v>
      </c>
      <c r="C7350" s="11" t="s">
        <v>17</v>
      </c>
      <c r="D7350" s="11" t="s">
        <v>18</v>
      </c>
      <c r="E7350" s="12" t="s">
        <v>2463</v>
      </c>
      <c r="F7350" s="12" t="s">
        <v>2464</v>
      </c>
      <c r="G7350" s="12" t="s">
        <v>29</v>
      </c>
      <c r="H7350" s="11" t="s">
        <v>63</v>
      </c>
      <c r="I7350" s="13" t="s">
        <v>15179</v>
      </c>
      <c r="J7350" s="14" t="str">
        <f>HYPERLINK("https://www.boe.es/gazeta/dias/1839/04/26/pdfs/GMD-1839-1623.pdf#page=1","Abrir facsímil")</f>
        <v>Abrir facsímil</v>
      </c>
      <c r="K7350" s="12" t="s">
        <v>65</v>
      </c>
    </row>
    <row r="7351" spans="1:11" ht="40.049999999999997" customHeight="1" x14ac:dyDescent="0.25">
      <c r="A7351" s="11" t="s">
        <v>15062</v>
      </c>
      <c r="B7351" s="11" t="s">
        <v>15063</v>
      </c>
      <c r="C7351" s="11" t="s">
        <v>17</v>
      </c>
      <c r="D7351" s="11" t="s">
        <v>18</v>
      </c>
      <c r="E7351" s="12" t="s">
        <v>4787</v>
      </c>
      <c r="F7351" s="12" t="s">
        <v>4788</v>
      </c>
      <c r="G7351" s="12" t="s">
        <v>29</v>
      </c>
      <c r="H7351" s="11" t="s">
        <v>63</v>
      </c>
      <c r="I7351" s="13" t="s">
        <v>15180</v>
      </c>
      <c r="J7351" s="14" t="str">
        <f>HYPERLINK("https://www.boe.es/gazeta/dias/1839/05/26/pdfs/GMD-1839-1653.pdf#page=1","Abrir facsímil")</f>
        <v>Abrir facsímil</v>
      </c>
      <c r="K7351" s="12" t="s">
        <v>65</v>
      </c>
    </row>
    <row r="7352" spans="1:11" ht="40.049999999999997" customHeight="1" x14ac:dyDescent="0.25">
      <c r="A7352" s="11" t="s">
        <v>15062</v>
      </c>
      <c r="B7352" s="11" t="s">
        <v>15063</v>
      </c>
      <c r="C7352" s="11" t="s">
        <v>17</v>
      </c>
      <c r="D7352" s="11" t="s">
        <v>18</v>
      </c>
      <c r="E7352" s="12" t="s">
        <v>1395</v>
      </c>
      <c r="F7352" s="12" t="s">
        <v>1396</v>
      </c>
      <c r="G7352" s="12" t="s">
        <v>29</v>
      </c>
      <c r="H7352" s="11" t="s">
        <v>63</v>
      </c>
      <c r="I7352" s="13" t="s">
        <v>15181</v>
      </c>
      <c r="J7352" s="14" t="str">
        <f>HYPERLINK("https://www.boe.es/gazeta/dias/1839/06/26/pdfs/GMD-1839-1684.pdf#page=1","Abrir facsímil")</f>
        <v>Abrir facsímil</v>
      </c>
      <c r="K7352" s="12" t="s">
        <v>65</v>
      </c>
    </row>
    <row r="7353" spans="1:11" ht="40.049999999999997" customHeight="1" x14ac:dyDescent="0.25">
      <c r="A7353" s="11" t="s">
        <v>15062</v>
      </c>
      <c r="B7353" s="11" t="s">
        <v>15063</v>
      </c>
      <c r="C7353" s="11" t="s">
        <v>17</v>
      </c>
      <c r="D7353" s="11" t="s">
        <v>18</v>
      </c>
      <c r="E7353" s="12" t="s">
        <v>1183</v>
      </c>
      <c r="F7353" s="12" t="s">
        <v>1184</v>
      </c>
      <c r="G7353" s="12" t="s">
        <v>29</v>
      </c>
      <c r="H7353" s="11" t="s">
        <v>63</v>
      </c>
      <c r="I7353" s="13" t="s">
        <v>15182</v>
      </c>
      <c r="J7353" s="14" t="str">
        <f>HYPERLINK("https://www.boe.es/gazeta/dias/1839/07/26/pdfs/GMD-1839-1715.pdf#page=1","Abrir facsímil")</f>
        <v>Abrir facsímil</v>
      </c>
      <c r="K7353" s="12" t="s">
        <v>65</v>
      </c>
    </row>
    <row r="7354" spans="1:11" ht="40.049999999999997" customHeight="1" x14ac:dyDescent="0.25">
      <c r="A7354" s="11" t="s">
        <v>15062</v>
      </c>
      <c r="B7354" s="11" t="s">
        <v>15063</v>
      </c>
      <c r="C7354" s="11" t="s">
        <v>17</v>
      </c>
      <c r="D7354" s="11" t="s">
        <v>18</v>
      </c>
      <c r="E7354" s="12" t="s">
        <v>1398</v>
      </c>
      <c r="F7354" s="12" t="s">
        <v>1399</v>
      </c>
      <c r="G7354" s="12" t="s">
        <v>29</v>
      </c>
      <c r="H7354" s="11" t="s">
        <v>63</v>
      </c>
      <c r="I7354" s="13" t="s">
        <v>15183</v>
      </c>
      <c r="J7354" s="14" t="str">
        <f>HYPERLINK("https://www.boe.es/gazeta/dias/1839/05/27/pdfs/GMD-1839-1654.pdf#page=1","Abrir facsímil")</f>
        <v>Abrir facsímil</v>
      </c>
      <c r="K7354" s="12" t="s">
        <v>65</v>
      </c>
    </row>
    <row r="7355" spans="1:11" ht="40.049999999999997" customHeight="1" x14ac:dyDescent="0.25">
      <c r="A7355" s="11" t="s">
        <v>15062</v>
      </c>
      <c r="B7355" s="11" t="s">
        <v>15063</v>
      </c>
      <c r="C7355" s="11" t="s">
        <v>17</v>
      </c>
      <c r="D7355" s="11" t="s">
        <v>18</v>
      </c>
      <c r="E7355" s="12" t="s">
        <v>2658</v>
      </c>
      <c r="F7355" s="12" t="s">
        <v>2659</v>
      </c>
      <c r="G7355" s="12" t="s">
        <v>29</v>
      </c>
      <c r="H7355" s="11" t="s">
        <v>63</v>
      </c>
      <c r="I7355" s="13" t="s">
        <v>15184</v>
      </c>
      <c r="J7355" s="14" t="str">
        <f>HYPERLINK("https://www.boe.es/gazeta/dias/1839/06/27/pdfs/GMD-1839-1685.pdf#page=1","Abrir facsímil")</f>
        <v>Abrir facsímil</v>
      </c>
      <c r="K7355" s="12" t="s">
        <v>65</v>
      </c>
    </row>
    <row r="7356" spans="1:11" ht="40.049999999999997" customHeight="1" x14ac:dyDescent="0.25">
      <c r="A7356" s="11" t="s">
        <v>15062</v>
      </c>
      <c r="B7356" s="11" t="s">
        <v>15063</v>
      </c>
      <c r="C7356" s="11" t="s">
        <v>59</v>
      </c>
      <c r="D7356" s="11" t="s">
        <v>60</v>
      </c>
      <c r="E7356" s="12" t="s">
        <v>4528</v>
      </c>
      <c r="F7356" s="12" t="s">
        <v>4529</v>
      </c>
      <c r="G7356" s="12" t="s">
        <v>29</v>
      </c>
      <c r="H7356" s="11" t="s">
        <v>63</v>
      </c>
      <c r="I7356" s="13" t="s">
        <v>15185</v>
      </c>
      <c r="J7356" s="14" t="str">
        <f>HYPERLINK("https://www.boe.es/gazeta/dias/1839/01/28/pdfs/GMD-1839-1535.pdf#page=1","Abrir facsímil")</f>
        <v>Abrir facsímil</v>
      </c>
      <c r="K7356" s="12" t="s">
        <v>65</v>
      </c>
    </row>
    <row r="7357" spans="1:11" ht="40.049999999999997" customHeight="1" x14ac:dyDescent="0.25">
      <c r="A7357" s="11" t="s">
        <v>15062</v>
      </c>
      <c r="B7357" s="11" t="s">
        <v>15063</v>
      </c>
      <c r="C7357" s="11" t="s">
        <v>17</v>
      </c>
      <c r="D7357" s="11" t="s">
        <v>18</v>
      </c>
      <c r="E7357" s="12" t="s">
        <v>1474</v>
      </c>
      <c r="F7357" s="12" t="s">
        <v>1475</v>
      </c>
      <c r="G7357" s="12" t="s">
        <v>29</v>
      </c>
      <c r="H7357" s="11" t="s">
        <v>63</v>
      </c>
      <c r="I7357" s="13" t="s">
        <v>15186</v>
      </c>
      <c r="J7357" s="14" t="str">
        <f>HYPERLINK("https://www.boe.es/gazeta/dias/1839/02/28/pdfs/GMD-1839-1566.pdf#page=1","Abrir facsímil")</f>
        <v>Abrir facsímil</v>
      </c>
      <c r="K7357" s="12" t="s">
        <v>65</v>
      </c>
    </row>
    <row r="7358" spans="1:11" ht="40.049999999999997" customHeight="1" x14ac:dyDescent="0.25">
      <c r="A7358" s="11" t="s">
        <v>15062</v>
      </c>
      <c r="B7358" s="11" t="s">
        <v>15063</v>
      </c>
      <c r="C7358" s="11" t="s">
        <v>17</v>
      </c>
      <c r="D7358" s="11" t="s">
        <v>18</v>
      </c>
      <c r="E7358" s="12" t="s">
        <v>668</v>
      </c>
      <c r="F7358" s="12" t="s">
        <v>669</v>
      </c>
      <c r="G7358" s="12" t="s">
        <v>29</v>
      </c>
      <c r="H7358" s="11" t="s">
        <v>63</v>
      </c>
      <c r="I7358" s="13" t="s">
        <v>15187</v>
      </c>
      <c r="J7358" s="14" t="str">
        <f>HYPERLINK("https://www.boe.es/gazeta/dias/1839/03/28/pdfs/GMD-1839-1594.pdf#page=1","Abrir facsímil")</f>
        <v>Abrir facsímil</v>
      </c>
      <c r="K7358" s="12" t="s">
        <v>65</v>
      </c>
    </row>
    <row r="7359" spans="1:11" ht="40.049999999999997" customHeight="1" x14ac:dyDescent="0.25">
      <c r="A7359" s="11" t="s">
        <v>15062</v>
      </c>
      <c r="B7359" s="11" t="s">
        <v>15063</v>
      </c>
      <c r="C7359" s="11" t="s">
        <v>17</v>
      </c>
      <c r="D7359" s="11" t="s">
        <v>18</v>
      </c>
      <c r="E7359" s="12" t="s">
        <v>817</v>
      </c>
      <c r="F7359" s="12" t="s">
        <v>818</v>
      </c>
      <c r="G7359" s="12" t="s">
        <v>29</v>
      </c>
      <c r="H7359" s="11" t="s">
        <v>63</v>
      </c>
      <c r="I7359" s="13" t="s">
        <v>15188</v>
      </c>
      <c r="J7359" s="14" t="str">
        <f>HYPERLINK("https://www.boe.es/gazeta/dias/1839/05/28/pdfs/GMD-1839-1655.pdf#page=1","Abrir facsímil")</f>
        <v>Abrir facsímil</v>
      </c>
      <c r="K7359" s="12" t="s">
        <v>65</v>
      </c>
    </row>
    <row r="7360" spans="1:11" ht="40.049999999999997" customHeight="1" x14ac:dyDescent="0.25">
      <c r="A7360" s="11" t="s">
        <v>15062</v>
      </c>
      <c r="B7360" s="11" t="s">
        <v>15063</v>
      </c>
      <c r="C7360" s="11" t="s">
        <v>17</v>
      </c>
      <c r="D7360" s="11" t="s">
        <v>18</v>
      </c>
      <c r="E7360" s="12" t="s">
        <v>1749</v>
      </c>
      <c r="F7360" s="12" t="s">
        <v>1750</v>
      </c>
      <c r="G7360" s="12" t="s">
        <v>29</v>
      </c>
      <c r="H7360" s="11" t="s">
        <v>63</v>
      </c>
      <c r="I7360" s="13" t="s">
        <v>15189</v>
      </c>
      <c r="J7360" s="14" t="str">
        <f>HYPERLINK("https://www.boe.es/gazeta/dias/1839/06/28/pdfs/GMD-1839-1686.pdf#page=1","Abrir facsímil")</f>
        <v>Abrir facsímil</v>
      </c>
      <c r="K7360" s="12" t="s">
        <v>65</v>
      </c>
    </row>
    <row r="7361" spans="1:11" ht="40.049999999999997" customHeight="1" x14ac:dyDescent="0.25">
      <c r="A7361" s="11" t="s">
        <v>15062</v>
      </c>
      <c r="B7361" s="11" t="s">
        <v>15063</v>
      </c>
      <c r="C7361" s="11" t="s">
        <v>17</v>
      </c>
      <c r="D7361" s="11" t="s">
        <v>18</v>
      </c>
      <c r="E7361" s="12" t="s">
        <v>1807</v>
      </c>
      <c r="F7361" s="12" t="s">
        <v>1808</v>
      </c>
      <c r="G7361" s="12" t="s">
        <v>29</v>
      </c>
      <c r="H7361" s="11" t="s">
        <v>63</v>
      </c>
      <c r="I7361" s="13" t="s">
        <v>15190</v>
      </c>
      <c r="J7361" s="14" t="str">
        <f>HYPERLINK("https://www.boe.es/gazeta/dias/1839/01/29/pdfs/GMD-1839-1536.pdf#page=1","Abrir facsímil")</f>
        <v>Abrir facsímil</v>
      </c>
      <c r="K7361" s="12" t="s">
        <v>65</v>
      </c>
    </row>
    <row r="7362" spans="1:11" ht="40.049999999999997" customHeight="1" x14ac:dyDescent="0.25">
      <c r="A7362" s="11" t="s">
        <v>15062</v>
      </c>
      <c r="B7362" s="11" t="s">
        <v>15063</v>
      </c>
      <c r="C7362" s="11" t="s">
        <v>17</v>
      </c>
      <c r="D7362" s="11" t="s">
        <v>43</v>
      </c>
      <c r="E7362" s="12" t="s">
        <v>401</v>
      </c>
      <c r="F7362" s="12" t="s">
        <v>402</v>
      </c>
      <c r="G7362" s="12" t="s">
        <v>29</v>
      </c>
      <c r="H7362" s="11" t="s">
        <v>63</v>
      </c>
      <c r="I7362" s="13" t="s">
        <v>15191</v>
      </c>
      <c r="J7362" s="14" t="str">
        <f>HYPERLINK("https://www.boe.es/gazeta/dias/1839/03/29/pdfs/GMD-1839-1595.pdf#page=1","Abrir facsímil")</f>
        <v>Abrir facsímil</v>
      </c>
      <c r="K7362" s="12" t="s">
        <v>65</v>
      </c>
    </row>
    <row r="7363" spans="1:11" ht="40.049999999999997" customHeight="1" x14ac:dyDescent="0.25">
      <c r="A7363" s="11" t="s">
        <v>15062</v>
      </c>
      <c r="B7363" s="11" t="s">
        <v>15063</v>
      </c>
      <c r="C7363" s="11" t="s">
        <v>17</v>
      </c>
      <c r="D7363" s="11" t="s">
        <v>18</v>
      </c>
      <c r="E7363" s="12" t="s">
        <v>1269</v>
      </c>
      <c r="F7363" s="12" t="s">
        <v>1270</v>
      </c>
      <c r="G7363" s="12" t="s">
        <v>29</v>
      </c>
      <c r="H7363" s="11" t="s">
        <v>63</v>
      </c>
      <c r="I7363" s="13" t="s">
        <v>15192</v>
      </c>
      <c r="J7363" s="14" t="str">
        <f>HYPERLINK("https://www.boe.es/gazeta/dias/1839/04/29/pdfs/GMD-1839-1626.pdf#page=1","Abrir facsímil")</f>
        <v>Abrir facsímil</v>
      </c>
      <c r="K7363" s="12" t="s">
        <v>65</v>
      </c>
    </row>
    <row r="7364" spans="1:11" ht="40.049999999999997" customHeight="1" x14ac:dyDescent="0.25">
      <c r="A7364" s="11" t="s">
        <v>15062</v>
      </c>
      <c r="B7364" s="11" t="s">
        <v>15063</v>
      </c>
      <c r="C7364" s="11" t="s">
        <v>137</v>
      </c>
      <c r="D7364" s="11" t="s">
        <v>18</v>
      </c>
      <c r="E7364" s="12" t="s">
        <v>489</v>
      </c>
      <c r="F7364" s="12" t="s">
        <v>490</v>
      </c>
      <c r="G7364" s="12" t="s">
        <v>29</v>
      </c>
      <c r="H7364" s="11" t="s">
        <v>63</v>
      </c>
      <c r="I7364" s="13" t="s">
        <v>15193</v>
      </c>
      <c r="J7364" s="14" t="str">
        <f>HYPERLINK("https://www.boe.es/gazeta/dias/1839/06/29/pdfs/GMD-1839-1687.pdf#page=1","Abrir facsímil")</f>
        <v>Abrir facsímil</v>
      </c>
      <c r="K7364" s="12" t="s">
        <v>65</v>
      </c>
    </row>
    <row r="7365" spans="1:11" ht="40.049999999999997" customHeight="1" x14ac:dyDescent="0.25">
      <c r="A7365" s="11" t="s">
        <v>15062</v>
      </c>
      <c r="B7365" s="11" t="s">
        <v>15063</v>
      </c>
      <c r="C7365" s="11" t="s">
        <v>17</v>
      </c>
      <c r="D7365" s="11" t="s">
        <v>18</v>
      </c>
      <c r="E7365" s="12" t="s">
        <v>352</v>
      </c>
      <c r="F7365" s="12" t="s">
        <v>353</v>
      </c>
      <c r="G7365" s="12" t="s">
        <v>29</v>
      </c>
      <c r="H7365" s="11" t="s">
        <v>63</v>
      </c>
      <c r="I7365" s="13" t="s">
        <v>15194</v>
      </c>
      <c r="J7365" s="14" t="str">
        <f>HYPERLINK("https://www.boe.es/gazeta/dias/1839/03/30/pdfs/GMD-1839-1596.pdf#page=1","Abrir facsímil")</f>
        <v>Abrir facsímil</v>
      </c>
      <c r="K7365" s="12" t="s">
        <v>65</v>
      </c>
    </row>
    <row r="7366" spans="1:11" ht="40.049999999999997" customHeight="1" x14ac:dyDescent="0.25">
      <c r="A7366" s="11" t="s">
        <v>15062</v>
      </c>
      <c r="B7366" s="11" t="s">
        <v>15063</v>
      </c>
      <c r="C7366" s="11" t="s">
        <v>80</v>
      </c>
      <c r="D7366" s="11" t="s">
        <v>18</v>
      </c>
      <c r="E7366" s="12" t="s">
        <v>1692</v>
      </c>
      <c r="F7366" s="12" t="s">
        <v>1693</v>
      </c>
      <c r="G7366" s="12" t="s">
        <v>29</v>
      </c>
      <c r="H7366" s="11" t="s">
        <v>63</v>
      </c>
      <c r="I7366" s="13" t="s">
        <v>15195</v>
      </c>
      <c r="J7366" s="14" t="str">
        <f>HYPERLINK("https://www.boe.es/gazeta/dias/1839/05/30/pdfs/GMD-1839-1657.pdf#page=1","Abrir facsímil")</f>
        <v>Abrir facsímil</v>
      </c>
      <c r="K7366" s="12" t="s">
        <v>65</v>
      </c>
    </row>
    <row r="7367" spans="1:11" ht="40.049999999999997" customHeight="1" x14ac:dyDescent="0.25">
      <c r="A7367" s="11" t="s">
        <v>15062</v>
      </c>
      <c r="B7367" s="11" t="s">
        <v>15063</v>
      </c>
      <c r="C7367" s="11" t="s">
        <v>101</v>
      </c>
      <c r="D7367" s="11" t="s">
        <v>102</v>
      </c>
      <c r="E7367" s="12" t="s">
        <v>474</v>
      </c>
      <c r="F7367" s="12" t="s">
        <v>475</v>
      </c>
      <c r="G7367" s="12" t="s">
        <v>29</v>
      </c>
      <c r="H7367" s="11" t="s">
        <v>63</v>
      </c>
      <c r="I7367" s="13" t="s">
        <v>15196</v>
      </c>
      <c r="J7367" s="14" t="str">
        <f>HYPERLINK("https://www.boe.es/gazeta/dias/1839/03/31/pdfs/GMD-1839-1597.pdf#page=1","Abrir facsímil")</f>
        <v>Abrir facsímil</v>
      </c>
      <c r="K7367" s="12" t="s">
        <v>65</v>
      </c>
    </row>
    <row r="7368" spans="1:11" ht="40.049999999999997" customHeight="1" x14ac:dyDescent="0.25">
      <c r="A7368" s="11" t="s">
        <v>15062</v>
      </c>
      <c r="B7368" s="11" t="s">
        <v>15063</v>
      </c>
      <c r="C7368" s="11" t="s">
        <v>17</v>
      </c>
      <c r="D7368" s="11" t="s">
        <v>18</v>
      </c>
      <c r="E7368" s="12" t="s">
        <v>355</v>
      </c>
      <c r="F7368" s="12" t="s">
        <v>356</v>
      </c>
      <c r="G7368" s="12" t="s">
        <v>29</v>
      </c>
      <c r="H7368" s="11" t="s">
        <v>63</v>
      </c>
      <c r="I7368" s="13" t="s">
        <v>15197</v>
      </c>
      <c r="J7368" s="14" t="str">
        <f>HYPERLINK("https://www.boe.es/gazeta/dias/1839/05/31/pdfs/GMD-1839-1658.pdf#page=1","Abrir facsímil")</f>
        <v>Abrir facsímil</v>
      </c>
      <c r="K7368" s="12" t="s">
        <v>65</v>
      </c>
    </row>
    <row r="7369" spans="1:11" ht="40.049999999999997" customHeight="1" x14ac:dyDescent="0.25">
      <c r="A7369" s="11" t="s">
        <v>15198</v>
      </c>
      <c r="B7369" s="11" t="s">
        <v>15199</v>
      </c>
      <c r="C7369" s="11" t="s">
        <v>59</v>
      </c>
      <c r="D7369" s="11" t="s">
        <v>60</v>
      </c>
      <c r="E7369" s="12" t="s">
        <v>555</v>
      </c>
      <c r="F7369" s="12" t="s">
        <v>556</v>
      </c>
      <c r="G7369" s="12" t="s">
        <v>29</v>
      </c>
      <c r="H7369" s="11" t="s">
        <v>63</v>
      </c>
      <c r="I7369" s="13" t="s">
        <v>15200</v>
      </c>
      <c r="J7369" s="14" t="str">
        <f>HYPERLINK("https://www.boe.es/gazeta/dias/1839/07/19/pdfs/GMD-1839-1707.pdf#page=1","Abrir facsímil")</f>
        <v>Abrir facsímil</v>
      </c>
      <c r="K7369" s="12" t="s">
        <v>65</v>
      </c>
    </row>
    <row r="7370" spans="1:11" ht="40.049999999999997" customHeight="1" x14ac:dyDescent="0.25">
      <c r="A7370" s="11" t="s">
        <v>15201</v>
      </c>
      <c r="B7370" s="11" t="s">
        <v>15202</v>
      </c>
      <c r="C7370" s="11" t="s">
        <v>137</v>
      </c>
      <c r="D7370" s="11" t="s">
        <v>18</v>
      </c>
      <c r="E7370" s="12" t="s">
        <v>2851</v>
      </c>
      <c r="F7370" s="12" t="s">
        <v>2852</v>
      </c>
      <c r="G7370" s="12" t="s">
        <v>29</v>
      </c>
      <c r="H7370" s="11" t="s">
        <v>63</v>
      </c>
      <c r="I7370" s="13" t="s">
        <v>15203</v>
      </c>
      <c r="J7370" s="14" t="str">
        <f>HYPERLINK("https://www.boe.es/gazeta/dias/1839/05/16/pdfs/GMD-1839-1643.pdf#page=1","Abrir facsímil")</f>
        <v>Abrir facsímil</v>
      </c>
      <c r="K7370" s="12" t="s">
        <v>65</v>
      </c>
    </row>
    <row r="7371" spans="1:11" ht="40.049999999999997" customHeight="1" x14ac:dyDescent="0.25">
      <c r="A7371" s="11" t="s">
        <v>15204</v>
      </c>
      <c r="B7371" s="11" t="s">
        <v>15205</v>
      </c>
      <c r="C7371" s="11" t="s">
        <v>17</v>
      </c>
      <c r="D7371" s="11" t="s">
        <v>18</v>
      </c>
      <c r="E7371" s="12" t="s">
        <v>1079</v>
      </c>
      <c r="F7371" s="12" t="s">
        <v>1080</v>
      </c>
      <c r="G7371" s="12" t="s">
        <v>46</v>
      </c>
      <c r="H7371" s="11" t="s">
        <v>63</v>
      </c>
      <c r="I7371" s="13" t="s">
        <v>15206</v>
      </c>
      <c r="J7371" s="14" t="str">
        <f>HYPERLINK("https://www.boe.es/gazeta/dias/1839/05/24/pdfs/GMD-1839-1651.pdf#page=3","Abrir facsímil")</f>
        <v>Abrir facsímil</v>
      </c>
      <c r="K7371" s="12" t="s">
        <v>65</v>
      </c>
    </row>
    <row r="7372" spans="1:11" ht="40.049999999999997" customHeight="1" x14ac:dyDescent="0.25">
      <c r="A7372" s="11" t="s">
        <v>15207</v>
      </c>
      <c r="B7372" s="11" t="s">
        <v>15208</v>
      </c>
      <c r="C7372" s="11" t="s">
        <v>17</v>
      </c>
      <c r="D7372" s="11" t="s">
        <v>18</v>
      </c>
      <c r="E7372" s="12" t="s">
        <v>1614</v>
      </c>
      <c r="F7372" s="12" t="s">
        <v>1615</v>
      </c>
      <c r="G7372" s="12" t="s">
        <v>29</v>
      </c>
      <c r="H7372" s="11" t="s">
        <v>63</v>
      </c>
      <c r="I7372" s="13" t="s">
        <v>15209</v>
      </c>
      <c r="J7372" s="14" t="str">
        <f>HYPERLINK("https://www.boe.es/gazeta/dias/1839/07/03/pdfs/GMD-1839-1691.pdf#page=1","Abrir facsímil")</f>
        <v>Abrir facsímil</v>
      </c>
      <c r="K7372" s="12" t="s">
        <v>65</v>
      </c>
    </row>
    <row r="7373" spans="1:11" ht="40.049999999999997" customHeight="1" x14ac:dyDescent="0.25">
      <c r="A7373" s="11" t="s">
        <v>15207</v>
      </c>
      <c r="B7373" s="11" t="s">
        <v>15208</v>
      </c>
      <c r="C7373" s="11" t="s">
        <v>59</v>
      </c>
      <c r="D7373" s="11" t="s">
        <v>60</v>
      </c>
      <c r="E7373" s="12" t="s">
        <v>1001</v>
      </c>
      <c r="F7373" s="12" t="s">
        <v>1002</v>
      </c>
      <c r="G7373" s="12" t="s">
        <v>29</v>
      </c>
      <c r="H7373" s="11" t="s">
        <v>63</v>
      </c>
      <c r="I7373" s="13" t="s">
        <v>15210</v>
      </c>
      <c r="J7373" s="14" t="str">
        <f>HYPERLINK("https://www.boe.es/gazeta/dias/1839/07/09/pdfs/GMD-1839-1697.pdf#page=1","Abrir facsímil")</f>
        <v>Abrir facsímil</v>
      </c>
      <c r="K7373" s="12" t="s">
        <v>65</v>
      </c>
    </row>
    <row r="7374" spans="1:11" ht="40.049999999999997" customHeight="1" x14ac:dyDescent="0.25">
      <c r="A7374" s="11" t="s">
        <v>15207</v>
      </c>
      <c r="B7374" s="11" t="s">
        <v>15208</v>
      </c>
      <c r="C7374" s="11" t="s">
        <v>101</v>
      </c>
      <c r="D7374" s="11" t="s">
        <v>43</v>
      </c>
      <c r="E7374" s="12" t="s">
        <v>1565</v>
      </c>
      <c r="F7374" s="12" t="s">
        <v>1566</v>
      </c>
      <c r="G7374" s="12" t="s">
        <v>29</v>
      </c>
      <c r="H7374" s="11" t="s">
        <v>63</v>
      </c>
      <c r="I7374" s="13" t="s">
        <v>15211</v>
      </c>
      <c r="J7374" s="14" t="str">
        <f>HYPERLINK("https://www.boe.es/gazeta/dias/1839/06/17/pdfs/GMD-1839-1675.pdf#page=1","Abrir facsímil")</f>
        <v>Abrir facsímil</v>
      </c>
      <c r="K7374" s="12" t="s">
        <v>65</v>
      </c>
    </row>
    <row r="7375" spans="1:11" ht="40.049999999999997" customHeight="1" x14ac:dyDescent="0.25">
      <c r="A7375" s="11" t="s">
        <v>15207</v>
      </c>
      <c r="B7375" s="11" t="s">
        <v>15208</v>
      </c>
      <c r="C7375" s="11" t="s">
        <v>17</v>
      </c>
      <c r="D7375" s="11" t="s">
        <v>18</v>
      </c>
      <c r="E7375" s="12" t="s">
        <v>486</v>
      </c>
      <c r="F7375" s="12" t="s">
        <v>487</v>
      </c>
      <c r="G7375" s="12" t="s">
        <v>29</v>
      </c>
      <c r="H7375" s="11" t="s">
        <v>63</v>
      </c>
      <c r="I7375" s="13" t="s">
        <v>15212</v>
      </c>
      <c r="J7375" s="14" t="str">
        <f>HYPERLINK("https://www.boe.es/gazeta/dias/1839/04/19/pdfs/GMD-1839-1616.pdf#page=1","Abrir facsímil")</f>
        <v>Abrir facsímil</v>
      </c>
      <c r="K7375" s="12" t="s">
        <v>65</v>
      </c>
    </row>
    <row r="7376" spans="1:11" ht="40.049999999999997" customHeight="1" x14ac:dyDescent="0.25">
      <c r="A7376" s="11" t="s">
        <v>15213</v>
      </c>
      <c r="B7376" s="11" t="s">
        <v>15214</v>
      </c>
      <c r="C7376" s="11" t="s">
        <v>101</v>
      </c>
      <c r="D7376" s="11" t="s">
        <v>43</v>
      </c>
      <c r="E7376" s="12" t="s">
        <v>1236</v>
      </c>
      <c r="F7376" s="12" t="s">
        <v>1237</v>
      </c>
      <c r="G7376" s="12" t="s">
        <v>29</v>
      </c>
      <c r="H7376" s="11" t="s">
        <v>63</v>
      </c>
      <c r="I7376" s="13" t="s">
        <v>15215</v>
      </c>
      <c r="J7376" s="14" t="str">
        <f>HYPERLINK("https://www.boe.es/gazeta/dias/1839/10/16/pdfs/GMD-1839-1802.pdf#page=1","Abrir facsímil")</f>
        <v>Abrir facsímil</v>
      </c>
      <c r="K7376" s="12" t="s">
        <v>65</v>
      </c>
    </row>
    <row r="7377" spans="1:11" ht="40.049999999999997" customHeight="1" x14ac:dyDescent="0.25">
      <c r="A7377" s="11" t="s">
        <v>15216</v>
      </c>
      <c r="B7377" s="11" t="s">
        <v>15217</v>
      </c>
      <c r="C7377" s="11" t="s">
        <v>17</v>
      </c>
      <c r="D7377" s="11" t="s">
        <v>43</v>
      </c>
      <c r="E7377" s="12" t="s">
        <v>2440</v>
      </c>
      <c r="F7377" s="12" t="s">
        <v>2441</v>
      </c>
      <c r="G7377" s="12" t="s">
        <v>29</v>
      </c>
      <c r="H7377" s="11" t="s">
        <v>63</v>
      </c>
      <c r="I7377" s="13" t="s">
        <v>15218</v>
      </c>
      <c r="J7377" s="14" t="str">
        <f>HYPERLINK("https://www.boe.es/gazeta/dias/1839/12/01/pdfs/GMD-1839-1848.pdf#page=1","Abrir facsímil")</f>
        <v>Abrir facsímil</v>
      </c>
      <c r="K7377" s="12" t="s">
        <v>65</v>
      </c>
    </row>
    <row r="7378" spans="1:11" ht="40.049999999999997" customHeight="1" x14ac:dyDescent="0.25">
      <c r="A7378" s="11" t="s">
        <v>15219</v>
      </c>
      <c r="B7378" s="11" t="s">
        <v>15220</v>
      </c>
      <c r="C7378" s="11" t="s">
        <v>17</v>
      </c>
      <c r="D7378" s="11" t="s">
        <v>18</v>
      </c>
      <c r="E7378" s="12" t="s">
        <v>1606</v>
      </c>
      <c r="F7378" s="12" t="s">
        <v>1607</v>
      </c>
      <c r="G7378" s="12" t="s">
        <v>29</v>
      </c>
      <c r="H7378" s="11" t="s">
        <v>63</v>
      </c>
      <c r="I7378" s="13" t="s">
        <v>15221</v>
      </c>
      <c r="J7378" s="14" t="str">
        <f>HYPERLINK("https://www.boe.es/gazeta/dias/1839/07/02/pdfs/GMD-1839-1690.pdf#page=1","Abrir facsímil")</f>
        <v>Abrir facsímil</v>
      </c>
      <c r="K7378" s="12" t="s">
        <v>65</v>
      </c>
    </row>
    <row r="7379" spans="1:11" ht="40.049999999999997" customHeight="1" x14ac:dyDescent="0.25">
      <c r="A7379" s="11" t="s">
        <v>15219</v>
      </c>
      <c r="B7379" s="11" t="s">
        <v>15220</v>
      </c>
      <c r="C7379" s="11" t="s">
        <v>17</v>
      </c>
      <c r="D7379" s="11" t="s">
        <v>18</v>
      </c>
      <c r="E7379" s="12" t="s">
        <v>2881</v>
      </c>
      <c r="F7379" s="12" t="s">
        <v>2882</v>
      </c>
      <c r="G7379" s="12" t="s">
        <v>29</v>
      </c>
      <c r="H7379" s="11" t="s">
        <v>63</v>
      </c>
      <c r="I7379" s="13" t="s">
        <v>15222</v>
      </c>
      <c r="J7379" s="14" t="str">
        <f>HYPERLINK("https://www.boe.es/gazeta/dias/1839/05/08/pdfs/GMD-1839-1635.pdf#page=1","Abrir facsímil")</f>
        <v>Abrir facsímil</v>
      </c>
      <c r="K7379" s="12" t="s">
        <v>65</v>
      </c>
    </row>
    <row r="7380" spans="1:11" ht="40.049999999999997" customHeight="1" x14ac:dyDescent="0.25">
      <c r="A7380" s="11" t="s">
        <v>15219</v>
      </c>
      <c r="B7380" s="11" t="s">
        <v>15220</v>
      </c>
      <c r="C7380" s="11" t="s">
        <v>17</v>
      </c>
      <c r="D7380" s="11" t="s">
        <v>18</v>
      </c>
      <c r="E7380" s="12" t="s">
        <v>834</v>
      </c>
      <c r="F7380" s="12" t="s">
        <v>835</v>
      </c>
      <c r="G7380" s="12" t="s">
        <v>29</v>
      </c>
      <c r="H7380" s="11" t="s">
        <v>63</v>
      </c>
      <c r="I7380" s="13" t="s">
        <v>15223</v>
      </c>
      <c r="J7380" s="14" t="str">
        <f>HYPERLINK("https://www.boe.es/gazeta/dias/1839/08/17/pdfs/GMD-1839-1737.pdf#page=1","Abrir facsímil")</f>
        <v>Abrir facsímil</v>
      </c>
      <c r="K7380" s="12" t="s">
        <v>65</v>
      </c>
    </row>
    <row r="7381" spans="1:11" ht="40.049999999999997" customHeight="1" x14ac:dyDescent="0.25">
      <c r="A7381" s="11" t="s">
        <v>15219</v>
      </c>
      <c r="B7381" s="11" t="s">
        <v>15220</v>
      </c>
      <c r="C7381" s="11" t="s">
        <v>17</v>
      </c>
      <c r="D7381" s="11" t="s">
        <v>18</v>
      </c>
      <c r="E7381" s="12" t="s">
        <v>295</v>
      </c>
      <c r="F7381" s="12" t="s">
        <v>296</v>
      </c>
      <c r="G7381" s="12" t="s">
        <v>29</v>
      </c>
      <c r="H7381" s="11" t="s">
        <v>63</v>
      </c>
      <c r="I7381" s="13" t="s">
        <v>15224</v>
      </c>
      <c r="J7381" s="14" t="str">
        <f>HYPERLINK("https://www.boe.es/gazeta/dias/1839/08/19/pdfs/GMD-1839-1740.pdf#page=1","Abrir facsímil")</f>
        <v>Abrir facsímil</v>
      </c>
      <c r="K7381" s="12" t="s">
        <v>65</v>
      </c>
    </row>
    <row r="7382" spans="1:11" ht="40.049999999999997" customHeight="1" x14ac:dyDescent="0.25">
      <c r="A7382" s="11" t="s">
        <v>15219</v>
      </c>
      <c r="B7382" s="11" t="s">
        <v>15220</v>
      </c>
      <c r="C7382" s="11" t="s">
        <v>17</v>
      </c>
      <c r="D7382" s="11" t="s">
        <v>18</v>
      </c>
      <c r="E7382" s="12" t="s">
        <v>2215</v>
      </c>
      <c r="F7382" s="12" t="s">
        <v>2216</v>
      </c>
      <c r="G7382" s="12" t="s">
        <v>29</v>
      </c>
      <c r="H7382" s="11" t="s">
        <v>63</v>
      </c>
      <c r="I7382" s="13" t="s">
        <v>15225</v>
      </c>
      <c r="J7382" s="14" t="str">
        <f>HYPERLINK("https://www.boe.es/gazeta/dias/1839/07/21/pdfs/GMD-1839-1709.pdf#page=1","Abrir facsímil")</f>
        <v>Abrir facsímil</v>
      </c>
      <c r="K7382" s="12" t="s">
        <v>65</v>
      </c>
    </row>
    <row r="7383" spans="1:11" ht="40.049999999999997" customHeight="1" x14ac:dyDescent="0.25">
      <c r="A7383" s="11" t="s">
        <v>15219</v>
      </c>
      <c r="B7383" s="11" t="s">
        <v>15220</v>
      </c>
      <c r="C7383" s="11" t="s">
        <v>80</v>
      </c>
      <c r="D7383" s="11" t="s">
        <v>18</v>
      </c>
      <c r="E7383" s="12" t="s">
        <v>243</v>
      </c>
      <c r="F7383" s="12" t="s">
        <v>244</v>
      </c>
      <c r="G7383" s="12" t="s">
        <v>29</v>
      </c>
      <c r="H7383" s="11" t="s">
        <v>63</v>
      </c>
      <c r="I7383" s="13" t="s">
        <v>15226</v>
      </c>
      <c r="J7383" s="14" t="str">
        <f>HYPERLINK("https://www.boe.es/gazeta/dias/1839/09/23/pdfs/GMD-1839-1779.pdf#page=1","Abrir facsímil")</f>
        <v>Abrir facsímil</v>
      </c>
      <c r="K7383" s="12" t="s">
        <v>65</v>
      </c>
    </row>
    <row r="7384" spans="1:11" ht="40.049999999999997" customHeight="1" x14ac:dyDescent="0.25">
      <c r="A7384" s="11" t="s">
        <v>15227</v>
      </c>
      <c r="B7384" s="11" t="s">
        <v>15228</v>
      </c>
      <c r="C7384" s="11" t="s">
        <v>17</v>
      </c>
      <c r="D7384" s="11" t="s">
        <v>18</v>
      </c>
      <c r="E7384" s="12" t="s">
        <v>4186</v>
      </c>
      <c r="F7384" s="12" t="s">
        <v>4187</v>
      </c>
      <c r="G7384" s="12" t="s">
        <v>29</v>
      </c>
      <c r="H7384" s="11" t="s">
        <v>63</v>
      </c>
      <c r="I7384" s="13" t="s">
        <v>15229</v>
      </c>
      <c r="J7384" s="14" t="str">
        <f>HYPERLINK("https://www.boe.es/gazeta/dias/1839/12/12/pdfs/GMD-1839-1859.pdf#page=1","Abrir facsímil")</f>
        <v>Abrir facsímil</v>
      </c>
      <c r="K7384" s="12" t="s">
        <v>65</v>
      </c>
    </row>
    <row r="7385" spans="1:11" ht="40.049999999999997" customHeight="1" x14ac:dyDescent="0.25">
      <c r="A7385" s="11" t="s">
        <v>15230</v>
      </c>
      <c r="B7385" s="11" t="s">
        <v>15230</v>
      </c>
      <c r="C7385" s="11" t="s">
        <v>17</v>
      </c>
      <c r="D7385" s="11" t="s">
        <v>18</v>
      </c>
      <c r="E7385" s="12" t="s">
        <v>700</v>
      </c>
      <c r="F7385" s="12" t="s">
        <v>701</v>
      </c>
      <c r="G7385" s="12" t="s">
        <v>21</v>
      </c>
      <c r="H7385" s="11" t="s">
        <v>63</v>
      </c>
      <c r="I7385" s="13" t="s">
        <v>15231</v>
      </c>
      <c r="J7385" s="14" t="str">
        <f>HYPERLINK("https://www.boe.es/gazeta/dias/1839/09/01/pdfs/GMD-1839-1753.pdf#page=4","Abrir facsímil")</f>
        <v>Abrir facsímil</v>
      </c>
      <c r="K7385" s="12" t="s">
        <v>65</v>
      </c>
    </row>
    <row r="7386" spans="1:11" ht="40.049999999999997" customHeight="1" x14ac:dyDescent="0.25">
      <c r="A7386" s="11" t="s">
        <v>15230</v>
      </c>
      <c r="B7386" s="11" t="s">
        <v>15230</v>
      </c>
      <c r="C7386" s="11" t="s">
        <v>17</v>
      </c>
      <c r="D7386" s="11" t="s">
        <v>18</v>
      </c>
      <c r="E7386" s="12" t="s">
        <v>49</v>
      </c>
      <c r="F7386" s="12" t="s">
        <v>50</v>
      </c>
      <c r="G7386" s="12" t="s">
        <v>46</v>
      </c>
      <c r="H7386" s="11" t="s">
        <v>63</v>
      </c>
      <c r="I7386" s="13" t="s">
        <v>15232</v>
      </c>
      <c r="J7386" s="14" t="str">
        <f>HYPERLINK("https://www.boe.es/gazeta/dias/1839/01/05/pdfs/GMD-1839-1512.pdf#page=3","Abrir facsímil")</f>
        <v>Abrir facsímil</v>
      </c>
      <c r="K7386" s="12" t="s">
        <v>65</v>
      </c>
    </row>
    <row r="7387" spans="1:11" ht="40.049999999999997" customHeight="1" x14ac:dyDescent="0.25">
      <c r="A7387" s="11" t="s">
        <v>15230</v>
      </c>
      <c r="B7387" s="11" t="s">
        <v>15230</v>
      </c>
      <c r="C7387" s="11" t="s">
        <v>17</v>
      </c>
      <c r="D7387" s="11" t="s">
        <v>18</v>
      </c>
      <c r="E7387" s="12" t="s">
        <v>2050</v>
      </c>
      <c r="F7387" s="12" t="s">
        <v>2051</v>
      </c>
      <c r="G7387" s="12" t="s">
        <v>46</v>
      </c>
      <c r="H7387" s="11" t="s">
        <v>63</v>
      </c>
      <c r="I7387" s="13" t="s">
        <v>15233</v>
      </c>
      <c r="J7387" s="14" t="str">
        <f>HYPERLINK("https://www.boe.es/gazeta/dias/1839/01/09/pdfs/GMD-1839-1516.pdf#page=3","Abrir facsímil")</f>
        <v>Abrir facsímil</v>
      </c>
      <c r="K7387" s="12" t="s">
        <v>65</v>
      </c>
    </row>
    <row r="7388" spans="1:11" ht="40.049999999999997" customHeight="1" x14ac:dyDescent="0.25">
      <c r="A7388" s="11" t="s">
        <v>15230</v>
      </c>
      <c r="B7388" s="11" t="s">
        <v>15230</v>
      </c>
      <c r="C7388" s="11" t="s">
        <v>17</v>
      </c>
      <c r="D7388" s="11" t="s">
        <v>18</v>
      </c>
      <c r="E7388" s="12" t="s">
        <v>2449</v>
      </c>
      <c r="F7388" s="12" t="s">
        <v>2450</v>
      </c>
      <c r="G7388" s="12" t="s">
        <v>40</v>
      </c>
      <c r="H7388" s="11" t="s">
        <v>63</v>
      </c>
      <c r="I7388" s="13" t="s">
        <v>15234</v>
      </c>
      <c r="J7388" s="14" t="str">
        <f>HYPERLINK("https://www.boe.es/gazeta/dias/1839/12/11/pdfs/GMD-1839-1858.pdf#page=2","Abrir facsímil")</f>
        <v>Abrir facsímil</v>
      </c>
      <c r="K7388" s="12" t="s">
        <v>65</v>
      </c>
    </row>
    <row r="7389" spans="1:11" ht="40.049999999999997" customHeight="1" x14ac:dyDescent="0.25">
      <c r="A7389" s="11" t="s">
        <v>15230</v>
      </c>
      <c r="B7389" s="11" t="s">
        <v>15230</v>
      </c>
      <c r="C7389" s="11" t="s">
        <v>17</v>
      </c>
      <c r="D7389" s="11" t="s">
        <v>18</v>
      </c>
      <c r="E7389" s="12" t="s">
        <v>1100</v>
      </c>
      <c r="F7389" s="12" t="s">
        <v>1101</v>
      </c>
      <c r="G7389" s="12" t="s">
        <v>29</v>
      </c>
      <c r="H7389" s="11" t="s">
        <v>63</v>
      </c>
      <c r="I7389" s="13" t="s">
        <v>15235</v>
      </c>
      <c r="J7389" s="14" t="str">
        <f>HYPERLINK("https://www.boe.es/gazeta/dias/1839/09/13/pdfs/GMD-1839-1766.pdf#page=1","Abrir facsímil")</f>
        <v>Abrir facsímil</v>
      </c>
      <c r="K7389" s="12" t="s">
        <v>65</v>
      </c>
    </row>
    <row r="7390" spans="1:11" ht="40.049999999999997" customHeight="1" x14ac:dyDescent="0.25">
      <c r="A7390" s="11" t="s">
        <v>15236</v>
      </c>
      <c r="B7390" s="11" t="s">
        <v>15236</v>
      </c>
      <c r="C7390" s="11" t="s">
        <v>101</v>
      </c>
      <c r="D7390" s="11" t="s">
        <v>43</v>
      </c>
      <c r="E7390" s="12" t="s">
        <v>736</v>
      </c>
      <c r="F7390" s="12" t="s">
        <v>737</v>
      </c>
      <c r="G7390" s="12" t="s">
        <v>40</v>
      </c>
      <c r="H7390" s="11" t="s">
        <v>22</v>
      </c>
      <c r="I7390" s="13" t="s">
        <v>15237</v>
      </c>
      <c r="J7390" s="14" t="str">
        <f>HYPERLINK("https://www.boe.es/gazeta/dias/1839/10/13/pdfs/GMD-1839-1799.pdf#page=2","Abrir facsímil")</f>
        <v>Abrir facsímil</v>
      </c>
      <c r="K7390" s="12" t="s">
        <v>24</v>
      </c>
    </row>
    <row r="7391" spans="1:11" ht="40.049999999999997" customHeight="1" x14ac:dyDescent="0.25">
      <c r="A7391" s="11" t="s">
        <v>15230</v>
      </c>
      <c r="B7391" s="11" t="s">
        <v>15230</v>
      </c>
      <c r="C7391" s="11" t="s">
        <v>101</v>
      </c>
      <c r="D7391" s="11" t="s">
        <v>43</v>
      </c>
      <c r="E7391" s="12" t="s">
        <v>723</v>
      </c>
      <c r="F7391" s="12" t="s">
        <v>724</v>
      </c>
      <c r="G7391" s="12" t="s">
        <v>40</v>
      </c>
      <c r="H7391" s="11" t="s">
        <v>63</v>
      </c>
      <c r="I7391" s="13" t="s">
        <v>15238</v>
      </c>
      <c r="J7391" s="14" t="str">
        <f>HYPERLINK("https://www.boe.es/gazeta/dias/1839/09/26/pdfs/GMD-1839-1782.pdf#page=2","Abrir facsímil")</f>
        <v>Abrir facsímil</v>
      </c>
      <c r="K7391" s="12" t="s">
        <v>65</v>
      </c>
    </row>
    <row r="7392" spans="1:11" ht="40.049999999999997" customHeight="1" x14ac:dyDescent="0.25">
      <c r="A7392" s="11" t="s">
        <v>15239</v>
      </c>
      <c r="B7392" s="11" t="s">
        <v>15240</v>
      </c>
      <c r="C7392" s="11" t="s">
        <v>101</v>
      </c>
      <c r="D7392" s="11" t="s">
        <v>43</v>
      </c>
      <c r="E7392" s="12" t="s">
        <v>212</v>
      </c>
      <c r="F7392" s="12" t="s">
        <v>213</v>
      </c>
      <c r="G7392" s="12" t="s">
        <v>40</v>
      </c>
      <c r="H7392" s="11" t="s">
        <v>63</v>
      </c>
      <c r="I7392" s="13" t="s">
        <v>15241</v>
      </c>
      <c r="J7392" s="14" t="str">
        <f>HYPERLINK("https://www.boe.es/gazeta/dias/1839/10/03/pdfs/GMD-1839-1789.pdf#page=2","Abrir facsímil")</f>
        <v>Abrir facsímil</v>
      </c>
      <c r="K7392" s="12" t="s">
        <v>65</v>
      </c>
    </row>
    <row r="7393" spans="1:11" ht="40.049999999999997" customHeight="1" x14ac:dyDescent="0.25">
      <c r="A7393" s="11" t="s">
        <v>15242</v>
      </c>
      <c r="B7393" s="11" t="s">
        <v>15243</v>
      </c>
      <c r="C7393" s="11" t="s">
        <v>59</v>
      </c>
      <c r="D7393" s="11" t="s">
        <v>60</v>
      </c>
      <c r="E7393" s="12" t="s">
        <v>1520</v>
      </c>
      <c r="F7393" s="12" t="s">
        <v>1521</v>
      </c>
      <c r="G7393" s="12" t="s">
        <v>46</v>
      </c>
      <c r="H7393" s="11" t="s">
        <v>22</v>
      </c>
      <c r="I7393" s="13" t="s">
        <v>15244</v>
      </c>
      <c r="J7393" s="14" t="str">
        <f>HYPERLINK("https://www.boe.es/gazeta/dias/1839/12/27/pdfs/GMD-1839-1874.pdf#page=3","Abrir facsímil")</f>
        <v>Abrir facsímil</v>
      </c>
      <c r="K7393" s="12" t="s">
        <v>24</v>
      </c>
    </row>
    <row r="7394" spans="1:11" ht="40.049999999999997" customHeight="1" x14ac:dyDescent="0.25">
      <c r="A7394" s="11" t="s">
        <v>15245</v>
      </c>
      <c r="B7394" s="11" t="s">
        <v>15246</v>
      </c>
      <c r="C7394" s="11" t="s">
        <v>101</v>
      </c>
      <c r="D7394" s="11" t="s">
        <v>43</v>
      </c>
      <c r="E7394" s="12" t="s">
        <v>258</v>
      </c>
      <c r="F7394" s="12" t="s">
        <v>259</v>
      </c>
      <c r="G7394" s="12" t="s">
        <v>46</v>
      </c>
      <c r="H7394" s="11" t="s">
        <v>22</v>
      </c>
      <c r="I7394" s="13" t="s">
        <v>15247</v>
      </c>
      <c r="J7394" s="14" t="str">
        <f>HYPERLINK("https://www.boe.es/gazeta/dias/1839/01/02/pdfs/GMD-1839-1509.pdf#page=3","Abrir facsímil")</f>
        <v>Abrir facsímil</v>
      </c>
      <c r="K7394" s="12" t="s">
        <v>24</v>
      </c>
    </row>
    <row r="7395" spans="1:11" ht="40.049999999999997" customHeight="1" x14ac:dyDescent="0.25">
      <c r="A7395" s="11" t="s">
        <v>15248</v>
      </c>
      <c r="B7395" s="11" t="s">
        <v>15249</v>
      </c>
      <c r="C7395" s="11" t="s">
        <v>17</v>
      </c>
      <c r="D7395" s="11" t="s">
        <v>18</v>
      </c>
      <c r="E7395" s="12" t="s">
        <v>280</v>
      </c>
      <c r="F7395" s="12" t="s">
        <v>281</v>
      </c>
      <c r="G7395" s="12" t="s">
        <v>21</v>
      </c>
      <c r="H7395" s="11" t="s">
        <v>63</v>
      </c>
      <c r="I7395" s="13" t="s">
        <v>15250</v>
      </c>
      <c r="J7395" s="14" t="str">
        <f>HYPERLINK("https://www.boe.es/gazeta/dias/1839/08/21/pdfs/GMD-1839-1742.pdf#page=4","Abrir facsímil")</f>
        <v>Abrir facsímil</v>
      </c>
      <c r="K7395" s="12" t="s">
        <v>65</v>
      </c>
    </row>
    <row r="7396" spans="1:11" ht="40.049999999999997" customHeight="1" x14ac:dyDescent="0.25">
      <c r="A7396" s="11" t="s">
        <v>15251</v>
      </c>
      <c r="B7396" s="11" t="s">
        <v>15252</v>
      </c>
      <c r="C7396" s="11" t="s">
        <v>80</v>
      </c>
      <c r="D7396" s="11" t="s">
        <v>173</v>
      </c>
      <c r="E7396" s="12" t="s">
        <v>246</v>
      </c>
      <c r="F7396" s="12" t="s">
        <v>247</v>
      </c>
      <c r="G7396" s="12" t="s">
        <v>21</v>
      </c>
      <c r="H7396" s="11" t="s">
        <v>63</v>
      </c>
      <c r="I7396" s="13" t="s">
        <v>15253</v>
      </c>
      <c r="J7396" s="14" t="str">
        <f>HYPERLINK("https://www.boe.es/gazeta/dias/1839/11/24/pdfs/GMD-1839-1841.pdf#page=4","Abrir facsímil")</f>
        <v>Abrir facsímil</v>
      </c>
      <c r="K7396" s="12" t="s">
        <v>65</v>
      </c>
    </row>
    <row r="7397" spans="1:11" ht="40.049999999999997" customHeight="1" x14ac:dyDescent="0.25">
      <c r="A7397" s="11" t="s">
        <v>15254</v>
      </c>
      <c r="B7397" s="11" t="s">
        <v>15255</v>
      </c>
      <c r="C7397" s="11" t="s">
        <v>59</v>
      </c>
      <c r="D7397" s="11" t="s">
        <v>60</v>
      </c>
      <c r="E7397" s="12" t="s">
        <v>1252</v>
      </c>
      <c r="F7397" s="12" t="s">
        <v>1253</v>
      </c>
      <c r="G7397" s="12" t="s">
        <v>21</v>
      </c>
      <c r="H7397" s="11" t="s">
        <v>63</v>
      </c>
      <c r="I7397" s="13" t="s">
        <v>15256</v>
      </c>
      <c r="J7397" s="14" t="str">
        <f>HYPERLINK("https://www.boe.es/gazeta/dias/1839/06/15/pdfs/GMD-1839-1673.pdf#page=4","Abrir facsímil")</f>
        <v>Abrir facsímil</v>
      </c>
      <c r="K7397" s="12" t="s">
        <v>65</v>
      </c>
    </row>
    <row r="7398" spans="1:11" ht="40.049999999999997" customHeight="1" x14ac:dyDescent="0.25">
      <c r="A7398" s="11" t="s">
        <v>15257</v>
      </c>
      <c r="B7398" s="11" t="s">
        <v>15258</v>
      </c>
      <c r="C7398" s="11" t="s">
        <v>59</v>
      </c>
      <c r="D7398" s="11" t="s">
        <v>60</v>
      </c>
      <c r="E7398" s="12" t="s">
        <v>1520</v>
      </c>
      <c r="F7398" s="12" t="s">
        <v>1521</v>
      </c>
      <c r="G7398" s="12" t="s">
        <v>46</v>
      </c>
      <c r="H7398" s="11" t="s">
        <v>63</v>
      </c>
      <c r="I7398" s="13" t="s">
        <v>15259</v>
      </c>
      <c r="J7398" s="14" t="str">
        <f>HYPERLINK("https://www.boe.es/gazeta/dias/1839/12/27/pdfs/GMD-1839-1874.pdf#page=3","Abrir facsímil")</f>
        <v>Abrir facsímil</v>
      </c>
      <c r="K7398" s="12" t="s">
        <v>65</v>
      </c>
    </row>
    <row r="7399" spans="1:11" ht="40.049999999999997" customHeight="1" x14ac:dyDescent="0.25">
      <c r="A7399" s="11" t="s">
        <v>15260</v>
      </c>
      <c r="B7399" s="11" t="s">
        <v>15261</v>
      </c>
      <c r="C7399" s="11" t="s">
        <v>17</v>
      </c>
      <c r="D7399" s="11" t="s">
        <v>18</v>
      </c>
      <c r="E7399" s="12" t="s">
        <v>2021</v>
      </c>
      <c r="F7399" s="12" t="s">
        <v>2022</v>
      </c>
      <c r="G7399" s="12" t="s">
        <v>21</v>
      </c>
      <c r="H7399" s="11" t="s">
        <v>63</v>
      </c>
      <c r="I7399" s="13" t="s">
        <v>15262</v>
      </c>
      <c r="J7399" s="14" t="str">
        <f>HYPERLINK("https://www.boe.es/gazeta/dias/1839/02/17/pdfs/GMD-1839-1555.pdf#page=4","Abrir facsímil")</f>
        <v>Abrir facsímil</v>
      </c>
      <c r="K7399" s="12" t="s">
        <v>65</v>
      </c>
    </row>
    <row r="7400" spans="1:11" ht="40.049999999999997" customHeight="1" x14ac:dyDescent="0.25">
      <c r="A7400" s="11" t="s">
        <v>15263</v>
      </c>
      <c r="B7400" s="11" t="s">
        <v>15264</v>
      </c>
      <c r="C7400" s="11" t="s">
        <v>17</v>
      </c>
      <c r="D7400" s="11" t="s">
        <v>18</v>
      </c>
      <c r="E7400" s="12" t="s">
        <v>2227</v>
      </c>
      <c r="F7400" s="12" t="s">
        <v>2228</v>
      </c>
      <c r="G7400" s="12" t="s">
        <v>46</v>
      </c>
      <c r="H7400" s="11" t="s">
        <v>63</v>
      </c>
      <c r="I7400" s="13" t="s">
        <v>15265</v>
      </c>
      <c r="J7400" s="14" t="str">
        <f>HYPERLINK("https://www.boe.es/gazeta/dias/1839/12/04/pdfs/GMD-1839-1851.pdf#page=3","Abrir facsímil")</f>
        <v>Abrir facsímil</v>
      </c>
      <c r="K7400" s="12" t="s">
        <v>65</v>
      </c>
    </row>
    <row r="7401" spans="1:11" ht="40.049999999999997" customHeight="1" x14ac:dyDescent="0.25">
      <c r="A7401" s="11" t="s">
        <v>15266</v>
      </c>
      <c r="B7401" s="11" t="s">
        <v>15267</v>
      </c>
      <c r="C7401" s="11" t="s">
        <v>59</v>
      </c>
      <c r="D7401" s="11" t="s">
        <v>60</v>
      </c>
      <c r="E7401" s="12" t="s">
        <v>1008</v>
      </c>
      <c r="F7401" s="12" t="s">
        <v>1009</v>
      </c>
      <c r="G7401" s="12" t="s">
        <v>29</v>
      </c>
      <c r="H7401" s="11" t="s">
        <v>63</v>
      </c>
      <c r="I7401" s="13" t="s">
        <v>15268</v>
      </c>
      <c r="J7401" s="14" t="str">
        <f>HYPERLINK("https://www.boe.es/gazeta/dias/1839/09/07/pdfs/GMD-1839-1760.pdf#page=1","Abrir facsímil")</f>
        <v>Abrir facsímil</v>
      </c>
      <c r="K7401" s="12" t="s">
        <v>65</v>
      </c>
    </row>
    <row r="7402" spans="1:11" ht="40.049999999999997" customHeight="1" x14ac:dyDescent="0.25">
      <c r="A7402" s="11" t="s">
        <v>15269</v>
      </c>
      <c r="B7402" s="11" t="s">
        <v>15270</v>
      </c>
      <c r="C7402" s="11" t="s">
        <v>17</v>
      </c>
      <c r="D7402" s="11" t="s">
        <v>18</v>
      </c>
      <c r="E7402" s="12" t="s">
        <v>798</v>
      </c>
      <c r="F7402" s="12" t="s">
        <v>799</v>
      </c>
      <c r="G7402" s="12" t="s">
        <v>40</v>
      </c>
      <c r="H7402" s="11" t="s">
        <v>63</v>
      </c>
      <c r="I7402" s="13" t="s">
        <v>15271</v>
      </c>
      <c r="J7402" s="14" t="str">
        <f>HYPERLINK("https://www.boe.es/gazeta/dias/1839/09/03/pdfs/GMD-1839-1755.pdf#page=2","Abrir facsímil")</f>
        <v>Abrir facsímil</v>
      </c>
      <c r="K7402" s="12" t="s">
        <v>65</v>
      </c>
    </row>
    <row r="7403" spans="1:11" ht="40.049999999999997" customHeight="1" x14ac:dyDescent="0.25">
      <c r="A7403" s="11" t="s">
        <v>15272</v>
      </c>
      <c r="B7403" s="11" t="s">
        <v>15273</v>
      </c>
      <c r="C7403" s="11" t="s">
        <v>101</v>
      </c>
      <c r="D7403" s="11" t="s">
        <v>43</v>
      </c>
      <c r="E7403" s="12" t="s">
        <v>798</v>
      </c>
      <c r="F7403" s="12" t="s">
        <v>799</v>
      </c>
      <c r="G7403" s="12" t="s">
        <v>40</v>
      </c>
      <c r="H7403" s="11" t="s">
        <v>63</v>
      </c>
      <c r="I7403" s="13" t="s">
        <v>15274</v>
      </c>
      <c r="J7403" s="14" t="str">
        <f>HYPERLINK("https://www.boe.es/gazeta/dias/1839/09/03/pdfs/GMD-1839-1755.pdf#page=2","Abrir facsímil")</f>
        <v>Abrir facsímil</v>
      </c>
      <c r="K7403" s="12" t="s">
        <v>65</v>
      </c>
    </row>
    <row r="7404" spans="1:11" ht="40.049999999999997" customHeight="1" x14ac:dyDescent="0.25">
      <c r="A7404" s="11" t="s">
        <v>15272</v>
      </c>
      <c r="B7404" s="11" t="s">
        <v>15273</v>
      </c>
      <c r="C7404" s="11" t="s">
        <v>17</v>
      </c>
      <c r="D7404" s="11" t="s">
        <v>18</v>
      </c>
      <c r="E7404" s="12" t="s">
        <v>2050</v>
      </c>
      <c r="F7404" s="12" t="s">
        <v>2051</v>
      </c>
      <c r="G7404" s="12" t="s">
        <v>40</v>
      </c>
      <c r="H7404" s="11" t="s">
        <v>63</v>
      </c>
      <c r="I7404" s="13" t="s">
        <v>15275</v>
      </c>
      <c r="J7404" s="14" t="str">
        <f>HYPERLINK("https://www.boe.es/gazeta/dias/1839/01/09/pdfs/GMD-1839-1516.pdf#page=2","Abrir facsímil")</f>
        <v>Abrir facsímil</v>
      </c>
      <c r="K7404" s="12" t="s">
        <v>65</v>
      </c>
    </row>
    <row r="7405" spans="1:11" ht="40.049999999999997" customHeight="1" x14ac:dyDescent="0.25">
      <c r="A7405" s="11" t="s">
        <v>15276</v>
      </c>
      <c r="B7405" s="11" t="s">
        <v>15277</v>
      </c>
      <c r="C7405" s="11" t="s">
        <v>17</v>
      </c>
      <c r="D7405" s="11" t="s">
        <v>18</v>
      </c>
      <c r="E7405" s="12" t="s">
        <v>163</v>
      </c>
      <c r="F7405" s="12" t="s">
        <v>164</v>
      </c>
      <c r="G7405" s="12" t="s">
        <v>40</v>
      </c>
      <c r="H7405" s="11" t="s">
        <v>22</v>
      </c>
      <c r="I7405" s="13" t="s">
        <v>15278</v>
      </c>
      <c r="J7405" s="14" t="str">
        <f>HYPERLINK("https://www.boe.es/gazeta/dias/1839/01/13/pdfs/GMD-1839-1520.pdf#page=2","Abrir facsímil")</f>
        <v>Abrir facsímil</v>
      </c>
      <c r="K7405" s="12" t="s">
        <v>24</v>
      </c>
    </row>
    <row r="7406" spans="1:11" ht="40.049999999999997" customHeight="1" x14ac:dyDescent="0.25">
      <c r="A7406" s="11" t="s">
        <v>15272</v>
      </c>
      <c r="B7406" s="11" t="s">
        <v>15273</v>
      </c>
      <c r="C7406" s="11" t="s">
        <v>17</v>
      </c>
      <c r="D7406" s="11" t="s">
        <v>18</v>
      </c>
      <c r="E7406" s="12" t="s">
        <v>433</v>
      </c>
      <c r="F7406" s="12" t="s">
        <v>434</v>
      </c>
      <c r="G7406" s="12" t="s">
        <v>46</v>
      </c>
      <c r="H7406" s="11" t="s">
        <v>63</v>
      </c>
      <c r="I7406" s="13" t="s">
        <v>15279</v>
      </c>
      <c r="J7406" s="14" t="str">
        <f>HYPERLINK("https://www.boe.es/gazeta/dias/1839/01/20/pdfs/GMD-1839-1527.pdf#page=3","Abrir facsímil")</f>
        <v>Abrir facsímil</v>
      </c>
      <c r="K7406" s="12" t="s">
        <v>65</v>
      </c>
    </row>
    <row r="7407" spans="1:11" ht="40.049999999999997" customHeight="1" x14ac:dyDescent="0.25">
      <c r="A7407" s="11" t="s">
        <v>15272</v>
      </c>
      <c r="B7407" s="11" t="s">
        <v>15273</v>
      </c>
      <c r="C7407" s="11" t="s">
        <v>17</v>
      </c>
      <c r="D7407" s="11" t="s">
        <v>18</v>
      </c>
      <c r="E7407" s="12" t="s">
        <v>596</v>
      </c>
      <c r="F7407" s="12" t="s">
        <v>597</v>
      </c>
      <c r="G7407" s="12" t="s">
        <v>46</v>
      </c>
      <c r="H7407" s="11" t="s">
        <v>63</v>
      </c>
      <c r="I7407" s="13" t="s">
        <v>15280</v>
      </c>
      <c r="J7407" s="14" t="str">
        <f>HYPERLINK("https://www.boe.es/gazeta/dias/1839/01/23/pdfs/GMD-1839-1530.pdf#page=3","Abrir facsímil")</f>
        <v>Abrir facsímil</v>
      </c>
      <c r="K7407" s="12" t="s">
        <v>65</v>
      </c>
    </row>
    <row r="7408" spans="1:11" ht="40.049999999999997" customHeight="1" x14ac:dyDescent="0.25">
      <c r="A7408" s="11" t="s">
        <v>15272</v>
      </c>
      <c r="B7408" s="11" t="s">
        <v>15273</v>
      </c>
      <c r="C7408" s="11" t="s">
        <v>17</v>
      </c>
      <c r="D7408" s="11" t="s">
        <v>18</v>
      </c>
      <c r="E7408" s="12" t="s">
        <v>1909</v>
      </c>
      <c r="F7408" s="12" t="s">
        <v>1910</v>
      </c>
      <c r="G7408" s="12" t="s">
        <v>40</v>
      </c>
      <c r="H7408" s="11" t="s">
        <v>63</v>
      </c>
      <c r="I7408" s="13" t="s">
        <v>15281</v>
      </c>
      <c r="J7408" s="14" t="str">
        <f>HYPERLINK("https://www.boe.es/gazeta/dias/1839/10/27/pdfs/GMD-1839-1813.pdf#page=2","Abrir facsímil")</f>
        <v>Abrir facsímil</v>
      </c>
      <c r="K7408" s="12" t="s">
        <v>65</v>
      </c>
    </row>
    <row r="7409" spans="1:11" ht="40.049999999999997" customHeight="1" x14ac:dyDescent="0.25">
      <c r="A7409" s="11" t="s">
        <v>15282</v>
      </c>
      <c r="B7409" s="11" t="s">
        <v>15283</v>
      </c>
      <c r="C7409" s="11" t="s">
        <v>137</v>
      </c>
      <c r="D7409" s="11" t="s">
        <v>18</v>
      </c>
      <c r="E7409" s="12" t="s">
        <v>44</v>
      </c>
      <c r="F7409" s="12" t="s">
        <v>45</v>
      </c>
      <c r="G7409" s="12" t="s">
        <v>21</v>
      </c>
      <c r="H7409" s="11" t="s">
        <v>63</v>
      </c>
      <c r="I7409" s="13" t="s">
        <v>15284</v>
      </c>
      <c r="J7409" s="14" t="str">
        <f>HYPERLINK("https://www.boe.es/gazeta/dias/1839/11/15/pdfs/GMD-1839-1832.pdf#page=4","Abrir facsímil")</f>
        <v>Abrir facsímil</v>
      </c>
      <c r="K7409" s="12" t="s">
        <v>65</v>
      </c>
    </row>
    <row r="7410" spans="1:11" ht="40.049999999999997" customHeight="1" x14ac:dyDescent="0.25">
      <c r="A7410" s="11" t="s">
        <v>15285</v>
      </c>
      <c r="B7410" s="11" t="s">
        <v>15286</v>
      </c>
      <c r="C7410" s="11" t="s">
        <v>17</v>
      </c>
      <c r="D7410" s="11" t="s">
        <v>18</v>
      </c>
      <c r="E7410" s="12" t="s">
        <v>474</v>
      </c>
      <c r="F7410" s="12" t="s">
        <v>475</v>
      </c>
      <c r="G7410" s="12" t="s">
        <v>21</v>
      </c>
      <c r="H7410" s="11" t="s">
        <v>63</v>
      </c>
      <c r="I7410" s="13" t="s">
        <v>15287</v>
      </c>
      <c r="J7410" s="14" t="str">
        <f>HYPERLINK("https://www.boe.es/gazeta/dias/1839/03/31/pdfs/GMD-1839-1597.pdf#page=4","Abrir facsímil")</f>
        <v>Abrir facsímil</v>
      </c>
      <c r="K7410" s="12" t="s">
        <v>65</v>
      </c>
    </row>
    <row r="7411" spans="1:11" ht="40.049999999999997" customHeight="1" x14ac:dyDescent="0.25">
      <c r="A7411" s="11" t="s">
        <v>15288</v>
      </c>
      <c r="B7411" s="11" t="s">
        <v>15289</v>
      </c>
      <c r="C7411" s="11" t="s">
        <v>17</v>
      </c>
      <c r="D7411" s="11" t="s">
        <v>18</v>
      </c>
      <c r="E7411" s="12" t="s">
        <v>892</v>
      </c>
      <c r="F7411" s="12" t="s">
        <v>893</v>
      </c>
      <c r="G7411" s="12" t="s">
        <v>21</v>
      </c>
      <c r="H7411" s="11" t="s">
        <v>63</v>
      </c>
      <c r="I7411" s="13" t="s">
        <v>15290</v>
      </c>
      <c r="J7411" s="14" t="str">
        <f>HYPERLINK("https://www.boe.es/gazeta/dias/1839/12/28/pdfs/GMD-1839-1875.pdf#page=4","Abrir facsímil")</f>
        <v>Abrir facsímil</v>
      </c>
      <c r="K7411" s="12" t="s">
        <v>65</v>
      </c>
    </row>
    <row r="7412" spans="1:11" ht="40.049999999999997" customHeight="1" x14ac:dyDescent="0.25">
      <c r="A7412" s="11" t="s">
        <v>15291</v>
      </c>
      <c r="B7412" s="11" t="s">
        <v>15292</v>
      </c>
      <c r="C7412" s="11" t="s">
        <v>80</v>
      </c>
      <c r="D7412" s="11" t="s">
        <v>18</v>
      </c>
      <c r="E7412" s="12" t="s">
        <v>197</v>
      </c>
      <c r="F7412" s="12" t="s">
        <v>198</v>
      </c>
      <c r="G7412" s="12" t="s">
        <v>46</v>
      </c>
      <c r="H7412" s="11" t="s">
        <v>22</v>
      </c>
      <c r="I7412" s="13" t="s">
        <v>15293</v>
      </c>
      <c r="J7412" s="14" t="str">
        <f>HYPERLINK("https://www.boe.es/gazeta/dias/1839/10/04/pdfs/GMD-1839-1790.pdf#page=3","Abrir facsímil")</f>
        <v>Abrir facsímil</v>
      </c>
      <c r="K7412" s="12" t="s">
        <v>24</v>
      </c>
    </row>
    <row r="7413" spans="1:11" ht="40.049999999999997" customHeight="1" x14ac:dyDescent="0.25">
      <c r="A7413" s="11" t="s">
        <v>15294</v>
      </c>
      <c r="B7413" s="11" t="s">
        <v>15295</v>
      </c>
      <c r="C7413" s="11" t="s">
        <v>17</v>
      </c>
      <c r="D7413" s="11" t="s">
        <v>18</v>
      </c>
      <c r="E7413" s="12" t="s">
        <v>291</v>
      </c>
      <c r="F7413" s="12" t="s">
        <v>292</v>
      </c>
      <c r="G7413" s="12" t="s">
        <v>46</v>
      </c>
      <c r="H7413" s="11" t="s">
        <v>63</v>
      </c>
      <c r="I7413" s="13" t="s">
        <v>15296</v>
      </c>
      <c r="J7413" s="14" t="str">
        <f>HYPERLINK("https://www.boe.es/gazeta/dias/1839/09/04/pdfs/GMD-1839-1757.pdf#page=3","Abrir facsímil")</f>
        <v>Abrir facsímil</v>
      </c>
      <c r="K7413" s="12" t="s">
        <v>65</v>
      </c>
    </row>
    <row r="7414" spans="1:11" ht="40.049999999999997" customHeight="1" x14ac:dyDescent="0.25">
      <c r="A7414" s="11" t="s">
        <v>15294</v>
      </c>
      <c r="B7414" s="11" t="s">
        <v>15295</v>
      </c>
      <c r="C7414" s="11" t="s">
        <v>59</v>
      </c>
      <c r="D7414" s="11" t="s">
        <v>60</v>
      </c>
      <c r="E7414" s="12" t="s">
        <v>1008</v>
      </c>
      <c r="F7414" s="12" t="s">
        <v>1009</v>
      </c>
      <c r="G7414" s="12" t="s">
        <v>29</v>
      </c>
      <c r="H7414" s="11" t="s">
        <v>63</v>
      </c>
      <c r="I7414" s="13" t="s">
        <v>15297</v>
      </c>
      <c r="J7414" s="14" t="str">
        <f>HYPERLINK("https://www.boe.es/gazeta/dias/1839/09/07/pdfs/GMD-1839-1760.pdf#page=1","Abrir facsímil")</f>
        <v>Abrir facsímil</v>
      </c>
      <c r="K7414" s="12" t="s">
        <v>65</v>
      </c>
    </row>
    <row r="7415" spans="1:11" ht="40.049999999999997" customHeight="1" x14ac:dyDescent="0.25">
      <c r="A7415" s="11" t="s">
        <v>15294</v>
      </c>
      <c r="B7415" s="11" t="s">
        <v>15295</v>
      </c>
      <c r="C7415" s="11" t="s">
        <v>80</v>
      </c>
      <c r="D7415" s="11" t="s">
        <v>18</v>
      </c>
      <c r="E7415" s="12" t="s">
        <v>168</v>
      </c>
      <c r="F7415" s="12" t="s">
        <v>169</v>
      </c>
      <c r="G7415" s="12" t="s">
        <v>21</v>
      </c>
      <c r="H7415" s="11" t="s">
        <v>63</v>
      </c>
      <c r="I7415" s="13" t="s">
        <v>15298</v>
      </c>
      <c r="J7415" s="14" t="str">
        <f>HYPERLINK("https://www.boe.es/gazeta/dias/1839/07/12/pdfs/GMD-1839-1700.pdf#page=4","Abrir facsímil")</f>
        <v>Abrir facsímil</v>
      </c>
      <c r="K7415" s="12" t="s">
        <v>65</v>
      </c>
    </row>
    <row r="7416" spans="1:11" ht="40.049999999999997" customHeight="1" x14ac:dyDescent="0.25">
      <c r="A7416" s="11" t="s">
        <v>15299</v>
      </c>
      <c r="B7416" s="11" t="s">
        <v>15300</v>
      </c>
      <c r="C7416" s="11" t="s">
        <v>17</v>
      </c>
      <c r="D7416" s="11" t="s">
        <v>18</v>
      </c>
      <c r="E7416" s="12" t="s">
        <v>1144</v>
      </c>
      <c r="F7416" s="12" t="s">
        <v>1145</v>
      </c>
      <c r="G7416" s="12" t="s">
        <v>21</v>
      </c>
      <c r="H7416" s="11" t="s">
        <v>63</v>
      </c>
      <c r="I7416" s="13" t="s">
        <v>15301</v>
      </c>
      <c r="J7416" s="14" t="str">
        <f>HYPERLINK("https://www.boe.es/gazeta/dias/1839/08/13/pdfs/GMD-1839-1733.pdf#page=4","Abrir facsímil")</f>
        <v>Abrir facsímil</v>
      </c>
      <c r="K7416" s="12" t="s">
        <v>65</v>
      </c>
    </row>
    <row r="7417" spans="1:11" ht="40.049999999999997" customHeight="1" x14ac:dyDescent="0.25">
      <c r="A7417" s="11" t="s">
        <v>15302</v>
      </c>
      <c r="B7417" s="11" t="s">
        <v>15303</v>
      </c>
      <c r="C7417" s="11" t="s">
        <v>17</v>
      </c>
      <c r="D7417" s="11" t="s">
        <v>18</v>
      </c>
      <c r="E7417" s="12" t="s">
        <v>375</v>
      </c>
      <c r="F7417" s="12" t="s">
        <v>376</v>
      </c>
      <c r="G7417" s="12" t="s">
        <v>21</v>
      </c>
      <c r="H7417" s="11" t="s">
        <v>63</v>
      </c>
      <c r="I7417" s="13" t="s">
        <v>15304</v>
      </c>
      <c r="J7417" s="14" t="str">
        <f>HYPERLINK("https://www.boe.es/gazeta/dias/1839/11/25/pdfs/GMD-1839-1842.pdf#page=4","Abrir facsímil")</f>
        <v>Abrir facsímil</v>
      </c>
      <c r="K7417" s="12" t="s">
        <v>65</v>
      </c>
    </row>
    <row r="7418" spans="1:11" ht="40.049999999999997" customHeight="1" x14ac:dyDescent="0.25">
      <c r="A7418" s="11" t="s">
        <v>15305</v>
      </c>
      <c r="B7418" s="11" t="s">
        <v>15306</v>
      </c>
      <c r="C7418" s="11" t="s">
        <v>80</v>
      </c>
      <c r="D7418" s="11" t="s">
        <v>18</v>
      </c>
      <c r="E7418" s="12" t="s">
        <v>700</v>
      </c>
      <c r="F7418" s="12" t="s">
        <v>701</v>
      </c>
      <c r="G7418" s="12" t="s">
        <v>21</v>
      </c>
      <c r="H7418" s="11" t="s">
        <v>63</v>
      </c>
      <c r="I7418" s="13" t="s">
        <v>15307</v>
      </c>
      <c r="J7418" s="14" t="str">
        <f>HYPERLINK("https://www.boe.es/gazeta/dias/1839/09/01/pdfs/GMD-1839-1753.pdf#page=4","Abrir facsímil")</f>
        <v>Abrir facsímil</v>
      </c>
      <c r="K7418" s="12" t="s">
        <v>65</v>
      </c>
    </row>
    <row r="7419" spans="1:11" ht="40.049999999999997" customHeight="1" x14ac:dyDescent="0.25">
      <c r="A7419" s="11" t="s">
        <v>15308</v>
      </c>
      <c r="B7419" s="11" t="s">
        <v>15309</v>
      </c>
      <c r="C7419" s="11" t="s">
        <v>101</v>
      </c>
      <c r="D7419" s="11" t="s">
        <v>43</v>
      </c>
      <c r="E7419" s="12" t="s">
        <v>1356</v>
      </c>
      <c r="F7419" s="12" t="s">
        <v>1357</v>
      </c>
      <c r="G7419" s="12" t="s">
        <v>21</v>
      </c>
      <c r="H7419" s="11" t="s">
        <v>63</v>
      </c>
      <c r="I7419" s="13" t="s">
        <v>15310</v>
      </c>
      <c r="J7419" s="14" t="str">
        <f>HYPERLINK("https://www.boe.es/gazeta/dias/1839/06/05/pdfs/GMD-1839-1663.pdf#page=4","Abrir facsímil")</f>
        <v>Abrir facsímil</v>
      </c>
      <c r="K7419" s="12" t="s">
        <v>65</v>
      </c>
    </row>
    <row r="7420" spans="1:11" ht="40.049999999999997" customHeight="1" x14ac:dyDescent="0.25">
      <c r="A7420" s="11" t="s">
        <v>15311</v>
      </c>
      <c r="B7420" s="11" t="s">
        <v>15312</v>
      </c>
      <c r="C7420" s="11" t="s">
        <v>17</v>
      </c>
      <c r="D7420" s="11" t="s">
        <v>18</v>
      </c>
      <c r="E7420" s="12" t="s">
        <v>844</v>
      </c>
      <c r="F7420" s="12" t="s">
        <v>845</v>
      </c>
      <c r="G7420" s="12" t="s">
        <v>29</v>
      </c>
      <c r="H7420" s="11" t="s">
        <v>63</v>
      </c>
      <c r="I7420" s="13" t="s">
        <v>15313</v>
      </c>
      <c r="J7420" s="14" t="str">
        <f>HYPERLINK("https://www.boe.es/gazeta/dias/1839/12/24/pdfs/GMD-1839-1871.pdf#page=1","Abrir facsímil")</f>
        <v>Abrir facsímil</v>
      </c>
      <c r="K7420" s="12" t="s">
        <v>65</v>
      </c>
    </row>
    <row r="7421" spans="1:11" ht="40.049999999999997" customHeight="1" x14ac:dyDescent="0.25">
      <c r="A7421" s="11" t="s">
        <v>15314</v>
      </c>
      <c r="B7421" s="11" t="s">
        <v>15315</v>
      </c>
      <c r="C7421" s="11" t="s">
        <v>17</v>
      </c>
      <c r="D7421" s="11" t="s">
        <v>18</v>
      </c>
      <c r="E7421" s="12" t="s">
        <v>138</v>
      </c>
      <c r="F7421" s="12" t="s">
        <v>139</v>
      </c>
      <c r="G7421" s="12" t="s">
        <v>29</v>
      </c>
      <c r="H7421" s="11" t="s">
        <v>63</v>
      </c>
      <c r="I7421" s="13" t="s">
        <v>15316</v>
      </c>
      <c r="J7421" s="14" t="str">
        <f>HYPERLINK("https://www.boe.es/gazeta/dias/1839/10/09/pdfs/GMD-1839-1795.pdf#page=1","Abrir facsímil")</f>
        <v>Abrir facsímil</v>
      </c>
      <c r="K7421" s="12" t="s">
        <v>65</v>
      </c>
    </row>
    <row r="7422" spans="1:11" ht="40.049999999999997" customHeight="1" x14ac:dyDescent="0.25">
      <c r="A7422" s="11" t="s">
        <v>15317</v>
      </c>
      <c r="B7422" s="11" t="s">
        <v>15318</v>
      </c>
      <c r="C7422" s="11" t="s">
        <v>17</v>
      </c>
      <c r="D7422" s="11" t="s">
        <v>18</v>
      </c>
      <c r="E7422" s="12" t="s">
        <v>522</v>
      </c>
      <c r="F7422" s="12" t="s">
        <v>523</v>
      </c>
      <c r="G7422" s="12" t="s">
        <v>40</v>
      </c>
      <c r="H7422" s="11" t="s">
        <v>63</v>
      </c>
      <c r="I7422" s="13" t="s">
        <v>15319</v>
      </c>
      <c r="J7422" s="14" t="str">
        <f>HYPERLINK("https://www.boe.es/gazeta/dias/1839/08/27/pdfs/GMD-1839-1748.pdf#page=2","Abrir facsímil")</f>
        <v>Abrir facsímil</v>
      </c>
      <c r="K7422" s="12" t="s">
        <v>65</v>
      </c>
    </row>
    <row r="7423" spans="1:11" ht="40.049999999999997" customHeight="1" x14ac:dyDescent="0.25">
      <c r="A7423" s="11" t="s">
        <v>15320</v>
      </c>
      <c r="B7423" s="11" t="s">
        <v>15320</v>
      </c>
      <c r="C7423" s="11" t="s">
        <v>17</v>
      </c>
      <c r="D7423" s="11" t="s">
        <v>18</v>
      </c>
      <c r="E7423" s="12" t="s">
        <v>49</v>
      </c>
      <c r="F7423" s="12" t="s">
        <v>50</v>
      </c>
      <c r="G7423" s="12" t="s">
        <v>46</v>
      </c>
      <c r="H7423" s="11" t="s">
        <v>22</v>
      </c>
      <c r="I7423" s="13" t="s">
        <v>15321</v>
      </c>
      <c r="J7423" s="14" t="str">
        <f>HYPERLINK("https://www.boe.es/gazeta/dias/1839/01/05/pdfs/GMD-1839-1512.pdf#page=3","Abrir facsímil")</f>
        <v>Abrir facsímil</v>
      </c>
      <c r="K7423" s="12" t="s">
        <v>24</v>
      </c>
    </row>
    <row r="7424" spans="1:11" ht="40.049999999999997" customHeight="1" x14ac:dyDescent="0.25">
      <c r="A7424" s="11" t="s">
        <v>15320</v>
      </c>
      <c r="B7424" s="11" t="s">
        <v>15320</v>
      </c>
      <c r="C7424" s="11" t="s">
        <v>101</v>
      </c>
      <c r="D7424" s="11" t="s">
        <v>43</v>
      </c>
      <c r="E7424" s="12" t="s">
        <v>653</v>
      </c>
      <c r="F7424" s="12" t="s">
        <v>654</v>
      </c>
      <c r="G7424" s="12" t="s">
        <v>29</v>
      </c>
      <c r="H7424" s="11" t="s">
        <v>22</v>
      </c>
      <c r="I7424" s="13" t="s">
        <v>15322</v>
      </c>
      <c r="J7424" s="14" t="str">
        <f>HYPERLINK("https://www.boe.es/gazeta/dias/1839/10/31/pdfs/GMD-1839-1817.pdf#page=1","Abrir facsímil")</f>
        <v>Abrir facsímil</v>
      </c>
      <c r="K7424" s="12" t="s">
        <v>24</v>
      </c>
    </row>
    <row r="7425" spans="1:11" ht="40.049999999999997" customHeight="1" x14ac:dyDescent="0.25">
      <c r="A7425" s="11" t="s">
        <v>15323</v>
      </c>
      <c r="B7425" s="11" t="s">
        <v>15323</v>
      </c>
      <c r="C7425" s="11" t="s">
        <v>17</v>
      </c>
      <c r="D7425" s="11" t="s">
        <v>18</v>
      </c>
      <c r="E7425" s="12" t="s">
        <v>369</v>
      </c>
      <c r="F7425" s="12" t="s">
        <v>370</v>
      </c>
      <c r="G7425" s="12" t="s">
        <v>40</v>
      </c>
      <c r="H7425" s="11" t="s">
        <v>22</v>
      </c>
      <c r="I7425" s="13" t="s">
        <v>15324</v>
      </c>
      <c r="J7425" s="14" t="str">
        <f>HYPERLINK("https://www.boe.es/gazeta/dias/1839/11/01/pdfs/GMD-1839-1818.pdf#page=2","Abrir facsímil")</f>
        <v>Abrir facsímil</v>
      </c>
      <c r="K7425" s="12" t="s">
        <v>24</v>
      </c>
    </row>
    <row r="7426" spans="1:11" ht="40.049999999999997" customHeight="1" x14ac:dyDescent="0.25">
      <c r="A7426" s="11" t="s">
        <v>15325</v>
      </c>
      <c r="B7426" s="11" t="s">
        <v>15325</v>
      </c>
      <c r="C7426" s="11" t="s">
        <v>101</v>
      </c>
      <c r="D7426" s="11" t="s">
        <v>43</v>
      </c>
      <c r="E7426" s="12" t="s">
        <v>1929</v>
      </c>
      <c r="F7426" s="12" t="s">
        <v>1930</v>
      </c>
      <c r="G7426" s="12" t="s">
        <v>46</v>
      </c>
      <c r="H7426" s="11" t="s">
        <v>22</v>
      </c>
      <c r="I7426" s="13" t="s">
        <v>15326</v>
      </c>
      <c r="J7426" s="14" t="str">
        <f>HYPERLINK("https://www.boe.es/gazeta/dias/1839/02/01/pdfs/GMD-1839-1539.pdf#page=3","Abrir facsímil")</f>
        <v>Abrir facsímil</v>
      </c>
      <c r="K7426" s="12" t="s">
        <v>24</v>
      </c>
    </row>
    <row r="7427" spans="1:11" ht="40.049999999999997" customHeight="1" x14ac:dyDescent="0.25">
      <c r="A7427" s="11" t="s">
        <v>15327</v>
      </c>
      <c r="B7427" s="11" t="s">
        <v>15327</v>
      </c>
      <c r="C7427" s="11" t="s">
        <v>137</v>
      </c>
      <c r="D7427" s="11" t="s">
        <v>18</v>
      </c>
      <c r="E7427" s="12" t="s">
        <v>1072</v>
      </c>
      <c r="F7427" s="12" t="s">
        <v>1073</v>
      </c>
      <c r="G7427" s="12" t="s">
        <v>46</v>
      </c>
      <c r="H7427" s="11" t="s">
        <v>22</v>
      </c>
      <c r="I7427" s="13" t="s">
        <v>15328</v>
      </c>
      <c r="J7427" s="14" t="str">
        <f>HYPERLINK("https://www.boe.es/gazeta/dias/1839/01/18/pdfs/GMD-1839-1525.pdf#page=3","Abrir facsímil")</f>
        <v>Abrir facsímil</v>
      </c>
      <c r="K7427" s="12" t="s">
        <v>24</v>
      </c>
    </row>
    <row r="7428" spans="1:11" ht="40.049999999999997" customHeight="1" x14ac:dyDescent="0.25">
      <c r="A7428" s="11" t="s">
        <v>15329</v>
      </c>
      <c r="B7428" s="11" t="s">
        <v>15329</v>
      </c>
      <c r="C7428" s="11" t="s">
        <v>17</v>
      </c>
      <c r="D7428" s="11" t="s">
        <v>18</v>
      </c>
      <c r="E7428" s="12" t="s">
        <v>369</v>
      </c>
      <c r="F7428" s="12" t="s">
        <v>370</v>
      </c>
      <c r="G7428" s="12" t="s">
        <v>46</v>
      </c>
      <c r="H7428" s="11" t="s">
        <v>63</v>
      </c>
      <c r="I7428" s="13" t="s">
        <v>15330</v>
      </c>
      <c r="J7428" s="14" t="str">
        <f>HYPERLINK("https://www.boe.es/gazeta/dias/1839/11/01/pdfs/GMD-1839-1818.pdf#page=3","Abrir facsímil")</f>
        <v>Abrir facsímil</v>
      </c>
      <c r="K7428" s="12" t="s">
        <v>65</v>
      </c>
    </row>
    <row r="7429" spans="1:11" ht="40.049999999999997" customHeight="1" x14ac:dyDescent="0.25">
      <c r="A7429" s="11" t="s">
        <v>15329</v>
      </c>
      <c r="B7429" s="11" t="s">
        <v>15329</v>
      </c>
      <c r="C7429" s="11" t="s">
        <v>17</v>
      </c>
      <c r="D7429" s="11" t="s">
        <v>18</v>
      </c>
      <c r="E7429" s="12" t="s">
        <v>606</v>
      </c>
      <c r="F7429" s="12" t="s">
        <v>607</v>
      </c>
      <c r="G7429" s="12" t="s">
        <v>21</v>
      </c>
      <c r="H7429" s="11" t="s">
        <v>63</v>
      </c>
      <c r="I7429" s="13" t="s">
        <v>15331</v>
      </c>
      <c r="J7429" s="14" t="str">
        <f>HYPERLINK("https://www.boe.es/gazeta/dias/1839/04/02/pdfs/GMD-1839-1599.pdf#page=4","Abrir facsímil")</f>
        <v>Abrir facsímil</v>
      </c>
      <c r="K7429" s="12" t="s">
        <v>65</v>
      </c>
    </row>
    <row r="7430" spans="1:11" ht="40.049999999999997" customHeight="1" x14ac:dyDescent="0.25">
      <c r="A7430" s="11" t="s">
        <v>15329</v>
      </c>
      <c r="B7430" s="11" t="s">
        <v>15329</v>
      </c>
      <c r="C7430" s="11" t="s">
        <v>17</v>
      </c>
      <c r="D7430" s="11" t="s">
        <v>18</v>
      </c>
      <c r="E7430" s="12" t="s">
        <v>1614</v>
      </c>
      <c r="F7430" s="12" t="s">
        <v>1615</v>
      </c>
      <c r="G7430" s="12" t="s">
        <v>46</v>
      </c>
      <c r="H7430" s="11" t="s">
        <v>63</v>
      </c>
      <c r="I7430" s="13" t="s">
        <v>15332</v>
      </c>
      <c r="J7430" s="14" t="str">
        <f>HYPERLINK("https://www.boe.es/gazeta/dias/1839/07/03/pdfs/GMD-1839-1691.pdf#page=3","Abrir facsímil")</f>
        <v>Abrir facsímil</v>
      </c>
      <c r="K7430" s="12" t="s">
        <v>65</v>
      </c>
    </row>
    <row r="7431" spans="1:11" ht="40.049999999999997" customHeight="1" x14ac:dyDescent="0.25">
      <c r="A7431" s="11" t="s">
        <v>15329</v>
      </c>
      <c r="B7431" s="11" t="s">
        <v>15329</v>
      </c>
      <c r="C7431" s="11" t="s">
        <v>59</v>
      </c>
      <c r="D7431" s="11" t="s">
        <v>60</v>
      </c>
      <c r="E7431" s="12" t="s">
        <v>327</v>
      </c>
      <c r="F7431" s="12" t="s">
        <v>328</v>
      </c>
      <c r="G7431" s="12" t="s">
        <v>21</v>
      </c>
      <c r="H7431" s="11" t="s">
        <v>63</v>
      </c>
      <c r="I7431" s="13" t="s">
        <v>15333</v>
      </c>
      <c r="J7431" s="14" t="str">
        <f>HYPERLINK("https://www.boe.es/gazeta/dias/1839/08/05/pdfs/GMD-1839-1725.pdf#page=4","Abrir facsímil")</f>
        <v>Abrir facsímil</v>
      </c>
      <c r="K7431" s="12" t="s">
        <v>65</v>
      </c>
    </row>
    <row r="7432" spans="1:11" ht="40.049999999999997" customHeight="1" x14ac:dyDescent="0.25">
      <c r="A7432" s="11" t="s">
        <v>15329</v>
      </c>
      <c r="B7432" s="11" t="s">
        <v>15329</v>
      </c>
      <c r="C7432" s="11" t="s">
        <v>17</v>
      </c>
      <c r="D7432" s="11" t="s">
        <v>18</v>
      </c>
      <c r="E7432" s="12" t="s">
        <v>1623</v>
      </c>
      <c r="F7432" s="12" t="s">
        <v>1624</v>
      </c>
      <c r="G7432" s="12" t="s">
        <v>21</v>
      </c>
      <c r="H7432" s="11" t="s">
        <v>63</v>
      </c>
      <c r="I7432" s="13" t="s">
        <v>15334</v>
      </c>
      <c r="J7432" s="14" t="str">
        <f>HYPERLINK("https://www.boe.es/gazeta/dias/1839/04/07/pdfs/GMD-1839-1604.pdf#page=4","Abrir facsímil")</f>
        <v>Abrir facsímil</v>
      </c>
      <c r="K7432" s="12" t="s">
        <v>65</v>
      </c>
    </row>
    <row r="7433" spans="1:11" ht="40.049999999999997" customHeight="1" x14ac:dyDescent="0.25">
      <c r="A7433" s="11" t="s">
        <v>15329</v>
      </c>
      <c r="B7433" s="11" t="s">
        <v>15329</v>
      </c>
      <c r="C7433" s="11" t="s">
        <v>80</v>
      </c>
      <c r="D7433" s="11" t="s">
        <v>18</v>
      </c>
      <c r="E7433" s="12" t="s">
        <v>388</v>
      </c>
      <c r="F7433" s="12" t="s">
        <v>389</v>
      </c>
      <c r="G7433" s="12" t="s">
        <v>21</v>
      </c>
      <c r="H7433" s="11" t="s">
        <v>63</v>
      </c>
      <c r="I7433" s="13" t="s">
        <v>15335</v>
      </c>
      <c r="J7433" s="14" t="str">
        <f>HYPERLINK("https://www.boe.es/gazeta/dias/1839/08/07/pdfs/GMD-1839-1727.pdf#page=4","Abrir facsímil")</f>
        <v>Abrir facsímil</v>
      </c>
      <c r="K7433" s="12" t="s">
        <v>65</v>
      </c>
    </row>
    <row r="7434" spans="1:11" ht="40.049999999999997" customHeight="1" x14ac:dyDescent="0.25">
      <c r="A7434" s="11" t="s">
        <v>15329</v>
      </c>
      <c r="B7434" s="11" t="s">
        <v>15329</v>
      </c>
      <c r="C7434" s="11" t="s">
        <v>59</v>
      </c>
      <c r="D7434" s="11" t="s">
        <v>60</v>
      </c>
      <c r="E7434" s="12" t="s">
        <v>157</v>
      </c>
      <c r="F7434" s="12" t="s">
        <v>158</v>
      </c>
      <c r="G7434" s="12" t="s">
        <v>29</v>
      </c>
      <c r="H7434" s="11" t="s">
        <v>63</v>
      </c>
      <c r="I7434" s="13" t="s">
        <v>15336</v>
      </c>
      <c r="J7434" s="14" t="str">
        <f>HYPERLINK("https://www.boe.es/gazeta/dias/1839/02/08/pdfs/GMD-1839-1546.pdf#page=1","Abrir facsímil")</f>
        <v>Abrir facsímil</v>
      </c>
      <c r="K7434" s="12" t="s">
        <v>65</v>
      </c>
    </row>
    <row r="7435" spans="1:11" ht="40.049999999999997" customHeight="1" x14ac:dyDescent="0.25">
      <c r="A7435" s="11" t="s">
        <v>15329</v>
      </c>
      <c r="B7435" s="11" t="s">
        <v>15329</v>
      </c>
      <c r="C7435" s="11" t="s">
        <v>80</v>
      </c>
      <c r="D7435" s="11" t="s">
        <v>18</v>
      </c>
      <c r="E7435" s="12" t="s">
        <v>744</v>
      </c>
      <c r="F7435" s="12" t="s">
        <v>745</v>
      </c>
      <c r="G7435" s="12" t="s">
        <v>21</v>
      </c>
      <c r="H7435" s="11" t="s">
        <v>63</v>
      </c>
      <c r="I7435" s="13" t="s">
        <v>15337</v>
      </c>
      <c r="J7435" s="14" t="str">
        <f>HYPERLINK("https://www.boe.es/gazeta/dias/1839/12/09/pdfs/GMD-1839-1856.pdf#page=4","Abrir facsímil")</f>
        <v>Abrir facsímil</v>
      </c>
      <c r="K7435" s="12" t="s">
        <v>65</v>
      </c>
    </row>
    <row r="7436" spans="1:11" ht="40.049999999999997" customHeight="1" x14ac:dyDescent="0.25">
      <c r="A7436" s="11" t="s">
        <v>15329</v>
      </c>
      <c r="B7436" s="11" t="s">
        <v>15329</v>
      </c>
      <c r="C7436" s="11" t="s">
        <v>17</v>
      </c>
      <c r="D7436" s="11" t="s">
        <v>18</v>
      </c>
      <c r="E7436" s="12" t="s">
        <v>160</v>
      </c>
      <c r="F7436" s="12" t="s">
        <v>161</v>
      </c>
      <c r="G7436" s="12" t="s">
        <v>21</v>
      </c>
      <c r="H7436" s="11" t="s">
        <v>63</v>
      </c>
      <c r="I7436" s="13" t="s">
        <v>15338</v>
      </c>
      <c r="J7436" s="14" t="str">
        <f>HYPERLINK("https://www.boe.es/gazeta/dias/1839/01/10/pdfs/GMD-1839-1517.pdf#page=4","Abrir facsímil")</f>
        <v>Abrir facsímil</v>
      </c>
      <c r="K7436" s="12" t="s">
        <v>65</v>
      </c>
    </row>
    <row r="7437" spans="1:11" ht="40.049999999999997" customHeight="1" x14ac:dyDescent="0.25">
      <c r="A7437" s="11" t="s">
        <v>15329</v>
      </c>
      <c r="B7437" s="11" t="s">
        <v>15329</v>
      </c>
      <c r="C7437" s="11" t="s">
        <v>17</v>
      </c>
      <c r="D7437" s="11" t="s">
        <v>18</v>
      </c>
      <c r="E7437" s="12" t="s">
        <v>736</v>
      </c>
      <c r="F7437" s="12" t="s">
        <v>737</v>
      </c>
      <c r="G7437" s="12" t="s">
        <v>21</v>
      </c>
      <c r="H7437" s="11" t="s">
        <v>63</v>
      </c>
      <c r="I7437" s="13" t="s">
        <v>15339</v>
      </c>
      <c r="J7437" s="14" t="str">
        <f>HYPERLINK("https://www.boe.es/gazeta/dias/1839/10/13/pdfs/GMD-1839-1799.pdf#page=4","Abrir facsímil")</f>
        <v>Abrir facsímil</v>
      </c>
      <c r="K7437" s="12" t="s">
        <v>65</v>
      </c>
    </row>
    <row r="7438" spans="1:11" ht="40.049999999999997" customHeight="1" x14ac:dyDescent="0.25">
      <c r="A7438" s="11" t="s">
        <v>15329</v>
      </c>
      <c r="B7438" s="11" t="s">
        <v>15329</v>
      </c>
      <c r="C7438" s="11" t="s">
        <v>17</v>
      </c>
      <c r="D7438" s="11" t="s">
        <v>18</v>
      </c>
      <c r="E7438" s="12" t="s">
        <v>2452</v>
      </c>
      <c r="F7438" s="12" t="s">
        <v>2453</v>
      </c>
      <c r="G7438" s="12" t="s">
        <v>40</v>
      </c>
      <c r="H7438" s="11" t="s">
        <v>63</v>
      </c>
      <c r="I7438" s="13" t="s">
        <v>15340</v>
      </c>
      <c r="J7438" s="14" t="str">
        <f>HYPERLINK("https://www.boe.es/gazeta/dias/1839/11/14/pdfs/GMD-1839-1831.pdf#page=2","Abrir facsímil")</f>
        <v>Abrir facsímil</v>
      </c>
      <c r="K7438" s="12" t="s">
        <v>65</v>
      </c>
    </row>
    <row r="7439" spans="1:11" ht="40.049999999999997" customHeight="1" x14ac:dyDescent="0.25">
      <c r="A7439" s="11" t="s">
        <v>15329</v>
      </c>
      <c r="B7439" s="11" t="s">
        <v>15329</v>
      </c>
      <c r="C7439" s="11" t="s">
        <v>17</v>
      </c>
      <c r="D7439" s="11" t="s">
        <v>18</v>
      </c>
      <c r="E7439" s="12" t="s">
        <v>1019</v>
      </c>
      <c r="F7439" s="12" t="s">
        <v>1020</v>
      </c>
      <c r="G7439" s="12" t="s">
        <v>21</v>
      </c>
      <c r="H7439" s="11" t="s">
        <v>63</v>
      </c>
      <c r="I7439" s="13" t="s">
        <v>15341</v>
      </c>
      <c r="J7439" s="14" t="str">
        <f>HYPERLINK("https://www.boe.es/gazeta/dias/1839/07/15/pdfs/GMD-1839-1703.pdf#page=4","Abrir facsímil")</f>
        <v>Abrir facsímil</v>
      </c>
      <c r="K7439" s="12" t="s">
        <v>65</v>
      </c>
    </row>
    <row r="7440" spans="1:11" ht="40.049999999999997" customHeight="1" x14ac:dyDescent="0.25">
      <c r="A7440" s="11" t="s">
        <v>15329</v>
      </c>
      <c r="B7440" s="11" t="s">
        <v>15329</v>
      </c>
      <c r="C7440" s="11" t="s">
        <v>17</v>
      </c>
      <c r="D7440" s="11" t="s">
        <v>18</v>
      </c>
      <c r="E7440" s="12" t="s">
        <v>2650</v>
      </c>
      <c r="F7440" s="12" t="s">
        <v>2651</v>
      </c>
      <c r="G7440" s="12" t="s">
        <v>21</v>
      </c>
      <c r="H7440" s="11" t="s">
        <v>63</v>
      </c>
      <c r="I7440" s="13" t="s">
        <v>15342</v>
      </c>
      <c r="J7440" s="14" t="str">
        <f>HYPERLINK("https://www.boe.es/gazeta/dias/1839/09/15/pdfs/GMD-1839-1768.pdf#page=4","Abrir facsímil")</f>
        <v>Abrir facsímil</v>
      </c>
      <c r="K7440" s="12" t="s">
        <v>65</v>
      </c>
    </row>
    <row r="7441" spans="1:11" ht="40.049999999999997" customHeight="1" x14ac:dyDescent="0.25">
      <c r="A7441" s="11" t="s">
        <v>15329</v>
      </c>
      <c r="B7441" s="11" t="s">
        <v>15329</v>
      </c>
      <c r="C7441" s="11" t="s">
        <v>101</v>
      </c>
      <c r="D7441" s="11" t="s">
        <v>43</v>
      </c>
      <c r="E7441" s="12" t="s">
        <v>1069</v>
      </c>
      <c r="F7441" s="12" t="s">
        <v>1070</v>
      </c>
      <c r="G7441" s="12" t="s">
        <v>40</v>
      </c>
      <c r="H7441" s="11" t="s">
        <v>63</v>
      </c>
      <c r="I7441" s="13" t="s">
        <v>15343</v>
      </c>
      <c r="J7441" s="14" t="str">
        <f>HYPERLINK("https://www.boe.es/gazeta/dias/1839/10/15/pdfs/GMD-1839-1801.pdf#page=2","Abrir facsímil")</f>
        <v>Abrir facsímil</v>
      </c>
      <c r="K7441" s="12" t="s">
        <v>65</v>
      </c>
    </row>
    <row r="7442" spans="1:11" ht="40.049999999999997" customHeight="1" x14ac:dyDescent="0.25">
      <c r="A7442" s="11" t="s">
        <v>15329</v>
      </c>
      <c r="B7442" s="11" t="s">
        <v>15329</v>
      </c>
      <c r="C7442" s="11" t="s">
        <v>17</v>
      </c>
      <c r="D7442" s="11" t="s">
        <v>18</v>
      </c>
      <c r="E7442" s="12" t="s">
        <v>148</v>
      </c>
      <c r="F7442" s="12" t="s">
        <v>149</v>
      </c>
      <c r="G7442" s="12" t="s">
        <v>21</v>
      </c>
      <c r="H7442" s="11" t="s">
        <v>63</v>
      </c>
      <c r="I7442" s="13" t="s">
        <v>15344</v>
      </c>
      <c r="J7442" s="14" t="str">
        <f>HYPERLINK("https://www.boe.es/gazeta/dias/1839/07/16/pdfs/GMD-1839-1704.pdf#page=4","Abrir facsímil")</f>
        <v>Abrir facsímil</v>
      </c>
      <c r="K7442" s="12" t="s">
        <v>65</v>
      </c>
    </row>
    <row r="7443" spans="1:11" ht="40.049999999999997" customHeight="1" x14ac:dyDescent="0.25">
      <c r="A7443" s="11" t="s">
        <v>15329</v>
      </c>
      <c r="B7443" s="11" t="s">
        <v>15329</v>
      </c>
      <c r="C7443" s="11" t="s">
        <v>101</v>
      </c>
      <c r="D7443" s="11" t="s">
        <v>43</v>
      </c>
      <c r="E7443" s="12" t="s">
        <v>4550</v>
      </c>
      <c r="F7443" s="12" t="s">
        <v>4551</v>
      </c>
      <c r="G7443" s="12" t="s">
        <v>21</v>
      </c>
      <c r="H7443" s="11" t="s">
        <v>63</v>
      </c>
      <c r="I7443" s="13" t="s">
        <v>15345</v>
      </c>
      <c r="J7443" s="14" t="str">
        <f>HYPERLINK("https://www.boe.es/gazeta/dias/1839/04/17/pdfs/GMD-1839-1614.pdf#page=4","Abrir facsímil")</f>
        <v>Abrir facsímil</v>
      </c>
      <c r="K7443" s="12" t="s">
        <v>65</v>
      </c>
    </row>
    <row r="7444" spans="1:11" ht="40.049999999999997" customHeight="1" x14ac:dyDescent="0.25">
      <c r="A7444" s="11" t="s">
        <v>15329</v>
      </c>
      <c r="B7444" s="11" t="s">
        <v>15329</v>
      </c>
      <c r="C7444" s="11" t="s">
        <v>17</v>
      </c>
      <c r="D7444" s="11" t="s">
        <v>18</v>
      </c>
      <c r="E7444" s="12" t="s">
        <v>438</v>
      </c>
      <c r="F7444" s="12" t="s">
        <v>439</v>
      </c>
      <c r="G7444" s="12" t="s">
        <v>40</v>
      </c>
      <c r="H7444" s="11" t="s">
        <v>63</v>
      </c>
      <c r="I7444" s="13" t="s">
        <v>15346</v>
      </c>
      <c r="J7444" s="14" t="str">
        <f>HYPERLINK("https://www.boe.es/gazeta/dias/1839/07/17/pdfs/GMD-1839-1705.pdf#page=2","Abrir facsímil")</f>
        <v>Abrir facsímil</v>
      </c>
      <c r="K7444" s="12" t="s">
        <v>65</v>
      </c>
    </row>
    <row r="7445" spans="1:11" ht="40.049999999999997" customHeight="1" x14ac:dyDescent="0.25">
      <c r="A7445" s="11" t="s">
        <v>15329</v>
      </c>
      <c r="B7445" s="11" t="s">
        <v>15329</v>
      </c>
      <c r="C7445" s="11" t="s">
        <v>17</v>
      </c>
      <c r="D7445" s="11" t="s">
        <v>18</v>
      </c>
      <c r="E7445" s="12" t="s">
        <v>438</v>
      </c>
      <c r="F7445" s="12" t="s">
        <v>439</v>
      </c>
      <c r="G7445" s="12" t="s">
        <v>21</v>
      </c>
      <c r="H7445" s="11" t="s">
        <v>63</v>
      </c>
      <c r="I7445" s="13" t="s">
        <v>15347</v>
      </c>
      <c r="J7445" s="14" t="str">
        <f>HYPERLINK("https://www.boe.es/gazeta/dias/1839/07/17/pdfs/GMD-1839-1705.pdf#page=4","Abrir facsímil")</f>
        <v>Abrir facsímil</v>
      </c>
      <c r="K7445" s="12" t="s">
        <v>65</v>
      </c>
    </row>
    <row r="7446" spans="1:11" ht="40.049999999999997" customHeight="1" x14ac:dyDescent="0.25">
      <c r="A7446" s="11" t="s">
        <v>15329</v>
      </c>
      <c r="B7446" s="11" t="s">
        <v>15329</v>
      </c>
      <c r="C7446" s="11" t="s">
        <v>80</v>
      </c>
      <c r="D7446" s="11" t="s">
        <v>18</v>
      </c>
      <c r="E7446" s="12" t="s">
        <v>1725</v>
      </c>
      <c r="F7446" s="12" t="s">
        <v>1726</v>
      </c>
      <c r="G7446" s="12" t="s">
        <v>21</v>
      </c>
      <c r="H7446" s="11" t="s">
        <v>63</v>
      </c>
      <c r="I7446" s="13" t="s">
        <v>15348</v>
      </c>
      <c r="J7446" s="14" t="str">
        <f>HYPERLINK("https://www.boe.es/gazeta/dias/1839/11/17/pdfs/GMD-1839-1834.pdf#page=4","Abrir facsímil")</f>
        <v>Abrir facsímil</v>
      </c>
      <c r="K7446" s="12" t="s">
        <v>65</v>
      </c>
    </row>
    <row r="7447" spans="1:11" ht="40.049999999999997" customHeight="1" x14ac:dyDescent="0.25">
      <c r="A7447" s="11" t="s">
        <v>15329</v>
      </c>
      <c r="B7447" s="11" t="s">
        <v>15329</v>
      </c>
      <c r="C7447" s="11" t="s">
        <v>137</v>
      </c>
      <c r="D7447" s="11" t="s">
        <v>18</v>
      </c>
      <c r="E7447" s="12" t="s">
        <v>1072</v>
      </c>
      <c r="F7447" s="12" t="s">
        <v>1073</v>
      </c>
      <c r="G7447" s="12" t="s">
        <v>29</v>
      </c>
      <c r="H7447" s="11" t="s">
        <v>63</v>
      </c>
      <c r="I7447" s="13" t="s">
        <v>15349</v>
      </c>
      <c r="J7447" s="14" t="str">
        <f>HYPERLINK("https://www.boe.es/gazeta/dias/1839/01/18/pdfs/GMD-1839-1525.pdf#page=1","Abrir facsímil")</f>
        <v>Abrir facsímil</v>
      </c>
      <c r="K7447" s="12" t="s">
        <v>65</v>
      </c>
    </row>
    <row r="7448" spans="1:11" ht="40.049999999999997" customHeight="1" x14ac:dyDescent="0.25">
      <c r="A7448" s="11" t="s">
        <v>15329</v>
      </c>
      <c r="B7448" s="11" t="s">
        <v>15329</v>
      </c>
      <c r="C7448" s="11" t="s">
        <v>17</v>
      </c>
      <c r="D7448" s="11" t="s">
        <v>18</v>
      </c>
      <c r="E7448" s="12" t="s">
        <v>207</v>
      </c>
      <c r="F7448" s="12" t="s">
        <v>208</v>
      </c>
      <c r="G7448" s="12" t="s">
        <v>40</v>
      </c>
      <c r="H7448" s="11" t="s">
        <v>63</v>
      </c>
      <c r="I7448" s="13" t="s">
        <v>15350</v>
      </c>
      <c r="J7448" s="14" t="str">
        <f>HYPERLINK("https://www.boe.es/gazeta/dias/1839/02/19/pdfs/GMD-1839-1557.pdf#page=2","Abrir facsímil")</f>
        <v>Abrir facsímil</v>
      </c>
      <c r="K7448" s="12" t="s">
        <v>65</v>
      </c>
    </row>
    <row r="7449" spans="1:11" ht="40.049999999999997" customHeight="1" x14ac:dyDescent="0.25">
      <c r="A7449" s="11" t="s">
        <v>15329</v>
      </c>
      <c r="B7449" s="11" t="s">
        <v>15329</v>
      </c>
      <c r="C7449" s="11" t="s">
        <v>101</v>
      </c>
      <c r="D7449" s="11" t="s">
        <v>43</v>
      </c>
      <c r="E7449" s="12" t="s">
        <v>2069</v>
      </c>
      <c r="F7449" s="12" t="s">
        <v>2070</v>
      </c>
      <c r="G7449" s="12" t="s">
        <v>566</v>
      </c>
      <c r="H7449" s="11" t="s">
        <v>63</v>
      </c>
      <c r="I7449" s="13" t="s">
        <v>15351</v>
      </c>
      <c r="J7449" s="14" t="str">
        <f>HYPERLINK("https://www.boe.es/gazeta/dias/1839/10/20/pdfs/GMD-1839-1806.pdf#page=5","Abrir facsímil")</f>
        <v>Abrir facsímil</v>
      </c>
      <c r="K7449" s="12" t="s">
        <v>65</v>
      </c>
    </row>
    <row r="7450" spans="1:11" ht="40.049999999999997" customHeight="1" x14ac:dyDescent="0.25">
      <c r="A7450" s="11" t="s">
        <v>15329</v>
      </c>
      <c r="B7450" s="11" t="s">
        <v>15329</v>
      </c>
      <c r="C7450" s="11" t="s">
        <v>17</v>
      </c>
      <c r="D7450" s="11" t="s">
        <v>18</v>
      </c>
      <c r="E7450" s="12" t="s">
        <v>601</v>
      </c>
      <c r="F7450" s="12" t="s">
        <v>602</v>
      </c>
      <c r="G7450" s="12" t="s">
        <v>21</v>
      </c>
      <c r="H7450" s="11" t="s">
        <v>63</v>
      </c>
      <c r="I7450" s="13" t="s">
        <v>15352</v>
      </c>
      <c r="J7450" s="14" t="str">
        <f>HYPERLINK("https://www.boe.es/gazeta/dias/1839/04/21/pdfs/GMD-1839-1618.pdf#page=4","Abrir facsímil")</f>
        <v>Abrir facsímil</v>
      </c>
      <c r="K7450" s="12" t="s">
        <v>65</v>
      </c>
    </row>
    <row r="7451" spans="1:11" ht="40.049999999999997" customHeight="1" x14ac:dyDescent="0.25">
      <c r="A7451" s="11" t="s">
        <v>15329</v>
      </c>
      <c r="B7451" s="11" t="s">
        <v>15329</v>
      </c>
      <c r="C7451" s="11" t="s">
        <v>17</v>
      </c>
      <c r="D7451" s="11" t="s">
        <v>18</v>
      </c>
      <c r="E7451" s="12" t="s">
        <v>496</v>
      </c>
      <c r="F7451" s="12" t="s">
        <v>497</v>
      </c>
      <c r="G7451" s="12" t="s">
        <v>46</v>
      </c>
      <c r="H7451" s="11" t="s">
        <v>63</v>
      </c>
      <c r="I7451" s="13" t="s">
        <v>15353</v>
      </c>
      <c r="J7451" s="14" t="str">
        <f>HYPERLINK("https://www.boe.es/gazeta/dias/1839/11/23/pdfs/GMD-1839-1840.pdf#page=3","Abrir facsímil")</f>
        <v>Abrir facsímil</v>
      </c>
      <c r="K7451" s="12" t="s">
        <v>65</v>
      </c>
    </row>
    <row r="7452" spans="1:11" ht="40.049999999999997" customHeight="1" x14ac:dyDescent="0.25">
      <c r="A7452" s="11" t="s">
        <v>15329</v>
      </c>
      <c r="B7452" s="11" t="s">
        <v>15329</v>
      </c>
      <c r="C7452" s="11" t="s">
        <v>17</v>
      </c>
      <c r="D7452" s="11" t="s">
        <v>43</v>
      </c>
      <c r="E7452" s="12" t="s">
        <v>1588</v>
      </c>
      <c r="F7452" s="12" t="s">
        <v>1589</v>
      </c>
      <c r="G7452" s="12" t="s">
        <v>21</v>
      </c>
      <c r="H7452" s="11" t="s">
        <v>63</v>
      </c>
      <c r="I7452" s="13" t="s">
        <v>15354</v>
      </c>
      <c r="J7452" s="14" t="str">
        <f>HYPERLINK("https://www.boe.es/gazeta/dias/1839/07/27/pdfs/GMD-1839-1716.pdf#page=4","Abrir facsímil")</f>
        <v>Abrir facsímil</v>
      </c>
      <c r="K7452" s="12" t="s">
        <v>65</v>
      </c>
    </row>
    <row r="7453" spans="1:11" ht="40.049999999999997" customHeight="1" x14ac:dyDescent="0.25">
      <c r="A7453" s="11" t="s">
        <v>15355</v>
      </c>
      <c r="B7453" s="11" t="s">
        <v>15356</v>
      </c>
      <c r="C7453" s="11" t="s">
        <v>17</v>
      </c>
      <c r="D7453" s="11" t="s">
        <v>18</v>
      </c>
      <c r="E7453" s="12" t="s">
        <v>1388</v>
      </c>
      <c r="F7453" s="12" t="s">
        <v>1389</v>
      </c>
      <c r="G7453" s="12" t="s">
        <v>21</v>
      </c>
      <c r="H7453" s="11" t="s">
        <v>22</v>
      </c>
      <c r="I7453" s="13" t="s">
        <v>15357</v>
      </c>
      <c r="J7453" s="14" t="str">
        <f>HYPERLINK("https://www.boe.es/gazeta/dias/1839/06/04/pdfs/GMD-1839-1662.pdf#page=4","Abrir facsímil")</f>
        <v>Abrir facsímil</v>
      </c>
      <c r="K7453" s="12" t="s">
        <v>24</v>
      </c>
    </row>
    <row r="7454" spans="1:11" ht="40.049999999999997" customHeight="1" x14ac:dyDescent="0.25">
      <c r="A7454" s="11" t="s">
        <v>15355</v>
      </c>
      <c r="B7454" s="11" t="s">
        <v>15356</v>
      </c>
      <c r="C7454" s="11" t="s">
        <v>59</v>
      </c>
      <c r="D7454" s="11" t="s">
        <v>60</v>
      </c>
      <c r="E7454" s="12" t="s">
        <v>1528</v>
      </c>
      <c r="F7454" s="12" t="s">
        <v>1529</v>
      </c>
      <c r="G7454" s="12" t="s">
        <v>46</v>
      </c>
      <c r="H7454" s="11" t="s">
        <v>22</v>
      </c>
      <c r="I7454" s="13" t="s">
        <v>15358</v>
      </c>
      <c r="J7454" s="14" t="str">
        <f>HYPERLINK("https://www.boe.es/gazeta/dias/1839/12/15/pdfs/GMD-1839-1862.pdf#page=3","Abrir facsímil")</f>
        <v>Abrir facsímil</v>
      </c>
      <c r="K7454" s="12" t="s">
        <v>24</v>
      </c>
    </row>
    <row r="7455" spans="1:11" ht="40.049999999999997" customHeight="1" x14ac:dyDescent="0.25">
      <c r="A7455" s="11" t="s">
        <v>15355</v>
      </c>
      <c r="B7455" s="11" t="s">
        <v>15356</v>
      </c>
      <c r="C7455" s="11" t="s">
        <v>101</v>
      </c>
      <c r="D7455" s="11" t="s">
        <v>43</v>
      </c>
      <c r="E7455" s="12" t="s">
        <v>992</v>
      </c>
      <c r="F7455" s="12" t="s">
        <v>993</v>
      </c>
      <c r="G7455" s="12" t="s">
        <v>21</v>
      </c>
      <c r="H7455" s="11" t="s">
        <v>22</v>
      </c>
      <c r="I7455" s="13" t="s">
        <v>15359</v>
      </c>
      <c r="J7455" s="14" t="str">
        <f>HYPERLINK("https://www.boe.es/gazeta/dias/1839/02/18/pdfs/GMD-1839-1556.pdf#page=4","Abrir facsímil")</f>
        <v>Abrir facsímil</v>
      </c>
      <c r="K7455" s="12" t="s">
        <v>24</v>
      </c>
    </row>
    <row r="7456" spans="1:11" ht="40.049999999999997" customHeight="1" x14ac:dyDescent="0.25">
      <c r="A7456" s="11" t="s">
        <v>15355</v>
      </c>
      <c r="B7456" s="11" t="s">
        <v>15356</v>
      </c>
      <c r="C7456" s="11" t="s">
        <v>137</v>
      </c>
      <c r="D7456" s="11" t="s">
        <v>18</v>
      </c>
      <c r="E7456" s="12" t="s">
        <v>19</v>
      </c>
      <c r="F7456" s="12" t="s">
        <v>20</v>
      </c>
      <c r="G7456" s="12" t="s">
        <v>46</v>
      </c>
      <c r="H7456" s="11" t="s">
        <v>22</v>
      </c>
      <c r="I7456" s="13" t="s">
        <v>15360</v>
      </c>
      <c r="J7456" s="14" t="str">
        <f>HYPERLINK("https://www.boe.es/gazeta/dias/1839/01/19/pdfs/GMD-1839-1526.pdf#page=3","Abrir facsímil")</f>
        <v>Abrir facsímil</v>
      </c>
      <c r="K7456" s="12" t="s">
        <v>24</v>
      </c>
    </row>
    <row r="7457" spans="1:11" ht="40.049999999999997" customHeight="1" x14ac:dyDescent="0.25">
      <c r="A7457" s="11" t="s">
        <v>15355</v>
      </c>
      <c r="B7457" s="11" t="s">
        <v>15356</v>
      </c>
      <c r="C7457" s="11" t="s">
        <v>17</v>
      </c>
      <c r="D7457" s="11" t="s">
        <v>18</v>
      </c>
      <c r="E7457" s="12" t="s">
        <v>462</v>
      </c>
      <c r="F7457" s="12" t="s">
        <v>463</v>
      </c>
      <c r="G7457" s="12" t="s">
        <v>46</v>
      </c>
      <c r="H7457" s="11" t="s">
        <v>22</v>
      </c>
      <c r="I7457" s="13" t="s">
        <v>15361</v>
      </c>
      <c r="J7457" s="14" t="str">
        <f>HYPERLINK("https://www.boe.es/gazeta/dias/1839/06/19/pdfs/GMD-1839-1677.pdf#page=3","Abrir facsímil")</f>
        <v>Abrir facsímil</v>
      </c>
      <c r="K7457" s="12" t="s">
        <v>24</v>
      </c>
    </row>
    <row r="7458" spans="1:11" ht="40.049999999999997" customHeight="1" x14ac:dyDescent="0.25">
      <c r="A7458" s="11" t="s">
        <v>15355</v>
      </c>
      <c r="B7458" s="11" t="s">
        <v>15356</v>
      </c>
      <c r="C7458" s="11" t="s">
        <v>17</v>
      </c>
      <c r="D7458" s="11" t="s">
        <v>18</v>
      </c>
      <c r="E7458" s="12" t="s">
        <v>375</v>
      </c>
      <c r="F7458" s="12" t="s">
        <v>376</v>
      </c>
      <c r="G7458" s="12" t="s">
        <v>21</v>
      </c>
      <c r="H7458" s="11" t="s">
        <v>22</v>
      </c>
      <c r="I7458" s="13" t="s">
        <v>15362</v>
      </c>
      <c r="J7458" s="14" t="str">
        <f>HYPERLINK("https://www.boe.es/gazeta/dias/1839/11/25/pdfs/GMD-1839-1842.pdf#page=4","Abrir facsímil")</f>
        <v>Abrir facsímil</v>
      </c>
      <c r="K7458" s="12" t="s">
        <v>24</v>
      </c>
    </row>
    <row r="7459" spans="1:11" ht="40.049999999999997" customHeight="1" x14ac:dyDescent="0.25">
      <c r="A7459" s="11" t="s">
        <v>15355</v>
      </c>
      <c r="B7459" s="11" t="s">
        <v>15356</v>
      </c>
      <c r="C7459" s="11" t="s">
        <v>17</v>
      </c>
      <c r="D7459" s="11" t="s">
        <v>18</v>
      </c>
      <c r="E7459" s="12" t="s">
        <v>1395</v>
      </c>
      <c r="F7459" s="12" t="s">
        <v>1396</v>
      </c>
      <c r="G7459" s="12" t="s">
        <v>21</v>
      </c>
      <c r="H7459" s="11" t="s">
        <v>22</v>
      </c>
      <c r="I7459" s="13" t="s">
        <v>15363</v>
      </c>
      <c r="J7459" s="14" t="str">
        <f>HYPERLINK("https://www.boe.es/gazeta/dias/1839/06/26/pdfs/GMD-1839-1684.pdf#page=4","Abrir facsímil")</f>
        <v>Abrir facsímil</v>
      </c>
      <c r="K7459" s="12" t="s">
        <v>24</v>
      </c>
    </row>
    <row r="7460" spans="1:11" ht="40.049999999999997" customHeight="1" x14ac:dyDescent="0.25">
      <c r="A7460" s="11" t="s">
        <v>15355</v>
      </c>
      <c r="B7460" s="11" t="s">
        <v>15356</v>
      </c>
      <c r="C7460" s="11" t="s">
        <v>17</v>
      </c>
      <c r="D7460" s="11" t="s">
        <v>18</v>
      </c>
      <c r="E7460" s="12" t="s">
        <v>1159</v>
      </c>
      <c r="F7460" s="12" t="s">
        <v>1160</v>
      </c>
      <c r="G7460" s="12" t="s">
        <v>21</v>
      </c>
      <c r="H7460" s="11" t="s">
        <v>22</v>
      </c>
      <c r="I7460" s="13" t="s">
        <v>15364</v>
      </c>
      <c r="J7460" s="14" t="str">
        <f>HYPERLINK("https://www.boe.es/gazeta/dias/1839/11/26/pdfs/GMD-1839-1843.pdf#page=4","Abrir facsímil")</f>
        <v>Abrir facsímil</v>
      </c>
      <c r="K7460" s="12" t="s">
        <v>24</v>
      </c>
    </row>
    <row r="7461" spans="1:11" ht="40.049999999999997" customHeight="1" x14ac:dyDescent="0.25">
      <c r="A7461" s="11" t="s">
        <v>15355</v>
      </c>
      <c r="B7461" s="11" t="s">
        <v>15356</v>
      </c>
      <c r="C7461" s="11" t="s">
        <v>17</v>
      </c>
      <c r="D7461" s="11" t="s">
        <v>18</v>
      </c>
      <c r="E7461" s="12" t="s">
        <v>817</v>
      </c>
      <c r="F7461" s="12" t="s">
        <v>818</v>
      </c>
      <c r="G7461" s="12" t="s">
        <v>40</v>
      </c>
      <c r="H7461" s="11" t="s">
        <v>22</v>
      </c>
      <c r="I7461" s="13" t="s">
        <v>15365</v>
      </c>
      <c r="J7461" s="14" t="str">
        <f>HYPERLINK("https://www.boe.es/gazeta/dias/1839/05/28/pdfs/GMD-1839-1655.pdf#page=2","Abrir facsímil")</f>
        <v>Abrir facsímil</v>
      </c>
      <c r="K7461" s="12" t="s">
        <v>24</v>
      </c>
    </row>
    <row r="7462" spans="1:11" ht="40.049999999999997" customHeight="1" x14ac:dyDescent="0.25">
      <c r="A7462" s="11" t="s">
        <v>15355</v>
      </c>
      <c r="B7462" s="11" t="s">
        <v>15356</v>
      </c>
      <c r="C7462" s="11" t="s">
        <v>17</v>
      </c>
      <c r="D7462" s="11" t="s">
        <v>18</v>
      </c>
      <c r="E7462" s="12" t="s">
        <v>1988</v>
      </c>
      <c r="F7462" s="12" t="s">
        <v>1989</v>
      </c>
      <c r="G7462" s="12" t="s">
        <v>46</v>
      </c>
      <c r="H7462" s="11" t="s">
        <v>22</v>
      </c>
      <c r="I7462" s="13" t="s">
        <v>15366</v>
      </c>
      <c r="J7462" s="14" t="str">
        <f>HYPERLINK("https://www.boe.es/gazeta/dias/1839/10/29/pdfs/GMD-1839-1815.pdf#page=3","Abrir facsímil")</f>
        <v>Abrir facsímil</v>
      </c>
      <c r="K7462" s="12" t="s">
        <v>24</v>
      </c>
    </row>
    <row r="7463" spans="1:11" ht="40.049999999999997" customHeight="1" x14ac:dyDescent="0.25">
      <c r="A7463" s="11" t="s">
        <v>15367</v>
      </c>
      <c r="B7463" s="11" t="s">
        <v>15368</v>
      </c>
      <c r="C7463" s="11" t="s">
        <v>80</v>
      </c>
      <c r="D7463" s="11" t="s">
        <v>18</v>
      </c>
      <c r="E7463" s="12" t="s">
        <v>1509</v>
      </c>
      <c r="F7463" s="12" t="s">
        <v>1510</v>
      </c>
      <c r="G7463" s="12" t="s">
        <v>566</v>
      </c>
      <c r="H7463" s="11" t="s">
        <v>22</v>
      </c>
      <c r="I7463" s="13" t="s">
        <v>15369</v>
      </c>
      <c r="J7463" s="14" t="str">
        <f>HYPERLINK("https://www.boe.es/gazeta/dias/1839/10/07/pdfs/GMD-1839-1793.pdf#page=5","Abrir facsímil")</f>
        <v>Abrir facsímil</v>
      </c>
      <c r="K7463" s="12" t="s">
        <v>24</v>
      </c>
    </row>
    <row r="7464" spans="1:11" ht="40.049999999999997" customHeight="1" x14ac:dyDescent="0.25">
      <c r="A7464" s="11" t="s">
        <v>15370</v>
      </c>
      <c r="B7464" s="11" t="s">
        <v>15371</v>
      </c>
      <c r="C7464" s="11" t="s">
        <v>59</v>
      </c>
      <c r="D7464" s="11" t="s">
        <v>60</v>
      </c>
      <c r="E7464" s="12" t="s">
        <v>3391</v>
      </c>
      <c r="F7464" s="12" t="s">
        <v>3392</v>
      </c>
      <c r="G7464" s="12" t="s">
        <v>21</v>
      </c>
      <c r="H7464" s="11" t="s">
        <v>63</v>
      </c>
      <c r="I7464" s="13" t="s">
        <v>15372</v>
      </c>
      <c r="J7464" s="14" t="str">
        <f>HYPERLINK("https://www.boe.es/gazeta/dias/1839/12/31/pdfs/GMD-1839-1878.pdf#page=4","Abrir facsímil")</f>
        <v>Abrir facsímil</v>
      </c>
      <c r="K7464" s="12" t="s">
        <v>65</v>
      </c>
    </row>
    <row r="7465" spans="1:11" ht="40.049999999999997" customHeight="1" x14ac:dyDescent="0.25">
      <c r="A7465" s="11" t="s">
        <v>15373</v>
      </c>
      <c r="B7465" s="11" t="s">
        <v>15374</v>
      </c>
      <c r="C7465" s="11" t="s">
        <v>17</v>
      </c>
      <c r="D7465" s="11" t="s">
        <v>18</v>
      </c>
      <c r="E7465" s="12" t="s">
        <v>433</v>
      </c>
      <c r="F7465" s="12" t="s">
        <v>434</v>
      </c>
      <c r="G7465" s="12" t="s">
        <v>46</v>
      </c>
      <c r="H7465" s="11" t="s">
        <v>22</v>
      </c>
      <c r="I7465" s="13" t="s">
        <v>15375</v>
      </c>
      <c r="J7465" s="14" t="str">
        <f>HYPERLINK("https://www.boe.es/gazeta/dias/1839/01/20/pdfs/GMD-1839-1527.pdf#page=3","Abrir facsímil")</f>
        <v>Abrir facsímil</v>
      </c>
      <c r="K7465" s="12" t="s">
        <v>24</v>
      </c>
    </row>
    <row r="7466" spans="1:11" ht="40.049999999999997" customHeight="1" x14ac:dyDescent="0.25">
      <c r="A7466" s="11" t="s">
        <v>15376</v>
      </c>
      <c r="B7466" s="11" t="s">
        <v>15376</v>
      </c>
      <c r="C7466" s="11" t="s">
        <v>17</v>
      </c>
      <c r="D7466" s="11" t="s">
        <v>18</v>
      </c>
      <c r="E7466" s="12" t="s">
        <v>1460</v>
      </c>
      <c r="F7466" s="12" t="s">
        <v>1461</v>
      </c>
      <c r="G7466" s="12" t="s">
        <v>46</v>
      </c>
      <c r="H7466" s="11" t="s">
        <v>63</v>
      </c>
      <c r="I7466" s="13" t="s">
        <v>15377</v>
      </c>
      <c r="J7466" s="14" t="str">
        <f>HYPERLINK("https://www.boe.es/gazeta/dias/1839/03/01/pdfs/GMD-1839-1567.pdf#page=3","Abrir facsímil")</f>
        <v>Abrir facsímil</v>
      </c>
      <c r="K7466" s="12" t="s">
        <v>65</v>
      </c>
    </row>
    <row r="7467" spans="1:11" ht="40.049999999999997" customHeight="1" x14ac:dyDescent="0.25">
      <c r="A7467" s="11" t="s">
        <v>15376</v>
      </c>
      <c r="B7467" s="11" t="s">
        <v>15376</v>
      </c>
      <c r="C7467" s="11" t="s">
        <v>17</v>
      </c>
      <c r="D7467" s="11" t="s">
        <v>18</v>
      </c>
      <c r="E7467" s="12" t="s">
        <v>2839</v>
      </c>
      <c r="F7467" s="12" t="s">
        <v>2840</v>
      </c>
      <c r="G7467" s="12" t="s">
        <v>21</v>
      </c>
      <c r="H7467" s="11" t="s">
        <v>63</v>
      </c>
      <c r="I7467" s="13" t="s">
        <v>15378</v>
      </c>
      <c r="J7467" s="14" t="str">
        <f>HYPERLINK("https://www.boe.es/gazeta/dias/1839/03/06/pdfs/GMD-1839-1572.pdf#page=4","Abrir facsímil")</f>
        <v>Abrir facsímil</v>
      </c>
      <c r="K7467" s="12" t="s">
        <v>65</v>
      </c>
    </row>
    <row r="7468" spans="1:11" ht="40.049999999999997" customHeight="1" x14ac:dyDescent="0.25">
      <c r="A7468" s="11" t="s">
        <v>15376</v>
      </c>
      <c r="B7468" s="11" t="s">
        <v>15376</v>
      </c>
      <c r="C7468" s="11" t="s">
        <v>17</v>
      </c>
      <c r="D7468" s="11" t="s">
        <v>18</v>
      </c>
      <c r="E7468" s="12" t="s">
        <v>299</v>
      </c>
      <c r="F7468" s="12" t="s">
        <v>300</v>
      </c>
      <c r="G7468" s="12" t="s">
        <v>29</v>
      </c>
      <c r="H7468" s="11" t="s">
        <v>63</v>
      </c>
      <c r="I7468" s="13" t="s">
        <v>15379</v>
      </c>
      <c r="J7468" s="14" t="str">
        <f>HYPERLINK("https://www.boe.es/gazeta/dias/1839/02/14/pdfs/GMD-1839-1552.pdf#page=1","Abrir facsímil")</f>
        <v>Abrir facsímil</v>
      </c>
      <c r="K7468" s="12" t="s">
        <v>65</v>
      </c>
    </row>
    <row r="7469" spans="1:11" ht="40.049999999999997" customHeight="1" x14ac:dyDescent="0.25">
      <c r="A7469" s="11" t="s">
        <v>15380</v>
      </c>
      <c r="B7469" s="11" t="s">
        <v>15381</v>
      </c>
      <c r="C7469" s="11" t="s">
        <v>17</v>
      </c>
      <c r="D7469" s="11" t="s">
        <v>18</v>
      </c>
      <c r="E7469" s="12" t="s">
        <v>207</v>
      </c>
      <c r="F7469" s="12" t="s">
        <v>208</v>
      </c>
      <c r="G7469" s="12" t="s">
        <v>40</v>
      </c>
      <c r="H7469" s="11" t="s">
        <v>63</v>
      </c>
      <c r="I7469" s="13" t="s">
        <v>15382</v>
      </c>
      <c r="J7469" s="14" t="str">
        <f>HYPERLINK("https://www.boe.es/gazeta/dias/1839/02/19/pdfs/GMD-1839-1557.pdf#page=2","Abrir facsímil")</f>
        <v>Abrir facsímil</v>
      </c>
      <c r="K7469" s="12" t="s">
        <v>65</v>
      </c>
    </row>
    <row r="7470" spans="1:11" ht="40.049999999999997" customHeight="1" x14ac:dyDescent="0.25">
      <c r="A7470" s="11" t="s">
        <v>15383</v>
      </c>
      <c r="B7470" s="11" t="s">
        <v>15383</v>
      </c>
      <c r="C7470" s="11" t="s">
        <v>101</v>
      </c>
      <c r="D7470" s="11" t="s">
        <v>43</v>
      </c>
      <c r="E7470" s="12" t="s">
        <v>68</v>
      </c>
      <c r="F7470" s="12" t="s">
        <v>69</v>
      </c>
      <c r="G7470" s="12" t="s">
        <v>40</v>
      </c>
      <c r="H7470" s="11" t="s">
        <v>63</v>
      </c>
      <c r="I7470" s="13" t="s">
        <v>15384</v>
      </c>
      <c r="J7470" s="14" t="str">
        <f>HYPERLINK("https://www.boe.es/gazeta/dias/1839/02/09/pdfs/GMD-1839-1547.pdf#page=2","Abrir facsímil")</f>
        <v>Abrir facsímil</v>
      </c>
      <c r="K7470" s="12" t="s">
        <v>65</v>
      </c>
    </row>
    <row r="7471" spans="1:11" ht="40.049999999999997" customHeight="1" x14ac:dyDescent="0.25">
      <c r="A7471" s="11" t="s">
        <v>15385</v>
      </c>
      <c r="B7471" s="11" t="s">
        <v>15386</v>
      </c>
      <c r="C7471" s="11" t="s">
        <v>137</v>
      </c>
      <c r="D7471" s="11" t="s">
        <v>18</v>
      </c>
      <c r="E7471" s="12" t="s">
        <v>381</v>
      </c>
      <c r="F7471" s="12" t="s">
        <v>382</v>
      </c>
      <c r="G7471" s="12" t="s">
        <v>29</v>
      </c>
      <c r="H7471" s="11" t="s">
        <v>63</v>
      </c>
      <c r="I7471" s="13" t="s">
        <v>15387</v>
      </c>
      <c r="J7471" s="14" t="str">
        <f>HYPERLINK("https://www.boe.es/gazeta/dias/1839/06/02/pdfs/GMD-1839-1660.pdf#page=1","Abrir facsímil")</f>
        <v>Abrir facsímil</v>
      </c>
      <c r="K7471" s="12" t="s">
        <v>65</v>
      </c>
    </row>
    <row r="7472" spans="1:11" ht="40.049999999999997" customHeight="1" x14ac:dyDescent="0.25">
      <c r="A7472" s="11" t="s">
        <v>15385</v>
      </c>
      <c r="B7472" s="11" t="s">
        <v>15386</v>
      </c>
      <c r="C7472" s="11" t="s">
        <v>17</v>
      </c>
      <c r="D7472" s="11" t="s">
        <v>18</v>
      </c>
      <c r="E7472" s="12" t="s">
        <v>2482</v>
      </c>
      <c r="F7472" s="12" t="s">
        <v>2483</v>
      </c>
      <c r="G7472" s="12" t="s">
        <v>29</v>
      </c>
      <c r="H7472" s="11" t="s">
        <v>63</v>
      </c>
      <c r="I7472" s="13" t="s">
        <v>15388</v>
      </c>
      <c r="J7472" s="14" t="str">
        <f>HYPERLINK("https://www.boe.es/gazeta/dias/1839/07/07/pdfs/GMD-1839-1695.pdf#page=1","Abrir facsímil")</f>
        <v>Abrir facsímil</v>
      </c>
      <c r="K7472" s="12" t="s">
        <v>65</v>
      </c>
    </row>
    <row r="7473" spans="1:11" ht="40.049999999999997" customHeight="1" x14ac:dyDescent="0.25">
      <c r="A7473" s="11" t="s">
        <v>15385</v>
      </c>
      <c r="B7473" s="11" t="s">
        <v>15386</v>
      </c>
      <c r="C7473" s="11" t="s">
        <v>17</v>
      </c>
      <c r="D7473" s="11" t="s">
        <v>18</v>
      </c>
      <c r="E7473" s="12" t="s">
        <v>2050</v>
      </c>
      <c r="F7473" s="12" t="s">
        <v>2051</v>
      </c>
      <c r="G7473" s="12" t="s">
        <v>29</v>
      </c>
      <c r="H7473" s="11" t="s">
        <v>63</v>
      </c>
      <c r="I7473" s="13" t="s">
        <v>15389</v>
      </c>
      <c r="J7473" s="14" t="str">
        <f>HYPERLINK("https://www.boe.es/gazeta/dias/1839/01/09/pdfs/GMD-1839-1516.pdf#page=1","Abrir facsímil")</f>
        <v>Abrir facsímil</v>
      </c>
      <c r="K7473" s="12" t="s">
        <v>65</v>
      </c>
    </row>
    <row r="7474" spans="1:11" ht="40.049999999999997" customHeight="1" x14ac:dyDescent="0.25">
      <c r="A7474" s="11" t="s">
        <v>15385</v>
      </c>
      <c r="B7474" s="11" t="s">
        <v>15386</v>
      </c>
      <c r="C7474" s="11" t="s">
        <v>17</v>
      </c>
      <c r="D7474" s="11" t="s">
        <v>18</v>
      </c>
      <c r="E7474" s="12" t="s">
        <v>992</v>
      </c>
      <c r="F7474" s="12" t="s">
        <v>993</v>
      </c>
      <c r="G7474" s="12" t="s">
        <v>29</v>
      </c>
      <c r="H7474" s="11" t="s">
        <v>63</v>
      </c>
      <c r="I7474" s="13" t="s">
        <v>15390</v>
      </c>
      <c r="J7474" s="14" t="str">
        <f>HYPERLINK("https://www.boe.es/gazeta/dias/1839/02/18/pdfs/GMD-1839-1556.pdf#page=1","Abrir facsímil")</f>
        <v>Abrir facsímil</v>
      </c>
      <c r="K7474" s="12" t="s">
        <v>65</v>
      </c>
    </row>
    <row r="7475" spans="1:11" ht="40.049999999999997" customHeight="1" x14ac:dyDescent="0.25">
      <c r="A7475" s="11" t="s">
        <v>15385</v>
      </c>
      <c r="B7475" s="11" t="s">
        <v>15386</v>
      </c>
      <c r="C7475" s="11" t="s">
        <v>59</v>
      </c>
      <c r="D7475" s="11" t="s">
        <v>60</v>
      </c>
      <c r="E7475" s="12" t="s">
        <v>19</v>
      </c>
      <c r="F7475" s="12" t="s">
        <v>20</v>
      </c>
      <c r="G7475" s="12" t="s">
        <v>29</v>
      </c>
      <c r="H7475" s="11" t="s">
        <v>63</v>
      </c>
      <c r="I7475" s="13" t="s">
        <v>15391</v>
      </c>
      <c r="J7475" s="14" t="str">
        <f>HYPERLINK("https://www.boe.es/gazeta/dias/1839/01/19/pdfs/GMD-1839-1526.pdf#page=1","Abrir facsímil")</f>
        <v>Abrir facsímil</v>
      </c>
      <c r="K7475" s="12" t="s">
        <v>65</v>
      </c>
    </row>
    <row r="7476" spans="1:11" ht="40.049999999999997" customHeight="1" x14ac:dyDescent="0.25">
      <c r="A7476" s="11" t="s">
        <v>15385</v>
      </c>
      <c r="B7476" s="11" t="s">
        <v>15386</v>
      </c>
      <c r="C7476" s="11" t="s">
        <v>137</v>
      </c>
      <c r="D7476" s="11" t="s">
        <v>18</v>
      </c>
      <c r="E7476" s="12" t="s">
        <v>1794</v>
      </c>
      <c r="F7476" s="12" t="s">
        <v>1795</v>
      </c>
      <c r="G7476" s="12" t="s">
        <v>29</v>
      </c>
      <c r="H7476" s="11" t="s">
        <v>63</v>
      </c>
      <c r="I7476" s="13" t="s">
        <v>15392</v>
      </c>
      <c r="J7476" s="14" t="str">
        <f>HYPERLINK("https://www.boe.es/gazeta/dias/1839/02/22/pdfs/GMD-1839-1560.pdf#page=1","Abrir facsímil")</f>
        <v>Abrir facsímil</v>
      </c>
      <c r="K7476" s="12" t="s">
        <v>65</v>
      </c>
    </row>
    <row r="7477" spans="1:11" ht="40.049999999999997" customHeight="1" x14ac:dyDescent="0.25">
      <c r="A7477" s="11" t="s">
        <v>15385</v>
      </c>
      <c r="B7477" s="11" t="s">
        <v>15386</v>
      </c>
      <c r="C7477" s="11" t="s">
        <v>17</v>
      </c>
      <c r="D7477" s="11" t="s">
        <v>18</v>
      </c>
      <c r="E7477" s="12" t="s">
        <v>926</v>
      </c>
      <c r="F7477" s="12" t="s">
        <v>927</v>
      </c>
      <c r="G7477" s="12" t="s">
        <v>29</v>
      </c>
      <c r="H7477" s="11" t="s">
        <v>63</v>
      </c>
      <c r="I7477" s="13" t="s">
        <v>15393</v>
      </c>
      <c r="J7477" s="14" t="str">
        <f>HYPERLINK("https://www.boe.es/gazeta/dias/1839/01/25/pdfs/GMD-1839-1532.pdf#page=1","Abrir facsímil")</f>
        <v>Abrir facsímil</v>
      </c>
      <c r="K7477" s="12" t="s">
        <v>65</v>
      </c>
    </row>
    <row r="7478" spans="1:11" ht="40.049999999999997" customHeight="1" x14ac:dyDescent="0.25">
      <c r="A7478" s="11" t="s">
        <v>15385</v>
      </c>
      <c r="B7478" s="11" t="s">
        <v>15386</v>
      </c>
      <c r="C7478" s="11" t="s">
        <v>101</v>
      </c>
      <c r="D7478" s="11" t="s">
        <v>43</v>
      </c>
      <c r="E7478" s="12" t="s">
        <v>284</v>
      </c>
      <c r="F7478" s="12" t="s">
        <v>285</v>
      </c>
      <c r="G7478" s="12" t="s">
        <v>29</v>
      </c>
      <c r="H7478" s="11" t="s">
        <v>63</v>
      </c>
      <c r="I7478" s="13" t="s">
        <v>15394</v>
      </c>
      <c r="J7478" s="14" t="str">
        <f>HYPERLINK("https://www.boe.es/gazeta/dias/1839/01/27/pdfs/GMD-1839-1534.pdf#page=1","Abrir facsímil")</f>
        <v>Abrir facsímil</v>
      </c>
      <c r="K7478" s="12" t="s">
        <v>65</v>
      </c>
    </row>
    <row r="7479" spans="1:11" ht="40.049999999999997" customHeight="1" x14ac:dyDescent="0.25">
      <c r="A7479" s="11" t="s">
        <v>15385</v>
      </c>
      <c r="B7479" s="11" t="s">
        <v>15386</v>
      </c>
      <c r="C7479" s="11" t="s">
        <v>17</v>
      </c>
      <c r="D7479" s="11" t="s">
        <v>18</v>
      </c>
      <c r="E7479" s="12" t="s">
        <v>1685</v>
      </c>
      <c r="F7479" s="12" t="s">
        <v>1686</v>
      </c>
      <c r="G7479" s="12" t="s">
        <v>29</v>
      </c>
      <c r="H7479" s="11" t="s">
        <v>63</v>
      </c>
      <c r="I7479" s="13" t="s">
        <v>15395</v>
      </c>
      <c r="J7479" s="14" t="str">
        <f>HYPERLINK("https://www.boe.es/gazeta/dias/1839/04/27/pdfs/GMD-1839-1624.pdf#page=1","Abrir facsímil")</f>
        <v>Abrir facsímil</v>
      </c>
      <c r="K7479" s="12" t="s">
        <v>65</v>
      </c>
    </row>
    <row r="7480" spans="1:11" ht="40.049999999999997" customHeight="1" x14ac:dyDescent="0.25">
      <c r="A7480" s="11" t="s">
        <v>15385</v>
      </c>
      <c r="B7480" s="11" t="s">
        <v>15386</v>
      </c>
      <c r="C7480" s="11" t="s">
        <v>101</v>
      </c>
      <c r="D7480" s="11" t="s">
        <v>43</v>
      </c>
      <c r="E7480" s="12" t="s">
        <v>1551</v>
      </c>
      <c r="F7480" s="12" t="s">
        <v>1552</v>
      </c>
      <c r="G7480" s="12" t="s">
        <v>29</v>
      </c>
      <c r="H7480" s="11" t="s">
        <v>63</v>
      </c>
      <c r="I7480" s="13" t="s">
        <v>15396</v>
      </c>
      <c r="J7480" s="14" t="str">
        <f>HYPERLINK("https://www.boe.es/gazeta/dias/1839/06/30/pdfs/GMD-1839-1688.pdf#page=1","Abrir facsímil")</f>
        <v>Abrir facsímil</v>
      </c>
      <c r="K7480" s="12" t="s">
        <v>65</v>
      </c>
    </row>
    <row r="7481" spans="1:11" ht="40.049999999999997" customHeight="1" x14ac:dyDescent="0.25">
      <c r="A7481" s="11" t="s">
        <v>15385</v>
      </c>
      <c r="B7481" s="11" t="s">
        <v>15386</v>
      </c>
      <c r="C7481" s="11" t="s">
        <v>17</v>
      </c>
      <c r="D7481" s="11" t="s">
        <v>18</v>
      </c>
      <c r="E7481" s="12" t="s">
        <v>929</v>
      </c>
      <c r="F7481" s="12" t="s">
        <v>930</v>
      </c>
      <c r="G7481" s="12" t="s">
        <v>29</v>
      </c>
      <c r="H7481" s="11" t="s">
        <v>63</v>
      </c>
      <c r="I7481" s="13" t="s">
        <v>15397</v>
      </c>
      <c r="J7481" s="14" t="str">
        <f>HYPERLINK("https://www.boe.es/gazeta/dias/1839/01/31/pdfs/GMD-1839-1538.pdf#page=1","Abrir facsímil")</f>
        <v>Abrir facsímil</v>
      </c>
      <c r="K7481" s="12" t="s">
        <v>65</v>
      </c>
    </row>
    <row r="7482" spans="1:11" ht="40.049999999999997" customHeight="1" x14ac:dyDescent="0.25">
      <c r="A7482" s="11" t="s">
        <v>15398</v>
      </c>
      <c r="B7482" s="11" t="s">
        <v>15399</v>
      </c>
      <c r="C7482" s="11" t="s">
        <v>17</v>
      </c>
      <c r="D7482" s="11" t="s">
        <v>18</v>
      </c>
      <c r="E7482" s="12" t="s">
        <v>998</v>
      </c>
      <c r="F7482" s="12" t="s">
        <v>999</v>
      </c>
      <c r="G7482" s="12" t="s">
        <v>29</v>
      </c>
      <c r="H7482" s="11" t="s">
        <v>63</v>
      </c>
      <c r="I7482" s="13" t="s">
        <v>15400</v>
      </c>
      <c r="J7482" s="14" t="str">
        <f>HYPERLINK("https://www.boe.es/gazeta/dias/1839/05/06/pdfs/GMD-1839-1633.pdf#page=1","Abrir facsímil")</f>
        <v>Abrir facsímil</v>
      </c>
      <c r="K7482" s="12" t="s">
        <v>65</v>
      </c>
    </row>
    <row r="7483" spans="1:11" ht="40.049999999999997" customHeight="1" x14ac:dyDescent="0.25">
      <c r="A7483" s="11" t="s">
        <v>15398</v>
      </c>
      <c r="B7483" s="11" t="s">
        <v>15399</v>
      </c>
      <c r="C7483" s="11" t="s">
        <v>17</v>
      </c>
      <c r="D7483" s="11" t="s">
        <v>18</v>
      </c>
      <c r="E7483" s="12" t="s">
        <v>479</v>
      </c>
      <c r="F7483" s="12" t="s">
        <v>480</v>
      </c>
      <c r="G7483" s="12" t="s">
        <v>29</v>
      </c>
      <c r="H7483" s="11" t="s">
        <v>63</v>
      </c>
      <c r="I7483" s="13" t="s">
        <v>15401</v>
      </c>
      <c r="J7483" s="14" t="str">
        <f>HYPERLINK("https://www.boe.es/gazeta/dias/1839/06/24/pdfs/GMD-1839-1682.pdf#page=1","Abrir facsímil")</f>
        <v>Abrir facsímil</v>
      </c>
      <c r="K7483" s="12" t="s">
        <v>65</v>
      </c>
    </row>
    <row r="7484" spans="1:11" ht="40.049999999999997" customHeight="1" x14ac:dyDescent="0.25">
      <c r="A7484" s="11" t="s">
        <v>15402</v>
      </c>
      <c r="B7484" s="11" t="s">
        <v>15402</v>
      </c>
      <c r="C7484" s="11" t="s">
        <v>17</v>
      </c>
      <c r="D7484" s="11" t="s">
        <v>18</v>
      </c>
      <c r="E7484" s="12" t="s">
        <v>2205</v>
      </c>
      <c r="F7484" s="12" t="s">
        <v>2206</v>
      </c>
      <c r="G7484" s="12" t="s">
        <v>40</v>
      </c>
      <c r="H7484" s="11" t="s">
        <v>63</v>
      </c>
      <c r="I7484" s="13" t="s">
        <v>15403</v>
      </c>
      <c r="J7484" s="14" t="str">
        <f>HYPERLINK("https://www.boe.es/gazeta/dias/1839/07/11/pdfs/GMD-1839-1699.pdf#page=2","Abrir facsímil")</f>
        <v>Abrir facsímil</v>
      </c>
      <c r="K7484" s="12" t="s">
        <v>65</v>
      </c>
    </row>
    <row r="7485" spans="1:11" ht="40.049999999999997" customHeight="1" x14ac:dyDescent="0.25">
      <c r="A7485" s="11" t="s">
        <v>15404</v>
      </c>
      <c r="B7485" s="11" t="s">
        <v>15405</v>
      </c>
      <c r="C7485" s="11" t="s">
        <v>80</v>
      </c>
      <c r="D7485" s="11" t="s">
        <v>173</v>
      </c>
      <c r="E7485" s="12" t="s">
        <v>2839</v>
      </c>
      <c r="F7485" s="12" t="s">
        <v>2840</v>
      </c>
      <c r="G7485" s="12" t="s">
        <v>29</v>
      </c>
      <c r="H7485" s="11" t="s">
        <v>63</v>
      </c>
      <c r="I7485" s="13" t="s">
        <v>15406</v>
      </c>
      <c r="J7485" s="14" t="str">
        <f>HYPERLINK("https://www.boe.es/gazeta/dias/1839/03/06/pdfs/GMD-1839-1572.pdf#page=1","Abrir facsímil")</f>
        <v>Abrir facsímil</v>
      </c>
      <c r="K7485" s="12" t="s">
        <v>65</v>
      </c>
    </row>
    <row r="7486" spans="1:11" ht="40.049999999999997" customHeight="1" x14ac:dyDescent="0.25">
      <c r="A7486" s="11" t="s">
        <v>15404</v>
      </c>
      <c r="B7486" s="11" t="s">
        <v>15405</v>
      </c>
      <c r="C7486" s="11" t="s">
        <v>59</v>
      </c>
      <c r="D7486" s="11" t="s">
        <v>60</v>
      </c>
      <c r="E7486" s="12" t="s">
        <v>433</v>
      </c>
      <c r="F7486" s="12" t="s">
        <v>434</v>
      </c>
      <c r="G7486" s="12" t="s">
        <v>29</v>
      </c>
      <c r="H7486" s="11" t="s">
        <v>63</v>
      </c>
      <c r="I7486" s="13" t="s">
        <v>15407</v>
      </c>
      <c r="J7486" s="14" t="str">
        <f>HYPERLINK("https://www.boe.es/gazeta/dias/1839/01/20/pdfs/GMD-1839-1527.pdf#page=1","Abrir facsímil")</f>
        <v>Abrir facsímil</v>
      </c>
      <c r="K7486" s="12" t="s">
        <v>65</v>
      </c>
    </row>
    <row r="7487" spans="1:11" ht="40.049999999999997" customHeight="1" x14ac:dyDescent="0.25">
      <c r="A7487" s="11" t="s">
        <v>15404</v>
      </c>
      <c r="B7487" s="11" t="s">
        <v>15405</v>
      </c>
      <c r="C7487" s="11" t="s">
        <v>17</v>
      </c>
      <c r="D7487" s="11" t="s">
        <v>18</v>
      </c>
      <c r="E7487" s="12" t="s">
        <v>677</v>
      </c>
      <c r="F7487" s="12" t="s">
        <v>678</v>
      </c>
      <c r="G7487" s="12" t="s">
        <v>29</v>
      </c>
      <c r="H7487" s="11" t="s">
        <v>63</v>
      </c>
      <c r="I7487" s="13" t="s">
        <v>15408</v>
      </c>
      <c r="J7487" s="14" t="str">
        <f>HYPERLINK("https://www.boe.es/gazeta/dias/1839/04/28/pdfs/GMD-1839-1625.pdf#page=1","Abrir facsímil")</f>
        <v>Abrir facsímil</v>
      </c>
      <c r="K7487" s="12" t="s">
        <v>65</v>
      </c>
    </row>
    <row r="7488" spans="1:11" ht="40.049999999999997" customHeight="1" x14ac:dyDescent="0.25">
      <c r="A7488" s="11" t="s">
        <v>15409</v>
      </c>
      <c r="B7488" s="11" t="s">
        <v>15409</v>
      </c>
      <c r="C7488" s="11" t="s">
        <v>17</v>
      </c>
      <c r="D7488" s="11" t="s">
        <v>18</v>
      </c>
      <c r="E7488" s="12" t="s">
        <v>474</v>
      </c>
      <c r="F7488" s="12" t="s">
        <v>475</v>
      </c>
      <c r="G7488" s="12" t="s">
        <v>21</v>
      </c>
      <c r="H7488" s="11" t="s">
        <v>63</v>
      </c>
      <c r="I7488" s="13" t="s">
        <v>15410</v>
      </c>
      <c r="J7488" s="14" t="str">
        <f>HYPERLINK("https://www.boe.es/gazeta/dias/1839/03/31/pdfs/GMD-1839-1597.pdf#page=4","Abrir facsímil")</f>
        <v>Abrir facsímil</v>
      </c>
      <c r="K7488" s="12" t="s">
        <v>65</v>
      </c>
    </row>
    <row r="7489" spans="1:11" ht="40.049999999999997" customHeight="1" x14ac:dyDescent="0.25">
      <c r="A7489" s="11" t="s">
        <v>15411</v>
      </c>
      <c r="B7489" s="11" t="s">
        <v>15411</v>
      </c>
      <c r="C7489" s="11" t="s">
        <v>137</v>
      </c>
      <c r="D7489" s="11" t="s">
        <v>18</v>
      </c>
      <c r="E7489" s="12" t="s">
        <v>1679</v>
      </c>
      <c r="F7489" s="12" t="s">
        <v>1680</v>
      </c>
      <c r="G7489" s="12" t="s">
        <v>40</v>
      </c>
      <c r="H7489" s="11" t="s">
        <v>63</v>
      </c>
      <c r="I7489" s="13" t="s">
        <v>15412</v>
      </c>
      <c r="J7489" s="14" t="str">
        <f>HYPERLINK("https://www.boe.es/gazeta/dias/1839/01/26/pdfs/GMD-1839-1533.pdf#page=2","Abrir facsímil")</f>
        <v>Abrir facsímil</v>
      </c>
      <c r="K7489" s="12" t="s">
        <v>65</v>
      </c>
    </row>
    <row r="7490" spans="1:11" ht="40.049999999999997" customHeight="1" x14ac:dyDescent="0.25">
      <c r="A7490" s="11" t="s">
        <v>15413</v>
      </c>
      <c r="B7490" s="11" t="s">
        <v>15413</v>
      </c>
      <c r="C7490" s="11" t="s">
        <v>80</v>
      </c>
      <c r="D7490" s="11" t="s">
        <v>18</v>
      </c>
      <c r="E7490" s="12" t="s">
        <v>4189</v>
      </c>
      <c r="F7490" s="12" t="s">
        <v>4190</v>
      </c>
      <c r="G7490" s="12" t="s">
        <v>21</v>
      </c>
      <c r="H7490" s="11" t="s">
        <v>63</v>
      </c>
      <c r="I7490" s="13" t="s">
        <v>15414</v>
      </c>
      <c r="J7490" s="14" t="str">
        <f>HYPERLINK("https://www.boe.es/gazeta/dias/1839/02/13/pdfs/GMD-1839-1551.pdf#page=4","Abrir facsímil")</f>
        <v>Abrir facsímil</v>
      </c>
      <c r="K7490" s="12" t="s">
        <v>65</v>
      </c>
    </row>
    <row r="7491" spans="1:11" ht="40.049999999999997" customHeight="1" x14ac:dyDescent="0.25">
      <c r="A7491" s="11" t="s">
        <v>15415</v>
      </c>
      <c r="B7491" s="11" t="s">
        <v>15415</v>
      </c>
      <c r="C7491" s="11" t="s">
        <v>17</v>
      </c>
      <c r="D7491" s="11" t="s">
        <v>18</v>
      </c>
      <c r="E7491" s="12" t="s">
        <v>1057</v>
      </c>
      <c r="F7491" s="12" t="s">
        <v>1058</v>
      </c>
      <c r="G7491" s="12" t="s">
        <v>46</v>
      </c>
      <c r="H7491" s="11" t="s">
        <v>22</v>
      </c>
      <c r="I7491" s="13" t="s">
        <v>15416</v>
      </c>
      <c r="J7491" s="14" t="str">
        <f>HYPERLINK("https://www.boe.es/gazeta/dias/1839/10/01/pdfs/GMD-1839-1787.pdf#page=3","Abrir facsímil")</f>
        <v>Abrir facsímil</v>
      </c>
      <c r="K7491" s="12" t="s">
        <v>24</v>
      </c>
    </row>
    <row r="7492" spans="1:11" ht="40.049999999999997" customHeight="1" x14ac:dyDescent="0.25">
      <c r="A7492" s="11" t="s">
        <v>15417</v>
      </c>
      <c r="B7492" s="11" t="s">
        <v>15417</v>
      </c>
      <c r="C7492" s="11" t="s">
        <v>17</v>
      </c>
      <c r="D7492" s="11" t="s">
        <v>18</v>
      </c>
      <c r="E7492" s="12" t="s">
        <v>276</v>
      </c>
      <c r="F7492" s="12" t="s">
        <v>277</v>
      </c>
      <c r="G7492" s="12" t="s">
        <v>46</v>
      </c>
      <c r="H7492" s="11" t="s">
        <v>63</v>
      </c>
      <c r="I7492" s="13" t="s">
        <v>15418</v>
      </c>
      <c r="J7492" s="14" t="str">
        <f>HYPERLINK("https://www.boe.es/gazeta/dias/1839/09/24/pdfs/GMD-1839-1780.pdf#page=3","Abrir facsímil")</f>
        <v>Abrir facsímil</v>
      </c>
      <c r="K7492" s="12" t="s">
        <v>65</v>
      </c>
    </row>
    <row r="7493" spans="1:11" ht="40.049999999999997" customHeight="1" x14ac:dyDescent="0.25">
      <c r="A7493" s="11" t="s">
        <v>15417</v>
      </c>
      <c r="B7493" s="11" t="s">
        <v>15417</v>
      </c>
      <c r="C7493" s="11" t="s">
        <v>101</v>
      </c>
      <c r="D7493" s="11" t="s">
        <v>43</v>
      </c>
      <c r="E7493" s="12" t="s">
        <v>826</v>
      </c>
      <c r="F7493" s="12" t="s">
        <v>827</v>
      </c>
      <c r="G7493" s="12" t="s">
        <v>40</v>
      </c>
      <c r="H7493" s="11" t="s">
        <v>63</v>
      </c>
      <c r="I7493" s="13" t="s">
        <v>15419</v>
      </c>
      <c r="J7493" s="14" t="str">
        <f>HYPERLINK("https://www.boe.es/gazeta/dias/1839/09/25/pdfs/GMD-1839-1781.pdf#page=2","Abrir facsímil")</f>
        <v>Abrir facsímil</v>
      </c>
      <c r="K7493" s="12" t="s">
        <v>65</v>
      </c>
    </row>
    <row r="7494" spans="1:11" ht="40.049999999999997" customHeight="1" x14ac:dyDescent="0.25">
      <c r="A7494" s="11" t="s">
        <v>15420</v>
      </c>
      <c r="B7494" s="11" t="s">
        <v>15421</v>
      </c>
      <c r="C7494" s="11" t="s">
        <v>137</v>
      </c>
      <c r="D7494" s="11" t="s">
        <v>18</v>
      </c>
      <c r="E7494" s="12" t="s">
        <v>163</v>
      </c>
      <c r="F7494" s="12" t="s">
        <v>164</v>
      </c>
      <c r="G7494" s="12" t="s">
        <v>29</v>
      </c>
      <c r="H7494" s="11" t="s">
        <v>63</v>
      </c>
      <c r="I7494" s="13" t="s">
        <v>15422</v>
      </c>
      <c r="J7494" s="14" t="str">
        <f>HYPERLINK("https://www.boe.es/gazeta/dias/1839/01/13/pdfs/GMD-1839-1520.pdf#page=1","Abrir facsímil")</f>
        <v>Abrir facsímil</v>
      </c>
      <c r="K7494" s="12" t="s">
        <v>65</v>
      </c>
    </row>
    <row r="7495" spans="1:11" ht="40.049999999999997" customHeight="1" x14ac:dyDescent="0.25">
      <c r="A7495" s="11" t="s">
        <v>15420</v>
      </c>
      <c r="B7495" s="11" t="s">
        <v>15421</v>
      </c>
      <c r="C7495" s="11" t="s">
        <v>101</v>
      </c>
      <c r="D7495" s="11" t="s">
        <v>102</v>
      </c>
      <c r="E7495" s="12" t="s">
        <v>163</v>
      </c>
      <c r="F7495" s="12" t="s">
        <v>164</v>
      </c>
      <c r="G7495" s="12" t="s">
        <v>21</v>
      </c>
      <c r="H7495" s="11" t="s">
        <v>63</v>
      </c>
      <c r="I7495" s="13" t="s">
        <v>15423</v>
      </c>
      <c r="J7495" s="14" t="str">
        <f>HYPERLINK("https://www.boe.es/gazeta/dias/1839/01/13/pdfs/GMD-1839-1520.pdf#page=4","Abrir facsímil")</f>
        <v>Abrir facsímil</v>
      </c>
      <c r="K7495" s="12" t="s">
        <v>65</v>
      </c>
    </row>
    <row r="7496" spans="1:11" ht="40.049999999999997" customHeight="1" x14ac:dyDescent="0.25">
      <c r="A7496" s="11" t="s">
        <v>15420</v>
      </c>
      <c r="B7496" s="11" t="s">
        <v>15421</v>
      </c>
      <c r="C7496" s="11" t="s">
        <v>137</v>
      </c>
      <c r="D7496" s="11" t="s">
        <v>18</v>
      </c>
      <c r="E7496" s="12" t="s">
        <v>469</v>
      </c>
      <c r="F7496" s="12" t="s">
        <v>470</v>
      </c>
      <c r="G7496" s="12" t="s">
        <v>29</v>
      </c>
      <c r="H7496" s="11" t="s">
        <v>63</v>
      </c>
      <c r="I7496" s="13" t="s">
        <v>15424</v>
      </c>
      <c r="J7496" s="14" t="str">
        <f>HYPERLINK("https://www.boe.es/gazeta/dias/1839/08/20/pdfs/GMD-1839-1741.pdf#page=1","Abrir facsímil")</f>
        <v>Abrir facsímil</v>
      </c>
      <c r="K7496" s="12" t="s">
        <v>65</v>
      </c>
    </row>
    <row r="7497" spans="1:11" ht="40.049999999999997" customHeight="1" x14ac:dyDescent="0.25">
      <c r="A7497" s="11" t="s">
        <v>15420</v>
      </c>
      <c r="B7497" s="11" t="s">
        <v>15421</v>
      </c>
      <c r="C7497" s="11" t="s">
        <v>17</v>
      </c>
      <c r="D7497" s="11" t="s">
        <v>18</v>
      </c>
      <c r="E7497" s="12" t="s">
        <v>1657</v>
      </c>
      <c r="F7497" s="12" t="s">
        <v>1658</v>
      </c>
      <c r="G7497" s="12" t="s">
        <v>21</v>
      </c>
      <c r="H7497" s="11" t="s">
        <v>63</v>
      </c>
      <c r="I7497" s="13" t="s">
        <v>15425</v>
      </c>
      <c r="J7497" s="14" t="str">
        <f>HYPERLINK("https://www.boe.es/gazeta/dias/1839/02/21/pdfs/GMD-1839-1559.pdf#page=4","Abrir facsímil")</f>
        <v>Abrir facsímil</v>
      </c>
      <c r="K7497" s="12" t="s">
        <v>65</v>
      </c>
    </row>
    <row r="7498" spans="1:11" ht="40.049999999999997" customHeight="1" x14ac:dyDescent="0.25">
      <c r="A7498" s="11" t="s">
        <v>15426</v>
      </c>
      <c r="B7498" s="11" t="s">
        <v>15426</v>
      </c>
      <c r="C7498" s="11" t="s">
        <v>17</v>
      </c>
      <c r="D7498" s="11" t="s">
        <v>18</v>
      </c>
      <c r="E7498" s="12" t="s">
        <v>284</v>
      </c>
      <c r="F7498" s="12" t="s">
        <v>285</v>
      </c>
      <c r="G7498" s="12" t="s">
        <v>40</v>
      </c>
      <c r="H7498" s="11" t="s">
        <v>22</v>
      </c>
      <c r="I7498" s="13" t="s">
        <v>15427</v>
      </c>
      <c r="J7498" s="14" t="str">
        <f>HYPERLINK("https://www.boe.es/gazeta/dias/1839/01/27/pdfs/GMD-1839-1534.pdf#page=2","Abrir facsímil")</f>
        <v>Abrir facsímil</v>
      </c>
      <c r="K7498" s="12" t="s">
        <v>24</v>
      </c>
    </row>
    <row r="7499" spans="1:11" ht="40.049999999999997" customHeight="1" x14ac:dyDescent="0.25">
      <c r="A7499" s="11" t="s">
        <v>15428</v>
      </c>
      <c r="B7499" s="11" t="s">
        <v>15428</v>
      </c>
      <c r="C7499" s="11" t="s">
        <v>80</v>
      </c>
      <c r="D7499" s="11" t="s">
        <v>18</v>
      </c>
      <c r="E7499" s="12" t="s">
        <v>2210</v>
      </c>
      <c r="F7499" s="12" t="s">
        <v>2211</v>
      </c>
      <c r="G7499" s="12" t="s">
        <v>40</v>
      </c>
      <c r="H7499" s="11" t="s">
        <v>63</v>
      </c>
      <c r="I7499" s="13" t="s">
        <v>15429</v>
      </c>
      <c r="J7499" s="14" t="str">
        <f>HYPERLINK("https://www.boe.es/gazeta/dias/1839/09/05/pdfs/GMD-1839-1758.pdf#page=2","Abrir facsímil")</f>
        <v>Abrir facsímil</v>
      </c>
      <c r="K7499" s="12" t="s">
        <v>65</v>
      </c>
    </row>
    <row r="7500" spans="1:11" ht="40.049999999999997" customHeight="1" x14ac:dyDescent="0.25">
      <c r="A7500" s="11" t="s">
        <v>15430</v>
      </c>
      <c r="B7500" s="11" t="s">
        <v>15430</v>
      </c>
      <c r="C7500" s="11" t="s">
        <v>137</v>
      </c>
      <c r="D7500" s="11" t="s">
        <v>18</v>
      </c>
      <c r="E7500" s="12" t="s">
        <v>157</v>
      </c>
      <c r="F7500" s="12" t="s">
        <v>158</v>
      </c>
      <c r="G7500" s="12" t="s">
        <v>40</v>
      </c>
      <c r="H7500" s="11" t="s">
        <v>22</v>
      </c>
      <c r="I7500" s="13" t="s">
        <v>15431</v>
      </c>
      <c r="J7500" s="14" t="str">
        <f>HYPERLINK("https://www.boe.es/gazeta/dias/1839/02/08/pdfs/GMD-1839-1546.pdf#page=2","Abrir facsímil")</f>
        <v>Abrir facsímil</v>
      </c>
      <c r="K7500" s="12" t="s">
        <v>24</v>
      </c>
    </row>
    <row r="7501" spans="1:11" ht="40.049999999999997" customHeight="1" x14ac:dyDescent="0.25">
      <c r="A7501" s="11" t="s">
        <v>15428</v>
      </c>
      <c r="B7501" s="11" t="s">
        <v>15428</v>
      </c>
      <c r="C7501" s="11" t="s">
        <v>80</v>
      </c>
      <c r="D7501" s="11" t="s">
        <v>18</v>
      </c>
      <c r="E7501" s="12" t="s">
        <v>3114</v>
      </c>
      <c r="F7501" s="12" t="s">
        <v>3115</v>
      </c>
      <c r="G7501" s="12" t="s">
        <v>40</v>
      </c>
      <c r="H7501" s="11" t="s">
        <v>63</v>
      </c>
      <c r="I7501" s="13" t="s">
        <v>15432</v>
      </c>
      <c r="J7501" s="14" t="str">
        <f>HYPERLINK("https://www.boe.es/gazeta/dias/1839/05/15/pdfs/GMD-1839-1642.pdf#page=2","Abrir facsímil")</f>
        <v>Abrir facsímil</v>
      </c>
      <c r="K7501" s="12" t="s">
        <v>65</v>
      </c>
    </row>
    <row r="7502" spans="1:11" ht="40.049999999999997" customHeight="1" x14ac:dyDescent="0.25">
      <c r="A7502" s="11" t="s">
        <v>15428</v>
      </c>
      <c r="B7502" s="11" t="s">
        <v>15428</v>
      </c>
      <c r="C7502" s="11" t="s">
        <v>17</v>
      </c>
      <c r="D7502" s="11" t="s">
        <v>18</v>
      </c>
      <c r="E7502" s="12" t="s">
        <v>2222</v>
      </c>
      <c r="F7502" s="12" t="s">
        <v>2223</v>
      </c>
      <c r="G7502" s="12" t="s">
        <v>40</v>
      </c>
      <c r="H7502" s="11" t="s">
        <v>63</v>
      </c>
      <c r="I7502" s="13" t="s">
        <v>15433</v>
      </c>
      <c r="J7502" s="14" t="str">
        <f>HYPERLINK("https://www.boe.es/gazeta/dias/1839/09/19/pdfs/GMD-1839-1773.pdf#page=2","Abrir facsímil")</f>
        <v>Abrir facsímil</v>
      </c>
      <c r="K7502" s="12" t="s">
        <v>65</v>
      </c>
    </row>
    <row r="7503" spans="1:11" ht="40.049999999999997" customHeight="1" x14ac:dyDescent="0.25">
      <c r="A7503" s="11" t="s">
        <v>15430</v>
      </c>
      <c r="B7503" s="11" t="s">
        <v>15430</v>
      </c>
      <c r="C7503" s="11" t="s">
        <v>17</v>
      </c>
      <c r="D7503" s="11" t="s">
        <v>18</v>
      </c>
      <c r="E7503" s="12" t="s">
        <v>1076</v>
      </c>
      <c r="F7503" s="12" t="s">
        <v>1077</v>
      </c>
      <c r="G7503" s="12" t="s">
        <v>40</v>
      </c>
      <c r="H7503" s="11" t="s">
        <v>22</v>
      </c>
      <c r="I7503" s="13" t="s">
        <v>15434</v>
      </c>
      <c r="J7503" s="14" t="str">
        <f>HYPERLINK("https://www.boe.es/gazeta/dias/1839/10/19/pdfs/GMD-1839-1805.pdf#page=2","Abrir facsímil")</f>
        <v>Abrir facsímil</v>
      </c>
      <c r="K7503" s="12" t="s">
        <v>24</v>
      </c>
    </row>
    <row r="7504" spans="1:11" ht="40.049999999999997" customHeight="1" x14ac:dyDescent="0.25">
      <c r="A7504" s="11" t="s">
        <v>15428</v>
      </c>
      <c r="B7504" s="11" t="s">
        <v>15428</v>
      </c>
      <c r="C7504" s="11" t="s">
        <v>101</v>
      </c>
      <c r="D7504" s="11" t="s">
        <v>43</v>
      </c>
      <c r="E7504" s="12" t="s">
        <v>1076</v>
      </c>
      <c r="F7504" s="12" t="s">
        <v>1077</v>
      </c>
      <c r="G7504" s="12" t="s">
        <v>21</v>
      </c>
      <c r="H7504" s="11" t="s">
        <v>63</v>
      </c>
      <c r="I7504" s="13" t="s">
        <v>15435</v>
      </c>
      <c r="J7504" s="14" t="str">
        <f>HYPERLINK("https://www.boe.es/gazeta/dias/1839/10/19/pdfs/GMD-1839-1805.pdf#page=4","Abrir facsímil")</f>
        <v>Abrir facsímil</v>
      </c>
      <c r="K7504" s="12" t="s">
        <v>65</v>
      </c>
    </row>
    <row r="7505" spans="1:11" ht="40.049999999999997" customHeight="1" x14ac:dyDescent="0.25">
      <c r="A7505" s="11" t="s">
        <v>15428</v>
      </c>
      <c r="B7505" s="11" t="s">
        <v>15428</v>
      </c>
      <c r="C7505" s="11" t="s">
        <v>17</v>
      </c>
      <c r="D7505" s="11" t="s">
        <v>18</v>
      </c>
      <c r="E7505" s="12" t="s">
        <v>2069</v>
      </c>
      <c r="F7505" s="12" t="s">
        <v>2070</v>
      </c>
      <c r="G7505" s="12" t="s">
        <v>46</v>
      </c>
      <c r="H7505" s="11" t="s">
        <v>63</v>
      </c>
      <c r="I7505" s="13" t="s">
        <v>15436</v>
      </c>
      <c r="J7505" s="14" t="str">
        <f>HYPERLINK("https://www.boe.es/gazeta/dias/1839/10/20/pdfs/GMD-1839-1806.pdf#page=3","Abrir facsímil")</f>
        <v>Abrir facsímil</v>
      </c>
      <c r="K7505" s="12" t="s">
        <v>65</v>
      </c>
    </row>
    <row r="7506" spans="1:11" ht="40.049999999999997" customHeight="1" x14ac:dyDescent="0.25">
      <c r="A7506" s="11" t="s">
        <v>15428</v>
      </c>
      <c r="B7506" s="11" t="s">
        <v>15428</v>
      </c>
      <c r="C7506" s="11" t="s">
        <v>17</v>
      </c>
      <c r="D7506" s="11" t="s">
        <v>18</v>
      </c>
      <c r="E7506" s="12" t="s">
        <v>2069</v>
      </c>
      <c r="F7506" s="12" t="s">
        <v>2070</v>
      </c>
      <c r="G7506" s="12" t="s">
        <v>21</v>
      </c>
      <c r="H7506" s="11" t="s">
        <v>63</v>
      </c>
      <c r="I7506" s="13" t="s">
        <v>15437</v>
      </c>
      <c r="J7506" s="14" t="str">
        <f>HYPERLINK("https://www.boe.es/gazeta/dias/1839/10/20/pdfs/GMD-1839-1806.pdf#page=4","Abrir facsímil")</f>
        <v>Abrir facsímil</v>
      </c>
      <c r="K7506" s="12" t="s">
        <v>65</v>
      </c>
    </row>
    <row r="7507" spans="1:11" ht="40.049999999999997" customHeight="1" x14ac:dyDescent="0.25">
      <c r="A7507" s="11" t="s">
        <v>15428</v>
      </c>
      <c r="B7507" s="11" t="s">
        <v>15428</v>
      </c>
      <c r="C7507" s="11" t="s">
        <v>17</v>
      </c>
      <c r="D7507" s="11" t="s">
        <v>18</v>
      </c>
      <c r="E7507" s="12" t="s">
        <v>1108</v>
      </c>
      <c r="F7507" s="12" t="s">
        <v>1109</v>
      </c>
      <c r="G7507" s="12" t="s">
        <v>40</v>
      </c>
      <c r="H7507" s="11" t="s">
        <v>63</v>
      </c>
      <c r="I7507" s="13" t="s">
        <v>15438</v>
      </c>
      <c r="J7507" s="14" t="str">
        <f>HYPERLINK("https://www.boe.es/gazeta/dias/1839/09/21/pdfs/GMD-1839-1776.pdf#page=2","Abrir facsímil")</f>
        <v>Abrir facsímil</v>
      </c>
      <c r="K7507" s="12" t="s">
        <v>65</v>
      </c>
    </row>
    <row r="7508" spans="1:11" ht="40.049999999999997" customHeight="1" x14ac:dyDescent="0.25">
      <c r="A7508" s="11" t="s">
        <v>15428</v>
      </c>
      <c r="B7508" s="11" t="s">
        <v>15428</v>
      </c>
      <c r="C7508" s="11" t="s">
        <v>137</v>
      </c>
      <c r="D7508" s="11" t="s">
        <v>18</v>
      </c>
      <c r="E7508" s="12" t="s">
        <v>596</v>
      </c>
      <c r="F7508" s="12" t="s">
        <v>597</v>
      </c>
      <c r="G7508" s="12" t="s">
        <v>46</v>
      </c>
      <c r="H7508" s="11" t="s">
        <v>63</v>
      </c>
      <c r="I7508" s="13" t="s">
        <v>15439</v>
      </c>
      <c r="J7508" s="14" t="str">
        <f>HYPERLINK("https://www.boe.es/gazeta/dias/1839/01/23/pdfs/GMD-1839-1530.pdf#page=3","Abrir facsímil")</f>
        <v>Abrir facsímil</v>
      </c>
      <c r="K7508" s="12" t="s">
        <v>65</v>
      </c>
    </row>
    <row r="7509" spans="1:11" ht="40.049999999999997" customHeight="1" x14ac:dyDescent="0.25">
      <c r="A7509" s="11" t="s">
        <v>15428</v>
      </c>
      <c r="B7509" s="11" t="s">
        <v>15428</v>
      </c>
      <c r="C7509" s="11" t="s">
        <v>17</v>
      </c>
      <c r="D7509" s="11" t="s">
        <v>18</v>
      </c>
      <c r="E7509" s="12" t="s">
        <v>568</v>
      </c>
      <c r="F7509" s="12" t="s">
        <v>569</v>
      </c>
      <c r="G7509" s="12" t="s">
        <v>40</v>
      </c>
      <c r="H7509" s="11" t="s">
        <v>63</v>
      </c>
      <c r="I7509" s="13" t="s">
        <v>15440</v>
      </c>
      <c r="J7509" s="14" t="str">
        <f>HYPERLINK("https://www.boe.es/gazeta/dias/1839/10/23/pdfs/GMD-1839-1809.pdf#page=2","Abrir facsímil")</f>
        <v>Abrir facsímil</v>
      </c>
      <c r="K7509" s="12" t="s">
        <v>65</v>
      </c>
    </row>
    <row r="7510" spans="1:11" ht="40.049999999999997" customHeight="1" x14ac:dyDescent="0.25">
      <c r="A7510" s="11" t="s">
        <v>15428</v>
      </c>
      <c r="B7510" s="11" t="s">
        <v>15428</v>
      </c>
      <c r="C7510" s="11" t="s">
        <v>17</v>
      </c>
      <c r="D7510" s="11" t="s">
        <v>18</v>
      </c>
      <c r="E7510" s="12" t="s">
        <v>568</v>
      </c>
      <c r="F7510" s="12" t="s">
        <v>569</v>
      </c>
      <c r="G7510" s="12" t="s">
        <v>46</v>
      </c>
      <c r="H7510" s="11" t="s">
        <v>63</v>
      </c>
      <c r="I7510" s="13" t="s">
        <v>15441</v>
      </c>
      <c r="J7510" s="14" t="str">
        <f>HYPERLINK("https://www.boe.es/gazeta/dias/1839/10/23/pdfs/GMD-1839-1809.pdf#page=3","Abrir facsímil")</f>
        <v>Abrir facsímil</v>
      </c>
      <c r="K7510" s="12" t="s">
        <v>65</v>
      </c>
    </row>
    <row r="7511" spans="1:11" ht="40.049999999999997" customHeight="1" x14ac:dyDescent="0.25">
      <c r="A7511" s="11" t="s">
        <v>15430</v>
      </c>
      <c r="B7511" s="11" t="s">
        <v>15430</v>
      </c>
      <c r="C7511" s="11" t="s">
        <v>101</v>
      </c>
      <c r="D7511" s="11" t="s">
        <v>43</v>
      </c>
      <c r="E7511" s="12" t="s">
        <v>1679</v>
      </c>
      <c r="F7511" s="12" t="s">
        <v>1680</v>
      </c>
      <c r="G7511" s="12" t="s">
        <v>40</v>
      </c>
      <c r="H7511" s="11" t="s">
        <v>22</v>
      </c>
      <c r="I7511" s="13" t="s">
        <v>15442</v>
      </c>
      <c r="J7511" s="14" t="str">
        <f>HYPERLINK("https://www.boe.es/gazeta/dias/1839/01/26/pdfs/GMD-1839-1533.pdf#page=2","Abrir facsímil")</f>
        <v>Abrir facsímil</v>
      </c>
      <c r="K7511" s="12" t="s">
        <v>24</v>
      </c>
    </row>
    <row r="7512" spans="1:11" ht="40.049999999999997" customHeight="1" x14ac:dyDescent="0.25">
      <c r="A7512" s="11" t="s">
        <v>15430</v>
      </c>
      <c r="B7512" s="11" t="s">
        <v>15430</v>
      </c>
      <c r="C7512" s="11" t="s">
        <v>17</v>
      </c>
      <c r="D7512" s="11" t="s">
        <v>18</v>
      </c>
      <c r="E7512" s="12" t="s">
        <v>1867</v>
      </c>
      <c r="F7512" s="12" t="s">
        <v>1868</v>
      </c>
      <c r="G7512" s="12" t="s">
        <v>40</v>
      </c>
      <c r="H7512" s="11" t="s">
        <v>22</v>
      </c>
      <c r="I7512" s="13" t="s">
        <v>15443</v>
      </c>
      <c r="J7512" s="14" t="str">
        <f>HYPERLINK("https://www.boe.es/gazeta/dias/1839/01/30/pdfs/GMD-1839-1537.pdf#page=2","Abrir facsímil")</f>
        <v>Abrir facsímil</v>
      </c>
      <c r="K7512" s="12" t="s">
        <v>24</v>
      </c>
    </row>
    <row r="7513" spans="1:11" ht="40.049999999999997" customHeight="1" x14ac:dyDescent="0.25">
      <c r="A7513" s="11" t="s">
        <v>15428</v>
      </c>
      <c r="B7513" s="11" t="s">
        <v>15428</v>
      </c>
      <c r="C7513" s="11" t="s">
        <v>80</v>
      </c>
      <c r="D7513" s="11" t="s">
        <v>18</v>
      </c>
      <c r="E7513" s="12" t="s">
        <v>1287</v>
      </c>
      <c r="F7513" s="12" t="s">
        <v>1288</v>
      </c>
      <c r="G7513" s="12" t="s">
        <v>40</v>
      </c>
      <c r="H7513" s="11" t="s">
        <v>63</v>
      </c>
      <c r="I7513" s="13" t="s">
        <v>15444</v>
      </c>
      <c r="J7513" s="14" t="str">
        <f>HYPERLINK("https://www.boe.es/gazeta/dias/1839/10/30/pdfs/GMD-1839-1816.pdf#page=2","Abrir facsímil")</f>
        <v>Abrir facsímil</v>
      </c>
      <c r="K7513" s="12" t="s">
        <v>65</v>
      </c>
    </row>
    <row r="7514" spans="1:11" ht="40.049999999999997" customHeight="1" x14ac:dyDescent="0.25">
      <c r="A7514" s="11" t="s">
        <v>15445</v>
      </c>
      <c r="B7514" s="11" t="s">
        <v>15446</v>
      </c>
      <c r="C7514" s="11" t="s">
        <v>17</v>
      </c>
      <c r="D7514" s="11" t="s">
        <v>18</v>
      </c>
      <c r="E7514" s="12" t="s">
        <v>1672</v>
      </c>
      <c r="F7514" s="12" t="s">
        <v>1673</v>
      </c>
      <c r="G7514" s="12" t="s">
        <v>40</v>
      </c>
      <c r="H7514" s="11" t="s">
        <v>22</v>
      </c>
      <c r="I7514" s="13" t="s">
        <v>15447</v>
      </c>
      <c r="J7514" s="14" t="str">
        <f>HYPERLINK("https://www.boe.es/gazeta/dias/1839/08/24/pdfs/GMD-1839-1745.pdf#page=2","Abrir facsímil")</f>
        <v>Abrir facsímil</v>
      </c>
      <c r="K7514" s="12" t="s">
        <v>24</v>
      </c>
    </row>
    <row r="7515" spans="1:11" ht="40.049999999999997" customHeight="1" x14ac:dyDescent="0.25">
      <c r="A7515" s="11" t="s">
        <v>15448</v>
      </c>
      <c r="B7515" s="11" t="s">
        <v>15449</v>
      </c>
      <c r="C7515" s="11" t="s">
        <v>17</v>
      </c>
      <c r="D7515" s="11" t="s">
        <v>18</v>
      </c>
      <c r="E7515" s="12" t="s">
        <v>510</v>
      </c>
      <c r="F7515" s="12" t="s">
        <v>511</v>
      </c>
      <c r="G7515" s="12" t="s">
        <v>21</v>
      </c>
      <c r="H7515" s="11" t="s">
        <v>22</v>
      </c>
      <c r="I7515" s="13" t="s">
        <v>15450</v>
      </c>
      <c r="J7515" s="14" t="str">
        <f>HYPERLINK("https://www.boe.es/gazeta/dias/1839/05/13/pdfs/GMD-1839-1640.pdf#page=4","Abrir facsímil")</f>
        <v>Abrir facsímil</v>
      </c>
      <c r="K7515" s="12" t="s">
        <v>24</v>
      </c>
    </row>
    <row r="7516" spans="1:11" ht="40.049999999999997" customHeight="1" x14ac:dyDescent="0.25">
      <c r="A7516" s="11" t="s">
        <v>15451</v>
      </c>
      <c r="B7516" s="11" t="s">
        <v>15452</v>
      </c>
      <c r="C7516" s="11" t="s">
        <v>80</v>
      </c>
      <c r="D7516" s="11" t="s">
        <v>18</v>
      </c>
      <c r="E7516" s="12" t="s">
        <v>1079</v>
      </c>
      <c r="F7516" s="12" t="s">
        <v>1080</v>
      </c>
      <c r="G7516" s="12" t="s">
        <v>46</v>
      </c>
      <c r="H7516" s="11" t="s">
        <v>63</v>
      </c>
      <c r="I7516" s="13" t="s">
        <v>15453</v>
      </c>
      <c r="J7516" s="14" t="str">
        <f>HYPERLINK("https://www.boe.es/gazeta/dias/1839/05/24/pdfs/GMD-1839-1651.pdf#page=3","Abrir facsímil")</f>
        <v>Abrir facsímil</v>
      </c>
      <c r="K7516" s="12" t="s">
        <v>65</v>
      </c>
    </row>
    <row r="7517" spans="1:11" ht="40.049999999999997" customHeight="1" x14ac:dyDescent="0.25">
      <c r="A7517" s="11" t="s">
        <v>15454</v>
      </c>
      <c r="B7517" s="11" t="s">
        <v>15455</v>
      </c>
      <c r="C7517" s="11" t="s">
        <v>17</v>
      </c>
      <c r="D7517" s="11" t="s">
        <v>18</v>
      </c>
      <c r="E7517" s="12" t="s">
        <v>496</v>
      </c>
      <c r="F7517" s="12" t="s">
        <v>497</v>
      </c>
      <c r="G7517" s="12" t="s">
        <v>21</v>
      </c>
      <c r="H7517" s="11" t="s">
        <v>63</v>
      </c>
      <c r="I7517" s="13" t="s">
        <v>15456</v>
      </c>
      <c r="J7517" s="14" t="str">
        <f>HYPERLINK("https://www.boe.es/gazeta/dias/1839/11/23/pdfs/GMD-1839-1840.pdf#page=4","Abrir facsímil")</f>
        <v>Abrir facsímil</v>
      </c>
      <c r="K7517" s="12" t="s">
        <v>65</v>
      </c>
    </row>
    <row r="7518" spans="1:11" ht="40.049999999999997" customHeight="1" x14ac:dyDescent="0.25">
      <c r="A7518" s="11" t="s">
        <v>15457</v>
      </c>
      <c r="B7518" s="11" t="s">
        <v>15458</v>
      </c>
      <c r="C7518" s="11" t="s">
        <v>137</v>
      </c>
      <c r="D7518" s="11" t="s">
        <v>18</v>
      </c>
      <c r="E7518" s="12" t="s">
        <v>287</v>
      </c>
      <c r="F7518" s="12" t="s">
        <v>288</v>
      </c>
      <c r="G7518" s="12" t="s">
        <v>46</v>
      </c>
      <c r="H7518" s="11" t="s">
        <v>63</v>
      </c>
      <c r="I7518" s="13" t="s">
        <v>15459</v>
      </c>
      <c r="J7518" s="14" t="str">
        <f>HYPERLINK("https://www.boe.es/gazeta/dias/1839/11/27/pdfs/GMD-1839-1844.pdf#page=3","Abrir facsímil")</f>
        <v>Abrir facsímil</v>
      </c>
      <c r="K7518" s="12" t="s">
        <v>65</v>
      </c>
    </row>
    <row r="7519" spans="1:11" ht="40.049999999999997" customHeight="1" x14ac:dyDescent="0.25">
      <c r="A7519" s="11" t="s">
        <v>15460</v>
      </c>
      <c r="B7519" s="11" t="s">
        <v>15461</v>
      </c>
      <c r="C7519" s="11" t="s">
        <v>59</v>
      </c>
      <c r="D7519" s="11" t="s">
        <v>60</v>
      </c>
      <c r="E7519" s="12" t="s">
        <v>369</v>
      </c>
      <c r="F7519" s="12" t="s">
        <v>370</v>
      </c>
      <c r="G7519" s="12" t="s">
        <v>40</v>
      </c>
      <c r="H7519" s="11" t="s">
        <v>63</v>
      </c>
      <c r="I7519" s="13" t="s">
        <v>15462</v>
      </c>
      <c r="J7519" s="14" t="str">
        <f>HYPERLINK("https://www.boe.es/gazeta/dias/1839/11/01/pdfs/GMD-1839-1818.pdf#page=2","Abrir facsímil")</f>
        <v>Abrir facsímil</v>
      </c>
      <c r="K7519" s="12" t="s">
        <v>65</v>
      </c>
    </row>
    <row r="7520" spans="1:11" ht="40.049999999999997" customHeight="1" x14ac:dyDescent="0.25">
      <c r="A7520" s="11" t="s">
        <v>15463</v>
      </c>
      <c r="B7520" s="11" t="s">
        <v>15463</v>
      </c>
      <c r="C7520" s="11" t="s">
        <v>17</v>
      </c>
      <c r="D7520" s="11" t="s">
        <v>18</v>
      </c>
      <c r="E7520" s="12" t="s">
        <v>1076</v>
      </c>
      <c r="F7520" s="12" t="s">
        <v>1077</v>
      </c>
      <c r="G7520" s="12" t="s">
        <v>21</v>
      </c>
      <c r="H7520" s="11" t="s">
        <v>63</v>
      </c>
      <c r="I7520" s="13" t="s">
        <v>15464</v>
      </c>
      <c r="J7520" s="14" t="str">
        <f>HYPERLINK("https://www.boe.es/gazeta/dias/1839/10/19/pdfs/GMD-1839-1805.pdf#page=4","Abrir facsímil")</f>
        <v>Abrir facsímil</v>
      </c>
      <c r="K7520" s="12" t="s">
        <v>65</v>
      </c>
    </row>
    <row r="7521" spans="1:11" ht="40.049999999999997" customHeight="1" x14ac:dyDescent="0.25">
      <c r="A7521" s="11" t="s">
        <v>15465</v>
      </c>
      <c r="B7521" s="11" t="s">
        <v>15466</v>
      </c>
      <c r="C7521" s="11" t="s">
        <v>17</v>
      </c>
      <c r="D7521" s="11" t="s">
        <v>18</v>
      </c>
      <c r="E7521" s="12" t="s">
        <v>258</v>
      </c>
      <c r="F7521" s="12" t="s">
        <v>259</v>
      </c>
      <c r="G7521" s="12" t="s">
        <v>40</v>
      </c>
      <c r="H7521" s="11" t="s">
        <v>63</v>
      </c>
      <c r="I7521" s="13" t="s">
        <v>15467</v>
      </c>
      <c r="J7521" s="14" t="str">
        <f>HYPERLINK("https://www.boe.es/gazeta/dias/1839/01/02/pdfs/GMD-1839-1509.pdf#page=2","Abrir facsímil")</f>
        <v>Abrir facsímil</v>
      </c>
      <c r="K7521" s="12" t="s">
        <v>65</v>
      </c>
    </row>
    <row r="7522" spans="1:11" ht="40.049999999999997" customHeight="1" x14ac:dyDescent="0.25">
      <c r="A7522" s="11" t="s">
        <v>15468</v>
      </c>
      <c r="B7522" s="11" t="s">
        <v>15468</v>
      </c>
      <c r="C7522" s="11" t="s">
        <v>59</v>
      </c>
      <c r="D7522" s="11" t="s">
        <v>60</v>
      </c>
      <c r="E7522" s="12" t="s">
        <v>1100</v>
      </c>
      <c r="F7522" s="12" t="s">
        <v>1101</v>
      </c>
      <c r="G7522" s="12" t="s">
        <v>29</v>
      </c>
      <c r="H7522" s="11" t="s">
        <v>63</v>
      </c>
      <c r="I7522" s="13" t="s">
        <v>15469</v>
      </c>
      <c r="J7522" s="14" t="str">
        <f>HYPERLINK("https://www.boe.es/gazeta/dias/1839/09/13/pdfs/GMD-1839-1766.pdf#page=1","Abrir facsímil")</f>
        <v>Abrir facsímil</v>
      </c>
      <c r="K7522" s="12" t="s">
        <v>65</v>
      </c>
    </row>
    <row r="7523" spans="1:11" ht="40.049999999999997" customHeight="1" x14ac:dyDescent="0.25">
      <c r="A7523" s="11" t="s">
        <v>15470</v>
      </c>
      <c r="B7523" s="11" t="s">
        <v>15470</v>
      </c>
      <c r="C7523" s="11" t="s">
        <v>101</v>
      </c>
      <c r="D7523" s="11" t="s">
        <v>43</v>
      </c>
      <c r="E7523" s="12" t="s">
        <v>561</v>
      </c>
      <c r="F7523" s="12" t="s">
        <v>562</v>
      </c>
      <c r="G7523" s="12" t="s">
        <v>40</v>
      </c>
      <c r="H7523" s="11" t="s">
        <v>22</v>
      </c>
      <c r="I7523" s="13" t="s">
        <v>15471</v>
      </c>
      <c r="J7523" s="14" t="str">
        <f>HYPERLINK("https://www.boe.es/gazeta/dias/1839/09/11/pdfs/GMD-1839-1764.pdf#page=2","Abrir facsímil")</f>
        <v>Abrir facsímil</v>
      </c>
      <c r="K7523" s="12" t="s">
        <v>24</v>
      </c>
    </row>
    <row r="7524" spans="1:11" ht="40.049999999999997" customHeight="1" x14ac:dyDescent="0.25">
      <c r="A7524" s="11" t="s">
        <v>15472</v>
      </c>
      <c r="B7524" s="11" t="s">
        <v>15473</v>
      </c>
      <c r="C7524" s="11" t="s">
        <v>17</v>
      </c>
      <c r="D7524" s="11" t="s">
        <v>18</v>
      </c>
      <c r="E7524" s="12" t="s">
        <v>1509</v>
      </c>
      <c r="F7524" s="12" t="s">
        <v>1510</v>
      </c>
      <c r="G7524" s="12" t="s">
        <v>305</v>
      </c>
      <c r="H7524" s="11" t="s">
        <v>63</v>
      </c>
      <c r="I7524" s="13" t="s">
        <v>15474</v>
      </c>
      <c r="J7524" s="14" t="str">
        <f>HYPERLINK("https://www.boe.es/gazeta/dias/1839/10/07/pdfs/GMD-1839-1793.pdf#page=6","Abrir facsímil")</f>
        <v>Abrir facsímil</v>
      </c>
      <c r="K7524" s="12" t="s">
        <v>65</v>
      </c>
    </row>
    <row r="7525" spans="1:11" ht="40.049999999999997" customHeight="1" x14ac:dyDescent="0.25">
      <c r="A7525" s="11" t="s">
        <v>15475</v>
      </c>
      <c r="B7525" s="11" t="s">
        <v>15476</v>
      </c>
      <c r="C7525" s="11" t="s">
        <v>101</v>
      </c>
      <c r="D7525" s="11" t="s">
        <v>43</v>
      </c>
      <c r="E7525" s="12" t="s">
        <v>555</v>
      </c>
      <c r="F7525" s="12" t="s">
        <v>556</v>
      </c>
      <c r="G7525" s="12" t="s">
        <v>40</v>
      </c>
      <c r="H7525" s="11" t="s">
        <v>63</v>
      </c>
      <c r="I7525" s="13" t="s">
        <v>15477</v>
      </c>
      <c r="J7525" s="14" t="str">
        <f>HYPERLINK("https://www.boe.es/gazeta/dias/1839/07/19/pdfs/GMD-1839-1707.pdf#page=2","Abrir facsímil")</f>
        <v>Abrir facsímil</v>
      </c>
      <c r="K7525" s="12" t="s">
        <v>65</v>
      </c>
    </row>
    <row r="7526" spans="1:11" ht="40.049999999999997" customHeight="1" x14ac:dyDescent="0.25">
      <c r="A7526" s="11" t="s">
        <v>15478</v>
      </c>
      <c r="B7526" s="11" t="s">
        <v>15478</v>
      </c>
      <c r="C7526" s="11" t="s">
        <v>80</v>
      </c>
      <c r="D7526" s="11" t="s">
        <v>18</v>
      </c>
      <c r="E7526" s="12" t="s">
        <v>1729</v>
      </c>
      <c r="F7526" s="12" t="s">
        <v>1730</v>
      </c>
      <c r="G7526" s="12" t="s">
        <v>29</v>
      </c>
      <c r="H7526" s="11" t="s">
        <v>63</v>
      </c>
      <c r="I7526" s="13" t="s">
        <v>15479</v>
      </c>
      <c r="J7526" s="14" t="str">
        <f>HYPERLINK("https://www.boe.es/gazeta/dias/1839/04/25/pdfs/GMD-1839-1622.pdf#page=1","Abrir facsímil")</f>
        <v>Abrir facsímil</v>
      </c>
      <c r="K7526" s="12" t="s">
        <v>65</v>
      </c>
    </row>
    <row r="7527" spans="1:11" ht="40.049999999999997" customHeight="1" x14ac:dyDescent="0.25">
      <c r="A7527" s="11" t="s">
        <v>15480</v>
      </c>
      <c r="B7527" s="11" t="s">
        <v>15480</v>
      </c>
      <c r="C7527" s="11" t="s">
        <v>17</v>
      </c>
      <c r="D7527" s="11" t="s">
        <v>18</v>
      </c>
      <c r="E7527" s="12" t="s">
        <v>2449</v>
      </c>
      <c r="F7527" s="12" t="s">
        <v>2450</v>
      </c>
      <c r="G7527" s="12" t="s">
        <v>40</v>
      </c>
      <c r="H7527" s="11" t="s">
        <v>63</v>
      </c>
      <c r="I7527" s="13" t="s">
        <v>15481</v>
      </c>
      <c r="J7527" s="14" t="str">
        <f>HYPERLINK("https://www.boe.es/gazeta/dias/1839/12/11/pdfs/GMD-1839-1858.pdf#page=2","Abrir facsímil")</f>
        <v>Abrir facsímil</v>
      </c>
      <c r="K7527" s="12" t="s">
        <v>65</v>
      </c>
    </row>
    <row r="7528" spans="1:11" ht="40.049999999999997" customHeight="1" x14ac:dyDescent="0.25">
      <c r="A7528" s="11" t="s">
        <v>15480</v>
      </c>
      <c r="B7528" s="11" t="s">
        <v>15480</v>
      </c>
      <c r="C7528" s="11" t="s">
        <v>17</v>
      </c>
      <c r="D7528" s="11" t="s">
        <v>18</v>
      </c>
      <c r="E7528" s="12" t="s">
        <v>207</v>
      </c>
      <c r="F7528" s="12" t="s">
        <v>208</v>
      </c>
      <c r="G7528" s="12" t="s">
        <v>40</v>
      </c>
      <c r="H7528" s="11" t="s">
        <v>63</v>
      </c>
      <c r="I7528" s="13" t="s">
        <v>15482</v>
      </c>
      <c r="J7528" s="14" t="str">
        <f>HYPERLINK("https://www.boe.es/gazeta/dias/1839/02/19/pdfs/GMD-1839-1557.pdf#page=2","Abrir facsímil")</f>
        <v>Abrir facsímil</v>
      </c>
      <c r="K7528" s="12" t="s">
        <v>65</v>
      </c>
    </row>
    <row r="7529" spans="1:11" ht="40.049999999999997" customHeight="1" x14ac:dyDescent="0.25">
      <c r="A7529" s="11" t="s">
        <v>15483</v>
      </c>
      <c r="B7529" s="11" t="s">
        <v>15484</v>
      </c>
      <c r="C7529" s="11" t="s">
        <v>17</v>
      </c>
      <c r="D7529" s="11" t="s">
        <v>18</v>
      </c>
      <c r="E7529" s="12" t="s">
        <v>756</v>
      </c>
      <c r="F7529" s="12" t="s">
        <v>757</v>
      </c>
      <c r="G7529" s="12" t="s">
        <v>21</v>
      </c>
      <c r="H7529" s="11" t="s">
        <v>63</v>
      </c>
      <c r="I7529" s="13" t="s">
        <v>15485</v>
      </c>
      <c r="J7529" s="14" t="str">
        <f>HYPERLINK("https://www.boe.es/gazeta/dias/1839/12/17/pdfs/GMD-1839-1864.pdf#page=4","Abrir facsímil")</f>
        <v>Abrir facsímil</v>
      </c>
      <c r="K7529" s="12" t="s">
        <v>65</v>
      </c>
    </row>
    <row r="7530" spans="1:11" ht="40.049999999999997" customHeight="1" x14ac:dyDescent="0.25">
      <c r="A7530" s="11" t="s">
        <v>15486</v>
      </c>
      <c r="B7530" s="11" t="s">
        <v>15487</v>
      </c>
      <c r="C7530" s="11" t="s">
        <v>59</v>
      </c>
      <c r="D7530" s="11" t="s">
        <v>60</v>
      </c>
      <c r="E7530" s="12" t="s">
        <v>160</v>
      </c>
      <c r="F7530" s="12" t="s">
        <v>161</v>
      </c>
      <c r="G7530" s="12" t="s">
        <v>29</v>
      </c>
      <c r="H7530" s="11" t="s">
        <v>63</v>
      </c>
      <c r="I7530" s="13" t="s">
        <v>15488</v>
      </c>
      <c r="J7530" s="14" t="str">
        <f>HYPERLINK("https://www.boe.es/gazeta/dias/1839/01/10/pdfs/GMD-1839-1517.pdf#page=1","Abrir facsímil")</f>
        <v>Abrir facsímil</v>
      </c>
      <c r="K7530" s="12" t="s">
        <v>65</v>
      </c>
    </row>
    <row r="7531" spans="1:11" ht="40.049999999999997" customHeight="1" x14ac:dyDescent="0.25">
      <c r="A7531" s="11" t="s">
        <v>15489</v>
      </c>
      <c r="B7531" s="11" t="s">
        <v>15490</v>
      </c>
      <c r="C7531" s="11" t="s">
        <v>137</v>
      </c>
      <c r="D7531" s="11" t="s">
        <v>18</v>
      </c>
      <c r="E7531" s="12" t="s">
        <v>197</v>
      </c>
      <c r="F7531" s="12" t="s">
        <v>198</v>
      </c>
      <c r="G7531" s="12" t="s">
        <v>46</v>
      </c>
      <c r="H7531" s="11" t="s">
        <v>63</v>
      </c>
      <c r="I7531" s="13" t="s">
        <v>15491</v>
      </c>
      <c r="J7531" s="14" t="str">
        <f>HYPERLINK("https://www.boe.es/gazeta/dias/1839/10/04/pdfs/GMD-1839-1790.pdf#page=3","Abrir facsímil")</f>
        <v>Abrir facsímil</v>
      </c>
      <c r="K7531" s="12" t="s">
        <v>65</v>
      </c>
    </row>
    <row r="7532" spans="1:11" ht="40.049999999999997" customHeight="1" x14ac:dyDescent="0.25">
      <c r="A7532" s="11" t="s">
        <v>15492</v>
      </c>
      <c r="B7532" s="11" t="s">
        <v>15492</v>
      </c>
      <c r="C7532" s="11" t="s">
        <v>80</v>
      </c>
      <c r="D7532" s="11" t="s">
        <v>18</v>
      </c>
      <c r="E7532" s="12" t="s">
        <v>1729</v>
      </c>
      <c r="F7532" s="12" t="s">
        <v>1730</v>
      </c>
      <c r="G7532" s="12" t="s">
        <v>40</v>
      </c>
      <c r="H7532" s="11" t="s">
        <v>63</v>
      </c>
      <c r="I7532" s="13" t="s">
        <v>15493</v>
      </c>
      <c r="J7532" s="14" t="str">
        <f>HYPERLINK("https://www.boe.es/gazeta/dias/1839/04/25/pdfs/GMD-1839-1622.pdf#page=2","Abrir facsímil")</f>
        <v>Abrir facsímil</v>
      </c>
      <c r="K7532" s="12" t="s">
        <v>65</v>
      </c>
    </row>
    <row r="7533" spans="1:11" ht="40.049999999999997" customHeight="1" x14ac:dyDescent="0.25">
      <c r="A7533" s="11" t="s">
        <v>15494</v>
      </c>
      <c r="B7533" s="11" t="s">
        <v>15494</v>
      </c>
      <c r="C7533" s="11" t="s">
        <v>59</v>
      </c>
      <c r="D7533" s="11" t="s">
        <v>60</v>
      </c>
      <c r="E7533" s="12" t="s">
        <v>2374</v>
      </c>
      <c r="F7533" s="12" t="s">
        <v>2375</v>
      </c>
      <c r="G7533" s="12" t="s">
        <v>40</v>
      </c>
      <c r="H7533" s="11" t="s">
        <v>63</v>
      </c>
      <c r="I7533" s="13" t="s">
        <v>15495</v>
      </c>
      <c r="J7533" s="14" t="str">
        <f>HYPERLINK("https://www.boe.es/gazeta/dias/1839/06/14/pdfs/GMD-1839-1672.pdf#page=2","Abrir facsímil")</f>
        <v>Abrir facsímil</v>
      </c>
      <c r="K7533" s="12" t="s">
        <v>65</v>
      </c>
    </row>
    <row r="7534" spans="1:11" ht="40.049999999999997" customHeight="1" x14ac:dyDescent="0.25">
      <c r="A7534" s="11" t="s">
        <v>15496</v>
      </c>
      <c r="B7534" s="11" t="s">
        <v>15497</v>
      </c>
      <c r="C7534" s="11" t="s">
        <v>17</v>
      </c>
      <c r="D7534" s="11" t="s">
        <v>18</v>
      </c>
      <c r="E7534" s="12" t="s">
        <v>1479</v>
      </c>
      <c r="F7534" s="12" t="s">
        <v>1480</v>
      </c>
      <c r="G7534" s="12" t="s">
        <v>29</v>
      </c>
      <c r="H7534" s="11" t="s">
        <v>63</v>
      </c>
      <c r="I7534" s="13" t="s">
        <v>15498</v>
      </c>
      <c r="J7534" s="14" t="str">
        <f>HYPERLINK("https://www.boe.es/gazeta/dias/1839/04/09/pdfs/GMD-1839-1606.pdf#page=1","Abrir facsímil")</f>
        <v>Abrir facsímil</v>
      </c>
      <c r="K7534" s="12" t="s">
        <v>65</v>
      </c>
    </row>
    <row r="7535" spans="1:11" ht="40.049999999999997" customHeight="1" x14ac:dyDescent="0.25">
      <c r="A7535" s="11" t="s">
        <v>15499</v>
      </c>
      <c r="B7535" s="11" t="s">
        <v>15499</v>
      </c>
      <c r="C7535" s="11" t="s">
        <v>17</v>
      </c>
      <c r="D7535" s="11" t="s">
        <v>18</v>
      </c>
      <c r="E7535" s="12" t="s">
        <v>1374</v>
      </c>
      <c r="F7535" s="12" t="s">
        <v>1375</v>
      </c>
      <c r="G7535" s="12" t="s">
        <v>40</v>
      </c>
      <c r="H7535" s="11" t="s">
        <v>63</v>
      </c>
      <c r="I7535" s="13" t="s">
        <v>15500</v>
      </c>
      <c r="J7535" s="14" t="str">
        <f>HYPERLINK("https://www.boe.es/gazeta/dias/1839/07/20/pdfs/GMD-1839-1708.pdf#page=2","Abrir facsímil")</f>
        <v>Abrir facsímil</v>
      </c>
      <c r="K7535" s="12" t="s">
        <v>65</v>
      </c>
    </row>
    <row r="7536" spans="1:11" ht="40.049999999999997" customHeight="1" x14ac:dyDescent="0.25">
      <c r="A7536" s="11" t="s">
        <v>15501</v>
      </c>
      <c r="B7536" s="11" t="s">
        <v>15501</v>
      </c>
      <c r="C7536" s="11" t="s">
        <v>17</v>
      </c>
      <c r="D7536" s="11" t="s">
        <v>18</v>
      </c>
      <c r="E7536" s="12" t="s">
        <v>548</v>
      </c>
      <c r="F7536" s="12" t="s">
        <v>549</v>
      </c>
      <c r="G7536" s="12" t="s">
        <v>40</v>
      </c>
      <c r="H7536" s="11" t="s">
        <v>63</v>
      </c>
      <c r="I7536" s="13" t="s">
        <v>15502</v>
      </c>
      <c r="J7536" s="14" t="str">
        <f>HYPERLINK("https://www.boe.es/gazeta/dias/1839/06/06/pdfs/GMD-1839-1664.pdf#page=2","Abrir facsímil")</f>
        <v>Abrir facsímil</v>
      </c>
      <c r="K7536" s="12" t="s">
        <v>65</v>
      </c>
    </row>
    <row r="7537" spans="1:11" ht="40.049999999999997" customHeight="1" x14ac:dyDescent="0.25">
      <c r="A7537" s="11" t="s">
        <v>15503</v>
      </c>
      <c r="B7537" s="11" t="s">
        <v>15503</v>
      </c>
      <c r="C7537" s="11" t="s">
        <v>17</v>
      </c>
      <c r="D7537" s="11" t="s">
        <v>18</v>
      </c>
      <c r="E7537" s="12" t="s">
        <v>5845</v>
      </c>
      <c r="F7537" s="12" t="s">
        <v>5846</v>
      </c>
      <c r="G7537" s="12" t="s">
        <v>29</v>
      </c>
      <c r="H7537" s="11" t="s">
        <v>63</v>
      </c>
      <c r="I7537" s="13" t="s">
        <v>15504</v>
      </c>
      <c r="J7537" s="14" t="str">
        <f>HYPERLINK("https://www.boe.es/gazeta/dias/1839/04/01/pdfs/GMD-1839-1598.pdf#page=1","Abrir facsímil")</f>
        <v>Abrir facsímil</v>
      </c>
      <c r="K7537" s="12" t="s">
        <v>65</v>
      </c>
    </row>
    <row r="7538" spans="1:11" ht="40.049999999999997" customHeight="1" x14ac:dyDescent="0.25">
      <c r="A7538" s="11" t="s">
        <v>15505</v>
      </c>
      <c r="B7538" s="11" t="s">
        <v>15505</v>
      </c>
      <c r="C7538" s="11" t="s">
        <v>59</v>
      </c>
      <c r="D7538" s="11" t="s">
        <v>60</v>
      </c>
      <c r="E7538" s="12" t="s">
        <v>395</v>
      </c>
      <c r="F7538" s="12" t="s">
        <v>396</v>
      </c>
      <c r="G7538" s="12" t="s">
        <v>21</v>
      </c>
      <c r="H7538" s="11" t="s">
        <v>63</v>
      </c>
      <c r="I7538" s="13" t="s">
        <v>15506</v>
      </c>
      <c r="J7538" s="14" t="str">
        <f>HYPERLINK("https://www.boe.es/gazeta/dias/1839/03/15/pdfs/GMD-1839-1581.pdf#page=4","Abrir facsímil")</f>
        <v>Abrir facsímil</v>
      </c>
      <c r="K7538" s="12" t="s">
        <v>65</v>
      </c>
    </row>
    <row r="7539" spans="1:11" ht="40.049999999999997" customHeight="1" x14ac:dyDescent="0.25">
      <c r="A7539" s="11" t="s">
        <v>15505</v>
      </c>
      <c r="B7539" s="11" t="s">
        <v>15505</v>
      </c>
      <c r="C7539" s="11" t="s">
        <v>17</v>
      </c>
      <c r="D7539" s="11" t="s">
        <v>18</v>
      </c>
      <c r="E7539" s="12" t="s">
        <v>1588</v>
      </c>
      <c r="F7539" s="12" t="s">
        <v>1589</v>
      </c>
      <c r="G7539" s="12" t="s">
        <v>21</v>
      </c>
      <c r="H7539" s="11" t="s">
        <v>63</v>
      </c>
      <c r="I7539" s="13" t="s">
        <v>15507</v>
      </c>
      <c r="J7539" s="14" t="str">
        <f>HYPERLINK("https://www.boe.es/gazeta/dias/1839/07/27/pdfs/GMD-1839-1716.pdf#page=4","Abrir facsímil")</f>
        <v>Abrir facsímil</v>
      </c>
      <c r="K7539" s="12" t="s">
        <v>65</v>
      </c>
    </row>
    <row r="7540" spans="1:11" ht="40.049999999999997" customHeight="1" x14ac:dyDescent="0.25">
      <c r="A7540" s="11" t="s">
        <v>15508</v>
      </c>
      <c r="B7540" s="11" t="s">
        <v>15508</v>
      </c>
      <c r="C7540" s="11" t="s">
        <v>17</v>
      </c>
      <c r="D7540" s="11" t="s">
        <v>18</v>
      </c>
      <c r="E7540" s="12" t="s">
        <v>2482</v>
      </c>
      <c r="F7540" s="12" t="s">
        <v>2483</v>
      </c>
      <c r="G7540" s="12" t="s">
        <v>21</v>
      </c>
      <c r="H7540" s="11" t="s">
        <v>63</v>
      </c>
      <c r="I7540" s="13" t="s">
        <v>15509</v>
      </c>
      <c r="J7540" s="14" t="str">
        <f>HYPERLINK("https://www.boe.es/gazeta/dias/1839/07/07/pdfs/GMD-1839-1695.pdf#page=4","Abrir facsímil")</f>
        <v>Abrir facsímil</v>
      </c>
      <c r="K7540" s="12" t="s">
        <v>65</v>
      </c>
    </row>
    <row r="7541" spans="1:11" ht="40.049999999999997" customHeight="1" x14ac:dyDescent="0.25">
      <c r="A7541" s="11" t="s">
        <v>15508</v>
      </c>
      <c r="B7541" s="11" t="s">
        <v>15508</v>
      </c>
      <c r="C7541" s="11" t="s">
        <v>137</v>
      </c>
      <c r="D7541" s="11" t="s">
        <v>18</v>
      </c>
      <c r="E7541" s="12" t="s">
        <v>486</v>
      </c>
      <c r="F7541" s="12" t="s">
        <v>487</v>
      </c>
      <c r="G7541" s="12" t="s">
        <v>40</v>
      </c>
      <c r="H7541" s="11" t="s">
        <v>63</v>
      </c>
      <c r="I7541" s="13" t="s">
        <v>15510</v>
      </c>
      <c r="J7541" s="14" t="str">
        <f>HYPERLINK("https://www.boe.es/gazeta/dias/1839/04/19/pdfs/GMD-1839-1616.pdf#page=2","Abrir facsímil")</f>
        <v>Abrir facsímil</v>
      </c>
      <c r="K7541" s="12" t="s">
        <v>65</v>
      </c>
    </row>
    <row r="7542" spans="1:11" ht="40.049999999999997" customHeight="1" x14ac:dyDescent="0.25">
      <c r="A7542" s="11" t="s">
        <v>15511</v>
      </c>
      <c r="B7542" s="11" t="s">
        <v>15511</v>
      </c>
      <c r="C7542" s="11" t="s">
        <v>17</v>
      </c>
      <c r="D7542" s="11" t="s">
        <v>18</v>
      </c>
      <c r="E7542" s="12" t="s">
        <v>1988</v>
      </c>
      <c r="F7542" s="12" t="s">
        <v>1989</v>
      </c>
      <c r="G7542" s="12" t="s">
        <v>21</v>
      </c>
      <c r="H7542" s="11" t="s">
        <v>22</v>
      </c>
      <c r="I7542" s="13" t="s">
        <v>15512</v>
      </c>
      <c r="J7542" s="14" t="str">
        <f>HYPERLINK("https://www.boe.es/gazeta/dias/1839/10/29/pdfs/GMD-1839-1815.pdf#page=4","Abrir facsímil")</f>
        <v>Abrir facsímil</v>
      </c>
      <c r="K7542" s="12" t="s">
        <v>24</v>
      </c>
    </row>
    <row r="7543" spans="1:11" ht="40.049999999999997" customHeight="1" x14ac:dyDescent="0.25">
      <c r="A7543" s="11" t="s">
        <v>15513</v>
      </c>
      <c r="B7543" s="11" t="s">
        <v>15513</v>
      </c>
      <c r="C7543" s="11" t="s">
        <v>17</v>
      </c>
      <c r="D7543" s="11" t="s">
        <v>18</v>
      </c>
      <c r="E7543" s="12" t="s">
        <v>544</v>
      </c>
      <c r="F7543" s="12" t="s">
        <v>545</v>
      </c>
      <c r="G7543" s="12" t="s">
        <v>40</v>
      </c>
      <c r="H7543" s="11" t="s">
        <v>63</v>
      </c>
      <c r="I7543" s="13" t="s">
        <v>15514</v>
      </c>
      <c r="J7543" s="14" t="str">
        <f>HYPERLINK("https://www.boe.es/gazeta/dias/1839/11/11/pdfs/GMD-1839-1828.pdf#page=2","Abrir facsímil")</f>
        <v>Abrir facsímil</v>
      </c>
      <c r="K7543" s="12" t="s">
        <v>65</v>
      </c>
    </row>
    <row r="7544" spans="1:11" ht="40.049999999999997" customHeight="1" x14ac:dyDescent="0.25">
      <c r="A7544" s="11" t="s">
        <v>15515</v>
      </c>
      <c r="B7544" s="11" t="s">
        <v>15516</v>
      </c>
      <c r="C7544" s="11" t="s">
        <v>17</v>
      </c>
      <c r="D7544" s="11" t="s">
        <v>18</v>
      </c>
      <c r="E7544" s="12" t="s">
        <v>2107</v>
      </c>
      <c r="F7544" s="12" t="s">
        <v>2108</v>
      </c>
      <c r="G7544" s="12" t="s">
        <v>21</v>
      </c>
      <c r="H7544" s="11" t="s">
        <v>63</v>
      </c>
      <c r="I7544" s="13" t="s">
        <v>15517</v>
      </c>
      <c r="J7544" s="14" t="str">
        <f>HYPERLINK("https://www.boe.es/gazeta/dias/1839/10/11/pdfs/GMD-1839-1797.pdf#page=4","Abrir facsímil")</f>
        <v>Abrir facsímil</v>
      </c>
      <c r="K7544" s="12" t="s">
        <v>65</v>
      </c>
    </row>
    <row r="7545" spans="1:11" ht="40.049999999999997" customHeight="1" x14ac:dyDescent="0.25">
      <c r="A7545" s="11" t="s">
        <v>15518</v>
      </c>
      <c r="B7545" s="11" t="s">
        <v>15518</v>
      </c>
      <c r="C7545" s="11" t="s">
        <v>17</v>
      </c>
      <c r="D7545" s="11" t="s">
        <v>18</v>
      </c>
      <c r="E7545" s="12" t="s">
        <v>385</v>
      </c>
      <c r="F7545" s="12" t="s">
        <v>386</v>
      </c>
      <c r="G7545" s="12" t="s">
        <v>40</v>
      </c>
      <c r="H7545" s="11" t="s">
        <v>63</v>
      </c>
      <c r="I7545" s="13" t="s">
        <v>15519</v>
      </c>
      <c r="J7545" s="14" t="str">
        <f>HYPERLINK("https://www.boe.es/gazeta/dias/1839/08/01/pdfs/GMD-1839-1721.pdf#page=2","Abrir facsímil")</f>
        <v>Abrir facsímil</v>
      </c>
      <c r="K7545" s="12" t="s">
        <v>65</v>
      </c>
    </row>
    <row r="7546" spans="1:11" ht="40.049999999999997" customHeight="1" x14ac:dyDescent="0.25">
      <c r="A7546" s="11" t="s">
        <v>15518</v>
      </c>
      <c r="B7546" s="11" t="s">
        <v>15518</v>
      </c>
      <c r="C7546" s="11" t="s">
        <v>137</v>
      </c>
      <c r="D7546" s="11" t="s">
        <v>18</v>
      </c>
      <c r="E7546" s="12" t="s">
        <v>372</v>
      </c>
      <c r="F7546" s="12" t="s">
        <v>373</v>
      </c>
      <c r="G7546" s="12" t="s">
        <v>21</v>
      </c>
      <c r="H7546" s="11" t="s">
        <v>63</v>
      </c>
      <c r="I7546" s="13" t="s">
        <v>15520</v>
      </c>
      <c r="J7546" s="14" t="str">
        <f>HYPERLINK("https://www.boe.es/gazeta/dias/1839/11/08/pdfs/GMD-1839-1825.pdf#page=4","Abrir facsímil")</f>
        <v>Abrir facsímil</v>
      </c>
      <c r="K7546" s="12" t="s">
        <v>65</v>
      </c>
    </row>
    <row r="7547" spans="1:11" ht="40.049999999999997" customHeight="1" x14ac:dyDescent="0.25">
      <c r="A7547" s="11" t="s">
        <v>15521</v>
      </c>
      <c r="B7547" s="11" t="s">
        <v>15522</v>
      </c>
      <c r="C7547" s="11" t="s">
        <v>17</v>
      </c>
      <c r="D7547" s="11" t="s">
        <v>18</v>
      </c>
      <c r="E7547" s="12" t="s">
        <v>262</v>
      </c>
      <c r="F7547" s="12" t="s">
        <v>263</v>
      </c>
      <c r="G7547" s="12" t="s">
        <v>21</v>
      </c>
      <c r="H7547" s="11" t="s">
        <v>63</v>
      </c>
      <c r="I7547" s="13" t="s">
        <v>15523</v>
      </c>
      <c r="J7547" s="14" t="str">
        <f>HYPERLINK("https://www.boe.es/gazeta/dias/1839/01/01/pdfs/GMD-1839-1508.pdf#page=4","Abrir facsímil")</f>
        <v>Abrir facsímil</v>
      </c>
      <c r="K7547" s="12" t="s">
        <v>65</v>
      </c>
    </row>
    <row r="7548" spans="1:11" ht="40.049999999999997" customHeight="1" x14ac:dyDescent="0.25">
      <c r="A7548" s="11" t="s">
        <v>15524</v>
      </c>
      <c r="B7548" s="11" t="s">
        <v>15524</v>
      </c>
      <c r="C7548" s="11" t="s">
        <v>17</v>
      </c>
      <c r="D7548" s="11" t="s">
        <v>18</v>
      </c>
      <c r="E7548" s="12" t="s">
        <v>713</v>
      </c>
      <c r="F7548" s="12" t="s">
        <v>714</v>
      </c>
      <c r="G7548" s="12" t="s">
        <v>40</v>
      </c>
      <c r="H7548" s="11" t="s">
        <v>63</v>
      </c>
      <c r="I7548" s="13" t="s">
        <v>15525</v>
      </c>
      <c r="J7548" s="14" t="str">
        <f>HYPERLINK("https://www.boe.es/gazeta/dias/1839/12/18/pdfs/GMD-1839-1865.pdf#page=2","Abrir facsímil")</f>
        <v>Abrir facsímil</v>
      </c>
      <c r="K7548" s="12" t="s">
        <v>65</v>
      </c>
    </row>
    <row r="7549" spans="1:11" ht="40.049999999999997" customHeight="1" x14ac:dyDescent="0.25">
      <c r="A7549" s="11" t="s">
        <v>15526</v>
      </c>
      <c r="B7549" s="11" t="s">
        <v>15527</v>
      </c>
      <c r="C7549" s="11" t="s">
        <v>17</v>
      </c>
      <c r="D7549" s="11" t="s">
        <v>18</v>
      </c>
      <c r="E7549" s="12" t="s">
        <v>388</v>
      </c>
      <c r="F7549" s="12" t="s">
        <v>389</v>
      </c>
      <c r="G7549" s="12" t="s">
        <v>21</v>
      </c>
      <c r="H7549" s="11" t="s">
        <v>63</v>
      </c>
      <c r="I7549" s="13" t="s">
        <v>15528</v>
      </c>
      <c r="J7549" s="14" t="str">
        <f>HYPERLINK("https://www.boe.es/gazeta/dias/1839/08/07/pdfs/GMD-1839-1727.pdf#page=4","Abrir facsímil")</f>
        <v>Abrir facsímil</v>
      </c>
      <c r="K7549" s="12" t="s">
        <v>65</v>
      </c>
    </row>
    <row r="7550" spans="1:11" ht="40.049999999999997" customHeight="1" x14ac:dyDescent="0.25">
      <c r="A7550" s="11" t="s">
        <v>15529</v>
      </c>
      <c r="B7550" s="11" t="s">
        <v>15530</v>
      </c>
      <c r="C7550" s="11" t="s">
        <v>17</v>
      </c>
      <c r="D7550" s="11" t="s">
        <v>18</v>
      </c>
      <c r="E7550" s="12" t="s">
        <v>1644</v>
      </c>
      <c r="F7550" s="12" t="s">
        <v>1645</v>
      </c>
      <c r="G7550" s="12" t="s">
        <v>46</v>
      </c>
      <c r="H7550" s="11" t="s">
        <v>63</v>
      </c>
      <c r="I7550" s="13" t="s">
        <v>15531</v>
      </c>
      <c r="J7550" s="14" t="str">
        <f>HYPERLINK("https://www.boe.es/gazeta/dias/1839/04/16/pdfs/GMD-1839-1613.pdf#page=3","Abrir facsímil")</f>
        <v>Abrir facsímil</v>
      </c>
      <c r="K7550" s="12" t="s">
        <v>65</v>
      </c>
    </row>
    <row r="7551" spans="1:11" ht="40.049999999999997" customHeight="1" x14ac:dyDescent="0.25">
      <c r="A7551" s="11" t="s">
        <v>15532</v>
      </c>
      <c r="B7551" s="11" t="s">
        <v>15533</v>
      </c>
      <c r="C7551" s="11" t="s">
        <v>137</v>
      </c>
      <c r="D7551" s="11" t="s">
        <v>18</v>
      </c>
      <c r="E7551" s="12" t="s">
        <v>197</v>
      </c>
      <c r="F7551" s="12" t="s">
        <v>198</v>
      </c>
      <c r="G7551" s="12" t="s">
        <v>46</v>
      </c>
      <c r="H7551" s="11" t="s">
        <v>63</v>
      </c>
      <c r="I7551" s="13" t="s">
        <v>15534</v>
      </c>
      <c r="J7551" s="14" t="str">
        <f>HYPERLINK("https://www.boe.es/gazeta/dias/1839/10/04/pdfs/GMD-1839-1790.pdf#page=3","Abrir facsímil")</f>
        <v>Abrir facsímil</v>
      </c>
      <c r="K7551" s="12" t="s">
        <v>65</v>
      </c>
    </row>
    <row r="7552" spans="1:11" ht="40.049999999999997" customHeight="1" x14ac:dyDescent="0.25">
      <c r="A7552" s="11" t="s">
        <v>15535</v>
      </c>
      <c r="B7552" s="11" t="s">
        <v>15535</v>
      </c>
      <c r="C7552" s="11" t="s">
        <v>17</v>
      </c>
      <c r="D7552" s="11" t="s">
        <v>18</v>
      </c>
      <c r="E7552" s="12" t="s">
        <v>1236</v>
      </c>
      <c r="F7552" s="12" t="s">
        <v>1237</v>
      </c>
      <c r="G7552" s="12" t="s">
        <v>21</v>
      </c>
      <c r="H7552" s="11" t="s">
        <v>63</v>
      </c>
      <c r="I7552" s="13" t="s">
        <v>15536</v>
      </c>
      <c r="J7552" s="14" t="str">
        <f>HYPERLINK("https://www.boe.es/gazeta/dias/1839/10/16/pdfs/GMD-1839-1802.pdf#page=4","Abrir facsímil")</f>
        <v>Abrir facsímil</v>
      </c>
      <c r="K7552" s="12" t="s">
        <v>65</v>
      </c>
    </row>
    <row r="7553" spans="1:11" ht="40.049999999999997" customHeight="1" x14ac:dyDescent="0.25">
      <c r="A7553" s="11" t="s">
        <v>15535</v>
      </c>
      <c r="B7553" s="11" t="s">
        <v>15535</v>
      </c>
      <c r="C7553" s="11" t="s">
        <v>59</v>
      </c>
      <c r="D7553" s="11" t="s">
        <v>60</v>
      </c>
      <c r="E7553" s="12" t="s">
        <v>1374</v>
      </c>
      <c r="F7553" s="12" t="s">
        <v>1375</v>
      </c>
      <c r="G7553" s="12" t="s">
        <v>29</v>
      </c>
      <c r="H7553" s="11" t="s">
        <v>63</v>
      </c>
      <c r="I7553" s="13" t="s">
        <v>15537</v>
      </c>
      <c r="J7553" s="14" t="str">
        <f>HYPERLINK("https://www.boe.es/gazeta/dias/1839/07/20/pdfs/GMD-1839-1708.pdf#page=1","Abrir facsímil")</f>
        <v>Abrir facsímil</v>
      </c>
      <c r="K7553" s="12" t="s">
        <v>65</v>
      </c>
    </row>
    <row r="7554" spans="1:11" ht="40.049999999999997" customHeight="1" x14ac:dyDescent="0.25">
      <c r="A7554" s="11" t="s">
        <v>15538</v>
      </c>
      <c r="B7554" s="11" t="s">
        <v>15539</v>
      </c>
      <c r="C7554" s="11" t="s">
        <v>17</v>
      </c>
      <c r="D7554" s="11" t="s">
        <v>18</v>
      </c>
      <c r="E7554" s="12" t="s">
        <v>258</v>
      </c>
      <c r="F7554" s="12" t="s">
        <v>259</v>
      </c>
      <c r="G7554" s="12" t="s">
        <v>46</v>
      </c>
      <c r="H7554" s="11" t="s">
        <v>22</v>
      </c>
      <c r="I7554" s="13" t="s">
        <v>15540</v>
      </c>
      <c r="J7554" s="14" t="str">
        <f>HYPERLINK("https://www.boe.es/gazeta/dias/1839/01/02/pdfs/GMD-1839-1509.pdf#page=3","Abrir facsímil")</f>
        <v>Abrir facsímil</v>
      </c>
      <c r="K7554" s="12" t="s">
        <v>24</v>
      </c>
    </row>
    <row r="7555" spans="1:11" ht="40.049999999999997" customHeight="1" x14ac:dyDescent="0.25">
      <c r="A7555" s="11" t="s">
        <v>15541</v>
      </c>
      <c r="B7555" s="11" t="s">
        <v>15542</v>
      </c>
      <c r="C7555" s="11" t="s">
        <v>17</v>
      </c>
      <c r="D7555" s="11" t="s">
        <v>18</v>
      </c>
      <c r="E7555" s="12" t="s">
        <v>3705</v>
      </c>
      <c r="F7555" s="12" t="s">
        <v>3706</v>
      </c>
      <c r="G7555" s="12" t="s">
        <v>21</v>
      </c>
      <c r="H7555" s="11" t="s">
        <v>63</v>
      </c>
      <c r="I7555" s="13" t="s">
        <v>15543</v>
      </c>
      <c r="J7555" s="14" t="str">
        <f>HYPERLINK("https://www.boe.es/gazeta/dias/1839/03/09/pdfs/GMD-1839-1575.pdf#page=4","Abrir facsímil")</f>
        <v>Abrir facsímil</v>
      </c>
      <c r="K7555" s="12" t="s">
        <v>65</v>
      </c>
    </row>
    <row r="7556" spans="1:11" ht="40.049999999999997" customHeight="1" x14ac:dyDescent="0.25">
      <c r="A7556" s="11" t="s">
        <v>15544</v>
      </c>
      <c r="B7556" s="11" t="s">
        <v>15544</v>
      </c>
      <c r="C7556" s="11" t="s">
        <v>17</v>
      </c>
      <c r="D7556" s="11" t="s">
        <v>18</v>
      </c>
      <c r="E7556" s="12" t="s">
        <v>462</v>
      </c>
      <c r="F7556" s="12" t="s">
        <v>463</v>
      </c>
      <c r="G7556" s="12" t="s">
        <v>21</v>
      </c>
      <c r="H7556" s="11" t="s">
        <v>63</v>
      </c>
      <c r="I7556" s="13" t="s">
        <v>15545</v>
      </c>
      <c r="J7556" s="14" t="str">
        <f>HYPERLINK("https://www.boe.es/gazeta/dias/1839/06/19/pdfs/GMD-1839-1677.pdf#page=4","Abrir facsímil")</f>
        <v>Abrir facsímil</v>
      </c>
      <c r="K7556" s="12" t="s">
        <v>65</v>
      </c>
    </row>
    <row r="7557" spans="1:11" ht="40.049999999999997" customHeight="1" x14ac:dyDescent="0.25">
      <c r="A7557" s="11" t="s">
        <v>15546</v>
      </c>
      <c r="B7557" s="11" t="s">
        <v>15546</v>
      </c>
      <c r="C7557" s="11" t="s">
        <v>17</v>
      </c>
      <c r="D7557" s="11" t="s">
        <v>18</v>
      </c>
      <c r="E7557" s="12" t="s">
        <v>1623</v>
      </c>
      <c r="F7557" s="12" t="s">
        <v>1624</v>
      </c>
      <c r="G7557" s="12" t="s">
        <v>21</v>
      </c>
      <c r="H7557" s="11" t="s">
        <v>63</v>
      </c>
      <c r="I7557" s="13" t="s">
        <v>15547</v>
      </c>
      <c r="J7557" s="14" t="str">
        <f>HYPERLINK("https://www.boe.es/gazeta/dias/1839/04/07/pdfs/GMD-1839-1604.pdf#page=4","Abrir facsímil")</f>
        <v>Abrir facsímil</v>
      </c>
      <c r="K7557" s="12" t="s">
        <v>65</v>
      </c>
    </row>
    <row r="7558" spans="1:11" ht="40.049999999999997" customHeight="1" x14ac:dyDescent="0.25">
      <c r="A7558" s="11" t="s">
        <v>15546</v>
      </c>
      <c r="B7558" s="11" t="s">
        <v>15546</v>
      </c>
      <c r="C7558" s="11" t="s">
        <v>17</v>
      </c>
      <c r="D7558" s="11" t="s">
        <v>18</v>
      </c>
      <c r="E7558" s="12" t="s">
        <v>2650</v>
      </c>
      <c r="F7558" s="12" t="s">
        <v>2651</v>
      </c>
      <c r="G7558" s="12" t="s">
        <v>21</v>
      </c>
      <c r="H7558" s="11" t="s">
        <v>63</v>
      </c>
      <c r="I7558" s="13" t="s">
        <v>15548</v>
      </c>
      <c r="J7558" s="14" t="str">
        <f>HYPERLINK("https://www.boe.es/gazeta/dias/1839/09/15/pdfs/GMD-1839-1768.pdf#page=4","Abrir facsímil")</f>
        <v>Abrir facsímil</v>
      </c>
      <c r="K7558" s="12" t="s">
        <v>65</v>
      </c>
    </row>
    <row r="7559" spans="1:11" ht="40.049999999999997" customHeight="1" x14ac:dyDescent="0.25">
      <c r="A7559" s="11" t="s">
        <v>15546</v>
      </c>
      <c r="B7559" s="11" t="s">
        <v>15546</v>
      </c>
      <c r="C7559" s="11" t="s">
        <v>17</v>
      </c>
      <c r="D7559" s="11" t="s">
        <v>43</v>
      </c>
      <c r="E7559" s="12" t="s">
        <v>1725</v>
      </c>
      <c r="F7559" s="12" t="s">
        <v>1726</v>
      </c>
      <c r="G7559" s="12" t="s">
        <v>21</v>
      </c>
      <c r="H7559" s="11" t="s">
        <v>63</v>
      </c>
      <c r="I7559" s="13" t="s">
        <v>15549</v>
      </c>
      <c r="J7559" s="14" t="str">
        <f>HYPERLINK("https://www.boe.es/gazeta/dias/1839/11/17/pdfs/GMD-1839-1834.pdf#page=4","Abrir facsímil")</f>
        <v>Abrir facsímil</v>
      </c>
      <c r="K7559" s="12" t="s">
        <v>65</v>
      </c>
    </row>
    <row r="7560" spans="1:11" ht="40.049999999999997" customHeight="1" x14ac:dyDescent="0.25">
      <c r="A7560" s="11" t="s">
        <v>15546</v>
      </c>
      <c r="B7560" s="11" t="s">
        <v>15546</v>
      </c>
      <c r="C7560" s="11" t="s">
        <v>80</v>
      </c>
      <c r="D7560" s="11" t="s">
        <v>18</v>
      </c>
      <c r="E7560" s="12" t="s">
        <v>2962</v>
      </c>
      <c r="F7560" s="12" t="s">
        <v>2963</v>
      </c>
      <c r="G7560" s="12" t="s">
        <v>21</v>
      </c>
      <c r="H7560" s="11" t="s">
        <v>63</v>
      </c>
      <c r="I7560" s="13" t="s">
        <v>15550</v>
      </c>
      <c r="J7560" s="14" t="str">
        <f>HYPERLINK("https://www.boe.es/gazeta/dias/1839/12/21/pdfs/GMD-1839-1868.pdf#page=4","Abrir facsímil")</f>
        <v>Abrir facsímil</v>
      </c>
      <c r="K7560" s="12" t="s">
        <v>65</v>
      </c>
    </row>
    <row r="7561" spans="1:11" ht="40.049999999999997" customHeight="1" x14ac:dyDescent="0.25">
      <c r="A7561" s="11" t="s">
        <v>15546</v>
      </c>
      <c r="B7561" s="11" t="s">
        <v>15546</v>
      </c>
      <c r="C7561" s="11" t="s">
        <v>17</v>
      </c>
      <c r="D7561" s="11" t="s">
        <v>18</v>
      </c>
      <c r="E7561" s="12" t="s">
        <v>27</v>
      </c>
      <c r="F7561" s="12" t="s">
        <v>28</v>
      </c>
      <c r="G7561" s="12" t="s">
        <v>21</v>
      </c>
      <c r="H7561" s="11" t="s">
        <v>63</v>
      </c>
      <c r="I7561" s="13" t="s">
        <v>15551</v>
      </c>
      <c r="J7561" s="14" t="str">
        <f>HYPERLINK("https://www.boe.es/gazeta/dias/1839/07/28/pdfs/GMD-1839-1717.pdf#page=4","Abrir facsímil")</f>
        <v>Abrir facsímil</v>
      </c>
      <c r="K7561" s="12" t="s">
        <v>65</v>
      </c>
    </row>
    <row r="7562" spans="1:11" ht="40.049999999999997" customHeight="1" x14ac:dyDescent="0.25">
      <c r="A7562" s="11" t="s">
        <v>15552</v>
      </c>
      <c r="B7562" s="11" t="s">
        <v>15552</v>
      </c>
      <c r="C7562" s="11" t="s">
        <v>17</v>
      </c>
      <c r="D7562" s="11" t="s">
        <v>18</v>
      </c>
      <c r="E7562" s="12" t="s">
        <v>327</v>
      </c>
      <c r="F7562" s="12" t="s">
        <v>328</v>
      </c>
      <c r="G7562" s="12" t="s">
        <v>21</v>
      </c>
      <c r="H7562" s="11" t="s">
        <v>63</v>
      </c>
      <c r="I7562" s="13" t="s">
        <v>15553</v>
      </c>
      <c r="J7562" s="14" t="str">
        <f>HYPERLINK("https://www.boe.es/gazeta/dias/1839/08/05/pdfs/GMD-1839-1725.pdf#page=4","Abrir facsímil")</f>
        <v>Abrir facsímil</v>
      </c>
      <c r="K7562" s="12" t="s">
        <v>65</v>
      </c>
    </row>
    <row r="7563" spans="1:11" ht="40.049999999999997" customHeight="1" x14ac:dyDescent="0.25">
      <c r="A7563" s="11" t="s">
        <v>15554</v>
      </c>
      <c r="B7563" s="11" t="s">
        <v>15554</v>
      </c>
      <c r="C7563" s="11" t="s">
        <v>137</v>
      </c>
      <c r="D7563" s="11" t="s">
        <v>18</v>
      </c>
      <c r="E7563" s="12" t="s">
        <v>33</v>
      </c>
      <c r="F7563" s="12" t="s">
        <v>34</v>
      </c>
      <c r="G7563" s="12" t="s">
        <v>40</v>
      </c>
      <c r="H7563" s="11" t="s">
        <v>63</v>
      </c>
      <c r="I7563" s="13" t="s">
        <v>15555</v>
      </c>
      <c r="J7563" s="14" t="str">
        <f>HYPERLINK("https://www.boe.es/gazeta/dias/1839/12/13/pdfs/GMD-1839-1860.pdf#page=2","Abrir facsímil")</f>
        <v>Abrir facsímil</v>
      </c>
      <c r="K7563" s="12" t="s">
        <v>65</v>
      </c>
    </row>
    <row r="7564" spans="1:11" ht="40.049999999999997" customHeight="1" x14ac:dyDescent="0.25">
      <c r="A7564" s="11" t="s">
        <v>15556</v>
      </c>
      <c r="B7564" s="11" t="s">
        <v>15556</v>
      </c>
      <c r="C7564" s="11" t="s">
        <v>101</v>
      </c>
      <c r="D7564" s="11" t="s">
        <v>102</v>
      </c>
      <c r="E7564" s="12" t="s">
        <v>226</v>
      </c>
      <c r="F7564" s="12" t="s">
        <v>227</v>
      </c>
      <c r="G7564" s="12" t="s">
        <v>40</v>
      </c>
      <c r="H7564" s="11" t="s">
        <v>63</v>
      </c>
      <c r="I7564" s="13" t="s">
        <v>15557</v>
      </c>
      <c r="J7564" s="14" t="str">
        <f>HYPERLINK("https://www.boe.es/gazeta/dias/1839/06/09/pdfs/GMD-1839-1667.pdf#page=2","Abrir facsímil")</f>
        <v>Abrir facsímil</v>
      </c>
      <c r="K7564" s="12" t="s">
        <v>65</v>
      </c>
    </row>
    <row r="7565" spans="1:11" ht="40.049999999999997" customHeight="1" x14ac:dyDescent="0.25">
      <c r="A7565" s="11" t="s">
        <v>15558</v>
      </c>
      <c r="B7565" s="11" t="s">
        <v>15558</v>
      </c>
      <c r="C7565" s="11" t="s">
        <v>17</v>
      </c>
      <c r="D7565" s="11" t="s">
        <v>18</v>
      </c>
      <c r="E7565" s="12" t="s">
        <v>2253</v>
      </c>
      <c r="F7565" s="12" t="s">
        <v>2254</v>
      </c>
      <c r="G7565" s="12" t="s">
        <v>29</v>
      </c>
      <c r="H7565" s="11" t="s">
        <v>63</v>
      </c>
      <c r="I7565" s="13" t="s">
        <v>15559</v>
      </c>
      <c r="J7565" s="14" t="str">
        <f>HYPERLINK("https://www.boe.es/gazeta/dias/1839/02/20/pdfs/GMD-1839-1558.pdf#page=1","Abrir facsímil")</f>
        <v>Abrir facsímil</v>
      </c>
      <c r="K7565" s="12" t="s">
        <v>65</v>
      </c>
    </row>
    <row r="7566" spans="1:11" ht="40.049999999999997" customHeight="1" x14ac:dyDescent="0.25">
      <c r="A7566" s="11" t="s">
        <v>15560</v>
      </c>
      <c r="B7566" s="11" t="s">
        <v>15561</v>
      </c>
      <c r="C7566" s="11" t="s">
        <v>17</v>
      </c>
      <c r="D7566" s="11" t="s">
        <v>18</v>
      </c>
      <c r="E7566" s="12" t="s">
        <v>1374</v>
      </c>
      <c r="F7566" s="12" t="s">
        <v>1375</v>
      </c>
      <c r="G7566" s="12" t="s">
        <v>40</v>
      </c>
      <c r="H7566" s="11" t="s">
        <v>63</v>
      </c>
      <c r="I7566" s="13" t="s">
        <v>15562</v>
      </c>
      <c r="J7566" s="14" t="str">
        <f>HYPERLINK("https://www.boe.es/gazeta/dias/1839/07/20/pdfs/GMD-1839-1708.pdf#page=2","Abrir facsímil")</f>
        <v>Abrir facsímil</v>
      </c>
      <c r="K7566" s="12" t="s">
        <v>65</v>
      </c>
    </row>
    <row r="7567" spans="1:11" ht="40.049999999999997" customHeight="1" x14ac:dyDescent="0.25">
      <c r="A7567" s="11" t="s">
        <v>15563</v>
      </c>
      <c r="B7567" s="11" t="s">
        <v>15563</v>
      </c>
      <c r="C7567" s="11" t="s">
        <v>17</v>
      </c>
      <c r="D7567" s="11" t="s">
        <v>43</v>
      </c>
      <c r="E7567" s="12" t="s">
        <v>571</v>
      </c>
      <c r="F7567" s="12" t="s">
        <v>572</v>
      </c>
      <c r="G7567" s="12" t="s">
        <v>40</v>
      </c>
      <c r="H7567" s="11" t="s">
        <v>63</v>
      </c>
      <c r="I7567" s="13" t="s">
        <v>15564</v>
      </c>
      <c r="J7567" s="14" t="str">
        <f>HYPERLINK("https://www.boe.es/gazeta/dias/1839/09/27/pdfs/GMD-1839-1783.pdf#page=2","Abrir facsímil")</f>
        <v>Abrir facsímil</v>
      </c>
      <c r="K7567" s="12" t="s">
        <v>65</v>
      </c>
    </row>
    <row r="7568" spans="1:11" ht="40.049999999999997" customHeight="1" x14ac:dyDescent="0.25">
      <c r="A7568" s="11" t="s">
        <v>15565</v>
      </c>
      <c r="B7568" s="11" t="s">
        <v>15566</v>
      </c>
      <c r="C7568" s="11" t="s">
        <v>17</v>
      </c>
      <c r="D7568" s="11" t="s">
        <v>18</v>
      </c>
      <c r="E7568" s="12" t="s">
        <v>998</v>
      </c>
      <c r="F7568" s="12" t="s">
        <v>999</v>
      </c>
      <c r="G7568" s="12" t="s">
        <v>29</v>
      </c>
      <c r="H7568" s="11" t="s">
        <v>63</v>
      </c>
      <c r="I7568" s="13" t="s">
        <v>15567</v>
      </c>
      <c r="J7568" s="14" t="str">
        <f>HYPERLINK("https://www.boe.es/gazeta/dias/1839/05/06/pdfs/GMD-1839-1633.pdf#page=1","Abrir facsímil")</f>
        <v>Abrir facsímil</v>
      </c>
      <c r="K7568" s="12" t="s">
        <v>65</v>
      </c>
    </row>
    <row r="7569" spans="1:11" ht="40.049999999999997" customHeight="1" x14ac:dyDescent="0.25">
      <c r="A7569" s="11" t="s">
        <v>15568</v>
      </c>
      <c r="B7569" s="11" t="s">
        <v>15569</v>
      </c>
      <c r="C7569" s="11" t="s">
        <v>17</v>
      </c>
      <c r="D7569" s="11" t="s">
        <v>18</v>
      </c>
      <c r="E7569" s="12" t="s">
        <v>1374</v>
      </c>
      <c r="F7569" s="12" t="s">
        <v>1375</v>
      </c>
      <c r="G7569" s="12" t="s">
        <v>40</v>
      </c>
      <c r="H7569" s="11" t="s">
        <v>63</v>
      </c>
      <c r="I7569" s="13" t="s">
        <v>15570</v>
      </c>
      <c r="J7569" s="14" t="str">
        <f>HYPERLINK("https://www.boe.es/gazeta/dias/1839/07/20/pdfs/GMD-1839-1708.pdf#page=2","Abrir facsímil")</f>
        <v>Abrir facsímil</v>
      </c>
      <c r="K7569" s="12" t="s">
        <v>65</v>
      </c>
    </row>
    <row r="7570" spans="1:11" ht="40.049999999999997" customHeight="1" x14ac:dyDescent="0.25">
      <c r="A7570" s="11" t="s">
        <v>15571</v>
      </c>
      <c r="B7570" s="11" t="s">
        <v>15571</v>
      </c>
      <c r="C7570" s="11" t="s">
        <v>17</v>
      </c>
      <c r="D7570" s="11" t="s">
        <v>18</v>
      </c>
      <c r="E7570" s="12" t="s">
        <v>785</v>
      </c>
      <c r="F7570" s="12" t="s">
        <v>786</v>
      </c>
      <c r="G7570" s="12" t="s">
        <v>29</v>
      </c>
      <c r="H7570" s="11" t="s">
        <v>63</v>
      </c>
      <c r="I7570" s="13" t="s">
        <v>15572</v>
      </c>
      <c r="J7570" s="14" t="str">
        <f>HYPERLINK("https://www.boe.es/gazeta/dias/1839/07/13/pdfs/GMD-1839-1701.pdf#page=1","Abrir facsímil")</f>
        <v>Abrir facsímil</v>
      </c>
      <c r="K7570" s="12" t="s">
        <v>65</v>
      </c>
    </row>
    <row r="7571" spans="1:11" ht="40.049999999999997" customHeight="1" x14ac:dyDescent="0.25">
      <c r="A7571" s="11" t="s">
        <v>15571</v>
      </c>
      <c r="B7571" s="11" t="s">
        <v>15571</v>
      </c>
      <c r="C7571" s="11" t="s">
        <v>137</v>
      </c>
      <c r="D7571" s="11" t="s">
        <v>18</v>
      </c>
      <c r="E7571" s="12" t="s">
        <v>222</v>
      </c>
      <c r="F7571" s="12" t="s">
        <v>223</v>
      </c>
      <c r="G7571" s="12" t="s">
        <v>21</v>
      </c>
      <c r="H7571" s="11" t="s">
        <v>63</v>
      </c>
      <c r="I7571" s="13" t="s">
        <v>15573</v>
      </c>
      <c r="J7571" s="14" t="str">
        <f>HYPERLINK("https://www.boe.es/gazeta/dias/1839/06/22/pdfs/GMD-1839-1680.pdf#page=4","Abrir facsímil")</f>
        <v>Abrir facsímil</v>
      </c>
      <c r="K7571" s="12" t="s">
        <v>65</v>
      </c>
    </row>
    <row r="7572" spans="1:11" ht="40.049999999999997" customHeight="1" x14ac:dyDescent="0.25">
      <c r="A7572" s="11" t="s">
        <v>15574</v>
      </c>
      <c r="B7572" s="11" t="s">
        <v>15575</v>
      </c>
      <c r="C7572" s="11" t="s">
        <v>17</v>
      </c>
      <c r="D7572" s="11" t="s">
        <v>18</v>
      </c>
      <c r="E7572" s="12" t="s">
        <v>1772</v>
      </c>
      <c r="F7572" s="12" t="s">
        <v>1773</v>
      </c>
      <c r="G7572" s="12" t="s">
        <v>29</v>
      </c>
      <c r="H7572" s="11" t="s">
        <v>63</v>
      </c>
      <c r="I7572" s="13" t="s">
        <v>15576</v>
      </c>
      <c r="J7572" s="14" t="str">
        <f>HYPERLINK("https://www.boe.es/gazeta/dias/1839/05/07/pdfs/GMD-1839-1634.pdf#page=1","Abrir facsímil")</f>
        <v>Abrir facsímil</v>
      </c>
      <c r="K7572" s="12" t="s">
        <v>65</v>
      </c>
    </row>
    <row r="7573" spans="1:11" ht="40.049999999999997" customHeight="1" x14ac:dyDescent="0.25">
      <c r="A7573" s="11" t="s">
        <v>15577</v>
      </c>
      <c r="B7573" s="11" t="s">
        <v>15578</v>
      </c>
      <c r="C7573" s="11" t="s">
        <v>80</v>
      </c>
      <c r="D7573" s="11" t="s">
        <v>18</v>
      </c>
      <c r="E7573" s="12" t="s">
        <v>76</v>
      </c>
      <c r="F7573" s="12" t="s">
        <v>77</v>
      </c>
      <c r="G7573" s="12" t="s">
        <v>46</v>
      </c>
      <c r="H7573" s="11" t="s">
        <v>63</v>
      </c>
      <c r="I7573" s="13" t="s">
        <v>15579</v>
      </c>
      <c r="J7573" s="14" t="str">
        <f>HYPERLINK("https://www.boe.es/gazeta/dias/1839/03/13/pdfs/GMD-1839-1579.pdf#page=3","Abrir facsímil")</f>
        <v>Abrir facsímil</v>
      </c>
      <c r="K7573" s="12" t="s">
        <v>65</v>
      </c>
    </row>
    <row r="7574" spans="1:11" ht="40.049999999999997" customHeight="1" x14ac:dyDescent="0.25">
      <c r="A7574" s="11" t="s">
        <v>15580</v>
      </c>
      <c r="B7574" s="11" t="s">
        <v>15580</v>
      </c>
      <c r="C7574" s="11" t="s">
        <v>59</v>
      </c>
      <c r="D7574" s="11" t="s">
        <v>60</v>
      </c>
      <c r="E7574" s="12" t="s">
        <v>246</v>
      </c>
      <c r="F7574" s="12" t="s">
        <v>247</v>
      </c>
      <c r="G7574" s="12" t="s">
        <v>46</v>
      </c>
      <c r="H7574" s="11" t="s">
        <v>63</v>
      </c>
      <c r="I7574" s="13" t="s">
        <v>15581</v>
      </c>
      <c r="J7574" s="14" t="str">
        <f>HYPERLINK("https://www.boe.es/gazeta/dias/1839/11/24/pdfs/GMD-1839-1841.pdf#page=3","Abrir facsímil")</f>
        <v>Abrir facsímil</v>
      </c>
      <c r="K7574" s="12" t="s">
        <v>65</v>
      </c>
    </row>
    <row r="7575" spans="1:11" ht="40.049999999999997" customHeight="1" x14ac:dyDescent="0.25">
      <c r="A7575" s="11" t="s">
        <v>15580</v>
      </c>
      <c r="B7575" s="11" t="s">
        <v>15580</v>
      </c>
      <c r="C7575" s="11" t="s">
        <v>59</v>
      </c>
      <c r="D7575" s="11" t="s">
        <v>60</v>
      </c>
      <c r="E7575" s="12" t="s">
        <v>287</v>
      </c>
      <c r="F7575" s="12" t="s">
        <v>288</v>
      </c>
      <c r="G7575" s="12" t="s">
        <v>46</v>
      </c>
      <c r="H7575" s="11" t="s">
        <v>63</v>
      </c>
      <c r="I7575" s="13" t="s">
        <v>15582</v>
      </c>
      <c r="J7575" s="14" t="str">
        <f>HYPERLINK("https://www.boe.es/gazeta/dias/1839/11/27/pdfs/GMD-1839-1844.pdf#page=3","Abrir facsímil")</f>
        <v>Abrir facsímil</v>
      </c>
      <c r="K7575" s="12" t="s">
        <v>65</v>
      </c>
    </row>
    <row r="7576" spans="1:11" ht="40.049999999999997" customHeight="1" x14ac:dyDescent="0.25">
      <c r="A7576" s="11" t="s">
        <v>15583</v>
      </c>
      <c r="B7576" s="11" t="s">
        <v>15584</v>
      </c>
      <c r="C7576" s="11" t="s">
        <v>17</v>
      </c>
      <c r="D7576" s="11" t="s">
        <v>18</v>
      </c>
      <c r="E7576" s="12" t="s">
        <v>1562</v>
      </c>
      <c r="F7576" s="12" t="s">
        <v>1563</v>
      </c>
      <c r="G7576" s="12" t="s">
        <v>29</v>
      </c>
      <c r="H7576" s="11" t="s">
        <v>63</v>
      </c>
      <c r="I7576" s="13" t="s">
        <v>15585</v>
      </c>
      <c r="J7576" s="14" t="str">
        <f>HYPERLINK("https://www.boe.es/gazeta/dias/1839/04/08/pdfs/GMD-1839-1605.pdf#page=1","Abrir facsímil")</f>
        <v>Abrir facsímil</v>
      </c>
      <c r="K7576" s="12" t="s">
        <v>65</v>
      </c>
    </row>
    <row r="7577" spans="1:11" ht="40.049999999999997" customHeight="1" x14ac:dyDescent="0.25">
      <c r="A7577" s="11" t="s">
        <v>15586</v>
      </c>
      <c r="B7577" s="11" t="s">
        <v>15586</v>
      </c>
      <c r="C7577" s="11" t="s">
        <v>101</v>
      </c>
      <c r="D7577" s="11" t="s">
        <v>102</v>
      </c>
      <c r="E7577" s="12" t="s">
        <v>84</v>
      </c>
      <c r="F7577" s="12" t="s">
        <v>85</v>
      </c>
      <c r="G7577" s="12" t="s">
        <v>40</v>
      </c>
      <c r="H7577" s="11" t="s">
        <v>63</v>
      </c>
      <c r="I7577" s="13" t="s">
        <v>15587</v>
      </c>
      <c r="J7577" s="14" t="str">
        <f>HYPERLINK("https://www.boe.es/gazeta/dias/1839/03/11/pdfs/GMD-1839-1577.pdf#page=2","Abrir facsímil")</f>
        <v>Abrir facsímil</v>
      </c>
      <c r="K7577" s="12" t="s">
        <v>65</v>
      </c>
    </row>
    <row r="7578" spans="1:11" ht="40.049999999999997" customHeight="1" x14ac:dyDescent="0.25">
      <c r="A7578" s="11" t="s">
        <v>15588</v>
      </c>
      <c r="B7578" s="11" t="s">
        <v>15589</v>
      </c>
      <c r="C7578" s="11" t="s">
        <v>17</v>
      </c>
      <c r="D7578" s="11" t="s">
        <v>18</v>
      </c>
      <c r="E7578" s="12" t="s">
        <v>365</v>
      </c>
      <c r="F7578" s="12" t="s">
        <v>366</v>
      </c>
      <c r="G7578" s="12" t="s">
        <v>29</v>
      </c>
      <c r="H7578" s="11" t="s">
        <v>63</v>
      </c>
      <c r="I7578" s="13" t="s">
        <v>15590</v>
      </c>
      <c r="J7578" s="14" t="str">
        <f>HYPERLINK("https://www.boe.es/gazeta/dias/1839/08/14/pdfs/GMD-1839-1734.pdf#page=1","Abrir facsímil")</f>
        <v>Abrir facsímil</v>
      </c>
      <c r="K7578" s="12" t="s">
        <v>65</v>
      </c>
    </row>
    <row r="7579" spans="1:11" ht="40.049999999999997" customHeight="1" x14ac:dyDescent="0.25">
      <c r="A7579" s="11" t="s">
        <v>15591</v>
      </c>
      <c r="B7579" s="11" t="s">
        <v>15592</v>
      </c>
      <c r="C7579" s="11" t="s">
        <v>17</v>
      </c>
      <c r="D7579" s="11" t="s">
        <v>18</v>
      </c>
      <c r="E7579" s="12" t="s">
        <v>212</v>
      </c>
      <c r="F7579" s="12" t="s">
        <v>213</v>
      </c>
      <c r="G7579" s="12" t="s">
        <v>29</v>
      </c>
      <c r="H7579" s="11" t="s">
        <v>63</v>
      </c>
      <c r="I7579" s="13" t="s">
        <v>15593</v>
      </c>
      <c r="J7579" s="14" t="str">
        <f>HYPERLINK("https://www.boe.es/gazeta/dias/1839/10/03/pdfs/GMD-1839-1789.pdf#page=1","Abrir facsímil")</f>
        <v>Abrir facsímil</v>
      </c>
      <c r="K7579" s="12" t="s">
        <v>65</v>
      </c>
    </row>
    <row r="7580" spans="1:11" ht="40.049999999999997" customHeight="1" x14ac:dyDescent="0.25">
      <c r="A7580" s="11" t="s">
        <v>15594</v>
      </c>
      <c r="B7580" s="11" t="s">
        <v>15595</v>
      </c>
      <c r="C7580" s="11" t="s">
        <v>80</v>
      </c>
      <c r="D7580" s="11" t="s">
        <v>18</v>
      </c>
      <c r="E7580" s="12" t="s">
        <v>1012</v>
      </c>
      <c r="F7580" s="12" t="s">
        <v>1013</v>
      </c>
      <c r="G7580" s="12" t="s">
        <v>46</v>
      </c>
      <c r="H7580" s="11" t="s">
        <v>63</v>
      </c>
      <c r="I7580" s="13" t="s">
        <v>15596</v>
      </c>
      <c r="J7580" s="14" t="str">
        <f>HYPERLINK("https://www.boe.es/gazeta/dias/1839/11/22/pdfs/GMD-1839-1839.pdf#page=3","Abrir facsímil")</f>
        <v>Abrir facsímil</v>
      </c>
      <c r="K7580" s="12" t="s">
        <v>65</v>
      </c>
    </row>
    <row r="7581" spans="1:11" ht="40.049999999999997" customHeight="1" x14ac:dyDescent="0.25">
      <c r="A7581" s="11" t="s">
        <v>15597</v>
      </c>
      <c r="B7581" s="11" t="s">
        <v>15598</v>
      </c>
      <c r="C7581" s="11" t="s">
        <v>17</v>
      </c>
      <c r="D7581" s="11" t="s">
        <v>18</v>
      </c>
      <c r="E7581" s="12" t="s">
        <v>121</v>
      </c>
      <c r="F7581" s="12" t="s">
        <v>122</v>
      </c>
      <c r="G7581" s="12" t="s">
        <v>40</v>
      </c>
      <c r="H7581" s="11" t="s">
        <v>63</v>
      </c>
      <c r="I7581" s="13" t="s">
        <v>15599</v>
      </c>
      <c r="J7581" s="14" t="str">
        <f>HYPERLINK("https://www.boe.es/gazeta/dias/1839/06/08/pdfs/GMD-1839-1666.pdf#page=2","Abrir facsímil")</f>
        <v>Abrir facsímil</v>
      </c>
      <c r="K7581" s="12" t="s">
        <v>65</v>
      </c>
    </row>
    <row r="7582" spans="1:11" ht="40.049999999999997" customHeight="1" x14ac:dyDescent="0.25">
      <c r="A7582" s="11" t="s">
        <v>15600</v>
      </c>
      <c r="B7582" s="11" t="s">
        <v>15600</v>
      </c>
      <c r="C7582" s="11" t="s">
        <v>137</v>
      </c>
      <c r="D7582" s="11" t="s">
        <v>18</v>
      </c>
      <c r="E7582" s="12" t="s">
        <v>817</v>
      </c>
      <c r="F7582" s="12" t="s">
        <v>818</v>
      </c>
      <c r="G7582" s="12" t="s">
        <v>21</v>
      </c>
      <c r="H7582" s="11" t="s">
        <v>63</v>
      </c>
      <c r="I7582" s="13" t="s">
        <v>15601</v>
      </c>
      <c r="J7582" s="14" t="str">
        <f>HYPERLINK("https://www.boe.es/gazeta/dias/1839/05/28/pdfs/GMD-1839-1655.pdf#page=4","Abrir facsímil")</f>
        <v>Abrir facsímil</v>
      </c>
      <c r="K7582" s="12" t="s">
        <v>65</v>
      </c>
    </row>
    <row r="7583" spans="1:11" ht="40.049999999999997" customHeight="1" x14ac:dyDescent="0.25">
      <c r="A7583" s="11" t="s">
        <v>15602</v>
      </c>
      <c r="B7583" s="11" t="s">
        <v>15603</v>
      </c>
      <c r="C7583" s="11" t="s">
        <v>17</v>
      </c>
      <c r="D7583" s="11" t="s">
        <v>18</v>
      </c>
      <c r="E7583" s="12" t="s">
        <v>385</v>
      </c>
      <c r="F7583" s="12" t="s">
        <v>386</v>
      </c>
      <c r="G7583" s="12" t="s">
        <v>21</v>
      </c>
      <c r="H7583" s="11" t="s">
        <v>63</v>
      </c>
      <c r="I7583" s="13" t="s">
        <v>15604</v>
      </c>
      <c r="J7583" s="14" t="str">
        <f>HYPERLINK("https://www.boe.es/gazeta/dias/1839/08/01/pdfs/GMD-1839-1721.pdf#page=4","Abrir facsímil")</f>
        <v>Abrir facsímil</v>
      </c>
      <c r="K7583" s="12" t="s">
        <v>65</v>
      </c>
    </row>
    <row r="7584" spans="1:11" ht="40.049999999999997" customHeight="1" x14ac:dyDescent="0.25">
      <c r="A7584" s="11" t="s">
        <v>15605</v>
      </c>
      <c r="B7584" s="11" t="s">
        <v>15605</v>
      </c>
      <c r="C7584" s="11" t="s">
        <v>17</v>
      </c>
      <c r="D7584" s="11" t="s">
        <v>18</v>
      </c>
      <c r="E7584" s="12" t="s">
        <v>486</v>
      </c>
      <c r="F7584" s="12" t="s">
        <v>487</v>
      </c>
      <c r="G7584" s="12" t="s">
        <v>21</v>
      </c>
      <c r="H7584" s="11" t="s">
        <v>63</v>
      </c>
      <c r="I7584" s="13" t="s">
        <v>15606</v>
      </c>
      <c r="J7584" s="14" t="str">
        <f>HYPERLINK("https://www.boe.es/gazeta/dias/1839/04/19/pdfs/GMD-1839-1616.pdf#page=4","Abrir facsímil")</f>
        <v>Abrir facsímil</v>
      </c>
      <c r="K7584" s="12" t="s">
        <v>65</v>
      </c>
    </row>
    <row r="7585" spans="1:11" ht="40.049999999999997" customHeight="1" x14ac:dyDescent="0.25">
      <c r="A7585" s="11" t="s">
        <v>15607</v>
      </c>
      <c r="B7585" s="11" t="s">
        <v>15607</v>
      </c>
      <c r="C7585" s="11" t="s">
        <v>101</v>
      </c>
      <c r="D7585" s="11" t="s">
        <v>102</v>
      </c>
      <c r="E7585" s="12" t="s">
        <v>587</v>
      </c>
      <c r="F7585" s="12" t="s">
        <v>588</v>
      </c>
      <c r="G7585" s="12" t="s">
        <v>21</v>
      </c>
      <c r="H7585" s="11" t="s">
        <v>63</v>
      </c>
      <c r="I7585" s="13" t="s">
        <v>15608</v>
      </c>
      <c r="J7585" s="14" t="str">
        <f>HYPERLINK("https://www.boe.es/gazeta/dias/1839/05/02/pdfs/GMD-1839-1629.pdf#page=4","Abrir facsímil")</f>
        <v>Abrir facsímil</v>
      </c>
      <c r="K7585" s="12" t="s">
        <v>65</v>
      </c>
    </row>
    <row r="7586" spans="1:11" ht="40.049999999999997" customHeight="1" x14ac:dyDescent="0.25">
      <c r="A7586" s="11" t="s">
        <v>15607</v>
      </c>
      <c r="B7586" s="11" t="s">
        <v>15607</v>
      </c>
      <c r="C7586" s="11" t="s">
        <v>59</v>
      </c>
      <c r="D7586" s="11" t="s">
        <v>60</v>
      </c>
      <c r="E7586" s="12" t="s">
        <v>202</v>
      </c>
      <c r="F7586" s="12" t="s">
        <v>203</v>
      </c>
      <c r="G7586" s="12" t="s">
        <v>46</v>
      </c>
      <c r="H7586" s="11" t="s">
        <v>63</v>
      </c>
      <c r="I7586" s="13" t="s">
        <v>15609</v>
      </c>
      <c r="J7586" s="14" t="str">
        <f>HYPERLINK("https://www.boe.es/gazeta/dias/1839/04/05/pdfs/GMD-1839-1602.pdf#page=3","Abrir facsímil")</f>
        <v>Abrir facsímil</v>
      </c>
      <c r="K7586" s="12" t="s">
        <v>65</v>
      </c>
    </row>
    <row r="7587" spans="1:11" ht="40.049999999999997" customHeight="1" x14ac:dyDescent="0.25">
      <c r="A7587" s="11" t="s">
        <v>15607</v>
      </c>
      <c r="B7587" s="11" t="s">
        <v>15607</v>
      </c>
      <c r="C7587" s="11" t="s">
        <v>101</v>
      </c>
      <c r="D7587" s="11" t="s">
        <v>102</v>
      </c>
      <c r="E7587" s="12" t="s">
        <v>1623</v>
      </c>
      <c r="F7587" s="12" t="s">
        <v>1624</v>
      </c>
      <c r="G7587" s="12" t="s">
        <v>40</v>
      </c>
      <c r="H7587" s="11" t="s">
        <v>63</v>
      </c>
      <c r="I7587" s="13" t="s">
        <v>15610</v>
      </c>
      <c r="J7587" s="14" t="str">
        <f>HYPERLINK("https://www.boe.es/gazeta/dias/1839/04/07/pdfs/GMD-1839-1604.pdf#page=2","Abrir facsímil")</f>
        <v>Abrir facsímil</v>
      </c>
      <c r="K7587" s="12" t="s">
        <v>65</v>
      </c>
    </row>
    <row r="7588" spans="1:11" ht="40.049999999999997" customHeight="1" x14ac:dyDescent="0.25">
      <c r="A7588" s="11" t="s">
        <v>15607</v>
      </c>
      <c r="B7588" s="11" t="s">
        <v>15607</v>
      </c>
      <c r="C7588" s="11" t="s">
        <v>17</v>
      </c>
      <c r="D7588" s="11" t="s">
        <v>18</v>
      </c>
      <c r="E7588" s="12" t="s">
        <v>68</v>
      </c>
      <c r="F7588" s="12" t="s">
        <v>69</v>
      </c>
      <c r="G7588" s="12" t="s">
        <v>21</v>
      </c>
      <c r="H7588" s="11" t="s">
        <v>63</v>
      </c>
      <c r="I7588" s="13" t="s">
        <v>15611</v>
      </c>
      <c r="J7588" s="14" t="str">
        <f>HYPERLINK("https://www.boe.es/gazeta/dias/1839/02/09/pdfs/GMD-1839-1547.pdf#page=4","Abrir facsímil")</f>
        <v>Abrir facsímil</v>
      </c>
      <c r="K7588" s="12" t="s">
        <v>65</v>
      </c>
    </row>
    <row r="7589" spans="1:11" ht="40.049999999999997" customHeight="1" x14ac:dyDescent="0.25">
      <c r="A7589" s="11" t="s">
        <v>15607</v>
      </c>
      <c r="B7589" s="11" t="s">
        <v>15607</v>
      </c>
      <c r="C7589" s="11" t="s">
        <v>80</v>
      </c>
      <c r="D7589" s="11" t="s">
        <v>18</v>
      </c>
      <c r="E7589" s="12" t="s">
        <v>138</v>
      </c>
      <c r="F7589" s="12" t="s">
        <v>139</v>
      </c>
      <c r="G7589" s="12" t="s">
        <v>21</v>
      </c>
      <c r="H7589" s="11" t="s">
        <v>63</v>
      </c>
      <c r="I7589" s="13" t="s">
        <v>15612</v>
      </c>
      <c r="J7589" s="14" t="str">
        <f>HYPERLINK("https://www.boe.es/gazeta/dias/1839/10/09/pdfs/GMD-1839-1795.pdf#page=4","Abrir facsímil")</f>
        <v>Abrir facsímil</v>
      </c>
      <c r="K7589" s="12" t="s">
        <v>65</v>
      </c>
    </row>
    <row r="7590" spans="1:11" ht="40.049999999999997" customHeight="1" x14ac:dyDescent="0.25">
      <c r="A7590" s="11" t="s">
        <v>15607</v>
      </c>
      <c r="B7590" s="11" t="s">
        <v>15607</v>
      </c>
      <c r="C7590" s="11" t="s">
        <v>137</v>
      </c>
      <c r="D7590" s="11" t="s">
        <v>18</v>
      </c>
      <c r="E7590" s="12" t="s">
        <v>744</v>
      </c>
      <c r="F7590" s="12" t="s">
        <v>745</v>
      </c>
      <c r="G7590" s="12" t="s">
        <v>21</v>
      </c>
      <c r="H7590" s="11" t="s">
        <v>63</v>
      </c>
      <c r="I7590" s="13" t="s">
        <v>15613</v>
      </c>
      <c r="J7590" s="14" t="str">
        <f>HYPERLINK("https://www.boe.es/gazeta/dias/1839/12/09/pdfs/GMD-1839-1856.pdf#page=4","Abrir facsímil")</f>
        <v>Abrir facsímil</v>
      </c>
      <c r="K7590" s="12" t="s">
        <v>65</v>
      </c>
    </row>
    <row r="7591" spans="1:11" ht="40.049999999999997" customHeight="1" x14ac:dyDescent="0.25">
      <c r="A7591" s="11" t="s">
        <v>15607</v>
      </c>
      <c r="B7591" s="11" t="s">
        <v>15607</v>
      </c>
      <c r="C7591" s="11" t="s">
        <v>17</v>
      </c>
      <c r="D7591" s="11" t="s">
        <v>18</v>
      </c>
      <c r="E7591" s="12" t="s">
        <v>181</v>
      </c>
      <c r="F7591" s="12" t="s">
        <v>182</v>
      </c>
      <c r="G7591" s="12" t="s">
        <v>29</v>
      </c>
      <c r="H7591" s="11" t="s">
        <v>63</v>
      </c>
      <c r="I7591" s="13" t="s">
        <v>15614</v>
      </c>
      <c r="J7591" s="14" t="str">
        <f>HYPERLINK("https://www.boe.es/gazeta/dias/1839/01/11/pdfs/GMD-1839-1518.pdf#page=1","Abrir facsímil")</f>
        <v>Abrir facsímil</v>
      </c>
      <c r="K7591" s="12" t="s">
        <v>65</v>
      </c>
    </row>
    <row r="7592" spans="1:11" ht="40.049999999999997" customHeight="1" x14ac:dyDescent="0.25">
      <c r="A7592" s="11" t="s">
        <v>15607</v>
      </c>
      <c r="B7592" s="11" t="s">
        <v>15607</v>
      </c>
      <c r="C7592" s="11" t="s">
        <v>17</v>
      </c>
      <c r="D7592" s="11" t="s">
        <v>18</v>
      </c>
      <c r="E7592" s="12" t="s">
        <v>1414</v>
      </c>
      <c r="F7592" s="12" t="s">
        <v>1415</v>
      </c>
      <c r="G7592" s="12" t="s">
        <v>21</v>
      </c>
      <c r="H7592" s="11" t="s">
        <v>63</v>
      </c>
      <c r="I7592" s="13" t="s">
        <v>15615</v>
      </c>
      <c r="J7592" s="14" t="str">
        <f>HYPERLINK("https://www.boe.es/gazeta/dias/1839/06/12/pdfs/GMD-1839-1670.pdf#page=4","Abrir facsímil")</f>
        <v>Abrir facsímil</v>
      </c>
      <c r="K7592" s="12" t="s">
        <v>65</v>
      </c>
    </row>
    <row r="7593" spans="1:11" ht="40.049999999999997" customHeight="1" x14ac:dyDescent="0.25">
      <c r="A7593" s="11" t="s">
        <v>15607</v>
      </c>
      <c r="B7593" s="11" t="s">
        <v>15607</v>
      </c>
      <c r="C7593" s="11" t="s">
        <v>137</v>
      </c>
      <c r="D7593" s="11" t="s">
        <v>18</v>
      </c>
      <c r="E7593" s="12" t="s">
        <v>76</v>
      </c>
      <c r="F7593" s="12" t="s">
        <v>77</v>
      </c>
      <c r="G7593" s="12" t="s">
        <v>29</v>
      </c>
      <c r="H7593" s="11" t="s">
        <v>63</v>
      </c>
      <c r="I7593" s="13" t="s">
        <v>15616</v>
      </c>
      <c r="J7593" s="14" t="str">
        <f>HYPERLINK("https://www.boe.es/gazeta/dias/1839/03/13/pdfs/GMD-1839-1579.pdf#page=1","Abrir facsímil")</f>
        <v>Abrir facsímil</v>
      </c>
      <c r="K7593" s="12" t="s">
        <v>65</v>
      </c>
    </row>
    <row r="7594" spans="1:11" ht="40.049999999999997" customHeight="1" x14ac:dyDescent="0.25">
      <c r="A7594" s="11" t="s">
        <v>15607</v>
      </c>
      <c r="B7594" s="11" t="s">
        <v>15607</v>
      </c>
      <c r="C7594" s="11" t="s">
        <v>17</v>
      </c>
      <c r="D7594" s="11" t="s">
        <v>18</v>
      </c>
      <c r="E7594" s="12" t="s">
        <v>3009</v>
      </c>
      <c r="F7594" s="12" t="s">
        <v>3010</v>
      </c>
      <c r="G7594" s="12" t="s">
        <v>40</v>
      </c>
      <c r="H7594" s="11" t="s">
        <v>63</v>
      </c>
      <c r="I7594" s="13" t="s">
        <v>15617</v>
      </c>
      <c r="J7594" s="14" t="str">
        <f>HYPERLINK("https://www.boe.es/gazeta/dias/1839/04/20/pdfs/GMD-1839-1617.pdf#page=2","Abrir facsímil")</f>
        <v>Abrir facsímil</v>
      </c>
      <c r="K7594" s="12" t="s">
        <v>65</v>
      </c>
    </row>
    <row r="7595" spans="1:11" ht="40.049999999999997" customHeight="1" x14ac:dyDescent="0.25">
      <c r="A7595" s="11" t="s">
        <v>15607</v>
      </c>
      <c r="B7595" s="11" t="s">
        <v>15607</v>
      </c>
      <c r="C7595" s="11" t="s">
        <v>17</v>
      </c>
      <c r="D7595" s="11" t="s">
        <v>18</v>
      </c>
      <c r="E7595" s="12" t="s">
        <v>346</v>
      </c>
      <c r="F7595" s="12" t="s">
        <v>347</v>
      </c>
      <c r="G7595" s="12" t="s">
        <v>29</v>
      </c>
      <c r="H7595" s="11" t="s">
        <v>63</v>
      </c>
      <c r="I7595" s="13" t="s">
        <v>15618</v>
      </c>
      <c r="J7595" s="14" t="str">
        <f>HYPERLINK("https://www.boe.es/gazeta/dias/1839/03/24/pdfs/GMD-1839-1590.pdf#page=1","Abrir facsímil")</f>
        <v>Abrir facsímil</v>
      </c>
      <c r="K7595" s="12" t="s">
        <v>65</v>
      </c>
    </row>
    <row r="7596" spans="1:11" ht="40.049999999999997" customHeight="1" x14ac:dyDescent="0.25">
      <c r="A7596" s="11" t="s">
        <v>15607</v>
      </c>
      <c r="B7596" s="11" t="s">
        <v>15607</v>
      </c>
      <c r="C7596" s="11" t="s">
        <v>17</v>
      </c>
      <c r="D7596" s="11" t="s">
        <v>18</v>
      </c>
      <c r="E7596" s="12" t="s">
        <v>1672</v>
      </c>
      <c r="F7596" s="12" t="s">
        <v>1673</v>
      </c>
      <c r="G7596" s="12" t="s">
        <v>21</v>
      </c>
      <c r="H7596" s="11" t="s">
        <v>63</v>
      </c>
      <c r="I7596" s="13" t="s">
        <v>15619</v>
      </c>
      <c r="J7596" s="14" t="str">
        <f>HYPERLINK("https://www.boe.es/gazeta/dias/1839/08/24/pdfs/GMD-1839-1745.pdf#page=4","Abrir facsímil")</f>
        <v>Abrir facsímil</v>
      </c>
      <c r="K7596" s="12" t="s">
        <v>65</v>
      </c>
    </row>
    <row r="7597" spans="1:11" ht="40.049999999999997" customHeight="1" x14ac:dyDescent="0.25">
      <c r="A7597" s="11" t="s">
        <v>15607</v>
      </c>
      <c r="B7597" s="11" t="s">
        <v>15607</v>
      </c>
      <c r="C7597" s="11" t="s">
        <v>17</v>
      </c>
      <c r="D7597" s="11" t="s">
        <v>18</v>
      </c>
      <c r="E7597" s="12" t="s">
        <v>405</v>
      </c>
      <c r="F7597" s="12" t="s">
        <v>406</v>
      </c>
      <c r="G7597" s="12" t="s">
        <v>29</v>
      </c>
      <c r="H7597" s="11" t="s">
        <v>63</v>
      </c>
      <c r="I7597" s="13" t="s">
        <v>15620</v>
      </c>
      <c r="J7597" s="14" t="str">
        <f>HYPERLINK("https://www.boe.es/gazeta/dias/1839/03/25/pdfs/GMD-1839-1591.pdf#page=1","Abrir facsímil")</f>
        <v>Abrir facsímil</v>
      </c>
      <c r="K7597" s="12" t="s">
        <v>65</v>
      </c>
    </row>
    <row r="7598" spans="1:11" ht="40.049999999999997" customHeight="1" x14ac:dyDescent="0.25">
      <c r="A7598" s="11" t="s">
        <v>15607</v>
      </c>
      <c r="B7598" s="11" t="s">
        <v>15607</v>
      </c>
      <c r="C7598" s="11" t="s">
        <v>80</v>
      </c>
      <c r="D7598" s="11" t="s">
        <v>18</v>
      </c>
      <c r="E7598" s="12" t="s">
        <v>375</v>
      </c>
      <c r="F7598" s="12" t="s">
        <v>376</v>
      </c>
      <c r="G7598" s="12" t="s">
        <v>21</v>
      </c>
      <c r="H7598" s="11" t="s">
        <v>63</v>
      </c>
      <c r="I7598" s="13" t="s">
        <v>15621</v>
      </c>
      <c r="J7598" s="14" t="str">
        <f>HYPERLINK("https://www.boe.es/gazeta/dias/1839/11/25/pdfs/GMD-1839-1842.pdf#page=4","Abrir facsímil")</f>
        <v>Abrir facsímil</v>
      </c>
      <c r="K7598" s="12" t="s">
        <v>65</v>
      </c>
    </row>
    <row r="7599" spans="1:11" ht="40.049999999999997" customHeight="1" x14ac:dyDescent="0.25">
      <c r="A7599" s="11" t="s">
        <v>15607</v>
      </c>
      <c r="B7599" s="11" t="s">
        <v>15607</v>
      </c>
      <c r="C7599" s="11" t="s">
        <v>80</v>
      </c>
      <c r="D7599" s="11" t="s">
        <v>18</v>
      </c>
      <c r="E7599" s="12" t="s">
        <v>817</v>
      </c>
      <c r="F7599" s="12" t="s">
        <v>818</v>
      </c>
      <c r="G7599" s="12" t="s">
        <v>21</v>
      </c>
      <c r="H7599" s="11" t="s">
        <v>63</v>
      </c>
      <c r="I7599" s="13" t="s">
        <v>15622</v>
      </c>
      <c r="J7599" s="14" t="str">
        <f>HYPERLINK("https://www.boe.es/gazeta/dias/1839/05/28/pdfs/GMD-1839-1655.pdf#page=4","Abrir facsímil")</f>
        <v>Abrir facsímil</v>
      </c>
      <c r="K7599" s="12" t="s">
        <v>65</v>
      </c>
    </row>
    <row r="7600" spans="1:11" ht="40.049999999999997" customHeight="1" x14ac:dyDescent="0.25">
      <c r="A7600" s="11" t="s">
        <v>15607</v>
      </c>
      <c r="B7600" s="11" t="s">
        <v>15607</v>
      </c>
      <c r="C7600" s="11" t="s">
        <v>80</v>
      </c>
      <c r="D7600" s="11" t="s">
        <v>18</v>
      </c>
      <c r="E7600" s="12" t="s">
        <v>1269</v>
      </c>
      <c r="F7600" s="12" t="s">
        <v>1270</v>
      </c>
      <c r="G7600" s="12" t="s">
        <v>21</v>
      </c>
      <c r="H7600" s="11" t="s">
        <v>63</v>
      </c>
      <c r="I7600" s="13" t="s">
        <v>15623</v>
      </c>
      <c r="J7600" s="14" t="str">
        <f>HYPERLINK("https://www.boe.es/gazeta/dias/1839/04/29/pdfs/GMD-1839-1626.pdf#page=4","Abrir facsímil")</f>
        <v>Abrir facsímil</v>
      </c>
      <c r="K7600" s="12" t="s">
        <v>65</v>
      </c>
    </row>
    <row r="7601" spans="1:11" ht="40.049999999999997" customHeight="1" x14ac:dyDescent="0.25">
      <c r="A7601" s="11" t="s">
        <v>15624</v>
      </c>
      <c r="B7601" s="11" t="s">
        <v>15625</v>
      </c>
      <c r="C7601" s="11" t="s">
        <v>80</v>
      </c>
      <c r="D7601" s="11" t="s">
        <v>18</v>
      </c>
      <c r="E7601" s="12" t="s">
        <v>500</v>
      </c>
      <c r="F7601" s="12" t="s">
        <v>501</v>
      </c>
      <c r="G7601" s="12" t="s">
        <v>21</v>
      </c>
      <c r="H7601" s="11" t="s">
        <v>22</v>
      </c>
      <c r="I7601" s="13" t="s">
        <v>15626</v>
      </c>
      <c r="J7601" s="14" t="str">
        <f>HYPERLINK("https://www.boe.es/gazeta/dias/1839/11/06/pdfs/GMD-1839-1823.pdf#page=4","Abrir facsímil")</f>
        <v>Abrir facsímil</v>
      </c>
      <c r="K7601" s="12" t="s">
        <v>24</v>
      </c>
    </row>
    <row r="7602" spans="1:11" ht="40.049999999999997" customHeight="1" x14ac:dyDescent="0.25">
      <c r="A7602" s="11" t="s">
        <v>15624</v>
      </c>
      <c r="B7602" s="11" t="s">
        <v>15625</v>
      </c>
      <c r="C7602" s="11" t="s">
        <v>59</v>
      </c>
      <c r="D7602" s="11" t="s">
        <v>60</v>
      </c>
      <c r="E7602" s="12" t="s">
        <v>462</v>
      </c>
      <c r="F7602" s="12" t="s">
        <v>463</v>
      </c>
      <c r="G7602" s="12" t="s">
        <v>46</v>
      </c>
      <c r="H7602" s="11" t="s">
        <v>22</v>
      </c>
      <c r="I7602" s="13" t="s">
        <v>15627</v>
      </c>
      <c r="J7602" s="14" t="str">
        <f>HYPERLINK("https://www.boe.es/gazeta/dias/1839/06/19/pdfs/GMD-1839-1677.pdf#page=3","Abrir facsímil")</f>
        <v>Abrir facsímil</v>
      </c>
      <c r="K7602" s="12" t="s">
        <v>24</v>
      </c>
    </row>
    <row r="7603" spans="1:11" ht="40.049999999999997" customHeight="1" x14ac:dyDescent="0.25">
      <c r="A7603" s="11" t="s">
        <v>15628</v>
      </c>
      <c r="B7603" s="11" t="s">
        <v>15629</v>
      </c>
      <c r="C7603" s="11" t="s">
        <v>17</v>
      </c>
      <c r="D7603" s="11" t="s">
        <v>18</v>
      </c>
      <c r="E7603" s="12" t="s">
        <v>462</v>
      </c>
      <c r="F7603" s="12" t="s">
        <v>463</v>
      </c>
      <c r="G7603" s="12" t="s">
        <v>46</v>
      </c>
      <c r="H7603" s="11" t="s">
        <v>63</v>
      </c>
      <c r="I7603" s="13" t="s">
        <v>15630</v>
      </c>
      <c r="J7603" s="14" t="str">
        <f>HYPERLINK("https://www.boe.es/gazeta/dias/1839/06/19/pdfs/GMD-1839-1677.pdf#page=3","Abrir facsímil")</f>
        <v>Abrir facsímil</v>
      </c>
      <c r="K7603" s="12" t="s">
        <v>65</v>
      </c>
    </row>
    <row r="7604" spans="1:11" ht="40.049999999999997" customHeight="1" x14ac:dyDescent="0.25">
      <c r="A7604" s="11" t="s">
        <v>15631</v>
      </c>
      <c r="B7604" s="11" t="s">
        <v>15632</v>
      </c>
      <c r="C7604" s="11" t="s">
        <v>59</v>
      </c>
      <c r="D7604" s="11" t="s">
        <v>60</v>
      </c>
      <c r="E7604" s="12" t="s">
        <v>844</v>
      </c>
      <c r="F7604" s="12" t="s">
        <v>845</v>
      </c>
      <c r="G7604" s="12" t="s">
        <v>40</v>
      </c>
      <c r="H7604" s="11" t="s">
        <v>63</v>
      </c>
      <c r="I7604" s="13" t="s">
        <v>15633</v>
      </c>
      <c r="J7604" s="14" t="str">
        <f>HYPERLINK("https://www.boe.es/gazeta/dias/1839/12/24/pdfs/GMD-1839-1871.pdf#page=2","Abrir facsímil")</f>
        <v>Abrir facsímil</v>
      </c>
      <c r="K7604" s="12" t="s">
        <v>65</v>
      </c>
    </row>
    <row r="7605" spans="1:11" ht="40.049999999999997" customHeight="1" x14ac:dyDescent="0.25">
      <c r="A7605" s="11" t="s">
        <v>15634</v>
      </c>
      <c r="B7605" s="11" t="s">
        <v>15635</v>
      </c>
      <c r="C7605" s="11" t="s">
        <v>137</v>
      </c>
      <c r="D7605" s="11" t="s">
        <v>18</v>
      </c>
      <c r="E7605" s="12" t="s">
        <v>1909</v>
      </c>
      <c r="F7605" s="12" t="s">
        <v>1910</v>
      </c>
      <c r="G7605" s="12" t="s">
        <v>21</v>
      </c>
      <c r="H7605" s="11" t="s">
        <v>22</v>
      </c>
      <c r="I7605" s="13" t="s">
        <v>15636</v>
      </c>
      <c r="J7605" s="14" t="str">
        <f>HYPERLINK("https://www.boe.es/gazeta/dias/1839/10/27/pdfs/GMD-1839-1813.pdf#page=4","Abrir facsímil")</f>
        <v>Abrir facsímil</v>
      </c>
      <c r="K7605" s="12" t="s">
        <v>24</v>
      </c>
    </row>
    <row r="7606" spans="1:11" ht="40.049999999999997" customHeight="1" x14ac:dyDescent="0.25">
      <c r="A7606" s="11" t="s">
        <v>15637</v>
      </c>
      <c r="B7606" s="11" t="s">
        <v>15637</v>
      </c>
      <c r="C7606" s="11" t="s">
        <v>17</v>
      </c>
      <c r="D7606" s="11" t="s">
        <v>18</v>
      </c>
      <c r="E7606" s="12" t="s">
        <v>1356</v>
      </c>
      <c r="F7606" s="12" t="s">
        <v>1357</v>
      </c>
      <c r="G7606" s="12" t="s">
        <v>21</v>
      </c>
      <c r="H7606" s="11" t="s">
        <v>63</v>
      </c>
      <c r="I7606" s="13" t="s">
        <v>15638</v>
      </c>
      <c r="J7606" s="14" t="str">
        <f>HYPERLINK("https://www.boe.es/gazeta/dias/1839/06/05/pdfs/GMD-1839-1663.pdf#page=4","Abrir facsímil")</f>
        <v>Abrir facsímil</v>
      </c>
      <c r="K7606" s="12" t="s">
        <v>65</v>
      </c>
    </row>
    <row r="7607" spans="1:11" ht="40.049999999999997" customHeight="1" x14ac:dyDescent="0.25">
      <c r="A7607" s="11" t="s">
        <v>15639</v>
      </c>
      <c r="B7607" s="11" t="s">
        <v>15639</v>
      </c>
      <c r="C7607" s="11" t="s">
        <v>137</v>
      </c>
      <c r="D7607" s="11" t="s">
        <v>18</v>
      </c>
      <c r="E7607" s="12" t="s">
        <v>577</v>
      </c>
      <c r="F7607" s="12" t="s">
        <v>578</v>
      </c>
      <c r="G7607" s="12" t="s">
        <v>21</v>
      </c>
      <c r="H7607" s="11" t="s">
        <v>22</v>
      </c>
      <c r="I7607" s="13" t="s">
        <v>15640</v>
      </c>
      <c r="J7607" s="14" t="str">
        <f>HYPERLINK("https://www.boe.es/gazeta/dias/1839/09/30/pdfs/GMD-1839-1786.pdf#page=4","Abrir facsímil")</f>
        <v>Abrir facsímil</v>
      </c>
      <c r="K7607" s="12" t="s">
        <v>24</v>
      </c>
    </row>
    <row r="7608" spans="1:11" ht="40.049999999999997" customHeight="1" x14ac:dyDescent="0.25">
      <c r="A7608" s="11" t="s">
        <v>15641</v>
      </c>
      <c r="B7608" s="11" t="s">
        <v>15641</v>
      </c>
      <c r="C7608" s="11" t="s">
        <v>59</v>
      </c>
      <c r="D7608" s="11" t="s">
        <v>60</v>
      </c>
      <c r="E7608" s="12" t="s">
        <v>2374</v>
      </c>
      <c r="F7608" s="12" t="s">
        <v>2375</v>
      </c>
      <c r="G7608" s="12" t="s">
        <v>40</v>
      </c>
      <c r="H7608" s="11" t="s">
        <v>63</v>
      </c>
      <c r="I7608" s="13" t="s">
        <v>15642</v>
      </c>
      <c r="J7608" s="14" t="str">
        <f>HYPERLINK("https://www.boe.es/gazeta/dias/1839/06/14/pdfs/GMD-1839-1672.pdf#page=2","Abrir facsímil")</f>
        <v>Abrir facsímil</v>
      </c>
      <c r="K7608" s="12" t="s">
        <v>65</v>
      </c>
    </row>
    <row r="7609" spans="1:11" ht="40.049999999999997" customHeight="1" x14ac:dyDescent="0.25">
      <c r="A7609" s="11" t="s">
        <v>15641</v>
      </c>
      <c r="B7609" s="11" t="s">
        <v>15641</v>
      </c>
      <c r="C7609" s="11" t="s">
        <v>101</v>
      </c>
      <c r="D7609" s="11" t="s">
        <v>102</v>
      </c>
      <c r="E7609" s="12" t="s">
        <v>2378</v>
      </c>
      <c r="F7609" s="12" t="s">
        <v>2379</v>
      </c>
      <c r="G7609" s="12" t="s">
        <v>29</v>
      </c>
      <c r="H7609" s="11" t="s">
        <v>63</v>
      </c>
      <c r="I7609" s="13" t="s">
        <v>15643</v>
      </c>
      <c r="J7609" s="14" t="str">
        <f>HYPERLINK("https://www.boe.es/gazeta/dias/1839/06/20/pdfs/GMD-1839-1678.pdf#page=1","Abrir facsímil")</f>
        <v>Abrir facsímil</v>
      </c>
      <c r="K7609" s="12" t="s">
        <v>65</v>
      </c>
    </row>
    <row r="7610" spans="1:11" ht="40.049999999999997" customHeight="1" x14ac:dyDescent="0.25">
      <c r="A7610" s="11" t="s">
        <v>15641</v>
      </c>
      <c r="B7610" s="11" t="s">
        <v>15641</v>
      </c>
      <c r="C7610" s="11" t="s">
        <v>101</v>
      </c>
      <c r="D7610" s="11" t="s">
        <v>102</v>
      </c>
      <c r="E7610" s="12" t="s">
        <v>1446</v>
      </c>
      <c r="F7610" s="12" t="s">
        <v>1447</v>
      </c>
      <c r="G7610" s="12" t="s">
        <v>40</v>
      </c>
      <c r="H7610" s="11" t="s">
        <v>63</v>
      </c>
      <c r="I7610" s="13" t="s">
        <v>15644</v>
      </c>
      <c r="J7610" s="14" t="str">
        <f>HYPERLINK("https://www.boe.es/gazeta/dias/1839/08/25/pdfs/GMD-1839-1746.pdf#page=2","Abrir facsímil")</f>
        <v>Abrir facsímil</v>
      </c>
      <c r="K7610" s="12" t="s">
        <v>65</v>
      </c>
    </row>
    <row r="7611" spans="1:11" ht="40.049999999999997" customHeight="1" x14ac:dyDescent="0.25">
      <c r="A7611" s="11" t="s">
        <v>15641</v>
      </c>
      <c r="B7611" s="11" t="s">
        <v>15641</v>
      </c>
      <c r="C7611" s="11" t="s">
        <v>101</v>
      </c>
      <c r="D7611" s="11" t="s">
        <v>102</v>
      </c>
      <c r="E7611" s="12" t="s">
        <v>522</v>
      </c>
      <c r="F7611" s="12" t="s">
        <v>523</v>
      </c>
      <c r="G7611" s="12" t="s">
        <v>40</v>
      </c>
      <c r="H7611" s="11" t="s">
        <v>63</v>
      </c>
      <c r="I7611" s="13" t="s">
        <v>15645</v>
      </c>
      <c r="J7611" s="14" t="str">
        <f>HYPERLINK("https://www.boe.es/gazeta/dias/1839/08/27/pdfs/GMD-1839-1748.pdf#page=2","Abrir facsímil")</f>
        <v>Abrir facsímil</v>
      </c>
      <c r="K7611" s="12" t="s">
        <v>65</v>
      </c>
    </row>
    <row r="7612" spans="1:11" ht="40.049999999999997" customHeight="1" x14ac:dyDescent="0.25">
      <c r="A7612" s="11" t="s">
        <v>15646</v>
      </c>
      <c r="B7612" s="11" t="s">
        <v>15646</v>
      </c>
      <c r="C7612" s="11" t="s">
        <v>101</v>
      </c>
      <c r="D7612" s="11" t="s">
        <v>43</v>
      </c>
      <c r="E7612" s="12" t="s">
        <v>606</v>
      </c>
      <c r="F7612" s="12" t="s">
        <v>607</v>
      </c>
      <c r="G7612" s="12" t="s">
        <v>29</v>
      </c>
      <c r="H7612" s="11" t="s">
        <v>63</v>
      </c>
      <c r="I7612" s="13" t="s">
        <v>15647</v>
      </c>
      <c r="J7612" s="14" t="str">
        <f>HYPERLINK("https://www.boe.es/gazeta/dias/1839/04/02/pdfs/GMD-1839-1599.pdf#page=1","Abrir facsímil")</f>
        <v>Abrir facsímil</v>
      </c>
      <c r="K7612" s="12" t="s">
        <v>65</v>
      </c>
    </row>
    <row r="7613" spans="1:11" ht="40.049999999999997" customHeight="1" x14ac:dyDescent="0.25">
      <c r="A7613" s="11" t="s">
        <v>15646</v>
      </c>
      <c r="B7613" s="11" t="s">
        <v>15646</v>
      </c>
      <c r="C7613" s="11" t="s">
        <v>137</v>
      </c>
      <c r="D7613" s="11" t="s">
        <v>18</v>
      </c>
      <c r="E7613" s="12" t="s">
        <v>587</v>
      </c>
      <c r="F7613" s="12" t="s">
        <v>588</v>
      </c>
      <c r="G7613" s="12" t="s">
        <v>21</v>
      </c>
      <c r="H7613" s="11" t="s">
        <v>63</v>
      </c>
      <c r="I7613" s="13" t="s">
        <v>15648</v>
      </c>
      <c r="J7613" s="14" t="str">
        <f>HYPERLINK("https://www.boe.es/gazeta/dias/1839/05/02/pdfs/GMD-1839-1629.pdf#page=4","Abrir facsímil")</f>
        <v>Abrir facsímil</v>
      </c>
      <c r="K7613" s="12" t="s">
        <v>65</v>
      </c>
    </row>
    <row r="7614" spans="1:11" ht="40.049999999999997" customHeight="1" x14ac:dyDescent="0.25">
      <c r="A7614" s="11" t="s">
        <v>15646</v>
      </c>
      <c r="B7614" s="11" t="s">
        <v>15646</v>
      </c>
      <c r="C7614" s="11" t="s">
        <v>59</v>
      </c>
      <c r="D7614" s="11" t="s">
        <v>60</v>
      </c>
      <c r="E7614" s="12" t="s">
        <v>632</v>
      </c>
      <c r="F7614" s="12" t="s">
        <v>633</v>
      </c>
      <c r="G7614" s="12" t="s">
        <v>21</v>
      </c>
      <c r="H7614" s="11" t="s">
        <v>63</v>
      </c>
      <c r="I7614" s="13" t="s">
        <v>15649</v>
      </c>
      <c r="J7614" s="14" t="str">
        <f>HYPERLINK("https://www.boe.es/gazeta/dias/1839/04/06/pdfs/GMD-1839-1603.pdf#page=4","Abrir facsímil")</f>
        <v>Abrir facsímil</v>
      </c>
      <c r="K7614" s="12" t="s">
        <v>65</v>
      </c>
    </row>
    <row r="7615" spans="1:11" ht="40.049999999999997" customHeight="1" x14ac:dyDescent="0.25">
      <c r="A7615" s="11" t="s">
        <v>15646</v>
      </c>
      <c r="B7615" s="11" t="s">
        <v>15646</v>
      </c>
      <c r="C7615" s="11" t="s">
        <v>17</v>
      </c>
      <c r="D7615" s="11" t="s">
        <v>18</v>
      </c>
      <c r="E7615" s="12" t="s">
        <v>116</v>
      </c>
      <c r="F7615" s="12" t="s">
        <v>117</v>
      </c>
      <c r="G7615" s="12" t="s">
        <v>40</v>
      </c>
      <c r="H7615" s="11" t="s">
        <v>63</v>
      </c>
      <c r="I7615" s="13" t="s">
        <v>15650</v>
      </c>
      <c r="J7615" s="14" t="str">
        <f>HYPERLINK("https://www.boe.es/gazeta/dias/1839/10/10/pdfs/GMD-1839-1796.pdf#page=2","Abrir facsímil")</f>
        <v>Abrir facsímil</v>
      </c>
      <c r="K7615" s="12" t="s">
        <v>65</v>
      </c>
    </row>
    <row r="7616" spans="1:11" ht="40.049999999999997" customHeight="1" x14ac:dyDescent="0.25">
      <c r="A7616" s="11" t="s">
        <v>15646</v>
      </c>
      <c r="B7616" s="11" t="s">
        <v>15646</v>
      </c>
      <c r="C7616" s="11" t="s">
        <v>137</v>
      </c>
      <c r="D7616" s="11" t="s">
        <v>18</v>
      </c>
      <c r="E7616" s="12" t="s">
        <v>1725</v>
      </c>
      <c r="F7616" s="12" t="s">
        <v>1726</v>
      </c>
      <c r="G7616" s="12" t="s">
        <v>40</v>
      </c>
      <c r="H7616" s="11" t="s">
        <v>63</v>
      </c>
      <c r="I7616" s="13" t="s">
        <v>15651</v>
      </c>
      <c r="J7616" s="14" t="str">
        <f>HYPERLINK("https://www.boe.es/gazeta/dias/1839/11/17/pdfs/GMD-1839-1834.pdf#page=2","Abrir facsímil")</f>
        <v>Abrir facsímil</v>
      </c>
      <c r="K7616" s="12" t="s">
        <v>65</v>
      </c>
    </row>
    <row r="7617" spans="1:11" ht="40.049999999999997" customHeight="1" x14ac:dyDescent="0.25">
      <c r="A7617" s="11" t="s">
        <v>15646</v>
      </c>
      <c r="B7617" s="11" t="s">
        <v>15646</v>
      </c>
      <c r="C7617" s="11" t="s">
        <v>17</v>
      </c>
      <c r="D7617" s="11" t="s">
        <v>18</v>
      </c>
      <c r="E7617" s="12" t="s">
        <v>677</v>
      </c>
      <c r="F7617" s="12" t="s">
        <v>678</v>
      </c>
      <c r="G7617" s="12" t="s">
        <v>21</v>
      </c>
      <c r="H7617" s="11" t="s">
        <v>63</v>
      </c>
      <c r="I7617" s="13" t="s">
        <v>15652</v>
      </c>
      <c r="J7617" s="14" t="str">
        <f>HYPERLINK("https://www.boe.es/gazeta/dias/1839/04/28/pdfs/GMD-1839-1625.pdf#page=4","Abrir facsímil")</f>
        <v>Abrir facsímil</v>
      </c>
      <c r="K7617" s="12" t="s">
        <v>65</v>
      </c>
    </row>
    <row r="7618" spans="1:11" ht="40.049999999999997" customHeight="1" x14ac:dyDescent="0.25">
      <c r="A7618" s="11" t="s">
        <v>15653</v>
      </c>
      <c r="B7618" s="11" t="s">
        <v>15654</v>
      </c>
      <c r="C7618" s="11" t="s">
        <v>101</v>
      </c>
      <c r="D7618" s="11" t="s">
        <v>43</v>
      </c>
      <c r="E7618" s="12" t="s">
        <v>262</v>
      </c>
      <c r="F7618" s="12" t="s">
        <v>263</v>
      </c>
      <c r="G7618" s="12" t="s">
        <v>29</v>
      </c>
      <c r="H7618" s="11" t="s">
        <v>22</v>
      </c>
      <c r="I7618" s="13" t="s">
        <v>15655</v>
      </c>
      <c r="J7618" s="14" t="str">
        <f>HYPERLINK("https://www.boe.es/gazeta/dias/1839/01/01/pdfs/GMD-1839-1508.pdf#page=1","Abrir facsímil")</f>
        <v>Abrir facsímil</v>
      </c>
      <c r="K7618" s="12" t="s">
        <v>24</v>
      </c>
    </row>
    <row r="7619" spans="1:11" ht="40.049999999999997" customHeight="1" x14ac:dyDescent="0.25">
      <c r="A7619" s="11" t="s">
        <v>15656</v>
      </c>
      <c r="B7619" s="11" t="s">
        <v>15657</v>
      </c>
      <c r="C7619" s="11" t="s">
        <v>17</v>
      </c>
      <c r="D7619" s="11" t="s">
        <v>18</v>
      </c>
      <c r="E7619" s="12" t="s">
        <v>479</v>
      </c>
      <c r="F7619" s="12" t="s">
        <v>480</v>
      </c>
      <c r="G7619" s="12" t="s">
        <v>29</v>
      </c>
      <c r="H7619" s="11" t="s">
        <v>22</v>
      </c>
      <c r="I7619" s="13" t="s">
        <v>15658</v>
      </c>
      <c r="J7619" s="14" t="str">
        <f>HYPERLINK("https://www.boe.es/gazeta/dias/1839/06/24/pdfs/GMD-1839-1682.pdf#page=1","Abrir facsímil")</f>
        <v>Abrir facsímil</v>
      </c>
      <c r="K7619" s="12" t="s">
        <v>24</v>
      </c>
    </row>
    <row r="7620" spans="1:11" ht="40.049999999999997" customHeight="1" x14ac:dyDescent="0.25">
      <c r="A7620" s="11" t="s">
        <v>15659</v>
      </c>
      <c r="B7620" s="11" t="s">
        <v>15659</v>
      </c>
      <c r="C7620" s="11" t="s">
        <v>17</v>
      </c>
      <c r="D7620" s="11" t="s">
        <v>18</v>
      </c>
      <c r="E7620" s="12" t="s">
        <v>1663</v>
      </c>
      <c r="F7620" s="12" t="s">
        <v>1664</v>
      </c>
      <c r="G7620" s="12" t="s">
        <v>29</v>
      </c>
      <c r="H7620" s="11" t="s">
        <v>63</v>
      </c>
      <c r="I7620" s="13" t="s">
        <v>15660</v>
      </c>
      <c r="J7620" s="14" t="str">
        <f>HYPERLINK("https://www.boe.es/gazeta/dias/1839/03/22/pdfs/GMD-1839-1588.pdf#page=1","Abrir facsímil")</f>
        <v>Abrir facsímil</v>
      </c>
      <c r="K7620" s="12" t="s">
        <v>65</v>
      </c>
    </row>
    <row r="7621" spans="1:11" ht="40.049999999999997" customHeight="1" x14ac:dyDescent="0.25">
      <c r="A7621" s="11" t="s">
        <v>15659</v>
      </c>
      <c r="B7621" s="11" t="s">
        <v>15659</v>
      </c>
      <c r="C7621" s="11" t="s">
        <v>59</v>
      </c>
      <c r="D7621" s="11" t="s">
        <v>60</v>
      </c>
      <c r="E7621" s="12" t="s">
        <v>664</v>
      </c>
      <c r="F7621" s="12" t="s">
        <v>665</v>
      </c>
      <c r="G7621" s="12" t="s">
        <v>46</v>
      </c>
      <c r="H7621" s="11" t="s">
        <v>63</v>
      </c>
      <c r="I7621" s="13" t="s">
        <v>15661</v>
      </c>
      <c r="J7621" s="14" t="str">
        <f>HYPERLINK("https://www.boe.es/gazeta/dias/1839/01/24/pdfs/GMD-1839-1531.pdf#page=3","Abrir facsímil")</f>
        <v>Abrir facsímil</v>
      </c>
      <c r="K7621" s="12" t="s">
        <v>65</v>
      </c>
    </row>
    <row r="7622" spans="1:11" ht="40.049999999999997" customHeight="1" x14ac:dyDescent="0.25">
      <c r="A7622" s="11" t="s">
        <v>15662</v>
      </c>
      <c r="B7622" s="11" t="s">
        <v>15662</v>
      </c>
      <c r="C7622" s="11" t="s">
        <v>59</v>
      </c>
      <c r="D7622" s="11" t="s">
        <v>60</v>
      </c>
      <c r="E7622" s="12" t="s">
        <v>5845</v>
      </c>
      <c r="F7622" s="12" t="s">
        <v>5846</v>
      </c>
      <c r="G7622" s="12" t="s">
        <v>29</v>
      </c>
      <c r="H7622" s="11" t="s">
        <v>63</v>
      </c>
      <c r="I7622" s="13" t="s">
        <v>15663</v>
      </c>
      <c r="J7622" s="14" t="str">
        <f>HYPERLINK("https://www.boe.es/gazeta/dias/1839/04/01/pdfs/GMD-1839-1598.pdf#page=1","Abrir facsímil")</f>
        <v>Abrir facsímil</v>
      </c>
      <c r="K7622" s="12" t="s">
        <v>65</v>
      </c>
    </row>
    <row r="7623" spans="1:11" ht="40.049999999999997" customHeight="1" x14ac:dyDescent="0.25">
      <c r="A7623" s="11" t="s">
        <v>15662</v>
      </c>
      <c r="B7623" s="11" t="s">
        <v>15662</v>
      </c>
      <c r="C7623" s="11" t="s">
        <v>137</v>
      </c>
      <c r="D7623" s="11" t="s">
        <v>18</v>
      </c>
      <c r="E7623" s="12" t="s">
        <v>385</v>
      </c>
      <c r="F7623" s="12" t="s">
        <v>386</v>
      </c>
      <c r="G7623" s="12" t="s">
        <v>21</v>
      </c>
      <c r="H7623" s="11" t="s">
        <v>63</v>
      </c>
      <c r="I7623" s="13" t="s">
        <v>15664</v>
      </c>
      <c r="J7623" s="14" t="str">
        <f>HYPERLINK("https://www.boe.es/gazeta/dias/1839/08/01/pdfs/GMD-1839-1721.pdf#page=4","Abrir facsímil")</f>
        <v>Abrir facsímil</v>
      </c>
      <c r="K7623" s="12" t="s">
        <v>65</v>
      </c>
    </row>
    <row r="7624" spans="1:11" ht="40.049999999999997" customHeight="1" x14ac:dyDescent="0.25">
      <c r="A7624" s="11" t="s">
        <v>15662</v>
      </c>
      <c r="B7624" s="11" t="s">
        <v>15662</v>
      </c>
      <c r="C7624" s="11" t="s">
        <v>17</v>
      </c>
      <c r="D7624" s="11" t="s">
        <v>18</v>
      </c>
      <c r="E7624" s="12" t="s">
        <v>700</v>
      </c>
      <c r="F7624" s="12" t="s">
        <v>701</v>
      </c>
      <c r="G7624" s="12" t="s">
        <v>29</v>
      </c>
      <c r="H7624" s="11" t="s">
        <v>63</v>
      </c>
      <c r="I7624" s="13" t="s">
        <v>15665</v>
      </c>
      <c r="J7624" s="14" t="str">
        <f>HYPERLINK("https://www.boe.es/gazeta/dias/1839/09/01/pdfs/GMD-1839-1753.pdf#page=1","Abrir facsímil")</f>
        <v>Abrir facsímil</v>
      </c>
      <c r="K7624" s="12" t="s">
        <v>65</v>
      </c>
    </row>
    <row r="7625" spans="1:11" ht="40.049999999999997" customHeight="1" x14ac:dyDescent="0.25">
      <c r="A7625" s="11" t="s">
        <v>15662</v>
      </c>
      <c r="B7625" s="11" t="s">
        <v>15662</v>
      </c>
      <c r="C7625" s="11" t="s">
        <v>17</v>
      </c>
      <c r="D7625" s="11" t="s">
        <v>18</v>
      </c>
      <c r="E7625" s="12" t="s">
        <v>700</v>
      </c>
      <c r="F7625" s="12" t="s">
        <v>701</v>
      </c>
      <c r="G7625" s="12" t="s">
        <v>40</v>
      </c>
      <c r="H7625" s="11" t="s">
        <v>63</v>
      </c>
      <c r="I7625" s="13" t="s">
        <v>15666</v>
      </c>
      <c r="J7625" s="14" t="str">
        <f>HYPERLINK("https://www.boe.es/gazeta/dias/1839/09/01/pdfs/GMD-1839-1753.pdf#page=2","Abrir facsímil")</f>
        <v>Abrir facsímil</v>
      </c>
      <c r="K7625" s="12" t="s">
        <v>65</v>
      </c>
    </row>
    <row r="7626" spans="1:11" ht="40.049999999999997" customHeight="1" x14ac:dyDescent="0.25">
      <c r="A7626" s="11" t="s">
        <v>15662</v>
      </c>
      <c r="B7626" s="11" t="s">
        <v>15662</v>
      </c>
      <c r="C7626" s="11" t="s">
        <v>101</v>
      </c>
      <c r="D7626" s="11" t="s">
        <v>43</v>
      </c>
      <c r="E7626" s="12" t="s">
        <v>369</v>
      </c>
      <c r="F7626" s="12" t="s">
        <v>370</v>
      </c>
      <c r="G7626" s="12" t="s">
        <v>46</v>
      </c>
      <c r="H7626" s="11" t="s">
        <v>63</v>
      </c>
      <c r="I7626" s="13" t="s">
        <v>15667</v>
      </c>
      <c r="J7626" s="14" t="str">
        <f>HYPERLINK("https://www.boe.es/gazeta/dias/1839/11/01/pdfs/GMD-1839-1818.pdf#page=3","Abrir facsímil")</f>
        <v>Abrir facsímil</v>
      </c>
      <c r="K7626" s="12" t="s">
        <v>65</v>
      </c>
    </row>
    <row r="7627" spans="1:11" ht="40.049999999999997" customHeight="1" x14ac:dyDescent="0.25">
      <c r="A7627" s="11" t="s">
        <v>15662</v>
      </c>
      <c r="B7627" s="11" t="s">
        <v>15662</v>
      </c>
      <c r="C7627" s="11" t="s">
        <v>137</v>
      </c>
      <c r="D7627" s="11" t="s">
        <v>18</v>
      </c>
      <c r="E7627" s="12" t="s">
        <v>381</v>
      </c>
      <c r="F7627" s="12" t="s">
        <v>382</v>
      </c>
      <c r="G7627" s="12" t="s">
        <v>29</v>
      </c>
      <c r="H7627" s="11" t="s">
        <v>63</v>
      </c>
      <c r="I7627" s="13" t="s">
        <v>15668</v>
      </c>
      <c r="J7627" s="14" t="str">
        <f>HYPERLINK("https://www.boe.es/gazeta/dias/1839/06/02/pdfs/GMD-1839-1660.pdf#page=1","Abrir facsímil")</f>
        <v>Abrir facsímil</v>
      </c>
      <c r="K7627" s="12" t="s">
        <v>65</v>
      </c>
    </row>
    <row r="7628" spans="1:11" ht="40.049999999999997" customHeight="1" x14ac:dyDescent="0.25">
      <c r="A7628" s="11" t="s">
        <v>15662</v>
      </c>
      <c r="B7628" s="11" t="s">
        <v>15662</v>
      </c>
      <c r="C7628" s="11" t="s">
        <v>101</v>
      </c>
      <c r="D7628" s="11" t="s">
        <v>43</v>
      </c>
      <c r="E7628" s="12" t="s">
        <v>1606</v>
      </c>
      <c r="F7628" s="12" t="s">
        <v>1607</v>
      </c>
      <c r="G7628" s="12" t="s">
        <v>21</v>
      </c>
      <c r="H7628" s="11" t="s">
        <v>63</v>
      </c>
      <c r="I7628" s="13" t="s">
        <v>15669</v>
      </c>
      <c r="J7628" s="14" t="str">
        <f>HYPERLINK("https://www.boe.es/gazeta/dias/1839/07/02/pdfs/GMD-1839-1690.pdf#page=4","Abrir facsímil")</f>
        <v>Abrir facsímil</v>
      </c>
      <c r="K7628" s="12" t="s">
        <v>65</v>
      </c>
    </row>
    <row r="7629" spans="1:11" ht="40.049999999999997" customHeight="1" x14ac:dyDescent="0.25">
      <c r="A7629" s="11" t="s">
        <v>15662</v>
      </c>
      <c r="B7629" s="11" t="s">
        <v>15662</v>
      </c>
      <c r="C7629" s="11" t="s">
        <v>17</v>
      </c>
      <c r="D7629" s="11" t="s">
        <v>18</v>
      </c>
      <c r="E7629" s="12" t="s">
        <v>1813</v>
      </c>
      <c r="F7629" s="12" t="s">
        <v>1814</v>
      </c>
      <c r="G7629" s="12" t="s">
        <v>40</v>
      </c>
      <c r="H7629" s="11" t="s">
        <v>63</v>
      </c>
      <c r="I7629" s="13" t="s">
        <v>15670</v>
      </c>
      <c r="J7629" s="14" t="str">
        <f>HYPERLINK("https://www.boe.es/gazeta/dias/1839/09/02/pdfs/GMD-1839-1754.pdf#page=2","Abrir facsímil")</f>
        <v>Abrir facsímil</v>
      </c>
      <c r="K7629" s="12" t="s">
        <v>65</v>
      </c>
    </row>
    <row r="7630" spans="1:11" ht="40.049999999999997" customHeight="1" x14ac:dyDescent="0.25">
      <c r="A7630" s="11" t="s">
        <v>15662</v>
      </c>
      <c r="B7630" s="11" t="s">
        <v>15662</v>
      </c>
      <c r="C7630" s="11" t="s">
        <v>17</v>
      </c>
      <c r="D7630" s="11" t="s">
        <v>18</v>
      </c>
      <c r="E7630" s="12" t="s">
        <v>883</v>
      </c>
      <c r="F7630" s="12" t="s">
        <v>884</v>
      </c>
      <c r="G7630" s="12" t="s">
        <v>21</v>
      </c>
      <c r="H7630" s="11" t="s">
        <v>63</v>
      </c>
      <c r="I7630" s="13" t="s">
        <v>15671</v>
      </c>
      <c r="J7630" s="14" t="str">
        <f>HYPERLINK("https://www.boe.es/gazeta/dias/1839/11/03/pdfs/GMD-1839-1820.pdf#page=4","Abrir facsímil")</f>
        <v>Abrir facsímil</v>
      </c>
      <c r="K7630" s="12" t="s">
        <v>65</v>
      </c>
    </row>
    <row r="7631" spans="1:11" ht="40.049999999999997" customHeight="1" x14ac:dyDescent="0.25">
      <c r="A7631" s="11" t="s">
        <v>15662</v>
      </c>
      <c r="B7631" s="11" t="s">
        <v>15662</v>
      </c>
      <c r="C7631" s="11" t="s">
        <v>137</v>
      </c>
      <c r="D7631" s="11" t="s">
        <v>18</v>
      </c>
      <c r="E7631" s="12" t="s">
        <v>388</v>
      </c>
      <c r="F7631" s="12" t="s">
        <v>389</v>
      </c>
      <c r="G7631" s="12" t="s">
        <v>21</v>
      </c>
      <c r="H7631" s="11" t="s">
        <v>63</v>
      </c>
      <c r="I7631" s="13" t="s">
        <v>15672</v>
      </c>
      <c r="J7631" s="14" t="str">
        <f>HYPERLINK("https://www.boe.es/gazeta/dias/1839/08/07/pdfs/GMD-1839-1727.pdf#page=4","Abrir facsímil")</f>
        <v>Abrir facsímil</v>
      </c>
      <c r="K7631" s="12" t="s">
        <v>65</v>
      </c>
    </row>
    <row r="7632" spans="1:11" ht="40.049999999999997" customHeight="1" x14ac:dyDescent="0.25">
      <c r="A7632" s="11" t="s">
        <v>15662</v>
      </c>
      <c r="B7632" s="11" t="s">
        <v>15662</v>
      </c>
      <c r="C7632" s="11" t="s">
        <v>59</v>
      </c>
      <c r="D7632" s="11" t="s">
        <v>60</v>
      </c>
      <c r="E7632" s="12" t="s">
        <v>1008</v>
      </c>
      <c r="F7632" s="12" t="s">
        <v>1009</v>
      </c>
      <c r="G7632" s="12" t="s">
        <v>29</v>
      </c>
      <c r="H7632" s="11" t="s">
        <v>63</v>
      </c>
      <c r="I7632" s="13" t="s">
        <v>15673</v>
      </c>
      <c r="J7632" s="14" t="str">
        <f>HYPERLINK("https://www.boe.es/gazeta/dias/1839/09/07/pdfs/GMD-1839-1760.pdf#page=1","Abrir facsímil")</f>
        <v>Abrir facsímil</v>
      </c>
      <c r="K7632" s="12" t="s">
        <v>65</v>
      </c>
    </row>
    <row r="7633" spans="1:11" ht="40.049999999999997" customHeight="1" x14ac:dyDescent="0.25">
      <c r="A7633" s="11" t="s">
        <v>15662</v>
      </c>
      <c r="B7633" s="11" t="s">
        <v>15662</v>
      </c>
      <c r="C7633" s="11" t="s">
        <v>17</v>
      </c>
      <c r="D7633" s="11" t="s">
        <v>18</v>
      </c>
      <c r="E7633" s="12" t="s">
        <v>1509</v>
      </c>
      <c r="F7633" s="12" t="s">
        <v>1510</v>
      </c>
      <c r="G7633" s="12" t="s">
        <v>305</v>
      </c>
      <c r="H7633" s="11" t="s">
        <v>63</v>
      </c>
      <c r="I7633" s="13" t="s">
        <v>15674</v>
      </c>
      <c r="J7633" s="14" t="str">
        <f>HYPERLINK("https://www.boe.es/gazeta/dias/1839/10/07/pdfs/GMD-1839-1793.pdf#page=6","Abrir facsímil")</f>
        <v>Abrir facsímil</v>
      </c>
      <c r="K7633" s="12" t="s">
        <v>65</v>
      </c>
    </row>
    <row r="7634" spans="1:11" ht="40.049999999999997" customHeight="1" x14ac:dyDescent="0.25">
      <c r="A7634" s="11" t="s">
        <v>15662</v>
      </c>
      <c r="B7634" s="11" t="s">
        <v>15662</v>
      </c>
      <c r="C7634" s="11" t="s">
        <v>59</v>
      </c>
      <c r="D7634" s="11" t="s">
        <v>60</v>
      </c>
      <c r="E7634" s="12" t="s">
        <v>2881</v>
      </c>
      <c r="F7634" s="12" t="s">
        <v>2882</v>
      </c>
      <c r="G7634" s="12" t="s">
        <v>46</v>
      </c>
      <c r="H7634" s="11" t="s">
        <v>63</v>
      </c>
      <c r="I7634" s="13" t="s">
        <v>15675</v>
      </c>
      <c r="J7634" s="14" t="str">
        <f>HYPERLINK("https://www.boe.es/gazeta/dias/1839/05/08/pdfs/GMD-1839-1635.pdf#page=3","Abrir facsímil")</f>
        <v>Abrir facsímil</v>
      </c>
      <c r="K7634" s="12" t="s">
        <v>65</v>
      </c>
    </row>
    <row r="7635" spans="1:11" ht="40.049999999999997" customHeight="1" x14ac:dyDescent="0.25">
      <c r="A7635" s="11" t="s">
        <v>15662</v>
      </c>
      <c r="B7635" s="11" t="s">
        <v>15662</v>
      </c>
      <c r="C7635" s="11" t="s">
        <v>80</v>
      </c>
      <c r="D7635" s="11" t="s">
        <v>18</v>
      </c>
      <c r="E7635" s="12" t="s">
        <v>4485</v>
      </c>
      <c r="F7635" s="12" t="s">
        <v>4486</v>
      </c>
      <c r="G7635" s="12" t="s">
        <v>21</v>
      </c>
      <c r="H7635" s="11" t="s">
        <v>63</v>
      </c>
      <c r="I7635" s="13" t="s">
        <v>15676</v>
      </c>
      <c r="J7635" s="14" t="str">
        <f>HYPERLINK("https://www.boe.es/gazeta/dias/1839/07/08/pdfs/GMD-1839-1696.pdf#page=4","Abrir facsímil")</f>
        <v>Abrir facsímil</v>
      </c>
      <c r="K7635" s="12" t="s">
        <v>65</v>
      </c>
    </row>
    <row r="7636" spans="1:11" ht="40.049999999999997" customHeight="1" x14ac:dyDescent="0.25">
      <c r="A7636" s="11" t="s">
        <v>15662</v>
      </c>
      <c r="B7636" s="11" t="s">
        <v>15662</v>
      </c>
      <c r="C7636" s="11" t="s">
        <v>80</v>
      </c>
      <c r="D7636" s="11" t="s">
        <v>18</v>
      </c>
      <c r="E7636" s="12" t="s">
        <v>38</v>
      </c>
      <c r="F7636" s="12" t="s">
        <v>39</v>
      </c>
      <c r="G7636" s="12" t="s">
        <v>40</v>
      </c>
      <c r="H7636" s="11" t="s">
        <v>63</v>
      </c>
      <c r="I7636" s="13" t="s">
        <v>15677</v>
      </c>
      <c r="J7636" s="14" t="str">
        <f>HYPERLINK("https://www.boe.es/gazeta/dias/1839/08/08/pdfs/GMD-1839-1728.pdf#page=2","Abrir facsímil")</f>
        <v>Abrir facsímil</v>
      </c>
      <c r="K7636" s="12" t="s">
        <v>65</v>
      </c>
    </row>
    <row r="7637" spans="1:11" ht="40.049999999999997" customHeight="1" x14ac:dyDescent="0.25">
      <c r="A7637" s="11" t="s">
        <v>15662</v>
      </c>
      <c r="B7637" s="11" t="s">
        <v>15662</v>
      </c>
      <c r="C7637" s="11" t="s">
        <v>17</v>
      </c>
      <c r="D7637" s="11" t="s">
        <v>18</v>
      </c>
      <c r="E7637" s="12" t="s">
        <v>2301</v>
      </c>
      <c r="F7637" s="12" t="s">
        <v>2302</v>
      </c>
      <c r="G7637" s="12" t="s">
        <v>46</v>
      </c>
      <c r="H7637" s="11" t="s">
        <v>63</v>
      </c>
      <c r="I7637" s="13" t="s">
        <v>15678</v>
      </c>
      <c r="J7637" s="14" t="str">
        <f>HYPERLINK("https://www.boe.es/gazeta/dias/1839/09/08/pdfs/GMD-1839-1761.pdf#page=3","Abrir facsímil")</f>
        <v>Abrir facsímil</v>
      </c>
      <c r="K7637" s="12" t="s">
        <v>65</v>
      </c>
    </row>
    <row r="7638" spans="1:11" ht="40.049999999999997" customHeight="1" x14ac:dyDescent="0.25">
      <c r="A7638" s="11" t="s">
        <v>15679</v>
      </c>
      <c r="B7638" s="11" t="s">
        <v>15679</v>
      </c>
      <c r="C7638" s="11" t="s">
        <v>137</v>
      </c>
      <c r="D7638" s="11" t="s">
        <v>18</v>
      </c>
      <c r="E7638" s="12" t="s">
        <v>138</v>
      </c>
      <c r="F7638" s="12" t="s">
        <v>139</v>
      </c>
      <c r="G7638" s="12" t="s">
        <v>21</v>
      </c>
      <c r="H7638" s="11" t="s">
        <v>22</v>
      </c>
      <c r="I7638" s="13" t="s">
        <v>15680</v>
      </c>
      <c r="J7638" s="14" t="str">
        <f>HYPERLINK("https://www.boe.es/gazeta/dias/1839/10/09/pdfs/GMD-1839-1795.pdf#page=4","Abrir facsímil")</f>
        <v>Abrir facsímil</v>
      </c>
      <c r="K7638" s="12" t="s">
        <v>24</v>
      </c>
    </row>
    <row r="7639" spans="1:11" ht="40.049999999999997" customHeight="1" x14ac:dyDescent="0.25">
      <c r="A7639" s="11" t="s">
        <v>15662</v>
      </c>
      <c r="B7639" s="11" t="s">
        <v>15662</v>
      </c>
      <c r="C7639" s="11" t="s">
        <v>80</v>
      </c>
      <c r="D7639" s="11" t="s">
        <v>173</v>
      </c>
      <c r="E7639" s="12" t="s">
        <v>269</v>
      </c>
      <c r="F7639" s="12" t="s">
        <v>270</v>
      </c>
      <c r="G7639" s="12" t="s">
        <v>40</v>
      </c>
      <c r="H7639" s="11" t="s">
        <v>63</v>
      </c>
      <c r="I7639" s="13" t="s">
        <v>15681</v>
      </c>
      <c r="J7639" s="14" t="str">
        <f>HYPERLINK("https://www.boe.es/gazeta/dias/1839/02/10/pdfs/GMD-1839-1548.pdf#page=2","Abrir facsímil")</f>
        <v>Abrir facsímil</v>
      </c>
      <c r="K7639" s="12" t="s">
        <v>65</v>
      </c>
    </row>
    <row r="7640" spans="1:11" ht="40.049999999999997" customHeight="1" x14ac:dyDescent="0.25">
      <c r="A7640" s="11" t="s">
        <v>15662</v>
      </c>
      <c r="B7640" s="11" t="s">
        <v>15662</v>
      </c>
      <c r="C7640" s="11" t="s">
        <v>17</v>
      </c>
      <c r="D7640" s="11" t="s">
        <v>18</v>
      </c>
      <c r="E7640" s="12" t="s">
        <v>984</v>
      </c>
      <c r="F7640" s="12" t="s">
        <v>985</v>
      </c>
      <c r="G7640" s="12" t="s">
        <v>46</v>
      </c>
      <c r="H7640" s="11" t="s">
        <v>63</v>
      </c>
      <c r="I7640" s="13" t="s">
        <v>15682</v>
      </c>
      <c r="J7640" s="14" t="str">
        <f>HYPERLINK("https://www.boe.es/gazeta/dias/1839/04/10/pdfs/GMD-1839-1607.pdf#page=3","Abrir facsímil")</f>
        <v>Abrir facsímil</v>
      </c>
      <c r="K7640" s="12" t="s">
        <v>65</v>
      </c>
    </row>
    <row r="7641" spans="1:11" ht="40.049999999999997" customHeight="1" x14ac:dyDescent="0.25">
      <c r="A7641" s="11" t="s">
        <v>15662</v>
      </c>
      <c r="B7641" s="11" t="s">
        <v>15662</v>
      </c>
      <c r="C7641" s="11" t="s">
        <v>137</v>
      </c>
      <c r="D7641" s="11" t="s">
        <v>18</v>
      </c>
      <c r="E7641" s="12" t="s">
        <v>1123</v>
      </c>
      <c r="F7641" s="12" t="s">
        <v>1124</v>
      </c>
      <c r="G7641" s="12" t="s">
        <v>29</v>
      </c>
      <c r="H7641" s="11" t="s">
        <v>63</v>
      </c>
      <c r="I7641" s="13" t="s">
        <v>15683</v>
      </c>
      <c r="J7641" s="14" t="str">
        <f>HYPERLINK("https://www.boe.es/gazeta/dias/1839/08/10/pdfs/GMD-1839-1730.pdf#page=1","Abrir facsímil")</f>
        <v>Abrir facsímil</v>
      </c>
      <c r="K7641" s="12" t="s">
        <v>65</v>
      </c>
    </row>
    <row r="7642" spans="1:11" ht="40.049999999999997" customHeight="1" x14ac:dyDescent="0.25">
      <c r="A7642" s="11" t="s">
        <v>15662</v>
      </c>
      <c r="B7642" s="11" t="s">
        <v>15662</v>
      </c>
      <c r="C7642" s="11" t="s">
        <v>17</v>
      </c>
      <c r="D7642" s="11" t="s">
        <v>18</v>
      </c>
      <c r="E7642" s="12" t="s">
        <v>1123</v>
      </c>
      <c r="F7642" s="12" t="s">
        <v>1124</v>
      </c>
      <c r="G7642" s="12" t="s">
        <v>21</v>
      </c>
      <c r="H7642" s="11" t="s">
        <v>63</v>
      </c>
      <c r="I7642" s="13" t="s">
        <v>15684</v>
      </c>
      <c r="J7642" s="14" t="str">
        <f>HYPERLINK("https://www.boe.es/gazeta/dias/1839/08/10/pdfs/GMD-1839-1730.pdf#page=4","Abrir facsímil")</f>
        <v>Abrir facsímil</v>
      </c>
      <c r="K7642" s="12" t="s">
        <v>65</v>
      </c>
    </row>
    <row r="7643" spans="1:11" ht="40.049999999999997" customHeight="1" x14ac:dyDescent="0.25">
      <c r="A7643" s="11" t="s">
        <v>15662</v>
      </c>
      <c r="B7643" s="11" t="s">
        <v>15662</v>
      </c>
      <c r="C7643" s="11" t="s">
        <v>17</v>
      </c>
      <c r="D7643" s="11" t="s">
        <v>18</v>
      </c>
      <c r="E7643" s="12" t="s">
        <v>61</v>
      </c>
      <c r="F7643" s="12" t="s">
        <v>62</v>
      </c>
      <c r="G7643" s="12" t="s">
        <v>46</v>
      </c>
      <c r="H7643" s="11" t="s">
        <v>63</v>
      </c>
      <c r="I7643" s="13" t="s">
        <v>15685</v>
      </c>
      <c r="J7643" s="14" t="str">
        <f>HYPERLINK("https://www.boe.es/gazeta/dias/1839/09/10/pdfs/GMD-1839-1763.pdf#page=3","Abrir facsímil")</f>
        <v>Abrir facsímil</v>
      </c>
      <c r="K7643" s="12" t="s">
        <v>65</v>
      </c>
    </row>
    <row r="7644" spans="1:11" ht="40.049999999999997" customHeight="1" x14ac:dyDescent="0.25">
      <c r="A7644" s="11" t="s">
        <v>15662</v>
      </c>
      <c r="B7644" s="11" t="s">
        <v>15662</v>
      </c>
      <c r="C7644" s="11" t="s">
        <v>59</v>
      </c>
      <c r="D7644" s="11" t="s">
        <v>60</v>
      </c>
      <c r="E7644" s="12" t="s">
        <v>61</v>
      </c>
      <c r="F7644" s="12" t="s">
        <v>62</v>
      </c>
      <c r="G7644" s="12" t="s">
        <v>21</v>
      </c>
      <c r="H7644" s="11" t="s">
        <v>63</v>
      </c>
      <c r="I7644" s="13" t="s">
        <v>15686</v>
      </c>
      <c r="J7644" s="14" t="str">
        <f>HYPERLINK("https://www.boe.es/gazeta/dias/1839/09/10/pdfs/GMD-1839-1763.pdf#page=4","Abrir facsímil")</f>
        <v>Abrir facsímil</v>
      </c>
      <c r="K7644" s="12" t="s">
        <v>65</v>
      </c>
    </row>
    <row r="7645" spans="1:11" ht="40.049999999999997" customHeight="1" x14ac:dyDescent="0.25">
      <c r="A7645" s="11" t="s">
        <v>15662</v>
      </c>
      <c r="B7645" s="11" t="s">
        <v>15662</v>
      </c>
      <c r="C7645" s="11" t="s">
        <v>59</v>
      </c>
      <c r="D7645" s="11" t="s">
        <v>60</v>
      </c>
      <c r="E7645" s="12" t="s">
        <v>420</v>
      </c>
      <c r="F7645" s="12" t="s">
        <v>421</v>
      </c>
      <c r="G7645" s="12" t="s">
        <v>21</v>
      </c>
      <c r="H7645" s="11" t="s">
        <v>63</v>
      </c>
      <c r="I7645" s="13" t="s">
        <v>15687</v>
      </c>
      <c r="J7645" s="14" t="str">
        <f>HYPERLINK("https://www.boe.es/gazeta/dias/1839/03/12/pdfs/GMD-1839-1578.pdf#page=4","Abrir facsímil")</f>
        <v>Abrir facsímil</v>
      </c>
      <c r="K7645" s="12" t="s">
        <v>65</v>
      </c>
    </row>
    <row r="7646" spans="1:11" ht="40.049999999999997" customHeight="1" x14ac:dyDescent="0.25">
      <c r="A7646" s="11" t="s">
        <v>15662</v>
      </c>
      <c r="B7646" s="11" t="s">
        <v>15662</v>
      </c>
      <c r="C7646" s="11" t="s">
        <v>17</v>
      </c>
      <c r="D7646" s="11" t="s">
        <v>18</v>
      </c>
      <c r="E7646" s="12" t="s">
        <v>1414</v>
      </c>
      <c r="F7646" s="12" t="s">
        <v>1415</v>
      </c>
      <c r="G7646" s="12" t="s">
        <v>21</v>
      </c>
      <c r="H7646" s="11" t="s">
        <v>63</v>
      </c>
      <c r="I7646" s="13" t="s">
        <v>15688</v>
      </c>
      <c r="J7646" s="14" t="str">
        <f>HYPERLINK("https://www.boe.es/gazeta/dias/1839/06/12/pdfs/GMD-1839-1670.pdf#page=4","Abrir facsímil")</f>
        <v>Abrir facsímil</v>
      </c>
      <c r="K7646" s="12" t="s">
        <v>65</v>
      </c>
    </row>
    <row r="7647" spans="1:11" ht="40.049999999999997" customHeight="1" x14ac:dyDescent="0.25">
      <c r="A7647" s="11" t="s">
        <v>15662</v>
      </c>
      <c r="B7647" s="11" t="s">
        <v>15662</v>
      </c>
      <c r="C7647" s="11" t="s">
        <v>17</v>
      </c>
      <c r="D7647" s="11" t="s">
        <v>18</v>
      </c>
      <c r="E7647" s="12" t="s">
        <v>168</v>
      </c>
      <c r="F7647" s="12" t="s">
        <v>169</v>
      </c>
      <c r="G7647" s="12" t="s">
        <v>46</v>
      </c>
      <c r="H7647" s="11" t="s">
        <v>63</v>
      </c>
      <c r="I7647" s="13" t="s">
        <v>15689</v>
      </c>
      <c r="J7647" s="14" t="str">
        <f>HYPERLINK("https://www.boe.es/gazeta/dias/1839/07/12/pdfs/GMD-1839-1700.pdf#page=3","Abrir facsímil")</f>
        <v>Abrir facsímil</v>
      </c>
      <c r="K7647" s="12" t="s">
        <v>65</v>
      </c>
    </row>
    <row r="7648" spans="1:11" ht="40.049999999999997" customHeight="1" x14ac:dyDescent="0.25">
      <c r="A7648" s="11" t="s">
        <v>15662</v>
      </c>
      <c r="B7648" s="11" t="s">
        <v>15662</v>
      </c>
      <c r="C7648" s="11" t="s">
        <v>17</v>
      </c>
      <c r="D7648" s="11" t="s">
        <v>18</v>
      </c>
      <c r="E7648" s="12" t="s">
        <v>103</v>
      </c>
      <c r="F7648" s="12" t="s">
        <v>104</v>
      </c>
      <c r="G7648" s="12" t="s">
        <v>29</v>
      </c>
      <c r="H7648" s="11" t="s">
        <v>63</v>
      </c>
      <c r="I7648" s="13" t="s">
        <v>15690</v>
      </c>
      <c r="J7648" s="14" t="str">
        <f>HYPERLINK("https://www.boe.es/gazeta/dias/1839/10/12/pdfs/GMD-1839-1798.pdf#page=1","Abrir facsímil")</f>
        <v>Abrir facsímil</v>
      </c>
      <c r="K7648" s="12" t="s">
        <v>65</v>
      </c>
    </row>
    <row r="7649" spans="1:11" ht="40.049999999999997" customHeight="1" x14ac:dyDescent="0.25">
      <c r="A7649" s="11" t="s">
        <v>15662</v>
      </c>
      <c r="B7649" s="11" t="s">
        <v>15662</v>
      </c>
      <c r="C7649" s="11" t="s">
        <v>17</v>
      </c>
      <c r="D7649" s="11" t="s">
        <v>18</v>
      </c>
      <c r="E7649" s="12" t="s">
        <v>2919</v>
      </c>
      <c r="F7649" s="12" t="s">
        <v>2920</v>
      </c>
      <c r="G7649" s="12" t="s">
        <v>29</v>
      </c>
      <c r="H7649" s="11" t="s">
        <v>63</v>
      </c>
      <c r="I7649" s="13" t="s">
        <v>15691</v>
      </c>
      <c r="J7649" s="14" t="str">
        <f>HYPERLINK("https://www.boe.es/gazeta/dias/1839/11/12/pdfs/GMD-1839-1829.pdf#page=1","Abrir facsímil")</f>
        <v>Abrir facsímil</v>
      </c>
      <c r="K7649" s="12" t="s">
        <v>65</v>
      </c>
    </row>
    <row r="7650" spans="1:11" ht="40.049999999999997" customHeight="1" x14ac:dyDescent="0.25">
      <c r="A7650" s="11" t="s">
        <v>15662</v>
      </c>
      <c r="B7650" s="11" t="s">
        <v>15662</v>
      </c>
      <c r="C7650" s="11" t="s">
        <v>80</v>
      </c>
      <c r="D7650" s="11" t="s">
        <v>18</v>
      </c>
      <c r="E7650" s="12" t="s">
        <v>1512</v>
      </c>
      <c r="F7650" s="12" t="s">
        <v>1513</v>
      </c>
      <c r="G7650" s="12" t="s">
        <v>29</v>
      </c>
      <c r="H7650" s="11" t="s">
        <v>63</v>
      </c>
      <c r="I7650" s="13" t="s">
        <v>15692</v>
      </c>
      <c r="J7650" s="14" t="str">
        <f>HYPERLINK("https://www.boe.es/gazeta/dias/1839/04/13/pdfs/GMD-1839-1610.pdf#page=1","Abrir facsímil")</f>
        <v>Abrir facsímil</v>
      </c>
      <c r="K7650" s="12" t="s">
        <v>65</v>
      </c>
    </row>
    <row r="7651" spans="1:11" ht="40.049999999999997" customHeight="1" x14ac:dyDescent="0.25">
      <c r="A7651" s="11" t="s">
        <v>15662</v>
      </c>
      <c r="B7651" s="11" t="s">
        <v>15662</v>
      </c>
      <c r="C7651" s="11" t="s">
        <v>17</v>
      </c>
      <c r="D7651" s="11" t="s">
        <v>18</v>
      </c>
      <c r="E7651" s="12" t="s">
        <v>1512</v>
      </c>
      <c r="F7651" s="12" t="s">
        <v>1513</v>
      </c>
      <c r="G7651" s="12" t="s">
        <v>21</v>
      </c>
      <c r="H7651" s="11" t="s">
        <v>63</v>
      </c>
      <c r="I7651" s="13" t="s">
        <v>15693</v>
      </c>
      <c r="J7651" s="14" t="str">
        <f>HYPERLINK("https://www.boe.es/gazeta/dias/1839/04/13/pdfs/GMD-1839-1610.pdf#page=4","Abrir facsímil")</f>
        <v>Abrir facsímil</v>
      </c>
      <c r="K7651" s="12" t="s">
        <v>65</v>
      </c>
    </row>
    <row r="7652" spans="1:11" ht="40.049999999999997" customHeight="1" x14ac:dyDescent="0.25">
      <c r="A7652" s="11" t="s">
        <v>15662</v>
      </c>
      <c r="B7652" s="11" t="s">
        <v>15662</v>
      </c>
      <c r="C7652" s="11" t="s">
        <v>80</v>
      </c>
      <c r="D7652" s="11" t="s">
        <v>18</v>
      </c>
      <c r="E7652" s="12" t="s">
        <v>510</v>
      </c>
      <c r="F7652" s="12" t="s">
        <v>511</v>
      </c>
      <c r="G7652" s="12" t="s">
        <v>21</v>
      </c>
      <c r="H7652" s="11" t="s">
        <v>63</v>
      </c>
      <c r="I7652" s="13" t="s">
        <v>15694</v>
      </c>
      <c r="J7652" s="14" t="str">
        <f>HYPERLINK("https://www.boe.es/gazeta/dias/1839/05/13/pdfs/GMD-1839-1640.pdf#page=4","Abrir facsímil")</f>
        <v>Abrir facsímil</v>
      </c>
      <c r="K7652" s="12" t="s">
        <v>65</v>
      </c>
    </row>
    <row r="7653" spans="1:11" ht="40.049999999999997" customHeight="1" x14ac:dyDescent="0.25">
      <c r="A7653" s="11" t="s">
        <v>15662</v>
      </c>
      <c r="B7653" s="11" t="s">
        <v>15662</v>
      </c>
      <c r="C7653" s="11" t="s">
        <v>80</v>
      </c>
      <c r="D7653" s="11" t="s">
        <v>173</v>
      </c>
      <c r="E7653" s="12" t="s">
        <v>785</v>
      </c>
      <c r="F7653" s="12" t="s">
        <v>786</v>
      </c>
      <c r="G7653" s="12" t="s">
        <v>21</v>
      </c>
      <c r="H7653" s="11" t="s">
        <v>63</v>
      </c>
      <c r="I7653" s="13" t="s">
        <v>15695</v>
      </c>
      <c r="J7653" s="14" t="str">
        <f>HYPERLINK("https://www.boe.es/gazeta/dias/1839/07/13/pdfs/GMD-1839-1701.pdf#page=4","Abrir facsímil")</f>
        <v>Abrir facsímil</v>
      </c>
      <c r="K7653" s="12" t="s">
        <v>65</v>
      </c>
    </row>
    <row r="7654" spans="1:11" ht="40.049999999999997" customHeight="1" x14ac:dyDescent="0.25">
      <c r="A7654" s="11" t="s">
        <v>15662</v>
      </c>
      <c r="B7654" s="11" t="s">
        <v>15662</v>
      </c>
      <c r="C7654" s="11" t="s">
        <v>17</v>
      </c>
      <c r="D7654" s="11" t="s">
        <v>18</v>
      </c>
      <c r="E7654" s="12" t="s">
        <v>2374</v>
      </c>
      <c r="F7654" s="12" t="s">
        <v>2375</v>
      </c>
      <c r="G7654" s="12" t="s">
        <v>21</v>
      </c>
      <c r="H7654" s="11" t="s">
        <v>63</v>
      </c>
      <c r="I7654" s="13" t="s">
        <v>15696</v>
      </c>
      <c r="J7654" s="14" t="str">
        <f>HYPERLINK("https://www.boe.es/gazeta/dias/1839/06/14/pdfs/GMD-1839-1672.pdf#page=4","Abrir facsímil")</f>
        <v>Abrir facsímil</v>
      </c>
      <c r="K7654" s="12" t="s">
        <v>65</v>
      </c>
    </row>
    <row r="7655" spans="1:11" ht="40.049999999999997" customHeight="1" x14ac:dyDescent="0.25">
      <c r="A7655" s="11" t="s">
        <v>15662</v>
      </c>
      <c r="B7655" s="11" t="s">
        <v>15662</v>
      </c>
      <c r="C7655" s="11" t="s">
        <v>59</v>
      </c>
      <c r="D7655" s="11" t="s">
        <v>60</v>
      </c>
      <c r="E7655" s="12" t="s">
        <v>1252</v>
      </c>
      <c r="F7655" s="12" t="s">
        <v>1253</v>
      </c>
      <c r="G7655" s="12" t="s">
        <v>21</v>
      </c>
      <c r="H7655" s="11" t="s">
        <v>63</v>
      </c>
      <c r="I7655" s="13" t="s">
        <v>15697</v>
      </c>
      <c r="J7655" s="14" t="str">
        <f>HYPERLINK("https://www.boe.es/gazeta/dias/1839/06/15/pdfs/GMD-1839-1673.pdf#page=4","Abrir facsímil")</f>
        <v>Abrir facsímil</v>
      </c>
      <c r="K7655" s="12" t="s">
        <v>65</v>
      </c>
    </row>
    <row r="7656" spans="1:11" ht="40.049999999999997" customHeight="1" x14ac:dyDescent="0.25">
      <c r="A7656" s="11" t="s">
        <v>15662</v>
      </c>
      <c r="B7656" s="11" t="s">
        <v>15662</v>
      </c>
      <c r="C7656" s="11" t="s">
        <v>17</v>
      </c>
      <c r="D7656" s="11" t="s">
        <v>18</v>
      </c>
      <c r="E7656" s="12" t="s">
        <v>2650</v>
      </c>
      <c r="F7656" s="12" t="s">
        <v>2651</v>
      </c>
      <c r="G7656" s="12" t="s">
        <v>46</v>
      </c>
      <c r="H7656" s="11" t="s">
        <v>63</v>
      </c>
      <c r="I7656" s="13" t="s">
        <v>15698</v>
      </c>
      <c r="J7656" s="14" t="str">
        <f>HYPERLINK("https://www.boe.es/gazeta/dias/1839/09/15/pdfs/GMD-1839-1768.pdf#page=3","Abrir facsímil")</f>
        <v>Abrir facsímil</v>
      </c>
      <c r="K7656" s="12" t="s">
        <v>65</v>
      </c>
    </row>
    <row r="7657" spans="1:11" ht="40.049999999999997" customHeight="1" x14ac:dyDescent="0.25">
      <c r="A7657" s="11" t="s">
        <v>15662</v>
      </c>
      <c r="B7657" s="11" t="s">
        <v>15662</v>
      </c>
      <c r="C7657" s="11" t="s">
        <v>80</v>
      </c>
      <c r="D7657" s="11" t="s">
        <v>18</v>
      </c>
      <c r="E7657" s="12" t="s">
        <v>1644</v>
      </c>
      <c r="F7657" s="12" t="s">
        <v>1645</v>
      </c>
      <c r="G7657" s="12" t="s">
        <v>21</v>
      </c>
      <c r="H7657" s="11" t="s">
        <v>63</v>
      </c>
      <c r="I7657" s="13" t="s">
        <v>15699</v>
      </c>
      <c r="J7657" s="14" t="str">
        <f>HYPERLINK("https://www.boe.es/gazeta/dias/1839/04/16/pdfs/GMD-1839-1613.pdf#page=4","Abrir facsímil")</f>
        <v>Abrir facsímil</v>
      </c>
      <c r="K7657" s="12" t="s">
        <v>65</v>
      </c>
    </row>
    <row r="7658" spans="1:11" ht="40.049999999999997" customHeight="1" x14ac:dyDescent="0.25">
      <c r="A7658" s="11" t="s">
        <v>15662</v>
      </c>
      <c r="B7658" s="11" t="s">
        <v>15662</v>
      </c>
      <c r="C7658" s="11" t="s">
        <v>17</v>
      </c>
      <c r="D7658" s="11" t="s">
        <v>18</v>
      </c>
      <c r="E7658" s="12" t="s">
        <v>1537</v>
      </c>
      <c r="F7658" s="12" t="s">
        <v>1538</v>
      </c>
      <c r="G7658" s="12" t="s">
        <v>40</v>
      </c>
      <c r="H7658" s="11" t="s">
        <v>63</v>
      </c>
      <c r="I7658" s="13" t="s">
        <v>15700</v>
      </c>
      <c r="J7658" s="14" t="str">
        <f>HYPERLINK("https://www.boe.es/gazeta/dias/1839/12/16/pdfs/GMD-1839-1863.pdf#page=2","Abrir facsímil")</f>
        <v>Abrir facsímil</v>
      </c>
      <c r="K7658" s="12" t="s">
        <v>65</v>
      </c>
    </row>
    <row r="7659" spans="1:11" ht="40.049999999999997" customHeight="1" x14ac:dyDescent="0.25">
      <c r="A7659" s="11" t="s">
        <v>15662</v>
      </c>
      <c r="B7659" s="11" t="s">
        <v>15662</v>
      </c>
      <c r="C7659" s="11" t="s">
        <v>17</v>
      </c>
      <c r="D7659" s="11" t="s">
        <v>18</v>
      </c>
      <c r="E7659" s="12" t="s">
        <v>1565</v>
      </c>
      <c r="F7659" s="12" t="s">
        <v>1566</v>
      </c>
      <c r="G7659" s="12" t="s">
        <v>21</v>
      </c>
      <c r="H7659" s="11" t="s">
        <v>63</v>
      </c>
      <c r="I7659" s="13" t="s">
        <v>15701</v>
      </c>
      <c r="J7659" s="14" t="str">
        <f>HYPERLINK("https://www.boe.es/gazeta/dias/1839/06/17/pdfs/GMD-1839-1675.pdf#page=4","Abrir facsímil")</f>
        <v>Abrir facsímil</v>
      </c>
      <c r="K7659" s="12" t="s">
        <v>65</v>
      </c>
    </row>
    <row r="7660" spans="1:11" ht="40.049999999999997" customHeight="1" x14ac:dyDescent="0.25">
      <c r="A7660" s="11" t="s">
        <v>15662</v>
      </c>
      <c r="B7660" s="11" t="s">
        <v>15662</v>
      </c>
      <c r="C7660" s="11" t="s">
        <v>17</v>
      </c>
      <c r="D7660" s="11" t="s">
        <v>18</v>
      </c>
      <c r="E7660" s="12" t="s">
        <v>834</v>
      </c>
      <c r="F7660" s="12" t="s">
        <v>835</v>
      </c>
      <c r="G7660" s="12" t="s">
        <v>21</v>
      </c>
      <c r="H7660" s="11" t="s">
        <v>63</v>
      </c>
      <c r="I7660" s="13" t="s">
        <v>15702</v>
      </c>
      <c r="J7660" s="14" t="str">
        <f>HYPERLINK("https://www.boe.es/gazeta/dias/1839/08/17/pdfs/GMD-1839-1737.pdf#page=4","Abrir facsímil")</f>
        <v>Abrir facsímil</v>
      </c>
      <c r="K7660" s="12" t="s">
        <v>65</v>
      </c>
    </row>
    <row r="7661" spans="1:11" ht="40.049999999999997" customHeight="1" x14ac:dyDescent="0.25">
      <c r="A7661" s="11" t="s">
        <v>15662</v>
      </c>
      <c r="B7661" s="11" t="s">
        <v>15662</v>
      </c>
      <c r="C7661" s="11" t="s">
        <v>17</v>
      </c>
      <c r="D7661" s="11" t="s">
        <v>18</v>
      </c>
      <c r="E7661" s="12" t="s">
        <v>233</v>
      </c>
      <c r="F7661" s="12" t="s">
        <v>234</v>
      </c>
      <c r="G7661" s="12" t="s">
        <v>40</v>
      </c>
      <c r="H7661" s="11" t="s">
        <v>63</v>
      </c>
      <c r="I7661" s="13" t="s">
        <v>15703</v>
      </c>
      <c r="J7661" s="14" t="str">
        <f>HYPERLINK("https://www.boe.es/gazeta/dias/1839/09/17/pdfs/GMD-1839-1770.pdf#page=2","Abrir facsímil")</f>
        <v>Abrir facsímil</v>
      </c>
      <c r="K7661" s="12" t="s">
        <v>65</v>
      </c>
    </row>
    <row r="7662" spans="1:11" ht="40.049999999999997" customHeight="1" x14ac:dyDescent="0.25">
      <c r="A7662" s="11" t="s">
        <v>15662</v>
      </c>
      <c r="B7662" s="11" t="s">
        <v>15662</v>
      </c>
      <c r="C7662" s="11" t="s">
        <v>80</v>
      </c>
      <c r="D7662" s="11" t="s">
        <v>173</v>
      </c>
      <c r="E7662" s="12" t="s">
        <v>233</v>
      </c>
      <c r="F7662" s="12" t="s">
        <v>234</v>
      </c>
      <c r="G7662" s="12" t="s">
        <v>46</v>
      </c>
      <c r="H7662" s="11" t="s">
        <v>63</v>
      </c>
      <c r="I7662" s="13" t="s">
        <v>15704</v>
      </c>
      <c r="J7662" s="14" t="str">
        <f>HYPERLINK("https://www.boe.es/gazeta/dias/1839/09/17/pdfs/GMD-1839-1770.pdf#page=3","Abrir facsímil")</f>
        <v>Abrir facsímil</v>
      </c>
      <c r="K7662" s="12" t="s">
        <v>65</v>
      </c>
    </row>
    <row r="7663" spans="1:11" ht="40.049999999999997" customHeight="1" x14ac:dyDescent="0.25">
      <c r="A7663" s="11" t="s">
        <v>15662</v>
      </c>
      <c r="B7663" s="11" t="s">
        <v>15662</v>
      </c>
      <c r="C7663" s="11" t="s">
        <v>59</v>
      </c>
      <c r="D7663" s="11" t="s">
        <v>60</v>
      </c>
      <c r="E7663" s="12" t="s">
        <v>1725</v>
      </c>
      <c r="F7663" s="12" t="s">
        <v>1726</v>
      </c>
      <c r="G7663" s="12" t="s">
        <v>29</v>
      </c>
      <c r="H7663" s="11" t="s">
        <v>63</v>
      </c>
      <c r="I7663" s="13" t="s">
        <v>15705</v>
      </c>
      <c r="J7663" s="14" t="str">
        <f>HYPERLINK("https://www.boe.es/gazeta/dias/1839/11/17/pdfs/GMD-1839-1834.pdf#page=1","Abrir facsímil")</f>
        <v>Abrir facsímil</v>
      </c>
      <c r="K7663" s="12" t="s">
        <v>65</v>
      </c>
    </row>
    <row r="7664" spans="1:11" ht="40.049999999999997" customHeight="1" x14ac:dyDescent="0.25">
      <c r="A7664" s="11" t="s">
        <v>15662</v>
      </c>
      <c r="B7664" s="11" t="s">
        <v>15662</v>
      </c>
      <c r="C7664" s="11" t="s">
        <v>17</v>
      </c>
      <c r="D7664" s="11" t="s">
        <v>18</v>
      </c>
      <c r="E7664" s="12" t="s">
        <v>756</v>
      </c>
      <c r="F7664" s="12" t="s">
        <v>757</v>
      </c>
      <c r="G7664" s="12" t="s">
        <v>29</v>
      </c>
      <c r="H7664" s="11" t="s">
        <v>63</v>
      </c>
      <c r="I7664" s="13" t="s">
        <v>15706</v>
      </c>
      <c r="J7664" s="14" t="str">
        <f>HYPERLINK("https://www.boe.es/gazeta/dias/1839/12/17/pdfs/GMD-1839-1864.pdf#page=1","Abrir facsímil")</f>
        <v>Abrir facsímil</v>
      </c>
      <c r="K7664" s="12" t="s">
        <v>65</v>
      </c>
    </row>
    <row r="7665" spans="1:11" ht="40.049999999999997" customHeight="1" x14ac:dyDescent="0.25">
      <c r="A7665" s="11" t="s">
        <v>15662</v>
      </c>
      <c r="B7665" s="11" t="s">
        <v>15662</v>
      </c>
      <c r="C7665" s="11" t="s">
        <v>80</v>
      </c>
      <c r="D7665" s="11" t="s">
        <v>18</v>
      </c>
      <c r="E7665" s="12" t="s">
        <v>992</v>
      </c>
      <c r="F7665" s="12" t="s">
        <v>993</v>
      </c>
      <c r="G7665" s="12" t="s">
        <v>21</v>
      </c>
      <c r="H7665" s="11" t="s">
        <v>63</v>
      </c>
      <c r="I7665" s="13" t="s">
        <v>15707</v>
      </c>
      <c r="J7665" s="14" t="str">
        <f>HYPERLINK("https://www.boe.es/gazeta/dias/1839/02/18/pdfs/GMD-1839-1556.pdf#page=4","Abrir facsímil")</f>
        <v>Abrir facsímil</v>
      </c>
      <c r="K7665" s="12" t="s">
        <v>65</v>
      </c>
    </row>
    <row r="7666" spans="1:11" ht="40.049999999999997" customHeight="1" x14ac:dyDescent="0.25">
      <c r="A7666" s="11" t="s">
        <v>15662</v>
      </c>
      <c r="B7666" s="11" t="s">
        <v>15662</v>
      </c>
      <c r="C7666" s="11" t="s">
        <v>80</v>
      </c>
      <c r="D7666" s="11" t="s">
        <v>18</v>
      </c>
      <c r="E7666" s="12" t="s">
        <v>1378</v>
      </c>
      <c r="F7666" s="12" t="s">
        <v>1379</v>
      </c>
      <c r="G7666" s="12" t="s">
        <v>29</v>
      </c>
      <c r="H7666" s="11" t="s">
        <v>63</v>
      </c>
      <c r="I7666" s="13" t="s">
        <v>15708</v>
      </c>
      <c r="J7666" s="14" t="str">
        <f>HYPERLINK("https://www.boe.es/gazeta/dias/1839/05/18/pdfs/GMD-1839-1645.pdf#page=1","Abrir facsímil")</f>
        <v>Abrir facsímil</v>
      </c>
      <c r="K7666" s="12" t="s">
        <v>65</v>
      </c>
    </row>
    <row r="7667" spans="1:11" ht="40.049999999999997" customHeight="1" x14ac:dyDescent="0.25">
      <c r="A7667" s="11" t="s">
        <v>15662</v>
      </c>
      <c r="B7667" s="11" t="s">
        <v>15662</v>
      </c>
      <c r="C7667" s="11" t="s">
        <v>17</v>
      </c>
      <c r="D7667" s="11" t="s">
        <v>18</v>
      </c>
      <c r="E7667" s="12" t="s">
        <v>1648</v>
      </c>
      <c r="F7667" s="12" t="s">
        <v>1649</v>
      </c>
      <c r="G7667" s="12" t="s">
        <v>21</v>
      </c>
      <c r="H7667" s="11" t="s">
        <v>63</v>
      </c>
      <c r="I7667" s="13" t="s">
        <v>15709</v>
      </c>
      <c r="J7667" s="14" t="str">
        <f>HYPERLINK("https://www.boe.es/gazeta/dias/1839/08/18/pdfs/GMD-1839-1738.pdf#page=4","Abrir facsímil")</f>
        <v>Abrir facsímil</v>
      </c>
      <c r="K7667" s="12" t="s">
        <v>65</v>
      </c>
    </row>
    <row r="7668" spans="1:11" ht="40.049999999999997" customHeight="1" x14ac:dyDescent="0.25">
      <c r="A7668" s="11" t="s">
        <v>15662</v>
      </c>
      <c r="B7668" s="11" t="s">
        <v>15662</v>
      </c>
      <c r="C7668" s="11" t="s">
        <v>17</v>
      </c>
      <c r="D7668" s="11" t="s">
        <v>18</v>
      </c>
      <c r="E7668" s="12" t="s">
        <v>1179</v>
      </c>
      <c r="F7668" s="12" t="s">
        <v>1180</v>
      </c>
      <c r="G7668" s="12" t="s">
        <v>46</v>
      </c>
      <c r="H7668" s="11" t="s">
        <v>63</v>
      </c>
      <c r="I7668" s="13" t="s">
        <v>15710</v>
      </c>
      <c r="J7668" s="14" t="str">
        <f>HYPERLINK("https://www.boe.es/gazeta/dias/1839/10/18/pdfs/GMD-1839-1804.pdf#page=3","Abrir facsímil")</f>
        <v>Abrir facsímil</v>
      </c>
      <c r="K7668" s="12" t="s">
        <v>65</v>
      </c>
    </row>
    <row r="7669" spans="1:11" ht="40.049999999999997" customHeight="1" x14ac:dyDescent="0.25">
      <c r="A7669" s="11" t="s">
        <v>15662</v>
      </c>
      <c r="B7669" s="11" t="s">
        <v>15662</v>
      </c>
      <c r="C7669" s="11" t="s">
        <v>17</v>
      </c>
      <c r="D7669" s="11" t="s">
        <v>18</v>
      </c>
      <c r="E7669" s="12" t="s">
        <v>486</v>
      </c>
      <c r="F7669" s="12" t="s">
        <v>487</v>
      </c>
      <c r="G7669" s="12" t="s">
        <v>40</v>
      </c>
      <c r="H7669" s="11" t="s">
        <v>63</v>
      </c>
      <c r="I7669" s="13" t="s">
        <v>15711</v>
      </c>
      <c r="J7669" s="14" t="str">
        <f>HYPERLINK("https://www.boe.es/gazeta/dias/1839/04/19/pdfs/GMD-1839-1616.pdf#page=2","Abrir facsímil")</f>
        <v>Abrir facsímil</v>
      </c>
      <c r="K7669" s="12" t="s">
        <v>65</v>
      </c>
    </row>
    <row r="7670" spans="1:11" ht="40.049999999999997" customHeight="1" x14ac:dyDescent="0.25">
      <c r="A7670" s="11" t="s">
        <v>15662</v>
      </c>
      <c r="B7670" s="11" t="s">
        <v>15662</v>
      </c>
      <c r="C7670" s="11" t="s">
        <v>17</v>
      </c>
      <c r="D7670" s="11" t="s">
        <v>18</v>
      </c>
      <c r="E7670" s="12" t="s">
        <v>1654</v>
      </c>
      <c r="F7670" s="12" t="s">
        <v>1655</v>
      </c>
      <c r="G7670" s="12" t="s">
        <v>21</v>
      </c>
      <c r="H7670" s="11" t="s">
        <v>63</v>
      </c>
      <c r="I7670" s="13" t="s">
        <v>15712</v>
      </c>
      <c r="J7670" s="14" t="str">
        <f>HYPERLINK("https://www.boe.es/gazeta/dias/1839/11/19/pdfs/GMD-1839-1836.pdf#page=4","Abrir facsímil")</f>
        <v>Abrir facsímil</v>
      </c>
      <c r="K7670" s="12" t="s">
        <v>65</v>
      </c>
    </row>
    <row r="7671" spans="1:11" ht="40.049999999999997" customHeight="1" x14ac:dyDescent="0.25">
      <c r="A7671" s="11" t="s">
        <v>15662</v>
      </c>
      <c r="B7671" s="11" t="s">
        <v>15662</v>
      </c>
      <c r="C7671" s="11" t="s">
        <v>17</v>
      </c>
      <c r="D7671" s="11" t="s">
        <v>18</v>
      </c>
      <c r="E7671" s="12" t="s">
        <v>695</v>
      </c>
      <c r="F7671" s="12" t="s">
        <v>696</v>
      </c>
      <c r="G7671" s="12" t="s">
        <v>29</v>
      </c>
      <c r="H7671" s="11" t="s">
        <v>63</v>
      </c>
      <c r="I7671" s="13" t="s">
        <v>15713</v>
      </c>
      <c r="J7671" s="14" t="str">
        <f>HYPERLINK("https://www.boe.es/gazeta/dias/1839/12/19/pdfs/GMD-1839-1866.pdf#page=1","Abrir facsímil")</f>
        <v>Abrir facsímil</v>
      </c>
      <c r="K7671" s="12" t="s">
        <v>65</v>
      </c>
    </row>
    <row r="7672" spans="1:11" ht="40.049999999999997" customHeight="1" x14ac:dyDescent="0.25">
      <c r="A7672" s="11" t="s">
        <v>15662</v>
      </c>
      <c r="B7672" s="11" t="s">
        <v>15662</v>
      </c>
      <c r="C7672" s="11" t="s">
        <v>80</v>
      </c>
      <c r="D7672" s="11" t="s">
        <v>173</v>
      </c>
      <c r="E7672" s="12" t="s">
        <v>695</v>
      </c>
      <c r="F7672" s="12" t="s">
        <v>696</v>
      </c>
      <c r="G7672" s="12" t="s">
        <v>46</v>
      </c>
      <c r="H7672" s="11" t="s">
        <v>63</v>
      </c>
      <c r="I7672" s="13" t="s">
        <v>15714</v>
      </c>
      <c r="J7672" s="14" t="str">
        <f>HYPERLINK("https://www.boe.es/gazeta/dias/1839/12/19/pdfs/GMD-1839-1866.pdf#page=3","Abrir facsímil")</f>
        <v>Abrir facsímil</v>
      </c>
      <c r="K7672" s="12" t="s">
        <v>65</v>
      </c>
    </row>
    <row r="7673" spans="1:11" ht="40.049999999999997" customHeight="1" x14ac:dyDescent="0.25">
      <c r="A7673" s="11" t="s">
        <v>15662</v>
      </c>
      <c r="B7673" s="11" t="s">
        <v>15662</v>
      </c>
      <c r="C7673" s="11" t="s">
        <v>59</v>
      </c>
      <c r="D7673" s="11" t="s">
        <v>60</v>
      </c>
      <c r="E7673" s="12" t="s">
        <v>3009</v>
      </c>
      <c r="F7673" s="12" t="s">
        <v>3010</v>
      </c>
      <c r="G7673" s="12" t="s">
        <v>40</v>
      </c>
      <c r="H7673" s="11" t="s">
        <v>63</v>
      </c>
      <c r="I7673" s="13" t="s">
        <v>15715</v>
      </c>
      <c r="J7673" s="14" t="str">
        <f>HYPERLINK("https://www.boe.es/gazeta/dias/1839/04/20/pdfs/GMD-1839-1617.pdf#page=2","Abrir facsímil")</f>
        <v>Abrir facsímil</v>
      </c>
      <c r="K7673" s="12" t="s">
        <v>65</v>
      </c>
    </row>
    <row r="7674" spans="1:11" ht="40.049999999999997" customHeight="1" x14ac:dyDescent="0.25">
      <c r="A7674" s="11" t="s">
        <v>15662</v>
      </c>
      <c r="B7674" s="11" t="s">
        <v>15662</v>
      </c>
      <c r="C7674" s="11" t="s">
        <v>80</v>
      </c>
      <c r="D7674" s="11" t="s">
        <v>18</v>
      </c>
      <c r="E7674" s="12" t="s">
        <v>1657</v>
      </c>
      <c r="F7674" s="12" t="s">
        <v>1658</v>
      </c>
      <c r="G7674" s="12" t="s">
        <v>21</v>
      </c>
      <c r="H7674" s="11" t="s">
        <v>63</v>
      </c>
      <c r="I7674" s="13" t="s">
        <v>15716</v>
      </c>
      <c r="J7674" s="14" t="str">
        <f>HYPERLINK("https://www.boe.es/gazeta/dias/1839/02/21/pdfs/GMD-1839-1559.pdf#page=4","Abrir facsímil")</f>
        <v>Abrir facsímil</v>
      </c>
      <c r="K7674" s="12" t="s">
        <v>65</v>
      </c>
    </row>
    <row r="7675" spans="1:11" ht="40.049999999999997" customHeight="1" x14ac:dyDescent="0.25">
      <c r="A7675" s="11" t="s">
        <v>15662</v>
      </c>
      <c r="B7675" s="11" t="s">
        <v>15662</v>
      </c>
      <c r="C7675" s="11" t="s">
        <v>17</v>
      </c>
      <c r="D7675" s="11" t="s">
        <v>18</v>
      </c>
      <c r="E7675" s="12" t="s">
        <v>857</v>
      </c>
      <c r="F7675" s="12" t="s">
        <v>858</v>
      </c>
      <c r="G7675" s="12" t="s">
        <v>29</v>
      </c>
      <c r="H7675" s="11" t="s">
        <v>63</v>
      </c>
      <c r="I7675" s="13" t="s">
        <v>15717</v>
      </c>
      <c r="J7675" s="14" t="str">
        <f>HYPERLINK("https://www.boe.es/gazeta/dias/1839/11/21/pdfs/GMD-1839-1838.pdf#page=1","Abrir facsímil")</f>
        <v>Abrir facsímil</v>
      </c>
      <c r="K7675" s="12" t="s">
        <v>65</v>
      </c>
    </row>
    <row r="7676" spans="1:11" ht="40.049999999999997" customHeight="1" x14ac:dyDescent="0.25">
      <c r="A7676" s="11" t="s">
        <v>15662</v>
      </c>
      <c r="B7676" s="11" t="s">
        <v>15662</v>
      </c>
      <c r="C7676" s="11" t="s">
        <v>17</v>
      </c>
      <c r="D7676" s="11" t="s">
        <v>18</v>
      </c>
      <c r="E7676" s="12" t="s">
        <v>125</v>
      </c>
      <c r="F7676" s="12" t="s">
        <v>126</v>
      </c>
      <c r="G7676" s="12" t="s">
        <v>29</v>
      </c>
      <c r="H7676" s="11" t="s">
        <v>63</v>
      </c>
      <c r="I7676" s="13" t="s">
        <v>15718</v>
      </c>
      <c r="J7676" s="14" t="str">
        <f>HYPERLINK("https://www.boe.es/gazeta/dias/1839/05/23/pdfs/GMD-1839-1650.pdf#page=1","Abrir facsímil")</f>
        <v>Abrir facsímil</v>
      </c>
      <c r="K7676" s="12" t="s">
        <v>65</v>
      </c>
    </row>
    <row r="7677" spans="1:11" ht="40.049999999999997" customHeight="1" x14ac:dyDescent="0.25">
      <c r="A7677" s="11" t="s">
        <v>15662</v>
      </c>
      <c r="B7677" s="11" t="s">
        <v>15662</v>
      </c>
      <c r="C7677" s="11" t="s">
        <v>17</v>
      </c>
      <c r="D7677" s="11" t="s">
        <v>18</v>
      </c>
      <c r="E7677" s="12" t="s">
        <v>2432</v>
      </c>
      <c r="F7677" s="12" t="s">
        <v>2581</v>
      </c>
      <c r="G7677" s="12" t="s">
        <v>29</v>
      </c>
      <c r="H7677" s="11" t="s">
        <v>63</v>
      </c>
      <c r="I7677" s="13" t="s">
        <v>15719</v>
      </c>
      <c r="J7677" s="14" t="str">
        <f>HYPERLINK("https://www.boe.es/gazeta/dias/1839/07/23/pdfs/GMD-1839-1711.pdf#page=1","Abrir facsímil")</f>
        <v>Abrir facsímil</v>
      </c>
      <c r="K7677" s="12" t="s">
        <v>65</v>
      </c>
    </row>
    <row r="7678" spans="1:11" ht="40.049999999999997" customHeight="1" x14ac:dyDescent="0.25">
      <c r="A7678" s="11" t="s">
        <v>15662</v>
      </c>
      <c r="B7678" s="11" t="s">
        <v>15662</v>
      </c>
      <c r="C7678" s="11" t="s">
        <v>17</v>
      </c>
      <c r="D7678" s="11" t="s">
        <v>18</v>
      </c>
      <c r="E7678" s="12" t="s">
        <v>2432</v>
      </c>
      <c r="F7678" s="12" t="s">
        <v>2581</v>
      </c>
      <c r="G7678" s="12" t="s">
        <v>21</v>
      </c>
      <c r="H7678" s="11" t="s">
        <v>63</v>
      </c>
      <c r="I7678" s="13" t="s">
        <v>15720</v>
      </c>
      <c r="J7678" s="14" t="str">
        <f>HYPERLINK("https://www.boe.es/gazeta/dias/1839/07/23/pdfs/GMD-1839-1711.pdf#page=4","Abrir facsímil")</f>
        <v>Abrir facsímil</v>
      </c>
      <c r="K7678" s="12" t="s">
        <v>65</v>
      </c>
    </row>
    <row r="7679" spans="1:11" ht="40.049999999999997" customHeight="1" x14ac:dyDescent="0.25">
      <c r="A7679" s="11" t="s">
        <v>15662</v>
      </c>
      <c r="B7679" s="11" t="s">
        <v>15662</v>
      </c>
      <c r="C7679" s="11" t="s">
        <v>137</v>
      </c>
      <c r="D7679" s="11" t="s">
        <v>18</v>
      </c>
      <c r="E7679" s="12" t="s">
        <v>94</v>
      </c>
      <c r="F7679" s="12" t="s">
        <v>95</v>
      </c>
      <c r="G7679" s="12" t="s">
        <v>29</v>
      </c>
      <c r="H7679" s="11" t="s">
        <v>63</v>
      </c>
      <c r="I7679" s="13" t="s">
        <v>15721</v>
      </c>
      <c r="J7679" s="14" t="str">
        <f>HYPERLINK("https://www.boe.es/gazeta/dias/1839/02/24/pdfs/GMD-1839-1562.pdf#page=1","Abrir facsímil")</f>
        <v>Abrir facsímil</v>
      </c>
      <c r="K7679" s="12" t="s">
        <v>65</v>
      </c>
    </row>
    <row r="7680" spans="1:11" ht="40.049999999999997" customHeight="1" x14ac:dyDescent="0.25">
      <c r="A7680" s="11" t="s">
        <v>15662</v>
      </c>
      <c r="B7680" s="11" t="s">
        <v>15662</v>
      </c>
      <c r="C7680" s="11" t="s">
        <v>137</v>
      </c>
      <c r="D7680" s="11" t="s">
        <v>18</v>
      </c>
      <c r="E7680" s="12" t="s">
        <v>1208</v>
      </c>
      <c r="F7680" s="12" t="s">
        <v>1209</v>
      </c>
      <c r="G7680" s="12" t="s">
        <v>21</v>
      </c>
      <c r="H7680" s="11" t="s">
        <v>63</v>
      </c>
      <c r="I7680" s="13" t="s">
        <v>15722</v>
      </c>
      <c r="J7680" s="14" t="str">
        <f>HYPERLINK("https://www.boe.es/gazeta/dias/1839/04/24/pdfs/GMD-1839-1621.pdf#page=4","Abrir facsímil")</f>
        <v>Abrir facsímil</v>
      </c>
      <c r="K7680" s="12" t="s">
        <v>65</v>
      </c>
    </row>
    <row r="7681" spans="1:11" ht="40.049999999999997" customHeight="1" x14ac:dyDescent="0.25">
      <c r="A7681" s="11" t="s">
        <v>15662</v>
      </c>
      <c r="B7681" s="11" t="s">
        <v>15662</v>
      </c>
      <c r="C7681" s="11" t="s">
        <v>17</v>
      </c>
      <c r="D7681" s="11" t="s">
        <v>18</v>
      </c>
      <c r="E7681" s="12" t="s">
        <v>1079</v>
      </c>
      <c r="F7681" s="12" t="s">
        <v>1080</v>
      </c>
      <c r="G7681" s="12" t="s">
        <v>46</v>
      </c>
      <c r="H7681" s="11" t="s">
        <v>63</v>
      </c>
      <c r="I7681" s="13" t="s">
        <v>15723</v>
      </c>
      <c r="J7681" s="14" t="str">
        <f>HYPERLINK("https://www.boe.es/gazeta/dias/1839/05/24/pdfs/GMD-1839-1651.pdf#page=3","Abrir facsímil")</f>
        <v>Abrir facsímil</v>
      </c>
      <c r="K7681" s="12" t="s">
        <v>65</v>
      </c>
    </row>
    <row r="7682" spans="1:11" ht="40.049999999999997" customHeight="1" x14ac:dyDescent="0.25">
      <c r="A7682" s="11" t="s">
        <v>15662</v>
      </c>
      <c r="B7682" s="11" t="s">
        <v>15662</v>
      </c>
      <c r="C7682" s="11" t="s">
        <v>80</v>
      </c>
      <c r="D7682" s="11" t="s">
        <v>18</v>
      </c>
      <c r="E7682" s="12" t="s">
        <v>479</v>
      </c>
      <c r="F7682" s="12" t="s">
        <v>480</v>
      </c>
      <c r="G7682" s="12" t="s">
        <v>29</v>
      </c>
      <c r="H7682" s="11" t="s">
        <v>63</v>
      </c>
      <c r="I7682" s="13" t="s">
        <v>15724</v>
      </c>
      <c r="J7682" s="14" t="str">
        <f>HYPERLINK("https://www.boe.es/gazeta/dias/1839/06/24/pdfs/GMD-1839-1682.pdf#page=1","Abrir facsímil")</f>
        <v>Abrir facsímil</v>
      </c>
      <c r="K7682" s="12" t="s">
        <v>65</v>
      </c>
    </row>
    <row r="7683" spans="1:11" ht="40.049999999999997" customHeight="1" x14ac:dyDescent="0.25">
      <c r="A7683" s="11" t="s">
        <v>15662</v>
      </c>
      <c r="B7683" s="11" t="s">
        <v>15662</v>
      </c>
      <c r="C7683" s="11" t="s">
        <v>59</v>
      </c>
      <c r="D7683" s="11" t="s">
        <v>60</v>
      </c>
      <c r="E7683" s="12" t="s">
        <v>375</v>
      </c>
      <c r="F7683" s="12" t="s">
        <v>376</v>
      </c>
      <c r="G7683" s="12" t="s">
        <v>21</v>
      </c>
      <c r="H7683" s="11" t="s">
        <v>63</v>
      </c>
      <c r="I7683" s="13" t="s">
        <v>15725</v>
      </c>
      <c r="J7683" s="14" t="str">
        <f>HYPERLINK("https://www.boe.es/gazeta/dias/1839/11/25/pdfs/GMD-1839-1842.pdf#page=4","Abrir facsímil")</f>
        <v>Abrir facsímil</v>
      </c>
      <c r="K7683" s="12" t="s">
        <v>65</v>
      </c>
    </row>
    <row r="7684" spans="1:11" ht="40.049999999999997" customHeight="1" x14ac:dyDescent="0.25">
      <c r="A7684" s="11" t="s">
        <v>15662</v>
      </c>
      <c r="B7684" s="11" t="s">
        <v>15662</v>
      </c>
      <c r="C7684" s="11" t="s">
        <v>137</v>
      </c>
      <c r="D7684" s="11" t="s">
        <v>18</v>
      </c>
      <c r="E7684" s="12" t="s">
        <v>638</v>
      </c>
      <c r="F7684" s="12" t="s">
        <v>639</v>
      </c>
      <c r="G7684" s="12" t="s">
        <v>21</v>
      </c>
      <c r="H7684" s="11" t="s">
        <v>63</v>
      </c>
      <c r="I7684" s="13" t="s">
        <v>15726</v>
      </c>
      <c r="J7684" s="14" t="str">
        <f>HYPERLINK("https://www.boe.es/gazeta/dias/1839/08/26/pdfs/GMD-1839-1747.pdf#page=4","Abrir facsímil")</f>
        <v>Abrir facsímil</v>
      </c>
      <c r="K7684" s="12" t="s">
        <v>65</v>
      </c>
    </row>
    <row r="7685" spans="1:11" ht="40.049999999999997" customHeight="1" x14ac:dyDescent="0.25">
      <c r="A7685" s="11" t="s">
        <v>15662</v>
      </c>
      <c r="B7685" s="11" t="s">
        <v>15662</v>
      </c>
      <c r="C7685" s="11" t="s">
        <v>80</v>
      </c>
      <c r="D7685" s="11" t="s">
        <v>18</v>
      </c>
      <c r="E7685" s="12" t="s">
        <v>284</v>
      </c>
      <c r="F7685" s="12" t="s">
        <v>285</v>
      </c>
      <c r="G7685" s="12" t="s">
        <v>21</v>
      </c>
      <c r="H7685" s="11" t="s">
        <v>63</v>
      </c>
      <c r="I7685" s="13" t="s">
        <v>15727</v>
      </c>
      <c r="J7685" s="14" t="str">
        <f>HYPERLINK("https://www.boe.es/gazeta/dias/1839/01/27/pdfs/GMD-1839-1534.pdf#page=4","Abrir facsímil")</f>
        <v>Abrir facsímil</v>
      </c>
      <c r="K7685" s="12" t="s">
        <v>65</v>
      </c>
    </row>
    <row r="7686" spans="1:11" ht="40.049999999999997" customHeight="1" x14ac:dyDescent="0.25">
      <c r="A7686" s="11" t="s">
        <v>15662</v>
      </c>
      <c r="B7686" s="11" t="s">
        <v>15662</v>
      </c>
      <c r="C7686" s="11" t="s">
        <v>59</v>
      </c>
      <c r="D7686" s="11" t="s">
        <v>60</v>
      </c>
      <c r="E7686" s="12" t="s">
        <v>1490</v>
      </c>
      <c r="F7686" s="12" t="s">
        <v>1491</v>
      </c>
      <c r="G7686" s="12" t="s">
        <v>29</v>
      </c>
      <c r="H7686" s="11" t="s">
        <v>63</v>
      </c>
      <c r="I7686" s="13" t="s">
        <v>15728</v>
      </c>
      <c r="J7686" s="14" t="str">
        <f>HYPERLINK("https://www.boe.es/gazeta/dias/1839/02/27/pdfs/GMD-1839-1565.pdf#page=1","Abrir facsímil")</f>
        <v>Abrir facsímil</v>
      </c>
      <c r="K7686" s="12" t="s">
        <v>65</v>
      </c>
    </row>
    <row r="7687" spans="1:11" ht="40.049999999999997" customHeight="1" x14ac:dyDescent="0.25">
      <c r="A7687" s="11" t="s">
        <v>15662</v>
      </c>
      <c r="B7687" s="11" t="s">
        <v>15662</v>
      </c>
      <c r="C7687" s="11" t="s">
        <v>17</v>
      </c>
      <c r="D7687" s="11" t="s">
        <v>18</v>
      </c>
      <c r="E7687" s="12" t="s">
        <v>1685</v>
      </c>
      <c r="F7687" s="12" t="s">
        <v>1686</v>
      </c>
      <c r="G7687" s="12" t="s">
        <v>46</v>
      </c>
      <c r="H7687" s="11" t="s">
        <v>63</v>
      </c>
      <c r="I7687" s="13" t="s">
        <v>15729</v>
      </c>
      <c r="J7687" s="14" t="str">
        <f>HYPERLINK("https://www.boe.es/gazeta/dias/1839/04/27/pdfs/GMD-1839-1624.pdf#page=3","Abrir facsímil")</f>
        <v>Abrir facsímil</v>
      </c>
      <c r="K7687" s="12" t="s">
        <v>65</v>
      </c>
    </row>
    <row r="7688" spans="1:11" ht="40.049999999999997" customHeight="1" x14ac:dyDescent="0.25">
      <c r="A7688" s="11" t="s">
        <v>15662</v>
      </c>
      <c r="B7688" s="11" t="s">
        <v>15662</v>
      </c>
      <c r="C7688" s="11" t="s">
        <v>59</v>
      </c>
      <c r="D7688" s="11" t="s">
        <v>60</v>
      </c>
      <c r="E7688" s="12" t="s">
        <v>2658</v>
      </c>
      <c r="F7688" s="12" t="s">
        <v>2659</v>
      </c>
      <c r="G7688" s="12" t="s">
        <v>40</v>
      </c>
      <c r="H7688" s="11" t="s">
        <v>63</v>
      </c>
      <c r="I7688" s="13" t="s">
        <v>15730</v>
      </c>
      <c r="J7688" s="14" t="str">
        <f>HYPERLINK("https://www.boe.es/gazeta/dias/1839/06/27/pdfs/GMD-1839-1685.pdf#page=2","Abrir facsímil")</f>
        <v>Abrir facsímil</v>
      </c>
      <c r="K7688" s="12" t="s">
        <v>65</v>
      </c>
    </row>
    <row r="7689" spans="1:11" ht="40.049999999999997" customHeight="1" x14ac:dyDescent="0.25">
      <c r="A7689" s="11" t="s">
        <v>15662</v>
      </c>
      <c r="B7689" s="11" t="s">
        <v>15662</v>
      </c>
      <c r="C7689" s="11" t="s">
        <v>17</v>
      </c>
      <c r="D7689" s="11" t="s">
        <v>18</v>
      </c>
      <c r="E7689" s="12" t="s">
        <v>522</v>
      </c>
      <c r="F7689" s="12" t="s">
        <v>523</v>
      </c>
      <c r="G7689" s="12" t="s">
        <v>40</v>
      </c>
      <c r="H7689" s="11" t="s">
        <v>63</v>
      </c>
      <c r="I7689" s="13" t="s">
        <v>15731</v>
      </c>
      <c r="J7689" s="14" t="str">
        <f>HYPERLINK("https://www.boe.es/gazeta/dias/1839/08/27/pdfs/GMD-1839-1748.pdf#page=2","Abrir facsímil")</f>
        <v>Abrir facsímil</v>
      </c>
      <c r="K7689" s="12" t="s">
        <v>65</v>
      </c>
    </row>
    <row r="7690" spans="1:11" ht="40.049999999999997" customHeight="1" x14ac:dyDescent="0.25">
      <c r="A7690" s="11" t="s">
        <v>15662</v>
      </c>
      <c r="B7690" s="11" t="s">
        <v>15662</v>
      </c>
      <c r="C7690" s="11" t="s">
        <v>17</v>
      </c>
      <c r="D7690" s="11" t="s">
        <v>18</v>
      </c>
      <c r="E7690" s="12" t="s">
        <v>668</v>
      </c>
      <c r="F7690" s="12" t="s">
        <v>669</v>
      </c>
      <c r="G7690" s="12" t="s">
        <v>29</v>
      </c>
      <c r="H7690" s="11" t="s">
        <v>63</v>
      </c>
      <c r="I7690" s="13" t="s">
        <v>15732</v>
      </c>
      <c r="J7690" s="14" t="str">
        <f>HYPERLINK("https://www.boe.es/gazeta/dias/1839/03/28/pdfs/GMD-1839-1594.pdf#page=1","Abrir facsímil")</f>
        <v>Abrir facsímil</v>
      </c>
      <c r="K7690" s="12" t="s">
        <v>65</v>
      </c>
    </row>
    <row r="7691" spans="1:11" ht="40.049999999999997" customHeight="1" x14ac:dyDescent="0.25">
      <c r="A7691" s="11" t="s">
        <v>15662</v>
      </c>
      <c r="B7691" s="11" t="s">
        <v>15662</v>
      </c>
      <c r="C7691" s="11" t="s">
        <v>17</v>
      </c>
      <c r="D7691" s="11" t="s">
        <v>18</v>
      </c>
      <c r="E7691" s="12" t="s">
        <v>27</v>
      </c>
      <c r="F7691" s="12" t="s">
        <v>28</v>
      </c>
      <c r="G7691" s="12" t="s">
        <v>21</v>
      </c>
      <c r="H7691" s="11" t="s">
        <v>63</v>
      </c>
      <c r="I7691" s="13" t="s">
        <v>15733</v>
      </c>
      <c r="J7691" s="14" t="str">
        <f>HYPERLINK("https://www.boe.es/gazeta/dias/1839/07/28/pdfs/GMD-1839-1717.pdf#page=4","Abrir facsímil")</f>
        <v>Abrir facsímil</v>
      </c>
      <c r="K7691" s="12" t="s">
        <v>65</v>
      </c>
    </row>
    <row r="7692" spans="1:11" ht="40.049999999999997" customHeight="1" x14ac:dyDescent="0.25">
      <c r="A7692" s="11" t="s">
        <v>15662</v>
      </c>
      <c r="B7692" s="11" t="s">
        <v>15662</v>
      </c>
      <c r="C7692" s="11" t="s">
        <v>17</v>
      </c>
      <c r="D7692" s="11" t="s">
        <v>18</v>
      </c>
      <c r="E7692" s="12" t="s">
        <v>401</v>
      </c>
      <c r="F7692" s="12" t="s">
        <v>402</v>
      </c>
      <c r="G7692" s="12" t="s">
        <v>46</v>
      </c>
      <c r="H7692" s="11" t="s">
        <v>63</v>
      </c>
      <c r="I7692" s="13" t="s">
        <v>15734</v>
      </c>
      <c r="J7692" s="14" t="str">
        <f>HYPERLINK("https://www.boe.es/gazeta/dias/1839/03/29/pdfs/GMD-1839-1595.pdf#page=3","Abrir facsímil")</f>
        <v>Abrir facsímil</v>
      </c>
      <c r="K7692" s="12" t="s">
        <v>65</v>
      </c>
    </row>
    <row r="7693" spans="1:11" ht="40.049999999999997" customHeight="1" x14ac:dyDescent="0.25">
      <c r="A7693" s="11" t="s">
        <v>15662</v>
      </c>
      <c r="B7693" s="11" t="s">
        <v>15662</v>
      </c>
      <c r="C7693" s="11" t="s">
        <v>59</v>
      </c>
      <c r="D7693" s="11" t="s">
        <v>60</v>
      </c>
      <c r="E7693" s="12" t="s">
        <v>489</v>
      </c>
      <c r="F7693" s="12" t="s">
        <v>490</v>
      </c>
      <c r="G7693" s="12" t="s">
        <v>21</v>
      </c>
      <c r="H7693" s="11" t="s">
        <v>63</v>
      </c>
      <c r="I7693" s="13" t="s">
        <v>15735</v>
      </c>
      <c r="J7693" s="14" t="str">
        <f>HYPERLINK("https://www.boe.es/gazeta/dias/1839/06/29/pdfs/GMD-1839-1687.pdf#page=4","Abrir facsímil")</f>
        <v>Abrir facsímil</v>
      </c>
      <c r="K7693" s="12" t="s">
        <v>65</v>
      </c>
    </row>
    <row r="7694" spans="1:11" ht="40.049999999999997" customHeight="1" x14ac:dyDescent="0.25">
      <c r="A7694" s="11" t="s">
        <v>15662</v>
      </c>
      <c r="B7694" s="11" t="s">
        <v>15662</v>
      </c>
      <c r="C7694" s="11" t="s">
        <v>59</v>
      </c>
      <c r="D7694" s="11" t="s">
        <v>60</v>
      </c>
      <c r="E7694" s="12" t="s">
        <v>1696</v>
      </c>
      <c r="F7694" s="12" t="s">
        <v>1697</v>
      </c>
      <c r="G7694" s="12" t="s">
        <v>29</v>
      </c>
      <c r="H7694" s="11" t="s">
        <v>63</v>
      </c>
      <c r="I7694" s="13" t="s">
        <v>15736</v>
      </c>
      <c r="J7694" s="14" t="str">
        <f>HYPERLINK("https://www.boe.es/gazeta/dias/1839/08/31/pdfs/GMD-1839-1752.pdf#page=1","Abrir facsímil")</f>
        <v>Abrir facsímil</v>
      </c>
      <c r="K7694" s="12" t="s">
        <v>65</v>
      </c>
    </row>
    <row r="7695" spans="1:11" ht="40.049999999999997" customHeight="1" x14ac:dyDescent="0.25">
      <c r="A7695" s="11" t="s">
        <v>15737</v>
      </c>
      <c r="B7695" s="11" t="s">
        <v>15738</v>
      </c>
      <c r="C7695" s="11" t="s">
        <v>17</v>
      </c>
      <c r="D7695" s="11" t="s">
        <v>18</v>
      </c>
      <c r="E7695" s="12" t="s">
        <v>197</v>
      </c>
      <c r="F7695" s="12" t="s">
        <v>198</v>
      </c>
      <c r="G7695" s="12" t="s">
        <v>21</v>
      </c>
      <c r="H7695" s="11" t="s">
        <v>22</v>
      </c>
      <c r="I7695" s="13" t="s">
        <v>15739</v>
      </c>
      <c r="J7695" s="14" t="str">
        <f>HYPERLINK("https://www.boe.es/gazeta/dias/1839/10/04/pdfs/GMD-1839-1790.pdf#page=4","Abrir facsímil")</f>
        <v>Abrir facsímil</v>
      </c>
      <c r="K7695" s="12" t="s">
        <v>24</v>
      </c>
    </row>
    <row r="7696" spans="1:11" ht="40.049999999999997" customHeight="1" x14ac:dyDescent="0.25">
      <c r="A7696" s="11" t="s">
        <v>15737</v>
      </c>
      <c r="B7696" s="11" t="s">
        <v>15738</v>
      </c>
      <c r="C7696" s="11" t="s">
        <v>101</v>
      </c>
      <c r="D7696" s="11" t="s">
        <v>102</v>
      </c>
      <c r="E7696" s="12" t="s">
        <v>2165</v>
      </c>
      <c r="F7696" s="12" t="s">
        <v>2166</v>
      </c>
      <c r="G7696" s="12" t="s">
        <v>40</v>
      </c>
      <c r="H7696" s="11" t="s">
        <v>22</v>
      </c>
      <c r="I7696" s="13" t="s">
        <v>15740</v>
      </c>
      <c r="J7696" s="14" t="str">
        <f>HYPERLINK("https://www.boe.es/gazeta/dias/1839/01/06/pdfs/GMD-1839-1513.pdf#page=2","Abrir facsímil")</f>
        <v>Abrir facsímil</v>
      </c>
      <c r="K7696" s="12" t="s">
        <v>24</v>
      </c>
    </row>
    <row r="7697" spans="1:11" ht="40.049999999999997" customHeight="1" x14ac:dyDescent="0.25">
      <c r="A7697" s="11" t="s">
        <v>15737</v>
      </c>
      <c r="B7697" s="11" t="s">
        <v>15738</v>
      </c>
      <c r="C7697" s="11" t="s">
        <v>17</v>
      </c>
      <c r="D7697" s="11" t="s">
        <v>18</v>
      </c>
      <c r="E7697" s="12" t="s">
        <v>998</v>
      </c>
      <c r="F7697" s="12" t="s">
        <v>999</v>
      </c>
      <c r="G7697" s="12" t="s">
        <v>21</v>
      </c>
      <c r="H7697" s="11" t="s">
        <v>22</v>
      </c>
      <c r="I7697" s="13" t="s">
        <v>15741</v>
      </c>
      <c r="J7697" s="14" t="str">
        <f>HYPERLINK("https://www.boe.es/gazeta/dias/1839/05/06/pdfs/GMD-1839-1633.pdf#page=4","Abrir facsímil")</f>
        <v>Abrir facsímil</v>
      </c>
      <c r="K7697" s="12" t="s">
        <v>24</v>
      </c>
    </row>
    <row r="7698" spans="1:11" ht="40.049999999999997" customHeight="1" x14ac:dyDescent="0.25">
      <c r="A7698" s="11" t="s">
        <v>15737</v>
      </c>
      <c r="B7698" s="11" t="s">
        <v>15738</v>
      </c>
      <c r="C7698" s="11" t="s">
        <v>101</v>
      </c>
      <c r="D7698" s="11" t="s">
        <v>43</v>
      </c>
      <c r="E7698" s="12" t="s">
        <v>103</v>
      </c>
      <c r="F7698" s="12" t="s">
        <v>104</v>
      </c>
      <c r="G7698" s="12" t="s">
        <v>21</v>
      </c>
      <c r="H7698" s="11" t="s">
        <v>22</v>
      </c>
      <c r="I7698" s="13" t="s">
        <v>15742</v>
      </c>
      <c r="J7698" s="14" t="str">
        <f>HYPERLINK("https://www.boe.es/gazeta/dias/1839/10/12/pdfs/GMD-1839-1798.pdf#page=4","Abrir facsímil")</f>
        <v>Abrir facsímil</v>
      </c>
      <c r="K7698" s="12" t="s">
        <v>24</v>
      </c>
    </row>
    <row r="7699" spans="1:11" ht="40.049999999999997" customHeight="1" x14ac:dyDescent="0.25">
      <c r="A7699" s="11" t="s">
        <v>15737</v>
      </c>
      <c r="B7699" s="11" t="s">
        <v>15738</v>
      </c>
      <c r="C7699" s="11" t="s">
        <v>17</v>
      </c>
      <c r="D7699" s="11" t="s">
        <v>18</v>
      </c>
      <c r="E7699" s="12" t="s">
        <v>1252</v>
      </c>
      <c r="F7699" s="12" t="s">
        <v>1253</v>
      </c>
      <c r="G7699" s="12" t="s">
        <v>21</v>
      </c>
      <c r="H7699" s="11" t="s">
        <v>22</v>
      </c>
      <c r="I7699" s="13" t="s">
        <v>15743</v>
      </c>
      <c r="J7699" s="14" t="str">
        <f>HYPERLINK("https://www.boe.es/gazeta/dias/1839/06/15/pdfs/GMD-1839-1673.pdf#page=4","Abrir facsímil")</f>
        <v>Abrir facsímil</v>
      </c>
      <c r="K7699" s="12" t="s">
        <v>24</v>
      </c>
    </row>
    <row r="7700" spans="1:11" ht="40.049999999999997" customHeight="1" x14ac:dyDescent="0.25">
      <c r="A7700" s="11" t="s">
        <v>15737</v>
      </c>
      <c r="B7700" s="11" t="s">
        <v>15738</v>
      </c>
      <c r="C7700" s="11" t="s">
        <v>17</v>
      </c>
      <c r="D7700" s="11" t="s">
        <v>18</v>
      </c>
      <c r="E7700" s="12" t="s">
        <v>236</v>
      </c>
      <c r="F7700" s="12" t="s">
        <v>237</v>
      </c>
      <c r="G7700" s="12" t="s">
        <v>40</v>
      </c>
      <c r="H7700" s="11" t="s">
        <v>22</v>
      </c>
      <c r="I7700" s="13" t="s">
        <v>15744</v>
      </c>
      <c r="J7700" s="14" t="str">
        <f>HYPERLINK("https://www.boe.es/gazeta/dias/1839/09/18/pdfs/GMD-1839-1771.pdf#page=2","Abrir facsímil")</f>
        <v>Abrir facsímil</v>
      </c>
      <c r="K7700" s="12" t="s">
        <v>24</v>
      </c>
    </row>
    <row r="7701" spans="1:11" ht="40.049999999999997" customHeight="1" x14ac:dyDescent="0.25">
      <c r="A7701" s="11" t="s">
        <v>15737</v>
      </c>
      <c r="B7701" s="11" t="s">
        <v>15738</v>
      </c>
      <c r="C7701" s="11" t="s">
        <v>17</v>
      </c>
      <c r="D7701" s="11" t="s">
        <v>18</v>
      </c>
      <c r="E7701" s="12" t="s">
        <v>1794</v>
      </c>
      <c r="F7701" s="12" t="s">
        <v>1795</v>
      </c>
      <c r="G7701" s="12" t="s">
        <v>29</v>
      </c>
      <c r="H7701" s="11" t="s">
        <v>22</v>
      </c>
      <c r="I7701" s="13" t="s">
        <v>15745</v>
      </c>
      <c r="J7701" s="14" t="str">
        <f>HYPERLINK("https://www.boe.es/gazeta/dias/1839/02/22/pdfs/GMD-1839-1560.pdf#page=1","Abrir facsímil")</f>
        <v>Abrir facsímil</v>
      </c>
      <c r="K7701" s="12" t="s">
        <v>24</v>
      </c>
    </row>
    <row r="7702" spans="1:11" ht="40.049999999999997" customHeight="1" x14ac:dyDescent="0.25">
      <c r="A7702" s="11" t="s">
        <v>15737</v>
      </c>
      <c r="B7702" s="11" t="s">
        <v>15738</v>
      </c>
      <c r="C7702" s="11" t="s">
        <v>80</v>
      </c>
      <c r="D7702" s="11" t="s">
        <v>18</v>
      </c>
      <c r="E7702" s="12" t="s">
        <v>246</v>
      </c>
      <c r="F7702" s="12" t="s">
        <v>247</v>
      </c>
      <c r="G7702" s="12" t="s">
        <v>21</v>
      </c>
      <c r="H7702" s="11" t="s">
        <v>22</v>
      </c>
      <c r="I7702" s="13" t="s">
        <v>15746</v>
      </c>
      <c r="J7702" s="14" t="str">
        <f>HYPERLINK("https://www.boe.es/gazeta/dias/1839/11/24/pdfs/GMD-1839-1841.pdf#page=4","Abrir facsímil")</f>
        <v>Abrir facsímil</v>
      </c>
      <c r="K7702" s="12" t="s">
        <v>24</v>
      </c>
    </row>
    <row r="7703" spans="1:11" ht="40.049999999999997" customHeight="1" x14ac:dyDescent="0.25">
      <c r="A7703" s="11" t="s">
        <v>15737</v>
      </c>
      <c r="B7703" s="11" t="s">
        <v>15738</v>
      </c>
      <c r="C7703" s="11" t="s">
        <v>80</v>
      </c>
      <c r="D7703" s="11" t="s">
        <v>18</v>
      </c>
      <c r="E7703" s="12" t="s">
        <v>352</v>
      </c>
      <c r="F7703" s="12" t="s">
        <v>353</v>
      </c>
      <c r="G7703" s="12" t="s">
        <v>29</v>
      </c>
      <c r="H7703" s="11" t="s">
        <v>22</v>
      </c>
      <c r="I7703" s="13" t="s">
        <v>15747</v>
      </c>
      <c r="J7703" s="14" t="str">
        <f>HYPERLINK("https://www.boe.es/gazeta/dias/1839/03/30/pdfs/GMD-1839-1596.pdf#page=1","Abrir facsímil")</f>
        <v>Abrir facsímil</v>
      </c>
      <c r="K7703" s="12" t="s">
        <v>24</v>
      </c>
    </row>
    <row r="7704" spans="1:11" ht="40.049999999999997" customHeight="1" x14ac:dyDescent="0.25">
      <c r="A7704" s="11" t="s">
        <v>15748</v>
      </c>
      <c r="B7704" s="11" t="s">
        <v>15749</v>
      </c>
      <c r="C7704" s="11" t="s">
        <v>17</v>
      </c>
      <c r="D7704" s="11" t="s">
        <v>18</v>
      </c>
      <c r="E7704" s="12" t="s">
        <v>258</v>
      </c>
      <c r="F7704" s="12" t="s">
        <v>259</v>
      </c>
      <c r="G7704" s="12" t="s">
        <v>46</v>
      </c>
      <c r="H7704" s="11" t="s">
        <v>22</v>
      </c>
      <c r="I7704" s="13" t="s">
        <v>15750</v>
      </c>
      <c r="J7704" s="14" t="str">
        <f>HYPERLINK("https://www.boe.es/gazeta/dias/1839/01/02/pdfs/GMD-1839-1509.pdf#page=3","Abrir facsímil")</f>
        <v>Abrir facsímil</v>
      </c>
      <c r="K7704" s="12" t="s">
        <v>24</v>
      </c>
    </row>
    <row r="7705" spans="1:11" ht="40.049999999999997" customHeight="1" x14ac:dyDescent="0.25">
      <c r="A7705" s="11" t="s">
        <v>15751</v>
      </c>
      <c r="B7705" s="11" t="s">
        <v>15752</v>
      </c>
      <c r="C7705" s="11" t="s">
        <v>101</v>
      </c>
      <c r="D7705" s="11" t="s">
        <v>43</v>
      </c>
      <c r="E7705" s="12" t="s">
        <v>258</v>
      </c>
      <c r="F7705" s="12" t="s">
        <v>259</v>
      </c>
      <c r="G7705" s="12" t="s">
        <v>46</v>
      </c>
      <c r="H7705" s="11" t="s">
        <v>22</v>
      </c>
      <c r="I7705" s="13" t="s">
        <v>15753</v>
      </c>
      <c r="J7705" s="14" t="str">
        <f>HYPERLINK("https://www.boe.es/gazeta/dias/1839/01/02/pdfs/GMD-1839-1509.pdf#page=3","Abrir facsímil")</f>
        <v>Abrir facsímil</v>
      </c>
      <c r="K7705" s="12" t="s">
        <v>24</v>
      </c>
    </row>
    <row r="7706" spans="1:11" ht="40.049999999999997" customHeight="1" x14ac:dyDescent="0.25">
      <c r="A7706" s="11" t="s">
        <v>15754</v>
      </c>
      <c r="B7706" s="11" t="s">
        <v>15755</v>
      </c>
      <c r="C7706" s="11" t="s">
        <v>17</v>
      </c>
      <c r="D7706" s="11" t="s">
        <v>18</v>
      </c>
      <c r="E7706" s="12" t="s">
        <v>258</v>
      </c>
      <c r="F7706" s="12" t="s">
        <v>259</v>
      </c>
      <c r="G7706" s="12" t="s">
        <v>46</v>
      </c>
      <c r="H7706" s="11" t="s">
        <v>22</v>
      </c>
      <c r="I7706" s="13" t="s">
        <v>15756</v>
      </c>
      <c r="J7706" s="14" t="str">
        <f>HYPERLINK("https://www.boe.es/gazeta/dias/1839/01/02/pdfs/GMD-1839-1509.pdf#page=3","Abrir facsímil")</f>
        <v>Abrir facsímil</v>
      </c>
      <c r="K7706" s="12" t="s">
        <v>24</v>
      </c>
    </row>
    <row r="7707" spans="1:11" ht="40.049999999999997" customHeight="1" x14ac:dyDescent="0.25">
      <c r="A7707" s="11" t="s">
        <v>15757</v>
      </c>
      <c r="B7707" s="11" t="s">
        <v>15758</v>
      </c>
      <c r="C7707" s="11" t="s">
        <v>59</v>
      </c>
      <c r="D7707" s="11" t="s">
        <v>60</v>
      </c>
      <c r="E7707" s="12" t="s">
        <v>19</v>
      </c>
      <c r="F7707" s="12" t="s">
        <v>20</v>
      </c>
      <c r="G7707" s="12" t="s">
        <v>21</v>
      </c>
      <c r="H7707" s="11" t="s">
        <v>63</v>
      </c>
      <c r="I7707" s="13" t="s">
        <v>15759</v>
      </c>
      <c r="J7707" s="14" t="str">
        <f>HYPERLINK("https://www.boe.es/gazeta/dias/1839/01/19/pdfs/GMD-1839-1526.pdf#page=4","Abrir facsímil")</f>
        <v>Abrir facsímil</v>
      </c>
      <c r="K7707" s="12" t="s">
        <v>65</v>
      </c>
    </row>
    <row r="7708" spans="1:11" ht="40.049999999999997" customHeight="1" x14ac:dyDescent="0.25">
      <c r="A7708" s="11" t="s">
        <v>15760</v>
      </c>
      <c r="B7708" s="11" t="s">
        <v>15761</v>
      </c>
      <c r="C7708" s="11" t="s">
        <v>101</v>
      </c>
      <c r="D7708" s="11" t="s">
        <v>43</v>
      </c>
      <c r="E7708" s="12" t="s">
        <v>4044</v>
      </c>
      <c r="F7708" s="12" t="s">
        <v>4045</v>
      </c>
      <c r="G7708" s="12" t="s">
        <v>21</v>
      </c>
      <c r="H7708" s="11" t="s">
        <v>63</v>
      </c>
      <c r="I7708" s="13" t="s">
        <v>15762</v>
      </c>
      <c r="J7708" s="14" t="str">
        <f>HYPERLINK("https://www.boe.es/gazeta/dias/1839/01/07/pdfs/GMD-1839-1514.pdf#page=4","Abrir facsímil")</f>
        <v>Abrir facsímil</v>
      </c>
      <c r="K7708" s="12" t="s">
        <v>65</v>
      </c>
    </row>
    <row r="7709" spans="1:11" ht="40.049999999999997" customHeight="1" x14ac:dyDescent="0.25">
      <c r="A7709" s="11" t="s">
        <v>15763</v>
      </c>
      <c r="B7709" s="11" t="s">
        <v>15764</v>
      </c>
      <c r="C7709" s="11" t="s">
        <v>80</v>
      </c>
      <c r="D7709" s="11" t="s">
        <v>18</v>
      </c>
      <c r="E7709" s="12" t="s">
        <v>522</v>
      </c>
      <c r="F7709" s="12" t="s">
        <v>523</v>
      </c>
      <c r="G7709" s="12" t="s">
        <v>40</v>
      </c>
      <c r="H7709" s="11" t="s">
        <v>22</v>
      </c>
      <c r="I7709" s="13" t="s">
        <v>15765</v>
      </c>
      <c r="J7709" s="14" t="str">
        <f>HYPERLINK("https://www.boe.es/gazeta/dias/1839/08/27/pdfs/GMD-1839-1748.pdf#page=2","Abrir facsímil")</f>
        <v>Abrir facsímil</v>
      </c>
      <c r="K7709" s="12" t="s">
        <v>24</v>
      </c>
    </row>
    <row r="7710" spans="1:11" ht="40.049999999999997" customHeight="1" x14ac:dyDescent="0.25">
      <c r="A7710" s="11" t="s">
        <v>15766</v>
      </c>
      <c r="B7710" s="11" t="s">
        <v>15767</v>
      </c>
      <c r="C7710" s="11" t="s">
        <v>80</v>
      </c>
      <c r="D7710" s="11" t="s">
        <v>18</v>
      </c>
      <c r="E7710" s="12" t="s">
        <v>2435</v>
      </c>
      <c r="F7710" s="12" t="s">
        <v>2436</v>
      </c>
      <c r="G7710" s="12" t="s">
        <v>21</v>
      </c>
      <c r="H7710" s="11" t="s">
        <v>63</v>
      </c>
      <c r="I7710" s="13" t="s">
        <v>15768</v>
      </c>
      <c r="J7710" s="14" t="str">
        <f>HYPERLINK("https://www.boe.es/gazeta/dias/1839/07/24/pdfs/GMD-1839-1713.pdf#page=4","Abrir facsímil")</f>
        <v>Abrir facsímil</v>
      </c>
      <c r="K7710" s="12" t="s">
        <v>65</v>
      </c>
    </row>
    <row r="7711" spans="1:11" ht="40.049999999999997" customHeight="1" x14ac:dyDescent="0.25">
      <c r="A7711" s="11" t="s">
        <v>15769</v>
      </c>
      <c r="B7711" s="11" t="s">
        <v>15770</v>
      </c>
      <c r="C7711" s="11" t="s">
        <v>137</v>
      </c>
      <c r="D7711" s="11" t="s">
        <v>18</v>
      </c>
      <c r="E7711" s="12" t="s">
        <v>138</v>
      </c>
      <c r="F7711" s="12" t="s">
        <v>139</v>
      </c>
      <c r="G7711" s="12" t="s">
        <v>21</v>
      </c>
      <c r="H7711" s="11" t="s">
        <v>22</v>
      </c>
      <c r="I7711" s="13" t="s">
        <v>15771</v>
      </c>
      <c r="J7711" s="14" t="str">
        <f>HYPERLINK("https://www.boe.es/gazeta/dias/1839/10/09/pdfs/GMD-1839-1795.pdf#page=4","Abrir facsímil")</f>
        <v>Abrir facsímil</v>
      </c>
      <c r="K7711" s="12" t="s">
        <v>24</v>
      </c>
    </row>
    <row r="7712" spans="1:11" ht="40.049999999999997" customHeight="1" x14ac:dyDescent="0.25">
      <c r="A7712" s="11" t="s">
        <v>15772</v>
      </c>
      <c r="B7712" s="11" t="s">
        <v>15772</v>
      </c>
      <c r="C7712" s="11" t="s">
        <v>59</v>
      </c>
      <c r="D7712" s="11" t="s">
        <v>60</v>
      </c>
      <c r="E7712" s="12" t="s">
        <v>1692</v>
      </c>
      <c r="F7712" s="12" t="s">
        <v>1693</v>
      </c>
      <c r="G7712" s="12" t="s">
        <v>21</v>
      </c>
      <c r="H7712" s="11" t="s">
        <v>63</v>
      </c>
      <c r="I7712" s="13" t="s">
        <v>15773</v>
      </c>
      <c r="J7712" s="14" t="str">
        <f>HYPERLINK("https://www.boe.es/gazeta/dias/1839/05/30/pdfs/GMD-1839-1657.pdf#page=4","Abrir facsímil")</f>
        <v>Abrir facsímil</v>
      </c>
      <c r="K7712" s="12" t="s">
        <v>65</v>
      </c>
    </row>
    <row r="7713" spans="1:11" ht="40.049999999999997" customHeight="1" x14ac:dyDescent="0.25">
      <c r="A7713" s="11" t="s">
        <v>15774</v>
      </c>
      <c r="B7713" s="11" t="s">
        <v>15774</v>
      </c>
      <c r="C7713" s="11" t="s">
        <v>101</v>
      </c>
      <c r="D7713" s="11" t="s">
        <v>43</v>
      </c>
      <c r="E7713" s="12" t="s">
        <v>54</v>
      </c>
      <c r="F7713" s="12" t="s">
        <v>55</v>
      </c>
      <c r="G7713" s="12" t="s">
        <v>40</v>
      </c>
      <c r="H7713" s="11" t="s">
        <v>63</v>
      </c>
      <c r="I7713" s="13" t="s">
        <v>15775</v>
      </c>
      <c r="J7713" s="14" t="str">
        <f>HYPERLINK("https://www.boe.es/gazeta/dias/1839/10/05/pdfs/GMD-1839-1791.pdf#page=2","Abrir facsímil")</f>
        <v>Abrir facsímil</v>
      </c>
      <c r="K7713" s="12" t="s">
        <v>65</v>
      </c>
    </row>
    <row r="7714" spans="1:11" ht="40.049999999999997" customHeight="1" x14ac:dyDescent="0.25">
      <c r="A7714" s="11" t="s">
        <v>15774</v>
      </c>
      <c r="B7714" s="11" t="s">
        <v>15774</v>
      </c>
      <c r="C7714" s="11" t="s">
        <v>17</v>
      </c>
      <c r="D7714" s="11" t="s">
        <v>18</v>
      </c>
      <c r="E7714" s="12" t="s">
        <v>303</v>
      </c>
      <c r="F7714" s="12" t="s">
        <v>304</v>
      </c>
      <c r="G7714" s="12" t="s">
        <v>29</v>
      </c>
      <c r="H7714" s="11" t="s">
        <v>63</v>
      </c>
      <c r="I7714" s="13" t="s">
        <v>15776</v>
      </c>
      <c r="J7714" s="14" t="str">
        <f>HYPERLINK("https://www.boe.es/gazeta/dias/1839/10/06/pdfs/GMD-1839-1792.pdf#page=1","Abrir facsímil")</f>
        <v>Abrir facsímil</v>
      </c>
      <c r="K7714" s="12" t="s">
        <v>65</v>
      </c>
    </row>
    <row r="7715" spans="1:11" ht="40.049999999999997" customHeight="1" x14ac:dyDescent="0.25">
      <c r="A7715" s="11" t="s">
        <v>15777</v>
      </c>
      <c r="B7715" s="11" t="s">
        <v>15778</v>
      </c>
      <c r="C7715" s="11" t="s">
        <v>17</v>
      </c>
      <c r="D7715" s="11" t="s">
        <v>18</v>
      </c>
      <c r="E7715" s="12" t="s">
        <v>713</v>
      </c>
      <c r="F7715" s="12" t="s">
        <v>714</v>
      </c>
      <c r="G7715" s="12" t="s">
        <v>46</v>
      </c>
      <c r="H7715" s="11" t="s">
        <v>63</v>
      </c>
      <c r="I7715" s="13" t="s">
        <v>15779</v>
      </c>
      <c r="J7715" s="14" t="str">
        <f>HYPERLINK("https://www.boe.es/gazeta/dias/1839/12/18/pdfs/GMD-1839-1865.pdf#page=3","Abrir facsímil")</f>
        <v>Abrir facsímil</v>
      </c>
      <c r="K7715" s="12" t="s">
        <v>65</v>
      </c>
    </row>
    <row r="7716" spans="1:11" ht="40.049999999999997" customHeight="1" x14ac:dyDescent="0.25">
      <c r="A7716" s="11" t="s">
        <v>15780</v>
      </c>
      <c r="B7716" s="11" t="s">
        <v>15781</v>
      </c>
      <c r="C7716" s="11" t="s">
        <v>80</v>
      </c>
      <c r="D7716" s="11" t="s">
        <v>18</v>
      </c>
      <c r="E7716" s="12" t="s">
        <v>372</v>
      </c>
      <c r="F7716" s="12" t="s">
        <v>373</v>
      </c>
      <c r="G7716" s="12" t="s">
        <v>21</v>
      </c>
      <c r="H7716" s="11" t="s">
        <v>22</v>
      </c>
      <c r="I7716" s="13" t="s">
        <v>15782</v>
      </c>
      <c r="J7716" s="14" t="str">
        <f>HYPERLINK("https://www.boe.es/gazeta/dias/1839/11/08/pdfs/GMD-1839-1825.pdf#page=4","Abrir facsímil")</f>
        <v>Abrir facsímil</v>
      </c>
      <c r="K7716" s="12" t="s">
        <v>24</v>
      </c>
    </row>
    <row r="7717" spans="1:11" ht="40.049999999999997" customHeight="1" x14ac:dyDescent="0.25">
      <c r="A7717" s="11" t="s">
        <v>15783</v>
      </c>
      <c r="B7717" s="11" t="s">
        <v>15783</v>
      </c>
      <c r="C7717" s="11" t="s">
        <v>80</v>
      </c>
      <c r="D7717" s="11" t="s">
        <v>18</v>
      </c>
      <c r="E7717" s="12" t="s">
        <v>94</v>
      </c>
      <c r="F7717" s="12" t="s">
        <v>95</v>
      </c>
      <c r="G7717" s="12" t="s">
        <v>40</v>
      </c>
      <c r="H7717" s="11" t="s">
        <v>63</v>
      </c>
      <c r="I7717" s="13" t="s">
        <v>15784</v>
      </c>
      <c r="J7717" s="14" t="str">
        <f>HYPERLINK("https://www.boe.es/gazeta/dias/1839/02/24/pdfs/GMD-1839-1562.pdf#page=2","Abrir facsímil")</f>
        <v>Abrir facsímil</v>
      </c>
      <c r="K7717" s="12" t="s">
        <v>65</v>
      </c>
    </row>
    <row r="7718" spans="1:11" ht="40.049999999999997" customHeight="1" x14ac:dyDescent="0.25">
      <c r="A7718" s="11" t="s">
        <v>15785</v>
      </c>
      <c r="B7718" s="11" t="s">
        <v>15785</v>
      </c>
      <c r="C7718" s="11" t="s">
        <v>17</v>
      </c>
      <c r="D7718" s="11" t="s">
        <v>18</v>
      </c>
      <c r="E7718" s="12" t="s">
        <v>116</v>
      </c>
      <c r="F7718" s="12" t="s">
        <v>117</v>
      </c>
      <c r="G7718" s="12" t="s">
        <v>40</v>
      </c>
      <c r="H7718" s="11" t="s">
        <v>63</v>
      </c>
      <c r="I7718" s="13" t="s">
        <v>15786</v>
      </c>
      <c r="J7718" s="14" t="str">
        <f>HYPERLINK("https://www.boe.es/gazeta/dias/1839/10/10/pdfs/GMD-1839-1796.pdf#page=2","Abrir facsímil")</f>
        <v>Abrir facsímil</v>
      </c>
      <c r="K7718" s="12" t="s">
        <v>65</v>
      </c>
    </row>
    <row r="7719" spans="1:11" ht="40.049999999999997" customHeight="1" x14ac:dyDescent="0.25">
      <c r="A7719" s="11" t="s">
        <v>15787</v>
      </c>
      <c r="B7719" s="11" t="s">
        <v>15788</v>
      </c>
      <c r="C7719" s="11" t="s">
        <v>17</v>
      </c>
      <c r="D7719" s="11" t="s">
        <v>43</v>
      </c>
      <c r="E7719" s="12" t="s">
        <v>1001</v>
      </c>
      <c r="F7719" s="12" t="s">
        <v>1002</v>
      </c>
      <c r="G7719" s="12" t="s">
        <v>21</v>
      </c>
      <c r="H7719" s="11" t="s">
        <v>63</v>
      </c>
      <c r="I7719" s="13" t="s">
        <v>15789</v>
      </c>
      <c r="J7719" s="14" t="str">
        <f>HYPERLINK("https://www.boe.es/gazeta/dias/1839/07/09/pdfs/GMD-1839-1697.pdf#page=4","Abrir facsímil")</f>
        <v>Abrir facsímil</v>
      </c>
      <c r="K7719" s="12" t="s">
        <v>65</v>
      </c>
    </row>
    <row r="7720" spans="1:11" ht="40.049999999999997" customHeight="1" x14ac:dyDescent="0.25">
      <c r="A7720" s="11" t="s">
        <v>15790</v>
      </c>
      <c r="B7720" s="11" t="s">
        <v>15790</v>
      </c>
      <c r="C7720" s="11" t="s">
        <v>17</v>
      </c>
      <c r="D7720" s="11" t="s">
        <v>18</v>
      </c>
      <c r="E7720" s="12" t="s">
        <v>333</v>
      </c>
      <c r="F7720" s="12" t="s">
        <v>334</v>
      </c>
      <c r="G7720" s="12" t="s">
        <v>29</v>
      </c>
      <c r="H7720" s="11" t="s">
        <v>63</v>
      </c>
      <c r="I7720" s="13" t="s">
        <v>15791</v>
      </c>
      <c r="J7720" s="14" t="str">
        <f>HYPERLINK("https://www.boe.es/gazeta/dias/1839/06/11/pdfs/GMD-1839-1669.pdf#page=1","Abrir facsímil")</f>
        <v>Abrir facsímil</v>
      </c>
      <c r="K7720" s="12" t="s">
        <v>65</v>
      </c>
    </row>
    <row r="7721" spans="1:11" ht="40.049999999999997" customHeight="1" x14ac:dyDescent="0.25">
      <c r="A7721" s="11" t="s">
        <v>15792</v>
      </c>
      <c r="B7721" s="11" t="s">
        <v>15792</v>
      </c>
      <c r="C7721" s="11" t="s">
        <v>137</v>
      </c>
      <c r="D7721" s="11" t="s">
        <v>18</v>
      </c>
      <c r="E7721" s="12" t="s">
        <v>1076</v>
      </c>
      <c r="F7721" s="12" t="s">
        <v>1077</v>
      </c>
      <c r="G7721" s="12" t="s">
        <v>21</v>
      </c>
      <c r="H7721" s="11" t="s">
        <v>22</v>
      </c>
      <c r="I7721" s="13" t="s">
        <v>15793</v>
      </c>
      <c r="J7721" s="14" t="str">
        <f>HYPERLINK("https://www.boe.es/gazeta/dias/1839/10/19/pdfs/GMD-1839-1805.pdf#page=4","Abrir facsímil")</f>
        <v>Abrir facsímil</v>
      </c>
      <c r="K7721" s="12" t="s">
        <v>24</v>
      </c>
    </row>
    <row r="7722" spans="1:11" ht="40.049999999999997" customHeight="1" x14ac:dyDescent="0.25">
      <c r="A7722" s="11" t="s">
        <v>15794</v>
      </c>
      <c r="B7722" s="11" t="s">
        <v>15794</v>
      </c>
      <c r="C7722" s="11" t="s">
        <v>17</v>
      </c>
      <c r="D7722" s="11" t="s">
        <v>18</v>
      </c>
      <c r="E7722" s="12" t="s">
        <v>284</v>
      </c>
      <c r="F7722" s="12" t="s">
        <v>285</v>
      </c>
      <c r="G7722" s="12" t="s">
        <v>40</v>
      </c>
      <c r="H7722" s="11" t="s">
        <v>22</v>
      </c>
      <c r="I7722" s="13" t="s">
        <v>15795</v>
      </c>
      <c r="J7722" s="14" t="str">
        <f>HYPERLINK("https://www.boe.es/gazeta/dias/1839/01/27/pdfs/GMD-1839-1534.pdf#page=2","Abrir facsímil")</f>
        <v>Abrir facsímil</v>
      </c>
      <c r="K7722" s="12" t="s">
        <v>24</v>
      </c>
    </row>
    <row r="7723" spans="1:11" ht="40.049999999999997" customHeight="1" x14ac:dyDescent="0.25">
      <c r="A7723" s="11" t="s">
        <v>15796</v>
      </c>
      <c r="B7723" s="11" t="s">
        <v>15796</v>
      </c>
      <c r="C7723" s="11" t="s">
        <v>17</v>
      </c>
      <c r="D7723" s="11" t="s">
        <v>18</v>
      </c>
      <c r="E7723" s="12" t="s">
        <v>369</v>
      </c>
      <c r="F7723" s="12" t="s">
        <v>370</v>
      </c>
      <c r="G7723" s="12" t="s">
        <v>40</v>
      </c>
      <c r="H7723" s="11" t="s">
        <v>22</v>
      </c>
      <c r="I7723" s="13" t="s">
        <v>15797</v>
      </c>
      <c r="J7723" s="14" t="str">
        <f>HYPERLINK("https://www.boe.es/gazeta/dias/1839/11/01/pdfs/GMD-1839-1818.pdf#page=2","Abrir facsímil")</f>
        <v>Abrir facsímil</v>
      </c>
      <c r="K7723" s="12" t="s">
        <v>24</v>
      </c>
    </row>
    <row r="7724" spans="1:11" ht="40.049999999999997" customHeight="1" x14ac:dyDescent="0.25">
      <c r="A7724" s="11" t="s">
        <v>15798</v>
      </c>
      <c r="B7724" s="11" t="s">
        <v>15798</v>
      </c>
      <c r="C7724" s="11" t="s">
        <v>80</v>
      </c>
      <c r="D7724" s="11" t="s">
        <v>18</v>
      </c>
      <c r="E7724" s="12" t="s">
        <v>798</v>
      </c>
      <c r="F7724" s="12" t="s">
        <v>799</v>
      </c>
      <c r="G7724" s="12" t="s">
        <v>40</v>
      </c>
      <c r="H7724" s="11" t="s">
        <v>63</v>
      </c>
      <c r="I7724" s="13" t="s">
        <v>15799</v>
      </c>
      <c r="J7724" s="14" t="str">
        <f>HYPERLINK("https://www.boe.es/gazeta/dias/1839/09/03/pdfs/GMD-1839-1755.pdf#page=2","Abrir facsímil")</f>
        <v>Abrir facsímil</v>
      </c>
      <c r="K7724" s="12" t="s">
        <v>65</v>
      </c>
    </row>
    <row r="7725" spans="1:11" ht="40.049999999999997" customHeight="1" x14ac:dyDescent="0.25">
      <c r="A7725" s="11" t="s">
        <v>15798</v>
      </c>
      <c r="B7725" s="11" t="s">
        <v>15798</v>
      </c>
      <c r="C7725" s="11" t="s">
        <v>17</v>
      </c>
      <c r="D7725" s="11" t="s">
        <v>18</v>
      </c>
      <c r="E7725" s="12" t="s">
        <v>108</v>
      </c>
      <c r="F7725" s="12" t="s">
        <v>109</v>
      </c>
      <c r="G7725" s="12" t="s">
        <v>40</v>
      </c>
      <c r="H7725" s="11" t="s">
        <v>63</v>
      </c>
      <c r="I7725" s="13" t="s">
        <v>15800</v>
      </c>
      <c r="J7725" s="14" t="str">
        <f>HYPERLINK("https://www.boe.es/gazeta/dias/1839/01/04/pdfs/GMD-1839-1511.pdf#page=2","Abrir facsímil")</f>
        <v>Abrir facsímil</v>
      </c>
      <c r="K7725" s="12" t="s">
        <v>65</v>
      </c>
    </row>
    <row r="7726" spans="1:11" ht="40.049999999999997" customHeight="1" x14ac:dyDescent="0.25">
      <c r="A7726" s="11" t="s">
        <v>15796</v>
      </c>
      <c r="B7726" s="11" t="s">
        <v>15796</v>
      </c>
      <c r="C7726" s="11" t="s">
        <v>17</v>
      </c>
      <c r="D7726" s="11" t="s">
        <v>18</v>
      </c>
      <c r="E7726" s="12" t="s">
        <v>2210</v>
      </c>
      <c r="F7726" s="12" t="s">
        <v>2211</v>
      </c>
      <c r="G7726" s="12" t="s">
        <v>40</v>
      </c>
      <c r="H7726" s="11" t="s">
        <v>22</v>
      </c>
      <c r="I7726" s="13" t="s">
        <v>15801</v>
      </c>
      <c r="J7726" s="14" t="str">
        <f>HYPERLINK("https://www.boe.es/gazeta/dias/1839/09/05/pdfs/GMD-1839-1758.pdf#page=2","Abrir facsímil")</f>
        <v>Abrir facsímil</v>
      </c>
      <c r="K7726" s="12" t="s">
        <v>24</v>
      </c>
    </row>
    <row r="7727" spans="1:11" ht="40.049999999999997" customHeight="1" x14ac:dyDescent="0.25">
      <c r="A7727" s="11" t="s">
        <v>15798</v>
      </c>
      <c r="B7727" s="11" t="s">
        <v>15798</v>
      </c>
      <c r="C7727" s="11" t="s">
        <v>17</v>
      </c>
      <c r="D7727" s="11" t="s">
        <v>18</v>
      </c>
      <c r="E7727" s="12" t="s">
        <v>2222</v>
      </c>
      <c r="F7727" s="12" t="s">
        <v>2223</v>
      </c>
      <c r="G7727" s="12" t="s">
        <v>40</v>
      </c>
      <c r="H7727" s="11" t="s">
        <v>63</v>
      </c>
      <c r="I7727" s="13" t="s">
        <v>15802</v>
      </c>
      <c r="J7727" s="14" t="str">
        <f>HYPERLINK("https://www.boe.es/gazeta/dias/1839/09/19/pdfs/GMD-1839-1773.pdf#page=2","Abrir facsímil")</f>
        <v>Abrir facsímil</v>
      </c>
      <c r="K7727" s="12" t="s">
        <v>65</v>
      </c>
    </row>
    <row r="7728" spans="1:11" ht="40.049999999999997" customHeight="1" x14ac:dyDescent="0.25">
      <c r="A7728" s="11" t="s">
        <v>15798</v>
      </c>
      <c r="B7728" s="11" t="s">
        <v>15798</v>
      </c>
      <c r="C7728" s="11" t="s">
        <v>17</v>
      </c>
      <c r="D7728" s="11" t="s">
        <v>18</v>
      </c>
      <c r="E7728" s="12" t="s">
        <v>568</v>
      </c>
      <c r="F7728" s="12" t="s">
        <v>569</v>
      </c>
      <c r="G7728" s="12" t="s">
        <v>46</v>
      </c>
      <c r="H7728" s="11" t="s">
        <v>63</v>
      </c>
      <c r="I7728" s="13" t="s">
        <v>15803</v>
      </c>
      <c r="J7728" s="14" t="str">
        <f>HYPERLINK("https://www.boe.es/gazeta/dias/1839/10/23/pdfs/GMD-1839-1809.pdf#page=3","Abrir facsímil")</f>
        <v>Abrir facsímil</v>
      </c>
      <c r="K7728" s="12" t="s">
        <v>65</v>
      </c>
    </row>
    <row r="7729" spans="1:11" ht="40.049999999999997" customHeight="1" x14ac:dyDescent="0.25">
      <c r="A7729" s="11" t="s">
        <v>15798</v>
      </c>
      <c r="B7729" s="11" t="s">
        <v>15798</v>
      </c>
      <c r="C7729" s="11" t="s">
        <v>17</v>
      </c>
      <c r="D7729" s="11" t="s">
        <v>18</v>
      </c>
      <c r="E7729" s="12" t="s">
        <v>1118</v>
      </c>
      <c r="F7729" s="12" t="s">
        <v>1119</v>
      </c>
      <c r="G7729" s="12" t="s">
        <v>21</v>
      </c>
      <c r="H7729" s="11" t="s">
        <v>63</v>
      </c>
      <c r="I7729" s="13" t="s">
        <v>15804</v>
      </c>
      <c r="J7729" s="14" t="str">
        <f>HYPERLINK("https://www.boe.es/gazeta/dias/1839/08/30/pdfs/GMD-1839-1751.pdf#page=4","Abrir facsímil")</f>
        <v>Abrir facsímil</v>
      </c>
      <c r="K7729" s="12" t="s">
        <v>65</v>
      </c>
    </row>
    <row r="7730" spans="1:11" ht="40.049999999999997" customHeight="1" x14ac:dyDescent="0.25">
      <c r="A7730" s="11" t="s">
        <v>15805</v>
      </c>
      <c r="B7730" s="11" t="s">
        <v>15805</v>
      </c>
      <c r="C7730" s="11" t="s">
        <v>101</v>
      </c>
      <c r="D7730" s="11" t="s">
        <v>102</v>
      </c>
      <c r="E7730" s="12" t="s">
        <v>81</v>
      </c>
      <c r="F7730" s="12" t="s">
        <v>82</v>
      </c>
      <c r="G7730" s="12" t="s">
        <v>46</v>
      </c>
      <c r="H7730" s="11" t="s">
        <v>63</v>
      </c>
      <c r="I7730" s="13" t="s">
        <v>15806</v>
      </c>
      <c r="J7730" s="14" t="str">
        <f>HYPERLINK("https://www.boe.es/gazeta/dias/1839/03/03/pdfs/GMD-1839-1569.pdf#page=3","Abrir facsímil")</f>
        <v>Abrir facsímil</v>
      </c>
      <c r="K7730" s="12" t="s">
        <v>65</v>
      </c>
    </row>
    <row r="7731" spans="1:11" ht="40.049999999999997" customHeight="1" x14ac:dyDescent="0.25">
      <c r="A7731" s="11" t="s">
        <v>15807</v>
      </c>
      <c r="B7731" s="11" t="s">
        <v>15807</v>
      </c>
      <c r="C7731" s="11" t="s">
        <v>17</v>
      </c>
      <c r="D7731" s="11" t="s">
        <v>18</v>
      </c>
      <c r="E7731" s="12" t="s">
        <v>5399</v>
      </c>
      <c r="F7731" s="12" t="s">
        <v>5400</v>
      </c>
      <c r="G7731" s="12" t="s">
        <v>40</v>
      </c>
      <c r="H7731" s="11" t="s">
        <v>63</v>
      </c>
      <c r="I7731" s="13" t="s">
        <v>15808</v>
      </c>
      <c r="J7731" s="14" t="str">
        <f>HYPERLINK("https://www.boe.es/gazeta/dias/1839/10/14/pdfs/GMD-1839-1800.pdf#page=2","Abrir facsímil")</f>
        <v>Abrir facsímil</v>
      </c>
      <c r="K7731" s="12" t="s">
        <v>65</v>
      </c>
    </row>
    <row r="7732" spans="1:11" ht="40.049999999999997" customHeight="1" x14ac:dyDescent="0.25">
      <c r="A7732" s="11" t="s">
        <v>15809</v>
      </c>
      <c r="B7732" s="11" t="s">
        <v>15809</v>
      </c>
      <c r="C7732" s="11" t="s">
        <v>17</v>
      </c>
      <c r="D7732" s="11" t="s">
        <v>18</v>
      </c>
      <c r="E7732" s="12" t="s">
        <v>1988</v>
      </c>
      <c r="F7732" s="12" t="s">
        <v>1989</v>
      </c>
      <c r="G7732" s="12" t="s">
        <v>305</v>
      </c>
      <c r="H7732" s="11" t="s">
        <v>63</v>
      </c>
      <c r="I7732" s="13" t="s">
        <v>15810</v>
      </c>
      <c r="J7732" s="14" t="str">
        <f>HYPERLINK("https://www.boe.es/gazeta/dias/1839/10/29/pdfs/GMD-1839-1815.pdf#page=6","Abrir facsímil")</f>
        <v>Abrir facsímil</v>
      </c>
      <c r="K7732" s="12" t="s">
        <v>65</v>
      </c>
    </row>
    <row r="7733" spans="1:11" ht="40.049999999999997" customHeight="1" x14ac:dyDescent="0.25">
      <c r="A7733" s="11" t="s">
        <v>15811</v>
      </c>
      <c r="B7733" s="11" t="s">
        <v>15811</v>
      </c>
      <c r="C7733" s="11" t="s">
        <v>80</v>
      </c>
      <c r="D7733" s="11" t="s">
        <v>18</v>
      </c>
      <c r="E7733" s="12" t="s">
        <v>798</v>
      </c>
      <c r="F7733" s="12" t="s">
        <v>799</v>
      </c>
      <c r="G7733" s="12" t="s">
        <v>40</v>
      </c>
      <c r="H7733" s="11" t="s">
        <v>63</v>
      </c>
      <c r="I7733" s="13" t="s">
        <v>15812</v>
      </c>
      <c r="J7733" s="14" t="str">
        <f>HYPERLINK("https://www.boe.es/gazeta/dias/1839/09/03/pdfs/GMD-1839-1755.pdf#page=2","Abrir facsímil")</f>
        <v>Abrir facsímil</v>
      </c>
      <c r="K7733" s="12" t="s">
        <v>65</v>
      </c>
    </row>
    <row r="7734" spans="1:11" ht="40.049999999999997" customHeight="1" x14ac:dyDescent="0.25">
      <c r="A7734" s="11" t="s">
        <v>15811</v>
      </c>
      <c r="B7734" s="11" t="s">
        <v>15811</v>
      </c>
      <c r="C7734" s="11" t="s">
        <v>17</v>
      </c>
      <c r="D7734" s="11" t="s">
        <v>18</v>
      </c>
      <c r="E7734" s="12" t="s">
        <v>185</v>
      </c>
      <c r="F7734" s="12" t="s">
        <v>186</v>
      </c>
      <c r="G7734" s="12" t="s">
        <v>21</v>
      </c>
      <c r="H7734" s="11" t="s">
        <v>63</v>
      </c>
      <c r="I7734" s="13" t="s">
        <v>15813</v>
      </c>
      <c r="J7734" s="14" t="str">
        <f>HYPERLINK("https://www.boe.es/gazeta/dias/1839/01/15/pdfs/GMD-1839-1522.pdf#page=4","Abrir facsímil")</f>
        <v>Abrir facsímil</v>
      </c>
      <c r="K7734" s="12" t="s">
        <v>65</v>
      </c>
    </row>
    <row r="7735" spans="1:11" ht="40.049999999999997" customHeight="1" x14ac:dyDescent="0.25">
      <c r="A7735" s="11" t="s">
        <v>15811</v>
      </c>
      <c r="B7735" s="11" t="s">
        <v>15811</v>
      </c>
      <c r="C7735" s="11" t="s">
        <v>101</v>
      </c>
      <c r="D7735" s="11" t="s">
        <v>102</v>
      </c>
      <c r="E7735" s="12" t="s">
        <v>1663</v>
      </c>
      <c r="F7735" s="12" t="s">
        <v>1664</v>
      </c>
      <c r="G7735" s="12" t="s">
        <v>40</v>
      </c>
      <c r="H7735" s="11" t="s">
        <v>63</v>
      </c>
      <c r="I7735" s="13" t="s">
        <v>15814</v>
      </c>
      <c r="J7735" s="14" t="str">
        <f>HYPERLINK("https://www.boe.es/gazeta/dias/1839/03/22/pdfs/GMD-1839-1588.pdf#page=2","Abrir facsímil")</f>
        <v>Abrir facsímil</v>
      </c>
      <c r="K7735" s="12" t="s">
        <v>65</v>
      </c>
    </row>
    <row r="7736" spans="1:11" ht="40.049999999999997" customHeight="1" x14ac:dyDescent="0.25">
      <c r="A7736" s="11" t="s">
        <v>15815</v>
      </c>
      <c r="B7736" s="11" t="s">
        <v>15815</v>
      </c>
      <c r="C7736" s="11" t="s">
        <v>17</v>
      </c>
      <c r="D7736" s="11" t="s">
        <v>43</v>
      </c>
      <c r="E7736" s="12" t="s">
        <v>1909</v>
      </c>
      <c r="F7736" s="12" t="s">
        <v>1910</v>
      </c>
      <c r="G7736" s="12" t="s">
        <v>40</v>
      </c>
      <c r="H7736" s="11" t="s">
        <v>63</v>
      </c>
      <c r="I7736" s="13" t="s">
        <v>15816</v>
      </c>
      <c r="J7736" s="14" t="str">
        <f>HYPERLINK("https://www.boe.es/gazeta/dias/1839/10/27/pdfs/GMD-1839-1813.pdf#page=2","Abrir facsímil")</f>
        <v>Abrir facsímil</v>
      </c>
      <c r="K7736" s="12" t="s">
        <v>65</v>
      </c>
    </row>
    <row r="7737" spans="1:11" ht="40.049999999999997" customHeight="1" x14ac:dyDescent="0.25">
      <c r="A7737" s="11" t="s">
        <v>15817</v>
      </c>
      <c r="B7737" s="11" t="s">
        <v>15817</v>
      </c>
      <c r="C7737" s="11" t="s">
        <v>101</v>
      </c>
      <c r="D7737" s="11" t="s">
        <v>102</v>
      </c>
      <c r="E7737" s="12" t="s">
        <v>1123</v>
      </c>
      <c r="F7737" s="12" t="s">
        <v>1124</v>
      </c>
      <c r="G7737" s="12" t="s">
        <v>46</v>
      </c>
      <c r="H7737" s="11" t="s">
        <v>63</v>
      </c>
      <c r="I7737" s="13" t="s">
        <v>15818</v>
      </c>
      <c r="J7737" s="14" t="str">
        <f>HYPERLINK("https://www.boe.es/gazeta/dias/1839/08/10/pdfs/GMD-1839-1730.pdf#page=3","Abrir facsímil")</f>
        <v>Abrir facsímil</v>
      </c>
      <c r="K7737" s="12" t="s">
        <v>65</v>
      </c>
    </row>
    <row r="7738" spans="1:11" ht="40.049999999999997" customHeight="1" x14ac:dyDescent="0.25">
      <c r="A7738" s="11" t="s">
        <v>15819</v>
      </c>
      <c r="B7738" s="11" t="s">
        <v>15820</v>
      </c>
      <c r="C7738" s="11" t="s">
        <v>17</v>
      </c>
      <c r="D7738" s="11" t="s">
        <v>18</v>
      </c>
      <c r="E7738" s="12" t="s">
        <v>157</v>
      </c>
      <c r="F7738" s="12" t="s">
        <v>158</v>
      </c>
      <c r="G7738" s="12" t="s">
        <v>40</v>
      </c>
      <c r="H7738" s="11" t="s">
        <v>63</v>
      </c>
      <c r="I7738" s="13" t="s">
        <v>15821</v>
      </c>
      <c r="J7738" s="14" t="str">
        <f>HYPERLINK("https://www.boe.es/gazeta/dias/1839/02/08/pdfs/GMD-1839-1546.pdf#page=2","Abrir facsímil")</f>
        <v>Abrir facsímil</v>
      </c>
      <c r="K7738" s="12" t="s">
        <v>65</v>
      </c>
    </row>
    <row r="7739" spans="1:11" ht="40.049999999999997" customHeight="1" x14ac:dyDescent="0.25">
      <c r="A7739" s="11" t="s">
        <v>15822</v>
      </c>
      <c r="B7739" s="11" t="s">
        <v>15822</v>
      </c>
      <c r="C7739" s="11" t="s">
        <v>17</v>
      </c>
      <c r="D7739" s="11" t="s">
        <v>18</v>
      </c>
      <c r="E7739" s="12" t="s">
        <v>212</v>
      </c>
      <c r="F7739" s="12" t="s">
        <v>213</v>
      </c>
      <c r="G7739" s="12" t="s">
        <v>46</v>
      </c>
      <c r="H7739" s="11" t="s">
        <v>63</v>
      </c>
      <c r="I7739" s="13" t="s">
        <v>15823</v>
      </c>
      <c r="J7739" s="14" t="str">
        <f>HYPERLINK("https://www.boe.es/gazeta/dias/1839/10/03/pdfs/GMD-1839-1789.pdf#page=3","Abrir facsímil")</f>
        <v>Abrir facsímil</v>
      </c>
      <c r="K7739" s="12" t="s">
        <v>65</v>
      </c>
    </row>
    <row r="7740" spans="1:11" ht="40.049999999999997" customHeight="1" x14ac:dyDescent="0.25">
      <c r="A7740" s="11" t="s">
        <v>15822</v>
      </c>
      <c r="B7740" s="11" t="s">
        <v>15822</v>
      </c>
      <c r="C7740" s="11" t="s">
        <v>17</v>
      </c>
      <c r="D7740" s="11" t="s">
        <v>18</v>
      </c>
      <c r="E7740" s="12" t="s">
        <v>1100</v>
      </c>
      <c r="F7740" s="12" t="s">
        <v>1101</v>
      </c>
      <c r="G7740" s="12" t="s">
        <v>21</v>
      </c>
      <c r="H7740" s="11" t="s">
        <v>63</v>
      </c>
      <c r="I7740" s="13" t="s">
        <v>15824</v>
      </c>
      <c r="J7740" s="14" t="str">
        <f>HYPERLINK("https://www.boe.es/gazeta/dias/1839/09/13/pdfs/GMD-1839-1766.pdf#page=4","Abrir facsímil")</f>
        <v>Abrir facsímil</v>
      </c>
      <c r="K7740" s="12" t="s">
        <v>65</v>
      </c>
    </row>
    <row r="7741" spans="1:11" ht="40.049999999999997" customHeight="1" x14ac:dyDescent="0.25">
      <c r="A7741" s="11" t="s">
        <v>15825</v>
      </c>
      <c r="B7741" s="11" t="s">
        <v>15825</v>
      </c>
      <c r="C7741" s="11" t="s">
        <v>17</v>
      </c>
      <c r="D7741" s="11" t="s">
        <v>43</v>
      </c>
      <c r="E7741" s="12" t="s">
        <v>212</v>
      </c>
      <c r="F7741" s="12" t="s">
        <v>213</v>
      </c>
      <c r="G7741" s="12" t="s">
        <v>40</v>
      </c>
      <c r="H7741" s="11" t="s">
        <v>22</v>
      </c>
      <c r="I7741" s="13" t="s">
        <v>15826</v>
      </c>
      <c r="J7741" s="14" t="str">
        <f>HYPERLINK("https://www.boe.es/gazeta/dias/1839/10/03/pdfs/GMD-1839-1789.pdf#page=2","Abrir facsímil")</f>
        <v>Abrir facsímil</v>
      </c>
      <c r="K7741" s="12" t="s">
        <v>24</v>
      </c>
    </row>
    <row r="7742" spans="1:11" ht="40.049999999999997" customHeight="1" x14ac:dyDescent="0.25">
      <c r="A7742" s="11" t="s">
        <v>15827</v>
      </c>
      <c r="B7742" s="11" t="s">
        <v>15827</v>
      </c>
      <c r="C7742" s="11" t="s">
        <v>101</v>
      </c>
      <c r="D7742" s="11" t="s">
        <v>43</v>
      </c>
      <c r="E7742" s="12" t="s">
        <v>1086</v>
      </c>
      <c r="F7742" s="12" t="s">
        <v>1087</v>
      </c>
      <c r="G7742" s="12" t="s">
        <v>40</v>
      </c>
      <c r="H7742" s="11" t="s">
        <v>63</v>
      </c>
      <c r="I7742" s="13" t="s">
        <v>15828</v>
      </c>
      <c r="J7742" s="14" t="str">
        <f>HYPERLINK("https://www.boe.es/gazeta/dias/1839/10/26/pdfs/GMD-1839-1812.pdf#page=2","Abrir facsímil")</f>
        <v>Abrir facsímil</v>
      </c>
      <c r="K7742" s="12" t="s">
        <v>65</v>
      </c>
    </row>
    <row r="7743" spans="1:11" ht="40.049999999999997" customHeight="1" x14ac:dyDescent="0.25">
      <c r="A7743" s="11" t="s">
        <v>15829</v>
      </c>
      <c r="B7743" s="11" t="s">
        <v>15829</v>
      </c>
      <c r="C7743" s="11" t="s">
        <v>59</v>
      </c>
      <c r="D7743" s="11" t="s">
        <v>60</v>
      </c>
      <c r="E7743" s="12" t="s">
        <v>230</v>
      </c>
      <c r="F7743" s="12" t="s">
        <v>231</v>
      </c>
      <c r="G7743" s="12" t="s">
        <v>29</v>
      </c>
      <c r="H7743" s="11" t="s">
        <v>22</v>
      </c>
      <c r="I7743" s="13" t="s">
        <v>15830</v>
      </c>
      <c r="J7743" s="14" t="str">
        <f>HYPERLINK("https://www.boe.es/gazeta/dias/1839/09/16/pdfs/GMD-1839-1769.pdf#page=1","Abrir facsímil")</f>
        <v>Abrir facsímil</v>
      </c>
      <c r="K7743" s="12" t="s">
        <v>24</v>
      </c>
    </row>
    <row r="7744" spans="1:11" ht="40.049999999999997" customHeight="1" x14ac:dyDescent="0.25">
      <c r="A7744" s="11" t="s">
        <v>15831</v>
      </c>
      <c r="B7744" s="11" t="s">
        <v>15831</v>
      </c>
      <c r="C7744" s="11" t="s">
        <v>17</v>
      </c>
      <c r="D7744" s="11" t="s">
        <v>18</v>
      </c>
      <c r="E7744" s="12" t="s">
        <v>1100</v>
      </c>
      <c r="F7744" s="12" t="s">
        <v>1101</v>
      </c>
      <c r="G7744" s="12" t="s">
        <v>46</v>
      </c>
      <c r="H7744" s="11" t="s">
        <v>22</v>
      </c>
      <c r="I7744" s="13" t="s">
        <v>15832</v>
      </c>
      <c r="J7744" s="14" t="str">
        <f>HYPERLINK("https://www.boe.es/gazeta/dias/1839/09/13/pdfs/GMD-1839-1766.pdf#page=3","Abrir facsímil")</f>
        <v>Abrir facsímil</v>
      </c>
      <c r="K7744" s="12" t="s">
        <v>24</v>
      </c>
    </row>
    <row r="7745" spans="1:11" ht="40.049999999999997" customHeight="1" x14ac:dyDescent="0.25">
      <c r="A7745" s="11" t="s">
        <v>15831</v>
      </c>
      <c r="B7745" s="11" t="s">
        <v>15831</v>
      </c>
      <c r="C7745" s="11" t="s">
        <v>101</v>
      </c>
      <c r="D7745" s="11" t="s">
        <v>43</v>
      </c>
      <c r="E7745" s="12" t="s">
        <v>230</v>
      </c>
      <c r="F7745" s="12" t="s">
        <v>231</v>
      </c>
      <c r="G7745" s="12" t="s">
        <v>29</v>
      </c>
      <c r="H7745" s="11" t="s">
        <v>22</v>
      </c>
      <c r="I7745" s="13" t="s">
        <v>15833</v>
      </c>
      <c r="J7745" s="14" t="str">
        <f>HYPERLINK("https://www.boe.es/gazeta/dias/1839/09/16/pdfs/GMD-1839-1769.pdf#page=1","Abrir facsímil")</f>
        <v>Abrir facsímil</v>
      </c>
      <c r="K7745" s="12" t="s">
        <v>24</v>
      </c>
    </row>
    <row r="7746" spans="1:11" ht="40.049999999999997" customHeight="1" x14ac:dyDescent="0.25">
      <c r="A7746" s="11" t="s">
        <v>15834</v>
      </c>
      <c r="B7746" s="11" t="s">
        <v>15834</v>
      </c>
      <c r="C7746" s="11" t="s">
        <v>17</v>
      </c>
      <c r="D7746" s="11" t="s">
        <v>18</v>
      </c>
      <c r="E7746" s="12" t="s">
        <v>1929</v>
      </c>
      <c r="F7746" s="12" t="s">
        <v>1930</v>
      </c>
      <c r="G7746" s="12" t="s">
        <v>46</v>
      </c>
      <c r="H7746" s="11" t="s">
        <v>22</v>
      </c>
      <c r="I7746" s="13" t="s">
        <v>15835</v>
      </c>
      <c r="J7746" s="14" t="str">
        <f>HYPERLINK("https://www.boe.es/gazeta/dias/1839/02/01/pdfs/GMD-1839-1539.pdf#page=3","Abrir facsímil")</f>
        <v>Abrir facsímil</v>
      </c>
      <c r="K7746" s="12" t="s">
        <v>24</v>
      </c>
    </row>
    <row r="7747" spans="1:11" ht="40.049999999999997" customHeight="1" x14ac:dyDescent="0.25">
      <c r="A7747" s="11" t="s">
        <v>15836</v>
      </c>
      <c r="B7747" s="11" t="s">
        <v>15836</v>
      </c>
      <c r="C7747" s="11" t="s">
        <v>17</v>
      </c>
      <c r="D7747" s="11" t="s">
        <v>18</v>
      </c>
      <c r="E7747" s="12" t="s">
        <v>500</v>
      </c>
      <c r="F7747" s="12" t="s">
        <v>501</v>
      </c>
      <c r="G7747" s="12" t="s">
        <v>46</v>
      </c>
      <c r="H7747" s="11" t="s">
        <v>63</v>
      </c>
      <c r="I7747" s="13" t="s">
        <v>15837</v>
      </c>
      <c r="J7747" s="14" t="str">
        <f>HYPERLINK("https://www.boe.es/gazeta/dias/1839/11/06/pdfs/GMD-1839-1823.pdf#page=3","Abrir facsímil")</f>
        <v>Abrir facsímil</v>
      </c>
      <c r="K7747" s="12" t="s">
        <v>65</v>
      </c>
    </row>
    <row r="7748" spans="1:11" ht="40.049999999999997" customHeight="1" x14ac:dyDescent="0.25">
      <c r="A7748" s="11" t="s">
        <v>15834</v>
      </c>
      <c r="B7748" s="11" t="s">
        <v>15834</v>
      </c>
      <c r="C7748" s="11" t="s">
        <v>137</v>
      </c>
      <c r="D7748" s="11" t="s">
        <v>18</v>
      </c>
      <c r="E7748" s="12" t="s">
        <v>804</v>
      </c>
      <c r="F7748" s="12" t="s">
        <v>805</v>
      </c>
      <c r="G7748" s="12" t="s">
        <v>40</v>
      </c>
      <c r="H7748" s="11" t="s">
        <v>22</v>
      </c>
      <c r="I7748" s="13" t="s">
        <v>15838</v>
      </c>
      <c r="J7748" s="14" t="str">
        <f>HYPERLINK("https://www.boe.es/gazeta/dias/1839/01/08/pdfs/GMD-1839-1515.pdf#page=2","Abrir facsímil")</f>
        <v>Abrir facsímil</v>
      </c>
      <c r="K7748" s="12" t="s">
        <v>24</v>
      </c>
    </row>
    <row r="7749" spans="1:11" ht="40.049999999999997" customHeight="1" x14ac:dyDescent="0.25">
      <c r="A7749" s="11" t="s">
        <v>15836</v>
      </c>
      <c r="B7749" s="11" t="s">
        <v>15836</v>
      </c>
      <c r="C7749" s="11" t="s">
        <v>17</v>
      </c>
      <c r="D7749" s="11" t="s">
        <v>18</v>
      </c>
      <c r="E7749" s="12" t="s">
        <v>1183</v>
      </c>
      <c r="F7749" s="12" t="s">
        <v>1184</v>
      </c>
      <c r="G7749" s="12" t="s">
        <v>40</v>
      </c>
      <c r="H7749" s="11" t="s">
        <v>63</v>
      </c>
      <c r="I7749" s="13" t="s">
        <v>15839</v>
      </c>
      <c r="J7749" s="14" t="str">
        <f>HYPERLINK("https://www.boe.es/gazeta/dias/1839/07/26/pdfs/GMD-1839-1715.pdf#page=2","Abrir facsímil")</f>
        <v>Abrir facsímil</v>
      </c>
      <c r="K7749" s="12" t="s">
        <v>65</v>
      </c>
    </row>
    <row r="7750" spans="1:11" ht="40.049999999999997" customHeight="1" x14ac:dyDescent="0.25">
      <c r="A7750" s="11" t="s">
        <v>15840</v>
      </c>
      <c r="B7750" s="11" t="s">
        <v>15841</v>
      </c>
      <c r="C7750" s="11" t="s">
        <v>17</v>
      </c>
      <c r="D7750" s="11" t="s">
        <v>18</v>
      </c>
      <c r="E7750" s="12" t="s">
        <v>474</v>
      </c>
      <c r="F7750" s="12" t="s">
        <v>475</v>
      </c>
      <c r="G7750" s="12" t="s">
        <v>21</v>
      </c>
      <c r="H7750" s="11" t="s">
        <v>63</v>
      </c>
      <c r="I7750" s="13" t="s">
        <v>15842</v>
      </c>
      <c r="J7750" s="14" t="str">
        <f>HYPERLINK("https://www.boe.es/gazeta/dias/1839/03/31/pdfs/GMD-1839-1597.pdf#page=4","Abrir facsímil")</f>
        <v>Abrir facsímil</v>
      </c>
      <c r="K7750" s="12" t="s">
        <v>65</v>
      </c>
    </row>
    <row r="7751" spans="1:11" ht="40.049999999999997" customHeight="1" x14ac:dyDescent="0.25">
      <c r="A7751" s="11" t="s">
        <v>15843</v>
      </c>
      <c r="B7751" s="11" t="s">
        <v>15844</v>
      </c>
      <c r="C7751" s="11" t="s">
        <v>17</v>
      </c>
      <c r="D7751" s="11" t="s">
        <v>18</v>
      </c>
      <c r="E7751" s="12" t="s">
        <v>1123</v>
      </c>
      <c r="F7751" s="12" t="s">
        <v>1124</v>
      </c>
      <c r="G7751" s="12" t="s">
        <v>46</v>
      </c>
      <c r="H7751" s="11" t="s">
        <v>63</v>
      </c>
      <c r="I7751" s="13" t="s">
        <v>15845</v>
      </c>
      <c r="J7751" s="14" t="str">
        <f>HYPERLINK("https://www.boe.es/gazeta/dias/1839/08/10/pdfs/GMD-1839-1730.pdf#page=3","Abrir facsímil")</f>
        <v>Abrir facsímil</v>
      </c>
      <c r="K7751" s="12" t="s">
        <v>65</v>
      </c>
    </row>
    <row r="7752" spans="1:11" ht="40.049999999999997" customHeight="1" x14ac:dyDescent="0.25">
      <c r="A7752" s="11" t="s">
        <v>15846</v>
      </c>
      <c r="B7752" s="11" t="s">
        <v>15846</v>
      </c>
      <c r="C7752" s="11" t="s">
        <v>80</v>
      </c>
      <c r="D7752" s="11" t="s">
        <v>18</v>
      </c>
      <c r="E7752" s="12" t="s">
        <v>2205</v>
      </c>
      <c r="F7752" s="12" t="s">
        <v>2206</v>
      </c>
      <c r="G7752" s="12" t="s">
        <v>21</v>
      </c>
      <c r="H7752" s="11" t="s">
        <v>63</v>
      </c>
      <c r="I7752" s="13" t="s">
        <v>15847</v>
      </c>
      <c r="J7752" s="14" t="str">
        <f>HYPERLINK("https://www.boe.es/gazeta/dias/1839/07/11/pdfs/GMD-1839-1699.pdf#page=4","Abrir facsímil")</f>
        <v>Abrir facsímil</v>
      </c>
      <c r="K7752" s="12" t="s">
        <v>65</v>
      </c>
    </row>
    <row r="7753" spans="1:11" ht="40.049999999999997" customHeight="1" x14ac:dyDescent="0.25">
      <c r="A7753" s="11" t="s">
        <v>15848</v>
      </c>
      <c r="B7753" s="11" t="s">
        <v>15849</v>
      </c>
      <c r="C7753" s="11" t="s">
        <v>17</v>
      </c>
      <c r="D7753" s="11" t="s">
        <v>18</v>
      </c>
      <c r="E7753" s="12" t="s">
        <v>1123</v>
      </c>
      <c r="F7753" s="12" t="s">
        <v>1124</v>
      </c>
      <c r="G7753" s="12" t="s">
        <v>40</v>
      </c>
      <c r="H7753" s="11" t="s">
        <v>63</v>
      </c>
      <c r="I7753" s="13" t="s">
        <v>15850</v>
      </c>
      <c r="J7753" s="14" t="str">
        <f>HYPERLINK("https://www.boe.es/gazeta/dias/1839/08/10/pdfs/GMD-1839-1730.pdf#page=2","Abrir facsímil")</f>
        <v>Abrir facsímil</v>
      </c>
      <c r="K7753" s="12" t="s">
        <v>65</v>
      </c>
    </row>
    <row r="7754" spans="1:11" ht="40.049999999999997" customHeight="1" x14ac:dyDescent="0.25">
      <c r="A7754" s="11" t="s">
        <v>15851</v>
      </c>
      <c r="B7754" s="11" t="s">
        <v>15852</v>
      </c>
      <c r="C7754" s="11" t="s">
        <v>17</v>
      </c>
      <c r="D7754" s="11" t="s">
        <v>18</v>
      </c>
      <c r="E7754" s="12" t="s">
        <v>1623</v>
      </c>
      <c r="F7754" s="12" t="s">
        <v>1624</v>
      </c>
      <c r="G7754" s="12" t="s">
        <v>21</v>
      </c>
      <c r="H7754" s="11" t="s">
        <v>63</v>
      </c>
      <c r="I7754" s="13" t="s">
        <v>15853</v>
      </c>
      <c r="J7754" s="14" t="str">
        <f>HYPERLINK("https://www.boe.es/gazeta/dias/1839/04/07/pdfs/GMD-1839-1604.pdf#page=4","Abrir facsímil")</f>
        <v>Abrir facsímil</v>
      </c>
      <c r="K7754" s="12" t="s">
        <v>65</v>
      </c>
    </row>
    <row r="7755" spans="1:11" ht="40.049999999999997" customHeight="1" x14ac:dyDescent="0.25">
      <c r="A7755" s="11" t="s">
        <v>15851</v>
      </c>
      <c r="B7755" s="11" t="s">
        <v>15852</v>
      </c>
      <c r="C7755" s="11" t="s">
        <v>17</v>
      </c>
      <c r="D7755" s="11" t="s">
        <v>18</v>
      </c>
      <c r="E7755" s="12" t="s">
        <v>892</v>
      </c>
      <c r="F7755" s="12" t="s">
        <v>893</v>
      </c>
      <c r="G7755" s="12" t="s">
        <v>21</v>
      </c>
      <c r="H7755" s="11" t="s">
        <v>63</v>
      </c>
      <c r="I7755" s="13" t="s">
        <v>15854</v>
      </c>
      <c r="J7755" s="14" t="str">
        <f>HYPERLINK("https://www.boe.es/gazeta/dias/1839/12/28/pdfs/GMD-1839-1875.pdf#page=4","Abrir facsímil")</f>
        <v>Abrir facsímil</v>
      </c>
      <c r="K7755" s="12" t="s">
        <v>65</v>
      </c>
    </row>
    <row r="7756" spans="1:11" ht="40.049999999999997" customHeight="1" x14ac:dyDescent="0.25">
      <c r="A7756" s="11" t="s">
        <v>15855</v>
      </c>
      <c r="B7756" s="11" t="s">
        <v>15855</v>
      </c>
      <c r="C7756" s="11" t="s">
        <v>17</v>
      </c>
      <c r="D7756" s="11" t="s">
        <v>18</v>
      </c>
      <c r="E7756" s="12" t="s">
        <v>372</v>
      </c>
      <c r="F7756" s="12" t="s">
        <v>373</v>
      </c>
      <c r="G7756" s="12" t="s">
        <v>46</v>
      </c>
      <c r="H7756" s="11" t="s">
        <v>63</v>
      </c>
      <c r="I7756" s="13" t="s">
        <v>15856</v>
      </c>
      <c r="J7756" s="14" t="str">
        <f>HYPERLINK("https://www.boe.es/gazeta/dias/1839/11/08/pdfs/GMD-1839-1825.pdf#page=3","Abrir facsímil")</f>
        <v>Abrir facsímil</v>
      </c>
      <c r="K7756" s="12" t="s">
        <v>65</v>
      </c>
    </row>
    <row r="7757" spans="1:11" ht="40.049999999999997" customHeight="1" x14ac:dyDescent="0.25">
      <c r="A7757" s="11" t="s">
        <v>15857</v>
      </c>
      <c r="B7757" s="11" t="s">
        <v>15857</v>
      </c>
      <c r="C7757" s="11" t="s">
        <v>17</v>
      </c>
      <c r="D7757" s="11" t="s">
        <v>18</v>
      </c>
      <c r="E7757" s="12" t="s">
        <v>716</v>
      </c>
      <c r="F7757" s="12" t="s">
        <v>717</v>
      </c>
      <c r="G7757" s="12" t="s">
        <v>46</v>
      </c>
      <c r="H7757" s="11" t="s">
        <v>63</v>
      </c>
      <c r="I7757" s="13" t="s">
        <v>15858</v>
      </c>
      <c r="J7757" s="14" t="str">
        <f>HYPERLINK("https://www.boe.es/gazeta/dias/1839/07/30/pdfs/GMD-1839-1719.pdf#page=3","Abrir facsímil")</f>
        <v>Abrir facsímil</v>
      </c>
      <c r="K7757" s="12" t="s">
        <v>65</v>
      </c>
    </row>
    <row r="7758" spans="1:11" ht="40.049999999999997" customHeight="1" x14ac:dyDescent="0.25">
      <c r="A7758" s="11" t="s">
        <v>15859</v>
      </c>
      <c r="B7758" s="11" t="s">
        <v>15859</v>
      </c>
      <c r="C7758" s="11" t="s">
        <v>80</v>
      </c>
      <c r="D7758" s="11" t="s">
        <v>18</v>
      </c>
      <c r="E7758" s="12" t="s">
        <v>1654</v>
      </c>
      <c r="F7758" s="12" t="s">
        <v>1655</v>
      </c>
      <c r="G7758" s="12" t="s">
        <v>46</v>
      </c>
      <c r="H7758" s="11" t="s">
        <v>63</v>
      </c>
      <c r="I7758" s="13" t="s">
        <v>15860</v>
      </c>
      <c r="J7758" s="14" t="str">
        <f>HYPERLINK("https://www.boe.es/gazeta/dias/1839/11/19/pdfs/GMD-1839-1836.pdf#page=3","Abrir facsímil")</f>
        <v>Abrir facsímil</v>
      </c>
      <c r="K7758" s="12" t="s">
        <v>65</v>
      </c>
    </row>
    <row r="7759" spans="1:11" ht="40.049999999999997" customHeight="1" x14ac:dyDescent="0.25">
      <c r="A7759" s="11" t="s">
        <v>15859</v>
      </c>
      <c r="B7759" s="11" t="s">
        <v>15859</v>
      </c>
      <c r="C7759" s="11" t="s">
        <v>17</v>
      </c>
      <c r="D7759" s="11" t="s">
        <v>18</v>
      </c>
      <c r="E7759" s="12" t="s">
        <v>716</v>
      </c>
      <c r="F7759" s="12" t="s">
        <v>717</v>
      </c>
      <c r="G7759" s="12" t="s">
        <v>46</v>
      </c>
      <c r="H7759" s="11" t="s">
        <v>63</v>
      </c>
      <c r="I7759" s="13" t="s">
        <v>15861</v>
      </c>
      <c r="J7759" s="14" t="str">
        <f>HYPERLINK("https://www.boe.es/gazeta/dias/1839/07/30/pdfs/GMD-1839-1719.pdf#page=3","Abrir facsímil")</f>
        <v>Abrir facsímil</v>
      </c>
      <c r="K7759" s="12" t="s">
        <v>65</v>
      </c>
    </row>
    <row r="7760" spans="1:11" ht="40.049999999999997" customHeight="1" x14ac:dyDescent="0.25">
      <c r="A7760" s="11" t="s">
        <v>15862</v>
      </c>
      <c r="B7760" s="11" t="s">
        <v>15862</v>
      </c>
      <c r="C7760" s="11" t="s">
        <v>17</v>
      </c>
      <c r="D7760" s="11" t="s">
        <v>18</v>
      </c>
      <c r="E7760" s="12" t="s">
        <v>258</v>
      </c>
      <c r="F7760" s="12" t="s">
        <v>259</v>
      </c>
      <c r="G7760" s="12" t="s">
        <v>46</v>
      </c>
      <c r="H7760" s="11" t="s">
        <v>63</v>
      </c>
      <c r="I7760" s="13" t="s">
        <v>15863</v>
      </c>
      <c r="J7760" s="14" t="str">
        <f>HYPERLINK("https://www.boe.es/gazeta/dias/1839/01/02/pdfs/GMD-1839-1509.pdf#page=3","Abrir facsímil")</f>
        <v>Abrir facsímil</v>
      </c>
      <c r="K7760" s="12" t="s">
        <v>65</v>
      </c>
    </row>
    <row r="7761" spans="1:11" ht="40.049999999999997" customHeight="1" x14ac:dyDescent="0.25">
      <c r="A7761" s="11" t="s">
        <v>15862</v>
      </c>
      <c r="B7761" s="11" t="s">
        <v>15862</v>
      </c>
      <c r="C7761" s="11" t="s">
        <v>17</v>
      </c>
      <c r="D7761" s="11" t="s">
        <v>18</v>
      </c>
      <c r="E7761" s="12" t="s">
        <v>1611</v>
      </c>
      <c r="F7761" s="12" t="s">
        <v>1612</v>
      </c>
      <c r="G7761" s="12" t="s">
        <v>29</v>
      </c>
      <c r="H7761" s="11" t="s">
        <v>63</v>
      </c>
      <c r="I7761" s="13" t="s">
        <v>15864</v>
      </c>
      <c r="J7761" s="14" t="str">
        <f>HYPERLINK("https://www.boe.es/gazeta/dias/1839/05/03/pdfs/GMD-1839-1630.pdf#page=1","Abrir facsímil")</f>
        <v>Abrir facsímil</v>
      </c>
      <c r="K7761" s="12" t="s">
        <v>65</v>
      </c>
    </row>
    <row r="7762" spans="1:11" ht="40.049999999999997" customHeight="1" x14ac:dyDescent="0.25">
      <c r="A7762" s="11" t="s">
        <v>15862</v>
      </c>
      <c r="B7762" s="11" t="s">
        <v>15862</v>
      </c>
      <c r="C7762" s="11" t="s">
        <v>17</v>
      </c>
      <c r="D7762" s="11" t="s">
        <v>18</v>
      </c>
      <c r="E7762" s="12" t="s">
        <v>1479</v>
      </c>
      <c r="F7762" s="12" t="s">
        <v>1480</v>
      </c>
      <c r="G7762" s="12" t="s">
        <v>21</v>
      </c>
      <c r="H7762" s="11" t="s">
        <v>63</v>
      </c>
      <c r="I7762" s="13" t="s">
        <v>15865</v>
      </c>
      <c r="J7762" s="14" t="str">
        <f>HYPERLINK("https://www.boe.es/gazeta/dias/1839/04/09/pdfs/GMD-1839-1606.pdf#page=4","Abrir facsímil")</f>
        <v>Abrir facsímil</v>
      </c>
      <c r="K7762" s="12" t="s">
        <v>65</v>
      </c>
    </row>
    <row r="7763" spans="1:11" ht="40.049999999999997" customHeight="1" x14ac:dyDescent="0.25">
      <c r="A7763" s="11" t="s">
        <v>15862</v>
      </c>
      <c r="B7763" s="11" t="s">
        <v>15862</v>
      </c>
      <c r="C7763" s="11" t="s">
        <v>17</v>
      </c>
      <c r="D7763" s="11" t="s">
        <v>43</v>
      </c>
      <c r="E7763" s="12" t="s">
        <v>226</v>
      </c>
      <c r="F7763" s="12" t="s">
        <v>227</v>
      </c>
      <c r="G7763" s="12" t="s">
        <v>29</v>
      </c>
      <c r="H7763" s="11" t="s">
        <v>63</v>
      </c>
      <c r="I7763" s="13" t="s">
        <v>15866</v>
      </c>
      <c r="J7763" s="14" t="str">
        <f>HYPERLINK("https://www.boe.es/gazeta/dias/1839/06/09/pdfs/GMD-1839-1667.pdf#page=1","Abrir facsímil")</f>
        <v>Abrir facsímil</v>
      </c>
      <c r="K7763" s="12" t="s">
        <v>65</v>
      </c>
    </row>
    <row r="7764" spans="1:11" ht="40.049999999999997" customHeight="1" x14ac:dyDescent="0.25">
      <c r="A7764" s="11" t="s">
        <v>15862</v>
      </c>
      <c r="B7764" s="11" t="s">
        <v>15862</v>
      </c>
      <c r="C7764" s="11" t="s">
        <v>17</v>
      </c>
      <c r="D7764" s="11" t="s">
        <v>18</v>
      </c>
      <c r="E7764" s="12" t="s">
        <v>1366</v>
      </c>
      <c r="F7764" s="12" t="s">
        <v>1367</v>
      </c>
      <c r="G7764" s="12" t="s">
        <v>46</v>
      </c>
      <c r="H7764" s="11" t="s">
        <v>63</v>
      </c>
      <c r="I7764" s="13" t="s">
        <v>15867</v>
      </c>
      <c r="J7764" s="14" t="str">
        <f>HYPERLINK("https://www.boe.es/gazeta/dias/1839/09/09/pdfs/GMD-1839-1762.pdf#page=3","Abrir facsímil")</f>
        <v>Abrir facsímil</v>
      </c>
      <c r="K7764" s="12" t="s">
        <v>65</v>
      </c>
    </row>
    <row r="7765" spans="1:11" ht="40.049999999999997" customHeight="1" x14ac:dyDescent="0.25">
      <c r="A7765" s="11" t="s">
        <v>15862</v>
      </c>
      <c r="B7765" s="11" t="s">
        <v>15862</v>
      </c>
      <c r="C7765" s="11" t="s">
        <v>17</v>
      </c>
      <c r="D7765" s="11" t="s">
        <v>18</v>
      </c>
      <c r="E7765" s="12" t="s">
        <v>2449</v>
      </c>
      <c r="F7765" s="12" t="s">
        <v>2450</v>
      </c>
      <c r="G7765" s="12" t="s">
        <v>40</v>
      </c>
      <c r="H7765" s="11" t="s">
        <v>63</v>
      </c>
      <c r="I7765" s="13" t="s">
        <v>15868</v>
      </c>
      <c r="J7765" s="14" t="str">
        <f>HYPERLINK("https://www.boe.es/gazeta/dias/1839/12/11/pdfs/GMD-1839-1858.pdf#page=2","Abrir facsímil")</f>
        <v>Abrir facsímil</v>
      </c>
      <c r="K7765" s="12" t="s">
        <v>65</v>
      </c>
    </row>
    <row r="7766" spans="1:11" ht="40.049999999999997" customHeight="1" x14ac:dyDescent="0.25">
      <c r="A7766" s="11" t="s">
        <v>15862</v>
      </c>
      <c r="B7766" s="11" t="s">
        <v>15862</v>
      </c>
      <c r="C7766" s="11" t="s">
        <v>17</v>
      </c>
      <c r="D7766" s="11" t="s">
        <v>18</v>
      </c>
      <c r="E7766" s="12" t="s">
        <v>888</v>
      </c>
      <c r="F7766" s="12" t="s">
        <v>889</v>
      </c>
      <c r="G7766" s="12" t="s">
        <v>21</v>
      </c>
      <c r="H7766" s="11" t="s">
        <v>63</v>
      </c>
      <c r="I7766" s="13" t="s">
        <v>15869</v>
      </c>
      <c r="J7766" s="14" t="str">
        <f>HYPERLINK("https://www.boe.es/gazeta/dias/1839/05/14/pdfs/GMD-1839-1641.pdf#page=4","Abrir facsímil")</f>
        <v>Abrir facsímil</v>
      </c>
      <c r="K7766" s="12" t="s">
        <v>65</v>
      </c>
    </row>
    <row r="7767" spans="1:11" ht="40.049999999999997" customHeight="1" x14ac:dyDescent="0.25">
      <c r="A7767" s="11" t="s">
        <v>15862</v>
      </c>
      <c r="B7767" s="11" t="s">
        <v>15862</v>
      </c>
      <c r="C7767" s="11" t="s">
        <v>17</v>
      </c>
      <c r="D7767" s="11" t="s">
        <v>18</v>
      </c>
      <c r="E7767" s="12" t="s">
        <v>1139</v>
      </c>
      <c r="F7767" s="12" t="s">
        <v>1140</v>
      </c>
      <c r="G7767" s="12" t="s">
        <v>29</v>
      </c>
      <c r="H7767" s="11" t="s">
        <v>63</v>
      </c>
      <c r="I7767" s="13" t="s">
        <v>15870</v>
      </c>
      <c r="J7767" s="14" t="str">
        <f>HYPERLINK("https://www.boe.es/gazeta/dias/1839/02/15/pdfs/GMD-1839-1553.pdf#page=1","Abrir facsímil")</f>
        <v>Abrir facsímil</v>
      </c>
      <c r="K7767" s="12" t="s">
        <v>65</v>
      </c>
    </row>
    <row r="7768" spans="1:11" ht="40.049999999999997" customHeight="1" x14ac:dyDescent="0.25">
      <c r="A7768" s="11" t="s">
        <v>15862</v>
      </c>
      <c r="B7768" s="11" t="s">
        <v>15862</v>
      </c>
      <c r="C7768" s="11" t="s">
        <v>17</v>
      </c>
      <c r="D7768" s="11" t="s">
        <v>18</v>
      </c>
      <c r="E7768" s="12" t="s">
        <v>2432</v>
      </c>
      <c r="F7768" s="12" t="s">
        <v>2581</v>
      </c>
      <c r="G7768" s="12" t="s">
        <v>29</v>
      </c>
      <c r="H7768" s="11" t="s">
        <v>63</v>
      </c>
      <c r="I7768" s="13" t="s">
        <v>15871</v>
      </c>
      <c r="J7768" s="14" t="str">
        <f>HYPERLINK("https://www.boe.es/gazeta/dias/1839/07/23/pdfs/GMD-1839-1711.pdf#page=1","Abrir facsímil")</f>
        <v>Abrir facsímil</v>
      </c>
      <c r="K7768" s="12" t="s">
        <v>65</v>
      </c>
    </row>
    <row r="7769" spans="1:11" ht="40.049999999999997" customHeight="1" x14ac:dyDescent="0.25">
      <c r="A7769" s="11" t="s">
        <v>15862</v>
      </c>
      <c r="B7769" s="11" t="s">
        <v>15862</v>
      </c>
      <c r="C7769" s="11" t="s">
        <v>101</v>
      </c>
      <c r="D7769" s="11" t="s">
        <v>43</v>
      </c>
      <c r="E7769" s="12" t="s">
        <v>2349</v>
      </c>
      <c r="F7769" s="12" t="s">
        <v>2350</v>
      </c>
      <c r="G7769" s="12" t="s">
        <v>40</v>
      </c>
      <c r="H7769" s="11" t="s">
        <v>63</v>
      </c>
      <c r="I7769" s="13" t="s">
        <v>15872</v>
      </c>
      <c r="J7769" s="14" t="str">
        <f>HYPERLINK("https://www.boe.es/gazeta/dias/1839/09/29/pdfs/GMD-1839-1785.pdf#page=2","Abrir facsímil")</f>
        <v>Abrir facsímil</v>
      </c>
      <c r="K7769" s="12" t="s">
        <v>65</v>
      </c>
    </row>
    <row r="7770" spans="1:11" ht="40.049999999999997" customHeight="1" x14ac:dyDescent="0.25">
      <c r="A7770" s="11" t="s">
        <v>15873</v>
      </c>
      <c r="B7770" s="11" t="s">
        <v>15874</v>
      </c>
      <c r="C7770" s="11" t="s">
        <v>17</v>
      </c>
      <c r="D7770" s="11" t="s">
        <v>18</v>
      </c>
      <c r="E7770" s="12" t="s">
        <v>330</v>
      </c>
      <c r="F7770" s="12" t="s">
        <v>331</v>
      </c>
      <c r="G7770" s="12" t="s">
        <v>21</v>
      </c>
      <c r="H7770" s="11" t="s">
        <v>22</v>
      </c>
      <c r="I7770" s="13" t="s">
        <v>15875</v>
      </c>
      <c r="J7770" s="14" t="str">
        <f>HYPERLINK("https://www.boe.es/gazeta/dias/1839/04/11/pdfs/GMD-1839-1608.pdf#page=4","Abrir facsímil")</f>
        <v>Abrir facsímil</v>
      </c>
      <c r="K7770" s="12" t="s">
        <v>24</v>
      </c>
    </row>
    <row r="7771" spans="1:11" ht="40.049999999999997" customHeight="1" x14ac:dyDescent="0.25">
      <c r="A7771" s="11" t="s">
        <v>15873</v>
      </c>
      <c r="B7771" s="11" t="s">
        <v>15874</v>
      </c>
      <c r="C7771" s="11" t="s">
        <v>17</v>
      </c>
      <c r="D7771" s="11" t="s">
        <v>18</v>
      </c>
      <c r="E7771" s="12" t="s">
        <v>44</v>
      </c>
      <c r="F7771" s="12" t="s">
        <v>45</v>
      </c>
      <c r="G7771" s="12" t="s">
        <v>46</v>
      </c>
      <c r="H7771" s="11" t="s">
        <v>22</v>
      </c>
      <c r="I7771" s="13" t="s">
        <v>15876</v>
      </c>
      <c r="J7771" s="14" t="str">
        <f>HYPERLINK("https://www.boe.es/gazeta/dias/1839/11/15/pdfs/GMD-1839-1832.pdf#page=3","Abrir facsímil")</f>
        <v>Abrir facsímil</v>
      </c>
      <c r="K7771" s="12" t="s">
        <v>24</v>
      </c>
    </row>
    <row r="7772" spans="1:11" ht="40.049999999999997" customHeight="1" x14ac:dyDescent="0.25">
      <c r="A7772" s="11" t="s">
        <v>15877</v>
      </c>
      <c r="B7772" s="11" t="s">
        <v>15878</v>
      </c>
      <c r="C7772" s="11" t="s">
        <v>17</v>
      </c>
      <c r="D7772" s="11" t="s">
        <v>18</v>
      </c>
      <c r="E7772" s="12" t="s">
        <v>4047</v>
      </c>
      <c r="F7772" s="12" t="s">
        <v>4048</v>
      </c>
      <c r="G7772" s="12" t="s">
        <v>29</v>
      </c>
      <c r="H7772" s="11" t="s">
        <v>63</v>
      </c>
      <c r="I7772" s="13" t="s">
        <v>15879</v>
      </c>
      <c r="J7772" s="14" t="str">
        <f>HYPERLINK("https://www.boe.es/gazeta/dias/1839/03/26/pdfs/GMD-1839-1592.pdf#page=1","Abrir facsímil")</f>
        <v>Abrir facsímil</v>
      </c>
      <c r="K7772" s="12" t="s">
        <v>65</v>
      </c>
    </row>
    <row r="7773" spans="1:11" ht="40.049999999999997" customHeight="1" x14ac:dyDescent="0.25">
      <c r="A7773" s="11" t="s">
        <v>15880</v>
      </c>
      <c r="B7773" s="11" t="s">
        <v>15881</v>
      </c>
      <c r="C7773" s="11" t="s">
        <v>59</v>
      </c>
      <c r="D7773" s="11" t="s">
        <v>60</v>
      </c>
      <c r="E7773" s="12" t="s">
        <v>1628</v>
      </c>
      <c r="F7773" s="12" t="s">
        <v>1629</v>
      </c>
      <c r="G7773" s="12" t="s">
        <v>29</v>
      </c>
      <c r="H7773" s="11" t="s">
        <v>63</v>
      </c>
      <c r="I7773" s="13" t="s">
        <v>15882</v>
      </c>
      <c r="J7773" s="14" t="str">
        <f>HYPERLINK("https://www.boe.es/gazeta/dias/1839/03/10/pdfs/GMD-1839-1576.pdf#page=1","Abrir facsímil")</f>
        <v>Abrir facsímil</v>
      </c>
      <c r="K7773" s="12" t="s">
        <v>65</v>
      </c>
    </row>
    <row r="7774" spans="1:11" ht="40.049999999999997" customHeight="1" x14ac:dyDescent="0.25">
      <c r="A7774" s="11" t="s">
        <v>15883</v>
      </c>
      <c r="B7774" s="11" t="s">
        <v>15884</v>
      </c>
      <c r="C7774" s="11" t="s">
        <v>17</v>
      </c>
      <c r="D7774" s="11" t="s">
        <v>18</v>
      </c>
      <c r="E7774" s="12" t="s">
        <v>1374</v>
      </c>
      <c r="F7774" s="12" t="s">
        <v>1375</v>
      </c>
      <c r="G7774" s="12" t="s">
        <v>46</v>
      </c>
      <c r="H7774" s="11" t="s">
        <v>63</v>
      </c>
      <c r="I7774" s="13" t="s">
        <v>15885</v>
      </c>
      <c r="J7774" s="14" t="str">
        <f>HYPERLINK("https://www.boe.es/gazeta/dias/1839/07/20/pdfs/GMD-1839-1708.pdf#page=3","Abrir facsímil")</f>
        <v>Abrir facsímil</v>
      </c>
      <c r="K7774" s="12" t="s">
        <v>65</v>
      </c>
    </row>
    <row r="7775" spans="1:11" ht="40.049999999999997" customHeight="1" x14ac:dyDescent="0.25">
      <c r="A7775" s="11" t="s">
        <v>15886</v>
      </c>
      <c r="B7775" s="11" t="s">
        <v>15887</v>
      </c>
      <c r="C7775" s="11" t="s">
        <v>17</v>
      </c>
      <c r="D7775" s="11" t="s">
        <v>18</v>
      </c>
      <c r="E7775" s="12" t="s">
        <v>1144</v>
      </c>
      <c r="F7775" s="12" t="s">
        <v>1145</v>
      </c>
      <c r="G7775" s="12" t="s">
        <v>40</v>
      </c>
      <c r="H7775" s="11" t="s">
        <v>63</v>
      </c>
      <c r="I7775" s="13" t="s">
        <v>15888</v>
      </c>
      <c r="J7775" s="14" t="str">
        <f>HYPERLINK("https://www.boe.es/gazeta/dias/1839/08/13/pdfs/GMD-1839-1733.pdf#page=2","Abrir facsímil")</f>
        <v>Abrir facsímil</v>
      </c>
      <c r="K7775" s="12" t="s">
        <v>65</v>
      </c>
    </row>
    <row r="7776" spans="1:11" ht="40.049999999999997" customHeight="1" x14ac:dyDescent="0.25">
      <c r="A7776" s="11" t="s">
        <v>15889</v>
      </c>
      <c r="B7776" s="11" t="s">
        <v>15889</v>
      </c>
      <c r="C7776" s="11" t="s">
        <v>17</v>
      </c>
      <c r="D7776" s="11" t="s">
        <v>18</v>
      </c>
      <c r="E7776" s="12" t="s">
        <v>420</v>
      </c>
      <c r="F7776" s="12" t="s">
        <v>421</v>
      </c>
      <c r="G7776" s="12" t="s">
        <v>46</v>
      </c>
      <c r="H7776" s="11" t="s">
        <v>63</v>
      </c>
      <c r="I7776" s="13" t="s">
        <v>15890</v>
      </c>
      <c r="J7776" s="14" t="str">
        <f>HYPERLINK("https://www.boe.es/gazeta/dias/1839/03/12/pdfs/GMD-1839-1578.pdf#page=3","Abrir facsímil")</f>
        <v>Abrir facsímil</v>
      </c>
      <c r="K7776" s="12" t="s">
        <v>65</v>
      </c>
    </row>
    <row r="7777" spans="1:11" ht="40.049999999999997" customHeight="1" x14ac:dyDescent="0.25">
      <c r="A7777" s="11" t="s">
        <v>15891</v>
      </c>
      <c r="B7777" s="11" t="s">
        <v>15892</v>
      </c>
      <c r="C7777" s="11" t="s">
        <v>17</v>
      </c>
      <c r="D7777" s="11" t="s">
        <v>18</v>
      </c>
      <c r="E7777" s="12" t="s">
        <v>1144</v>
      </c>
      <c r="F7777" s="12" t="s">
        <v>1145</v>
      </c>
      <c r="G7777" s="12" t="s">
        <v>40</v>
      </c>
      <c r="H7777" s="11" t="s">
        <v>63</v>
      </c>
      <c r="I7777" s="13" t="s">
        <v>15893</v>
      </c>
      <c r="J7777" s="14" t="str">
        <f>HYPERLINK("https://www.boe.es/gazeta/dias/1839/08/13/pdfs/GMD-1839-1733.pdf#page=2","Abrir facsímil")</f>
        <v>Abrir facsímil</v>
      </c>
      <c r="K7777" s="12" t="s">
        <v>65</v>
      </c>
    </row>
    <row r="7778" spans="1:11" ht="40.049999999999997" customHeight="1" x14ac:dyDescent="0.25">
      <c r="A7778" s="11" t="s">
        <v>15894</v>
      </c>
      <c r="B7778" s="11" t="s">
        <v>15894</v>
      </c>
      <c r="C7778" s="11" t="s">
        <v>101</v>
      </c>
      <c r="D7778" s="11" t="s">
        <v>43</v>
      </c>
      <c r="E7778" s="12" t="s">
        <v>1794</v>
      </c>
      <c r="F7778" s="12" t="s">
        <v>1795</v>
      </c>
      <c r="G7778" s="12" t="s">
        <v>40</v>
      </c>
      <c r="H7778" s="11" t="s">
        <v>63</v>
      </c>
      <c r="I7778" s="13" t="s">
        <v>15895</v>
      </c>
      <c r="J7778" s="14" t="str">
        <f>HYPERLINK("https://www.boe.es/gazeta/dias/1839/02/22/pdfs/GMD-1839-1560.pdf#page=2","Abrir facsímil")</f>
        <v>Abrir facsímil</v>
      </c>
      <c r="K7778" s="12" t="s">
        <v>65</v>
      </c>
    </row>
    <row r="7779" spans="1:11" ht="40.049999999999997" customHeight="1" x14ac:dyDescent="0.25">
      <c r="A7779" s="11" t="s">
        <v>15896</v>
      </c>
      <c r="B7779" s="11" t="s">
        <v>15896</v>
      </c>
      <c r="C7779" s="11" t="s">
        <v>101</v>
      </c>
      <c r="D7779" s="11" t="s">
        <v>43</v>
      </c>
      <c r="E7779" s="12" t="s">
        <v>1072</v>
      </c>
      <c r="F7779" s="12" t="s">
        <v>1073</v>
      </c>
      <c r="G7779" s="12" t="s">
        <v>21</v>
      </c>
      <c r="H7779" s="11" t="s">
        <v>63</v>
      </c>
      <c r="I7779" s="13" t="s">
        <v>15897</v>
      </c>
      <c r="J7779" s="14" t="str">
        <f>HYPERLINK("https://www.boe.es/gazeta/dias/1839/01/18/pdfs/GMD-1839-1525.pdf#page=4","Abrir facsímil")</f>
        <v>Abrir facsímil</v>
      </c>
      <c r="K7779" s="12" t="s">
        <v>65</v>
      </c>
    </row>
    <row r="7780" spans="1:11" ht="40.049999999999997" customHeight="1" x14ac:dyDescent="0.25">
      <c r="A7780" s="11" t="s">
        <v>15898</v>
      </c>
      <c r="B7780" s="11" t="s">
        <v>15898</v>
      </c>
      <c r="C7780" s="11" t="s">
        <v>101</v>
      </c>
      <c r="D7780" s="11" t="s">
        <v>102</v>
      </c>
      <c r="E7780" s="12" t="s">
        <v>132</v>
      </c>
      <c r="F7780" s="12" t="s">
        <v>133</v>
      </c>
      <c r="G7780" s="12" t="s">
        <v>46</v>
      </c>
      <c r="H7780" s="11" t="s">
        <v>63</v>
      </c>
      <c r="I7780" s="13" t="s">
        <v>15899</v>
      </c>
      <c r="J7780" s="14" t="str">
        <f>HYPERLINK("https://www.boe.es/gazeta/dias/1839/08/02/pdfs/GMD-1839-1722.pdf#page=3","Abrir facsímil")</f>
        <v>Abrir facsímil</v>
      </c>
      <c r="K7780" s="12" t="s">
        <v>65</v>
      </c>
    </row>
    <row r="7781" spans="1:11" ht="40.049999999999997" customHeight="1" x14ac:dyDescent="0.25">
      <c r="A7781" s="11" t="s">
        <v>15898</v>
      </c>
      <c r="B7781" s="11" t="s">
        <v>15898</v>
      </c>
      <c r="C7781" s="11" t="s">
        <v>17</v>
      </c>
      <c r="D7781" s="11" t="s">
        <v>18</v>
      </c>
      <c r="E7781" s="12" t="s">
        <v>2138</v>
      </c>
      <c r="F7781" s="12" t="s">
        <v>2139</v>
      </c>
      <c r="G7781" s="12" t="s">
        <v>305</v>
      </c>
      <c r="H7781" s="11" t="s">
        <v>63</v>
      </c>
      <c r="I7781" s="13" t="s">
        <v>15900</v>
      </c>
      <c r="J7781" s="14" t="str">
        <f>HYPERLINK("https://www.boe.es/gazeta/dias/1839/10/02/pdfs/GMD-1839-1788.pdf#page=6","Abrir facsímil")</f>
        <v>Abrir facsímil</v>
      </c>
      <c r="K7781" s="12" t="s">
        <v>65</v>
      </c>
    </row>
    <row r="7782" spans="1:11" ht="40.049999999999997" customHeight="1" x14ac:dyDescent="0.25">
      <c r="A7782" s="11" t="s">
        <v>15898</v>
      </c>
      <c r="B7782" s="11" t="s">
        <v>15898</v>
      </c>
      <c r="C7782" s="11" t="s">
        <v>59</v>
      </c>
      <c r="D7782" s="11" t="s">
        <v>60</v>
      </c>
      <c r="E7782" s="12" t="s">
        <v>1019</v>
      </c>
      <c r="F7782" s="12" t="s">
        <v>1020</v>
      </c>
      <c r="G7782" s="12" t="s">
        <v>40</v>
      </c>
      <c r="H7782" s="11" t="s">
        <v>63</v>
      </c>
      <c r="I7782" s="13" t="s">
        <v>15901</v>
      </c>
      <c r="J7782" s="14" t="str">
        <f>HYPERLINK("https://www.boe.es/gazeta/dias/1839/07/15/pdfs/GMD-1839-1703.pdf#page=2","Abrir facsímil")</f>
        <v>Abrir facsímil</v>
      </c>
      <c r="K7782" s="12" t="s">
        <v>65</v>
      </c>
    </row>
    <row r="7783" spans="1:11" ht="40.049999999999997" customHeight="1" x14ac:dyDescent="0.25">
      <c r="A7783" s="11" t="s">
        <v>15898</v>
      </c>
      <c r="B7783" s="11" t="s">
        <v>15898</v>
      </c>
      <c r="C7783" s="11" t="s">
        <v>137</v>
      </c>
      <c r="D7783" s="11" t="s">
        <v>18</v>
      </c>
      <c r="E7783" s="12" t="s">
        <v>713</v>
      </c>
      <c r="F7783" s="12" t="s">
        <v>714</v>
      </c>
      <c r="G7783" s="12" t="s">
        <v>21</v>
      </c>
      <c r="H7783" s="11" t="s">
        <v>63</v>
      </c>
      <c r="I7783" s="13" t="s">
        <v>15902</v>
      </c>
      <c r="J7783" s="14" t="str">
        <f>HYPERLINK("https://www.boe.es/gazeta/dias/1839/12/18/pdfs/GMD-1839-1865.pdf#page=4","Abrir facsímil")</f>
        <v>Abrir facsímil</v>
      </c>
      <c r="K7783" s="12" t="s">
        <v>65</v>
      </c>
    </row>
    <row r="7784" spans="1:11" ht="40.049999999999997" customHeight="1" x14ac:dyDescent="0.25">
      <c r="A7784" s="11" t="s">
        <v>15898</v>
      </c>
      <c r="B7784" s="11" t="s">
        <v>15898</v>
      </c>
      <c r="C7784" s="11" t="s">
        <v>17</v>
      </c>
      <c r="D7784" s="11" t="s">
        <v>18</v>
      </c>
      <c r="E7784" s="12" t="s">
        <v>486</v>
      </c>
      <c r="F7784" s="12" t="s">
        <v>487</v>
      </c>
      <c r="G7784" s="12" t="s">
        <v>40</v>
      </c>
      <c r="H7784" s="11" t="s">
        <v>63</v>
      </c>
      <c r="I7784" s="13" t="s">
        <v>15903</v>
      </c>
      <c r="J7784" s="14" t="str">
        <f>HYPERLINK("https://www.boe.es/gazeta/dias/1839/04/19/pdfs/GMD-1839-1616.pdf#page=2","Abrir facsímil")</f>
        <v>Abrir facsímil</v>
      </c>
      <c r="K7784" s="12" t="s">
        <v>65</v>
      </c>
    </row>
    <row r="7785" spans="1:11" ht="40.049999999999997" customHeight="1" x14ac:dyDescent="0.25">
      <c r="A7785" s="11" t="s">
        <v>15904</v>
      </c>
      <c r="B7785" s="11" t="s">
        <v>15904</v>
      </c>
      <c r="C7785" s="11" t="s">
        <v>137</v>
      </c>
      <c r="D7785" s="11" t="s">
        <v>18</v>
      </c>
      <c r="E7785" s="12" t="s">
        <v>19</v>
      </c>
      <c r="F7785" s="12" t="s">
        <v>20</v>
      </c>
      <c r="G7785" s="12" t="s">
        <v>21</v>
      </c>
      <c r="H7785" s="11" t="s">
        <v>22</v>
      </c>
      <c r="I7785" s="13" t="s">
        <v>15905</v>
      </c>
      <c r="J7785" s="14" t="str">
        <f>HYPERLINK("https://www.boe.es/gazeta/dias/1839/01/19/pdfs/GMD-1839-1526.pdf#page=4","Abrir facsímil")</f>
        <v>Abrir facsímil</v>
      </c>
      <c r="K7785" s="12" t="s">
        <v>24</v>
      </c>
    </row>
    <row r="7786" spans="1:11" ht="40.049999999999997" customHeight="1" x14ac:dyDescent="0.25">
      <c r="A7786" s="11" t="s">
        <v>15906</v>
      </c>
      <c r="B7786" s="11" t="s">
        <v>15907</v>
      </c>
      <c r="C7786" s="11" t="s">
        <v>80</v>
      </c>
      <c r="D7786" s="11" t="s">
        <v>18</v>
      </c>
      <c r="E7786" s="12" t="s">
        <v>716</v>
      </c>
      <c r="F7786" s="12" t="s">
        <v>717</v>
      </c>
      <c r="G7786" s="12" t="s">
        <v>46</v>
      </c>
      <c r="H7786" s="11" t="s">
        <v>63</v>
      </c>
      <c r="I7786" s="13" t="s">
        <v>15908</v>
      </c>
      <c r="J7786" s="14" t="str">
        <f>HYPERLINK("https://www.boe.es/gazeta/dias/1839/07/30/pdfs/GMD-1839-1719.pdf#page=3","Abrir facsímil")</f>
        <v>Abrir facsímil</v>
      </c>
      <c r="K7786" s="12" t="s">
        <v>65</v>
      </c>
    </row>
    <row r="7787" spans="1:11" ht="40.049999999999997" customHeight="1" x14ac:dyDescent="0.25">
      <c r="A7787" s="11" t="s">
        <v>15909</v>
      </c>
      <c r="B7787" s="11" t="s">
        <v>15909</v>
      </c>
      <c r="C7787" s="11" t="s">
        <v>17</v>
      </c>
      <c r="D7787" s="11" t="s">
        <v>18</v>
      </c>
      <c r="E7787" s="12" t="s">
        <v>269</v>
      </c>
      <c r="F7787" s="12" t="s">
        <v>270</v>
      </c>
      <c r="G7787" s="12" t="s">
        <v>40</v>
      </c>
      <c r="H7787" s="11" t="s">
        <v>63</v>
      </c>
      <c r="I7787" s="13" t="s">
        <v>15910</v>
      </c>
      <c r="J7787" s="14" t="str">
        <f>HYPERLINK("https://www.boe.es/gazeta/dias/1839/02/10/pdfs/GMD-1839-1548.pdf#page=2","Abrir facsímil")</f>
        <v>Abrir facsímil</v>
      </c>
      <c r="K7787" s="12" t="s">
        <v>65</v>
      </c>
    </row>
    <row r="7788" spans="1:11" ht="40.049999999999997" customHeight="1" x14ac:dyDescent="0.25">
      <c r="A7788" s="11" t="s">
        <v>15911</v>
      </c>
      <c r="B7788" s="11" t="s">
        <v>15912</v>
      </c>
      <c r="C7788" s="11" t="s">
        <v>17</v>
      </c>
      <c r="D7788" s="11" t="s">
        <v>18</v>
      </c>
      <c r="E7788" s="12" t="s">
        <v>1027</v>
      </c>
      <c r="F7788" s="12" t="s">
        <v>1028</v>
      </c>
      <c r="G7788" s="12" t="s">
        <v>21</v>
      </c>
      <c r="H7788" s="11" t="s">
        <v>63</v>
      </c>
      <c r="I7788" s="13" t="s">
        <v>15913</v>
      </c>
      <c r="J7788" s="14" t="str">
        <f>HYPERLINK("https://www.boe.es/gazeta/dias/1839/08/16/pdfs/GMD-1839-1736.pdf#page=4","Abrir facsímil")</f>
        <v>Abrir facsímil</v>
      </c>
      <c r="K7788" s="12" t="s">
        <v>65</v>
      </c>
    </row>
    <row r="7789" spans="1:11" ht="40.049999999999997" customHeight="1" x14ac:dyDescent="0.25">
      <c r="A7789" s="11" t="s">
        <v>15914</v>
      </c>
      <c r="B7789" s="11" t="s">
        <v>15915</v>
      </c>
      <c r="C7789" s="11" t="s">
        <v>59</v>
      </c>
      <c r="D7789" s="11" t="s">
        <v>60</v>
      </c>
      <c r="E7789" s="12" t="s">
        <v>433</v>
      </c>
      <c r="F7789" s="12" t="s">
        <v>434</v>
      </c>
      <c r="G7789" s="12" t="s">
        <v>46</v>
      </c>
      <c r="H7789" s="11" t="s">
        <v>63</v>
      </c>
      <c r="I7789" s="13" t="s">
        <v>15916</v>
      </c>
      <c r="J7789" s="14" t="str">
        <f>HYPERLINK("https://www.boe.es/gazeta/dias/1839/01/20/pdfs/GMD-1839-1527.pdf#page=3","Abrir facsímil")</f>
        <v>Abrir facsímil</v>
      </c>
      <c r="K7789" s="12" t="s">
        <v>65</v>
      </c>
    </row>
    <row r="7790" spans="1:11" ht="40.049999999999997" customHeight="1" x14ac:dyDescent="0.25">
      <c r="A7790" s="11" t="s">
        <v>15917</v>
      </c>
      <c r="B7790" s="11" t="s">
        <v>15918</v>
      </c>
      <c r="C7790" s="11" t="s">
        <v>17</v>
      </c>
      <c r="D7790" s="11" t="s">
        <v>18</v>
      </c>
      <c r="E7790" s="12" t="s">
        <v>2210</v>
      </c>
      <c r="F7790" s="12" t="s">
        <v>2211</v>
      </c>
      <c r="G7790" s="12" t="s">
        <v>29</v>
      </c>
      <c r="H7790" s="11" t="s">
        <v>63</v>
      </c>
      <c r="I7790" s="13" t="s">
        <v>15919</v>
      </c>
      <c r="J7790" s="14" t="str">
        <f>HYPERLINK("https://www.boe.es/gazeta/dias/1839/09/05/pdfs/GMD-1839-1758.pdf#page=1","Abrir facsímil")</f>
        <v>Abrir facsímil</v>
      </c>
      <c r="K7790" s="12" t="s">
        <v>65</v>
      </c>
    </row>
    <row r="7791" spans="1:11" ht="40.049999999999997" customHeight="1" x14ac:dyDescent="0.25">
      <c r="A7791" s="11" t="s">
        <v>15920</v>
      </c>
      <c r="B7791" s="11" t="s">
        <v>15921</v>
      </c>
      <c r="C7791" s="11" t="s">
        <v>17</v>
      </c>
      <c r="D7791" s="11" t="s">
        <v>18</v>
      </c>
      <c r="E7791" s="12" t="s">
        <v>1144</v>
      </c>
      <c r="F7791" s="12" t="s">
        <v>1145</v>
      </c>
      <c r="G7791" s="12" t="s">
        <v>40</v>
      </c>
      <c r="H7791" s="11" t="s">
        <v>22</v>
      </c>
      <c r="I7791" s="13" t="s">
        <v>15922</v>
      </c>
      <c r="J7791" s="14" t="str">
        <f>HYPERLINK("https://www.boe.es/gazeta/dias/1839/08/13/pdfs/GMD-1839-1733.pdf#page=2","Abrir facsímil")</f>
        <v>Abrir facsímil</v>
      </c>
      <c r="K7791" s="12" t="s">
        <v>24</v>
      </c>
    </row>
    <row r="7792" spans="1:11" ht="40.049999999999997" customHeight="1" x14ac:dyDescent="0.25">
      <c r="A7792" s="11" t="s">
        <v>15923</v>
      </c>
      <c r="B7792" s="11" t="s">
        <v>15924</v>
      </c>
      <c r="C7792" s="11" t="s">
        <v>80</v>
      </c>
      <c r="D7792" s="11" t="s">
        <v>18</v>
      </c>
      <c r="E7792" s="12" t="s">
        <v>1144</v>
      </c>
      <c r="F7792" s="12" t="s">
        <v>1145</v>
      </c>
      <c r="G7792" s="12" t="s">
        <v>40</v>
      </c>
      <c r="H7792" s="11" t="s">
        <v>63</v>
      </c>
      <c r="I7792" s="13" t="s">
        <v>15925</v>
      </c>
      <c r="J7792" s="14" t="str">
        <f>HYPERLINK("https://www.boe.es/gazeta/dias/1839/08/13/pdfs/GMD-1839-1733.pdf#page=2","Abrir facsímil")</f>
        <v>Abrir facsímil</v>
      </c>
      <c r="K7792" s="12" t="s">
        <v>65</v>
      </c>
    </row>
    <row r="7793" spans="1:11" ht="40.049999999999997" customHeight="1" x14ac:dyDescent="0.25">
      <c r="A7793" s="11" t="s">
        <v>15926</v>
      </c>
      <c r="B7793" s="11" t="s">
        <v>15926</v>
      </c>
      <c r="C7793" s="11" t="s">
        <v>137</v>
      </c>
      <c r="D7793" s="11" t="s">
        <v>18</v>
      </c>
      <c r="E7793" s="12" t="s">
        <v>284</v>
      </c>
      <c r="F7793" s="12" t="s">
        <v>285</v>
      </c>
      <c r="G7793" s="12" t="s">
        <v>40</v>
      </c>
      <c r="H7793" s="11" t="s">
        <v>22</v>
      </c>
      <c r="I7793" s="13" t="s">
        <v>15927</v>
      </c>
      <c r="J7793" s="14" t="str">
        <f>HYPERLINK("https://www.boe.es/gazeta/dias/1839/01/27/pdfs/GMD-1839-1534.pdf#page=2","Abrir facsímil")</f>
        <v>Abrir facsímil</v>
      </c>
      <c r="K7793" s="12" t="s">
        <v>24</v>
      </c>
    </row>
    <row r="7794" spans="1:11" ht="40.049999999999997" customHeight="1" x14ac:dyDescent="0.25">
      <c r="A7794" s="11" t="s">
        <v>15928</v>
      </c>
      <c r="B7794" s="11" t="s">
        <v>15928</v>
      </c>
      <c r="C7794" s="11" t="s">
        <v>17</v>
      </c>
      <c r="D7794" s="11" t="s">
        <v>18</v>
      </c>
      <c r="E7794" s="12" t="s">
        <v>1679</v>
      </c>
      <c r="F7794" s="12" t="s">
        <v>1680</v>
      </c>
      <c r="G7794" s="12" t="s">
        <v>40</v>
      </c>
      <c r="H7794" s="11" t="s">
        <v>22</v>
      </c>
      <c r="I7794" s="13" t="s">
        <v>15929</v>
      </c>
      <c r="J7794" s="14" t="str">
        <f>HYPERLINK("https://www.boe.es/gazeta/dias/1839/01/26/pdfs/GMD-1839-1533.pdf#page=2","Abrir facsímil")</f>
        <v>Abrir facsímil</v>
      </c>
      <c r="K7794" s="12" t="s">
        <v>24</v>
      </c>
    </row>
    <row r="7795" spans="1:11" ht="40.049999999999997" customHeight="1" x14ac:dyDescent="0.25">
      <c r="A7795" s="11" t="s">
        <v>15930</v>
      </c>
      <c r="B7795" s="11" t="s">
        <v>15930</v>
      </c>
      <c r="C7795" s="11" t="s">
        <v>17</v>
      </c>
      <c r="D7795" s="11" t="s">
        <v>18</v>
      </c>
      <c r="E7795" s="12" t="s">
        <v>1729</v>
      </c>
      <c r="F7795" s="12" t="s">
        <v>1730</v>
      </c>
      <c r="G7795" s="12" t="s">
        <v>46</v>
      </c>
      <c r="H7795" s="11" t="s">
        <v>63</v>
      </c>
      <c r="I7795" s="13" t="s">
        <v>15931</v>
      </c>
      <c r="J7795" s="14" t="str">
        <f>HYPERLINK("https://www.boe.es/gazeta/dias/1839/04/25/pdfs/GMD-1839-1622.pdf#page=3","Abrir facsímil")</f>
        <v>Abrir facsímil</v>
      </c>
      <c r="K7795" s="12" t="s">
        <v>65</v>
      </c>
    </row>
    <row r="7796" spans="1:11" ht="40.049999999999997" customHeight="1" x14ac:dyDescent="0.25">
      <c r="A7796" s="11" t="s">
        <v>15930</v>
      </c>
      <c r="B7796" s="11" t="s">
        <v>15930</v>
      </c>
      <c r="C7796" s="11" t="s">
        <v>17</v>
      </c>
      <c r="D7796" s="11" t="s">
        <v>18</v>
      </c>
      <c r="E7796" s="12" t="s">
        <v>1159</v>
      </c>
      <c r="F7796" s="12" t="s">
        <v>1160</v>
      </c>
      <c r="G7796" s="12" t="s">
        <v>29</v>
      </c>
      <c r="H7796" s="11" t="s">
        <v>63</v>
      </c>
      <c r="I7796" s="13" t="s">
        <v>15932</v>
      </c>
      <c r="J7796" s="14" t="str">
        <f>HYPERLINK("https://www.boe.es/gazeta/dias/1839/11/26/pdfs/GMD-1839-1843.pdf#page=1","Abrir facsímil")</f>
        <v>Abrir facsímil</v>
      </c>
      <c r="K7796" s="12" t="s">
        <v>65</v>
      </c>
    </row>
    <row r="7797" spans="1:11" ht="40.049999999999997" customHeight="1" x14ac:dyDescent="0.25">
      <c r="A7797" s="11" t="s">
        <v>15930</v>
      </c>
      <c r="B7797" s="11" t="s">
        <v>15930</v>
      </c>
      <c r="C7797" s="11" t="s">
        <v>101</v>
      </c>
      <c r="D7797" s="11" t="s">
        <v>102</v>
      </c>
      <c r="E7797" s="12" t="s">
        <v>951</v>
      </c>
      <c r="F7797" s="12" t="s">
        <v>952</v>
      </c>
      <c r="G7797" s="12" t="s">
        <v>40</v>
      </c>
      <c r="H7797" s="11" t="s">
        <v>63</v>
      </c>
      <c r="I7797" s="13" t="s">
        <v>15933</v>
      </c>
      <c r="J7797" s="14" t="str">
        <f>HYPERLINK("https://www.boe.es/gazeta/dias/1839/12/30/pdfs/GMD-1839-1877.pdf#page=2","Abrir facsímil")</f>
        <v>Abrir facsímil</v>
      </c>
      <c r="K7797" s="12" t="s">
        <v>65</v>
      </c>
    </row>
    <row r="7798" spans="1:11" ht="40.049999999999997" customHeight="1" x14ac:dyDescent="0.25">
      <c r="A7798" s="11" t="s">
        <v>15934</v>
      </c>
      <c r="B7798" s="11" t="s">
        <v>15934</v>
      </c>
      <c r="C7798" s="11" t="s">
        <v>17</v>
      </c>
      <c r="D7798" s="11" t="s">
        <v>18</v>
      </c>
      <c r="E7798" s="12" t="s">
        <v>157</v>
      </c>
      <c r="F7798" s="12" t="s">
        <v>158</v>
      </c>
      <c r="G7798" s="12" t="s">
        <v>29</v>
      </c>
      <c r="H7798" s="11" t="s">
        <v>63</v>
      </c>
      <c r="I7798" s="13" t="s">
        <v>15935</v>
      </c>
      <c r="J7798" s="14" t="str">
        <f>HYPERLINK("https://www.boe.es/gazeta/dias/1839/02/08/pdfs/GMD-1839-1546.pdf#page=1","Abrir facsímil")</f>
        <v>Abrir facsímil</v>
      </c>
      <c r="K7798" s="12" t="s">
        <v>65</v>
      </c>
    </row>
    <row r="7799" spans="1:11" ht="40.049999999999997" customHeight="1" x14ac:dyDescent="0.25">
      <c r="A7799" s="11" t="s">
        <v>15936</v>
      </c>
      <c r="B7799" s="11" t="s">
        <v>15936</v>
      </c>
      <c r="C7799" s="11" t="s">
        <v>80</v>
      </c>
      <c r="D7799" s="11" t="s">
        <v>18</v>
      </c>
      <c r="E7799" s="12" t="s">
        <v>163</v>
      </c>
      <c r="F7799" s="12" t="s">
        <v>164</v>
      </c>
      <c r="G7799" s="12" t="s">
        <v>40</v>
      </c>
      <c r="H7799" s="11" t="s">
        <v>22</v>
      </c>
      <c r="I7799" s="13" t="s">
        <v>15937</v>
      </c>
      <c r="J7799" s="14" t="str">
        <f>HYPERLINK("https://www.boe.es/gazeta/dias/1839/01/13/pdfs/GMD-1839-1520.pdf#page=2","Abrir facsímil")</f>
        <v>Abrir facsímil</v>
      </c>
      <c r="K7799" s="12" t="s">
        <v>24</v>
      </c>
    </row>
    <row r="7800" spans="1:11" ht="40.049999999999997" customHeight="1" x14ac:dyDescent="0.25">
      <c r="A7800" s="11" t="s">
        <v>15938</v>
      </c>
      <c r="B7800" s="11" t="s">
        <v>15939</v>
      </c>
      <c r="C7800" s="11" t="s">
        <v>17</v>
      </c>
      <c r="D7800" s="11" t="s">
        <v>18</v>
      </c>
      <c r="E7800" s="12" t="s">
        <v>258</v>
      </c>
      <c r="F7800" s="12" t="s">
        <v>259</v>
      </c>
      <c r="G7800" s="12" t="s">
        <v>46</v>
      </c>
      <c r="H7800" s="11" t="s">
        <v>22</v>
      </c>
      <c r="I7800" s="13" t="s">
        <v>15940</v>
      </c>
      <c r="J7800" s="14" t="str">
        <f>HYPERLINK("https://www.boe.es/gazeta/dias/1839/01/02/pdfs/GMD-1839-1509.pdf#page=3","Abrir facsímil")</f>
        <v>Abrir facsímil</v>
      </c>
      <c r="K7800" s="12" t="s">
        <v>24</v>
      </c>
    </row>
    <row r="7801" spans="1:11" ht="40.049999999999997" customHeight="1" x14ac:dyDescent="0.25">
      <c r="A7801" s="11" t="s">
        <v>15941</v>
      </c>
      <c r="B7801" s="11" t="s">
        <v>15941</v>
      </c>
      <c r="C7801" s="11" t="s">
        <v>17</v>
      </c>
      <c r="D7801" s="11" t="s">
        <v>18</v>
      </c>
      <c r="E7801" s="12" t="s">
        <v>258</v>
      </c>
      <c r="F7801" s="12" t="s">
        <v>259</v>
      </c>
      <c r="G7801" s="12" t="s">
        <v>21</v>
      </c>
      <c r="H7801" s="11" t="s">
        <v>63</v>
      </c>
      <c r="I7801" s="13" t="s">
        <v>15942</v>
      </c>
      <c r="J7801" s="14" t="str">
        <f>HYPERLINK("https://www.boe.es/gazeta/dias/1839/01/02/pdfs/GMD-1839-1509.pdf#page=4","Abrir facsímil")</f>
        <v>Abrir facsímil</v>
      </c>
      <c r="K7801" s="12" t="s">
        <v>65</v>
      </c>
    </row>
    <row r="7802" spans="1:11" ht="40.049999999999997" customHeight="1" x14ac:dyDescent="0.25">
      <c r="A7802" s="11" t="s">
        <v>15941</v>
      </c>
      <c r="B7802" s="11" t="s">
        <v>15941</v>
      </c>
      <c r="C7802" s="11" t="s">
        <v>17</v>
      </c>
      <c r="D7802" s="11" t="s">
        <v>43</v>
      </c>
      <c r="E7802" s="12" t="s">
        <v>503</v>
      </c>
      <c r="F7802" s="12" t="s">
        <v>504</v>
      </c>
      <c r="G7802" s="12" t="s">
        <v>21</v>
      </c>
      <c r="H7802" s="11" t="s">
        <v>63</v>
      </c>
      <c r="I7802" s="13" t="s">
        <v>15943</v>
      </c>
      <c r="J7802" s="14" t="str">
        <f>HYPERLINK("https://www.boe.es/gazeta/dias/1839/06/07/pdfs/GMD-1839-1665.pdf#page=4","Abrir facsímil")</f>
        <v>Abrir facsímil</v>
      </c>
      <c r="K7802" s="12" t="s">
        <v>65</v>
      </c>
    </row>
    <row r="7803" spans="1:11" ht="40.049999999999997" customHeight="1" x14ac:dyDescent="0.25">
      <c r="A7803" s="11" t="s">
        <v>15941</v>
      </c>
      <c r="B7803" s="11" t="s">
        <v>15941</v>
      </c>
      <c r="C7803" s="11" t="s">
        <v>17</v>
      </c>
      <c r="D7803" s="11" t="s">
        <v>18</v>
      </c>
      <c r="E7803" s="12" t="s">
        <v>420</v>
      </c>
      <c r="F7803" s="12" t="s">
        <v>421</v>
      </c>
      <c r="G7803" s="12" t="s">
        <v>46</v>
      </c>
      <c r="H7803" s="11" t="s">
        <v>63</v>
      </c>
      <c r="I7803" s="13" t="s">
        <v>15944</v>
      </c>
      <c r="J7803" s="14" t="str">
        <f>HYPERLINK("https://www.boe.es/gazeta/dias/1839/03/12/pdfs/GMD-1839-1578.pdf#page=3","Abrir facsímil")</f>
        <v>Abrir facsímil</v>
      </c>
      <c r="K7803" s="12" t="s">
        <v>65</v>
      </c>
    </row>
    <row r="7804" spans="1:11" ht="40.049999999999997" customHeight="1" x14ac:dyDescent="0.25">
      <c r="A7804" s="11" t="s">
        <v>15941</v>
      </c>
      <c r="B7804" s="11" t="s">
        <v>15941</v>
      </c>
      <c r="C7804" s="11" t="s">
        <v>17</v>
      </c>
      <c r="D7804" s="11" t="s">
        <v>18</v>
      </c>
      <c r="E7804" s="12" t="s">
        <v>420</v>
      </c>
      <c r="F7804" s="12" t="s">
        <v>421</v>
      </c>
      <c r="G7804" s="12" t="s">
        <v>21</v>
      </c>
      <c r="H7804" s="11" t="s">
        <v>63</v>
      </c>
      <c r="I7804" s="13" t="s">
        <v>15945</v>
      </c>
      <c r="J7804" s="14" t="str">
        <f>HYPERLINK("https://www.boe.es/gazeta/dias/1839/03/12/pdfs/GMD-1839-1578.pdf#page=4","Abrir facsímil")</f>
        <v>Abrir facsímil</v>
      </c>
      <c r="K7804" s="12" t="s">
        <v>65</v>
      </c>
    </row>
    <row r="7805" spans="1:11" ht="40.049999999999997" customHeight="1" x14ac:dyDescent="0.25">
      <c r="A7805" s="11" t="s">
        <v>15941</v>
      </c>
      <c r="B7805" s="11" t="s">
        <v>15941</v>
      </c>
      <c r="C7805" s="11" t="s">
        <v>80</v>
      </c>
      <c r="D7805" s="11" t="s">
        <v>18</v>
      </c>
      <c r="E7805" s="12" t="s">
        <v>163</v>
      </c>
      <c r="F7805" s="12" t="s">
        <v>164</v>
      </c>
      <c r="G7805" s="12" t="s">
        <v>40</v>
      </c>
      <c r="H7805" s="11" t="s">
        <v>63</v>
      </c>
      <c r="I7805" s="13" t="s">
        <v>15946</v>
      </c>
      <c r="J7805" s="14" t="str">
        <f>HYPERLINK("https://www.boe.es/gazeta/dias/1839/01/13/pdfs/GMD-1839-1520.pdf#page=2","Abrir facsímil")</f>
        <v>Abrir facsímil</v>
      </c>
      <c r="K7805" s="12" t="s">
        <v>65</v>
      </c>
    </row>
    <row r="7806" spans="1:11" ht="40.049999999999997" customHeight="1" x14ac:dyDescent="0.25">
      <c r="A7806" s="11" t="s">
        <v>15947</v>
      </c>
      <c r="B7806" s="11" t="s">
        <v>15948</v>
      </c>
      <c r="C7806" s="11" t="s">
        <v>101</v>
      </c>
      <c r="D7806" s="11" t="s">
        <v>102</v>
      </c>
      <c r="E7806" s="12" t="s">
        <v>503</v>
      </c>
      <c r="F7806" s="12" t="s">
        <v>504</v>
      </c>
      <c r="G7806" s="12" t="s">
        <v>46</v>
      </c>
      <c r="H7806" s="11" t="s">
        <v>63</v>
      </c>
      <c r="I7806" s="13" t="s">
        <v>15949</v>
      </c>
      <c r="J7806" s="14" t="str">
        <f>HYPERLINK("https://www.boe.es/gazeta/dias/1839/06/07/pdfs/GMD-1839-1665.pdf#page=3","Abrir facsímil")</f>
        <v>Abrir facsímil</v>
      </c>
      <c r="K7806" s="12" t="s">
        <v>65</v>
      </c>
    </row>
    <row r="7807" spans="1:11" ht="40.049999999999997" customHeight="1" x14ac:dyDescent="0.25">
      <c r="A7807" s="11" t="s">
        <v>15947</v>
      </c>
      <c r="B7807" s="11" t="s">
        <v>15948</v>
      </c>
      <c r="C7807" s="11" t="s">
        <v>17</v>
      </c>
      <c r="D7807" s="11" t="s">
        <v>18</v>
      </c>
      <c r="E7807" s="12" t="s">
        <v>420</v>
      </c>
      <c r="F7807" s="12" t="s">
        <v>421</v>
      </c>
      <c r="G7807" s="12" t="s">
        <v>46</v>
      </c>
      <c r="H7807" s="11" t="s">
        <v>63</v>
      </c>
      <c r="I7807" s="13" t="s">
        <v>15950</v>
      </c>
      <c r="J7807" s="14" t="str">
        <f>HYPERLINK("https://www.boe.es/gazeta/dias/1839/03/12/pdfs/GMD-1839-1578.pdf#page=3","Abrir facsímil")</f>
        <v>Abrir facsímil</v>
      </c>
      <c r="K7807" s="12" t="s">
        <v>65</v>
      </c>
    </row>
    <row r="7808" spans="1:11" ht="40.049999999999997" customHeight="1" x14ac:dyDescent="0.25">
      <c r="A7808" s="11" t="s">
        <v>15951</v>
      </c>
      <c r="B7808" s="11" t="s">
        <v>15952</v>
      </c>
      <c r="C7808" s="11" t="s">
        <v>17</v>
      </c>
      <c r="D7808" s="11" t="s">
        <v>18</v>
      </c>
      <c r="E7808" s="12" t="s">
        <v>303</v>
      </c>
      <c r="F7808" s="12" t="s">
        <v>304</v>
      </c>
      <c r="G7808" s="12" t="s">
        <v>305</v>
      </c>
      <c r="H7808" s="11" t="s">
        <v>63</v>
      </c>
      <c r="I7808" s="13" t="s">
        <v>15953</v>
      </c>
      <c r="J7808" s="14" t="str">
        <f>HYPERLINK("https://www.boe.es/gazeta/dias/1839/10/06/pdfs/GMD-1839-1792.pdf#page=6","Abrir facsímil")</f>
        <v>Abrir facsímil</v>
      </c>
      <c r="K7808" s="12" t="s">
        <v>65</v>
      </c>
    </row>
    <row r="7809" spans="1:11" ht="40.049999999999997" customHeight="1" x14ac:dyDescent="0.25">
      <c r="A7809" s="11" t="s">
        <v>15954</v>
      </c>
      <c r="B7809" s="11" t="s">
        <v>15954</v>
      </c>
      <c r="C7809" s="11" t="s">
        <v>59</v>
      </c>
      <c r="D7809" s="11" t="s">
        <v>60</v>
      </c>
      <c r="E7809" s="12" t="s">
        <v>2443</v>
      </c>
      <c r="F7809" s="12" t="s">
        <v>2444</v>
      </c>
      <c r="G7809" s="12" t="s">
        <v>40</v>
      </c>
      <c r="H7809" s="11" t="s">
        <v>63</v>
      </c>
      <c r="I7809" s="13" t="s">
        <v>15955</v>
      </c>
      <c r="J7809" s="14" t="str">
        <f>HYPERLINK("https://www.boe.es/gazeta/dias/1839/11/02/pdfs/GMD-1839-1819.pdf#page=2","Abrir facsímil")</f>
        <v>Abrir facsímil</v>
      </c>
      <c r="K7809" s="12" t="s">
        <v>65</v>
      </c>
    </row>
    <row r="7810" spans="1:11" ht="40.049999999999997" customHeight="1" x14ac:dyDescent="0.25">
      <c r="A7810" s="11" t="s">
        <v>15954</v>
      </c>
      <c r="B7810" s="11" t="s">
        <v>15954</v>
      </c>
      <c r="C7810" s="11" t="s">
        <v>59</v>
      </c>
      <c r="D7810" s="11" t="s">
        <v>60</v>
      </c>
      <c r="E7810" s="12" t="s">
        <v>4451</v>
      </c>
      <c r="F7810" s="12" t="s">
        <v>4452</v>
      </c>
      <c r="G7810" s="12" t="s">
        <v>46</v>
      </c>
      <c r="H7810" s="11" t="s">
        <v>63</v>
      </c>
      <c r="I7810" s="13" t="s">
        <v>15956</v>
      </c>
      <c r="J7810" s="14" t="str">
        <f>HYPERLINK("https://www.boe.es/gazeta/dias/1839/12/02/pdfs/GMD-1839-1849.pdf#page=3","Abrir facsímil")</f>
        <v>Abrir facsímil</v>
      </c>
      <c r="K7810" s="12" t="s">
        <v>65</v>
      </c>
    </row>
    <row r="7811" spans="1:11" ht="40.049999999999997" customHeight="1" x14ac:dyDescent="0.25">
      <c r="A7811" s="11" t="s">
        <v>15954</v>
      </c>
      <c r="B7811" s="11" t="s">
        <v>15954</v>
      </c>
      <c r="C7811" s="11" t="s">
        <v>17</v>
      </c>
      <c r="D7811" s="11" t="s">
        <v>18</v>
      </c>
      <c r="E7811" s="12" t="s">
        <v>779</v>
      </c>
      <c r="F7811" s="12" t="s">
        <v>780</v>
      </c>
      <c r="G7811" s="12" t="s">
        <v>29</v>
      </c>
      <c r="H7811" s="11" t="s">
        <v>63</v>
      </c>
      <c r="I7811" s="13" t="s">
        <v>15957</v>
      </c>
      <c r="J7811" s="14" t="str">
        <f>HYPERLINK("https://www.boe.es/gazeta/dias/1839/02/03/pdfs/GMD-1839-1541.pdf#page=1","Abrir facsímil")</f>
        <v>Abrir facsímil</v>
      </c>
      <c r="K7811" s="12" t="s">
        <v>65</v>
      </c>
    </row>
    <row r="7812" spans="1:11" ht="40.049999999999997" customHeight="1" x14ac:dyDescent="0.25">
      <c r="A7812" s="11" t="s">
        <v>15954</v>
      </c>
      <c r="B7812" s="11" t="s">
        <v>15954</v>
      </c>
      <c r="C7812" s="11" t="s">
        <v>101</v>
      </c>
      <c r="D7812" s="11" t="s">
        <v>102</v>
      </c>
      <c r="E7812" s="12" t="s">
        <v>1332</v>
      </c>
      <c r="F7812" s="12" t="s">
        <v>1333</v>
      </c>
      <c r="G7812" s="12" t="s">
        <v>29</v>
      </c>
      <c r="H7812" s="11" t="s">
        <v>63</v>
      </c>
      <c r="I7812" s="13" t="s">
        <v>15958</v>
      </c>
      <c r="J7812" s="14" t="str">
        <f>HYPERLINK("https://www.boe.es/gazeta/dias/1839/05/04/pdfs/GMD-1839-1631.pdf#page=1","Abrir facsímil")</f>
        <v>Abrir facsímil</v>
      </c>
      <c r="K7812" s="12" t="s">
        <v>65</v>
      </c>
    </row>
    <row r="7813" spans="1:11" ht="40.049999999999997" customHeight="1" x14ac:dyDescent="0.25">
      <c r="A7813" s="11" t="s">
        <v>15954</v>
      </c>
      <c r="B7813" s="11" t="s">
        <v>15954</v>
      </c>
      <c r="C7813" s="11" t="s">
        <v>80</v>
      </c>
      <c r="D7813" s="11" t="s">
        <v>18</v>
      </c>
      <c r="E7813" s="12" t="s">
        <v>4957</v>
      </c>
      <c r="F7813" s="12" t="s">
        <v>4958</v>
      </c>
      <c r="G7813" s="12" t="s">
        <v>40</v>
      </c>
      <c r="H7813" s="11" t="s">
        <v>63</v>
      </c>
      <c r="I7813" s="13" t="s">
        <v>15959</v>
      </c>
      <c r="J7813" s="14" t="str">
        <f>HYPERLINK("https://www.boe.es/gazeta/dias/1839/11/04/pdfs/GMD-1839-1821.pdf#page=2","Abrir facsímil")</f>
        <v>Abrir facsímil</v>
      </c>
      <c r="K7813" s="12" t="s">
        <v>65</v>
      </c>
    </row>
    <row r="7814" spans="1:11" ht="40.049999999999997" customHeight="1" x14ac:dyDescent="0.25">
      <c r="A7814" s="11" t="s">
        <v>15954</v>
      </c>
      <c r="B7814" s="11" t="s">
        <v>15954</v>
      </c>
      <c r="C7814" s="11" t="s">
        <v>17</v>
      </c>
      <c r="D7814" s="11" t="s">
        <v>18</v>
      </c>
      <c r="E7814" s="12" t="s">
        <v>409</v>
      </c>
      <c r="F7814" s="12" t="s">
        <v>410</v>
      </c>
      <c r="G7814" s="12" t="s">
        <v>21</v>
      </c>
      <c r="H7814" s="11" t="s">
        <v>63</v>
      </c>
      <c r="I7814" s="13" t="s">
        <v>15960</v>
      </c>
      <c r="J7814" s="14" t="str">
        <f>HYPERLINK("https://www.boe.es/gazeta/dias/1839/07/05/pdfs/GMD-1839-1693.pdf#page=4","Abrir facsímil")</f>
        <v>Abrir facsímil</v>
      </c>
      <c r="K7814" s="12" t="s">
        <v>65</v>
      </c>
    </row>
    <row r="7815" spans="1:11" ht="40.049999999999997" customHeight="1" x14ac:dyDescent="0.25">
      <c r="A7815" s="11" t="s">
        <v>15954</v>
      </c>
      <c r="B7815" s="11" t="s">
        <v>15954</v>
      </c>
      <c r="C7815" s="11" t="s">
        <v>17</v>
      </c>
      <c r="D7815" s="11" t="s">
        <v>18</v>
      </c>
      <c r="E7815" s="12" t="s">
        <v>327</v>
      </c>
      <c r="F7815" s="12" t="s">
        <v>328</v>
      </c>
      <c r="G7815" s="12" t="s">
        <v>29</v>
      </c>
      <c r="H7815" s="11" t="s">
        <v>63</v>
      </c>
      <c r="I7815" s="13" t="s">
        <v>15961</v>
      </c>
      <c r="J7815" s="14" t="str">
        <f>HYPERLINK("https://www.boe.es/gazeta/dias/1839/08/05/pdfs/GMD-1839-1725.pdf#page=1","Abrir facsímil")</f>
        <v>Abrir facsímil</v>
      </c>
      <c r="K7815" s="12" t="s">
        <v>65</v>
      </c>
    </row>
    <row r="7816" spans="1:11" ht="40.049999999999997" customHeight="1" x14ac:dyDescent="0.25">
      <c r="A7816" s="11" t="s">
        <v>15954</v>
      </c>
      <c r="B7816" s="11" t="s">
        <v>15954</v>
      </c>
      <c r="C7816" s="11" t="s">
        <v>59</v>
      </c>
      <c r="D7816" s="11" t="s">
        <v>60</v>
      </c>
      <c r="E7816" s="12" t="s">
        <v>770</v>
      </c>
      <c r="F7816" s="12" t="s">
        <v>771</v>
      </c>
      <c r="G7816" s="12" t="s">
        <v>29</v>
      </c>
      <c r="H7816" s="11" t="s">
        <v>63</v>
      </c>
      <c r="I7816" s="13" t="s">
        <v>15962</v>
      </c>
      <c r="J7816" s="14" t="str">
        <f>HYPERLINK("https://www.boe.es/gazeta/dias/1839/12/05/pdfs/GMD-1839-1852.pdf#page=1","Abrir facsímil")</f>
        <v>Abrir facsímil</v>
      </c>
      <c r="K7816" s="12" t="s">
        <v>65</v>
      </c>
    </row>
    <row r="7817" spans="1:11" ht="40.049999999999997" customHeight="1" x14ac:dyDescent="0.25">
      <c r="A7817" s="11" t="s">
        <v>15954</v>
      </c>
      <c r="B7817" s="11" t="s">
        <v>15954</v>
      </c>
      <c r="C7817" s="11" t="s">
        <v>17</v>
      </c>
      <c r="D7817" s="11" t="s">
        <v>18</v>
      </c>
      <c r="E7817" s="12" t="s">
        <v>138</v>
      </c>
      <c r="F7817" s="12" t="s">
        <v>139</v>
      </c>
      <c r="G7817" s="12" t="s">
        <v>29</v>
      </c>
      <c r="H7817" s="11" t="s">
        <v>63</v>
      </c>
      <c r="I7817" s="13" t="s">
        <v>15963</v>
      </c>
      <c r="J7817" s="14" t="str">
        <f>HYPERLINK("https://www.boe.es/gazeta/dias/1839/10/09/pdfs/GMD-1839-1795.pdf#page=1","Abrir facsímil")</f>
        <v>Abrir facsímil</v>
      </c>
      <c r="K7817" s="12" t="s">
        <v>65</v>
      </c>
    </row>
    <row r="7818" spans="1:11" ht="40.049999999999997" customHeight="1" x14ac:dyDescent="0.25">
      <c r="A7818" s="11" t="s">
        <v>15954</v>
      </c>
      <c r="B7818" s="11" t="s">
        <v>15954</v>
      </c>
      <c r="C7818" s="11" t="s">
        <v>17</v>
      </c>
      <c r="D7818" s="11" t="s">
        <v>18</v>
      </c>
      <c r="E7818" s="12" t="s">
        <v>582</v>
      </c>
      <c r="F7818" s="12" t="s">
        <v>583</v>
      </c>
      <c r="G7818" s="12" t="s">
        <v>29</v>
      </c>
      <c r="H7818" s="11" t="s">
        <v>63</v>
      </c>
      <c r="I7818" s="13" t="s">
        <v>15964</v>
      </c>
      <c r="J7818" s="14" t="str">
        <f>HYPERLINK("https://www.boe.es/gazeta/dias/1839/11/09/pdfs/GMD-1839-1826.pdf#page=1","Abrir facsímil")</f>
        <v>Abrir facsímil</v>
      </c>
      <c r="K7818" s="12" t="s">
        <v>65</v>
      </c>
    </row>
    <row r="7819" spans="1:11" ht="40.049999999999997" customHeight="1" x14ac:dyDescent="0.25">
      <c r="A7819" s="11" t="s">
        <v>15954</v>
      </c>
      <c r="B7819" s="11" t="s">
        <v>15954</v>
      </c>
      <c r="C7819" s="11" t="s">
        <v>80</v>
      </c>
      <c r="D7819" s="11" t="s">
        <v>18</v>
      </c>
      <c r="E7819" s="12" t="s">
        <v>744</v>
      </c>
      <c r="F7819" s="12" t="s">
        <v>745</v>
      </c>
      <c r="G7819" s="12" t="s">
        <v>29</v>
      </c>
      <c r="H7819" s="11" t="s">
        <v>63</v>
      </c>
      <c r="I7819" s="13" t="s">
        <v>15965</v>
      </c>
      <c r="J7819" s="14" t="str">
        <f>HYPERLINK("https://www.boe.es/gazeta/dias/1839/12/09/pdfs/GMD-1839-1856.pdf#page=1","Abrir facsímil")</f>
        <v>Abrir facsímil</v>
      </c>
      <c r="K7819" s="12" t="s">
        <v>65</v>
      </c>
    </row>
    <row r="7820" spans="1:11" ht="40.049999999999997" customHeight="1" x14ac:dyDescent="0.25">
      <c r="A7820" s="11" t="s">
        <v>15954</v>
      </c>
      <c r="B7820" s="11" t="s">
        <v>15954</v>
      </c>
      <c r="C7820" s="11" t="s">
        <v>59</v>
      </c>
      <c r="D7820" s="11" t="s">
        <v>60</v>
      </c>
      <c r="E7820" s="12" t="s">
        <v>269</v>
      </c>
      <c r="F7820" s="12" t="s">
        <v>270</v>
      </c>
      <c r="G7820" s="12" t="s">
        <v>29</v>
      </c>
      <c r="H7820" s="11" t="s">
        <v>63</v>
      </c>
      <c r="I7820" s="13" t="s">
        <v>15966</v>
      </c>
      <c r="J7820" s="14" t="str">
        <f>HYPERLINK("https://www.boe.es/gazeta/dias/1839/02/10/pdfs/GMD-1839-1548.pdf#page=1","Abrir facsímil")</f>
        <v>Abrir facsímil</v>
      </c>
      <c r="K7820" s="12" t="s">
        <v>65</v>
      </c>
    </row>
    <row r="7821" spans="1:11" ht="40.049999999999997" customHeight="1" x14ac:dyDescent="0.25">
      <c r="A7821" s="11" t="s">
        <v>15954</v>
      </c>
      <c r="B7821" s="11" t="s">
        <v>15954</v>
      </c>
      <c r="C7821" s="11" t="s">
        <v>17</v>
      </c>
      <c r="D7821" s="11" t="s">
        <v>18</v>
      </c>
      <c r="E7821" s="12" t="s">
        <v>333</v>
      </c>
      <c r="F7821" s="12" t="s">
        <v>334</v>
      </c>
      <c r="G7821" s="12" t="s">
        <v>29</v>
      </c>
      <c r="H7821" s="11" t="s">
        <v>63</v>
      </c>
      <c r="I7821" s="13" t="s">
        <v>15967</v>
      </c>
      <c r="J7821" s="14" t="str">
        <f>HYPERLINK("https://www.boe.es/gazeta/dias/1839/06/11/pdfs/GMD-1839-1669.pdf#page=1","Abrir facsímil")</f>
        <v>Abrir facsímil</v>
      </c>
      <c r="K7821" s="12" t="s">
        <v>65</v>
      </c>
    </row>
    <row r="7822" spans="1:11" ht="40.049999999999997" customHeight="1" x14ac:dyDescent="0.25">
      <c r="A7822" s="11" t="s">
        <v>15954</v>
      </c>
      <c r="B7822" s="11" t="s">
        <v>15954</v>
      </c>
      <c r="C7822" s="11" t="s">
        <v>59</v>
      </c>
      <c r="D7822" s="11" t="s">
        <v>60</v>
      </c>
      <c r="E7822" s="12" t="s">
        <v>2449</v>
      </c>
      <c r="F7822" s="12" t="s">
        <v>2450</v>
      </c>
      <c r="G7822" s="12" t="s">
        <v>29</v>
      </c>
      <c r="H7822" s="11" t="s">
        <v>63</v>
      </c>
      <c r="I7822" s="13" t="s">
        <v>15968</v>
      </c>
      <c r="J7822" s="14" t="str">
        <f>HYPERLINK("https://www.boe.es/gazeta/dias/1839/12/11/pdfs/GMD-1839-1858.pdf#page=1","Abrir facsímil")</f>
        <v>Abrir facsímil</v>
      </c>
      <c r="K7822" s="12" t="s">
        <v>65</v>
      </c>
    </row>
    <row r="7823" spans="1:11" ht="40.049999999999997" customHeight="1" x14ac:dyDescent="0.25">
      <c r="A7823" s="11" t="s">
        <v>15954</v>
      </c>
      <c r="B7823" s="11" t="s">
        <v>15954</v>
      </c>
      <c r="C7823" s="11" t="s">
        <v>59</v>
      </c>
      <c r="D7823" s="11" t="s">
        <v>60</v>
      </c>
      <c r="E7823" s="12" t="s">
        <v>785</v>
      </c>
      <c r="F7823" s="12" t="s">
        <v>786</v>
      </c>
      <c r="G7823" s="12" t="s">
        <v>29</v>
      </c>
      <c r="H7823" s="11" t="s">
        <v>63</v>
      </c>
      <c r="I7823" s="13" t="s">
        <v>15969</v>
      </c>
      <c r="J7823" s="14" t="str">
        <f>HYPERLINK("https://www.boe.es/gazeta/dias/1839/07/13/pdfs/GMD-1839-1701.pdf#page=1","Abrir facsímil")</f>
        <v>Abrir facsímil</v>
      </c>
      <c r="K7823" s="12" t="s">
        <v>65</v>
      </c>
    </row>
    <row r="7824" spans="1:11" ht="40.049999999999997" customHeight="1" x14ac:dyDescent="0.25">
      <c r="A7824" s="11" t="s">
        <v>15954</v>
      </c>
      <c r="B7824" s="11" t="s">
        <v>15954</v>
      </c>
      <c r="C7824" s="11" t="s">
        <v>59</v>
      </c>
      <c r="D7824" s="11" t="s">
        <v>60</v>
      </c>
      <c r="E7824" s="12" t="s">
        <v>299</v>
      </c>
      <c r="F7824" s="12" t="s">
        <v>300</v>
      </c>
      <c r="G7824" s="12" t="s">
        <v>29</v>
      </c>
      <c r="H7824" s="11" t="s">
        <v>63</v>
      </c>
      <c r="I7824" s="13" t="s">
        <v>15970</v>
      </c>
      <c r="J7824" s="14" t="str">
        <f>HYPERLINK("https://www.boe.es/gazeta/dias/1839/02/14/pdfs/GMD-1839-1552.pdf#page=1","Abrir facsímil")</f>
        <v>Abrir facsímil</v>
      </c>
      <c r="K7824" s="12" t="s">
        <v>65</v>
      </c>
    </row>
    <row r="7825" spans="1:11" ht="40.049999999999997" customHeight="1" x14ac:dyDescent="0.25">
      <c r="A7825" s="11" t="s">
        <v>15954</v>
      </c>
      <c r="B7825" s="11" t="s">
        <v>15954</v>
      </c>
      <c r="C7825" s="11" t="s">
        <v>17</v>
      </c>
      <c r="D7825" s="11" t="s">
        <v>18</v>
      </c>
      <c r="E7825" s="12" t="s">
        <v>185</v>
      </c>
      <c r="F7825" s="12" t="s">
        <v>186</v>
      </c>
      <c r="G7825" s="12" t="s">
        <v>21</v>
      </c>
      <c r="H7825" s="11" t="s">
        <v>63</v>
      </c>
      <c r="I7825" s="13" t="s">
        <v>15971</v>
      </c>
      <c r="J7825" s="14" t="str">
        <f>HYPERLINK("https://www.boe.es/gazeta/dias/1839/01/15/pdfs/GMD-1839-1522.pdf#page=4","Abrir facsímil")</f>
        <v>Abrir facsímil</v>
      </c>
      <c r="K7825" s="12" t="s">
        <v>65</v>
      </c>
    </row>
    <row r="7826" spans="1:11" ht="40.049999999999997" customHeight="1" x14ac:dyDescent="0.25">
      <c r="A7826" s="11" t="s">
        <v>15954</v>
      </c>
      <c r="B7826" s="11" t="s">
        <v>15954</v>
      </c>
      <c r="C7826" s="11" t="s">
        <v>17</v>
      </c>
      <c r="D7826" s="11" t="s">
        <v>18</v>
      </c>
      <c r="E7826" s="12" t="s">
        <v>438</v>
      </c>
      <c r="F7826" s="12" t="s">
        <v>439</v>
      </c>
      <c r="G7826" s="12" t="s">
        <v>29</v>
      </c>
      <c r="H7826" s="11" t="s">
        <v>63</v>
      </c>
      <c r="I7826" s="13" t="s">
        <v>15972</v>
      </c>
      <c r="J7826" s="14" t="str">
        <f>HYPERLINK("https://www.boe.es/gazeta/dias/1839/07/17/pdfs/GMD-1839-1705.pdf#page=1","Abrir facsímil")</f>
        <v>Abrir facsímil</v>
      </c>
      <c r="K7826" s="12" t="s">
        <v>65</v>
      </c>
    </row>
    <row r="7827" spans="1:11" ht="40.049999999999997" customHeight="1" x14ac:dyDescent="0.25">
      <c r="A7827" s="11" t="s">
        <v>15954</v>
      </c>
      <c r="B7827" s="11" t="s">
        <v>15954</v>
      </c>
      <c r="C7827" s="11" t="s">
        <v>137</v>
      </c>
      <c r="D7827" s="11" t="s">
        <v>18</v>
      </c>
      <c r="E7827" s="12" t="s">
        <v>462</v>
      </c>
      <c r="F7827" s="12" t="s">
        <v>463</v>
      </c>
      <c r="G7827" s="12" t="s">
        <v>21</v>
      </c>
      <c r="H7827" s="11" t="s">
        <v>63</v>
      </c>
      <c r="I7827" s="13" t="s">
        <v>15973</v>
      </c>
      <c r="J7827" s="14" t="str">
        <f>HYPERLINK("https://www.boe.es/gazeta/dias/1839/06/19/pdfs/GMD-1839-1677.pdf#page=4","Abrir facsímil")</f>
        <v>Abrir facsímil</v>
      </c>
      <c r="K7827" s="12" t="s">
        <v>65</v>
      </c>
    </row>
    <row r="7828" spans="1:11" ht="40.049999999999997" customHeight="1" x14ac:dyDescent="0.25">
      <c r="A7828" s="11" t="s">
        <v>15954</v>
      </c>
      <c r="B7828" s="11" t="s">
        <v>15954</v>
      </c>
      <c r="C7828" s="11" t="s">
        <v>59</v>
      </c>
      <c r="D7828" s="11" t="s">
        <v>60</v>
      </c>
      <c r="E7828" s="12" t="s">
        <v>555</v>
      </c>
      <c r="F7828" s="12" t="s">
        <v>556</v>
      </c>
      <c r="G7828" s="12" t="s">
        <v>29</v>
      </c>
      <c r="H7828" s="11" t="s">
        <v>63</v>
      </c>
      <c r="I7828" s="13" t="s">
        <v>15974</v>
      </c>
      <c r="J7828" s="14" t="str">
        <f>HYPERLINK("https://www.boe.es/gazeta/dias/1839/07/19/pdfs/GMD-1839-1707.pdf#page=1","Abrir facsímil")</f>
        <v>Abrir facsímil</v>
      </c>
      <c r="K7828" s="12" t="s">
        <v>65</v>
      </c>
    </row>
    <row r="7829" spans="1:11" ht="40.049999999999997" customHeight="1" x14ac:dyDescent="0.25">
      <c r="A7829" s="11" t="s">
        <v>15954</v>
      </c>
      <c r="B7829" s="11" t="s">
        <v>15954</v>
      </c>
      <c r="C7829" s="11" t="s">
        <v>17</v>
      </c>
      <c r="D7829" s="11" t="s">
        <v>18</v>
      </c>
      <c r="E7829" s="12" t="s">
        <v>643</v>
      </c>
      <c r="F7829" s="12" t="s">
        <v>644</v>
      </c>
      <c r="G7829" s="12" t="s">
        <v>29</v>
      </c>
      <c r="H7829" s="11" t="s">
        <v>63</v>
      </c>
      <c r="I7829" s="13" t="s">
        <v>15975</v>
      </c>
      <c r="J7829" s="14" t="str">
        <f>HYPERLINK("https://www.boe.es/gazeta/dias/1839/03/20/pdfs/GMD-1839-1586.pdf#page=1","Abrir facsímil")</f>
        <v>Abrir facsímil</v>
      </c>
      <c r="K7829" s="12" t="s">
        <v>65</v>
      </c>
    </row>
    <row r="7830" spans="1:11" ht="40.049999999999997" customHeight="1" x14ac:dyDescent="0.25">
      <c r="A7830" s="11" t="s">
        <v>15954</v>
      </c>
      <c r="B7830" s="11" t="s">
        <v>15954</v>
      </c>
      <c r="C7830" s="11" t="s">
        <v>137</v>
      </c>
      <c r="D7830" s="11" t="s">
        <v>18</v>
      </c>
      <c r="E7830" s="12" t="s">
        <v>1584</v>
      </c>
      <c r="F7830" s="12" t="s">
        <v>1585</v>
      </c>
      <c r="G7830" s="12" t="s">
        <v>46</v>
      </c>
      <c r="H7830" s="11" t="s">
        <v>63</v>
      </c>
      <c r="I7830" s="13" t="s">
        <v>15976</v>
      </c>
      <c r="J7830" s="14" t="str">
        <f>HYPERLINK("https://www.boe.es/gazeta/dias/1839/11/20/pdfs/GMD-1839-1837.pdf#page=3","Abrir facsímil")</f>
        <v>Abrir facsímil</v>
      </c>
      <c r="K7830" s="12" t="s">
        <v>65</v>
      </c>
    </row>
    <row r="7831" spans="1:11" ht="40.049999999999997" customHeight="1" x14ac:dyDescent="0.25">
      <c r="A7831" s="11" t="s">
        <v>15954</v>
      </c>
      <c r="B7831" s="11" t="s">
        <v>15954</v>
      </c>
      <c r="C7831" s="11" t="s">
        <v>17</v>
      </c>
      <c r="D7831" s="11" t="s">
        <v>18</v>
      </c>
      <c r="E7831" s="12" t="s">
        <v>1517</v>
      </c>
      <c r="F7831" s="12" t="s">
        <v>1518</v>
      </c>
      <c r="G7831" s="12" t="s">
        <v>29</v>
      </c>
      <c r="H7831" s="11" t="s">
        <v>63</v>
      </c>
      <c r="I7831" s="13" t="s">
        <v>15977</v>
      </c>
      <c r="J7831" s="14" t="str">
        <f>HYPERLINK("https://www.boe.es/gazeta/dias/1839/12/20/pdfs/GMD-1839-1867.pdf#page=1","Abrir facsímil")</f>
        <v>Abrir facsímil</v>
      </c>
      <c r="K7831" s="12" t="s">
        <v>65</v>
      </c>
    </row>
    <row r="7832" spans="1:11" ht="40.049999999999997" customHeight="1" x14ac:dyDescent="0.25">
      <c r="A7832" s="11" t="s">
        <v>15954</v>
      </c>
      <c r="B7832" s="11" t="s">
        <v>15954</v>
      </c>
      <c r="C7832" s="11" t="s">
        <v>101</v>
      </c>
      <c r="D7832" s="11" t="s">
        <v>102</v>
      </c>
      <c r="E7832" s="12" t="s">
        <v>1895</v>
      </c>
      <c r="F7832" s="12" t="s">
        <v>1896</v>
      </c>
      <c r="G7832" s="12" t="s">
        <v>29</v>
      </c>
      <c r="H7832" s="11" t="s">
        <v>63</v>
      </c>
      <c r="I7832" s="13" t="s">
        <v>15978</v>
      </c>
      <c r="J7832" s="14" t="str">
        <f>HYPERLINK("https://www.boe.es/gazeta/dias/1839/12/23/pdfs/GMD-1839-1870.pdf#page=1","Abrir facsímil")</f>
        <v>Abrir facsímil</v>
      </c>
      <c r="K7832" s="12" t="s">
        <v>65</v>
      </c>
    </row>
    <row r="7833" spans="1:11" ht="40.049999999999997" customHeight="1" x14ac:dyDescent="0.25">
      <c r="A7833" s="11" t="s">
        <v>15954</v>
      </c>
      <c r="B7833" s="11" t="s">
        <v>15954</v>
      </c>
      <c r="C7833" s="11" t="s">
        <v>17</v>
      </c>
      <c r="D7833" s="11" t="s">
        <v>18</v>
      </c>
      <c r="E7833" s="12" t="s">
        <v>1672</v>
      </c>
      <c r="F7833" s="12" t="s">
        <v>1673</v>
      </c>
      <c r="G7833" s="12" t="s">
        <v>29</v>
      </c>
      <c r="H7833" s="11" t="s">
        <v>63</v>
      </c>
      <c r="I7833" s="13" t="s">
        <v>15979</v>
      </c>
      <c r="J7833" s="14" t="str">
        <f>HYPERLINK("https://www.boe.es/gazeta/dias/1839/08/24/pdfs/GMD-1839-1745.pdf#page=1","Abrir facsímil")</f>
        <v>Abrir facsímil</v>
      </c>
      <c r="K7833" s="12" t="s">
        <v>65</v>
      </c>
    </row>
    <row r="7834" spans="1:11" ht="40.049999999999997" customHeight="1" x14ac:dyDescent="0.25">
      <c r="A7834" s="11" t="s">
        <v>15954</v>
      </c>
      <c r="B7834" s="11" t="s">
        <v>15954</v>
      </c>
      <c r="C7834" s="11" t="s">
        <v>17</v>
      </c>
      <c r="D7834" s="11" t="s">
        <v>18</v>
      </c>
      <c r="E7834" s="12" t="s">
        <v>416</v>
      </c>
      <c r="F7834" s="12" t="s">
        <v>417</v>
      </c>
      <c r="G7834" s="12" t="s">
        <v>29</v>
      </c>
      <c r="H7834" s="11" t="s">
        <v>63</v>
      </c>
      <c r="I7834" s="13" t="s">
        <v>15980</v>
      </c>
      <c r="J7834" s="14" t="str">
        <f>HYPERLINK("https://www.boe.es/gazeta/dias/1839/10/24/pdfs/GMD-1839-1810.pdf#page=1","Abrir facsímil")</f>
        <v>Abrir facsímil</v>
      </c>
      <c r="K7834" s="12" t="s">
        <v>65</v>
      </c>
    </row>
    <row r="7835" spans="1:11" ht="40.049999999999997" customHeight="1" x14ac:dyDescent="0.25">
      <c r="A7835" s="11" t="s">
        <v>15954</v>
      </c>
      <c r="B7835" s="11" t="s">
        <v>15954</v>
      </c>
      <c r="C7835" s="11" t="s">
        <v>101</v>
      </c>
      <c r="D7835" s="11" t="s">
        <v>102</v>
      </c>
      <c r="E7835" s="12" t="s">
        <v>246</v>
      </c>
      <c r="F7835" s="12" t="s">
        <v>247</v>
      </c>
      <c r="G7835" s="12" t="s">
        <v>29</v>
      </c>
      <c r="H7835" s="11" t="s">
        <v>63</v>
      </c>
      <c r="I7835" s="13" t="s">
        <v>15981</v>
      </c>
      <c r="J7835" s="14" t="str">
        <f>HYPERLINK("https://www.boe.es/gazeta/dias/1839/11/24/pdfs/GMD-1839-1841.pdf#page=1","Abrir facsímil")</f>
        <v>Abrir facsímil</v>
      </c>
      <c r="K7835" s="12" t="s">
        <v>65</v>
      </c>
    </row>
    <row r="7836" spans="1:11" ht="40.049999999999997" customHeight="1" x14ac:dyDescent="0.25">
      <c r="A7836" s="11" t="s">
        <v>15954</v>
      </c>
      <c r="B7836" s="11" t="s">
        <v>15954</v>
      </c>
      <c r="C7836" s="11" t="s">
        <v>80</v>
      </c>
      <c r="D7836" s="11" t="s">
        <v>18</v>
      </c>
      <c r="E7836" s="12" t="s">
        <v>246</v>
      </c>
      <c r="F7836" s="12" t="s">
        <v>247</v>
      </c>
      <c r="G7836" s="12" t="s">
        <v>46</v>
      </c>
      <c r="H7836" s="11" t="s">
        <v>63</v>
      </c>
      <c r="I7836" s="13" t="s">
        <v>15982</v>
      </c>
      <c r="J7836" s="14" t="str">
        <f>HYPERLINK("https://www.boe.es/gazeta/dias/1839/11/24/pdfs/GMD-1839-1841.pdf#page=3","Abrir facsímil")</f>
        <v>Abrir facsímil</v>
      </c>
      <c r="K7836" s="12" t="s">
        <v>65</v>
      </c>
    </row>
    <row r="7837" spans="1:11" ht="40.049999999999997" customHeight="1" x14ac:dyDescent="0.25">
      <c r="A7837" s="11" t="s">
        <v>15954</v>
      </c>
      <c r="B7837" s="11" t="s">
        <v>15954</v>
      </c>
      <c r="C7837" s="11" t="s">
        <v>17</v>
      </c>
      <c r="D7837" s="11" t="s">
        <v>18</v>
      </c>
      <c r="E7837" s="12" t="s">
        <v>128</v>
      </c>
      <c r="F7837" s="12" t="s">
        <v>129</v>
      </c>
      <c r="G7837" s="12" t="s">
        <v>29</v>
      </c>
      <c r="H7837" s="11" t="s">
        <v>63</v>
      </c>
      <c r="I7837" s="13" t="s">
        <v>15983</v>
      </c>
      <c r="J7837" s="14" t="str">
        <f>HYPERLINK("https://www.boe.es/gazeta/dias/1839/05/25/pdfs/GMD-1839-1652.pdf#page=1","Abrir facsímil")</f>
        <v>Abrir facsímil</v>
      </c>
      <c r="K7837" s="12" t="s">
        <v>65</v>
      </c>
    </row>
    <row r="7838" spans="1:11" ht="40.049999999999997" customHeight="1" x14ac:dyDescent="0.25">
      <c r="A7838" s="11" t="s">
        <v>15954</v>
      </c>
      <c r="B7838" s="11" t="s">
        <v>15954</v>
      </c>
      <c r="C7838" s="11" t="s">
        <v>17</v>
      </c>
      <c r="D7838" s="11" t="s">
        <v>18</v>
      </c>
      <c r="E7838" s="12" t="s">
        <v>349</v>
      </c>
      <c r="F7838" s="12" t="s">
        <v>350</v>
      </c>
      <c r="G7838" s="12" t="s">
        <v>29</v>
      </c>
      <c r="H7838" s="11" t="s">
        <v>63</v>
      </c>
      <c r="I7838" s="13" t="s">
        <v>15984</v>
      </c>
      <c r="J7838" s="14" t="str">
        <f>HYPERLINK("https://www.boe.es/gazeta/dias/1839/12/25/pdfs/GMD-1839-1872.pdf#page=1","Abrir facsímil")</f>
        <v>Abrir facsímil</v>
      </c>
      <c r="K7838" s="12" t="s">
        <v>65</v>
      </c>
    </row>
    <row r="7839" spans="1:11" ht="40.049999999999997" customHeight="1" x14ac:dyDescent="0.25">
      <c r="A7839" s="11" t="s">
        <v>15954</v>
      </c>
      <c r="B7839" s="11" t="s">
        <v>15954</v>
      </c>
      <c r="C7839" s="11" t="s">
        <v>59</v>
      </c>
      <c r="D7839" s="11" t="s">
        <v>60</v>
      </c>
      <c r="E7839" s="12" t="s">
        <v>1086</v>
      </c>
      <c r="F7839" s="12" t="s">
        <v>1087</v>
      </c>
      <c r="G7839" s="12" t="s">
        <v>40</v>
      </c>
      <c r="H7839" s="11" t="s">
        <v>63</v>
      </c>
      <c r="I7839" s="13" t="s">
        <v>15985</v>
      </c>
      <c r="J7839" s="14" t="str">
        <f>HYPERLINK("https://www.boe.es/gazeta/dias/1839/10/26/pdfs/GMD-1839-1812.pdf#page=2","Abrir facsímil")</f>
        <v>Abrir facsímil</v>
      </c>
      <c r="K7839" s="12" t="s">
        <v>65</v>
      </c>
    </row>
    <row r="7840" spans="1:11" ht="40.049999999999997" customHeight="1" x14ac:dyDescent="0.25">
      <c r="A7840" s="11" t="s">
        <v>15954</v>
      </c>
      <c r="B7840" s="11" t="s">
        <v>15954</v>
      </c>
      <c r="C7840" s="11" t="s">
        <v>80</v>
      </c>
      <c r="D7840" s="11" t="s">
        <v>173</v>
      </c>
      <c r="E7840" s="12" t="s">
        <v>1490</v>
      </c>
      <c r="F7840" s="12" t="s">
        <v>1491</v>
      </c>
      <c r="G7840" s="12" t="s">
        <v>29</v>
      </c>
      <c r="H7840" s="11" t="s">
        <v>63</v>
      </c>
      <c r="I7840" s="13" t="s">
        <v>15986</v>
      </c>
      <c r="J7840" s="14" t="str">
        <f>HYPERLINK("https://www.boe.es/gazeta/dias/1839/02/27/pdfs/GMD-1839-1565.pdf#page=1","Abrir facsímil")</f>
        <v>Abrir facsímil</v>
      </c>
      <c r="K7840" s="12" t="s">
        <v>65</v>
      </c>
    </row>
    <row r="7841" spans="1:11" ht="40.049999999999997" customHeight="1" x14ac:dyDescent="0.25">
      <c r="A7841" s="11" t="s">
        <v>15954</v>
      </c>
      <c r="B7841" s="11" t="s">
        <v>15954</v>
      </c>
      <c r="C7841" s="11" t="s">
        <v>59</v>
      </c>
      <c r="D7841" s="11" t="s">
        <v>60</v>
      </c>
      <c r="E7841" s="12" t="s">
        <v>1685</v>
      </c>
      <c r="F7841" s="12" t="s">
        <v>1686</v>
      </c>
      <c r="G7841" s="12" t="s">
        <v>29</v>
      </c>
      <c r="H7841" s="11" t="s">
        <v>63</v>
      </c>
      <c r="I7841" s="13" t="s">
        <v>15987</v>
      </c>
      <c r="J7841" s="14" t="str">
        <f>HYPERLINK("https://www.boe.es/gazeta/dias/1839/04/27/pdfs/GMD-1839-1624.pdf#page=1","Abrir facsímil")</f>
        <v>Abrir facsímil</v>
      </c>
      <c r="K7841" s="12" t="s">
        <v>65</v>
      </c>
    </row>
    <row r="7842" spans="1:11" ht="40.049999999999997" customHeight="1" x14ac:dyDescent="0.25">
      <c r="A7842" s="11" t="s">
        <v>15954</v>
      </c>
      <c r="B7842" s="11" t="s">
        <v>15954</v>
      </c>
      <c r="C7842" s="11" t="s">
        <v>59</v>
      </c>
      <c r="D7842" s="11" t="s">
        <v>60</v>
      </c>
      <c r="E7842" s="12" t="s">
        <v>1588</v>
      </c>
      <c r="F7842" s="12" t="s">
        <v>1589</v>
      </c>
      <c r="G7842" s="12" t="s">
        <v>29</v>
      </c>
      <c r="H7842" s="11" t="s">
        <v>63</v>
      </c>
      <c r="I7842" s="13" t="s">
        <v>15988</v>
      </c>
      <c r="J7842" s="14" t="str">
        <f>HYPERLINK("https://www.boe.es/gazeta/dias/1839/07/27/pdfs/GMD-1839-1716.pdf#page=1","Abrir facsímil")</f>
        <v>Abrir facsímil</v>
      </c>
      <c r="K7842" s="12" t="s">
        <v>65</v>
      </c>
    </row>
    <row r="7843" spans="1:11" ht="40.049999999999997" customHeight="1" x14ac:dyDescent="0.25">
      <c r="A7843" s="11" t="s">
        <v>15954</v>
      </c>
      <c r="B7843" s="11" t="s">
        <v>15954</v>
      </c>
      <c r="C7843" s="11" t="s">
        <v>59</v>
      </c>
      <c r="D7843" s="11" t="s">
        <v>60</v>
      </c>
      <c r="E7843" s="12" t="s">
        <v>668</v>
      </c>
      <c r="F7843" s="12" t="s">
        <v>669</v>
      </c>
      <c r="G7843" s="12" t="s">
        <v>29</v>
      </c>
      <c r="H7843" s="11" t="s">
        <v>63</v>
      </c>
      <c r="I7843" s="13" t="s">
        <v>15989</v>
      </c>
      <c r="J7843" s="14" t="str">
        <f>HYPERLINK("https://www.boe.es/gazeta/dias/1839/03/28/pdfs/GMD-1839-1594.pdf#page=1","Abrir facsímil")</f>
        <v>Abrir facsímil</v>
      </c>
      <c r="K7843" s="12" t="s">
        <v>65</v>
      </c>
    </row>
    <row r="7844" spans="1:11" ht="40.049999999999997" customHeight="1" x14ac:dyDescent="0.25">
      <c r="A7844" s="11" t="s">
        <v>15954</v>
      </c>
      <c r="B7844" s="11" t="s">
        <v>15954</v>
      </c>
      <c r="C7844" s="11" t="s">
        <v>59</v>
      </c>
      <c r="D7844" s="11" t="s">
        <v>60</v>
      </c>
      <c r="E7844" s="12" t="s">
        <v>401</v>
      </c>
      <c r="F7844" s="12" t="s">
        <v>402</v>
      </c>
      <c r="G7844" s="12" t="s">
        <v>40</v>
      </c>
      <c r="H7844" s="11" t="s">
        <v>63</v>
      </c>
      <c r="I7844" s="13" t="s">
        <v>15990</v>
      </c>
      <c r="J7844" s="14" t="str">
        <f>HYPERLINK("https://www.boe.es/gazeta/dias/1839/03/29/pdfs/GMD-1839-1595.pdf#page=2","Abrir facsímil")</f>
        <v>Abrir facsímil</v>
      </c>
      <c r="K7844" s="12" t="s">
        <v>65</v>
      </c>
    </row>
    <row r="7845" spans="1:11" ht="40.049999999999997" customHeight="1" x14ac:dyDescent="0.25">
      <c r="A7845" s="11" t="s">
        <v>15954</v>
      </c>
      <c r="B7845" s="11" t="s">
        <v>15954</v>
      </c>
      <c r="C7845" s="11" t="s">
        <v>17</v>
      </c>
      <c r="D7845" s="11" t="s">
        <v>18</v>
      </c>
      <c r="E7845" s="12" t="s">
        <v>2522</v>
      </c>
      <c r="F7845" s="12" t="s">
        <v>2523</v>
      </c>
      <c r="G7845" s="12" t="s">
        <v>29</v>
      </c>
      <c r="H7845" s="11" t="s">
        <v>63</v>
      </c>
      <c r="I7845" s="13" t="s">
        <v>15991</v>
      </c>
      <c r="J7845" s="14" t="str">
        <f>HYPERLINK("https://www.boe.es/gazeta/dias/1839/12/29/pdfs/GMD-1839-1876.pdf#page=1","Abrir facsímil")</f>
        <v>Abrir facsímil</v>
      </c>
      <c r="K7845" s="12" t="s">
        <v>65</v>
      </c>
    </row>
    <row r="7846" spans="1:11" ht="40.049999999999997" customHeight="1" x14ac:dyDescent="0.25">
      <c r="A7846" s="11" t="s">
        <v>15992</v>
      </c>
      <c r="B7846" s="11" t="s">
        <v>15992</v>
      </c>
      <c r="C7846" s="11" t="s">
        <v>59</v>
      </c>
      <c r="D7846" s="11" t="s">
        <v>60</v>
      </c>
      <c r="E7846" s="12" t="s">
        <v>934</v>
      </c>
      <c r="F7846" s="12" t="s">
        <v>935</v>
      </c>
      <c r="G7846" s="12" t="s">
        <v>40</v>
      </c>
      <c r="H7846" s="11" t="s">
        <v>63</v>
      </c>
      <c r="I7846" s="13" t="s">
        <v>15993</v>
      </c>
      <c r="J7846" s="14" t="str">
        <f>HYPERLINK("https://www.boe.es/gazeta/dias/1839/11/07/pdfs/GMD-1839-1824.pdf#page=2","Abrir facsímil")</f>
        <v>Abrir facsímil</v>
      </c>
      <c r="K7846" s="12" t="s">
        <v>65</v>
      </c>
    </row>
    <row r="7847" spans="1:11" ht="40.049999999999997" customHeight="1" x14ac:dyDescent="0.25">
      <c r="A7847" s="11" t="s">
        <v>15994</v>
      </c>
      <c r="B7847" s="11" t="s">
        <v>15994</v>
      </c>
      <c r="C7847" s="11" t="s">
        <v>59</v>
      </c>
      <c r="D7847" s="11" t="s">
        <v>60</v>
      </c>
      <c r="E7847" s="12" t="s">
        <v>1008</v>
      </c>
      <c r="F7847" s="12" t="s">
        <v>1009</v>
      </c>
      <c r="G7847" s="12" t="s">
        <v>29</v>
      </c>
      <c r="H7847" s="11" t="s">
        <v>63</v>
      </c>
      <c r="I7847" s="13" t="s">
        <v>15995</v>
      </c>
      <c r="J7847" s="14" t="str">
        <f>HYPERLINK("https://www.boe.es/gazeta/dias/1839/09/07/pdfs/GMD-1839-1760.pdf#page=1","Abrir facsímil")</f>
        <v>Abrir facsímil</v>
      </c>
      <c r="K7847" s="12" t="s">
        <v>65</v>
      </c>
    </row>
    <row r="7848" spans="1:11" ht="40.049999999999997" customHeight="1" x14ac:dyDescent="0.25">
      <c r="A7848" s="11" t="s">
        <v>15996</v>
      </c>
      <c r="B7848" s="11" t="s">
        <v>15997</v>
      </c>
      <c r="C7848" s="11" t="s">
        <v>80</v>
      </c>
      <c r="D7848" s="11" t="s">
        <v>18</v>
      </c>
      <c r="E7848" s="12" t="s">
        <v>160</v>
      </c>
      <c r="F7848" s="12" t="s">
        <v>161</v>
      </c>
      <c r="G7848" s="12" t="s">
        <v>29</v>
      </c>
      <c r="H7848" s="11" t="s">
        <v>63</v>
      </c>
      <c r="I7848" s="13" t="s">
        <v>15998</v>
      </c>
      <c r="J7848" s="14" t="str">
        <f>HYPERLINK("https://www.boe.es/gazeta/dias/1839/01/10/pdfs/GMD-1839-1517.pdf#page=1","Abrir facsímil")</f>
        <v>Abrir facsímil</v>
      </c>
      <c r="K7848" s="12" t="s">
        <v>65</v>
      </c>
    </row>
    <row r="7849" spans="1:11" ht="40.049999999999997" customHeight="1" x14ac:dyDescent="0.25">
      <c r="A7849" s="11" t="s">
        <v>15999</v>
      </c>
      <c r="B7849" s="11" t="s">
        <v>16000</v>
      </c>
      <c r="C7849" s="11" t="s">
        <v>59</v>
      </c>
      <c r="D7849" s="11" t="s">
        <v>60</v>
      </c>
      <c r="E7849" s="12" t="s">
        <v>1663</v>
      </c>
      <c r="F7849" s="12" t="s">
        <v>1664</v>
      </c>
      <c r="G7849" s="12" t="s">
        <v>40</v>
      </c>
      <c r="H7849" s="11" t="s">
        <v>63</v>
      </c>
      <c r="I7849" s="13" t="s">
        <v>16001</v>
      </c>
      <c r="J7849" s="14" t="str">
        <f>HYPERLINK("https://www.boe.es/gazeta/dias/1839/03/22/pdfs/GMD-1839-1588.pdf#page=2","Abrir facsímil")</f>
        <v>Abrir facsímil</v>
      </c>
      <c r="K7849" s="12" t="s">
        <v>65</v>
      </c>
    </row>
    <row r="7850" spans="1:11" ht="40.049999999999997" customHeight="1" x14ac:dyDescent="0.25">
      <c r="A7850" s="11" t="s">
        <v>16002</v>
      </c>
      <c r="B7850" s="11" t="s">
        <v>16003</v>
      </c>
      <c r="C7850" s="11" t="s">
        <v>17</v>
      </c>
      <c r="D7850" s="11" t="s">
        <v>18</v>
      </c>
      <c r="E7850" s="12" t="s">
        <v>770</v>
      </c>
      <c r="F7850" s="12" t="s">
        <v>771</v>
      </c>
      <c r="G7850" s="12" t="s">
        <v>40</v>
      </c>
      <c r="H7850" s="11" t="s">
        <v>63</v>
      </c>
      <c r="I7850" s="13" t="s">
        <v>16004</v>
      </c>
      <c r="J7850" s="14" t="str">
        <f>HYPERLINK("https://www.boe.es/gazeta/dias/1839/12/05/pdfs/GMD-1839-1852.pdf#page=2","Abrir facsímil")</f>
        <v>Abrir facsímil</v>
      </c>
      <c r="K7850" s="12" t="s">
        <v>65</v>
      </c>
    </row>
    <row r="7851" spans="1:11" ht="40.049999999999997" customHeight="1" x14ac:dyDescent="0.25">
      <c r="A7851" s="11" t="s">
        <v>16005</v>
      </c>
      <c r="B7851" s="11" t="s">
        <v>16006</v>
      </c>
      <c r="C7851" s="11" t="s">
        <v>17</v>
      </c>
      <c r="D7851" s="11" t="s">
        <v>18</v>
      </c>
      <c r="E7851" s="12" t="s">
        <v>510</v>
      </c>
      <c r="F7851" s="12" t="s">
        <v>511</v>
      </c>
      <c r="G7851" s="12" t="s">
        <v>46</v>
      </c>
      <c r="H7851" s="11" t="s">
        <v>63</v>
      </c>
      <c r="I7851" s="13" t="s">
        <v>16007</v>
      </c>
      <c r="J7851" s="14" t="str">
        <f>HYPERLINK("https://www.boe.es/gazeta/dias/1839/05/13/pdfs/GMD-1839-1640.pdf#page=3","Abrir facsímil")</f>
        <v>Abrir facsímil</v>
      </c>
      <c r="K7851" s="12" t="s">
        <v>65</v>
      </c>
    </row>
    <row r="7852" spans="1:11" ht="40.049999999999997" customHeight="1" x14ac:dyDescent="0.25">
      <c r="A7852" s="11" t="s">
        <v>16008</v>
      </c>
      <c r="B7852" s="11" t="s">
        <v>16008</v>
      </c>
      <c r="C7852" s="11" t="s">
        <v>137</v>
      </c>
      <c r="D7852" s="11" t="s">
        <v>18</v>
      </c>
      <c r="E7852" s="12" t="s">
        <v>49</v>
      </c>
      <c r="F7852" s="12" t="s">
        <v>50</v>
      </c>
      <c r="G7852" s="12" t="s">
        <v>46</v>
      </c>
      <c r="H7852" s="11" t="s">
        <v>63</v>
      </c>
      <c r="I7852" s="13" t="s">
        <v>16009</v>
      </c>
      <c r="J7852" s="14" t="str">
        <f>HYPERLINK("https://www.boe.es/gazeta/dias/1839/01/05/pdfs/GMD-1839-1512.pdf#page=3","Abrir facsímil")</f>
        <v>Abrir facsímil</v>
      </c>
      <c r="K7852" s="12" t="s">
        <v>65</v>
      </c>
    </row>
    <row r="7853" spans="1:11" ht="40.049999999999997" customHeight="1" x14ac:dyDescent="0.25">
      <c r="A7853" s="11" t="s">
        <v>16010</v>
      </c>
      <c r="B7853" s="11" t="s">
        <v>16011</v>
      </c>
      <c r="C7853" s="11" t="s">
        <v>137</v>
      </c>
      <c r="D7853" s="11" t="s">
        <v>18</v>
      </c>
      <c r="E7853" s="12" t="s">
        <v>3705</v>
      </c>
      <c r="F7853" s="12" t="s">
        <v>3706</v>
      </c>
      <c r="G7853" s="12" t="s">
        <v>40</v>
      </c>
      <c r="H7853" s="11" t="s">
        <v>22</v>
      </c>
      <c r="I7853" s="13" t="s">
        <v>16012</v>
      </c>
      <c r="J7853" s="14" t="str">
        <f>HYPERLINK("https://www.boe.es/gazeta/dias/1839/03/09/pdfs/GMD-1839-1575.pdf#page=2","Abrir facsímil")</f>
        <v>Abrir facsímil</v>
      </c>
      <c r="K7853" s="12" t="s">
        <v>24</v>
      </c>
    </row>
    <row r="7854" spans="1:11" ht="40.049999999999997" customHeight="1" x14ac:dyDescent="0.25">
      <c r="A7854" s="11" t="s">
        <v>16013</v>
      </c>
      <c r="B7854" s="11" t="s">
        <v>16014</v>
      </c>
      <c r="C7854" s="11" t="s">
        <v>101</v>
      </c>
      <c r="D7854" s="11" t="s">
        <v>43</v>
      </c>
      <c r="E7854" s="12" t="s">
        <v>148</v>
      </c>
      <c r="F7854" s="12" t="s">
        <v>149</v>
      </c>
      <c r="G7854" s="12" t="s">
        <v>21</v>
      </c>
      <c r="H7854" s="11" t="s">
        <v>63</v>
      </c>
      <c r="I7854" s="13" t="s">
        <v>16015</v>
      </c>
      <c r="J7854" s="14" t="str">
        <f>HYPERLINK("https://www.boe.es/gazeta/dias/1839/07/16/pdfs/GMD-1839-1704.pdf#page=4","Abrir facsímil")</f>
        <v>Abrir facsímil</v>
      </c>
      <c r="K7854" s="12" t="s">
        <v>65</v>
      </c>
    </row>
    <row r="7855" spans="1:11" ht="40.049999999999997" customHeight="1" x14ac:dyDescent="0.25">
      <c r="A7855" s="11" t="s">
        <v>16016</v>
      </c>
      <c r="B7855" s="11" t="s">
        <v>16017</v>
      </c>
      <c r="C7855" s="11" t="s">
        <v>17</v>
      </c>
      <c r="D7855" s="11" t="s">
        <v>18</v>
      </c>
      <c r="E7855" s="12" t="s">
        <v>68</v>
      </c>
      <c r="F7855" s="12" t="s">
        <v>69</v>
      </c>
      <c r="G7855" s="12" t="s">
        <v>40</v>
      </c>
      <c r="H7855" s="11" t="s">
        <v>22</v>
      </c>
      <c r="I7855" s="13" t="s">
        <v>16018</v>
      </c>
      <c r="J7855" s="14" t="str">
        <f>HYPERLINK("https://www.boe.es/gazeta/dias/1839/02/09/pdfs/GMD-1839-1547.pdf#page=2","Abrir facsímil")</f>
        <v>Abrir facsímil</v>
      </c>
      <c r="K7855" s="12" t="s">
        <v>24</v>
      </c>
    </row>
    <row r="7856" spans="1:11" ht="40.049999999999997" customHeight="1" x14ac:dyDescent="0.25">
      <c r="A7856" s="11" t="s">
        <v>16019</v>
      </c>
      <c r="B7856" s="11" t="s">
        <v>16020</v>
      </c>
      <c r="C7856" s="11" t="s">
        <v>80</v>
      </c>
      <c r="D7856" s="11" t="s">
        <v>18</v>
      </c>
      <c r="E7856" s="12" t="s">
        <v>1079</v>
      </c>
      <c r="F7856" s="12" t="s">
        <v>1080</v>
      </c>
      <c r="G7856" s="12" t="s">
        <v>21</v>
      </c>
      <c r="H7856" s="11" t="s">
        <v>22</v>
      </c>
      <c r="I7856" s="13" t="s">
        <v>16021</v>
      </c>
      <c r="J7856" s="14" t="str">
        <f>HYPERLINK("https://www.boe.es/gazeta/dias/1839/05/24/pdfs/GMD-1839-1651.pdf#page=4","Abrir facsímil")</f>
        <v>Abrir facsímil</v>
      </c>
      <c r="K7856" s="12" t="s">
        <v>24</v>
      </c>
    </row>
    <row r="7857" spans="1:11" ht="40.049999999999997" customHeight="1" x14ac:dyDescent="0.25">
      <c r="A7857" s="11" t="s">
        <v>16022</v>
      </c>
      <c r="B7857" s="11" t="s">
        <v>16023</v>
      </c>
      <c r="C7857" s="11" t="s">
        <v>17</v>
      </c>
      <c r="D7857" s="11" t="s">
        <v>18</v>
      </c>
      <c r="E7857" s="12" t="s">
        <v>3705</v>
      </c>
      <c r="F7857" s="12" t="s">
        <v>3706</v>
      </c>
      <c r="G7857" s="12" t="s">
        <v>21</v>
      </c>
      <c r="H7857" s="11" t="s">
        <v>63</v>
      </c>
      <c r="I7857" s="13" t="s">
        <v>16024</v>
      </c>
      <c r="J7857" s="14" t="str">
        <f>HYPERLINK("https://www.boe.es/gazeta/dias/1839/03/09/pdfs/GMD-1839-1575.pdf#page=4","Abrir facsímil")</f>
        <v>Abrir facsímil</v>
      </c>
      <c r="K7857" s="12" t="s">
        <v>65</v>
      </c>
    </row>
    <row r="7858" spans="1:11" ht="40.049999999999997" customHeight="1" x14ac:dyDescent="0.25">
      <c r="A7858" s="11" t="s">
        <v>16025</v>
      </c>
      <c r="B7858" s="11" t="s">
        <v>16026</v>
      </c>
      <c r="C7858" s="11" t="s">
        <v>80</v>
      </c>
      <c r="D7858" s="11" t="s">
        <v>18</v>
      </c>
      <c r="E7858" s="12" t="s">
        <v>388</v>
      </c>
      <c r="F7858" s="12" t="s">
        <v>389</v>
      </c>
      <c r="G7858" s="12" t="s">
        <v>21</v>
      </c>
      <c r="H7858" s="11" t="s">
        <v>63</v>
      </c>
      <c r="I7858" s="13" t="s">
        <v>16027</v>
      </c>
      <c r="J7858" s="14" t="str">
        <f>HYPERLINK("https://www.boe.es/gazeta/dias/1839/08/07/pdfs/GMD-1839-1727.pdf#page=4","Abrir facsímil")</f>
        <v>Abrir facsímil</v>
      </c>
      <c r="K7858" s="12" t="s">
        <v>65</v>
      </c>
    </row>
    <row r="7859" spans="1:11" ht="40.049999999999997" customHeight="1" x14ac:dyDescent="0.25">
      <c r="A7859" s="11" t="s">
        <v>16028</v>
      </c>
      <c r="B7859" s="11" t="s">
        <v>16029</v>
      </c>
      <c r="C7859" s="11" t="s">
        <v>137</v>
      </c>
      <c r="D7859" s="11" t="s">
        <v>18</v>
      </c>
      <c r="E7859" s="12" t="s">
        <v>49</v>
      </c>
      <c r="F7859" s="12" t="s">
        <v>50</v>
      </c>
      <c r="G7859" s="12" t="s">
        <v>46</v>
      </c>
      <c r="H7859" s="11" t="s">
        <v>63</v>
      </c>
      <c r="I7859" s="13" t="s">
        <v>16030</v>
      </c>
      <c r="J7859" s="14" t="str">
        <f>HYPERLINK("https://www.boe.es/gazeta/dias/1839/01/05/pdfs/GMD-1839-1512.pdf#page=3","Abrir facsímil")</f>
        <v>Abrir facsímil</v>
      </c>
      <c r="K7859" s="12" t="s">
        <v>65</v>
      </c>
    </row>
    <row r="7860" spans="1:11" ht="40.049999999999997" customHeight="1" x14ac:dyDescent="0.25">
      <c r="A7860" s="11" t="s">
        <v>16031</v>
      </c>
      <c r="B7860" s="11" t="s">
        <v>16032</v>
      </c>
      <c r="C7860" s="11" t="s">
        <v>17</v>
      </c>
      <c r="D7860" s="11" t="s">
        <v>18</v>
      </c>
      <c r="E7860" s="12" t="s">
        <v>303</v>
      </c>
      <c r="F7860" s="12" t="s">
        <v>304</v>
      </c>
      <c r="G7860" s="12" t="s">
        <v>305</v>
      </c>
      <c r="H7860" s="11" t="s">
        <v>63</v>
      </c>
      <c r="I7860" s="13" t="s">
        <v>16033</v>
      </c>
      <c r="J7860" s="14" t="str">
        <f>HYPERLINK("https://www.boe.es/gazeta/dias/1839/10/06/pdfs/GMD-1839-1792.pdf#page=6","Abrir facsímil")</f>
        <v>Abrir facsímil</v>
      </c>
      <c r="K7860" s="12" t="s">
        <v>65</v>
      </c>
    </row>
    <row r="7861" spans="1:11" ht="40.049999999999997" customHeight="1" x14ac:dyDescent="0.25">
      <c r="A7861" s="11" t="s">
        <v>16034</v>
      </c>
      <c r="B7861" s="11" t="s">
        <v>16034</v>
      </c>
      <c r="C7861" s="11" t="s">
        <v>17</v>
      </c>
      <c r="D7861" s="11" t="s">
        <v>18</v>
      </c>
      <c r="E7861" s="12" t="s">
        <v>857</v>
      </c>
      <c r="F7861" s="12" t="s">
        <v>858</v>
      </c>
      <c r="G7861" s="12" t="s">
        <v>46</v>
      </c>
      <c r="H7861" s="11" t="s">
        <v>63</v>
      </c>
      <c r="I7861" s="13" t="s">
        <v>16035</v>
      </c>
      <c r="J7861" s="14" t="str">
        <f>HYPERLINK("https://www.boe.es/gazeta/dias/1839/11/21/pdfs/GMD-1839-1838.pdf#page=3","Abrir facsímil")</f>
        <v>Abrir facsímil</v>
      </c>
      <c r="K7861" s="12" t="s">
        <v>65</v>
      </c>
    </row>
    <row r="7862" spans="1:11" ht="40.049999999999997" customHeight="1" x14ac:dyDescent="0.25">
      <c r="A7862" s="11" t="s">
        <v>16034</v>
      </c>
      <c r="B7862" s="11" t="s">
        <v>16034</v>
      </c>
      <c r="C7862" s="11" t="s">
        <v>17</v>
      </c>
      <c r="D7862" s="11" t="s">
        <v>18</v>
      </c>
      <c r="E7862" s="12" t="s">
        <v>1433</v>
      </c>
      <c r="F7862" s="12" t="s">
        <v>1434</v>
      </c>
      <c r="G7862" s="12" t="s">
        <v>40</v>
      </c>
      <c r="H7862" s="11" t="s">
        <v>63</v>
      </c>
      <c r="I7862" s="13" t="s">
        <v>16036</v>
      </c>
      <c r="J7862" s="14" t="str">
        <f>HYPERLINK("https://www.boe.es/gazeta/dias/1839/10/22/pdfs/GMD-1839-1808.pdf#page=2","Abrir facsímil")</f>
        <v>Abrir facsímil</v>
      </c>
      <c r="K7862" s="12" t="s">
        <v>65</v>
      </c>
    </row>
    <row r="7863" spans="1:11" ht="40.049999999999997" customHeight="1" x14ac:dyDescent="0.25">
      <c r="A7863" s="11" t="s">
        <v>16037</v>
      </c>
      <c r="B7863" s="11" t="s">
        <v>16038</v>
      </c>
      <c r="C7863" s="11" t="s">
        <v>137</v>
      </c>
      <c r="D7863" s="11" t="s">
        <v>18</v>
      </c>
      <c r="E7863" s="12" t="s">
        <v>770</v>
      </c>
      <c r="F7863" s="12" t="s">
        <v>771</v>
      </c>
      <c r="G7863" s="12" t="s">
        <v>46</v>
      </c>
      <c r="H7863" s="11" t="s">
        <v>63</v>
      </c>
      <c r="I7863" s="13" t="s">
        <v>16039</v>
      </c>
      <c r="J7863" s="14" t="str">
        <f>HYPERLINK("https://www.boe.es/gazeta/dias/1839/12/05/pdfs/GMD-1839-1852.pdf#page=3","Abrir facsímil")</f>
        <v>Abrir facsímil</v>
      </c>
      <c r="K7863" s="12" t="s">
        <v>65</v>
      </c>
    </row>
    <row r="7864" spans="1:11" ht="40.049999999999997" customHeight="1" x14ac:dyDescent="0.25">
      <c r="A7864" s="11" t="s">
        <v>16040</v>
      </c>
      <c r="B7864" s="11" t="s">
        <v>16041</v>
      </c>
      <c r="C7864" s="11" t="s">
        <v>80</v>
      </c>
      <c r="D7864" s="11" t="s">
        <v>18</v>
      </c>
      <c r="E7864" s="12" t="s">
        <v>522</v>
      </c>
      <c r="F7864" s="12" t="s">
        <v>523</v>
      </c>
      <c r="G7864" s="12" t="s">
        <v>40</v>
      </c>
      <c r="H7864" s="11" t="s">
        <v>63</v>
      </c>
      <c r="I7864" s="13" t="s">
        <v>16042</v>
      </c>
      <c r="J7864" s="14" t="str">
        <f>HYPERLINK("https://www.boe.es/gazeta/dias/1839/08/27/pdfs/GMD-1839-1748.pdf#page=2","Abrir facsímil")</f>
        <v>Abrir facsímil</v>
      </c>
      <c r="K7864" s="12" t="s">
        <v>65</v>
      </c>
    </row>
    <row r="7865" spans="1:11" ht="40.049999999999997" customHeight="1" x14ac:dyDescent="0.25">
      <c r="A7865" s="11" t="s">
        <v>16043</v>
      </c>
      <c r="B7865" s="11" t="s">
        <v>16044</v>
      </c>
      <c r="C7865" s="11" t="s">
        <v>59</v>
      </c>
      <c r="D7865" s="11" t="s">
        <v>60</v>
      </c>
      <c r="E7865" s="12" t="s">
        <v>269</v>
      </c>
      <c r="F7865" s="12" t="s">
        <v>270</v>
      </c>
      <c r="G7865" s="12" t="s">
        <v>21</v>
      </c>
      <c r="H7865" s="11" t="s">
        <v>63</v>
      </c>
      <c r="I7865" s="13" t="s">
        <v>16045</v>
      </c>
      <c r="J7865" s="14" t="str">
        <f>HYPERLINK("https://www.boe.es/gazeta/dias/1839/02/10/pdfs/GMD-1839-1548.pdf#page=4","Abrir facsímil")</f>
        <v>Abrir facsímil</v>
      </c>
      <c r="K7865" s="12" t="s">
        <v>65</v>
      </c>
    </row>
    <row r="7866" spans="1:11" ht="40.049999999999997" customHeight="1" x14ac:dyDescent="0.25">
      <c r="A7866" s="11" t="s">
        <v>16046</v>
      </c>
      <c r="B7866" s="11" t="s">
        <v>16046</v>
      </c>
      <c r="C7866" s="11" t="s">
        <v>101</v>
      </c>
      <c r="D7866" s="11" t="s">
        <v>43</v>
      </c>
      <c r="E7866" s="12" t="s">
        <v>420</v>
      </c>
      <c r="F7866" s="12" t="s">
        <v>421</v>
      </c>
      <c r="G7866" s="12" t="s">
        <v>21</v>
      </c>
      <c r="H7866" s="11" t="s">
        <v>63</v>
      </c>
      <c r="I7866" s="13" t="s">
        <v>16047</v>
      </c>
      <c r="J7866" s="14" t="str">
        <f>HYPERLINK("https://www.boe.es/gazeta/dias/1839/03/12/pdfs/GMD-1839-1578.pdf#page=4","Abrir facsímil")</f>
        <v>Abrir facsímil</v>
      </c>
      <c r="K7866" s="12" t="s">
        <v>65</v>
      </c>
    </row>
    <row r="7867" spans="1:11" ht="40.049999999999997" customHeight="1" x14ac:dyDescent="0.25">
      <c r="A7867" s="11" t="s">
        <v>16048</v>
      </c>
      <c r="B7867" s="11" t="s">
        <v>16048</v>
      </c>
      <c r="C7867" s="11" t="s">
        <v>17</v>
      </c>
      <c r="D7867" s="11" t="s">
        <v>18</v>
      </c>
      <c r="E7867" s="12" t="s">
        <v>929</v>
      </c>
      <c r="F7867" s="12" t="s">
        <v>930</v>
      </c>
      <c r="G7867" s="12" t="s">
        <v>40</v>
      </c>
      <c r="H7867" s="11" t="s">
        <v>63</v>
      </c>
      <c r="I7867" s="13" t="s">
        <v>16049</v>
      </c>
      <c r="J7867" s="14" t="str">
        <f>HYPERLINK("https://www.boe.es/gazeta/dias/1839/01/31/pdfs/GMD-1839-1538.pdf#page=2","Abrir facsímil")</f>
        <v>Abrir facsímil</v>
      </c>
      <c r="K7867" s="12" t="s">
        <v>65</v>
      </c>
    </row>
    <row r="7868" spans="1:11" ht="40.049999999999997" customHeight="1" x14ac:dyDescent="0.25">
      <c r="A7868" s="11" t="s">
        <v>16050</v>
      </c>
      <c r="B7868" s="11" t="s">
        <v>16050</v>
      </c>
      <c r="C7868" s="11" t="s">
        <v>101</v>
      </c>
      <c r="D7868" s="11" t="s">
        <v>43</v>
      </c>
      <c r="E7868" s="12" t="s">
        <v>596</v>
      </c>
      <c r="F7868" s="12" t="s">
        <v>597</v>
      </c>
      <c r="G7868" s="12" t="s">
        <v>21</v>
      </c>
      <c r="H7868" s="11" t="s">
        <v>22</v>
      </c>
      <c r="I7868" s="13" t="s">
        <v>16051</v>
      </c>
      <c r="J7868" s="14" t="str">
        <f>HYPERLINK("https://www.boe.es/gazeta/dias/1839/01/23/pdfs/GMD-1839-1530.pdf#page=4","Abrir facsímil")</f>
        <v>Abrir facsímil</v>
      </c>
      <c r="K7868" s="12" t="s">
        <v>24</v>
      </c>
    </row>
    <row r="7869" spans="1:11" ht="40.049999999999997" customHeight="1" x14ac:dyDescent="0.25">
      <c r="A7869" s="11" t="s">
        <v>16052</v>
      </c>
      <c r="B7869" s="11" t="s">
        <v>16052</v>
      </c>
      <c r="C7869" s="11" t="s">
        <v>137</v>
      </c>
      <c r="D7869" s="11" t="s">
        <v>18</v>
      </c>
      <c r="E7869" s="12" t="s">
        <v>2227</v>
      </c>
      <c r="F7869" s="12" t="s">
        <v>2228</v>
      </c>
      <c r="G7869" s="12" t="s">
        <v>40</v>
      </c>
      <c r="H7869" s="11" t="s">
        <v>63</v>
      </c>
      <c r="I7869" s="13" t="s">
        <v>16053</v>
      </c>
      <c r="J7869" s="14" t="str">
        <f>HYPERLINK("https://www.boe.es/gazeta/dias/1839/12/04/pdfs/GMD-1839-1851.pdf#page=2","Abrir facsímil")</f>
        <v>Abrir facsímil</v>
      </c>
      <c r="K7869" s="12" t="s">
        <v>65</v>
      </c>
    </row>
    <row r="7870" spans="1:11" ht="40.049999999999997" customHeight="1" x14ac:dyDescent="0.25">
      <c r="A7870" s="11" t="s">
        <v>16054</v>
      </c>
      <c r="B7870" s="11" t="s">
        <v>16055</v>
      </c>
      <c r="C7870" s="11" t="s">
        <v>80</v>
      </c>
      <c r="D7870" s="11" t="s">
        <v>18</v>
      </c>
      <c r="E7870" s="12" t="s">
        <v>907</v>
      </c>
      <c r="F7870" s="12" t="s">
        <v>908</v>
      </c>
      <c r="G7870" s="12" t="s">
        <v>21</v>
      </c>
      <c r="H7870" s="11" t="s">
        <v>63</v>
      </c>
      <c r="I7870" s="13" t="s">
        <v>16056</v>
      </c>
      <c r="J7870" s="14" t="str">
        <f>HYPERLINK("https://www.boe.es/gazeta/dias/1839/07/31/pdfs/GMD-1839-1720.pdf#page=4","Abrir facsímil")</f>
        <v>Abrir facsímil</v>
      </c>
      <c r="K7870" s="12" t="s">
        <v>65</v>
      </c>
    </row>
    <row r="7871" spans="1:11" ht="40.049999999999997" customHeight="1" x14ac:dyDescent="0.25">
      <c r="A7871" s="11" t="s">
        <v>16057</v>
      </c>
      <c r="B7871" s="11" t="s">
        <v>16058</v>
      </c>
      <c r="C7871" s="11" t="s">
        <v>17</v>
      </c>
      <c r="D7871" s="11" t="s">
        <v>18</v>
      </c>
      <c r="E7871" s="12" t="s">
        <v>1008</v>
      </c>
      <c r="F7871" s="12" t="s">
        <v>1009</v>
      </c>
      <c r="G7871" s="12" t="s">
        <v>29</v>
      </c>
      <c r="H7871" s="11" t="s">
        <v>63</v>
      </c>
      <c r="I7871" s="13" t="s">
        <v>16059</v>
      </c>
      <c r="J7871" s="14" t="str">
        <f>HYPERLINK("https://www.boe.es/gazeta/dias/1839/09/07/pdfs/GMD-1839-1760.pdf#page=1","Abrir facsímil")</f>
        <v>Abrir facsímil</v>
      </c>
      <c r="K7871" s="12" t="s">
        <v>65</v>
      </c>
    </row>
    <row r="7872" spans="1:11" ht="40.049999999999997" customHeight="1" x14ac:dyDescent="0.25">
      <c r="A7872" s="11" t="s">
        <v>16060</v>
      </c>
      <c r="B7872" s="11" t="s">
        <v>16061</v>
      </c>
      <c r="C7872" s="11" t="s">
        <v>17</v>
      </c>
      <c r="D7872" s="11" t="s">
        <v>18</v>
      </c>
      <c r="E7872" s="12" t="s">
        <v>1374</v>
      </c>
      <c r="F7872" s="12" t="s">
        <v>1375</v>
      </c>
      <c r="G7872" s="12" t="s">
        <v>21</v>
      </c>
      <c r="H7872" s="11" t="s">
        <v>63</v>
      </c>
      <c r="I7872" s="13" t="s">
        <v>16062</v>
      </c>
      <c r="J7872" s="14" t="str">
        <f>HYPERLINK("https://www.boe.es/gazeta/dias/1839/07/20/pdfs/GMD-1839-1708.pdf#page=4","Abrir facsímil")</f>
        <v>Abrir facsímil</v>
      </c>
      <c r="K7872" s="12" t="s">
        <v>65</v>
      </c>
    </row>
    <row r="7873" spans="1:11" ht="40.049999999999997" customHeight="1" x14ac:dyDescent="0.25">
      <c r="A7873" s="11" t="s">
        <v>16063</v>
      </c>
      <c r="B7873" s="11" t="s">
        <v>16063</v>
      </c>
      <c r="C7873" s="11" t="s">
        <v>17</v>
      </c>
      <c r="D7873" s="11" t="s">
        <v>18</v>
      </c>
      <c r="E7873" s="12" t="s">
        <v>2463</v>
      </c>
      <c r="F7873" s="12" t="s">
        <v>2464</v>
      </c>
      <c r="G7873" s="12" t="s">
        <v>21</v>
      </c>
      <c r="H7873" s="11" t="s">
        <v>63</v>
      </c>
      <c r="I7873" s="13" t="s">
        <v>16064</v>
      </c>
      <c r="J7873" s="14" t="str">
        <f>HYPERLINK("https://www.boe.es/gazeta/dias/1839/04/26/pdfs/GMD-1839-1623.pdf#page=4","Abrir facsímil")</f>
        <v>Abrir facsímil</v>
      </c>
      <c r="K7873" s="12" t="s">
        <v>65</v>
      </c>
    </row>
    <row r="7874" spans="1:11" ht="40.049999999999997" customHeight="1" x14ac:dyDescent="0.25">
      <c r="A7874" s="11" t="s">
        <v>16065</v>
      </c>
      <c r="B7874" s="11" t="s">
        <v>16065</v>
      </c>
      <c r="C7874" s="11" t="s">
        <v>59</v>
      </c>
      <c r="D7874" s="11" t="s">
        <v>60</v>
      </c>
      <c r="E7874" s="12" t="s">
        <v>2440</v>
      </c>
      <c r="F7874" s="12" t="s">
        <v>2441</v>
      </c>
      <c r="G7874" s="12" t="s">
        <v>21</v>
      </c>
      <c r="H7874" s="11" t="s">
        <v>63</v>
      </c>
      <c r="I7874" s="13" t="s">
        <v>16066</v>
      </c>
      <c r="J7874" s="14" t="str">
        <f>HYPERLINK("https://www.boe.es/gazeta/dias/1839/12/01/pdfs/GMD-1839-1848.pdf#page=4","Abrir facsímil")</f>
        <v>Abrir facsímil</v>
      </c>
      <c r="K7874" s="12" t="s">
        <v>65</v>
      </c>
    </row>
    <row r="7875" spans="1:11" ht="40.049999999999997" customHeight="1" x14ac:dyDescent="0.25">
      <c r="A7875" s="11" t="s">
        <v>16067</v>
      </c>
      <c r="B7875" s="11" t="s">
        <v>16067</v>
      </c>
      <c r="C7875" s="11" t="s">
        <v>101</v>
      </c>
      <c r="D7875" s="11" t="s">
        <v>43</v>
      </c>
      <c r="E7875" s="12" t="s">
        <v>1807</v>
      </c>
      <c r="F7875" s="12" t="s">
        <v>1808</v>
      </c>
      <c r="G7875" s="12" t="s">
        <v>40</v>
      </c>
      <c r="H7875" s="11" t="s">
        <v>63</v>
      </c>
      <c r="I7875" s="13" t="s">
        <v>16068</v>
      </c>
      <c r="J7875" s="14" t="str">
        <f>HYPERLINK("https://www.boe.es/gazeta/dias/1839/01/29/pdfs/GMD-1839-1536.pdf#page=2","Abrir facsímil")</f>
        <v>Abrir facsímil</v>
      </c>
      <c r="K7875" s="12" t="s">
        <v>65</v>
      </c>
    </row>
    <row r="7876" spans="1:11" ht="40.049999999999997" customHeight="1" x14ac:dyDescent="0.25">
      <c r="A7876" s="11" t="s">
        <v>16069</v>
      </c>
      <c r="B7876" s="11" t="s">
        <v>16069</v>
      </c>
      <c r="C7876" s="11" t="s">
        <v>80</v>
      </c>
      <c r="D7876" s="11" t="s">
        <v>18</v>
      </c>
      <c r="E7876" s="12" t="s">
        <v>68</v>
      </c>
      <c r="F7876" s="12" t="s">
        <v>69</v>
      </c>
      <c r="G7876" s="12" t="s">
        <v>29</v>
      </c>
      <c r="H7876" s="11" t="s">
        <v>22</v>
      </c>
      <c r="I7876" s="13" t="s">
        <v>16070</v>
      </c>
      <c r="J7876" s="14" t="str">
        <f>HYPERLINK("https://www.boe.es/gazeta/dias/1839/02/09/pdfs/GMD-1839-1547.pdf#page=1","Abrir facsímil")</f>
        <v>Abrir facsímil</v>
      </c>
      <c r="K7876" s="12" t="s">
        <v>24</v>
      </c>
    </row>
    <row r="7877" spans="1:11" ht="40.049999999999997" customHeight="1" x14ac:dyDescent="0.25">
      <c r="A7877" s="11" t="s">
        <v>16071</v>
      </c>
      <c r="B7877" s="11" t="s">
        <v>16072</v>
      </c>
      <c r="C7877" s="11" t="s">
        <v>137</v>
      </c>
      <c r="D7877" s="11" t="s">
        <v>18</v>
      </c>
      <c r="E7877" s="12" t="s">
        <v>2435</v>
      </c>
      <c r="F7877" s="12" t="s">
        <v>2436</v>
      </c>
      <c r="G7877" s="12" t="s">
        <v>21</v>
      </c>
      <c r="H7877" s="11" t="s">
        <v>63</v>
      </c>
      <c r="I7877" s="13" t="s">
        <v>16073</v>
      </c>
      <c r="J7877" s="14" t="str">
        <f>HYPERLINK("https://www.boe.es/gazeta/dias/1839/07/24/pdfs/GMD-1839-1713.pdf#page=4","Abrir facsímil")</f>
        <v>Abrir facsímil</v>
      </c>
      <c r="K7877" s="12" t="s">
        <v>65</v>
      </c>
    </row>
    <row r="7878" spans="1:11" ht="40.049999999999997" customHeight="1" x14ac:dyDescent="0.25">
      <c r="A7878" s="11" t="s">
        <v>16074</v>
      </c>
      <c r="B7878" s="11" t="s">
        <v>16075</v>
      </c>
      <c r="C7878" s="11" t="s">
        <v>80</v>
      </c>
      <c r="D7878" s="11" t="s">
        <v>18</v>
      </c>
      <c r="E7878" s="12" t="s">
        <v>84</v>
      </c>
      <c r="F7878" s="12" t="s">
        <v>85</v>
      </c>
      <c r="G7878" s="12" t="s">
        <v>29</v>
      </c>
      <c r="H7878" s="11" t="s">
        <v>63</v>
      </c>
      <c r="I7878" s="13" t="s">
        <v>16076</v>
      </c>
      <c r="J7878" s="14" t="str">
        <f>HYPERLINK("https://www.boe.es/gazeta/dias/1839/03/11/pdfs/GMD-1839-1577.pdf#page=1","Abrir facsímil")</f>
        <v>Abrir facsímil</v>
      </c>
      <c r="K7878" s="12" t="s">
        <v>65</v>
      </c>
    </row>
    <row r="7879" spans="1:11" ht="40.049999999999997" customHeight="1" x14ac:dyDescent="0.25">
      <c r="A7879" s="11" t="s">
        <v>16077</v>
      </c>
      <c r="B7879" s="11" t="s">
        <v>16078</v>
      </c>
      <c r="C7879" s="11" t="s">
        <v>80</v>
      </c>
      <c r="D7879" s="11" t="s">
        <v>18</v>
      </c>
      <c r="E7879" s="12" t="s">
        <v>2435</v>
      </c>
      <c r="F7879" s="12" t="s">
        <v>2436</v>
      </c>
      <c r="G7879" s="12" t="s">
        <v>21</v>
      </c>
      <c r="H7879" s="11" t="s">
        <v>63</v>
      </c>
      <c r="I7879" s="13" t="s">
        <v>16079</v>
      </c>
      <c r="J7879" s="14" t="str">
        <f>HYPERLINK("https://www.boe.es/gazeta/dias/1839/07/24/pdfs/GMD-1839-1713.pdf#page=4","Abrir facsímil")</f>
        <v>Abrir facsímil</v>
      </c>
      <c r="K7879" s="12" t="s">
        <v>65</v>
      </c>
    </row>
    <row r="7880" spans="1:11" ht="40.049999999999997" customHeight="1" x14ac:dyDescent="0.25">
      <c r="A7880" s="11" t="s">
        <v>16080</v>
      </c>
      <c r="B7880" s="11" t="s">
        <v>16081</v>
      </c>
      <c r="C7880" s="11" t="s">
        <v>17</v>
      </c>
      <c r="D7880" s="11" t="s">
        <v>18</v>
      </c>
      <c r="E7880" s="12" t="s">
        <v>2482</v>
      </c>
      <c r="F7880" s="12" t="s">
        <v>2483</v>
      </c>
      <c r="G7880" s="12" t="s">
        <v>29</v>
      </c>
      <c r="H7880" s="11" t="s">
        <v>63</v>
      </c>
      <c r="I7880" s="13" t="s">
        <v>16082</v>
      </c>
      <c r="J7880" s="14" t="str">
        <f>HYPERLINK("https://www.boe.es/gazeta/dias/1839/07/07/pdfs/GMD-1839-1695.pdf#page=1","Abrir facsímil")</f>
        <v>Abrir facsímil</v>
      </c>
      <c r="K7880" s="12" t="s">
        <v>65</v>
      </c>
    </row>
    <row r="7881" spans="1:11" ht="40.049999999999997" customHeight="1" x14ac:dyDescent="0.25">
      <c r="A7881" s="11" t="s">
        <v>16083</v>
      </c>
      <c r="B7881" s="11" t="s">
        <v>16083</v>
      </c>
      <c r="C7881" s="11" t="s">
        <v>80</v>
      </c>
      <c r="D7881" s="11" t="s">
        <v>18</v>
      </c>
      <c r="E7881" s="12" t="s">
        <v>489</v>
      </c>
      <c r="F7881" s="12" t="s">
        <v>490</v>
      </c>
      <c r="G7881" s="12" t="s">
        <v>29</v>
      </c>
      <c r="H7881" s="11" t="s">
        <v>63</v>
      </c>
      <c r="I7881" s="13" t="s">
        <v>16084</v>
      </c>
      <c r="J7881" s="14" t="str">
        <f>HYPERLINK("https://www.boe.es/gazeta/dias/1839/06/29/pdfs/GMD-1839-1687.pdf#page=1","Abrir facsímil")</f>
        <v>Abrir facsímil</v>
      </c>
      <c r="K7881" s="12" t="s">
        <v>65</v>
      </c>
    </row>
    <row r="7882" spans="1:11" ht="40.049999999999997" customHeight="1" x14ac:dyDescent="0.25">
      <c r="A7882" s="11" t="s">
        <v>16085</v>
      </c>
      <c r="B7882" s="11" t="s">
        <v>16086</v>
      </c>
      <c r="C7882" s="11" t="s">
        <v>80</v>
      </c>
      <c r="D7882" s="11" t="s">
        <v>173</v>
      </c>
      <c r="E7882" s="12" t="s">
        <v>346</v>
      </c>
      <c r="F7882" s="12" t="s">
        <v>347</v>
      </c>
      <c r="G7882" s="12" t="s">
        <v>21</v>
      </c>
      <c r="H7882" s="11" t="s">
        <v>63</v>
      </c>
      <c r="I7882" s="13" t="s">
        <v>16087</v>
      </c>
      <c r="J7882" s="14" t="str">
        <f>HYPERLINK("https://www.boe.es/gazeta/dias/1839/03/24/pdfs/GMD-1839-1590.pdf#page=4","Abrir facsímil")</f>
        <v>Abrir facsímil</v>
      </c>
      <c r="K7882" s="12" t="s">
        <v>65</v>
      </c>
    </row>
    <row r="7883" spans="1:11" ht="40.049999999999997" customHeight="1" x14ac:dyDescent="0.25">
      <c r="A7883" s="11" t="s">
        <v>16088</v>
      </c>
      <c r="B7883" s="11" t="s">
        <v>16088</v>
      </c>
      <c r="C7883" s="11" t="s">
        <v>17</v>
      </c>
      <c r="D7883" s="11" t="s">
        <v>18</v>
      </c>
      <c r="E7883" s="12" t="s">
        <v>826</v>
      </c>
      <c r="F7883" s="12" t="s">
        <v>827</v>
      </c>
      <c r="G7883" s="12" t="s">
        <v>21</v>
      </c>
      <c r="H7883" s="11" t="s">
        <v>63</v>
      </c>
      <c r="I7883" s="13" t="s">
        <v>16089</v>
      </c>
      <c r="J7883" s="14" t="str">
        <f>HYPERLINK("https://www.boe.es/gazeta/dias/1839/09/25/pdfs/GMD-1839-1781.pdf#page=4","Abrir facsímil")</f>
        <v>Abrir facsímil</v>
      </c>
      <c r="K7883" s="12" t="s">
        <v>65</v>
      </c>
    </row>
    <row r="7884" spans="1:11" ht="40.049999999999997" customHeight="1" x14ac:dyDescent="0.25">
      <c r="A7884" s="11" t="s">
        <v>16090</v>
      </c>
      <c r="B7884" s="11" t="s">
        <v>16090</v>
      </c>
      <c r="C7884" s="11" t="s">
        <v>80</v>
      </c>
      <c r="D7884" s="11" t="s">
        <v>18</v>
      </c>
      <c r="E7884" s="12" t="s">
        <v>3391</v>
      </c>
      <c r="F7884" s="12" t="s">
        <v>3392</v>
      </c>
      <c r="G7884" s="12" t="s">
        <v>21</v>
      </c>
      <c r="H7884" s="11" t="s">
        <v>63</v>
      </c>
      <c r="I7884" s="13" t="s">
        <v>16091</v>
      </c>
      <c r="J7884" s="14" t="str">
        <f>HYPERLINK("https://www.boe.es/gazeta/dias/1839/12/31/pdfs/GMD-1839-1878.pdf#page=4","Abrir facsímil")</f>
        <v>Abrir facsímil</v>
      </c>
      <c r="K7884" s="12" t="s">
        <v>65</v>
      </c>
    </row>
    <row r="7885" spans="1:11" ht="40.049999999999997" customHeight="1" x14ac:dyDescent="0.25">
      <c r="A7885" s="11" t="s">
        <v>16092</v>
      </c>
      <c r="B7885" s="11" t="s">
        <v>16092</v>
      </c>
      <c r="C7885" s="11" t="s">
        <v>80</v>
      </c>
      <c r="D7885" s="11" t="s">
        <v>18</v>
      </c>
      <c r="E7885" s="12" t="s">
        <v>4189</v>
      </c>
      <c r="F7885" s="12" t="s">
        <v>4190</v>
      </c>
      <c r="G7885" s="12" t="s">
        <v>21</v>
      </c>
      <c r="H7885" s="11" t="s">
        <v>63</v>
      </c>
      <c r="I7885" s="13" t="s">
        <v>16093</v>
      </c>
      <c r="J7885" s="14" t="str">
        <f>HYPERLINK("https://www.boe.es/gazeta/dias/1839/02/13/pdfs/GMD-1839-1551.pdf#page=4","Abrir facsímil")</f>
        <v>Abrir facsímil</v>
      </c>
      <c r="K7885" s="12" t="s">
        <v>65</v>
      </c>
    </row>
    <row r="7886" spans="1:11" ht="40.049999999999997" customHeight="1" x14ac:dyDescent="0.25">
      <c r="A7886" s="11" t="s">
        <v>16092</v>
      </c>
      <c r="B7886" s="11" t="s">
        <v>16092</v>
      </c>
      <c r="C7886" s="11" t="s">
        <v>17</v>
      </c>
      <c r="D7886" s="11" t="s">
        <v>18</v>
      </c>
      <c r="E7886" s="12" t="s">
        <v>1891</v>
      </c>
      <c r="F7886" s="12" t="s">
        <v>1892</v>
      </c>
      <c r="G7886" s="12" t="s">
        <v>21</v>
      </c>
      <c r="H7886" s="11" t="s">
        <v>63</v>
      </c>
      <c r="I7886" s="13" t="s">
        <v>16094</v>
      </c>
      <c r="J7886" s="14" t="str">
        <f>HYPERLINK("https://www.boe.es/gazeta/dias/1839/12/14/pdfs/GMD-1839-1861.pdf#page=4","Abrir facsímil")</f>
        <v>Abrir facsímil</v>
      </c>
      <c r="K7886" s="12" t="s">
        <v>65</v>
      </c>
    </row>
    <row r="7887" spans="1:11" ht="40.049999999999997" customHeight="1" x14ac:dyDescent="0.25">
      <c r="A7887" s="11" t="s">
        <v>16092</v>
      </c>
      <c r="B7887" s="11" t="s">
        <v>16092</v>
      </c>
      <c r="C7887" s="11" t="s">
        <v>17</v>
      </c>
      <c r="D7887" s="11" t="s">
        <v>18</v>
      </c>
      <c r="E7887" s="12" t="s">
        <v>1528</v>
      </c>
      <c r="F7887" s="12" t="s">
        <v>1529</v>
      </c>
      <c r="G7887" s="12" t="s">
        <v>21</v>
      </c>
      <c r="H7887" s="11" t="s">
        <v>63</v>
      </c>
      <c r="I7887" s="13" t="s">
        <v>16095</v>
      </c>
      <c r="J7887" s="14" t="str">
        <f>HYPERLINK("https://www.boe.es/gazeta/dias/1839/12/15/pdfs/GMD-1839-1862.pdf#page=4","Abrir facsímil")</f>
        <v>Abrir facsímil</v>
      </c>
      <c r="K7887" s="12" t="s">
        <v>65</v>
      </c>
    </row>
    <row r="7888" spans="1:11" ht="40.049999999999997" customHeight="1" x14ac:dyDescent="0.25">
      <c r="A7888" s="11" t="s">
        <v>16092</v>
      </c>
      <c r="B7888" s="11" t="s">
        <v>16092</v>
      </c>
      <c r="C7888" s="11" t="s">
        <v>59</v>
      </c>
      <c r="D7888" s="11" t="s">
        <v>60</v>
      </c>
      <c r="E7888" s="12" t="s">
        <v>1537</v>
      </c>
      <c r="F7888" s="12" t="s">
        <v>1538</v>
      </c>
      <c r="G7888" s="12" t="s">
        <v>21</v>
      </c>
      <c r="H7888" s="11" t="s">
        <v>63</v>
      </c>
      <c r="I7888" s="13" t="s">
        <v>16096</v>
      </c>
      <c r="J7888" s="14" t="str">
        <f>HYPERLINK("https://www.boe.es/gazeta/dias/1839/12/16/pdfs/GMD-1839-1863.pdf#page=4","Abrir facsímil")</f>
        <v>Abrir facsímil</v>
      </c>
      <c r="K7888" s="12" t="s">
        <v>65</v>
      </c>
    </row>
    <row r="7889" spans="1:11" ht="40.049999999999997" customHeight="1" x14ac:dyDescent="0.25">
      <c r="A7889" s="11" t="s">
        <v>16092</v>
      </c>
      <c r="B7889" s="11" t="s">
        <v>16092</v>
      </c>
      <c r="C7889" s="11" t="s">
        <v>137</v>
      </c>
      <c r="D7889" s="11" t="s">
        <v>18</v>
      </c>
      <c r="E7889" s="12" t="s">
        <v>479</v>
      </c>
      <c r="F7889" s="12" t="s">
        <v>480</v>
      </c>
      <c r="G7889" s="12" t="s">
        <v>29</v>
      </c>
      <c r="H7889" s="11" t="s">
        <v>63</v>
      </c>
      <c r="I7889" s="13" t="s">
        <v>16097</v>
      </c>
      <c r="J7889" s="14" t="str">
        <f>HYPERLINK("https://www.boe.es/gazeta/dias/1839/06/24/pdfs/GMD-1839-1682.pdf#page=1","Abrir facsímil")</f>
        <v>Abrir facsímil</v>
      </c>
      <c r="K7889" s="12" t="s">
        <v>65</v>
      </c>
    </row>
    <row r="7890" spans="1:11" ht="40.049999999999997" customHeight="1" x14ac:dyDescent="0.25">
      <c r="A7890" s="11" t="s">
        <v>16098</v>
      </c>
      <c r="B7890" s="11" t="s">
        <v>16099</v>
      </c>
      <c r="C7890" s="11" t="s">
        <v>17</v>
      </c>
      <c r="D7890" s="11" t="s">
        <v>18</v>
      </c>
      <c r="E7890" s="12" t="s">
        <v>38</v>
      </c>
      <c r="F7890" s="12" t="s">
        <v>39</v>
      </c>
      <c r="G7890" s="12" t="s">
        <v>40</v>
      </c>
      <c r="H7890" s="11" t="s">
        <v>63</v>
      </c>
      <c r="I7890" s="13" t="s">
        <v>16100</v>
      </c>
      <c r="J7890" s="14" t="str">
        <f>HYPERLINK("https://www.boe.es/gazeta/dias/1839/08/08/pdfs/GMD-1839-1728.pdf#page=2","Abrir facsímil")</f>
        <v>Abrir facsímil</v>
      </c>
      <c r="K7890" s="12" t="s">
        <v>65</v>
      </c>
    </row>
    <row r="7891" spans="1:11" ht="40.049999999999997" customHeight="1" x14ac:dyDescent="0.25">
      <c r="A7891" s="11" t="s">
        <v>16101</v>
      </c>
      <c r="B7891" s="11" t="s">
        <v>16102</v>
      </c>
      <c r="C7891" s="11" t="s">
        <v>80</v>
      </c>
      <c r="D7891" s="11" t="s">
        <v>18</v>
      </c>
      <c r="E7891" s="12" t="s">
        <v>587</v>
      </c>
      <c r="F7891" s="12" t="s">
        <v>588</v>
      </c>
      <c r="G7891" s="12" t="s">
        <v>21</v>
      </c>
      <c r="H7891" s="11" t="s">
        <v>63</v>
      </c>
      <c r="I7891" s="13" t="s">
        <v>16103</v>
      </c>
      <c r="J7891" s="14" t="str">
        <f>HYPERLINK("https://www.boe.es/gazeta/dias/1839/05/02/pdfs/GMD-1839-1629.pdf#page=4","Abrir facsímil")</f>
        <v>Abrir facsímil</v>
      </c>
      <c r="K7891" s="12" t="s">
        <v>65</v>
      </c>
    </row>
    <row r="7892" spans="1:11" ht="40.049999999999997" customHeight="1" x14ac:dyDescent="0.25">
      <c r="A7892" s="11" t="s">
        <v>16101</v>
      </c>
      <c r="B7892" s="11" t="s">
        <v>16102</v>
      </c>
      <c r="C7892" s="11" t="s">
        <v>137</v>
      </c>
      <c r="D7892" s="11" t="s">
        <v>18</v>
      </c>
      <c r="E7892" s="12" t="s">
        <v>76</v>
      </c>
      <c r="F7892" s="12" t="s">
        <v>77</v>
      </c>
      <c r="G7892" s="12" t="s">
        <v>40</v>
      </c>
      <c r="H7892" s="11" t="s">
        <v>63</v>
      </c>
      <c r="I7892" s="13" t="s">
        <v>16104</v>
      </c>
      <c r="J7892" s="14" t="str">
        <f>HYPERLINK("https://www.boe.es/gazeta/dias/1839/03/13/pdfs/GMD-1839-1579.pdf#page=2","Abrir facsímil")</f>
        <v>Abrir facsímil</v>
      </c>
      <c r="K7892" s="12" t="s">
        <v>65</v>
      </c>
    </row>
    <row r="7893" spans="1:11" ht="40.049999999999997" customHeight="1" x14ac:dyDescent="0.25">
      <c r="A7893" s="11" t="s">
        <v>16101</v>
      </c>
      <c r="B7893" s="11" t="s">
        <v>16102</v>
      </c>
      <c r="C7893" s="11" t="s">
        <v>17</v>
      </c>
      <c r="D7893" s="11" t="s">
        <v>18</v>
      </c>
      <c r="E7893" s="12" t="s">
        <v>1528</v>
      </c>
      <c r="F7893" s="12" t="s">
        <v>1529</v>
      </c>
      <c r="G7893" s="12" t="s">
        <v>21</v>
      </c>
      <c r="H7893" s="11" t="s">
        <v>63</v>
      </c>
      <c r="I7893" s="13" t="s">
        <v>16105</v>
      </c>
      <c r="J7893" s="14" t="str">
        <f>HYPERLINK("https://www.boe.es/gazeta/dias/1839/12/15/pdfs/GMD-1839-1862.pdf#page=4","Abrir facsímil")</f>
        <v>Abrir facsímil</v>
      </c>
      <c r="K7893" s="12" t="s">
        <v>65</v>
      </c>
    </row>
    <row r="7894" spans="1:11" ht="40.049999999999997" customHeight="1" x14ac:dyDescent="0.25">
      <c r="A7894" s="11" t="s">
        <v>16101</v>
      </c>
      <c r="B7894" s="11" t="s">
        <v>16102</v>
      </c>
      <c r="C7894" s="11" t="s">
        <v>17</v>
      </c>
      <c r="D7894" s="11" t="s">
        <v>18</v>
      </c>
      <c r="E7894" s="12" t="s">
        <v>2392</v>
      </c>
      <c r="F7894" s="12" t="s">
        <v>2393</v>
      </c>
      <c r="G7894" s="12" t="s">
        <v>29</v>
      </c>
      <c r="H7894" s="11" t="s">
        <v>63</v>
      </c>
      <c r="I7894" s="13" t="s">
        <v>16106</v>
      </c>
      <c r="J7894" s="14" t="str">
        <f>HYPERLINK("https://www.boe.es/gazeta/dias/1839/05/21/pdfs/GMD-1839-1648.pdf#page=1","Abrir facsímil")</f>
        <v>Abrir facsímil</v>
      </c>
      <c r="K7894" s="12" t="s">
        <v>65</v>
      </c>
    </row>
    <row r="7895" spans="1:11" ht="40.049999999999997" customHeight="1" x14ac:dyDescent="0.25">
      <c r="A7895" s="11" t="s">
        <v>16107</v>
      </c>
      <c r="B7895" s="11" t="s">
        <v>16108</v>
      </c>
      <c r="C7895" s="11" t="s">
        <v>137</v>
      </c>
      <c r="D7895" s="11" t="s">
        <v>18</v>
      </c>
      <c r="E7895" s="12" t="s">
        <v>2851</v>
      </c>
      <c r="F7895" s="12" t="s">
        <v>2852</v>
      </c>
      <c r="G7895" s="12" t="s">
        <v>29</v>
      </c>
      <c r="H7895" s="11" t="s">
        <v>63</v>
      </c>
      <c r="I7895" s="13" t="s">
        <v>16109</v>
      </c>
      <c r="J7895" s="14" t="str">
        <f>HYPERLINK("https://www.boe.es/gazeta/dias/1839/05/16/pdfs/GMD-1839-1643.pdf#page=1","Abrir facsímil")</f>
        <v>Abrir facsímil</v>
      </c>
      <c r="K7895" s="12" t="s">
        <v>65</v>
      </c>
    </row>
    <row r="7896" spans="1:11" ht="40.049999999999997" customHeight="1" x14ac:dyDescent="0.25">
      <c r="A7896" s="11" t="s">
        <v>16110</v>
      </c>
      <c r="B7896" s="11" t="s">
        <v>16111</v>
      </c>
      <c r="C7896" s="11" t="s">
        <v>59</v>
      </c>
      <c r="D7896" s="11" t="s">
        <v>60</v>
      </c>
      <c r="E7896" s="12" t="s">
        <v>1813</v>
      </c>
      <c r="F7896" s="12" t="s">
        <v>1814</v>
      </c>
      <c r="G7896" s="12" t="s">
        <v>40</v>
      </c>
      <c r="H7896" s="11" t="s">
        <v>63</v>
      </c>
      <c r="I7896" s="13" t="s">
        <v>16112</v>
      </c>
      <c r="J7896" s="14" t="str">
        <f>HYPERLINK("https://www.boe.es/gazeta/dias/1839/09/02/pdfs/GMD-1839-1754.pdf#page=2","Abrir facsímil")</f>
        <v>Abrir facsímil</v>
      </c>
      <c r="K7896" s="12" t="s">
        <v>65</v>
      </c>
    </row>
    <row r="7897" spans="1:11" ht="40.049999999999997" customHeight="1" x14ac:dyDescent="0.25">
      <c r="A7897" s="11" t="s">
        <v>16113</v>
      </c>
      <c r="B7897" s="11" t="s">
        <v>16114</v>
      </c>
      <c r="C7897" s="11" t="s">
        <v>17</v>
      </c>
      <c r="D7897" s="11" t="s">
        <v>18</v>
      </c>
      <c r="E7897" s="12" t="s">
        <v>369</v>
      </c>
      <c r="F7897" s="12" t="s">
        <v>370</v>
      </c>
      <c r="G7897" s="12" t="s">
        <v>46</v>
      </c>
      <c r="H7897" s="11" t="s">
        <v>63</v>
      </c>
      <c r="I7897" s="13" t="s">
        <v>16115</v>
      </c>
      <c r="J7897" s="14" t="str">
        <f>HYPERLINK("https://www.boe.es/gazeta/dias/1839/11/01/pdfs/GMD-1839-1818.pdf#page=3","Abrir facsímil")</f>
        <v>Abrir facsímil</v>
      </c>
      <c r="K7897" s="12" t="s">
        <v>65</v>
      </c>
    </row>
    <row r="7898" spans="1:11" ht="40.049999999999997" customHeight="1" x14ac:dyDescent="0.25">
      <c r="A7898" s="11" t="s">
        <v>16116</v>
      </c>
      <c r="B7898" s="11" t="s">
        <v>16117</v>
      </c>
      <c r="C7898" s="11" t="s">
        <v>59</v>
      </c>
      <c r="D7898" s="11" t="s">
        <v>60</v>
      </c>
      <c r="E7898" s="12" t="s">
        <v>385</v>
      </c>
      <c r="F7898" s="12" t="s">
        <v>386</v>
      </c>
      <c r="G7898" s="12" t="s">
        <v>40</v>
      </c>
      <c r="H7898" s="11" t="s">
        <v>63</v>
      </c>
      <c r="I7898" s="13" t="s">
        <v>16118</v>
      </c>
      <c r="J7898" s="14" t="str">
        <f>HYPERLINK("https://www.boe.es/gazeta/dias/1839/08/01/pdfs/GMD-1839-1721.pdf#page=2","Abrir facsímil")</f>
        <v>Abrir facsímil</v>
      </c>
      <c r="K7898" s="12" t="s">
        <v>65</v>
      </c>
    </row>
    <row r="7899" spans="1:11" ht="40.049999999999997" customHeight="1" x14ac:dyDescent="0.25">
      <c r="A7899" s="11" t="s">
        <v>16116</v>
      </c>
      <c r="B7899" s="11" t="s">
        <v>16117</v>
      </c>
      <c r="C7899" s="11" t="s">
        <v>59</v>
      </c>
      <c r="D7899" s="11" t="s">
        <v>60</v>
      </c>
      <c r="E7899" s="12" t="s">
        <v>479</v>
      </c>
      <c r="F7899" s="12" t="s">
        <v>480</v>
      </c>
      <c r="G7899" s="12" t="s">
        <v>29</v>
      </c>
      <c r="H7899" s="11" t="s">
        <v>63</v>
      </c>
      <c r="I7899" s="13" t="s">
        <v>16119</v>
      </c>
      <c r="J7899" s="14" t="str">
        <f>HYPERLINK("https://www.boe.es/gazeta/dias/1839/06/24/pdfs/GMD-1839-1682.pdf#page=1","Abrir facsímil")</f>
        <v>Abrir facsímil</v>
      </c>
      <c r="K7899" s="12" t="s">
        <v>65</v>
      </c>
    </row>
    <row r="7900" spans="1:11" ht="40.049999999999997" customHeight="1" x14ac:dyDescent="0.25">
      <c r="A7900" s="11" t="s">
        <v>16116</v>
      </c>
      <c r="B7900" s="11" t="s">
        <v>16117</v>
      </c>
      <c r="C7900" s="11" t="s">
        <v>17</v>
      </c>
      <c r="D7900" s="11" t="s">
        <v>18</v>
      </c>
      <c r="E7900" s="12" t="s">
        <v>474</v>
      </c>
      <c r="F7900" s="12" t="s">
        <v>475</v>
      </c>
      <c r="G7900" s="12" t="s">
        <v>46</v>
      </c>
      <c r="H7900" s="11" t="s">
        <v>63</v>
      </c>
      <c r="I7900" s="13" t="s">
        <v>16120</v>
      </c>
      <c r="J7900" s="14" t="str">
        <f>HYPERLINK("https://www.boe.es/gazeta/dias/1839/03/31/pdfs/GMD-1839-1597.pdf#page=3","Abrir facsímil")</f>
        <v>Abrir facsímil</v>
      </c>
      <c r="K7900" s="12" t="s">
        <v>65</v>
      </c>
    </row>
    <row r="7901" spans="1:11" ht="40.049999999999997" customHeight="1" x14ac:dyDescent="0.25">
      <c r="A7901" s="11" t="s">
        <v>16121</v>
      </c>
      <c r="B7901" s="11" t="s">
        <v>16122</v>
      </c>
      <c r="C7901" s="11" t="s">
        <v>101</v>
      </c>
      <c r="D7901" s="11" t="s">
        <v>102</v>
      </c>
      <c r="E7901" s="12" t="s">
        <v>5806</v>
      </c>
      <c r="F7901" s="12" t="s">
        <v>5807</v>
      </c>
      <c r="G7901" s="12" t="s">
        <v>29</v>
      </c>
      <c r="H7901" s="11" t="s">
        <v>63</v>
      </c>
      <c r="I7901" s="13" t="s">
        <v>16123</v>
      </c>
      <c r="J7901" s="14" t="str">
        <f>HYPERLINK("https://www.boe.es/gazeta/dias/1839/02/16/pdfs/GMD-1839-1554.pdf#page=1","Abrir facsímil")</f>
        <v>Abrir facsímil</v>
      </c>
      <c r="K7901" s="12" t="s">
        <v>65</v>
      </c>
    </row>
    <row r="7902" spans="1:11" ht="40.049999999999997" customHeight="1" x14ac:dyDescent="0.25">
      <c r="A7902" s="11" t="s">
        <v>16124</v>
      </c>
      <c r="B7902" s="11" t="s">
        <v>16125</v>
      </c>
      <c r="C7902" s="11" t="s">
        <v>137</v>
      </c>
      <c r="D7902" s="11" t="s">
        <v>18</v>
      </c>
      <c r="E7902" s="12" t="s">
        <v>2440</v>
      </c>
      <c r="F7902" s="12" t="s">
        <v>2441</v>
      </c>
      <c r="G7902" s="12" t="s">
        <v>21</v>
      </c>
      <c r="H7902" s="11" t="s">
        <v>63</v>
      </c>
      <c r="I7902" s="13" t="s">
        <v>16126</v>
      </c>
      <c r="J7902" s="14" t="str">
        <f>HYPERLINK("https://www.boe.es/gazeta/dias/1839/12/01/pdfs/GMD-1839-1848.pdf#page=4","Abrir facsímil")</f>
        <v>Abrir facsímil</v>
      </c>
      <c r="K7902" s="12" t="s">
        <v>65</v>
      </c>
    </row>
    <row r="7903" spans="1:11" ht="40.049999999999997" customHeight="1" x14ac:dyDescent="0.25">
      <c r="A7903" s="11" t="s">
        <v>16124</v>
      </c>
      <c r="B7903" s="11" t="s">
        <v>16125</v>
      </c>
      <c r="C7903" s="11" t="s">
        <v>17</v>
      </c>
      <c r="D7903" s="11" t="s">
        <v>18</v>
      </c>
      <c r="E7903" s="12" t="s">
        <v>522</v>
      </c>
      <c r="F7903" s="12" t="s">
        <v>523</v>
      </c>
      <c r="G7903" s="12" t="s">
        <v>40</v>
      </c>
      <c r="H7903" s="11" t="s">
        <v>63</v>
      </c>
      <c r="I7903" s="13" t="s">
        <v>16127</v>
      </c>
      <c r="J7903" s="14" t="str">
        <f>HYPERLINK("https://www.boe.es/gazeta/dias/1839/08/27/pdfs/GMD-1839-1748.pdf#page=2","Abrir facsímil")</f>
        <v>Abrir facsímil</v>
      </c>
      <c r="K7903" s="12" t="s">
        <v>65</v>
      </c>
    </row>
    <row r="7904" spans="1:11" ht="40.049999999999997" customHeight="1" x14ac:dyDescent="0.25">
      <c r="A7904" s="11" t="s">
        <v>16128</v>
      </c>
      <c r="B7904" s="11" t="s">
        <v>16129</v>
      </c>
      <c r="C7904" s="11" t="s">
        <v>80</v>
      </c>
      <c r="D7904" s="11" t="s">
        <v>18</v>
      </c>
      <c r="E7904" s="12" t="s">
        <v>185</v>
      </c>
      <c r="F7904" s="12" t="s">
        <v>186</v>
      </c>
      <c r="G7904" s="12" t="s">
        <v>29</v>
      </c>
      <c r="H7904" s="11" t="s">
        <v>63</v>
      </c>
      <c r="I7904" s="13" t="s">
        <v>16130</v>
      </c>
      <c r="J7904" s="14" t="str">
        <f>HYPERLINK("https://www.boe.es/gazeta/dias/1839/01/15/pdfs/GMD-1839-1522.pdf#page=1","Abrir facsímil")</f>
        <v>Abrir facsímil</v>
      </c>
      <c r="K7904" s="12" t="s">
        <v>65</v>
      </c>
    </row>
    <row r="7905" spans="1:11" ht="40.049999999999997" customHeight="1" x14ac:dyDescent="0.25">
      <c r="A7905" s="11" t="s">
        <v>16131</v>
      </c>
      <c r="B7905" s="11" t="s">
        <v>16132</v>
      </c>
      <c r="C7905" s="11" t="s">
        <v>80</v>
      </c>
      <c r="D7905" s="11" t="s">
        <v>18</v>
      </c>
      <c r="E7905" s="12" t="s">
        <v>1512</v>
      </c>
      <c r="F7905" s="12" t="s">
        <v>1513</v>
      </c>
      <c r="G7905" s="12" t="s">
        <v>21</v>
      </c>
      <c r="H7905" s="11" t="s">
        <v>63</v>
      </c>
      <c r="I7905" s="13" t="s">
        <v>16133</v>
      </c>
      <c r="J7905" s="14" t="str">
        <f>HYPERLINK("https://www.boe.es/gazeta/dias/1839/04/13/pdfs/GMD-1839-1610.pdf#page=4","Abrir facsímil")</f>
        <v>Abrir facsímil</v>
      </c>
      <c r="K7905" s="12" t="s">
        <v>65</v>
      </c>
    </row>
    <row r="7906" spans="1:11" ht="40.049999999999997" customHeight="1" x14ac:dyDescent="0.25">
      <c r="A7906" s="11" t="s">
        <v>16134</v>
      </c>
      <c r="B7906" s="11" t="s">
        <v>16135</v>
      </c>
      <c r="C7906" s="11" t="s">
        <v>17</v>
      </c>
      <c r="D7906" s="11" t="s">
        <v>18</v>
      </c>
      <c r="E7906" s="12" t="s">
        <v>984</v>
      </c>
      <c r="F7906" s="12" t="s">
        <v>985</v>
      </c>
      <c r="G7906" s="12" t="s">
        <v>46</v>
      </c>
      <c r="H7906" s="11" t="s">
        <v>22</v>
      </c>
      <c r="I7906" s="13" t="s">
        <v>16136</v>
      </c>
      <c r="J7906" s="14" t="str">
        <f>HYPERLINK("https://www.boe.es/gazeta/dias/1839/04/10/pdfs/GMD-1839-1607.pdf#page=3","Abrir facsímil")</f>
        <v>Abrir facsímil</v>
      </c>
      <c r="K7906" s="12" t="s">
        <v>24</v>
      </c>
    </row>
    <row r="7907" spans="1:11" ht="40.049999999999997" customHeight="1" x14ac:dyDescent="0.25">
      <c r="A7907" s="11" t="s">
        <v>16137</v>
      </c>
      <c r="B7907" s="11" t="s">
        <v>16138</v>
      </c>
      <c r="C7907" s="11" t="s">
        <v>80</v>
      </c>
      <c r="D7907" s="11" t="s">
        <v>18</v>
      </c>
      <c r="E7907" s="12" t="s">
        <v>587</v>
      </c>
      <c r="F7907" s="12" t="s">
        <v>588</v>
      </c>
      <c r="G7907" s="12" t="s">
        <v>21</v>
      </c>
      <c r="H7907" s="11" t="s">
        <v>63</v>
      </c>
      <c r="I7907" s="13" t="s">
        <v>16139</v>
      </c>
      <c r="J7907" s="14" t="str">
        <f>HYPERLINK("https://www.boe.es/gazeta/dias/1839/05/02/pdfs/GMD-1839-1629.pdf#page=4","Abrir facsímil")</f>
        <v>Abrir facsímil</v>
      </c>
      <c r="K7907" s="12" t="s">
        <v>65</v>
      </c>
    </row>
    <row r="7908" spans="1:11" ht="40.049999999999997" customHeight="1" x14ac:dyDescent="0.25">
      <c r="A7908" s="11" t="s">
        <v>16137</v>
      </c>
      <c r="B7908" s="11" t="s">
        <v>16138</v>
      </c>
      <c r="C7908" s="11" t="s">
        <v>17</v>
      </c>
      <c r="D7908" s="11" t="s">
        <v>18</v>
      </c>
      <c r="E7908" s="12" t="s">
        <v>1611</v>
      </c>
      <c r="F7908" s="12" t="s">
        <v>1612</v>
      </c>
      <c r="G7908" s="12" t="s">
        <v>21</v>
      </c>
      <c r="H7908" s="11" t="s">
        <v>63</v>
      </c>
      <c r="I7908" s="13" t="s">
        <v>16140</v>
      </c>
      <c r="J7908" s="14" t="str">
        <f>HYPERLINK("https://www.boe.es/gazeta/dias/1839/05/03/pdfs/GMD-1839-1630.pdf#page=4","Abrir facsímil")</f>
        <v>Abrir facsímil</v>
      </c>
      <c r="K7908" s="12" t="s">
        <v>65</v>
      </c>
    </row>
    <row r="7909" spans="1:11" ht="40.049999999999997" customHeight="1" x14ac:dyDescent="0.25">
      <c r="A7909" s="11" t="s">
        <v>16137</v>
      </c>
      <c r="B7909" s="11" t="s">
        <v>16138</v>
      </c>
      <c r="C7909" s="11" t="s">
        <v>17</v>
      </c>
      <c r="D7909" s="11" t="s">
        <v>18</v>
      </c>
      <c r="E7909" s="12" t="s">
        <v>291</v>
      </c>
      <c r="F7909" s="12" t="s">
        <v>292</v>
      </c>
      <c r="G7909" s="12" t="s">
        <v>46</v>
      </c>
      <c r="H7909" s="11" t="s">
        <v>63</v>
      </c>
      <c r="I7909" s="13" t="s">
        <v>16141</v>
      </c>
      <c r="J7909" s="14" t="str">
        <f>HYPERLINK("https://www.boe.es/gazeta/dias/1839/09/04/pdfs/GMD-1839-1757.pdf#page=3","Abrir facsímil")</f>
        <v>Abrir facsímil</v>
      </c>
      <c r="K7909" s="12" t="s">
        <v>65</v>
      </c>
    </row>
    <row r="7910" spans="1:11" ht="40.049999999999997" customHeight="1" x14ac:dyDescent="0.25">
      <c r="A7910" s="11" t="s">
        <v>16137</v>
      </c>
      <c r="B7910" s="11" t="s">
        <v>16138</v>
      </c>
      <c r="C7910" s="11" t="s">
        <v>17</v>
      </c>
      <c r="D7910" s="11" t="s">
        <v>18</v>
      </c>
      <c r="E7910" s="12" t="s">
        <v>3566</v>
      </c>
      <c r="F7910" s="12" t="s">
        <v>3567</v>
      </c>
      <c r="G7910" s="12" t="s">
        <v>21</v>
      </c>
      <c r="H7910" s="11" t="s">
        <v>63</v>
      </c>
      <c r="I7910" s="13" t="s">
        <v>16142</v>
      </c>
      <c r="J7910" s="14" t="str">
        <f>HYPERLINK("https://www.boe.es/gazeta/dias/1839/07/06/pdfs/GMD-1839-1694.pdf#page=4","Abrir facsímil")</f>
        <v>Abrir facsímil</v>
      </c>
      <c r="K7910" s="12" t="s">
        <v>65</v>
      </c>
    </row>
    <row r="7911" spans="1:11" ht="40.049999999999997" customHeight="1" x14ac:dyDescent="0.25">
      <c r="A7911" s="11" t="s">
        <v>16137</v>
      </c>
      <c r="B7911" s="11" t="s">
        <v>16138</v>
      </c>
      <c r="C7911" s="11" t="s">
        <v>17</v>
      </c>
      <c r="D7911" s="11" t="s">
        <v>18</v>
      </c>
      <c r="E7911" s="12" t="s">
        <v>303</v>
      </c>
      <c r="F7911" s="12" t="s">
        <v>304</v>
      </c>
      <c r="G7911" s="12" t="s">
        <v>305</v>
      </c>
      <c r="H7911" s="11" t="s">
        <v>63</v>
      </c>
      <c r="I7911" s="13" t="s">
        <v>16143</v>
      </c>
      <c r="J7911" s="14" t="str">
        <f>HYPERLINK("https://www.boe.es/gazeta/dias/1839/10/06/pdfs/GMD-1839-1792.pdf#page=6","Abrir facsímil")</f>
        <v>Abrir facsímil</v>
      </c>
      <c r="K7911" s="12" t="s">
        <v>65</v>
      </c>
    </row>
    <row r="7912" spans="1:11" ht="40.049999999999997" customHeight="1" x14ac:dyDescent="0.25">
      <c r="A7912" s="11" t="s">
        <v>16137</v>
      </c>
      <c r="B7912" s="11" t="s">
        <v>16138</v>
      </c>
      <c r="C7912" s="11" t="s">
        <v>17</v>
      </c>
      <c r="D7912" s="11" t="s">
        <v>18</v>
      </c>
      <c r="E7912" s="12" t="s">
        <v>1631</v>
      </c>
      <c r="F7912" s="12" t="s">
        <v>1632</v>
      </c>
      <c r="G7912" s="12" t="s">
        <v>21</v>
      </c>
      <c r="H7912" s="11" t="s">
        <v>63</v>
      </c>
      <c r="I7912" s="13" t="s">
        <v>16144</v>
      </c>
      <c r="J7912" s="14" t="str">
        <f>HYPERLINK("https://www.boe.es/gazeta/dias/1839/05/10/pdfs/GMD-1839-1637.pdf#page=4","Abrir facsímil")</f>
        <v>Abrir facsímil</v>
      </c>
      <c r="K7912" s="12" t="s">
        <v>65</v>
      </c>
    </row>
    <row r="7913" spans="1:11" ht="40.049999999999997" customHeight="1" x14ac:dyDescent="0.25">
      <c r="A7913" s="11" t="s">
        <v>16137</v>
      </c>
      <c r="B7913" s="11" t="s">
        <v>16138</v>
      </c>
      <c r="C7913" s="11" t="s">
        <v>59</v>
      </c>
      <c r="D7913" s="11" t="s">
        <v>60</v>
      </c>
      <c r="E7913" s="12" t="s">
        <v>1391</v>
      </c>
      <c r="F7913" s="12" t="s">
        <v>1392</v>
      </c>
      <c r="G7913" s="12" t="s">
        <v>21</v>
      </c>
      <c r="H7913" s="11" t="s">
        <v>63</v>
      </c>
      <c r="I7913" s="13" t="s">
        <v>16145</v>
      </c>
      <c r="J7913" s="14" t="str">
        <f>HYPERLINK("https://www.boe.es/gazeta/dias/1839/05/12/pdfs/GMD-1839-1639.pdf#page=4","Abrir facsímil")</f>
        <v>Abrir facsímil</v>
      </c>
      <c r="K7913" s="12" t="s">
        <v>65</v>
      </c>
    </row>
    <row r="7914" spans="1:11" ht="40.049999999999997" customHeight="1" x14ac:dyDescent="0.25">
      <c r="A7914" s="11" t="s">
        <v>16137</v>
      </c>
      <c r="B7914" s="11" t="s">
        <v>16138</v>
      </c>
      <c r="C7914" s="11" t="s">
        <v>80</v>
      </c>
      <c r="D7914" s="11" t="s">
        <v>18</v>
      </c>
      <c r="E7914" s="12" t="s">
        <v>2919</v>
      </c>
      <c r="F7914" s="12" t="s">
        <v>2920</v>
      </c>
      <c r="G7914" s="12" t="s">
        <v>21</v>
      </c>
      <c r="H7914" s="11" t="s">
        <v>63</v>
      </c>
      <c r="I7914" s="13" t="s">
        <v>16146</v>
      </c>
      <c r="J7914" s="14" t="str">
        <f>HYPERLINK("https://www.boe.es/gazeta/dias/1839/11/12/pdfs/GMD-1839-1829.pdf#page=4","Abrir facsímil")</f>
        <v>Abrir facsímil</v>
      </c>
      <c r="K7914" s="12" t="s">
        <v>65</v>
      </c>
    </row>
    <row r="7915" spans="1:11" ht="40.049999999999997" customHeight="1" x14ac:dyDescent="0.25">
      <c r="A7915" s="11" t="s">
        <v>16137</v>
      </c>
      <c r="B7915" s="11" t="s">
        <v>16138</v>
      </c>
      <c r="C7915" s="11" t="s">
        <v>80</v>
      </c>
      <c r="D7915" s="11" t="s">
        <v>18</v>
      </c>
      <c r="E7915" s="12" t="s">
        <v>1100</v>
      </c>
      <c r="F7915" s="12" t="s">
        <v>1101</v>
      </c>
      <c r="G7915" s="12" t="s">
        <v>21</v>
      </c>
      <c r="H7915" s="11" t="s">
        <v>63</v>
      </c>
      <c r="I7915" s="13" t="s">
        <v>16147</v>
      </c>
      <c r="J7915" s="14" t="str">
        <f>HYPERLINK("https://www.boe.es/gazeta/dias/1839/09/13/pdfs/GMD-1839-1766.pdf#page=4","Abrir facsímil")</f>
        <v>Abrir facsímil</v>
      </c>
      <c r="K7915" s="12" t="s">
        <v>65</v>
      </c>
    </row>
    <row r="7916" spans="1:11" ht="40.049999999999997" customHeight="1" x14ac:dyDescent="0.25">
      <c r="A7916" s="11" t="s">
        <v>16137</v>
      </c>
      <c r="B7916" s="11" t="s">
        <v>16138</v>
      </c>
      <c r="C7916" s="11" t="s">
        <v>80</v>
      </c>
      <c r="D7916" s="11" t="s">
        <v>18</v>
      </c>
      <c r="E7916" s="12" t="s">
        <v>33</v>
      </c>
      <c r="F7916" s="12" t="s">
        <v>34</v>
      </c>
      <c r="G7916" s="12" t="s">
        <v>21</v>
      </c>
      <c r="H7916" s="11" t="s">
        <v>63</v>
      </c>
      <c r="I7916" s="13" t="s">
        <v>16148</v>
      </c>
      <c r="J7916" s="14" t="str">
        <f>HYPERLINK("https://www.boe.es/gazeta/dias/1839/12/13/pdfs/GMD-1839-1860.pdf#page=4","Abrir facsímil")</f>
        <v>Abrir facsímil</v>
      </c>
      <c r="K7916" s="12" t="s">
        <v>65</v>
      </c>
    </row>
    <row r="7917" spans="1:11" ht="40.049999999999997" customHeight="1" x14ac:dyDescent="0.25">
      <c r="A7917" s="11" t="s">
        <v>16137</v>
      </c>
      <c r="B7917" s="11" t="s">
        <v>16138</v>
      </c>
      <c r="C7917" s="11" t="s">
        <v>80</v>
      </c>
      <c r="D7917" s="11" t="s">
        <v>18</v>
      </c>
      <c r="E7917" s="12" t="s">
        <v>946</v>
      </c>
      <c r="F7917" s="12" t="s">
        <v>947</v>
      </c>
      <c r="G7917" s="12" t="s">
        <v>21</v>
      </c>
      <c r="H7917" s="11" t="s">
        <v>63</v>
      </c>
      <c r="I7917" s="13" t="s">
        <v>16149</v>
      </c>
      <c r="J7917" s="14" t="str">
        <f>HYPERLINK("https://www.boe.es/gazeta/dias/1839/04/15/pdfs/GMD-1839-1612.pdf#page=4","Abrir facsímil")</f>
        <v>Abrir facsímil</v>
      </c>
      <c r="K7917" s="12" t="s">
        <v>65</v>
      </c>
    </row>
    <row r="7918" spans="1:11" ht="40.049999999999997" customHeight="1" x14ac:dyDescent="0.25">
      <c r="A7918" s="11" t="s">
        <v>16137</v>
      </c>
      <c r="B7918" s="11" t="s">
        <v>16138</v>
      </c>
      <c r="C7918" s="11" t="s">
        <v>137</v>
      </c>
      <c r="D7918" s="11" t="s">
        <v>18</v>
      </c>
      <c r="E7918" s="12" t="s">
        <v>1528</v>
      </c>
      <c r="F7918" s="12" t="s">
        <v>1529</v>
      </c>
      <c r="G7918" s="12" t="s">
        <v>21</v>
      </c>
      <c r="H7918" s="11" t="s">
        <v>63</v>
      </c>
      <c r="I7918" s="13" t="s">
        <v>16150</v>
      </c>
      <c r="J7918" s="14" t="str">
        <f>HYPERLINK("https://www.boe.es/gazeta/dias/1839/12/15/pdfs/GMD-1839-1862.pdf#page=4","Abrir facsímil")</f>
        <v>Abrir facsímil</v>
      </c>
      <c r="K7918" s="12" t="s">
        <v>65</v>
      </c>
    </row>
    <row r="7919" spans="1:11" ht="40.049999999999997" customHeight="1" x14ac:dyDescent="0.25">
      <c r="A7919" s="11" t="s">
        <v>16137</v>
      </c>
      <c r="B7919" s="11" t="s">
        <v>16138</v>
      </c>
      <c r="C7919" s="11" t="s">
        <v>80</v>
      </c>
      <c r="D7919" s="11" t="s">
        <v>18</v>
      </c>
      <c r="E7919" s="12" t="s">
        <v>1537</v>
      </c>
      <c r="F7919" s="12" t="s">
        <v>1538</v>
      </c>
      <c r="G7919" s="12" t="s">
        <v>21</v>
      </c>
      <c r="H7919" s="11" t="s">
        <v>63</v>
      </c>
      <c r="I7919" s="13" t="s">
        <v>16151</v>
      </c>
      <c r="J7919" s="14" t="str">
        <f>HYPERLINK("https://www.boe.es/gazeta/dias/1839/12/16/pdfs/GMD-1839-1863.pdf#page=4","Abrir facsímil")</f>
        <v>Abrir facsímil</v>
      </c>
      <c r="K7919" s="12" t="s">
        <v>65</v>
      </c>
    </row>
    <row r="7920" spans="1:11" ht="40.049999999999997" customHeight="1" x14ac:dyDescent="0.25">
      <c r="A7920" s="11" t="s">
        <v>16137</v>
      </c>
      <c r="B7920" s="11" t="s">
        <v>16138</v>
      </c>
      <c r="C7920" s="11" t="s">
        <v>17</v>
      </c>
      <c r="D7920" s="11" t="s">
        <v>18</v>
      </c>
      <c r="E7920" s="12" t="s">
        <v>1433</v>
      </c>
      <c r="F7920" s="12" t="s">
        <v>1434</v>
      </c>
      <c r="G7920" s="12" t="s">
        <v>21</v>
      </c>
      <c r="H7920" s="11" t="s">
        <v>63</v>
      </c>
      <c r="I7920" s="13" t="s">
        <v>16152</v>
      </c>
      <c r="J7920" s="14" t="str">
        <f>HYPERLINK("https://www.boe.es/gazeta/dias/1839/10/22/pdfs/GMD-1839-1808.pdf#page=4","Abrir facsímil")</f>
        <v>Abrir facsímil</v>
      </c>
      <c r="K7920" s="12" t="s">
        <v>65</v>
      </c>
    </row>
    <row r="7921" spans="1:11" ht="40.049999999999997" customHeight="1" x14ac:dyDescent="0.25">
      <c r="A7921" s="11" t="s">
        <v>16153</v>
      </c>
      <c r="B7921" s="11" t="s">
        <v>16154</v>
      </c>
      <c r="C7921" s="11" t="s">
        <v>137</v>
      </c>
      <c r="D7921" s="11" t="s">
        <v>18</v>
      </c>
      <c r="E7921" s="12" t="s">
        <v>76</v>
      </c>
      <c r="F7921" s="12" t="s">
        <v>77</v>
      </c>
      <c r="G7921" s="12" t="s">
        <v>46</v>
      </c>
      <c r="H7921" s="11" t="s">
        <v>63</v>
      </c>
      <c r="I7921" s="13" t="s">
        <v>16155</v>
      </c>
      <c r="J7921" s="14" t="str">
        <f>HYPERLINK("https://www.boe.es/gazeta/dias/1839/03/13/pdfs/GMD-1839-1579.pdf#page=3","Abrir facsímil")</f>
        <v>Abrir facsímil</v>
      </c>
      <c r="K7921" s="12" t="s">
        <v>65</v>
      </c>
    </row>
    <row r="7922" spans="1:11" ht="40.049999999999997" customHeight="1" x14ac:dyDescent="0.25">
      <c r="A7922" s="11" t="s">
        <v>16156</v>
      </c>
      <c r="B7922" s="11" t="s">
        <v>16157</v>
      </c>
      <c r="C7922" s="11" t="s">
        <v>17</v>
      </c>
      <c r="D7922" s="11" t="s">
        <v>18</v>
      </c>
      <c r="E7922" s="12" t="s">
        <v>568</v>
      </c>
      <c r="F7922" s="12" t="s">
        <v>569</v>
      </c>
      <c r="G7922" s="12" t="s">
        <v>40</v>
      </c>
      <c r="H7922" s="11" t="s">
        <v>63</v>
      </c>
      <c r="I7922" s="13" t="s">
        <v>16158</v>
      </c>
      <c r="J7922" s="14" t="str">
        <f>HYPERLINK("https://www.boe.es/gazeta/dias/1839/10/23/pdfs/GMD-1839-1809.pdf#page=2","Abrir facsímil")</f>
        <v>Abrir facsímil</v>
      </c>
      <c r="K7922" s="12" t="s">
        <v>65</v>
      </c>
    </row>
    <row r="7923" spans="1:11" ht="40.049999999999997" customHeight="1" x14ac:dyDescent="0.25">
      <c r="A7923" s="11" t="s">
        <v>16159</v>
      </c>
      <c r="B7923" s="11" t="s">
        <v>16160</v>
      </c>
      <c r="C7923" s="11" t="s">
        <v>80</v>
      </c>
      <c r="D7923" s="11" t="s">
        <v>18</v>
      </c>
      <c r="E7923" s="12" t="s">
        <v>2440</v>
      </c>
      <c r="F7923" s="12" t="s">
        <v>2441</v>
      </c>
      <c r="G7923" s="12" t="s">
        <v>21</v>
      </c>
      <c r="H7923" s="11" t="s">
        <v>63</v>
      </c>
      <c r="I7923" s="13" t="s">
        <v>16161</v>
      </c>
      <c r="J7923" s="14" t="str">
        <f>HYPERLINK("https://www.boe.es/gazeta/dias/1839/12/01/pdfs/GMD-1839-1848.pdf#page=4","Abrir facsímil")</f>
        <v>Abrir facsímil</v>
      </c>
      <c r="K7923" s="12" t="s">
        <v>65</v>
      </c>
    </row>
    <row r="7924" spans="1:11" ht="40.049999999999997" customHeight="1" x14ac:dyDescent="0.25">
      <c r="A7924" s="11" t="s">
        <v>16162</v>
      </c>
      <c r="B7924" s="11" t="s">
        <v>16163</v>
      </c>
      <c r="C7924" s="11" t="s">
        <v>17</v>
      </c>
      <c r="D7924" s="11" t="s">
        <v>18</v>
      </c>
      <c r="E7924" s="12" t="s">
        <v>246</v>
      </c>
      <c r="F7924" s="12" t="s">
        <v>247</v>
      </c>
      <c r="G7924" s="12" t="s">
        <v>21</v>
      </c>
      <c r="H7924" s="11" t="s">
        <v>63</v>
      </c>
      <c r="I7924" s="13" t="s">
        <v>16164</v>
      </c>
      <c r="J7924" s="14" t="str">
        <f>HYPERLINK("https://www.boe.es/gazeta/dias/1839/11/24/pdfs/GMD-1839-1841.pdf#page=4","Abrir facsímil")</f>
        <v>Abrir facsímil</v>
      </c>
      <c r="K7924" s="12" t="s">
        <v>65</v>
      </c>
    </row>
    <row r="7925" spans="1:11" ht="40.049999999999997" customHeight="1" x14ac:dyDescent="0.25">
      <c r="A7925" s="11" t="s">
        <v>16165</v>
      </c>
      <c r="B7925" s="11" t="s">
        <v>16166</v>
      </c>
      <c r="C7925" s="11" t="s">
        <v>17</v>
      </c>
      <c r="D7925" s="11" t="s">
        <v>18</v>
      </c>
      <c r="E7925" s="12" t="s">
        <v>2138</v>
      </c>
      <c r="F7925" s="12" t="s">
        <v>2139</v>
      </c>
      <c r="G7925" s="12" t="s">
        <v>305</v>
      </c>
      <c r="H7925" s="11" t="s">
        <v>63</v>
      </c>
      <c r="I7925" s="13" t="s">
        <v>16167</v>
      </c>
      <c r="J7925" s="14" t="str">
        <f>HYPERLINK("https://www.boe.es/gazeta/dias/1839/10/02/pdfs/GMD-1839-1788.pdf#page=6","Abrir facsímil")</f>
        <v>Abrir facsímil</v>
      </c>
      <c r="K7925" s="12" t="s">
        <v>65</v>
      </c>
    </row>
    <row r="7926" spans="1:11" ht="40.049999999999997" customHeight="1" x14ac:dyDescent="0.25">
      <c r="A7926" s="11" t="s">
        <v>16168</v>
      </c>
      <c r="B7926" s="11" t="s">
        <v>16169</v>
      </c>
      <c r="C7926" s="11" t="s">
        <v>80</v>
      </c>
      <c r="D7926" s="11" t="s">
        <v>18</v>
      </c>
      <c r="E7926" s="12" t="s">
        <v>668</v>
      </c>
      <c r="F7926" s="12" t="s">
        <v>669</v>
      </c>
      <c r="G7926" s="12" t="s">
        <v>29</v>
      </c>
      <c r="H7926" s="11" t="s">
        <v>63</v>
      </c>
      <c r="I7926" s="13" t="s">
        <v>16170</v>
      </c>
      <c r="J7926" s="14" t="str">
        <f>HYPERLINK("https://www.boe.es/gazeta/dias/1839/03/28/pdfs/GMD-1839-1594.pdf#page=1","Abrir facsímil")</f>
        <v>Abrir facsímil</v>
      </c>
      <c r="K7926" s="12" t="s">
        <v>65</v>
      </c>
    </row>
    <row r="7927" spans="1:11" ht="40.049999999999997" customHeight="1" x14ac:dyDescent="0.25">
      <c r="A7927" s="11" t="s">
        <v>16168</v>
      </c>
      <c r="B7927" s="11" t="s">
        <v>16169</v>
      </c>
      <c r="C7927" s="11" t="s">
        <v>17</v>
      </c>
      <c r="D7927" s="11" t="s">
        <v>18</v>
      </c>
      <c r="E7927" s="12" t="s">
        <v>474</v>
      </c>
      <c r="F7927" s="12" t="s">
        <v>475</v>
      </c>
      <c r="G7927" s="12" t="s">
        <v>21</v>
      </c>
      <c r="H7927" s="11" t="s">
        <v>63</v>
      </c>
      <c r="I7927" s="13" t="s">
        <v>16171</v>
      </c>
      <c r="J7927" s="14" t="str">
        <f>HYPERLINK("https://www.boe.es/gazeta/dias/1839/03/31/pdfs/GMD-1839-1597.pdf#page=4","Abrir facsímil")</f>
        <v>Abrir facsímil</v>
      </c>
      <c r="K7927" s="12" t="s">
        <v>65</v>
      </c>
    </row>
    <row r="7928" spans="1:11" ht="40.049999999999997" customHeight="1" x14ac:dyDescent="0.25">
      <c r="A7928" s="11" t="s">
        <v>16172</v>
      </c>
      <c r="B7928" s="11" t="s">
        <v>16173</v>
      </c>
      <c r="C7928" s="11" t="s">
        <v>17</v>
      </c>
      <c r="D7928" s="11" t="s">
        <v>18</v>
      </c>
      <c r="E7928" s="12" t="s">
        <v>1614</v>
      </c>
      <c r="F7928" s="12" t="s">
        <v>1615</v>
      </c>
      <c r="G7928" s="12" t="s">
        <v>21</v>
      </c>
      <c r="H7928" s="11" t="s">
        <v>63</v>
      </c>
      <c r="I7928" s="13" t="s">
        <v>16174</v>
      </c>
      <c r="J7928" s="14" t="str">
        <f>HYPERLINK("https://www.boe.es/gazeta/dias/1839/07/03/pdfs/GMD-1839-1691.pdf#page=4","Abrir facsímil")</f>
        <v>Abrir facsímil</v>
      </c>
      <c r="K7928" s="12" t="s">
        <v>65</v>
      </c>
    </row>
    <row r="7929" spans="1:11" ht="40.049999999999997" customHeight="1" x14ac:dyDescent="0.25">
      <c r="A7929" s="11" t="s">
        <v>16175</v>
      </c>
      <c r="B7929" s="11" t="s">
        <v>16176</v>
      </c>
      <c r="C7929" s="11" t="s">
        <v>137</v>
      </c>
      <c r="D7929" s="11" t="s">
        <v>18</v>
      </c>
      <c r="E7929" s="12" t="s">
        <v>756</v>
      </c>
      <c r="F7929" s="12" t="s">
        <v>757</v>
      </c>
      <c r="G7929" s="12" t="s">
        <v>21</v>
      </c>
      <c r="H7929" s="11" t="s">
        <v>63</v>
      </c>
      <c r="I7929" s="13" t="s">
        <v>16177</v>
      </c>
      <c r="J7929" s="14" t="str">
        <f>HYPERLINK("https://www.boe.es/gazeta/dias/1839/12/17/pdfs/GMD-1839-1864.pdf#page=4","Abrir facsímil")</f>
        <v>Abrir facsímil</v>
      </c>
      <c r="K7929" s="12" t="s">
        <v>65</v>
      </c>
    </row>
    <row r="7930" spans="1:11" ht="40.049999999999997" customHeight="1" x14ac:dyDescent="0.25">
      <c r="A7930" s="11" t="s">
        <v>16178</v>
      </c>
      <c r="B7930" s="11" t="s">
        <v>16179</v>
      </c>
      <c r="C7930" s="11" t="s">
        <v>137</v>
      </c>
      <c r="D7930" s="11" t="s">
        <v>18</v>
      </c>
      <c r="E7930" s="12" t="s">
        <v>94</v>
      </c>
      <c r="F7930" s="12" t="s">
        <v>95</v>
      </c>
      <c r="G7930" s="12" t="s">
        <v>29</v>
      </c>
      <c r="H7930" s="11" t="s">
        <v>63</v>
      </c>
      <c r="I7930" s="13" t="s">
        <v>16180</v>
      </c>
      <c r="J7930" s="14" t="str">
        <f>HYPERLINK("https://www.boe.es/gazeta/dias/1839/02/24/pdfs/GMD-1839-1562.pdf#page=1","Abrir facsímil")</f>
        <v>Abrir facsímil</v>
      </c>
      <c r="K7930" s="12" t="s">
        <v>65</v>
      </c>
    </row>
    <row r="7931" spans="1:11" ht="40.049999999999997" customHeight="1" x14ac:dyDescent="0.25">
      <c r="A7931" s="11" t="s">
        <v>16181</v>
      </c>
      <c r="B7931" s="11" t="s">
        <v>16182</v>
      </c>
      <c r="C7931" s="11" t="s">
        <v>17</v>
      </c>
      <c r="D7931" s="11" t="s">
        <v>18</v>
      </c>
      <c r="E7931" s="12" t="s">
        <v>548</v>
      </c>
      <c r="F7931" s="12" t="s">
        <v>549</v>
      </c>
      <c r="G7931" s="12" t="s">
        <v>21</v>
      </c>
      <c r="H7931" s="11" t="s">
        <v>63</v>
      </c>
      <c r="I7931" s="13" t="s">
        <v>16183</v>
      </c>
      <c r="J7931" s="14" t="str">
        <f>HYPERLINK("https://www.boe.es/gazeta/dias/1839/06/06/pdfs/GMD-1839-1664.pdf#page=4","Abrir facsímil")</f>
        <v>Abrir facsímil</v>
      </c>
      <c r="K7931" s="12" t="s">
        <v>65</v>
      </c>
    </row>
    <row r="7932" spans="1:11" ht="40.049999999999997" customHeight="1" x14ac:dyDescent="0.25">
      <c r="A7932" s="11" t="s">
        <v>16184</v>
      </c>
      <c r="B7932" s="11" t="s">
        <v>16185</v>
      </c>
      <c r="C7932" s="11" t="s">
        <v>59</v>
      </c>
      <c r="D7932" s="11" t="s">
        <v>60</v>
      </c>
      <c r="E7932" s="12" t="s">
        <v>621</v>
      </c>
      <c r="F7932" s="12" t="s">
        <v>622</v>
      </c>
      <c r="G7932" s="12" t="s">
        <v>29</v>
      </c>
      <c r="H7932" s="11" t="s">
        <v>63</v>
      </c>
      <c r="I7932" s="13" t="s">
        <v>16186</v>
      </c>
      <c r="J7932" s="14" t="str">
        <f>HYPERLINK("https://www.boe.es/gazeta/dias/1839/04/14/pdfs/GMD-1839-1611.pdf#page=1","Abrir facsímil")</f>
        <v>Abrir facsímil</v>
      </c>
      <c r="K7932" s="12" t="s">
        <v>65</v>
      </c>
    </row>
    <row r="7933" spans="1:11" ht="40.049999999999997" customHeight="1" x14ac:dyDescent="0.25">
      <c r="A7933" s="11" t="s">
        <v>16187</v>
      </c>
      <c r="B7933" s="11" t="s">
        <v>16188</v>
      </c>
      <c r="C7933" s="11" t="s">
        <v>59</v>
      </c>
      <c r="D7933" s="11" t="s">
        <v>60</v>
      </c>
      <c r="E7933" s="12" t="s">
        <v>291</v>
      </c>
      <c r="F7933" s="12" t="s">
        <v>292</v>
      </c>
      <c r="G7933" s="12" t="s">
        <v>29</v>
      </c>
      <c r="H7933" s="11" t="s">
        <v>63</v>
      </c>
      <c r="I7933" s="13" t="s">
        <v>16189</v>
      </c>
      <c r="J7933" s="14" t="str">
        <f>HYPERLINK("https://www.boe.es/gazeta/dias/1839/09/04/pdfs/GMD-1839-1757.pdf#page=1","Abrir facsímil")</f>
        <v>Abrir facsímil</v>
      </c>
      <c r="K7933" s="12" t="s">
        <v>65</v>
      </c>
    </row>
    <row r="7934" spans="1:11" ht="40.049999999999997" customHeight="1" x14ac:dyDescent="0.25">
      <c r="A7934" s="11" t="s">
        <v>16190</v>
      </c>
      <c r="B7934" s="11" t="s">
        <v>16191</v>
      </c>
      <c r="C7934" s="11" t="s">
        <v>17</v>
      </c>
      <c r="D7934" s="11" t="s">
        <v>18</v>
      </c>
      <c r="E7934" s="12" t="s">
        <v>736</v>
      </c>
      <c r="F7934" s="12" t="s">
        <v>737</v>
      </c>
      <c r="G7934" s="12" t="s">
        <v>46</v>
      </c>
      <c r="H7934" s="11" t="s">
        <v>63</v>
      </c>
      <c r="I7934" s="13" t="s">
        <v>16192</v>
      </c>
      <c r="J7934" s="14" t="str">
        <f>HYPERLINK("https://www.boe.es/gazeta/dias/1839/10/13/pdfs/GMD-1839-1799.pdf#page=3","Abrir facsímil")</f>
        <v>Abrir facsímil</v>
      </c>
      <c r="K7934" s="12" t="s">
        <v>65</v>
      </c>
    </row>
    <row r="7935" spans="1:11" ht="40.049999999999997" customHeight="1" x14ac:dyDescent="0.25">
      <c r="A7935" s="11" t="s">
        <v>16193</v>
      </c>
      <c r="B7935" s="11" t="s">
        <v>16194</v>
      </c>
      <c r="C7935" s="11" t="s">
        <v>101</v>
      </c>
      <c r="D7935" s="11" t="s">
        <v>102</v>
      </c>
      <c r="E7935" s="12" t="s">
        <v>303</v>
      </c>
      <c r="F7935" s="12" t="s">
        <v>304</v>
      </c>
      <c r="G7935" s="12" t="s">
        <v>305</v>
      </c>
      <c r="H7935" s="11" t="s">
        <v>63</v>
      </c>
      <c r="I7935" s="13" t="s">
        <v>16195</v>
      </c>
      <c r="J7935" s="14" t="str">
        <f>HYPERLINK("https://www.boe.es/gazeta/dias/1839/10/06/pdfs/GMD-1839-1792.pdf#page=6","Abrir facsímil")</f>
        <v>Abrir facsímil</v>
      </c>
      <c r="K7935" s="12" t="s">
        <v>65</v>
      </c>
    </row>
    <row r="7936" spans="1:11" ht="40.049999999999997" customHeight="1" x14ac:dyDescent="0.25">
      <c r="A7936" s="11" t="s">
        <v>16196</v>
      </c>
      <c r="B7936" s="11" t="s">
        <v>16197</v>
      </c>
      <c r="C7936" s="11" t="s">
        <v>59</v>
      </c>
      <c r="D7936" s="11" t="s">
        <v>60</v>
      </c>
      <c r="E7936" s="12" t="s">
        <v>269</v>
      </c>
      <c r="F7936" s="12" t="s">
        <v>270</v>
      </c>
      <c r="G7936" s="12" t="s">
        <v>29</v>
      </c>
      <c r="H7936" s="11" t="s">
        <v>63</v>
      </c>
      <c r="I7936" s="13" t="s">
        <v>16198</v>
      </c>
      <c r="J7936" s="14" t="str">
        <f>HYPERLINK("https://www.boe.es/gazeta/dias/1839/02/10/pdfs/GMD-1839-1548.pdf#page=1","Abrir facsímil")</f>
        <v>Abrir facsímil</v>
      </c>
      <c r="K7936" s="12" t="s">
        <v>65</v>
      </c>
    </row>
    <row r="7937" spans="1:11" ht="40.049999999999997" customHeight="1" x14ac:dyDescent="0.25">
      <c r="A7937" s="11" t="s">
        <v>16199</v>
      </c>
      <c r="B7937" s="11" t="s">
        <v>16200</v>
      </c>
      <c r="C7937" s="11" t="s">
        <v>17</v>
      </c>
      <c r="D7937" s="11" t="s">
        <v>18</v>
      </c>
      <c r="E7937" s="12" t="s">
        <v>168</v>
      </c>
      <c r="F7937" s="12" t="s">
        <v>169</v>
      </c>
      <c r="G7937" s="12" t="s">
        <v>21</v>
      </c>
      <c r="H7937" s="11" t="s">
        <v>22</v>
      </c>
      <c r="I7937" s="13" t="s">
        <v>16201</v>
      </c>
      <c r="J7937" s="14" t="str">
        <f>HYPERLINK("https://www.boe.es/gazeta/dias/1839/07/12/pdfs/GMD-1839-1700.pdf#page=4","Abrir facsímil")</f>
        <v>Abrir facsímil</v>
      </c>
      <c r="K7937" s="12" t="s">
        <v>24</v>
      </c>
    </row>
    <row r="7938" spans="1:11" ht="40.049999999999997" customHeight="1" x14ac:dyDescent="0.25">
      <c r="A7938" s="11" t="s">
        <v>16202</v>
      </c>
      <c r="B7938" s="11" t="s">
        <v>16203</v>
      </c>
      <c r="C7938" s="11" t="s">
        <v>59</v>
      </c>
      <c r="D7938" s="11" t="s">
        <v>60</v>
      </c>
      <c r="E7938" s="12" t="s">
        <v>2210</v>
      </c>
      <c r="F7938" s="12" t="s">
        <v>2211</v>
      </c>
      <c r="G7938" s="12" t="s">
        <v>29</v>
      </c>
      <c r="H7938" s="11" t="s">
        <v>63</v>
      </c>
      <c r="I7938" s="13" t="s">
        <v>16204</v>
      </c>
      <c r="J7938" s="14" t="str">
        <f>HYPERLINK("https://www.boe.es/gazeta/dias/1839/09/05/pdfs/GMD-1839-1758.pdf#page=1","Abrir facsímil")</f>
        <v>Abrir facsímil</v>
      </c>
      <c r="K7938" s="12" t="s">
        <v>65</v>
      </c>
    </row>
    <row r="7939" spans="1:11" ht="40.049999999999997" customHeight="1" x14ac:dyDescent="0.25">
      <c r="A7939" s="11" t="s">
        <v>16205</v>
      </c>
      <c r="B7939" s="11" t="s">
        <v>16206</v>
      </c>
      <c r="C7939" s="11" t="s">
        <v>17</v>
      </c>
      <c r="D7939" s="11" t="s">
        <v>18</v>
      </c>
      <c r="E7939" s="12" t="s">
        <v>544</v>
      </c>
      <c r="F7939" s="12" t="s">
        <v>545</v>
      </c>
      <c r="G7939" s="12" t="s">
        <v>46</v>
      </c>
      <c r="H7939" s="11" t="s">
        <v>63</v>
      </c>
      <c r="I7939" s="13" t="s">
        <v>16207</v>
      </c>
      <c r="J7939" s="14" t="str">
        <f>HYPERLINK("https://www.boe.es/gazeta/dias/1839/11/11/pdfs/GMD-1839-1828.pdf#page=3","Abrir facsímil")</f>
        <v>Abrir facsímil</v>
      </c>
      <c r="K7939" s="12" t="s">
        <v>65</v>
      </c>
    </row>
    <row r="7940" spans="1:11" ht="40.049999999999997" customHeight="1" x14ac:dyDescent="0.25">
      <c r="A7940" s="11" t="s">
        <v>16208</v>
      </c>
      <c r="B7940" s="11" t="s">
        <v>16208</v>
      </c>
      <c r="C7940" s="11" t="s">
        <v>59</v>
      </c>
      <c r="D7940" s="11" t="s">
        <v>60</v>
      </c>
      <c r="E7940" s="12" t="s">
        <v>2210</v>
      </c>
      <c r="F7940" s="12" t="s">
        <v>2211</v>
      </c>
      <c r="G7940" s="12" t="s">
        <v>40</v>
      </c>
      <c r="H7940" s="11" t="s">
        <v>63</v>
      </c>
      <c r="I7940" s="13" t="s">
        <v>16209</v>
      </c>
      <c r="J7940" s="14" t="str">
        <f>HYPERLINK("https://www.boe.es/gazeta/dias/1839/09/05/pdfs/GMD-1839-1758.pdf#page=2","Abrir facsímil")</f>
        <v>Abrir facsímil</v>
      </c>
      <c r="K7940" s="12" t="s">
        <v>65</v>
      </c>
    </row>
    <row r="7941" spans="1:11" ht="40.049999999999997" customHeight="1" x14ac:dyDescent="0.25">
      <c r="A7941" s="11" t="s">
        <v>16210</v>
      </c>
      <c r="B7941" s="11" t="s">
        <v>16210</v>
      </c>
      <c r="C7941" s="11" t="s">
        <v>80</v>
      </c>
      <c r="D7941" s="11" t="s">
        <v>173</v>
      </c>
      <c r="E7941" s="12" t="s">
        <v>68</v>
      </c>
      <c r="F7941" s="12" t="s">
        <v>69</v>
      </c>
      <c r="G7941" s="12" t="s">
        <v>29</v>
      </c>
      <c r="H7941" s="11" t="s">
        <v>22</v>
      </c>
      <c r="I7941" s="13" t="s">
        <v>16211</v>
      </c>
      <c r="J7941" s="14" t="str">
        <f>HYPERLINK("https://www.boe.es/gazeta/dias/1839/02/09/pdfs/GMD-1839-1547.pdf#page=1","Abrir facsímil")</f>
        <v>Abrir facsímil</v>
      </c>
      <c r="K7941" s="12" t="s">
        <v>24</v>
      </c>
    </row>
    <row r="7942" spans="1:11" ht="40.049999999999997" customHeight="1" x14ac:dyDescent="0.25">
      <c r="A7942" s="11" t="s">
        <v>16208</v>
      </c>
      <c r="B7942" s="11" t="s">
        <v>16208</v>
      </c>
      <c r="C7942" s="11" t="s">
        <v>17</v>
      </c>
      <c r="D7942" s="11" t="s">
        <v>18</v>
      </c>
      <c r="E7942" s="12" t="s">
        <v>2222</v>
      </c>
      <c r="F7942" s="12" t="s">
        <v>2223</v>
      </c>
      <c r="G7942" s="12" t="s">
        <v>40</v>
      </c>
      <c r="H7942" s="11" t="s">
        <v>63</v>
      </c>
      <c r="I7942" s="13" t="s">
        <v>16212</v>
      </c>
      <c r="J7942" s="14" t="str">
        <f>HYPERLINK("https://www.boe.es/gazeta/dias/1839/09/19/pdfs/GMD-1839-1773.pdf#page=2","Abrir facsímil")</f>
        <v>Abrir facsímil</v>
      </c>
      <c r="K7942" s="12" t="s">
        <v>65</v>
      </c>
    </row>
    <row r="7943" spans="1:11" ht="40.049999999999997" customHeight="1" x14ac:dyDescent="0.25">
      <c r="A7943" s="11" t="s">
        <v>16210</v>
      </c>
      <c r="B7943" s="11" t="s">
        <v>16210</v>
      </c>
      <c r="C7943" s="11" t="s">
        <v>17</v>
      </c>
      <c r="D7943" s="11" t="s">
        <v>18</v>
      </c>
      <c r="E7943" s="12" t="s">
        <v>1086</v>
      </c>
      <c r="F7943" s="12" t="s">
        <v>1087</v>
      </c>
      <c r="G7943" s="12" t="s">
        <v>40</v>
      </c>
      <c r="H7943" s="11" t="s">
        <v>22</v>
      </c>
      <c r="I7943" s="13" t="s">
        <v>16213</v>
      </c>
      <c r="J7943" s="14" t="str">
        <f>HYPERLINK("https://www.boe.es/gazeta/dias/1839/10/26/pdfs/GMD-1839-1812.pdf#page=2","Abrir facsímil")</f>
        <v>Abrir facsímil</v>
      </c>
      <c r="K7943" s="12" t="s">
        <v>24</v>
      </c>
    </row>
    <row r="7944" spans="1:11" ht="40.049999999999997" customHeight="1" x14ac:dyDescent="0.25">
      <c r="A7944" s="11" t="s">
        <v>16208</v>
      </c>
      <c r="B7944" s="11" t="s">
        <v>16208</v>
      </c>
      <c r="C7944" s="11" t="s">
        <v>137</v>
      </c>
      <c r="D7944" s="11" t="s">
        <v>18</v>
      </c>
      <c r="E7944" s="12" t="s">
        <v>862</v>
      </c>
      <c r="F7944" s="12" t="s">
        <v>863</v>
      </c>
      <c r="G7944" s="12" t="s">
        <v>46</v>
      </c>
      <c r="H7944" s="11" t="s">
        <v>63</v>
      </c>
      <c r="I7944" s="13" t="s">
        <v>16214</v>
      </c>
      <c r="J7944" s="14" t="str">
        <f>HYPERLINK("https://www.boe.es/gazeta/dias/1839/10/28/pdfs/GMD-1839-1814.pdf#page=3","Abrir facsímil")</f>
        <v>Abrir facsímil</v>
      </c>
      <c r="K7944" s="12" t="s">
        <v>65</v>
      </c>
    </row>
    <row r="7945" spans="1:11" ht="40.049999999999997" customHeight="1" x14ac:dyDescent="0.25">
      <c r="A7945" s="11" t="s">
        <v>16208</v>
      </c>
      <c r="B7945" s="11" t="s">
        <v>16208</v>
      </c>
      <c r="C7945" s="11" t="s">
        <v>17</v>
      </c>
      <c r="D7945" s="11" t="s">
        <v>18</v>
      </c>
      <c r="E7945" s="12" t="s">
        <v>1867</v>
      </c>
      <c r="F7945" s="12" t="s">
        <v>1868</v>
      </c>
      <c r="G7945" s="12" t="s">
        <v>40</v>
      </c>
      <c r="H7945" s="11" t="s">
        <v>63</v>
      </c>
      <c r="I7945" s="13" t="s">
        <v>16215</v>
      </c>
      <c r="J7945" s="14" t="str">
        <f>HYPERLINK("https://www.boe.es/gazeta/dias/1839/01/30/pdfs/GMD-1839-1537.pdf#page=2","Abrir facsímil")</f>
        <v>Abrir facsímil</v>
      </c>
      <c r="K7945" s="12" t="s">
        <v>65</v>
      </c>
    </row>
    <row r="7946" spans="1:11" ht="40.049999999999997" customHeight="1" x14ac:dyDescent="0.25">
      <c r="A7946" s="11" t="s">
        <v>16216</v>
      </c>
      <c r="B7946" s="11" t="s">
        <v>16217</v>
      </c>
      <c r="C7946" s="11" t="s">
        <v>17</v>
      </c>
      <c r="D7946" s="11" t="s">
        <v>18</v>
      </c>
      <c r="E7946" s="12" t="s">
        <v>1108</v>
      </c>
      <c r="F7946" s="12" t="s">
        <v>1109</v>
      </c>
      <c r="G7946" s="12" t="s">
        <v>40</v>
      </c>
      <c r="H7946" s="11" t="s">
        <v>63</v>
      </c>
      <c r="I7946" s="13" t="s">
        <v>16218</v>
      </c>
      <c r="J7946" s="14" t="str">
        <f>HYPERLINK("https://www.boe.es/gazeta/dias/1839/09/21/pdfs/GMD-1839-1776.pdf#page=2","Abrir facsímil")</f>
        <v>Abrir facsímil</v>
      </c>
      <c r="K7946" s="12" t="s">
        <v>65</v>
      </c>
    </row>
    <row r="7947" spans="1:11" ht="40.049999999999997" customHeight="1" x14ac:dyDescent="0.25">
      <c r="A7947" s="11" t="s">
        <v>16219</v>
      </c>
      <c r="B7947" s="11" t="s">
        <v>16220</v>
      </c>
      <c r="C7947" s="11" t="s">
        <v>137</v>
      </c>
      <c r="D7947" s="11" t="s">
        <v>18</v>
      </c>
      <c r="E7947" s="12" t="s">
        <v>2949</v>
      </c>
      <c r="F7947" s="12" t="s">
        <v>2950</v>
      </c>
      <c r="G7947" s="12" t="s">
        <v>21</v>
      </c>
      <c r="H7947" s="11" t="s">
        <v>63</v>
      </c>
      <c r="I7947" s="13" t="s">
        <v>16221</v>
      </c>
      <c r="J7947" s="14" t="str">
        <f>HYPERLINK("https://www.boe.es/gazeta/dias/1839/10/21/pdfs/GMD-1839-1807.pdf#page=4","Abrir facsímil")</f>
        <v>Abrir facsímil</v>
      </c>
      <c r="K7947" s="12" t="s">
        <v>65</v>
      </c>
    </row>
    <row r="7948" spans="1:11" ht="40.049999999999997" customHeight="1" x14ac:dyDescent="0.25">
      <c r="A7948" s="11" t="s">
        <v>16222</v>
      </c>
      <c r="B7948" s="11" t="s">
        <v>16223</v>
      </c>
      <c r="C7948" s="11" t="s">
        <v>17</v>
      </c>
      <c r="D7948" s="11" t="s">
        <v>18</v>
      </c>
      <c r="E7948" s="12" t="s">
        <v>1144</v>
      </c>
      <c r="F7948" s="12" t="s">
        <v>1145</v>
      </c>
      <c r="G7948" s="12" t="s">
        <v>40</v>
      </c>
      <c r="H7948" s="11" t="s">
        <v>63</v>
      </c>
      <c r="I7948" s="13" t="s">
        <v>16224</v>
      </c>
      <c r="J7948" s="14" t="str">
        <f>HYPERLINK("https://www.boe.es/gazeta/dias/1839/08/13/pdfs/GMD-1839-1733.pdf#page=2","Abrir facsímil")</f>
        <v>Abrir facsímil</v>
      </c>
      <c r="K7948" s="12" t="s">
        <v>65</v>
      </c>
    </row>
    <row r="7949" spans="1:11" ht="40.049999999999997" customHeight="1" x14ac:dyDescent="0.25">
      <c r="A7949" s="11" t="s">
        <v>16225</v>
      </c>
      <c r="B7949" s="11" t="s">
        <v>16226</v>
      </c>
      <c r="C7949" s="11" t="s">
        <v>101</v>
      </c>
      <c r="D7949" s="11" t="s">
        <v>102</v>
      </c>
      <c r="E7949" s="12" t="s">
        <v>258</v>
      </c>
      <c r="F7949" s="12" t="s">
        <v>259</v>
      </c>
      <c r="G7949" s="12" t="s">
        <v>40</v>
      </c>
      <c r="H7949" s="11" t="s">
        <v>63</v>
      </c>
      <c r="I7949" s="13" t="s">
        <v>16227</v>
      </c>
      <c r="J7949" s="14" t="str">
        <f>HYPERLINK("https://www.boe.es/gazeta/dias/1839/01/02/pdfs/GMD-1839-1509.pdf#page=2","Abrir facsímil")</f>
        <v>Abrir facsímil</v>
      </c>
      <c r="K7949" s="12" t="s">
        <v>65</v>
      </c>
    </row>
    <row r="7950" spans="1:11" ht="40.049999999999997" customHeight="1" x14ac:dyDescent="0.25">
      <c r="A7950" s="11" t="s">
        <v>16225</v>
      </c>
      <c r="B7950" s="11" t="s">
        <v>16226</v>
      </c>
      <c r="C7950" s="11" t="s">
        <v>80</v>
      </c>
      <c r="D7950" s="11" t="s">
        <v>18</v>
      </c>
      <c r="E7950" s="12" t="s">
        <v>280</v>
      </c>
      <c r="F7950" s="12" t="s">
        <v>281</v>
      </c>
      <c r="G7950" s="12" t="s">
        <v>29</v>
      </c>
      <c r="H7950" s="11" t="s">
        <v>63</v>
      </c>
      <c r="I7950" s="13" t="s">
        <v>16228</v>
      </c>
      <c r="J7950" s="14" t="str">
        <f>HYPERLINK("https://www.boe.es/gazeta/dias/1839/08/21/pdfs/GMD-1839-1742.pdf#page=1","Abrir facsímil")</f>
        <v>Abrir facsímil</v>
      </c>
      <c r="K7950" s="12" t="s">
        <v>65</v>
      </c>
    </row>
    <row r="7951" spans="1:11" ht="40.049999999999997" customHeight="1" x14ac:dyDescent="0.25">
      <c r="A7951" s="11" t="s">
        <v>16225</v>
      </c>
      <c r="B7951" s="11" t="s">
        <v>16226</v>
      </c>
      <c r="C7951" s="11" t="s">
        <v>17</v>
      </c>
      <c r="D7951" s="11" t="s">
        <v>18</v>
      </c>
      <c r="E7951" s="12" t="s">
        <v>222</v>
      </c>
      <c r="F7951" s="12" t="s">
        <v>223</v>
      </c>
      <c r="G7951" s="12" t="s">
        <v>21</v>
      </c>
      <c r="H7951" s="11" t="s">
        <v>63</v>
      </c>
      <c r="I7951" s="13" t="s">
        <v>16229</v>
      </c>
      <c r="J7951" s="14" t="str">
        <f>HYPERLINK("https://www.boe.es/gazeta/dias/1839/06/22/pdfs/GMD-1839-1680.pdf#page=4","Abrir facsímil")</f>
        <v>Abrir facsímil</v>
      </c>
      <c r="K7951" s="12" t="s">
        <v>65</v>
      </c>
    </row>
    <row r="7952" spans="1:11" ht="40.049999999999997" customHeight="1" x14ac:dyDescent="0.25">
      <c r="A7952" s="11" t="s">
        <v>16230</v>
      </c>
      <c r="B7952" s="11" t="s">
        <v>16230</v>
      </c>
      <c r="C7952" s="11" t="s">
        <v>137</v>
      </c>
      <c r="D7952" s="11" t="s">
        <v>18</v>
      </c>
      <c r="E7952" s="12" t="s">
        <v>76</v>
      </c>
      <c r="F7952" s="12" t="s">
        <v>77</v>
      </c>
      <c r="G7952" s="12" t="s">
        <v>40</v>
      </c>
      <c r="H7952" s="11" t="s">
        <v>63</v>
      </c>
      <c r="I7952" s="13" t="s">
        <v>16231</v>
      </c>
      <c r="J7952" s="14" t="str">
        <f>HYPERLINK("https://www.boe.es/gazeta/dias/1839/03/13/pdfs/GMD-1839-1579.pdf#page=2","Abrir facsímil")</f>
        <v>Abrir facsímil</v>
      </c>
      <c r="K7952" s="12" t="s">
        <v>65</v>
      </c>
    </row>
    <row r="7953" spans="1:11" ht="40.049999999999997" customHeight="1" x14ac:dyDescent="0.25">
      <c r="A7953" s="11" t="s">
        <v>16232</v>
      </c>
      <c r="B7953" s="11" t="s">
        <v>16233</v>
      </c>
      <c r="C7953" s="11" t="s">
        <v>101</v>
      </c>
      <c r="D7953" s="11" t="s">
        <v>102</v>
      </c>
      <c r="E7953" s="12" t="s">
        <v>929</v>
      </c>
      <c r="F7953" s="12" t="s">
        <v>930</v>
      </c>
      <c r="G7953" s="12" t="s">
        <v>29</v>
      </c>
      <c r="H7953" s="11" t="s">
        <v>63</v>
      </c>
      <c r="I7953" s="13" t="s">
        <v>16234</v>
      </c>
      <c r="J7953" s="14" t="str">
        <f>HYPERLINK("https://www.boe.es/gazeta/dias/1839/01/31/pdfs/GMD-1839-1538.pdf#page=1","Abrir facsímil")</f>
        <v>Abrir facsímil</v>
      </c>
      <c r="K7953" s="12" t="s">
        <v>65</v>
      </c>
    </row>
    <row r="7954" spans="1:11" ht="40.049999999999997" customHeight="1" x14ac:dyDescent="0.25">
      <c r="A7954" s="11" t="s">
        <v>16235</v>
      </c>
      <c r="B7954" s="11" t="s">
        <v>16235</v>
      </c>
      <c r="C7954" s="11" t="s">
        <v>17</v>
      </c>
      <c r="D7954" s="11" t="s">
        <v>18</v>
      </c>
      <c r="E7954" s="12" t="s">
        <v>848</v>
      </c>
      <c r="F7954" s="12" t="s">
        <v>849</v>
      </c>
      <c r="G7954" s="12" t="s">
        <v>40</v>
      </c>
      <c r="H7954" s="11" t="s">
        <v>63</v>
      </c>
      <c r="I7954" s="13" t="s">
        <v>16236</v>
      </c>
      <c r="J7954" s="14" t="str">
        <f>HYPERLINK("https://www.boe.es/gazeta/dias/1839/08/04/pdfs/GMD-1839-1724.pdf#page=2","Abrir facsímil")</f>
        <v>Abrir facsímil</v>
      </c>
      <c r="K7954" s="12" t="s">
        <v>65</v>
      </c>
    </row>
    <row r="7955" spans="1:11" ht="40.049999999999997" customHeight="1" x14ac:dyDescent="0.25">
      <c r="A7955" s="11" t="s">
        <v>16235</v>
      </c>
      <c r="B7955" s="11" t="s">
        <v>16235</v>
      </c>
      <c r="C7955" s="11" t="s">
        <v>17</v>
      </c>
      <c r="D7955" s="11" t="s">
        <v>18</v>
      </c>
      <c r="E7955" s="12" t="s">
        <v>138</v>
      </c>
      <c r="F7955" s="12" t="s">
        <v>139</v>
      </c>
      <c r="G7955" s="12" t="s">
        <v>40</v>
      </c>
      <c r="H7955" s="11" t="s">
        <v>63</v>
      </c>
      <c r="I7955" s="13" t="s">
        <v>16237</v>
      </c>
      <c r="J7955" s="14" t="str">
        <f>HYPERLINK("https://www.boe.es/gazeta/dias/1839/10/09/pdfs/GMD-1839-1795.pdf#page=2","Abrir facsímil")</f>
        <v>Abrir facsímil</v>
      </c>
      <c r="K7955" s="12" t="s">
        <v>65</v>
      </c>
    </row>
    <row r="7956" spans="1:11" ht="40.049999999999997" customHeight="1" x14ac:dyDescent="0.25">
      <c r="A7956" s="11" t="s">
        <v>16235</v>
      </c>
      <c r="B7956" s="11" t="s">
        <v>16235</v>
      </c>
      <c r="C7956" s="11" t="s">
        <v>101</v>
      </c>
      <c r="D7956" s="11" t="s">
        <v>43</v>
      </c>
      <c r="E7956" s="12" t="s">
        <v>462</v>
      </c>
      <c r="F7956" s="12" t="s">
        <v>463</v>
      </c>
      <c r="G7956" s="12" t="s">
        <v>46</v>
      </c>
      <c r="H7956" s="11" t="s">
        <v>63</v>
      </c>
      <c r="I7956" s="13" t="s">
        <v>16238</v>
      </c>
      <c r="J7956" s="14" t="str">
        <f>HYPERLINK("https://www.boe.es/gazeta/dias/1839/06/19/pdfs/GMD-1839-1677.pdf#page=3","Abrir facsímil")</f>
        <v>Abrir facsímil</v>
      </c>
      <c r="K7956" s="12" t="s">
        <v>65</v>
      </c>
    </row>
    <row r="7957" spans="1:11" ht="40.049999999999997" customHeight="1" x14ac:dyDescent="0.25">
      <c r="A7957" s="11" t="s">
        <v>16235</v>
      </c>
      <c r="B7957" s="11" t="s">
        <v>16235</v>
      </c>
      <c r="C7957" s="11" t="s">
        <v>80</v>
      </c>
      <c r="D7957" s="11" t="s">
        <v>18</v>
      </c>
      <c r="E7957" s="12" t="s">
        <v>469</v>
      </c>
      <c r="F7957" s="12" t="s">
        <v>470</v>
      </c>
      <c r="G7957" s="12" t="s">
        <v>46</v>
      </c>
      <c r="H7957" s="11" t="s">
        <v>63</v>
      </c>
      <c r="I7957" s="13" t="s">
        <v>16239</v>
      </c>
      <c r="J7957" s="14" t="str">
        <f>HYPERLINK("https://www.boe.es/gazeta/dias/1839/08/20/pdfs/GMD-1839-1741.pdf#page=3","Abrir facsímil")</f>
        <v>Abrir facsímil</v>
      </c>
      <c r="K7957" s="12" t="s">
        <v>65</v>
      </c>
    </row>
    <row r="7958" spans="1:11" ht="40.049999999999997" customHeight="1" x14ac:dyDescent="0.25">
      <c r="A7958" s="11" t="s">
        <v>16240</v>
      </c>
      <c r="B7958" s="11" t="s">
        <v>16241</v>
      </c>
      <c r="C7958" s="11" t="s">
        <v>137</v>
      </c>
      <c r="D7958" s="11" t="s">
        <v>18</v>
      </c>
      <c r="E7958" s="12" t="s">
        <v>269</v>
      </c>
      <c r="F7958" s="12" t="s">
        <v>270</v>
      </c>
      <c r="G7958" s="12" t="s">
        <v>40</v>
      </c>
      <c r="H7958" s="11" t="s">
        <v>22</v>
      </c>
      <c r="I7958" s="13" t="s">
        <v>16242</v>
      </c>
      <c r="J7958" s="14" t="str">
        <f>HYPERLINK("https://www.boe.es/gazeta/dias/1839/02/10/pdfs/GMD-1839-1548.pdf#page=2","Abrir facsímil")</f>
        <v>Abrir facsímil</v>
      </c>
      <c r="K7958" s="12" t="s">
        <v>24</v>
      </c>
    </row>
    <row r="7959" spans="1:11" ht="40.049999999999997" customHeight="1" x14ac:dyDescent="0.25">
      <c r="A7959" s="11" t="s">
        <v>16243</v>
      </c>
      <c r="B7959" s="11" t="s">
        <v>16244</v>
      </c>
      <c r="C7959" s="11" t="s">
        <v>80</v>
      </c>
      <c r="D7959" s="11" t="s">
        <v>18</v>
      </c>
      <c r="E7959" s="12" t="s">
        <v>3601</v>
      </c>
      <c r="F7959" s="12" t="s">
        <v>3602</v>
      </c>
      <c r="G7959" s="12" t="s">
        <v>29</v>
      </c>
      <c r="H7959" s="11" t="s">
        <v>63</v>
      </c>
      <c r="I7959" s="13" t="s">
        <v>16245</v>
      </c>
      <c r="J7959" s="14" t="str">
        <f>HYPERLINK("https://www.boe.es/gazeta/dias/1839/03/21/pdfs/GMD-1839-1587.pdf#page=1","Abrir facsímil")</f>
        <v>Abrir facsímil</v>
      </c>
      <c r="K7959" s="12" t="s">
        <v>65</v>
      </c>
    </row>
    <row r="7960" spans="1:11" ht="40.049999999999997" customHeight="1" x14ac:dyDescent="0.25">
      <c r="A7960" s="11" t="s">
        <v>16246</v>
      </c>
      <c r="B7960" s="11" t="s">
        <v>16246</v>
      </c>
      <c r="C7960" s="11" t="s">
        <v>59</v>
      </c>
      <c r="D7960" s="11" t="s">
        <v>60</v>
      </c>
      <c r="E7960" s="12" t="s">
        <v>2432</v>
      </c>
      <c r="F7960" s="12" t="s">
        <v>2581</v>
      </c>
      <c r="G7960" s="12" t="s">
        <v>21</v>
      </c>
      <c r="H7960" s="11" t="s">
        <v>63</v>
      </c>
      <c r="I7960" s="13" t="s">
        <v>16247</v>
      </c>
      <c r="J7960" s="14" t="str">
        <f>HYPERLINK("https://www.boe.es/gazeta/dias/1839/07/23/pdfs/GMD-1839-1711.pdf#page=4","Abrir facsímil")</f>
        <v>Abrir facsímil</v>
      </c>
      <c r="K7960" s="12" t="s">
        <v>65</v>
      </c>
    </row>
    <row r="7961" spans="1:11" ht="40.049999999999997" customHeight="1" x14ac:dyDescent="0.25">
      <c r="A7961" s="11" t="s">
        <v>16248</v>
      </c>
      <c r="B7961" s="11" t="s">
        <v>16249</v>
      </c>
      <c r="C7961" s="11" t="s">
        <v>80</v>
      </c>
      <c r="D7961" s="11" t="s">
        <v>18</v>
      </c>
      <c r="E7961" s="12" t="s">
        <v>1388</v>
      </c>
      <c r="F7961" s="12" t="s">
        <v>1389</v>
      </c>
      <c r="G7961" s="12" t="s">
        <v>29</v>
      </c>
      <c r="H7961" s="11" t="s">
        <v>63</v>
      </c>
      <c r="I7961" s="13" t="s">
        <v>16250</v>
      </c>
      <c r="J7961" s="14" t="str">
        <f>HYPERLINK("https://www.boe.es/gazeta/dias/1839/06/04/pdfs/GMD-1839-1662.pdf#page=1","Abrir facsímil")</f>
        <v>Abrir facsímil</v>
      </c>
      <c r="K7961" s="12" t="s">
        <v>65</v>
      </c>
    </row>
    <row r="7962" spans="1:11" ht="40.049999999999997" customHeight="1" x14ac:dyDescent="0.25">
      <c r="A7962" s="11" t="s">
        <v>16251</v>
      </c>
      <c r="B7962" s="11" t="s">
        <v>16252</v>
      </c>
      <c r="C7962" s="11" t="s">
        <v>80</v>
      </c>
      <c r="D7962" s="11" t="s">
        <v>18</v>
      </c>
      <c r="E7962" s="12" t="s">
        <v>44</v>
      </c>
      <c r="F7962" s="12" t="s">
        <v>45</v>
      </c>
      <c r="G7962" s="12" t="s">
        <v>46</v>
      </c>
      <c r="H7962" s="11" t="s">
        <v>63</v>
      </c>
      <c r="I7962" s="13" t="s">
        <v>16253</v>
      </c>
      <c r="J7962" s="14" t="str">
        <f>HYPERLINK("https://www.boe.es/gazeta/dias/1839/11/15/pdfs/GMD-1839-1832.pdf#page=3","Abrir facsímil")</f>
        <v>Abrir facsímil</v>
      </c>
      <c r="K7962" s="12" t="s">
        <v>65</v>
      </c>
    </row>
    <row r="7963" spans="1:11" ht="40.049999999999997" customHeight="1" x14ac:dyDescent="0.25">
      <c r="A7963" s="11" t="s">
        <v>16254</v>
      </c>
      <c r="B7963" s="11" t="s">
        <v>16255</v>
      </c>
      <c r="C7963" s="11" t="s">
        <v>17</v>
      </c>
      <c r="D7963" s="11" t="s">
        <v>18</v>
      </c>
      <c r="E7963" s="12" t="s">
        <v>1144</v>
      </c>
      <c r="F7963" s="12" t="s">
        <v>1145</v>
      </c>
      <c r="G7963" s="12" t="s">
        <v>40</v>
      </c>
      <c r="H7963" s="11" t="s">
        <v>22</v>
      </c>
      <c r="I7963" s="13" t="s">
        <v>16256</v>
      </c>
      <c r="J7963" s="14" t="str">
        <f>HYPERLINK("https://www.boe.es/gazeta/dias/1839/08/13/pdfs/GMD-1839-1733.pdf#page=2","Abrir facsímil")</f>
        <v>Abrir facsímil</v>
      </c>
      <c r="K7963" s="12" t="s">
        <v>24</v>
      </c>
    </row>
    <row r="7964" spans="1:11" ht="40.049999999999997" customHeight="1" x14ac:dyDescent="0.25">
      <c r="A7964" s="11" t="s">
        <v>16257</v>
      </c>
      <c r="B7964" s="11" t="s">
        <v>16257</v>
      </c>
      <c r="C7964" s="11" t="s">
        <v>59</v>
      </c>
      <c r="D7964" s="11" t="s">
        <v>60</v>
      </c>
      <c r="E7964" s="12" t="s">
        <v>2117</v>
      </c>
      <c r="F7964" s="12" t="s">
        <v>2118</v>
      </c>
      <c r="G7964" s="12" t="s">
        <v>40</v>
      </c>
      <c r="H7964" s="11" t="s">
        <v>63</v>
      </c>
      <c r="I7964" s="13" t="s">
        <v>16258</v>
      </c>
      <c r="J7964" s="14" t="str">
        <f>HYPERLINK("https://www.boe.es/gazeta/dias/1839/06/23/pdfs/GMD-1839-1681.pdf#page=2","Abrir facsímil")</f>
        <v>Abrir facsímil</v>
      </c>
      <c r="K7964" s="12" t="s">
        <v>65</v>
      </c>
    </row>
    <row r="7965" spans="1:11" ht="40.049999999999997" customHeight="1" x14ac:dyDescent="0.25">
      <c r="A7965" s="11" t="s">
        <v>16259</v>
      </c>
      <c r="B7965" s="11" t="s">
        <v>16260</v>
      </c>
      <c r="C7965" s="11" t="s">
        <v>101</v>
      </c>
      <c r="D7965" s="11" t="s">
        <v>102</v>
      </c>
      <c r="E7965" s="12" t="s">
        <v>2117</v>
      </c>
      <c r="F7965" s="12" t="s">
        <v>2118</v>
      </c>
      <c r="G7965" s="12" t="s">
        <v>40</v>
      </c>
      <c r="H7965" s="11" t="s">
        <v>22</v>
      </c>
      <c r="I7965" s="13" t="s">
        <v>16261</v>
      </c>
      <c r="J7965" s="14" t="str">
        <f>HYPERLINK("https://www.boe.es/gazeta/dias/1839/06/23/pdfs/GMD-1839-1681.pdf#page=2","Abrir facsímil")</f>
        <v>Abrir facsímil</v>
      </c>
      <c r="K7965" s="12" t="s">
        <v>24</v>
      </c>
    </row>
    <row r="7966" spans="1:11" ht="40.049999999999997" customHeight="1" x14ac:dyDescent="0.25">
      <c r="A7966" s="11" t="s">
        <v>16262</v>
      </c>
      <c r="B7966" s="11" t="s">
        <v>16263</v>
      </c>
      <c r="C7966" s="11" t="s">
        <v>80</v>
      </c>
      <c r="D7966" s="11" t="s">
        <v>18</v>
      </c>
      <c r="E7966" s="12" t="s">
        <v>372</v>
      </c>
      <c r="F7966" s="12" t="s">
        <v>373</v>
      </c>
      <c r="G7966" s="12" t="s">
        <v>21</v>
      </c>
      <c r="H7966" s="11" t="s">
        <v>63</v>
      </c>
      <c r="I7966" s="13" t="s">
        <v>16264</v>
      </c>
      <c r="J7966" s="14" t="str">
        <f>HYPERLINK("https://www.boe.es/gazeta/dias/1839/11/08/pdfs/GMD-1839-1825.pdf#page=4","Abrir facsímil")</f>
        <v>Abrir facsímil</v>
      </c>
      <c r="K7966" s="12" t="s">
        <v>65</v>
      </c>
    </row>
    <row r="7967" spans="1:11" ht="40.049999999999997" customHeight="1" x14ac:dyDescent="0.25">
      <c r="A7967" s="11" t="s">
        <v>16265</v>
      </c>
      <c r="B7967" s="11" t="s">
        <v>16265</v>
      </c>
      <c r="C7967" s="11" t="s">
        <v>17</v>
      </c>
      <c r="D7967" s="11" t="s">
        <v>18</v>
      </c>
      <c r="E7967" s="12" t="s">
        <v>3601</v>
      </c>
      <c r="F7967" s="12" t="s">
        <v>3602</v>
      </c>
      <c r="G7967" s="12" t="s">
        <v>29</v>
      </c>
      <c r="H7967" s="11" t="s">
        <v>63</v>
      </c>
      <c r="I7967" s="13" t="s">
        <v>16266</v>
      </c>
      <c r="J7967" s="14" t="str">
        <f>HYPERLINK("https://www.boe.es/gazeta/dias/1839/03/21/pdfs/GMD-1839-1587.pdf#page=1","Abrir facsímil")</f>
        <v>Abrir facsímil</v>
      </c>
      <c r="K7967" s="12" t="s">
        <v>65</v>
      </c>
    </row>
    <row r="7968" spans="1:11" ht="40.049999999999997" customHeight="1" x14ac:dyDescent="0.25">
      <c r="A7968" s="11" t="s">
        <v>16267</v>
      </c>
      <c r="B7968" s="11" t="s">
        <v>16267</v>
      </c>
      <c r="C7968" s="11" t="s">
        <v>80</v>
      </c>
      <c r="D7968" s="11" t="s">
        <v>18</v>
      </c>
      <c r="E7968" s="12" t="s">
        <v>2962</v>
      </c>
      <c r="F7968" s="12" t="s">
        <v>2963</v>
      </c>
      <c r="G7968" s="12" t="s">
        <v>21</v>
      </c>
      <c r="H7968" s="11" t="s">
        <v>63</v>
      </c>
      <c r="I7968" s="13" t="s">
        <v>16268</v>
      </c>
      <c r="J7968" s="14" t="str">
        <f>HYPERLINK("https://www.boe.es/gazeta/dias/1839/12/21/pdfs/GMD-1839-1868.pdf#page=4","Abrir facsímil")</f>
        <v>Abrir facsímil</v>
      </c>
      <c r="K7968" s="12" t="s">
        <v>65</v>
      </c>
    </row>
    <row r="7969" spans="1:11" ht="40.049999999999997" customHeight="1" x14ac:dyDescent="0.25">
      <c r="A7969" s="11" t="s">
        <v>16269</v>
      </c>
      <c r="B7969" s="11" t="s">
        <v>16269</v>
      </c>
      <c r="C7969" s="11" t="s">
        <v>59</v>
      </c>
      <c r="D7969" s="11" t="s">
        <v>60</v>
      </c>
      <c r="E7969" s="12" t="s">
        <v>266</v>
      </c>
      <c r="F7969" s="12" t="s">
        <v>267</v>
      </c>
      <c r="G7969" s="12" t="s">
        <v>40</v>
      </c>
      <c r="H7969" s="11" t="s">
        <v>63</v>
      </c>
      <c r="I7969" s="13" t="s">
        <v>16270</v>
      </c>
      <c r="J7969" s="14" t="str">
        <f>HYPERLINK("https://www.boe.es/gazeta/dias/1839/01/03/pdfs/GMD-1839-1510.pdf#page=2","Abrir facsímil")</f>
        <v>Abrir facsímil</v>
      </c>
      <c r="K7969" s="12" t="s">
        <v>65</v>
      </c>
    </row>
    <row r="7970" spans="1:11" ht="40.049999999999997" customHeight="1" x14ac:dyDescent="0.25">
      <c r="A7970" s="11" t="s">
        <v>16271</v>
      </c>
      <c r="B7970" s="11" t="s">
        <v>16271</v>
      </c>
      <c r="C7970" s="11" t="s">
        <v>17</v>
      </c>
      <c r="D7970" s="11" t="s">
        <v>18</v>
      </c>
      <c r="E7970" s="12" t="s">
        <v>2435</v>
      </c>
      <c r="F7970" s="12" t="s">
        <v>2436</v>
      </c>
      <c r="G7970" s="12" t="s">
        <v>21</v>
      </c>
      <c r="H7970" s="11" t="s">
        <v>63</v>
      </c>
      <c r="I7970" s="13" t="s">
        <v>16272</v>
      </c>
      <c r="J7970" s="14" t="str">
        <f>HYPERLINK("https://www.boe.es/gazeta/dias/1839/07/24/pdfs/GMD-1839-1713.pdf#page=4","Abrir facsímil")</f>
        <v>Abrir facsímil</v>
      </c>
      <c r="K7970" s="12" t="s">
        <v>65</v>
      </c>
    </row>
    <row r="7971" spans="1:11" ht="40.049999999999997" customHeight="1" x14ac:dyDescent="0.25">
      <c r="A7971" s="11" t="s">
        <v>16273</v>
      </c>
      <c r="B7971" s="11" t="s">
        <v>16273</v>
      </c>
      <c r="C7971" s="11" t="s">
        <v>137</v>
      </c>
      <c r="D7971" s="11" t="s">
        <v>18</v>
      </c>
      <c r="E7971" s="12" t="s">
        <v>1136</v>
      </c>
      <c r="F7971" s="12" t="s">
        <v>1137</v>
      </c>
      <c r="G7971" s="12" t="s">
        <v>21</v>
      </c>
      <c r="H7971" s="11" t="s">
        <v>63</v>
      </c>
      <c r="I7971" s="13" t="s">
        <v>16274</v>
      </c>
      <c r="J7971" s="14" t="str">
        <f>HYPERLINK("https://www.boe.es/gazeta/dias/1839/04/03/pdfs/GMD-1839-1600.pdf#page=4","Abrir facsímil")</f>
        <v>Abrir facsímil</v>
      </c>
      <c r="K7971" s="12" t="s">
        <v>65</v>
      </c>
    </row>
    <row r="7972" spans="1:11" ht="40.049999999999997" customHeight="1" x14ac:dyDescent="0.25">
      <c r="A7972" s="11" t="s">
        <v>16273</v>
      </c>
      <c r="B7972" s="11" t="s">
        <v>16273</v>
      </c>
      <c r="C7972" s="11" t="s">
        <v>17</v>
      </c>
      <c r="D7972" s="11" t="s">
        <v>18</v>
      </c>
      <c r="E7972" s="12" t="s">
        <v>516</v>
      </c>
      <c r="F7972" s="12" t="s">
        <v>517</v>
      </c>
      <c r="G7972" s="12" t="s">
        <v>21</v>
      </c>
      <c r="H7972" s="11" t="s">
        <v>63</v>
      </c>
      <c r="I7972" s="13" t="s">
        <v>16275</v>
      </c>
      <c r="J7972" s="14" t="str">
        <f>HYPERLINK("https://www.boe.es/gazeta/dias/1839/06/21/pdfs/GMD-1839-1679.pdf#page=4","Abrir facsímil")</f>
        <v>Abrir facsímil</v>
      </c>
      <c r="K7972" s="12" t="s">
        <v>65</v>
      </c>
    </row>
    <row r="7973" spans="1:11" ht="40.049999999999997" customHeight="1" x14ac:dyDescent="0.25">
      <c r="A7973" s="11" t="s">
        <v>16273</v>
      </c>
      <c r="B7973" s="11" t="s">
        <v>16273</v>
      </c>
      <c r="C7973" s="11" t="s">
        <v>101</v>
      </c>
      <c r="D7973" s="11" t="s">
        <v>102</v>
      </c>
      <c r="E7973" s="12" t="s">
        <v>280</v>
      </c>
      <c r="F7973" s="12" t="s">
        <v>281</v>
      </c>
      <c r="G7973" s="12" t="s">
        <v>29</v>
      </c>
      <c r="H7973" s="11" t="s">
        <v>63</v>
      </c>
      <c r="I7973" s="13" t="s">
        <v>16276</v>
      </c>
      <c r="J7973" s="14" t="str">
        <f>HYPERLINK("https://www.boe.es/gazeta/dias/1839/08/21/pdfs/GMD-1839-1742.pdf#page=1","Abrir facsímil")</f>
        <v>Abrir facsímil</v>
      </c>
      <c r="K7973" s="12" t="s">
        <v>65</v>
      </c>
    </row>
    <row r="7974" spans="1:11" ht="40.049999999999997" customHeight="1" x14ac:dyDescent="0.25">
      <c r="A7974" s="11" t="s">
        <v>16273</v>
      </c>
      <c r="B7974" s="11" t="s">
        <v>16273</v>
      </c>
      <c r="C7974" s="11" t="s">
        <v>17</v>
      </c>
      <c r="D7974" s="11" t="s">
        <v>18</v>
      </c>
      <c r="E7974" s="12" t="s">
        <v>568</v>
      </c>
      <c r="F7974" s="12" t="s">
        <v>569</v>
      </c>
      <c r="G7974" s="12" t="s">
        <v>21</v>
      </c>
      <c r="H7974" s="11" t="s">
        <v>63</v>
      </c>
      <c r="I7974" s="13" t="s">
        <v>16277</v>
      </c>
      <c r="J7974" s="14" t="str">
        <f>HYPERLINK("https://www.boe.es/gazeta/dias/1839/10/23/pdfs/GMD-1839-1809.pdf#page=4","Abrir facsímil")</f>
        <v>Abrir facsímil</v>
      </c>
      <c r="K7974" s="12" t="s">
        <v>65</v>
      </c>
    </row>
    <row r="7975" spans="1:11" ht="40.049999999999997" customHeight="1" x14ac:dyDescent="0.25">
      <c r="A7975" s="11" t="s">
        <v>16273</v>
      </c>
      <c r="B7975" s="11" t="s">
        <v>16273</v>
      </c>
      <c r="C7975" s="11" t="s">
        <v>17</v>
      </c>
      <c r="D7975" s="11" t="s">
        <v>18</v>
      </c>
      <c r="E7975" s="12" t="s">
        <v>1395</v>
      </c>
      <c r="F7975" s="12" t="s">
        <v>1396</v>
      </c>
      <c r="G7975" s="12" t="s">
        <v>21</v>
      </c>
      <c r="H7975" s="11" t="s">
        <v>63</v>
      </c>
      <c r="I7975" s="13" t="s">
        <v>16278</v>
      </c>
      <c r="J7975" s="14" t="str">
        <f>HYPERLINK("https://www.boe.es/gazeta/dias/1839/06/26/pdfs/GMD-1839-1684.pdf#page=4","Abrir facsímil")</f>
        <v>Abrir facsímil</v>
      </c>
      <c r="K7975" s="12" t="s">
        <v>65</v>
      </c>
    </row>
    <row r="7976" spans="1:11" ht="40.049999999999997" customHeight="1" x14ac:dyDescent="0.25">
      <c r="A7976" s="11" t="s">
        <v>16279</v>
      </c>
      <c r="B7976" s="11" t="s">
        <v>16280</v>
      </c>
      <c r="C7976" s="11" t="s">
        <v>80</v>
      </c>
      <c r="D7976" s="11" t="s">
        <v>18</v>
      </c>
      <c r="E7976" s="12" t="s">
        <v>369</v>
      </c>
      <c r="F7976" s="12" t="s">
        <v>370</v>
      </c>
      <c r="G7976" s="12" t="s">
        <v>21</v>
      </c>
      <c r="H7976" s="11" t="s">
        <v>63</v>
      </c>
      <c r="I7976" s="13" t="s">
        <v>16281</v>
      </c>
      <c r="J7976" s="14" t="str">
        <f>HYPERLINK("https://www.boe.es/gazeta/dias/1839/11/01/pdfs/GMD-1839-1818.pdf#page=4","Abrir facsímil")</f>
        <v>Abrir facsímil</v>
      </c>
      <c r="K7976" s="12" t="s">
        <v>65</v>
      </c>
    </row>
    <row r="7977" spans="1:11" ht="40.049999999999997" customHeight="1" x14ac:dyDescent="0.25">
      <c r="A7977" s="11" t="s">
        <v>16282</v>
      </c>
      <c r="B7977" s="11" t="s">
        <v>16283</v>
      </c>
      <c r="C7977" s="11" t="s">
        <v>17</v>
      </c>
      <c r="D7977" s="11" t="s">
        <v>18</v>
      </c>
      <c r="E7977" s="12" t="s">
        <v>474</v>
      </c>
      <c r="F7977" s="12" t="s">
        <v>475</v>
      </c>
      <c r="G7977" s="12" t="s">
        <v>21</v>
      </c>
      <c r="H7977" s="11" t="s">
        <v>63</v>
      </c>
      <c r="I7977" s="13" t="s">
        <v>16284</v>
      </c>
      <c r="J7977" s="14" t="str">
        <f>HYPERLINK("https://www.boe.es/gazeta/dias/1839/03/31/pdfs/GMD-1839-1597.pdf#page=4","Abrir facsímil")</f>
        <v>Abrir facsímil</v>
      </c>
      <c r="K7977" s="12" t="s">
        <v>65</v>
      </c>
    </row>
    <row r="7978" spans="1:11" ht="40.049999999999997" customHeight="1" x14ac:dyDescent="0.25">
      <c r="A7978" s="11" t="s">
        <v>16285</v>
      </c>
      <c r="B7978" s="11" t="s">
        <v>16286</v>
      </c>
      <c r="C7978" s="11" t="s">
        <v>17</v>
      </c>
      <c r="D7978" s="11" t="s">
        <v>18</v>
      </c>
      <c r="E7978" s="12" t="s">
        <v>522</v>
      </c>
      <c r="F7978" s="12" t="s">
        <v>523</v>
      </c>
      <c r="G7978" s="12" t="s">
        <v>40</v>
      </c>
      <c r="H7978" s="11" t="s">
        <v>63</v>
      </c>
      <c r="I7978" s="13" t="s">
        <v>16287</v>
      </c>
      <c r="J7978" s="14" t="str">
        <f>HYPERLINK("https://www.boe.es/gazeta/dias/1839/08/27/pdfs/GMD-1839-1748.pdf#page=2","Abrir facsímil")</f>
        <v>Abrir facsímil</v>
      </c>
      <c r="K7978" s="12" t="s">
        <v>65</v>
      </c>
    </row>
    <row r="7979" spans="1:11" ht="40.049999999999997" customHeight="1" x14ac:dyDescent="0.25">
      <c r="A7979" s="11" t="s">
        <v>16288</v>
      </c>
      <c r="B7979" s="11" t="s">
        <v>16289</v>
      </c>
      <c r="C7979" s="11" t="s">
        <v>17</v>
      </c>
      <c r="D7979" s="11" t="s">
        <v>18</v>
      </c>
      <c r="E7979" s="12" t="s">
        <v>489</v>
      </c>
      <c r="F7979" s="12" t="s">
        <v>490</v>
      </c>
      <c r="G7979" s="12" t="s">
        <v>46</v>
      </c>
      <c r="H7979" s="11" t="s">
        <v>22</v>
      </c>
      <c r="I7979" s="13" t="s">
        <v>16290</v>
      </c>
      <c r="J7979" s="14" t="str">
        <f>HYPERLINK("https://www.boe.es/gazeta/dias/1839/06/29/pdfs/GMD-1839-1687.pdf#page=3","Abrir facsímil")</f>
        <v>Abrir facsímil</v>
      </c>
      <c r="K7979" s="12" t="s">
        <v>24</v>
      </c>
    </row>
    <row r="7980" spans="1:11" ht="40.049999999999997" customHeight="1" x14ac:dyDescent="0.25">
      <c r="A7980" s="11" t="s">
        <v>16291</v>
      </c>
      <c r="B7980" s="11" t="s">
        <v>16291</v>
      </c>
      <c r="C7980" s="11" t="s">
        <v>17</v>
      </c>
      <c r="D7980" s="11" t="s">
        <v>18</v>
      </c>
      <c r="E7980" s="12" t="s">
        <v>197</v>
      </c>
      <c r="F7980" s="12" t="s">
        <v>198</v>
      </c>
      <c r="G7980" s="12" t="s">
        <v>40</v>
      </c>
      <c r="H7980" s="11" t="s">
        <v>63</v>
      </c>
      <c r="I7980" s="13" t="s">
        <v>16292</v>
      </c>
      <c r="J7980" s="14" t="str">
        <f>HYPERLINK("https://www.boe.es/gazeta/dias/1839/10/04/pdfs/GMD-1839-1790.pdf#page=2","Abrir facsímil")</f>
        <v>Abrir facsímil</v>
      </c>
      <c r="K7980" s="12" t="s">
        <v>65</v>
      </c>
    </row>
    <row r="7981" spans="1:11" ht="40.049999999999997" customHeight="1" x14ac:dyDescent="0.25">
      <c r="A7981" s="11" t="s">
        <v>16293</v>
      </c>
      <c r="B7981" s="11" t="s">
        <v>16293</v>
      </c>
      <c r="C7981" s="11" t="s">
        <v>59</v>
      </c>
      <c r="D7981" s="11" t="s">
        <v>60</v>
      </c>
      <c r="E7981" s="12" t="s">
        <v>2919</v>
      </c>
      <c r="F7981" s="12" t="s">
        <v>2920</v>
      </c>
      <c r="G7981" s="12" t="s">
        <v>40</v>
      </c>
      <c r="H7981" s="11" t="s">
        <v>63</v>
      </c>
      <c r="I7981" s="13" t="s">
        <v>16294</v>
      </c>
      <c r="J7981" s="14" t="str">
        <f>HYPERLINK("https://www.boe.es/gazeta/dias/1839/11/12/pdfs/GMD-1839-1829.pdf#page=2","Abrir facsímil")</f>
        <v>Abrir facsímil</v>
      </c>
      <c r="K7981" s="12" t="s">
        <v>65</v>
      </c>
    </row>
    <row r="7982" spans="1:11" ht="40.049999999999997" customHeight="1" x14ac:dyDescent="0.25">
      <c r="A7982" s="11" t="s">
        <v>16293</v>
      </c>
      <c r="B7982" s="11" t="s">
        <v>16293</v>
      </c>
      <c r="C7982" s="11" t="s">
        <v>59</v>
      </c>
      <c r="D7982" s="11" t="s">
        <v>60</v>
      </c>
      <c r="E7982" s="12" t="s">
        <v>89</v>
      </c>
      <c r="F7982" s="12" t="s">
        <v>90</v>
      </c>
      <c r="G7982" s="12" t="s">
        <v>29</v>
      </c>
      <c r="H7982" s="11" t="s">
        <v>63</v>
      </c>
      <c r="I7982" s="13" t="s">
        <v>16295</v>
      </c>
      <c r="J7982" s="14" t="str">
        <f>HYPERLINK("https://www.boe.es/gazeta/dias/1839/11/28/pdfs/GMD-1839-1845.pdf#page=1","Abrir facsímil")</f>
        <v>Abrir facsímil</v>
      </c>
      <c r="K7982" s="12" t="s">
        <v>65</v>
      </c>
    </row>
    <row r="7983" spans="1:11" ht="40.049999999999997" customHeight="1" x14ac:dyDescent="0.25">
      <c r="A7983" s="11" t="s">
        <v>16296</v>
      </c>
      <c r="B7983" s="11" t="s">
        <v>16296</v>
      </c>
      <c r="C7983" s="11" t="s">
        <v>101</v>
      </c>
      <c r="D7983" s="11" t="s">
        <v>102</v>
      </c>
      <c r="E7983" s="12" t="s">
        <v>2919</v>
      </c>
      <c r="F7983" s="12" t="s">
        <v>2920</v>
      </c>
      <c r="G7983" s="12" t="s">
        <v>40</v>
      </c>
      <c r="H7983" s="11" t="s">
        <v>63</v>
      </c>
      <c r="I7983" s="13" t="s">
        <v>16297</v>
      </c>
      <c r="J7983" s="14" t="str">
        <f>HYPERLINK("https://www.boe.es/gazeta/dias/1839/11/12/pdfs/GMD-1839-1829.pdf#page=2","Abrir facsímil")</f>
        <v>Abrir facsímil</v>
      </c>
      <c r="K7983" s="12" t="s">
        <v>65</v>
      </c>
    </row>
    <row r="7984" spans="1:11" ht="40.049999999999997" customHeight="1" x14ac:dyDescent="0.25">
      <c r="A7984" s="11" t="s">
        <v>16298</v>
      </c>
      <c r="B7984" s="11" t="s">
        <v>16298</v>
      </c>
      <c r="C7984" s="11" t="s">
        <v>17</v>
      </c>
      <c r="D7984" s="11" t="s">
        <v>18</v>
      </c>
      <c r="E7984" s="12" t="s">
        <v>349</v>
      </c>
      <c r="F7984" s="12" t="s">
        <v>350</v>
      </c>
      <c r="G7984" s="12" t="s">
        <v>46</v>
      </c>
      <c r="H7984" s="11" t="s">
        <v>63</v>
      </c>
      <c r="I7984" s="13" t="s">
        <v>16299</v>
      </c>
      <c r="J7984" s="14" t="str">
        <f>HYPERLINK("https://www.boe.es/gazeta/dias/1839/12/25/pdfs/GMD-1839-1872.pdf#page=3","Abrir facsímil")</f>
        <v>Abrir facsímil</v>
      </c>
      <c r="K7984" s="12" t="s">
        <v>65</v>
      </c>
    </row>
    <row r="7985" spans="1:11" ht="40.049999999999997" customHeight="1" x14ac:dyDescent="0.25">
      <c r="A7985" s="11" t="s">
        <v>16300</v>
      </c>
      <c r="B7985" s="11" t="s">
        <v>16301</v>
      </c>
      <c r="C7985" s="11" t="s">
        <v>17</v>
      </c>
      <c r="D7985" s="11" t="s">
        <v>18</v>
      </c>
      <c r="E7985" s="12" t="s">
        <v>217</v>
      </c>
      <c r="F7985" s="12" t="s">
        <v>218</v>
      </c>
      <c r="G7985" s="12" t="s">
        <v>46</v>
      </c>
      <c r="H7985" s="11" t="s">
        <v>22</v>
      </c>
      <c r="I7985" s="13" t="s">
        <v>16302</v>
      </c>
      <c r="J7985" s="14" t="str">
        <f>HYPERLINK("https://www.boe.es/gazeta/dias/1839/08/06/pdfs/GMD-1839-1726.pdf#page=3","Abrir facsímil")</f>
        <v>Abrir facsímil</v>
      </c>
      <c r="K7985" s="12" t="s">
        <v>24</v>
      </c>
    </row>
    <row r="7986" spans="1:11" ht="40.049999999999997" customHeight="1" x14ac:dyDescent="0.25">
      <c r="A7986" s="11" t="s">
        <v>16303</v>
      </c>
      <c r="B7986" s="11" t="s">
        <v>16303</v>
      </c>
      <c r="C7986" s="11" t="s">
        <v>59</v>
      </c>
      <c r="D7986" s="11" t="s">
        <v>60</v>
      </c>
      <c r="E7986" s="12" t="s">
        <v>202</v>
      </c>
      <c r="F7986" s="12" t="s">
        <v>203</v>
      </c>
      <c r="G7986" s="12" t="s">
        <v>46</v>
      </c>
      <c r="H7986" s="11" t="s">
        <v>63</v>
      </c>
      <c r="I7986" s="13" t="s">
        <v>16304</v>
      </c>
      <c r="J7986" s="14" t="str">
        <f>HYPERLINK("https://www.boe.es/gazeta/dias/1839/04/05/pdfs/GMD-1839-1602.pdf#page=3","Abrir facsímil")</f>
        <v>Abrir facsímil</v>
      </c>
      <c r="K7986" s="12" t="s">
        <v>65</v>
      </c>
    </row>
    <row r="7987" spans="1:11" ht="40.049999999999997" customHeight="1" x14ac:dyDescent="0.25">
      <c r="A7987" s="11" t="s">
        <v>16303</v>
      </c>
      <c r="B7987" s="11" t="s">
        <v>16303</v>
      </c>
      <c r="C7987" s="11" t="s">
        <v>17</v>
      </c>
      <c r="D7987" s="11" t="s">
        <v>18</v>
      </c>
      <c r="E7987" s="12" t="s">
        <v>1509</v>
      </c>
      <c r="F7987" s="12" t="s">
        <v>1510</v>
      </c>
      <c r="G7987" s="12" t="s">
        <v>305</v>
      </c>
      <c r="H7987" s="11" t="s">
        <v>63</v>
      </c>
      <c r="I7987" s="13" t="s">
        <v>16305</v>
      </c>
      <c r="J7987" s="14" t="str">
        <f>HYPERLINK("https://www.boe.es/gazeta/dias/1839/10/07/pdfs/GMD-1839-1793.pdf#page=6","Abrir facsímil")</f>
        <v>Abrir facsímil</v>
      </c>
      <c r="K7987" s="12" t="s">
        <v>65</v>
      </c>
    </row>
    <row r="7988" spans="1:11" ht="40.049999999999997" customHeight="1" x14ac:dyDescent="0.25">
      <c r="A7988" s="11" t="s">
        <v>16303</v>
      </c>
      <c r="B7988" s="11" t="s">
        <v>16303</v>
      </c>
      <c r="C7988" s="11" t="s">
        <v>17</v>
      </c>
      <c r="D7988" s="11" t="s">
        <v>18</v>
      </c>
      <c r="E7988" s="12" t="s">
        <v>544</v>
      </c>
      <c r="F7988" s="12" t="s">
        <v>545</v>
      </c>
      <c r="G7988" s="12" t="s">
        <v>46</v>
      </c>
      <c r="H7988" s="11" t="s">
        <v>63</v>
      </c>
      <c r="I7988" s="13" t="s">
        <v>16306</v>
      </c>
      <c r="J7988" s="14" t="str">
        <f>HYPERLINK("https://www.boe.es/gazeta/dias/1839/11/11/pdfs/GMD-1839-1828.pdf#page=3","Abrir facsímil")</f>
        <v>Abrir facsímil</v>
      </c>
      <c r="K7988" s="12" t="s">
        <v>65</v>
      </c>
    </row>
    <row r="7989" spans="1:11" ht="40.049999999999997" customHeight="1" x14ac:dyDescent="0.25">
      <c r="A7989" s="11" t="s">
        <v>16303</v>
      </c>
      <c r="B7989" s="11" t="s">
        <v>16303</v>
      </c>
      <c r="C7989" s="11" t="s">
        <v>17</v>
      </c>
      <c r="D7989" s="11" t="s">
        <v>18</v>
      </c>
      <c r="E7989" s="12" t="s">
        <v>254</v>
      </c>
      <c r="F7989" s="12" t="s">
        <v>255</v>
      </c>
      <c r="G7989" s="12" t="s">
        <v>21</v>
      </c>
      <c r="H7989" s="11" t="s">
        <v>63</v>
      </c>
      <c r="I7989" s="13" t="s">
        <v>16307</v>
      </c>
      <c r="J7989" s="14" t="str">
        <f>HYPERLINK("https://www.boe.es/gazeta/dias/1839/09/12/pdfs/GMD-1839-1765.pdf#page=4","Abrir facsímil")</f>
        <v>Abrir facsímil</v>
      </c>
      <c r="K7989" s="12" t="s">
        <v>65</v>
      </c>
    </row>
    <row r="7990" spans="1:11" ht="40.049999999999997" customHeight="1" x14ac:dyDescent="0.25">
      <c r="A7990" s="11" t="s">
        <v>16308</v>
      </c>
      <c r="B7990" s="11" t="s">
        <v>16308</v>
      </c>
      <c r="C7990" s="11" t="s">
        <v>59</v>
      </c>
      <c r="D7990" s="11" t="s">
        <v>60</v>
      </c>
      <c r="E7990" s="12" t="s">
        <v>496</v>
      </c>
      <c r="F7990" s="12" t="s">
        <v>497</v>
      </c>
      <c r="G7990" s="12" t="s">
        <v>29</v>
      </c>
      <c r="H7990" s="11" t="s">
        <v>63</v>
      </c>
      <c r="I7990" s="13" t="s">
        <v>16309</v>
      </c>
      <c r="J7990" s="14" t="str">
        <f>HYPERLINK("https://www.boe.es/gazeta/dias/1839/11/23/pdfs/GMD-1839-1840.pdf#page=1","Abrir facsímil")</f>
        <v>Abrir facsímil</v>
      </c>
      <c r="K7990" s="12" t="s">
        <v>65</v>
      </c>
    </row>
    <row r="7991" spans="1:11" ht="40.049999999999997" customHeight="1" x14ac:dyDescent="0.25">
      <c r="A7991" s="11" t="s">
        <v>16310</v>
      </c>
      <c r="B7991" s="11" t="s">
        <v>16311</v>
      </c>
      <c r="C7991" s="11" t="s">
        <v>101</v>
      </c>
      <c r="D7991" s="11" t="s">
        <v>43</v>
      </c>
      <c r="E7991" s="12" t="s">
        <v>685</v>
      </c>
      <c r="F7991" s="12" t="s">
        <v>686</v>
      </c>
      <c r="G7991" s="12" t="s">
        <v>21</v>
      </c>
      <c r="H7991" s="11" t="s">
        <v>63</v>
      </c>
      <c r="I7991" s="13" t="s">
        <v>16312</v>
      </c>
      <c r="J7991" s="14" t="str">
        <f>HYPERLINK("https://www.boe.es/gazeta/dias/1839/06/18/pdfs/GMD-1839-1676.pdf#page=4","Abrir facsímil")</f>
        <v>Abrir facsímil</v>
      </c>
      <c r="K7991" s="12" t="s">
        <v>65</v>
      </c>
    </row>
    <row r="7992" spans="1:11" ht="40.049999999999997" customHeight="1" x14ac:dyDescent="0.25">
      <c r="A7992" s="11" t="s">
        <v>16313</v>
      </c>
      <c r="B7992" s="11" t="s">
        <v>16313</v>
      </c>
      <c r="C7992" s="11" t="s">
        <v>80</v>
      </c>
      <c r="D7992" s="11" t="s">
        <v>18</v>
      </c>
      <c r="E7992" s="12" t="s">
        <v>3601</v>
      </c>
      <c r="F7992" s="12" t="s">
        <v>3602</v>
      </c>
      <c r="G7992" s="12" t="s">
        <v>29</v>
      </c>
      <c r="H7992" s="11" t="s">
        <v>63</v>
      </c>
      <c r="I7992" s="13" t="s">
        <v>16314</v>
      </c>
      <c r="J7992" s="14" t="str">
        <f>HYPERLINK("https://www.boe.es/gazeta/dias/1839/03/21/pdfs/GMD-1839-1587.pdf#page=1","Abrir facsímil")</f>
        <v>Abrir facsímil</v>
      </c>
      <c r="K7992" s="12" t="s">
        <v>65</v>
      </c>
    </row>
    <row r="7993" spans="1:11" ht="40.049999999999997" customHeight="1" x14ac:dyDescent="0.25">
      <c r="A7993" s="11" t="s">
        <v>16315</v>
      </c>
      <c r="B7993" s="11" t="s">
        <v>16315</v>
      </c>
      <c r="C7993" s="11" t="s">
        <v>17</v>
      </c>
      <c r="D7993" s="11" t="s">
        <v>18</v>
      </c>
      <c r="E7993" s="12" t="s">
        <v>834</v>
      </c>
      <c r="F7993" s="12" t="s">
        <v>835</v>
      </c>
      <c r="G7993" s="12" t="s">
        <v>46</v>
      </c>
      <c r="H7993" s="11" t="s">
        <v>63</v>
      </c>
      <c r="I7993" s="13" t="s">
        <v>16316</v>
      </c>
      <c r="J7993" s="14" t="str">
        <f>HYPERLINK("https://www.boe.es/gazeta/dias/1839/08/17/pdfs/GMD-1839-1737.pdf#page=3","Abrir facsímil")</f>
        <v>Abrir facsímil</v>
      </c>
      <c r="K7993" s="12" t="s">
        <v>65</v>
      </c>
    </row>
    <row r="7994" spans="1:11" ht="40.049999999999997" customHeight="1" x14ac:dyDescent="0.25">
      <c r="A7994" s="11" t="s">
        <v>16317</v>
      </c>
      <c r="B7994" s="11" t="s">
        <v>16317</v>
      </c>
      <c r="C7994" s="11" t="s">
        <v>137</v>
      </c>
      <c r="D7994" s="11" t="s">
        <v>18</v>
      </c>
      <c r="E7994" s="12" t="s">
        <v>1562</v>
      </c>
      <c r="F7994" s="12" t="s">
        <v>1563</v>
      </c>
      <c r="G7994" s="12" t="s">
        <v>46</v>
      </c>
      <c r="H7994" s="11" t="s">
        <v>63</v>
      </c>
      <c r="I7994" s="13" t="s">
        <v>16318</v>
      </c>
      <c r="J7994" s="14" t="str">
        <f>HYPERLINK("https://www.boe.es/gazeta/dias/1839/04/08/pdfs/GMD-1839-1605.pdf#page=3","Abrir facsímil")</f>
        <v>Abrir facsímil</v>
      </c>
      <c r="K7994" s="12" t="s">
        <v>65</v>
      </c>
    </row>
    <row r="7995" spans="1:11" ht="40.049999999999997" customHeight="1" x14ac:dyDescent="0.25">
      <c r="A7995" s="11" t="s">
        <v>16317</v>
      </c>
      <c r="B7995" s="11" t="s">
        <v>16317</v>
      </c>
      <c r="C7995" s="11" t="s">
        <v>59</v>
      </c>
      <c r="D7995" s="11" t="s">
        <v>60</v>
      </c>
      <c r="E7995" s="12" t="s">
        <v>343</v>
      </c>
      <c r="F7995" s="12" t="s">
        <v>344</v>
      </c>
      <c r="G7995" s="12" t="s">
        <v>46</v>
      </c>
      <c r="H7995" s="11" t="s">
        <v>63</v>
      </c>
      <c r="I7995" s="13" t="s">
        <v>16319</v>
      </c>
      <c r="J7995" s="14" t="str">
        <f>HYPERLINK("https://www.boe.es/gazeta/dias/1839/05/20/pdfs/GMD-1839-1647.pdf#page=3","Abrir facsímil")</f>
        <v>Abrir facsímil</v>
      </c>
      <c r="K7995" s="12" t="s">
        <v>65</v>
      </c>
    </row>
    <row r="7996" spans="1:11" ht="40.049999999999997" customHeight="1" x14ac:dyDescent="0.25">
      <c r="A7996" s="11" t="s">
        <v>16317</v>
      </c>
      <c r="B7996" s="11" t="s">
        <v>16317</v>
      </c>
      <c r="C7996" s="11" t="s">
        <v>59</v>
      </c>
      <c r="D7996" s="11" t="s">
        <v>60</v>
      </c>
      <c r="E7996" s="12" t="s">
        <v>616</v>
      </c>
      <c r="F7996" s="12" t="s">
        <v>617</v>
      </c>
      <c r="G7996" s="12" t="s">
        <v>46</v>
      </c>
      <c r="H7996" s="11" t="s">
        <v>63</v>
      </c>
      <c r="I7996" s="13" t="s">
        <v>16320</v>
      </c>
      <c r="J7996" s="14" t="str">
        <f>HYPERLINK("https://www.boe.es/gazeta/dias/1839/05/29/pdfs/GMD-1839-1656.pdf#page=3","Abrir facsímil")</f>
        <v>Abrir facsímil</v>
      </c>
      <c r="K7996" s="12" t="s">
        <v>65</v>
      </c>
    </row>
    <row r="7997" spans="1:11" ht="40.049999999999997" customHeight="1" x14ac:dyDescent="0.25">
      <c r="A7997" s="11" t="s">
        <v>16321</v>
      </c>
      <c r="B7997" s="11" t="s">
        <v>16322</v>
      </c>
      <c r="C7997" s="11" t="s">
        <v>17</v>
      </c>
      <c r="D7997" s="11" t="s">
        <v>18</v>
      </c>
      <c r="E7997" s="12" t="s">
        <v>108</v>
      </c>
      <c r="F7997" s="12" t="s">
        <v>109</v>
      </c>
      <c r="G7997" s="12" t="s">
        <v>29</v>
      </c>
      <c r="H7997" s="11" t="s">
        <v>63</v>
      </c>
      <c r="I7997" s="13" t="s">
        <v>16323</v>
      </c>
      <c r="J7997" s="14" t="str">
        <f>HYPERLINK("https://www.boe.es/gazeta/dias/1839/01/04/pdfs/GMD-1839-1511.pdf#page=1","Abrir facsímil")</f>
        <v>Abrir facsímil</v>
      </c>
      <c r="K7997" s="12" t="s">
        <v>65</v>
      </c>
    </row>
    <row r="7998" spans="1:11" ht="40.049999999999997" customHeight="1" x14ac:dyDescent="0.25">
      <c r="A7998" s="11" t="s">
        <v>16324</v>
      </c>
      <c r="B7998" s="11" t="s">
        <v>16325</v>
      </c>
      <c r="C7998" s="11" t="s">
        <v>17</v>
      </c>
      <c r="D7998" s="11" t="s">
        <v>18</v>
      </c>
      <c r="E7998" s="12" t="s">
        <v>601</v>
      </c>
      <c r="F7998" s="12" t="s">
        <v>602</v>
      </c>
      <c r="G7998" s="12" t="s">
        <v>40</v>
      </c>
      <c r="H7998" s="11" t="s">
        <v>22</v>
      </c>
      <c r="I7998" s="13" t="s">
        <v>16326</v>
      </c>
      <c r="J7998" s="14" t="str">
        <f>HYPERLINK("https://www.boe.es/gazeta/dias/1839/04/21/pdfs/GMD-1839-1618.pdf#page=2","Abrir facsímil")</f>
        <v>Abrir facsímil</v>
      </c>
      <c r="K7998" s="12" t="s">
        <v>24</v>
      </c>
    </row>
    <row r="7999" spans="1:11" ht="40.049999999999997" customHeight="1" x14ac:dyDescent="0.25">
      <c r="A7999" s="11" t="s">
        <v>16327</v>
      </c>
      <c r="B7999" s="11" t="s">
        <v>16328</v>
      </c>
      <c r="C7999" s="11" t="s">
        <v>17</v>
      </c>
      <c r="D7999" s="11" t="s">
        <v>18</v>
      </c>
      <c r="E7999" s="12" t="s">
        <v>4787</v>
      </c>
      <c r="F7999" s="12" t="s">
        <v>4788</v>
      </c>
      <c r="G7999" s="12" t="s">
        <v>40</v>
      </c>
      <c r="H7999" s="11" t="s">
        <v>63</v>
      </c>
      <c r="I7999" s="13" t="s">
        <v>16329</v>
      </c>
      <c r="J7999" s="14" t="str">
        <f>HYPERLINK("https://www.boe.es/gazeta/dias/1839/05/26/pdfs/GMD-1839-1653.pdf#page=2","Abrir facsímil")</f>
        <v>Abrir facsímil</v>
      </c>
      <c r="K7999" s="12" t="s">
        <v>65</v>
      </c>
    </row>
    <row r="8000" spans="1:11" ht="40.049999999999997" customHeight="1" x14ac:dyDescent="0.25">
      <c r="A8000" s="11" t="s">
        <v>16330</v>
      </c>
      <c r="B8000" s="11" t="s">
        <v>16330</v>
      </c>
      <c r="C8000" s="11" t="s">
        <v>17</v>
      </c>
      <c r="D8000" s="11" t="s">
        <v>18</v>
      </c>
      <c r="E8000" s="12" t="s">
        <v>44</v>
      </c>
      <c r="F8000" s="12" t="s">
        <v>45</v>
      </c>
      <c r="G8000" s="12" t="s">
        <v>21</v>
      </c>
      <c r="H8000" s="11" t="s">
        <v>63</v>
      </c>
      <c r="I8000" s="13" t="s">
        <v>16331</v>
      </c>
      <c r="J8000" s="14" t="str">
        <f>HYPERLINK("https://www.boe.es/gazeta/dias/1839/11/15/pdfs/GMD-1839-1832.pdf#page=4","Abrir facsímil")</f>
        <v>Abrir facsímil</v>
      </c>
      <c r="K8000" s="12" t="s">
        <v>65</v>
      </c>
    </row>
    <row r="8001" spans="1:11" ht="40.049999999999997" customHeight="1" x14ac:dyDescent="0.25">
      <c r="A8001" s="11" t="s">
        <v>16332</v>
      </c>
      <c r="B8001" s="11" t="s">
        <v>16332</v>
      </c>
      <c r="C8001" s="11" t="s">
        <v>80</v>
      </c>
      <c r="D8001" s="11" t="s">
        <v>18</v>
      </c>
      <c r="E8001" s="12" t="s">
        <v>809</v>
      </c>
      <c r="F8001" s="12" t="s">
        <v>810</v>
      </c>
      <c r="G8001" s="12" t="s">
        <v>21</v>
      </c>
      <c r="H8001" s="11" t="s">
        <v>63</v>
      </c>
      <c r="I8001" s="13" t="s">
        <v>16333</v>
      </c>
      <c r="J8001" s="14" t="str">
        <f>HYPERLINK("https://www.boe.es/gazeta/dias/1839/02/11/pdfs/GMD-1839-1549.pdf#page=4","Abrir facsímil")</f>
        <v>Abrir facsímil</v>
      </c>
      <c r="K8001" s="12" t="s">
        <v>65</v>
      </c>
    </row>
    <row r="8002" spans="1:11" ht="40.049999999999997" customHeight="1" x14ac:dyDescent="0.25">
      <c r="A8002" s="11" t="s">
        <v>16334</v>
      </c>
      <c r="B8002" s="11" t="s">
        <v>16334</v>
      </c>
      <c r="C8002" s="11" t="s">
        <v>17</v>
      </c>
      <c r="D8002" s="11" t="s">
        <v>18</v>
      </c>
      <c r="E8002" s="12" t="s">
        <v>700</v>
      </c>
      <c r="F8002" s="12" t="s">
        <v>701</v>
      </c>
      <c r="G8002" s="12" t="s">
        <v>40</v>
      </c>
      <c r="H8002" s="11" t="s">
        <v>63</v>
      </c>
      <c r="I8002" s="13" t="s">
        <v>16335</v>
      </c>
      <c r="J8002" s="14" t="str">
        <f>HYPERLINK("https://www.boe.es/gazeta/dias/1839/09/01/pdfs/GMD-1839-1753.pdf#page=2","Abrir facsímil")</f>
        <v>Abrir facsímil</v>
      </c>
      <c r="K8002" s="12" t="s">
        <v>65</v>
      </c>
    </row>
    <row r="8003" spans="1:11" ht="40.049999999999997" customHeight="1" x14ac:dyDescent="0.25">
      <c r="A8003" s="11" t="s">
        <v>16334</v>
      </c>
      <c r="B8003" s="11" t="s">
        <v>16334</v>
      </c>
      <c r="C8003" s="11" t="s">
        <v>17</v>
      </c>
      <c r="D8003" s="11" t="s">
        <v>18</v>
      </c>
      <c r="E8003" s="12" t="s">
        <v>883</v>
      </c>
      <c r="F8003" s="12" t="s">
        <v>884</v>
      </c>
      <c r="G8003" s="12" t="s">
        <v>46</v>
      </c>
      <c r="H8003" s="11" t="s">
        <v>63</v>
      </c>
      <c r="I8003" s="13" t="s">
        <v>16336</v>
      </c>
      <c r="J8003" s="14" t="str">
        <f>HYPERLINK("https://www.boe.es/gazeta/dias/1839/11/03/pdfs/GMD-1839-1820.pdf#page=3","Abrir facsímil")</f>
        <v>Abrir facsímil</v>
      </c>
      <c r="K8003" s="12" t="s">
        <v>65</v>
      </c>
    </row>
    <row r="8004" spans="1:11" ht="40.049999999999997" customHeight="1" x14ac:dyDescent="0.25">
      <c r="A8004" s="11" t="s">
        <v>16334</v>
      </c>
      <c r="B8004" s="11" t="s">
        <v>16334</v>
      </c>
      <c r="C8004" s="11" t="s">
        <v>17</v>
      </c>
      <c r="D8004" s="11" t="s">
        <v>18</v>
      </c>
      <c r="E8004" s="12" t="s">
        <v>1356</v>
      </c>
      <c r="F8004" s="12" t="s">
        <v>1357</v>
      </c>
      <c r="G8004" s="12" t="s">
        <v>21</v>
      </c>
      <c r="H8004" s="11" t="s">
        <v>63</v>
      </c>
      <c r="I8004" s="13" t="s">
        <v>16337</v>
      </c>
      <c r="J8004" s="14" t="str">
        <f>HYPERLINK("https://www.boe.es/gazeta/dias/1839/06/05/pdfs/GMD-1839-1663.pdf#page=4","Abrir facsímil")</f>
        <v>Abrir facsímil</v>
      </c>
      <c r="K8004" s="12" t="s">
        <v>65</v>
      </c>
    </row>
    <row r="8005" spans="1:11" ht="40.049999999999997" customHeight="1" x14ac:dyDescent="0.25">
      <c r="A8005" s="11" t="s">
        <v>16334</v>
      </c>
      <c r="B8005" s="11" t="s">
        <v>16334</v>
      </c>
      <c r="C8005" s="11" t="s">
        <v>17</v>
      </c>
      <c r="D8005" s="11" t="s">
        <v>18</v>
      </c>
      <c r="E8005" s="12" t="s">
        <v>44</v>
      </c>
      <c r="F8005" s="12" t="s">
        <v>45</v>
      </c>
      <c r="G8005" s="12" t="s">
        <v>21</v>
      </c>
      <c r="H8005" s="11" t="s">
        <v>63</v>
      </c>
      <c r="I8005" s="13" t="s">
        <v>16338</v>
      </c>
      <c r="J8005" s="14" t="str">
        <f>HYPERLINK("https://www.boe.es/gazeta/dias/1839/11/15/pdfs/GMD-1839-1832.pdf#page=4","Abrir facsímil")</f>
        <v>Abrir facsímil</v>
      </c>
      <c r="K8005" s="12" t="s">
        <v>65</v>
      </c>
    </row>
    <row r="8006" spans="1:11" ht="40.049999999999997" customHeight="1" x14ac:dyDescent="0.25">
      <c r="A8006" s="11" t="s">
        <v>16334</v>
      </c>
      <c r="B8006" s="11" t="s">
        <v>16334</v>
      </c>
      <c r="C8006" s="11" t="s">
        <v>17</v>
      </c>
      <c r="D8006" s="11" t="s">
        <v>43</v>
      </c>
      <c r="E8006" s="12" t="s">
        <v>2522</v>
      </c>
      <c r="F8006" s="12" t="s">
        <v>2523</v>
      </c>
      <c r="G8006" s="12" t="s">
        <v>46</v>
      </c>
      <c r="H8006" s="11" t="s">
        <v>63</v>
      </c>
      <c r="I8006" s="13" t="s">
        <v>16339</v>
      </c>
      <c r="J8006" s="14" t="str">
        <f>HYPERLINK("https://www.boe.es/gazeta/dias/1839/12/29/pdfs/GMD-1839-1876.pdf#page=3","Abrir facsímil")</f>
        <v>Abrir facsímil</v>
      </c>
      <c r="K8006" s="12" t="s">
        <v>65</v>
      </c>
    </row>
    <row r="8007" spans="1:11" ht="40.049999999999997" customHeight="1" x14ac:dyDescent="0.25">
      <c r="A8007" s="11" t="s">
        <v>16340</v>
      </c>
      <c r="B8007" s="11" t="s">
        <v>16341</v>
      </c>
      <c r="C8007" s="11" t="s">
        <v>137</v>
      </c>
      <c r="D8007" s="11" t="s">
        <v>18</v>
      </c>
      <c r="E8007" s="12" t="s">
        <v>163</v>
      </c>
      <c r="F8007" s="12" t="s">
        <v>164</v>
      </c>
      <c r="G8007" s="12" t="s">
        <v>29</v>
      </c>
      <c r="H8007" s="11" t="s">
        <v>63</v>
      </c>
      <c r="I8007" s="13" t="s">
        <v>16342</v>
      </c>
      <c r="J8007" s="14" t="str">
        <f>HYPERLINK("https://www.boe.es/gazeta/dias/1839/01/13/pdfs/GMD-1839-1520.pdf#page=1","Abrir facsímil")</f>
        <v>Abrir facsímil</v>
      </c>
      <c r="K8007" s="12" t="s">
        <v>65</v>
      </c>
    </row>
    <row r="8008" spans="1:11" ht="40.049999999999997" customHeight="1" x14ac:dyDescent="0.25">
      <c r="A8008" s="11" t="s">
        <v>16343</v>
      </c>
      <c r="B8008" s="11" t="s">
        <v>16343</v>
      </c>
      <c r="C8008" s="11" t="s">
        <v>17</v>
      </c>
      <c r="D8008" s="11" t="s">
        <v>18</v>
      </c>
      <c r="E8008" s="12" t="s">
        <v>3601</v>
      </c>
      <c r="F8008" s="12" t="s">
        <v>3602</v>
      </c>
      <c r="G8008" s="12" t="s">
        <v>29</v>
      </c>
      <c r="H8008" s="11" t="s">
        <v>63</v>
      </c>
      <c r="I8008" s="13" t="s">
        <v>16344</v>
      </c>
      <c r="J8008" s="14" t="str">
        <f>HYPERLINK("https://www.boe.es/gazeta/dias/1839/03/21/pdfs/GMD-1839-1587.pdf#page=1","Abrir facsímil")</f>
        <v>Abrir facsímil</v>
      </c>
      <c r="K8008" s="12" t="s">
        <v>65</v>
      </c>
    </row>
    <row r="8009" spans="1:11" ht="40.049999999999997" customHeight="1" x14ac:dyDescent="0.25">
      <c r="A8009" s="11" t="s">
        <v>16345</v>
      </c>
      <c r="B8009" s="11" t="s">
        <v>16346</v>
      </c>
      <c r="C8009" s="11" t="s">
        <v>137</v>
      </c>
      <c r="D8009" s="11" t="s">
        <v>18</v>
      </c>
      <c r="E8009" s="12" t="s">
        <v>1144</v>
      </c>
      <c r="F8009" s="12" t="s">
        <v>1145</v>
      </c>
      <c r="G8009" s="12" t="s">
        <v>40</v>
      </c>
      <c r="H8009" s="11" t="s">
        <v>63</v>
      </c>
      <c r="I8009" s="13" t="s">
        <v>16347</v>
      </c>
      <c r="J8009" s="14" t="str">
        <f>HYPERLINK("https://www.boe.es/gazeta/dias/1839/08/13/pdfs/GMD-1839-1733.pdf#page=2","Abrir facsímil")</f>
        <v>Abrir facsímil</v>
      </c>
      <c r="K8009" s="12" t="s">
        <v>65</v>
      </c>
    </row>
    <row r="8010" spans="1:11" ht="40.049999999999997" customHeight="1" x14ac:dyDescent="0.25">
      <c r="A8010" s="11" t="s">
        <v>16348</v>
      </c>
      <c r="B8010" s="11" t="s">
        <v>16348</v>
      </c>
      <c r="C8010" s="11" t="s">
        <v>80</v>
      </c>
      <c r="D8010" s="11" t="s">
        <v>18</v>
      </c>
      <c r="E8010" s="12" t="s">
        <v>798</v>
      </c>
      <c r="F8010" s="12" t="s">
        <v>799</v>
      </c>
      <c r="G8010" s="12" t="s">
        <v>40</v>
      </c>
      <c r="H8010" s="11" t="s">
        <v>63</v>
      </c>
      <c r="I8010" s="13" t="s">
        <v>16349</v>
      </c>
      <c r="J8010" s="14" t="str">
        <f>HYPERLINK("https://www.boe.es/gazeta/dias/1839/09/03/pdfs/GMD-1839-1755.pdf#page=2","Abrir facsímil")</f>
        <v>Abrir facsímil</v>
      </c>
      <c r="K8010" s="12" t="s">
        <v>65</v>
      </c>
    </row>
    <row r="8011" spans="1:11" ht="40.049999999999997" customHeight="1" x14ac:dyDescent="0.25">
      <c r="A8011" s="11" t="s">
        <v>16348</v>
      </c>
      <c r="B8011" s="11" t="s">
        <v>16348</v>
      </c>
      <c r="C8011" s="11" t="s">
        <v>137</v>
      </c>
      <c r="D8011" s="11" t="s">
        <v>18</v>
      </c>
      <c r="E8011" s="12" t="s">
        <v>647</v>
      </c>
      <c r="F8011" s="12" t="s">
        <v>648</v>
      </c>
      <c r="G8011" s="12" t="s">
        <v>566</v>
      </c>
      <c r="H8011" s="11" t="s">
        <v>63</v>
      </c>
      <c r="I8011" s="13" t="s">
        <v>16350</v>
      </c>
      <c r="J8011" s="14" t="str">
        <f>HYPERLINK("https://www.boe.es/gazeta/dias/1839/10/08/pdfs/GMD-1839-1794.pdf#page=5","Abrir facsímil")</f>
        <v>Abrir facsímil</v>
      </c>
      <c r="K8011" s="12" t="s">
        <v>65</v>
      </c>
    </row>
    <row r="8012" spans="1:11" ht="40.049999999999997" customHeight="1" x14ac:dyDescent="0.25">
      <c r="A8012" s="11" t="s">
        <v>16348</v>
      </c>
      <c r="B8012" s="11" t="s">
        <v>16348</v>
      </c>
      <c r="C8012" s="11" t="s">
        <v>101</v>
      </c>
      <c r="D8012" s="11" t="s">
        <v>43</v>
      </c>
      <c r="E8012" s="12" t="s">
        <v>2962</v>
      </c>
      <c r="F8012" s="12" t="s">
        <v>2963</v>
      </c>
      <c r="G8012" s="12" t="s">
        <v>46</v>
      </c>
      <c r="H8012" s="11" t="s">
        <v>63</v>
      </c>
      <c r="I8012" s="13" t="s">
        <v>16351</v>
      </c>
      <c r="J8012" s="14" t="str">
        <f>HYPERLINK("https://www.boe.es/gazeta/dias/1839/12/21/pdfs/GMD-1839-1868.pdf#page=3","Abrir facsímil")</f>
        <v>Abrir facsímil</v>
      </c>
      <c r="K8012" s="12" t="s">
        <v>65</v>
      </c>
    </row>
    <row r="8013" spans="1:11" ht="40.049999999999997" customHeight="1" x14ac:dyDescent="0.25">
      <c r="A8013" s="11" t="s">
        <v>16352</v>
      </c>
      <c r="B8013" s="11" t="s">
        <v>16352</v>
      </c>
      <c r="C8013" s="11" t="s">
        <v>17</v>
      </c>
      <c r="D8013" s="11" t="s">
        <v>18</v>
      </c>
      <c r="E8013" s="12" t="s">
        <v>571</v>
      </c>
      <c r="F8013" s="12" t="s">
        <v>572</v>
      </c>
      <c r="G8013" s="12" t="s">
        <v>21</v>
      </c>
      <c r="H8013" s="11" t="s">
        <v>22</v>
      </c>
      <c r="I8013" s="13" t="s">
        <v>16353</v>
      </c>
      <c r="J8013" s="14" t="str">
        <f>HYPERLINK("https://www.boe.es/gazeta/dias/1839/09/27/pdfs/GMD-1839-1783.pdf#page=4","Abrir facsímil")</f>
        <v>Abrir facsímil</v>
      </c>
      <c r="K8013" s="12" t="s">
        <v>24</v>
      </c>
    </row>
    <row r="8014" spans="1:11" ht="40.049999999999997" customHeight="1" x14ac:dyDescent="0.25">
      <c r="A8014" s="11" t="s">
        <v>16348</v>
      </c>
      <c r="B8014" s="11" t="s">
        <v>16348</v>
      </c>
      <c r="C8014" s="11" t="s">
        <v>17</v>
      </c>
      <c r="D8014" s="11" t="s">
        <v>18</v>
      </c>
      <c r="E8014" s="12" t="s">
        <v>892</v>
      </c>
      <c r="F8014" s="12" t="s">
        <v>893</v>
      </c>
      <c r="G8014" s="12" t="s">
        <v>21</v>
      </c>
      <c r="H8014" s="11" t="s">
        <v>63</v>
      </c>
      <c r="I8014" s="13" t="s">
        <v>16354</v>
      </c>
      <c r="J8014" s="14" t="str">
        <f>HYPERLINK("https://www.boe.es/gazeta/dias/1839/12/28/pdfs/GMD-1839-1875.pdf#page=4","Abrir facsímil")</f>
        <v>Abrir facsímil</v>
      </c>
      <c r="K8014" s="12" t="s">
        <v>65</v>
      </c>
    </row>
    <row r="8015" spans="1:11" ht="40.049999999999997" customHeight="1" x14ac:dyDescent="0.25">
      <c r="A8015" s="11" t="s">
        <v>16355</v>
      </c>
      <c r="B8015" s="11" t="s">
        <v>16356</v>
      </c>
      <c r="C8015" s="11" t="s">
        <v>17</v>
      </c>
      <c r="D8015" s="11" t="s">
        <v>18</v>
      </c>
      <c r="E8015" s="12" t="s">
        <v>713</v>
      </c>
      <c r="F8015" s="12" t="s">
        <v>714</v>
      </c>
      <c r="G8015" s="12" t="s">
        <v>46</v>
      </c>
      <c r="H8015" s="11" t="s">
        <v>22</v>
      </c>
      <c r="I8015" s="13" t="s">
        <v>16357</v>
      </c>
      <c r="J8015" s="14" t="str">
        <f>HYPERLINK("https://www.boe.es/gazeta/dias/1839/12/18/pdfs/GMD-1839-1865.pdf#page=3","Abrir facsímil")</f>
        <v>Abrir facsímil</v>
      </c>
      <c r="K8015" s="12" t="s">
        <v>24</v>
      </c>
    </row>
    <row r="8016" spans="1:11" ht="40.049999999999997" customHeight="1" x14ac:dyDescent="0.25">
      <c r="A8016" s="11" t="s">
        <v>16358</v>
      </c>
      <c r="B8016" s="11" t="s">
        <v>16359</v>
      </c>
      <c r="C8016" s="11" t="s">
        <v>17</v>
      </c>
      <c r="D8016" s="11" t="s">
        <v>18</v>
      </c>
      <c r="E8016" s="12" t="s">
        <v>2962</v>
      </c>
      <c r="F8016" s="12" t="s">
        <v>2963</v>
      </c>
      <c r="G8016" s="12" t="s">
        <v>40</v>
      </c>
      <c r="H8016" s="11" t="s">
        <v>63</v>
      </c>
      <c r="I8016" s="13" t="s">
        <v>16360</v>
      </c>
      <c r="J8016" s="14" t="str">
        <f>HYPERLINK("https://www.boe.es/gazeta/dias/1839/12/21/pdfs/GMD-1839-1868.pdf#page=2","Abrir facsímil")</f>
        <v>Abrir facsímil</v>
      </c>
      <c r="K8016" s="12" t="s">
        <v>65</v>
      </c>
    </row>
    <row r="8017" spans="1:11" ht="40.049999999999997" customHeight="1" x14ac:dyDescent="0.25">
      <c r="A8017" s="11" t="s">
        <v>16361</v>
      </c>
      <c r="B8017" s="11" t="s">
        <v>16361</v>
      </c>
      <c r="C8017" s="11" t="s">
        <v>137</v>
      </c>
      <c r="D8017" s="11" t="s">
        <v>18</v>
      </c>
      <c r="E8017" s="12" t="s">
        <v>239</v>
      </c>
      <c r="F8017" s="12" t="s">
        <v>240</v>
      </c>
      <c r="G8017" s="12" t="s">
        <v>40</v>
      </c>
      <c r="H8017" s="11" t="s">
        <v>63</v>
      </c>
      <c r="I8017" s="13" t="s">
        <v>16362</v>
      </c>
      <c r="J8017" s="14" t="str">
        <f>HYPERLINK("https://www.boe.es/gazeta/dias/1839/09/22/pdfs/GMD-1839-1777.pdf#page=2","Abrir facsímil")</f>
        <v>Abrir facsímil</v>
      </c>
      <c r="K8017" s="12" t="s">
        <v>65</v>
      </c>
    </row>
    <row r="8018" spans="1:11" ht="40.049999999999997" customHeight="1" x14ac:dyDescent="0.25">
      <c r="A8018" s="11" t="s">
        <v>16363</v>
      </c>
      <c r="B8018" s="11" t="s">
        <v>16364</v>
      </c>
      <c r="C8018" s="11" t="s">
        <v>17</v>
      </c>
      <c r="D8018" s="11" t="s">
        <v>18</v>
      </c>
      <c r="E8018" s="12" t="s">
        <v>1725</v>
      </c>
      <c r="F8018" s="12" t="s">
        <v>1726</v>
      </c>
      <c r="G8018" s="12" t="s">
        <v>40</v>
      </c>
      <c r="H8018" s="11" t="s">
        <v>63</v>
      </c>
      <c r="I8018" s="13" t="s">
        <v>16365</v>
      </c>
      <c r="J8018" s="14" t="str">
        <f>HYPERLINK("https://www.boe.es/gazeta/dias/1839/11/17/pdfs/GMD-1839-1834.pdf#page=2","Abrir facsímil")</f>
        <v>Abrir facsímil</v>
      </c>
      <c r="K8018" s="12" t="s">
        <v>65</v>
      </c>
    </row>
    <row r="8019" spans="1:11" ht="40.049999999999997" customHeight="1" x14ac:dyDescent="0.25">
      <c r="A8019" s="11" t="s">
        <v>16366</v>
      </c>
      <c r="B8019" s="11" t="s">
        <v>16366</v>
      </c>
      <c r="C8019" s="11" t="s">
        <v>101</v>
      </c>
      <c r="D8019" s="11" t="s">
        <v>43</v>
      </c>
      <c r="E8019" s="12" t="s">
        <v>160</v>
      </c>
      <c r="F8019" s="12" t="s">
        <v>161</v>
      </c>
      <c r="G8019" s="12" t="s">
        <v>40</v>
      </c>
      <c r="H8019" s="11" t="s">
        <v>22</v>
      </c>
      <c r="I8019" s="13" t="s">
        <v>16367</v>
      </c>
      <c r="J8019" s="14" t="str">
        <f>HYPERLINK("https://www.boe.es/gazeta/dias/1839/01/10/pdfs/GMD-1839-1517.pdf#page=2","Abrir facsímil")</f>
        <v>Abrir facsímil</v>
      </c>
      <c r="K8019" s="12" t="s">
        <v>24</v>
      </c>
    </row>
    <row r="8020" spans="1:11" ht="40.049999999999997" customHeight="1" x14ac:dyDescent="0.25">
      <c r="A8020" s="11" t="s">
        <v>16366</v>
      </c>
      <c r="B8020" s="11" t="s">
        <v>16366</v>
      </c>
      <c r="C8020" s="11" t="s">
        <v>101</v>
      </c>
      <c r="D8020" s="11" t="s">
        <v>102</v>
      </c>
      <c r="E8020" s="12" t="s">
        <v>185</v>
      </c>
      <c r="F8020" s="12" t="s">
        <v>186</v>
      </c>
      <c r="G8020" s="12" t="s">
        <v>40</v>
      </c>
      <c r="H8020" s="11" t="s">
        <v>22</v>
      </c>
      <c r="I8020" s="13" t="s">
        <v>16368</v>
      </c>
      <c r="J8020" s="14" t="str">
        <f>HYPERLINK("https://www.boe.es/gazeta/dias/1839/01/15/pdfs/GMD-1839-1522.pdf#page=2","Abrir facsímil")</f>
        <v>Abrir facsímil</v>
      </c>
      <c r="K8020" s="12" t="s">
        <v>24</v>
      </c>
    </row>
    <row r="8021" spans="1:11" ht="40.049999999999997" customHeight="1" x14ac:dyDescent="0.25">
      <c r="A8021" s="11" t="s">
        <v>16369</v>
      </c>
      <c r="B8021" s="11" t="s">
        <v>16369</v>
      </c>
      <c r="C8021" s="11" t="s">
        <v>17</v>
      </c>
      <c r="D8021" s="11" t="s">
        <v>18</v>
      </c>
      <c r="E8021" s="12" t="s">
        <v>320</v>
      </c>
      <c r="F8021" s="12" t="s">
        <v>321</v>
      </c>
      <c r="G8021" s="12" t="s">
        <v>29</v>
      </c>
      <c r="H8021" s="11" t="s">
        <v>63</v>
      </c>
      <c r="I8021" s="13" t="s">
        <v>16370</v>
      </c>
      <c r="J8021" s="14" t="str">
        <f>HYPERLINK("https://www.boe.es/gazeta/dias/1839/05/11/pdfs/GMD-1839-1638.pdf#page=1","Abrir facsímil")</f>
        <v>Abrir facsímil</v>
      </c>
      <c r="K8021" s="12" t="s">
        <v>65</v>
      </c>
    </row>
    <row r="8022" spans="1:11" ht="40.049999999999997" customHeight="1" x14ac:dyDescent="0.25">
      <c r="A8022" s="11" t="s">
        <v>16371</v>
      </c>
      <c r="B8022" s="11" t="s">
        <v>16371</v>
      </c>
      <c r="C8022" s="11" t="s">
        <v>101</v>
      </c>
      <c r="D8022" s="11" t="s">
        <v>102</v>
      </c>
      <c r="E8022" s="12" t="s">
        <v>1284</v>
      </c>
      <c r="F8022" s="12" t="s">
        <v>1285</v>
      </c>
      <c r="G8022" s="12" t="s">
        <v>46</v>
      </c>
      <c r="H8022" s="11" t="s">
        <v>63</v>
      </c>
      <c r="I8022" s="13" t="s">
        <v>16372</v>
      </c>
      <c r="J8022" s="14" t="str">
        <f>HYPERLINK("https://www.boe.es/gazeta/dias/1839/03/27/pdfs/GMD-1839-1593.pdf#page=3","Abrir facsímil")</f>
        <v>Abrir facsímil</v>
      </c>
      <c r="K8022" s="12" t="s">
        <v>65</v>
      </c>
    </row>
    <row r="8023" spans="1:11" ht="40.049999999999997" customHeight="1" x14ac:dyDescent="0.25">
      <c r="A8023" s="11" t="s">
        <v>16373</v>
      </c>
      <c r="B8023" s="11" t="s">
        <v>16373</v>
      </c>
      <c r="C8023" s="11" t="s">
        <v>101</v>
      </c>
      <c r="D8023" s="11" t="s">
        <v>43</v>
      </c>
      <c r="E8023" s="12" t="s">
        <v>262</v>
      </c>
      <c r="F8023" s="12" t="s">
        <v>263</v>
      </c>
      <c r="G8023" s="12" t="s">
        <v>29</v>
      </c>
      <c r="H8023" s="11" t="s">
        <v>63</v>
      </c>
      <c r="I8023" s="13" t="s">
        <v>16374</v>
      </c>
      <c r="J8023" s="14" t="str">
        <f>HYPERLINK("https://www.boe.es/gazeta/dias/1839/01/01/pdfs/GMD-1839-1508.pdf#page=1","Abrir facsímil")</f>
        <v>Abrir facsímil</v>
      </c>
      <c r="K8023" s="12" t="s">
        <v>65</v>
      </c>
    </row>
    <row r="8024" spans="1:11" ht="40.049999999999997" customHeight="1" x14ac:dyDescent="0.25">
      <c r="A8024" s="11" t="s">
        <v>16375</v>
      </c>
      <c r="B8024" s="11" t="s">
        <v>16376</v>
      </c>
      <c r="C8024" s="11" t="s">
        <v>59</v>
      </c>
      <c r="D8024" s="11" t="s">
        <v>60</v>
      </c>
      <c r="E8024" s="12" t="s">
        <v>61</v>
      </c>
      <c r="F8024" s="12" t="s">
        <v>62</v>
      </c>
      <c r="G8024" s="12" t="s">
        <v>29</v>
      </c>
      <c r="H8024" s="11" t="s">
        <v>63</v>
      </c>
      <c r="I8024" s="13" t="s">
        <v>16377</v>
      </c>
      <c r="J8024" s="14" t="str">
        <f>HYPERLINK("https://www.boe.es/gazeta/dias/1839/09/10/pdfs/GMD-1839-1763.pdf#page=1","Abrir facsímil")</f>
        <v>Abrir facsímil</v>
      </c>
      <c r="K8024" s="12" t="s">
        <v>65</v>
      </c>
    </row>
    <row r="8025" spans="1:11" ht="40.049999999999997" customHeight="1" x14ac:dyDescent="0.25">
      <c r="A8025" s="11" t="s">
        <v>16378</v>
      </c>
      <c r="B8025" s="11" t="s">
        <v>16378</v>
      </c>
      <c r="C8025" s="11" t="s">
        <v>137</v>
      </c>
      <c r="D8025" s="11" t="s">
        <v>18</v>
      </c>
      <c r="E8025" s="12" t="s">
        <v>650</v>
      </c>
      <c r="F8025" s="12" t="s">
        <v>651</v>
      </c>
      <c r="G8025" s="12" t="s">
        <v>46</v>
      </c>
      <c r="H8025" s="11" t="s">
        <v>63</v>
      </c>
      <c r="I8025" s="13" t="s">
        <v>16379</v>
      </c>
      <c r="J8025" s="14" t="str">
        <f>HYPERLINK("https://www.boe.es/gazeta/dias/1839/10/25/pdfs/GMD-1839-1811.pdf#page=3","Abrir facsímil")</f>
        <v>Abrir facsímil</v>
      </c>
      <c r="K8025" s="12" t="s">
        <v>65</v>
      </c>
    </row>
    <row r="8026" spans="1:11" ht="40.049999999999997" customHeight="1" x14ac:dyDescent="0.25">
      <c r="A8026" s="11" t="s">
        <v>16380</v>
      </c>
      <c r="B8026" s="11" t="s">
        <v>16380</v>
      </c>
      <c r="C8026" s="11" t="s">
        <v>101</v>
      </c>
      <c r="D8026" s="11" t="s">
        <v>102</v>
      </c>
      <c r="E8026" s="12" t="s">
        <v>1813</v>
      </c>
      <c r="F8026" s="12" t="s">
        <v>1814</v>
      </c>
      <c r="G8026" s="12" t="s">
        <v>40</v>
      </c>
      <c r="H8026" s="11" t="s">
        <v>63</v>
      </c>
      <c r="I8026" s="13" t="s">
        <v>16381</v>
      </c>
      <c r="J8026" s="14" t="str">
        <f>HYPERLINK("https://www.boe.es/gazeta/dias/1839/09/02/pdfs/GMD-1839-1754.pdf#page=2","Abrir facsímil")</f>
        <v>Abrir facsímil</v>
      </c>
      <c r="K8026" s="12" t="s">
        <v>65</v>
      </c>
    </row>
    <row r="8027" spans="1:11" ht="40.049999999999997" customHeight="1" x14ac:dyDescent="0.25">
      <c r="A8027" s="11" t="s">
        <v>16382</v>
      </c>
      <c r="B8027" s="11" t="s">
        <v>16382</v>
      </c>
      <c r="C8027" s="11" t="s">
        <v>137</v>
      </c>
      <c r="D8027" s="11" t="s">
        <v>18</v>
      </c>
      <c r="E8027" s="12" t="s">
        <v>258</v>
      </c>
      <c r="F8027" s="12" t="s">
        <v>259</v>
      </c>
      <c r="G8027" s="12" t="s">
        <v>40</v>
      </c>
      <c r="H8027" s="11" t="s">
        <v>63</v>
      </c>
      <c r="I8027" s="13" t="s">
        <v>16383</v>
      </c>
      <c r="J8027" s="14" t="str">
        <f>HYPERLINK("https://www.boe.es/gazeta/dias/1839/01/02/pdfs/GMD-1839-1509.pdf#page=2","Abrir facsímil")</f>
        <v>Abrir facsímil</v>
      </c>
      <c r="K8027" s="12" t="s">
        <v>65</v>
      </c>
    </row>
    <row r="8028" spans="1:11" ht="40.049999999999997" customHeight="1" x14ac:dyDescent="0.25">
      <c r="A8028" s="11" t="s">
        <v>16382</v>
      </c>
      <c r="B8028" s="11" t="s">
        <v>16382</v>
      </c>
      <c r="C8028" s="11" t="s">
        <v>17</v>
      </c>
      <c r="D8028" s="11" t="s">
        <v>18</v>
      </c>
      <c r="E8028" s="12" t="s">
        <v>519</v>
      </c>
      <c r="F8028" s="12" t="s">
        <v>520</v>
      </c>
      <c r="G8028" s="12" t="s">
        <v>40</v>
      </c>
      <c r="H8028" s="11" t="s">
        <v>63</v>
      </c>
      <c r="I8028" s="13" t="s">
        <v>16384</v>
      </c>
      <c r="J8028" s="14" t="str">
        <f>HYPERLINK("https://www.boe.es/gazeta/dias/1839/02/23/pdfs/GMD-1839-1561.pdf#page=2","Abrir facsímil")</f>
        <v>Abrir facsímil</v>
      </c>
      <c r="K8028" s="12" t="s">
        <v>65</v>
      </c>
    </row>
    <row r="8029" spans="1:11" ht="40.049999999999997" customHeight="1" x14ac:dyDescent="0.25">
      <c r="A8029" s="11" t="s">
        <v>16385</v>
      </c>
      <c r="B8029" s="11" t="s">
        <v>16386</v>
      </c>
      <c r="C8029" s="11" t="s">
        <v>101</v>
      </c>
      <c r="D8029" s="11" t="s">
        <v>43</v>
      </c>
      <c r="E8029" s="12" t="s">
        <v>870</v>
      </c>
      <c r="F8029" s="12" t="s">
        <v>871</v>
      </c>
      <c r="G8029" s="12" t="s">
        <v>29</v>
      </c>
      <c r="H8029" s="11" t="s">
        <v>63</v>
      </c>
      <c r="I8029" s="13" t="s">
        <v>16387</v>
      </c>
      <c r="J8029" s="14" t="str">
        <f>HYPERLINK("https://www.boe.es/gazeta/dias/1839/04/18/pdfs/GMD-1839-1615.pdf#page=1","Abrir facsímil")</f>
        <v>Abrir facsímil</v>
      </c>
      <c r="K8029" s="12" t="s">
        <v>65</v>
      </c>
    </row>
    <row r="8030" spans="1:11" ht="40.049999999999997" customHeight="1" x14ac:dyDescent="0.25">
      <c r="A8030" s="11" t="s">
        <v>16388</v>
      </c>
      <c r="B8030" s="11" t="s">
        <v>16389</v>
      </c>
      <c r="C8030" s="11" t="s">
        <v>17</v>
      </c>
      <c r="D8030" s="11" t="s">
        <v>18</v>
      </c>
      <c r="E8030" s="12" t="s">
        <v>2155</v>
      </c>
      <c r="F8030" s="12" t="s">
        <v>2156</v>
      </c>
      <c r="G8030" s="12" t="s">
        <v>21</v>
      </c>
      <c r="H8030" s="11" t="s">
        <v>63</v>
      </c>
      <c r="I8030" s="13" t="s">
        <v>16390</v>
      </c>
      <c r="J8030" s="14" t="str">
        <f>HYPERLINK("https://www.boe.es/gazeta/dias/1839/01/17/pdfs/GMD-1839-1524.pdf#page=4","Abrir facsímil")</f>
        <v>Abrir facsímil</v>
      </c>
      <c r="K8030" s="12" t="s">
        <v>65</v>
      </c>
    </row>
    <row r="8031" spans="1:11" ht="40.049999999999997" customHeight="1" x14ac:dyDescent="0.25">
      <c r="A8031" s="11" t="s">
        <v>16391</v>
      </c>
      <c r="B8031" s="11" t="s">
        <v>16392</v>
      </c>
      <c r="C8031" s="11" t="s">
        <v>17</v>
      </c>
      <c r="D8031" s="11" t="s">
        <v>18</v>
      </c>
      <c r="E8031" s="12" t="s">
        <v>862</v>
      </c>
      <c r="F8031" s="12" t="s">
        <v>863</v>
      </c>
      <c r="G8031" s="12" t="s">
        <v>566</v>
      </c>
      <c r="H8031" s="11" t="s">
        <v>63</v>
      </c>
      <c r="I8031" s="13" t="s">
        <v>16393</v>
      </c>
      <c r="J8031" s="14" t="str">
        <f>HYPERLINK("https://www.boe.es/gazeta/dias/1839/10/28/pdfs/GMD-1839-1814.pdf#page=5","Abrir facsímil")</f>
        <v>Abrir facsímil</v>
      </c>
      <c r="K8031" s="12" t="s">
        <v>65</v>
      </c>
    </row>
    <row r="8032" spans="1:11" ht="40.049999999999997" customHeight="1" x14ac:dyDescent="0.25">
      <c r="A8032" s="11" t="s">
        <v>16394</v>
      </c>
      <c r="B8032" s="11" t="s">
        <v>16395</v>
      </c>
      <c r="C8032" s="11" t="s">
        <v>101</v>
      </c>
      <c r="D8032" s="11" t="s">
        <v>43</v>
      </c>
      <c r="E8032" s="12" t="s">
        <v>1779</v>
      </c>
      <c r="F8032" s="12" t="s">
        <v>1780</v>
      </c>
      <c r="G8032" s="12" t="s">
        <v>40</v>
      </c>
      <c r="H8032" s="11" t="s">
        <v>63</v>
      </c>
      <c r="I8032" s="13" t="s">
        <v>16396</v>
      </c>
      <c r="J8032" s="14" t="str">
        <f>HYPERLINK("https://www.boe.es/gazeta/dias/1839/03/18/pdfs/GMD-1839-1584.pdf#page=2","Abrir facsímil")</f>
        <v>Abrir facsímil</v>
      </c>
      <c r="K8032" s="12" t="s">
        <v>65</v>
      </c>
    </row>
    <row r="8033" spans="1:11" ht="40.049999999999997" customHeight="1" x14ac:dyDescent="0.25">
      <c r="A8033" s="11" t="s">
        <v>16397</v>
      </c>
      <c r="B8033" s="11" t="s">
        <v>16398</v>
      </c>
      <c r="C8033" s="11" t="s">
        <v>17</v>
      </c>
      <c r="D8033" s="11" t="s">
        <v>18</v>
      </c>
      <c r="E8033" s="12" t="s">
        <v>862</v>
      </c>
      <c r="F8033" s="12" t="s">
        <v>863</v>
      </c>
      <c r="G8033" s="12" t="s">
        <v>566</v>
      </c>
      <c r="H8033" s="11" t="s">
        <v>63</v>
      </c>
      <c r="I8033" s="13" t="s">
        <v>16399</v>
      </c>
      <c r="J8033" s="14" t="str">
        <f>HYPERLINK("https://www.boe.es/gazeta/dias/1839/10/28/pdfs/GMD-1839-1814.pdf#page=5","Abrir facsímil")</f>
        <v>Abrir facsímil</v>
      </c>
      <c r="K8033" s="12" t="s">
        <v>65</v>
      </c>
    </row>
    <row r="8034" spans="1:11" ht="40.049999999999997" customHeight="1" x14ac:dyDescent="0.25">
      <c r="A8034" s="11" t="s">
        <v>16400</v>
      </c>
      <c r="B8034" s="11" t="s">
        <v>16401</v>
      </c>
      <c r="C8034" s="11" t="s">
        <v>17</v>
      </c>
      <c r="D8034" s="11" t="s">
        <v>18</v>
      </c>
      <c r="E8034" s="12" t="s">
        <v>84</v>
      </c>
      <c r="F8034" s="12" t="s">
        <v>85</v>
      </c>
      <c r="G8034" s="12" t="s">
        <v>29</v>
      </c>
      <c r="H8034" s="11" t="s">
        <v>63</v>
      </c>
      <c r="I8034" s="13" t="s">
        <v>16402</v>
      </c>
      <c r="J8034" s="14" t="str">
        <f>HYPERLINK("https://www.boe.es/gazeta/dias/1839/03/11/pdfs/GMD-1839-1577.pdf#page=1","Abrir facsímil")</f>
        <v>Abrir facsímil</v>
      </c>
      <c r="K8034" s="12" t="s">
        <v>65</v>
      </c>
    </row>
    <row r="8035" spans="1:11" ht="40.049999999999997" customHeight="1" x14ac:dyDescent="0.25">
      <c r="A8035" s="11" t="s">
        <v>16403</v>
      </c>
      <c r="B8035" s="11" t="s">
        <v>16404</v>
      </c>
      <c r="C8035" s="11" t="s">
        <v>17</v>
      </c>
      <c r="D8035" s="11" t="s">
        <v>18</v>
      </c>
      <c r="E8035" s="12" t="s">
        <v>291</v>
      </c>
      <c r="F8035" s="12" t="s">
        <v>292</v>
      </c>
      <c r="G8035" s="12" t="s">
        <v>46</v>
      </c>
      <c r="H8035" s="11" t="s">
        <v>63</v>
      </c>
      <c r="I8035" s="13" t="s">
        <v>16405</v>
      </c>
      <c r="J8035" s="14" t="str">
        <f>HYPERLINK("https://www.boe.es/gazeta/dias/1839/09/04/pdfs/GMD-1839-1757.pdf#page=3","Abrir facsímil")</f>
        <v>Abrir facsímil</v>
      </c>
      <c r="K8035" s="12" t="s">
        <v>65</v>
      </c>
    </row>
    <row r="8036" spans="1:11" ht="40.049999999999997" customHeight="1" x14ac:dyDescent="0.25">
      <c r="A8036" s="11" t="s">
        <v>16403</v>
      </c>
      <c r="B8036" s="11" t="s">
        <v>16404</v>
      </c>
      <c r="C8036" s="11" t="s">
        <v>17</v>
      </c>
      <c r="D8036" s="11" t="s">
        <v>18</v>
      </c>
      <c r="E8036" s="12" t="s">
        <v>1772</v>
      </c>
      <c r="F8036" s="12" t="s">
        <v>1773</v>
      </c>
      <c r="G8036" s="12" t="s">
        <v>29</v>
      </c>
      <c r="H8036" s="11" t="s">
        <v>63</v>
      </c>
      <c r="I8036" s="13" t="s">
        <v>16406</v>
      </c>
      <c r="J8036" s="14" t="str">
        <f>HYPERLINK("https://www.boe.es/gazeta/dias/1839/05/07/pdfs/GMD-1839-1634.pdf#page=1","Abrir facsímil")</f>
        <v>Abrir facsímil</v>
      </c>
      <c r="K8036" s="12" t="s">
        <v>65</v>
      </c>
    </row>
    <row r="8037" spans="1:11" ht="40.049999999999997" customHeight="1" x14ac:dyDescent="0.25">
      <c r="A8037" s="11" t="s">
        <v>16407</v>
      </c>
      <c r="B8037" s="11" t="s">
        <v>16407</v>
      </c>
      <c r="C8037" s="11" t="s">
        <v>17</v>
      </c>
      <c r="D8037" s="11" t="s">
        <v>18</v>
      </c>
      <c r="E8037" s="12" t="s">
        <v>3633</v>
      </c>
      <c r="F8037" s="12" t="s">
        <v>3634</v>
      </c>
      <c r="G8037" s="12" t="s">
        <v>40</v>
      </c>
      <c r="H8037" s="11" t="s">
        <v>63</v>
      </c>
      <c r="I8037" s="13" t="s">
        <v>16408</v>
      </c>
      <c r="J8037" s="14" t="str">
        <f>HYPERLINK("https://www.boe.es/gazeta/dias/1839/04/12/pdfs/GMD-1839-1609.pdf#page=2","Abrir facsímil")</f>
        <v>Abrir facsímil</v>
      </c>
      <c r="K8037" s="12" t="s">
        <v>65</v>
      </c>
    </row>
    <row r="8038" spans="1:11" ht="40.049999999999997" customHeight="1" x14ac:dyDescent="0.25">
      <c r="A8038" s="11" t="s">
        <v>16409</v>
      </c>
      <c r="B8038" s="11" t="s">
        <v>16410</v>
      </c>
      <c r="C8038" s="11" t="s">
        <v>137</v>
      </c>
      <c r="D8038" s="11" t="s">
        <v>18</v>
      </c>
      <c r="E8038" s="12" t="s">
        <v>132</v>
      </c>
      <c r="F8038" s="12" t="s">
        <v>133</v>
      </c>
      <c r="G8038" s="12" t="s">
        <v>21</v>
      </c>
      <c r="H8038" s="11" t="s">
        <v>63</v>
      </c>
      <c r="I8038" s="13" t="s">
        <v>16411</v>
      </c>
      <c r="J8038" s="14" t="str">
        <f>HYPERLINK("https://www.boe.es/gazeta/dias/1839/08/02/pdfs/GMD-1839-1722.pdf#page=4","Abrir facsímil")</f>
        <v>Abrir facsímil</v>
      </c>
      <c r="K8038" s="12" t="s">
        <v>65</v>
      </c>
    </row>
    <row r="8039" spans="1:11" ht="40.049999999999997" customHeight="1" x14ac:dyDescent="0.25">
      <c r="A8039" s="11" t="s">
        <v>16409</v>
      </c>
      <c r="B8039" s="11" t="s">
        <v>16410</v>
      </c>
      <c r="C8039" s="11" t="s">
        <v>137</v>
      </c>
      <c r="D8039" s="11" t="s">
        <v>18</v>
      </c>
      <c r="E8039" s="12" t="s">
        <v>638</v>
      </c>
      <c r="F8039" s="12" t="s">
        <v>639</v>
      </c>
      <c r="G8039" s="12" t="s">
        <v>21</v>
      </c>
      <c r="H8039" s="11" t="s">
        <v>63</v>
      </c>
      <c r="I8039" s="13" t="s">
        <v>16412</v>
      </c>
      <c r="J8039" s="14" t="str">
        <f>HYPERLINK("https://www.boe.es/gazeta/dias/1839/08/26/pdfs/GMD-1839-1747.pdf#page=4","Abrir facsímil")</f>
        <v>Abrir facsímil</v>
      </c>
      <c r="K8039" s="12" t="s">
        <v>65</v>
      </c>
    </row>
    <row r="8040" spans="1:11" ht="40.049999999999997" customHeight="1" x14ac:dyDescent="0.25">
      <c r="A8040" s="11" t="s">
        <v>16413</v>
      </c>
      <c r="B8040" s="11" t="s">
        <v>16413</v>
      </c>
      <c r="C8040" s="11" t="s">
        <v>80</v>
      </c>
      <c r="D8040" s="11" t="s">
        <v>18</v>
      </c>
      <c r="E8040" s="12" t="s">
        <v>1696</v>
      </c>
      <c r="F8040" s="12" t="s">
        <v>1697</v>
      </c>
      <c r="G8040" s="12" t="s">
        <v>29</v>
      </c>
      <c r="H8040" s="11" t="s">
        <v>63</v>
      </c>
      <c r="I8040" s="13" t="s">
        <v>16414</v>
      </c>
      <c r="J8040" s="14" t="str">
        <f>HYPERLINK("https://www.boe.es/gazeta/dias/1839/08/31/pdfs/GMD-1839-1752.pdf#page=1","Abrir facsímil")</f>
        <v>Abrir facsímil</v>
      </c>
      <c r="K8040" s="12" t="s">
        <v>65</v>
      </c>
    </row>
    <row r="8041" spans="1:11" ht="40.049999999999997" customHeight="1" x14ac:dyDescent="0.25">
      <c r="A8041" s="11" t="s">
        <v>16415</v>
      </c>
      <c r="B8041" s="11" t="s">
        <v>16416</v>
      </c>
      <c r="C8041" s="11" t="s">
        <v>101</v>
      </c>
      <c r="D8041" s="11" t="s">
        <v>43</v>
      </c>
      <c r="E8041" s="12" t="s">
        <v>1179</v>
      </c>
      <c r="F8041" s="12" t="s">
        <v>1180</v>
      </c>
      <c r="G8041" s="12" t="s">
        <v>21</v>
      </c>
      <c r="H8041" s="11" t="s">
        <v>63</v>
      </c>
      <c r="I8041" s="13" t="s">
        <v>16417</v>
      </c>
      <c r="J8041" s="14" t="str">
        <f>HYPERLINK("https://www.boe.es/gazeta/dias/1839/10/18/pdfs/GMD-1839-1804.pdf#page=4","Abrir facsímil")</f>
        <v>Abrir facsímil</v>
      </c>
      <c r="K8041" s="12" t="s">
        <v>65</v>
      </c>
    </row>
    <row r="8042" spans="1:11" ht="40.049999999999997" customHeight="1" x14ac:dyDescent="0.25">
      <c r="A8042" s="11" t="s">
        <v>16418</v>
      </c>
      <c r="B8042" s="11" t="s">
        <v>16419</v>
      </c>
      <c r="C8042" s="11" t="s">
        <v>59</v>
      </c>
      <c r="D8042" s="11" t="s">
        <v>60</v>
      </c>
      <c r="E8042" s="12" t="s">
        <v>870</v>
      </c>
      <c r="F8042" s="12" t="s">
        <v>871</v>
      </c>
      <c r="G8042" s="12" t="s">
        <v>21</v>
      </c>
      <c r="H8042" s="11" t="s">
        <v>22</v>
      </c>
      <c r="I8042" s="13" t="s">
        <v>16420</v>
      </c>
      <c r="J8042" s="14" t="str">
        <f>HYPERLINK("https://www.boe.es/gazeta/dias/1839/04/18/pdfs/GMD-1839-1615.pdf#page=4","Abrir facsímil")</f>
        <v>Abrir facsímil</v>
      </c>
      <c r="K8042" s="12" t="s">
        <v>24</v>
      </c>
    </row>
    <row r="8043" spans="1:11" ht="40.049999999999997" customHeight="1" x14ac:dyDescent="0.25">
      <c r="A8043" s="11" t="s">
        <v>16421</v>
      </c>
      <c r="B8043" s="11" t="s">
        <v>16421</v>
      </c>
      <c r="C8043" s="11" t="s">
        <v>17</v>
      </c>
      <c r="D8043" s="11" t="s">
        <v>18</v>
      </c>
      <c r="E8043" s="12" t="s">
        <v>2227</v>
      </c>
      <c r="F8043" s="12" t="s">
        <v>2228</v>
      </c>
      <c r="G8043" s="12" t="s">
        <v>40</v>
      </c>
      <c r="H8043" s="11" t="s">
        <v>63</v>
      </c>
      <c r="I8043" s="13" t="s">
        <v>16422</v>
      </c>
      <c r="J8043" s="14" t="str">
        <f>HYPERLINK("https://www.boe.es/gazeta/dias/1839/12/04/pdfs/GMD-1839-1851.pdf#page=2","Abrir facsímil")</f>
        <v>Abrir facsímil</v>
      </c>
      <c r="K8043" s="12" t="s">
        <v>65</v>
      </c>
    </row>
    <row r="8044" spans="1:11" ht="40.049999999999997" customHeight="1" x14ac:dyDescent="0.25">
      <c r="A8044" s="11" t="s">
        <v>16423</v>
      </c>
      <c r="B8044" s="11" t="s">
        <v>16423</v>
      </c>
      <c r="C8044" s="11" t="s">
        <v>17</v>
      </c>
      <c r="D8044" s="11" t="s">
        <v>18</v>
      </c>
      <c r="E8044" s="12" t="s">
        <v>870</v>
      </c>
      <c r="F8044" s="12" t="s">
        <v>871</v>
      </c>
      <c r="G8044" s="12" t="s">
        <v>40</v>
      </c>
      <c r="H8044" s="11" t="s">
        <v>63</v>
      </c>
      <c r="I8044" s="13" t="s">
        <v>16424</v>
      </c>
      <c r="J8044" s="14" t="str">
        <f>HYPERLINK("https://www.boe.es/gazeta/dias/1839/04/18/pdfs/GMD-1839-1615.pdf#page=2","Abrir facsímil")</f>
        <v>Abrir facsímil</v>
      </c>
      <c r="K8044" s="12" t="s">
        <v>65</v>
      </c>
    </row>
    <row r="8045" spans="1:11" ht="40.049999999999997" customHeight="1" x14ac:dyDescent="0.25">
      <c r="A8045" s="11" t="s">
        <v>16423</v>
      </c>
      <c r="B8045" s="11" t="s">
        <v>16423</v>
      </c>
      <c r="C8045" s="11" t="s">
        <v>101</v>
      </c>
      <c r="D8045" s="11" t="s">
        <v>43</v>
      </c>
      <c r="E8045" s="12" t="s">
        <v>375</v>
      </c>
      <c r="F8045" s="12" t="s">
        <v>376</v>
      </c>
      <c r="G8045" s="12" t="s">
        <v>40</v>
      </c>
      <c r="H8045" s="11" t="s">
        <v>63</v>
      </c>
      <c r="I8045" s="13" t="s">
        <v>16425</v>
      </c>
      <c r="J8045" s="14" t="str">
        <f>HYPERLINK("https://www.boe.es/gazeta/dias/1839/11/25/pdfs/GMD-1839-1842.pdf#page=2","Abrir facsímil")</f>
        <v>Abrir facsímil</v>
      </c>
      <c r="K8045" s="12" t="s">
        <v>65</v>
      </c>
    </row>
    <row r="8046" spans="1:11" ht="40.049999999999997" customHeight="1" x14ac:dyDescent="0.25">
      <c r="A8046" s="11" t="s">
        <v>16426</v>
      </c>
      <c r="B8046" s="11" t="s">
        <v>16427</v>
      </c>
      <c r="C8046" s="11" t="s">
        <v>59</v>
      </c>
      <c r="D8046" s="11" t="s">
        <v>60</v>
      </c>
      <c r="E8046" s="12" t="s">
        <v>1479</v>
      </c>
      <c r="F8046" s="12" t="s">
        <v>1480</v>
      </c>
      <c r="G8046" s="12" t="s">
        <v>29</v>
      </c>
      <c r="H8046" s="11" t="s">
        <v>63</v>
      </c>
      <c r="I8046" s="13" t="s">
        <v>16428</v>
      </c>
      <c r="J8046" s="14" t="str">
        <f>HYPERLINK("https://www.boe.es/gazeta/dias/1839/04/09/pdfs/GMD-1839-1606.pdf#page=1","Abrir facsímil")</f>
        <v>Abrir facsímil</v>
      </c>
      <c r="K8046" s="12" t="s">
        <v>65</v>
      </c>
    </row>
    <row r="8047" spans="1:11" ht="40.049999999999997" customHeight="1" x14ac:dyDescent="0.25">
      <c r="A8047" s="11" t="s">
        <v>16429</v>
      </c>
      <c r="B8047" s="11" t="s">
        <v>16429</v>
      </c>
      <c r="C8047" s="11" t="s">
        <v>59</v>
      </c>
      <c r="D8047" s="11" t="s">
        <v>60</v>
      </c>
      <c r="E8047" s="12" t="s">
        <v>154</v>
      </c>
      <c r="F8047" s="12" t="s">
        <v>155</v>
      </c>
      <c r="G8047" s="12" t="s">
        <v>46</v>
      </c>
      <c r="H8047" s="11" t="s">
        <v>22</v>
      </c>
      <c r="I8047" s="13" t="s">
        <v>16430</v>
      </c>
      <c r="J8047" s="14" t="str">
        <f>HYPERLINK("https://www.boe.es/gazeta/dias/1839/02/02/pdfs/GMD-1839-1540.pdf#page=3","Abrir facsímil")</f>
        <v>Abrir facsímil</v>
      </c>
      <c r="K8047" s="12" t="s">
        <v>24</v>
      </c>
    </row>
    <row r="8048" spans="1:11" ht="40.049999999999997" customHeight="1" x14ac:dyDescent="0.25">
      <c r="A8048" s="11" t="s">
        <v>16429</v>
      </c>
      <c r="B8048" s="11" t="s">
        <v>16429</v>
      </c>
      <c r="C8048" s="11" t="s">
        <v>101</v>
      </c>
      <c r="D8048" s="11" t="s">
        <v>43</v>
      </c>
      <c r="E8048" s="12" t="s">
        <v>49</v>
      </c>
      <c r="F8048" s="12" t="s">
        <v>50</v>
      </c>
      <c r="G8048" s="12" t="s">
        <v>21</v>
      </c>
      <c r="H8048" s="11" t="s">
        <v>22</v>
      </c>
      <c r="I8048" s="13" t="s">
        <v>16431</v>
      </c>
      <c r="J8048" s="14" t="str">
        <f>HYPERLINK("https://www.boe.es/gazeta/dias/1839/01/05/pdfs/GMD-1839-1512.pdf#page=4","Abrir facsímil")</f>
        <v>Abrir facsímil</v>
      </c>
      <c r="K8048" s="12" t="s">
        <v>24</v>
      </c>
    </row>
    <row r="8049" spans="1:11" ht="40.049999999999997" customHeight="1" x14ac:dyDescent="0.25">
      <c r="A8049" s="11" t="s">
        <v>16429</v>
      </c>
      <c r="B8049" s="11" t="s">
        <v>16429</v>
      </c>
      <c r="C8049" s="11" t="s">
        <v>101</v>
      </c>
      <c r="D8049" s="11" t="s">
        <v>43</v>
      </c>
      <c r="E8049" s="12" t="s">
        <v>185</v>
      </c>
      <c r="F8049" s="12" t="s">
        <v>186</v>
      </c>
      <c r="G8049" s="12" t="s">
        <v>29</v>
      </c>
      <c r="H8049" s="11" t="s">
        <v>22</v>
      </c>
      <c r="I8049" s="13" t="s">
        <v>16432</v>
      </c>
      <c r="J8049" s="14" t="str">
        <f>HYPERLINK("https://www.boe.es/gazeta/dias/1839/01/15/pdfs/GMD-1839-1522.pdf#page=1","Abrir facsímil")</f>
        <v>Abrir facsímil</v>
      </c>
      <c r="K8049" s="12" t="s">
        <v>24</v>
      </c>
    </row>
    <row r="8050" spans="1:11" ht="40.049999999999997" customHeight="1" x14ac:dyDescent="0.25">
      <c r="A8050" s="11" t="s">
        <v>16429</v>
      </c>
      <c r="B8050" s="11" t="s">
        <v>16429</v>
      </c>
      <c r="C8050" s="11" t="s">
        <v>17</v>
      </c>
      <c r="D8050" s="11" t="s">
        <v>18</v>
      </c>
      <c r="E8050" s="12" t="s">
        <v>185</v>
      </c>
      <c r="F8050" s="12" t="s">
        <v>186</v>
      </c>
      <c r="G8050" s="12" t="s">
        <v>46</v>
      </c>
      <c r="H8050" s="11" t="s">
        <v>22</v>
      </c>
      <c r="I8050" s="13" t="s">
        <v>16433</v>
      </c>
      <c r="J8050" s="14" t="str">
        <f>HYPERLINK("https://www.boe.es/gazeta/dias/1839/01/15/pdfs/GMD-1839-1522.pdf#page=3","Abrir facsímil")</f>
        <v>Abrir facsímil</v>
      </c>
      <c r="K8050" s="12" t="s">
        <v>24</v>
      </c>
    </row>
    <row r="8051" spans="1:11" ht="40.049999999999997" customHeight="1" x14ac:dyDescent="0.25">
      <c r="A8051" s="11" t="s">
        <v>16434</v>
      </c>
      <c r="B8051" s="11" t="s">
        <v>16434</v>
      </c>
      <c r="C8051" s="11" t="s">
        <v>137</v>
      </c>
      <c r="D8051" s="11" t="s">
        <v>18</v>
      </c>
      <c r="E8051" s="12" t="s">
        <v>239</v>
      </c>
      <c r="F8051" s="12" t="s">
        <v>240</v>
      </c>
      <c r="G8051" s="12" t="s">
        <v>40</v>
      </c>
      <c r="H8051" s="11" t="s">
        <v>22</v>
      </c>
      <c r="I8051" s="13" t="s">
        <v>16435</v>
      </c>
      <c r="J8051" s="14" t="str">
        <f>HYPERLINK("https://www.boe.es/gazeta/dias/1839/09/22/pdfs/GMD-1839-1777.pdf#page=2","Abrir facsímil")</f>
        <v>Abrir facsímil</v>
      </c>
      <c r="K8051" s="12" t="s">
        <v>24</v>
      </c>
    </row>
    <row r="8052" spans="1:11" ht="40.049999999999997" customHeight="1" x14ac:dyDescent="0.25">
      <c r="A8052" s="11" t="s">
        <v>16434</v>
      </c>
      <c r="B8052" s="11" t="s">
        <v>16434</v>
      </c>
      <c r="C8052" s="11" t="s">
        <v>59</v>
      </c>
      <c r="D8052" s="11" t="s">
        <v>60</v>
      </c>
      <c r="E8052" s="12" t="s">
        <v>1988</v>
      </c>
      <c r="F8052" s="12" t="s">
        <v>1989</v>
      </c>
      <c r="G8052" s="12" t="s">
        <v>40</v>
      </c>
      <c r="H8052" s="11" t="s">
        <v>22</v>
      </c>
      <c r="I8052" s="13" t="s">
        <v>16436</v>
      </c>
      <c r="J8052" s="14" t="str">
        <f>HYPERLINK("https://www.boe.es/gazeta/dias/1839/10/29/pdfs/GMD-1839-1815.pdf#page=2","Abrir facsímil")</f>
        <v>Abrir facsímil</v>
      </c>
      <c r="K8052" s="12" t="s">
        <v>24</v>
      </c>
    </row>
    <row r="8053" spans="1:11" ht="40.049999999999997" customHeight="1" x14ac:dyDescent="0.25">
      <c r="A8053" s="11" t="s">
        <v>16434</v>
      </c>
      <c r="B8053" s="11" t="s">
        <v>16434</v>
      </c>
      <c r="C8053" s="11" t="s">
        <v>80</v>
      </c>
      <c r="D8053" s="11" t="s">
        <v>173</v>
      </c>
      <c r="E8053" s="12" t="s">
        <v>1867</v>
      </c>
      <c r="F8053" s="12" t="s">
        <v>1868</v>
      </c>
      <c r="G8053" s="12" t="s">
        <v>29</v>
      </c>
      <c r="H8053" s="11" t="s">
        <v>22</v>
      </c>
      <c r="I8053" s="13" t="s">
        <v>16437</v>
      </c>
      <c r="J8053" s="14" t="str">
        <f>HYPERLINK("https://www.boe.es/gazeta/dias/1839/01/30/pdfs/GMD-1839-1537.pdf#page=1","Abrir facsímil")</f>
        <v>Abrir facsímil</v>
      </c>
      <c r="K8053" s="12" t="s">
        <v>24</v>
      </c>
    </row>
    <row r="8054" spans="1:11" ht="40.049999999999997" customHeight="1" x14ac:dyDescent="0.25">
      <c r="A8054" s="11" t="s">
        <v>16438</v>
      </c>
      <c r="B8054" s="11" t="s">
        <v>16438</v>
      </c>
      <c r="C8054" s="11" t="s">
        <v>17</v>
      </c>
      <c r="D8054" s="11" t="s">
        <v>18</v>
      </c>
      <c r="E8054" s="12" t="s">
        <v>181</v>
      </c>
      <c r="F8054" s="12" t="s">
        <v>182</v>
      </c>
      <c r="G8054" s="12" t="s">
        <v>29</v>
      </c>
      <c r="H8054" s="11" t="s">
        <v>22</v>
      </c>
      <c r="I8054" s="13" t="s">
        <v>16439</v>
      </c>
      <c r="J8054" s="14" t="str">
        <f>HYPERLINK("https://www.boe.es/gazeta/dias/1839/01/11/pdfs/GMD-1839-1518.pdf#page=1","Abrir facsímil")</f>
        <v>Abrir facsímil</v>
      </c>
      <c r="K8054" s="12" t="s">
        <v>24</v>
      </c>
    </row>
    <row r="8055" spans="1:11" ht="40.049999999999997" customHeight="1" x14ac:dyDescent="0.25">
      <c r="A8055" s="11" t="s">
        <v>16440</v>
      </c>
      <c r="B8055" s="11" t="s">
        <v>16440</v>
      </c>
      <c r="C8055" s="11" t="s">
        <v>80</v>
      </c>
      <c r="D8055" s="11" t="s">
        <v>18</v>
      </c>
      <c r="E8055" s="12" t="s">
        <v>192</v>
      </c>
      <c r="F8055" s="12" t="s">
        <v>193</v>
      </c>
      <c r="G8055" s="12" t="s">
        <v>21</v>
      </c>
      <c r="H8055" s="11" t="s">
        <v>22</v>
      </c>
      <c r="I8055" s="13" t="s">
        <v>16441</v>
      </c>
      <c r="J8055" s="14" t="str">
        <f>HYPERLINK("https://www.boe.es/gazeta/dias/1839/01/12/pdfs/GMD-1839-1519.pdf#page=4","Abrir facsímil")</f>
        <v>Abrir facsímil</v>
      </c>
      <c r="K8055" s="12" t="s">
        <v>24</v>
      </c>
    </row>
    <row r="8056" spans="1:11" ht="40.049999999999997" customHeight="1" x14ac:dyDescent="0.25">
      <c r="A8056" s="11" t="s">
        <v>16442</v>
      </c>
      <c r="B8056" s="11" t="s">
        <v>16442</v>
      </c>
      <c r="C8056" s="11" t="s">
        <v>59</v>
      </c>
      <c r="D8056" s="11" t="s">
        <v>60</v>
      </c>
      <c r="E8056" s="12" t="s">
        <v>239</v>
      </c>
      <c r="F8056" s="12" t="s">
        <v>240</v>
      </c>
      <c r="G8056" s="12" t="s">
        <v>29</v>
      </c>
      <c r="H8056" s="11" t="s">
        <v>22</v>
      </c>
      <c r="I8056" s="13" t="s">
        <v>16443</v>
      </c>
      <c r="J8056" s="14" t="str">
        <f>HYPERLINK("https://www.boe.es/gazeta/dias/1839/09/22/pdfs/GMD-1839-1777.pdf#page=1","Abrir facsímil")</f>
        <v>Abrir facsímil</v>
      </c>
      <c r="K8056" s="12" t="s">
        <v>24</v>
      </c>
    </row>
    <row r="8057" spans="1:11" ht="40.049999999999997" customHeight="1" x14ac:dyDescent="0.25">
      <c r="A8057" s="11" t="s">
        <v>16444</v>
      </c>
      <c r="B8057" s="11" t="s">
        <v>16444</v>
      </c>
      <c r="C8057" s="11" t="s">
        <v>101</v>
      </c>
      <c r="D8057" s="11" t="s">
        <v>43</v>
      </c>
      <c r="E8057" s="12" t="s">
        <v>453</v>
      </c>
      <c r="F8057" s="12" t="s">
        <v>454</v>
      </c>
      <c r="G8057" s="12" t="s">
        <v>29</v>
      </c>
      <c r="H8057" s="11" t="s">
        <v>22</v>
      </c>
      <c r="I8057" s="13" t="s">
        <v>16445</v>
      </c>
      <c r="J8057" s="14" t="str">
        <f>HYPERLINK("https://www.boe.es/gazeta/dias/1839/02/07/pdfs/GMD-1839-1545.pdf#page=1","Abrir facsímil")</f>
        <v>Abrir facsímil</v>
      </c>
      <c r="K8057" s="12" t="s">
        <v>24</v>
      </c>
    </row>
    <row r="8058" spans="1:11" ht="40.049999999999997" customHeight="1" x14ac:dyDescent="0.25">
      <c r="A8058" s="11" t="s">
        <v>16444</v>
      </c>
      <c r="B8058" s="11" t="s">
        <v>16444</v>
      </c>
      <c r="C8058" s="11" t="s">
        <v>17</v>
      </c>
      <c r="D8058" s="11" t="s">
        <v>18</v>
      </c>
      <c r="E8058" s="12" t="s">
        <v>596</v>
      </c>
      <c r="F8058" s="12" t="s">
        <v>597</v>
      </c>
      <c r="G8058" s="12" t="s">
        <v>46</v>
      </c>
      <c r="H8058" s="11" t="s">
        <v>22</v>
      </c>
      <c r="I8058" s="13" t="s">
        <v>16446</v>
      </c>
      <c r="J8058" s="14" t="str">
        <f>HYPERLINK("https://www.boe.es/gazeta/dias/1839/01/23/pdfs/GMD-1839-1530.pdf#page=3","Abrir facsímil")</f>
        <v>Abrir facsímil</v>
      </c>
      <c r="K8058" s="12" t="s">
        <v>24</v>
      </c>
    </row>
    <row r="8059" spans="1:11" ht="40.049999999999997" customHeight="1" x14ac:dyDescent="0.25">
      <c r="A8059" s="11" t="s">
        <v>16444</v>
      </c>
      <c r="B8059" s="11" t="s">
        <v>16444</v>
      </c>
      <c r="C8059" s="11" t="s">
        <v>137</v>
      </c>
      <c r="D8059" s="11" t="s">
        <v>18</v>
      </c>
      <c r="E8059" s="12" t="s">
        <v>926</v>
      </c>
      <c r="F8059" s="12" t="s">
        <v>927</v>
      </c>
      <c r="G8059" s="12" t="s">
        <v>29</v>
      </c>
      <c r="H8059" s="11" t="s">
        <v>22</v>
      </c>
      <c r="I8059" s="13" t="s">
        <v>16447</v>
      </c>
      <c r="J8059" s="14" t="str">
        <f>HYPERLINK("https://www.boe.es/gazeta/dias/1839/01/25/pdfs/GMD-1839-1532.pdf#page=1","Abrir facsímil")</f>
        <v>Abrir facsímil</v>
      </c>
      <c r="K8059" s="12" t="s">
        <v>24</v>
      </c>
    </row>
    <row r="8060" spans="1:11" ht="40.049999999999997" customHeight="1" x14ac:dyDescent="0.25">
      <c r="A8060" s="11" t="s">
        <v>16444</v>
      </c>
      <c r="B8060" s="11" t="s">
        <v>16444</v>
      </c>
      <c r="C8060" s="11" t="s">
        <v>101</v>
      </c>
      <c r="D8060" s="11" t="s">
        <v>43</v>
      </c>
      <c r="E8060" s="12" t="s">
        <v>1909</v>
      </c>
      <c r="F8060" s="12" t="s">
        <v>1910</v>
      </c>
      <c r="G8060" s="12" t="s">
        <v>40</v>
      </c>
      <c r="H8060" s="11" t="s">
        <v>22</v>
      </c>
      <c r="I8060" s="13" t="s">
        <v>16448</v>
      </c>
      <c r="J8060" s="14" t="str">
        <f>HYPERLINK("https://www.boe.es/gazeta/dias/1839/10/27/pdfs/GMD-1839-1813.pdf#page=2","Abrir facsímil")</f>
        <v>Abrir facsímil</v>
      </c>
      <c r="K8060" s="12" t="s">
        <v>24</v>
      </c>
    </row>
    <row r="8061" spans="1:11" ht="40.049999999999997" customHeight="1" x14ac:dyDescent="0.25">
      <c r="A8061" s="11" t="s">
        <v>16444</v>
      </c>
      <c r="B8061" s="11" t="s">
        <v>16444</v>
      </c>
      <c r="C8061" s="11" t="s">
        <v>59</v>
      </c>
      <c r="D8061" s="11" t="s">
        <v>60</v>
      </c>
      <c r="E8061" s="12" t="s">
        <v>1287</v>
      </c>
      <c r="F8061" s="12" t="s">
        <v>1288</v>
      </c>
      <c r="G8061" s="12" t="s">
        <v>40</v>
      </c>
      <c r="H8061" s="11" t="s">
        <v>22</v>
      </c>
      <c r="I8061" s="13" t="s">
        <v>16449</v>
      </c>
      <c r="J8061" s="14" t="str">
        <f>HYPERLINK("https://www.boe.es/gazeta/dias/1839/10/30/pdfs/GMD-1839-1816.pdf#page=2","Abrir facsímil")</f>
        <v>Abrir facsímil</v>
      </c>
      <c r="K8061" s="12" t="s">
        <v>24</v>
      </c>
    </row>
    <row r="8062" spans="1:11" ht="40.049999999999997" customHeight="1" x14ac:dyDescent="0.25">
      <c r="A8062" s="11" t="s">
        <v>16450</v>
      </c>
      <c r="B8062" s="11" t="s">
        <v>16450</v>
      </c>
      <c r="C8062" s="11" t="s">
        <v>17</v>
      </c>
      <c r="D8062" s="11" t="s">
        <v>18</v>
      </c>
      <c r="E8062" s="12" t="s">
        <v>233</v>
      </c>
      <c r="F8062" s="12" t="s">
        <v>234</v>
      </c>
      <c r="G8062" s="12" t="s">
        <v>40</v>
      </c>
      <c r="H8062" s="11" t="s">
        <v>63</v>
      </c>
      <c r="I8062" s="13" t="s">
        <v>16451</v>
      </c>
      <c r="J8062" s="14" t="str">
        <f>HYPERLINK("https://www.boe.es/gazeta/dias/1839/09/17/pdfs/GMD-1839-1770.pdf#page=2","Abrir facsímil")</f>
        <v>Abrir facsímil</v>
      </c>
      <c r="K8062" s="12" t="s">
        <v>65</v>
      </c>
    </row>
    <row r="8063" spans="1:11" ht="40.049999999999997" customHeight="1" x14ac:dyDescent="0.25">
      <c r="A8063" s="11" t="s">
        <v>16450</v>
      </c>
      <c r="B8063" s="11" t="s">
        <v>16450</v>
      </c>
      <c r="C8063" s="11" t="s">
        <v>137</v>
      </c>
      <c r="D8063" s="11" t="s">
        <v>18</v>
      </c>
      <c r="E8063" s="12" t="s">
        <v>1108</v>
      </c>
      <c r="F8063" s="12" t="s">
        <v>1109</v>
      </c>
      <c r="G8063" s="12" t="s">
        <v>21</v>
      </c>
      <c r="H8063" s="11" t="s">
        <v>63</v>
      </c>
      <c r="I8063" s="13" t="s">
        <v>16452</v>
      </c>
      <c r="J8063" s="14" t="str">
        <f>HYPERLINK("https://www.boe.es/gazeta/dias/1839/09/21/pdfs/GMD-1839-1776.pdf#page=4","Abrir facsímil")</f>
        <v>Abrir facsímil</v>
      </c>
      <c r="K8063" s="12" t="s">
        <v>65</v>
      </c>
    </row>
    <row r="8064" spans="1:11" ht="40.049999999999997" customHeight="1" x14ac:dyDescent="0.25">
      <c r="A8064" s="11" t="s">
        <v>16450</v>
      </c>
      <c r="B8064" s="11" t="s">
        <v>16450</v>
      </c>
      <c r="C8064" s="11" t="s">
        <v>137</v>
      </c>
      <c r="D8064" s="11" t="s">
        <v>18</v>
      </c>
      <c r="E8064" s="12" t="s">
        <v>239</v>
      </c>
      <c r="F8064" s="12" t="s">
        <v>240</v>
      </c>
      <c r="G8064" s="12" t="s">
        <v>40</v>
      </c>
      <c r="H8064" s="11" t="s">
        <v>63</v>
      </c>
      <c r="I8064" s="13" t="s">
        <v>16453</v>
      </c>
      <c r="J8064" s="14" t="str">
        <f>HYPERLINK("https://www.boe.es/gazeta/dias/1839/09/22/pdfs/GMD-1839-1777.pdf#page=2","Abrir facsímil")</f>
        <v>Abrir facsímil</v>
      </c>
      <c r="K8064" s="12" t="s">
        <v>65</v>
      </c>
    </row>
    <row r="8065" spans="1:11" ht="40.049999999999997" customHeight="1" x14ac:dyDescent="0.25">
      <c r="A8065" s="11" t="s">
        <v>16450</v>
      </c>
      <c r="B8065" s="11" t="s">
        <v>16450</v>
      </c>
      <c r="C8065" s="11" t="s">
        <v>17</v>
      </c>
      <c r="D8065" s="11" t="s">
        <v>18</v>
      </c>
      <c r="E8065" s="12" t="s">
        <v>1988</v>
      </c>
      <c r="F8065" s="12" t="s">
        <v>1989</v>
      </c>
      <c r="G8065" s="12" t="s">
        <v>40</v>
      </c>
      <c r="H8065" s="11" t="s">
        <v>63</v>
      </c>
      <c r="I8065" s="13" t="s">
        <v>16454</v>
      </c>
      <c r="J8065" s="14" t="str">
        <f>HYPERLINK("https://www.boe.es/gazeta/dias/1839/10/29/pdfs/GMD-1839-1815.pdf#page=2","Abrir facsímil")</f>
        <v>Abrir facsímil</v>
      </c>
      <c r="K8065" s="12" t="s">
        <v>65</v>
      </c>
    </row>
    <row r="8066" spans="1:11" ht="40.049999999999997" customHeight="1" x14ac:dyDescent="0.25">
      <c r="A8066" s="11" t="s">
        <v>16455</v>
      </c>
      <c r="B8066" s="11" t="s">
        <v>16456</v>
      </c>
      <c r="C8066" s="11" t="s">
        <v>101</v>
      </c>
      <c r="D8066" s="11" t="s">
        <v>102</v>
      </c>
      <c r="E8066" s="12" t="s">
        <v>462</v>
      </c>
      <c r="F8066" s="12" t="s">
        <v>463</v>
      </c>
      <c r="G8066" s="12" t="s">
        <v>46</v>
      </c>
      <c r="H8066" s="11" t="s">
        <v>22</v>
      </c>
      <c r="I8066" s="13" t="s">
        <v>16457</v>
      </c>
      <c r="J8066" s="14" t="str">
        <f>HYPERLINK("https://www.boe.es/gazeta/dias/1839/06/19/pdfs/GMD-1839-1677.pdf#page=3","Abrir facsímil")</f>
        <v>Abrir facsímil</v>
      </c>
      <c r="K8066" s="12" t="s">
        <v>24</v>
      </c>
    </row>
    <row r="8067" spans="1:11" ht="40.049999999999997" customHeight="1" x14ac:dyDescent="0.25">
      <c r="A8067" s="11" t="s">
        <v>16458</v>
      </c>
      <c r="B8067" s="11" t="s">
        <v>16459</v>
      </c>
      <c r="C8067" s="11" t="s">
        <v>17</v>
      </c>
      <c r="D8067" s="11" t="s">
        <v>18</v>
      </c>
      <c r="E8067" s="12" t="s">
        <v>1118</v>
      </c>
      <c r="F8067" s="12" t="s">
        <v>1119</v>
      </c>
      <c r="G8067" s="12" t="s">
        <v>21</v>
      </c>
      <c r="H8067" s="11" t="s">
        <v>63</v>
      </c>
      <c r="I8067" s="13" t="s">
        <v>16460</v>
      </c>
      <c r="J8067" s="14" t="str">
        <f>HYPERLINK("https://www.boe.es/gazeta/dias/1839/08/30/pdfs/GMD-1839-1751.pdf#page=4","Abrir facsímil")</f>
        <v>Abrir facsímil</v>
      </c>
      <c r="K8067" s="12" t="s">
        <v>65</v>
      </c>
    </row>
    <row r="8068" spans="1:11" ht="40.049999999999997" customHeight="1" x14ac:dyDescent="0.25">
      <c r="A8068" s="11" t="s">
        <v>16461</v>
      </c>
      <c r="B8068" s="11" t="s">
        <v>16462</v>
      </c>
      <c r="C8068" s="11" t="s">
        <v>80</v>
      </c>
      <c r="D8068" s="11" t="s">
        <v>18</v>
      </c>
      <c r="E8068" s="12" t="s">
        <v>1378</v>
      </c>
      <c r="F8068" s="12" t="s">
        <v>1379</v>
      </c>
      <c r="G8068" s="12" t="s">
        <v>21</v>
      </c>
      <c r="H8068" s="11" t="s">
        <v>63</v>
      </c>
      <c r="I8068" s="13" t="s">
        <v>16463</v>
      </c>
      <c r="J8068" s="14" t="str">
        <f>HYPERLINK("https://www.boe.es/gazeta/dias/1839/05/18/pdfs/GMD-1839-1645.pdf#page=4","Abrir facsímil")</f>
        <v>Abrir facsímil</v>
      </c>
      <c r="K8068" s="12" t="s">
        <v>65</v>
      </c>
    </row>
    <row r="8069" spans="1:11" ht="40.049999999999997" customHeight="1" x14ac:dyDescent="0.25">
      <c r="A8069" s="11" t="s">
        <v>16461</v>
      </c>
      <c r="B8069" s="11" t="s">
        <v>16462</v>
      </c>
      <c r="C8069" s="11" t="s">
        <v>137</v>
      </c>
      <c r="D8069" s="11" t="s">
        <v>18</v>
      </c>
      <c r="E8069" s="12" t="s">
        <v>89</v>
      </c>
      <c r="F8069" s="12" t="s">
        <v>90</v>
      </c>
      <c r="G8069" s="12" t="s">
        <v>21</v>
      </c>
      <c r="H8069" s="11" t="s">
        <v>63</v>
      </c>
      <c r="I8069" s="13" t="s">
        <v>16464</v>
      </c>
      <c r="J8069" s="14" t="str">
        <f>HYPERLINK("https://www.boe.es/gazeta/dias/1839/11/28/pdfs/GMD-1839-1845.pdf#page=4","Abrir facsímil")</f>
        <v>Abrir facsímil</v>
      </c>
      <c r="K8069" s="12" t="s">
        <v>65</v>
      </c>
    </row>
    <row r="8070" spans="1:11" ht="40.049999999999997" customHeight="1" x14ac:dyDescent="0.25">
      <c r="A8070" s="11" t="s">
        <v>16465</v>
      </c>
      <c r="B8070" s="11" t="s">
        <v>16466</v>
      </c>
      <c r="C8070" s="11" t="s">
        <v>17</v>
      </c>
      <c r="D8070" s="11" t="s">
        <v>18</v>
      </c>
      <c r="E8070" s="12" t="s">
        <v>2650</v>
      </c>
      <c r="F8070" s="12" t="s">
        <v>2651</v>
      </c>
      <c r="G8070" s="12" t="s">
        <v>21</v>
      </c>
      <c r="H8070" s="11" t="s">
        <v>63</v>
      </c>
      <c r="I8070" s="13" t="s">
        <v>16467</v>
      </c>
      <c r="J8070" s="14" t="str">
        <f>HYPERLINK("https://www.boe.es/gazeta/dias/1839/09/15/pdfs/GMD-1839-1768.pdf#page=4","Abrir facsímil")</f>
        <v>Abrir facsímil</v>
      </c>
      <c r="K8070" s="12" t="s">
        <v>65</v>
      </c>
    </row>
    <row r="8071" spans="1:11" ht="40.049999999999997" customHeight="1" x14ac:dyDescent="0.25">
      <c r="A8071" s="11" t="s">
        <v>16468</v>
      </c>
      <c r="B8071" s="11" t="s">
        <v>16469</v>
      </c>
      <c r="C8071" s="11" t="s">
        <v>17</v>
      </c>
      <c r="D8071" s="11" t="s">
        <v>18</v>
      </c>
      <c r="E8071" s="12" t="s">
        <v>621</v>
      </c>
      <c r="F8071" s="12" t="s">
        <v>622</v>
      </c>
      <c r="G8071" s="12" t="s">
        <v>46</v>
      </c>
      <c r="H8071" s="11" t="s">
        <v>63</v>
      </c>
      <c r="I8071" s="13" t="s">
        <v>16470</v>
      </c>
      <c r="J8071" s="14" t="str">
        <f>HYPERLINK("https://www.boe.es/gazeta/dias/1839/04/14/pdfs/GMD-1839-1611.pdf#page=3","Abrir facsímil")</f>
        <v>Abrir facsímil</v>
      </c>
      <c r="K8071" s="12" t="s">
        <v>65</v>
      </c>
    </row>
    <row r="8072" spans="1:11" ht="40.049999999999997" customHeight="1" x14ac:dyDescent="0.25">
      <c r="A8072" s="11" t="s">
        <v>16468</v>
      </c>
      <c r="B8072" s="11" t="s">
        <v>16469</v>
      </c>
      <c r="C8072" s="11" t="s">
        <v>59</v>
      </c>
      <c r="D8072" s="11" t="s">
        <v>60</v>
      </c>
      <c r="E8072" s="12" t="s">
        <v>1749</v>
      </c>
      <c r="F8072" s="12" t="s">
        <v>1750</v>
      </c>
      <c r="G8072" s="12" t="s">
        <v>46</v>
      </c>
      <c r="H8072" s="11" t="s">
        <v>63</v>
      </c>
      <c r="I8072" s="13" t="s">
        <v>16471</v>
      </c>
      <c r="J8072" s="14" t="str">
        <f>HYPERLINK("https://www.boe.es/gazeta/dias/1839/06/28/pdfs/GMD-1839-1686.pdf#page=3","Abrir facsímil")</f>
        <v>Abrir facsímil</v>
      </c>
      <c r="K8072" s="12" t="s">
        <v>65</v>
      </c>
    </row>
    <row r="8073" spans="1:11" ht="40.049999999999997" customHeight="1" x14ac:dyDescent="0.25">
      <c r="A8073" s="11" t="s">
        <v>16472</v>
      </c>
      <c r="B8073" s="11" t="s">
        <v>16473</v>
      </c>
      <c r="C8073" s="11" t="s">
        <v>80</v>
      </c>
      <c r="D8073" s="11" t="s">
        <v>173</v>
      </c>
      <c r="E8073" s="12" t="s">
        <v>246</v>
      </c>
      <c r="F8073" s="12" t="s">
        <v>247</v>
      </c>
      <c r="G8073" s="12" t="s">
        <v>21</v>
      </c>
      <c r="H8073" s="11" t="s">
        <v>63</v>
      </c>
      <c r="I8073" s="13" t="s">
        <v>16474</v>
      </c>
      <c r="J8073" s="14" t="str">
        <f>HYPERLINK("https://www.boe.es/gazeta/dias/1839/11/24/pdfs/GMD-1839-1841.pdf#page=4","Abrir facsímil")</f>
        <v>Abrir facsímil</v>
      </c>
      <c r="K8073" s="12" t="s">
        <v>65</v>
      </c>
    </row>
    <row r="8074" spans="1:11" ht="40.049999999999997" customHeight="1" x14ac:dyDescent="0.25">
      <c r="A8074" s="11" t="s">
        <v>16475</v>
      </c>
      <c r="B8074" s="11" t="s">
        <v>16476</v>
      </c>
      <c r="C8074" s="11" t="s">
        <v>59</v>
      </c>
      <c r="D8074" s="11" t="s">
        <v>60</v>
      </c>
      <c r="E8074" s="12" t="s">
        <v>388</v>
      </c>
      <c r="F8074" s="12" t="s">
        <v>389</v>
      </c>
      <c r="G8074" s="12" t="s">
        <v>29</v>
      </c>
      <c r="H8074" s="11" t="s">
        <v>63</v>
      </c>
      <c r="I8074" s="13" t="s">
        <v>16477</v>
      </c>
      <c r="J8074" s="14" t="str">
        <f>HYPERLINK("https://www.boe.es/gazeta/dias/1839/08/07/pdfs/GMD-1839-1727.pdf#page=1","Abrir facsímil")</f>
        <v>Abrir facsímil</v>
      </c>
      <c r="K8074" s="12" t="s">
        <v>65</v>
      </c>
    </row>
    <row r="8075" spans="1:11" ht="40.049999999999997" customHeight="1" x14ac:dyDescent="0.25">
      <c r="A8075" s="11" t="s">
        <v>16478</v>
      </c>
      <c r="B8075" s="11" t="s">
        <v>16478</v>
      </c>
      <c r="C8075" s="11" t="s">
        <v>17</v>
      </c>
      <c r="D8075" s="11" t="s">
        <v>18</v>
      </c>
      <c r="E8075" s="12" t="s">
        <v>27</v>
      </c>
      <c r="F8075" s="12" t="s">
        <v>28</v>
      </c>
      <c r="G8075" s="12" t="s">
        <v>21</v>
      </c>
      <c r="H8075" s="11" t="s">
        <v>63</v>
      </c>
      <c r="I8075" s="13" t="s">
        <v>16479</v>
      </c>
      <c r="J8075" s="14" t="str">
        <f>HYPERLINK("https://www.boe.es/gazeta/dias/1839/07/28/pdfs/GMD-1839-1717.pdf#page=4","Abrir facsímil")</f>
        <v>Abrir facsímil</v>
      </c>
      <c r="K8075" s="12" t="s">
        <v>65</v>
      </c>
    </row>
    <row r="8076" spans="1:11" ht="40.049999999999997" customHeight="1" x14ac:dyDescent="0.25">
      <c r="A8076" s="11" t="s">
        <v>16480</v>
      </c>
      <c r="B8076" s="11" t="s">
        <v>16480</v>
      </c>
      <c r="C8076" s="11" t="s">
        <v>17</v>
      </c>
      <c r="D8076" s="11" t="s">
        <v>18</v>
      </c>
      <c r="E8076" s="12" t="s">
        <v>2210</v>
      </c>
      <c r="F8076" s="12" t="s">
        <v>2211</v>
      </c>
      <c r="G8076" s="12" t="s">
        <v>40</v>
      </c>
      <c r="H8076" s="11" t="s">
        <v>22</v>
      </c>
      <c r="I8076" s="13" t="s">
        <v>16481</v>
      </c>
      <c r="J8076" s="14" t="str">
        <f>HYPERLINK("https://www.boe.es/gazeta/dias/1839/09/05/pdfs/GMD-1839-1758.pdf#page=2","Abrir facsímil")</f>
        <v>Abrir facsímil</v>
      </c>
      <c r="K8076" s="12" t="s">
        <v>24</v>
      </c>
    </row>
    <row r="8077" spans="1:11" ht="40.049999999999997" customHeight="1" x14ac:dyDescent="0.25">
      <c r="A8077" s="11" t="s">
        <v>16480</v>
      </c>
      <c r="B8077" s="11" t="s">
        <v>16480</v>
      </c>
      <c r="C8077" s="11" t="s">
        <v>17</v>
      </c>
      <c r="D8077" s="11" t="s">
        <v>18</v>
      </c>
      <c r="E8077" s="12" t="s">
        <v>157</v>
      </c>
      <c r="F8077" s="12" t="s">
        <v>158</v>
      </c>
      <c r="G8077" s="12" t="s">
        <v>40</v>
      </c>
      <c r="H8077" s="11" t="s">
        <v>22</v>
      </c>
      <c r="I8077" s="13" t="s">
        <v>16482</v>
      </c>
      <c r="J8077" s="14" t="str">
        <f>HYPERLINK("https://www.boe.es/gazeta/dias/1839/02/08/pdfs/GMD-1839-1546.pdf#page=2","Abrir facsímil")</f>
        <v>Abrir facsímil</v>
      </c>
      <c r="K8077" s="12" t="s">
        <v>24</v>
      </c>
    </row>
    <row r="8078" spans="1:11" ht="40.049999999999997" customHeight="1" x14ac:dyDescent="0.25">
      <c r="A8078" s="11" t="s">
        <v>16480</v>
      </c>
      <c r="B8078" s="11" t="s">
        <v>16480</v>
      </c>
      <c r="C8078" s="11" t="s">
        <v>101</v>
      </c>
      <c r="D8078" s="11" t="s">
        <v>43</v>
      </c>
      <c r="E8078" s="12" t="s">
        <v>723</v>
      </c>
      <c r="F8078" s="12" t="s">
        <v>724</v>
      </c>
      <c r="G8078" s="12" t="s">
        <v>46</v>
      </c>
      <c r="H8078" s="11" t="s">
        <v>22</v>
      </c>
      <c r="I8078" s="13" t="s">
        <v>16483</v>
      </c>
      <c r="J8078" s="14" t="str">
        <f>HYPERLINK("https://www.boe.es/gazeta/dias/1839/09/26/pdfs/GMD-1839-1782.pdf#page=3","Abrir facsímil")</f>
        <v>Abrir facsímil</v>
      </c>
      <c r="K8078" s="12" t="s">
        <v>24</v>
      </c>
    </row>
    <row r="8079" spans="1:11" ht="40.049999999999997" customHeight="1" x14ac:dyDescent="0.25">
      <c r="A8079" s="11" t="s">
        <v>16484</v>
      </c>
      <c r="B8079" s="11" t="s">
        <v>16484</v>
      </c>
      <c r="C8079" s="11" t="s">
        <v>101</v>
      </c>
      <c r="D8079" s="11" t="s">
        <v>43</v>
      </c>
      <c r="E8079" s="12" t="s">
        <v>568</v>
      </c>
      <c r="F8079" s="12" t="s">
        <v>569</v>
      </c>
      <c r="G8079" s="12" t="s">
        <v>21</v>
      </c>
      <c r="H8079" s="11" t="s">
        <v>22</v>
      </c>
      <c r="I8079" s="13" t="s">
        <v>16485</v>
      </c>
      <c r="J8079" s="14" t="str">
        <f>HYPERLINK("https://www.boe.es/gazeta/dias/1839/10/23/pdfs/GMD-1839-1809.pdf#page=4","Abrir facsímil")</f>
        <v>Abrir facsímil</v>
      </c>
      <c r="K8079" s="12" t="s">
        <v>24</v>
      </c>
    </row>
    <row r="8080" spans="1:11" ht="40.049999999999997" customHeight="1" x14ac:dyDescent="0.25">
      <c r="A8080" s="11" t="s">
        <v>16486</v>
      </c>
      <c r="B8080" s="11" t="s">
        <v>16486</v>
      </c>
      <c r="C8080" s="11" t="s">
        <v>17</v>
      </c>
      <c r="D8080" s="11" t="s">
        <v>18</v>
      </c>
      <c r="E8080" s="12" t="s">
        <v>239</v>
      </c>
      <c r="F8080" s="12" t="s">
        <v>240</v>
      </c>
      <c r="G8080" s="12" t="s">
        <v>40</v>
      </c>
      <c r="H8080" s="11" t="s">
        <v>22</v>
      </c>
      <c r="I8080" s="13" t="s">
        <v>16487</v>
      </c>
      <c r="J8080" s="14" t="str">
        <f>HYPERLINK("https://www.boe.es/gazeta/dias/1839/09/22/pdfs/GMD-1839-1777.pdf#page=2","Abrir facsímil")</f>
        <v>Abrir facsímil</v>
      </c>
      <c r="K8080" s="12" t="s">
        <v>24</v>
      </c>
    </row>
    <row r="8081" spans="1:11" ht="40.049999999999997" customHeight="1" x14ac:dyDescent="0.25">
      <c r="A8081" s="11" t="s">
        <v>16486</v>
      </c>
      <c r="B8081" s="11" t="s">
        <v>16486</v>
      </c>
      <c r="C8081" s="11" t="s">
        <v>17</v>
      </c>
      <c r="D8081" s="11" t="s">
        <v>18</v>
      </c>
      <c r="E8081" s="12" t="s">
        <v>568</v>
      </c>
      <c r="F8081" s="12" t="s">
        <v>569</v>
      </c>
      <c r="G8081" s="12" t="s">
        <v>21</v>
      </c>
      <c r="H8081" s="11" t="s">
        <v>22</v>
      </c>
      <c r="I8081" s="13" t="s">
        <v>16488</v>
      </c>
      <c r="J8081" s="14" t="str">
        <f>HYPERLINK("https://www.boe.es/gazeta/dias/1839/10/23/pdfs/GMD-1839-1809.pdf#page=4","Abrir facsímil")</f>
        <v>Abrir facsímil</v>
      </c>
      <c r="K8081" s="12" t="s">
        <v>24</v>
      </c>
    </row>
    <row r="8082" spans="1:11" ht="40.049999999999997" customHeight="1" x14ac:dyDescent="0.25">
      <c r="A8082" s="11" t="s">
        <v>16489</v>
      </c>
      <c r="B8082" s="11" t="s">
        <v>16490</v>
      </c>
      <c r="C8082" s="11" t="s">
        <v>17</v>
      </c>
      <c r="D8082" s="11" t="s">
        <v>18</v>
      </c>
      <c r="E8082" s="12" t="s">
        <v>1611</v>
      </c>
      <c r="F8082" s="12" t="s">
        <v>1612</v>
      </c>
      <c r="G8082" s="12" t="s">
        <v>29</v>
      </c>
      <c r="H8082" s="11" t="s">
        <v>63</v>
      </c>
      <c r="I8082" s="13" t="s">
        <v>16491</v>
      </c>
      <c r="J8082" s="14" t="str">
        <f>HYPERLINK("https://www.boe.es/gazeta/dias/1839/05/03/pdfs/GMD-1839-1630.pdf#page=1","Abrir facsímil")</f>
        <v>Abrir facsímil</v>
      </c>
      <c r="K8082" s="12" t="s">
        <v>65</v>
      </c>
    </row>
    <row r="8083" spans="1:11" ht="40.049999999999997" customHeight="1" x14ac:dyDescent="0.25">
      <c r="A8083" s="11" t="s">
        <v>16492</v>
      </c>
      <c r="B8083" s="11" t="s">
        <v>16492</v>
      </c>
      <c r="C8083" s="11" t="s">
        <v>137</v>
      </c>
      <c r="D8083" s="11" t="s">
        <v>18</v>
      </c>
      <c r="E8083" s="12" t="s">
        <v>1057</v>
      </c>
      <c r="F8083" s="12" t="s">
        <v>1058</v>
      </c>
      <c r="G8083" s="12" t="s">
        <v>40</v>
      </c>
      <c r="H8083" s="11" t="s">
        <v>22</v>
      </c>
      <c r="I8083" s="13" t="s">
        <v>16493</v>
      </c>
      <c r="J8083" s="14" t="str">
        <f>HYPERLINK("https://www.boe.es/gazeta/dias/1839/10/01/pdfs/GMD-1839-1787.pdf#page=2","Abrir facsímil")</f>
        <v>Abrir facsímil</v>
      </c>
      <c r="K8083" s="12" t="s">
        <v>24</v>
      </c>
    </row>
    <row r="8084" spans="1:11" ht="40.049999999999997" customHeight="1" x14ac:dyDescent="0.25">
      <c r="A8084" s="11" t="s">
        <v>16492</v>
      </c>
      <c r="B8084" s="11" t="s">
        <v>16492</v>
      </c>
      <c r="C8084" s="11" t="s">
        <v>17</v>
      </c>
      <c r="D8084" s="11" t="s">
        <v>18</v>
      </c>
      <c r="E8084" s="12" t="s">
        <v>54</v>
      </c>
      <c r="F8084" s="12" t="s">
        <v>55</v>
      </c>
      <c r="G8084" s="12" t="s">
        <v>40</v>
      </c>
      <c r="H8084" s="11" t="s">
        <v>22</v>
      </c>
      <c r="I8084" s="13" t="s">
        <v>16494</v>
      </c>
      <c r="J8084" s="14" t="str">
        <f>HYPERLINK("https://www.boe.es/gazeta/dias/1839/10/05/pdfs/GMD-1839-1791.pdf#page=2","Abrir facsímil")</f>
        <v>Abrir facsímil</v>
      </c>
      <c r="K8084" s="12" t="s">
        <v>24</v>
      </c>
    </row>
    <row r="8085" spans="1:11" ht="40.049999999999997" customHeight="1" x14ac:dyDescent="0.25">
      <c r="A8085" s="11" t="s">
        <v>16492</v>
      </c>
      <c r="B8085" s="11" t="s">
        <v>16492</v>
      </c>
      <c r="C8085" s="11" t="s">
        <v>137</v>
      </c>
      <c r="D8085" s="11" t="s">
        <v>18</v>
      </c>
      <c r="E8085" s="12" t="s">
        <v>1236</v>
      </c>
      <c r="F8085" s="12" t="s">
        <v>1237</v>
      </c>
      <c r="G8085" s="12" t="s">
        <v>21</v>
      </c>
      <c r="H8085" s="11" t="s">
        <v>22</v>
      </c>
      <c r="I8085" s="13" t="s">
        <v>16495</v>
      </c>
      <c r="J8085" s="14" t="str">
        <f>HYPERLINK("https://www.boe.es/gazeta/dias/1839/10/16/pdfs/GMD-1839-1802.pdf#page=4","Abrir facsímil")</f>
        <v>Abrir facsímil</v>
      </c>
      <c r="K8085" s="12" t="s">
        <v>24</v>
      </c>
    </row>
    <row r="8086" spans="1:11" ht="40.049999999999997" customHeight="1" x14ac:dyDescent="0.25">
      <c r="A8086" s="11" t="s">
        <v>16492</v>
      </c>
      <c r="B8086" s="11" t="s">
        <v>16492</v>
      </c>
      <c r="C8086" s="11" t="s">
        <v>17</v>
      </c>
      <c r="D8086" s="11" t="s">
        <v>43</v>
      </c>
      <c r="E8086" s="12" t="s">
        <v>233</v>
      </c>
      <c r="F8086" s="12" t="s">
        <v>234</v>
      </c>
      <c r="G8086" s="12" t="s">
        <v>40</v>
      </c>
      <c r="H8086" s="11" t="s">
        <v>22</v>
      </c>
      <c r="I8086" s="13" t="s">
        <v>16496</v>
      </c>
      <c r="J8086" s="14" t="str">
        <f>HYPERLINK("https://www.boe.es/gazeta/dias/1839/09/17/pdfs/GMD-1839-1770.pdf#page=2","Abrir facsímil")</f>
        <v>Abrir facsímil</v>
      </c>
      <c r="K8086" s="12" t="s">
        <v>24</v>
      </c>
    </row>
    <row r="8087" spans="1:11" ht="40.049999999999997" customHeight="1" x14ac:dyDescent="0.25">
      <c r="A8087" s="11" t="s">
        <v>16492</v>
      </c>
      <c r="B8087" s="11" t="s">
        <v>16492</v>
      </c>
      <c r="C8087" s="11" t="s">
        <v>80</v>
      </c>
      <c r="D8087" s="11" t="s">
        <v>18</v>
      </c>
      <c r="E8087" s="12" t="s">
        <v>233</v>
      </c>
      <c r="F8087" s="12" t="s">
        <v>234</v>
      </c>
      <c r="G8087" s="12" t="s">
        <v>46</v>
      </c>
      <c r="H8087" s="11" t="s">
        <v>22</v>
      </c>
      <c r="I8087" s="13" t="s">
        <v>16497</v>
      </c>
      <c r="J8087" s="14" t="str">
        <f>HYPERLINK("https://www.boe.es/gazeta/dias/1839/09/17/pdfs/GMD-1839-1770.pdf#page=3","Abrir facsímil")</f>
        <v>Abrir facsímil</v>
      </c>
      <c r="K8087" s="12" t="s">
        <v>24</v>
      </c>
    </row>
    <row r="8088" spans="1:11" ht="40.049999999999997" customHeight="1" x14ac:dyDescent="0.25">
      <c r="A8088" s="11" t="s">
        <v>16492</v>
      </c>
      <c r="B8088" s="11" t="s">
        <v>16492</v>
      </c>
      <c r="C8088" s="11" t="s">
        <v>17</v>
      </c>
      <c r="D8088" s="11" t="s">
        <v>18</v>
      </c>
      <c r="E8088" s="12" t="s">
        <v>239</v>
      </c>
      <c r="F8088" s="12" t="s">
        <v>240</v>
      </c>
      <c r="G8088" s="12" t="s">
        <v>29</v>
      </c>
      <c r="H8088" s="11" t="s">
        <v>22</v>
      </c>
      <c r="I8088" s="13" t="s">
        <v>16498</v>
      </c>
      <c r="J8088" s="14" t="str">
        <f>HYPERLINK("https://www.boe.es/gazeta/dias/1839/09/22/pdfs/GMD-1839-1777.pdf#page=1","Abrir facsímil")</f>
        <v>Abrir facsímil</v>
      </c>
      <c r="K8088" s="12" t="s">
        <v>24</v>
      </c>
    </row>
    <row r="8089" spans="1:11" ht="40.049999999999997" customHeight="1" x14ac:dyDescent="0.25">
      <c r="A8089" s="11" t="s">
        <v>16492</v>
      </c>
      <c r="B8089" s="11" t="s">
        <v>16492</v>
      </c>
      <c r="C8089" s="11" t="s">
        <v>17</v>
      </c>
      <c r="D8089" s="11" t="s">
        <v>43</v>
      </c>
      <c r="E8089" s="12" t="s">
        <v>1433</v>
      </c>
      <c r="F8089" s="12" t="s">
        <v>1434</v>
      </c>
      <c r="G8089" s="12" t="s">
        <v>40</v>
      </c>
      <c r="H8089" s="11" t="s">
        <v>22</v>
      </c>
      <c r="I8089" s="13" t="s">
        <v>16499</v>
      </c>
      <c r="J8089" s="14" t="str">
        <f>HYPERLINK("https://www.boe.es/gazeta/dias/1839/10/22/pdfs/GMD-1839-1808.pdf#page=2","Abrir facsímil")</f>
        <v>Abrir facsímil</v>
      </c>
      <c r="K8089" s="12" t="s">
        <v>24</v>
      </c>
    </row>
    <row r="8090" spans="1:11" ht="40.049999999999997" customHeight="1" x14ac:dyDescent="0.25">
      <c r="A8090" s="11" t="s">
        <v>16492</v>
      </c>
      <c r="B8090" s="11" t="s">
        <v>16492</v>
      </c>
      <c r="C8090" s="11" t="s">
        <v>17</v>
      </c>
      <c r="D8090" s="11" t="s">
        <v>18</v>
      </c>
      <c r="E8090" s="12" t="s">
        <v>568</v>
      </c>
      <c r="F8090" s="12" t="s">
        <v>569</v>
      </c>
      <c r="G8090" s="12" t="s">
        <v>46</v>
      </c>
      <c r="H8090" s="11" t="s">
        <v>22</v>
      </c>
      <c r="I8090" s="13" t="s">
        <v>16500</v>
      </c>
      <c r="J8090" s="14" t="str">
        <f>HYPERLINK("https://www.boe.es/gazeta/dias/1839/10/23/pdfs/GMD-1839-1809.pdf#page=3","Abrir facsímil")</f>
        <v>Abrir facsímil</v>
      </c>
      <c r="K8090" s="12" t="s">
        <v>24</v>
      </c>
    </row>
    <row r="8091" spans="1:11" ht="40.049999999999997" customHeight="1" x14ac:dyDescent="0.25">
      <c r="A8091" s="11" t="s">
        <v>16492</v>
      </c>
      <c r="B8091" s="11" t="s">
        <v>16492</v>
      </c>
      <c r="C8091" s="11" t="s">
        <v>17</v>
      </c>
      <c r="D8091" s="11" t="s">
        <v>18</v>
      </c>
      <c r="E8091" s="12" t="s">
        <v>276</v>
      </c>
      <c r="F8091" s="12" t="s">
        <v>277</v>
      </c>
      <c r="G8091" s="12" t="s">
        <v>46</v>
      </c>
      <c r="H8091" s="11" t="s">
        <v>22</v>
      </c>
      <c r="I8091" s="13" t="s">
        <v>16501</v>
      </c>
      <c r="J8091" s="14" t="str">
        <f>HYPERLINK("https://www.boe.es/gazeta/dias/1839/09/24/pdfs/GMD-1839-1780.pdf#page=3","Abrir facsímil")</f>
        <v>Abrir facsímil</v>
      </c>
      <c r="K8091" s="12" t="s">
        <v>24</v>
      </c>
    </row>
    <row r="8092" spans="1:11" ht="40.049999999999997" customHeight="1" x14ac:dyDescent="0.25">
      <c r="A8092" s="11" t="s">
        <v>16492</v>
      </c>
      <c r="B8092" s="11" t="s">
        <v>16492</v>
      </c>
      <c r="C8092" s="11" t="s">
        <v>17</v>
      </c>
      <c r="D8092" s="11" t="s">
        <v>18</v>
      </c>
      <c r="E8092" s="12" t="s">
        <v>1086</v>
      </c>
      <c r="F8092" s="12" t="s">
        <v>1087</v>
      </c>
      <c r="G8092" s="12" t="s">
        <v>40</v>
      </c>
      <c r="H8092" s="11" t="s">
        <v>22</v>
      </c>
      <c r="I8092" s="13" t="s">
        <v>16502</v>
      </c>
      <c r="J8092" s="14" t="str">
        <f>HYPERLINK("https://www.boe.es/gazeta/dias/1839/10/26/pdfs/GMD-1839-1812.pdf#page=2","Abrir facsímil")</f>
        <v>Abrir facsímil</v>
      </c>
      <c r="K8092" s="12" t="s">
        <v>24</v>
      </c>
    </row>
    <row r="8093" spans="1:11" ht="40.049999999999997" customHeight="1" x14ac:dyDescent="0.25">
      <c r="A8093" s="11" t="s">
        <v>16492</v>
      </c>
      <c r="B8093" s="11" t="s">
        <v>16492</v>
      </c>
      <c r="C8093" s="11" t="s">
        <v>101</v>
      </c>
      <c r="D8093" s="11" t="s">
        <v>43</v>
      </c>
      <c r="E8093" s="12" t="s">
        <v>1867</v>
      </c>
      <c r="F8093" s="12" t="s">
        <v>1868</v>
      </c>
      <c r="G8093" s="12" t="s">
        <v>40</v>
      </c>
      <c r="H8093" s="11" t="s">
        <v>22</v>
      </c>
      <c r="I8093" s="13" t="s">
        <v>16503</v>
      </c>
      <c r="J8093" s="14" t="str">
        <f>HYPERLINK("https://www.boe.es/gazeta/dias/1839/01/30/pdfs/GMD-1839-1537.pdf#page=2","Abrir facsímil")</f>
        <v>Abrir facsímil</v>
      </c>
      <c r="K8093" s="12" t="s">
        <v>24</v>
      </c>
    </row>
    <row r="8094" spans="1:11" ht="40.049999999999997" customHeight="1" x14ac:dyDescent="0.25">
      <c r="A8094" s="11" t="s">
        <v>16504</v>
      </c>
      <c r="B8094" s="11" t="s">
        <v>16504</v>
      </c>
      <c r="C8094" s="11" t="s">
        <v>17</v>
      </c>
      <c r="D8094" s="11" t="s">
        <v>18</v>
      </c>
      <c r="E8094" s="12" t="s">
        <v>1008</v>
      </c>
      <c r="F8094" s="12" t="s">
        <v>1009</v>
      </c>
      <c r="G8094" s="12" t="s">
        <v>40</v>
      </c>
      <c r="H8094" s="11" t="s">
        <v>22</v>
      </c>
      <c r="I8094" s="13" t="s">
        <v>16505</v>
      </c>
      <c r="J8094" s="14" t="str">
        <f>HYPERLINK("https://www.boe.es/gazeta/dias/1839/09/07/pdfs/GMD-1839-1760.pdf#page=2","Abrir facsímil")</f>
        <v>Abrir facsímil</v>
      </c>
      <c r="K8094" s="12" t="s">
        <v>24</v>
      </c>
    </row>
    <row r="8095" spans="1:11" ht="40.049999999999997" customHeight="1" x14ac:dyDescent="0.25">
      <c r="A8095" s="11" t="s">
        <v>16504</v>
      </c>
      <c r="B8095" s="11" t="s">
        <v>16504</v>
      </c>
      <c r="C8095" s="11" t="s">
        <v>17</v>
      </c>
      <c r="D8095" s="11" t="s">
        <v>18</v>
      </c>
      <c r="E8095" s="12" t="s">
        <v>2107</v>
      </c>
      <c r="F8095" s="12" t="s">
        <v>2108</v>
      </c>
      <c r="G8095" s="12" t="s">
        <v>46</v>
      </c>
      <c r="H8095" s="11" t="s">
        <v>22</v>
      </c>
      <c r="I8095" s="13" t="s">
        <v>16506</v>
      </c>
      <c r="J8095" s="14" t="str">
        <f>HYPERLINK("https://www.boe.es/gazeta/dias/1839/10/11/pdfs/GMD-1839-1797.pdf#page=3","Abrir facsímil")</f>
        <v>Abrir facsímil</v>
      </c>
      <c r="K8095" s="12" t="s">
        <v>24</v>
      </c>
    </row>
    <row r="8096" spans="1:11" ht="40.049999999999997" customHeight="1" x14ac:dyDescent="0.25">
      <c r="A8096" s="11" t="s">
        <v>16504</v>
      </c>
      <c r="B8096" s="11" t="s">
        <v>16504</v>
      </c>
      <c r="C8096" s="11" t="s">
        <v>101</v>
      </c>
      <c r="D8096" s="11" t="s">
        <v>43</v>
      </c>
      <c r="E8096" s="12" t="s">
        <v>592</v>
      </c>
      <c r="F8096" s="12" t="s">
        <v>593</v>
      </c>
      <c r="G8096" s="12" t="s">
        <v>40</v>
      </c>
      <c r="H8096" s="11" t="s">
        <v>22</v>
      </c>
      <c r="I8096" s="13" t="s">
        <v>16507</v>
      </c>
      <c r="J8096" s="14" t="str">
        <f>HYPERLINK("https://www.boe.es/gazeta/dias/1839/09/14/pdfs/GMD-1839-1767.pdf#page=2","Abrir facsímil")</f>
        <v>Abrir facsímil</v>
      </c>
      <c r="K8096" s="12" t="s">
        <v>24</v>
      </c>
    </row>
    <row r="8097" spans="1:11" ht="40.049999999999997" customHeight="1" x14ac:dyDescent="0.25">
      <c r="A8097" s="11" t="s">
        <v>16504</v>
      </c>
      <c r="B8097" s="11" t="s">
        <v>16504</v>
      </c>
      <c r="C8097" s="11" t="s">
        <v>17</v>
      </c>
      <c r="D8097" s="11" t="s">
        <v>18</v>
      </c>
      <c r="E8097" s="12" t="s">
        <v>592</v>
      </c>
      <c r="F8097" s="12" t="s">
        <v>593</v>
      </c>
      <c r="G8097" s="12" t="s">
        <v>46</v>
      </c>
      <c r="H8097" s="11" t="s">
        <v>22</v>
      </c>
      <c r="I8097" s="13" t="s">
        <v>16508</v>
      </c>
      <c r="J8097" s="14" t="str">
        <f>HYPERLINK("https://www.boe.es/gazeta/dias/1839/09/14/pdfs/GMD-1839-1767.pdf#page=3","Abrir facsímil")</f>
        <v>Abrir facsímil</v>
      </c>
      <c r="K8097" s="12" t="s">
        <v>24</v>
      </c>
    </row>
    <row r="8098" spans="1:11" ht="40.049999999999997" customHeight="1" x14ac:dyDescent="0.25">
      <c r="A8098" s="11" t="s">
        <v>16504</v>
      </c>
      <c r="B8098" s="11" t="s">
        <v>16504</v>
      </c>
      <c r="C8098" s="11" t="s">
        <v>17</v>
      </c>
      <c r="D8098" s="11" t="s">
        <v>18</v>
      </c>
      <c r="E8098" s="12" t="s">
        <v>230</v>
      </c>
      <c r="F8098" s="12" t="s">
        <v>231</v>
      </c>
      <c r="G8098" s="12" t="s">
        <v>29</v>
      </c>
      <c r="H8098" s="11" t="s">
        <v>22</v>
      </c>
      <c r="I8098" s="13" t="s">
        <v>16509</v>
      </c>
      <c r="J8098" s="14" t="str">
        <f>HYPERLINK("https://www.boe.es/gazeta/dias/1839/09/16/pdfs/GMD-1839-1769.pdf#page=1","Abrir facsímil")</f>
        <v>Abrir facsímil</v>
      </c>
      <c r="K8098" s="12" t="s">
        <v>24</v>
      </c>
    </row>
    <row r="8099" spans="1:11" ht="40.049999999999997" customHeight="1" x14ac:dyDescent="0.25">
      <c r="A8099" s="11" t="s">
        <v>16504</v>
      </c>
      <c r="B8099" s="11" t="s">
        <v>16504</v>
      </c>
      <c r="C8099" s="11" t="s">
        <v>101</v>
      </c>
      <c r="D8099" s="11" t="s">
        <v>43</v>
      </c>
      <c r="E8099" s="12" t="s">
        <v>821</v>
      </c>
      <c r="F8099" s="12" t="s">
        <v>822</v>
      </c>
      <c r="G8099" s="12" t="s">
        <v>46</v>
      </c>
      <c r="H8099" s="11" t="s">
        <v>22</v>
      </c>
      <c r="I8099" s="13" t="s">
        <v>16510</v>
      </c>
      <c r="J8099" s="14" t="str">
        <f>HYPERLINK("https://www.boe.es/gazeta/dias/1839/09/20/pdfs/GMD-1839-1775.pdf#page=3","Abrir facsímil")</f>
        <v>Abrir facsímil</v>
      </c>
      <c r="K8099" s="12" t="s">
        <v>24</v>
      </c>
    </row>
    <row r="8100" spans="1:11" ht="40.049999999999997" customHeight="1" x14ac:dyDescent="0.25">
      <c r="A8100" s="11" t="s">
        <v>16504</v>
      </c>
      <c r="B8100" s="11" t="s">
        <v>16504</v>
      </c>
      <c r="C8100" s="11" t="s">
        <v>101</v>
      </c>
      <c r="D8100" s="11" t="s">
        <v>43</v>
      </c>
      <c r="E8100" s="12" t="s">
        <v>416</v>
      </c>
      <c r="F8100" s="12" t="s">
        <v>417</v>
      </c>
      <c r="G8100" s="12" t="s">
        <v>29</v>
      </c>
      <c r="H8100" s="11" t="s">
        <v>22</v>
      </c>
      <c r="I8100" s="13" t="s">
        <v>16511</v>
      </c>
      <c r="J8100" s="14" t="str">
        <f>HYPERLINK("https://www.boe.es/gazeta/dias/1839/10/24/pdfs/GMD-1839-1810.pdf#page=1","Abrir facsímil")</f>
        <v>Abrir facsímil</v>
      </c>
      <c r="K8100" s="12" t="s">
        <v>24</v>
      </c>
    </row>
    <row r="8101" spans="1:11" ht="40.049999999999997" customHeight="1" x14ac:dyDescent="0.25">
      <c r="A8101" s="11" t="s">
        <v>16504</v>
      </c>
      <c r="B8101" s="11" t="s">
        <v>16504</v>
      </c>
      <c r="C8101" s="11" t="s">
        <v>17</v>
      </c>
      <c r="D8101" s="11" t="s">
        <v>18</v>
      </c>
      <c r="E8101" s="12" t="s">
        <v>826</v>
      </c>
      <c r="F8101" s="12" t="s">
        <v>827</v>
      </c>
      <c r="G8101" s="12" t="s">
        <v>46</v>
      </c>
      <c r="H8101" s="11" t="s">
        <v>22</v>
      </c>
      <c r="I8101" s="13" t="s">
        <v>16512</v>
      </c>
      <c r="J8101" s="14" t="str">
        <f>HYPERLINK("https://www.boe.es/gazeta/dias/1839/09/25/pdfs/GMD-1839-1781.pdf#page=3","Abrir facsímil")</f>
        <v>Abrir facsímil</v>
      </c>
      <c r="K8101" s="12" t="s">
        <v>24</v>
      </c>
    </row>
    <row r="8102" spans="1:11" ht="40.049999999999997" customHeight="1" x14ac:dyDescent="0.25">
      <c r="A8102" s="11" t="s">
        <v>16504</v>
      </c>
      <c r="B8102" s="11" t="s">
        <v>16504</v>
      </c>
      <c r="C8102" s="11" t="s">
        <v>17</v>
      </c>
      <c r="D8102" s="11" t="s">
        <v>18</v>
      </c>
      <c r="E8102" s="12" t="s">
        <v>571</v>
      </c>
      <c r="F8102" s="12" t="s">
        <v>572</v>
      </c>
      <c r="G8102" s="12" t="s">
        <v>46</v>
      </c>
      <c r="H8102" s="11" t="s">
        <v>22</v>
      </c>
      <c r="I8102" s="13" t="s">
        <v>16513</v>
      </c>
      <c r="J8102" s="14" t="str">
        <f>HYPERLINK("https://www.boe.es/gazeta/dias/1839/09/27/pdfs/GMD-1839-1783.pdf#page=3","Abrir facsímil")</f>
        <v>Abrir facsímil</v>
      </c>
      <c r="K8102" s="12" t="s">
        <v>24</v>
      </c>
    </row>
    <row r="8103" spans="1:11" ht="40.049999999999997" customHeight="1" x14ac:dyDescent="0.25">
      <c r="A8103" s="11" t="s">
        <v>16504</v>
      </c>
      <c r="B8103" s="11" t="s">
        <v>16504</v>
      </c>
      <c r="C8103" s="11" t="s">
        <v>17</v>
      </c>
      <c r="D8103" s="11" t="s">
        <v>18</v>
      </c>
      <c r="E8103" s="12" t="s">
        <v>577</v>
      </c>
      <c r="F8103" s="12" t="s">
        <v>578</v>
      </c>
      <c r="G8103" s="12" t="s">
        <v>40</v>
      </c>
      <c r="H8103" s="11" t="s">
        <v>22</v>
      </c>
      <c r="I8103" s="13" t="s">
        <v>16514</v>
      </c>
      <c r="J8103" s="14" t="str">
        <f>HYPERLINK("https://www.boe.es/gazeta/dias/1839/09/30/pdfs/GMD-1839-1786.pdf#page=2","Abrir facsímil")</f>
        <v>Abrir facsímil</v>
      </c>
      <c r="K8103" s="12" t="s">
        <v>24</v>
      </c>
    </row>
    <row r="8104" spans="1:11" ht="40.049999999999997" customHeight="1" x14ac:dyDescent="0.25">
      <c r="A8104" s="11" t="s">
        <v>16515</v>
      </c>
      <c r="B8104" s="11" t="s">
        <v>16515</v>
      </c>
      <c r="C8104" s="11" t="s">
        <v>17</v>
      </c>
      <c r="D8104" s="11" t="s">
        <v>18</v>
      </c>
      <c r="E8104" s="12" t="s">
        <v>3224</v>
      </c>
      <c r="F8104" s="12" t="s">
        <v>3225</v>
      </c>
      <c r="G8104" s="12" t="s">
        <v>46</v>
      </c>
      <c r="H8104" s="11" t="s">
        <v>63</v>
      </c>
      <c r="I8104" s="13" t="s">
        <v>16516</v>
      </c>
      <c r="J8104" s="14" t="str">
        <f>HYPERLINK("https://www.boe.es/gazeta/dias/1839/06/03/pdfs/GMD-1839-1661.pdf#page=3","Abrir facsímil")</f>
        <v>Abrir facsímil</v>
      </c>
      <c r="K8104" s="12" t="s">
        <v>65</v>
      </c>
    </row>
    <row r="8105" spans="1:11" ht="40.049999999999997" customHeight="1" x14ac:dyDescent="0.25">
      <c r="A8105" s="11" t="s">
        <v>16515</v>
      </c>
      <c r="B8105" s="11" t="s">
        <v>16515</v>
      </c>
      <c r="C8105" s="11" t="s">
        <v>17</v>
      </c>
      <c r="D8105" s="11" t="s">
        <v>18</v>
      </c>
      <c r="E8105" s="12" t="s">
        <v>4550</v>
      </c>
      <c r="F8105" s="12" t="s">
        <v>4551</v>
      </c>
      <c r="G8105" s="12" t="s">
        <v>46</v>
      </c>
      <c r="H8105" s="11" t="s">
        <v>63</v>
      </c>
      <c r="I8105" s="13" t="s">
        <v>16517</v>
      </c>
      <c r="J8105" s="14" t="str">
        <f>HYPERLINK("https://www.boe.es/gazeta/dias/1839/04/17/pdfs/GMD-1839-1614.pdf#page=3","Abrir facsímil")</f>
        <v>Abrir facsímil</v>
      </c>
      <c r="K8105" s="12" t="s">
        <v>65</v>
      </c>
    </row>
    <row r="8106" spans="1:11" ht="40.049999999999997" customHeight="1" x14ac:dyDescent="0.25">
      <c r="A8106" s="11" t="s">
        <v>16518</v>
      </c>
      <c r="B8106" s="11" t="s">
        <v>16519</v>
      </c>
      <c r="C8106" s="11" t="s">
        <v>17</v>
      </c>
      <c r="D8106" s="11" t="s">
        <v>18</v>
      </c>
      <c r="E8106" s="12" t="s">
        <v>4787</v>
      </c>
      <c r="F8106" s="12" t="s">
        <v>4788</v>
      </c>
      <c r="G8106" s="12" t="s">
        <v>46</v>
      </c>
      <c r="H8106" s="11" t="s">
        <v>63</v>
      </c>
      <c r="I8106" s="13" t="s">
        <v>16520</v>
      </c>
      <c r="J8106" s="14" t="str">
        <f>HYPERLINK("https://www.boe.es/gazeta/dias/1839/05/26/pdfs/GMD-1839-1653.pdf#page=3","Abrir facsímil")</f>
        <v>Abrir facsímil</v>
      </c>
      <c r="K8106" s="12" t="s">
        <v>65</v>
      </c>
    </row>
    <row r="8107" spans="1:11" ht="40.049999999999997" customHeight="1" x14ac:dyDescent="0.25">
      <c r="A8107" s="11" t="s">
        <v>16521</v>
      </c>
      <c r="B8107" s="11" t="s">
        <v>16521</v>
      </c>
      <c r="C8107" s="11" t="s">
        <v>17</v>
      </c>
      <c r="D8107" s="11" t="s">
        <v>18</v>
      </c>
      <c r="E8107" s="12" t="s">
        <v>1008</v>
      </c>
      <c r="F8107" s="12" t="s">
        <v>1009</v>
      </c>
      <c r="G8107" s="12" t="s">
        <v>40</v>
      </c>
      <c r="H8107" s="11" t="s">
        <v>63</v>
      </c>
      <c r="I8107" s="13" t="s">
        <v>16522</v>
      </c>
      <c r="J8107" s="14" t="str">
        <f>HYPERLINK("https://www.boe.es/gazeta/dias/1839/09/07/pdfs/GMD-1839-1760.pdf#page=2","Abrir facsímil")</f>
        <v>Abrir facsímil</v>
      </c>
      <c r="K8107" s="12" t="s">
        <v>65</v>
      </c>
    </row>
    <row r="8108" spans="1:11" ht="40.049999999999997" customHeight="1" x14ac:dyDescent="0.25">
      <c r="A8108" s="11" t="s">
        <v>16521</v>
      </c>
      <c r="B8108" s="11" t="s">
        <v>16521</v>
      </c>
      <c r="C8108" s="11" t="s">
        <v>17</v>
      </c>
      <c r="D8108" s="11" t="s">
        <v>18</v>
      </c>
      <c r="E8108" s="12" t="s">
        <v>416</v>
      </c>
      <c r="F8108" s="12" t="s">
        <v>417</v>
      </c>
      <c r="G8108" s="12" t="s">
        <v>46</v>
      </c>
      <c r="H8108" s="11" t="s">
        <v>63</v>
      </c>
      <c r="I8108" s="13" t="s">
        <v>16523</v>
      </c>
      <c r="J8108" s="14" t="str">
        <f>HYPERLINK("https://www.boe.es/gazeta/dias/1839/10/24/pdfs/GMD-1839-1810.pdf#page=3","Abrir facsímil")</f>
        <v>Abrir facsímil</v>
      </c>
      <c r="K8108" s="12" t="s">
        <v>65</v>
      </c>
    </row>
    <row r="8109" spans="1:11" ht="40.049999999999997" customHeight="1" x14ac:dyDescent="0.25">
      <c r="A8109" s="11" t="s">
        <v>16524</v>
      </c>
      <c r="B8109" s="11" t="s">
        <v>16525</v>
      </c>
      <c r="C8109" s="11" t="s">
        <v>17</v>
      </c>
      <c r="D8109" s="11" t="s">
        <v>18</v>
      </c>
      <c r="E8109" s="12" t="s">
        <v>1813</v>
      </c>
      <c r="F8109" s="12" t="s">
        <v>1814</v>
      </c>
      <c r="G8109" s="12" t="s">
        <v>21</v>
      </c>
      <c r="H8109" s="11" t="s">
        <v>63</v>
      </c>
      <c r="I8109" s="13" t="s">
        <v>16526</v>
      </c>
      <c r="J8109" s="14" t="str">
        <f>HYPERLINK("https://www.boe.es/gazeta/dias/1839/09/02/pdfs/GMD-1839-1754.pdf#page=4","Abrir facsímil")</f>
        <v>Abrir facsímil</v>
      </c>
      <c r="K8109" s="12" t="s">
        <v>65</v>
      </c>
    </row>
    <row r="8110" spans="1:11" ht="40.049999999999997" customHeight="1" x14ac:dyDescent="0.25">
      <c r="A8110" s="11" t="s">
        <v>16527</v>
      </c>
      <c r="B8110" s="11" t="s">
        <v>16528</v>
      </c>
      <c r="C8110" s="11" t="s">
        <v>137</v>
      </c>
      <c r="D8110" s="11" t="s">
        <v>18</v>
      </c>
      <c r="E8110" s="12" t="s">
        <v>798</v>
      </c>
      <c r="F8110" s="12" t="s">
        <v>799</v>
      </c>
      <c r="G8110" s="12" t="s">
        <v>21</v>
      </c>
      <c r="H8110" s="11" t="s">
        <v>63</v>
      </c>
      <c r="I8110" s="13" t="s">
        <v>16529</v>
      </c>
      <c r="J8110" s="14" t="str">
        <f>HYPERLINK("https://www.boe.es/gazeta/dias/1839/09/03/pdfs/GMD-1839-1755.pdf#page=4","Abrir facsímil")</f>
        <v>Abrir facsímil</v>
      </c>
      <c r="K8110" s="12" t="s">
        <v>65</v>
      </c>
    </row>
    <row r="8111" spans="1:11" ht="40.049999999999997" customHeight="1" x14ac:dyDescent="0.25">
      <c r="A8111" s="11" t="s">
        <v>16530</v>
      </c>
      <c r="B8111" s="11" t="s">
        <v>16530</v>
      </c>
      <c r="C8111" s="11" t="s">
        <v>59</v>
      </c>
      <c r="D8111" s="11" t="s">
        <v>60</v>
      </c>
      <c r="E8111" s="12" t="s">
        <v>700</v>
      </c>
      <c r="F8111" s="12" t="s">
        <v>701</v>
      </c>
      <c r="G8111" s="12" t="s">
        <v>21</v>
      </c>
      <c r="H8111" s="11" t="s">
        <v>63</v>
      </c>
      <c r="I8111" s="13" t="s">
        <v>16531</v>
      </c>
      <c r="J8111" s="14" t="str">
        <f>HYPERLINK("https://www.boe.es/gazeta/dias/1839/09/01/pdfs/GMD-1839-1753.pdf#page=4","Abrir facsímil")</f>
        <v>Abrir facsímil</v>
      </c>
      <c r="K8111" s="12" t="s">
        <v>65</v>
      </c>
    </row>
    <row r="8112" spans="1:11" ht="40.049999999999997" customHeight="1" x14ac:dyDescent="0.25">
      <c r="A8112" s="11" t="s">
        <v>16530</v>
      </c>
      <c r="B8112" s="11" t="s">
        <v>16530</v>
      </c>
      <c r="C8112" s="11" t="s">
        <v>101</v>
      </c>
      <c r="D8112" s="11" t="s">
        <v>43</v>
      </c>
      <c r="E8112" s="12" t="s">
        <v>587</v>
      </c>
      <c r="F8112" s="12" t="s">
        <v>588</v>
      </c>
      <c r="G8112" s="12" t="s">
        <v>21</v>
      </c>
      <c r="H8112" s="11" t="s">
        <v>63</v>
      </c>
      <c r="I8112" s="13" t="s">
        <v>16532</v>
      </c>
      <c r="J8112" s="14" t="str">
        <f>HYPERLINK("https://www.boe.es/gazeta/dias/1839/05/02/pdfs/GMD-1839-1629.pdf#page=4","Abrir facsímil")</f>
        <v>Abrir facsímil</v>
      </c>
      <c r="K8112" s="12" t="s">
        <v>65</v>
      </c>
    </row>
    <row r="8113" spans="1:11" ht="40.049999999999997" customHeight="1" x14ac:dyDescent="0.25">
      <c r="A8113" s="11" t="s">
        <v>16530</v>
      </c>
      <c r="B8113" s="11" t="s">
        <v>16530</v>
      </c>
      <c r="C8113" s="11" t="s">
        <v>101</v>
      </c>
      <c r="D8113" s="11" t="s">
        <v>43</v>
      </c>
      <c r="E8113" s="12" t="s">
        <v>798</v>
      </c>
      <c r="F8113" s="12" t="s">
        <v>799</v>
      </c>
      <c r="G8113" s="12" t="s">
        <v>40</v>
      </c>
      <c r="H8113" s="11" t="s">
        <v>63</v>
      </c>
      <c r="I8113" s="13" t="s">
        <v>16533</v>
      </c>
      <c r="J8113" s="14" t="str">
        <f>HYPERLINK("https://www.boe.es/gazeta/dias/1839/09/03/pdfs/GMD-1839-1755.pdf#page=2","Abrir facsímil")</f>
        <v>Abrir facsímil</v>
      </c>
      <c r="K8113" s="12" t="s">
        <v>65</v>
      </c>
    </row>
    <row r="8114" spans="1:11" ht="40.049999999999997" customHeight="1" x14ac:dyDescent="0.25">
      <c r="A8114" s="11" t="s">
        <v>16530</v>
      </c>
      <c r="B8114" s="11" t="s">
        <v>16530</v>
      </c>
      <c r="C8114" s="11" t="s">
        <v>59</v>
      </c>
      <c r="D8114" s="11" t="s">
        <v>60</v>
      </c>
      <c r="E8114" s="12" t="s">
        <v>2210</v>
      </c>
      <c r="F8114" s="12" t="s">
        <v>2211</v>
      </c>
      <c r="G8114" s="12" t="s">
        <v>40</v>
      </c>
      <c r="H8114" s="11" t="s">
        <v>63</v>
      </c>
      <c r="I8114" s="13" t="s">
        <v>16534</v>
      </c>
      <c r="J8114" s="14" t="str">
        <f>HYPERLINK("https://www.boe.es/gazeta/dias/1839/09/05/pdfs/GMD-1839-1758.pdf#page=2","Abrir facsímil")</f>
        <v>Abrir facsímil</v>
      </c>
      <c r="K8114" s="12" t="s">
        <v>65</v>
      </c>
    </row>
    <row r="8115" spans="1:11" ht="40.049999999999997" customHeight="1" x14ac:dyDescent="0.25">
      <c r="A8115" s="11" t="s">
        <v>16530</v>
      </c>
      <c r="B8115" s="11" t="s">
        <v>16530</v>
      </c>
      <c r="C8115" s="11" t="s">
        <v>137</v>
      </c>
      <c r="D8115" s="11" t="s">
        <v>18</v>
      </c>
      <c r="E8115" s="12" t="s">
        <v>2210</v>
      </c>
      <c r="F8115" s="12" t="s">
        <v>2211</v>
      </c>
      <c r="G8115" s="12" t="s">
        <v>46</v>
      </c>
      <c r="H8115" s="11" t="s">
        <v>63</v>
      </c>
      <c r="I8115" s="13" t="s">
        <v>16535</v>
      </c>
      <c r="J8115" s="14" t="str">
        <f>HYPERLINK("https://www.boe.es/gazeta/dias/1839/09/05/pdfs/GMD-1839-1758.pdf#page=3","Abrir facsímil")</f>
        <v>Abrir facsímil</v>
      </c>
      <c r="K8115" s="12" t="s">
        <v>65</v>
      </c>
    </row>
    <row r="8116" spans="1:11" ht="40.049999999999997" customHeight="1" x14ac:dyDescent="0.25">
      <c r="A8116" s="11" t="s">
        <v>16530</v>
      </c>
      <c r="B8116" s="11" t="s">
        <v>16530</v>
      </c>
      <c r="C8116" s="11" t="s">
        <v>80</v>
      </c>
      <c r="D8116" s="11" t="s">
        <v>18</v>
      </c>
      <c r="E8116" s="12" t="s">
        <v>2050</v>
      </c>
      <c r="F8116" s="12" t="s">
        <v>2051</v>
      </c>
      <c r="G8116" s="12" t="s">
        <v>40</v>
      </c>
      <c r="H8116" s="11" t="s">
        <v>63</v>
      </c>
      <c r="I8116" s="13" t="s">
        <v>16536</v>
      </c>
      <c r="J8116" s="14" t="str">
        <f>HYPERLINK("https://www.boe.es/gazeta/dias/1839/01/09/pdfs/GMD-1839-1516.pdf#page=2","Abrir facsímil")</f>
        <v>Abrir facsímil</v>
      </c>
      <c r="K8116" s="12" t="s">
        <v>65</v>
      </c>
    </row>
    <row r="8117" spans="1:11" ht="40.049999999999997" customHeight="1" x14ac:dyDescent="0.25">
      <c r="A8117" s="11" t="s">
        <v>16530</v>
      </c>
      <c r="B8117" s="11" t="s">
        <v>16530</v>
      </c>
      <c r="C8117" s="11" t="s">
        <v>101</v>
      </c>
      <c r="D8117" s="11" t="s">
        <v>43</v>
      </c>
      <c r="E8117" s="12" t="s">
        <v>1100</v>
      </c>
      <c r="F8117" s="12" t="s">
        <v>1101</v>
      </c>
      <c r="G8117" s="12" t="s">
        <v>29</v>
      </c>
      <c r="H8117" s="11" t="s">
        <v>63</v>
      </c>
      <c r="I8117" s="13" t="s">
        <v>16537</v>
      </c>
      <c r="J8117" s="14" t="str">
        <f>HYPERLINK("https://www.boe.es/gazeta/dias/1839/09/13/pdfs/GMD-1839-1766.pdf#page=1","Abrir facsímil")</f>
        <v>Abrir facsímil</v>
      </c>
      <c r="K8117" s="12" t="s">
        <v>65</v>
      </c>
    </row>
    <row r="8118" spans="1:11" ht="40.049999999999997" customHeight="1" x14ac:dyDescent="0.25">
      <c r="A8118" s="11" t="s">
        <v>16530</v>
      </c>
      <c r="B8118" s="11" t="s">
        <v>16530</v>
      </c>
      <c r="C8118" s="11" t="s">
        <v>80</v>
      </c>
      <c r="D8118" s="11" t="s">
        <v>18</v>
      </c>
      <c r="E8118" s="12" t="s">
        <v>3114</v>
      </c>
      <c r="F8118" s="12" t="s">
        <v>3115</v>
      </c>
      <c r="G8118" s="12" t="s">
        <v>40</v>
      </c>
      <c r="H8118" s="11" t="s">
        <v>63</v>
      </c>
      <c r="I8118" s="13" t="s">
        <v>16538</v>
      </c>
      <c r="J8118" s="14" t="str">
        <f>HYPERLINK("https://www.boe.es/gazeta/dias/1839/05/15/pdfs/GMD-1839-1642.pdf#page=2","Abrir facsímil")</f>
        <v>Abrir facsímil</v>
      </c>
      <c r="K8118" s="12" t="s">
        <v>65</v>
      </c>
    </row>
    <row r="8119" spans="1:11" ht="40.049999999999997" customHeight="1" x14ac:dyDescent="0.25">
      <c r="A8119" s="11" t="s">
        <v>16530</v>
      </c>
      <c r="B8119" s="11" t="s">
        <v>16530</v>
      </c>
      <c r="C8119" s="11" t="s">
        <v>17</v>
      </c>
      <c r="D8119" s="11" t="s">
        <v>18</v>
      </c>
      <c r="E8119" s="12" t="s">
        <v>233</v>
      </c>
      <c r="F8119" s="12" t="s">
        <v>234</v>
      </c>
      <c r="G8119" s="12" t="s">
        <v>40</v>
      </c>
      <c r="H8119" s="11" t="s">
        <v>63</v>
      </c>
      <c r="I8119" s="13" t="s">
        <v>16539</v>
      </c>
      <c r="J8119" s="14" t="str">
        <f>HYPERLINK("https://www.boe.es/gazeta/dias/1839/09/17/pdfs/GMD-1839-1770.pdf#page=2","Abrir facsímil")</f>
        <v>Abrir facsímil</v>
      </c>
      <c r="K8119" s="12" t="s">
        <v>65</v>
      </c>
    </row>
    <row r="8120" spans="1:11" ht="40.049999999999997" customHeight="1" x14ac:dyDescent="0.25">
      <c r="A8120" s="11" t="s">
        <v>16530</v>
      </c>
      <c r="B8120" s="11" t="s">
        <v>16530</v>
      </c>
      <c r="C8120" s="11" t="s">
        <v>137</v>
      </c>
      <c r="D8120" s="11" t="s">
        <v>18</v>
      </c>
      <c r="E8120" s="12" t="s">
        <v>233</v>
      </c>
      <c r="F8120" s="12" t="s">
        <v>234</v>
      </c>
      <c r="G8120" s="12" t="s">
        <v>46</v>
      </c>
      <c r="H8120" s="11" t="s">
        <v>63</v>
      </c>
      <c r="I8120" s="13" t="s">
        <v>16540</v>
      </c>
      <c r="J8120" s="14" t="str">
        <f>HYPERLINK("https://www.boe.es/gazeta/dias/1839/09/17/pdfs/GMD-1839-1770.pdf#page=3","Abrir facsímil")</f>
        <v>Abrir facsímil</v>
      </c>
      <c r="K8120" s="12" t="s">
        <v>65</v>
      </c>
    </row>
    <row r="8121" spans="1:11" ht="40.049999999999997" customHeight="1" x14ac:dyDescent="0.25">
      <c r="A8121" s="11" t="s">
        <v>16530</v>
      </c>
      <c r="B8121" s="11" t="s">
        <v>16530</v>
      </c>
      <c r="C8121" s="11" t="s">
        <v>101</v>
      </c>
      <c r="D8121" s="11" t="s">
        <v>43</v>
      </c>
      <c r="E8121" s="12" t="s">
        <v>236</v>
      </c>
      <c r="F8121" s="12" t="s">
        <v>237</v>
      </c>
      <c r="G8121" s="12" t="s">
        <v>40</v>
      </c>
      <c r="H8121" s="11" t="s">
        <v>63</v>
      </c>
      <c r="I8121" s="13" t="s">
        <v>16541</v>
      </c>
      <c r="J8121" s="14" t="str">
        <f>HYPERLINK("https://www.boe.es/gazeta/dias/1839/09/18/pdfs/GMD-1839-1771.pdf#page=2","Abrir facsímil")</f>
        <v>Abrir facsímil</v>
      </c>
      <c r="K8121" s="12" t="s">
        <v>65</v>
      </c>
    </row>
    <row r="8122" spans="1:11" ht="40.049999999999997" customHeight="1" x14ac:dyDescent="0.25">
      <c r="A8122" s="11" t="s">
        <v>16530</v>
      </c>
      <c r="B8122" s="11" t="s">
        <v>16530</v>
      </c>
      <c r="C8122" s="11" t="s">
        <v>17</v>
      </c>
      <c r="D8122" s="11" t="s">
        <v>18</v>
      </c>
      <c r="E8122" s="12" t="s">
        <v>2222</v>
      </c>
      <c r="F8122" s="12" t="s">
        <v>2223</v>
      </c>
      <c r="G8122" s="12" t="s">
        <v>40</v>
      </c>
      <c r="H8122" s="11" t="s">
        <v>63</v>
      </c>
      <c r="I8122" s="13" t="s">
        <v>16542</v>
      </c>
      <c r="J8122" s="14" t="str">
        <f>HYPERLINK("https://www.boe.es/gazeta/dias/1839/09/19/pdfs/GMD-1839-1773.pdf#page=2","Abrir facsímil")</f>
        <v>Abrir facsímil</v>
      </c>
      <c r="K8122" s="12" t="s">
        <v>65</v>
      </c>
    </row>
    <row r="8123" spans="1:11" ht="40.049999999999997" customHeight="1" x14ac:dyDescent="0.25">
      <c r="A8123" s="11" t="s">
        <v>16530</v>
      </c>
      <c r="B8123" s="11" t="s">
        <v>16530</v>
      </c>
      <c r="C8123" s="11" t="s">
        <v>17</v>
      </c>
      <c r="D8123" s="11" t="s">
        <v>18</v>
      </c>
      <c r="E8123" s="12" t="s">
        <v>2222</v>
      </c>
      <c r="F8123" s="12" t="s">
        <v>2223</v>
      </c>
      <c r="G8123" s="12" t="s">
        <v>21</v>
      </c>
      <c r="H8123" s="11" t="s">
        <v>63</v>
      </c>
      <c r="I8123" s="13" t="s">
        <v>16543</v>
      </c>
      <c r="J8123" s="14" t="str">
        <f>HYPERLINK("https://www.boe.es/gazeta/dias/1839/09/19/pdfs/GMD-1839-1773.pdf#page=4","Abrir facsímil")</f>
        <v>Abrir facsímil</v>
      </c>
      <c r="K8123" s="12" t="s">
        <v>65</v>
      </c>
    </row>
    <row r="8124" spans="1:11" ht="40.049999999999997" customHeight="1" x14ac:dyDescent="0.25">
      <c r="A8124" s="11" t="s">
        <v>16530</v>
      </c>
      <c r="B8124" s="11" t="s">
        <v>16530</v>
      </c>
      <c r="C8124" s="11" t="s">
        <v>101</v>
      </c>
      <c r="D8124" s="11" t="s">
        <v>43</v>
      </c>
      <c r="E8124" s="12" t="s">
        <v>1076</v>
      </c>
      <c r="F8124" s="12" t="s">
        <v>1077</v>
      </c>
      <c r="G8124" s="12" t="s">
        <v>21</v>
      </c>
      <c r="H8124" s="11" t="s">
        <v>63</v>
      </c>
      <c r="I8124" s="13" t="s">
        <v>16544</v>
      </c>
      <c r="J8124" s="14" t="str">
        <f>HYPERLINK("https://www.boe.es/gazeta/dias/1839/10/19/pdfs/GMD-1839-1805.pdf#page=4","Abrir facsímil")</f>
        <v>Abrir facsímil</v>
      </c>
      <c r="K8124" s="12" t="s">
        <v>65</v>
      </c>
    </row>
    <row r="8125" spans="1:11" ht="40.049999999999997" customHeight="1" x14ac:dyDescent="0.25">
      <c r="A8125" s="11" t="s">
        <v>16530</v>
      </c>
      <c r="B8125" s="11" t="s">
        <v>16530</v>
      </c>
      <c r="C8125" s="11" t="s">
        <v>17</v>
      </c>
      <c r="D8125" s="11" t="s">
        <v>18</v>
      </c>
      <c r="E8125" s="12" t="s">
        <v>821</v>
      </c>
      <c r="F8125" s="12" t="s">
        <v>822</v>
      </c>
      <c r="G8125" s="12" t="s">
        <v>46</v>
      </c>
      <c r="H8125" s="11" t="s">
        <v>63</v>
      </c>
      <c r="I8125" s="13" t="s">
        <v>16545</v>
      </c>
      <c r="J8125" s="14" t="str">
        <f>HYPERLINK("https://www.boe.es/gazeta/dias/1839/09/20/pdfs/GMD-1839-1775.pdf#page=3","Abrir facsímil")</f>
        <v>Abrir facsímil</v>
      </c>
      <c r="K8125" s="12" t="s">
        <v>65</v>
      </c>
    </row>
    <row r="8126" spans="1:11" ht="40.049999999999997" customHeight="1" x14ac:dyDescent="0.25">
      <c r="A8126" s="11" t="s">
        <v>16530</v>
      </c>
      <c r="B8126" s="11" t="s">
        <v>16530</v>
      </c>
      <c r="C8126" s="11" t="s">
        <v>17</v>
      </c>
      <c r="D8126" s="11" t="s">
        <v>18</v>
      </c>
      <c r="E8126" s="12" t="s">
        <v>1108</v>
      </c>
      <c r="F8126" s="12" t="s">
        <v>1109</v>
      </c>
      <c r="G8126" s="12" t="s">
        <v>40</v>
      </c>
      <c r="H8126" s="11" t="s">
        <v>63</v>
      </c>
      <c r="I8126" s="13" t="s">
        <v>16546</v>
      </c>
      <c r="J8126" s="14" t="str">
        <f>HYPERLINK("https://www.boe.es/gazeta/dias/1839/09/21/pdfs/GMD-1839-1776.pdf#page=2","Abrir facsímil")</f>
        <v>Abrir facsímil</v>
      </c>
      <c r="K8126" s="12" t="s">
        <v>65</v>
      </c>
    </row>
    <row r="8127" spans="1:11" ht="40.049999999999997" customHeight="1" x14ac:dyDescent="0.25">
      <c r="A8127" s="11" t="s">
        <v>16530</v>
      </c>
      <c r="B8127" s="11" t="s">
        <v>16530</v>
      </c>
      <c r="C8127" s="11" t="s">
        <v>17</v>
      </c>
      <c r="D8127" s="11" t="s">
        <v>18</v>
      </c>
      <c r="E8127" s="12" t="s">
        <v>239</v>
      </c>
      <c r="F8127" s="12" t="s">
        <v>240</v>
      </c>
      <c r="G8127" s="12" t="s">
        <v>40</v>
      </c>
      <c r="H8127" s="11" t="s">
        <v>63</v>
      </c>
      <c r="I8127" s="13" t="s">
        <v>16547</v>
      </c>
      <c r="J8127" s="14" t="str">
        <f>HYPERLINK("https://www.boe.es/gazeta/dias/1839/09/22/pdfs/GMD-1839-1777.pdf#page=2","Abrir facsímil")</f>
        <v>Abrir facsímil</v>
      </c>
      <c r="K8127" s="12" t="s">
        <v>65</v>
      </c>
    </row>
    <row r="8128" spans="1:11" ht="40.049999999999997" customHeight="1" x14ac:dyDescent="0.25">
      <c r="A8128" s="11" t="s">
        <v>16530</v>
      </c>
      <c r="B8128" s="11" t="s">
        <v>16530</v>
      </c>
      <c r="C8128" s="11" t="s">
        <v>17</v>
      </c>
      <c r="D8128" s="11" t="s">
        <v>18</v>
      </c>
      <c r="E8128" s="12" t="s">
        <v>568</v>
      </c>
      <c r="F8128" s="12" t="s">
        <v>569</v>
      </c>
      <c r="G8128" s="12" t="s">
        <v>46</v>
      </c>
      <c r="H8128" s="11" t="s">
        <v>63</v>
      </c>
      <c r="I8128" s="13" t="s">
        <v>16548</v>
      </c>
      <c r="J8128" s="14" t="str">
        <f>HYPERLINK("https://www.boe.es/gazeta/dias/1839/10/23/pdfs/GMD-1839-1809.pdf#page=3","Abrir facsímil")</f>
        <v>Abrir facsímil</v>
      </c>
      <c r="K8128" s="12" t="s">
        <v>65</v>
      </c>
    </row>
    <row r="8129" spans="1:11" ht="40.049999999999997" customHeight="1" x14ac:dyDescent="0.25">
      <c r="A8129" s="11" t="s">
        <v>16530</v>
      </c>
      <c r="B8129" s="11" t="s">
        <v>16530</v>
      </c>
      <c r="C8129" s="11" t="s">
        <v>17</v>
      </c>
      <c r="D8129" s="11" t="s">
        <v>43</v>
      </c>
      <c r="E8129" s="12" t="s">
        <v>416</v>
      </c>
      <c r="F8129" s="12" t="s">
        <v>417</v>
      </c>
      <c r="G8129" s="12" t="s">
        <v>40</v>
      </c>
      <c r="H8129" s="11" t="s">
        <v>63</v>
      </c>
      <c r="I8129" s="13" t="s">
        <v>16549</v>
      </c>
      <c r="J8129" s="14" t="str">
        <f>HYPERLINK("https://www.boe.es/gazeta/dias/1839/10/24/pdfs/GMD-1839-1810.pdf#page=2","Abrir facsímil")</f>
        <v>Abrir facsímil</v>
      </c>
      <c r="K8129" s="12" t="s">
        <v>65</v>
      </c>
    </row>
    <row r="8130" spans="1:11" ht="40.049999999999997" customHeight="1" x14ac:dyDescent="0.25">
      <c r="A8130" s="11" t="s">
        <v>16530</v>
      </c>
      <c r="B8130" s="11" t="s">
        <v>16530</v>
      </c>
      <c r="C8130" s="11" t="s">
        <v>17</v>
      </c>
      <c r="D8130" s="11" t="s">
        <v>43</v>
      </c>
      <c r="E8130" s="12" t="s">
        <v>416</v>
      </c>
      <c r="F8130" s="12" t="s">
        <v>417</v>
      </c>
      <c r="G8130" s="12" t="s">
        <v>46</v>
      </c>
      <c r="H8130" s="11" t="s">
        <v>63</v>
      </c>
      <c r="I8130" s="13" t="s">
        <v>16550</v>
      </c>
      <c r="J8130" s="14" t="str">
        <f>HYPERLINK("https://www.boe.es/gazeta/dias/1839/10/24/pdfs/GMD-1839-1810.pdf#page=3","Abrir facsímil")</f>
        <v>Abrir facsímil</v>
      </c>
      <c r="K8130" s="12" t="s">
        <v>65</v>
      </c>
    </row>
    <row r="8131" spans="1:11" ht="40.049999999999997" customHeight="1" x14ac:dyDescent="0.25">
      <c r="A8131" s="11" t="s">
        <v>16530</v>
      </c>
      <c r="B8131" s="11" t="s">
        <v>16530</v>
      </c>
      <c r="C8131" s="11" t="s">
        <v>59</v>
      </c>
      <c r="D8131" s="11" t="s">
        <v>60</v>
      </c>
      <c r="E8131" s="12" t="s">
        <v>416</v>
      </c>
      <c r="F8131" s="12" t="s">
        <v>417</v>
      </c>
      <c r="G8131" s="12" t="s">
        <v>21</v>
      </c>
      <c r="H8131" s="11" t="s">
        <v>63</v>
      </c>
      <c r="I8131" s="13" t="s">
        <v>16551</v>
      </c>
      <c r="J8131" s="14" t="str">
        <f>HYPERLINK("https://www.boe.es/gazeta/dias/1839/10/24/pdfs/GMD-1839-1810.pdf#page=4","Abrir facsímil")</f>
        <v>Abrir facsímil</v>
      </c>
      <c r="K8131" s="12" t="s">
        <v>65</v>
      </c>
    </row>
    <row r="8132" spans="1:11" ht="40.049999999999997" customHeight="1" x14ac:dyDescent="0.25">
      <c r="A8132" s="11" t="s">
        <v>16530</v>
      </c>
      <c r="B8132" s="11" t="s">
        <v>16530</v>
      </c>
      <c r="C8132" s="11" t="s">
        <v>17</v>
      </c>
      <c r="D8132" s="11" t="s">
        <v>18</v>
      </c>
      <c r="E8132" s="12" t="s">
        <v>1446</v>
      </c>
      <c r="F8132" s="12" t="s">
        <v>1447</v>
      </c>
      <c r="G8132" s="12" t="s">
        <v>21</v>
      </c>
      <c r="H8132" s="11" t="s">
        <v>63</v>
      </c>
      <c r="I8132" s="13" t="s">
        <v>16552</v>
      </c>
      <c r="J8132" s="14" t="str">
        <f>HYPERLINK("https://www.boe.es/gazeta/dias/1839/08/25/pdfs/GMD-1839-1746.pdf#page=4","Abrir facsímil")</f>
        <v>Abrir facsímil</v>
      </c>
      <c r="K8132" s="12" t="s">
        <v>65</v>
      </c>
    </row>
    <row r="8133" spans="1:11" ht="40.049999999999997" customHeight="1" x14ac:dyDescent="0.25">
      <c r="A8133" s="11" t="s">
        <v>16530</v>
      </c>
      <c r="B8133" s="11" t="s">
        <v>16530</v>
      </c>
      <c r="C8133" s="11" t="s">
        <v>101</v>
      </c>
      <c r="D8133" s="11" t="s">
        <v>43</v>
      </c>
      <c r="E8133" s="12" t="s">
        <v>650</v>
      </c>
      <c r="F8133" s="12" t="s">
        <v>651</v>
      </c>
      <c r="G8133" s="12" t="s">
        <v>40</v>
      </c>
      <c r="H8133" s="11" t="s">
        <v>63</v>
      </c>
      <c r="I8133" s="13" t="s">
        <v>16553</v>
      </c>
      <c r="J8133" s="14" t="str">
        <f>HYPERLINK("https://www.boe.es/gazeta/dias/1839/10/25/pdfs/GMD-1839-1811.pdf#page=2","Abrir facsímil")</f>
        <v>Abrir facsímil</v>
      </c>
      <c r="K8133" s="12" t="s">
        <v>65</v>
      </c>
    </row>
    <row r="8134" spans="1:11" ht="40.049999999999997" customHeight="1" x14ac:dyDescent="0.25">
      <c r="A8134" s="11" t="s">
        <v>16530</v>
      </c>
      <c r="B8134" s="11" t="s">
        <v>16530</v>
      </c>
      <c r="C8134" s="11" t="s">
        <v>17</v>
      </c>
      <c r="D8134" s="11" t="s">
        <v>18</v>
      </c>
      <c r="E8134" s="12" t="s">
        <v>638</v>
      </c>
      <c r="F8134" s="12" t="s">
        <v>639</v>
      </c>
      <c r="G8134" s="12" t="s">
        <v>21</v>
      </c>
      <c r="H8134" s="11" t="s">
        <v>63</v>
      </c>
      <c r="I8134" s="13" t="s">
        <v>16554</v>
      </c>
      <c r="J8134" s="14" t="str">
        <f>HYPERLINK("https://www.boe.es/gazeta/dias/1839/08/26/pdfs/GMD-1839-1747.pdf#page=4","Abrir facsímil")</f>
        <v>Abrir facsímil</v>
      </c>
      <c r="K8134" s="12" t="s">
        <v>65</v>
      </c>
    </row>
    <row r="8135" spans="1:11" ht="40.049999999999997" customHeight="1" x14ac:dyDescent="0.25">
      <c r="A8135" s="11" t="s">
        <v>16530</v>
      </c>
      <c r="B8135" s="11" t="s">
        <v>16530</v>
      </c>
      <c r="C8135" s="11" t="s">
        <v>59</v>
      </c>
      <c r="D8135" s="11" t="s">
        <v>60</v>
      </c>
      <c r="E8135" s="12" t="s">
        <v>522</v>
      </c>
      <c r="F8135" s="12" t="s">
        <v>523</v>
      </c>
      <c r="G8135" s="12" t="s">
        <v>21</v>
      </c>
      <c r="H8135" s="11" t="s">
        <v>63</v>
      </c>
      <c r="I8135" s="13" t="s">
        <v>16555</v>
      </c>
      <c r="J8135" s="14" t="str">
        <f>HYPERLINK("https://www.boe.es/gazeta/dias/1839/08/27/pdfs/GMD-1839-1748.pdf#page=4","Abrir facsímil")</f>
        <v>Abrir facsímil</v>
      </c>
      <c r="K8135" s="12" t="s">
        <v>65</v>
      </c>
    </row>
    <row r="8136" spans="1:11" ht="40.049999999999997" customHeight="1" x14ac:dyDescent="0.25">
      <c r="A8136" s="11" t="s">
        <v>16530</v>
      </c>
      <c r="B8136" s="11" t="s">
        <v>16530</v>
      </c>
      <c r="C8136" s="11" t="s">
        <v>17</v>
      </c>
      <c r="D8136" s="11" t="s">
        <v>18</v>
      </c>
      <c r="E8136" s="12" t="s">
        <v>4463</v>
      </c>
      <c r="F8136" s="12" t="s">
        <v>4464</v>
      </c>
      <c r="G8136" s="12" t="s">
        <v>46</v>
      </c>
      <c r="H8136" s="11" t="s">
        <v>63</v>
      </c>
      <c r="I8136" s="13" t="s">
        <v>16556</v>
      </c>
      <c r="J8136" s="14" t="str">
        <f>HYPERLINK("https://www.boe.es/gazeta/dias/1839/08/28/pdfs/GMD-1839-1749.pdf#page=3","Abrir facsímil")</f>
        <v>Abrir facsímil</v>
      </c>
      <c r="K8136" s="12" t="s">
        <v>65</v>
      </c>
    </row>
    <row r="8137" spans="1:11" ht="40.049999999999997" customHeight="1" x14ac:dyDescent="0.25">
      <c r="A8137" s="11" t="s">
        <v>16530</v>
      </c>
      <c r="B8137" s="11" t="s">
        <v>16530</v>
      </c>
      <c r="C8137" s="11" t="s">
        <v>17</v>
      </c>
      <c r="D8137" s="11" t="s">
        <v>18</v>
      </c>
      <c r="E8137" s="12" t="s">
        <v>4463</v>
      </c>
      <c r="F8137" s="12" t="s">
        <v>4464</v>
      </c>
      <c r="G8137" s="12" t="s">
        <v>21</v>
      </c>
      <c r="H8137" s="11" t="s">
        <v>63</v>
      </c>
      <c r="I8137" s="13" t="s">
        <v>16557</v>
      </c>
      <c r="J8137" s="14" t="str">
        <f>HYPERLINK("https://www.boe.es/gazeta/dias/1839/08/28/pdfs/GMD-1839-1749.pdf#page=4","Abrir facsímil")</f>
        <v>Abrir facsímil</v>
      </c>
      <c r="K8137" s="12" t="s">
        <v>65</v>
      </c>
    </row>
    <row r="8138" spans="1:11" ht="40.049999999999997" customHeight="1" x14ac:dyDescent="0.25">
      <c r="A8138" s="11" t="s">
        <v>16530</v>
      </c>
      <c r="B8138" s="11" t="s">
        <v>16530</v>
      </c>
      <c r="C8138" s="11" t="s">
        <v>17</v>
      </c>
      <c r="D8138" s="11" t="s">
        <v>18</v>
      </c>
      <c r="E8138" s="12" t="s">
        <v>1988</v>
      </c>
      <c r="F8138" s="12" t="s">
        <v>1989</v>
      </c>
      <c r="G8138" s="12" t="s">
        <v>40</v>
      </c>
      <c r="H8138" s="11" t="s">
        <v>63</v>
      </c>
      <c r="I8138" s="13" t="s">
        <v>16558</v>
      </c>
      <c r="J8138" s="14" t="str">
        <f>HYPERLINK("https://www.boe.es/gazeta/dias/1839/10/29/pdfs/GMD-1839-1815.pdf#page=2","Abrir facsímil")</f>
        <v>Abrir facsímil</v>
      </c>
      <c r="K8138" s="12" t="s">
        <v>65</v>
      </c>
    </row>
    <row r="8139" spans="1:11" ht="40.049999999999997" customHeight="1" x14ac:dyDescent="0.25">
      <c r="A8139" s="11" t="s">
        <v>16530</v>
      </c>
      <c r="B8139" s="11" t="s">
        <v>16530</v>
      </c>
      <c r="C8139" s="11" t="s">
        <v>101</v>
      </c>
      <c r="D8139" s="11" t="s">
        <v>43</v>
      </c>
      <c r="E8139" s="12" t="s">
        <v>1988</v>
      </c>
      <c r="F8139" s="12" t="s">
        <v>1989</v>
      </c>
      <c r="G8139" s="12" t="s">
        <v>46</v>
      </c>
      <c r="H8139" s="11" t="s">
        <v>63</v>
      </c>
      <c r="I8139" s="13" t="s">
        <v>16559</v>
      </c>
      <c r="J8139" s="14" t="str">
        <f>HYPERLINK("https://www.boe.es/gazeta/dias/1839/10/29/pdfs/GMD-1839-1815.pdf#page=3","Abrir facsímil")</f>
        <v>Abrir facsímil</v>
      </c>
      <c r="K8139" s="12" t="s">
        <v>65</v>
      </c>
    </row>
    <row r="8140" spans="1:11" ht="40.049999999999997" customHeight="1" x14ac:dyDescent="0.25">
      <c r="A8140" s="11" t="s">
        <v>16530</v>
      </c>
      <c r="B8140" s="11" t="s">
        <v>16530</v>
      </c>
      <c r="C8140" s="11" t="s">
        <v>101</v>
      </c>
      <c r="D8140" s="11" t="s">
        <v>43</v>
      </c>
      <c r="E8140" s="12" t="s">
        <v>1867</v>
      </c>
      <c r="F8140" s="12" t="s">
        <v>1868</v>
      </c>
      <c r="G8140" s="12" t="s">
        <v>40</v>
      </c>
      <c r="H8140" s="11" t="s">
        <v>63</v>
      </c>
      <c r="I8140" s="13" t="s">
        <v>16560</v>
      </c>
      <c r="J8140" s="14" t="str">
        <f>HYPERLINK("https://www.boe.es/gazeta/dias/1839/01/30/pdfs/GMD-1839-1537.pdf#page=2","Abrir facsímil")</f>
        <v>Abrir facsímil</v>
      </c>
      <c r="K8140" s="12" t="s">
        <v>65</v>
      </c>
    </row>
    <row r="8141" spans="1:11" ht="40.049999999999997" customHeight="1" x14ac:dyDescent="0.25">
      <c r="A8141" s="11" t="s">
        <v>16561</v>
      </c>
      <c r="B8141" s="11" t="s">
        <v>16562</v>
      </c>
      <c r="C8141" s="11" t="s">
        <v>137</v>
      </c>
      <c r="D8141" s="11" t="s">
        <v>18</v>
      </c>
      <c r="E8141" s="12" t="s">
        <v>138</v>
      </c>
      <c r="F8141" s="12" t="s">
        <v>139</v>
      </c>
      <c r="G8141" s="12" t="s">
        <v>21</v>
      </c>
      <c r="H8141" s="11" t="s">
        <v>63</v>
      </c>
      <c r="I8141" s="13" t="s">
        <v>16563</v>
      </c>
      <c r="J8141" s="14" t="str">
        <f>HYPERLINK("https://www.boe.es/gazeta/dias/1839/10/09/pdfs/GMD-1839-1795.pdf#page=4","Abrir facsímil")</f>
        <v>Abrir facsímil</v>
      </c>
      <c r="K8141" s="12" t="s">
        <v>65</v>
      </c>
    </row>
    <row r="8142" spans="1:11" ht="40.049999999999997" customHeight="1" x14ac:dyDescent="0.25">
      <c r="A8142" s="11" t="s">
        <v>16561</v>
      </c>
      <c r="B8142" s="11" t="s">
        <v>16562</v>
      </c>
      <c r="C8142" s="11" t="s">
        <v>17</v>
      </c>
      <c r="D8142" s="11" t="s">
        <v>18</v>
      </c>
      <c r="E8142" s="12" t="s">
        <v>185</v>
      </c>
      <c r="F8142" s="12" t="s">
        <v>186</v>
      </c>
      <c r="G8142" s="12" t="s">
        <v>21</v>
      </c>
      <c r="H8142" s="11" t="s">
        <v>63</v>
      </c>
      <c r="I8142" s="13" t="s">
        <v>16564</v>
      </c>
      <c r="J8142" s="14" t="str">
        <f>HYPERLINK("https://www.boe.es/gazeta/dias/1839/01/15/pdfs/GMD-1839-1522.pdf#page=4","Abrir facsímil")</f>
        <v>Abrir facsímil</v>
      </c>
      <c r="K8142" s="12" t="s">
        <v>65</v>
      </c>
    </row>
    <row r="8143" spans="1:11" ht="40.049999999999997" customHeight="1" x14ac:dyDescent="0.25">
      <c r="A8143" s="11" t="s">
        <v>16561</v>
      </c>
      <c r="B8143" s="11" t="s">
        <v>16562</v>
      </c>
      <c r="C8143" s="11" t="s">
        <v>80</v>
      </c>
      <c r="D8143" s="11" t="s">
        <v>18</v>
      </c>
      <c r="E8143" s="12" t="s">
        <v>1179</v>
      </c>
      <c r="F8143" s="12" t="s">
        <v>1180</v>
      </c>
      <c r="G8143" s="12" t="s">
        <v>305</v>
      </c>
      <c r="H8143" s="11" t="s">
        <v>63</v>
      </c>
      <c r="I8143" s="13" t="s">
        <v>16565</v>
      </c>
      <c r="J8143" s="14" t="str">
        <f>HYPERLINK("https://www.boe.es/gazeta/dias/1839/10/18/pdfs/GMD-1839-1804.pdf#page=6","Abrir facsímil")</f>
        <v>Abrir facsímil</v>
      </c>
      <c r="K8143" s="12" t="s">
        <v>65</v>
      </c>
    </row>
    <row r="8144" spans="1:11" ht="40.049999999999997" customHeight="1" x14ac:dyDescent="0.25">
      <c r="A8144" s="11" t="s">
        <v>16561</v>
      </c>
      <c r="B8144" s="11" t="s">
        <v>16562</v>
      </c>
      <c r="C8144" s="11" t="s">
        <v>17</v>
      </c>
      <c r="D8144" s="11" t="s">
        <v>18</v>
      </c>
      <c r="E8144" s="12" t="s">
        <v>1012</v>
      </c>
      <c r="F8144" s="12" t="s">
        <v>1013</v>
      </c>
      <c r="G8144" s="12" t="s">
        <v>46</v>
      </c>
      <c r="H8144" s="11" t="s">
        <v>63</v>
      </c>
      <c r="I8144" s="13" t="s">
        <v>16566</v>
      </c>
      <c r="J8144" s="14" t="str">
        <f>HYPERLINK("https://www.boe.es/gazeta/dias/1839/11/22/pdfs/GMD-1839-1839.pdf#page=3","Abrir facsímil")</f>
        <v>Abrir facsímil</v>
      </c>
      <c r="K8144" s="12" t="s">
        <v>65</v>
      </c>
    </row>
    <row r="8145" spans="1:11" ht="40.049999999999997" customHeight="1" x14ac:dyDescent="0.25">
      <c r="A8145" s="11" t="s">
        <v>16567</v>
      </c>
      <c r="B8145" s="11" t="s">
        <v>16568</v>
      </c>
      <c r="C8145" s="11" t="s">
        <v>17</v>
      </c>
      <c r="D8145" s="11" t="s">
        <v>18</v>
      </c>
      <c r="E8145" s="12" t="s">
        <v>181</v>
      </c>
      <c r="F8145" s="12" t="s">
        <v>182</v>
      </c>
      <c r="G8145" s="12" t="s">
        <v>29</v>
      </c>
      <c r="H8145" s="11" t="s">
        <v>63</v>
      </c>
      <c r="I8145" s="13" t="s">
        <v>16569</v>
      </c>
      <c r="J8145" s="14" t="str">
        <f>HYPERLINK("https://www.boe.es/gazeta/dias/1839/01/11/pdfs/GMD-1839-1518.pdf#page=1","Abrir facsímil")</f>
        <v>Abrir facsímil</v>
      </c>
      <c r="K8145" s="12" t="s">
        <v>65</v>
      </c>
    </row>
    <row r="8146" spans="1:11" ht="40.049999999999997" customHeight="1" x14ac:dyDescent="0.25">
      <c r="A8146" s="11" t="s">
        <v>16570</v>
      </c>
      <c r="B8146" s="11" t="s">
        <v>16571</v>
      </c>
      <c r="C8146" s="11" t="s">
        <v>17</v>
      </c>
      <c r="D8146" s="11" t="s">
        <v>18</v>
      </c>
      <c r="E8146" s="12" t="s">
        <v>474</v>
      </c>
      <c r="F8146" s="12" t="s">
        <v>475</v>
      </c>
      <c r="G8146" s="12" t="s">
        <v>21</v>
      </c>
      <c r="H8146" s="11" t="s">
        <v>63</v>
      </c>
      <c r="I8146" s="13" t="s">
        <v>16572</v>
      </c>
      <c r="J8146" s="14" t="str">
        <f>HYPERLINK("https://www.boe.es/gazeta/dias/1839/03/31/pdfs/GMD-1839-1597.pdf#page=4","Abrir facsímil")</f>
        <v>Abrir facsímil</v>
      </c>
      <c r="K8146" s="12" t="s">
        <v>65</v>
      </c>
    </row>
    <row r="8147" spans="1:11" ht="40.049999999999997" customHeight="1" x14ac:dyDescent="0.25">
      <c r="A8147" s="11" t="s">
        <v>16573</v>
      </c>
      <c r="B8147" s="11" t="s">
        <v>16574</v>
      </c>
      <c r="C8147" s="11" t="s">
        <v>59</v>
      </c>
      <c r="D8147" s="11" t="s">
        <v>60</v>
      </c>
      <c r="E8147" s="12" t="s">
        <v>984</v>
      </c>
      <c r="F8147" s="12" t="s">
        <v>985</v>
      </c>
      <c r="G8147" s="12" t="s">
        <v>46</v>
      </c>
      <c r="H8147" s="11" t="s">
        <v>63</v>
      </c>
      <c r="I8147" s="13" t="s">
        <v>16575</v>
      </c>
      <c r="J8147" s="14" t="str">
        <f>HYPERLINK("https://www.boe.es/gazeta/dias/1839/04/10/pdfs/GMD-1839-1607.pdf#page=3","Abrir facsímil")</f>
        <v>Abrir facsímil</v>
      </c>
      <c r="K8147" s="12" t="s">
        <v>65</v>
      </c>
    </row>
    <row r="8148" spans="1:11" ht="40.049999999999997" customHeight="1" x14ac:dyDescent="0.25">
      <c r="A8148" s="11" t="s">
        <v>16576</v>
      </c>
      <c r="B8148" s="11" t="s">
        <v>16577</v>
      </c>
      <c r="C8148" s="11" t="s">
        <v>101</v>
      </c>
      <c r="D8148" s="11" t="s">
        <v>43</v>
      </c>
      <c r="E8148" s="12" t="s">
        <v>568</v>
      </c>
      <c r="F8148" s="12" t="s">
        <v>569</v>
      </c>
      <c r="G8148" s="12" t="s">
        <v>46</v>
      </c>
      <c r="H8148" s="11" t="s">
        <v>22</v>
      </c>
      <c r="I8148" s="13" t="s">
        <v>16578</v>
      </c>
      <c r="J8148" s="14" t="str">
        <f>HYPERLINK("https://www.boe.es/gazeta/dias/1839/10/23/pdfs/GMD-1839-1809.pdf#page=3","Abrir facsímil")</f>
        <v>Abrir facsímil</v>
      </c>
      <c r="K8148" s="12" t="s">
        <v>24</v>
      </c>
    </row>
    <row r="8149" spans="1:11" ht="40.049999999999997" customHeight="1" x14ac:dyDescent="0.25">
      <c r="A8149" s="11" t="s">
        <v>16579</v>
      </c>
      <c r="B8149" s="11" t="s">
        <v>16580</v>
      </c>
      <c r="C8149" s="11" t="s">
        <v>17</v>
      </c>
      <c r="D8149" s="11" t="s">
        <v>18</v>
      </c>
      <c r="E8149" s="12" t="s">
        <v>1374</v>
      </c>
      <c r="F8149" s="12" t="s">
        <v>1375</v>
      </c>
      <c r="G8149" s="12" t="s">
        <v>21</v>
      </c>
      <c r="H8149" s="11" t="s">
        <v>22</v>
      </c>
      <c r="I8149" s="13" t="s">
        <v>16581</v>
      </c>
      <c r="J8149" s="14" t="str">
        <f>HYPERLINK("https://www.boe.es/gazeta/dias/1839/07/20/pdfs/GMD-1839-1708.pdf#page=4","Abrir facsímil")</f>
        <v>Abrir facsímil</v>
      </c>
      <c r="K8149" s="12" t="s">
        <v>24</v>
      </c>
    </row>
    <row r="8150" spans="1:11" ht="40.049999999999997" customHeight="1" x14ac:dyDescent="0.25">
      <c r="A8150" s="11" t="s">
        <v>16582</v>
      </c>
      <c r="B8150" s="11" t="s">
        <v>16583</v>
      </c>
      <c r="C8150" s="11" t="s">
        <v>80</v>
      </c>
      <c r="D8150" s="11" t="s">
        <v>18</v>
      </c>
      <c r="E8150" s="12" t="s">
        <v>862</v>
      </c>
      <c r="F8150" s="12" t="s">
        <v>863</v>
      </c>
      <c r="G8150" s="12" t="s">
        <v>305</v>
      </c>
      <c r="H8150" s="11" t="s">
        <v>22</v>
      </c>
      <c r="I8150" s="13" t="s">
        <v>16584</v>
      </c>
      <c r="J8150" s="14" t="str">
        <f>HYPERLINK("https://www.boe.es/gazeta/dias/1839/10/28/pdfs/GMD-1839-1814.pdf#page=6","Abrir facsímil")</f>
        <v>Abrir facsímil</v>
      </c>
      <c r="K8150" s="12" t="s">
        <v>24</v>
      </c>
    </row>
    <row r="8151" spans="1:11" ht="40.049999999999997" customHeight="1" x14ac:dyDescent="0.25">
      <c r="A8151" s="11" t="s">
        <v>16585</v>
      </c>
      <c r="B8151" s="11" t="s">
        <v>16586</v>
      </c>
      <c r="C8151" s="11" t="s">
        <v>59</v>
      </c>
      <c r="D8151" s="11" t="s">
        <v>60</v>
      </c>
      <c r="E8151" s="12" t="s">
        <v>197</v>
      </c>
      <c r="F8151" s="12" t="s">
        <v>198</v>
      </c>
      <c r="G8151" s="12" t="s">
        <v>46</v>
      </c>
      <c r="H8151" s="11" t="s">
        <v>63</v>
      </c>
      <c r="I8151" s="13" t="s">
        <v>16587</v>
      </c>
      <c r="J8151" s="14" t="str">
        <f>HYPERLINK("https://www.boe.es/gazeta/dias/1839/10/04/pdfs/GMD-1839-1790.pdf#page=3","Abrir facsímil")</f>
        <v>Abrir facsímil</v>
      </c>
      <c r="K8151" s="12" t="s">
        <v>65</v>
      </c>
    </row>
    <row r="8152" spans="1:11" ht="40.049999999999997" customHeight="1" x14ac:dyDescent="0.25">
      <c r="A8152" s="11" t="s">
        <v>16588</v>
      </c>
      <c r="B8152" s="11" t="s">
        <v>16589</v>
      </c>
      <c r="C8152" s="11" t="s">
        <v>80</v>
      </c>
      <c r="D8152" s="11" t="s">
        <v>18</v>
      </c>
      <c r="E8152" s="12" t="s">
        <v>2253</v>
      </c>
      <c r="F8152" s="12" t="s">
        <v>2254</v>
      </c>
      <c r="G8152" s="12" t="s">
        <v>21</v>
      </c>
      <c r="H8152" s="11" t="s">
        <v>63</v>
      </c>
      <c r="I8152" s="13" t="s">
        <v>16590</v>
      </c>
      <c r="J8152" s="14" t="str">
        <f>HYPERLINK("https://www.boe.es/gazeta/dias/1839/02/20/pdfs/GMD-1839-1558.pdf#page=4","Abrir facsímil")</f>
        <v>Abrir facsímil</v>
      </c>
      <c r="K8152" s="12" t="s">
        <v>65</v>
      </c>
    </row>
    <row r="8153" spans="1:11" ht="40.049999999999997" customHeight="1" x14ac:dyDescent="0.25">
      <c r="A8153" s="11" t="s">
        <v>16591</v>
      </c>
      <c r="B8153" s="11" t="s">
        <v>16592</v>
      </c>
      <c r="C8153" s="11" t="s">
        <v>17</v>
      </c>
      <c r="D8153" s="11" t="s">
        <v>18</v>
      </c>
      <c r="E8153" s="12" t="s">
        <v>857</v>
      </c>
      <c r="F8153" s="12" t="s">
        <v>858</v>
      </c>
      <c r="G8153" s="12" t="s">
        <v>46</v>
      </c>
      <c r="H8153" s="11" t="s">
        <v>63</v>
      </c>
      <c r="I8153" s="13" t="s">
        <v>16593</v>
      </c>
      <c r="J8153" s="14" t="str">
        <f>HYPERLINK("https://www.boe.es/gazeta/dias/1839/11/21/pdfs/GMD-1839-1838.pdf#page=3","Abrir facsímil")</f>
        <v>Abrir facsímil</v>
      </c>
      <c r="K8153" s="12" t="s">
        <v>65</v>
      </c>
    </row>
    <row r="8154" spans="1:11" ht="40.049999999999997" customHeight="1" x14ac:dyDescent="0.25">
      <c r="A8154" s="11" t="s">
        <v>16594</v>
      </c>
      <c r="B8154" s="11" t="s">
        <v>16595</v>
      </c>
      <c r="C8154" s="11" t="s">
        <v>59</v>
      </c>
      <c r="D8154" s="11" t="s">
        <v>60</v>
      </c>
      <c r="E8154" s="12" t="s">
        <v>1388</v>
      </c>
      <c r="F8154" s="12" t="s">
        <v>1389</v>
      </c>
      <c r="G8154" s="12" t="s">
        <v>29</v>
      </c>
      <c r="H8154" s="11" t="s">
        <v>63</v>
      </c>
      <c r="I8154" s="13" t="s">
        <v>16596</v>
      </c>
      <c r="J8154" s="14" t="str">
        <f>HYPERLINK("https://www.boe.es/gazeta/dias/1839/06/04/pdfs/GMD-1839-1662.pdf#page=1","Abrir facsímil")</f>
        <v>Abrir facsímil</v>
      </c>
      <c r="K8154" s="12" t="s">
        <v>65</v>
      </c>
    </row>
    <row r="8155" spans="1:11" ht="40.049999999999997" customHeight="1" x14ac:dyDescent="0.25">
      <c r="A8155" s="11" t="s">
        <v>16594</v>
      </c>
      <c r="B8155" s="11" t="s">
        <v>16595</v>
      </c>
      <c r="C8155" s="11" t="s">
        <v>17</v>
      </c>
      <c r="D8155" s="11" t="s">
        <v>18</v>
      </c>
      <c r="E8155" s="12" t="s">
        <v>1562</v>
      </c>
      <c r="F8155" s="12" t="s">
        <v>1563</v>
      </c>
      <c r="G8155" s="12" t="s">
        <v>29</v>
      </c>
      <c r="H8155" s="11" t="s">
        <v>63</v>
      </c>
      <c r="I8155" s="13" t="s">
        <v>16597</v>
      </c>
      <c r="J8155" s="14" t="str">
        <f>HYPERLINK("https://www.boe.es/gazeta/dias/1839/04/08/pdfs/GMD-1839-1605.pdf#page=1","Abrir facsímil")</f>
        <v>Abrir facsímil</v>
      </c>
      <c r="K8155" s="12" t="s">
        <v>65</v>
      </c>
    </row>
    <row r="8156" spans="1:11" ht="40.049999999999997" customHeight="1" x14ac:dyDescent="0.25">
      <c r="A8156" s="11" t="s">
        <v>16594</v>
      </c>
      <c r="B8156" s="11" t="s">
        <v>16595</v>
      </c>
      <c r="C8156" s="11" t="s">
        <v>17</v>
      </c>
      <c r="D8156" s="11" t="s">
        <v>18</v>
      </c>
      <c r="E8156" s="12" t="s">
        <v>844</v>
      </c>
      <c r="F8156" s="12" t="s">
        <v>845</v>
      </c>
      <c r="G8156" s="12" t="s">
        <v>21</v>
      </c>
      <c r="H8156" s="11" t="s">
        <v>63</v>
      </c>
      <c r="I8156" s="13" t="s">
        <v>16598</v>
      </c>
      <c r="J8156" s="14" t="str">
        <f>HYPERLINK("https://www.boe.es/gazeta/dias/1839/12/24/pdfs/GMD-1839-1871.pdf#page=4","Abrir facsímil")</f>
        <v>Abrir facsímil</v>
      </c>
      <c r="K8156" s="12" t="s">
        <v>65</v>
      </c>
    </row>
    <row r="8157" spans="1:11" ht="40.049999999999997" customHeight="1" x14ac:dyDescent="0.25">
      <c r="A8157" s="11" t="s">
        <v>16594</v>
      </c>
      <c r="B8157" s="11" t="s">
        <v>16595</v>
      </c>
      <c r="C8157" s="11" t="s">
        <v>17</v>
      </c>
      <c r="D8157" s="11" t="s">
        <v>18</v>
      </c>
      <c r="E8157" s="12" t="s">
        <v>1474</v>
      </c>
      <c r="F8157" s="12" t="s">
        <v>1475</v>
      </c>
      <c r="G8157" s="12" t="s">
        <v>46</v>
      </c>
      <c r="H8157" s="11" t="s">
        <v>63</v>
      </c>
      <c r="I8157" s="13" t="s">
        <v>16599</v>
      </c>
      <c r="J8157" s="14" t="str">
        <f>HYPERLINK("https://www.boe.es/gazeta/dias/1839/02/28/pdfs/GMD-1839-1566.pdf#page=3","Abrir facsímil")</f>
        <v>Abrir facsímil</v>
      </c>
      <c r="K8157" s="12" t="s">
        <v>65</v>
      </c>
    </row>
    <row r="8158" spans="1:11" ht="40.049999999999997" customHeight="1" x14ac:dyDescent="0.25">
      <c r="A8158" s="11" t="s">
        <v>16600</v>
      </c>
      <c r="B8158" s="11" t="s">
        <v>16601</v>
      </c>
      <c r="C8158" s="11" t="s">
        <v>17</v>
      </c>
      <c r="D8158" s="11" t="s">
        <v>18</v>
      </c>
      <c r="E8158" s="12" t="s">
        <v>1509</v>
      </c>
      <c r="F8158" s="12" t="s">
        <v>1510</v>
      </c>
      <c r="G8158" s="12" t="s">
        <v>305</v>
      </c>
      <c r="H8158" s="11" t="s">
        <v>63</v>
      </c>
      <c r="I8158" s="13" t="s">
        <v>16602</v>
      </c>
      <c r="J8158" s="14" t="str">
        <f>HYPERLINK("https://www.boe.es/gazeta/dias/1839/10/07/pdfs/GMD-1839-1793.pdf#page=6","Abrir facsímil")</f>
        <v>Abrir facsímil</v>
      </c>
      <c r="K8158" s="12" t="s">
        <v>65</v>
      </c>
    </row>
    <row r="8159" spans="1:11" ht="40.049999999999997" customHeight="1" x14ac:dyDescent="0.25">
      <c r="A8159" s="11" t="s">
        <v>16603</v>
      </c>
      <c r="B8159" s="11" t="s">
        <v>16604</v>
      </c>
      <c r="C8159" s="11" t="s">
        <v>80</v>
      </c>
      <c r="D8159" s="11" t="s">
        <v>18</v>
      </c>
      <c r="E8159" s="12" t="s">
        <v>522</v>
      </c>
      <c r="F8159" s="12" t="s">
        <v>523</v>
      </c>
      <c r="G8159" s="12" t="s">
        <v>21</v>
      </c>
      <c r="H8159" s="11" t="s">
        <v>63</v>
      </c>
      <c r="I8159" s="13" t="s">
        <v>16605</v>
      </c>
      <c r="J8159" s="14" t="str">
        <f>HYPERLINK("https://www.boe.es/gazeta/dias/1839/08/27/pdfs/GMD-1839-1748.pdf#page=4","Abrir facsímil")</f>
        <v>Abrir facsímil</v>
      </c>
      <c r="K8159" s="12" t="s">
        <v>65</v>
      </c>
    </row>
    <row r="8160" spans="1:11" ht="40.049999999999997" customHeight="1" x14ac:dyDescent="0.25">
      <c r="A8160" s="11" t="s">
        <v>16603</v>
      </c>
      <c r="B8160" s="11" t="s">
        <v>16604</v>
      </c>
      <c r="C8160" s="11" t="s">
        <v>17</v>
      </c>
      <c r="D8160" s="11" t="s">
        <v>18</v>
      </c>
      <c r="E8160" s="12" t="s">
        <v>4463</v>
      </c>
      <c r="F8160" s="12" t="s">
        <v>4464</v>
      </c>
      <c r="G8160" s="12" t="s">
        <v>46</v>
      </c>
      <c r="H8160" s="11" t="s">
        <v>63</v>
      </c>
      <c r="I8160" s="13" t="s">
        <v>16606</v>
      </c>
      <c r="J8160" s="14" t="str">
        <f>HYPERLINK("https://www.boe.es/gazeta/dias/1839/08/28/pdfs/GMD-1839-1749.pdf#page=3","Abrir facsímil")</f>
        <v>Abrir facsímil</v>
      </c>
      <c r="K8160" s="12" t="s">
        <v>65</v>
      </c>
    </row>
    <row r="8161" spans="1:11" ht="40.049999999999997" customHeight="1" x14ac:dyDescent="0.25">
      <c r="A8161" s="11" t="s">
        <v>16607</v>
      </c>
      <c r="B8161" s="11" t="s">
        <v>16608</v>
      </c>
      <c r="C8161" s="11" t="s">
        <v>17</v>
      </c>
      <c r="D8161" s="11" t="s">
        <v>18</v>
      </c>
      <c r="E8161" s="12" t="s">
        <v>2050</v>
      </c>
      <c r="F8161" s="12" t="s">
        <v>2051</v>
      </c>
      <c r="G8161" s="12" t="s">
        <v>40</v>
      </c>
      <c r="H8161" s="11" t="s">
        <v>63</v>
      </c>
      <c r="I8161" s="13" t="s">
        <v>16609</v>
      </c>
      <c r="J8161" s="14" t="str">
        <f>HYPERLINK("https://www.boe.es/gazeta/dias/1839/01/09/pdfs/GMD-1839-1516.pdf#page=2","Abrir facsímil")</f>
        <v>Abrir facsímil</v>
      </c>
      <c r="K8161" s="12" t="s">
        <v>65</v>
      </c>
    </row>
    <row r="8162" spans="1:11" ht="40.049999999999997" customHeight="1" x14ac:dyDescent="0.25">
      <c r="A8162" s="11" t="s">
        <v>16610</v>
      </c>
      <c r="B8162" s="11" t="s">
        <v>16611</v>
      </c>
      <c r="C8162" s="11" t="s">
        <v>137</v>
      </c>
      <c r="D8162" s="11" t="s">
        <v>18</v>
      </c>
      <c r="E8162" s="12" t="s">
        <v>903</v>
      </c>
      <c r="F8162" s="12" t="s">
        <v>904</v>
      </c>
      <c r="G8162" s="12" t="s">
        <v>40</v>
      </c>
      <c r="H8162" s="11" t="s">
        <v>63</v>
      </c>
      <c r="I8162" s="13" t="s">
        <v>16612</v>
      </c>
      <c r="J8162" s="14" t="str">
        <f>HYPERLINK("https://www.boe.es/gazeta/dias/1839/03/14/pdfs/GMD-1839-1580.pdf#page=2","Abrir facsímil")</f>
        <v>Abrir facsímil</v>
      </c>
      <c r="K8162" s="12" t="s">
        <v>65</v>
      </c>
    </row>
    <row r="8163" spans="1:11" ht="40.049999999999997" customHeight="1" x14ac:dyDescent="0.25">
      <c r="A8163" s="11" t="s">
        <v>16613</v>
      </c>
      <c r="B8163" s="11" t="s">
        <v>16614</v>
      </c>
      <c r="C8163" s="11" t="s">
        <v>17</v>
      </c>
      <c r="D8163" s="11" t="s">
        <v>18</v>
      </c>
      <c r="E8163" s="12" t="s">
        <v>700</v>
      </c>
      <c r="F8163" s="12" t="s">
        <v>701</v>
      </c>
      <c r="G8163" s="12" t="s">
        <v>21</v>
      </c>
      <c r="H8163" s="11" t="s">
        <v>63</v>
      </c>
      <c r="I8163" s="13" t="s">
        <v>16615</v>
      </c>
      <c r="J8163" s="14" t="str">
        <f>HYPERLINK("https://www.boe.es/gazeta/dias/1839/09/01/pdfs/GMD-1839-1753.pdf#page=4","Abrir facsímil")</f>
        <v>Abrir facsímil</v>
      </c>
      <c r="K8163" s="12" t="s">
        <v>65</v>
      </c>
    </row>
    <row r="8164" spans="1:11" ht="40.049999999999997" customHeight="1" x14ac:dyDescent="0.25">
      <c r="A8164" s="11" t="s">
        <v>16613</v>
      </c>
      <c r="B8164" s="11" t="s">
        <v>16614</v>
      </c>
      <c r="C8164" s="11" t="s">
        <v>137</v>
      </c>
      <c r="D8164" s="11" t="s">
        <v>18</v>
      </c>
      <c r="E8164" s="12" t="s">
        <v>2262</v>
      </c>
      <c r="F8164" s="12" t="s">
        <v>2263</v>
      </c>
      <c r="G8164" s="12" t="s">
        <v>40</v>
      </c>
      <c r="H8164" s="11" t="s">
        <v>63</v>
      </c>
      <c r="I8164" s="13" t="s">
        <v>16616</v>
      </c>
      <c r="J8164" s="14" t="str">
        <f>HYPERLINK("https://www.boe.es/gazeta/dias/1839/03/16/pdfs/GMD-1839-1582.pdf#page=2","Abrir facsímil")</f>
        <v>Abrir facsímil</v>
      </c>
      <c r="K8164" s="12" t="s">
        <v>65</v>
      </c>
    </row>
    <row r="8165" spans="1:11" ht="40.049999999999997" customHeight="1" x14ac:dyDescent="0.25">
      <c r="A8165" s="11" t="s">
        <v>16617</v>
      </c>
      <c r="B8165" s="11" t="s">
        <v>16618</v>
      </c>
      <c r="C8165" s="11" t="s">
        <v>80</v>
      </c>
      <c r="D8165" s="11" t="s">
        <v>18</v>
      </c>
      <c r="E8165" s="12" t="s">
        <v>998</v>
      </c>
      <c r="F8165" s="12" t="s">
        <v>999</v>
      </c>
      <c r="G8165" s="12" t="s">
        <v>29</v>
      </c>
      <c r="H8165" s="11" t="s">
        <v>63</v>
      </c>
      <c r="I8165" s="13" t="s">
        <v>16619</v>
      </c>
      <c r="J8165" s="14" t="str">
        <f>HYPERLINK("https://www.boe.es/gazeta/dias/1839/05/06/pdfs/GMD-1839-1633.pdf#page=1","Abrir facsímil")</f>
        <v>Abrir facsímil</v>
      </c>
      <c r="K8165" s="12" t="s">
        <v>65</v>
      </c>
    </row>
    <row r="8166" spans="1:11" ht="40.049999999999997" customHeight="1" x14ac:dyDescent="0.25">
      <c r="A8166" s="11" t="s">
        <v>16620</v>
      </c>
      <c r="B8166" s="11" t="s">
        <v>16621</v>
      </c>
      <c r="C8166" s="11" t="s">
        <v>17</v>
      </c>
      <c r="D8166" s="11" t="s">
        <v>18</v>
      </c>
      <c r="E8166" s="12" t="s">
        <v>352</v>
      </c>
      <c r="F8166" s="12" t="s">
        <v>353</v>
      </c>
      <c r="G8166" s="12" t="s">
        <v>29</v>
      </c>
      <c r="H8166" s="11" t="s">
        <v>63</v>
      </c>
      <c r="I8166" s="13" t="s">
        <v>16622</v>
      </c>
      <c r="J8166" s="14" t="str">
        <f>HYPERLINK("https://www.boe.es/gazeta/dias/1839/03/30/pdfs/GMD-1839-1596.pdf#page=1","Abrir facsímil")</f>
        <v>Abrir facsímil</v>
      </c>
      <c r="K8166" s="12" t="s">
        <v>65</v>
      </c>
    </row>
    <row r="8167" spans="1:11" ht="40.049999999999997" customHeight="1" x14ac:dyDescent="0.25">
      <c r="A8167" s="11" t="s">
        <v>16623</v>
      </c>
      <c r="B8167" s="11" t="s">
        <v>16624</v>
      </c>
      <c r="C8167" s="11" t="s">
        <v>80</v>
      </c>
      <c r="D8167" s="11" t="s">
        <v>18</v>
      </c>
      <c r="E8167" s="12" t="s">
        <v>522</v>
      </c>
      <c r="F8167" s="12" t="s">
        <v>523</v>
      </c>
      <c r="G8167" s="12" t="s">
        <v>40</v>
      </c>
      <c r="H8167" s="11" t="s">
        <v>63</v>
      </c>
      <c r="I8167" s="13" t="s">
        <v>16625</v>
      </c>
      <c r="J8167" s="14" t="str">
        <f>HYPERLINK("https://www.boe.es/gazeta/dias/1839/08/27/pdfs/GMD-1839-1748.pdf#page=2","Abrir facsímil")</f>
        <v>Abrir facsímil</v>
      </c>
      <c r="K8167" s="12" t="s">
        <v>65</v>
      </c>
    </row>
    <row r="8168" spans="1:11" ht="40.049999999999997" customHeight="1" x14ac:dyDescent="0.25">
      <c r="A8168" s="11" t="s">
        <v>16623</v>
      </c>
      <c r="B8168" s="11" t="s">
        <v>16624</v>
      </c>
      <c r="C8168" s="11" t="s">
        <v>17</v>
      </c>
      <c r="D8168" s="11" t="s">
        <v>18</v>
      </c>
      <c r="E8168" s="12" t="s">
        <v>716</v>
      </c>
      <c r="F8168" s="12" t="s">
        <v>717</v>
      </c>
      <c r="G8168" s="12" t="s">
        <v>46</v>
      </c>
      <c r="H8168" s="11" t="s">
        <v>63</v>
      </c>
      <c r="I8168" s="13" t="s">
        <v>16626</v>
      </c>
      <c r="J8168" s="14" t="str">
        <f>HYPERLINK("https://www.boe.es/gazeta/dias/1839/07/30/pdfs/GMD-1839-1719.pdf#page=3","Abrir facsímil")</f>
        <v>Abrir facsímil</v>
      </c>
      <c r="K8168" s="12" t="s">
        <v>65</v>
      </c>
    </row>
    <row r="8169" spans="1:11" ht="40.049999999999997" customHeight="1" x14ac:dyDescent="0.25">
      <c r="A8169" s="11" t="s">
        <v>16627</v>
      </c>
      <c r="B8169" s="11" t="s">
        <v>16628</v>
      </c>
      <c r="C8169" s="11" t="s">
        <v>17</v>
      </c>
      <c r="D8169" s="11" t="s">
        <v>18</v>
      </c>
      <c r="E8169" s="12" t="s">
        <v>700</v>
      </c>
      <c r="F8169" s="12" t="s">
        <v>701</v>
      </c>
      <c r="G8169" s="12" t="s">
        <v>29</v>
      </c>
      <c r="H8169" s="11" t="s">
        <v>63</v>
      </c>
      <c r="I8169" s="13" t="s">
        <v>16629</v>
      </c>
      <c r="J8169" s="14" t="str">
        <f>HYPERLINK("https://www.boe.es/gazeta/dias/1839/09/01/pdfs/GMD-1839-1753.pdf#page=1","Abrir facsímil")</f>
        <v>Abrir facsímil</v>
      </c>
      <c r="K8169" s="12" t="s">
        <v>65</v>
      </c>
    </row>
    <row r="8170" spans="1:11" ht="40.049999999999997" customHeight="1" x14ac:dyDescent="0.25">
      <c r="A8170" s="11" t="s">
        <v>16627</v>
      </c>
      <c r="B8170" s="11" t="s">
        <v>16628</v>
      </c>
      <c r="C8170" s="11" t="s">
        <v>17</v>
      </c>
      <c r="D8170" s="11" t="s">
        <v>18</v>
      </c>
      <c r="E8170" s="12" t="s">
        <v>4957</v>
      </c>
      <c r="F8170" s="12" t="s">
        <v>4958</v>
      </c>
      <c r="G8170" s="12" t="s">
        <v>21</v>
      </c>
      <c r="H8170" s="11" t="s">
        <v>63</v>
      </c>
      <c r="I8170" s="13" t="s">
        <v>16630</v>
      </c>
      <c r="J8170" s="14" t="str">
        <f>HYPERLINK("https://www.boe.es/gazeta/dias/1839/11/04/pdfs/GMD-1839-1821.pdf#page=4","Abrir facsímil")</f>
        <v>Abrir facsímil</v>
      </c>
      <c r="K8170" s="12" t="s">
        <v>65</v>
      </c>
    </row>
    <row r="8171" spans="1:11" ht="40.049999999999997" customHeight="1" x14ac:dyDescent="0.25">
      <c r="A8171" s="11" t="s">
        <v>16627</v>
      </c>
      <c r="B8171" s="11" t="s">
        <v>16628</v>
      </c>
      <c r="C8171" s="11" t="s">
        <v>17</v>
      </c>
      <c r="D8171" s="11" t="s">
        <v>18</v>
      </c>
      <c r="E8171" s="12" t="s">
        <v>1520</v>
      </c>
      <c r="F8171" s="12" t="s">
        <v>1521</v>
      </c>
      <c r="G8171" s="12" t="s">
        <v>21</v>
      </c>
      <c r="H8171" s="11" t="s">
        <v>63</v>
      </c>
      <c r="I8171" s="13" t="s">
        <v>16631</v>
      </c>
      <c r="J8171" s="14" t="str">
        <f>HYPERLINK("https://www.boe.es/gazeta/dias/1839/12/27/pdfs/GMD-1839-1874.pdf#page=4","Abrir facsímil")</f>
        <v>Abrir facsímil</v>
      </c>
      <c r="K8171" s="12" t="s">
        <v>65</v>
      </c>
    </row>
    <row r="8172" spans="1:11" ht="40.049999999999997" customHeight="1" x14ac:dyDescent="0.25">
      <c r="A8172" s="11" t="s">
        <v>16632</v>
      </c>
      <c r="B8172" s="11" t="s">
        <v>16633</v>
      </c>
      <c r="C8172" s="11" t="s">
        <v>80</v>
      </c>
      <c r="D8172" s="11" t="s">
        <v>18</v>
      </c>
      <c r="E8172" s="12" t="s">
        <v>821</v>
      </c>
      <c r="F8172" s="12" t="s">
        <v>822</v>
      </c>
      <c r="G8172" s="12" t="s">
        <v>21</v>
      </c>
      <c r="H8172" s="11" t="s">
        <v>63</v>
      </c>
      <c r="I8172" s="13" t="s">
        <v>16634</v>
      </c>
      <c r="J8172" s="14" t="str">
        <f>HYPERLINK("https://www.boe.es/gazeta/dias/1839/09/20/pdfs/GMD-1839-1775.pdf#page=4","Abrir facsímil")</f>
        <v>Abrir facsímil</v>
      </c>
      <c r="K8172" s="12" t="s">
        <v>65</v>
      </c>
    </row>
    <row r="8173" spans="1:11" ht="40.049999999999997" customHeight="1" x14ac:dyDescent="0.25">
      <c r="A8173" s="11" t="s">
        <v>16635</v>
      </c>
      <c r="B8173" s="11" t="s">
        <v>16636</v>
      </c>
      <c r="C8173" s="11" t="s">
        <v>80</v>
      </c>
      <c r="D8173" s="11" t="s">
        <v>18</v>
      </c>
      <c r="E8173" s="12" t="s">
        <v>522</v>
      </c>
      <c r="F8173" s="12" t="s">
        <v>523</v>
      </c>
      <c r="G8173" s="12" t="s">
        <v>40</v>
      </c>
      <c r="H8173" s="11" t="s">
        <v>63</v>
      </c>
      <c r="I8173" s="13" t="s">
        <v>16637</v>
      </c>
      <c r="J8173" s="14" t="str">
        <f>HYPERLINK("https://www.boe.es/gazeta/dias/1839/08/27/pdfs/GMD-1839-1748.pdf#page=2","Abrir facsímil")</f>
        <v>Abrir facsímil</v>
      </c>
      <c r="K8173" s="12" t="s">
        <v>65</v>
      </c>
    </row>
    <row r="8174" spans="1:11" ht="40.049999999999997" customHeight="1" x14ac:dyDescent="0.25">
      <c r="A8174" s="11" t="s">
        <v>16638</v>
      </c>
      <c r="B8174" s="11" t="s">
        <v>16639</v>
      </c>
      <c r="C8174" s="11" t="s">
        <v>137</v>
      </c>
      <c r="D8174" s="11" t="s">
        <v>18</v>
      </c>
      <c r="E8174" s="12" t="s">
        <v>587</v>
      </c>
      <c r="F8174" s="12" t="s">
        <v>588</v>
      </c>
      <c r="G8174" s="12" t="s">
        <v>29</v>
      </c>
      <c r="H8174" s="11" t="s">
        <v>63</v>
      </c>
      <c r="I8174" s="13" t="s">
        <v>16640</v>
      </c>
      <c r="J8174" s="14" t="str">
        <f>HYPERLINK("https://www.boe.es/gazeta/dias/1839/05/02/pdfs/GMD-1839-1629.pdf#page=1","Abrir facsímil")</f>
        <v>Abrir facsímil</v>
      </c>
      <c r="K8174" s="12" t="s">
        <v>65</v>
      </c>
    </row>
    <row r="8175" spans="1:11" ht="40.049999999999997" customHeight="1" x14ac:dyDescent="0.25">
      <c r="A8175" s="11" t="s">
        <v>16641</v>
      </c>
      <c r="B8175" s="11" t="s">
        <v>16642</v>
      </c>
      <c r="C8175" s="11" t="s">
        <v>80</v>
      </c>
      <c r="D8175" s="11" t="s">
        <v>18</v>
      </c>
      <c r="E8175" s="12" t="s">
        <v>116</v>
      </c>
      <c r="F8175" s="12" t="s">
        <v>117</v>
      </c>
      <c r="G8175" s="12" t="s">
        <v>21</v>
      </c>
      <c r="H8175" s="11" t="s">
        <v>63</v>
      </c>
      <c r="I8175" s="13" t="s">
        <v>16643</v>
      </c>
      <c r="J8175" s="14" t="str">
        <f>HYPERLINK("https://www.boe.es/gazeta/dias/1839/10/10/pdfs/GMD-1839-1796.pdf#page=4","Abrir facsímil")</f>
        <v>Abrir facsímil</v>
      </c>
      <c r="K8175" s="12" t="s">
        <v>65</v>
      </c>
    </row>
    <row r="8176" spans="1:11" ht="40.049999999999997" customHeight="1" x14ac:dyDescent="0.25">
      <c r="A8176" s="11" t="s">
        <v>16644</v>
      </c>
      <c r="B8176" s="11" t="s">
        <v>16645</v>
      </c>
      <c r="C8176" s="11" t="s">
        <v>17</v>
      </c>
      <c r="D8176" s="11" t="s">
        <v>18</v>
      </c>
      <c r="E8176" s="12" t="s">
        <v>233</v>
      </c>
      <c r="F8176" s="12" t="s">
        <v>234</v>
      </c>
      <c r="G8176" s="12" t="s">
        <v>46</v>
      </c>
      <c r="H8176" s="11" t="s">
        <v>63</v>
      </c>
      <c r="I8176" s="13" t="s">
        <v>16646</v>
      </c>
      <c r="J8176" s="14" t="str">
        <f>HYPERLINK("https://www.boe.es/gazeta/dias/1839/09/17/pdfs/GMD-1839-1770.pdf#page=3","Abrir facsímil")</f>
        <v>Abrir facsímil</v>
      </c>
      <c r="K8176" s="12" t="s">
        <v>65</v>
      </c>
    </row>
    <row r="8177" spans="1:11" ht="40.049999999999997" customHeight="1" x14ac:dyDescent="0.25">
      <c r="A8177" s="11" t="s">
        <v>16647</v>
      </c>
      <c r="B8177" s="11" t="s">
        <v>16648</v>
      </c>
      <c r="C8177" s="11" t="s">
        <v>17</v>
      </c>
      <c r="D8177" s="11" t="s">
        <v>18</v>
      </c>
      <c r="E8177" s="12" t="s">
        <v>1027</v>
      </c>
      <c r="F8177" s="12" t="s">
        <v>1028</v>
      </c>
      <c r="G8177" s="12" t="s">
        <v>21</v>
      </c>
      <c r="H8177" s="11" t="s">
        <v>63</v>
      </c>
      <c r="I8177" s="13" t="s">
        <v>16649</v>
      </c>
      <c r="J8177" s="14" t="str">
        <f>HYPERLINK("https://www.boe.es/gazeta/dias/1839/08/16/pdfs/GMD-1839-1736.pdf#page=4","Abrir facsímil")</f>
        <v>Abrir facsímil</v>
      </c>
      <c r="K8177" s="12" t="s">
        <v>65</v>
      </c>
    </row>
    <row r="8178" spans="1:11" ht="40.049999999999997" customHeight="1" x14ac:dyDescent="0.25">
      <c r="A8178" s="11" t="s">
        <v>16650</v>
      </c>
      <c r="B8178" s="11" t="s">
        <v>16651</v>
      </c>
      <c r="C8178" s="11" t="s">
        <v>137</v>
      </c>
      <c r="D8178" s="11" t="s">
        <v>18</v>
      </c>
      <c r="E8178" s="12" t="s">
        <v>81</v>
      </c>
      <c r="F8178" s="12" t="s">
        <v>82</v>
      </c>
      <c r="G8178" s="12" t="s">
        <v>40</v>
      </c>
      <c r="H8178" s="11" t="s">
        <v>63</v>
      </c>
      <c r="I8178" s="13" t="s">
        <v>16652</v>
      </c>
      <c r="J8178" s="14" t="str">
        <f>HYPERLINK("https://www.boe.es/gazeta/dias/1839/03/03/pdfs/GMD-1839-1569.pdf#page=2","Abrir facsímil")</f>
        <v>Abrir facsímil</v>
      </c>
      <c r="K8178" s="12" t="s">
        <v>65</v>
      </c>
    </row>
    <row r="8179" spans="1:11" ht="40.049999999999997" customHeight="1" x14ac:dyDescent="0.25">
      <c r="A8179" s="11" t="s">
        <v>16653</v>
      </c>
      <c r="B8179" s="11" t="s">
        <v>16653</v>
      </c>
      <c r="C8179" s="11" t="s">
        <v>17</v>
      </c>
      <c r="D8179" s="11" t="s">
        <v>18</v>
      </c>
      <c r="E8179" s="12" t="s">
        <v>258</v>
      </c>
      <c r="F8179" s="12" t="s">
        <v>259</v>
      </c>
      <c r="G8179" s="12" t="s">
        <v>46</v>
      </c>
      <c r="H8179" s="11" t="s">
        <v>63</v>
      </c>
      <c r="I8179" s="13" t="s">
        <v>16654</v>
      </c>
      <c r="J8179" s="14" t="str">
        <f>HYPERLINK("https://www.boe.es/gazeta/dias/1839/01/02/pdfs/GMD-1839-1509.pdf#page=3","Abrir facsímil")</f>
        <v>Abrir facsímil</v>
      </c>
      <c r="K8179" s="12" t="s">
        <v>65</v>
      </c>
    </row>
    <row r="8180" spans="1:11" ht="40.049999999999997" customHeight="1" x14ac:dyDescent="0.25">
      <c r="A8180" s="11" t="s">
        <v>16653</v>
      </c>
      <c r="B8180" s="11" t="s">
        <v>16653</v>
      </c>
      <c r="C8180" s="11" t="s">
        <v>17</v>
      </c>
      <c r="D8180" s="11" t="s">
        <v>18</v>
      </c>
      <c r="E8180" s="12" t="s">
        <v>1813</v>
      </c>
      <c r="F8180" s="12" t="s">
        <v>1814</v>
      </c>
      <c r="G8180" s="12" t="s">
        <v>21</v>
      </c>
      <c r="H8180" s="11" t="s">
        <v>63</v>
      </c>
      <c r="I8180" s="13" t="s">
        <v>16655</v>
      </c>
      <c r="J8180" s="14" t="str">
        <f>HYPERLINK("https://www.boe.es/gazeta/dias/1839/09/02/pdfs/GMD-1839-1754.pdf#page=4","Abrir facsímil")</f>
        <v>Abrir facsímil</v>
      </c>
      <c r="K8180" s="12" t="s">
        <v>65</v>
      </c>
    </row>
    <row r="8181" spans="1:11" ht="40.049999999999997" customHeight="1" x14ac:dyDescent="0.25">
      <c r="A8181" s="11" t="s">
        <v>16653</v>
      </c>
      <c r="B8181" s="11" t="s">
        <v>16653</v>
      </c>
      <c r="C8181" s="11" t="s">
        <v>59</v>
      </c>
      <c r="D8181" s="11" t="s">
        <v>60</v>
      </c>
      <c r="E8181" s="12" t="s">
        <v>49</v>
      </c>
      <c r="F8181" s="12" t="s">
        <v>50</v>
      </c>
      <c r="G8181" s="12" t="s">
        <v>46</v>
      </c>
      <c r="H8181" s="11" t="s">
        <v>63</v>
      </c>
      <c r="I8181" s="13" t="s">
        <v>16656</v>
      </c>
      <c r="J8181" s="14" t="str">
        <f>HYPERLINK("https://www.boe.es/gazeta/dias/1839/01/05/pdfs/GMD-1839-1512.pdf#page=3","Abrir facsímil")</f>
        <v>Abrir facsímil</v>
      </c>
      <c r="K8181" s="12" t="s">
        <v>65</v>
      </c>
    </row>
    <row r="8182" spans="1:11" ht="40.049999999999997" customHeight="1" x14ac:dyDescent="0.25">
      <c r="A8182" s="11" t="s">
        <v>16653</v>
      </c>
      <c r="B8182" s="11" t="s">
        <v>16653</v>
      </c>
      <c r="C8182" s="11" t="s">
        <v>101</v>
      </c>
      <c r="D8182" s="11" t="s">
        <v>43</v>
      </c>
      <c r="E8182" s="12" t="s">
        <v>49</v>
      </c>
      <c r="F8182" s="12" t="s">
        <v>50</v>
      </c>
      <c r="G8182" s="12" t="s">
        <v>21</v>
      </c>
      <c r="H8182" s="11" t="s">
        <v>63</v>
      </c>
      <c r="I8182" s="13" t="s">
        <v>16657</v>
      </c>
      <c r="J8182" s="14" t="str">
        <f>HYPERLINK("https://www.boe.es/gazeta/dias/1839/01/05/pdfs/GMD-1839-1512.pdf#page=4","Abrir facsímil")</f>
        <v>Abrir facsímil</v>
      </c>
      <c r="K8182" s="12" t="s">
        <v>65</v>
      </c>
    </row>
    <row r="8183" spans="1:11" ht="40.049999999999997" customHeight="1" x14ac:dyDescent="0.25">
      <c r="A8183" s="11" t="s">
        <v>16653</v>
      </c>
      <c r="B8183" s="11" t="s">
        <v>16653</v>
      </c>
      <c r="C8183" s="11" t="s">
        <v>17</v>
      </c>
      <c r="D8183" s="11" t="s">
        <v>18</v>
      </c>
      <c r="E8183" s="12" t="s">
        <v>804</v>
      </c>
      <c r="F8183" s="12" t="s">
        <v>805</v>
      </c>
      <c r="G8183" s="12" t="s">
        <v>40</v>
      </c>
      <c r="H8183" s="11" t="s">
        <v>63</v>
      </c>
      <c r="I8183" s="13" t="s">
        <v>16658</v>
      </c>
      <c r="J8183" s="14" t="str">
        <f>HYPERLINK("https://www.boe.es/gazeta/dias/1839/01/08/pdfs/GMD-1839-1515.pdf#page=2","Abrir facsímil")</f>
        <v>Abrir facsímil</v>
      </c>
      <c r="K8183" s="12" t="s">
        <v>65</v>
      </c>
    </row>
    <row r="8184" spans="1:11" ht="40.049999999999997" customHeight="1" x14ac:dyDescent="0.25">
      <c r="A8184" s="11" t="s">
        <v>16653</v>
      </c>
      <c r="B8184" s="11" t="s">
        <v>16653</v>
      </c>
      <c r="C8184" s="11" t="s">
        <v>17</v>
      </c>
      <c r="D8184" s="11" t="s">
        <v>18</v>
      </c>
      <c r="E8184" s="12" t="s">
        <v>1395</v>
      </c>
      <c r="F8184" s="12" t="s">
        <v>1396</v>
      </c>
      <c r="G8184" s="12" t="s">
        <v>46</v>
      </c>
      <c r="H8184" s="11" t="s">
        <v>63</v>
      </c>
      <c r="I8184" s="13" t="s">
        <v>16659</v>
      </c>
      <c r="J8184" s="14" t="str">
        <f>HYPERLINK("https://www.boe.es/gazeta/dias/1839/06/26/pdfs/GMD-1839-1684.pdf#page=3","Abrir facsímil")</f>
        <v>Abrir facsímil</v>
      </c>
      <c r="K8184" s="12" t="s">
        <v>65</v>
      </c>
    </row>
    <row r="8185" spans="1:11" ht="40.049999999999997" customHeight="1" x14ac:dyDescent="0.25">
      <c r="A8185" s="11" t="s">
        <v>16660</v>
      </c>
      <c r="B8185" s="11" t="s">
        <v>16660</v>
      </c>
      <c r="C8185" s="11" t="s">
        <v>17</v>
      </c>
      <c r="D8185" s="11" t="s">
        <v>18</v>
      </c>
      <c r="E8185" s="12" t="s">
        <v>2443</v>
      </c>
      <c r="F8185" s="12" t="s">
        <v>2444</v>
      </c>
      <c r="G8185" s="12" t="s">
        <v>40</v>
      </c>
      <c r="H8185" s="11" t="s">
        <v>63</v>
      </c>
      <c r="I8185" s="13" t="s">
        <v>16661</v>
      </c>
      <c r="J8185" s="14" t="str">
        <f>HYPERLINK("https://www.boe.es/gazeta/dias/1839/11/02/pdfs/GMD-1839-1819.pdf#page=2","Abrir facsímil")</f>
        <v>Abrir facsímil</v>
      </c>
      <c r="K8185" s="12" t="s">
        <v>65</v>
      </c>
    </row>
    <row r="8186" spans="1:11" ht="40.049999999999997" customHeight="1" x14ac:dyDescent="0.25">
      <c r="A8186" s="11" t="s">
        <v>16662</v>
      </c>
      <c r="B8186" s="11" t="s">
        <v>16663</v>
      </c>
      <c r="C8186" s="11" t="s">
        <v>59</v>
      </c>
      <c r="D8186" s="11" t="s">
        <v>60</v>
      </c>
      <c r="E8186" s="12" t="s">
        <v>4550</v>
      </c>
      <c r="F8186" s="12" t="s">
        <v>4551</v>
      </c>
      <c r="G8186" s="12" t="s">
        <v>29</v>
      </c>
      <c r="H8186" s="11" t="s">
        <v>63</v>
      </c>
      <c r="I8186" s="13" t="s">
        <v>16664</v>
      </c>
      <c r="J8186" s="14" t="str">
        <f>HYPERLINK("https://www.boe.es/gazeta/dias/1839/04/17/pdfs/GMD-1839-1614.pdf#page=1","Abrir facsímil")</f>
        <v>Abrir facsímil</v>
      </c>
      <c r="K8186" s="12" t="s">
        <v>65</v>
      </c>
    </row>
    <row r="8187" spans="1:11" ht="40.049999999999997" customHeight="1" x14ac:dyDescent="0.25">
      <c r="A8187" s="11" t="s">
        <v>16665</v>
      </c>
      <c r="B8187" s="11" t="s">
        <v>16666</v>
      </c>
      <c r="C8187" s="11" t="s">
        <v>17</v>
      </c>
      <c r="D8187" s="11" t="s">
        <v>18</v>
      </c>
      <c r="E8187" s="12" t="s">
        <v>1378</v>
      </c>
      <c r="F8187" s="12" t="s">
        <v>1379</v>
      </c>
      <c r="G8187" s="12" t="s">
        <v>29</v>
      </c>
      <c r="H8187" s="11" t="s">
        <v>63</v>
      </c>
      <c r="I8187" s="13" t="s">
        <v>16667</v>
      </c>
      <c r="J8187" s="14" t="str">
        <f>HYPERLINK("https://www.boe.es/gazeta/dias/1839/05/18/pdfs/GMD-1839-1645.pdf#page=1","Abrir facsímil")</f>
        <v>Abrir facsímil</v>
      </c>
      <c r="K8187" s="12" t="s">
        <v>65</v>
      </c>
    </row>
    <row r="8188" spans="1:11" ht="40.049999999999997" customHeight="1" x14ac:dyDescent="0.25">
      <c r="A8188" s="11" t="s">
        <v>16668</v>
      </c>
      <c r="B8188" s="11" t="s">
        <v>16669</v>
      </c>
      <c r="C8188" s="11" t="s">
        <v>59</v>
      </c>
      <c r="D8188" s="11" t="s">
        <v>60</v>
      </c>
      <c r="E8188" s="12" t="s">
        <v>258</v>
      </c>
      <c r="F8188" s="12" t="s">
        <v>259</v>
      </c>
      <c r="G8188" s="12" t="s">
        <v>29</v>
      </c>
      <c r="H8188" s="11" t="s">
        <v>63</v>
      </c>
      <c r="I8188" s="13" t="s">
        <v>16670</v>
      </c>
      <c r="J8188" s="14" t="str">
        <f>HYPERLINK("https://www.boe.es/gazeta/dias/1839/01/02/pdfs/GMD-1839-1509.pdf#page=1","Abrir facsímil")</f>
        <v>Abrir facsímil</v>
      </c>
      <c r="K8188" s="12" t="s">
        <v>65</v>
      </c>
    </row>
    <row r="8189" spans="1:11" ht="40.049999999999997" customHeight="1" x14ac:dyDescent="0.25">
      <c r="A8189" s="11" t="s">
        <v>16671</v>
      </c>
      <c r="B8189" s="11" t="s">
        <v>16671</v>
      </c>
      <c r="C8189" s="11" t="s">
        <v>17</v>
      </c>
      <c r="D8189" s="11" t="s">
        <v>18</v>
      </c>
      <c r="E8189" s="12" t="s">
        <v>1895</v>
      </c>
      <c r="F8189" s="12" t="s">
        <v>1896</v>
      </c>
      <c r="G8189" s="12" t="s">
        <v>40</v>
      </c>
      <c r="H8189" s="11" t="s">
        <v>63</v>
      </c>
      <c r="I8189" s="13" t="s">
        <v>16672</v>
      </c>
      <c r="J8189" s="14" t="str">
        <f>HYPERLINK("https://www.boe.es/gazeta/dias/1839/12/23/pdfs/GMD-1839-1870.pdf#page=2","Abrir facsímil")</f>
        <v>Abrir facsímil</v>
      </c>
      <c r="K8189" s="12" t="s">
        <v>65</v>
      </c>
    </row>
    <row r="8190" spans="1:11" ht="40.049999999999997" customHeight="1" x14ac:dyDescent="0.25">
      <c r="A8190" s="11" t="s">
        <v>16673</v>
      </c>
      <c r="B8190" s="11" t="s">
        <v>16673</v>
      </c>
      <c r="C8190" s="11" t="s">
        <v>17</v>
      </c>
      <c r="D8190" s="11" t="s">
        <v>18</v>
      </c>
      <c r="E8190" s="12" t="s">
        <v>695</v>
      </c>
      <c r="F8190" s="12" t="s">
        <v>696</v>
      </c>
      <c r="G8190" s="12" t="s">
        <v>46</v>
      </c>
      <c r="H8190" s="11" t="s">
        <v>63</v>
      </c>
      <c r="I8190" s="13" t="s">
        <v>16674</v>
      </c>
      <c r="J8190" s="14" t="str">
        <f>HYPERLINK("https://www.boe.es/gazeta/dias/1839/12/19/pdfs/GMD-1839-1866.pdf#page=3","Abrir facsímil")</f>
        <v>Abrir facsímil</v>
      </c>
      <c r="K8190" s="12" t="s">
        <v>65</v>
      </c>
    </row>
    <row r="8191" spans="1:11" ht="40.049999999999997" customHeight="1" x14ac:dyDescent="0.25">
      <c r="A8191" s="11" t="s">
        <v>16675</v>
      </c>
      <c r="B8191" s="11" t="s">
        <v>16676</v>
      </c>
      <c r="C8191" s="11" t="s">
        <v>80</v>
      </c>
      <c r="D8191" s="11" t="s">
        <v>18</v>
      </c>
      <c r="E8191" s="12" t="s">
        <v>27</v>
      </c>
      <c r="F8191" s="12" t="s">
        <v>28</v>
      </c>
      <c r="G8191" s="12" t="s">
        <v>21</v>
      </c>
      <c r="H8191" s="11" t="s">
        <v>63</v>
      </c>
      <c r="I8191" s="13" t="s">
        <v>16677</v>
      </c>
      <c r="J8191" s="14" t="str">
        <f>HYPERLINK("https://www.boe.es/gazeta/dias/1839/07/28/pdfs/GMD-1839-1717.pdf#page=4","Abrir facsímil")</f>
        <v>Abrir facsímil</v>
      </c>
      <c r="K8191" s="12" t="s">
        <v>65</v>
      </c>
    </row>
    <row r="8192" spans="1:11" ht="40.049999999999997" customHeight="1" x14ac:dyDescent="0.25">
      <c r="A8192" s="11" t="s">
        <v>16678</v>
      </c>
      <c r="B8192" s="11" t="s">
        <v>16678</v>
      </c>
      <c r="C8192" s="11" t="s">
        <v>17</v>
      </c>
      <c r="D8192" s="11" t="s">
        <v>18</v>
      </c>
      <c r="E8192" s="12" t="s">
        <v>5845</v>
      </c>
      <c r="F8192" s="12" t="s">
        <v>5846</v>
      </c>
      <c r="G8192" s="12" t="s">
        <v>21</v>
      </c>
      <c r="H8192" s="11" t="s">
        <v>63</v>
      </c>
      <c r="I8192" s="13" t="s">
        <v>16679</v>
      </c>
      <c r="J8192" s="14" t="str">
        <f>HYPERLINK("https://www.boe.es/gazeta/dias/1839/04/01/pdfs/GMD-1839-1598.pdf#page=4","Abrir facsímil")</f>
        <v>Abrir facsímil</v>
      </c>
      <c r="K8192" s="12" t="s">
        <v>65</v>
      </c>
    </row>
    <row r="8193" spans="1:11" ht="40.049999999999997" customHeight="1" x14ac:dyDescent="0.25">
      <c r="A8193" s="11" t="s">
        <v>16678</v>
      </c>
      <c r="B8193" s="11" t="s">
        <v>16678</v>
      </c>
      <c r="C8193" s="11" t="s">
        <v>17</v>
      </c>
      <c r="D8193" s="11" t="s">
        <v>18</v>
      </c>
      <c r="E8193" s="12" t="s">
        <v>1807</v>
      </c>
      <c r="F8193" s="12" t="s">
        <v>1808</v>
      </c>
      <c r="G8193" s="12" t="s">
        <v>21</v>
      </c>
      <c r="H8193" s="11" t="s">
        <v>63</v>
      </c>
      <c r="I8193" s="13" t="s">
        <v>16680</v>
      </c>
      <c r="J8193" s="14" t="str">
        <f>HYPERLINK("https://www.boe.es/gazeta/dias/1839/01/29/pdfs/GMD-1839-1536.pdf#page=4","Abrir facsímil")</f>
        <v>Abrir facsímil</v>
      </c>
      <c r="K8193" s="12" t="s">
        <v>65</v>
      </c>
    </row>
    <row r="8194" spans="1:11" ht="40.049999999999997" customHeight="1" x14ac:dyDescent="0.25">
      <c r="A8194" s="11" t="s">
        <v>16681</v>
      </c>
      <c r="B8194" s="11" t="s">
        <v>16682</v>
      </c>
      <c r="C8194" s="11" t="s">
        <v>137</v>
      </c>
      <c r="D8194" s="11" t="s">
        <v>18</v>
      </c>
      <c r="E8194" s="12" t="s">
        <v>1772</v>
      </c>
      <c r="F8194" s="12" t="s">
        <v>1773</v>
      </c>
      <c r="G8194" s="12" t="s">
        <v>21</v>
      </c>
      <c r="H8194" s="11" t="s">
        <v>63</v>
      </c>
      <c r="I8194" s="13" t="s">
        <v>16683</v>
      </c>
      <c r="J8194" s="14" t="str">
        <f>HYPERLINK("https://www.boe.es/gazeta/dias/1839/05/07/pdfs/GMD-1839-1634.pdf#page=4","Abrir facsímil")</f>
        <v>Abrir facsímil</v>
      </c>
      <c r="K8194" s="12" t="s">
        <v>65</v>
      </c>
    </row>
    <row r="8195" spans="1:11" ht="40.049999999999997" customHeight="1" x14ac:dyDescent="0.25">
      <c r="A8195" s="11" t="s">
        <v>16684</v>
      </c>
      <c r="B8195" s="11" t="s">
        <v>16685</v>
      </c>
      <c r="C8195" s="11" t="s">
        <v>137</v>
      </c>
      <c r="D8195" s="11" t="s">
        <v>18</v>
      </c>
      <c r="E8195" s="12" t="s">
        <v>81</v>
      </c>
      <c r="F8195" s="12" t="s">
        <v>82</v>
      </c>
      <c r="G8195" s="12" t="s">
        <v>29</v>
      </c>
      <c r="H8195" s="11" t="s">
        <v>22</v>
      </c>
      <c r="I8195" s="13" t="s">
        <v>16686</v>
      </c>
      <c r="J8195" s="14" t="str">
        <f>HYPERLINK("https://www.boe.es/gazeta/dias/1839/03/03/pdfs/GMD-1839-1569.pdf#page=1","Abrir facsímil")</f>
        <v>Abrir facsímil</v>
      </c>
      <c r="K8195" s="12" t="s">
        <v>24</v>
      </c>
    </row>
    <row r="8196" spans="1:11" ht="40.049999999999997" customHeight="1" x14ac:dyDescent="0.25">
      <c r="A8196" s="11" t="s">
        <v>16687</v>
      </c>
      <c r="B8196" s="11" t="s">
        <v>16687</v>
      </c>
      <c r="C8196" s="11" t="s">
        <v>137</v>
      </c>
      <c r="D8196" s="11" t="s">
        <v>18</v>
      </c>
      <c r="E8196" s="12" t="s">
        <v>2138</v>
      </c>
      <c r="F8196" s="12" t="s">
        <v>2139</v>
      </c>
      <c r="G8196" s="12" t="s">
        <v>46</v>
      </c>
      <c r="H8196" s="11" t="s">
        <v>63</v>
      </c>
      <c r="I8196" s="13" t="s">
        <v>16688</v>
      </c>
      <c r="J8196" s="14" t="str">
        <f>HYPERLINK("https://www.boe.es/gazeta/dias/1839/10/02/pdfs/GMD-1839-1788.pdf#page=3","Abrir facsímil")</f>
        <v>Abrir facsímil</v>
      </c>
      <c r="K8196" s="12" t="s">
        <v>65</v>
      </c>
    </row>
    <row r="8197" spans="1:11" ht="40.049999999999997" customHeight="1" x14ac:dyDescent="0.25">
      <c r="A8197" s="11" t="s">
        <v>16687</v>
      </c>
      <c r="B8197" s="11" t="s">
        <v>16687</v>
      </c>
      <c r="C8197" s="11" t="s">
        <v>101</v>
      </c>
      <c r="D8197" s="11" t="s">
        <v>43</v>
      </c>
      <c r="E8197" s="12" t="s">
        <v>1100</v>
      </c>
      <c r="F8197" s="12" t="s">
        <v>1101</v>
      </c>
      <c r="G8197" s="12" t="s">
        <v>40</v>
      </c>
      <c r="H8197" s="11" t="s">
        <v>63</v>
      </c>
      <c r="I8197" s="13" t="s">
        <v>16689</v>
      </c>
      <c r="J8197" s="14" t="str">
        <f>HYPERLINK("https://www.boe.es/gazeta/dias/1839/09/13/pdfs/GMD-1839-1766.pdf#page=2","Abrir facsímil")</f>
        <v>Abrir facsímil</v>
      </c>
      <c r="K8197" s="12" t="s">
        <v>65</v>
      </c>
    </row>
    <row r="8198" spans="1:11" ht="40.049999999999997" customHeight="1" x14ac:dyDescent="0.25">
      <c r="A8198" s="11" t="s">
        <v>16687</v>
      </c>
      <c r="B8198" s="11" t="s">
        <v>16687</v>
      </c>
      <c r="C8198" s="11" t="s">
        <v>17</v>
      </c>
      <c r="D8198" s="11" t="s">
        <v>18</v>
      </c>
      <c r="E8198" s="12" t="s">
        <v>19</v>
      </c>
      <c r="F8198" s="12" t="s">
        <v>20</v>
      </c>
      <c r="G8198" s="12" t="s">
        <v>46</v>
      </c>
      <c r="H8198" s="11" t="s">
        <v>63</v>
      </c>
      <c r="I8198" s="13" t="s">
        <v>16690</v>
      </c>
      <c r="J8198" s="14" t="str">
        <f>HYPERLINK("https://www.boe.es/gazeta/dias/1839/01/19/pdfs/GMD-1839-1526.pdf#page=3","Abrir facsímil")</f>
        <v>Abrir facsímil</v>
      </c>
      <c r="K8198" s="12" t="s">
        <v>65</v>
      </c>
    </row>
    <row r="8199" spans="1:11" ht="40.049999999999997" customHeight="1" x14ac:dyDescent="0.25">
      <c r="A8199" s="11" t="s">
        <v>16687</v>
      </c>
      <c r="B8199" s="11" t="s">
        <v>16687</v>
      </c>
      <c r="C8199" s="11" t="s">
        <v>17</v>
      </c>
      <c r="D8199" s="11" t="s">
        <v>18</v>
      </c>
      <c r="E8199" s="12" t="s">
        <v>19</v>
      </c>
      <c r="F8199" s="12" t="s">
        <v>20</v>
      </c>
      <c r="G8199" s="12" t="s">
        <v>21</v>
      </c>
      <c r="H8199" s="11" t="s">
        <v>63</v>
      </c>
      <c r="I8199" s="13" t="s">
        <v>16691</v>
      </c>
      <c r="J8199" s="14" t="str">
        <f>HYPERLINK("https://www.boe.es/gazeta/dias/1839/01/19/pdfs/GMD-1839-1526.pdf#page=4","Abrir facsímil")</f>
        <v>Abrir facsímil</v>
      </c>
      <c r="K8199" s="12" t="s">
        <v>65</v>
      </c>
    </row>
    <row r="8200" spans="1:11" ht="40.049999999999997" customHeight="1" x14ac:dyDescent="0.25">
      <c r="A8200" s="11" t="s">
        <v>16687</v>
      </c>
      <c r="B8200" s="11" t="s">
        <v>16687</v>
      </c>
      <c r="C8200" s="11" t="s">
        <v>17</v>
      </c>
      <c r="D8200" s="11" t="s">
        <v>18</v>
      </c>
      <c r="E8200" s="12" t="s">
        <v>1086</v>
      </c>
      <c r="F8200" s="12" t="s">
        <v>1087</v>
      </c>
      <c r="G8200" s="12" t="s">
        <v>40</v>
      </c>
      <c r="H8200" s="11" t="s">
        <v>63</v>
      </c>
      <c r="I8200" s="13" t="s">
        <v>16692</v>
      </c>
      <c r="J8200" s="14" t="str">
        <f>HYPERLINK("https://www.boe.es/gazeta/dias/1839/10/26/pdfs/GMD-1839-1812.pdf#page=2","Abrir facsímil")</f>
        <v>Abrir facsímil</v>
      </c>
      <c r="K8200" s="12" t="s">
        <v>65</v>
      </c>
    </row>
    <row r="8201" spans="1:11" ht="40.049999999999997" customHeight="1" x14ac:dyDescent="0.25">
      <c r="A8201" s="11" t="s">
        <v>16693</v>
      </c>
      <c r="B8201" s="11" t="s">
        <v>16693</v>
      </c>
      <c r="C8201" s="11" t="s">
        <v>17</v>
      </c>
      <c r="D8201" s="11" t="s">
        <v>18</v>
      </c>
      <c r="E8201" s="12" t="s">
        <v>2443</v>
      </c>
      <c r="F8201" s="12" t="s">
        <v>2444</v>
      </c>
      <c r="G8201" s="12" t="s">
        <v>40</v>
      </c>
      <c r="H8201" s="11" t="s">
        <v>63</v>
      </c>
      <c r="I8201" s="13" t="s">
        <v>16694</v>
      </c>
      <c r="J8201" s="14" t="str">
        <f>HYPERLINK("https://www.boe.es/gazeta/dias/1839/11/02/pdfs/GMD-1839-1819.pdf#page=2","Abrir facsímil")</f>
        <v>Abrir facsímil</v>
      </c>
      <c r="K8201" s="12" t="s">
        <v>65</v>
      </c>
    </row>
    <row r="8202" spans="1:11" ht="40.049999999999997" customHeight="1" x14ac:dyDescent="0.25">
      <c r="A8202" s="11" t="s">
        <v>16693</v>
      </c>
      <c r="B8202" s="11" t="s">
        <v>16693</v>
      </c>
      <c r="C8202" s="11" t="s">
        <v>59</v>
      </c>
      <c r="D8202" s="11" t="s">
        <v>60</v>
      </c>
      <c r="E8202" s="12" t="s">
        <v>2227</v>
      </c>
      <c r="F8202" s="12" t="s">
        <v>2228</v>
      </c>
      <c r="G8202" s="12" t="s">
        <v>40</v>
      </c>
      <c r="H8202" s="11" t="s">
        <v>63</v>
      </c>
      <c r="I8202" s="13" t="s">
        <v>16695</v>
      </c>
      <c r="J8202" s="14" t="str">
        <f>HYPERLINK("https://www.boe.es/gazeta/dias/1839/12/04/pdfs/GMD-1839-1851.pdf#page=2","Abrir facsímil")</f>
        <v>Abrir facsímil</v>
      </c>
      <c r="K8202" s="12" t="s">
        <v>65</v>
      </c>
    </row>
    <row r="8203" spans="1:11" ht="40.049999999999997" customHeight="1" x14ac:dyDescent="0.25">
      <c r="A8203" s="11" t="s">
        <v>16696</v>
      </c>
      <c r="B8203" s="11" t="s">
        <v>16696</v>
      </c>
      <c r="C8203" s="11" t="s">
        <v>101</v>
      </c>
      <c r="D8203" s="11" t="s">
        <v>43</v>
      </c>
      <c r="E8203" s="12" t="s">
        <v>262</v>
      </c>
      <c r="F8203" s="12" t="s">
        <v>263</v>
      </c>
      <c r="G8203" s="12" t="s">
        <v>46</v>
      </c>
      <c r="H8203" s="11" t="s">
        <v>22</v>
      </c>
      <c r="I8203" s="13" t="s">
        <v>16697</v>
      </c>
      <c r="J8203" s="14" t="str">
        <f>HYPERLINK("https://www.boe.es/gazeta/dias/1839/01/01/pdfs/GMD-1839-1508.pdf#page=3","Abrir facsímil")</f>
        <v>Abrir facsímil</v>
      </c>
      <c r="K8203" s="12" t="s">
        <v>24</v>
      </c>
    </row>
    <row r="8204" spans="1:11" ht="40.049999999999997" customHeight="1" x14ac:dyDescent="0.25">
      <c r="A8204" s="11" t="s">
        <v>16698</v>
      </c>
      <c r="B8204" s="11" t="s">
        <v>16698</v>
      </c>
      <c r="C8204" s="11" t="s">
        <v>17</v>
      </c>
      <c r="D8204" s="11" t="s">
        <v>18</v>
      </c>
      <c r="E8204" s="12" t="s">
        <v>2138</v>
      </c>
      <c r="F8204" s="12" t="s">
        <v>2139</v>
      </c>
      <c r="G8204" s="12" t="s">
        <v>21</v>
      </c>
      <c r="H8204" s="11" t="s">
        <v>22</v>
      </c>
      <c r="I8204" s="13" t="s">
        <v>16699</v>
      </c>
      <c r="J8204" s="14" t="str">
        <f>HYPERLINK("https://www.boe.es/gazeta/dias/1839/10/02/pdfs/GMD-1839-1788.pdf#page=4","Abrir facsímil")</f>
        <v>Abrir facsímil</v>
      </c>
      <c r="K8204" s="12" t="s">
        <v>24</v>
      </c>
    </row>
    <row r="8205" spans="1:11" ht="40.049999999999997" customHeight="1" x14ac:dyDescent="0.25">
      <c r="A8205" s="11" t="s">
        <v>16698</v>
      </c>
      <c r="B8205" s="11" t="s">
        <v>16698</v>
      </c>
      <c r="C8205" s="11" t="s">
        <v>137</v>
      </c>
      <c r="D8205" s="11" t="s">
        <v>18</v>
      </c>
      <c r="E8205" s="12" t="s">
        <v>448</v>
      </c>
      <c r="F8205" s="12" t="s">
        <v>449</v>
      </c>
      <c r="G8205" s="12" t="s">
        <v>40</v>
      </c>
      <c r="H8205" s="11" t="s">
        <v>22</v>
      </c>
      <c r="I8205" s="13" t="s">
        <v>16700</v>
      </c>
      <c r="J8205" s="14" t="str">
        <f>HYPERLINK("https://www.boe.es/gazeta/dias/1839/02/06/pdfs/GMD-1839-1544.pdf#page=2","Abrir facsímil")</f>
        <v>Abrir facsímil</v>
      </c>
      <c r="K8205" s="12" t="s">
        <v>24</v>
      </c>
    </row>
    <row r="8206" spans="1:11" ht="40.049999999999997" customHeight="1" x14ac:dyDescent="0.25">
      <c r="A8206" s="11" t="s">
        <v>16698</v>
      </c>
      <c r="B8206" s="11" t="s">
        <v>16698</v>
      </c>
      <c r="C8206" s="11" t="s">
        <v>101</v>
      </c>
      <c r="D8206" s="11" t="s">
        <v>43</v>
      </c>
      <c r="E8206" s="12" t="s">
        <v>647</v>
      </c>
      <c r="F8206" s="12" t="s">
        <v>648</v>
      </c>
      <c r="G8206" s="12" t="s">
        <v>46</v>
      </c>
      <c r="H8206" s="11" t="s">
        <v>22</v>
      </c>
      <c r="I8206" s="13" t="s">
        <v>16701</v>
      </c>
      <c r="J8206" s="14" t="str">
        <f>HYPERLINK("https://www.boe.es/gazeta/dias/1839/10/08/pdfs/GMD-1839-1794.pdf#page=3","Abrir facsímil")</f>
        <v>Abrir facsímil</v>
      </c>
      <c r="K8206" s="12" t="s">
        <v>24</v>
      </c>
    </row>
    <row r="8207" spans="1:11" ht="40.049999999999997" customHeight="1" x14ac:dyDescent="0.25">
      <c r="A8207" s="11" t="s">
        <v>16698</v>
      </c>
      <c r="B8207" s="11" t="s">
        <v>16698</v>
      </c>
      <c r="C8207" s="11" t="s">
        <v>17</v>
      </c>
      <c r="D8207" s="11" t="s">
        <v>18</v>
      </c>
      <c r="E8207" s="12" t="s">
        <v>647</v>
      </c>
      <c r="F8207" s="12" t="s">
        <v>648</v>
      </c>
      <c r="G8207" s="12" t="s">
        <v>21</v>
      </c>
      <c r="H8207" s="11" t="s">
        <v>22</v>
      </c>
      <c r="I8207" s="13" t="s">
        <v>16702</v>
      </c>
      <c r="J8207" s="14" t="str">
        <f>HYPERLINK("https://www.boe.es/gazeta/dias/1839/10/08/pdfs/GMD-1839-1794.pdf#page=4","Abrir facsímil")</f>
        <v>Abrir facsímil</v>
      </c>
      <c r="K8207" s="12" t="s">
        <v>24</v>
      </c>
    </row>
    <row r="8208" spans="1:11" ht="40.049999999999997" customHeight="1" x14ac:dyDescent="0.25">
      <c r="A8208" s="11" t="s">
        <v>16703</v>
      </c>
      <c r="B8208" s="11" t="s">
        <v>16703</v>
      </c>
      <c r="C8208" s="11" t="s">
        <v>137</v>
      </c>
      <c r="D8208" s="11" t="s">
        <v>18</v>
      </c>
      <c r="E8208" s="12" t="s">
        <v>185</v>
      </c>
      <c r="F8208" s="12" t="s">
        <v>186</v>
      </c>
      <c r="G8208" s="12" t="s">
        <v>40</v>
      </c>
      <c r="H8208" s="11" t="s">
        <v>63</v>
      </c>
      <c r="I8208" s="13" t="s">
        <v>16704</v>
      </c>
      <c r="J8208" s="14" t="str">
        <f>HYPERLINK("https://www.boe.es/gazeta/dias/1839/01/15/pdfs/GMD-1839-1522.pdf#page=2","Abrir facsímil")</f>
        <v>Abrir facsímil</v>
      </c>
      <c r="K8208" s="12" t="s">
        <v>65</v>
      </c>
    </row>
    <row r="8209" spans="1:11" ht="40.049999999999997" customHeight="1" x14ac:dyDescent="0.25">
      <c r="A8209" s="11" t="s">
        <v>16698</v>
      </c>
      <c r="B8209" s="11" t="s">
        <v>16698</v>
      </c>
      <c r="C8209" s="11" t="s">
        <v>101</v>
      </c>
      <c r="D8209" s="11" t="s">
        <v>102</v>
      </c>
      <c r="E8209" s="12" t="s">
        <v>862</v>
      </c>
      <c r="F8209" s="12" t="s">
        <v>863</v>
      </c>
      <c r="G8209" s="12" t="s">
        <v>566</v>
      </c>
      <c r="H8209" s="11" t="s">
        <v>22</v>
      </c>
      <c r="I8209" s="13" t="s">
        <v>16705</v>
      </c>
      <c r="J8209" s="14" t="str">
        <f>HYPERLINK("https://www.boe.es/gazeta/dias/1839/10/28/pdfs/GMD-1839-1814.pdf#page=5","Abrir facsímil")</f>
        <v>Abrir facsímil</v>
      </c>
      <c r="K8209" s="12" t="s">
        <v>24</v>
      </c>
    </row>
    <row r="8210" spans="1:11" ht="40.049999999999997" customHeight="1" x14ac:dyDescent="0.25">
      <c r="A8210" s="11" t="s">
        <v>16698</v>
      </c>
      <c r="B8210" s="11" t="s">
        <v>16698</v>
      </c>
      <c r="C8210" s="11" t="s">
        <v>17</v>
      </c>
      <c r="D8210" s="11" t="s">
        <v>18</v>
      </c>
      <c r="E8210" s="12" t="s">
        <v>653</v>
      </c>
      <c r="F8210" s="12" t="s">
        <v>654</v>
      </c>
      <c r="G8210" s="12" t="s">
        <v>46</v>
      </c>
      <c r="H8210" s="11" t="s">
        <v>22</v>
      </c>
      <c r="I8210" s="13" t="s">
        <v>16706</v>
      </c>
      <c r="J8210" s="14" t="str">
        <f>HYPERLINK("https://www.boe.es/gazeta/dias/1839/10/31/pdfs/GMD-1839-1817.pdf#page=3","Abrir facsímil")</f>
        <v>Abrir facsímil</v>
      </c>
      <c r="K8210" s="12" t="s">
        <v>24</v>
      </c>
    </row>
    <row r="8211" spans="1:11" ht="40.049999999999997" customHeight="1" x14ac:dyDescent="0.25">
      <c r="A8211" s="11" t="s">
        <v>16707</v>
      </c>
      <c r="B8211" s="11" t="s">
        <v>16708</v>
      </c>
      <c r="C8211" s="11" t="s">
        <v>80</v>
      </c>
      <c r="D8211" s="11" t="s">
        <v>18</v>
      </c>
      <c r="E8211" s="12" t="s">
        <v>246</v>
      </c>
      <c r="F8211" s="12" t="s">
        <v>247</v>
      </c>
      <c r="G8211" s="12" t="s">
        <v>46</v>
      </c>
      <c r="H8211" s="11" t="s">
        <v>63</v>
      </c>
      <c r="I8211" s="13" t="s">
        <v>16709</v>
      </c>
      <c r="J8211" s="14" t="str">
        <f>HYPERLINK("https://www.boe.es/gazeta/dias/1839/11/24/pdfs/GMD-1839-1841.pdf#page=3","Abrir facsímil")</f>
        <v>Abrir facsímil</v>
      </c>
      <c r="K8211" s="12" t="s">
        <v>65</v>
      </c>
    </row>
    <row r="8212" spans="1:11" ht="40.049999999999997" customHeight="1" x14ac:dyDescent="0.25">
      <c r="A8212" s="11" t="s">
        <v>16710</v>
      </c>
      <c r="B8212" s="11" t="s">
        <v>16711</v>
      </c>
      <c r="C8212" s="11" t="s">
        <v>17</v>
      </c>
      <c r="D8212" s="11" t="s">
        <v>18</v>
      </c>
      <c r="E8212" s="12" t="s">
        <v>601</v>
      </c>
      <c r="F8212" s="12" t="s">
        <v>602</v>
      </c>
      <c r="G8212" s="12" t="s">
        <v>21</v>
      </c>
      <c r="H8212" s="11" t="s">
        <v>63</v>
      </c>
      <c r="I8212" s="13" t="s">
        <v>16712</v>
      </c>
      <c r="J8212" s="14" t="str">
        <f>HYPERLINK("https://www.boe.es/gazeta/dias/1839/04/21/pdfs/GMD-1839-1618.pdf#page=4","Abrir facsímil")</f>
        <v>Abrir facsímil</v>
      </c>
      <c r="K8212" s="12" t="s">
        <v>65</v>
      </c>
    </row>
    <row r="8213" spans="1:11" ht="40.049999999999997" customHeight="1" x14ac:dyDescent="0.25">
      <c r="A8213" s="11" t="s">
        <v>16713</v>
      </c>
      <c r="B8213" s="11" t="s">
        <v>16713</v>
      </c>
      <c r="C8213" s="11" t="s">
        <v>137</v>
      </c>
      <c r="D8213" s="11" t="s">
        <v>18</v>
      </c>
      <c r="E8213" s="12" t="s">
        <v>606</v>
      </c>
      <c r="F8213" s="12" t="s">
        <v>607</v>
      </c>
      <c r="G8213" s="12" t="s">
        <v>29</v>
      </c>
      <c r="H8213" s="11" t="s">
        <v>63</v>
      </c>
      <c r="I8213" s="13" t="s">
        <v>16714</v>
      </c>
      <c r="J8213" s="14" t="str">
        <f>HYPERLINK("https://www.boe.es/gazeta/dias/1839/04/02/pdfs/GMD-1839-1599.pdf#page=1","Abrir facsímil")</f>
        <v>Abrir facsímil</v>
      </c>
      <c r="K8213" s="12" t="s">
        <v>65</v>
      </c>
    </row>
    <row r="8214" spans="1:11" ht="40.049999999999997" customHeight="1" x14ac:dyDescent="0.25">
      <c r="A8214" s="11" t="s">
        <v>16713</v>
      </c>
      <c r="B8214" s="11" t="s">
        <v>16713</v>
      </c>
      <c r="C8214" s="11" t="s">
        <v>101</v>
      </c>
      <c r="D8214" s="11" t="s">
        <v>102</v>
      </c>
      <c r="E8214" s="12" t="s">
        <v>798</v>
      </c>
      <c r="F8214" s="12" t="s">
        <v>799</v>
      </c>
      <c r="G8214" s="12" t="s">
        <v>29</v>
      </c>
      <c r="H8214" s="11" t="s">
        <v>63</v>
      </c>
      <c r="I8214" s="13" t="s">
        <v>16715</v>
      </c>
      <c r="J8214" s="14" t="str">
        <f>HYPERLINK("https://www.boe.es/gazeta/dias/1839/09/03/pdfs/GMD-1839-1755.pdf#page=1","Abrir facsímil")</f>
        <v>Abrir facsímil</v>
      </c>
      <c r="K8214" s="12" t="s">
        <v>65</v>
      </c>
    </row>
    <row r="8215" spans="1:11" ht="40.049999999999997" customHeight="1" x14ac:dyDescent="0.25">
      <c r="A8215" s="11" t="s">
        <v>16713</v>
      </c>
      <c r="B8215" s="11" t="s">
        <v>16713</v>
      </c>
      <c r="C8215" s="11" t="s">
        <v>17</v>
      </c>
      <c r="D8215" s="11" t="s">
        <v>18</v>
      </c>
      <c r="E8215" s="12" t="s">
        <v>4055</v>
      </c>
      <c r="F8215" s="12" t="s">
        <v>4056</v>
      </c>
      <c r="G8215" s="12" t="s">
        <v>29</v>
      </c>
      <c r="H8215" s="11" t="s">
        <v>63</v>
      </c>
      <c r="I8215" s="13" t="s">
        <v>16716</v>
      </c>
      <c r="J8215" s="14" t="str">
        <f>HYPERLINK("https://www.boe.es/gazeta/dias/1839/03/07/pdfs/GMD-1839-1573.pdf#page=1","Abrir facsímil")</f>
        <v>Abrir facsímil</v>
      </c>
      <c r="K8215" s="12" t="s">
        <v>65</v>
      </c>
    </row>
    <row r="8216" spans="1:11" ht="40.049999999999997" customHeight="1" x14ac:dyDescent="0.25">
      <c r="A8216" s="11" t="s">
        <v>16713</v>
      </c>
      <c r="B8216" s="11" t="s">
        <v>16713</v>
      </c>
      <c r="C8216" s="11" t="s">
        <v>17</v>
      </c>
      <c r="D8216" s="11" t="s">
        <v>18</v>
      </c>
      <c r="E8216" s="12" t="s">
        <v>804</v>
      </c>
      <c r="F8216" s="12" t="s">
        <v>805</v>
      </c>
      <c r="G8216" s="12" t="s">
        <v>29</v>
      </c>
      <c r="H8216" s="11" t="s">
        <v>63</v>
      </c>
      <c r="I8216" s="13" t="s">
        <v>16717</v>
      </c>
      <c r="J8216" s="14" t="str">
        <f>HYPERLINK("https://www.boe.es/gazeta/dias/1839/01/08/pdfs/GMD-1839-1515.pdf#page=1","Abrir facsímil")</f>
        <v>Abrir facsímil</v>
      </c>
      <c r="K8216" s="12" t="s">
        <v>65</v>
      </c>
    </row>
    <row r="8217" spans="1:11" ht="40.049999999999997" customHeight="1" x14ac:dyDescent="0.25">
      <c r="A8217" s="11" t="s">
        <v>16713</v>
      </c>
      <c r="B8217" s="11" t="s">
        <v>16713</v>
      </c>
      <c r="C8217" s="11" t="s">
        <v>137</v>
      </c>
      <c r="D8217" s="11" t="s">
        <v>18</v>
      </c>
      <c r="E8217" s="12" t="s">
        <v>1144</v>
      </c>
      <c r="F8217" s="12" t="s">
        <v>1145</v>
      </c>
      <c r="G8217" s="12" t="s">
        <v>29</v>
      </c>
      <c r="H8217" s="11" t="s">
        <v>63</v>
      </c>
      <c r="I8217" s="13" t="s">
        <v>16718</v>
      </c>
      <c r="J8217" s="14" t="str">
        <f>HYPERLINK("https://www.boe.es/gazeta/dias/1839/08/13/pdfs/GMD-1839-1733.pdf#page=1","Abrir facsímil")</f>
        <v>Abrir facsímil</v>
      </c>
      <c r="K8217" s="12" t="s">
        <v>65</v>
      </c>
    </row>
    <row r="8218" spans="1:11" ht="40.049999999999997" customHeight="1" x14ac:dyDescent="0.25">
      <c r="A8218" s="11" t="s">
        <v>16713</v>
      </c>
      <c r="B8218" s="11" t="s">
        <v>16713</v>
      </c>
      <c r="C8218" s="11" t="s">
        <v>137</v>
      </c>
      <c r="D8218" s="11" t="s">
        <v>18</v>
      </c>
      <c r="E8218" s="12" t="s">
        <v>2155</v>
      </c>
      <c r="F8218" s="12" t="s">
        <v>2156</v>
      </c>
      <c r="G8218" s="12" t="s">
        <v>46</v>
      </c>
      <c r="H8218" s="11" t="s">
        <v>63</v>
      </c>
      <c r="I8218" s="13" t="s">
        <v>16719</v>
      </c>
      <c r="J8218" s="14" t="str">
        <f>HYPERLINK("https://www.boe.es/gazeta/dias/1839/01/17/pdfs/GMD-1839-1524.pdf#page=3","Abrir facsímil")</f>
        <v>Abrir facsímil</v>
      </c>
      <c r="K8218" s="12" t="s">
        <v>65</v>
      </c>
    </row>
    <row r="8219" spans="1:11" ht="40.049999999999997" customHeight="1" x14ac:dyDescent="0.25">
      <c r="A8219" s="11" t="s">
        <v>16713</v>
      </c>
      <c r="B8219" s="11" t="s">
        <v>16713</v>
      </c>
      <c r="C8219" s="11" t="s">
        <v>17</v>
      </c>
      <c r="D8219" s="11" t="s">
        <v>18</v>
      </c>
      <c r="E8219" s="12" t="s">
        <v>19</v>
      </c>
      <c r="F8219" s="12" t="s">
        <v>20</v>
      </c>
      <c r="G8219" s="12" t="s">
        <v>46</v>
      </c>
      <c r="H8219" s="11" t="s">
        <v>63</v>
      </c>
      <c r="I8219" s="13" t="s">
        <v>16720</v>
      </c>
      <c r="J8219" s="14" t="str">
        <f>HYPERLINK("https://www.boe.es/gazeta/dias/1839/01/19/pdfs/GMD-1839-1526.pdf#page=3","Abrir facsímil")</f>
        <v>Abrir facsímil</v>
      </c>
      <c r="K8219" s="12" t="s">
        <v>65</v>
      </c>
    </row>
    <row r="8220" spans="1:11" ht="40.049999999999997" customHeight="1" x14ac:dyDescent="0.25">
      <c r="A8220" s="11" t="s">
        <v>16713</v>
      </c>
      <c r="B8220" s="11" t="s">
        <v>16713</v>
      </c>
      <c r="C8220" s="11" t="s">
        <v>59</v>
      </c>
      <c r="D8220" s="11" t="s">
        <v>60</v>
      </c>
      <c r="E8220" s="12" t="s">
        <v>695</v>
      </c>
      <c r="F8220" s="12" t="s">
        <v>696</v>
      </c>
      <c r="G8220" s="12" t="s">
        <v>46</v>
      </c>
      <c r="H8220" s="11" t="s">
        <v>63</v>
      </c>
      <c r="I8220" s="13" t="s">
        <v>16721</v>
      </c>
      <c r="J8220" s="14" t="str">
        <f>HYPERLINK("https://www.boe.es/gazeta/dias/1839/12/19/pdfs/GMD-1839-1866.pdf#page=3","Abrir facsímil")</f>
        <v>Abrir facsímil</v>
      </c>
      <c r="K8220" s="12" t="s">
        <v>65</v>
      </c>
    </row>
    <row r="8221" spans="1:11" ht="40.049999999999997" customHeight="1" x14ac:dyDescent="0.25">
      <c r="A8221" s="11" t="s">
        <v>16713</v>
      </c>
      <c r="B8221" s="11" t="s">
        <v>16713</v>
      </c>
      <c r="C8221" s="11" t="s">
        <v>17</v>
      </c>
      <c r="D8221" s="11" t="s">
        <v>18</v>
      </c>
      <c r="E8221" s="12" t="s">
        <v>1433</v>
      </c>
      <c r="F8221" s="12" t="s">
        <v>1434</v>
      </c>
      <c r="G8221" s="12" t="s">
        <v>21</v>
      </c>
      <c r="H8221" s="11" t="s">
        <v>63</v>
      </c>
      <c r="I8221" s="13" t="s">
        <v>16722</v>
      </c>
      <c r="J8221" s="14" t="str">
        <f>HYPERLINK("https://www.boe.es/gazeta/dias/1839/10/22/pdfs/GMD-1839-1808.pdf#page=4","Abrir facsímil")</f>
        <v>Abrir facsímil</v>
      </c>
      <c r="K8221" s="12" t="s">
        <v>65</v>
      </c>
    </row>
    <row r="8222" spans="1:11" ht="40.049999999999997" customHeight="1" x14ac:dyDescent="0.25">
      <c r="A8222" s="11" t="s">
        <v>16713</v>
      </c>
      <c r="B8222" s="11" t="s">
        <v>16713</v>
      </c>
      <c r="C8222" s="11" t="s">
        <v>137</v>
      </c>
      <c r="D8222" s="11" t="s">
        <v>18</v>
      </c>
      <c r="E8222" s="12" t="s">
        <v>668</v>
      </c>
      <c r="F8222" s="12" t="s">
        <v>669</v>
      </c>
      <c r="G8222" s="12" t="s">
        <v>29</v>
      </c>
      <c r="H8222" s="11" t="s">
        <v>63</v>
      </c>
      <c r="I8222" s="13" t="s">
        <v>16723</v>
      </c>
      <c r="J8222" s="14" t="str">
        <f>HYPERLINK("https://www.boe.es/gazeta/dias/1839/03/28/pdfs/GMD-1839-1594.pdf#page=1","Abrir facsímil")</f>
        <v>Abrir facsímil</v>
      </c>
      <c r="K8222" s="12" t="s">
        <v>65</v>
      </c>
    </row>
    <row r="8223" spans="1:11" ht="40.049999999999997" customHeight="1" x14ac:dyDescent="0.25">
      <c r="A8223" s="11" t="s">
        <v>16713</v>
      </c>
      <c r="B8223" s="11" t="s">
        <v>16713</v>
      </c>
      <c r="C8223" s="11" t="s">
        <v>59</v>
      </c>
      <c r="D8223" s="11" t="s">
        <v>60</v>
      </c>
      <c r="E8223" s="12" t="s">
        <v>1807</v>
      </c>
      <c r="F8223" s="12" t="s">
        <v>1808</v>
      </c>
      <c r="G8223" s="12" t="s">
        <v>40</v>
      </c>
      <c r="H8223" s="11" t="s">
        <v>63</v>
      </c>
      <c r="I8223" s="13" t="s">
        <v>16724</v>
      </c>
      <c r="J8223" s="14" t="str">
        <f>HYPERLINK("https://www.boe.es/gazeta/dias/1839/01/29/pdfs/GMD-1839-1536.pdf#page=2","Abrir facsímil")</f>
        <v>Abrir facsímil</v>
      </c>
      <c r="K8223" s="12" t="s">
        <v>65</v>
      </c>
    </row>
    <row r="8224" spans="1:11" ht="40.049999999999997" customHeight="1" x14ac:dyDescent="0.25">
      <c r="A8224" s="11" t="s">
        <v>16725</v>
      </c>
      <c r="B8224" s="11" t="s">
        <v>16726</v>
      </c>
      <c r="C8224" s="11" t="s">
        <v>59</v>
      </c>
      <c r="D8224" s="11" t="s">
        <v>60</v>
      </c>
      <c r="E8224" s="12" t="s">
        <v>1562</v>
      </c>
      <c r="F8224" s="12" t="s">
        <v>1563</v>
      </c>
      <c r="G8224" s="12" t="s">
        <v>29</v>
      </c>
      <c r="H8224" s="11" t="s">
        <v>63</v>
      </c>
      <c r="I8224" s="13" t="s">
        <v>16727</v>
      </c>
      <c r="J8224" s="14" t="str">
        <f>HYPERLINK("https://www.boe.es/gazeta/dias/1839/04/08/pdfs/GMD-1839-1605.pdf#page=1","Abrir facsímil")</f>
        <v>Abrir facsímil</v>
      </c>
      <c r="K8224" s="12" t="s">
        <v>65</v>
      </c>
    </row>
    <row r="8225" spans="1:11" ht="40.049999999999997" customHeight="1" x14ac:dyDescent="0.25">
      <c r="A8225" s="11" t="s">
        <v>16728</v>
      </c>
      <c r="B8225" s="11" t="s">
        <v>16729</v>
      </c>
      <c r="C8225" s="11" t="s">
        <v>17</v>
      </c>
      <c r="D8225" s="11" t="s">
        <v>18</v>
      </c>
      <c r="E8225" s="12" t="s">
        <v>287</v>
      </c>
      <c r="F8225" s="12" t="s">
        <v>288</v>
      </c>
      <c r="G8225" s="12" t="s">
        <v>29</v>
      </c>
      <c r="H8225" s="11" t="s">
        <v>63</v>
      </c>
      <c r="I8225" s="13" t="s">
        <v>16730</v>
      </c>
      <c r="J8225" s="14" t="str">
        <f>HYPERLINK("https://www.boe.es/gazeta/dias/1839/11/27/pdfs/GMD-1839-1844.pdf#page=1","Abrir facsímil")</f>
        <v>Abrir facsímil</v>
      </c>
      <c r="K8225" s="12" t="s">
        <v>65</v>
      </c>
    </row>
    <row r="8226" spans="1:11" ht="40.049999999999997" customHeight="1" x14ac:dyDescent="0.25">
      <c r="A8226" s="11" t="s">
        <v>16731</v>
      </c>
      <c r="B8226" s="11" t="s">
        <v>16732</v>
      </c>
      <c r="C8226" s="11" t="s">
        <v>80</v>
      </c>
      <c r="D8226" s="11" t="s">
        <v>18</v>
      </c>
      <c r="E8226" s="12" t="s">
        <v>496</v>
      </c>
      <c r="F8226" s="12" t="s">
        <v>497</v>
      </c>
      <c r="G8226" s="12" t="s">
        <v>21</v>
      </c>
      <c r="H8226" s="11" t="s">
        <v>63</v>
      </c>
      <c r="I8226" s="13" t="s">
        <v>16733</v>
      </c>
      <c r="J8226" s="14" t="str">
        <f>HYPERLINK("https://www.boe.es/gazeta/dias/1839/11/23/pdfs/GMD-1839-1840.pdf#page=4","Abrir facsímil")</f>
        <v>Abrir facsímil</v>
      </c>
      <c r="K8226" s="12" t="s">
        <v>65</v>
      </c>
    </row>
    <row r="8227" spans="1:11" ht="40.049999999999997" customHeight="1" x14ac:dyDescent="0.25">
      <c r="A8227" s="11" t="s">
        <v>16734</v>
      </c>
      <c r="B8227" s="11" t="s">
        <v>16734</v>
      </c>
      <c r="C8227" s="11" t="s">
        <v>101</v>
      </c>
      <c r="D8227" s="11" t="s">
        <v>43</v>
      </c>
      <c r="E8227" s="12" t="s">
        <v>1909</v>
      </c>
      <c r="F8227" s="12" t="s">
        <v>1910</v>
      </c>
      <c r="G8227" s="12" t="s">
        <v>29</v>
      </c>
      <c r="H8227" s="11" t="s">
        <v>63</v>
      </c>
      <c r="I8227" s="13" t="s">
        <v>16735</v>
      </c>
      <c r="J8227" s="14" t="str">
        <f>HYPERLINK("https://www.boe.es/gazeta/dias/1839/10/27/pdfs/GMD-1839-1813.pdf#page=1","Abrir facsímil")</f>
        <v>Abrir facsímil</v>
      </c>
      <c r="K8227" s="12" t="s">
        <v>65</v>
      </c>
    </row>
    <row r="8228" spans="1:11" ht="40.049999999999997" customHeight="1" x14ac:dyDescent="0.25">
      <c r="A8228" s="11" t="s">
        <v>16736</v>
      </c>
      <c r="B8228" s="11" t="s">
        <v>16737</v>
      </c>
      <c r="C8228" s="11" t="s">
        <v>17</v>
      </c>
      <c r="D8228" s="11" t="s">
        <v>18</v>
      </c>
      <c r="E8228" s="12" t="s">
        <v>770</v>
      </c>
      <c r="F8228" s="12" t="s">
        <v>771</v>
      </c>
      <c r="G8228" s="12" t="s">
        <v>46</v>
      </c>
      <c r="H8228" s="11" t="s">
        <v>63</v>
      </c>
      <c r="I8228" s="13" t="s">
        <v>16738</v>
      </c>
      <c r="J8228" s="14" t="str">
        <f>HYPERLINK("https://www.boe.es/gazeta/dias/1839/12/05/pdfs/GMD-1839-1852.pdf#page=3","Abrir facsímil")</f>
        <v>Abrir facsímil</v>
      </c>
      <c r="K8228" s="12" t="s">
        <v>65</v>
      </c>
    </row>
    <row r="8229" spans="1:11" ht="40.049999999999997" customHeight="1" x14ac:dyDescent="0.25">
      <c r="A8229" s="11" t="s">
        <v>16739</v>
      </c>
      <c r="B8229" s="11" t="s">
        <v>16739</v>
      </c>
      <c r="C8229" s="11" t="s">
        <v>137</v>
      </c>
      <c r="D8229" s="11" t="s">
        <v>18</v>
      </c>
      <c r="E8229" s="12" t="s">
        <v>3705</v>
      </c>
      <c r="F8229" s="12" t="s">
        <v>3706</v>
      </c>
      <c r="G8229" s="12" t="s">
        <v>40</v>
      </c>
      <c r="H8229" s="11" t="s">
        <v>63</v>
      </c>
      <c r="I8229" s="13" t="s">
        <v>16740</v>
      </c>
      <c r="J8229" s="14" t="str">
        <f>HYPERLINK("https://www.boe.es/gazeta/dias/1839/03/09/pdfs/GMD-1839-1575.pdf#page=2","Abrir facsímil")</f>
        <v>Abrir facsímil</v>
      </c>
      <c r="K8229" s="12" t="s">
        <v>65</v>
      </c>
    </row>
    <row r="8230" spans="1:11" ht="40.049999999999997" customHeight="1" x14ac:dyDescent="0.25">
      <c r="A8230" s="11" t="s">
        <v>16739</v>
      </c>
      <c r="B8230" s="11" t="s">
        <v>16739</v>
      </c>
      <c r="C8230" s="11" t="s">
        <v>80</v>
      </c>
      <c r="D8230" s="11" t="s">
        <v>173</v>
      </c>
      <c r="E8230" s="12" t="s">
        <v>544</v>
      </c>
      <c r="F8230" s="12" t="s">
        <v>545</v>
      </c>
      <c r="G8230" s="12" t="s">
        <v>21</v>
      </c>
      <c r="H8230" s="11" t="s">
        <v>63</v>
      </c>
      <c r="I8230" s="13" t="s">
        <v>16741</v>
      </c>
      <c r="J8230" s="14" t="str">
        <f>HYPERLINK("https://www.boe.es/gazeta/dias/1839/11/11/pdfs/GMD-1839-1828.pdf#page=4","Abrir facsímil")</f>
        <v>Abrir facsímil</v>
      </c>
      <c r="K8230" s="12" t="s">
        <v>65</v>
      </c>
    </row>
    <row r="8231" spans="1:11" ht="40.049999999999997" customHeight="1" x14ac:dyDescent="0.25">
      <c r="A8231" s="11" t="s">
        <v>16742</v>
      </c>
      <c r="B8231" s="11" t="s">
        <v>16742</v>
      </c>
      <c r="C8231" s="11" t="s">
        <v>17</v>
      </c>
      <c r="D8231" s="11" t="s">
        <v>18</v>
      </c>
      <c r="E8231" s="12" t="s">
        <v>276</v>
      </c>
      <c r="F8231" s="12" t="s">
        <v>277</v>
      </c>
      <c r="G8231" s="12" t="s">
        <v>46</v>
      </c>
      <c r="H8231" s="11" t="s">
        <v>63</v>
      </c>
      <c r="I8231" s="13" t="s">
        <v>16743</v>
      </c>
      <c r="J8231" s="14" t="str">
        <f>HYPERLINK("https://www.boe.es/gazeta/dias/1839/09/24/pdfs/GMD-1839-1780.pdf#page=3","Abrir facsímil")</f>
        <v>Abrir facsímil</v>
      </c>
      <c r="K8231" s="12" t="s">
        <v>65</v>
      </c>
    </row>
    <row r="8232" spans="1:11" ht="40.049999999999997" customHeight="1" x14ac:dyDescent="0.25">
      <c r="A8232" s="11" t="s">
        <v>16744</v>
      </c>
      <c r="B8232" s="11" t="s">
        <v>16744</v>
      </c>
      <c r="C8232" s="11" t="s">
        <v>17</v>
      </c>
      <c r="D8232" s="11" t="s">
        <v>18</v>
      </c>
      <c r="E8232" s="12" t="s">
        <v>1565</v>
      </c>
      <c r="F8232" s="12" t="s">
        <v>1566</v>
      </c>
      <c r="G8232" s="12" t="s">
        <v>21</v>
      </c>
      <c r="H8232" s="11" t="s">
        <v>63</v>
      </c>
      <c r="I8232" s="13" t="s">
        <v>16745</v>
      </c>
      <c r="J8232" s="14" t="str">
        <f>HYPERLINK("https://www.boe.es/gazeta/dias/1839/06/17/pdfs/GMD-1839-1675.pdf#page=4","Abrir facsímil")</f>
        <v>Abrir facsímil</v>
      </c>
      <c r="K8232" s="12" t="s">
        <v>65</v>
      </c>
    </row>
    <row r="8233" spans="1:11" ht="40.049999999999997" customHeight="1" x14ac:dyDescent="0.25">
      <c r="A8233" s="11" t="s">
        <v>16746</v>
      </c>
      <c r="B8233" s="11" t="s">
        <v>16746</v>
      </c>
      <c r="C8233" s="11" t="s">
        <v>17</v>
      </c>
      <c r="D8233" s="11" t="s">
        <v>18</v>
      </c>
      <c r="E8233" s="12" t="s">
        <v>154</v>
      </c>
      <c r="F8233" s="12" t="s">
        <v>155</v>
      </c>
      <c r="G8233" s="12" t="s">
        <v>40</v>
      </c>
      <c r="H8233" s="11" t="s">
        <v>63</v>
      </c>
      <c r="I8233" s="13" t="s">
        <v>16747</v>
      </c>
      <c r="J8233" s="14" t="str">
        <f>HYPERLINK("https://www.boe.es/gazeta/dias/1839/02/02/pdfs/GMD-1839-1540.pdf#page=2","Abrir facsímil")</f>
        <v>Abrir facsímil</v>
      </c>
      <c r="K8233" s="12" t="s">
        <v>65</v>
      </c>
    </row>
    <row r="8234" spans="1:11" ht="40.049999999999997" customHeight="1" x14ac:dyDescent="0.25">
      <c r="A8234" s="11" t="s">
        <v>16746</v>
      </c>
      <c r="B8234" s="11" t="s">
        <v>16746</v>
      </c>
      <c r="C8234" s="11" t="s">
        <v>17</v>
      </c>
      <c r="D8234" s="11" t="s">
        <v>18</v>
      </c>
      <c r="E8234" s="12" t="s">
        <v>168</v>
      </c>
      <c r="F8234" s="12" t="s">
        <v>169</v>
      </c>
      <c r="G8234" s="12" t="s">
        <v>46</v>
      </c>
      <c r="H8234" s="11" t="s">
        <v>63</v>
      </c>
      <c r="I8234" s="13" t="s">
        <v>16748</v>
      </c>
      <c r="J8234" s="14" t="str">
        <f>HYPERLINK("https://www.boe.es/gazeta/dias/1839/07/12/pdfs/GMD-1839-1700.pdf#page=3","Abrir facsímil")</f>
        <v>Abrir facsímil</v>
      </c>
      <c r="K8234" s="12" t="s">
        <v>65</v>
      </c>
    </row>
    <row r="8235" spans="1:11" ht="40.049999999999997" customHeight="1" x14ac:dyDescent="0.25">
      <c r="A8235" s="11" t="s">
        <v>16746</v>
      </c>
      <c r="B8235" s="11" t="s">
        <v>16746</v>
      </c>
      <c r="C8235" s="11" t="s">
        <v>17</v>
      </c>
      <c r="D8235" s="11" t="s">
        <v>18</v>
      </c>
      <c r="E8235" s="12" t="s">
        <v>299</v>
      </c>
      <c r="F8235" s="12" t="s">
        <v>300</v>
      </c>
      <c r="G8235" s="12" t="s">
        <v>40</v>
      </c>
      <c r="H8235" s="11" t="s">
        <v>63</v>
      </c>
      <c r="I8235" s="13" t="s">
        <v>16749</v>
      </c>
      <c r="J8235" s="14" t="str">
        <f>HYPERLINK("https://www.boe.es/gazeta/dias/1839/02/14/pdfs/GMD-1839-1552.pdf#page=2","Abrir facsímil")</f>
        <v>Abrir facsímil</v>
      </c>
      <c r="K8235" s="12" t="s">
        <v>65</v>
      </c>
    </row>
    <row r="8236" spans="1:11" ht="40.049999999999997" customHeight="1" x14ac:dyDescent="0.25">
      <c r="A8236" s="11" t="s">
        <v>16746</v>
      </c>
      <c r="B8236" s="11" t="s">
        <v>16746</v>
      </c>
      <c r="C8236" s="11" t="s">
        <v>59</v>
      </c>
      <c r="D8236" s="11" t="s">
        <v>60</v>
      </c>
      <c r="E8236" s="12" t="s">
        <v>1072</v>
      </c>
      <c r="F8236" s="12" t="s">
        <v>1073</v>
      </c>
      <c r="G8236" s="12" t="s">
        <v>29</v>
      </c>
      <c r="H8236" s="11" t="s">
        <v>63</v>
      </c>
      <c r="I8236" s="13" t="s">
        <v>16750</v>
      </c>
      <c r="J8236" s="14" t="str">
        <f>HYPERLINK("https://www.boe.es/gazeta/dias/1839/01/18/pdfs/GMD-1839-1525.pdf#page=1","Abrir facsímil")</f>
        <v>Abrir facsímil</v>
      </c>
      <c r="K8236" s="12" t="s">
        <v>65</v>
      </c>
    </row>
    <row r="8237" spans="1:11" ht="40.049999999999997" customHeight="1" x14ac:dyDescent="0.25">
      <c r="A8237" s="11" t="s">
        <v>16746</v>
      </c>
      <c r="B8237" s="11" t="s">
        <v>16746</v>
      </c>
      <c r="C8237" s="11" t="s">
        <v>101</v>
      </c>
      <c r="D8237" s="11" t="s">
        <v>43</v>
      </c>
      <c r="E8237" s="12" t="s">
        <v>685</v>
      </c>
      <c r="F8237" s="12" t="s">
        <v>686</v>
      </c>
      <c r="G8237" s="12" t="s">
        <v>21</v>
      </c>
      <c r="H8237" s="11" t="s">
        <v>63</v>
      </c>
      <c r="I8237" s="13" t="s">
        <v>16751</v>
      </c>
      <c r="J8237" s="14" t="str">
        <f>HYPERLINK("https://www.boe.es/gazeta/dias/1839/06/18/pdfs/GMD-1839-1676.pdf#page=4","Abrir facsímil")</f>
        <v>Abrir facsímil</v>
      </c>
      <c r="K8237" s="12" t="s">
        <v>65</v>
      </c>
    </row>
    <row r="8238" spans="1:11" ht="40.049999999999997" customHeight="1" x14ac:dyDescent="0.25">
      <c r="A8238" s="11" t="s">
        <v>16752</v>
      </c>
      <c r="B8238" s="11" t="s">
        <v>16753</v>
      </c>
      <c r="C8238" s="11" t="s">
        <v>17</v>
      </c>
      <c r="D8238" s="11" t="s">
        <v>43</v>
      </c>
      <c r="E8238" s="12" t="s">
        <v>1460</v>
      </c>
      <c r="F8238" s="12" t="s">
        <v>1461</v>
      </c>
      <c r="G8238" s="12" t="s">
        <v>46</v>
      </c>
      <c r="H8238" s="11" t="s">
        <v>22</v>
      </c>
      <c r="I8238" s="13" t="s">
        <v>16754</v>
      </c>
      <c r="J8238" s="14" t="str">
        <f>HYPERLINK("https://www.boe.es/gazeta/dias/1839/03/01/pdfs/GMD-1839-1567.pdf#page=3","Abrir facsímil")</f>
        <v>Abrir facsímil</v>
      </c>
      <c r="K8238" s="12" t="s">
        <v>24</v>
      </c>
    </row>
    <row r="8239" spans="1:11" ht="40.049999999999997" customHeight="1" x14ac:dyDescent="0.25">
      <c r="A8239" s="11" t="s">
        <v>16755</v>
      </c>
      <c r="B8239" s="11" t="s">
        <v>16755</v>
      </c>
      <c r="C8239" s="11" t="s">
        <v>17</v>
      </c>
      <c r="D8239" s="11" t="s">
        <v>18</v>
      </c>
      <c r="E8239" s="12" t="s">
        <v>375</v>
      </c>
      <c r="F8239" s="12" t="s">
        <v>376</v>
      </c>
      <c r="G8239" s="12" t="s">
        <v>40</v>
      </c>
      <c r="H8239" s="11" t="s">
        <v>63</v>
      </c>
      <c r="I8239" s="13" t="s">
        <v>16756</v>
      </c>
      <c r="J8239" s="14" t="str">
        <f>HYPERLINK("https://www.boe.es/gazeta/dias/1839/11/25/pdfs/GMD-1839-1842.pdf#page=2","Abrir facsímil")</f>
        <v>Abrir facsímil</v>
      </c>
      <c r="K8239" s="12" t="s">
        <v>65</v>
      </c>
    </row>
    <row r="8240" spans="1:11" ht="40.049999999999997" customHeight="1" x14ac:dyDescent="0.25">
      <c r="A8240" s="11" t="s">
        <v>16757</v>
      </c>
      <c r="B8240" s="11" t="s">
        <v>16757</v>
      </c>
      <c r="C8240" s="11" t="s">
        <v>17</v>
      </c>
      <c r="D8240" s="11" t="s">
        <v>18</v>
      </c>
      <c r="E8240" s="12" t="s">
        <v>4787</v>
      </c>
      <c r="F8240" s="12" t="s">
        <v>4788</v>
      </c>
      <c r="G8240" s="12" t="s">
        <v>40</v>
      </c>
      <c r="H8240" s="11" t="s">
        <v>63</v>
      </c>
      <c r="I8240" s="13" t="s">
        <v>16758</v>
      </c>
      <c r="J8240" s="14" t="str">
        <f>HYPERLINK("https://www.boe.es/gazeta/dias/1839/05/26/pdfs/GMD-1839-1653.pdf#page=2","Abrir facsímil")</f>
        <v>Abrir facsímil</v>
      </c>
      <c r="K8240" s="12" t="s">
        <v>65</v>
      </c>
    </row>
    <row r="8241" spans="1:11" ht="40.049999999999997" customHeight="1" x14ac:dyDescent="0.25">
      <c r="A8241" s="11" t="s">
        <v>16759</v>
      </c>
      <c r="B8241" s="11" t="s">
        <v>16760</v>
      </c>
      <c r="C8241" s="11" t="s">
        <v>80</v>
      </c>
      <c r="D8241" s="11" t="s">
        <v>18</v>
      </c>
      <c r="E8241" s="12" t="s">
        <v>76</v>
      </c>
      <c r="F8241" s="12" t="s">
        <v>77</v>
      </c>
      <c r="G8241" s="12" t="s">
        <v>46</v>
      </c>
      <c r="H8241" s="11" t="s">
        <v>63</v>
      </c>
      <c r="I8241" s="13" t="s">
        <v>16761</v>
      </c>
      <c r="J8241" s="14" t="str">
        <f>HYPERLINK("https://www.boe.es/gazeta/dias/1839/03/13/pdfs/GMD-1839-1579.pdf#page=3","Abrir facsímil")</f>
        <v>Abrir facsímil</v>
      </c>
      <c r="K8241" s="12" t="s">
        <v>65</v>
      </c>
    </row>
    <row r="8242" spans="1:11" ht="40.049999999999997" customHeight="1" x14ac:dyDescent="0.25">
      <c r="A8242" s="11" t="s">
        <v>16762</v>
      </c>
      <c r="B8242" s="11" t="s">
        <v>16762</v>
      </c>
      <c r="C8242" s="11" t="s">
        <v>137</v>
      </c>
      <c r="D8242" s="11" t="s">
        <v>18</v>
      </c>
      <c r="E8242" s="12" t="s">
        <v>1517</v>
      </c>
      <c r="F8242" s="12" t="s">
        <v>1518</v>
      </c>
      <c r="G8242" s="12" t="s">
        <v>29</v>
      </c>
      <c r="H8242" s="11" t="s">
        <v>63</v>
      </c>
      <c r="I8242" s="13" t="s">
        <v>16763</v>
      </c>
      <c r="J8242" s="14" t="str">
        <f>HYPERLINK("https://www.boe.es/gazeta/dias/1839/12/20/pdfs/GMD-1839-1867.pdf#page=1","Abrir facsímil")</f>
        <v>Abrir facsímil</v>
      </c>
      <c r="K8242" s="12" t="s">
        <v>65</v>
      </c>
    </row>
    <row r="8243" spans="1:11" ht="40.049999999999997" customHeight="1" x14ac:dyDescent="0.25">
      <c r="A8243" s="11" t="s">
        <v>16764</v>
      </c>
      <c r="B8243" s="11" t="s">
        <v>16765</v>
      </c>
      <c r="C8243" s="11" t="s">
        <v>17</v>
      </c>
      <c r="D8243" s="11" t="s">
        <v>18</v>
      </c>
      <c r="E8243" s="12" t="s">
        <v>2320</v>
      </c>
      <c r="F8243" s="12" t="s">
        <v>2321</v>
      </c>
      <c r="G8243" s="12" t="s">
        <v>21</v>
      </c>
      <c r="H8243" s="11" t="s">
        <v>63</v>
      </c>
      <c r="I8243" s="13" t="s">
        <v>16766</v>
      </c>
      <c r="J8243" s="14" t="str">
        <f>HYPERLINK("https://www.boe.es/gazeta/dias/1839/11/13/pdfs/GMD-1839-1830.pdf#page=4","Abrir facsímil")</f>
        <v>Abrir facsímil</v>
      </c>
      <c r="K8243" s="12" t="s">
        <v>65</v>
      </c>
    </row>
    <row r="8244" spans="1:11" ht="40.049999999999997" customHeight="1" x14ac:dyDescent="0.25">
      <c r="A8244" s="11" t="s">
        <v>16767</v>
      </c>
      <c r="B8244" s="11" t="s">
        <v>16768</v>
      </c>
      <c r="C8244" s="11" t="s">
        <v>17</v>
      </c>
      <c r="D8244" s="11" t="s">
        <v>18</v>
      </c>
      <c r="E8244" s="12" t="s">
        <v>365</v>
      </c>
      <c r="F8244" s="12" t="s">
        <v>366</v>
      </c>
      <c r="G8244" s="12" t="s">
        <v>40</v>
      </c>
      <c r="H8244" s="11" t="s">
        <v>63</v>
      </c>
      <c r="I8244" s="13" t="s">
        <v>16769</v>
      </c>
      <c r="J8244" s="14" t="str">
        <f>HYPERLINK("https://www.boe.es/gazeta/dias/1839/08/14/pdfs/GMD-1839-1734.pdf#page=2","Abrir facsímil")</f>
        <v>Abrir facsímil</v>
      </c>
      <c r="K8244" s="12" t="s">
        <v>65</v>
      </c>
    </row>
    <row r="8245" spans="1:11" ht="40.049999999999997" customHeight="1" x14ac:dyDescent="0.25">
      <c r="A8245" s="11" t="s">
        <v>16770</v>
      </c>
      <c r="B8245" s="11" t="s">
        <v>16771</v>
      </c>
      <c r="C8245" s="11" t="s">
        <v>137</v>
      </c>
      <c r="D8245" s="11" t="s">
        <v>18</v>
      </c>
      <c r="E8245" s="12" t="s">
        <v>903</v>
      </c>
      <c r="F8245" s="12" t="s">
        <v>904</v>
      </c>
      <c r="G8245" s="12" t="s">
        <v>40</v>
      </c>
      <c r="H8245" s="11" t="s">
        <v>63</v>
      </c>
      <c r="I8245" s="13" t="s">
        <v>16772</v>
      </c>
      <c r="J8245" s="14" t="str">
        <f>HYPERLINK("https://www.boe.es/gazeta/dias/1839/03/14/pdfs/GMD-1839-1580.pdf#page=2","Abrir facsímil")</f>
        <v>Abrir facsímil</v>
      </c>
      <c r="K8245" s="12" t="s">
        <v>65</v>
      </c>
    </row>
    <row r="8246" spans="1:11" ht="40.049999999999997" customHeight="1" x14ac:dyDescent="0.25">
      <c r="A8246" s="11" t="s">
        <v>16773</v>
      </c>
      <c r="B8246" s="11" t="s">
        <v>16774</v>
      </c>
      <c r="C8246" s="11" t="s">
        <v>17</v>
      </c>
      <c r="D8246" s="11" t="s">
        <v>18</v>
      </c>
      <c r="E8246" s="12" t="s">
        <v>1144</v>
      </c>
      <c r="F8246" s="12" t="s">
        <v>1145</v>
      </c>
      <c r="G8246" s="12" t="s">
        <v>40</v>
      </c>
      <c r="H8246" s="11" t="s">
        <v>63</v>
      </c>
      <c r="I8246" s="13" t="s">
        <v>16775</v>
      </c>
      <c r="J8246" s="14" t="str">
        <f>HYPERLINK("https://www.boe.es/gazeta/dias/1839/08/13/pdfs/GMD-1839-1733.pdf#page=2","Abrir facsímil")</f>
        <v>Abrir facsímil</v>
      </c>
      <c r="K8246" s="12" t="s">
        <v>65</v>
      </c>
    </row>
    <row r="8247" spans="1:11" ht="40.049999999999997" customHeight="1" x14ac:dyDescent="0.25">
      <c r="A8247" s="11" t="s">
        <v>16776</v>
      </c>
      <c r="B8247" s="11" t="s">
        <v>16777</v>
      </c>
      <c r="C8247" s="11" t="s">
        <v>101</v>
      </c>
      <c r="D8247" s="11" t="s">
        <v>102</v>
      </c>
      <c r="E8247" s="12" t="s">
        <v>782</v>
      </c>
      <c r="F8247" s="12" t="s">
        <v>783</v>
      </c>
      <c r="G8247" s="12" t="s">
        <v>21</v>
      </c>
      <c r="H8247" s="11" t="s">
        <v>63</v>
      </c>
      <c r="I8247" s="13" t="s">
        <v>16778</v>
      </c>
      <c r="J8247" s="14" t="str">
        <f>HYPERLINK("https://www.boe.es/gazeta/dias/1839/05/09/pdfs/GMD-1839-1636.pdf#page=4","Abrir facsímil")</f>
        <v>Abrir facsímil</v>
      </c>
      <c r="K8247" s="12" t="s">
        <v>65</v>
      </c>
    </row>
    <row r="8248" spans="1:11" ht="40.049999999999997" customHeight="1" x14ac:dyDescent="0.25">
      <c r="A8248" s="11" t="s">
        <v>16779</v>
      </c>
      <c r="B8248" s="11" t="s">
        <v>16780</v>
      </c>
      <c r="C8248" s="11" t="s">
        <v>17</v>
      </c>
      <c r="D8248" s="11" t="s">
        <v>18</v>
      </c>
      <c r="E8248" s="12" t="s">
        <v>89</v>
      </c>
      <c r="F8248" s="12" t="s">
        <v>90</v>
      </c>
      <c r="G8248" s="12" t="s">
        <v>21</v>
      </c>
      <c r="H8248" s="11" t="s">
        <v>63</v>
      </c>
      <c r="I8248" s="13" t="s">
        <v>16781</v>
      </c>
      <c r="J8248" s="14" t="str">
        <f>HYPERLINK("https://www.boe.es/gazeta/dias/1839/11/28/pdfs/GMD-1839-1845.pdf#page=4","Abrir facsímil")</f>
        <v>Abrir facsímil</v>
      </c>
      <c r="K8248" s="12" t="s">
        <v>65</v>
      </c>
    </row>
    <row r="8249" spans="1:11" ht="40.049999999999997" customHeight="1" x14ac:dyDescent="0.25">
      <c r="A8249" s="11" t="s">
        <v>16782</v>
      </c>
      <c r="B8249" s="11" t="s">
        <v>16782</v>
      </c>
      <c r="C8249" s="11" t="s">
        <v>101</v>
      </c>
      <c r="D8249" s="11" t="s">
        <v>43</v>
      </c>
      <c r="E8249" s="12" t="s">
        <v>1012</v>
      </c>
      <c r="F8249" s="12" t="s">
        <v>1013</v>
      </c>
      <c r="G8249" s="12" t="s">
        <v>29</v>
      </c>
      <c r="H8249" s="11" t="s">
        <v>63</v>
      </c>
      <c r="I8249" s="13" t="s">
        <v>16783</v>
      </c>
      <c r="J8249" s="14" t="str">
        <f>HYPERLINK("https://www.boe.es/gazeta/dias/1839/11/22/pdfs/GMD-1839-1839.pdf#page=1","Abrir facsímil")</f>
        <v>Abrir facsímil</v>
      </c>
      <c r="K8249" s="12" t="s">
        <v>65</v>
      </c>
    </row>
    <row r="8250" spans="1:11" ht="40.049999999999997" customHeight="1" x14ac:dyDescent="0.25">
      <c r="A8250" s="11" t="s">
        <v>16782</v>
      </c>
      <c r="B8250" s="11" t="s">
        <v>16782</v>
      </c>
      <c r="C8250" s="11" t="s">
        <v>80</v>
      </c>
      <c r="D8250" s="11" t="s">
        <v>18</v>
      </c>
      <c r="E8250" s="12" t="s">
        <v>2432</v>
      </c>
      <c r="F8250" s="12" t="s">
        <v>2581</v>
      </c>
      <c r="G8250" s="12" t="s">
        <v>29</v>
      </c>
      <c r="H8250" s="11" t="s">
        <v>63</v>
      </c>
      <c r="I8250" s="13" t="s">
        <v>16784</v>
      </c>
      <c r="J8250" s="14" t="str">
        <f>HYPERLINK("https://www.boe.es/gazeta/dias/1839/07/23/pdfs/GMD-1839-1711.pdf#page=1","Abrir facsímil")</f>
        <v>Abrir facsímil</v>
      </c>
      <c r="K8250" s="12" t="s">
        <v>65</v>
      </c>
    </row>
    <row r="8251" spans="1:11" ht="40.049999999999997" customHeight="1" x14ac:dyDescent="0.25">
      <c r="A8251" s="11" t="s">
        <v>16782</v>
      </c>
      <c r="B8251" s="11" t="s">
        <v>16782</v>
      </c>
      <c r="C8251" s="11" t="s">
        <v>17</v>
      </c>
      <c r="D8251" s="11" t="s">
        <v>18</v>
      </c>
      <c r="E8251" s="12" t="s">
        <v>1588</v>
      </c>
      <c r="F8251" s="12" t="s">
        <v>1589</v>
      </c>
      <c r="G8251" s="12" t="s">
        <v>21</v>
      </c>
      <c r="H8251" s="11" t="s">
        <v>63</v>
      </c>
      <c r="I8251" s="13" t="s">
        <v>16785</v>
      </c>
      <c r="J8251" s="14" t="str">
        <f>HYPERLINK("https://www.boe.es/gazeta/dias/1839/07/27/pdfs/GMD-1839-1716.pdf#page=4","Abrir facsímil")</f>
        <v>Abrir facsímil</v>
      </c>
      <c r="K8251" s="12" t="s">
        <v>65</v>
      </c>
    </row>
    <row r="8252" spans="1:11" ht="40.049999999999997" customHeight="1" x14ac:dyDescent="0.25">
      <c r="A8252" s="11" t="s">
        <v>16786</v>
      </c>
      <c r="B8252" s="11" t="s">
        <v>16787</v>
      </c>
      <c r="C8252" s="11" t="s">
        <v>59</v>
      </c>
      <c r="D8252" s="11" t="s">
        <v>60</v>
      </c>
      <c r="E8252" s="12" t="s">
        <v>888</v>
      </c>
      <c r="F8252" s="12" t="s">
        <v>889</v>
      </c>
      <c r="G8252" s="12" t="s">
        <v>21</v>
      </c>
      <c r="H8252" s="11" t="s">
        <v>63</v>
      </c>
      <c r="I8252" s="13" t="s">
        <v>16788</v>
      </c>
      <c r="J8252" s="14" t="str">
        <f>HYPERLINK("https://www.boe.es/gazeta/dias/1839/05/14/pdfs/GMD-1839-1641.pdf#page=4","Abrir facsímil")</f>
        <v>Abrir facsímil</v>
      </c>
      <c r="K8252" s="12" t="s">
        <v>65</v>
      </c>
    </row>
    <row r="8253" spans="1:11" ht="40.049999999999997" customHeight="1" x14ac:dyDescent="0.25">
      <c r="A8253" s="11" t="s">
        <v>16789</v>
      </c>
      <c r="B8253" s="11" t="s">
        <v>16789</v>
      </c>
      <c r="C8253" s="11" t="s">
        <v>17</v>
      </c>
      <c r="D8253" s="11" t="s">
        <v>18</v>
      </c>
      <c r="E8253" s="12" t="s">
        <v>2851</v>
      </c>
      <c r="F8253" s="12" t="s">
        <v>2852</v>
      </c>
      <c r="G8253" s="12" t="s">
        <v>40</v>
      </c>
      <c r="H8253" s="11" t="s">
        <v>63</v>
      </c>
      <c r="I8253" s="13" t="s">
        <v>16790</v>
      </c>
      <c r="J8253" s="14" t="str">
        <f>HYPERLINK("https://www.boe.es/gazeta/dias/1839/05/16/pdfs/GMD-1839-1643.pdf#page=2","Abrir facsímil")</f>
        <v>Abrir facsímil</v>
      </c>
      <c r="K8253" s="12" t="s">
        <v>65</v>
      </c>
    </row>
    <row r="8254" spans="1:11" ht="40.049999999999997" customHeight="1" x14ac:dyDescent="0.25">
      <c r="A8254" s="11" t="s">
        <v>16789</v>
      </c>
      <c r="B8254" s="11" t="s">
        <v>16789</v>
      </c>
      <c r="C8254" s="11" t="s">
        <v>17</v>
      </c>
      <c r="D8254" s="11" t="s">
        <v>18</v>
      </c>
      <c r="E8254" s="12" t="s">
        <v>2117</v>
      </c>
      <c r="F8254" s="12" t="s">
        <v>2118</v>
      </c>
      <c r="G8254" s="12" t="s">
        <v>46</v>
      </c>
      <c r="H8254" s="11" t="s">
        <v>63</v>
      </c>
      <c r="I8254" s="13" t="s">
        <v>16791</v>
      </c>
      <c r="J8254" s="14" t="str">
        <f>HYPERLINK("https://www.boe.es/gazeta/dias/1839/06/23/pdfs/GMD-1839-1681.pdf#page=3","Abrir facsímil")</f>
        <v>Abrir facsímil</v>
      </c>
      <c r="K8254" s="12" t="s">
        <v>65</v>
      </c>
    </row>
    <row r="8255" spans="1:11" ht="40.049999999999997" customHeight="1" x14ac:dyDescent="0.25">
      <c r="A8255" s="11" t="s">
        <v>16789</v>
      </c>
      <c r="B8255" s="11" t="s">
        <v>16789</v>
      </c>
      <c r="C8255" s="11" t="s">
        <v>59</v>
      </c>
      <c r="D8255" s="11" t="s">
        <v>60</v>
      </c>
      <c r="E8255" s="12" t="s">
        <v>1551</v>
      </c>
      <c r="F8255" s="12" t="s">
        <v>1552</v>
      </c>
      <c r="G8255" s="12" t="s">
        <v>29</v>
      </c>
      <c r="H8255" s="11" t="s">
        <v>63</v>
      </c>
      <c r="I8255" s="13" t="s">
        <v>16792</v>
      </c>
      <c r="J8255" s="14" t="str">
        <f>HYPERLINK("https://www.boe.es/gazeta/dias/1839/06/30/pdfs/GMD-1839-1688.pdf#page=1","Abrir facsímil")</f>
        <v>Abrir facsímil</v>
      </c>
      <c r="K8255" s="12" t="s">
        <v>65</v>
      </c>
    </row>
    <row r="8256" spans="1:11" ht="40.049999999999997" customHeight="1" x14ac:dyDescent="0.25">
      <c r="A8256" s="11" t="s">
        <v>16793</v>
      </c>
      <c r="B8256" s="11" t="s">
        <v>16794</v>
      </c>
      <c r="C8256" s="11" t="s">
        <v>17</v>
      </c>
      <c r="D8256" s="11" t="s">
        <v>43</v>
      </c>
      <c r="E8256" s="12" t="s">
        <v>272</v>
      </c>
      <c r="F8256" s="12" t="s">
        <v>273</v>
      </c>
      <c r="G8256" s="12" t="s">
        <v>29</v>
      </c>
      <c r="H8256" s="11" t="s">
        <v>63</v>
      </c>
      <c r="I8256" s="13" t="s">
        <v>16795</v>
      </c>
      <c r="J8256" s="14" t="str">
        <f>HYPERLINK("https://www.boe.es/gazeta/dias/1839/02/12/pdfs/GMD-1839-1550.pdf#page=1","Abrir facsímil")</f>
        <v>Abrir facsímil</v>
      </c>
      <c r="K8256" s="12" t="s">
        <v>65</v>
      </c>
    </row>
    <row r="8257" spans="1:11" ht="40.049999999999997" customHeight="1" x14ac:dyDescent="0.25">
      <c r="A8257" s="11" t="s">
        <v>16796</v>
      </c>
      <c r="B8257" s="11" t="s">
        <v>16797</v>
      </c>
      <c r="C8257" s="11" t="s">
        <v>17</v>
      </c>
      <c r="D8257" s="11" t="s">
        <v>43</v>
      </c>
      <c r="E8257" s="12" t="s">
        <v>258</v>
      </c>
      <c r="F8257" s="12" t="s">
        <v>259</v>
      </c>
      <c r="G8257" s="12" t="s">
        <v>21</v>
      </c>
      <c r="H8257" s="11" t="s">
        <v>63</v>
      </c>
      <c r="I8257" s="13" t="s">
        <v>16798</v>
      </c>
      <c r="J8257" s="14" t="str">
        <f>HYPERLINK("https://www.boe.es/gazeta/dias/1839/01/02/pdfs/GMD-1839-1509.pdf#page=4","Abrir facsímil")</f>
        <v>Abrir facsímil</v>
      </c>
      <c r="K8257" s="12" t="s">
        <v>65</v>
      </c>
    </row>
    <row r="8258" spans="1:11" ht="40.049999999999997" customHeight="1" x14ac:dyDescent="0.25">
      <c r="A8258" s="11" t="s">
        <v>16799</v>
      </c>
      <c r="B8258" s="11" t="s">
        <v>16800</v>
      </c>
      <c r="C8258" s="11" t="s">
        <v>17</v>
      </c>
      <c r="D8258" s="11" t="s">
        <v>18</v>
      </c>
      <c r="E8258" s="12" t="s">
        <v>1027</v>
      </c>
      <c r="F8258" s="12" t="s">
        <v>1028</v>
      </c>
      <c r="G8258" s="12" t="s">
        <v>21</v>
      </c>
      <c r="H8258" s="11" t="s">
        <v>63</v>
      </c>
      <c r="I8258" s="13" t="s">
        <v>16801</v>
      </c>
      <c r="J8258" s="14" t="str">
        <f>HYPERLINK("https://www.boe.es/gazeta/dias/1839/08/16/pdfs/GMD-1839-1736.pdf#page=4","Abrir facsímil")</f>
        <v>Abrir facsímil</v>
      </c>
      <c r="K8258" s="12" t="s">
        <v>65</v>
      </c>
    </row>
    <row r="8259" spans="1:11" ht="40.049999999999997" customHeight="1" x14ac:dyDescent="0.25">
      <c r="A8259" s="11" t="s">
        <v>16802</v>
      </c>
      <c r="B8259" s="11" t="s">
        <v>16803</v>
      </c>
      <c r="C8259" s="11" t="s">
        <v>17</v>
      </c>
      <c r="D8259" s="11" t="s">
        <v>18</v>
      </c>
      <c r="E8259" s="12" t="s">
        <v>121</v>
      </c>
      <c r="F8259" s="12" t="s">
        <v>122</v>
      </c>
      <c r="G8259" s="12" t="s">
        <v>29</v>
      </c>
      <c r="H8259" s="11" t="s">
        <v>63</v>
      </c>
      <c r="I8259" s="13" t="s">
        <v>16804</v>
      </c>
      <c r="J8259" s="14" t="str">
        <f>HYPERLINK("https://www.boe.es/gazeta/dias/1839/06/08/pdfs/GMD-1839-1666.pdf#page=1","Abrir facsímil")</f>
        <v>Abrir facsímil</v>
      </c>
      <c r="K8259" s="12" t="s">
        <v>65</v>
      </c>
    </row>
    <row r="8260" spans="1:11" ht="40.049999999999997" customHeight="1" x14ac:dyDescent="0.25">
      <c r="A8260" s="11" t="s">
        <v>16805</v>
      </c>
      <c r="B8260" s="11" t="s">
        <v>16806</v>
      </c>
      <c r="C8260" s="11" t="s">
        <v>17</v>
      </c>
      <c r="D8260" s="11" t="s">
        <v>18</v>
      </c>
      <c r="E8260" s="12" t="s">
        <v>2440</v>
      </c>
      <c r="F8260" s="12" t="s">
        <v>2441</v>
      </c>
      <c r="G8260" s="12" t="s">
        <v>21</v>
      </c>
      <c r="H8260" s="11" t="s">
        <v>63</v>
      </c>
      <c r="I8260" s="13" t="s">
        <v>16807</v>
      </c>
      <c r="J8260" s="14" t="str">
        <f>HYPERLINK("https://www.boe.es/gazeta/dias/1839/12/01/pdfs/GMD-1839-1848.pdf#page=4","Abrir facsímil")</f>
        <v>Abrir facsímil</v>
      </c>
      <c r="K8260" s="12" t="s">
        <v>65</v>
      </c>
    </row>
    <row r="8261" spans="1:11" ht="40.049999999999997" customHeight="1" x14ac:dyDescent="0.25">
      <c r="A8261" s="11" t="s">
        <v>16808</v>
      </c>
      <c r="B8261" s="11" t="s">
        <v>16808</v>
      </c>
      <c r="C8261" s="11" t="s">
        <v>101</v>
      </c>
      <c r="D8261" s="11" t="s">
        <v>102</v>
      </c>
      <c r="E8261" s="12" t="s">
        <v>4787</v>
      </c>
      <c r="F8261" s="12" t="s">
        <v>4788</v>
      </c>
      <c r="G8261" s="12" t="s">
        <v>40</v>
      </c>
      <c r="H8261" s="11" t="s">
        <v>63</v>
      </c>
      <c r="I8261" s="13" t="s">
        <v>16809</v>
      </c>
      <c r="J8261" s="14" t="str">
        <f>HYPERLINK("https://www.boe.es/gazeta/dias/1839/05/26/pdfs/GMD-1839-1653.pdf#page=2","Abrir facsímil")</f>
        <v>Abrir facsímil</v>
      </c>
      <c r="K8261" s="12" t="s">
        <v>65</v>
      </c>
    </row>
    <row r="8262" spans="1:11" ht="40.049999999999997" customHeight="1" x14ac:dyDescent="0.25">
      <c r="A8262" s="11" t="s">
        <v>16810</v>
      </c>
      <c r="B8262" s="11" t="s">
        <v>16810</v>
      </c>
      <c r="C8262" s="11" t="s">
        <v>59</v>
      </c>
      <c r="D8262" s="11" t="s">
        <v>60</v>
      </c>
      <c r="E8262" s="12" t="s">
        <v>782</v>
      </c>
      <c r="F8262" s="12" t="s">
        <v>783</v>
      </c>
      <c r="G8262" s="12" t="s">
        <v>40</v>
      </c>
      <c r="H8262" s="11" t="s">
        <v>63</v>
      </c>
      <c r="I8262" s="13" t="s">
        <v>16811</v>
      </c>
      <c r="J8262" s="14" t="str">
        <f>HYPERLINK("https://www.boe.es/gazeta/dias/1839/05/09/pdfs/GMD-1839-1636.pdf#page=2","Abrir facsímil")</f>
        <v>Abrir facsímil</v>
      </c>
      <c r="K8262" s="12" t="s">
        <v>65</v>
      </c>
    </row>
    <row r="8263" spans="1:11" ht="40.049999999999997" customHeight="1" x14ac:dyDescent="0.25">
      <c r="A8263" s="11" t="s">
        <v>16812</v>
      </c>
      <c r="B8263" s="11" t="s">
        <v>16813</v>
      </c>
      <c r="C8263" s="11" t="s">
        <v>17</v>
      </c>
      <c r="D8263" s="11" t="s">
        <v>18</v>
      </c>
      <c r="E8263" s="12" t="s">
        <v>27</v>
      </c>
      <c r="F8263" s="12" t="s">
        <v>28</v>
      </c>
      <c r="G8263" s="12" t="s">
        <v>21</v>
      </c>
      <c r="H8263" s="11" t="s">
        <v>63</v>
      </c>
      <c r="I8263" s="13" t="s">
        <v>16814</v>
      </c>
      <c r="J8263" s="14" t="str">
        <f>HYPERLINK("https://www.boe.es/gazeta/dias/1839/07/28/pdfs/GMD-1839-1717.pdf#page=4","Abrir facsímil")</f>
        <v>Abrir facsímil</v>
      </c>
      <c r="K8263" s="12" t="s">
        <v>65</v>
      </c>
    </row>
    <row r="8264" spans="1:11" ht="40.049999999999997" customHeight="1" x14ac:dyDescent="0.25">
      <c r="A8264" s="11" t="s">
        <v>16815</v>
      </c>
      <c r="B8264" s="11" t="s">
        <v>16815</v>
      </c>
      <c r="C8264" s="11" t="s">
        <v>59</v>
      </c>
      <c r="D8264" s="11" t="s">
        <v>60</v>
      </c>
      <c r="E8264" s="12" t="s">
        <v>571</v>
      </c>
      <c r="F8264" s="12" t="s">
        <v>572</v>
      </c>
      <c r="G8264" s="12" t="s">
        <v>40</v>
      </c>
      <c r="H8264" s="11" t="s">
        <v>63</v>
      </c>
      <c r="I8264" s="13" t="s">
        <v>16816</v>
      </c>
      <c r="J8264" s="14" t="str">
        <f>HYPERLINK("https://www.boe.es/gazeta/dias/1839/09/27/pdfs/GMD-1839-1783.pdf#page=2","Abrir facsímil")</f>
        <v>Abrir facsímil</v>
      </c>
      <c r="K8264" s="12" t="s">
        <v>65</v>
      </c>
    </row>
    <row r="8265" spans="1:11" ht="40.049999999999997" customHeight="1" x14ac:dyDescent="0.25">
      <c r="A8265" s="11" t="s">
        <v>16817</v>
      </c>
      <c r="B8265" s="11" t="s">
        <v>16818</v>
      </c>
      <c r="C8265" s="11" t="s">
        <v>101</v>
      </c>
      <c r="D8265" s="11" t="s">
        <v>102</v>
      </c>
      <c r="E8265" s="12" t="s">
        <v>4292</v>
      </c>
      <c r="F8265" s="12" t="s">
        <v>4293</v>
      </c>
      <c r="G8265" s="12" t="s">
        <v>29</v>
      </c>
      <c r="H8265" s="11" t="s">
        <v>22</v>
      </c>
      <c r="I8265" s="13" t="s">
        <v>16819</v>
      </c>
      <c r="J8265" s="14" t="str">
        <f>HYPERLINK("https://www.boe.es/gazeta/dias/1839/11/29/pdfs/GMD-1839-1846.pdf#page=1","Abrir facsímil")</f>
        <v>Abrir facsímil</v>
      </c>
      <c r="K8265" s="12" t="s">
        <v>24</v>
      </c>
    </row>
    <row r="8266" spans="1:11" ht="40.049999999999997" customHeight="1" x14ac:dyDescent="0.25">
      <c r="A8266" s="11" t="s">
        <v>16820</v>
      </c>
      <c r="B8266" s="11" t="s">
        <v>16821</v>
      </c>
      <c r="C8266" s="11" t="s">
        <v>17</v>
      </c>
      <c r="D8266" s="11" t="s">
        <v>18</v>
      </c>
      <c r="E8266" s="12" t="s">
        <v>756</v>
      </c>
      <c r="F8266" s="12" t="s">
        <v>757</v>
      </c>
      <c r="G8266" s="12" t="s">
        <v>21</v>
      </c>
      <c r="H8266" s="11" t="s">
        <v>63</v>
      </c>
      <c r="I8266" s="13" t="s">
        <v>16822</v>
      </c>
      <c r="J8266" s="14" t="str">
        <f>HYPERLINK("https://www.boe.es/gazeta/dias/1839/12/17/pdfs/GMD-1839-1864.pdf#page=4","Abrir facsímil")</f>
        <v>Abrir facsímil</v>
      </c>
      <c r="K8266" s="12" t="s">
        <v>65</v>
      </c>
    </row>
    <row r="8267" spans="1:11" ht="40.049999999999997" customHeight="1" x14ac:dyDescent="0.25">
      <c r="A8267" s="11" t="s">
        <v>16823</v>
      </c>
      <c r="B8267" s="11" t="s">
        <v>16823</v>
      </c>
      <c r="C8267" s="11" t="s">
        <v>101</v>
      </c>
      <c r="D8267" s="11" t="s">
        <v>43</v>
      </c>
      <c r="E8267" s="12" t="s">
        <v>61</v>
      </c>
      <c r="F8267" s="12" t="s">
        <v>62</v>
      </c>
      <c r="G8267" s="12" t="s">
        <v>29</v>
      </c>
      <c r="H8267" s="11" t="s">
        <v>22</v>
      </c>
      <c r="I8267" s="13" t="s">
        <v>16824</v>
      </c>
      <c r="J8267" s="14" t="str">
        <f>HYPERLINK("https://www.boe.es/gazeta/dias/1839/09/10/pdfs/GMD-1839-1763.pdf#page=1","Abrir facsímil")</f>
        <v>Abrir facsímil</v>
      </c>
      <c r="K8267" s="12" t="s">
        <v>24</v>
      </c>
    </row>
    <row r="8268" spans="1:11" ht="40.049999999999997" customHeight="1" x14ac:dyDescent="0.25">
      <c r="A8268" s="11" t="s">
        <v>16823</v>
      </c>
      <c r="B8268" s="11" t="s">
        <v>16823</v>
      </c>
      <c r="C8268" s="11" t="s">
        <v>17</v>
      </c>
      <c r="D8268" s="11" t="s">
        <v>18</v>
      </c>
      <c r="E8268" s="12" t="s">
        <v>1433</v>
      </c>
      <c r="F8268" s="12" t="s">
        <v>1434</v>
      </c>
      <c r="G8268" s="12" t="s">
        <v>21</v>
      </c>
      <c r="H8268" s="11" t="s">
        <v>22</v>
      </c>
      <c r="I8268" s="13" t="s">
        <v>16825</v>
      </c>
      <c r="J8268" s="14" t="str">
        <f>HYPERLINK("https://www.boe.es/gazeta/dias/1839/10/22/pdfs/GMD-1839-1808.pdf#page=4","Abrir facsímil")</f>
        <v>Abrir facsímil</v>
      </c>
      <c r="K8268" s="12" t="s">
        <v>24</v>
      </c>
    </row>
    <row r="8269" spans="1:11" ht="40.049999999999997" customHeight="1" x14ac:dyDescent="0.25">
      <c r="A8269" s="11" t="s">
        <v>16823</v>
      </c>
      <c r="B8269" s="11" t="s">
        <v>16823</v>
      </c>
      <c r="C8269" s="11" t="s">
        <v>17</v>
      </c>
      <c r="D8269" s="11" t="s">
        <v>18</v>
      </c>
      <c r="E8269" s="12" t="s">
        <v>1867</v>
      </c>
      <c r="F8269" s="12" t="s">
        <v>1868</v>
      </c>
      <c r="G8269" s="12" t="s">
        <v>40</v>
      </c>
      <c r="H8269" s="11" t="s">
        <v>22</v>
      </c>
      <c r="I8269" s="13" t="s">
        <v>16826</v>
      </c>
      <c r="J8269" s="14" t="str">
        <f>HYPERLINK("https://www.boe.es/gazeta/dias/1839/01/30/pdfs/GMD-1839-1537.pdf#page=2","Abrir facsímil")</f>
        <v>Abrir facsímil</v>
      </c>
      <c r="K8269" s="12" t="s">
        <v>24</v>
      </c>
    </row>
    <row r="8270" spans="1:11" ht="40.049999999999997" customHeight="1" x14ac:dyDescent="0.25">
      <c r="A8270" s="11" t="s">
        <v>16827</v>
      </c>
      <c r="B8270" s="11" t="s">
        <v>16828</v>
      </c>
      <c r="C8270" s="11" t="s">
        <v>101</v>
      </c>
      <c r="D8270" s="11" t="s">
        <v>43</v>
      </c>
      <c r="E8270" s="12" t="s">
        <v>2378</v>
      </c>
      <c r="F8270" s="12" t="s">
        <v>2379</v>
      </c>
      <c r="G8270" s="12" t="s">
        <v>21</v>
      </c>
      <c r="H8270" s="11" t="s">
        <v>63</v>
      </c>
      <c r="I8270" s="13" t="s">
        <v>16829</v>
      </c>
      <c r="J8270" s="14" t="str">
        <f>HYPERLINK("https://www.boe.es/gazeta/dias/1839/06/20/pdfs/GMD-1839-1678.pdf#page=4","Abrir facsímil")</f>
        <v>Abrir facsímil</v>
      </c>
      <c r="K8270" s="12" t="s">
        <v>65</v>
      </c>
    </row>
    <row r="8271" spans="1:11" ht="40.049999999999997" customHeight="1" x14ac:dyDescent="0.25">
      <c r="A8271" s="11" t="s">
        <v>16830</v>
      </c>
      <c r="B8271" s="11" t="s">
        <v>16830</v>
      </c>
      <c r="C8271" s="11" t="s">
        <v>17</v>
      </c>
      <c r="D8271" s="11" t="s">
        <v>18</v>
      </c>
      <c r="E8271" s="12" t="s">
        <v>81</v>
      </c>
      <c r="F8271" s="12" t="s">
        <v>82</v>
      </c>
      <c r="G8271" s="12" t="s">
        <v>21</v>
      </c>
      <c r="H8271" s="11" t="s">
        <v>63</v>
      </c>
      <c r="I8271" s="13" t="s">
        <v>16831</v>
      </c>
      <c r="J8271" s="14" t="str">
        <f>HYPERLINK("https://www.boe.es/gazeta/dias/1839/03/03/pdfs/GMD-1839-1569.pdf#page=4","Abrir facsímil")</f>
        <v>Abrir facsímil</v>
      </c>
      <c r="K8271" s="12" t="s">
        <v>65</v>
      </c>
    </row>
    <row r="8272" spans="1:11" ht="40.049999999999997" customHeight="1" x14ac:dyDescent="0.25">
      <c r="A8272" s="11" t="s">
        <v>16832</v>
      </c>
      <c r="B8272" s="11" t="s">
        <v>16832</v>
      </c>
      <c r="C8272" s="11" t="s">
        <v>137</v>
      </c>
      <c r="D8272" s="11" t="s">
        <v>18</v>
      </c>
      <c r="E8272" s="12" t="s">
        <v>826</v>
      </c>
      <c r="F8272" s="12" t="s">
        <v>827</v>
      </c>
      <c r="G8272" s="12" t="s">
        <v>21</v>
      </c>
      <c r="H8272" s="11" t="s">
        <v>63</v>
      </c>
      <c r="I8272" s="13" t="s">
        <v>16833</v>
      </c>
      <c r="J8272" s="14" t="str">
        <f>HYPERLINK("https://www.boe.es/gazeta/dias/1839/09/25/pdfs/GMD-1839-1781.pdf#page=4","Abrir facsímil")</f>
        <v>Abrir facsímil</v>
      </c>
      <c r="K8272" s="12" t="s">
        <v>65</v>
      </c>
    </row>
    <row r="8273" spans="1:11" ht="40.049999999999997" customHeight="1" x14ac:dyDescent="0.25">
      <c r="A8273" s="11" t="s">
        <v>16834</v>
      </c>
      <c r="B8273" s="11" t="s">
        <v>16834</v>
      </c>
      <c r="C8273" s="11" t="s">
        <v>80</v>
      </c>
      <c r="D8273" s="11" t="s">
        <v>18</v>
      </c>
      <c r="E8273" s="12" t="s">
        <v>883</v>
      </c>
      <c r="F8273" s="12" t="s">
        <v>884</v>
      </c>
      <c r="G8273" s="12" t="s">
        <v>29</v>
      </c>
      <c r="H8273" s="11" t="s">
        <v>63</v>
      </c>
      <c r="I8273" s="13" t="s">
        <v>16835</v>
      </c>
      <c r="J8273" s="14" t="str">
        <f>HYPERLINK("https://www.boe.es/gazeta/dias/1839/11/03/pdfs/GMD-1839-1820.pdf#page=1","Abrir facsímil")</f>
        <v>Abrir facsímil</v>
      </c>
      <c r="K8273" s="12" t="s">
        <v>65</v>
      </c>
    </row>
    <row r="8274" spans="1:11" ht="40.049999999999997" customHeight="1" x14ac:dyDescent="0.25">
      <c r="A8274" s="11" t="s">
        <v>16834</v>
      </c>
      <c r="B8274" s="11" t="s">
        <v>16834</v>
      </c>
      <c r="C8274" s="11" t="s">
        <v>17</v>
      </c>
      <c r="D8274" s="11" t="s">
        <v>18</v>
      </c>
      <c r="E8274" s="12" t="s">
        <v>1100</v>
      </c>
      <c r="F8274" s="12" t="s">
        <v>1101</v>
      </c>
      <c r="G8274" s="12" t="s">
        <v>29</v>
      </c>
      <c r="H8274" s="11" t="s">
        <v>63</v>
      </c>
      <c r="I8274" s="13" t="s">
        <v>16836</v>
      </c>
      <c r="J8274" s="14" t="str">
        <f>HYPERLINK("https://www.boe.es/gazeta/dias/1839/09/13/pdfs/GMD-1839-1766.pdf#page=1","Abrir facsímil")</f>
        <v>Abrir facsímil</v>
      </c>
      <c r="K8274" s="12" t="s">
        <v>65</v>
      </c>
    </row>
    <row r="8275" spans="1:11" ht="40.049999999999997" customHeight="1" x14ac:dyDescent="0.25">
      <c r="A8275" s="11" t="s">
        <v>16837</v>
      </c>
      <c r="B8275" s="11" t="s">
        <v>16838</v>
      </c>
      <c r="C8275" s="11" t="s">
        <v>101</v>
      </c>
      <c r="D8275" s="11" t="s">
        <v>102</v>
      </c>
      <c r="E8275" s="12" t="s">
        <v>601</v>
      </c>
      <c r="F8275" s="12" t="s">
        <v>602</v>
      </c>
      <c r="G8275" s="12" t="s">
        <v>40</v>
      </c>
      <c r="H8275" s="11" t="s">
        <v>63</v>
      </c>
      <c r="I8275" s="13" t="s">
        <v>16839</v>
      </c>
      <c r="J8275" s="14" t="str">
        <f>HYPERLINK("https://www.boe.es/gazeta/dias/1839/04/21/pdfs/GMD-1839-1618.pdf#page=2","Abrir facsímil")</f>
        <v>Abrir facsímil</v>
      </c>
      <c r="K8275" s="12" t="s">
        <v>65</v>
      </c>
    </row>
    <row r="8276" spans="1:11" ht="40.049999999999997" customHeight="1" x14ac:dyDescent="0.25">
      <c r="A8276" s="11" t="s">
        <v>16840</v>
      </c>
      <c r="B8276" s="11" t="s">
        <v>16840</v>
      </c>
      <c r="C8276" s="11" t="s">
        <v>17</v>
      </c>
      <c r="D8276" s="11" t="s">
        <v>18</v>
      </c>
      <c r="E8276" s="12" t="s">
        <v>3614</v>
      </c>
      <c r="F8276" s="12" t="s">
        <v>3615</v>
      </c>
      <c r="G8276" s="12" t="s">
        <v>46</v>
      </c>
      <c r="H8276" s="11" t="s">
        <v>63</v>
      </c>
      <c r="I8276" s="13" t="s">
        <v>16841</v>
      </c>
      <c r="J8276" s="14" t="str">
        <f>HYPERLINK("https://www.boe.es/gazeta/dias/1839/04/04/pdfs/GMD-1839-1601.pdf#page=3","Abrir facsímil")</f>
        <v>Abrir facsímil</v>
      </c>
      <c r="K8276" s="12" t="s">
        <v>65</v>
      </c>
    </row>
    <row r="8277" spans="1:11" ht="40.049999999999997" customHeight="1" x14ac:dyDescent="0.25">
      <c r="A8277" s="11" t="s">
        <v>16840</v>
      </c>
      <c r="B8277" s="11" t="s">
        <v>16840</v>
      </c>
      <c r="C8277" s="11" t="s">
        <v>101</v>
      </c>
      <c r="D8277" s="11" t="s">
        <v>43</v>
      </c>
      <c r="E8277" s="12" t="s">
        <v>254</v>
      </c>
      <c r="F8277" s="12" t="s">
        <v>255</v>
      </c>
      <c r="G8277" s="12" t="s">
        <v>40</v>
      </c>
      <c r="H8277" s="11" t="s">
        <v>63</v>
      </c>
      <c r="I8277" s="13" t="s">
        <v>16842</v>
      </c>
      <c r="J8277" s="14" t="str">
        <f>HYPERLINK("https://www.boe.es/gazeta/dias/1839/09/12/pdfs/GMD-1839-1765.pdf#page=2","Abrir facsímil")</f>
        <v>Abrir facsímil</v>
      </c>
      <c r="K8277" s="12" t="s">
        <v>65</v>
      </c>
    </row>
    <row r="8278" spans="1:11" ht="40.049999999999997" customHeight="1" x14ac:dyDescent="0.25">
      <c r="A8278" s="11" t="s">
        <v>16843</v>
      </c>
      <c r="B8278" s="11" t="s">
        <v>16844</v>
      </c>
      <c r="C8278" s="11" t="s">
        <v>80</v>
      </c>
      <c r="D8278" s="11" t="s">
        <v>18</v>
      </c>
      <c r="E8278" s="12" t="s">
        <v>2522</v>
      </c>
      <c r="F8278" s="12" t="s">
        <v>2523</v>
      </c>
      <c r="G8278" s="12" t="s">
        <v>46</v>
      </c>
      <c r="H8278" s="11" t="s">
        <v>63</v>
      </c>
      <c r="I8278" s="13" t="s">
        <v>16845</v>
      </c>
      <c r="J8278" s="14" t="str">
        <f>HYPERLINK("https://www.boe.es/gazeta/dias/1839/12/29/pdfs/GMD-1839-1876.pdf#page=3","Abrir facsímil")</f>
        <v>Abrir facsímil</v>
      </c>
      <c r="K8278" s="12" t="s">
        <v>65</v>
      </c>
    </row>
    <row r="8279" spans="1:11" ht="40.049999999999997" customHeight="1" x14ac:dyDescent="0.25">
      <c r="A8279" s="11" t="s">
        <v>16846</v>
      </c>
      <c r="B8279" s="11" t="s">
        <v>16847</v>
      </c>
      <c r="C8279" s="11" t="s">
        <v>17</v>
      </c>
      <c r="D8279" s="11" t="s">
        <v>18</v>
      </c>
      <c r="E8279" s="12" t="s">
        <v>168</v>
      </c>
      <c r="F8279" s="12" t="s">
        <v>169</v>
      </c>
      <c r="G8279" s="12" t="s">
        <v>21</v>
      </c>
      <c r="H8279" s="11" t="s">
        <v>63</v>
      </c>
      <c r="I8279" s="13" t="s">
        <v>16848</v>
      </c>
      <c r="J8279" s="14" t="str">
        <f>HYPERLINK("https://www.boe.es/gazeta/dias/1839/07/12/pdfs/GMD-1839-1700.pdf#page=4","Abrir facsímil")</f>
        <v>Abrir facsímil</v>
      </c>
      <c r="K8279" s="12" t="s">
        <v>65</v>
      </c>
    </row>
    <row r="8280" spans="1:11" ht="40.049999999999997" customHeight="1" x14ac:dyDescent="0.25">
      <c r="A8280" s="11" t="s">
        <v>16849</v>
      </c>
      <c r="B8280" s="11" t="s">
        <v>16849</v>
      </c>
      <c r="C8280" s="11" t="s">
        <v>17</v>
      </c>
      <c r="D8280" s="11" t="s">
        <v>18</v>
      </c>
      <c r="E8280" s="12" t="s">
        <v>2155</v>
      </c>
      <c r="F8280" s="12" t="s">
        <v>2156</v>
      </c>
      <c r="G8280" s="12" t="s">
        <v>21</v>
      </c>
      <c r="H8280" s="11" t="s">
        <v>63</v>
      </c>
      <c r="I8280" s="13" t="s">
        <v>16850</v>
      </c>
      <c r="J8280" s="14" t="str">
        <f>HYPERLINK("https://www.boe.es/gazeta/dias/1839/01/17/pdfs/GMD-1839-1524.pdf#page=4","Abrir facsímil")</f>
        <v>Abrir facsímil</v>
      </c>
      <c r="K8280" s="12" t="s">
        <v>65</v>
      </c>
    </row>
    <row r="8281" spans="1:11" ht="40.049999999999997" customHeight="1" x14ac:dyDescent="0.25">
      <c r="A8281" s="11" t="s">
        <v>16851</v>
      </c>
      <c r="B8281" s="11" t="s">
        <v>16852</v>
      </c>
      <c r="C8281" s="11" t="s">
        <v>59</v>
      </c>
      <c r="D8281" s="11" t="s">
        <v>60</v>
      </c>
      <c r="E8281" s="12" t="s">
        <v>716</v>
      </c>
      <c r="F8281" s="12" t="s">
        <v>717</v>
      </c>
      <c r="G8281" s="12" t="s">
        <v>21</v>
      </c>
      <c r="H8281" s="11" t="s">
        <v>63</v>
      </c>
      <c r="I8281" s="13" t="s">
        <v>16853</v>
      </c>
      <c r="J8281" s="14" t="str">
        <f>HYPERLINK("https://www.boe.es/gazeta/dias/1839/07/30/pdfs/GMD-1839-1719.pdf#page=4","Abrir facsímil")</f>
        <v>Abrir facsímil</v>
      </c>
      <c r="K8281" s="12" t="s">
        <v>65</v>
      </c>
    </row>
    <row r="8282" spans="1:11" ht="40.049999999999997" customHeight="1" x14ac:dyDescent="0.25">
      <c r="A8282" s="11" t="s">
        <v>16854</v>
      </c>
      <c r="B8282" s="11" t="s">
        <v>16854</v>
      </c>
      <c r="C8282" s="11" t="s">
        <v>17</v>
      </c>
      <c r="D8282" s="11" t="s">
        <v>18</v>
      </c>
      <c r="E8282" s="12" t="s">
        <v>336</v>
      </c>
      <c r="F8282" s="12" t="s">
        <v>337</v>
      </c>
      <c r="G8282" s="12" t="s">
        <v>29</v>
      </c>
      <c r="H8282" s="11" t="s">
        <v>63</v>
      </c>
      <c r="I8282" s="13" t="s">
        <v>16855</v>
      </c>
      <c r="J8282" s="14" t="str">
        <f>HYPERLINK("https://www.boe.es/gazeta/dias/1839/07/14/pdfs/GMD-1839-1702.pdf#page=1","Abrir facsímil")</f>
        <v>Abrir facsímil</v>
      </c>
      <c r="K8282" s="12" t="s">
        <v>65</v>
      </c>
    </row>
    <row r="8283" spans="1:11" ht="40.049999999999997" customHeight="1" x14ac:dyDescent="0.25">
      <c r="A8283" s="11" t="s">
        <v>16856</v>
      </c>
      <c r="B8283" s="11" t="s">
        <v>16856</v>
      </c>
      <c r="C8283" s="11" t="s">
        <v>80</v>
      </c>
      <c r="D8283" s="11" t="s">
        <v>173</v>
      </c>
      <c r="E8283" s="12" t="s">
        <v>695</v>
      </c>
      <c r="F8283" s="12" t="s">
        <v>696</v>
      </c>
      <c r="G8283" s="12" t="s">
        <v>40</v>
      </c>
      <c r="H8283" s="11" t="s">
        <v>63</v>
      </c>
      <c r="I8283" s="13" t="s">
        <v>16857</v>
      </c>
      <c r="J8283" s="14" t="str">
        <f>HYPERLINK("https://www.boe.es/gazeta/dias/1839/12/19/pdfs/GMD-1839-1866.pdf#page=2","Abrir facsímil")</f>
        <v>Abrir facsímil</v>
      </c>
      <c r="K8283" s="12" t="s">
        <v>65</v>
      </c>
    </row>
    <row r="8284" spans="1:11" ht="40.049999999999997" customHeight="1" x14ac:dyDescent="0.25">
      <c r="A8284" s="11" t="s">
        <v>16858</v>
      </c>
      <c r="B8284" s="11" t="s">
        <v>16859</v>
      </c>
      <c r="C8284" s="11" t="s">
        <v>101</v>
      </c>
      <c r="D8284" s="11" t="s">
        <v>102</v>
      </c>
      <c r="E8284" s="12" t="s">
        <v>903</v>
      </c>
      <c r="F8284" s="12" t="s">
        <v>904</v>
      </c>
      <c r="G8284" s="12" t="s">
        <v>40</v>
      </c>
      <c r="H8284" s="11" t="s">
        <v>63</v>
      </c>
      <c r="I8284" s="13" t="s">
        <v>16860</v>
      </c>
      <c r="J8284" s="14" t="str">
        <f>HYPERLINK("https://www.boe.es/gazeta/dias/1839/03/14/pdfs/GMD-1839-1580.pdf#page=2","Abrir facsímil")</f>
        <v>Abrir facsímil</v>
      </c>
      <c r="K8284" s="12" t="s">
        <v>65</v>
      </c>
    </row>
    <row r="8285" spans="1:11" ht="40.049999999999997" customHeight="1" x14ac:dyDescent="0.25">
      <c r="A8285" s="11" t="s">
        <v>16861</v>
      </c>
      <c r="B8285" s="11" t="s">
        <v>16862</v>
      </c>
      <c r="C8285" s="11" t="s">
        <v>17</v>
      </c>
      <c r="D8285" s="11" t="s">
        <v>18</v>
      </c>
      <c r="E8285" s="12" t="s">
        <v>1588</v>
      </c>
      <c r="F8285" s="12" t="s">
        <v>1589</v>
      </c>
      <c r="G8285" s="12" t="s">
        <v>29</v>
      </c>
      <c r="H8285" s="11" t="s">
        <v>63</v>
      </c>
      <c r="I8285" s="13" t="s">
        <v>16863</v>
      </c>
      <c r="J8285" s="14" t="str">
        <f>HYPERLINK("https://www.boe.es/gazeta/dias/1839/07/27/pdfs/GMD-1839-1716.pdf#page=1","Abrir facsímil")</f>
        <v>Abrir facsímil</v>
      </c>
      <c r="K8285" s="12" t="s">
        <v>65</v>
      </c>
    </row>
    <row r="8286" spans="1:11" ht="40.049999999999997" customHeight="1" x14ac:dyDescent="0.25">
      <c r="A8286" s="11" t="s">
        <v>16864</v>
      </c>
      <c r="B8286" s="11" t="s">
        <v>16865</v>
      </c>
      <c r="C8286" s="11" t="s">
        <v>17</v>
      </c>
      <c r="D8286" s="11" t="s">
        <v>18</v>
      </c>
      <c r="E8286" s="12" t="s">
        <v>1588</v>
      </c>
      <c r="F8286" s="12" t="s">
        <v>1589</v>
      </c>
      <c r="G8286" s="12" t="s">
        <v>29</v>
      </c>
      <c r="H8286" s="11" t="s">
        <v>63</v>
      </c>
      <c r="I8286" s="13" t="s">
        <v>16866</v>
      </c>
      <c r="J8286" s="14" t="str">
        <f>HYPERLINK("https://www.boe.es/gazeta/dias/1839/07/27/pdfs/GMD-1839-1716.pdf#page=1","Abrir facsímil")</f>
        <v>Abrir facsímil</v>
      </c>
      <c r="K8286" s="12" t="s">
        <v>65</v>
      </c>
    </row>
    <row r="8287" spans="1:11" ht="40.049999999999997" customHeight="1" x14ac:dyDescent="0.25">
      <c r="A8287" s="11" t="s">
        <v>16867</v>
      </c>
      <c r="B8287" s="11" t="s">
        <v>16867</v>
      </c>
      <c r="C8287" s="11" t="s">
        <v>17</v>
      </c>
      <c r="D8287" s="11" t="s">
        <v>18</v>
      </c>
      <c r="E8287" s="12" t="s">
        <v>4550</v>
      </c>
      <c r="F8287" s="12" t="s">
        <v>4551</v>
      </c>
      <c r="G8287" s="12" t="s">
        <v>46</v>
      </c>
      <c r="H8287" s="11" t="s">
        <v>63</v>
      </c>
      <c r="I8287" s="13" t="s">
        <v>16868</v>
      </c>
      <c r="J8287" s="14" t="str">
        <f>HYPERLINK("https://www.boe.es/gazeta/dias/1839/04/17/pdfs/GMD-1839-1614.pdf#page=3","Abrir facsímil")</f>
        <v>Abrir facsímil</v>
      </c>
      <c r="K8287" s="12" t="s">
        <v>65</v>
      </c>
    </row>
    <row r="8288" spans="1:11" ht="40.049999999999997" customHeight="1" x14ac:dyDescent="0.25">
      <c r="A8288" s="11" t="s">
        <v>16869</v>
      </c>
      <c r="B8288" s="11" t="s">
        <v>16869</v>
      </c>
      <c r="C8288" s="11" t="s">
        <v>17</v>
      </c>
      <c r="D8288" s="11" t="s">
        <v>18</v>
      </c>
      <c r="E8288" s="12" t="s">
        <v>1388</v>
      </c>
      <c r="F8288" s="12" t="s">
        <v>1389</v>
      </c>
      <c r="G8288" s="12" t="s">
        <v>46</v>
      </c>
      <c r="H8288" s="11" t="s">
        <v>63</v>
      </c>
      <c r="I8288" s="13" t="s">
        <v>16870</v>
      </c>
      <c r="J8288" s="14" t="str">
        <f>HYPERLINK("https://www.boe.es/gazeta/dias/1839/06/04/pdfs/GMD-1839-1662.pdf#page=3","Abrir facsímil")</f>
        <v>Abrir facsímil</v>
      </c>
      <c r="K8288" s="12" t="s">
        <v>65</v>
      </c>
    </row>
    <row r="8289" spans="1:11" ht="40.049999999999997" customHeight="1" x14ac:dyDescent="0.25">
      <c r="A8289" s="11" t="s">
        <v>16871</v>
      </c>
      <c r="B8289" s="11" t="s">
        <v>16872</v>
      </c>
      <c r="C8289" s="11" t="s">
        <v>80</v>
      </c>
      <c r="D8289" s="11" t="s">
        <v>18</v>
      </c>
      <c r="E8289" s="12" t="s">
        <v>272</v>
      </c>
      <c r="F8289" s="12" t="s">
        <v>273</v>
      </c>
      <c r="G8289" s="12" t="s">
        <v>21</v>
      </c>
      <c r="H8289" s="11" t="s">
        <v>63</v>
      </c>
      <c r="I8289" s="13" t="s">
        <v>16873</v>
      </c>
      <c r="J8289" s="14" t="str">
        <f>HYPERLINK("https://www.boe.es/gazeta/dias/1839/02/12/pdfs/GMD-1839-1550.pdf#page=4","Abrir facsímil")</f>
        <v>Abrir facsímil</v>
      </c>
      <c r="K8289" s="12" t="s">
        <v>65</v>
      </c>
    </row>
    <row r="8290" spans="1:11" ht="40.049999999999997" customHeight="1" x14ac:dyDescent="0.25">
      <c r="A8290" s="11" t="s">
        <v>16874</v>
      </c>
      <c r="B8290" s="11" t="s">
        <v>16875</v>
      </c>
      <c r="C8290" s="11" t="s">
        <v>80</v>
      </c>
      <c r="D8290" s="11" t="s">
        <v>18</v>
      </c>
      <c r="E8290" s="12" t="s">
        <v>1562</v>
      </c>
      <c r="F8290" s="12" t="s">
        <v>1563</v>
      </c>
      <c r="G8290" s="12" t="s">
        <v>21</v>
      </c>
      <c r="H8290" s="11" t="s">
        <v>22</v>
      </c>
      <c r="I8290" s="13" t="s">
        <v>16876</v>
      </c>
      <c r="J8290" s="14" t="str">
        <f>HYPERLINK("https://www.boe.es/gazeta/dias/1839/04/08/pdfs/GMD-1839-1605.pdf#page=4","Abrir facsímil")</f>
        <v>Abrir facsímil</v>
      </c>
      <c r="K8290" s="12" t="s">
        <v>24</v>
      </c>
    </row>
    <row r="8291" spans="1:11" ht="40.049999999999997" customHeight="1" x14ac:dyDescent="0.25">
      <c r="A8291" s="11" t="s">
        <v>16877</v>
      </c>
      <c r="B8291" s="11" t="s">
        <v>16878</v>
      </c>
      <c r="C8291" s="11" t="s">
        <v>80</v>
      </c>
      <c r="D8291" s="11" t="s">
        <v>18</v>
      </c>
      <c r="E8291" s="12" t="s">
        <v>89</v>
      </c>
      <c r="F8291" s="12" t="s">
        <v>90</v>
      </c>
      <c r="G8291" s="12" t="s">
        <v>40</v>
      </c>
      <c r="H8291" s="11" t="s">
        <v>63</v>
      </c>
      <c r="I8291" s="13" t="s">
        <v>16879</v>
      </c>
      <c r="J8291" s="14" t="str">
        <f>HYPERLINK("https://www.boe.es/gazeta/dias/1839/11/28/pdfs/GMD-1839-1845.pdf#page=2","Abrir facsímil")</f>
        <v>Abrir facsímil</v>
      </c>
      <c r="K8291" s="12" t="s">
        <v>65</v>
      </c>
    </row>
    <row r="8292" spans="1:11" ht="40.049999999999997" customHeight="1" x14ac:dyDescent="0.25">
      <c r="A8292" s="11" t="s">
        <v>16880</v>
      </c>
      <c r="B8292" s="11" t="s">
        <v>16881</v>
      </c>
      <c r="C8292" s="11" t="s">
        <v>80</v>
      </c>
      <c r="D8292" s="11" t="s">
        <v>18</v>
      </c>
      <c r="E8292" s="12" t="s">
        <v>4451</v>
      </c>
      <c r="F8292" s="12" t="s">
        <v>4452</v>
      </c>
      <c r="G8292" s="12" t="s">
        <v>21</v>
      </c>
      <c r="H8292" s="11" t="s">
        <v>63</v>
      </c>
      <c r="I8292" s="13" t="s">
        <v>16882</v>
      </c>
      <c r="J8292" s="14" t="str">
        <f>HYPERLINK("https://www.boe.es/gazeta/dias/1839/12/02/pdfs/GMD-1839-1849.pdf#page=4","Abrir facsímil")</f>
        <v>Abrir facsímil</v>
      </c>
      <c r="K8292" s="12" t="s">
        <v>65</v>
      </c>
    </row>
    <row r="8293" spans="1:11" ht="40.049999999999997" customHeight="1" x14ac:dyDescent="0.25">
      <c r="A8293" s="11" t="s">
        <v>16880</v>
      </c>
      <c r="B8293" s="11" t="s">
        <v>16881</v>
      </c>
      <c r="C8293" s="11" t="s">
        <v>17</v>
      </c>
      <c r="D8293" s="11" t="s">
        <v>18</v>
      </c>
      <c r="E8293" s="12" t="s">
        <v>1391</v>
      </c>
      <c r="F8293" s="12" t="s">
        <v>1392</v>
      </c>
      <c r="G8293" s="12" t="s">
        <v>21</v>
      </c>
      <c r="H8293" s="11" t="s">
        <v>63</v>
      </c>
      <c r="I8293" s="13" t="s">
        <v>16883</v>
      </c>
      <c r="J8293" s="14" t="str">
        <f>HYPERLINK("https://www.boe.es/gazeta/dias/1839/05/12/pdfs/GMD-1839-1639.pdf#page=4","Abrir facsímil")</f>
        <v>Abrir facsímil</v>
      </c>
      <c r="K8293" s="12" t="s">
        <v>65</v>
      </c>
    </row>
    <row r="8294" spans="1:11" ht="40.049999999999997" customHeight="1" x14ac:dyDescent="0.25">
      <c r="A8294" s="11" t="s">
        <v>16884</v>
      </c>
      <c r="B8294" s="11" t="s">
        <v>16885</v>
      </c>
      <c r="C8294" s="11" t="s">
        <v>17</v>
      </c>
      <c r="D8294" s="11" t="s">
        <v>18</v>
      </c>
      <c r="E8294" s="12" t="s">
        <v>611</v>
      </c>
      <c r="F8294" s="12" t="s">
        <v>612</v>
      </c>
      <c r="G8294" s="12" t="s">
        <v>21</v>
      </c>
      <c r="H8294" s="11" t="s">
        <v>63</v>
      </c>
      <c r="I8294" s="13" t="s">
        <v>16886</v>
      </c>
      <c r="J8294" s="14" t="str">
        <f>HYPERLINK("https://www.boe.es/gazeta/dias/1839/07/22/pdfs/GMD-1839-1710.pdf#page=4","Abrir facsímil")</f>
        <v>Abrir facsímil</v>
      </c>
      <c r="K8294" s="12" t="s">
        <v>65</v>
      </c>
    </row>
    <row r="8295" spans="1:11" ht="40.049999999999997" customHeight="1" x14ac:dyDescent="0.25">
      <c r="A8295" s="11" t="s">
        <v>16887</v>
      </c>
      <c r="B8295" s="11" t="s">
        <v>16888</v>
      </c>
      <c r="C8295" s="11" t="s">
        <v>80</v>
      </c>
      <c r="D8295" s="11" t="s">
        <v>18</v>
      </c>
      <c r="E8295" s="12" t="s">
        <v>2491</v>
      </c>
      <c r="F8295" s="12" t="s">
        <v>2492</v>
      </c>
      <c r="G8295" s="12" t="s">
        <v>21</v>
      </c>
      <c r="H8295" s="11" t="s">
        <v>63</v>
      </c>
      <c r="I8295" s="13" t="s">
        <v>16889</v>
      </c>
      <c r="J8295" s="14" t="str">
        <f>HYPERLINK("https://www.boe.es/gazeta/dias/1839/05/01/pdfs/GMD-1839-1628.pdf#page=4","Abrir facsímil")</f>
        <v>Abrir facsímil</v>
      </c>
      <c r="K8295" s="12" t="s">
        <v>65</v>
      </c>
    </row>
    <row r="8296" spans="1:11" ht="40.049999999999997" customHeight="1" x14ac:dyDescent="0.25">
      <c r="A8296" s="11" t="s">
        <v>16890</v>
      </c>
      <c r="B8296" s="11" t="s">
        <v>16891</v>
      </c>
      <c r="C8296" s="11" t="s">
        <v>17</v>
      </c>
      <c r="D8296" s="11" t="s">
        <v>18</v>
      </c>
      <c r="E8296" s="12" t="s">
        <v>834</v>
      </c>
      <c r="F8296" s="12" t="s">
        <v>835</v>
      </c>
      <c r="G8296" s="12" t="s">
        <v>21</v>
      </c>
      <c r="H8296" s="11" t="s">
        <v>63</v>
      </c>
      <c r="I8296" s="13" t="s">
        <v>16892</v>
      </c>
      <c r="J8296" s="14" t="str">
        <f>HYPERLINK("https://www.boe.es/gazeta/dias/1839/08/17/pdfs/GMD-1839-1737.pdf#page=4","Abrir facsímil")</f>
        <v>Abrir facsímil</v>
      </c>
      <c r="K8296" s="12" t="s">
        <v>65</v>
      </c>
    </row>
    <row r="8297" spans="1:11" ht="40.049999999999997" customHeight="1" x14ac:dyDescent="0.25">
      <c r="A8297" s="11" t="s">
        <v>16893</v>
      </c>
      <c r="B8297" s="11" t="s">
        <v>16894</v>
      </c>
      <c r="C8297" s="11" t="s">
        <v>17</v>
      </c>
      <c r="D8297" s="11" t="s">
        <v>18</v>
      </c>
      <c r="E8297" s="12" t="s">
        <v>946</v>
      </c>
      <c r="F8297" s="12" t="s">
        <v>947</v>
      </c>
      <c r="G8297" s="12" t="s">
        <v>40</v>
      </c>
      <c r="H8297" s="11" t="s">
        <v>63</v>
      </c>
      <c r="I8297" s="13" t="s">
        <v>16895</v>
      </c>
      <c r="J8297" s="14" t="str">
        <f>HYPERLINK("https://www.boe.es/gazeta/dias/1839/04/15/pdfs/GMD-1839-1612.pdf#page=2","Abrir facsímil")</f>
        <v>Abrir facsímil</v>
      </c>
      <c r="K8297" s="12" t="s">
        <v>65</v>
      </c>
    </row>
    <row r="8298" spans="1:11" ht="40.049999999999997" customHeight="1" x14ac:dyDescent="0.25">
      <c r="A8298" s="11" t="s">
        <v>16896</v>
      </c>
      <c r="B8298" s="11" t="s">
        <v>16897</v>
      </c>
      <c r="C8298" s="11" t="s">
        <v>59</v>
      </c>
      <c r="D8298" s="11" t="s">
        <v>60</v>
      </c>
      <c r="E8298" s="12" t="s">
        <v>355</v>
      </c>
      <c r="F8298" s="12" t="s">
        <v>356</v>
      </c>
      <c r="G8298" s="12" t="s">
        <v>29</v>
      </c>
      <c r="H8298" s="11" t="s">
        <v>63</v>
      </c>
      <c r="I8298" s="13" t="s">
        <v>16898</v>
      </c>
      <c r="J8298" s="14" t="str">
        <f>HYPERLINK("https://www.boe.es/gazeta/dias/1839/05/31/pdfs/GMD-1839-1658.pdf#page=1","Abrir facsímil")</f>
        <v>Abrir facsímil</v>
      </c>
      <c r="K8298" s="12" t="s">
        <v>65</v>
      </c>
    </row>
    <row r="8299" spans="1:11" ht="40.049999999999997" customHeight="1" x14ac:dyDescent="0.25">
      <c r="A8299" s="11" t="s">
        <v>16899</v>
      </c>
      <c r="B8299" s="11" t="s">
        <v>16900</v>
      </c>
      <c r="C8299" s="11" t="s">
        <v>80</v>
      </c>
      <c r="D8299" s="11" t="s">
        <v>18</v>
      </c>
      <c r="E8299" s="12" t="s">
        <v>1159</v>
      </c>
      <c r="F8299" s="12" t="s">
        <v>1160</v>
      </c>
      <c r="G8299" s="12" t="s">
        <v>21</v>
      </c>
      <c r="H8299" s="11" t="s">
        <v>63</v>
      </c>
      <c r="I8299" s="13" t="s">
        <v>16901</v>
      </c>
      <c r="J8299" s="14" t="str">
        <f>HYPERLINK("https://www.boe.es/gazeta/dias/1839/11/26/pdfs/GMD-1839-1843.pdf#page=4","Abrir facsímil")</f>
        <v>Abrir facsímil</v>
      </c>
      <c r="K8299" s="12" t="s">
        <v>65</v>
      </c>
    </row>
    <row r="8300" spans="1:11" ht="40.049999999999997" customHeight="1" x14ac:dyDescent="0.25">
      <c r="A8300" s="11" t="s">
        <v>16902</v>
      </c>
      <c r="B8300" s="11" t="s">
        <v>16903</v>
      </c>
      <c r="C8300" s="11" t="s">
        <v>17</v>
      </c>
      <c r="D8300" s="11" t="s">
        <v>18</v>
      </c>
      <c r="E8300" s="12" t="s">
        <v>1284</v>
      </c>
      <c r="F8300" s="12" t="s">
        <v>1285</v>
      </c>
      <c r="G8300" s="12" t="s">
        <v>21</v>
      </c>
      <c r="H8300" s="11" t="s">
        <v>63</v>
      </c>
      <c r="I8300" s="13" t="s">
        <v>16904</v>
      </c>
      <c r="J8300" s="14" t="str">
        <f>HYPERLINK("https://www.boe.es/gazeta/dias/1839/03/27/pdfs/GMD-1839-1593.pdf#page=4","Abrir facsímil")</f>
        <v>Abrir facsímil</v>
      </c>
      <c r="K8300" s="12" t="s">
        <v>65</v>
      </c>
    </row>
    <row r="8301" spans="1:11" ht="40.049999999999997" customHeight="1" x14ac:dyDescent="0.25">
      <c r="A8301" s="11" t="s">
        <v>16905</v>
      </c>
      <c r="B8301" s="11" t="s">
        <v>16906</v>
      </c>
      <c r="C8301" s="11" t="s">
        <v>17</v>
      </c>
      <c r="D8301" s="11" t="s">
        <v>18</v>
      </c>
      <c r="E8301" s="12" t="s">
        <v>1414</v>
      </c>
      <c r="F8301" s="12" t="s">
        <v>1415</v>
      </c>
      <c r="G8301" s="12" t="s">
        <v>21</v>
      </c>
      <c r="H8301" s="11" t="s">
        <v>63</v>
      </c>
      <c r="I8301" s="13" t="s">
        <v>16907</v>
      </c>
      <c r="J8301" s="14" t="str">
        <f>HYPERLINK("https://www.boe.es/gazeta/dias/1839/06/12/pdfs/GMD-1839-1670.pdf#page=4","Abrir facsímil")</f>
        <v>Abrir facsímil</v>
      </c>
      <c r="K8301" s="12" t="s">
        <v>65</v>
      </c>
    </row>
    <row r="8302" spans="1:11" ht="40.049999999999997" customHeight="1" x14ac:dyDescent="0.25">
      <c r="A8302" s="11" t="s">
        <v>16908</v>
      </c>
      <c r="B8302" s="11" t="s">
        <v>16908</v>
      </c>
      <c r="C8302" s="11" t="s">
        <v>17</v>
      </c>
      <c r="D8302" s="11" t="s">
        <v>18</v>
      </c>
      <c r="E8302" s="12" t="s">
        <v>513</v>
      </c>
      <c r="F8302" s="12" t="s">
        <v>514</v>
      </c>
      <c r="G8302" s="12" t="s">
        <v>21</v>
      </c>
      <c r="H8302" s="11" t="s">
        <v>63</v>
      </c>
      <c r="I8302" s="13" t="s">
        <v>16909</v>
      </c>
      <c r="J8302" s="14" t="str">
        <f>HYPERLINK("https://www.boe.es/gazeta/dias/1839/03/17/pdfs/GMD-1839-1583.pdf#page=4","Abrir facsímil")</f>
        <v>Abrir facsímil</v>
      </c>
      <c r="K8302" s="12" t="s">
        <v>65</v>
      </c>
    </row>
    <row r="8303" spans="1:11" ht="40.049999999999997" customHeight="1" x14ac:dyDescent="0.25">
      <c r="A8303" s="11" t="s">
        <v>16910</v>
      </c>
      <c r="B8303" s="11" t="s">
        <v>16911</v>
      </c>
      <c r="C8303" s="11" t="s">
        <v>17</v>
      </c>
      <c r="D8303" s="11" t="s">
        <v>18</v>
      </c>
      <c r="E8303" s="12" t="s">
        <v>892</v>
      </c>
      <c r="F8303" s="12" t="s">
        <v>893</v>
      </c>
      <c r="G8303" s="12" t="s">
        <v>21</v>
      </c>
      <c r="H8303" s="11" t="s">
        <v>63</v>
      </c>
      <c r="I8303" s="13" t="s">
        <v>16912</v>
      </c>
      <c r="J8303" s="14" t="str">
        <f>HYPERLINK("https://www.boe.es/gazeta/dias/1839/12/28/pdfs/GMD-1839-1875.pdf#page=4","Abrir facsímil")</f>
        <v>Abrir facsímil</v>
      </c>
      <c r="K8303" s="12" t="s">
        <v>65</v>
      </c>
    </row>
    <row r="8304" spans="1:11" ht="40.049999999999997" customHeight="1" x14ac:dyDescent="0.25">
      <c r="A8304" s="11" t="s">
        <v>16913</v>
      </c>
      <c r="B8304" s="11" t="s">
        <v>16913</v>
      </c>
      <c r="C8304" s="11" t="s">
        <v>17</v>
      </c>
      <c r="D8304" s="11" t="s">
        <v>18</v>
      </c>
      <c r="E8304" s="12" t="s">
        <v>4292</v>
      </c>
      <c r="F8304" s="12" t="s">
        <v>4293</v>
      </c>
      <c r="G8304" s="12" t="s">
        <v>29</v>
      </c>
      <c r="H8304" s="11" t="s">
        <v>63</v>
      </c>
      <c r="I8304" s="13" t="s">
        <v>16914</v>
      </c>
      <c r="J8304" s="14" t="str">
        <f>HYPERLINK("https://www.boe.es/gazeta/dias/1839/11/29/pdfs/GMD-1839-1846.pdf#page=1","Abrir facsímil")</f>
        <v>Abrir facsímil</v>
      </c>
      <c r="K8304" s="12" t="s">
        <v>65</v>
      </c>
    </row>
    <row r="8305" spans="1:11" ht="40.049999999999997" customHeight="1" x14ac:dyDescent="0.25">
      <c r="A8305" s="11" t="s">
        <v>16915</v>
      </c>
      <c r="B8305" s="11" t="s">
        <v>16915</v>
      </c>
      <c r="C8305" s="11" t="s">
        <v>101</v>
      </c>
      <c r="D8305" s="11" t="s">
        <v>43</v>
      </c>
      <c r="E8305" s="12" t="s">
        <v>212</v>
      </c>
      <c r="F8305" s="12" t="s">
        <v>213</v>
      </c>
      <c r="G8305" s="12" t="s">
        <v>46</v>
      </c>
      <c r="H8305" s="11" t="s">
        <v>22</v>
      </c>
      <c r="I8305" s="13" t="s">
        <v>16916</v>
      </c>
      <c r="J8305" s="14" t="str">
        <f>HYPERLINK("https://www.boe.es/gazeta/dias/1839/10/03/pdfs/GMD-1839-1789.pdf#page=3","Abrir facsímil")</f>
        <v>Abrir facsímil</v>
      </c>
      <c r="K8305" s="12" t="s">
        <v>24</v>
      </c>
    </row>
    <row r="8306" spans="1:11" ht="40.049999999999997" customHeight="1" x14ac:dyDescent="0.25">
      <c r="A8306" s="11" t="s">
        <v>16917</v>
      </c>
      <c r="B8306" s="11" t="s">
        <v>16917</v>
      </c>
      <c r="C8306" s="11" t="s">
        <v>101</v>
      </c>
      <c r="D8306" s="11" t="s">
        <v>43</v>
      </c>
      <c r="E8306" s="12" t="s">
        <v>160</v>
      </c>
      <c r="F8306" s="12" t="s">
        <v>161</v>
      </c>
      <c r="G8306" s="12" t="s">
        <v>40</v>
      </c>
      <c r="H8306" s="11" t="s">
        <v>22</v>
      </c>
      <c r="I8306" s="13" t="s">
        <v>16918</v>
      </c>
      <c r="J8306" s="14" t="str">
        <f>HYPERLINK("https://www.boe.es/gazeta/dias/1839/01/10/pdfs/GMD-1839-1517.pdf#page=2","Abrir facsímil")</f>
        <v>Abrir facsímil</v>
      </c>
      <c r="K8306" s="12" t="s">
        <v>24</v>
      </c>
    </row>
    <row r="8307" spans="1:11" ht="40.049999999999997" customHeight="1" x14ac:dyDescent="0.25">
      <c r="A8307" s="11" t="s">
        <v>16919</v>
      </c>
      <c r="B8307" s="11" t="s">
        <v>16920</v>
      </c>
      <c r="C8307" s="11" t="s">
        <v>59</v>
      </c>
      <c r="D8307" s="11" t="s">
        <v>60</v>
      </c>
      <c r="E8307" s="12" t="s">
        <v>355</v>
      </c>
      <c r="F8307" s="12" t="s">
        <v>356</v>
      </c>
      <c r="G8307" s="12" t="s">
        <v>29</v>
      </c>
      <c r="H8307" s="11" t="s">
        <v>63</v>
      </c>
      <c r="I8307" s="13" t="s">
        <v>16921</v>
      </c>
      <c r="J8307" s="14" t="str">
        <f>HYPERLINK("https://www.boe.es/gazeta/dias/1839/05/31/pdfs/GMD-1839-1658.pdf#page=1","Abrir facsímil")</f>
        <v>Abrir facsímil</v>
      </c>
      <c r="K8307" s="12" t="s">
        <v>65</v>
      </c>
    </row>
    <row r="8308" spans="1:11" ht="40.049999999999997" customHeight="1" x14ac:dyDescent="0.25">
      <c r="A8308" s="11" t="s">
        <v>16922</v>
      </c>
      <c r="B8308" s="11" t="s">
        <v>16922</v>
      </c>
      <c r="C8308" s="11" t="s">
        <v>59</v>
      </c>
      <c r="D8308" s="11" t="s">
        <v>60</v>
      </c>
      <c r="E8308" s="12" t="s">
        <v>2440</v>
      </c>
      <c r="F8308" s="12" t="s">
        <v>2441</v>
      </c>
      <c r="G8308" s="12" t="s">
        <v>21</v>
      </c>
      <c r="H8308" s="11" t="s">
        <v>63</v>
      </c>
      <c r="I8308" s="13" t="s">
        <v>16923</v>
      </c>
      <c r="J8308" s="14" t="str">
        <f>HYPERLINK("https://www.boe.es/gazeta/dias/1839/12/01/pdfs/GMD-1839-1848.pdf#page=4","Abrir facsímil")</f>
        <v>Abrir facsímil</v>
      </c>
      <c r="K8308" s="12" t="s">
        <v>65</v>
      </c>
    </row>
    <row r="8309" spans="1:11" ht="40.049999999999997" customHeight="1" x14ac:dyDescent="0.25">
      <c r="A8309" s="11" t="s">
        <v>16924</v>
      </c>
      <c r="B8309" s="11" t="s">
        <v>16924</v>
      </c>
      <c r="C8309" s="11" t="s">
        <v>17</v>
      </c>
      <c r="D8309" s="11" t="s">
        <v>18</v>
      </c>
      <c r="E8309" s="12" t="s">
        <v>2253</v>
      </c>
      <c r="F8309" s="12" t="s">
        <v>2254</v>
      </c>
      <c r="G8309" s="12" t="s">
        <v>29</v>
      </c>
      <c r="H8309" s="11" t="s">
        <v>63</v>
      </c>
      <c r="I8309" s="13" t="s">
        <v>16925</v>
      </c>
      <c r="J8309" s="14" t="str">
        <f>HYPERLINK("https://www.boe.es/gazeta/dias/1839/02/20/pdfs/GMD-1839-1558.pdf#page=1","Abrir facsímil")</f>
        <v>Abrir facsímil</v>
      </c>
      <c r="K8309" s="12" t="s">
        <v>65</v>
      </c>
    </row>
    <row r="8310" spans="1:11" ht="40.049999999999997" customHeight="1" x14ac:dyDescent="0.25">
      <c r="A8310" s="11" t="s">
        <v>16926</v>
      </c>
      <c r="B8310" s="11" t="s">
        <v>16927</v>
      </c>
      <c r="C8310" s="11" t="s">
        <v>17</v>
      </c>
      <c r="D8310" s="11" t="s">
        <v>18</v>
      </c>
      <c r="E8310" s="12" t="s">
        <v>1057</v>
      </c>
      <c r="F8310" s="12" t="s">
        <v>1058</v>
      </c>
      <c r="G8310" s="12" t="s">
        <v>305</v>
      </c>
      <c r="H8310" s="11" t="s">
        <v>63</v>
      </c>
      <c r="I8310" s="13" t="s">
        <v>16928</v>
      </c>
      <c r="J8310" s="14" t="str">
        <f>HYPERLINK("https://www.boe.es/gazeta/dias/1839/10/01/pdfs/GMD-1839-1787.pdf#page=6","Abrir facsímil")</f>
        <v>Abrir facsímil</v>
      </c>
      <c r="K8310" s="12" t="s">
        <v>65</v>
      </c>
    </row>
    <row r="8311" spans="1:11" ht="40.049999999999997" customHeight="1" x14ac:dyDescent="0.25">
      <c r="A8311" s="11" t="s">
        <v>16926</v>
      </c>
      <c r="B8311" s="11" t="s">
        <v>16927</v>
      </c>
      <c r="C8311" s="11" t="s">
        <v>17</v>
      </c>
      <c r="D8311" s="11" t="s">
        <v>18</v>
      </c>
      <c r="E8311" s="12" t="s">
        <v>168</v>
      </c>
      <c r="F8311" s="12" t="s">
        <v>169</v>
      </c>
      <c r="G8311" s="12" t="s">
        <v>21</v>
      </c>
      <c r="H8311" s="11" t="s">
        <v>63</v>
      </c>
      <c r="I8311" s="13" t="s">
        <v>16929</v>
      </c>
      <c r="J8311" s="14" t="str">
        <f>HYPERLINK("https://www.boe.es/gazeta/dias/1839/07/12/pdfs/GMD-1839-1700.pdf#page=4","Abrir facsímil")</f>
        <v>Abrir facsímil</v>
      </c>
      <c r="K8311" s="12" t="s">
        <v>65</v>
      </c>
    </row>
    <row r="8312" spans="1:11" ht="40.049999999999997" customHeight="1" x14ac:dyDescent="0.25">
      <c r="A8312" s="11" t="s">
        <v>16930</v>
      </c>
      <c r="B8312" s="11" t="s">
        <v>16931</v>
      </c>
      <c r="C8312" s="11" t="s">
        <v>80</v>
      </c>
      <c r="D8312" s="11" t="s">
        <v>18</v>
      </c>
      <c r="E8312" s="12" t="s">
        <v>1027</v>
      </c>
      <c r="F8312" s="12" t="s">
        <v>1028</v>
      </c>
      <c r="G8312" s="12" t="s">
        <v>21</v>
      </c>
      <c r="H8312" s="11" t="s">
        <v>63</v>
      </c>
      <c r="I8312" s="13" t="s">
        <v>16932</v>
      </c>
      <c r="J8312" s="14" t="str">
        <f>HYPERLINK("https://www.boe.es/gazeta/dias/1839/08/16/pdfs/GMD-1839-1736.pdf#page=4","Abrir facsímil")</f>
        <v>Abrir facsímil</v>
      </c>
      <c r="K8312" s="12" t="s">
        <v>65</v>
      </c>
    </row>
    <row r="8313" spans="1:11" ht="40.049999999999997" customHeight="1" x14ac:dyDescent="0.25">
      <c r="A8313" s="11" t="s">
        <v>16933</v>
      </c>
      <c r="B8313" s="11" t="s">
        <v>16934</v>
      </c>
      <c r="C8313" s="11" t="s">
        <v>17</v>
      </c>
      <c r="D8313" s="11" t="s">
        <v>18</v>
      </c>
      <c r="E8313" s="12" t="s">
        <v>785</v>
      </c>
      <c r="F8313" s="12" t="s">
        <v>786</v>
      </c>
      <c r="G8313" s="12" t="s">
        <v>40</v>
      </c>
      <c r="H8313" s="11" t="s">
        <v>63</v>
      </c>
      <c r="I8313" s="13" t="s">
        <v>16935</v>
      </c>
      <c r="J8313" s="14" t="str">
        <f>HYPERLINK("https://www.boe.es/gazeta/dias/1839/07/13/pdfs/GMD-1839-1701.pdf#page=2","Abrir facsímil")</f>
        <v>Abrir facsímil</v>
      </c>
      <c r="K8313" s="12" t="s">
        <v>65</v>
      </c>
    </row>
    <row r="8314" spans="1:11" ht="40.049999999999997" customHeight="1" x14ac:dyDescent="0.25">
      <c r="A8314" s="11" t="s">
        <v>16936</v>
      </c>
      <c r="B8314" s="11" t="s">
        <v>16937</v>
      </c>
      <c r="C8314" s="11" t="s">
        <v>17</v>
      </c>
      <c r="D8314" s="11" t="s">
        <v>18</v>
      </c>
      <c r="E8314" s="12" t="s">
        <v>369</v>
      </c>
      <c r="F8314" s="12" t="s">
        <v>370</v>
      </c>
      <c r="G8314" s="12" t="s">
        <v>21</v>
      </c>
      <c r="H8314" s="11" t="s">
        <v>63</v>
      </c>
      <c r="I8314" s="13" t="s">
        <v>16938</v>
      </c>
      <c r="J8314" s="14" t="str">
        <f>HYPERLINK("https://www.boe.es/gazeta/dias/1839/11/01/pdfs/GMD-1839-1818.pdf#page=4","Abrir facsímil")</f>
        <v>Abrir facsímil</v>
      </c>
      <c r="K8314" s="12" t="s">
        <v>65</v>
      </c>
    </row>
    <row r="8315" spans="1:11" ht="40.049999999999997" customHeight="1" x14ac:dyDescent="0.25">
      <c r="A8315" s="11" t="s">
        <v>16939</v>
      </c>
      <c r="B8315" s="11" t="s">
        <v>16939</v>
      </c>
      <c r="C8315" s="11" t="s">
        <v>17</v>
      </c>
      <c r="D8315" s="11" t="s">
        <v>43</v>
      </c>
      <c r="E8315" s="12" t="s">
        <v>2491</v>
      </c>
      <c r="F8315" s="12" t="s">
        <v>2492</v>
      </c>
      <c r="G8315" s="12" t="s">
        <v>21</v>
      </c>
      <c r="H8315" s="11" t="s">
        <v>63</v>
      </c>
      <c r="I8315" s="13" t="s">
        <v>16940</v>
      </c>
      <c r="J8315" s="14" t="str">
        <f>HYPERLINK("https://www.boe.es/gazeta/dias/1839/05/01/pdfs/GMD-1839-1628.pdf#page=4","Abrir facsímil")</f>
        <v>Abrir facsímil</v>
      </c>
      <c r="K8315" s="12" t="s">
        <v>65</v>
      </c>
    </row>
    <row r="8316" spans="1:11" ht="40.049999999999997" customHeight="1" x14ac:dyDescent="0.25">
      <c r="A8316" s="11" t="s">
        <v>16939</v>
      </c>
      <c r="B8316" s="11" t="s">
        <v>16939</v>
      </c>
      <c r="C8316" s="11" t="s">
        <v>101</v>
      </c>
      <c r="D8316" s="11" t="s">
        <v>43</v>
      </c>
      <c r="E8316" s="12" t="s">
        <v>157</v>
      </c>
      <c r="F8316" s="12" t="s">
        <v>158</v>
      </c>
      <c r="G8316" s="12" t="s">
        <v>21</v>
      </c>
      <c r="H8316" s="11" t="s">
        <v>63</v>
      </c>
      <c r="I8316" s="13" t="s">
        <v>16941</v>
      </c>
      <c r="J8316" s="14" t="str">
        <f>HYPERLINK("https://www.boe.es/gazeta/dias/1839/02/08/pdfs/GMD-1839-1546.pdf#page=4","Abrir facsímil")</f>
        <v>Abrir facsímil</v>
      </c>
      <c r="K8316" s="12" t="s">
        <v>65</v>
      </c>
    </row>
    <row r="8317" spans="1:11" ht="40.049999999999997" customHeight="1" x14ac:dyDescent="0.25">
      <c r="A8317" s="11" t="s">
        <v>16939</v>
      </c>
      <c r="B8317" s="11" t="s">
        <v>16939</v>
      </c>
      <c r="C8317" s="11" t="s">
        <v>137</v>
      </c>
      <c r="D8317" s="11" t="s">
        <v>18</v>
      </c>
      <c r="E8317" s="12" t="s">
        <v>592</v>
      </c>
      <c r="F8317" s="12" t="s">
        <v>593</v>
      </c>
      <c r="G8317" s="12" t="s">
        <v>46</v>
      </c>
      <c r="H8317" s="11" t="s">
        <v>63</v>
      </c>
      <c r="I8317" s="13" t="s">
        <v>16942</v>
      </c>
      <c r="J8317" s="14" t="str">
        <f>HYPERLINK("https://www.boe.es/gazeta/dias/1839/09/14/pdfs/GMD-1839-1767.pdf#page=3","Abrir facsímil")</f>
        <v>Abrir facsímil</v>
      </c>
      <c r="K8317" s="12" t="s">
        <v>65</v>
      </c>
    </row>
    <row r="8318" spans="1:11" ht="40.049999999999997" customHeight="1" x14ac:dyDescent="0.25">
      <c r="A8318" s="11" t="s">
        <v>16939</v>
      </c>
      <c r="B8318" s="11" t="s">
        <v>16939</v>
      </c>
      <c r="C8318" s="11" t="s">
        <v>17</v>
      </c>
      <c r="D8318" s="11" t="s">
        <v>18</v>
      </c>
      <c r="E8318" s="12" t="s">
        <v>2650</v>
      </c>
      <c r="F8318" s="12" t="s">
        <v>2651</v>
      </c>
      <c r="G8318" s="12" t="s">
        <v>40</v>
      </c>
      <c r="H8318" s="11" t="s">
        <v>63</v>
      </c>
      <c r="I8318" s="13" t="s">
        <v>16943</v>
      </c>
      <c r="J8318" s="14" t="str">
        <f>HYPERLINK("https://www.boe.es/gazeta/dias/1839/09/15/pdfs/GMD-1839-1768.pdf#page=2","Abrir facsímil")</f>
        <v>Abrir facsímil</v>
      </c>
      <c r="K8318" s="12" t="s">
        <v>65</v>
      </c>
    </row>
    <row r="8319" spans="1:11" ht="40.049999999999997" customHeight="1" x14ac:dyDescent="0.25">
      <c r="A8319" s="11" t="s">
        <v>16939</v>
      </c>
      <c r="B8319" s="11" t="s">
        <v>16939</v>
      </c>
      <c r="C8319" s="11" t="s">
        <v>80</v>
      </c>
      <c r="D8319" s="11" t="s">
        <v>18</v>
      </c>
      <c r="E8319" s="12" t="s">
        <v>643</v>
      </c>
      <c r="F8319" s="12" t="s">
        <v>644</v>
      </c>
      <c r="G8319" s="12" t="s">
        <v>40</v>
      </c>
      <c r="H8319" s="11" t="s">
        <v>63</v>
      </c>
      <c r="I8319" s="13" t="s">
        <v>16944</v>
      </c>
      <c r="J8319" s="14" t="str">
        <f>HYPERLINK("https://www.boe.es/gazeta/dias/1839/03/20/pdfs/GMD-1839-1586.pdf#page=2","Abrir facsímil")</f>
        <v>Abrir facsímil</v>
      </c>
      <c r="K8319" s="12" t="s">
        <v>65</v>
      </c>
    </row>
    <row r="8320" spans="1:11" ht="40.049999999999997" customHeight="1" x14ac:dyDescent="0.25">
      <c r="A8320" s="11" t="s">
        <v>16945</v>
      </c>
      <c r="B8320" s="11" t="s">
        <v>16946</v>
      </c>
      <c r="C8320" s="11" t="s">
        <v>17</v>
      </c>
      <c r="D8320" s="11" t="s">
        <v>18</v>
      </c>
      <c r="E8320" s="12" t="s">
        <v>522</v>
      </c>
      <c r="F8320" s="12" t="s">
        <v>523</v>
      </c>
      <c r="G8320" s="12" t="s">
        <v>40</v>
      </c>
      <c r="H8320" s="11" t="s">
        <v>63</v>
      </c>
      <c r="I8320" s="13" t="s">
        <v>16947</v>
      </c>
      <c r="J8320" s="14" t="str">
        <f>HYPERLINK("https://www.boe.es/gazeta/dias/1839/08/27/pdfs/GMD-1839-1748.pdf#page=2","Abrir facsímil")</f>
        <v>Abrir facsímil</v>
      </c>
      <c r="K8320" s="12" t="s">
        <v>65</v>
      </c>
    </row>
    <row r="8321" spans="1:11" ht="40.049999999999997" customHeight="1" x14ac:dyDescent="0.25">
      <c r="A8321" s="11" t="s">
        <v>16948</v>
      </c>
      <c r="B8321" s="11" t="s">
        <v>16949</v>
      </c>
      <c r="C8321" s="11" t="s">
        <v>17</v>
      </c>
      <c r="D8321" s="11" t="s">
        <v>18</v>
      </c>
      <c r="E8321" s="12" t="s">
        <v>779</v>
      </c>
      <c r="F8321" s="12" t="s">
        <v>780</v>
      </c>
      <c r="G8321" s="12" t="s">
        <v>29</v>
      </c>
      <c r="H8321" s="11" t="s">
        <v>63</v>
      </c>
      <c r="I8321" s="13" t="s">
        <v>16950</v>
      </c>
      <c r="J8321" s="14" t="str">
        <f>HYPERLINK("https://www.boe.es/gazeta/dias/1839/02/03/pdfs/GMD-1839-1541.pdf#page=1","Abrir facsímil")</f>
        <v>Abrir facsímil</v>
      </c>
      <c r="K8321" s="12" t="s">
        <v>65</v>
      </c>
    </row>
    <row r="8322" spans="1:11" ht="40.049999999999997" customHeight="1" x14ac:dyDescent="0.25">
      <c r="A8322" s="11" t="s">
        <v>16948</v>
      </c>
      <c r="B8322" s="11" t="s">
        <v>16949</v>
      </c>
      <c r="C8322" s="11" t="s">
        <v>17</v>
      </c>
      <c r="D8322" s="11" t="s">
        <v>18</v>
      </c>
      <c r="E8322" s="12" t="s">
        <v>1391</v>
      </c>
      <c r="F8322" s="12" t="s">
        <v>1392</v>
      </c>
      <c r="G8322" s="12" t="s">
        <v>21</v>
      </c>
      <c r="H8322" s="11" t="s">
        <v>63</v>
      </c>
      <c r="I8322" s="13" t="s">
        <v>16951</v>
      </c>
      <c r="J8322" s="14" t="str">
        <f>HYPERLINK("https://www.boe.es/gazeta/dias/1839/05/12/pdfs/GMD-1839-1639.pdf#page=4","Abrir facsímil")</f>
        <v>Abrir facsímil</v>
      </c>
      <c r="K8322" s="12" t="s">
        <v>65</v>
      </c>
    </row>
    <row r="8323" spans="1:11" ht="40.049999999999997" customHeight="1" x14ac:dyDescent="0.25">
      <c r="A8323" s="11" t="s">
        <v>16952</v>
      </c>
      <c r="B8323" s="11" t="s">
        <v>16953</v>
      </c>
      <c r="C8323" s="11" t="s">
        <v>17</v>
      </c>
      <c r="D8323" s="11" t="s">
        <v>18</v>
      </c>
      <c r="E8323" s="12" t="s">
        <v>2374</v>
      </c>
      <c r="F8323" s="12" t="s">
        <v>2375</v>
      </c>
      <c r="G8323" s="12" t="s">
        <v>46</v>
      </c>
      <c r="H8323" s="11" t="s">
        <v>63</v>
      </c>
      <c r="I8323" s="13" t="s">
        <v>16954</v>
      </c>
      <c r="J8323" s="14" t="str">
        <f>HYPERLINK("https://www.boe.es/gazeta/dias/1839/06/14/pdfs/GMD-1839-1672.pdf#page=3","Abrir facsímil")</f>
        <v>Abrir facsímil</v>
      </c>
      <c r="K8323" s="12" t="s">
        <v>65</v>
      </c>
    </row>
    <row r="8324" spans="1:11" ht="40.049999999999997" customHeight="1" x14ac:dyDescent="0.25">
      <c r="A8324" s="11" t="s">
        <v>16955</v>
      </c>
      <c r="B8324" s="11" t="s">
        <v>16956</v>
      </c>
      <c r="C8324" s="11" t="s">
        <v>80</v>
      </c>
      <c r="D8324" s="11" t="s">
        <v>18</v>
      </c>
      <c r="E8324" s="12" t="s">
        <v>1528</v>
      </c>
      <c r="F8324" s="12" t="s">
        <v>1529</v>
      </c>
      <c r="G8324" s="12" t="s">
        <v>21</v>
      </c>
      <c r="H8324" s="11" t="s">
        <v>63</v>
      </c>
      <c r="I8324" s="13" t="s">
        <v>16957</v>
      </c>
      <c r="J8324" s="14" t="str">
        <f>HYPERLINK("https://www.boe.es/gazeta/dias/1839/12/15/pdfs/GMD-1839-1862.pdf#page=4","Abrir facsímil")</f>
        <v>Abrir facsímil</v>
      </c>
      <c r="K8324" s="12" t="s">
        <v>65</v>
      </c>
    </row>
    <row r="8325" spans="1:11" ht="40.049999999999997" customHeight="1" x14ac:dyDescent="0.25">
      <c r="A8325" s="11" t="s">
        <v>16955</v>
      </c>
      <c r="B8325" s="11" t="s">
        <v>16956</v>
      </c>
      <c r="C8325" s="11" t="s">
        <v>17</v>
      </c>
      <c r="D8325" s="11" t="s">
        <v>18</v>
      </c>
      <c r="E8325" s="12" t="s">
        <v>756</v>
      </c>
      <c r="F8325" s="12" t="s">
        <v>757</v>
      </c>
      <c r="G8325" s="12" t="s">
        <v>21</v>
      </c>
      <c r="H8325" s="11" t="s">
        <v>63</v>
      </c>
      <c r="I8325" s="13" t="s">
        <v>16958</v>
      </c>
      <c r="J8325" s="14" t="str">
        <f>HYPERLINK("https://www.boe.es/gazeta/dias/1839/12/17/pdfs/GMD-1839-1864.pdf#page=4","Abrir facsímil")</f>
        <v>Abrir facsímil</v>
      </c>
      <c r="K8325" s="12" t="s">
        <v>65</v>
      </c>
    </row>
    <row r="8326" spans="1:11" ht="40.049999999999997" customHeight="1" x14ac:dyDescent="0.25">
      <c r="A8326" s="11" t="s">
        <v>16955</v>
      </c>
      <c r="B8326" s="11" t="s">
        <v>16956</v>
      </c>
      <c r="C8326" s="11" t="s">
        <v>17</v>
      </c>
      <c r="D8326" s="11" t="s">
        <v>18</v>
      </c>
      <c r="E8326" s="12" t="s">
        <v>695</v>
      </c>
      <c r="F8326" s="12" t="s">
        <v>696</v>
      </c>
      <c r="G8326" s="12" t="s">
        <v>21</v>
      </c>
      <c r="H8326" s="11" t="s">
        <v>63</v>
      </c>
      <c r="I8326" s="13" t="s">
        <v>16959</v>
      </c>
      <c r="J8326" s="14" t="str">
        <f>HYPERLINK("https://www.boe.es/gazeta/dias/1839/12/19/pdfs/GMD-1839-1866.pdf#page=4","Abrir facsímil")</f>
        <v>Abrir facsímil</v>
      </c>
      <c r="K8326" s="12" t="s">
        <v>65</v>
      </c>
    </row>
    <row r="8327" spans="1:11" ht="40.049999999999997" customHeight="1" x14ac:dyDescent="0.25">
      <c r="A8327" s="11" t="s">
        <v>16960</v>
      </c>
      <c r="B8327" s="11" t="s">
        <v>16961</v>
      </c>
      <c r="C8327" s="11" t="s">
        <v>137</v>
      </c>
      <c r="D8327" s="11" t="s">
        <v>18</v>
      </c>
      <c r="E8327" s="12" t="s">
        <v>695</v>
      </c>
      <c r="F8327" s="12" t="s">
        <v>696</v>
      </c>
      <c r="G8327" s="12" t="s">
        <v>46</v>
      </c>
      <c r="H8327" s="11" t="s">
        <v>63</v>
      </c>
      <c r="I8327" s="13" t="s">
        <v>16962</v>
      </c>
      <c r="J8327" s="14" t="str">
        <f>HYPERLINK("https://www.boe.es/gazeta/dias/1839/12/19/pdfs/GMD-1839-1866.pdf#page=3","Abrir facsímil")</f>
        <v>Abrir facsímil</v>
      </c>
      <c r="K8327" s="12" t="s">
        <v>65</v>
      </c>
    </row>
    <row r="8328" spans="1:11" ht="40.049999999999997" customHeight="1" x14ac:dyDescent="0.25">
      <c r="A8328" s="11" t="s">
        <v>16960</v>
      </c>
      <c r="B8328" s="11" t="s">
        <v>16961</v>
      </c>
      <c r="C8328" s="11" t="s">
        <v>137</v>
      </c>
      <c r="D8328" s="11" t="s">
        <v>18</v>
      </c>
      <c r="E8328" s="12" t="s">
        <v>496</v>
      </c>
      <c r="F8328" s="12" t="s">
        <v>497</v>
      </c>
      <c r="G8328" s="12" t="s">
        <v>46</v>
      </c>
      <c r="H8328" s="11" t="s">
        <v>63</v>
      </c>
      <c r="I8328" s="13" t="s">
        <v>16963</v>
      </c>
      <c r="J8328" s="14" t="str">
        <f>HYPERLINK("https://www.boe.es/gazeta/dias/1839/11/23/pdfs/GMD-1839-1840.pdf#page=3","Abrir facsímil")</f>
        <v>Abrir facsímil</v>
      </c>
      <c r="K8328" s="12" t="s">
        <v>65</v>
      </c>
    </row>
    <row r="8329" spans="1:11" ht="40.049999999999997" customHeight="1" x14ac:dyDescent="0.25">
      <c r="A8329" s="11" t="s">
        <v>16964</v>
      </c>
      <c r="B8329" s="11" t="s">
        <v>16965</v>
      </c>
      <c r="C8329" s="11" t="s">
        <v>80</v>
      </c>
      <c r="D8329" s="11" t="s">
        <v>18</v>
      </c>
      <c r="E8329" s="12" t="s">
        <v>951</v>
      </c>
      <c r="F8329" s="12" t="s">
        <v>952</v>
      </c>
      <c r="G8329" s="12" t="s">
        <v>46</v>
      </c>
      <c r="H8329" s="11" t="s">
        <v>63</v>
      </c>
      <c r="I8329" s="13" t="s">
        <v>16966</v>
      </c>
      <c r="J8329" s="14" t="str">
        <f>HYPERLINK("https://www.boe.es/gazeta/dias/1839/12/30/pdfs/GMD-1839-1877.pdf#page=3","Abrir facsímil")</f>
        <v>Abrir facsímil</v>
      </c>
      <c r="K8329" s="12" t="s">
        <v>65</v>
      </c>
    </row>
    <row r="8330" spans="1:11" ht="40.049999999999997" customHeight="1" x14ac:dyDescent="0.25">
      <c r="A8330" s="11" t="s">
        <v>16967</v>
      </c>
      <c r="B8330" s="11" t="s">
        <v>16968</v>
      </c>
      <c r="C8330" s="11" t="s">
        <v>17</v>
      </c>
      <c r="D8330" s="11" t="s">
        <v>43</v>
      </c>
      <c r="E8330" s="12" t="s">
        <v>116</v>
      </c>
      <c r="F8330" s="12" t="s">
        <v>117</v>
      </c>
      <c r="G8330" s="12" t="s">
        <v>40</v>
      </c>
      <c r="H8330" s="11" t="s">
        <v>63</v>
      </c>
      <c r="I8330" s="13" t="s">
        <v>16969</v>
      </c>
      <c r="J8330" s="14" t="str">
        <f>HYPERLINK("https://www.boe.es/gazeta/dias/1839/10/10/pdfs/GMD-1839-1796.pdf#page=2","Abrir facsímil")</f>
        <v>Abrir facsímil</v>
      </c>
      <c r="K8330" s="12" t="s">
        <v>65</v>
      </c>
    </row>
    <row r="8331" spans="1:11" ht="40.049999999999997" customHeight="1" x14ac:dyDescent="0.25">
      <c r="A8331" s="11" t="s">
        <v>16970</v>
      </c>
      <c r="B8331" s="11" t="s">
        <v>16971</v>
      </c>
      <c r="C8331" s="11" t="s">
        <v>17</v>
      </c>
      <c r="D8331" s="11" t="s">
        <v>18</v>
      </c>
      <c r="E8331" s="12" t="s">
        <v>1497</v>
      </c>
      <c r="F8331" s="12" t="s">
        <v>1498</v>
      </c>
      <c r="G8331" s="12" t="s">
        <v>46</v>
      </c>
      <c r="H8331" s="11" t="s">
        <v>63</v>
      </c>
      <c r="I8331" s="13" t="s">
        <v>16972</v>
      </c>
      <c r="J8331" s="14" t="str">
        <f>HYPERLINK("https://www.boe.es/gazeta/dias/1839/08/23/pdfs/GMD-1839-1744.pdf#page=3","Abrir facsímil")</f>
        <v>Abrir facsímil</v>
      </c>
      <c r="K8331" s="12" t="s">
        <v>65</v>
      </c>
    </row>
    <row r="8332" spans="1:11" ht="40.049999999999997" customHeight="1" x14ac:dyDescent="0.25">
      <c r="A8332" s="11" t="s">
        <v>16973</v>
      </c>
      <c r="B8332" s="11" t="s">
        <v>16974</v>
      </c>
      <c r="C8332" s="11" t="s">
        <v>137</v>
      </c>
      <c r="D8332" s="11" t="s">
        <v>18</v>
      </c>
      <c r="E8332" s="12" t="s">
        <v>1685</v>
      </c>
      <c r="F8332" s="12" t="s">
        <v>1686</v>
      </c>
      <c r="G8332" s="12" t="s">
        <v>29</v>
      </c>
      <c r="H8332" s="11" t="s">
        <v>63</v>
      </c>
      <c r="I8332" s="13" t="s">
        <v>16975</v>
      </c>
      <c r="J8332" s="14" t="str">
        <f>HYPERLINK("https://www.boe.es/gazeta/dias/1839/04/27/pdfs/GMD-1839-1624.pdf#page=1","Abrir facsímil")</f>
        <v>Abrir facsímil</v>
      </c>
      <c r="K8332" s="12" t="s">
        <v>65</v>
      </c>
    </row>
    <row r="8333" spans="1:11" ht="40.049999999999997" customHeight="1" x14ac:dyDescent="0.25">
      <c r="A8333" s="11" t="s">
        <v>16973</v>
      </c>
      <c r="B8333" s="11" t="s">
        <v>16974</v>
      </c>
      <c r="C8333" s="11" t="s">
        <v>101</v>
      </c>
      <c r="D8333" s="11" t="s">
        <v>43</v>
      </c>
      <c r="E8333" s="12" t="s">
        <v>474</v>
      </c>
      <c r="F8333" s="12" t="s">
        <v>475</v>
      </c>
      <c r="G8333" s="12" t="s">
        <v>21</v>
      </c>
      <c r="H8333" s="11" t="s">
        <v>63</v>
      </c>
      <c r="I8333" s="13" t="s">
        <v>16976</v>
      </c>
      <c r="J8333" s="14" t="str">
        <f>HYPERLINK("https://www.boe.es/gazeta/dias/1839/03/31/pdfs/GMD-1839-1597.pdf#page=4","Abrir facsímil")</f>
        <v>Abrir facsímil</v>
      </c>
      <c r="K8333" s="12" t="s">
        <v>65</v>
      </c>
    </row>
    <row r="8334" spans="1:11" ht="40.049999999999997" customHeight="1" x14ac:dyDescent="0.25">
      <c r="A8334" s="11" t="s">
        <v>16977</v>
      </c>
      <c r="B8334" s="11" t="s">
        <v>16978</v>
      </c>
      <c r="C8334" s="11" t="s">
        <v>59</v>
      </c>
      <c r="D8334" s="11" t="s">
        <v>60</v>
      </c>
      <c r="E8334" s="12" t="s">
        <v>388</v>
      </c>
      <c r="F8334" s="12" t="s">
        <v>389</v>
      </c>
      <c r="G8334" s="12" t="s">
        <v>21</v>
      </c>
      <c r="H8334" s="11" t="s">
        <v>63</v>
      </c>
      <c r="I8334" s="13" t="s">
        <v>16979</v>
      </c>
      <c r="J8334" s="14" t="str">
        <f>HYPERLINK("https://www.boe.es/gazeta/dias/1839/08/07/pdfs/GMD-1839-1727.pdf#page=4","Abrir facsímil")</f>
        <v>Abrir facsímil</v>
      </c>
      <c r="K8334" s="12" t="s">
        <v>65</v>
      </c>
    </row>
    <row r="8335" spans="1:11" ht="40.049999999999997" customHeight="1" x14ac:dyDescent="0.25">
      <c r="A8335" s="11" t="s">
        <v>16977</v>
      </c>
      <c r="B8335" s="11" t="s">
        <v>16978</v>
      </c>
      <c r="C8335" s="11" t="s">
        <v>101</v>
      </c>
      <c r="D8335" s="11" t="s">
        <v>43</v>
      </c>
      <c r="E8335" s="12" t="s">
        <v>1378</v>
      </c>
      <c r="F8335" s="12" t="s">
        <v>1379</v>
      </c>
      <c r="G8335" s="12" t="s">
        <v>29</v>
      </c>
      <c r="H8335" s="11" t="s">
        <v>63</v>
      </c>
      <c r="I8335" s="13" t="s">
        <v>16980</v>
      </c>
      <c r="J8335" s="14" t="str">
        <f>HYPERLINK("https://www.boe.es/gazeta/dias/1839/05/18/pdfs/GMD-1839-1645.pdf#page=1","Abrir facsímil")</f>
        <v>Abrir facsímil</v>
      </c>
      <c r="K8335" s="12" t="s">
        <v>65</v>
      </c>
    </row>
    <row r="8336" spans="1:11" ht="40.049999999999997" customHeight="1" x14ac:dyDescent="0.25">
      <c r="A8336" s="11" t="s">
        <v>16977</v>
      </c>
      <c r="B8336" s="11" t="s">
        <v>16978</v>
      </c>
      <c r="C8336" s="11" t="s">
        <v>17</v>
      </c>
      <c r="D8336" s="11" t="s">
        <v>18</v>
      </c>
      <c r="E8336" s="12" t="s">
        <v>685</v>
      </c>
      <c r="F8336" s="12" t="s">
        <v>686</v>
      </c>
      <c r="G8336" s="12" t="s">
        <v>21</v>
      </c>
      <c r="H8336" s="11" t="s">
        <v>63</v>
      </c>
      <c r="I8336" s="13" t="s">
        <v>16981</v>
      </c>
      <c r="J8336" s="14" t="str">
        <f>HYPERLINK("https://www.boe.es/gazeta/dias/1839/06/18/pdfs/GMD-1839-1676.pdf#page=4","Abrir facsímil")</f>
        <v>Abrir facsímil</v>
      </c>
      <c r="K8336" s="12" t="s">
        <v>65</v>
      </c>
    </row>
    <row r="8337" spans="1:11" ht="40.049999999999997" customHeight="1" x14ac:dyDescent="0.25">
      <c r="A8337" s="11" t="s">
        <v>16982</v>
      </c>
      <c r="B8337" s="11" t="s">
        <v>16983</v>
      </c>
      <c r="C8337" s="11" t="s">
        <v>101</v>
      </c>
      <c r="D8337" s="11" t="s">
        <v>102</v>
      </c>
      <c r="E8337" s="12" t="s">
        <v>230</v>
      </c>
      <c r="F8337" s="12" t="s">
        <v>231</v>
      </c>
      <c r="G8337" s="12" t="s">
        <v>46</v>
      </c>
      <c r="H8337" s="11" t="s">
        <v>63</v>
      </c>
      <c r="I8337" s="13" t="s">
        <v>16984</v>
      </c>
      <c r="J8337" s="14" t="str">
        <f>HYPERLINK("https://www.boe.es/gazeta/dias/1839/09/16/pdfs/GMD-1839-1769.pdf#page=3","Abrir facsímil")</f>
        <v>Abrir facsímil</v>
      </c>
      <c r="K8337" s="12" t="s">
        <v>65</v>
      </c>
    </row>
    <row r="8338" spans="1:11" ht="40.049999999999997" customHeight="1" x14ac:dyDescent="0.25">
      <c r="A8338" s="11" t="s">
        <v>16985</v>
      </c>
      <c r="B8338" s="11" t="s">
        <v>16986</v>
      </c>
      <c r="C8338" s="11" t="s">
        <v>17</v>
      </c>
      <c r="D8338" s="11" t="s">
        <v>18</v>
      </c>
      <c r="E8338" s="12" t="s">
        <v>474</v>
      </c>
      <c r="F8338" s="12" t="s">
        <v>475</v>
      </c>
      <c r="G8338" s="12" t="s">
        <v>21</v>
      </c>
      <c r="H8338" s="11" t="s">
        <v>63</v>
      </c>
      <c r="I8338" s="13" t="s">
        <v>16987</v>
      </c>
      <c r="J8338" s="14" t="str">
        <f>HYPERLINK("https://www.boe.es/gazeta/dias/1839/03/31/pdfs/GMD-1839-1597.pdf#page=4","Abrir facsímil")</f>
        <v>Abrir facsímil</v>
      </c>
      <c r="K8338" s="12" t="s">
        <v>65</v>
      </c>
    </row>
    <row r="8339" spans="1:11" ht="40.049999999999997" customHeight="1" x14ac:dyDescent="0.25">
      <c r="A8339" s="11" t="s">
        <v>16988</v>
      </c>
      <c r="B8339" s="11" t="s">
        <v>16989</v>
      </c>
      <c r="C8339" s="11" t="s">
        <v>17</v>
      </c>
      <c r="D8339" s="11" t="s">
        <v>18</v>
      </c>
      <c r="E8339" s="12" t="s">
        <v>1057</v>
      </c>
      <c r="F8339" s="12" t="s">
        <v>1058</v>
      </c>
      <c r="G8339" s="12" t="s">
        <v>40</v>
      </c>
      <c r="H8339" s="11" t="s">
        <v>63</v>
      </c>
      <c r="I8339" s="13" t="s">
        <v>16990</v>
      </c>
      <c r="J8339" s="14" t="str">
        <f>HYPERLINK("https://www.boe.es/gazeta/dias/1839/10/01/pdfs/GMD-1839-1787.pdf#page=2","Abrir facsímil")</f>
        <v>Abrir facsímil</v>
      </c>
      <c r="K8339" s="12" t="s">
        <v>65</v>
      </c>
    </row>
    <row r="8340" spans="1:11" ht="40.049999999999997" customHeight="1" x14ac:dyDescent="0.25">
      <c r="A8340" s="11" t="s">
        <v>16991</v>
      </c>
      <c r="B8340" s="11" t="s">
        <v>16992</v>
      </c>
      <c r="C8340" s="11" t="s">
        <v>17</v>
      </c>
      <c r="D8340" s="11" t="s">
        <v>18</v>
      </c>
      <c r="E8340" s="12" t="s">
        <v>1433</v>
      </c>
      <c r="F8340" s="12" t="s">
        <v>1434</v>
      </c>
      <c r="G8340" s="12" t="s">
        <v>21</v>
      </c>
      <c r="H8340" s="11" t="s">
        <v>63</v>
      </c>
      <c r="I8340" s="13" t="s">
        <v>16993</v>
      </c>
      <c r="J8340" s="14" t="str">
        <f>HYPERLINK("https://www.boe.es/gazeta/dias/1839/10/22/pdfs/GMD-1839-1808.pdf#page=4","Abrir facsímil")</f>
        <v>Abrir facsímil</v>
      </c>
      <c r="K8340" s="12" t="s">
        <v>65</v>
      </c>
    </row>
    <row r="8341" spans="1:11" ht="40.049999999999997" customHeight="1" x14ac:dyDescent="0.25">
      <c r="A8341" s="11" t="s">
        <v>16994</v>
      </c>
      <c r="B8341" s="11" t="s">
        <v>16995</v>
      </c>
      <c r="C8341" s="11" t="s">
        <v>17</v>
      </c>
      <c r="D8341" s="11" t="s">
        <v>18</v>
      </c>
      <c r="E8341" s="12" t="s">
        <v>168</v>
      </c>
      <c r="F8341" s="12" t="s">
        <v>169</v>
      </c>
      <c r="G8341" s="12" t="s">
        <v>21</v>
      </c>
      <c r="H8341" s="11" t="s">
        <v>63</v>
      </c>
      <c r="I8341" s="13" t="s">
        <v>16996</v>
      </c>
      <c r="J8341" s="14" t="str">
        <f>HYPERLINK("https://www.boe.es/gazeta/dias/1839/07/12/pdfs/GMD-1839-1700.pdf#page=4","Abrir facsímil")</f>
        <v>Abrir facsímil</v>
      </c>
      <c r="K8341" s="12" t="s">
        <v>65</v>
      </c>
    </row>
    <row r="8342" spans="1:11" ht="40.049999999999997" customHeight="1" x14ac:dyDescent="0.25">
      <c r="A8342" s="11" t="s">
        <v>16997</v>
      </c>
      <c r="B8342" s="11" t="s">
        <v>16998</v>
      </c>
      <c r="C8342" s="11" t="s">
        <v>17</v>
      </c>
      <c r="D8342" s="11" t="s">
        <v>18</v>
      </c>
      <c r="E8342" s="12" t="s">
        <v>291</v>
      </c>
      <c r="F8342" s="12" t="s">
        <v>292</v>
      </c>
      <c r="G8342" s="12" t="s">
        <v>46</v>
      </c>
      <c r="H8342" s="11" t="s">
        <v>63</v>
      </c>
      <c r="I8342" s="13" t="s">
        <v>16999</v>
      </c>
      <c r="J8342" s="14" t="str">
        <f>HYPERLINK("https://www.boe.es/gazeta/dias/1839/09/04/pdfs/GMD-1839-1757.pdf#page=3","Abrir facsímil")</f>
        <v>Abrir facsímil</v>
      </c>
      <c r="K8342" s="12" t="s">
        <v>65</v>
      </c>
    </row>
    <row r="8343" spans="1:11" ht="40.049999999999997" customHeight="1" x14ac:dyDescent="0.25">
      <c r="A8343" s="11" t="s">
        <v>17000</v>
      </c>
      <c r="B8343" s="11" t="s">
        <v>17001</v>
      </c>
      <c r="C8343" s="11" t="s">
        <v>17</v>
      </c>
      <c r="D8343" s="11" t="s">
        <v>18</v>
      </c>
      <c r="E8343" s="12" t="s">
        <v>1460</v>
      </c>
      <c r="F8343" s="12" t="s">
        <v>1461</v>
      </c>
      <c r="G8343" s="12" t="s">
        <v>40</v>
      </c>
      <c r="H8343" s="11" t="s">
        <v>63</v>
      </c>
      <c r="I8343" s="13" t="s">
        <v>17002</v>
      </c>
      <c r="J8343" s="14" t="str">
        <f>HYPERLINK("https://www.boe.es/gazeta/dias/1839/03/01/pdfs/GMD-1839-1567.pdf#page=2","Abrir facsímil")</f>
        <v>Abrir facsímil</v>
      </c>
      <c r="K8343" s="12" t="s">
        <v>65</v>
      </c>
    </row>
    <row r="8344" spans="1:11" ht="40.049999999999997" customHeight="1" x14ac:dyDescent="0.25">
      <c r="A8344" s="11" t="s">
        <v>17003</v>
      </c>
      <c r="B8344" s="11" t="s">
        <v>17003</v>
      </c>
      <c r="C8344" s="11" t="s">
        <v>17</v>
      </c>
      <c r="D8344" s="11" t="s">
        <v>18</v>
      </c>
      <c r="E8344" s="12" t="s">
        <v>212</v>
      </c>
      <c r="F8344" s="12" t="s">
        <v>213</v>
      </c>
      <c r="G8344" s="12" t="s">
        <v>21</v>
      </c>
      <c r="H8344" s="11" t="s">
        <v>63</v>
      </c>
      <c r="I8344" s="13" t="s">
        <v>17004</v>
      </c>
      <c r="J8344" s="14" t="str">
        <f>HYPERLINK("https://www.boe.es/gazeta/dias/1839/10/03/pdfs/GMD-1839-1789.pdf#page=4","Abrir facsímil")</f>
        <v>Abrir facsímil</v>
      </c>
      <c r="K8344" s="12" t="s">
        <v>65</v>
      </c>
    </row>
    <row r="8345" spans="1:11" ht="40.049999999999997" customHeight="1" x14ac:dyDescent="0.25">
      <c r="A8345" s="11" t="s">
        <v>17005</v>
      </c>
      <c r="B8345" s="11" t="s">
        <v>17006</v>
      </c>
      <c r="C8345" s="11" t="s">
        <v>137</v>
      </c>
      <c r="D8345" s="11" t="s">
        <v>18</v>
      </c>
      <c r="E8345" s="12" t="s">
        <v>433</v>
      </c>
      <c r="F8345" s="12" t="s">
        <v>434</v>
      </c>
      <c r="G8345" s="12" t="s">
        <v>40</v>
      </c>
      <c r="H8345" s="11" t="s">
        <v>22</v>
      </c>
      <c r="I8345" s="13" t="s">
        <v>17007</v>
      </c>
      <c r="J8345" s="14" t="str">
        <f>HYPERLINK("https://www.boe.es/gazeta/dias/1839/01/20/pdfs/GMD-1839-1527.pdf#page=2","Abrir facsímil")</f>
        <v>Abrir facsímil</v>
      </c>
      <c r="K8345" s="12" t="s">
        <v>24</v>
      </c>
    </row>
    <row r="8346" spans="1:11" ht="40.049999999999997" customHeight="1" x14ac:dyDescent="0.25">
      <c r="A8346" s="11" t="s">
        <v>17008</v>
      </c>
      <c r="B8346" s="11" t="s">
        <v>17009</v>
      </c>
      <c r="C8346" s="11" t="s">
        <v>17</v>
      </c>
      <c r="D8346" s="11" t="s">
        <v>18</v>
      </c>
      <c r="E8346" s="12" t="s">
        <v>2107</v>
      </c>
      <c r="F8346" s="12" t="s">
        <v>2108</v>
      </c>
      <c r="G8346" s="12" t="s">
        <v>21</v>
      </c>
      <c r="H8346" s="11" t="s">
        <v>63</v>
      </c>
      <c r="I8346" s="13" t="s">
        <v>17010</v>
      </c>
      <c r="J8346" s="14" t="str">
        <f>HYPERLINK("https://www.boe.es/gazeta/dias/1839/10/11/pdfs/GMD-1839-1797.pdf#page=4","Abrir facsímil")</f>
        <v>Abrir facsímil</v>
      </c>
      <c r="K8346" s="12" t="s">
        <v>65</v>
      </c>
    </row>
    <row r="8347" spans="1:11" ht="40.049999999999997" customHeight="1" x14ac:dyDescent="0.25">
      <c r="A8347" s="11" t="s">
        <v>17011</v>
      </c>
      <c r="B8347" s="11" t="s">
        <v>17012</v>
      </c>
      <c r="C8347" s="11" t="s">
        <v>17</v>
      </c>
      <c r="D8347" s="11" t="s">
        <v>18</v>
      </c>
      <c r="E8347" s="12" t="s">
        <v>647</v>
      </c>
      <c r="F8347" s="12" t="s">
        <v>648</v>
      </c>
      <c r="G8347" s="12" t="s">
        <v>21</v>
      </c>
      <c r="H8347" s="11" t="s">
        <v>63</v>
      </c>
      <c r="I8347" s="13" t="s">
        <v>17013</v>
      </c>
      <c r="J8347" s="14" t="str">
        <f>HYPERLINK("https://www.boe.es/gazeta/dias/1839/10/08/pdfs/GMD-1839-1794.pdf#page=4","Abrir facsímil")</f>
        <v>Abrir facsímil</v>
      </c>
      <c r="K8347" s="12" t="s">
        <v>65</v>
      </c>
    </row>
    <row r="8348" spans="1:11" ht="40.049999999999997" customHeight="1" x14ac:dyDescent="0.25">
      <c r="A8348" s="11" t="s">
        <v>17014</v>
      </c>
      <c r="B8348" s="11" t="s">
        <v>17015</v>
      </c>
      <c r="C8348" s="11" t="s">
        <v>17</v>
      </c>
      <c r="D8348" s="11" t="s">
        <v>18</v>
      </c>
      <c r="E8348" s="12" t="s">
        <v>647</v>
      </c>
      <c r="F8348" s="12" t="s">
        <v>648</v>
      </c>
      <c r="G8348" s="12" t="s">
        <v>21</v>
      </c>
      <c r="H8348" s="11" t="s">
        <v>63</v>
      </c>
      <c r="I8348" s="13" t="s">
        <v>17016</v>
      </c>
      <c r="J8348" s="14" t="str">
        <f>HYPERLINK("https://www.boe.es/gazeta/dias/1839/10/08/pdfs/GMD-1839-1794.pdf#page=4","Abrir facsímil")</f>
        <v>Abrir facsímil</v>
      </c>
      <c r="K8348" s="12" t="s">
        <v>65</v>
      </c>
    </row>
    <row r="8349" spans="1:11" ht="40.049999999999997" customHeight="1" x14ac:dyDescent="0.25">
      <c r="A8349" s="11" t="s">
        <v>17017</v>
      </c>
      <c r="B8349" s="11" t="s">
        <v>17018</v>
      </c>
      <c r="C8349" s="11" t="s">
        <v>101</v>
      </c>
      <c r="D8349" s="11" t="s">
        <v>43</v>
      </c>
      <c r="E8349" s="12" t="s">
        <v>175</v>
      </c>
      <c r="F8349" s="12" t="s">
        <v>176</v>
      </c>
      <c r="G8349" s="12" t="s">
        <v>46</v>
      </c>
      <c r="H8349" s="11" t="s">
        <v>63</v>
      </c>
      <c r="I8349" s="13" t="s">
        <v>17019</v>
      </c>
      <c r="J8349" s="14" t="str">
        <f>HYPERLINK("https://www.boe.es/gazeta/dias/1839/01/16/pdfs/GMD-1839-1523.pdf#page=3","Abrir facsímil")</f>
        <v>Abrir facsímil</v>
      </c>
      <c r="K8349" s="12" t="s">
        <v>65</v>
      </c>
    </row>
    <row r="8350" spans="1:11" ht="40.049999999999997" customHeight="1" x14ac:dyDescent="0.25">
      <c r="A8350" s="11" t="s">
        <v>17020</v>
      </c>
      <c r="B8350" s="11" t="s">
        <v>17021</v>
      </c>
      <c r="C8350" s="11" t="s">
        <v>101</v>
      </c>
      <c r="D8350" s="11" t="s">
        <v>43</v>
      </c>
      <c r="E8350" s="12" t="s">
        <v>912</v>
      </c>
      <c r="F8350" s="12" t="s">
        <v>913</v>
      </c>
      <c r="G8350" s="12" t="s">
        <v>46</v>
      </c>
      <c r="H8350" s="11" t="s">
        <v>63</v>
      </c>
      <c r="I8350" s="13" t="s">
        <v>17022</v>
      </c>
      <c r="J8350" s="14" t="str">
        <f>HYPERLINK("https://www.boe.es/gazeta/dias/1839/04/30/pdfs/GMD-1839-1627.pdf#page=3","Abrir facsímil")</f>
        <v>Abrir facsímil</v>
      </c>
      <c r="K8350" s="12" t="s">
        <v>65</v>
      </c>
    </row>
    <row r="8351" spans="1:11" ht="40.049999999999997" customHeight="1" x14ac:dyDescent="0.25">
      <c r="A8351" s="11" t="s">
        <v>17023</v>
      </c>
      <c r="B8351" s="11" t="s">
        <v>17023</v>
      </c>
      <c r="C8351" s="11" t="s">
        <v>17</v>
      </c>
      <c r="D8351" s="11" t="s">
        <v>18</v>
      </c>
      <c r="E8351" s="12" t="s">
        <v>695</v>
      </c>
      <c r="F8351" s="12" t="s">
        <v>696</v>
      </c>
      <c r="G8351" s="12" t="s">
        <v>40</v>
      </c>
      <c r="H8351" s="11" t="s">
        <v>63</v>
      </c>
      <c r="I8351" s="13" t="s">
        <v>17024</v>
      </c>
      <c r="J8351" s="14" t="str">
        <f>HYPERLINK("https://www.boe.es/gazeta/dias/1839/12/19/pdfs/GMD-1839-1866.pdf#page=2","Abrir facsímil")</f>
        <v>Abrir facsímil</v>
      </c>
      <c r="K8351" s="12" t="s">
        <v>65</v>
      </c>
    </row>
    <row r="8352" spans="1:11" ht="40.049999999999997" customHeight="1" x14ac:dyDescent="0.25">
      <c r="A8352" s="11" t="s">
        <v>17025</v>
      </c>
      <c r="B8352" s="11" t="s">
        <v>17025</v>
      </c>
      <c r="C8352" s="11" t="s">
        <v>59</v>
      </c>
      <c r="D8352" s="11" t="s">
        <v>60</v>
      </c>
      <c r="E8352" s="12" t="s">
        <v>496</v>
      </c>
      <c r="F8352" s="12" t="s">
        <v>497</v>
      </c>
      <c r="G8352" s="12" t="s">
        <v>40</v>
      </c>
      <c r="H8352" s="11" t="s">
        <v>63</v>
      </c>
      <c r="I8352" s="13" t="s">
        <v>17026</v>
      </c>
      <c r="J8352" s="14" t="str">
        <f>HYPERLINK("https://www.boe.es/gazeta/dias/1839/11/23/pdfs/GMD-1839-1840.pdf#page=2","Abrir facsímil")</f>
        <v>Abrir facsímil</v>
      </c>
      <c r="K8352" s="12" t="s">
        <v>65</v>
      </c>
    </row>
    <row r="8353" spans="1:11" ht="40.049999999999997" customHeight="1" x14ac:dyDescent="0.25">
      <c r="A8353" s="11" t="s">
        <v>17027</v>
      </c>
      <c r="B8353" s="11" t="s">
        <v>17028</v>
      </c>
      <c r="C8353" s="11" t="s">
        <v>80</v>
      </c>
      <c r="D8353" s="11" t="s">
        <v>18</v>
      </c>
      <c r="E8353" s="12" t="s">
        <v>38</v>
      </c>
      <c r="F8353" s="12" t="s">
        <v>39</v>
      </c>
      <c r="G8353" s="12" t="s">
        <v>46</v>
      </c>
      <c r="H8353" s="11" t="s">
        <v>63</v>
      </c>
      <c r="I8353" s="13" t="s">
        <v>17029</v>
      </c>
      <c r="J8353" s="14" t="str">
        <f>HYPERLINK("https://www.boe.es/gazeta/dias/1839/08/08/pdfs/GMD-1839-1728.pdf#page=3","Abrir facsímil")</f>
        <v>Abrir facsímil</v>
      </c>
      <c r="K8353" s="12" t="s">
        <v>65</v>
      </c>
    </row>
    <row r="8354" spans="1:11" ht="40.049999999999997" customHeight="1" x14ac:dyDescent="0.25">
      <c r="A8354" s="11" t="s">
        <v>17030</v>
      </c>
      <c r="B8354" s="11" t="s">
        <v>17031</v>
      </c>
      <c r="C8354" s="11" t="s">
        <v>17</v>
      </c>
      <c r="D8354" s="11" t="s">
        <v>18</v>
      </c>
      <c r="E8354" s="12" t="s">
        <v>1474</v>
      </c>
      <c r="F8354" s="12" t="s">
        <v>1475</v>
      </c>
      <c r="G8354" s="12" t="s">
        <v>21</v>
      </c>
      <c r="H8354" s="11" t="s">
        <v>63</v>
      </c>
      <c r="I8354" s="13" t="s">
        <v>17032</v>
      </c>
      <c r="J8354" s="14" t="str">
        <f>HYPERLINK("https://www.boe.es/gazeta/dias/1839/02/28/pdfs/GMD-1839-1566.pdf#page=4","Abrir facsímil")</f>
        <v>Abrir facsímil</v>
      </c>
      <c r="K8354" s="12" t="s">
        <v>65</v>
      </c>
    </row>
    <row r="8355" spans="1:11" ht="40.049999999999997" customHeight="1" x14ac:dyDescent="0.25">
      <c r="A8355" s="11" t="s">
        <v>17033</v>
      </c>
      <c r="B8355" s="11" t="s">
        <v>17034</v>
      </c>
      <c r="C8355" s="11" t="s">
        <v>101</v>
      </c>
      <c r="D8355" s="11" t="s">
        <v>102</v>
      </c>
      <c r="E8355" s="12" t="s">
        <v>4292</v>
      </c>
      <c r="F8355" s="12" t="s">
        <v>4293</v>
      </c>
      <c r="G8355" s="12" t="s">
        <v>40</v>
      </c>
      <c r="H8355" s="11" t="s">
        <v>63</v>
      </c>
      <c r="I8355" s="13" t="s">
        <v>17035</v>
      </c>
      <c r="J8355" s="14" t="str">
        <f>HYPERLINK("https://www.boe.es/gazeta/dias/1839/11/29/pdfs/GMD-1839-1846.pdf#page=2","Abrir facsímil")</f>
        <v>Abrir facsímil</v>
      </c>
      <c r="K8355" s="12" t="s">
        <v>65</v>
      </c>
    </row>
    <row r="8356" spans="1:11" ht="40.049999999999997" customHeight="1" x14ac:dyDescent="0.25">
      <c r="A8356" s="11" t="s">
        <v>17036</v>
      </c>
      <c r="B8356" s="11" t="s">
        <v>17037</v>
      </c>
      <c r="C8356" s="11" t="s">
        <v>17</v>
      </c>
      <c r="D8356" s="11" t="s">
        <v>18</v>
      </c>
      <c r="E8356" s="12" t="s">
        <v>401</v>
      </c>
      <c r="F8356" s="12" t="s">
        <v>402</v>
      </c>
      <c r="G8356" s="12" t="s">
        <v>29</v>
      </c>
      <c r="H8356" s="11" t="s">
        <v>63</v>
      </c>
      <c r="I8356" s="13" t="s">
        <v>17038</v>
      </c>
      <c r="J8356" s="14" t="str">
        <f>HYPERLINK("https://www.boe.es/gazeta/dias/1839/03/29/pdfs/GMD-1839-1595.pdf#page=1","Abrir facsímil")</f>
        <v>Abrir facsímil</v>
      </c>
      <c r="K8356" s="12" t="s">
        <v>65</v>
      </c>
    </row>
    <row r="8357" spans="1:11" ht="40.049999999999997" customHeight="1" x14ac:dyDescent="0.25">
      <c r="A8357" s="11" t="s">
        <v>17039</v>
      </c>
      <c r="B8357" s="11" t="s">
        <v>17040</v>
      </c>
      <c r="C8357" s="11" t="s">
        <v>17</v>
      </c>
      <c r="D8357" s="11" t="s">
        <v>18</v>
      </c>
      <c r="E8357" s="12" t="s">
        <v>448</v>
      </c>
      <c r="F8357" s="12" t="s">
        <v>449</v>
      </c>
      <c r="G8357" s="12" t="s">
        <v>46</v>
      </c>
      <c r="H8357" s="11" t="s">
        <v>63</v>
      </c>
      <c r="I8357" s="13" t="s">
        <v>17041</v>
      </c>
      <c r="J8357" s="14" t="str">
        <f>HYPERLINK("https://www.boe.es/gazeta/dias/1839/02/06/pdfs/GMD-1839-1544.pdf#page=3","Abrir facsímil")</f>
        <v>Abrir facsímil</v>
      </c>
      <c r="K8357" s="12" t="s">
        <v>65</v>
      </c>
    </row>
    <row r="8358" spans="1:11" ht="40.049999999999997" customHeight="1" x14ac:dyDescent="0.25">
      <c r="A8358" s="11" t="s">
        <v>17042</v>
      </c>
      <c r="B8358" s="11" t="s">
        <v>17042</v>
      </c>
      <c r="C8358" s="11" t="s">
        <v>101</v>
      </c>
      <c r="D8358" s="11" t="s">
        <v>43</v>
      </c>
      <c r="E8358" s="12" t="s">
        <v>157</v>
      </c>
      <c r="F8358" s="12" t="s">
        <v>158</v>
      </c>
      <c r="G8358" s="12" t="s">
        <v>46</v>
      </c>
      <c r="H8358" s="11" t="s">
        <v>63</v>
      </c>
      <c r="I8358" s="13" t="s">
        <v>17043</v>
      </c>
      <c r="J8358" s="14" t="str">
        <f>HYPERLINK("https://www.boe.es/gazeta/dias/1839/02/08/pdfs/GMD-1839-1546.pdf#page=3","Abrir facsímil")</f>
        <v>Abrir facsímil</v>
      </c>
      <c r="K8358" s="12" t="s">
        <v>65</v>
      </c>
    </row>
    <row r="8359" spans="1:11" ht="40.049999999999997" customHeight="1" x14ac:dyDescent="0.25">
      <c r="A8359" s="11" t="s">
        <v>17042</v>
      </c>
      <c r="B8359" s="11" t="s">
        <v>17042</v>
      </c>
      <c r="C8359" s="11" t="s">
        <v>17</v>
      </c>
      <c r="D8359" s="11" t="s">
        <v>18</v>
      </c>
      <c r="E8359" s="12" t="s">
        <v>68</v>
      </c>
      <c r="F8359" s="12" t="s">
        <v>69</v>
      </c>
      <c r="G8359" s="12" t="s">
        <v>40</v>
      </c>
      <c r="H8359" s="11" t="s">
        <v>63</v>
      </c>
      <c r="I8359" s="13" t="s">
        <v>17044</v>
      </c>
      <c r="J8359" s="14" t="str">
        <f>HYPERLINK("https://www.boe.es/gazeta/dias/1839/02/09/pdfs/GMD-1839-1547.pdf#page=2","Abrir facsímil")</f>
        <v>Abrir facsímil</v>
      </c>
      <c r="K8359" s="12" t="s">
        <v>65</v>
      </c>
    </row>
    <row r="8360" spans="1:11" ht="40.049999999999997" customHeight="1" x14ac:dyDescent="0.25">
      <c r="A8360" s="11" t="s">
        <v>17042</v>
      </c>
      <c r="B8360" s="11" t="s">
        <v>17042</v>
      </c>
      <c r="C8360" s="11" t="s">
        <v>17</v>
      </c>
      <c r="D8360" s="11" t="s">
        <v>18</v>
      </c>
      <c r="E8360" s="12" t="s">
        <v>116</v>
      </c>
      <c r="F8360" s="12" t="s">
        <v>117</v>
      </c>
      <c r="G8360" s="12" t="s">
        <v>40</v>
      </c>
      <c r="H8360" s="11" t="s">
        <v>63</v>
      </c>
      <c r="I8360" s="13" t="s">
        <v>17045</v>
      </c>
      <c r="J8360" s="14" t="str">
        <f>HYPERLINK("https://www.boe.es/gazeta/dias/1839/10/10/pdfs/GMD-1839-1796.pdf#page=2","Abrir facsímil")</f>
        <v>Abrir facsímil</v>
      </c>
      <c r="K8360" s="12" t="s">
        <v>65</v>
      </c>
    </row>
    <row r="8361" spans="1:11" ht="40.049999999999997" customHeight="1" x14ac:dyDescent="0.25">
      <c r="A8361" s="11" t="s">
        <v>17042</v>
      </c>
      <c r="B8361" s="11" t="s">
        <v>17042</v>
      </c>
      <c r="C8361" s="11" t="s">
        <v>17</v>
      </c>
      <c r="D8361" s="11" t="s">
        <v>18</v>
      </c>
      <c r="E8361" s="12" t="s">
        <v>888</v>
      </c>
      <c r="F8361" s="12" t="s">
        <v>889</v>
      </c>
      <c r="G8361" s="12" t="s">
        <v>29</v>
      </c>
      <c r="H8361" s="11" t="s">
        <v>63</v>
      </c>
      <c r="I8361" s="13" t="s">
        <v>17046</v>
      </c>
      <c r="J8361" s="14" t="str">
        <f>HYPERLINK("https://www.boe.es/gazeta/dias/1839/05/14/pdfs/GMD-1839-1641.pdf#page=1","Abrir facsímil")</f>
        <v>Abrir facsímil</v>
      </c>
      <c r="K8361" s="12" t="s">
        <v>65</v>
      </c>
    </row>
    <row r="8362" spans="1:11" ht="40.049999999999997" customHeight="1" x14ac:dyDescent="0.25">
      <c r="A8362" s="11" t="s">
        <v>17042</v>
      </c>
      <c r="B8362" s="11" t="s">
        <v>17042</v>
      </c>
      <c r="C8362" s="11" t="s">
        <v>80</v>
      </c>
      <c r="D8362" s="11" t="s">
        <v>18</v>
      </c>
      <c r="E8362" s="12" t="s">
        <v>592</v>
      </c>
      <c r="F8362" s="12" t="s">
        <v>593</v>
      </c>
      <c r="G8362" s="12" t="s">
        <v>40</v>
      </c>
      <c r="H8362" s="11" t="s">
        <v>63</v>
      </c>
      <c r="I8362" s="13" t="s">
        <v>17047</v>
      </c>
      <c r="J8362" s="14" t="str">
        <f>HYPERLINK("https://www.boe.es/gazeta/dias/1839/09/14/pdfs/GMD-1839-1767.pdf#page=2","Abrir facsímil")</f>
        <v>Abrir facsímil</v>
      </c>
      <c r="K8362" s="12" t="s">
        <v>65</v>
      </c>
    </row>
    <row r="8363" spans="1:11" ht="40.049999999999997" customHeight="1" x14ac:dyDescent="0.25">
      <c r="A8363" s="11" t="s">
        <v>17042</v>
      </c>
      <c r="B8363" s="11" t="s">
        <v>17042</v>
      </c>
      <c r="C8363" s="11" t="s">
        <v>137</v>
      </c>
      <c r="D8363" s="11" t="s">
        <v>18</v>
      </c>
      <c r="E8363" s="12" t="s">
        <v>1703</v>
      </c>
      <c r="F8363" s="12" t="s">
        <v>1704</v>
      </c>
      <c r="G8363" s="12" t="s">
        <v>29</v>
      </c>
      <c r="H8363" s="11" t="s">
        <v>63</v>
      </c>
      <c r="I8363" s="13" t="s">
        <v>17048</v>
      </c>
      <c r="J8363" s="14" t="str">
        <f>HYPERLINK("https://www.boe.es/gazeta/dias/1839/01/21/pdfs/GMD-1839-1528.pdf#page=1","Abrir facsímil")</f>
        <v>Abrir facsímil</v>
      </c>
      <c r="K8363" s="12" t="s">
        <v>65</v>
      </c>
    </row>
    <row r="8364" spans="1:11" ht="40.049999999999997" customHeight="1" x14ac:dyDescent="0.25">
      <c r="A8364" s="11" t="s">
        <v>17042</v>
      </c>
      <c r="B8364" s="11" t="s">
        <v>17042</v>
      </c>
      <c r="C8364" s="11" t="s">
        <v>17</v>
      </c>
      <c r="D8364" s="11" t="s">
        <v>18</v>
      </c>
      <c r="E8364" s="12" t="s">
        <v>375</v>
      </c>
      <c r="F8364" s="12" t="s">
        <v>376</v>
      </c>
      <c r="G8364" s="12" t="s">
        <v>46</v>
      </c>
      <c r="H8364" s="11" t="s">
        <v>63</v>
      </c>
      <c r="I8364" s="13" t="s">
        <v>17049</v>
      </c>
      <c r="J8364" s="14" t="str">
        <f>HYPERLINK("https://www.boe.es/gazeta/dias/1839/11/25/pdfs/GMD-1839-1842.pdf#page=3","Abrir facsímil")</f>
        <v>Abrir facsímil</v>
      </c>
      <c r="K8364" s="12" t="s">
        <v>65</v>
      </c>
    </row>
    <row r="8365" spans="1:11" ht="40.049999999999997" customHeight="1" x14ac:dyDescent="0.25">
      <c r="A8365" s="11" t="s">
        <v>17050</v>
      </c>
      <c r="B8365" s="11" t="s">
        <v>17050</v>
      </c>
      <c r="C8365" s="11" t="s">
        <v>17</v>
      </c>
      <c r="D8365" s="11" t="s">
        <v>18</v>
      </c>
      <c r="E8365" s="12" t="s">
        <v>262</v>
      </c>
      <c r="F8365" s="12" t="s">
        <v>263</v>
      </c>
      <c r="G8365" s="12" t="s">
        <v>29</v>
      </c>
      <c r="H8365" s="11" t="s">
        <v>63</v>
      </c>
      <c r="I8365" s="13" t="s">
        <v>17051</v>
      </c>
      <c r="J8365" s="14" t="str">
        <f>HYPERLINK("https://www.boe.es/gazeta/dias/1839/01/01/pdfs/GMD-1839-1508.pdf#page=1","Abrir facsímil")</f>
        <v>Abrir facsímil</v>
      </c>
      <c r="K8365" s="12" t="s">
        <v>65</v>
      </c>
    </row>
    <row r="8366" spans="1:11" ht="40.049999999999997" customHeight="1" x14ac:dyDescent="0.25">
      <c r="A8366" s="11" t="s">
        <v>17050</v>
      </c>
      <c r="B8366" s="11" t="s">
        <v>17050</v>
      </c>
      <c r="C8366" s="11" t="s">
        <v>17</v>
      </c>
      <c r="D8366" s="11" t="s">
        <v>18</v>
      </c>
      <c r="E8366" s="12" t="s">
        <v>1929</v>
      </c>
      <c r="F8366" s="12" t="s">
        <v>1930</v>
      </c>
      <c r="G8366" s="12" t="s">
        <v>29</v>
      </c>
      <c r="H8366" s="11" t="s">
        <v>63</v>
      </c>
      <c r="I8366" s="13" t="s">
        <v>17052</v>
      </c>
      <c r="J8366" s="14" t="str">
        <f>HYPERLINK("https://www.boe.es/gazeta/dias/1839/02/01/pdfs/GMD-1839-1539.pdf#page=1","Abrir facsímil")</f>
        <v>Abrir facsímil</v>
      </c>
      <c r="K8366" s="12" t="s">
        <v>65</v>
      </c>
    </row>
    <row r="8367" spans="1:11" ht="40.049999999999997" customHeight="1" x14ac:dyDescent="0.25">
      <c r="A8367" s="11" t="s">
        <v>17050</v>
      </c>
      <c r="B8367" s="11" t="s">
        <v>17050</v>
      </c>
      <c r="C8367" s="11" t="s">
        <v>17</v>
      </c>
      <c r="D8367" s="11" t="s">
        <v>18</v>
      </c>
      <c r="E8367" s="12" t="s">
        <v>2491</v>
      </c>
      <c r="F8367" s="12" t="s">
        <v>2492</v>
      </c>
      <c r="G8367" s="12" t="s">
        <v>40</v>
      </c>
      <c r="H8367" s="11" t="s">
        <v>63</v>
      </c>
      <c r="I8367" s="13" t="s">
        <v>17053</v>
      </c>
      <c r="J8367" s="14" t="str">
        <f>HYPERLINK("https://www.boe.es/gazeta/dias/1839/05/01/pdfs/GMD-1839-1628.pdf#page=2","Abrir facsímil")</f>
        <v>Abrir facsímil</v>
      </c>
      <c r="K8367" s="12" t="s">
        <v>65</v>
      </c>
    </row>
    <row r="8368" spans="1:11" ht="40.049999999999997" customHeight="1" x14ac:dyDescent="0.25">
      <c r="A8368" s="11" t="s">
        <v>17050</v>
      </c>
      <c r="B8368" s="11" t="s">
        <v>17050</v>
      </c>
      <c r="C8368" s="11" t="s">
        <v>17</v>
      </c>
      <c r="D8368" s="11" t="s">
        <v>18</v>
      </c>
      <c r="E8368" s="12" t="s">
        <v>385</v>
      </c>
      <c r="F8368" s="12" t="s">
        <v>386</v>
      </c>
      <c r="G8368" s="12" t="s">
        <v>29</v>
      </c>
      <c r="H8368" s="11" t="s">
        <v>63</v>
      </c>
      <c r="I8368" s="13" t="s">
        <v>17054</v>
      </c>
      <c r="J8368" s="14" t="str">
        <f>HYPERLINK("https://www.boe.es/gazeta/dias/1839/08/01/pdfs/GMD-1839-1721.pdf#page=1","Abrir facsímil")</f>
        <v>Abrir facsímil</v>
      </c>
      <c r="K8368" s="12" t="s">
        <v>65</v>
      </c>
    </row>
    <row r="8369" spans="1:11" ht="40.049999999999997" customHeight="1" x14ac:dyDescent="0.25">
      <c r="A8369" s="11" t="s">
        <v>17050</v>
      </c>
      <c r="B8369" s="11" t="s">
        <v>17050</v>
      </c>
      <c r="C8369" s="11" t="s">
        <v>137</v>
      </c>
      <c r="D8369" s="11" t="s">
        <v>18</v>
      </c>
      <c r="E8369" s="12" t="s">
        <v>700</v>
      </c>
      <c r="F8369" s="12" t="s">
        <v>701</v>
      </c>
      <c r="G8369" s="12" t="s">
        <v>29</v>
      </c>
      <c r="H8369" s="11" t="s">
        <v>63</v>
      </c>
      <c r="I8369" s="13" t="s">
        <v>17055</v>
      </c>
      <c r="J8369" s="14" t="str">
        <f>HYPERLINK("https://www.boe.es/gazeta/dias/1839/09/01/pdfs/GMD-1839-1753.pdf#page=1","Abrir facsímil")</f>
        <v>Abrir facsímil</v>
      </c>
      <c r="K8369" s="12" t="s">
        <v>65</v>
      </c>
    </row>
    <row r="8370" spans="1:11" ht="40.049999999999997" customHeight="1" x14ac:dyDescent="0.25">
      <c r="A8370" s="11" t="s">
        <v>17050</v>
      </c>
      <c r="B8370" s="11" t="s">
        <v>17050</v>
      </c>
      <c r="C8370" s="11" t="s">
        <v>17</v>
      </c>
      <c r="D8370" s="11" t="s">
        <v>18</v>
      </c>
      <c r="E8370" s="12" t="s">
        <v>700</v>
      </c>
      <c r="F8370" s="12" t="s">
        <v>701</v>
      </c>
      <c r="G8370" s="12" t="s">
        <v>21</v>
      </c>
      <c r="H8370" s="11" t="s">
        <v>63</v>
      </c>
      <c r="I8370" s="13" t="s">
        <v>17056</v>
      </c>
      <c r="J8370" s="14" t="str">
        <f>HYPERLINK("https://www.boe.es/gazeta/dias/1839/09/01/pdfs/GMD-1839-1753.pdf#page=4","Abrir facsímil")</f>
        <v>Abrir facsímil</v>
      </c>
      <c r="K8370" s="12" t="s">
        <v>65</v>
      </c>
    </row>
    <row r="8371" spans="1:11" ht="40.049999999999997" customHeight="1" x14ac:dyDescent="0.25">
      <c r="A8371" s="11" t="s">
        <v>17050</v>
      </c>
      <c r="B8371" s="11" t="s">
        <v>17050</v>
      </c>
      <c r="C8371" s="11" t="s">
        <v>17</v>
      </c>
      <c r="D8371" s="11" t="s">
        <v>18</v>
      </c>
      <c r="E8371" s="12" t="s">
        <v>704</v>
      </c>
      <c r="F8371" s="12" t="s">
        <v>705</v>
      </c>
      <c r="G8371" s="12" t="s">
        <v>29</v>
      </c>
      <c r="H8371" s="11" t="s">
        <v>63</v>
      </c>
      <c r="I8371" s="13" t="s">
        <v>17057</v>
      </c>
      <c r="J8371" s="14" t="str">
        <f>HYPERLINK("https://www.boe.es/gazeta/dias/1839/03/02/pdfs/GMD-1839-1568.pdf#page=1","Abrir facsímil")</f>
        <v>Abrir facsímil</v>
      </c>
      <c r="K8371" s="12" t="s">
        <v>65</v>
      </c>
    </row>
    <row r="8372" spans="1:11" ht="40.049999999999997" customHeight="1" x14ac:dyDescent="0.25">
      <c r="A8372" s="11" t="s">
        <v>17050</v>
      </c>
      <c r="B8372" s="11" t="s">
        <v>17050</v>
      </c>
      <c r="C8372" s="11" t="s">
        <v>17</v>
      </c>
      <c r="D8372" s="11" t="s">
        <v>18</v>
      </c>
      <c r="E8372" s="12" t="s">
        <v>2138</v>
      </c>
      <c r="F8372" s="12" t="s">
        <v>2139</v>
      </c>
      <c r="G8372" s="12" t="s">
        <v>46</v>
      </c>
      <c r="H8372" s="11" t="s">
        <v>63</v>
      </c>
      <c r="I8372" s="13" t="s">
        <v>17058</v>
      </c>
      <c r="J8372" s="14" t="str">
        <f>HYPERLINK("https://www.boe.es/gazeta/dias/1839/10/02/pdfs/GMD-1839-1788.pdf#page=3","Abrir facsímil")</f>
        <v>Abrir facsímil</v>
      </c>
      <c r="K8372" s="12" t="s">
        <v>65</v>
      </c>
    </row>
    <row r="8373" spans="1:11" ht="40.049999999999997" customHeight="1" x14ac:dyDescent="0.25">
      <c r="A8373" s="11" t="s">
        <v>17050</v>
      </c>
      <c r="B8373" s="11" t="s">
        <v>17050</v>
      </c>
      <c r="C8373" s="11" t="s">
        <v>17</v>
      </c>
      <c r="D8373" s="11" t="s">
        <v>18</v>
      </c>
      <c r="E8373" s="12" t="s">
        <v>212</v>
      </c>
      <c r="F8373" s="12" t="s">
        <v>213</v>
      </c>
      <c r="G8373" s="12" t="s">
        <v>21</v>
      </c>
      <c r="H8373" s="11" t="s">
        <v>63</v>
      </c>
      <c r="I8373" s="13" t="s">
        <v>17059</v>
      </c>
      <c r="J8373" s="14" t="str">
        <f>HYPERLINK("https://www.boe.es/gazeta/dias/1839/10/03/pdfs/GMD-1839-1789.pdf#page=4","Abrir facsímil")</f>
        <v>Abrir facsímil</v>
      </c>
      <c r="K8373" s="12" t="s">
        <v>65</v>
      </c>
    </row>
    <row r="8374" spans="1:11" ht="40.049999999999997" customHeight="1" x14ac:dyDescent="0.25">
      <c r="A8374" s="11" t="s">
        <v>17050</v>
      </c>
      <c r="B8374" s="11" t="s">
        <v>17050</v>
      </c>
      <c r="C8374" s="11" t="s">
        <v>80</v>
      </c>
      <c r="D8374" s="11" t="s">
        <v>18</v>
      </c>
      <c r="E8374" s="12" t="s">
        <v>2227</v>
      </c>
      <c r="F8374" s="12" t="s">
        <v>2228</v>
      </c>
      <c r="G8374" s="12" t="s">
        <v>29</v>
      </c>
      <c r="H8374" s="11" t="s">
        <v>63</v>
      </c>
      <c r="I8374" s="13" t="s">
        <v>17060</v>
      </c>
      <c r="J8374" s="14" t="str">
        <f>HYPERLINK("https://www.boe.es/gazeta/dias/1839/12/04/pdfs/GMD-1839-1851.pdf#page=1","Abrir facsímil")</f>
        <v>Abrir facsímil</v>
      </c>
      <c r="K8374" s="12" t="s">
        <v>65</v>
      </c>
    </row>
    <row r="8375" spans="1:11" ht="40.049999999999997" customHeight="1" x14ac:dyDescent="0.25">
      <c r="A8375" s="11" t="s">
        <v>17050</v>
      </c>
      <c r="B8375" s="11" t="s">
        <v>17050</v>
      </c>
      <c r="C8375" s="11" t="s">
        <v>80</v>
      </c>
      <c r="D8375" s="11" t="s">
        <v>173</v>
      </c>
      <c r="E8375" s="12" t="s">
        <v>49</v>
      </c>
      <c r="F8375" s="12" t="s">
        <v>50</v>
      </c>
      <c r="G8375" s="12" t="s">
        <v>21</v>
      </c>
      <c r="H8375" s="11" t="s">
        <v>63</v>
      </c>
      <c r="I8375" s="13" t="s">
        <v>17061</v>
      </c>
      <c r="J8375" s="14" t="str">
        <f>HYPERLINK("https://www.boe.es/gazeta/dias/1839/01/05/pdfs/GMD-1839-1512.pdf#page=4","Abrir facsímil")</f>
        <v>Abrir facsímil</v>
      </c>
      <c r="K8375" s="12" t="s">
        <v>65</v>
      </c>
    </row>
    <row r="8376" spans="1:11" ht="40.049999999999997" customHeight="1" x14ac:dyDescent="0.25">
      <c r="A8376" s="11" t="s">
        <v>17050</v>
      </c>
      <c r="B8376" s="11" t="s">
        <v>17050</v>
      </c>
      <c r="C8376" s="11" t="s">
        <v>80</v>
      </c>
      <c r="D8376" s="11" t="s">
        <v>18</v>
      </c>
      <c r="E8376" s="12" t="s">
        <v>202</v>
      </c>
      <c r="F8376" s="12" t="s">
        <v>203</v>
      </c>
      <c r="G8376" s="12" t="s">
        <v>29</v>
      </c>
      <c r="H8376" s="11" t="s">
        <v>63</v>
      </c>
      <c r="I8376" s="13" t="s">
        <v>17062</v>
      </c>
      <c r="J8376" s="14" t="str">
        <f>HYPERLINK("https://www.boe.es/gazeta/dias/1839/04/05/pdfs/GMD-1839-1602.pdf#page=1","Abrir facsímil")</f>
        <v>Abrir facsímil</v>
      </c>
      <c r="K8376" s="12" t="s">
        <v>65</v>
      </c>
    </row>
    <row r="8377" spans="1:11" ht="40.049999999999997" customHeight="1" x14ac:dyDescent="0.25">
      <c r="A8377" s="11" t="s">
        <v>17050</v>
      </c>
      <c r="B8377" s="11" t="s">
        <v>17050</v>
      </c>
      <c r="C8377" s="11" t="s">
        <v>17</v>
      </c>
      <c r="D8377" s="11" t="s">
        <v>18</v>
      </c>
      <c r="E8377" s="12" t="s">
        <v>453</v>
      </c>
      <c r="F8377" s="12" t="s">
        <v>454</v>
      </c>
      <c r="G8377" s="12" t="s">
        <v>29</v>
      </c>
      <c r="H8377" s="11" t="s">
        <v>63</v>
      </c>
      <c r="I8377" s="13" t="s">
        <v>17063</v>
      </c>
      <c r="J8377" s="14" t="str">
        <f>HYPERLINK("https://www.boe.es/gazeta/dias/1839/02/07/pdfs/GMD-1839-1545.pdf#page=1","Abrir facsímil")</f>
        <v>Abrir facsímil</v>
      </c>
      <c r="K8377" s="12" t="s">
        <v>65</v>
      </c>
    </row>
    <row r="8378" spans="1:11" ht="40.049999999999997" customHeight="1" x14ac:dyDescent="0.25">
      <c r="A8378" s="11" t="s">
        <v>17050</v>
      </c>
      <c r="B8378" s="11" t="s">
        <v>17050</v>
      </c>
      <c r="C8378" s="11" t="s">
        <v>17</v>
      </c>
      <c r="D8378" s="11" t="s">
        <v>18</v>
      </c>
      <c r="E8378" s="12" t="s">
        <v>453</v>
      </c>
      <c r="F8378" s="12" t="s">
        <v>454</v>
      </c>
      <c r="G8378" s="12" t="s">
        <v>40</v>
      </c>
      <c r="H8378" s="11" t="s">
        <v>63</v>
      </c>
      <c r="I8378" s="13" t="s">
        <v>17064</v>
      </c>
      <c r="J8378" s="14" t="str">
        <f>HYPERLINK("https://www.boe.es/gazeta/dias/1839/02/07/pdfs/GMD-1839-1545.pdf#page=2","Abrir facsímil")</f>
        <v>Abrir facsímil</v>
      </c>
      <c r="K8378" s="12" t="s">
        <v>65</v>
      </c>
    </row>
    <row r="8379" spans="1:11" ht="40.049999999999997" customHeight="1" x14ac:dyDescent="0.25">
      <c r="A8379" s="11" t="s">
        <v>17050</v>
      </c>
      <c r="B8379" s="11" t="s">
        <v>17050</v>
      </c>
      <c r="C8379" s="11" t="s">
        <v>59</v>
      </c>
      <c r="D8379" s="11" t="s">
        <v>60</v>
      </c>
      <c r="E8379" s="12" t="s">
        <v>388</v>
      </c>
      <c r="F8379" s="12" t="s">
        <v>389</v>
      </c>
      <c r="G8379" s="12" t="s">
        <v>29</v>
      </c>
      <c r="H8379" s="11" t="s">
        <v>63</v>
      </c>
      <c r="I8379" s="13" t="s">
        <v>17065</v>
      </c>
      <c r="J8379" s="14" t="str">
        <f>HYPERLINK("https://www.boe.es/gazeta/dias/1839/08/07/pdfs/GMD-1839-1727.pdf#page=1","Abrir facsímil")</f>
        <v>Abrir facsímil</v>
      </c>
      <c r="K8379" s="12" t="s">
        <v>65</v>
      </c>
    </row>
    <row r="8380" spans="1:11" ht="40.049999999999997" customHeight="1" x14ac:dyDescent="0.25">
      <c r="A8380" s="11" t="s">
        <v>17050</v>
      </c>
      <c r="B8380" s="11" t="s">
        <v>17050</v>
      </c>
      <c r="C8380" s="11" t="s">
        <v>80</v>
      </c>
      <c r="D8380" s="11" t="s">
        <v>173</v>
      </c>
      <c r="E8380" s="12" t="s">
        <v>157</v>
      </c>
      <c r="F8380" s="12" t="s">
        <v>158</v>
      </c>
      <c r="G8380" s="12" t="s">
        <v>29</v>
      </c>
      <c r="H8380" s="11" t="s">
        <v>63</v>
      </c>
      <c r="I8380" s="13" t="s">
        <v>17066</v>
      </c>
      <c r="J8380" s="14" t="str">
        <f>HYPERLINK("https://www.boe.es/gazeta/dias/1839/02/08/pdfs/GMD-1839-1546.pdf#page=1","Abrir facsímil")</f>
        <v>Abrir facsímil</v>
      </c>
      <c r="K8380" s="12" t="s">
        <v>65</v>
      </c>
    </row>
    <row r="8381" spans="1:11" ht="40.049999999999997" customHeight="1" x14ac:dyDescent="0.25">
      <c r="A8381" s="11" t="s">
        <v>17050</v>
      </c>
      <c r="B8381" s="11" t="s">
        <v>17050</v>
      </c>
      <c r="C8381" s="11" t="s">
        <v>101</v>
      </c>
      <c r="D8381" s="11" t="s">
        <v>43</v>
      </c>
      <c r="E8381" s="12" t="s">
        <v>157</v>
      </c>
      <c r="F8381" s="12" t="s">
        <v>158</v>
      </c>
      <c r="G8381" s="12" t="s">
        <v>46</v>
      </c>
      <c r="H8381" s="11" t="s">
        <v>63</v>
      </c>
      <c r="I8381" s="13" t="s">
        <v>17067</v>
      </c>
      <c r="J8381" s="14" t="str">
        <f>HYPERLINK("https://www.boe.es/gazeta/dias/1839/02/08/pdfs/GMD-1839-1546.pdf#page=3","Abrir facsímil")</f>
        <v>Abrir facsímil</v>
      </c>
      <c r="K8381" s="12" t="s">
        <v>65</v>
      </c>
    </row>
    <row r="8382" spans="1:11" ht="40.049999999999997" customHeight="1" x14ac:dyDescent="0.25">
      <c r="A8382" s="11" t="s">
        <v>17050</v>
      </c>
      <c r="B8382" s="11" t="s">
        <v>17050</v>
      </c>
      <c r="C8382" s="11" t="s">
        <v>101</v>
      </c>
      <c r="D8382" s="11" t="s">
        <v>43</v>
      </c>
      <c r="E8382" s="12" t="s">
        <v>157</v>
      </c>
      <c r="F8382" s="12" t="s">
        <v>158</v>
      </c>
      <c r="G8382" s="12" t="s">
        <v>21</v>
      </c>
      <c r="H8382" s="11" t="s">
        <v>63</v>
      </c>
      <c r="I8382" s="13" t="s">
        <v>17068</v>
      </c>
      <c r="J8382" s="14" t="str">
        <f>HYPERLINK("https://www.boe.es/gazeta/dias/1839/02/08/pdfs/GMD-1839-1546.pdf#page=4","Abrir facsímil")</f>
        <v>Abrir facsímil</v>
      </c>
      <c r="K8382" s="12" t="s">
        <v>65</v>
      </c>
    </row>
    <row r="8383" spans="1:11" ht="40.049999999999997" customHeight="1" x14ac:dyDescent="0.25">
      <c r="A8383" s="11" t="s">
        <v>17050</v>
      </c>
      <c r="B8383" s="11" t="s">
        <v>17050</v>
      </c>
      <c r="C8383" s="11" t="s">
        <v>17</v>
      </c>
      <c r="D8383" s="11" t="s">
        <v>18</v>
      </c>
      <c r="E8383" s="12" t="s">
        <v>647</v>
      </c>
      <c r="F8383" s="12" t="s">
        <v>648</v>
      </c>
      <c r="G8383" s="12" t="s">
        <v>29</v>
      </c>
      <c r="H8383" s="11" t="s">
        <v>63</v>
      </c>
      <c r="I8383" s="13" t="s">
        <v>17069</v>
      </c>
      <c r="J8383" s="14" t="str">
        <f>HYPERLINK("https://www.boe.es/gazeta/dias/1839/10/08/pdfs/GMD-1839-1794.pdf#page=1","Abrir facsímil")</f>
        <v>Abrir facsímil</v>
      </c>
      <c r="K8383" s="12" t="s">
        <v>65</v>
      </c>
    </row>
    <row r="8384" spans="1:11" ht="40.049999999999997" customHeight="1" x14ac:dyDescent="0.25">
      <c r="A8384" s="11" t="s">
        <v>17050</v>
      </c>
      <c r="B8384" s="11" t="s">
        <v>17050</v>
      </c>
      <c r="C8384" s="11" t="s">
        <v>17</v>
      </c>
      <c r="D8384" s="11" t="s">
        <v>18</v>
      </c>
      <c r="E8384" s="12" t="s">
        <v>68</v>
      </c>
      <c r="F8384" s="12" t="s">
        <v>69</v>
      </c>
      <c r="G8384" s="12" t="s">
        <v>40</v>
      </c>
      <c r="H8384" s="11" t="s">
        <v>63</v>
      </c>
      <c r="I8384" s="13" t="s">
        <v>17070</v>
      </c>
      <c r="J8384" s="14" t="str">
        <f>HYPERLINK("https://www.boe.es/gazeta/dias/1839/02/09/pdfs/GMD-1839-1547.pdf#page=2","Abrir facsímil")</f>
        <v>Abrir facsímil</v>
      </c>
      <c r="K8384" s="12" t="s">
        <v>65</v>
      </c>
    </row>
    <row r="8385" spans="1:11" ht="40.049999999999997" customHeight="1" x14ac:dyDescent="0.25">
      <c r="A8385" s="11" t="s">
        <v>17050</v>
      </c>
      <c r="B8385" s="11" t="s">
        <v>17050</v>
      </c>
      <c r="C8385" s="11" t="s">
        <v>17</v>
      </c>
      <c r="D8385" s="11" t="s">
        <v>18</v>
      </c>
      <c r="E8385" s="12" t="s">
        <v>3134</v>
      </c>
      <c r="F8385" s="12" t="s">
        <v>3135</v>
      </c>
      <c r="G8385" s="12" t="s">
        <v>29</v>
      </c>
      <c r="H8385" s="11" t="s">
        <v>63</v>
      </c>
      <c r="I8385" s="13" t="s">
        <v>17071</v>
      </c>
      <c r="J8385" s="14" t="str">
        <f>HYPERLINK("https://www.boe.es/gazeta/dias/1839/08/09/pdfs/GMD-1839-1729.pdf#page=1","Abrir facsímil")</f>
        <v>Abrir facsímil</v>
      </c>
      <c r="K8385" s="12" t="s">
        <v>65</v>
      </c>
    </row>
    <row r="8386" spans="1:11" ht="40.049999999999997" customHeight="1" x14ac:dyDescent="0.25">
      <c r="A8386" s="11" t="s">
        <v>17050</v>
      </c>
      <c r="B8386" s="11" t="s">
        <v>17050</v>
      </c>
      <c r="C8386" s="11" t="s">
        <v>17</v>
      </c>
      <c r="D8386" s="11" t="s">
        <v>18</v>
      </c>
      <c r="E8386" s="12" t="s">
        <v>582</v>
      </c>
      <c r="F8386" s="12" t="s">
        <v>583</v>
      </c>
      <c r="G8386" s="12" t="s">
        <v>29</v>
      </c>
      <c r="H8386" s="11" t="s">
        <v>63</v>
      </c>
      <c r="I8386" s="13" t="s">
        <v>17072</v>
      </c>
      <c r="J8386" s="14" t="str">
        <f>HYPERLINK("https://www.boe.es/gazeta/dias/1839/11/09/pdfs/GMD-1839-1826.pdf#page=1","Abrir facsímil")</f>
        <v>Abrir facsímil</v>
      </c>
      <c r="K8386" s="12" t="s">
        <v>65</v>
      </c>
    </row>
    <row r="8387" spans="1:11" ht="40.049999999999997" customHeight="1" x14ac:dyDescent="0.25">
      <c r="A8387" s="11" t="s">
        <v>17050</v>
      </c>
      <c r="B8387" s="11" t="s">
        <v>17050</v>
      </c>
      <c r="C8387" s="11" t="s">
        <v>101</v>
      </c>
      <c r="D8387" s="11" t="s">
        <v>43</v>
      </c>
      <c r="E8387" s="12" t="s">
        <v>160</v>
      </c>
      <c r="F8387" s="12" t="s">
        <v>161</v>
      </c>
      <c r="G8387" s="12" t="s">
        <v>40</v>
      </c>
      <c r="H8387" s="11" t="s">
        <v>63</v>
      </c>
      <c r="I8387" s="13" t="s">
        <v>17073</v>
      </c>
      <c r="J8387" s="14" t="str">
        <f>HYPERLINK("https://www.boe.es/gazeta/dias/1839/01/10/pdfs/GMD-1839-1517.pdf#page=2","Abrir facsímil")</f>
        <v>Abrir facsímil</v>
      </c>
      <c r="K8387" s="12" t="s">
        <v>65</v>
      </c>
    </row>
    <row r="8388" spans="1:11" ht="40.049999999999997" customHeight="1" x14ac:dyDescent="0.25">
      <c r="A8388" s="11" t="s">
        <v>17050</v>
      </c>
      <c r="B8388" s="11" t="s">
        <v>17050</v>
      </c>
      <c r="C8388" s="11" t="s">
        <v>80</v>
      </c>
      <c r="D8388" s="11" t="s">
        <v>18</v>
      </c>
      <c r="E8388" s="12" t="s">
        <v>269</v>
      </c>
      <c r="F8388" s="12" t="s">
        <v>270</v>
      </c>
      <c r="G8388" s="12" t="s">
        <v>21</v>
      </c>
      <c r="H8388" s="11" t="s">
        <v>63</v>
      </c>
      <c r="I8388" s="13" t="s">
        <v>17074</v>
      </c>
      <c r="J8388" s="14" t="str">
        <f>HYPERLINK("https://www.boe.es/gazeta/dias/1839/02/10/pdfs/GMD-1839-1548.pdf#page=4","Abrir facsímil")</f>
        <v>Abrir facsímil</v>
      </c>
      <c r="K8388" s="12" t="s">
        <v>65</v>
      </c>
    </row>
    <row r="8389" spans="1:11" ht="40.049999999999997" customHeight="1" x14ac:dyDescent="0.25">
      <c r="A8389" s="11" t="s">
        <v>17050</v>
      </c>
      <c r="B8389" s="11" t="s">
        <v>17050</v>
      </c>
      <c r="C8389" s="11" t="s">
        <v>17</v>
      </c>
      <c r="D8389" s="11" t="s">
        <v>18</v>
      </c>
      <c r="E8389" s="12" t="s">
        <v>61</v>
      </c>
      <c r="F8389" s="12" t="s">
        <v>62</v>
      </c>
      <c r="G8389" s="12" t="s">
        <v>40</v>
      </c>
      <c r="H8389" s="11" t="s">
        <v>63</v>
      </c>
      <c r="I8389" s="13" t="s">
        <v>17075</v>
      </c>
      <c r="J8389" s="14" t="str">
        <f>HYPERLINK("https://www.boe.es/gazeta/dias/1839/09/10/pdfs/GMD-1839-1763.pdf#page=2","Abrir facsímil")</f>
        <v>Abrir facsímil</v>
      </c>
      <c r="K8389" s="12" t="s">
        <v>65</v>
      </c>
    </row>
    <row r="8390" spans="1:11" ht="40.049999999999997" customHeight="1" x14ac:dyDescent="0.25">
      <c r="A8390" s="11" t="s">
        <v>17050</v>
      </c>
      <c r="B8390" s="11" t="s">
        <v>17050</v>
      </c>
      <c r="C8390" s="11" t="s">
        <v>101</v>
      </c>
      <c r="D8390" s="11" t="s">
        <v>43</v>
      </c>
      <c r="E8390" s="12" t="s">
        <v>181</v>
      </c>
      <c r="F8390" s="12" t="s">
        <v>182</v>
      </c>
      <c r="G8390" s="12" t="s">
        <v>46</v>
      </c>
      <c r="H8390" s="11" t="s">
        <v>63</v>
      </c>
      <c r="I8390" s="13" t="s">
        <v>17076</v>
      </c>
      <c r="J8390" s="14" t="str">
        <f>HYPERLINK("https://www.boe.es/gazeta/dias/1839/01/11/pdfs/GMD-1839-1518.pdf#page=3","Abrir facsímil")</f>
        <v>Abrir facsímil</v>
      </c>
      <c r="K8390" s="12" t="s">
        <v>65</v>
      </c>
    </row>
    <row r="8391" spans="1:11" ht="40.049999999999997" customHeight="1" x14ac:dyDescent="0.25">
      <c r="A8391" s="11" t="s">
        <v>17050</v>
      </c>
      <c r="B8391" s="11" t="s">
        <v>17050</v>
      </c>
      <c r="C8391" s="11" t="s">
        <v>17</v>
      </c>
      <c r="D8391" s="11" t="s">
        <v>18</v>
      </c>
      <c r="E8391" s="12" t="s">
        <v>163</v>
      </c>
      <c r="F8391" s="12" t="s">
        <v>164</v>
      </c>
      <c r="G8391" s="12" t="s">
        <v>40</v>
      </c>
      <c r="H8391" s="11" t="s">
        <v>63</v>
      </c>
      <c r="I8391" s="13" t="s">
        <v>17077</v>
      </c>
      <c r="J8391" s="14" t="str">
        <f>HYPERLINK("https://www.boe.es/gazeta/dias/1839/01/13/pdfs/GMD-1839-1520.pdf#page=2","Abrir facsímil")</f>
        <v>Abrir facsímil</v>
      </c>
      <c r="K8391" s="12" t="s">
        <v>65</v>
      </c>
    </row>
    <row r="8392" spans="1:11" ht="40.049999999999997" customHeight="1" x14ac:dyDescent="0.25">
      <c r="A8392" s="11" t="s">
        <v>17050</v>
      </c>
      <c r="B8392" s="11" t="s">
        <v>17050</v>
      </c>
      <c r="C8392" s="11" t="s">
        <v>80</v>
      </c>
      <c r="D8392" s="11" t="s">
        <v>173</v>
      </c>
      <c r="E8392" s="12" t="s">
        <v>163</v>
      </c>
      <c r="F8392" s="12" t="s">
        <v>164</v>
      </c>
      <c r="G8392" s="12" t="s">
        <v>21</v>
      </c>
      <c r="H8392" s="11" t="s">
        <v>63</v>
      </c>
      <c r="I8392" s="13" t="s">
        <v>17078</v>
      </c>
      <c r="J8392" s="14" t="str">
        <f>HYPERLINK("https://www.boe.es/gazeta/dias/1839/01/13/pdfs/GMD-1839-1520.pdf#page=4","Abrir facsímil")</f>
        <v>Abrir facsímil</v>
      </c>
      <c r="K8392" s="12" t="s">
        <v>65</v>
      </c>
    </row>
    <row r="8393" spans="1:11" ht="40.049999999999997" customHeight="1" x14ac:dyDescent="0.25">
      <c r="A8393" s="11" t="s">
        <v>17050</v>
      </c>
      <c r="B8393" s="11" t="s">
        <v>17050</v>
      </c>
      <c r="C8393" s="11" t="s">
        <v>17</v>
      </c>
      <c r="D8393" s="11" t="s">
        <v>18</v>
      </c>
      <c r="E8393" s="12" t="s">
        <v>736</v>
      </c>
      <c r="F8393" s="12" t="s">
        <v>737</v>
      </c>
      <c r="G8393" s="12" t="s">
        <v>46</v>
      </c>
      <c r="H8393" s="11" t="s">
        <v>63</v>
      </c>
      <c r="I8393" s="13" t="s">
        <v>17079</v>
      </c>
      <c r="J8393" s="14" t="str">
        <f>HYPERLINK("https://www.boe.es/gazeta/dias/1839/10/13/pdfs/GMD-1839-1799.pdf#page=3","Abrir facsímil")</f>
        <v>Abrir facsímil</v>
      </c>
      <c r="K8393" s="12" t="s">
        <v>65</v>
      </c>
    </row>
    <row r="8394" spans="1:11" ht="40.049999999999997" customHeight="1" x14ac:dyDescent="0.25">
      <c r="A8394" s="11" t="s">
        <v>17050</v>
      </c>
      <c r="B8394" s="11" t="s">
        <v>17050</v>
      </c>
      <c r="C8394" s="11" t="s">
        <v>17</v>
      </c>
      <c r="D8394" s="11" t="s">
        <v>18</v>
      </c>
      <c r="E8394" s="12" t="s">
        <v>903</v>
      </c>
      <c r="F8394" s="12" t="s">
        <v>904</v>
      </c>
      <c r="G8394" s="12" t="s">
        <v>29</v>
      </c>
      <c r="H8394" s="11" t="s">
        <v>63</v>
      </c>
      <c r="I8394" s="13" t="s">
        <v>17080</v>
      </c>
      <c r="J8394" s="14" t="str">
        <f>HYPERLINK("https://www.boe.es/gazeta/dias/1839/03/14/pdfs/GMD-1839-1580.pdf#page=1","Abrir facsímil")</f>
        <v>Abrir facsímil</v>
      </c>
      <c r="K8394" s="12" t="s">
        <v>65</v>
      </c>
    </row>
    <row r="8395" spans="1:11" ht="40.049999999999997" customHeight="1" x14ac:dyDescent="0.25">
      <c r="A8395" s="11" t="s">
        <v>17050</v>
      </c>
      <c r="B8395" s="11" t="s">
        <v>17050</v>
      </c>
      <c r="C8395" s="11" t="s">
        <v>17</v>
      </c>
      <c r="D8395" s="11" t="s">
        <v>18</v>
      </c>
      <c r="E8395" s="12" t="s">
        <v>336</v>
      </c>
      <c r="F8395" s="12" t="s">
        <v>337</v>
      </c>
      <c r="G8395" s="12" t="s">
        <v>46</v>
      </c>
      <c r="H8395" s="11" t="s">
        <v>63</v>
      </c>
      <c r="I8395" s="13" t="s">
        <v>17081</v>
      </c>
      <c r="J8395" s="14" t="str">
        <f>HYPERLINK("https://www.boe.es/gazeta/dias/1839/07/14/pdfs/GMD-1839-1702.pdf#page=3","Abrir facsímil")</f>
        <v>Abrir facsímil</v>
      </c>
      <c r="K8395" s="12" t="s">
        <v>65</v>
      </c>
    </row>
    <row r="8396" spans="1:11" ht="40.049999999999997" customHeight="1" x14ac:dyDescent="0.25">
      <c r="A8396" s="11" t="s">
        <v>17050</v>
      </c>
      <c r="B8396" s="11" t="s">
        <v>17050</v>
      </c>
      <c r="C8396" s="11" t="s">
        <v>101</v>
      </c>
      <c r="D8396" s="11" t="s">
        <v>43</v>
      </c>
      <c r="E8396" s="12" t="s">
        <v>592</v>
      </c>
      <c r="F8396" s="12" t="s">
        <v>593</v>
      </c>
      <c r="G8396" s="12" t="s">
        <v>40</v>
      </c>
      <c r="H8396" s="11" t="s">
        <v>63</v>
      </c>
      <c r="I8396" s="13" t="s">
        <v>17082</v>
      </c>
      <c r="J8396" s="14" t="str">
        <f>HYPERLINK("https://www.boe.es/gazeta/dias/1839/09/14/pdfs/GMD-1839-1767.pdf#page=2","Abrir facsímil")</f>
        <v>Abrir facsímil</v>
      </c>
      <c r="K8396" s="12" t="s">
        <v>65</v>
      </c>
    </row>
    <row r="8397" spans="1:11" ht="40.049999999999997" customHeight="1" x14ac:dyDescent="0.25">
      <c r="A8397" s="11" t="s">
        <v>17050</v>
      </c>
      <c r="B8397" s="11" t="s">
        <v>17050</v>
      </c>
      <c r="C8397" s="11" t="s">
        <v>80</v>
      </c>
      <c r="D8397" s="11" t="s">
        <v>18</v>
      </c>
      <c r="E8397" s="12" t="s">
        <v>185</v>
      </c>
      <c r="F8397" s="12" t="s">
        <v>186</v>
      </c>
      <c r="G8397" s="12" t="s">
        <v>29</v>
      </c>
      <c r="H8397" s="11" t="s">
        <v>63</v>
      </c>
      <c r="I8397" s="13" t="s">
        <v>17083</v>
      </c>
      <c r="J8397" s="14" t="str">
        <f>HYPERLINK("https://www.boe.es/gazeta/dias/1839/01/15/pdfs/GMD-1839-1522.pdf#page=1","Abrir facsímil")</f>
        <v>Abrir facsímil</v>
      </c>
      <c r="K8397" s="12" t="s">
        <v>65</v>
      </c>
    </row>
    <row r="8398" spans="1:11" ht="40.049999999999997" customHeight="1" x14ac:dyDescent="0.25">
      <c r="A8398" s="11" t="s">
        <v>17050</v>
      </c>
      <c r="B8398" s="11" t="s">
        <v>17050</v>
      </c>
      <c r="C8398" s="11" t="s">
        <v>17</v>
      </c>
      <c r="D8398" s="11" t="s">
        <v>18</v>
      </c>
      <c r="E8398" s="12" t="s">
        <v>185</v>
      </c>
      <c r="F8398" s="12" t="s">
        <v>186</v>
      </c>
      <c r="G8398" s="12" t="s">
        <v>40</v>
      </c>
      <c r="H8398" s="11" t="s">
        <v>63</v>
      </c>
      <c r="I8398" s="13" t="s">
        <v>17084</v>
      </c>
      <c r="J8398" s="14" t="str">
        <f>HYPERLINK("https://www.boe.es/gazeta/dias/1839/01/15/pdfs/GMD-1839-1522.pdf#page=2","Abrir facsímil")</f>
        <v>Abrir facsímil</v>
      </c>
      <c r="K8398" s="12" t="s">
        <v>65</v>
      </c>
    </row>
    <row r="8399" spans="1:11" ht="40.049999999999997" customHeight="1" x14ac:dyDescent="0.25">
      <c r="A8399" s="11" t="s">
        <v>17050</v>
      </c>
      <c r="B8399" s="11" t="s">
        <v>17050</v>
      </c>
      <c r="C8399" s="11" t="s">
        <v>59</v>
      </c>
      <c r="D8399" s="11" t="s">
        <v>60</v>
      </c>
      <c r="E8399" s="12" t="s">
        <v>185</v>
      </c>
      <c r="F8399" s="12" t="s">
        <v>186</v>
      </c>
      <c r="G8399" s="12" t="s">
        <v>46</v>
      </c>
      <c r="H8399" s="11" t="s">
        <v>63</v>
      </c>
      <c r="I8399" s="13" t="s">
        <v>17085</v>
      </c>
      <c r="J8399" s="14" t="str">
        <f>HYPERLINK("https://www.boe.es/gazeta/dias/1839/01/15/pdfs/GMD-1839-1522.pdf#page=3","Abrir facsímil")</f>
        <v>Abrir facsímil</v>
      </c>
      <c r="K8399" s="12" t="s">
        <v>65</v>
      </c>
    </row>
    <row r="8400" spans="1:11" ht="40.049999999999997" customHeight="1" x14ac:dyDescent="0.25">
      <c r="A8400" s="11" t="s">
        <v>17050</v>
      </c>
      <c r="B8400" s="11" t="s">
        <v>17050</v>
      </c>
      <c r="C8400" s="11" t="s">
        <v>80</v>
      </c>
      <c r="D8400" s="11" t="s">
        <v>173</v>
      </c>
      <c r="E8400" s="12" t="s">
        <v>1139</v>
      </c>
      <c r="F8400" s="12" t="s">
        <v>1140</v>
      </c>
      <c r="G8400" s="12" t="s">
        <v>29</v>
      </c>
      <c r="H8400" s="11" t="s">
        <v>63</v>
      </c>
      <c r="I8400" s="13" t="s">
        <v>17086</v>
      </c>
      <c r="J8400" s="14" t="str">
        <f>HYPERLINK("https://www.boe.es/gazeta/dias/1839/02/15/pdfs/GMD-1839-1553.pdf#page=1","Abrir facsímil")</f>
        <v>Abrir facsímil</v>
      </c>
      <c r="K8400" s="12" t="s">
        <v>65</v>
      </c>
    </row>
    <row r="8401" spans="1:11" ht="40.049999999999997" customHeight="1" x14ac:dyDescent="0.25">
      <c r="A8401" s="11" t="s">
        <v>17050</v>
      </c>
      <c r="B8401" s="11" t="s">
        <v>17050</v>
      </c>
      <c r="C8401" s="11" t="s">
        <v>17</v>
      </c>
      <c r="D8401" s="11" t="s">
        <v>18</v>
      </c>
      <c r="E8401" s="12" t="s">
        <v>1139</v>
      </c>
      <c r="F8401" s="12" t="s">
        <v>1140</v>
      </c>
      <c r="G8401" s="12" t="s">
        <v>46</v>
      </c>
      <c r="H8401" s="11" t="s">
        <v>63</v>
      </c>
      <c r="I8401" s="13" t="s">
        <v>17087</v>
      </c>
      <c r="J8401" s="14" t="str">
        <f>HYPERLINK("https://www.boe.es/gazeta/dias/1839/02/15/pdfs/GMD-1839-1553.pdf#page=3","Abrir facsímil")</f>
        <v>Abrir facsímil</v>
      </c>
      <c r="K8401" s="12" t="s">
        <v>65</v>
      </c>
    </row>
    <row r="8402" spans="1:11" ht="40.049999999999997" customHeight="1" x14ac:dyDescent="0.25">
      <c r="A8402" s="11" t="s">
        <v>17050</v>
      </c>
      <c r="B8402" s="11" t="s">
        <v>17050</v>
      </c>
      <c r="C8402" s="11" t="s">
        <v>17</v>
      </c>
      <c r="D8402" s="11" t="s">
        <v>18</v>
      </c>
      <c r="E8402" s="12" t="s">
        <v>1069</v>
      </c>
      <c r="F8402" s="12" t="s">
        <v>1070</v>
      </c>
      <c r="G8402" s="12" t="s">
        <v>40</v>
      </c>
      <c r="H8402" s="11" t="s">
        <v>63</v>
      </c>
      <c r="I8402" s="13" t="s">
        <v>17088</v>
      </c>
      <c r="J8402" s="14" t="str">
        <f>HYPERLINK("https://www.boe.es/gazeta/dias/1839/10/15/pdfs/GMD-1839-1801.pdf#page=2","Abrir facsímil")</f>
        <v>Abrir facsímil</v>
      </c>
      <c r="K8402" s="12" t="s">
        <v>65</v>
      </c>
    </row>
    <row r="8403" spans="1:11" ht="40.049999999999997" customHeight="1" x14ac:dyDescent="0.25">
      <c r="A8403" s="11" t="s">
        <v>17050</v>
      </c>
      <c r="B8403" s="11" t="s">
        <v>17050</v>
      </c>
      <c r="C8403" s="11" t="s">
        <v>17</v>
      </c>
      <c r="D8403" s="11" t="s">
        <v>18</v>
      </c>
      <c r="E8403" s="12" t="s">
        <v>1069</v>
      </c>
      <c r="F8403" s="12" t="s">
        <v>1070</v>
      </c>
      <c r="G8403" s="12" t="s">
        <v>21</v>
      </c>
      <c r="H8403" s="11" t="s">
        <v>63</v>
      </c>
      <c r="I8403" s="13" t="s">
        <v>17089</v>
      </c>
      <c r="J8403" s="14" t="str">
        <f>HYPERLINK("https://www.boe.es/gazeta/dias/1839/10/15/pdfs/GMD-1839-1801.pdf#page=4","Abrir facsímil")</f>
        <v>Abrir facsímil</v>
      </c>
      <c r="K8403" s="12" t="s">
        <v>65</v>
      </c>
    </row>
    <row r="8404" spans="1:11" ht="40.049999999999997" customHeight="1" x14ac:dyDescent="0.25">
      <c r="A8404" s="11" t="s">
        <v>17050</v>
      </c>
      <c r="B8404" s="11" t="s">
        <v>17050</v>
      </c>
      <c r="C8404" s="11" t="s">
        <v>17</v>
      </c>
      <c r="D8404" s="11" t="s">
        <v>18</v>
      </c>
      <c r="E8404" s="12" t="s">
        <v>175</v>
      </c>
      <c r="F8404" s="12" t="s">
        <v>176</v>
      </c>
      <c r="G8404" s="12" t="s">
        <v>29</v>
      </c>
      <c r="H8404" s="11" t="s">
        <v>63</v>
      </c>
      <c r="I8404" s="13" t="s">
        <v>17090</v>
      </c>
      <c r="J8404" s="14" t="str">
        <f>HYPERLINK("https://www.boe.es/gazeta/dias/1839/01/16/pdfs/GMD-1839-1523.pdf#page=1","Abrir facsímil")</f>
        <v>Abrir facsímil</v>
      </c>
      <c r="K8404" s="12" t="s">
        <v>65</v>
      </c>
    </row>
    <row r="8405" spans="1:11" ht="40.049999999999997" customHeight="1" x14ac:dyDescent="0.25">
      <c r="A8405" s="11" t="s">
        <v>17050</v>
      </c>
      <c r="B8405" s="11" t="s">
        <v>17050</v>
      </c>
      <c r="C8405" s="11" t="s">
        <v>80</v>
      </c>
      <c r="D8405" s="11" t="s">
        <v>18</v>
      </c>
      <c r="E8405" s="12" t="s">
        <v>175</v>
      </c>
      <c r="F8405" s="12" t="s">
        <v>176</v>
      </c>
      <c r="G8405" s="12" t="s">
        <v>46</v>
      </c>
      <c r="H8405" s="11" t="s">
        <v>63</v>
      </c>
      <c r="I8405" s="13" t="s">
        <v>17091</v>
      </c>
      <c r="J8405" s="14" t="str">
        <f>HYPERLINK("https://www.boe.es/gazeta/dias/1839/01/16/pdfs/GMD-1839-1523.pdf#page=3","Abrir facsímil")</f>
        <v>Abrir facsímil</v>
      </c>
      <c r="K8405" s="12" t="s">
        <v>65</v>
      </c>
    </row>
    <row r="8406" spans="1:11" ht="40.049999999999997" customHeight="1" x14ac:dyDescent="0.25">
      <c r="A8406" s="11" t="s">
        <v>17050</v>
      </c>
      <c r="B8406" s="11" t="s">
        <v>17050</v>
      </c>
      <c r="C8406" s="11" t="s">
        <v>17</v>
      </c>
      <c r="D8406" s="11" t="s">
        <v>18</v>
      </c>
      <c r="E8406" s="12" t="s">
        <v>1027</v>
      </c>
      <c r="F8406" s="12" t="s">
        <v>1028</v>
      </c>
      <c r="G8406" s="12" t="s">
        <v>29</v>
      </c>
      <c r="H8406" s="11" t="s">
        <v>63</v>
      </c>
      <c r="I8406" s="13" t="s">
        <v>17092</v>
      </c>
      <c r="J8406" s="14" t="str">
        <f>HYPERLINK("https://www.boe.es/gazeta/dias/1839/08/16/pdfs/GMD-1839-1736.pdf#page=1","Abrir facsímil")</f>
        <v>Abrir facsímil</v>
      </c>
      <c r="K8406" s="12" t="s">
        <v>65</v>
      </c>
    </row>
    <row r="8407" spans="1:11" ht="40.049999999999997" customHeight="1" x14ac:dyDescent="0.25">
      <c r="A8407" s="11" t="s">
        <v>17050</v>
      </c>
      <c r="B8407" s="11" t="s">
        <v>17050</v>
      </c>
      <c r="C8407" s="11" t="s">
        <v>101</v>
      </c>
      <c r="D8407" s="11" t="s">
        <v>43</v>
      </c>
      <c r="E8407" s="12" t="s">
        <v>1236</v>
      </c>
      <c r="F8407" s="12" t="s">
        <v>1237</v>
      </c>
      <c r="G8407" s="12" t="s">
        <v>40</v>
      </c>
      <c r="H8407" s="11" t="s">
        <v>63</v>
      </c>
      <c r="I8407" s="13" t="s">
        <v>17093</v>
      </c>
      <c r="J8407" s="14" t="str">
        <f>HYPERLINK("https://www.boe.es/gazeta/dias/1839/10/16/pdfs/GMD-1839-1802.pdf#page=2","Abrir facsímil")</f>
        <v>Abrir facsímil</v>
      </c>
      <c r="K8407" s="12" t="s">
        <v>65</v>
      </c>
    </row>
    <row r="8408" spans="1:11" ht="40.049999999999997" customHeight="1" x14ac:dyDescent="0.25">
      <c r="A8408" s="11" t="s">
        <v>17050</v>
      </c>
      <c r="B8408" s="11" t="s">
        <v>17050</v>
      </c>
      <c r="C8408" s="11" t="s">
        <v>101</v>
      </c>
      <c r="D8408" s="11" t="s">
        <v>43</v>
      </c>
      <c r="E8408" s="12" t="s">
        <v>513</v>
      </c>
      <c r="F8408" s="12" t="s">
        <v>514</v>
      </c>
      <c r="G8408" s="12" t="s">
        <v>29</v>
      </c>
      <c r="H8408" s="11" t="s">
        <v>63</v>
      </c>
      <c r="I8408" s="13" t="s">
        <v>17094</v>
      </c>
      <c r="J8408" s="14" t="str">
        <f>HYPERLINK("https://www.boe.es/gazeta/dias/1839/03/17/pdfs/GMD-1839-1583.pdf#page=1","Abrir facsímil")</f>
        <v>Abrir facsímil</v>
      </c>
      <c r="K8408" s="12" t="s">
        <v>65</v>
      </c>
    </row>
    <row r="8409" spans="1:11" ht="40.049999999999997" customHeight="1" x14ac:dyDescent="0.25">
      <c r="A8409" s="11" t="s">
        <v>17050</v>
      </c>
      <c r="B8409" s="11" t="s">
        <v>17050</v>
      </c>
      <c r="C8409" s="11" t="s">
        <v>17</v>
      </c>
      <c r="D8409" s="11" t="s">
        <v>18</v>
      </c>
      <c r="E8409" s="12" t="s">
        <v>1072</v>
      </c>
      <c r="F8409" s="12" t="s">
        <v>1073</v>
      </c>
      <c r="G8409" s="12" t="s">
        <v>46</v>
      </c>
      <c r="H8409" s="11" t="s">
        <v>63</v>
      </c>
      <c r="I8409" s="13" t="s">
        <v>17095</v>
      </c>
      <c r="J8409" s="14" t="str">
        <f>HYPERLINK("https://www.boe.es/gazeta/dias/1839/01/18/pdfs/GMD-1839-1525.pdf#page=3","Abrir facsímil")</f>
        <v>Abrir facsímil</v>
      </c>
      <c r="K8409" s="12" t="s">
        <v>65</v>
      </c>
    </row>
    <row r="8410" spans="1:11" ht="40.049999999999997" customHeight="1" x14ac:dyDescent="0.25">
      <c r="A8410" s="11" t="s">
        <v>17050</v>
      </c>
      <c r="B8410" s="11" t="s">
        <v>17050</v>
      </c>
      <c r="C8410" s="11" t="s">
        <v>101</v>
      </c>
      <c r="D8410" s="11" t="s">
        <v>102</v>
      </c>
      <c r="E8410" s="12" t="s">
        <v>685</v>
      </c>
      <c r="F8410" s="12" t="s">
        <v>686</v>
      </c>
      <c r="G8410" s="12" t="s">
        <v>40</v>
      </c>
      <c r="H8410" s="11" t="s">
        <v>63</v>
      </c>
      <c r="I8410" s="13" t="s">
        <v>17096</v>
      </c>
      <c r="J8410" s="14" t="str">
        <f>HYPERLINK("https://www.boe.es/gazeta/dias/1839/06/18/pdfs/GMD-1839-1676.pdf#page=2","Abrir facsímil")</f>
        <v>Abrir facsímil</v>
      </c>
      <c r="K8410" s="12" t="s">
        <v>65</v>
      </c>
    </row>
    <row r="8411" spans="1:11" ht="40.049999999999997" customHeight="1" x14ac:dyDescent="0.25">
      <c r="A8411" s="11" t="s">
        <v>17050</v>
      </c>
      <c r="B8411" s="11" t="s">
        <v>17050</v>
      </c>
      <c r="C8411" s="11" t="s">
        <v>17</v>
      </c>
      <c r="D8411" s="11" t="s">
        <v>18</v>
      </c>
      <c r="E8411" s="12" t="s">
        <v>1406</v>
      </c>
      <c r="F8411" s="12" t="s">
        <v>1407</v>
      </c>
      <c r="G8411" s="12" t="s">
        <v>46</v>
      </c>
      <c r="H8411" s="11" t="s">
        <v>63</v>
      </c>
      <c r="I8411" s="13" t="s">
        <v>17097</v>
      </c>
      <c r="J8411" s="14" t="str">
        <f>HYPERLINK("https://www.boe.es/gazeta/dias/1839/07/18/pdfs/GMD-1839-1706.pdf#page=3","Abrir facsímil")</f>
        <v>Abrir facsímil</v>
      </c>
      <c r="K8411" s="12" t="s">
        <v>65</v>
      </c>
    </row>
    <row r="8412" spans="1:11" ht="40.049999999999997" customHeight="1" x14ac:dyDescent="0.25">
      <c r="A8412" s="11" t="s">
        <v>17050</v>
      </c>
      <c r="B8412" s="11" t="s">
        <v>17050</v>
      </c>
      <c r="C8412" s="11" t="s">
        <v>17</v>
      </c>
      <c r="D8412" s="11" t="s">
        <v>18</v>
      </c>
      <c r="E8412" s="12" t="s">
        <v>1179</v>
      </c>
      <c r="F8412" s="12" t="s">
        <v>1180</v>
      </c>
      <c r="G8412" s="12" t="s">
        <v>566</v>
      </c>
      <c r="H8412" s="11" t="s">
        <v>63</v>
      </c>
      <c r="I8412" s="13" t="s">
        <v>17098</v>
      </c>
      <c r="J8412" s="14" t="str">
        <f>HYPERLINK("https://www.boe.es/gazeta/dias/1839/10/18/pdfs/GMD-1839-1804.pdf#page=5","Abrir facsímil")</f>
        <v>Abrir facsímil</v>
      </c>
      <c r="K8412" s="12" t="s">
        <v>65</v>
      </c>
    </row>
    <row r="8413" spans="1:11" ht="40.049999999999997" customHeight="1" x14ac:dyDescent="0.25">
      <c r="A8413" s="11" t="s">
        <v>17050</v>
      </c>
      <c r="B8413" s="11" t="s">
        <v>17050</v>
      </c>
      <c r="C8413" s="11" t="s">
        <v>80</v>
      </c>
      <c r="D8413" s="11" t="s">
        <v>18</v>
      </c>
      <c r="E8413" s="12" t="s">
        <v>207</v>
      </c>
      <c r="F8413" s="12" t="s">
        <v>208</v>
      </c>
      <c r="G8413" s="12" t="s">
        <v>40</v>
      </c>
      <c r="H8413" s="11" t="s">
        <v>63</v>
      </c>
      <c r="I8413" s="13" t="s">
        <v>17099</v>
      </c>
      <c r="J8413" s="14" t="str">
        <f>HYPERLINK("https://www.boe.es/gazeta/dias/1839/02/19/pdfs/GMD-1839-1557.pdf#page=2","Abrir facsímil")</f>
        <v>Abrir facsímil</v>
      </c>
      <c r="K8413" s="12" t="s">
        <v>65</v>
      </c>
    </row>
    <row r="8414" spans="1:11" ht="40.049999999999997" customHeight="1" x14ac:dyDescent="0.25">
      <c r="A8414" s="11" t="s">
        <v>17050</v>
      </c>
      <c r="B8414" s="11" t="s">
        <v>17050</v>
      </c>
      <c r="C8414" s="11" t="s">
        <v>101</v>
      </c>
      <c r="D8414" s="11" t="s">
        <v>43</v>
      </c>
      <c r="E8414" s="12" t="s">
        <v>2222</v>
      </c>
      <c r="F8414" s="12" t="s">
        <v>2223</v>
      </c>
      <c r="G8414" s="12" t="s">
        <v>40</v>
      </c>
      <c r="H8414" s="11" t="s">
        <v>63</v>
      </c>
      <c r="I8414" s="13" t="s">
        <v>17100</v>
      </c>
      <c r="J8414" s="14" t="str">
        <f>HYPERLINK("https://www.boe.es/gazeta/dias/1839/09/19/pdfs/GMD-1839-1773.pdf#page=2","Abrir facsímil")</f>
        <v>Abrir facsímil</v>
      </c>
      <c r="K8414" s="12" t="s">
        <v>65</v>
      </c>
    </row>
    <row r="8415" spans="1:11" ht="40.049999999999997" customHeight="1" x14ac:dyDescent="0.25">
      <c r="A8415" s="11" t="s">
        <v>17050</v>
      </c>
      <c r="B8415" s="11" t="s">
        <v>17050</v>
      </c>
      <c r="C8415" s="11" t="s">
        <v>17</v>
      </c>
      <c r="D8415" s="11" t="s">
        <v>18</v>
      </c>
      <c r="E8415" s="12" t="s">
        <v>643</v>
      </c>
      <c r="F8415" s="12" t="s">
        <v>644</v>
      </c>
      <c r="G8415" s="12" t="s">
        <v>29</v>
      </c>
      <c r="H8415" s="11" t="s">
        <v>63</v>
      </c>
      <c r="I8415" s="13" t="s">
        <v>17101</v>
      </c>
      <c r="J8415" s="14" t="str">
        <f>HYPERLINK("https://www.boe.es/gazeta/dias/1839/03/20/pdfs/GMD-1839-1586.pdf#page=1","Abrir facsímil")</f>
        <v>Abrir facsímil</v>
      </c>
      <c r="K8415" s="12" t="s">
        <v>65</v>
      </c>
    </row>
    <row r="8416" spans="1:11" ht="40.049999999999997" customHeight="1" x14ac:dyDescent="0.25">
      <c r="A8416" s="11" t="s">
        <v>17050</v>
      </c>
      <c r="B8416" s="11" t="s">
        <v>17050</v>
      </c>
      <c r="C8416" s="11" t="s">
        <v>80</v>
      </c>
      <c r="D8416" s="11" t="s">
        <v>173</v>
      </c>
      <c r="E8416" s="12" t="s">
        <v>794</v>
      </c>
      <c r="F8416" s="12" t="s">
        <v>795</v>
      </c>
      <c r="G8416" s="12" t="s">
        <v>46</v>
      </c>
      <c r="H8416" s="11" t="s">
        <v>63</v>
      </c>
      <c r="I8416" s="13" t="s">
        <v>17102</v>
      </c>
      <c r="J8416" s="14" t="str">
        <f>HYPERLINK("https://www.boe.es/gazeta/dias/1839/01/22/pdfs/GMD-1839-1529.pdf#page=3","Abrir facsímil")</f>
        <v>Abrir facsímil</v>
      </c>
      <c r="K8416" s="12" t="s">
        <v>65</v>
      </c>
    </row>
    <row r="8417" spans="1:11" ht="40.049999999999997" customHeight="1" x14ac:dyDescent="0.25">
      <c r="A8417" s="11" t="s">
        <v>17050</v>
      </c>
      <c r="B8417" s="11" t="s">
        <v>17050</v>
      </c>
      <c r="C8417" s="11" t="s">
        <v>80</v>
      </c>
      <c r="D8417" s="11" t="s">
        <v>18</v>
      </c>
      <c r="E8417" s="12" t="s">
        <v>7119</v>
      </c>
      <c r="F8417" s="12" t="s">
        <v>7120</v>
      </c>
      <c r="G8417" s="12" t="s">
        <v>46</v>
      </c>
      <c r="H8417" s="11" t="s">
        <v>63</v>
      </c>
      <c r="I8417" s="13" t="s">
        <v>17103</v>
      </c>
      <c r="J8417" s="14" t="str">
        <f>HYPERLINK("https://www.boe.es/gazeta/dias/1839/05/22/pdfs/GMD-1839-1649.pdf#page=3","Abrir facsímil")</f>
        <v>Abrir facsímil</v>
      </c>
      <c r="K8417" s="12" t="s">
        <v>65</v>
      </c>
    </row>
    <row r="8418" spans="1:11" ht="40.049999999999997" customHeight="1" x14ac:dyDescent="0.25">
      <c r="A8418" s="11" t="s">
        <v>17050</v>
      </c>
      <c r="B8418" s="11" t="s">
        <v>17050</v>
      </c>
      <c r="C8418" s="11" t="s">
        <v>17</v>
      </c>
      <c r="D8418" s="11" t="s">
        <v>18</v>
      </c>
      <c r="E8418" s="12" t="s">
        <v>1433</v>
      </c>
      <c r="F8418" s="12" t="s">
        <v>1434</v>
      </c>
      <c r="G8418" s="12" t="s">
        <v>21</v>
      </c>
      <c r="H8418" s="11" t="s">
        <v>63</v>
      </c>
      <c r="I8418" s="13" t="s">
        <v>17104</v>
      </c>
      <c r="J8418" s="14" t="str">
        <f>HYPERLINK("https://www.boe.es/gazeta/dias/1839/10/22/pdfs/GMD-1839-1808.pdf#page=4","Abrir facsímil")</f>
        <v>Abrir facsímil</v>
      </c>
      <c r="K8418" s="12" t="s">
        <v>65</v>
      </c>
    </row>
    <row r="8419" spans="1:11" ht="40.049999999999997" customHeight="1" x14ac:dyDescent="0.25">
      <c r="A8419" s="11" t="s">
        <v>17050</v>
      </c>
      <c r="B8419" s="11" t="s">
        <v>17050</v>
      </c>
      <c r="C8419" s="11" t="s">
        <v>17</v>
      </c>
      <c r="D8419" s="11" t="s">
        <v>18</v>
      </c>
      <c r="E8419" s="12" t="s">
        <v>596</v>
      </c>
      <c r="F8419" s="12" t="s">
        <v>597</v>
      </c>
      <c r="G8419" s="12" t="s">
        <v>46</v>
      </c>
      <c r="H8419" s="11" t="s">
        <v>63</v>
      </c>
      <c r="I8419" s="13" t="s">
        <v>17105</v>
      </c>
      <c r="J8419" s="14" t="str">
        <f>HYPERLINK("https://www.boe.es/gazeta/dias/1839/01/23/pdfs/GMD-1839-1530.pdf#page=3","Abrir facsímil")</f>
        <v>Abrir facsímil</v>
      </c>
      <c r="K8419" s="12" t="s">
        <v>65</v>
      </c>
    </row>
    <row r="8420" spans="1:11" ht="40.049999999999997" customHeight="1" x14ac:dyDescent="0.25">
      <c r="A8420" s="11" t="s">
        <v>17050</v>
      </c>
      <c r="B8420" s="11" t="s">
        <v>17050</v>
      </c>
      <c r="C8420" s="11" t="s">
        <v>137</v>
      </c>
      <c r="D8420" s="11" t="s">
        <v>18</v>
      </c>
      <c r="E8420" s="12" t="s">
        <v>844</v>
      </c>
      <c r="F8420" s="12" t="s">
        <v>845</v>
      </c>
      <c r="G8420" s="12" t="s">
        <v>46</v>
      </c>
      <c r="H8420" s="11" t="s">
        <v>63</v>
      </c>
      <c r="I8420" s="13" t="s">
        <v>17106</v>
      </c>
      <c r="J8420" s="14" t="str">
        <f>HYPERLINK("https://www.boe.es/gazeta/dias/1839/12/24/pdfs/GMD-1839-1871.pdf#page=3","Abrir facsímil")</f>
        <v>Abrir facsímil</v>
      </c>
      <c r="K8420" s="12" t="s">
        <v>65</v>
      </c>
    </row>
    <row r="8421" spans="1:11" ht="40.049999999999997" customHeight="1" x14ac:dyDescent="0.25">
      <c r="A8421" s="11" t="s">
        <v>17050</v>
      </c>
      <c r="B8421" s="11" t="s">
        <v>17050</v>
      </c>
      <c r="C8421" s="11" t="s">
        <v>101</v>
      </c>
      <c r="D8421" s="11" t="s">
        <v>102</v>
      </c>
      <c r="E8421" s="12" t="s">
        <v>926</v>
      </c>
      <c r="F8421" s="12" t="s">
        <v>927</v>
      </c>
      <c r="G8421" s="12" t="s">
        <v>40</v>
      </c>
      <c r="H8421" s="11" t="s">
        <v>63</v>
      </c>
      <c r="I8421" s="13" t="s">
        <v>17107</v>
      </c>
      <c r="J8421" s="14" t="str">
        <f>HYPERLINK("https://www.boe.es/gazeta/dias/1839/01/25/pdfs/GMD-1839-1532.pdf#page=2","Abrir facsímil")</f>
        <v>Abrir facsímil</v>
      </c>
      <c r="K8421" s="12" t="s">
        <v>65</v>
      </c>
    </row>
    <row r="8422" spans="1:11" ht="40.049999999999997" customHeight="1" x14ac:dyDescent="0.25">
      <c r="A8422" s="11" t="s">
        <v>17050</v>
      </c>
      <c r="B8422" s="11" t="s">
        <v>17050</v>
      </c>
      <c r="C8422" s="11" t="s">
        <v>17</v>
      </c>
      <c r="D8422" s="11" t="s">
        <v>18</v>
      </c>
      <c r="E8422" s="12" t="s">
        <v>1679</v>
      </c>
      <c r="F8422" s="12" t="s">
        <v>1680</v>
      </c>
      <c r="G8422" s="12" t="s">
        <v>40</v>
      </c>
      <c r="H8422" s="11" t="s">
        <v>63</v>
      </c>
      <c r="I8422" s="13" t="s">
        <v>17108</v>
      </c>
      <c r="J8422" s="14" t="str">
        <f>HYPERLINK("https://www.boe.es/gazeta/dias/1839/01/26/pdfs/GMD-1839-1533.pdf#page=2","Abrir facsímil")</f>
        <v>Abrir facsímil</v>
      </c>
      <c r="K8422" s="12" t="s">
        <v>65</v>
      </c>
    </row>
    <row r="8423" spans="1:11" ht="40.049999999999997" customHeight="1" x14ac:dyDescent="0.25">
      <c r="A8423" s="11" t="s">
        <v>17050</v>
      </c>
      <c r="B8423" s="11" t="s">
        <v>17050</v>
      </c>
      <c r="C8423" s="11" t="s">
        <v>17</v>
      </c>
      <c r="D8423" s="11" t="s">
        <v>18</v>
      </c>
      <c r="E8423" s="12" t="s">
        <v>1395</v>
      </c>
      <c r="F8423" s="12" t="s">
        <v>1396</v>
      </c>
      <c r="G8423" s="12" t="s">
        <v>46</v>
      </c>
      <c r="H8423" s="11" t="s">
        <v>63</v>
      </c>
      <c r="I8423" s="13" t="s">
        <v>17109</v>
      </c>
      <c r="J8423" s="14" t="str">
        <f>HYPERLINK("https://www.boe.es/gazeta/dias/1839/06/26/pdfs/GMD-1839-1684.pdf#page=3","Abrir facsímil")</f>
        <v>Abrir facsímil</v>
      </c>
      <c r="K8423" s="12" t="s">
        <v>65</v>
      </c>
    </row>
    <row r="8424" spans="1:11" ht="40.049999999999997" customHeight="1" x14ac:dyDescent="0.25">
      <c r="A8424" s="11" t="s">
        <v>17050</v>
      </c>
      <c r="B8424" s="11" t="s">
        <v>17050</v>
      </c>
      <c r="C8424" s="11" t="s">
        <v>17</v>
      </c>
      <c r="D8424" s="11" t="s">
        <v>18</v>
      </c>
      <c r="E8424" s="12" t="s">
        <v>1086</v>
      </c>
      <c r="F8424" s="12" t="s">
        <v>1087</v>
      </c>
      <c r="G8424" s="12" t="s">
        <v>21</v>
      </c>
      <c r="H8424" s="11" t="s">
        <v>63</v>
      </c>
      <c r="I8424" s="13" t="s">
        <v>17110</v>
      </c>
      <c r="J8424" s="14" t="str">
        <f>HYPERLINK("https://www.boe.es/gazeta/dias/1839/10/26/pdfs/GMD-1839-1812.pdf#page=4","Abrir facsímil")</f>
        <v>Abrir facsímil</v>
      </c>
      <c r="K8424" s="12" t="s">
        <v>65</v>
      </c>
    </row>
    <row r="8425" spans="1:11" ht="40.049999999999997" customHeight="1" x14ac:dyDescent="0.25">
      <c r="A8425" s="11" t="s">
        <v>17050</v>
      </c>
      <c r="B8425" s="11" t="s">
        <v>17050</v>
      </c>
      <c r="C8425" s="11" t="s">
        <v>59</v>
      </c>
      <c r="D8425" s="11" t="s">
        <v>60</v>
      </c>
      <c r="E8425" s="12" t="s">
        <v>668</v>
      </c>
      <c r="F8425" s="12" t="s">
        <v>669</v>
      </c>
      <c r="G8425" s="12" t="s">
        <v>29</v>
      </c>
      <c r="H8425" s="11" t="s">
        <v>63</v>
      </c>
      <c r="I8425" s="13" t="s">
        <v>17111</v>
      </c>
      <c r="J8425" s="14" t="str">
        <f>HYPERLINK("https://www.boe.es/gazeta/dias/1839/03/28/pdfs/GMD-1839-1594.pdf#page=1","Abrir facsímil")</f>
        <v>Abrir facsímil</v>
      </c>
      <c r="K8425" s="12" t="s">
        <v>65</v>
      </c>
    </row>
    <row r="8426" spans="1:11" ht="40.049999999999997" customHeight="1" x14ac:dyDescent="0.25">
      <c r="A8426" s="11" t="s">
        <v>17050</v>
      </c>
      <c r="B8426" s="11" t="s">
        <v>17050</v>
      </c>
      <c r="C8426" s="11" t="s">
        <v>17</v>
      </c>
      <c r="D8426" s="11" t="s">
        <v>18</v>
      </c>
      <c r="E8426" s="12" t="s">
        <v>677</v>
      </c>
      <c r="F8426" s="12" t="s">
        <v>678</v>
      </c>
      <c r="G8426" s="12" t="s">
        <v>29</v>
      </c>
      <c r="H8426" s="11" t="s">
        <v>63</v>
      </c>
      <c r="I8426" s="13" t="s">
        <v>17112</v>
      </c>
      <c r="J8426" s="14" t="str">
        <f>HYPERLINK("https://www.boe.es/gazeta/dias/1839/04/28/pdfs/GMD-1839-1625.pdf#page=1","Abrir facsímil")</f>
        <v>Abrir facsímil</v>
      </c>
      <c r="K8426" s="12" t="s">
        <v>65</v>
      </c>
    </row>
    <row r="8427" spans="1:11" ht="40.049999999999997" customHeight="1" x14ac:dyDescent="0.25">
      <c r="A8427" s="11" t="s">
        <v>17050</v>
      </c>
      <c r="B8427" s="11" t="s">
        <v>17050</v>
      </c>
      <c r="C8427" s="11" t="s">
        <v>80</v>
      </c>
      <c r="D8427" s="11" t="s">
        <v>18</v>
      </c>
      <c r="E8427" s="12" t="s">
        <v>862</v>
      </c>
      <c r="F8427" s="12" t="s">
        <v>863</v>
      </c>
      <c r="G8427" s="12" t="s">
        <v>29</v>
      </c>
      <c r="H8427" s="11" t="s">
        <v>63</v>
      </c>
      <c r="I8427" s="13" t="s">
        <v>17113</v>
      </c>
      <c r="J8427" s="14" t="str">
        <f>HYPERLINK("https://www.boe.es/gazeta/dias/1839/10/28/pdfs/GMD-1839-1814.pdf#page=1","Abrir facsímil")</f>
        <v>Abrir facsímil</v>
      </c>
      <c r="K8427" s="12" t="s">
        <v>65</v>
      </c>
    </row>
    <row r="8428" spans="1:11" ht="40.049999999999997" customHeight="1" x14ac:dyDescent="0.25">
      <c r="A8428" s="11" t="s">
        <v>17050</v>
      </c>
      <c r="B8428" s="11" t="s">
        <v>17050</v>
      </c>
      <c r="C8428" s="11" t="s">
        <v>17</v>
      </c>
      <c r="D8428" s="11" t="s">
        <v>18</v>
      </c>
      <c r="E8428" s="12" t="s">
        <v>862</v>
      </c>
      <c r="F8428" s="12" t="s">
        <v>863</v>
      </c>
      <c r="G8428" s="12" t="s">
        <v>40</v>
      </c>
      <c r="H8428" s="11" t="s">
        <v>63</v>
      </c>
      <c r="I8428" s="13" t="s">
        <v>17114</v>
      </c>
      <c r="J8428" s="14" t="str">
        <f>HYPERLINK("https://www.boe.es/gazeta/dias/1839/10/28/pdfs/GMD-1839-1814.pdf#page=2","Abrir facsímil")</f>
        <v>Abrir facsímil</v>
      </c>
      <c r="K8428" s="12" t="s">
        <v>65</v>
      </c>
    </row>
    <row r="8429" spans="1:11" ht="40.049999999999997" customHeight="1" x14ac:dyDescent="0.25">
      <c r="A8429" s="11" t="s">
        <v>17050</v>
      </c>
      <c r="B8429" s="11" t="s">
        <v>17050</v>
      </c>
      <c r="C8429" s="11" t="s">
        <v>137</v>
      </c>
      <c r="D8429" s="11" t="s">
        <v>18</v>
      </c>
      <c r="E8429" s="12" t="s">
        <v>489</v>
      </c>
      <c r="F8429" s="12" t="s">
        <v>490</v>
      </c>
      <c r="G8429" s="12" t="s">
        <v>29</v>
      </c>
      <c r="H8429" s="11" t="s">
        <v>63</v>
      </c>
      <c r="I8429" s="13" t="s">
        <v>17115</v>
      </c>
      <c r="J8429" s="14" t="str">
        <f>HYPERLINK("https://www.boe.es/gazeta/dias/1839/06/29/pdfs/GMD-1839-1687.pdf#page=1","Abrir facsímil")</f>
        <v>Abrir facsímil</v>
      </c>
      <c r="K8429" s="12" t="s">
        <v>65</v>
      </c>
    </row>
    <row r="8430" spans="1:11" ht="40.049999999999997" customHeight="1" x14ac:dyDescent="0.25">
      <c r="A8430" s="11" t="s">
        <v>17050</v>
      </c>
      <c r="B8430" s="11" t="s">
        <v>17050</v>
      </c>
      <c r="C8430" s="11" t="s">
        <v>137</v>
      </c>
      <c r="D8430" s="11" t="s">
        <v>18</v>
      </c>
      <c r="E8430" s="12" t="s">
        <v>1867</v>
      </c>
      <c r="F8430" s="12" t="s">
        <v>1868</v>
      </c>
      <c r="G8430" s="12" t="s">
        <v>40</v>
      </c>
      <c r="H8430" s="11" t="s">
        <v>63</v>
      </c>
      <c r="I8430" s="13" t="s">
        <v>17116</v>
      </c>
      <c r="J8430" s="14" t="str">
        <f>HYPERLINK("https://www.boe.es/gazeta/dias/1839/01/30/pdfs/GMD-1839-1537.pdf#page=2","Abrir facsímil")</f>
        <v>Abrir facsímil</v>
      </c>
      <c r="K8430" s="12" t="s">
        <v>65</v>
      </c>
    </row>
    <row r="8431" spans="1:11" ht="40.049999999999997" customHeight="1" x14ac:dyDescent="0.25">
      <c r="A8431" s="11" t="s">
        <v>17050</v>
      </c>
      <c r="B8431" s="11" t="s">
        <v>17050</v>
      </c>
      <c r="C8431" s="11" t="s">
        <v>17</v>
      </c>
      <c r="D8431" s="11" t="s">
        <v>18</v>
      </c>
      <c r="E8431" s="12" t="s">
        <v>929</v>
      </c>
      <c r="F8431" s="12" t="s">
        <v>930</v>
      </c>
      <c r="G8431" s="12" t="s">
        <v>29</v>
      </c>
      <c r="H8431" s="11" t="s">
        <v>63</v>
      </c>
      <c r="I8431" s="13" t="s">
        <v>17117</v>
      </c>
      <c r="J8431" s="14" t="str">
        <f>HYPERLINK("https://www.boe.es/gazeta/dias/1839/01/31/pdfs/GMD-1839-1538.pdf#page=1","Abrir facsímil")</f>
        <v>Abrir facsímil</v>
      </c>
      <c r="K8431" s="12" t="s">
        <v>65</v>
      </c>
    </row>
    <row r="8432" spans="1:11" ht="40.049999999999997" customHeight="1" x14ac:dyDescent="0.25">
      <c r="A8432" s="11" t="s">
        <v>17050</v>
      </c>
      <c r="B8432" s="11" t="s">
        <v>17050</v>
      </c>
      <c r="C8432" s="11" t="s">
        <v>137</v>
      </c>
      <c r="D8432" s="11" t="s">
        <v>18</v>
      </c>
      <c r="E8432" s="12" t="s">
        <v>653</v>
      </c>
      <c r="F8432" s="12" t="s">
        <v>654</v>
      </c>
      <c r="G8432" s="12" t="s">
        <v>40</v>
      </c>
      <c r="H8432" s="11" t="s">
        <v>63</v>
      </c>
      <c r="I8432" s="13" t="s">
        <v>17118</v>
      </c>
      <c r="J8432" s="14" t="str">
        <f>HYPERLINK("https://www.boe.es/gazeta/dias/1839/10/31/pdfs/GMD-1839-1817.pdf#page=2","Abrir facsímil")</f>
        <v>Abrir facsímil</v>
      </c>
      <c r="K8432" s="12" t="s">
        <v>65</v>
      </c>
    </row>
    <row r="8433" spans="1:11" ht="40.049999999999997" customHeight="1" x14ac:dyDescent="0.25">
      <c r="A8433" s="11" t="s">
        <v>17050</v>
      </c>
      <c r="B8433" s="11" t="s">
        <v>17050</v>
      </c>
      <c r="C8433" s="11" t="s">
        <v>17</v>
      </c>
      <c r="D8433" s="11" t="s">
        <v>18</v>
      </c>
      <c r="E8433" s="12" t="s">
        <v>3391</v>
      </c>
      <c r="F8433" s="12" t="s">
        <v>3392</v>
      </c>
      <c r="G8433" s="12" t="s">
        <v>46</v>
      </c>
      <c r="H8433" s="11" t="s">
        <v>63</v>
      </c>
      <c r="I8433" s="13" t="s">
        <v>17119</v>
      </c>
      <c r="J8433" s="14" t="str">
        <f>HYPERLINK("https://www.boe.es/gazeta/dias/1839/12/31/pdfs/GMD-1839-1878.pdf#page=3","Abrir facsímil")</f>
        <v>Abrir facsímil</v>
      </c>
      <c r="K8433" s="12" t="s">
        <v>65</v>
      </c>
    </row>
    <row r="8434" spans="1:11" ht="40.049999999999997" customHeight="1" x14ac:dyDescent="0.25">
      <c r="A8434" s="11" t="s">
        <v>17120</v>
      </c>
      <c r="B8434" s="11" t="s">
        <v>17121</v>
      </c>
      <c r="C8434" s="11" t="s">
        <v>17</v>
      </c>
      <c r="D8434" s="11" t="s">
        <v>18</v>
      </c>
      <c r="E8434" s="12" t="s">
        <v>312</v>
      </c>
      <c r="F8434" s="12" t="s">
        <v>313</v>
      </c>
      <c r="G8434" s="12" t="s">
        <v>40</v>
      </c>
      <c r="H8434" s="11" t="s">
        <v>63</v>
      </c>
      <c r="I8434" s="13" t="s">
        <v>17122</v>
      </c>
      <c r="J8434" s="14" t="str">
        <f>HYPERLINK("https://www.boe.es/gazeta/dias/1839/11/30/pdfs/GMD-1839-1847.pdf#page=2","Abrir facsímil")</f>
        <v>Abrir facsímil</v>
      </c>
      <c r="K8434" s="12" t="s">
        <v>65</v>
      </c>
    </row>
    <row r="8435" spans="1:11" ht="40.049999999999997" customHeight="1" x14ac:dyDescent="0.25">
      <c r="A8435" s="11" t="s">
        <v>17123</v>
      </c>
      <c r="B8435" s="11" t="s">
        <v>17123</v>
      </c>
      <c r="C8435" s="11" t="s">
        <v>17</v>
      </c>
      <c r="D8435" s="11" t="s">
        <v>18</v>
      </c>
      <c r="E8435" s="12" t="s">
        <v>2227</v>
      </c>
      <c r="F8435" s="12" t="s">
        <v>2228</v>
      </c>
      <c r="G8435" s="12" t="s">
        <v>29</v>
      </c>
      <c r="H8435" s="11" t="s">
        <v>63</v>
      </c>
      <c r="I8435" s="13" t="s">
        <v>17124</v>
      </c>
      <c r="J8435" s="14" t="str">
        <f>HYPERLINK("https://www.boe.es/gazeta/dias/1839/12/04/pdfs/GMD-1839-1851.pdf#page=1","Abrir facsímil")</f>
        <v>Abrir facsímil</v>
      </c>
      <c r="K8435" s="12" t="s">
        <v>65</v>
      </c>
    </row>
    <row r="8436" spans="1:11" ht="40.049999999999997" customHeight="1" x14ac:dyDescent="0.25">
      <c r="A8436" s="11" t="s">
        <v>17125</v>
      </c>
      <c r="B8436" s="11" t="s">
        <v>17125</v>
      </c>
      <c r="C8436" s="11" t="s">
        <v>17</v>
      </c>
      <c r="D8436" s="11" t="s">
        <v>18</v>
      </c>
      <c r="E8436" s="12" t="s">
        <v>89</v>
      </c>
      <c r="F8436" s="12" t="s">
        <v>90</v>
      </c>
      <c r="G8436" s="12" t="s">
        <v>29</v>
      </c>
      <c r="H8436" s="11" t="s">
        <v>63</v>
      </c>
      <c r="I8436" s="13" t="s">
        <v>17126</v>
      </c>
      <c r="J8436" s="14" t="str">
        <f>HYPERLINK("https://www.boe.es/gazeta/dias/1839/11/28/pdfs/GMD-1839-1845.pdf#page=1","Abrir facsímil")</f>
        <v>Abrir facsímil</v>
      </c>
      <c r="K8436" s="12" t="s">
        <v>65</v>
      </c>
    </row>
    <row r="8437" spans="1:11" ht="40.049999999999997" customHeight="1" x14ac:dyDescent="0.25">
      <c r="A8437" s="11" t="s">
        <v>17127</v>
      </c>
      <c r="B8437" s="11" t="s">
        <v>17127</v>
      </c>
      <c r="C8437" s="11" t="s">
        <v>17</v>
      </c>
      <c r="D8437" s="11" t="s">
        <v>18</v>
      </c>
      <c r="E8437" s="12" t="s">
        <v>141</v>
      </c>
      <c r="F8437" s="12" t="s">
        <v>142</v>
      </c>
      <c r="G8437" s="12" t="s">
        <v>46</v>
      </c>
      <c r="H8437" s="11" t="s">
        <v>63</v>
      </c>
      <c r="I8437" s="13" t="s">
        <v>17128</v>
      </c>
      <c r="J8437" s="14" t="str">
        <f>HYPERLINK("https://www.boe.es/gazeta/dias/1839/11/10/pdfs/GMD-1839-1827.pdf#page=3","Abrir facsímil")</f>
        <v>Abrir facsímil</v>
      </c>
      <c r="K8437" s="12" t="s">
        <v>65</v>
      </c>
    </row>
    <row r="8438" spans="1:11" ht="40.049999999999997" customHeight="1" x14ac:dyDescent="0.25">
      <c r="A8438" s="11" t="s">
        <v>17129</v>
      </c>
      <c r="B8438" s="11" t="s">
        <v>17129</v>
      </c>
      <c r="C8438" s="11" t="s">
        <v>80</v>
      </c>
      <c r="D8438" s="11" t="s">
        <v>18</v>
      </c>
      <c r="E8438" s="12" t="s">
        <v>1606</v>
      </c>
      <c r="F8438" s="12" t="s">
        <v>1607</v>
      </c>
      <c r="G8438" s="12" t="s">
        <v>46</v>
      </c>
      <c r="H8438" s="11" t="s">
        <v>63</v>
      </c>
      <c r="I8438" s="13" t="s">
        <v>17130</v>
      </c>
      <c r="J8438" s="14" t="str">
        <f>HYPERLINK("https://www.boe.es/gazeta/dias/1839/07/02/pdfs/GMD-1839-1690.pdf#page=3","Abrir facsímil")</f>
        <v>Abrir facsímil</v>
      </c>
      <c r="K8438" s="12" t="s">
        <v>65</v>
      </c>
    </row>
    <row r="8439" spans="1:11" ht="40.049999999999997" customHeight="1" x14ac:dyDescent="0.25">
      <c r="A8439" s="11" t="s">
        <v>17131</v>
      </c>
      <c r="B8439" s="11" t="s">
        <v>17131</v>
      </c>
      <c r="C8439" s="11" t="s">
        <v>137</v>
      </c>
      <c r="D8439" s="11" t="s">
        <v>18</v>
      </c>
      <c r="E8439" s="12" t="s">
        <v>2463</v>
      </c>
      <c r="F8439" s="12" t="s">
        <v>2464</v>
      </c>
      <c r="G8439" s="12" t="s">
        <v>29</v>
      </c>
      <c r="H8439" s="11" t="s">
        <v>63</v>
      </c>
      <c r="I8439" s="13" t="s">
        <v>17132</v>
      </c>
      <c r="J8439" s="14" t="str">
        <f>HYPERLINK("https://www.boe.es/gazeta/dias/1839/04/26/pdfs/GMD-1839-1623.pdf#page=1","Abrir facsímil")</f>
        <v>Abrir facsímil</v>
      </c>
      <c r="K8439" s="12" t="s">
        <v>65</v>
      </c>
    </row>
    <row r="8440" spans="1:11" ht="40.049999999999997" customHeight="1" x14ac:dyDescent="0.25">
      <c r="A8440" s="11" t="s">
        <v>17133</v>
      </c>
      <c r="B8440" s="11" t="s">
        <v>17133</v>
      </c>
      <c r="C8440" s="11" t="s">
        <v>80</v>
      </c>
      <c r="D8440" s="11" t="s">
        <v>18</v>
      </c>
      <c r="E8440" s="12" t="s">
        <v>405</v>
      </c>
      <c r="F8440" s="12" t="s">
        <v>406</v>
      </c>
      <c r="G8440" s="12" t="s">
        <v>40</v>
      </c>
      <c r="H8440" s="11" t="s">
        <v>63</v>
      </c>
      <c r="I8440" s="13" t="s">
        <v>17134</v>
      </c>
      <c r="J8440" s="14" t="str">
        <f>HYPERLINK("https://www.boe.es/gazeta/dias/1839/03/25/pdfs/GMD-1839-1591.pdf#page=2","Abrir facsímil")</f>
        <v>Abrir facsímil</v>
      </c>
      <c r="K8440" s="12" t="s">
        <v>65</v>
      </c>
    </row>
    <row r="8441" spans="1:11" ht="40.049999999999997" customHeight="1" x14ac:dyDescent="0.25">
      <c r="A8441" s="11" t="s">
        <v>17135</v>
      </c>
      <c r="B8441" s="11" t="s">
        <v>17135</v>
      </c>
      <c r="C8441" s="11" t="s">
        <v>17</v>
      </c>
      <c r="D8441" s="11" t="s">
        <v>18</v>
      </c>
      <c r="E8441" s="12" t="s">
        <v>1679</v>
      </c>
      <c r="F8441" s="12" t="s">
        <v>1680</v>
      </c>
      <c r="G8441" s="12" t="s">
        <v>40</v>
      </c>
      <c r="H8441" s="11" t="s">
        <v>22</v>
      </c>
      <c r="I8441" s="13" t="s">
        <v>17136</v>
      </c>
      <c r="J8441" s="14" t="str">
        <f>HYPERLINK("https://www.boe.es/gazeta/dias/1839/01/26/pdfs/GMD-1839-1533.pdf#page=2","Abrir facsímil")</f>
        <v>Abrir facsímil</v>
      </c>
      <c r="K8441" s="12" t="s">
        <v>24</v>
      </c>
    </row>
    <row r="8442" spans="1:11" ht="40.049999999999997" customHeight="1" x14ac:dyDescent="0.25">
      <c r="A8442" s="11" t="s">
        <v>17137</v>
      </c>
      <c r="B8442" s="11" t="s">
        <v>17137</v>
      </c>
      <c r="C8442" s="11" t="s">
        <v>17</v>
      </c>
      <c r="D8442" s="11" t="s">
        <v>43</v>
      </c>
      <c r="E8442" s="12" t="s">
        <v>946</v>
      </c>
      <c r="F8442" s="12" t="s">
        <v>947</v>
      </c>
      <c r="G8442" s="12" t="s">
        <v>21</v>
      </c>
      <c r="H8442" s="11" t="s">
        <v>63</v>
      </c>
      <c r="I8442" s="13" t="s">
        <v>17138</v>
      </c>
      <c r="J8442" s="14" t="str">
        <f>HYPERLINK("https://www.boe.es/gazeta/dias/1839/04/15/pdfs/GMD-1839-1612.pdf#page=4","Abrir facsímil")</f>
        <v>Abrir facsímil</v>
      </c>
      <c r="K8442" s="12" t="s">
        <v>65</v>
      </c>
    </row>
    <row r="8443" spans="1:11" ht="40.049999999999997" customHeight="1" x14ac:dyDescent="0.25">
      <c r="A8443" s="11" t="s">
        <v>17139</v>
      </c>
      <c r="B8443" s="11" t="s">
        <v>17139</v>
      </c>
      <c r="C8443" s="11" t="s">
        <v>101</v>
      </c>
      <c r="D8443" s="11" t="s">
        <v>102</v>
      </c>
      <c r="E8443" s="12" t="s">
        <v>892</v>
      </c>
      <c r="F8443" s="12" t="s">
        <v>893</v>
      </c>
      <c r="G8443" s="12" t="s">
        <v>40</v>
      </c>
      <c r="H8443" s="11" t="s">
        <v>63</v>
      </c>
      <c r="I8443" s="13" t="s">
        <v>17140</v>
      </c>
      <c r="J8443" s="14" t="str">
        <f>HYPERLINK("https://www.boe.es/gazeta/dias/1839/12/28/pdfs/GMD-1839-1875.pdf#page=2","Abrir facsímil")</f>
        <v>Abrir facsímil</v>
      </c>
      <c r="K8443" s="12" t="s">
        <v>65</v>
      </c>
    </row>
    <row r="8444" spans="1:11" ht="40.049999999999997" customHeight="1" x14ac:dyDescent="0.25">
      <c r="A8444" s="11" t="s">
        <v>17141</v>
      </c>
      <c r="B8444" s="11" t="s">
        <v>17142</v>
      </c>
      <c r="C8444" s="11" t="s">
        <v>137</v>
      </c>
      <c r="D8444" s="11" t="s">
        <v>18</v>
      </c>
      <c r="E8444" s="12" t="s">
        <v>5138</v>
      </c>
      <c r="F8444" s="12" t="s">
        <v>5139</v>
      </c>
      <c r="G8444" s="12" t="s">
        <v>21</v>
      </c>
      <c r="H8444" s="11" t="s">
        <v>63</v>
      </c>
      <c r="I8444" s="13" t="s">
        <v>17143</v>
      </c>
      <c r="J8444" s="14" t="str">
        <f>HYPERLINK("https://www.boe.es/gazeta/dias/1839/08/15/pdfs/GMD-1839-1735.pdf#page=4","Abrir facsímil")</f>
        <v>Abrir facsímil</v>
      </c>
      <c r="K8444" s="12" t="s">
        <v>65</v>
      </c>
    </row>
    <row r="8445" spans="1:11" ht="40.049999999999997" customHeight="1" x14ac:dyDescent="0.25">
      <c r="A8445" s="11" t="s">
        <v>17144</v>
      </c>
      <c r="B8445" s="11" t="s">
        <v>17144</v>
      </c>
      <c r="C8445" s="11" t="s">
        <v>17</v>
      </c>
      <c r="D8445" s="11" t="s">
        <v>18</v>
      </c>
      <c r="E8445" s="12" t="s">
        <v>1460</v>
      </c>
      <c r="F8445" s="12" t="s">
        <v>1461</v>
      </c>
      <c r="G8445" s="12" t="s">
        <v>29</v>
      </c>
      <c r="H8445" s="11" t="s">
        <v>63</v>
      </c>
      <c r="I8445" s="13" t="s">
        <v>17145</v>
      </c>
      <c r="J8445" s="14" t="str">
        <f>HYPERLINK("https://www.boe.es/gazeta/dias/1839/03/01/pdfs/GMD-1839-1567.pdf#page=1","Abrir facsímil")</f>
        <v>Abrir facsímil</v>
      </c>
      <c r="K8445" s="12" t="s">
        <v>65</v>
      </c>
    </row>
    <row r="8446" spans="1:11" ht="40.049999999999997" customHeight="1" x14ac:dyDescent="0.25">
      <c r="A8446" s="11" t="s">
        <v>17146</v>
      </c>
      <c r="B8446" s="11" t="s">
        <v>17147</v>
      </c>
      <c r="C8446" s="11" t="s">
        <v>101</v>
      </c>
      <c r="D8446" s="11" t="s">
        <v>102</v>
      </c>
      <c r="E8446" s="12" t="s">
        <v>1356</v>
      </c>
      <c r="F8446" s="12" t="s">
        <v>1357</v>
      </c>
      <c r="G8446" s="12" t="s">
        <v>40</v>
      </c>
      <c r="H8446" s="11" t="s">
        <v>63</v>
      </c>
      <c r="I8446" s="13" t="s">
        <v>17148</v>
      </c>
      <c r="J8446" s="14" t="str">
        <f>HYPERLINK("https://www.boe.es/gazeta/dias/1839/06/05/pdfs/GMD-1839-1663.pdf#page=2","Abrir facsímil")</f>
        <v>Abrir facsímil</v>
      </c>
      <c r="K8446" s="12" t="s">
        <v>65</v>
      </c>
    </row>
    <row r="8447" spans="1:11" ht="40.049999999999997" customHeight="1" x14ac:dyDescent="0.25">
      <c r="A8447" s="11" t="s">
        <v>17149</v>
      </c>
      <c r="B8447" s="11" t="s">
        <v>17149</v>
      </c>
      <c r="C8447" s="11" t="s">
        <v>80</v>
      </c>
      <c r="D8447" s="11" t="s">
        <v>18</v>
      </c>
      <c r="E8447" s="12" t="s">
        <v>1672</v>
      </c>
      <c r="F8447" s="12" t="s">
        <v>1673</v>
      </c>
      <c r="G8447" s="12" t="s">
        <v>40</v>
      </c>
      <c r="H8447" s="11" t="s">
        <v>63</v>
      </c>
      <c r="I8447" s="13" t="s">
        <v>17150</v>
      </c>
      <c r="J8447" s="14" t="str">
        <f>HYPERLINK("https://www.boe.es/gazeta/dias/1839/08/24/pdfs/GMD-1839-1745.pdf#page=2","Abrir facsímil")</f>
        <v>Abrir facsímil</v>
      </c>
      <c r="K8447" s="12" t="s">
        <v>65</v>
      </c>
    </row>
    <row r="8448" spans="1:11" ht="40.049999999999997" customHeight="1" x14ac:dyDescent="0.25">
      <c r="A8448" s="11" t="s">
        <v>17151</v>
      </c>
      <c r="B8448" s="11" t="s">
        <v>17151</v>
      </c>
      <c r="C8448" s="11" t="s">
        <v>17</v>
      </c>
      <c r="D8448" s="11" t="s">
        <v>18</v>
      </c>
      <c r="E8448" s="12" t="s">
        <v>984</v>
      </c>
      <c r="F8448" s="12" t="s">
        <v>985</v>
      </c>
      <c r="G8448" s="12" t="s">
        <v>40</v>
      </c>
      <c r="H8448" s="11" t="s">
        <v>63</v>
      </c>
      <c r="I8448" s="13" t="s">
        <v>17152</v>
      </c>
      <c r="J8448" s="14" t="str">
        <f>HYPERLINK("https://www.boe.es/gazeta/dias/1839/04/10/pdfs/GMD-1839-1607.pdf#page=2","Abrir facsímil")</f>
        <v>Abrir facsímil</v>
      </c>
      <c r="K8448" s="12" t="s">
        <v>65</v>
      </c>
    </row>
    <row r="8449" spans="1:11" ht="40.049999999999997" customHeight="1" x14ac:dyDescent="0.25">
      <c r="A8449" s="11" t="s">
        <v>17153</v>
      </c>
      <c r="B8449" s="11" t="s">
        <v>17153</v>
      </c>
      <c r="C8449" s="11" t="s">
        <v>80</v>
      </c>
      <c r="D8449" s="11" t="s">
        <v>18</v>
      </c>
      <c r="E8449" s="12" t="s">
        <v>2881</v>
      </c>
      <c r="F8449" s="12" t="s">
        <v>2882</v>
      </c>
      <c r="G8449" s="12" t="s">
        <v>21</v>
      </c>
      <c r="H8449" s="11" t="s">
        <v>22</v>
      </c>
      <c r="I8449" s="13" t="s">
        <v>17154</v>
      </c>
      <c r="J8449" s="14" t="str">
        <f>HYPERLINK("https://www.boe.es/gazeta/dias/1839/05/08/pdfs/GMD-1839-1635.pdf#page=4","Abrir facsímil")</f>
        <v>Abrir facsímil</v>
      </c>
      <c r="K8449" s="12" t="s">
        <v>24</v>
      </c>
    </row>
    <row r="8450" spans="1:11" ht="40.049999999999997" customHeight="1" x14ac:dyDescent="0.25">
      <c r="A8450" s="11" t="s">
        <v>17153</v>
      </c>
      <c r="B8450" s="11" t="s">
        <v>17153</v>
      </c>
      <c r="C8450" s="11" t="s">
        <v>80</v>
      </c>
      <c r="D8450" s="11" t="s">
        <v>18</v>
      </c>
      <c r="E8450" s="12" t="s">
        <v>992</v>
      </c>
      <c r="F8450" s="12" t="s">
        <v>993</v>
      </c>
      <c r="G8450" s="12" t="s">
        <v>21</v>
      </c>
      <c r="H8450" s="11" t="s">
        <v>22</v>
      </c>
      <c r="I8450" s="13" t="s">
        <v>17155</v>
      </c>
      <c r="J8450" s="14" t="str">
        <f>HYPERLINK("https://www.boe.es/gazeta/dias/1839/02/18/pdfs/GMD-1839-1556.pdf#page=4","Abrir facsímil")</f>
        <v>Abrir facsímil</v>
      </c>
      <c r="K8450" s="12" t="s">
        <v>24</v>
      </c>
    </row>
    <row r="8451" spans="1:11" ht="40.049999999999997" customHeight="1" x14ac:dyDescent="0.25">
      <c r="A8451" s="11" t="s">
        <v>17156</v>
      </c>
      <c r="B8451" s="11" t="s">
        <v>17157</v>
      </c>
      <c r="C8451" s="11" t="s">
        <v>17</v>
      </c>
      <c r="D8451" s="11" t="s">
        <v>18</v>
      </c>
      <c r="E8451" s="12" t="s">
        <v>1310</v>
      </c>
      <c r="F8451" s="12" t="s">
        <v>1311</v>
      </c>
      <c r="G8451" s="12" t="s">
        <v>46</v>
      </c>
      <c r="H8451" s="11" t="s">
        <v>63</v>
      </c>
      <c r="I8451" s="13" t="s">
        <v>17158</v>
      </c>
      <c r="J8451" s="14" t="str">
        <f>HYPERLINK("https://www.boe.es/gazeta/dias/1839/04/23/pdfs/GMD-1839-1620.pdf#page=3","Abrir facsímil")</f>
        <v>Abrir facsímil</v>
      </c>
      <c r="K8451" s="12" t="s">
        <v>65</v>
      </c>
    </row>
    <row r="8452" spans="1:11" ht="40.049999999999997" customHeight="1" x14ac:dyDescent="0.25">
      <c r="A8452" s="11" t="s">
        <v>17159</v>
      </c>
      <c r="B8452" s="11" t="s">
        <v>17159</v>
      </c>
      <c r="C8452" s="11" t="s">
        <v>17</v>
      </c>
      <c r="D8452" s="11" t="s">
        <v>18</v>
      </c>
      <c r="E8452" s="12" t="s">
        <v>1614</v>
      </c>
      <c r="F8452" s="12" t="s">
        <v>1615</v>
      </c>
      <c r="G8452" s="12" t="s">
        <v>46</v>
      </c>
      <c r="H8452" s="11" t="s">
        <v>63</v>
      </c>
      <c r="I8452" s="13" t="s">
        <v>17160</v>
      </c>
      <c r="J8452" s="14" t="str">
        <f>HYPERLINK("https://www.boe.es/gazeta/dias/1839/07/03/pdfs/GMD-1839-1691.pdf#page=3","Abrir facsímil")</f>
        <v>Abrir facsímil</v>
      </c>
      <c r="K8452" s="12" t="s">
        <v>65</v>
      </c>
    </row>
    <row r="8453" spans="1:11" ht="40.049999999999997" customHeight="1" x14ac:dyDescent="0.25">
      <c r="A8453" s="11" t="s">
        <v>17161</v>
      </c>
      <c r="B8453" s="11" t="s">
        <v>17161</v>
      </c>
      <c r="C8453" s="11" t="s">
        <v>59</v>
      </c>
      <c r="D8453" s="11" t="s">
        <v>60</v>
      </c>
      <c r="E8453" s="12" t="s">
        <v>1332</v>
      </c>
      <c r="F8453" s="12" t="s">
        <v>1333</v>
      </c>
      <c r="G8453" s="12" t="s">
        <v>40</v>
      </c>
      <c r="H8453" s="11" t="s">
        <v>63</v>
      </c>
      <c r="I8453" s="13" t="s">
        <v>17162</v>
      </c>
      <c r="J8453" s="14" t="str">
        <f>HYPERLINK("https://www.boe.es/gazeta/dias/1839/05/04/pdfs/GMD-1839-1631.pdf#page=2","Abrir facsímil")</f>
        <v>Abrir facsímil</v>
      </c>
      <c r="K8453" s="12" t="s">
        <v>65</v>
      </c>
    </row>
    <row r="8454" spans="1:11" ht="40.049999999999997" customHeight="1" x14ac:dyDescent="0.25">
      <c r="A8454" s="11" t="s">
        <v>17161</v>
      </c>
      <c r="B8454" s="11" t="s">
        <v>17161</v>
      </c>
      <c r="C8454" s="11" t="s">
        <v>137</v>
      </c>
      <c r="D8454" s="11" t="s">
        <v>18</v>
      </c>
      <c r="E8454" s="12" t="s">
        <v>834</v>
      </c>
      <c r="F8454" s="12" t="s">
        <v>835</v>
      </c>
      <c r="G8454" s="12" t="s">
        <v>40</v>
      </c>
      <c r="H8454" s="11" t="s">
        <v>63</v>
      </c>
      <c r="I8454" s="13" t="s">
        <v>17163</v>
      </c>
      <c r="J8454" s="14" t="str">
        <f>HYPERLINK("https://www.boe.es/gazeta/dias/1839/08/17/pdfs/GMD-1839-1737.pdf#page=2","Abrir facsímil")</f>
        <v>Abrir facsímil</v>
      </c>
      <c r="K8454" s="12" t="s">
        <v>65</v>
      </c>
    </row>
    <row r="8455" spans="1:11" ht="40.049999999999997" customHeight="1" x14ac:dyDescent="0.25">
      <c r="A8455" s="11" t="s">
        <v>17161</v>
      </c>
      <c r="B8455" s="11" t="s">
        <v>17161</v>
      </c>
      <c r="C8455" s="11" t="s">
        <v>80</v>
      </c>
      <c r="D8455" s="11" t="s">
        <v>18</v>
      </c>
      <c r="E8455" s="12" t="s">
        <v>1672</v>
      </c>
      <c r="F8455" s="12" t="s">
        <v>1673</v>
      </c>
      <c r="G8455" s="12" t="s">
        <v>29</v>
      </c>
      <c r="H8455" s="11" t="s">
        <v>63</v>
      </c>
      <c r="I8455" s="13" t="s">
        <v>17164</v>
      </c>
      <c r="J8455" s="14" t="str">
        <f>HYPERLINK("https://www.boe.es/gazeta/dias/1839/08/24/pdfs/GMD-1839-1745.pdf#page=1","Abrir facsímil")</f>
        <v>Abrir facsímil</v>
      </c>
      <c r="K8455" s="12" t="s">
        <v>65</v>
      </c>
    </row>
    <row r="8456" spans="1:11" ht="40.049999999999997" customHeight="1" x14ac:dyDescent="0.25">
      <c r="A8456" s="11" t="s">
        <v>17165</v>
      </c>
      <c r="B8456" s="11" t="s">
        <v>17165</v>
      </c>
      <c r="C8456" s="11" t="s">
        <v>17</v>
      </c>
      <c r="D8456" s="11" t="s">
        <v>18</v>
      </c>
      <c r="E8456" s="12" t="s">
        <v>192</v>
      </c>
      <c r="F8456" s="12" t="s">
        <v>193</v>
      </c>
      <c r="G8456" s="12" t="s">
        <v>46</v>
      </c>
      <c r="H8456" s="11" t="s">
        <v>63</v>
      </c>
      <c r="I8456" s="13" t="s">
        <v>17166</v>
      </c>
      <c r="J8456" s="14" t="str">
        <f>HYPERLINK("https://www.boe.es/gazeta/dias/1839/01/12/pdfs/GMD-1839-1519.pdf#page=3","Abrir facsímil")</f>
        <v>Abrir facsímil</v>
      </c>
      <c r="K8456" s="12" t="s">
        <v>65</v>
      </c>
    </row>
    <row r="8457" spans="1:11" ht="40.049999999999997" customHeight="1" x14ac:dyDescent="0.25">
      <c r="A8457" s="11" t="s">
        <v>17167</v>
      </c>
      <c r="B8457" s="11" t="s">
        <v>17167</v>
      </c>
      <c r="C8457" s="11" t="s">
        <v>17</v>
      </c>
      <c r="D8457" s="11" t="s">
        <v>18</v>
      </c>
      <c r="E8457" s="12" t="s">
        <v>1663</v>
      </c>
      <c r="F8457" s="12" t="s">
        <v>1664</v>
      </c>
      <c r="G8457" s="12" t="s">
        <v>40</v>
      </c>
      <c r="H8457" s="11" t="s">
        <v>63</v>
      </c>
      <c r="I8457" s="13" t="s">
        <v>17168</v>
      </c>
      <c r="J8457" s="14" t="str">
        <f>HYPERLINK("https://www.boe.es/gazeta/dias/1839/03/22/pdfs/GMD-1839-1588.pdf#page=2","Abrir facsímil")</f>
        <v>Abrir facsímil</v>
      </c>
      <c r="K8457" s="12" t="s">
        <v>65</v>
      </c>
    </row>
    <row r="8458" spans="1:11" ht="40.049999999999997" customHeight="1" x14ac:dyDescent="0.25">
      <c r="A8458" s="11" t="s">
        <v>17169</v>
      </c>
      <c r="B8458" s="11" t="s">
        <v>17169</v>
      </c>
      <c r="C8458" s="11" t="s">
        <v>17</v>
      </c>
      <c r="D8458" s="11" t="s">
        <v>18</v>
      </c>
      <c r="E8458" s="12" t="s">
        <v>141</v>
      </c>
      <c r="F8458" s="12" t="s">
        <v>142</v>
      </c>
      <c r="G8458" s="12" t="s">
        <v>46</v>
      </c>
      <c r="H8458" s="11" t="s">
        <v>63</v>
      </c>
      <c r="I8458" s="13" t="s">
        <v>17170</v>
      </c>
      <c r="J8458" s="14" t="str">
        <f>HYPERLINK("https://www.boe.es/gazeta/dias/1839/11/10/pdfs/GMD-1839-1827.pdf#page=3","Abrir facsímil")</f>
        <v>Abrir facsímil</v>
      </c>
      <c r="K8458" s="12" t="s">
        <v>65</v>
      </c>
    </row>
    <row r="8459" spans="1:11" ht="40.049999999999997" customHeight="1" x14ac:dyDescent="0.25">
      <c r="A8459" s="11" t="s">
        <v>17171</v>
      </c>
      <c r="B8459" s="11" t="s">
        <v>17171</v>
      </c>
      <c r="C8459" s="11" t="s">
        <v>17</v>
      </c>
      <c r="D8459" s="11" t="s">
        <v>18</v>
      </c>
      <c r="E8459" s="12" t="s">
        <v>4550</v>
      </c>
      <c r="F8459" s="12" t="s">
        <v>4551</v>
      </c>
      <c r="G8459" s="12" t="s">
        <v>46</v>
      </c>
      <c r="H8459" s="11" t="s">
        <v>63</v>
      </c>
      <c r="I8459" s="13" t="s">
        <v>17172</v>
      </c>
      <c r="J8459" s="14" t="str">
        <f>HYPERLINK("https://www.boe.es/gazeta/dias/1839/04/17/pdfs/GMD-1839-1614.pdf#page=3","Abrir facsímil")</f>
        <v>Abrir facsímil</v>
      </c>
      <c r="K8459" s="12" t="s">
        <v>65</v>
      </c>
    </row>
    <row r="8460" spans="1:11" ht="40.049999999999997" customHeight="1" x14ac:dyDescent="0.25">
      <c r="A8460" s="11" t="s">
        <v>17171</v>
      </c>
      <c r="B8460" s="11" t="s">
        <v>17171</v>
      </c>
      <c r="C8460" s="11" t="s">
        <v>17</v>
      </c>
      <c r="D8460" s="11" t="s">
        <v>18</v>
      </c>
      <c r="E8460" s="12" t="s">
        <v>1663</v>
      </c>
      <c r="F8460" s="12" t="s">
        <v>1664</v>
      </c>
      <c r="G8460" s="12" t="s">
        <v>40</v>
      </c>
      <c r="H8460" s="11" t="s">
        <v>63</v>
      </c>
      <c r="I8460" s="13" t="s">
        <v>17173</v>
      </c>
      <c r="J8460" s="14" t="str">
        <f>HYPERLINK("https://www.boe.es/gazeta/dias/1839/03/22/pdfs/GMD-1839-1588.pdf#page=2","Abrir facsímil")</f>
        <v>Abrir facsímil</v>
      </c>
      <c r="K8460" s="12" t="s">
        <v>65</v>
      </c>
    </row>
    <row r="8461" spans="1:11" ht="40.049999999999997" customHeight="1" x14ac:dyDescent="0.25">
      <c r="A8461" s="11" t="s">
        <v>17174</v>
      </c>
      <c r="B8461" s="11" t="s">
        <v>17175</v>
      </c>
      <c r="C8461" s="11" t="s">
        <v>101</v>
      </c>
      <c r="D8461" s="11" t="s">
        <v>102</v>
      </c>
      <c r="E8461" s="12" t="s">
        <v>141</v>
      </c>
      <c r="F8461" s="12" t="s">
        <v>142</v>
      </c>
      <c r="G8461" s="12" t="s">
        <v>21</v>
      </c>
      <c r="H8461" s="11" t="s">
        <v>63</v>
      </c>
      <c r="I8461" s="13" t="s">
        <v>17176</v>
      </c>
      <c r="J8461" s="14" t="str">
        <f>HYPERLINK("https://www.boe.es/gazeta/dias/1839/11/10/pdfs/GMD-1839-1827.pdf#page=4","Abrir facsímil")</f>
        <v>Abrir facsímil</v>
      </c>
      <c r="K8461" s="12" t="s">
        <v>65</v>
      </c>
    </row>
    <row r="8462" spans="1:11" ht="40.049999999999997" customHeight="1" x14ac:dyDescent="0.25">
      <c r="A8462" s="11" t="s">
        <v>17174</v>
      </c>
      <c r="B8462" s="11" t="s">
        <v>17175</v>
      </c>
      <c r="C8462" s="11" t="s">
        <v>137</v>
      </c>
      <c r="D8462" s="11" t="s">
        <v>18</v>
      </c>
      <c r="E8462" s="12" t="s">
        <v>2919</v>
      </c>
      <c r="F8462" s="12" t="s">
        <v>2920</v>
      </c>
      <c r="G8462" s="12" t="s">
        <v>21</v>
      </c>
      <c r="H8462" s="11" t="s">
        <v>63</v>
      </c>
      <c r="I8462" s="13" t="s">
        <v>17177</v>
      </c>
      <c r="J8462" s="14" t="str">
        <f>HYPERLINK("https://www.boe.es/gazeta/dias/1839/11/12/pdfs/GMD-1839-1829.pdf#page=4","Abrir facsímil")</f>
        <v>Abrir facsímil</v>
      </c>
      <c r="K8462" s="12" t="s">
        <v>65</v>
      </c>
    </row>
    <row r="8463" spans="1:11" ht="40.049999999999997" customHeight="1" x14ac:dyDescent="0.25">
      <c r="A8463" s="11" t="s">
        <v>17174</v>
      </c>
      <c r="B8463" s="11" t="s">
        <v>17175</v>
      </c>
      <c r="C8463" s="11" t="s">
        <v>17</v>
      </c>
      <c r="D8463" s="11" t="s">
        <v>18</v>
      </c>
      <c r="E8463" s="12" t="s">
        <v>483</v>
      </c>
      <c r="F8463" s="12" t="s">
        <v>484</v>
      </c>
      <c r="G8463" s="12" t="s">
        <v>21</v>
      </c>
      <c r="H8463" s="11" t="s">
        <v>63</v>
      </c>
      <c r="I8463" s="13" t="s">
        <v>17178</v>
      </c>
      <c r="J8463" s="14" t="str">
        <f>HYPERLINK("https://www.boe.es/gazeta/dias/1839/11/18/pdfs/GMD-1839-1835.pdf#page=4","Abrir facsímil")</f>
        <v>Abrir facsímil</v>
      </c>
      <c r="K8463" s="12" t="s">
        <v>65</v>
      </c>
    </row>
    <row r="8464" spans="1:11" ht="40.049999999999997" customHeight="1" x14ac:dyDescent="0.25">
      <c r="A8464" s="11" t="s">
        <v>17174</v>
      </c>
      <c r="B8464" s="11" t="s">
        <v>17175</v>
      </c>
      <c r="C8464" s="11" t="s">
        <v>80</v>
      </c>
      <c r="D8464" s="11" t="s">
        <v>18</v>
      </c>
      <c r="E8464" s="12" t="s">
        <v>1654</v>
      </c>
      <c r="F8464" s="12" t="s">
        <v>1655</v>
      </c>
      <c r="G8464" s="12" t="s">
        <v>21</v>
      </c>
      <c r="H8464" s="11" t="s">
        <v>63</v>
      </c>
      <c r="I8464" s="13" t="s">
        <v>17179</v>
      </c>
      <c r="J8464" s="14" t="str">
        <f>HYPERLINK("https://www.boe.es/gazeta/dias/1839/11/19/pdfs/GMD-1839-1836.pdf#page=4","Abrir facsímil")</f>
        <v>Abrir facsímil</v>
      </c>
      <c r="K8464" s="12" t="s">
        <v>65</v>
      </c>
    </row>
    <row r="8465" spans="1:11" ht="40.049999999999997" customHeight="1" x14ac:dyDescent="0.25">
      <c r="A8465" s="11" t="s">
        <v>17174</v>
      </c>
      <c r="B8465" s="11" t="s">
        <v>17175</v>
      </c>
      <c r="C8465" s="11" t="s">
        <v>17</v>
      </c>
      <c r="D8465" s="11" t="s">
        <v>18</v>
      </c>
      <c r="E8465" s="12" t="s">
        <v>496</v>
      </c>
      <c r="F8465" s="12" t="s">
        <v>497</v>
      </c>
      <c r="G8465" s="12" t="s">
        <v>21</v>
      </c>
      <c r="H8465" s="11" t="s">
        <v>63</v>
      </c>
      <c r="I8465" s="13" t="s">
        <v>17180</v>
      </c>
      <c r="J8465" s="14" t="str">
        <f>HYPERLINK("https://www.boe.es/gazeta/dias/1839/11/23/pdfs/GMD-1839-1840.pdf#page=4","Abrir facsímil")</f>
        <v>Abrir facsímil</v>
      </c>
      <c r="K8465" s="12" t="s">
        <v>65</v>
      </c>
    </row>
    <row r="8466" spans="1:11" ht="40.049999999999997" customHeight="1" x14ac:dyDescent="0.25">
      <c r="A8466" s="11" t="s">
        <v>17174</v>
      </c>
      <c r="B8466" s="11" t="s">
        <v>17175</v>
      </c>
      <c r="C8466" s="11" t="s">
        <v>80</v>
      </c>
      <c r="D8466" s="11" t="s">
        <v>18</v>
      </c>
      <c r="E8466" s="12" t="s">
        <v>246</v>
      </c>
      <c r="F8466" s="12" t="s">
        <v>247</v>
      </c>
      <c r="G8466" s="12" t="s">
        <v>21</v>
      </c>
      <c r="H8466" s="11" t="s">
        <v>63</v>
      </c>
      <c r="I8466" s="13" t="s">
        <v>17181</v>
      </c>
      <c r="J8466" s="14" t="str">
        <f>HYPERLINK("https://www.boe.es/gazeta/dias/1839/11/24/pdfs/GMD-1839-1841.pdf#page=4","Abrir facsímil")</f>
        <v>Abrir facsímil</v>
      </c>
      <c r="K8466" s="12" t="s">
        <v>65</v>
      </c>
    </row>
    <row r="8467" spans="1:11" ht="40.049999999999997" customHeight="1" x14ac:dyDescent="0.25">
      <c r="A8467" s="11" t="s">
        <v>17174</v>
      </c>
      <c r="B8467" s="11" t="s">
        <v>17175</v>
      </c>
      <c r="C8467" s="11" t="s">
        <v>17</v>
      </c>
      <c r="D8467" s="11" t="s">
        <v>18</v>
      </c>
      <c r="E8467" s="12" t="s">
        <v>375</v>
      </c>
      <c r="F8467" s="12" t="s">
        <v>376</v>
      </c>
      <c r="G8467" s="12" t="s">
        <v>21</v>
      </c>
      <c r="H8467" s="11" t="s">
        <v>63</v>
      </c>
      <c r="I8467" s="13" t="s">
        <v>17182</v>
      </c>
      <c r="J8467" s="14" t="str">
        <f>HYPERLINK("https://www.boe.es/gazeta/dias/1839/11/25/pdfs/GMD-1839-1842.pdf#page=4","Abrir facsímil")</f>
        <v>Abrir facsímil</v>
      </c>
      <c r="K8467" s="12" t="s">
        <v>65</v>
      </c>
    </row>
    <row r="8468" spans="1:11" ht="40.049999999999997" customHeight="1" x14ac:dyDescent="0.25">
      <c r="A8468" s="11" t="s">
        <v>17183</v>
      </c>
      <c r="B8468" s="11" t="s">
        <v>17183</v>
      </c>
      <c r="C8468" s="11" t="s">
        <v>101</v>
      </c>
      <c r="D8468" s="11" t="s">
        <v>102</v>
      </c>
      <c r="E8468" s="12" t="s">
        <v>507</v>
      </c>
      <c r="F8468" s="12" t="s">
        <v>508</v>
      </c>
      <c r="G8468" s="12" t="s">
        <v>46</v>
      </c>
      <c r="H8468" s="11" t="s">
        <v>63</v>
      </c>
      <c r="I8468" s="13" t="s">
        <v>17184</v>
      </c>
      <c r="J8468" s="14" t="str">
        <f>HYPERLINK("https://www.boe.es/gazeta/dias/1839/08/12/pdfs/GMD-1839-1732.pdf#page=3","Abrir facsímil")</f>
        <v>Abrir facsímil</v>
      </c>
      <c r="K8468" s="12" t="s">
        <v>65</v>
      </c>
    </row>
    <row r="8469" spans="1:11" ht="40.049999999999997" customHeight="1" x14ac:dyDescent="0.25">
      <c r="A8469" s="11" t="s">
        <v>17185</v>
      </c>
      <c r="B8469" s="11" t="s">
        <v>17186</v>
      </c>
      <c r="C8469" s="11" t="s">
        <v>137</v>
      </c>
      <c r="D8469" s="11" t="s">
        <v>18</v>
      </c>
      <c r="E8469" s="12" t="s">
        <v>1179</v>
      </c>
      <c r="F8469" s="12" t="s">
        <v>1180</v>
      </c>
      <c r="G8469" s="12" t="s">
        <v>40</v>
      </c>
      <c r="H8469" s="11" t="s">
        <v>22</v>
      </c>
      <c r="I8469" s="13" t="s">
        <v>17187</v>
      </c>
      <c r="J8469" s="14" t="str">
        <f>HYPERLINK("https://www.boe.es/gazeta/dias/1839/10/18/pdfs/GMD-1839-1804.pdf#page=2","Abrir facsímil")</f>
        <v>Abrir facsímil</v>
      </c>
      <c r="K8469" s="12" t="s">
        <v>24</v>
      </c>
    </row>
    <row r="8470" spans="1:11" ht="40.049999999999997" customHeight="1" x14ac:dyDescent="0.25">
      <c r="A8470" s="11" t="s">
        <v>17188</v>
      </c>
      <c r="B8470" s="11" t="s">
        <v>17189</v>
      </c>
      <c r="C8470" s="11" t="s">
        <v>101</v>
      </c>
      <c r="D8470" s="11" t="s">
        <v>43</v>
      </c>
      <c r="E8470" s="12" t="s">
        <v>1446</v>
      </c>
      <c r="F8470" s="12" t="s">
        <v>1447</v>
      </c>
      <c r="G8470" s="12" t="s">
        <v>21</v>
      </c>
      <c r="H8470" s="11" t="s">
        <v>63</v>
      </c>
      <c r="I8470" s="13" t="s">
        <v>17190</v>
      </c>
      <c r="J8470" s="14" t="str">
        <f>HYPERLINK("https://www.boe.es/gazeta/dias/1839/08/25/pdfs/GMD-1839-1746.pdf#page=4","Abrir facsímil")</f>
        <v>Abrir facsímil</v>
      </c>
      <c r="K8470" s="12" t="s">
        <v>65</v>
      </c>
    </row>
    <row r="8471" spans="1:11" ht="40.049999999999997" customHeight="1" x14ac:dyDescent="0.25">
      <c r="A8471" s="11" t="s">
        <v>17191</v>
      </c>
      <c r="B8471" s="11" t="s">
        <v>17192</v>
      </c>
      <c r="C8471" s="11" t="s">
        <v>17</v>
      </c>
      <c r="D8471" s="11" t="s">
        <v>18</v>
      </c>
      <c r="E8471" s="12" t="s">
        <v>233</v>
      </c>
      <c r="F8471" s="12" t="s">
        <v>234</v>
      </c>
      <c r="G8471" s="12" t="s">
        <v>46</v>
      </c>
      <c r="H8471" s="11" t="s">
        <v>63</v>
      </c>
      <c r="I8471" s="13" t="s">
        <v>17193</v>
      </c>
      <c r="J8471" s="14" t="str">
        <f>HYPERLINK("https://www.boe.es/gazeta/dias/1839/09/17/pdfs/GMD-1839-1770.pdf#page=3","Abrir facsímil")</f>
        <v>Abrir facsímil</v>
      </c>
      <c r="K8471" s="12" t="s">
        <v>65</v>
      </c>
    </row>
    <row r="8472" spans="1:11" ht="40.049999999999997" customHeight="1" x14ac:dyDescent="0.25">
      <c r="A8472" s="11" t="s">
        <v>17194</v>
      </c>
      <c r="B8472" s="11" t="s">
        <v>17195</v>
      </c>
      <c r="C8472" s="11" t="s">
        <v>59</v>
      </c>
      <c r="D8472" s="11" t="s">
        <v>60</v>
      </c>
      <c r="E8472" s="12" t="s">
        <v>1909</v>
      </c>
      <c r="F8472" s="12" t="s">
        <v>1910</v>
      </c>
      <c r="G8472" s="12" t="s">
        <v>46</v>
      </c>
      <c r="H8472" s="11" t="s">
        <v>63</v>
      </c>
      <c r="I8472" s="13" t="s">
        <v>17196</v>
      </c>
      <c r="J8472" s="14" t="str">
        <f>HYPERLINK("https://www.boe.es/gazeta/dias/1839/10/27/pdfs/GMD-1839-1813.pdf#page=3","Abrir facsímil")</f>
        <v>Abrir facsímil</v>
      </c>
      <c r="K8472" s="12" t="s">
        <v>65</v>
      </c>
    </row>
    <row r="8473" spans="1:11" ht="40.049999999999997" customHeight="1" x14ac:dyDescent="0.25">
      <c r="A8473" s="11" t="s">
        <v>17197</v>
      </c>
      <c r="B8473" s="11" t="s">
        <v>17197</v>
      </c>
      <c r="C8473" s="11" t="s">
        <v>101</v>
      </c>
      <c r="D8473" s="11" t="s">
        <v>102</v>
      </c>
      <c r="E8473" s="12" t="s">
        <v>2117</v>
      </c>
      <c r="F8473" s="12" t="s">
        <v>2118</v>
      </c>
      <c r="G8473" s="12" t="s">
        <v>40</v>
      </c>
      <c r="H8473" s="11" t="s">
        <v>63</v>
      </c>
      <c r="I8473" s="13" t="s">
        <v>17198</v>
      </c>
      <c r="J8473" s="14" t="str">
        <f>HYPERLINK("https://www.boe.es/gazeta/dias/1839/06/23/pdfs/GMD-1839-1681.pdf#page=2","Abrir facsímil")</f>
        <v>Abrir facsímil</v>
      </c>
      <c r="K8473" s="12" t="s">
        <v>65</v>
      </c>
    </row>
    <row r="8474" spans="1:11" ht="40.049999999999997" customHeight="1" x14ac:dyDescent="0.25">
      <c r="A8474" s="11" t="s">
        <v>17199</v>
      </c>
      <c r="B8474" s="11" t="s">
        <v>17200</v>
      </c>
      <c r="C8474" s="11" t="s">
        <v>17</v>
      </c>
      <c r="D8474" s="11" t="s">
        <v>18</v>
      </c>
      <c r="E8474" s="12" t="s">
        <v>243</v>
      </c>
      <c r="F8474" s="12" t="s">
        <v>244</v>
      </c>
      <c r="G8474" s="12" t="s">
        <v>46</v>
      </c>
      <c r="H8474" s="11" t="s">
        <v>63</v>
      </c>
      <c r="I8474" s="13" t="s">
        <v>17201</v>
      </c>
      <c r="J8474" s="14" t="str">
        <f>HYPERLINK("https://www.boe.es/gazeta/dias/1839/09/23/pdfs/GMD-1839-1779.pdf#page=3","Abrir facsímil")</f>
        <v>Abrir facsímil</v>
      </c>
      <c r="K8474" s="12" t="s">
        <v>65</v>
      </c>
    </row>
    <row r="8475" spans="1:11" ht="40.049999999999997" customHeight="1" x14ac:dyDescent="0.25">
      <c r="A8475" s="11" t="s">
        <v>17202</v>
      </c>
      <c r="B8475" s="11" t="s">
        <v>17202</v>
      </c>
      <c r="C8475" s="11" t="s">
        <v>17</v>
      </c>
      <c r="D8475" s="11" t="s">
        <v>18</v>
      </c>
      <c r="E8475" s="12" t="s">
        <v>1374</v>
      </c>
      <c r="F8475" s="12" t="s">
        <v>1375</v>
      </c>
      <c r="G8475" s="12" t="s">
        <v>46</v>
      </c>
      <c r="H8475" s="11" t="s">
        <v>63</v>
      </c>
      <c r="I8475" s="13" t="s">
        <v>17203</v>
      </c>
      <c r="J8475" s="14" t="str">
        <f>HYPERLINK("https://www.boe.es/gazeta/dias/1839/07/20/pdfs/GMD-1839-1708.pdf#page=3","Abrir facsímil")</f>
        <v>Abrir facsímil</v>
      </c>
      <c r="K8475" s="12" t="s">
        <v>65</v>
      </c>
    </row>
    <row r="8476" spans="1:11" ht="40.049999999999997" customHeight="1" x14ac:dyDescent="0.25">
      <c r="A8476" s="11" t="s">
        <v>17204</v>
      </c>
      <c r="B8476" s="11" t="s">
        <v>17205</v>
      </c>
      <c r="C8476" s="11" t="s">
        <v>80</v>
      </c>
      <c r="D8476" s="11" t="s">
        <v>18</v>
      </c>
      <c r="E8476" s="12" t="s">
        <v>1310</v>
      </c>
      <c r="F8476" s="12" t="s">
        <v>1311</v>
      </c>
      <c r="G8476" s="12" t="s">
        <v>40</v>
      </c>
      <c r="H8476" s="11" t="s">
        <v>63</v>
      </c>
      <c r="I8476" s="13" t="s">
        <v>17206</v>
      </c>
      <c r="J8476" s="14" t="str">
        <f>HYPERLINK("https://www.boe.es/gazeta/dias/1839/04/23/pdfs/GMD-1839-1620.pdf#page=2","Abrir facsímil")</f>
        <v>Abrir facsímil</v>
      </c>
      <c r="K8476" s="12" t="s">
        <v>65</v>
      </c>
    </row>
    <row r="8477" spans="1:11" ht="40.049999999999997" customHeight="1" x14ac:dyDescent="0.25">
      <c r="A8477" s="11" t="s">
        <v>17207</v>
      </c>
      <c r="B8477" s="11" t="s">
        <v>17208</v>
      </c>
      <c r="C8477" s="11" t="s">
        <v>17</v>
      </c>
      <c r="D8477" s="11" t="s">
        <v>18</v>
      </c>
      <c r="E8477" s="12" t="s">
        <v>1079</v>
      </c>
      <c r="F8477" s="12" t="s">
        <v>1080</v>
      </c>
      <c r="G8477" s="12" t="s">
        <v>46</v>
      </c>
      <c r="H8477" s="11" t="s">
        <v>63</v>
      </c>
      <c r="I8477" s="13" t="s">
        <v>17209</v>
      </c>
      <c r="J8477" s="14" t="str">
        <f>HYPERLINK("https://www.boe.es/gazeta/dias/1839/05/24/pdfs/GMD-1839-1651.pdf#page=3","Abrir facsímil")</f>
        <v>Abrir facsímil</v>
      </c>
      <c r="K8477" s="12" t="s">
        <v>65</v>
      </c>
    </row>
    <row r="8478" spans="1:11" ht="40.049999999999997" customHeight="1" x14ac:dyDescent="0.25">
      <c r="A8478" s="11" t="s">
        <v>17210</v>
      </c>
      <c r="B8478" s="11" t="s">
        <v>17210</v>
      </c>
      <c r="C8478" s="11" t="s">
        <v>59</v>
      </c>
      <c r="D8478" s="11" t="s">
        <v>60</v>
      </c>
      <c r="E8478" s="12" t="s">
        <v>405</v>
      </c>
      <c r="F8478" s="12" t="s">
        <v>406</v>
      </c>
      <c r="G8478" s="12" t="s">
        <v>40</v>
      </c>
      <c r="H8478" s="11" t="s">
        <v>63</v>
      </c>
      <c r="I8478" s="13" t="s">
        <v>17211</v>
      </c>
      <c r="J8478" s="14" t="str">
        <f>HYPERLINK("https://www.boe.es/gazeta/dias/1839/03/25/pdfs/GMD-1839-1591.pdf#page=2","Abrir facsímil")</f>
        <v>Abrir facsímil</v>
      </c>
      <c r="K8478" s="12" t="s">
        <v>65</v>
      </c>
    </row>
    <row r="8479" spans="1:11" ht="40.049999999999997" customHeight="1" x14ac:dyDescent="0.25">
      <c r="A8479" s="11" t="s">
        <v>17212</v>
      </c>
      <c r="B8479" s="11" t="s">
        <v>17212</v>
      </c>
      <c r="C8479" s="11" t="s">
        <v>17</v>
      </c>
      <c r="D8479" s="11" t="s">
        <v>18</v>
      </c>
      <c r="E8479" s="12" t="s">
        <v>185</v>
      </c>
      <c r="F8479" s="12" t="s">
        <v>186</v>
      </c>
      <c r="G8479" s="12" t="s">
        <v>29</v>
      </c>
      <c r="H8479" s="11" t="s">
        <v>63</v>
      </c>
      <c r="I8479" s="13" t="s">
        <v>17213</v>
      </c>
      <c r="J8479" s="14" t="str">
        <f>HYPERLINK("https://www.boe.es/gazeta/dias/1839/01/15/pdfs/GMD-1839-1522.pdf#page=1","Abrir facsímil")</f>
        <v>Abrir facsímil</v>
      </c>
      <c r="K8479" s="12" t="s">
        <v>65</v>
      </c>
    </row>
    <row r="8480" spans="1:11" ht="40.049999999999997" customHeight="1" x14ac:dyDescent="0.25">
      <c r="A8480" s="11" t="s">
        <v>17214</v>
      </c>
      <c r="B8480" s="11" t="s">
        <v>17214</v>
      </c>
      <c r="C8480" s="11" t="s">
        <v>59</v>
      </c>
      <c r="D8480" s="11" t="s">
        <v>60</v>
      </c>
      <c r="E8480" s="12" t="s">
        <v>1069</v>
      </c>
      <c r="F8480" s="12" t="s">
        <v>1070</v>
      </c>
      <c r="G8480" s="12" t="s">
        <v>46</v>
      </c>
      <c r="H8480" s="11" t="s">
        <v>22</v>
      </c>
      <c r="I8480" s="13" t="s">
        <v>17215</v>
      </c>
      <c r="J8480" s="14" t="str">
        <f>HYPERLINK("https://www.boe.es/gazeta/dias/1839/10/15/pdfs/GMD-1839-1801.pdf#page=3","Abrir facsímil")</f>
        <v>Abrir facsímil</v>
      </c>
      <c r="K8480" s="12" t="s">
        <v>24</v>
      </c>
    </row>
    <row r="8481" spans="1:11" ht="40.049999999999997" customHeight="1" x14ac:dyDescent="0.25">
      <c r="A8481" s="11" t="s">
        <v>17214</v>
      </c>
      <c r="B8481" s="11" t="s">
        <v>17214</v>
      </c>
      <c r="C8481" s="11" t="s">
        <v>137</v>
      </c>
      <c r="D8481" s="11" t="s">
        <v>18</v>
      </c>
      <c r="E8481" s="12" t="s">
        <v>233</v>
      </c>
      <c r="F8481" s="12" t="s">
        <v>234</v>
      </c>
      <c r="G8481" s="12" t="s">
        <v>46</v>
      </c>
      <c r="H8481" s="11" t="s">
        <v>22</v>
      </c>
      <c r="I8481" s="13" t="s">
        <v>17216</v>
      </c>
      <c r="J8481" s="14" t="str">
        <f>HYPERLINK("https://www.boe.es/gazeta/dias/1839/09/17/pdfs/GMD-1839-1770.pdf#page=3","Abrir facsímil")</f>
        <v>Abrir facsímil</v>
      </c>
      <c r="K8481" s="12" t="s">
        <v>24</v>
      </c>
    </row>
    <row r="8482" spans="1:11" ht="40.049999999999997" customHeight="1" x14ac:dyDescent="0.25">
      <c r="A8482" s="11" t="s">
        <v>17217</v>
      </c>
      <c r="B8482" s="11" t="s">
        <v>17218</v>
      </c>
      <c r="C8482" s="11" t="s">
        <v>17</v>
      </c>
      <c r="D8482" s="11" t="s">
        <v>18</v>
      </c>
      <c r="E8482" s="12" t="s">
        <v>1562</v>
      </c>
      <c r="F8482" s="12" t="s">
        <v>1563</v>
      </c>
      <c r="G8482" s="12" t="s">
        <v>29</v>
      </c>
      <c r="H8482" s="11" t="s">
        <v>63</v>
      </c>
      <c r="I8482" s="13" t="s">
        <v>17219</v>
      </c>
      <c r="J8482" s="14" t="str">
        <f>HYPERLINK("https://www.boe.es/gazeta/dias/1839/04/08/pdfs/GMD-1839-1605.pdf#page=1","Abrir facsímil")</f>
        <v>Abrir facsímil</v>
      </c>
      <c r="K8482" s="12" t="s">
        <v>65</v>
      </c>
    </row>
    <row r="8483" spans="1:11" ht="40.049999999999997" customHeight="1" x14ac:dyDescent="0.25">
      <c r="A8483" s="11" t="s">
        <v>17220</v>
      </c>
      <c r="B8483" s="11" t="s">
        <v>17221</v>
      </c>
      <c r="C8483" s="11" t="s">
        <v>17</v>
      </c>
      <c r="D8483" s="11" t="s">
        <v>18</v>
      </c>
      <c r="E8483" s="12" t="s">
        <v>736</v>
      </c>
      <c r="F8483" s="12" t="s">
        <v>737</v>
      </c>
      <c r="G8483" s="12" t="s">
        <v>21</v>
      </c>
      <c r="H8483" s="11" t="s">
        <v>63</v>
      </c>
      <c r="I8483" s="13" t="s">
        <v>17222</v>
      </c>
      <c r="J8483" s="14" t="str">
        <f>HYPERLINK("https://www.boe.es/gazeta/dias/1839/10/13/pdfs/GMD-1839-1799.pdf#page=4","Abrir facsímil")</f>
        <v>Abrir facsímil</v>
      </c>
      <c r="K8483" s="12" t="s">
        <v>65</v>
      </c>
    </row>
    <row r="8484" spans="1:11" ht="40.049999999999997" customHeight="1" x14ac:dyDescent="0.25">
      <c r="A8484" s="11" t="s">
        <v>17223</v>
      </c>
      <c r="B8484" s="11" t="s">
        <v>17223</v>
      </c>
      <c r="C8484" s="11" t="s">
        <v>59</v>
      </c>
      <c r="D8484" s="11" t="s">
        <v>60</v>
      </c>
      <c r="E8484" s="12" t="s">
        <v>1679</v>
      </c>
      <c r="F8484" s="12" t="s">
        <v>1680</v>
      </c>
      <c r="G8484" s="12" t="s">
        <v>29</v>
      </c>
      <c r="H8484" s="11" t="s">
        <v>63</v>
      </c>
      <c r="I8484" s="13" t="s">
        <v>17224</v>
      </c>
      <c r="J8484" s="14" t="str">
        <f>HYPERLINK("https://www.boe.es/gazeta/dias/1839/01/26/pdfs/GMD-1839-1533.pdf#page=1","Abrir facsímil")</f>
        <v>Abrir facsímil</v>
      </c>
      <c r="K8484" s="12" t="s">
        <v>65</v>
      </c>
    </row>
    <row r="8485" spans="1:11" ht="40.049999999999997" customHeight="1" x14ac:dyDescent="0.25">
      <c r="A8485" s="11" t="s">
        <v>17225</v>
      </c>
      <c r="B8485" s="11" t="s">
        <v>17225</v>
      </c>
      <c r="C8485" s="11" t="s">
        <v>17</v>
      </c>
      <c r="D8485" s="11" t="s">
        <v>18</v>
      </c>
      <c r="E8485" s="12" t="s">
        <v>503</v>
      </c>
      <c r="F8485" s="12" t="s">
        <v>504</v>
      </c>
      <c r="G8485" s="12" t="s">
        <v>21</v>
      </c>
      <c r="H8485" s="11" t="s">
        <v>63</v>
      </c>
      <c r="I8485" s="13" t="s">
        <v>17226</v>
      </c>
      <c r="J8485" s="14" t="str">
        <f>HYPERLINK("https://www.boe.es/gazeta/dias/1839/06/07/pdfs/GMD-1839-1665.pdf#page=4","Abrir facsímil")</f>
        <v>Abrir facsímil</v>
      </c>
      <c r="K8485" s="12" t="s">
        <v>65</v>
      </c>
    </row>
    <row r="8486" spans="1:11" ht="40.049999999999997" customHeight="1" x14ac:dyDescent="0.25">
      <c r="A8486" s="11" t="s">
        <v>17227</v>
      </c>
      <c r="B8486" s="11" t="s">
        <v>17227</v>
      </c>
      <c r="C8486" s="11" t="s">
        <v>17</v>
      </c>
      <c r="D8486" s="11" t="s">
        <v>18</v>
      </c>
      <c r="E8486" s="12" t="s">
        <v>888</v>
      </c>
      <c r="F8486" s="12" t="s">
        <v>889</v>
      </c>
      <c r="G8486" s="12" t="s">
        <v>40</v>
      </c>
      <c r="H8486" s="11" t="s">
        <v>63</v>
      </c>
      <c r="I8486" s="13" t="s">
        <v>17228</v>
      </c>
      <c r="J8486" s="14" t="str">
        <f>HYPERLINK("https://www.boe.es/gazeta/dias/1839/05/14/pdfs/GMD-1839-1641.pdf#page=2","Abrir facsímil")</f>
        <v>Abrir facsímil</v>
      </c>
      <c r="K8486" s="12" t="s">
        <v>65</v>
      </c>
    </row>
    <row r="8487" spans="1:11" ht="40.049999999999997" customHeight="1" x14ac:dyDescent="0.25">
      <c r="A8487" s="11" t="s">
        <v>17229</v>
      </c>
      <c r="B8487" s="11" t="s">
        <v>17230</v>
      </c>
      <c r="C8487" s="11" t="s">
        <v>17</v>
      </c>
      <c r="D8487" s="11" t="s">
        <v>18</v>
      </c>
      <c r="E8487" s="12" t="s">
        <v>433</v>
      </c>
      <c r="F8487" s="12" t="s">
        <v>434</v>
      </c>
      <c r="G8487" s="12" t="s">
        <v>21</v>
      </c>
      <c r="H8487" s="11" t="s">
        <v>63</v>
      </c>
      <c r="I8487" s="13" t="s">
        <v>17231</v>
      </c>
      <c r="J8487" s="14" t="str">
        <f>HYPERLINK("https://www.boe.es/gazeta/dias/1839/01/20/pdfs/GMD-1839-1527.pdf#page=4","Abrir facsímil")</f>
        <v>Abrir facsímil</v>
      </c>
      <c r="K8487" s="12" t="s">
        <v>65</v>
      </c>
    </row>
    <row r="8488" spans="1:11" ht="40.049999999999997" customHeight="1" x14ac:dyDescent="0.25">
      <c r="A8488" s="11" t="s">
        <v>17232</v>
      </c>
      <c r="B8488" s="11" t="s">
        <v>17233</v>
      </c>
      <c r="C8488" s="11" t="s">
        <v>80</v>
      </c>
      <c r="D8488" s="11" t="s">
        <v>18</v>
      </c>
      <c r="E8488" s="12" t="s">
        <v>1374</v>
      </c>
      <c r="F8488" s="12" t="s">
        <v>1375</v>
      </c>
      <c r="G8488" s="12" t="s">
        <v>29</v>
      </c>
      <c r="H8488" s="11" t="s">
        <v>63</v>
      </c>
      <c r="I8488" s="13" t="s">
        <v>17234</v>
      </c>
      <c r="J8488" s="14" t="str">
        <f>HYPERLINK("https://www.boe.es/gazeta/dias/1839/07/20/pdfs/GMD-1839-1708.pdf#page=1","Abrir facsímil")</f>
        <v>Abrir facsímil</v>
      </c>
      <c r="K8488" s="12" t="s">
        <v>65</v>
      </c>
    </row>
    <row r="8489" spans="1:11" ht="40.049999999999997" customHeight="1" x14ac:dyDescent="0.25">
      <c r="A8489" s="11" t="s">
        <v>17235</v>
      </c>
      <c r="B8489" s="11" t="s">
        <v>17236</v>
      </c>
      <c r="C8489" s="11" t="s">
        <v>80</v>
      </c>
      <c r="D8489" s="11" t="s">
        <v>18</v>
      </c>
      <c r="E8489" s="12" t="s">
        <v>817</v>
      </c>
      <c r="F8489" s="12" t="s">
        <v>818</v>
      </c>
      <c r="G8489" s="12" t="s">
        <v>21</v>
      </c>
      <c r="H8489" s="11" t="s">
        <v>63</v>
      </c>
      <c r="I8489" s="13" t="s">
        <v>17237</v>
      </c>
      <c r="J8489" s="14" t="str">
        <f>HYPERLINK("https://www.boe.es/gazeta/dias/1839/05/28/pdfs/GMD-1839-1655.pdf#page=4","Abrir facsímil")</f>
        <v>Abrir facsímil</v>
      </c>
      <c r="K8489" s="12" t="s">
        <v>65</v>
      </c>
    </row>
    <row r="8490" spans="1:11" ht="40.049999999999997" customHeight="1" x14ac:dyDescent="0.25">
      <c r="A8490" s="11" t="s">
        <v>17238</v>
      </c>
      <c r="B8490" s="11" t="s">
        <v>17239</v>
      </c>
      <c r="C8490" s="11" t="s">
        <v>17</v>
      </c>
      <c r="D8490" s="11" t="s">
        <v>18</v>
      </c>
      <c r="E8490" s="12" t="s">
        <v>369</v>
      </c>
      <c r="F8490" s="12" t="s">
        <v>370</v>
      </c>
      <c r="G8490" s="12" t="s">
        <v>21</v>
      </c>
      <c r="H8490" s="11" t="s">
        <v>22</v>
      </c>
      <c r="I8490" s="13" t="s">
        <v>17240</v>
      </c>
      <c r="J8490" s="14" t="str">
        <f>HYPERLINK("https://www.boe.es/gazeta/dias/1839/11/01/pdfs/GMD-1839-1818.pdf#page=4","Abrir facsímil")</f>
        <v>Abrir facsímil</v>
      </c>
      <c r="K8490" s="12" t="s">
        <v>24</v>
      </c>
    </row>
    <row r="8491" spans="1:11" ht="40.049999999999997" customHeight="1" x14ac:dyDescent="0.25">
      <c r="A8491" s="11" t="s">
        <v>17241</v>
      </c>
      <c r="B8491" s="11" t="s">
        <v>17242</v>
      </c>
      <c r="C8491" s="11" t="s">
        <v>101</v>
      </c>
      <c r="D8491" s="11" t="s">
        <v>43</v>
      </c>
      <c r="E8491" s="12" t="s">
        <v>1414</v>
      </c>
      <c r="F8491" s="12" t="s">
        <v>1415</v>
      </c>
      <c r="G8491" s="12" t="s">
        <v>21</v>
      </c>
      <c r="H8491" s="11" t="s">
        <v>63</v>
      </c>
      <c r="I8491" s="13" t="s">
        <v>17243</v>
      </c>
      <c r="J8491" s="14" t="str">
        <f>HYPERLINK("https://www.boe.es/gazeta/dias/1839/06/12/pdfs/GMD-1839-1670.pdf#page=4","Abrir facsímil")</f>
        <v>Abrir facsímil</v>
      </c>
      <c r="K8491" s="12" t="s">
        <v>65</v>
      </c>
    </row>
    <row r="8492" spans="1:11" ht="40.049999999999997" customHeight="1" x14ac:dyDescent="0.25">
      <c r="A8492" s="11" t="s">
        <v>17244</v>
      </c>
      <c r="B8492" s="11" t="s">
        <v>17245</v>
      </c>
      <c r="C8492" s="11" t="s">
        <v>101</v>
      </c>
      <c r="D8492" s="11" t="s">
        <v>43</v>
      </c>
      <c r="E8492" s="12" t="s">
        <v>984</v>
      </c>
      <c r="F8492" s="12" t="s">
        <v>985</v>
      </c>
      <c r="G8492" s="12" t="s">
        <v>29</v>
      </c>
      <c r="H8492" s="11" t="s">
        <v>63</v>
      </c>
      <c r="I8492" s="13" t="s">
        <v>17246</v>
      </c>
      <c r="J8492" s="14" t="str">
        <f>HYPERLINK("https://www.boe.es/gazeta/dias/1839/04/10/pdfs/GMD-1839-1607.pdf#page=1","Abrir facsímil")</f>
        <v>Abrir facsímil</v>
      </c>
      <c r="K8492" s="12" t="s">
        <v>65</v>
      </c>
    </row>
    <row r="8493" spans="1:11" ht="40.049999999999997" customHeight="1" x14ac:dyDescent="0.25">
      <c r="A8493" s="11" t="s">
        <v>17247</v>
      </c>
      <c r="B8493" s="11" t="s">
        <v>17248</v>
      </c>
      <c r="C8493" s="11" t="s">
        <v>17</v>
      </c>
      <c r="D8493" s="11" t="s">
        <v>18</v>
      </c>
      <c r="E8493" s="12" t="s">
        <v>68</v>
      </c>
      <c r="F8493" s="12" t="s">
        <v>69</v>
      </c>
      <c r="G8493" s="12" t="s">
        <v>29</v>
      </c>
      <c r="H8493" s="11" t="s">
        <v>63</v>
      </c>
      <c r="I8493" s="13" t="s">
        <v>17249</v>
      </c>
      <c r="J8493" s="14" t="str">
        <f>HYPERLINK("https://www.boe.es/gazeta/dias/1839/02/09/pdfs/GMD-1839-1547.pdf#page=1","Abrir facsímil")</f>
        <v>Abrir facsímil</v>
      </c>
      <c r="K8493" s="12" t="s">
        <v>65</v>
      </c>
    </row>
    <row r="8494" spans="1:11" ht="40.049999999999997" customHeight="1" x14ac:dyDescent="0.25">
      <c r="A8494" s="11" t="s">
        <v>17250</v>
      </c>
      <c r="B8494" s="11" t="s">
        <v>17251</v>
      </c>
      <c r="C8494" s="11" t="s">
        <v>17</v>
      </c>
      <c r="D8494" s="11" t="s">
        <v>18</v>
      </c>
      <c r="E8494" s="12" t="s">
        <v>513</v>
      </c>
      <c r="F8494" s="12" t="s">
        <v>514</v>
      </c>
      <c r="G8494" s="12" t="s">
        <v>29</v>
      </c>
      <c r="H8494" s="11" t="s">
        <v>63</v>
      </c>
      <c r="I8494" s="13" t="s">
        <v>17252</v>
      </c>
      <c r="J8494" s="14" t="str">
        <f>HYPERLINK("https://www.boe.es/gazeta/dias/1839/03/17/pdfs/GMD-1839-1583.pdf#page=1","Abrir facsímil")</f>
        <v>Abrir facsímil</v>
      </c>
      <c r="K8494" s="12" t="s">
        <v>65</v>
      </c>
    </row>
    <row r="8495" spans="1:11" ht="40.049999999999997" customHeight="1" x14ac:dyDescent="0.25">
      <c r="A8495" s="11" t="s">
        <v>17253</v>
      </c>
      <c r="B8495" s="11" t="s">
        <v>17254</v>
      </c>
      <c r="C8495" s="11" t="s">
        <v>59</v>
      </c>
      <c r="D8495" s="11" t="s">
        <v>60</v>
      </c>
      <c r="E8495" s="12" t="s">
        <v>596</v>
      </c>
      <c r="F8495" s="12" t="s">
        <v>597</v>
      </c>
      <c r="G8495" s="12" t="s">
        <v>21</v>
      </c>
      <c r="H8495" s="11" t="s">
        <v>63</v>
      </c>
      <c r="I8495" s="13" t="s">
        <v>17255</v>
      </c>
      <c r="J8495" s="14" t="str">
        <f>HYPERLINK("https://www.boe.es/gazeta/dias/1839/01/23/pdfs/GMD-1839-1530.pdf#page=4","Abrir facsímil")</f>
        <v>Abrir facsímil</v>
      </c>
      <c r="K8495" s="12" t="s">
        <v>65</v>
      </c>
    </row>
    <row r="8496" spans="1:11" ht="40.049999999999997" customHeight="1" x14ac:dyDescent="0.25">
      <c r="A8496" s="11" t="s">
        <v>17256</v>
      </c>
      <c r="B8496" s="11" t="s">
        <v>17257</v>
      </c>
      <c r="C8496" s="11" t="s">
        <v>17</v>
      </c>
      <c r="D8496" s="11" t="s">
        <v>18</v>
      </c>
      <c r="E8496" s="12" t="s">
        <v>809</v>
      </c>
      <c r="F8496" s="12" t="s">
        <v>810</v>
      </c>
      <c r="G8496" s="12" t="s">
        <v>29</v>
      </c>
      <c r="H8496" s="11" t="s">
        <v>63</v>
      </c>
      <c r="I8496" s="13" t="s">
        <v>17258</v>
      </c>
      <c r="J8496" s="14" t="str">
        <f>HYPERLINK("https://www.boe.es/gazeta/dias/1839/02/11/pdfs/GMD-1839-1549.pdf#page=1","Abrir facsímil")</f>
        <v>Abrir facsímil</v>
      </c>
      <c r="K8496" s="12" t="s">
        <v>65</v>
      </c>
    </row>
    <row r="8497" spans="1:11" ht="40.049999999999997" customHeight="1" x14ac:dyDescent="0.25">
      <c r="A8497" s="11" t="s">
        <v>17259</v>
      </c>
      <c r="B8497" s="11" t="s">
        <v>17259</v>
      </c>
      <c r="C8497" s="11" t="s">
        <v>17</v>
      </c>
      <c r="D8497" s="11" t="s">
        <v>18</v>
      </c>
      <c r="E8497" s="12" t="s">
        <v>157</v>
      </c>
      <c r="F8497" s="12" t="s">
        <v>158</v>
      </c>
      <c r="G8497" s="12" t="s">
        <v>29</v>
      </c>
      <c r="H8497" s="11" t="s">
        <v>22</v>
      </c>
      <c r="I8497" s="13" t="s">
        <v>17260</v>
      </c>
      <c r="J8497" s="14" t="str">
        <f>HYPERLINK("https://www.boe.es/gazeta/dias/1839/02/08/pdfs/GMD-1839-1546.pdf#page=1","Abrir facsímil")</f>
        <v>Abrir facsímil</v>
      </c>
      <c r="K8497" s="12" t="s">
        <v>24</v>
      </c>
    </row>
    <row r="8498" spans="1:11" ht="40.049999999999997" customHeight="1" x14ac:dyDescent="0.25">
      <c r="A8498" s="11" t="s">
        <v>17261</v>
      </c>
      <c r="B8498" s="11" t="s">
        <v>17261</v>
      </c>
      <c r="C8498" s="11" t="s">
        <v>80</v>
      </c>
      <c r="D8498" s="11" t="s">
        <v>18</v>
      </c>
      <c r="E8498" s="12" t="s">
        <v>68</v>
      </c>
      <c r="F8498" s="12" t="s">
        <v>69</v>
      </c>
      <c r="G8498" s="12" t="s">
        <v>29</v>
      </c>
      <c r="H8498" s="11" t="s">
        <v>63</v>
      </c>
      <c r="I8498" s="13" t="s">
        <v>17262</v>
      </c>
      <c r="J8498" s="14" t="str">
        <f>HYPERLINK("https://www.boe.es/gazeta/dias/1839/02/09/pdfs/GMD-1839-1547.pdf#page=1","Abrir facsímil")</f>
        <v>Abrir facsímil</v>
      </c>
      <c r="K8498" s="12" t="s">
        <v>65</v>
      </c>
    </row>
    <row r="8499" spans="1:11" ht="40.049999999999997" customHeight="1" x14ac:dyDescent="0.25">
      <c r="A8499" s="11" t="s">
        <v>17261</v>
      </c>
      <c r="B8499" s="11" t="s">
        <v>17261</v>
      </c>
      <c r="C8499" s="11" t="s">
        <v>101</v>
      </c>
      <c r="D8499" s="11" t="s">
        <v>43</v>
      </c>
      <c r="E8499" s="12" t="s">
        <v>68</v>
      </c>
      <c r="F8499" s="12" t="s">
        <v>69</v>
      </c>
      <c r="G8499" s="12" t="s">
        <v>40</v>
      </c>
      <c r="H8499" s="11" t="s">
        <v>63</v>
      </c>
      <c r="I8499" s="13" t="s">
        <v>17263</v>
      </c>
      <c r="J8499" s="14" t="str">
        <f>HYPERLINK("https://www.boe.es/gazeta/dias/1839/02/09/pdfs/GMD-1839-1547.pdf#page=2","Abrir facsímil")</f>
        <v>Abrir facsímil</v>
      </c>
      <c r="K8499" s="12" t="s">
        <v>65</v>
      </c>
    </row>
    <row r="8500" spans="1:11" ht="40.049999999999997" customHeight="1" x14ac:dyDescent="0.25">
      <c r="A8500" s="11" t="s">
        <v>17261</v>
      </c>
      <c r="B8500" s="11" t="s">
        <v>17261</v>
      </c>
      <c r="C8500" s="11" t="s">
        <v>17</v>
      </c>
      <c r="D8500" s="11" t="s">
        <v>18</v>
      </c>
      <c r="E8500" s="12" t="s">
        <v>1069</v>
      </c>
      <c r="F8500" s="12" t="s">
        <v>1070</v>
      </c>
      <c r="G8500" s="12" t="s">
        <v>40</v>
      </c>
      <c r="H8500" s="11" t="s">
        <v>63</v>
      </c>
      <c r="I8500" s="13" t="s">
        <v>17264</v>
      </c>
      <c r="J8500" s="14" t="str">
        <f>HYPERLINK("https://www.boe.es/gazeta/dias/1839/10/15/pdfs/GMD-1839-1801.pdf#page=2","Abrir facsímil")</f>
        <v>Abrir facsímil</v>
      </c>
      <c r="K8500" s="12" t="s">
        <v>65</v>
      </c>
    </row>
    <row r="8501" spans="1:11" ht="40.049999999999997" customHeight="1" x14ac:dyDescent="0.25">
      <c r="A8501" s="11" t="s">
        <v>17261</v>
      </c>
      <c r="B8501" s="11" t="s">
        <v>17261</v>
      </c>
      <c r="C8501" s="11" t="s">
        <v>17</v>
      </c>
      <c r="D8501" s="11" t="s">
        <v>18</v>
      </c>
      <c r="E8501" s="12" t="s">
        <v>1069</v>
      </c>
      <c r="F8501" s="12" t="s">
        <v>1070</v>
      </c>
      <c r="G8501" s="12" t="s">
        <v>46</v>
      </c>
      <c r="H8501" s="11" t="s">
        <v>63</v>
      </c>
      <c r="I8501" s="13" t="s">
        <v>17265</v>
      </c>
      <c r="J8501" s="14" t="str">
        <f>HYPERLINK("https://www.boe.es/gazeta/dias/1839/10/15/pdfs/GMD-1839-1801.pdf#page=3","Abrir facsímil")</f>
        <v>Abrir facsímil</v>
      </c>
      <c r="K8501" s="12" t="s">
        <v>65</v>
      </c>
    </row>
    <row r="8502" spans="1:11" ht="40.049999999999997" customHeight="1" x14ac:dyDescent="0.25">
      <c r="A8502" s="11" t="s">
        <v>17261</v>
      </c>
      <c r="B8502" s="11" t="s">
        <v>17261</v>
      </c>
      <c r="C8502" s="11" t="s">
        <v>17</v>
      </c>
      <c r="D8502" s="11" t="s">
        <v>43</v>
      </c>
      <c r="E8502" s="12" t="s">
        <v>236</v>
      </c>
      <c r="F8502" s="12" t="s">
        <v>237</v>
      </c>
      <c r="G8502" s="12" t="s">
        <v>40</v>
      </c>
      <c r="H8502" s="11" t="s">
        <v>63</v>
      </c>
      <c r="I8502" s="13" t="s">
        <v>17266</v>
      </c>
      <c r="J8502" s="14" t="str">
        <f>HYPERLINK("https://www.boe.es/gazeta/dias/1839/09/18/pdfs/GMD-1839-1771.pdf#page=2","Abrir facsímil")</f>
        <v>Abrir facsímil</v>
      </c>
      <c r="K8502" s="12" t="s">
        <v>65</v>
      </c>
    </row>
    <row r="8503" spans="1:11" ht="40.049999999999997" customHeight="1" x14ac:dyDescent="0.25">
      <c r="A8503" s="11" t="s">
        <v>17261</v>
      </c>
      <c r="B8503" s="11" t="s">
        <v>17261</v>
      </c>
      <c r="C8503" s="11" t="s">
        <v>17</v>
      </c>
      <c r="D8503" s="11" t="s">
        <v>18</v>
      </c>
      <c r="E8503" s="12" t="s">
        <v>2222</v>
      </c>
      <c r="F8503" s="12" t="s">
        <v>2223</v>
      </c>
      <c r="G8503" s="12" t="s">
        <v>21</v>
      </c>
      <c r="H8503" s="11" t="s">
        <v>63</v>
      </c>
      <c r="I8503" s="13" t="s">
        <v>17267</v>
      </c>
      <c r="J8503" s="14" t="str">
        <f>HYPERLINK("https://www.boe.es/gazeta/dias/1839/09/19/pdfs/GMD-1839-1773.pdf#page=4","Abrir facsímil")</f>
        <v>Abrir facsímil</v>
      </c>
      <c r="K8503" s="12" t="s">
        <v>65</v>
      </c>
    </row>
    <row r="8504" spans="1:11" ht="40.049999999999997" customHeight="1" x14ac:dyDescent="0.25">
      <c r="A8504" s="11" t="s">
        <v>17261</v>
      </c>
      <c r="B8504" s="11" t="s">
        <v>17261</v>
      </c>
      <c r="C8504" s="11" t="s">
        <v>17</v>
      </c>
      <c r="D8504" s="11" t="s">
        <v>18</v>
      </c>
      <c r="E8504" s="12" t="s">
        <v>1108</v>
      </c>
      <c r="F8504" s="12" t="s">
        <v>1109</v>
      </c>
      <c r="G8504" s="12" t="s">
        <v>40</v>
      </c>
      <c r="H8504" s="11" t="s">
        <v>63</v>
      </c>
      <c r="I8504" s="13" t="s">
        <v>17268</v>
      </c>
      <c r="J8504" s="14" t="str">
        <f>HYPERLINK("https://www.boe.es/gazeta/dias/1839/09/21/pdfs/GMD-1839-1776.pdf#page=2","Abrir facsímil")</f>
        <v>Abrir facsímil</v>
      </c>
      <c r="K8504" s="12" t="s">
        <v>65</v>
      </c>
    </row>
    <row r="8505" spans="1:11" ht="40.049999999999997" customHeight="1" x14ac:dyDescent="0.25">
      <c r="A8505" s="11" t="s">
        <v>17269</v>
      </c>
      <c r="B8505" s="11" t="s">
        <v>17269</v>
      </c>
      <c r="C8505" s="11" t="s">
        <v>17</v>
      </c>
      <c r="D8505" s="11" t="s">
        <v>18</v>
      </c>
      <c r="E8505" s="12" t="s">
        <v>794</v>
      </c>
      <c r="F8505" s="12" t="s">
        <v>795</v>
      </c>
      <c r="G8505" s="12" t="s">
        <v>40</v>
      </c>
      <c r="H8505" s="11" t="s">
        <v>22</v>
      </c>
      <c r="I8505" s="13" t="s">
        <v>17270</v>
      </c>
      <c r="J8505" s="14" t="str">
        <f>HYPERLINK("https://www.boe.es/gazeta/dias/1839/01/22/pdfs/GMD-1839-1529.pdf#page=2","Abrir facsímil")</f>
        <v>Abrir facsímil</v>
      </c>
      <c r="K8505" s="12" t="s">
        <v>24</v>
      </c>
    </row>
    <row r="8506" spans="1:11" ht="40.049999999999997" customHeight="1" x14ac:dyDescent="0.25">
      <c r="A8506" s="11" t="s">
        <v>17269</v>
      </c>
      <c r="B8506" s="11" t="s">
        <v>17269</v>
      </c>
      <c r="C8506" s="11" t="s">
        <v>17</v>
      </c>
      <c r="D8506" s="11" t="s">
        <v>18</v>
      </c>
      <c r="E8506" s="12" t="s">
        <v>239</v>
      </c>
      <c r="F8506" s="12" t="s">
        <v>240</v>
      </c>
      <c r="G8506" s="12" t="s">
        <v>40</v>
      </c>
      <c r="H8506" s="11" t="s">
        <v>22</v>
      </c>
      <c r="I8506" s="13" t="s">
        <v>17271</v>
      </c>
      <c r="J8506" s="14" t="str">
        <f>HYPERLINK("https://www.boe.es/gazeta/dias/1839/09/22/pdfs/GMD-1839-1777.pdf#page=2","Abrir facsímil")</f>
        <v>Abrir facsímil</v>
      </c>
      <c r="K8506" s="12" t="s">
        <v>24</v>
      </c>
    </row>
    <row r="8507" spans="1:11" ht="40.049999999999997" customHeight="1" x14ac:dyDescent="0.25">
      <c r="A8507" s="11" t="s">
        <v>17269</v>
      </c>
      <c r="B8507" s="11" t="s">
        <v>17269</v>
      </c>
      <c r="C8507" s="11" t="s">
        <v>101</v>
      </c>
      <c r="D8507" s="11" t="s">
        <v>43</v>
      </c>
      <c r="E8507" s="12" t="s">
        <v>284</v>
      </c>
      <c r="F8507" s="12" t="s">
        <v>285</v>
      </c>
      <c r="G8507" s="12" t="s">
        <v>29</v>
      </c>
      <c r="H8507" s="11" t="s">
        <v>22</v>
      </c>
      <c r="I8507" s="13" t="s">
        <v>17272</v>
      </c>
      <c r="J8507" s="14" t="str">
        <f>HYPERLINK("https://www.boe.es/gazeta/dias/1839/01/27/pdfs/GMD-1839-1534.pdf#page=1","Abrir facsímil")</f>
        <v>Abrir facsímil</v>
      </c>
      <c r="K8507" s="12" t="s">
        <v>24</v>
      </c>
    </row>
    <row r="8508" spans="1:11" ht="40.049999999999997" customHeight="1" x14ac:dyDescent="0.25">
      <c r="A8508" s="11" t="s">
        <v>17269</v>
      </c>
      <c r="B8508" s="11" t="s">
        <v>17269</v>
      </c>
      <c r="C8508" s="11" t="s">
        <v>17</v>
      </c>
      <c r="D8508" s="11" t="s">
        <v>18</v>
      </c>
      <c r="E8508" s="12" t="s">
        <v>1909</v>
      </c>
      <c r="F8508" s="12" t="s">
        <v>1910</v>
      </c>
      <c r="G8508" s="12" t="s">
        <v>40</v>
      </c>
      <c r="H8508" s="11" t="s">
        <v>22</v>
      </c>
      <c r="I8508" s="13" t="s">
        <v>17273</v>
      </c>
      <c r="J8508" s="14" t="str">
        <f>HYPERLINK("https://www.boe.es/gazeta/dias/1839/10/27/pdfs/GMD-1839-1813.pdf#page=2","Abrir facsímil")</f>
        <v>Abrir facsímil</v>
      </c>
      <c r="K8508" s="12" t="s">
        <v>24</v>
      </c>
    </row>
    <row r="8509" spans="1:11" ht="40.049999999999997" customHeight="1" x14ac:dyDescent="0.25">
      <c r="A8509" s="11" t="s">
        <v>17269</v>
      </c>
      <c r="B8509" s="11" t="s">
        <v>17269</v>
      </c>
      <c r="C8509" s="11" t="s">
        <v>17</v>
      </c>
      <c r="D8509" s="11" t="s">
        <v>18</v>
      </c>
      <c r="E8509" s="12" t="s">
        <v>1287</v>
      </c>
      <c r="F8509" s="12" t="s">
        <v>1288</v>
      </c>
      <c r="G8509" s="12" t="s">
        <v>40</v>
      </c>
      <c r="H8509" s="11" t="s">
        <v>22</v>
      </c>
      <c r="I8509" s="13" t="s">
        <v>17274</v>
      </c>
      <c r="J8509" s="14" t="str">
        <f>HYPERLINK("https://www.boe.es/gazeta/dias/1839/10/30/pdfs/GMD-1839-1816.pdf#page=2","Abrir facsímil")</f>
        <v>Abrir facsímil</v>
      </c>
      <c r="K8509" s="12" t="s">
        <v>24</v>
      </c>
    </row>
    <row r="8510" spans="1:11" ht="40.049999999999997" customHeight="1" x14ac:dyDescent="0.25">
      <c r="A8510" s="11" t="s">
        <v>17275</v>
      </c>
      <c r="B8510" s="11" t="s">
        <v>17276</v>
      </c>
      <c r="C8510" s="11" t="s">
        <v>59</v>
      </c>
      <c r="D8510" s="11" t="s">
        <v>60</v>
      </c>
      <c r="E8510" s="12" t="s">
        <v>68</v>
      </c>
      <c r="F8510" s="12" t="s">
        <v>69</v>
      </c>
      <c r="G8510" s="12" t="s">
        <v>29</v>
      </c>
      <c r="H8510" s="11" t="s">
        <v>63</v>
      </c>
      <c r="I8510" s="13" t="s">
        <v>17277</v>
      </c>
      <c r="J8510" s="14" t="str">
        <f>HYPERLINK("https://www.boe.es/gazeta/dias/1839/02/09/pdfs/GMD-1839-1547.pdf#page=1","Abrir facsímil")</f>
        <v>Abrir facsímil</v>
      </c>
      <c r="K8510" s="12" t="s">
        <v>65</v>
      </c>
    </row>
    <row r="8511" spans="1:11" ht="40.049999999999997" customHeight="1" x14ac:dyDescent="0.25">
      <c r="A8511" s="11" t="s">
        <v>17278</v>
      </c>
      <c r="B8511" s="11" t="s">
        <v>17279</v>
      </c>
      <c r="C8511" s="11" t="s">
        <v>59</v>
      </c>
      <c r="D8511" s="11" t="s">
        <v>60</v>
      </c>
      <c r="E8511" s="12" t="s">
        <v>68</v>
      </c>
      <c r="F8511" s="12" t="s">
        <v>69</v>
      </c>
      <c r="G8511" s="12" t="s">
        <v>29</v>
      </c>
      <c r="H8511" s="11" t="s">
        <v>63</v>
      </c>
      <c r="I8511" s="13" t="s">
        <v>17280</v>
      </c>
      <c r="J8511" s="14" t="str">
        <f>HYPERLINK("https://www.boe.es/gazeta/dias/1839/02/09/pdfs/GMD-1839-1547.pdf#page=1","Abrir facsímil")</f>
        <v>Abrir facsímil</v>
      </c>
      <c r="K8511" s="12" t="s">
        <v>65</v>
      </c>
    </row>
    <row r="8512" spans="1:11" ht="40.049999999999997" customHeight="1" x14ac:dyDescent="0.25">
      <c r="A8512" s="11" t="s">
        <v>17281</v>
      </c>
      <c r="B8512" s="11" t="s">
        <v>17282</v>
      </c>
      <c r="C8512" s="11" t="s">
        <v>80</v>
      </c>
      <c r="D8512" s="11" t="s">
        <v>18</v>
      </c>
      <c r="E8512" s="12" t="s">
        <v>181</v>
      </c>
      <c r="F8512" s="12" t="s">
        <v>182</v>
      </c>
      <c r="G8512" s="12" t="s">
        <v>29</v>
      </c>
      <c r="H8512" s="11" t="s">
        <v>63</v>
      </c>
      <c r="I8512" s="13" t="s">
        <v>17283</v>
      </c>
      <c r="J8512" s="14" t="str">
        <f>HYPERLINK("https://www.boe.es/gazeta/dias/1839/01/11/pdfs/GMD-1839-1518.pdf#page=1","Abrir facsímil")</f>
        <v>Abrir facsímil</v>
      </c>
      <c r="K8512" s="12" t="s">
        <v>65</v>
      </c>
    </row>
    <row r="8513" spans="1:11" ht="40.049999999999997" customHeight="1" x14ac:dyDescent="0.25">
      <c r="A8513" s="11" t="s">
        <v>17284</v>
      </c>
      <c r="B8513" s="11" t="s">
        <v>17285</v>
      </c>
      <c r="C8513" s="11" t="s">
        <v>101</v>
      </c>
      <c r="D8513" s="11" t="s">
        <v>102</v>
      </c>
      <c r="E8513" s="12" t="s">
        <v>3236</v>
      </c>
      <c r="F8513" s="12" t="s">
        <v>3237</v>
      </c>
      <c r="G8513" s="12" t="s">
        <v>40</v>
      </c>
      <c r="H8513" s="11" t="s">
        <v>63</v>
      </c>
      <c r="I8513" s="13" t="s">
        <v>17286</v>
      </c>
      <c r="J8513" s="14" t="str">
        <f>HYPERLINK("https://www.boe.es/gazeta/dias/1839/12/03/pdfs/GMD-1839-1850.pdf#page=2","Abrir facsímil")</f>
        <v>Abrir facsímil</v>
      </c>
      <c r="K8513" s="12" t="s">
        <v>65</v>
      </c>
    </row>
    <row r="8514" spans="1:11" ht="40.049999999999997" customHeight="1" x14ac:dyDescent="0.25">
      <c r="A8514" s="11" t="s">
        <v>17287</v>
      </c>
      <c r="B8514" s="11" t="s">
        <v>17288</v>
      </c>
      <c r="C8514" s="11" t="s">
        <v>101</v>
      </c>
      <c r="D8514" s="11" t="s">
        <v>43</v>
      </c>
      <c r="E8514" s="12" t="s">
        <v>1008</v>
      </c>
      <c r="F8514" s="12" t="s">
        <v>1009</v>
      </c>
      <c r="G8514" s="12" t="s">
        <v>21</v>
      </c>
      <c r="H8514" s="11" t="s">
        <v>63</v>
      </c>
      <c r="I8514" s="13" t="s">
        <v>17289</v>
      </c>
      <c r="J8514" s="14" t="str">
        <f>HYPERLINK("https://www.boe.es/gazeta/dias/1839/09/07/pdfs/GMD-1839-1760.pdf#page=4","Abrir facsímil")</f>
        <v>Abrir facsímil</v>
      </c>
      <c r="K8514" s="12" t="s">
        <v>65</v>
      </c>
    </row>
    <row r="8515" spans="1:11" ht="40.049999999999997" customHeight="1" x14ac:dyDescent="0.25">
      <c r="A8515" s="11" t="s">
        <v>17287</v>
      </c>
      <c r="B8515" s="11" t="s">
        <v>17288</v>
      </c>
      <c r="C8515" s="11" t="s">
        <v>101</v>
      </c>
      <c r="D8515" s="11" t="s">
        <v>43</v>
      </c>
      <c r="E8515" s="12" t="s">
        <v>1366</v>
      </c>
      <c r="F8515" s="12" t="s">
        <v>1367</v>
      </c>
      <c r="G8515" s="12" t="s">
        <v>40</v>
      </c>
      <c r="H8515" s="11" t="s">
        <v>63</v>
      </c>
      <c r="I8515" s="13" t="s">
        <v>17290</v>
      </c>
      <c r="J8515" s="14" t="str">
        <f>HYPERLINK("https://www.boe.es/gazeta/dias/1839/09/09/pdfs/GMD-1839-1762.pdf#page=2","Abrir facsímil")</f>
        <v>Abrir facsímil</v>
      </c>
      <c r="K8515" s="12" t="s">
        <v>65</v>
      </c>
    </row>
    <row r="8516" spans="1:11" ht="40.049999999999997" customHeight="1" x14ac:dyDescent="0.25">
      <c r="A8516" s="11" t="s">
        <v>17287</v>
      </c>
      <c r="B8516" s="11" t="s">
        <v>17288</v>
      </c>
      <c r="C8516" s="11" t="s">
        <v>137</v>
      </c>
      <c r="D8516" s="11" t="s">
        <v>18</v>
      </c>
      <c r="E8516" s="12" t="s">
        <v>1100</v>
      </c>
      <c r="F8516" s="12" t="s">
        <v>1101</v>
      </c>
      <c r="G8516" s="12" t="s">
        <v>29</v>
      </c>
      <c r="H8516" s="11" t="s">
        <v>63</v>
      </c>
      <c r="I8516" s="13" t="s">
        <v>17291</v>
      </c>
      <c r="J8516" s="14" t="str">
        <f>HYPERLINK("https://www.boe.es/gazeta/dias/1839/09/13/pdfs/GMD-1839-1766.pdf#page=1","Abrir facsímil")</f>
        <v>Abrir facsímil</v>
      </c>
      <c r="K8516" s="12" t="s">
        <v>65</v>
      </c>
    </row>
    <row r="8517" spans="1:11" ht="40.049999999999997" customHeight="1" x14ac:dyDescent="0.25">
      <c r="A8517" s="11" t="s">
        <v>17287</v>
      </c>
      <c r="B8517" s="11" t="s">
        <v>17288</v>
      </c>
      <c r="C8517" s="11" t="s">
        <v>59</v>
      </c>
      <c r="D8517" s="11" t="s">
        <v>60</v>
      </c>
      <c r="E8517" s="12" t="s">
        <v>1076</v>
      </c>
      <c r="F8517" s="12" t="s">
        <v>1077</v>
      </c>
      <c r="G8517" s="12" t="s">
        <v>21</v>
      </c>
      <c r="H8517" s="11" t="s">
        <v>63</v>
      </c>
      <c r="I8517" s="13" t="s">
        <v>17292</v>
      </c>
      <c r="J8517" s="14" t="str">
        <f>HYPERLINK("https://www.boe.es/gazeta/dias/1839/10/19/pdfs/GMD-1839-1805.pdf#page=4","Abrir facsímil")</f>
        <v>Abrir facsímil</v>
      </c>
      <c r="K8517" s="12" t="s">
        <v>65</v>
      </c>
    </row>
    <row r="8518" spans="1:11" ht="40.049999999999997" customHeight="1" x14ac:dyDescent="0.25">
      <c r="A8518" s="11" t="s">
        <v>17293</v>
      </c>
      <c r="B8518" s="11" t="s">
        <v>17294</v>
      </c>
      <c r="C8518" s="11" t="s">
        <v>80</v>
      </c>
      <c r="D8518" s="11" t="s">
        <v>18</v>
      </c>
      <c r="E8518" s="12" t="s">
        <v>912</v>
      </c>
      <c r="F8518" s="12" t="s">
        <v>913</v>
      </c>
      <c r="G8518" s="12" t="s">
        <v>21</v>
      </c>
      <c r="H8518" s="11" t="s">
        <v>63</v>
      </c>
      <c r="I8518" s="13" t="s">
        <v>17295</v>
      </c>
      <c r="J8518" s="14" t="str">
        <f>HYPERLINK("https://www.boe.es/gazeta/dias/1839/04/30/pdfs/GMD-1839-1627.pdf#page=4","Abrir facsímil")</f>
        <v>Abrir facsímil</v>
      </c>
      <c r="K8518" s="12" t="s">
        <v>65</v>
      </c>
    </row>
    <row r="8519" spans="1:11" ht="40.049999999999997" customHeight="1" x14ac:dyDescent="0.25">
      <c r="A8519" s="11" t="s">
        <v>17296</v>
      </c>
      <c r="B8519" s="11" t="s">
        <v>17297</v>
      </c>
      <c r="C8519" s="11" t="s">
        <v>17</v>
      </c>
      <c r="D8519" s="11" t="s">
        <v>18</v>
      </c>
      <c r="E8519" s="12" t="s">
        <v>375</v>
      </c>
      <c r="F8519" s="12" t="s">
        <v>376</v>
      </c>
      <c r="G8519" s="12" t="s">
        <v>21</v>
      </c>
      <c r="H8519" s="11" t="s">
        <v>63</v>
      </c>
      <c r="I8519" s="13" t="s">
        <v>17298</v>
      </c>
      <c r="J8519" s="14" t="str">
        <f>HYPERLINK("https://www.boe.es/gazeta/dias/1839/11/25/pdfs/GMD-1839-1842.pdf#page=4","Abrir facsímil")</f>
        <v>Abrir facsímil</v>
      </c>
      <c r="K8519" s="12" t="s">
        <v>65</v>
      </c>
    </row>
    <row r="8520" spans="1:11" ht="40.049999999999997" customHeight="1" x14ac:dyDescent="0.25">
      <c r="A8520" s="11" t="s">
        <v>17299</v>
      </c>
      <c r="B8520" s="11" t="s">
        <v>17300</v>
      </c>
      <c r="C8520" s="11" t="s">
        <v>17</v>
      </c>
      <c r="D8520" s="11" t="s">
        <v>18</v>
      </c>
      <c r="E8520" s="12" t="s">
        <v>360</v>
      </c>
      <c r="F8520" s="12" t="s">
        <v>361</v>
      </c>
      <c r="G8520" s="12" t="s">
        <v>21</v>
      </c>
      <c r="H8520" s="11" t="s">
        <v>63</v>
      </c>
      <c r="I8520" s="13" t="s">
        <v>17301</v>
      </c>
      <c r="J8520" s="14" t="str">
        <f>HYPERLINK("https://www.boe.es/gazeta/dias/1839/08/22/pdfs/GMD-1839-1743.pdf#page=4","Abrir facsímil")</f>
        <v>Abrir facsímil</v>
      </c>
      <c r="K8520" s="12" t="s">
        <v>65</v>
      </c>
    </row>
    <row r="8521" spans="1:11" ht="40.049999999999997" customHeight="1" x14ac:dyDescent="0.25">
      <c r="A8521" s="11" t="s">
        <v>17302</v>
      </c>
      <c r="B8521" s="11" t="s">
        <v>17302</v>
      </c>
      <c r="C8521" s="11" t="s">
        <v>17</v>
      </c>
      <c r="D8521" s="11" t="s">
        <v>18</v>
      </c>
      <c r="E8521" s="12" t="s">
        <v>2320</v>
      </c>
      <c r="F8521" s="12" t="s">
        <v>2321</v>
      </c>
      <c r="G8521" s="12" t="s">
        <v>46</v>
      </c>
      <c r="H8521" s="11" t="s">
        <v>63</v>
      </c>
      <c r="I8521" s="13" t="s">
        <v>17303</v>
      </c>
      <c r="J8521" s="14" t="str">
        <f>HYPERLINK("https://www.boe.es/gazeta/dias/1839/11/13/pdfs/GMD-1839-1830.pdf#page=3","Abrir facsímil")</f>
        <v>Abrir facsímil</v>
      </c>
      <c r="K8521" s="12" t="s">
        <v>65</v>
      </c>
    </row>
    <row r="8522" spans="1:11" ht="40.049999999999997" customHeight="1" x14ac:dyDescent="0.25">
      <c r="A8522" s="11" t="s">
        <v>17304</v>
      </c>
      <c r="B8522" s="11" t="s">
        <v>17304</v>
      </c>
      <c r="C8522" s="11" t="s">
        <v>17</v>
      </c>
      <c r="D8522" s="11" t="s">
        <v>18</v>
      </c>
      <c r="E8522" s="12" t="s">
        <v>809</v>
      </c>
      <c r="F8522" s="12" t="s">
        <v>810</v>
      </c>
      <c r="G8522" s="12" t="s">
        <v>46</v>
      </c>
      <c r="H8522" s="11" t="s">
        <v>63</v>
      </c>
      <c r="I8522" s="13" t="s">
        <v>17305</v>
      </c>
      <c r="J8522" s="14" t="str">
        <f>HYPERLINK("https://www.boe.es/gazeta/dias/1839/02/11/pdfs/GMD-1839-1549.pdf#page=3","Abrir facsímil")</f>
        <v>Abrir facsímil</v>
      </c>
      <c r="K8522" s="12" t="s">
        <v>65</v>
      </c>
    </row>
    <row r="8523" spans="1:11" ht="40.049999999999997" customHeight="1" x14ac:dyDescent="0.25">
      <c r="A8523" s="11" t="s">
        <v>17306</v>
      </c>
      <c r="B8523" s="11" t="s">
        <v>17306</v>
      </c>
      <c r="C8523" s="11" t="s">
        <v>17</v>
      </c>
      <c r="D8523" s="11" t="s">
        <v>18</v>
      </c>
      <c r="E8523" s="12" t="s">
        <v>888</v>
      </c>
      <c r="F8523" s="12" t="s">
        <v>889</v>
      </c>
      <c r="G8523" s="12" t="s">
        <v>29</v>
      </c>
      <c r="H8523" s="11" t="s">
        <v>63</v>
      </c>
      <c r="I8523" s="13" t="s">
        <v>17307</v>
      </c>
      <c r="J8523" s="14" t="str">
        <f>HYPERLINK("https://www.boe.es/gazeta/dias/1839/05/14/pdfs/GMD-1839-1641.pdf#page=1","Abrir facsímil")</f>
        <v>Abrir facsímil</v>
      </c>
      <c r="K8523" s="12" t="s">
        <v>65</v>
      </c>
    </row>
    <row r="8524" spans="1:11" ht="40.049999999999997" customHeight="1" x14ac:dyDescent="0.25">
      <c r="A8524" s="11" t="s">
        <v>17308</v>
      </c>
      <c r="B8524" s="11" t="s">
        <v>17308</v>
      </c>
      <c r="C8524" s="11" t="s">
        <v>17</v>
      </c>
      <c r="D8524" s="11" t="s">
        <v>18</v>
      </c>
      <c r="E8524" s="12" t="s">
        <v>398</v>
      </c>
      <c r="F8524" s="12" t="s">
        <v>399</v>
      </c>
      <c r="G8524" s="12" t="s">
        <v>40</v>
      </c>
      <c r="H8524" s="11" t="s">
        <v>63</v>
      </c>
      <c r="I8524" s="13" t="s">
        <v>17309</v>
      </c>
      <c r="J8524" s="14" t="str">
        <f>HYPERLINK("https://www.boe.es/gazeta/dias/1839/05/17/pdfs/GMD-1839-1644.pdf#page=2","Abrir facsímil")</f>
        <v>Abrir facsímil</v>
      </c>
      <c r="K8524" s="12" t="s">
        <v>65</v>
      </c>
    </row>
    <row r="8525" spans="1:11" ht="40.049999999999997" customHeight="1" x14ac:dyDescent="0.25">
      <c r="A8525" s="11" t="s">
        <v>17310</v>
      </c>
      <c r="B8525" s="11" t="s">
        <v>17311</v>
      </c>
      <c r="C8525" s="11" t="s">
        <v>59</v>
      </c>
      <c r="D8525" s="11" t="s">
        <v>60</v>
      </c>
      <c r="E8525" s="12" t="s">
        <v>736</v>
      </c>
      <c r="F8525" s="12" t="s">
        <v>737</v>
      </c>
      <c r="G8525" s="12" t="s">
        <v>21</v>
      </c>
      <c r="H8525" s="11" t="s">
        <v>63</v>
      </c>
      <c r="I8525" s="13" t="s">
        <v>17312</v>
      </c>
      <c r="J8525" s="14" t="str">
        <f>HYPERLINK("https://www.boe.es/gazeta/dias/1839/10/13/pdfs/GMD-1839-1799.pdf#page=4","Abrir facsímil")</f>
        <v>Abrir facsímil</v>
      </c>
      <c r="K8525" s="12" t="s">
        <v>65</v>
      </c>
    </row>
    <row r="8526" spans="1:11" ht="40.049999999999997" customHeight="1" x14ac:dyDescent="0.25">
      <c r="A8526" s="11" t="s">
        <v>17310</v>
      </c>
      <c r="B8526" s="11" t="s">
        <v>17311</v>
      </c>
      <c r="C8526" s="11" t="s">
        <v>17</v>
      </c>
      <c r="D8526" s="11" t="s">
        <v>18</v>
      </c>
      <c r="E8526" s="12" t="s">
        <v>1528</v>
      </c>
      <c r="F8526" s="12" t="s">
        <v>1529</v>
      </c>
      <c r="G8526" s="12" t="s">
        <v>21</v>
      </c>
      <c r="H8526" s="11" t="s">
        <v>63</v>
      </c>
      <c r="I8526" s="13" t="s">
        <v>17313</v>
      </c>
      <c r="J8526" s="14" t="str">
        <f>HYPERLINK("https://www.boe.es/gazeta/dias/1839/12/15/pdfs/GMD-1839-1862.pdf#page=4","Abrir facsímil")</f>
        <v>Abrir facsímil</v>
      </c>
      <c r="K8526" s="12" t="s">
        <v>65</v>
      </c>
    </row>
    <row r="8527" spans="1:11" ht="40.049999999999997" customHeight="1" x14ac:dyDescent="0.25">
      <c r="A8527" s="11" t="s">
        <v>17314</v>
      </c>
      <c r="B8527" s="11" t="s">
        <v>17315</v>
      </c>
      <c r="C8527" s="11" t="s">
        <v>80</v>
      </c>
      <c r="D8527" s="11" t="s">
        <v>18</v>
      </c>
      <c r="E8527" s="12" t="s">
        <v>76</v>
      </c>
      <c r="F8527" s="12" t="s">
        <v>77</v>
      </c>
      <c r="G8527" s="12" t="s">
        <v>21</v>
      </c>
      <c r="H8527" s="11" t="s">
        <v>63</v>
      </c>
      <c r="I8527" s="13" t="s">
        <v>17316</v>
      </c>
      <c r="J8527" s="14" t="str">
        <f>HYPERLINK("https://www.boe.es/gazeta/dias/1839/03/13/pdfs/GMD-1839-1579.pdf#page=4","Abrir facsímil")</f>
        <v>Abrir facsímil</v>
      </c>
      <c r="K8527" s="12" t="s">
        <v>65</v>
      </c>
    </row>
    <row r="8528" spans="1:11" ht="40.049999999999997" customHeight="1" x14ac:dyDescent="0.25">
      <c r="A8528" s="11" t="s">
        <v>17317</v>
      </c>
      <c r="B8528" s="11" t="s">
        <v>17317</v>
      </c>
      <c r="C8528" s="11" t="s">
        <v>59</v>
      </c>
      <c r="D8528" s="11" t="s">
        <v>60</v>
      </c>
      <c r="E8528" s="12" t="s">
        <v>1252</v>
      </c>
      <c r="F8528" s="12" t="s">
        <v>1253</v>
      </c>
      <c r="G8528" s="12" t="s">
        <v>21</v>
      </c>
      <c r="H8528" s="11" t="s">
        <v>63</v>
      </c>
      <c r="I8528" s="13" t="s">
        <v>17318</v>
      </c>
      <c r="J8528" s="14" t="str">
        <f>HYPERLINK("https://www.boe.es/gazeta/dias/1839/06/15/pdfs/GMD-1839-1673.pdf#page=4","Abrir facsímil")</f>
        <v>Abrir facsímil</v>
      </c>
      <c r="K8528" s="12" t="s">
        <v>65</v>
      </c>
    </row>
    <row r="8529" spans="1:11" ht="40.049999999999997" customHeight="1" x14ac:dyDescent="0.25">
      <c r="A8529" s="11" t="s">
        <v>17317</v>
      </c>
      <c r="B8529" s="11" t="s">
        <v>17317</v>
      </c>
      <c r="C8529" s="11" t="s">
        <v>59</v>
      </c>
      <c r="D8529" s="11" t="s">
        <v>60</v>
      </c>
      <c r="E8529" s="12" t="s">
        <v>2378</v>
      </c>
      <c r="F8529" s="12" t="s">
        <v>2379</v>
      </c>
      <c r="G8529" s="12" t="s">
        <v>21</v>
      </c>
      <c r="H8529" s="11" t="s">
        <v>63</v>
      </c>
      <c r="I8529" s="13" t="s">
        <v>17319</v>
      </c>
      <c r="J8529" s="14" t="str">
        <f>HYPERLINK("https://www.boe.es/gazeta/dias/1839/06/20/pdfs/GMD-1839-1678.pdf#page=4","Abrir facsímil")</f>
        <v>Abrir facsímil</v>
      </c>
      <c r="K8529" s="12" t="s">
        <v>65</v>
      </c>
    </row>
    <row r="8530" spans="1:11" ht="40.049999999999997" customHeight="1" x14ac:dyDescent="0.25">
      <c r="A8530" s="11" t="s">
        <v>17320</v>
      </c>
      <c r="B8530" s="11" t="s">
        <v>17321</v>
      </c>
      <c r="C8530" s="11" t="s">
        <v>17</v>
      </c>
      <c r="D8530" s="11" t="s">
        <v>43</v>
      </c>
      <c r="E8530" s="12" t="s">
        <v>888</v>
      </c>
      <c r="F8530" s="12" t="s">
        <v>889</v>
      </c>
      <c r="G8530" s="12" t="s">
        <v>21</v>
      </c>
      <c r="H8530" s="11" t="s">
        <v>63</v>
      </c>
      <c r="I8530" s="13" t="s">
        <v>17322</v>
      </c>
      <c r="J8530" s="14" t="str">
        <f>HYPERLINK("https://www.boe.es/gazeta/dias/1839/05/14/pdfs/GMD-1839-1641.pdf#page=4","Abrir facsímil")</f>
        <v>Abrir facsímil</v>
      </c>
      <c r="K8530" s="12" t="s">
        <v>65</v>
      </c>
    </row>
    <row r="8531" spans="1:11" ht="40.049999999999997" customHeight="1" x14ac:dyDescent="0.25">
      <c r="A8531" s="11" t="s">
        <v>17323</v>
      </c>
      <c r="B8531" s="11" t="s">
        <v>17323</v>
      </c>
      <c r="C8531" s="11" t="s">
        <v>137</v>
      </c>
      <c r="D8531" s="11" t="s">
        <v>18</v>
      </c>
      <c r="E8531" s="12" t="s">
        <v>1517</v>
      </c>
      <c r="F8531" s="12" t="s">
        <v>1518</v>
      </c>
      <c r="G8531" s="12" t="s">
        <v>40</v>
      </c>
      <c r="H8531" s="11" t="s">
        <v>63</v>
      </c>
      <c r="I8531" s="13" t="s">
        <v>17324</v>
      </c>
      <c r="J8531" s="14" t="str">
        <f>HYPERLINK("https://www.boe.es/gazeta/dias/1839/12/20/pdfs/GMD-1839-1867.pdf#page=2","Abrir facsímil")</f>
        <v>Abrir facsímil</v>
      </c>
      <c r="K8531" s="12" t="s">
        <v>65</v>
      </c>
    </row>
    <row r="8532" spans="1:11" ht="40.049999999999997" customHeight="1" x14ac:dyDescent="0.25">
      <c r="A8532" s="11" t="s">
        <v>17325</v>
      </c>
      <c r="B8532" s="11" t="s">
        <v>17325</v>
      </c>
      <c r="C8532" s="11" t="s">
        <v>80</v>
      </c>
      <c r="D8532" s="11" t="s">
        <v>18</v>
      </c>
      <c r="E8532" s="12" t="s">
        <v>798</v>
      </c>
      <c r="F8532" s="12" t="s">
        <v>799</v>
      </c>
      <c r="G8532" s="12" t="s">
        <v>21</v>
      </c>
      <c r="H8532" s="11" t="s">
        <v>63</v>
      </c>
      <c r="I8532" s="13" t="s">
        <v>17326</v>
      </c>
      <c r="J8532" s="14" t="str">
        <f>HYPERLINK("https://www.boe.es/gazeta/dias/1839/09/03/pdfs/GMD-1839-1755.pdf#page=4","Abrir facsímil")</f>
        <v>Abrir facsímil</v>
      </c>
      <c r="K8532" s="12" t="s">
        <v>65</v>
      </c>
    </row>
    <row r="8533" spans="1:11" ht="40.049999999999997" customHeight="1" x14ac:dyDescent="0.25">
      <c r="A8533" s="11" t="s">
        <v>17327</v>
      </c>
      <c r="B8533" s="11" t="s">
        <v>17328</v>
      </c>
      <c r="C8533" s="11" t="s">
        <v>17</v>
      </c>
      <c r="D8533" s="11" t="s">
        <v>18</v>
      </c>
      <c r="E8533" s="12" t="s">
        <v>308</v>
      </c>
      <c r="F8533" s="12" t="s">
        <v>309</v>
      </c>
      <c r="G8533" s="12" t="s">
        <v>29</v>
      </c>
      <c r="H8533" s="11" t="s">
        <v>63</v>
      </c>
      <c r="I8533" s="13" t="s">
        <v>17329</v>
      </c>
      <c r="J8533" s="14" t="str">
        <f>HYPERLINK("https://www.boe.es/gazeta/dias/1839/07/29/pdfs/GMD-1839-1718.pdf#page=1","Abrir facsímil")</f>
        <v>Abrir facsímil</v>
      </c>
      <c r="K8533" s="12" t="s">
        <v>65</v>
      </c>
    </row>
    <row r="8534" spans="1:11" ht="40.049999999999997" customHeight="1" x14ac:dyDescent="0.25">
      <c r="A8534" s="11" t="s">
        <v>17330</v>
      </c>
      <c r="B8534" s="11" t="s">
        <v>17331</v>
      </c>
      <c r="C8534" s="11" t="s">
        <v>17</v>
      </c>
      <c r="D8534" s="11" t="s">
        <v>18</v>
      </c>
      <c r="E8534" s="12" t="s">
        <v>4047</v>
      </c>
      <c r="F8534" s="12" t="s">
        <v>4048</v>
      </c>
      <c r="G8534" s="12" t="s">
        <v>46</v>
      </c>
      <c r="H8534" s="11" t="s">
        <v>63</v>
      </c>
      <c r="I8534" s="13" t="s">
        <v>17332</v>
      </c>
      <c r="J8534" s="14" t="str">
        <f>HYPERLINK("https://www.boe.es/gazeta/dias/1839/03/26/pdfs/GMD-1839-1592.pdf#page=3","Abrir facsímil")</f>
        <v>Abrir facsímil</v>
      </c>
      <c r="K8534" s="12" t="s">
        <v>65</v>
      </c>
    </row>
    <row r="8535" spans="1:11" ht="40.049999999999997" customHeight="1" x14ac:dyDescent="0.25">
      <c r="A8535" s="11" t="s">
        <v>17333</v>
      </c>
      <c r="B8535" s="11" t="s">
        <v>17333</v>
      </c>
      <c r="C8535" s="11" t="s">
        <v>17</v>
      </c>
      <c r="D8535" s="11" t="s">
        <v>18</v>
      </c>
      <c r="E8535" s="12" t="s">
        <v>946</v>
      </c>
      <c r="F8535" s="12" t="s">
        <v>947</v>
      </c>
      <c r="G8535" s="12" t="s">
        <v>29</v>
      </c>
      <c r="H8535" s="11" t="s">
        <v>63</v>
      </c>
      <c r="I8535" s="13" t="s">
        <v>17334</v>
      </c>
      <c r="J8535" s="14" t="str">
        <f>HYPERLINK("https://www.boe.es/gazeta/dias/1839/04/15/pdfs/GMD-1839-1612.pdf#page=1","Abrir facsímil")</f>
        <v>Abrir facsímil</v>
      </c>
      <c r="K8535" s="12" t="s">
        <v>65</v>
      </c>
    </row>
    <row r="8536" spans="1:11" ht="40.049999999999997" customHeight="1" x14ac:dyDescent="0.25">
      <c r="A8536" s="11" t="s">
        <v>17335</v>
      </c>
      <c r="B8536" s="11" t="s">
        <v>17335</v>
      </c>
      <c r="C8536" s="11" t="s">
        <v>17</v>
      </c>
      <c r="D8536" s="11" t="s">
        <v>18</v>
      </c>
      <c r="E8536" s="12" t="s">
        <v>5845</v>
      </c>
      <c r="F8536" s="12" t="s">
        <v>5846</v>
      </c>
      <c r="G8536" s="12" t="s">
        <v>29</v>
      </c>
      <c r="H8536" s="11" t="s">
        <v>63</v>
      </c>
      <c r="I8536" s="13" t="s">
        <v>17336</v>
      </c>
      <c r="J8536" s="14" t="str">
        <f>HYPERLINK("https://www.boe.es/gazeta/dias/1839/04/01/pdfs/GMD-1839-1598.pdf#page=1","Abrir facsímil")</f>
        <v>Abrir facsímil</v>
      </c>
      <c r="K8536" s="12" t="s">
        <v>65</v>
      </c>
    </row>
    <row r="8537" spans="1:11" ht="40.049999999999997" customHeight="1" x14ac:dyDescent="0.25">
      <c r="A8537" s="11" t="s">
        <v>17337</v>
      </c>
      <c r="B8537" s="11" t="s">
        <v>17337</v>
      </c>
      <c r="C8537" s="11" t="s">
        <v>17</v>
      </c>
      <c r="D8537" s="11" t="s">
        <v>18</v>
      </c>
      <c r="E8537" s="12" t="s">
        <v>5806</v>
      </c>
      <c r="F8537" s="12" t="s">
        <v>5807</v>
      </c>
      <c r="G8537" s="12" t="s">
        <v>40</v>
      </c>
      <c r="H8537" s="11" t="s">
        <v>63</v>
      </c>
      <c r="I8537" s="13" t="s">
        <v>17338</v>
      </c>
      <c r="J8537" s="14" t="str">
        <f>HYPERLINK("https://www.boe.es/gazeta/dias/1839/02/16/pdfs/GMD-1839-1554.pdf#page=2","Abrir facsímil")</f>
        <v>Abrir facsímil</v>
      </c>
      <c r="K8537" s="12" t="s">
        <v>65</v>
      </c>
    </row>
    <row r="8538" spans="1:11" ht="40.049999999999997" customHeight="1" x14ac:dyDescent="0.25">
      <c r="A8538" s="11" t="s">
        <v>17339</v>
      </c>
      <c r="B8538" s="11" t="s">
        <v>17339</v>
      </c>
      <c r="C8538" s="11" t="s">
        <v>17</v>
      </c>
      <c r="D8538" s="11" t="s">
        <v>18</v>
      </c>
      <c r="E8538" s="12" t="s">
        <v>453</v>
      </c>
      <c r="F8538" s="12" t="s">
        <v>454</v>
      </c>
      <c r="G8538" s="12" t="s">
        <v>21</v>
      </c>
      <c r="H8538" s="11" t="s">
        <v>63</v>
      </c>
      <c r="I8538" s="13" t="s">
        <v>17340</v>
      </c>
      <c r="J8538" s="14" t="str">
        <f>HYPERLINK("https://www.boe.es/gazeta/dias/1839/02/07/pdfs/GMD-1839-1545.pdf#page=4","Abrir facsímil")</f>
        <v>Abrir facsímil</v>
      </c>
      <c r="K8538" s="12" t="s">
        <v>65</v>
      </c>
    </row>
    <row r="8539" spans="1:11" ht="40.049999999999997" customHeight="1" x14ac:dyDescent="0.25">
      <c r="A8539" s="11" t="s">
        <v>17341</v>
      </c>
      <c r="B8539" s="11" t="s">
        <v>17342</v>
      </c>
      <c r="C8539" s="11" t="s">
        <v>17</v>
      </c>
      <c r="D8539" s="11" t="s">
        <v>18</v>
      </c>
      <c r="E8539" s="12" t="s">
        <v>236</v>
      </c>
      <c r="F8539" s="12" t="s">
        <v>237</v>
      </c>
      <c r="G8539" s="12" t="s">
        <v>21</v>
      </c>
      <c r="H8539" s="11" t="s">
        <v>22</v>
      </c>
      <c r="I8539" s="13" t="s">
        <v>17343</v>
      </c>
      <c r="J8539" s="14" t="str">
        <f>HYPERLINK("https://www.boe.es/gazeta/dias/1839/09/18/pdfs/GMD-1839-1771.pdf#page=4","Abrir facsímil")</f>
        <v>Abrir facsímil</v>
      </c>
      <c r="K8539" s="12" t="s">
        <v>24</v>
      </c>
    </row>
    <row r="8540" spans="1:11" ht="40.049999999999997" customHeight="1" x14ac:dyDescent="0.25">
      <c r="A8540" s="11" t="s">
        <v>17344</v>
      </c>
      <c r="B8540" s="11" t="s">
        <v>17344</v>
      </c>
      <c r="C8540" s="11" t="s">
        <v>17</v>
      </c>
      <c r="D8540" s="11" t="s">
        <v>18</v>
      </c>
      <c r="E8540" s="12" t="s">
        <v>1584</v>
      </c>
      <c r="F8540" s="12" t="s">
        <v>1585</v>
      </c>
      <c r="G8540" s="12" t="s">
        <v>21</v>
      </c>
      <c r="H8540" s="11" t="s">
        <v>63</v>
      </c>
      <c r="I8540" s="13" t="s">
        <v>17345</v>
      </c>
      <c r="J8540" s="14" t="str">
        <f>HYPERLINK("https://www.boe.es/gazeta/dias/1839/11/20/pdfs/GMD-1839-1837.pdf#page=4","Abrir facsímil")</f>
        <v>Abrir facsímil</v>
      </c>
      <c r="K8540" s="12" t="s">
        <v>65</v>
      </c>
    </row>
    <row r="8541" spans="1:11" ht="40.049999999999997" customHeight="1" x14ac:dyDescent="0.25">
      <c r="A8541" s="11" t="s">
        <v>17346</v>
      </c>
      <c r="B8541" s="11" t="s">
        <v>17346</v>
      </c>
      <c r="C8541" s="11" t="s">
        <v>17</v>
      </c>
      <c r="D8541" s="11" t="s">
        <v>18</v>
      </c>
      <c r="E8541" s="12" t="s">
        <v>2443</v>
      </c>
      <c r="F8541" s="12" t="s">
        <v>2444</v>
      </c>
      <c r="G8541" s="12" t="s">
        <v>40</v>
      </c>
      <c r="H8541" s="11" t="s">
        <v>63</v>
      </c>
      <c r="I8541" s="13" t="s">
        <v>17347</v>
      </c>
      <c r="J8541" s="14" t="str">
        <f>HYPERLINK("https://www.boe.es/gazeta/dias/1839/11/02/pdfs/GMD-1839-1819.pdf#page=2","Abrir facsímil")</f>
        <v>Abrir facsímil</v>
      </c>
      <c r="K8541" s="12" t="s">
        <v>65</v>
      </c>
    </row>
    <row r="8542" spans="1:11" ht="40.049999999999997" customHeight="1" x14ac:dyDescent="0.25">
      <c r="A8542" s="11" t="s">
        <v>17348</v>
      </c>
      <c r="B8542" s="11" t="s">
        <v>17348</v>
      </c>
      <c r="C8542" s="11" t="s">
        <v>59</v>
      </c>
      <c r="D8542" s="11" t="s">
        <v>60</v>
      </c>
      <c r="E8542" s="12" t="s">
        <v>385</v>
      </c>
      <c r="F8542" s="12" t="s">
        <v>386</v>
      </c>
      <c r="G8542" s="12" t="s">
        <v>29</v>
      </c>
      <c r="H8542" s="11" t="s">
        <v>63</v>
      </c>
      <c r="I8542" s="13" t="s">
        <v>17349</v>
      </c>
      <c r="J8542" s="14" t="str">
        <f>HYPERLINK("https://www.boe.es/gazeta/dias/1839/08/01/pdfs/GMD-1839-1721.pdf#page=1","Abrir facsímil")</f>
        <v>Abrir facsímil</v>
      </c>
      <c r="K8542" s="12" t="s">
        <v>65</v>
      </c>
    </row>
    <row r="8543" spans="1:11" ht="40.049999999999997" customHeight="1" x14ac:dyDescent="0.25">
      <c r="A8543" s="11" t="s">
        <v>17348</v>
      </c>
      <c r="B8543" s="11" t="s">
        <v>17348</v>
      </c>
      <c r="C8543" s="11" t="s">
        <v>17</v>
      </c>
      <c r="D8543" s="11" t="s">
        <v>18</v>
      </c>
      <c r="E8543" s="12" t="s">
        <v>2107</v>
      </c>
      <c r="F8543" s="12" t="s">
        <v>2108</v>
      </c>
      <c r="G8543" s="12" t="s">
        <v>21</v>
      </c>
      <c r="H8543" s="11" t="s">
        <v>63</v>
      </c>
      <c r="I8543" s="13" t="s">
        <v>17350</v>
      </c>
      <c r="J8543" s="14" t="str">
        <f>HYPERLINK("https://www.boe.es/gazeta/dias/1839/10/11/pdfs/GMD-1839-1797.pdf#page=4","Abrir facsímil")</f>
        <v>Abrir facsímil</v>
      </c>
      <c r="K8543" s="12" t="s">
        <v>65</v>
      </c>
    </row>
    <row r="8544" spans="1:11" ht="40.049999999999997" customHeight="1" x14ac:dyDescent="0.25">
      <c r="A8544" s="11" t="s">
        <v>17351</v>
      </c>
      <c r="B8544" s="11" t="s">
        <v>17352</v>
      </c>
      <c r="C8544" s="11" t="s">
        <v>80</v>
      </c>
      <c r="D8544" s="11" t="s">
        <v>18</v>
      </c>
      <c r="E8544" s="12" t="s">
        <v>372</v>
      </c>
      <c r="F8544" s="12" t="s">
        <v>373</v>
      </c>
      <c r="G8544" s="12" t="s">
        <v>21</v>
      </c>
      <c r="H8544" s="11" t="s">
        <v>63</v>
      </c>
      <c r="I8544" s="13" t="s">
        <v>17353</v>
      </c>
      <c r="J8544" s="14" t="str">
        <f>HYPERLINK("https://www.boe.es/gazeta/dias/1839/11/08/pdfs/GMD-1839-1825.pdf#page=4","Abrir facsímil")</f>
        <v>Abrir facsímil</v>
      </c>
      <c r="K8544" s="12" t="s">
        <v>65</v>
      </c>
    </row>
    <row r="8545" spans="1:11" ht="40.049999999999997" customHeight="1" x14ac:dyDescent="0.25">
      <c r="A8545" s="11" t="s">
        <v>17351</v>
      </c>
      <c r="B8545" s="11" t="s">
        <v>17352</v>
      </c>
      <c r="C8545" s="11" t="s">
        <v>17</v>
      </c>
      <c r="D8545" s="11" t="s">
        <v>18</v>
      </c>
      <c r="E8545" s="12" t="s">
        <v>574</v>
      </c>
      <c r="F8545" s="12" t="s">
        <v>575</v>
      </c>
      <c r="G8545" s="12" t="s">
        <v>21</v>
      </c>
      <c r="H8545" s="11" t="s">
        <v>63</v>
      </c>
      <c r="I8545" s="13" t="s">
        <v>17354</v>
      </c>
      <c r="J8545" s="14" t="str">
        <f>HYPERLINK("https://www.boe.es/gazeta/dias/1839/09/28/pdfs/GMD-1839-1784.pdf#page=4","Abrir facsímil")</f>
        <v>Abrir facsímil</v>
      </c>
      <c r="K8545" s="12" t="s">
        <v>65</v>
      </c>
    </row>
    <row r="8546" spans="1:11" ht="40.049999999999997" customHeight="1" x14ac:dyDescent="0.25">
      <c r="A8546" s="11" t="s">
        <v>17355</v>
      </c>
      <c r="B8546" s="11" t="s">
        <v>17356</v>
      </c>
      <c r="C8546" s="11" t="s">
        <v>80</v>
      </c>
      <c r="D8546" s="11" t="s">
        <v>18</v>
      </c>
      <c r="E8546" s="12" t="s">
        <v>38</v>
      </c>
      <c r="F8546" s="12" t="s">
        <v>39</v>
      </c>
      <c r="G8546" s="12" t="s">
        <v>21</v>
      </c>
      <c r="H8546" s="11" t="s">
        <v>63</v>
      </c>
      <c r="I8546" s="13" t="s">
        <v>17357</v>
      </c>
      <c r="J8546" s="14" t="str">
        <f>HYPERLINK("https://www.boe.es/gazeta/dias/1839/08/08/pdfs/GMD-1839-1728.pdf#page=4","Abrir facsímil")</f>
        <v>Abrir facsímil</v>
      </c>
      <c r="K8546" s="12" t="s">
        <v>65</v>
      </c>
    </row>
    <row r="8547" spans="1:11" ht="40.049999999999997" customHeight="1" x14ac:dyDescent="0.25">
      <c r="A8547" s="11" t="s">
        <v>17358</v>
      </c>
      <c r="B8547" s="11" t="s">
        <v>17359</v>
      </c>
      <c r="C8547" s="11" t="s">
        <v>17</v>
      </c>
      <c r="D8547" s="11" t="s">
        <v>18</v>
      </c>
      <c r="E8547" s="12" t="s">
        <v>2320</v>
      </c>
      <c r="F8547" s="12" t="s">
        <v>2321</v>
      </c>
      <c r="G8547" s="12" t="s">
        <v>46</v>
      </c>
      <c r="H8547" s="11" t="s">
        <v>63</v>
      </c>
      <c r="I8547" s="13" t="s">
        <v>17360</v>
      </c>
      <c r="J8547" s="14" t="str">
        <f>HYPERLINK("https://www.boe.es/gazeta/dias/1839/11/13/pdfs/GMD-1839-1830.pdf#page=3","Abrir facsímil")</f>
        <v>Abrir facsímil</v>
      </c>
      <c r="K8547" s="12" t="s">
        <v>65</v>
      </c>
    </row>
    <row r="8548" spans="1:11" ht="40.049999999999997" customHeight="1" x14ac:dyDescent="0.25">
      <c r="A8548" s="11" t="s">
        <v>17361</v>
      </c>
      <c r="B8548" s="11" t="s">
        <v>17361</v>
      </c>
      <c r="C8548" s="11" t="s">
        <v>137</v>
      </c>
      <c r="D8548" s="11" t="s">
        <v>18</v>
      </c>
      <c r="E8548" s="12" t="s">
        <v>385</v>
      </c>
      <c r="F8548" s="12" t="s">
        <v>386</v>
      </c>
      <c r="G8548" s="12" t="s">
        <v>29</v>
      </c>
      <c r="H8548" s="11" t="s">
        <v>63</v>
      </c>
      <c r="I8548" s="13" t="s">
        <v>17362</v>
      </c>
      <c r="J8548" s="14" t="str">
        <f>HYPERLINK("https://www.boe.es/gazeta/dias/1839/08/01/pdfs/GMD-1839-1721.pdf#page=1","Abrir facsímil")</f>
        <v>Abrir facsímil</v>
      </c>
      <c r="K8548" s="12" t="s">
        <v>65</v>
      </c>
    </row>
    <row r="8549" spans="1:11" ht="40.049999999999997" customHeight="1" x14ac:dyDescent="0.25">
      <c r="A8549" s="11" t="s">
        <v>17361</v>
      </c>
      <c r="B8549" s="11" t="s">
        <v>17361</v>
      </c>
      <c r="C8549" s="11" t="s">
        <v>17</v>
      </c>
      <c r="D8549" s="11" t="s">
        <v>18</v>
      </c>
      <c r="E8549" s="12" t="s">
        <v>2443</v>
      </c>
      <c r="F8549" s="12" t="s">
        <v>2444</v>
      </c>
      <c r="G8549" s="12" t="s">
        <v>46</v>
      </c>
      <c r="H8549" s="11" t="s">
        <v>63</v>
      </c>
      <c r="I8549" s="13" t="s">
        <v>17363</v>
      </c>
      <c r="J8549" s="14" t="str">
        <f>HYPERLINK("https://www.boe.es/gazeta/dias/1839/11/02/pdfs/GMD-1839-1819.pdf#page=3","Abrir facsímil")</f>
        <v>Abrir facsímil</v>
      </c>
      <c r="K8549" s="12" t="s">
        <v>65</v>
      </c>
    </row>
    <row r="8550" spans="1:11" ht="40.049999999999997" customHeight="1" x14ac:dyDescent="0.25">
      <c r="A8550" s="11" t="s">
        <v>17361</v>
      </c>
      <c r="B8550" s="11" t="s">
        <v>17361</v>
      </c>
      <c r="C8550" s="11" t="s">
        <v>59</v>
      </c>
      <c r="D8550" s="11" t="s">
        <v>60</v>
      </c>
      <c r="E8550" s="12" t="s">
        <v>2210</v>
      </c>
      <c r="F8550" s="12" t="s">
        <v>2211</v>
      </c>
      <c r="G8550" s="12" t="s">
        <v>29</v>
      </c>
      <c r="H8550" s="11" t="s">
        <v>63</v>
      </c>
      <c r="I8550" s="13" t="s">
        <v>17364</v>
      </c>
      <c r="J8550" s="14" t="str">
        <f>HYPERLINK("https://www.boe.es/gazeta/dias/1839/09/05/pdfs/GMD-1839-1758.pdf#page=1","Abrir facsímil")</f>
        <v>Abrir facsímil</v>
      </c>
      <c r="K8550" s="12" t="s">
        <v>65</v>
      </c>
    </row>
    <row r="8551" spans="1:11" ht="40.049999999999997" customHeight="1" x14ac:dyDescent="0.25">
      <c r="A8551" s="11" t="s">
        <v>17361</v>
      </c>
      <c r="B8551" s="11" t="s">
        <v>17361</v>
      </c>
      <c r="C8551" s="11" t="s">
        <v>17</v>
      </c>
      <c r="D8551" s="11" t="s">
        <v>18</v>
      </c>
      <c r="E8551" s="12" t="s">
        <v>934</v>
      </c>
      <c r="F8551" s="12" t="s">
        <v>935</v>
      </c>
      <c r="G8551" s="12" t="s">
        <v>21</v>
      </c>
      <c r="H8551" s="11" t="s">
        <v>63</v>
      </c>
      <c r="I8551" s="13" t="s">
        <v>17365</v>
      </c>
      <c r="J8551" s="14" t="str">
        <f>HYPERLINK("https://www.boe.es/gazeta/dias/1839/11/07/pdfs/GMD-1839-1824.pdf#page=4","Abrir facsímil")</f>
        <v>Abrir facsímil</v>
      </c>
      <c r="K8551" s="12" t="s">
        <v>65</v>
      </c>
    </row>
    <row r="8552" spans="1:11" ht="40.049999999999997" customHeight="1" x14ac:dyDescent="0.25">
      <c r="A8552" s="11" t="s">
        <v>17361</v>
      </c>
      <c r="B8552" s="11" t="s">
        <v>17361</v>
      </c>
      <c r="C8552" s="11" t="s">
        <v>17</v>
      </c>
      <c r="D8552" s="11" t="s">
        <v>18</v>
      </c>
      <c r="E8552" s="12" t="s">
        <v>1648</v>
      </c>
      <c r="F8552" s="12" t="s">
        <v>2458</v>
      </c>
      <c r="G8552" s="12" t="s">
        <v>29</v>
      </c>
      <c r="H8552" s="11" t="s">
        <v>63</v>
      </c>
      <c r="I8552" s="13" t="s">
        <v>17366</v>
      </c>
      <c r="J8552" s="14" t="str">
        <f>HYPERLINK("https://www.boe.es/datos/pdfs/BOE//1839/1739/E00001-00001.pdf#page=1","Abrir facsímil")</f>
        <v>Abrir facsímil</v>
      </c>
      <c r="K8552" s="12" t="s">
        <v>65</v>
      </c>
    </row>
    <row r="8553" spans="1:11" ht="40.049999999999997" customHeight="1" x14ac:dyDescent="0.25">
      <c r="A8553" s="11" t="s">
        <v>17361</v>
      </c>
      <c r="B8553" s="11" t="s">
        <v>17361</v>
      </c>
      <c r="C8553" s="11" t="s">
        <v>59</v>
      </c>
      <c r="D8553" s="11" t="s">
        <v>60</v>
      </c>
      <c r="E8553" s="12" t="s">
        <v>1374</v>
      </c>
      <c r="F8553" s="12" t="s">
        <v>1375</v>
      </c>
      <c r="G8553" s="12" t="s">
        <v>40</v>
      </c>
      <c r="H8553" s="11" t="s">
        <v>63</v>
      </c>
      <c r="I8553" s="13" t="s">
        <v>17367</v>
      </c>
      <c r="J8553" s="14" t="str">
        <f>HYPERLINK("https://www.boe.es/gazeta/dias/1839/07/20/pdfs/GMD-1839-1708.pdf#page=2","Abrir facsímil")</f>
        <v>Abrir facsímil</v>
      </c>
      <c r="K8553" s="12" t="s">
        <v>65</v>
      </c>
    </row>
    <row r="8554" spans="1:11" ht="40.049999999999997" customHeight="1" x14ac:dyDescent="0.25">
      <c r="A8554" s="11" t="s">
        <v>17361</v>
      </c>
      <c r="B8554" s="11" t="s">
        <v>17361</v>
      </c>
      <c r="C8554" s="11" t="s">
        <v>80</v>
      </c>
      <c r="D8554" s="11" t="s">
        <v>18</v>
      </c>
      <c r="E8554" s="12" t="s">
        <v>246</v>
      </c>
      <c r="F8554" s="12" t="s">
        <v>247</v>
      </c>
      <c r="G8554" s="12" t="s">
        <v>46</v>
      </c>
      <c r="H8554" s="11" t="s">
        <v>63</v>
      </c>
      <c r="I8554" s="13" t="s">
        <v>17368</v>
      </c>
      <c r="J8554" s="14" t="str">
        <f>HYPERLINK("https://www.boe.es/gazeta/dias/1839/11/24/pdfs/GMD-1839-1841.pdf#page=3","Abrir facsímil")</f>
        <v>Abrir facsímil</v>
      </c>
      <c r="K8554" s="12" t="s">
        <v>65</v>
      </c>
    </row>
    <row r="8555" spans="1:11" ht="40.049999999999997" customHeight="1" x14ac:dyDescent="0.25">
      <c r="A8555" s="11" t="s">
        <v>17361</v>
      </c>
      <c r="B8555" s="11" t="s">
        <v>17361</v>
      </c>
      <c r="C8555" s="11" t="s">
        <v>59</v>
      </c>
      <c r="D8555" s="11" t="s">
        <v>60</v>
      </c>
      <c r="E8555" s="12" t="s">
        <v>1086</v>
      </c>
      <c r="F8555" s="12" t="s">
        <v>1087</v>
      </c>
      <c r="G8555" s="12" t="s">
        <v>40</v>
      </c>
      <c r="H8555" s="11" t="s">
        <v>63</v>
      </c>
      <c r="I8555" s="13" t="s">
        <v>17369</v>
      </c>
      <c r="J8555" s="14" t="str">
        <f>HYPERLINK("https://www.boe.es/gazeta/dias/1839/10/26/pdfs/GMD-1839-1812.pdf#page=2","Abrir facsímil")</f>
        <v>Abrir facsímil</v>
      </c>
      <c r="K8555" s="12" t="s">
        <v>65</v>
      </c>
    </row>
    <row r="8556" spans="1:11" ht="40.049999999999997" customHeight="1" x14ac:dyDescent="0.25">
      <c r="A8556" s="11" t="s">
        <v>17361</v>
      </c>
      <c r="B8556" s="11" t="s">
        <v>17361</v>
      </c>
      <c r="C8556" s="11" t="s">
        <v>17</v>
      </c>
      <c r="D8556" s="11" t="s">
        <v>18</v>
      </c>
      <c r="E8556" s="12" t="s">
        <v>287</v>
      </c>
      <c r="F8556" s="12" t="s">
        <v>288</v>
      </c>
      <c r="G8556" s="12" t="s">
        <v>46</v>
      </c>
      <c r="H8556" s="11" t="s">
        <v>63</v>
      </c>
      <c r="I8556" s="13" t="s">
        <v>17370</v>
      </c>
      <c r="J8556" s="14" t="str">
        <f>HYPERLINK("https://www.boe.es/gazeta/dias/1839/11/27/pdfs/GMD-1839-1844.pdf#page=3","Abrir facsímil")</f>
        <v>Abrir facsímil</v>
      </c>
      <c r="K8556" s="12" t="s">
        <v>65</v>
      </c>
    </row>
    <row r="8557" spans="1:11" ht="40.049999999999997" customHeight="1" x14ac:dyDescent="0.25">
      <c r="A8557" s="11" t="s">
        <v>17361</v>
      </c>
      <c r="B8557" s="11" t="s">
        <v>17361</v>
      </c>
      <c r="C8557" s="11" t="s">
        <v>80</v>
      </c>
      <c r="D8557" s="11" t="s">
        <v>18</v>
      </c>
      <c r="E8557" s="12" t="s">
        <v>89</v>
      </c>
      <c r="F8557" s="12" t="s">
        <v>90</v>
      </c>
      <c r="G8557" s="12" t="s">
        <v>29</v>
      </c>
      <c r="H8557" s="11" t="s">
        <v>63</v>
      </c>
      <c r="I8557" s="13" t="s">
        <v>17371</v>
      </c>
      <c r="J8557" s="14" t="str">
        <f>HYPERLINK("https://www.boe.es/gazeta/dias/1839/11/28/pdfs/GMD-1839-1845.pdf#page=1","Abrir facsímil")</f>
        <v>Abrir facsímil</v>
      </c>
      <c r="K8557" s="12" t="s">
        <v>65</v>
      </c>
    </row>
    <row r="8558" spans="1:11" ht="40.049999999999997" customHeight="1" x14ac:dyDescent="0.25">
      <c r="A8558" s="11" t="s">
        <v>17361</v>
      </c>
      <c r="B8558" s="11" t="s">
        <v>17361</v>
      </c>
      <c r="C8558" s="11" t="s">
        <v>59</v>
      </c>
      <c r="D8558" s="11" t="s">
        <v>60</v>
      </c>
      <c r="E8558" s="12" t="s">
        <v>312</v>
      </c>
      <c r="F8558" s="12" t="s">
        <v>313</v>
      </c>
      <c r="G8558" s="12" t="s">
        <v>46</v>
      </c>
      <c r="H8558" s="11" t="s">
        <v>63</v>
      </c>
      <c r="I8558" s="13" t="s">
        <v>17372</v>
      </c>
      <c r="J8558" s="14" t="str">
        <f>HYPERLINK("https://www.boe.es/gazeta/dias/1839/11/30/pdfs/GMD-1839-1847.pdf#page=3","Abrir facsímil")</f>
        <v>Abrir facsímil</v>
      </c>
      <c r="K8558" s="12" t="s">
        <v>65</v>
      </c>
    </row>
    <row r="8559" spans="1:11" ht="40.049999999999997" customHeight="1" x14ac:dyDescent="0.25">
      <c r="A8559" s="11" t="s">
        <v>17373</v>
      </c>
      <c r="B8559" s="11" t="s">
        <v>17374</v>
      </c>
      <c r="C8559" s="11" t="s">
        <v>137</v>
      </c>
      <c r="D8559" s="11" t="s">
        <v>18</v>
      </c>
      <c r="E8559" s="12" t="s">
        <v>1301</v>
      </c>
      <c r="F8559" s="12" t="s">
        <v>1302</v>
      </c>
      <c r="G8559" s="12" t="s">
        <v>29</v>
      </c>
      <c r="H8559" s="11" t="s">
        <v>63</v>
      </c>
      <c r="I8559" s="13" t="s">
        <v>17375</v>
      </c>
      <c r="J8559" s="14" t="str">
        <f>HYPERLINK("https://www.boe.es/gazeta/dias/1839/11/16/pdfs/GMD-1839-1833.pdf#page=1","Abrir facsímil")</f>
        <v>Abrir facsímil</v>
      </c>
      <c r="K8559" s="12" t="s">
        <v>65</v>
      </c>
    </row>
    <row r="8560" spans="1:11" ht="40.049999999999997" customHeight="1" x14ac:dyDescent="0.25">
      <c r="A8560" s="11" t="s">
        <v>17376</v>
      </c>
      <c r="B8560" s="11" t="s">
        <v>17376</v>
      </c>
      <c r="C8560" s="11" t="s">
        <v>137</v>
      </c>
      <c r="D8560" s="11" t="s">
        <v>18</v>
      </c>
      <c r="E8560" s="12" t="s">
        <v>912</v>
      </c>
      <c r="F8560" s="12" t="s">
        <v>913</v>
      </c>
      <c r="G8560" s="12" t="s">
        <v>40</v>
      </c>
      <c r="H8560" s="11" t="s">
        <v>63</v>
      </c>
      <c r="I8560" s="13" t="s">
        <v>17377</v>
      </c>
      <c r="J8560" s="14" t="str">
        <f>HYPERLINK("https://www.boe.es/gazeta/dias/1839/04/30/pdfs/GMD-1839-1627.pdf#page=2","Abrir facsímil")</f>
        <v>Abrir facsímil</v>
      </c>
      <c r="K8560" s="12" t="s">
        <v>65</v>
      </c>
    </row>
    <row r="8561" spans="1:11" ht="40.049999999999997" customHeight="1" x14ac:dyDescent="0.25">
      <c r="A8561" s="11" t="s">
        <v>17378</v>
      </c>
      <c r="B8561" s="11" t="s">
        <v>17378</v>
      </c>
      <c r="C8561" s="11" t="s">
        <v>80</v>
      </c>
      <c r="D8561" s="11" t="s">
        <v>18</v>
      </c>
      <c r="E8561" s="12" t="s">
        <v>1666</v>
      </c>
      <c r="F8561" s="12" t="s">
        <v>1667</v>
      </c>
      <c r="G8561" s="12" t="s">
        <v>21</v>
      </c>
      <c r="H8561" s="11" t="s">
        <v>63</v>
      </c>
      <c r="I8561" s="13" t="s">
        <v>17379</v>
      </c>
      <c r="J8561" s="14" t="str">
        <f>HYPERLINK("https://www.boe.es/gazeta/dias/1839/04/22/pdfs/GMD-1839-1619.pdf#page=4","Abrir facsímil")</f>
        <v>Abrir facsímil</v>
      </c>
      <c r="K8561" s="12" t="s">
        <v>65</v>
      </c>
    </row>
    <row r="8562" spans="1:11" ht="40.049999999999997" customHeight="1" x14ac:dyDescent="0.25">
      <c r="A8562" s="11" t="s">
        <v>17380</v>
      </c>
      <c r="B8562" s="11" t="s">
        <v>17381</v>
      </c>
      <c r="C8562" s="11" t="s">
        <v>80</v>
      </c>
      <c r="D8562" s="11" t="s">
        <v>18</v>
      </c>
      <c r="E8562" s="12" t="s">
        <v>2839</v>
      </c>
      <c r="F8562" s="12" t="s">
        <v>2840</v>
      </c>
      <c r="G8562" s="12" t="s">
        <v>29</v>
      </c>
      <c r="H8562" s="11" t="s">
        <v>63</v>
      </c>
      <c r="I8562" s="13" t="s">
        <v>17382</v>
      </c>
      <c r="J8562" s="14" t="str">
        <f>HYPERLINK("https://www.boe.es/gazeta/dias/1839/03/06/pdfs/GMD-1839-1572.pdf#page=1","Abrir facsímil")</f>
        <v>Abrir facsímil</v>
      </c>
      <c r="K8562" s="12" t="s">
        <v>65</v>
      </c>
    </row>
    <row r="8563" spans="1:11" ht="40.049999999999997" customHeight="1" x14ac:dyDescent="0.25">
      <c r="A8563" s="11" t="s">
        <v>17380</v>
      </c>
      <c r="B8563" s="11" t="s">
        <v>17381</v>
      </c>
      <c r="C8563" s="11" t="s">
        <v>137</v>
      </c>
      <c r="D8563" s="11" t="s">
        <v>18</v>
      </c>
      <c r="E8563" s="12" t="s">
        <v>1027</v>
      </c>
      <c r="F8563" s="12" t="s">
        <v>1028</v>
      </c>
      <c r="G8563" s="12" t="s">
        <v>21</v>
      </c>
      <c r="H8563" s="11" t="s">
        <v>63</v>
      </c>
      <c r="I8563" s="13" t="s">
        <v>17383</v>
      </c>
      <c r="J8563" s="14" t="str">
        <f>HYPERLINK("https://www.boe.es/gazeta/dias/1839/08/16/pdfs/GMD-1839-1736.pdf#page=4","Abrir facsímil")</f>
        <v>Abrir facsímil</v>
      </c>
      <c r="K8563" s="12" t="s">
        <v>65</v>
      </c>
    </row>
    <row r="8564" spans="1:11" ht="40.049999999999997" customHeight="1" x14ac:dyDescent="0.25">
      <c r="A8564" s="11" t="s">
        <v>17380</v>
      </c>
      <c r="B8564" s="11" t="s">
        <v>17381</v>
      </c>
      <c r="C8564" s="11" t="s">
        <v>137</v>
      </c>
      <c r="D8564" s="11" t="s">
        <v>18</v>
      </c>
      <c r="E8564" s="12" t="s">
        <v>1406</v>
      </c>
      <c r="F8564" s="12" t="s">
        <v>1407</v>
      </c>
      <c r="G8564" s="12" t="s">
        <v>21</v>
      </c>
      <c r="H8564" s="11" t="s">
        <v>63</v>
      </c>
      <c r="I8564" s="13" t="s">
        <v>17384</v>
      </c>
      <c r="J8564" s="14" t="str">
        <f>HYPERLINK("https://www.boe.es/gazeta/dias/1839/07/18/pdfs/GMD-1839-1706.pdf#page=4","Abrir facsímil")</f>
        <v>Abrir facsímil</v>
      </c>
      <c r="K8564" s="12" t="s">
        <v>65</v>
      </c>
    </row>
    <row r="8565" spans="1:11" ht="40.049999999999997" customHeight="1" x14ac:dyDescent="0.25">
      <c r="A8565" s="11" t="s">
        <v>17385</v>
      </c>
      <c r="B8565" s="11" t="s">
        <v>17386</v>
      </c>
      <c r="C8565" s="11" t="s">
        <v>80</v>
      </c>
      <c r="D8565" s="11" t="s">
        <v>18</v>
      </c>
      <c r="E8565" s="12" t="s">
        <v>1909</v>
      </c>
      <c r="F8565" s="12" t="s">
        <v>1910</v>
      </c>
      <c r="G8565" s="12" t="s">
        <v>21</v>
      </c>
      <c r="H8565" s="11" t="s">
        <v>63</v>
      </c>
      <c r="I8565" s="13" t="s">
        <v>17387</v>
      </c>
      <c r="J8565" s="14" t="str">
        <f>HYPERLINK("https://www.boe.es/gazeta/dias/1839/10/27/pdfs/GMD-1839-1813.pdf#page=4","Abrir facsímil")</f>
        <v>Abrir facsímil</v>
      </c>
      <c r="K8565" s="12" t="s">
        <v>65</v>
      </c>
    </row>
    <row r="8566" spans="1:11" ht="40.049999999999997" customHeight="1" x14ac:dyDescent="0.25">
      <c r="A8566" s="11" t="s">
        <v>17388</v>
      </c>
      <c r="B8566" s="11" t="s">
        <v>17388</v>
      </c>
      <c r="C8566" s="11" t="s">
        <v>137</v>
      </c>
      <c r="D8566" s="11" t="s">
        <v>18</v>
      </c>
      <c r="E8566" s="12" t="s">
        <v>262</v>
      </c>
      <c r="F8566" s="12" t="s">
        <v>263</v>
      </c>
      <c r="G8566" s="12" t="s">
        <v>29</v>
      </c>
      <c r="H8566" s="11" t="s">
        <v>22</v>
      </c>
      <c r="I8566" s="13" t="s">
        <v>17389</v>
      </c>
      <c r="J8566" s="14" t="str">
        <f>HYPERLINK("https://www.boe.es/gazeta/dias/1839/01/01/pdfs/GMD-1839-1508.pdf#page=1","Abrir facsímil")</f>
        <v>Abrir facsímil</v>
      </c>
      <c r="K8566" s="12" t="s">
        <v>24</v>
      </c>
    </row>
    <row r="8567" spans="1:11" ht="40.049999999999997" customHeight="1" x14ac:dyDescent="0.25">
      <c r="A8567" s="11" t="s">
        <v>17390</v>
      </c>
      <c r="B8567" s="11" t="s">
        <v>17390</v>
      </c>
      <c r="C8567" s="11" t="s">
        <v>137</v>
      </c>
      <c r="D8567" s="11" t="s">
        <v>18</v>
      </c>
      <c r="E8567" s="12" t="s">
        <v>262</v>
      </c>
      <c r="F8567" s="12" t="s">
        <v>263</v>
      </c>
      <c r="G8567" s="12" t="s">
        <v>40</v>
      </c>
      <c r="H8567" s="11" t="s">
        <v>63</v>
      </c>
      <c r="I8567" s="13" t="s">
        <v>17391</v>
      </c>
      <c r="J8567" s="14" t="str">
        <f>HYPERLINK("https://www.boe.es/gazeta/dias/1839/01/01/pdfs/GMD-1839-1508.pdf#page=2","Abrir facsímil")</f>
        <v>Abrir facsímil</v>
      </c>
      <c r="K8567" s="12" t="s">
        <v>65</v>
      </c>
    </row>
    <row r="8568" spans="1:11" ht="40.049999999999997" customHeight="1" x14ac:dyDescent="0.25">
      <c r="A8568" s="11" t="s">
        <v>17392</v>
      </c>
      <c r="B8568" s="11" t="s">
        <v>17392</v>
      </c>
      <c r="C8568" s="11" t="s">
        <v>17</v>
      </c>
      <c r="D8568" s="11" t="s">
        <v>18</v>
      </c>
      <c r="E8568" s="12" t="s">
        <v>1644</v>
      </c>
      <c r="F8568" s="12" t="s">
        <v>1645</v>
      </c>
      <c r="G8568" s="12" t="s">
        <v>21</v>
      </c>
      <c r="H8568" s="11" t="s">
        <v>63</v>
      </c>
      <c r="I8568" s="13" t="s">
        <v>17393</v>
      </c>
      <c r="J8568" s="14" t="str">
        <f>HYPERLINK("https://www.boe.es/gazeta/dias/1839/04/16/pdfs/GMD-1839-1613.pdf#page=4","Abrir facsímil")</f>
        <v>Abrir facsímil</v>
      </c>
      <c r="K8568" s="12" t="s">
        <v>65</v>
      </c>
    </row>
    <row r="8569" spans="1:11" ht="40.049999999999997" customHeight="1" x14ac:dyDescent="0.25">
      <c r="A8569" s="11" t="s">
        <v>17394</v>
      </c>
      <c r="B8569" s="11" t="s">
        <v>17395</v>
      </c>
      <c r="C8569" s="11" t="s">
        <v>17</v>
      </c>
      <c r="D8569" s="11" t="s">
        <v>18</v>
      </c>
      <c r="E8569" s="12" t="s">
        <v>798</v>
      </c>
      <c r="F8569" s="12" t="s">
        <v>799</v>
      </c>
      <c r="G8569" s="12" t="s">
        <v>40</v>
      </c>
      <c r="H8569" s="11" t="s">
        <v>63</v>
      </c>
      <c r="I8569" s="13" t="s">
        <v>17396</v>
      </c>
      <c r="J8569" s="14" t="str">
        <f>HYPERLINK("https://www.boe.es/gazeta/dias/1839/09/03/pdfs/GMD-1839-1755.pdf#page=2","Abrir facsímil")</f>
        <v>Abrir facsímil</v>
      </c>
      <c r="K8569" s="12" t="s">
        <v>65</v>
      </c>
    </row>
    <row r="8570" spans="1:11" ht="40.049999999999997" customHeight="1" x14ac:dyDescent="0.25">
      <c r="A8570" s="11" t="s">
        <v>17397</v>
      </c>
      <c r="B8570" s="11" t="s">
        <v>17397</v>
      </c>
      <c r="C8570" s="11" t="s">
        <v>17</v>
      </c>
      <c r="D8570" s="11" t="s">
        <v>18</v>
      </c>
      <c r="E8570" s="12" t="s">
        <v>1159</v>
      </c>
      <c r="F8570" s="12" t="s">
        <v>1160</v>
      </c>
      <c r="G8570" s="12" t="s">
        <v>46</v>
      </c>
      <c r="H8570" s="11" t="s">
        <v>63</v>
      </c>
      <c r="I8570" s="13" t="s">
        <v>17398</v>
      </c>
      <c r="J8570" s="14" t="str">
        <f>HYPERLINK("https://www.boe.es/gazeta/dias/1839/11/26/pdfs/GMD-1839-1843.pdf#page=3","Abrir facsímil")</f>
        <v>Abrir facsímil</v>
      </c>
      <c r="K8570" s="12" t="s">
        <v>65</v>
      </c>
    </row>
    <row r="8571" spans="1:11" ht="40.049999999999997" customHeight="1" x14ac:dyDescent="0.25">
      <c r="A8571" s="11" t="s">
        <v>17399</v>
      </c>
      <c r="B8571" s="11" t="s">
        <v>17400</v>
      </c>
      <c r="C8571" s="11" t="s">
        <v>80</v>
      </c>
      <c r="D8571" s="11" t="s">
        <v>18</v>
      </c>
      <c r="E8571" s="12" t="s">
        <v>907</v>
      </c>
      <c r="F8571" s="12" t="s">
        <v>908</v>
      </c>
      <c r="G8571" s="12" t="s">
        <v>40</v>
      </c>
      <c r="H8571" s="11" t="s">
        <v>63</v>
      </c>
      <c r="I8571" s="13" t="s">
        <v>17401</v>
      </c>
      <c r="J8571" s="14" t="str">
        <f>HYPERLINK("https://www.boe.es/gazeta/dias/1839/07/31/pdfs/GMD-1839-1720.pdf#page=2","Abrir facsímil")</f>
        <v>Abrir facsímil</v>
      </c>
      <c r="K8571" s="12" t="s">
        <v>65</v>
      </c>
    </row>
    <row r="8572" spans="1:11" ht="40.049999999999997" customHeight="1" x14ac:dyDescent="0.25">
      <c r="A8572" s="11" t="s">
        <v>17402</v>
      </c>
      <c r="B8572" s="11" t="s">
        <v>17402</v>
      </c>
      <c r="C8572" s="11" t="s">
        <v>59</v>
      </c>
      <c r="D8572" s="11" t="s">
        <v>60</v>
      </c>
      <c r="E8572" s="12" t="s">
        <v>1551</v>
      </c>
      <c r="F8572" s="12" t="s">
        <v>1552</v>
      </c>
      <c r="G8572" s="12" t="s">
        <v>46</v>
      </c>
      <c r="H8572" s="11" t="s">
        <v>63</v>
      </c>
      <c r="I8572" s="13" t="s">
        <v>17403</v>
      </c>
      <c r="J8572" s="14" t="str">
        <f>HYPERLINK("https://www.boe.es/gazeta/dias/1839/06/30/pdfs/GMD-1839-1688.pdf#page=3","Abrir facsímil")</f>
        <v>Abrir facsímil</v>
      </c>
      <c r="K8572" s="12" t="s">
        <v>65</v>
      </c>
    </row>
    <row r="8573" spans="1:11" ht="40.049999999999997" customHeight="1" x14ac:dyDescent="0.25">
      <c r="A8573" s="11" t="s">
        <v>17404</v>
      </c>
      <c r="B8573" s="11" t="s">
        <v>17405</v>
      </c>
      <c r="C8573" s="11" t="s">
        <v>59</v>
      </c>
      <c r="D8573" s="11" t="s">
        <v>60</v>
      </c>
      <c r="E8573" s="12" t="s">
        <v>1460</v>
      </c>
      <c r="F8573" s="12" t="s">
        <v>1461</v>
      </c>
      <c r="G8573" s="12" t="s">
        <v>46</v>
      </c>
      <c r="H8573" s="11" t="s">
        <v>63</v>
      </c>
      <c r="I8573" s="13" t="s">
        <v>17406</v>
      </c>
      <c r="J8573" s="14" t="str">
        <f>HYPERLINK("https://www.boe.es/gazeta/dias/1839/03/01/pdfs/GMD-1839-1567.pdf#page=3","Abrir facsímil")</f>
        <v>Abrir facsímil</v>
      </c>
      <c r="K8573" s="12" t="s">
        <v>65</v>
      </c>
    </row>
    <row r="8574" spans="1:11" ht="40.049999999999997" customHeight="1" x14ac:dyDescent="0.25">
      <c r="A8574" s="11" t="s">
        <v>17407</v>
      </c>
      <c r="B8574" s="11" t="s">
        <v>17408</v>
      </c>
      <c r="C8574" s="11" t="s">
        <v>17</v>
      </c>
      <c r="D8574" s="11" t="s">
        <v>18</v>
      </c>
      <c r="E8574" s="12" t="s">
        <v>185</v>
      </c>
      <c r="F8574" s="12" t="s">
        <v>186</v>
      </c>
      <c r="G8574" s="12" t="s">
        <v>21</v>
      </c>
      <c r="H8574" s="11" t="s">
        <v>63</v>
      </c>
      <c r="I8574" s="13" t="s">
        <v>17409</v>
      </c>
      <c r="J8574" s="14" t="str">
        <f>HYPERLINK("https://www.boe.es/gazeta/dias/1839/01/15/pdfs/GMD-1839-1522.pdf#page=4","Abrir facsímil")</f>
        <v>Abrir facsímil</v>
      </c>
      <c r="K8574" s="12" t="s">
        <v>65</v>
      </c>
    </row>
    <row r="8575" spans="1:11" ht="40.049999999999997" customHeight="1" x14ac:dyDescent="0.25">
      <c r="A8575" s="11" t="s">
        <v>17410</v>
      </c>
      <c r="B8575" s="11" t="s">
        <v>17411</v>
      </c>
      <c r="C8575" s="11" t="s">
        <v>17</v>
      </c>
      <c r="D8575" s="11" t="s">
        <v>18</v>
      </c>
      <c r="E8575" s="12" t="s">
        <v>3224</v>
      </c>
      <c r="F8575" s="12" t="s">
        <v>3225</v>
      </c>
      <c r="G8575" s="12" t="s">
        <v>21</v>
      </c>
      <c r="H8575" s="11" t="s">
        <v>22</v>
      </c>
      <c r="I8575" s="13" t="s">
        <v>17412</v>
      </c>
      <c r="J8575" s="14" t="str">
        <f>HYPERLINK("https://www.boe.es/gazeta/dias/1839/06/03/pdfs/GMD-1839-1661.pdf#page=4","Abrir facsímil")</f>
        <v>Abrir facsímil</v>
      </c>
      <c r="K8575" s="12" t="s">
        <v>24</v>
      </c>
    </row>
    <row r="8576" spans="1:11" ht="40.049999999999997" customHeight="1" x14ac:dyDescent="0.25">
      <c r="A8576" s="11" t="s">
        <v>17410</v>
      </c>
      <c r="B8576" s="11" t="s">
        <v>17411</v>
      </c>
      <c r="C8576" s="11" t="s">
        <v>80</v>
      </c>
      <c r="D8576" s="11" t="s">
        <v>18</v>
      </c>
      <c r="E8576" s="12" t="s">
        <v>197</v>
      </c>
      <c r="F8576" s="12" t="s">
        <v>198</v>
      </c>
      <c r="G8576" s="12" t="s">
        <v>21</v>
      </c>
      <c r="H8576" s="11" t="s">
        <v>22</v>
      </c>
      <c r="I8576" s="13" t="s">
        <v>17413</v>
      </c>
      <c r="J8576" s="14" t="str">
        <f>HYPERLINK("https://www.boe.es/gazeta/dias/1839/10/04/pdfs/GMD-1839-1790.pdf#page=4","Abrir facsímil")</f>
        <v>Abrir facsímil</v>
      </c>
      <c r="K8576" s="12" t="s">
        <v>24</v>
      </c>
    </row>
    <row r="8577" spans="1:11" ht="40.049999999999997" customHeight="1" x14ac:dyDescent="0.25">
      <c r="A8577" s="11" t="s">
        <v>17410</v>
      </c>
      <c r="B8577" s="11" t="s">
        <v>17411</v>
      </c>
      <c r="C8577" s="11" t="s">
        <v>17</v>
      </c>
      <c r="D8577" s="11" t="s">
        <v>18</v>
      </c>
      <c r="E8577" s="12" t="s">
        <v>409</v>
      </c>
      <c r="F8577" s="12" t="s">
        <v>410</v>
      </c>
      <c r="G8577" s="12" t="s">
        <v>21</v>
      </c>
      <c r="H8577" s="11" t="s">
        <v>22</v>
      </c>
      <c r="I8577" s="13" t="s">
        <v>17414</v>
      </c>
      <c r="J8577" s="14" t="str">
        <f>HYPERLINK("https://www.boe.es/gazeta/dias/1839/07/05/pdfs/GMD-1839-1693.pdf#page=4","Abrir facsímil")</f>
        <v>Abrir facsímil</v>
      </c>
      <c r="K8577" s="12" t="s">
        <v>24</v>
      </c>
    </row>
    <row r="8578" spans="1:11" ht="40.049999999999997" customHeight="1" x14ac:dyDescent="0.25">
      <c r="A8578" s="11" t="s">
        <v>17410</v>
      </c>
      <c r="B8578" s="11" t="s">
        <v>17411</v>
      </c>
      <c r="C8578" s="11" t="s">
        <v>17</v>
      </c>
      <c r="D8578" s="11" t="s">
        <v>18</v>
      </c>
      <c r="E8578" s="12" t="s">
        <v>998</v>
      </c>
      <c r="F8578" s="12" t="s">
        <v>999</v>
      </c>
      <c r="G8578" s="12" t="s">
        <v>21</v>
      </c>
      <c r="H8578" s="11" t="s">
        <v>22</v>
      </c>
      <c r="I8578" s="13" t="s">
        <v>17415</v>
      </c>
      <c r="J8578" s="14" t="str">
        <f>HYPERLINK("https://www.boe.es/gazeta/dias/1839/05/06/pdfs/GMD-1839-1633.pdf#page=4","Abrir facsímil")</f>
        <v>Abrir facsímil</v>
      </c>
      <c r="K8578" s="12" t="s">
        <v>24</v>
      </c>
    </row>
    <row r="8579" spans="1:11" ht="40.049999999999997" customHeight="1" x14ac:dyDescent="0.25">
      <c r="A8579" s="11" t="s">
        <v>17410</v>
      </c>
      <c r="B8579" s="11" t="s">
        <v>17411</v>
      </c>
      <c r="C8579" s="11" t="s">
        <v>137</v>
      </c>
      <c r="D8579" s="11" t="s">
        <v>18</v>
      </c>
      <c r="E8579" s="12" t="s">
        <v>548</v>
      </c>
      <c r="F8579" s="12" t="s">
        <v>549</v>
      </c>
      <c r="G8579" s="12" t="s">
        <v>21</v>
      </c>
      <c r="H8579" s="11" t="s">
        <v>22</v>
      </c>
      <c r="I8579" s="13" t="s">
        <v>17416</v>
      </c>
      <c r="J8579" s="14" t="str">
        <f>HYPERLINK("https://www.boe.es/gazeta/dias/1839/06/06/pdfs/GMD-1839-1664.pdf#page=4","Abrir facsímil")</f>
        <v>Abrir facsímil</v>
      </c>
      <c r="K8579" s="12" t="s">
        <v>24</v>
      </c>
    </row>
    <row r="8580" spans="1:11" ht="40.049999999999997" customHeight="1" x14ac:dyDescent="0.25">
      <c r="A8580" s="11" t="s">
        <v>17410</v>
      </c>
      <c r="B8580" s="11" t="s">
        <v>17411</v>
      </c>
      <c r="C8580" s="11" t="s">
        <v>17</v>
      </c>
      <c r="D8580" s="11" t="s">
        <v>18</v>
      </c>
      <c r="E8580" s="12" t="s">
        <v>217</v>
      </c>
      <c r="F8580" s="12" t="s">
        <v>218</v>
      </c>
      <c r="G8580" s="12" t="s">
        <v>21</v>
      </c>
      <c r="H8580" s="11" t="s">
        <v>22</v>
      </c>
      <c r="I8580" s="13" t="s">
        <v>17417</v>
      </c>
      <c r="J8580" s="14" t="str">
        <f>HYPERLINK("https://www.boe.es/gazeta/dias/1839/08/06/pdfs/GMD-1839-1726.pdf#page=4","Abrir facsímil")</f>
        <v>Abrir facsímil</v>
      </c>
      <c r="K8580" s="12" t="s">
        <v>24</v>
      </c>
    </row>
    <row r="8581" spans="1:11" ht="40.049999999999997" customHeight="1" x14ac:dyDescent="0.25">
      <c r="A8581" s="11" t="s">
        <v>17410</v>
      </c>
      <c r="B8581" s="11" t="s">
        <v>17411</v>
      </c>
      <c r="C8581" s="11" t="s">
        <v>17</v>
      </c>
      <c r="D8581" s="11" t="s">
        <v>43</v>
      </c>
      <c r="E8581" s="12" t="s">
        <v>1623</v>
      </c>
      <c r="F8581" s="12" t="s">
        <v>1624</v>
      </c>
      <c r="G8581" s="12" t="s">
        <v>21</v>
      </c>
      <c r="H8581" s="11" t="s">
        <v>22</v>
      </c>
      <c r="I8581" s="13" t="s">
        <v>17418</v>
      </c>
      <c r="J8581" s="14" t="str">
        <f>HYPERLINK("https://www.boe.es/gazeta/dias/1839/04/07/pdfs/GMD-1839-1604.pdf#page=4","Abrir facsímil")</f>
        <v>Abrir facsímil</v>
      </c>
      <c r="K8581" s="12" t="s">
        <v>24</v>
      </c>
    </row>
    <row r="8582" spans="1:11" ht="40.049999999999997" customHeight="1" x14ac:dyDescent="0.25">
      <c r="A8582" s="11" t="s">
        <v>17410</v>
      </c>
      <c r="B8582" s="11" t="s">
        <v>17411</v>
      </c>
      <c r="C8582" s="11" t="s">
        <v>17</v>
      </c>
      <c r="D8582" s="11" t="s">
        <v>18</v>
      </c>
      <c r="E8582" s="12" t="s">
        <v>1772</v>
      </c>
      <c r="F8582" s="12" t="s">
        <v>1773</v>
      </c>
      <c r="G8582" s="12" t="s">
        <v>21</v>
      </c>
      <c r="H8582" s="11" t="s">
        <v>22</v>
      </c>
      <c r="I8582" s="13" t="s">
        <v>17419</v>
      </c>
      <c r="J8582" s="14" t="str">
        <f>HYPERLINK("https://www.boe.es/gazeta/dias/1839/05/07/pdfs/GMD-1839-1634.pdf#page=4","Abrir facsímil")</f>
        <v>Abrir facsímil</v>
      </c>
      <c r="K8582" s="12" t="s">
        <v>24</v>
      </c>
    </row>
    <row r="8583" spans="1:11" ht="40.049999999999997" customHeight="1" x14ac:dyDescent="0.25">
      <c r="A8583" s="11" t="s">
        <v>17410</v>
      </c>
      <c r="B8583" s="11" t="s">
        <v>17411</v>
      </c>
      <c r="C8583" s="11" t="s">
        <v>17</v>
      </c>
      <c r="D8583" s="11" t="s">
        <v>18</v>
      </c>
      <c r="E8583" s="12" t="s">
        <v>2301</v>
      </c>
      <c r="F8583" s="12" t="s">
        <v>2302</v>
      </c>
      <c r="G8583" s="12" t="s">
        <v>21</v>
      </c>
      <c r="H8583" s="11" t="s">
        <v>22</v>
      </c>
      <c r="I8583" s="13" t="s">
        <v>17420</v>
      </c>
      <c r="J8583" s="14" t="str">
        <f>HYPERLINK("https://www.boe.es/gazeta/dias/1839/09/08/pdfs/GMD-1839-1761.pdf#page=4","Abrir facsímil")</f>
        <v>Abrir facsímil</v>
      </c>
      <c r="K8583" s="12" t="s">
        <v>24</v>
      </c>
    </row>
    <row r="8584" spans="1:11" ht="40.049999999999997" customHeight="1" x14ac:dyDescent="0.25">
      <c r="A8584" s="11" t="s">
        <v>17410</v>
      </c>
      <c r="B8584" s="11" t="s">
        <v>17411</v>
      </c>
      <c r="C8584" s="11" t="s">
        <v>137</v>
      </c>
      <c r="D8584" s="11" t="s">
        <v>18</v>
      </c>
      <c r="E8584" s="12" t="s">
        <v>138</v>
      </c>
      <c r="F8584" s="12" t="s">
        <v>139</v>
      </c>
      <c r="G8584" s="12" t="s">
        <v>21</v>
      </c>
      <c r="H8584" s="11" t="s">
        <v>22</v>
      </c>
      <c r="I8584" s="13" t="s">
        <v>17421</v>
      </c>
      <c r="J8584" s="14" t="str">
        <f>HYPERLINK("https://www.boe.es/gazeta/dias/1839/10/09/pdfs/GMD-1839-1795.pdf#page=4","Abrir facsímil")</f>
        <v>Abrir facsímil</v>
      </c>
      <c r="K8584" s="12" t="s">
        <v>24</v>
      </c>
    </row>
    <row r="8585" spans="1:11" ht="40.049999999999997" customHeight="1" x14ac:dyDescent="0.25">
      <c r="A8585" s="11" t="s">
        <v>17410</v>
      </c>
      <c r="B8585" s="11" t="s">
        <v>17411</v>
      </c>
      <c r="C8585" s="11" t="s">
        <v>17</v>
      </c>
      <c r="D8585" s="11" t="s">
        <v>18</v>
      </c>
      <c r="E8585" s="12" t="s">
        <v>984</v>
      </c>
      <c r="F8585" s="12" t="s">
        <v>985</v>
      </c>
      <c r="G8585" s="12" t="s">
        <v>21</v>
      </c>
      <c r="H8585" s="11" t="s">
        <v>22</v>
      </c>
      <c r="I8585" s="13" t="s">
        <v>17422</v>
      </c>
      <c r="J8585" s="14" t="str">
        <f>HYPERLINK("https://www.boe.es/gazeta/dias/1839/04/10/pdfs/GMD-1839-1607.pdf#page=4","Abrir facsímil")</f>
        <v>Abrir facsímil</v>
      </c>
      <c r="K8585" s="12" t="s">
        <v>24</v>
      </c>
    </row>
    <row r="8586" spans="1:11" ht="40.049999999999997" customHeight="1" x14ac:dyDescent="0.25">
      <c r="A8586" s="11" t="s">
        <v>17410</v>
      </c>
      <c r="B8586" s="11" t="s">
        <v>17411</v>
      </c>
      <c r="C8586" s="11" t="s">
        <v>80</v>
      </c>
      <c r="D8586" s="11" t="s">
        <v>173</v>
      </c>
      <c r="E8586" s="12" t="s">
        <v>3289</v>
      </c>
      <c r="F8586" s="12" t="s">
        <v>3290</v>
      </c>
      <c r="G8586" s="12" t="s">
        <v>21</v>
      </c>
      <c r="H8586" s="11" t="s">
        <v>22</v>
      </c>
      <c r="I8586" s="13" t="s">
        <v>17423</v>
      </c>
      <c r="J8586" s="14" t="str">
        <f>HYPERLINK("https://www.boe.es/gazeta/dias/1839/12/10/pdfs/GMD-1839-1857.pdf#page=4","Abrir facsímil")</f>
        <v>Abrir facsímil</v>
      </c>
      <c r="K8586" s="12" t="s">
        <v>24</v>
      </c>
    </row>
    <row r="8587" spans="1:11" ht="40.049999999999997" customHeight="1" x14ac:dyDescent="0.25">
      <c r="A8587" s="11" t="s">
        <v>17410</v>
      </c>
      <c r="B8587" s="11" t="s">
        <v>17411</v>
      </c>
      <c r="C8587" s="11" t="s">
        <v>101</v>
      </c>
      <c r="D8587" s="11" t="s">
        <v>43</v>
      </c>
      <c r="E8587" s="12" t="s">
        <v>1414</v>
      </c>
      <c r="F8587" s="12" t="s">
        <v>1415</v>
      </c>
      <c r="G8587" s="12" t="s">
        <v>21</v>
      </c>
      <c r="H8587" s="11" t="s">
        <v>22</v>
      </c>
      <c r="I8587" s="13" t="s">
        <v>17424</v>
      </c>
      <c r="J8587" s="14" t="str">
        <f>HYPERLINK("https://www.boe.es/gazeta/dias/1839/06/12/pdfs/GMD-1839-1670.pdf#page=4","Abrir facsímil")</f>
        <v>Abrir facsímil</v>
      </c>
      <c r="K8587" s="12" t="s">
        <v>24</v>
      </c>
    </row>
    <row r="8588" spans="1:11" ht="40.049999999999997" customHeight="1" x14ac:dyDescent="0.25">
      <c r="A8588" s="11" t="s">
        <v>17410</v>
      </c>
      <c r="B8588" s="11" t="s">
        <v>17411</v>
      </c>
      <c r="C8588" s="11" t="s">
        <v>17</v>
      </c>
      <c r="D8588" s="11" t="s">
        <v>18</v>
      </c>
      <c r="E8588" s="12" t="s">
        <v>168</v>
      </c>
      <c r="F8588" s="12" t="s">
        <v>169</v>
      </c>
      <c r="G8588" s="12" t="s">
        <v>21</v>
      </c>
      <c r="H8588" s="11" t="s">
        <v>22</v>
      </c>
      <c r="I8588" s="13" t="s">
        <v>17425</v>
      </c>
      <c r="J8588" s="14" t="str">
        <f>HYPERLINK("https://www.boe.es/gazeta/dias/1839/07/12/pdfs/GMD-1839-1700.pdf#page=4","Abrir facsímil")</f>
        <v>Abrir facsímil</v>
      </c>
      <c r="K8588" s="12" t="s">
        <v>24</v>
      </c>
    </row>
    <row r="8589" spans="1:11" ht="40.049999999999997" customHeight="1" x14ac:dyDescent="0.25">
      <c r="A8589" s="11" t="s">
        <v>17410</v>
      </c>
      <c r="B8589" s="11" t="s">
        <v>17411</v>
      </c>
      <c r="C8589" s="11" t="s">
        <v>80</v>
      </c>
      <c r="D8589" s="11" t="s">
        <v>18</v>
      </c>
      <c r="E8589" s="12" t="s">
        <v>2919</v>
      </c>
      <c r="F8589" s="12" t="s">
        <v>2920</v>
      </c>
      <c r="G8589" s="12" t="s">
        <v>21</v>
      </c>
      <c r="H8589" s="11" t="s">
        <v>22</v>
      </c>
      <c r="I8589" s="13" t="s">
        <v>17426</v>
      </c>
      <c r="J8589" s="14" t="str">
        <f>HYPERLINK("https://www.boe.es/gazeta/dias/1839/11/12/pdfs/GMD-1839-1829.pdf#page=4","Abrir facsímil")</f>
        <v>Abrir facsímil</v>
      </c>
      <c r="K8589" s="12" t="s">
        <v>24</v>
      </c>
    </row>
    <row r="8590" spans="1:11" ht="40.049999999999997" customHeight="1" x14ac:dyDescent="0.25">
      <c r="A8590" s="11" t="s">
        <v>17410</v>
      </c>
      <c r="B8590" s="11" t="s">
        <v>17411</v>
      </c>
      <c r="C8590" s="11" t="s">
        <v>137</v>
      </c>
      <c r="D8590" s="11" t="s">
        <v>18</v>
      </c>
      <c r="E8590" s="12" t="s">
        <v>1100</v>
      </c>
      <c r="F8590" s="12" t="s">
        <v>1101</v>
      </c>
      <c r="G8590" s="12" t="s">
        <v>21</v>
      </c>
      <c r="H8590" s="11" t="s">
        <v>22</v>
      </c>
      <c r="I8590" s="13" t="s">
        <v>17427</v>
      </c>
      <c r="J8590" s="14" t="str">
        <f>HYPERLINK("https://www.boe.es/gazeta/dias/1839/09/13/pdfs/GMD-1839-1766.pdf#page=4","Abrir facsímil")</f>
        <v>Abrir facsímil</v>
      </c>
      <c r="K8590" s="12" t="s">
        <v>24</v>
      </c>
    </row>
    <row r="8591" spans="1:11" ht="40.049999999999997" customHeight="1" x14ac:dyDescent="0.25">
      <c r="A8591" s="11" t="s">
        <v>17410</v>
      </c>
      <c r="B8591" s="11" t="s">
        <v>17411</v>
      </c>
      <c r="C8591" s="11" t="s">
        <v>17</v>
      </c>
      <c r="D8591" s="11" t="s">
        <v>18</v>
      </c>
      <c r="E8591" s="12" t="s">
        <v>736</v>
      </c>
      <c r="F8591" s="12" t="s">
        <v>737</v>
      </c>
      <c r="G8591" s="12" t="s">
        <v>21</v>
      </c>
      <c r="H8591" s="11" t="s">
        <v>22</v>
      </c>
      <c r="I8591" s="13" t="s">
        <v>17428</v>
      </c>
      <c r="J8591" s="14" t="str">
        <f>HYPERLINK("https://www.boe.es/gazeta/dias/1839/10/13/pdfs/GMD-1839-1799.pdf#page=4","Abrir facsímil")</f>
        <v>Abrir facsímil</v>
      </c>
      <c r="K8591" s="12" t="s">
        <v>24</v>
      </c>
    </row>
    <row r="8592" spans="1:11" ht="40.049999999999997" customHeight="1" x14ac:dyDescent="0.25">
      <c r="A8592" s="11" t="s">
        <v>17410</v>
      </c>
      <c r="B8592" s="11" t="s">
        <v>17411</v>
      </c>
      <c r="C8592" s="11" t="s">
        <v>137</v>
      </c>
      <c r="D8592" s="11" t="s">
        <v>18</v>
      </c>
      <c r="E8592" s="12" t="s">
        <v>5138</v>
      </c>
      <c r="F8592" s="12" t="s">
        <v>5139</v>
      </c>
      <c r="G8592" s="12" t="s">
        <v>21</v>
      </c>
      <c r="H8592" s="11" t="s">
        <v>22</v>
      </c>
      <c r="I8592" s="13" t="s">
        <v>17429</v>
      </c>
      <c r="J8592" s="14" t="str">
        <f>HYPERLINK("https://www.boe.es/gazeta/dias/1839/08/15/pdfs/GMD-1839-1735.pdf#page=4","Abrir facsímil")</f>
        <v>Abrir facsímil</v>
      </c>
      <c r="K8592" s="12" t="s">
        <v>24</v>
      </c>
    </row>
    <row r="8593" spans="1:11" ht="40.049999999999997" customHeight="1" x14ac:dyDescent="0.25">
      <c r="A8593" s="11" t="s">
        <v>17410</v>
      </c>
      <c r="B8593" s="11" t="s">
        <v>17411</v>
      </c>
      <c r="C8593" s="11" t="s">
        <v>80</v>
      </c>
      <c r="D8593" s="11" t="s">
        <v>18</v>
      </c>
      <c r="E8593" s="12" t="s">
        <v>230</v>
      </c>
      <c r="F8593" s="12" t="s">
        <v>231</v>
      </c>
      <c r="G8593" s="12" t="s">
        <v>21</v>
      </c>
      <c r="H8593" s="11" t="s">
        <v>22</v>
      </c>
      <c r="I8593" s="13" t="s">
        <v>17430</v>
      </c>
      <c r="J8593" s="14" t="str">
        <f>HYPERLINK("https://www.boe.es/gazeta/dias/1839/09/16/pdfs/GMD-1839-1769.pdf#page=4","Abrir facsímil")</f>
        <v>Abrir facsímil</v>
      </c>
      <c r="K8593" s="12" t="s">
        <v>24</v>
      </c>
    </row>
    <row r="8594" spans="1:11" ht="40.049999999999997" customHeight="1" x14ac:dyDescent="0.25">
      <c r="A8594" s="11" t="s">
        <v>17410</v>
      </c>
      <c r="B8594" s="11" t="s">
        <v>17411</v>
      </c>
      <c r="C8594" s="11" t="s">
        <v>101</v>
      </c>
      <c r="D8594" s="11" t="s">
        <v>43</v>
      </c>
      <c r="E8594" s="12" t="s">
        <v>685</v>
      </c>
      <c r="F8594" s="12" t="s">
        <v>686</v>
      </c>
      <c r="G8594" s="12" t="s">
        <v>29</v>
      </c>
      <c r="H8594" s="11" t="s">
        <v>22</v>
      </c>
      <c r="I8594" s="13" t="s">
        <v>17431</v>
      </c>
      <c r="J8594" s="14" t="str">
        <f>HYPERLINK("https://www.boe.es/gazeta/dias/1839/06/18/pdfs/GMD-1839-1676.pdf#page=1","Abrir facsímil")</f>
        <v>Abrir facsímil</v>
      </c>
      <c r="K8594" s="12" t="s">
        <v>24</v>
      </c>
    </row>
    <row r="8595" spans="1:11" ht="40.049999999999997" customHeight="1" x14ac:dyDescent="0.25">
      <c r="A8595" s="11" t="s">
        <v>17410</v>
      </c>
      <c r="B8595" s="11" t="s">
        <v>17411</v>
      </c>
      <c r="C8595" s="11" t="s">
        <v>17</v>
      </c>
      <c r="D8595" s="11" t="s">
        <v>18</v>
      </c>
      <c r="E8595" s="12" t="s">
        <v>1310</v>
      </c>
      <c r="F8595" s="12" t="s">
        <v>1311</v>
      </c>
      <c r="G8595" s="12" t="s">
        <v>21</v>
      </c>
      <c r="H8595" s="11" t="s">
        <v>22</v>
      </c>
      <c r="I8595" s="13" t="s">
        <v>17432</v>
      </c>
      <c r="J8595" s="14" t="str">
        <f>HYPERLINK("https://www.boe.es/gazeta/dias/1839/04/23/pdfs/GMD-1839-1620.pdf#page=4","Abrir facsímil")</f>
        <v>Abrir facsímil</v>
      </c>
      <c r="K8595" s="12" t="s">
        <v>24</v>
      </c>
    </row>
    <row r="8596" spans="1:11" ht="40.049999999999997" customHeight="1" x14ac:dyDescent="0.25">
      <c r="A8596" s="11" t="s">
        <v>17410</v>
      </c>
      <c r="B8596" s="11" t="s">
        <v>17411</v>
      </c>
      <c r="C8596" s="11" t="s">
        <v>17</v>
      </c>
      <c r="D8596" s="11" t="s">
        <v>18</v>
      </c>
      <c r="E8596" s="12" t="s">
        <v>496</v>
      </c>
      <c r="F8596" s="12" t="s">
        <v>497</v>
      </c>
      <c r="G8596" s="12" t="s">
        <v>21</v>
      </c>
      <c r="H8596" s="11" t="s">
        <v>22</v>
      </c>
      <c r="I8596" s="13" t="s">
        <v>17433</v>
      </c>
      <c r="J8596" s="14" t="str">
        <f>HYPERLINK("https://www.boe.es/gazeta/dias/1839/11/23/pdfs/GMD-1839-1840.pdf#page=4","Abrir facsímil")</f>
        <v>Abrir facsímil</v>
      </c>
      <c r="K8596" s="12" t="s">
        <v>24</v>
      </c>
    </row>
    <row r="8597" spans="1:11" ht="40.049999999999997" customHeight="1" x14ac:dyDescent="0.25">
      <c r="A8597" s="11" t="s">
        <v>17410</v>
      </c>
      <c r="B8597" s="11" t="s">
        <v>17411</v>
      </c>
      <c r="C8597" s="11" t="s">
        <v>17</v>
      </c>
      <c r="D8597" s="11" t="s">
        <v>18</v>
      </c>
      <c r="E8597" s="12" t="s">
        <v>1208</v>
      </c>
      <c r="F8597" s="12" t="s">
        <v>1209</v>
      </c>
      <c r="G8597" s="12" t="s">
        <v>21</v>
      </c>
      <c r="H8597" s="11" t="s">
        <v>22</v>
      </c>
      <c r="I8597" s="13" t="s">
        <v>17434</v>
      </c>
      <c r="J8597" s="14" t="str">
        <f>HYPERLINK("https://www.boe.es/gazeta/dias/1839/04/24/pdfs/GMD-1839-1621.pdf#page=4","Abrir facsímil")</f>
        <v>Abrir facsímil</v>
      </c>
      <c r="K8597" s="12" t="s">
        <v>24</v>
      </c>
    </row>
    <row r="8598" spans="1:11" ht="40.049999999999997" customHeight="1" x14ac:dyDescent="0.25">
      <c r="A8598" s="11" t="s">
        <v>17410</v>
      </c>
      <c r="B8598" s="11" t="s">
        <v>17411</v>
      </c>
      <c r="C8598" s="11" t="s">
        <v>80</v>
      </c>
      <c r="D8598" s="11" t="s">
        <v>18</v>
      </c>
      <c r="E8598" s="12" t="s">
        <v>1079</v>
      </c>
      <c r="F8598" s="12" t="s">
        <v>1080</v>
      </c>
      <c r="G8598" s="12" t="s">
        <v>21</v>
      </c>
      <c r="H8598" s="11" t="s">
        <v>22</v>
      </c>
      <c r="I8598" s="13" t="s">
        <v>17435</v>
      </c>
      <c r="J8598" s="14" t="str">
        <f>HYPERLINK("https://www.boe.es/gazeta/dias/1839/05/24/pdfs/GMD-1839-1651.pdf#page=4","Abrir facsímil")</f>
        <v>Abrir facsímil</v>
      </c>
      <c r="K8598" s="12" t="s">
        <v>24</v>
      </c>
    </row>
    <row r="8599" spans="1:11" ht="40.049999999999997" customHeight="1" x14ac:dyDescent="0.25">
      <c r="A8599" s="11" t="s">
        <v>17410</v>
      </c>
      <c r="B8599" s="11" t="s">
        <v>17411</v>
      </c>
      <c r="C8599" s="11" t="s">
        <v>80</v>
      </c>
      <c r="D8599" s="11" t="s">
        <v>18</v>
      </c>
      <c r="E8599" s="12" t="s">
        <v>479</v>
      </c>
      <c r="F8599" s="12" t="s">
        <v>480</v>
      </c>
      <c r="G8599" s="12" t="s">
        <v>21</v>
      </c>
      <c r="H8599" s="11" t="s">
        <v>22</v>
      </c>
      <c r="I8599" s="13" t="s">
        <v>17436</v>
      </c>
      <c r="J8599" s="14" t="str">
        <f>HYPERLINK("https://www.boe.es/gazeta/dias/1839/06/24/pdfs/GMD-1839-1682.pdf#page=4","Abrir facsímil")</f>
        <v>Abrir facsímil</v>
      </c>
      <c r="K8599" s="12" t="s">
        <v>24</v>
      </c>
    </row>
    <row r="8600" spans="1:11" ht="40.049999999999997" customHeight="1" x14ac:dyDescent="0.25">
      <c r="A8600" s="11" t="s">
        <v>17410</v>
      </c>
      <c r="B8600" s="11" t="s">
        <v>17411</v>
      </c>
      <c r="C8600" s="11" t="s">
        <v>80</v>
      </c>
      <c r="D8600" s="11" t="s">
        <v>18</v>
      </c>
      <c r="E8600" s="12" t="s">
        <v>111</v>
      </c>
      <c r="F8600" s="12" t="s">
        <v>112</v>
      </c>
      <c r="G8600" s="12" t="s">
        <v>21</v>
      </c>
      <c r="H8600" s="11" t="s">
        <v>22</v>
      </c>
      <c r="I8600" s="13" t="s">
        <v>17437</v>
      </c>
      <c r="J8600" s="14" t="str">
        <f>HYPERLINK("https://www.boe.es/gazeta/dias/1839/07/25/pdfs/GMD-1839-1714.pdf#page=4","Abrir facsímil")</f>
        <v>Abrir facsímil</v>
      </c>
      <c r="K8600" s="12" t="s">
        <v>24</v>
      </c>
    </row>
    <row r="8601" spans="1:11" ht="40.049999999999997" customHeight="1" x14ac:dyDescent="0.25">
      <c r="A8601" s="11" t="s">
        <v>17410</v>
      </c>
      <c r="B8601" s="11" t="s">
        <v>17411</v>
      </c>
      <c r="C8601" s="11" t="s">
        <v>80</v>
      </c>
      <c r="D8601" s="11" t="s">
        <v>18</v>
      </c>
      <c r="E8601" s="12" t="s">
        <v>577</v>
      </c>
      <c r="F8601" s="12" t="s">
        <v>578</v>
      </c>
      <c r="G8601" s="12" t="s">
        <v>21</v>
      </c>
      <c r="H8601" s="11" t="s">
        <v>22</v>
      </c>
      <c r="I8601" s="13" t="s">
        <v>17438</v>
      </c>
      <c r="J8601" s="14" t="str">
        <f>HYPERLINK("https://www.boe.es/gazeta/dias/1839/09/30/pdfs/GMD-1839-1786.pdf#page=4","Abrir facsímil")</f>
        <v>Abrir facsímil</v>
      </c>
      <c r="K8601" s="12" t="s">
        <v>24</v>
      </c>
    </row>
    <row r="8602" spans="1:11" ht="40.049999999999997" customHeight="1" x14ac:dyDescent="0.25">
      <c r="A8602" s="11" t="s">
        <v>17410</v>
      </c>
      <c r="B8602" s="11" t="s">
        <v>17411</v>
      </c>
      <c r="C8602" s="11" t="s">
        <v>17</v>
      </c>
      <c r="D8602" s="11" t="s">
        <v>18</v>
      </c>
      <c r="E8602" s="12" t="s">
        <v>907</v>
      </c>
      <c r="F8602" s="12" t="s">
        <v>908</v>
      </c>
      <c r="G8602" s="12" t="s">
        <v>46</v>
      </c>
      <c r="H8602" s="11" t="s">
        <v>22</v>
      </c>
      <c r="I8602" s="13" t="s">
        <v>17439</v>
      </c>
      <c r="J8602" s="14" t="str">
        <f>HYPERLINK("https://www.boe.es/gazeta/dias/1839/07/31/pdfs/GMD-1839-1720.pdf#page=3","Abrir facsímil")</f>
        <v>Abrir facsímil</v>
      </c>
      <c r="K8602" s="12" t="s">
        <v>24</v>
      </c>
    </row>
    <row r="8603" spans="1:11" ht="40.049999999999997" customHeight="1" x14ac:dyDescent="0.25">
      <c r="A8603" s="11" t="s">
        <v>17440</v>
      </c>
      <c r="B8603" s="11" t="s">
        <v>17440</v>
      </c>
      <c r="C8603" s="11" t="s">
        <v>17</v>
      </c>
      <c r="D8603" s="11" t="s">
        <v>18</v>
      </c>
      <c r="E8603" s="12" t="s">
        <v>308</v>
      </c>
      <c r="F8603" s="12" t="s">
        <v>309</v>
      </c>
      <c r="G8603" s="12" t="s">
        <v>40</v>
      </c>
      <c r="H8603" s="11" t="s">
        <v>22</v>
      </c>
      <c r="I8603" s="13" t="s">
        <v>17441</v>
      </c>
      <c r="J8603" s="14" t="str">
        <f>HYPERLINK("https://www.boe.es/gazeta/dias/1839/07/29/pdfs/GMD-1839-1718.pdf#page=2","Abrir facsímil")</f>
        <v>Abrir facsímil</v>
      </c>
      <c r="K8603" s="12" t="s">
        <v>24</v>
      </c>
    </row>
    <row r="8604" spans="1:11" ht="40.049999999999997" customHeight="1" x14ac:dyDescent="0.25">
      <c r="A8604" s="11" t="s">
        <v>17442</v>
      </c>
      <c r="B8604" s="11" t="s">
        <v>17442</v>
      </c>
      <c r="C8604" s="11" t="s">
        <v>80</v>
      </c>
      <c r="D8604" s="11" t="s">
        <v>18</v>
      </c>
      <c r="E8604" s="12" t="s">
        <v>479</v>
      </c>
      <c r="F8604" s="12" t="s">
        <v>480</v>
      </c>
      <c r="G8604" s="12" t="s">
        <v>21</v>
      </c>
      <c r="H8604" s="11" t="s">
        <v>22</v>
      </c>
      <c r="I8604" s="13" t="s">
        <v>17443</v>
      </c>
      <c r="J8604" s="14" t="str">
        <f>HYPERLINK("https://www.boe.es/gazeta/dias/1839/06/24/pdfs/GMD-1839-1682.pdf#page=4","Abrir facsímil")</f>
        <v>Abrir facsímil</v>
      </c>
      <c r="K8604" s="12" t="s">
        <v>24</v>
      </c>
    </row>
    <row r="8605" spans="1:11" ht="40.049999999999997" customHeight="1" x14ac:dyDescent="0.25">
      <c r="A8605" s="11" t="s">
        <v>17444</v>
      </c>
      <c r="B8605" s="11" t="s">
        <v>17444</v>
      </c>
      <c r="C8605" s="11" t="s">
        <v>17</v>
      </c>
      <c r="D8605" s="11" t="s">
        <v>18</v>
      </c>
      <c r="E8605" s="12" t="s">
        <v>2995</v>
      </c>
      <c r="F8605" s="12" t="s">
        <v>2996</v>
      </c>
      <c r="G8605" s="12" t="s">
        <v>46</v>
      </c>
      <c r="H8605" s="11" t="s">
        <v>22</v>
      </c>
      <c r="I8605" s="13" t="s">
        <v>17445</v>
      </c>
      <c r="J8605" s="14" t="str">
        <f>HYPERLINK("https://www.boe.es/gazeta/dias/1839/06/16/pdfs/GMD-1839-1674.pdf#page=3","Abrir facsímil")</f>
        <v>Abrir facsímil</v>
      </c>
      <c r="K8605" s="12" t="s">
        <v>24</v>
      </c>
    </row>
    <row r="8606" spans="1:11" ht="40.049999999999997" customHeight="1" x14ac:dyDescent="0.25">
      <c r="A8606" s="11" t="s">
        <v>17446</v>
      </c>
      <c r="B8606" s="11" t="s">
        <v>17447</v>
      </c>
      <c r="C8606" s="11" t="s">
        <v>17</v>
      </c>
      <c r="D8606" s="11" t="s">
        <v>18</v>
      </c>
      <c r="E8606" s="12" t="s">
        <v>2432</v>
      </c>
      <c r="F8606" s="12" t="s">
        <v>2581</v>
      </c>
      <c r="G8606" s="12" t="s">
        <v>29</v>
      </c>
      <c r="H8606" s="11" t="s">
        <v>63</v>
      </c>
      <c r="I8606" s="13" t="s">
        <v>17448</v>
      </c>
      <c r="J8606" s="14" t="str">
        <f>HYPERLINK("https://www.boe.es/gazeta/dias/1839/07/23/pdfs/GMD-1839-1711.pdf#page=1","Abrir facsímil")</f>
        <v>Abrir facsímil</v>
      </c>
      <c r="K8606" s="12" t="s">
        <v>65</v>
      </c>
    </row>
    <row r="8607" spans="1:11" ht="40.049999999999997" customHeight="1" x14ac:dyDescent="0.25">
      <c r="A8607" s="11" t="s">
        <v>17449</v>
      </c>
      <c r="B8607" s="11" t="s">
        <v>17449</v>
      </c>
      <c r="C8607" s="11" t="s">
        <v>80</v>
      </c>
      <c r="D8607" s="11" t="s">
        <v>18</v>
      </c>
      <c r="E8607" s="12" t="s">
        <v>1008</v>
      </c>
      <c r="F8607" s="12" t="s">
        <v>1009</v>
      </c>
      <c r="G8607" s="12" t="s">
        <v>29</v>
      </c>
      <c r="H8607" s="11" t="s">
        <v>63</v>
      </c>
      <c r="I8607" s="13" t="s">
        <v>17450</v>
      </c>
      <c r="J8607" s="14" t="str">
        <f>HYPERLINK("https://www.boe.es/gazeta/dias/1839/09/07/pdfs/GMD-1839-1760.pdf#page=1","Abrir facsímil")</f>
        <v>Abrir facsímil</v>
      </c>
      <c r="K8607" s="12" t="s">
        <v>65</v>
      </c>
    </row>
    <row r="8608" spans="1:11" ht="40.049999999999997" customHeight="1" x14ac:dyDescent="0.25">
      <c r="A8608" s="11" t="s">
        <v>17451</v>
      </c>
      <c r="B8608" s="11" t="s">
        <v>17452</v>
      </c>
      <c r="C8608" s="11" t="s">
        <v>80</v>
      </c>
      <c r="D8608" s="11" t="s">
        <v>18</v>
      </c>
      <c r="E8608" s="12" t="s">
        <v>125</v>
      </c>
      <c r="F8608" s="12" t="s">
        <v>126</v>
      </c>
      <c r="G8608" s="12" t="s">
        <v>21</v>
      </c>
      <c r="H8608" s="11" t="s">
        <v>63</v>
      </c>
      <c r="I8608" s="13" t="s">
        <v>17453</v>
      </c>
      <c r="J8608" s="14" t="str">
        <f>HYPERLINK("https://www.boe.es/gazeta/dias/1839/05/23/pdfs/GMD-1839-1650.pdf#page=4","Abrir facsímil")</f>
        <v>Abrir facsímil</v>
      </c>
      <c r="K8608" s="12" t="s">
        <v>65</v>
      </c>
    </row>
    <row r="8609" spans="1:11" ht="40.049999999999997" customHeight="1" x14ac:dyDescent="0.25">
      <c r="A8609" s="11" t="s">
        <v>17454</v>
      </c>
      <c r="B8609" s="11" t="s">
        <v>17455</v>
      </c>
      <c r="C8609" s="11" t="s">
        <v>59</v>
      </c>
      <c r="D8609" s="11" t="s">
        <v>60</v>
      </c>
      <c r="E8609" s="12" t="s">
        <v>785</v>
      </c>
      <c r="F8609" s="12" t="s">
        <v>786</v>
      </c>
      <c r="G8609" s="12" t="s">
        <v>21</v>
      </c>
      <c r="H8609" s="11" t="s">
        <v>63</v>
      </c>
      <c r="I8609" s="13" t="s">
        <v>17456</v>
      </c>
      <c r="J8609" s="14" t="str">
        <f>HYPERLINK("https://www.boe.es/gazeta/dias/1839/07/13/pdfs/GMD-1839-1701.pdf#page=4","Abrir facsímil")</f>
        <v>Abrir facsímil</v>
      </c>
      <c r="K8609" s="12" t="s">
        <v>65</v>
      </c>
    </row>
    <row r="8610" spans="1:11" ht="40.049999999999997" customHeight="1" x14ac:dyDescent="0.25">
      <c r="A8610" s="11" t="s">
        <v>17454</v>
      </c>
      <c r="B8610" s="11" t="s">
        <v>17455</v>
      </c>
      <c r="C8610" s="11" t="s">
        <v>137</v>
      </c>
      <c r="D8610" s="11" t="s">
        <v>18</v>
      </c>
      <c r="E8610" s="12" t="s">
        <v>857</v>
      </c>
      <c r="F8610" s="12" t="s">
        <v>858</v>
      </c>
      <c r="G8610" s="12" t="s">
        <v>21</v>
      </c>
      <c r="H8610" s="11" t="s">
        <v>63</v>
      </c>
      <c r="I8610" s="13" t="s">
        <v>17457</v>
      </c>
      <c r="J8610" s="14" t="str">
        <f>HYPERLINK("https://www.boe.es/gazeta/dias/1839/11/21/pdfs/GMD-1839-1838.pdf#page=4","Abrir facsímil")</f>
        <v>Abrir facsímil</v>
      </c>
      <c r="K8610" s="12" t="s">
        <v>65</v>
      </c>
    </row>
    <row r="8611" spans="1:11" ht="40.049999999999997" customHeight="1" x14ac:dyDescent="0.25">
      <c r="A8611" s="11" t="s">
        <v>17454</v>
      </c>
      <c r="B8611" s="11" t="s">
        <v>17455</v>
      </c>
      <c r="C8611" s="11" t="s">
        <v>59</v>
      </c>
      <c r="D8611" s="11" t="s">
        <v>60</v>
      </c>
      <c r="E8611" s="12" t="s">
        <v>1909</v>
      </c>
      <c r="F8611" s="12" t="s">
        <v>1910</v>
      </c>
      <c r="G8611" s="12" t="s">
        <v>21</v>
      </c>
      <c r="H8611" s="11" t="s">
        <v>63</v>
      </c>
      <c r="I8611" s="13" t="s">
        <v>17458</v>
      </c>
      <c r="J8611" s="14" t="str">
        <f>HYPERLINK("https://www.boe.es/gazeta/dias/1839/10/27/pdfs/GMD-1839-1813.pdf#page=4","Abrir facsímil")</f>
        <v>Abrir facsímil</v>
      </c>
      <c r="K8611" s="12" t="s">
        <v>65</v>
      </c>
    </row>
    <row r="8612" spans="1:11" ht="40.049999999999997" customHeight="1" x14ac:dyDescent="0.25">
      <c r="A8612" s="11" t="s">
        <v>17454</v>
      </c>
      <c r="B8612" s="11" t="s">
        <v>17455</v>
      </c>
      <c r="C8612" s="11" t="s">
        <v>137</v>
      </c>
      <c r="D8612" s="11" t="s">
        <v>18</v>
      </c>
      <c r="E8612" s="12" t="s">
        <v>1749</v>
      </c>
      <c r="F8612" s="12" t="s">
        <v>1750</v>
      </c>
      <c r="G8612" s="12" t="s">
        <v>46</v>
      </c>
      <c r="H8612" s="11" t="s">
        <v>63</v>
      </c>
      <c r="I8612" s="13" t="s">
        <v>17459</v>
      </c>
      <c r="J8612" s="14" t="str">
        <f>HYPERLINK("https://www.boe.es/gazeta/dias/1839/06/28/pdfs/GMD-1839-1686.pdf#page=3","Abrir facsímil")</f>
        <v>Abrir facsímil</v>
      </c>
      <c r="K8612" s="12" t="s">
        <v>65</v>
      </c>
    </row>
    <row r="8613" spans="1:11" ht="40.049999999999997" customHeight="1" x14ac:dyDescent="0.25">
      <c r="A8613" s="11" t="s">
        <v>17460</v>
      </c>
      <c r="B8613" s="11" t="s">
        <v>17461</v>
      </c>
      <c r="C8613" s="11" t="s">
        <v>137</v>
      </c>
      <c r="D8613" s="11" t="s">
        <v>18</v>
      </c>
      <c r="E8613" s="12" t="s">
        <v>141</v>
      </c>
      <c r="F8613" s="12" t="s">
        <v>142</v>
      </c>
      <c r="G8613" s="12" t="s">
        <v>21</v>
      </c>
      <c r="H8613" s="11" t="s">
        <v>63</v>
      </c>
      <c r="I8613" s="13" t="s">
        <v>17462</v>
      </c>
      <c r="J8613" s="14" t="str">
        <f>HYPERLINK("https://www.boe.es/gazeta/dias/1839/11/10/pdfs/GMD-1839-1827.pdf#page=4","Abrir facsímil")</f>
        <v>Abrir facsímil</v>
      </c>
      <c r="K8613" s="12" t="s">
        <v>65</v>
      </c>
    </row>
    <row r="8614" spans="1:11" ht="40.049999999999997" customHeight="1" x14ac:dyDescent="0.25">
      <c r="A8614" s="11" t="s">
        <v>17463</v>
      </c>
      <c r="B8614" s="11" t="s">
        <v>17464</v>
      </c>
      <c r="C8614" s="11" t="s">
        <v>59</v>
      </c>
      <c r="D8614" s="11" t="s">
        <v>60</v>
      </c>
      <c r="E8614" s="12" t="s">
        <v>775</v>
      </c>
      <c r="F8614" s="12" t="s">
        <v>776</v>
      </c>
      <c r="G8614" s="12" t="s">
        <v>29</v>
      </c>
      <c r="H8614" s="11" t="s">
        <v>63</v>
      </c>
      <c r="I8614" s="13" t="s">
        <v>17465</v>
      </c>
      <c r="J8614" s="14" t="str">
        <f>HYPERLINK("https://www.boe.es/gazeta/dias/1839/02/25/pdfs/GMD-1839-1563.pdf#page=1","Abrir facsímil")</f>
        <v>Abrir facsímil</v>
      </c>
      <c r="K8614" s="12" t="s">
        <v>65</v>
      </c>
    </row>
    <row r="8615" spans="1:11" ht="40.049999999999997" customHeight="1" x14ac:dyDescent="0.25">
      <c r="A8615" s="11" t="s">
        <v>17466</v>
      </c>
      <c r="B8615" s="11" t="s">
        <v>17466</v>
      </c>
      <c r="C8615" s="11" t="s">
        <v>80</v>
      </c>
      <c r="D8615" s="11" t="s">
        <v>18</v>
      </c>
      <c r="E8615" s="12" t="s">
        <v>2165</v>
      </c>
      <c r="F8615" s="12" t="s">
        <v>2166</v>
      </c>
      <c r="G8615" s="12" t="s">
        <v>21</v>
      </c>
      <c r="H8615" s="11" t="s">
        <v>63</v>
      </c>
      <c r="I8615" s="13" t="s">
        <v>17467</v>
      </c>
      <c r="J8615" s="14" t="str">
        <f>HYPERLINK("https://www.boe.es/gazeta/dias/1839/01/06/pdfs/GMD-1839-1513.pdf#page=4","Abrir facsímil")</f>
        <v>Abrir facsímil</v>
      </c>
      <c r="K8615" s="12" t="s">
        <v>65</v>
      </c>
    </row>
    <row r="8616" spans="1:11" ht="40.049999999999997" customHeight="1" x14ac:dyDescent="0.25">
      <c r="A8616" s="11" t="s">
        <v>17468</v>
      </c>
      <c r="B8616" s="11" t="s">
        <v>17469</v>
      </c>
      <c r="C8616" s="11" t="s">
        <v>17</v>
      </c>
      <c r="D8616" s="11" t="s">
        <v>18</v>
      </c>
      <c r="E8616" s="12" t="s">
        <v>1749</v>
      </c>
      <c r="F8616" s="12" t="s">
        <v>1750</v>
      </c>
      <c r="G8616" s="12" t="s">
        <v>29</v>
      </c>
      <c r="H8616" s="11" t="s">
        <v>63</v>
      </c>
      <c r="I8616" s="13" t="s">
        <v>17470</v>
      </c>
      <c r="J8616" s="14" t="str">
        <f>HYPERLINK("https://www.boe.es/gazeta/dias/1839/06/28/pdfs/GMD-1839-1686.pdf#page=1","Abrir facsímil")</f>
        <v>Abrir facsímil</v>
      </c>
      <c r="K8616" s="12" t="s">
        <v>65</v>
      </c>
    </row>
    <row r="8617" spans="1:11" ht="40.049999999999997" customHeight="1" x14ac:dyDescent="0.25">
      <c r="A8617" s="11" t="s">
        <v>17471</v>
      </c>
      <c r="B8617" s="11" t="s">
        <v>17471</v>
      </c>
      <c r="C8617" s="11" t="s">
        <v>17</v>
      </c>
      <c r="D8617" s="11" t="s">
        <v>18</v>
      </c>
      <c r="E8617" s="12" t="s">
        <v>116</v>
      </c>
      <c r="F8617" s="12" t="s">
        <v>117</v>
      </c>
      <c r="G8617" s="12" t="s">
        <v>29</v>
      </c>
      <c r="H8617" s="11" t="s">
        <v>63</v>
      </c>
      <c r="I8617" s="13" t="s">
        <v>17472</v>
      </c>
      <c r="J8617" s="14" t="str">
        <f>HYPERLINK("https://www.boe.es/gazeta/dias/1839/10/10/pdfs/GMD-1839-1796.pdf#page=1","Abrir facsímil")</f>
        <v>Abrir facsímil</v>
      </c>
      <c r="K8617" s="12" t="s">
        <v>65</v>
      </c>
    </row>
    <row r="8618" spans="1:11" ht="40.049999999999997" customHeight="1" x14ac:dyDescent="0.25">
      <c r="A8618" s="11" t="s">
        <v>17473</v>
      </c>
      <c r="B8618" s="11" t="s">
        <v>17474</v>
      </c>
      <c r="C8618" s="11" t="s">
        <v>101</v>
      </c>
      <c r="D8618" s="11" t="s">
        <v>43</v>
      </c>
      <c r="E8618" s="12" t="s">
        <v>907</v>
      </c>
      <c r="F8618" s="12" t="s">
        <v>908</v>
      </c>
      <c r="G8618" s="12" t="s">
        <v>40</v>
      </c>
      <c r="H8618" s="11" t="s">
        <v>22</v>
      </c>
      <c r="I8618" s="13" t="s">
        <v>17475</v>
      </c>
      <c r="J8618" s="14" t="str">
        <f>HYPERLINK("https://www.boe.es/gazeta/dias/1839/07/31/pdfs/GMD-1839-1720.pdf#page=2","Abrir facsímil")</f>
        <v>Abrir facsímil</v>
      </c>
      <c r="K8618" s="12" t="s">
        <v>24</v>
      </c>
    </row>
    <row r="8619" spans="1:11" ht="40.049999999999997" customHeight="1" x14ac:dyDescent="0.25">
      <c r="A8619" s="11" t="s">
        <v>17476</v>
      </c>
      <c r="B8619" s="11" t="s">
        <v>17477</v>
      </c>
      <c r="C8619" s="11" t="s">
        <v>17</v>
      </c>
      <c r="D8619" s="11" t="s">
        <v>18</v>
      </c>
      <c r="E8619" s="12" t="s">
        <v>61</v>
      </c>
      <c r="F8619" s="12" t="s">
        <v>62</v>
      </c>
      <c r="G8619" s="12" t="s">
        <v>29</v>
      </c>
      <c r="H8619" s="11" t="s">
        <v>22</v>
      </c>
      <c r="I8619" s="13" t="s">
        <v>17478</v>
      </c>
      <c r="J8619" s="14" t="str">
        <f>HYPERLINK("https://www.boe.es/gazeta/dias/1839/09/10/pdfs/GMD-1839-1763.pdf#page=1","Abrir facsímil")</f>
        <v>Abrir facsímil</v>
      </c>
      <c r="K8619" s="12" t="s">
        <v>24</v>
      </c>
    </row>
    <row r="8620" spans="1:11" ht="40.049999999999997" customHeight="1" x14ac:dyDescent="0.25">
      <c r="A8620" s="11" t="s">
        <v>17479</v>
      </c>
      <c r="B8620" s="11" t="s">
        <v>17479</v>
      </c>
      <c r="C8620" s="11" t="s">
        <v>59</v>
      </c>
      <c r="D8620" s="11" t="s">
        <v>60</v>
      </c>
      <c r="E8620" s="12" t="s">
        <v>327</v>
      </c>
      <c r="F8620" s="12" t="s">
        <v>328</v>
      </c>
      <c r="G8620" s="12" t="s">
        <v>21</v>
      </c>
      <c r="H8620" s="11" t="s">
        <v>22</v>
      </c>
      <c r="I8620" s="13" t="s">
        <v>17480</v>
      </c>
      <c r="J8620" s="14" t="str">
        <f>HYPERLINK("https://www.boe.es/gazeta/dias/1839/08/05/pdfs/GMD-1839-1725.pdf#page=4","Abrir facsímil")</f>
        <v>Abrir facsímil</v>
      </c>
      <c r="K8620" s="12" t="s">
        <v>24</v>
      </c>
    </row>
    <row r="8621" spans="1:11" ht="40.049999999999997" customHeight="1" x14ac:dyDescent="0.25">
      <c r="A8621" s="11" t="s">
        <v>17479</v>
      </c>
      <c r="B8621" s="11" t="s">
        <v>17479</v>
      </c>
      <c r="C8621" s="11" t="s">
        <v>17</v>
      </c>
      <c r="D8621" s="11" t="s">
        <v>18</v>
      </c>
      <c r="E8621" s="12" t="s">
        <v>1685</v>
      </c>
      <c r="F8621" s="12" t="s">
        <v>1686</v>
      </c>
      <c r="G8621" s="12" t="s">
        <v>21</v>
      </c>
      <c r="H8621" s="11" t="s">
        <v>22</v>
      </c>
      <c r="I8621" s="13" t="s">
        <v>17481</v>
      </c>
      <c r="J8621" s="14" t="str">
        <f>HYPERLINK("https://www.boe.es/gazeta/dias/1839/04/27/pdfs/GMD-1839-1624.pdf#page=4","Abrir facsímil")</f>
        <v>Abrir facsímil</v>
      </c>
      <c r="K8621" s="12" t="s">
        <v>24</v>
      </c>
    </row>
    <row r="8622" spans="1:11" ht="40.049999999999997" customHeight="1" x14ac:dyDescent="0.25">
      <c r="A8622" s="11" t="s">
        <v>17482</v>
      </c>
      <c r="B8622" s="11" t="s">
        <v>17482</v>
      </c>
      <c r="C8622" s="11" t="s">
        <v>17</v>
      </c>
      <c r="D8622" s="11" t="s">
        <v>18</v>
      </c>
      <c r="E8622" s="12" t="s">
        <v>1269</v>
      </c>
      <c r="F8622" s="12" t="s">
        <v>1270</v>
      </c>
      <c r="G8622" s="12" t="s">
        <v>21</v>
      </c>
      <c r="H8622" s="11" t="s">
        <v>22</v>
      </c>
      <c r="I8622" s="13" t="s">
        <v>17483</v>
      </c>
      <c r="J8622" s="14" t="str">
        <f>HYPERLINK("https://www.boe.es/gazeta/dias/1839/04/29/pdfs/GMD-1839-1626.pdf#page=4","Abrir facsímil")</f>
        <v>Abrir facsímil</v>
      </c>
      <c r="K8622" s="12" t="s">
        <v>24</v>
      </c>
    </row>
    <row r="8623" spans="1:11" ht="40.049999999999997" customHeight="1" x14ac:dyDescent="0.25">
      <c r="A8623" s="11" t="s">
        <v>17484</v>
      </c>
      <c r="B8623" s="11" t="s">
        <v>17484</v>
      </c>
      <c r="C8623" s="11" t="s">
        <v>17</v>
      </c>
      <c r="D8623" s="11" t="s">
        <v>18</v>
      </c>
      <c r="E8623" s="12" t="s">
        <v>398</v>
      </c>
      <c r="F8623" s="12" t="s">
        <v>399</v>
      </c>
      <c r="G8623" s="12" t="s">
        <v>21</v>
      </c>
      <c r="H8623" s="11" t="s">
        <v>22</v>
      </c>
      <c r="I8623" s="13" t="s">
        <v>17485</v>
      </c>
      <c r="J8623" s="14" t="str">
        <f>HYPERLINK("https://www.boe.es/gazeta/dias/1839/05/17/pdfs/GMD-1839-1644.pdf#page=4","Abrir facsímil")</f>
        <v>Abrir facsímil</v>
      </c>
      <c r="K8623" s="12" t="s">
        <v>24</v>
      </c>
    </row>
    <row r="8624" spans="1:11" ht="40.049999999999997" customHeight="1" x14ac:dyDescent="0.25">
      <c r="A8624" s="11" t="s">
        <v>17486</v>
      </c>
      <c r="B8624" s="11" t="s">
        <v>17486</v>
      </c>
      <c r="C8624" s="11" t="s">
        <v>17</v>
      </c>
      <c r="D8624" s="11" t="s">
        <v>18</v>
      </c>
      <c r="E8624" s="12" t="s">
        <v>677</v>
      </c>
      <c r="F8624" s="12" t="s">
        <v>678</v>
      </c>
      <c r="G8624" s="12" t="s">
        <v>21</v>
      </c>
      <c r="H8624" s="11" t="s">
        <v>22</v>
      </c>
      <c r="I8624" s="13" t="s">
        <v>17487</v>
      </c>
      <c r="J8624" s="14" t="str">
        <f>HYPERLINK("https://www.boe.es/gazeta/dias/1839/04/28/pdfs/GMD-1839-1625.pdf#page=4","Abrir facsímil")</f>
        <v>Abrir facsímil</v>
      </c>
      <c r="K8624" s="12" t="s">
        <v>24</v>
      </c>
    </row>
    <row r="8625" spans="1:11" ht="40.049999999999997" customHeight="1" x14ac:dyDescent="0.25">
      <c r="A8625" s="11" t="s">
        <v>17488</v>
      </c>
      <c r="B8625" s="11" t="s">
        <v>17488</v>
      </c>
      <c r="C8625" s="11" t="s">
        <v>59</v>
      </c>
      <c r="D8625" s="11" t="s">
        <v>60</v>
      </c>
      <c r="E8625" s="12" t="s">
        <v>720</v>
      </c>
      <c r="F8625" s="12" t="s">
        <v>721</v>
      </c>
      <c r="G8625" s="12" t="s">
        <v>21</v>
      </c>
      <c r="H8625" s="11" t="s">
        <v>22</v>
      </c>
      <c r="I8625" s="13" t="s">
        <v>17489</v>
      </c>
      <c r="J8625" s="14" t="str">
        <f>HYPERLINK("https://www.boe.es/gazeta/dias/1839/01/14/pdfs/GMD-1839-1521.pdf#page=4","Abrir facsímil")</f>
        <v>Abrir facsímil</v>
      </c>
      <c r="K8625" s="12" t="s">
        <v>24</v>
      </c>
    </row>
    <row r="8626" spans="1:11" ht="40.049999999999997" customHeight="1" x14ac:dyDescent="0.25">
      <c r="A8626" s="11" t="s">
        <v>17488</v>
      </c>
      <c r="B8626" s="11" t="s">
        <v>17488</v>
      </c>
      <c r="C8626" s="11" t="s">
        <v>17</v>
      </c>
      <c r="D8626" s="11" t="s">
        <v>18</v>
      </c>
      <c r="E8626" s="12" t="s">
        <v>2962</v>
      </c>
      <c r="F8626" s="12" t="s">
        <v>2963</v>
      </c>
      <c r="G8626" s="12" t="s">
        <v>21</v>
      </c>
      <c r="H8626" s="11" t="s">
        <v>22</v>
      </c>
      <c r="I8626" s="13" t="s">
        <v>17490</v>
      </c>
      <c r="J8626" s="14" t="str">
        <f>HYPERLINK("https://www.boe.es/gazeta/dias/1839/12/21/pdfs/GMD-1839-1868.pdf#page=4","Abrir facsímil")</f>
        <v>Abrir facsímil</v>
      </c>
      <c r="K8626" s="12" t="s">
        <v>24</v>
      </c>
    </row>
    <row r="8627" spans="1:11" ht="40.049999999999997" customHeight="1" x14ac:dyDescent="0.25">
      <c r="A8627" s="11" t="s">
        <v>17488</v>
      </c>
      <c r="B8627" s="11" t="s">
        <v>17488</v>
      </c>
      <c r="C8627" s="11" t="s">
        <v>17</v>
      </c>
      <c r="D8627" s="11" t="s">
        <v>18</v>
      </c>
      <c r="E8627" s="12" t="s">
        <v>912</v>
      </c>
      <c r="F8627" s="12" t="s">
        <v>913</v>
      </c>
      <c r="G8627" s="12" t="s">
        <v>21</v>
      </c>
      <c r="H8627" s="11" t="s">
        <v>22</v>
      </c>
      <c r="I8627" s="13" t="s">
        <v>17491</v>
      </c>
      <c r="J8627" s="14" t="str">
        <f>HYPERLINK("https://www.boe.es/gazeta/dias/1839/04/30/pdfs/GMD-1839-1627.pdf#page=4","Abrir facsímil")</f>
        <v>Abrir facsímil</v>
      </c>
      <c r="K8627" s="12" t="s">
        <v>24</v>
      </c>
    </row>
    <row r="8628" spans="1:11" ht="40.049999999999997" customHeight="1" x14ac:dyDescent="0.25">
      <c r="A8628" s="11" t="s">
        <v>17492</v>
      </c>
      <c r="B8628" s="11" t="s">
        <v>17492</v>
      </c>
      <c r="C8628" s="11" t="s">
        <v>80</v>
      </c>
      <c r="D8628" s="11" t="s">
        <v>18</v>
      </c>
      <c r="E8628" s="12" t="s">
        <v>330</v>
      </c>
      <c r="F8628" s="12" t="s">
        <v>331</v>
      </c>
      <c r="G8628" s="12" t="s">
        <v>21</v>
      </c>
      <c r="H8628" s="11" t="s">
        <v>22</v>
      </c>
      <c r="I8628" s="13" t="s">
        <v>17493</v>
      </c>
      <c r="J8628" s="14" t="str">
        <f>HYPERLINK("https://www.boe.es/gazeta/dias/1839/04/11/pdfs/GMD-1839-1608.pdf#page=4","Abrir facsímil")</f>
        <v>Abrir facsímil</v>
      </c>
      <c r="K8628" s="12" t="s">
        <v>24</v>
      </c>
    </row>
    <row r="8629" spans="1:11" ht="40.049999999999997" customHeight="1" x14ac:dyDescent="0.25">
      <c r="A8629" s="11" t="s">
        <v>17492</v>
      </c>
      <c r="B8629" s="11" t="s">
        <v>17492</v>
      </c>
      <c r="C8629" s="11" t="s">
        <v>17</v>
      </c>
      <c r="D8629" s="11" t="s">
        <v>18</v>
      </c>
      <c r="E8629" s="12" t="s">
        <v>1517</v>
      </c>
      <c r="F8629" s="12" t="s">
        <v>1518</v>
      </c>
      <c r="G8629" s="12" t="s">
        <v>21</v>
      </c>
      <c r="H8629" s="11" t="s">
        <v>22</v>
      </c>
      <c r="I8629" s="13" t="s">
        <v>17494</v>
      </c>
      <c r="J8629" s="14" t="str">
        <f>HYPERLINK("https://www.boe.es/gazeta/dias/1839/12/20/pdfs/GMD-1839-1867.pdf#page=4","Abrir facsímil")</f>
        <v>Abrir facsímil</v>
      </c>
      <c r="K8629" s="12" t="s">
        <v>24</v>
      </c>
    </row>
    <row r="8630" spans="1:11" ht="40.049999999999997" customHeight="1" x14ac:dyDescent="0.25">
      <c r="A8630" s="11" t="s">
        <v>17495</v>
      </c>
      <c r="B8630" s="11" t="s">
        <v>17495</v>
      </c>
      <c r="C8630" s="11" t="s">
        <v>17</v>
      </c>
      <c r="D8630" s="11" t="s">
        <v>18</v>
      </c>
      <c r="E8630" s="12" t="s">
        <v>564</v>
      </c>
      <c r="F8630" s="12" t="s">
        <v>565</v>
      </c>
      <c r="G8630" s="12" t="s">
        <v>305</v>
      </c>
      <c r="H8630" s="11" t="s">
        <v>22</v>
      </c>
      <c r="I8630" s="13" t="s">
        <v>17496</v>
      </c>
      <c r="J8630" s="14" t="str">
        <f>HYPERLINK("https://www.boe.es/gazeta/dias/1839/10/17/pdfs/GMD-1839-1803.pdf#page=6","Abrir facsímil")</f>
        <v>Abrir facsímil</v>
      </c>
      <c r="K8630" s="12" t="s">
        <v>24</v>
      </c>
    </row>
    <row r="8631" spans="1:11" ht="40.049999999999997" customHeight="1" x14ac:dyDescent="0.25">
      <c r="A8631" s="11" t="s">
        <v>17495</v>
      </c>
      <c r="B8631" s="11" t="s">
        <v>17495</v>
      </c>
      <c r="C8631" s="11" t="s">
        <v>17</v>
      </c>
      <c r="D8631" s="11" t="s">
        <v>18</v>
      </c>
      <c r="E8631" s="12" t="s">
        <v>479</v>
      </c>
      <c r="F8631" s="12" t="s">
        <v>480</v>
      </c>
      <c r="G8631" s="12" t="s">
        <v>40</v>
      </c>
      <c r="H8631" s="11" t="s">
        <v>22</v>
      </c>
      <c r="I8631" s="13" t="s">
        <v>17497</v>
      </c>
      <c r="J8631" s="14" t="str">
        <f>HYPERLINK("https://www.boe.es/gazeta/dias/1839/06/24/pdfs/GMD-1839-1682.pdf#page=2","Abrir facsímil")</f>
        <v>Abrir facsímil</v>
      </c>
      <c r="K8631" s="12" t="s">
        <v>24</v>
      </c>
    </row>
    <row r="8632" spans="1:11" ht="40.049999999999997" customHeight="1" x14ac:dyDescent="0.25">
      <c r="A8632" s="11" t="s">
        <v>17498</v>
      </c>
      <c r="B8632" s="11" t="s">
        <v>17498</v>
      </c>
      <c r="C8632" s="11" t="s">
        <v>17</v>
      </c>
      <c r="D8632" s="11" t="s">
        <v>18</v>
      </c>
      <c r="E8632" s="12" t="s">
        <v>38</v>
      </c>
      <c r="F8632" s="12" t="s">
        <v>39</v>
      </c>
      <c r="G8632" s="12" t="s">
        <v>21</v>
      </c>
      <c r="H8632" s="11" t="s">
        <v>22</v>
      </c>
      <c r="I8632" s="13" t="s">
        <v>17499</v>
      </c>
      <c r="J8632" s="14" t="str">
        <f>HYPERLINK("https://www.boe.es/gazeta/dias/1839/08/08/pdfs/GMD-1839-1728.pdf#page=4","Abrir facsímil")</f>
        <v>Abrir facsímil</v>
      </c>
      <c r="K8632" s="12" t="s">
        <v>24</v>
      </c>
    </row>
    <row r="8633" spans="1:11" ht="40.049999999999997" customHeight="1" x14ac:dyDescent="0.25">
      <c r="A8633" s="11" t="s">
        <v>17498</v>
      </c>
      <c r="B8633" s="11" t="s">
        <v>17498</v>
      </c>
      <c r="C8633" s="11" t="s">
        <v>17</v>
      </c>
      <c r="D8633" s="11" t="s">
        <v>18</v>
      </c>
      <c r="E8633" s="12" t="s">
        <v>1631</v>
      </c>
      <c r="F8633" s="12" t="s">
        <v>1632</v>
      </c>
      <c r="G8633" s="12" t="s">
        <v>21</v>
      </c>
      <c r="H8633" s="11" t="s">
        <v>22</v>
      </c>
      <c r="I8633" s="13" t="s">
        <v>17500</v>
      </c>
      <c r="J8633" s="14" t="str">
        <f>HYPERLINK("https://www.boe.es/gazeta/dias/1839/05/10/pdfs/GMD-1839-1637.pdf#page=4","Abrir facsímil")</f>
        <v>Abrir facsímil</v>
      </c>
      <c r="K8633" s="12" t="s">
        <v>24</v>
      </c>
    </row>
    <row r="8634" spans="1:11" ht="40.049999999999997" customHeight="1" x14ac:dyDescent="0.25">
      <c r="A8634" s="11" t="s">
        <v>17498</v>
      </c>
      <c r="B8634" s="11" t="s">
        <v>17498</v>
      </c>
      <c r="C8634" s="11" t="s">
        <v>17</v>
      </c>
      <c r="D8634" s="11" t="s">
        <v>18</v>
      </c>
      <c r="E8634" s="12" t="s">
        <v>116</v>
      </c>
      <c r="F8634" s="12" t="s">
        <v>117</v>
      </c>
      <c r="G8634" s="12" t="s">
        <v>46</v>
      </c>
      <c r="H8634" s="11" t="s">
        <v>22</v>
      </c>
      <c r="I8634" s="13" t="s">
        <v>17501</v>
      </c>
      <c r="J8634" s="14" t="str">
        <f>HYPERLINK("https://www.boe.es/gazeta/dias/1839/10/10/pdfs/GMD-1839-1796.pdf#page=3","Abrir facsímil")</f>
        <v>Abrir facsímil</v>
      </c>
      <c r="K8634" s="12" t="s">
        <v>24</v>
      </c>
    </row>
    <row r="8635" spans="1:11" ht="40.049999999999997" customHeight="1" x14ac:dyDescent="0.25">
      <c r="A8635" s="11" t="s">
        <v>17498</v>
      </c>
      <c r="B8635" s="11" t="s">
        <v>17498</v>
      </c>
      <c r="C8635" s="11" t="s">
        <v>17</v>
      </c>
      <c r="D8635" s="11" t="s">
        <v>18</v>
      </c>
      <c r="E8635" s="12" t="s">
        <v>254</v>
      </c>
      <c r="F8635" s="12" t="s">
        <v>255</v>
      </c>
      <c r="G8635" s="12" t="s">
        <v>21</v>
      </c>
      <c r="H8635" s="11" t="s">
        <v>22</v>
      </c>
      <c r="I8635" s="13" t="s">
        <v>17502</v>
      </c>
      <c r="J8635" s="14" t="str">
        <f>HYPERLINK("https://www.boe.es/gazeta/dias/1839/09/12/pdfs/GMD-1839-1765.pdf#page=4","Abrir facsímil")</f>
        <v>Abrir facsímil</v>
      </c>
      <c r="K8635" s="12" t="s">
        <v>24</v>
      </c>
    </row>
    <row r="8636" spans="1:11" ht="40.049999999999997" customHeight="1" x14ac:dyDescent="0.25">
      <c r="A8636" s="11" t="s">
        <v>17498</v>
      </c>
      <c r="B8636" s="11" t="s">
        <v>17498</v>
      </c>
      <c r="C8636" s="11" t="s">
        <v>17</v>
      </c>
      <c r="D8636" s="11" t="s">
        <v>18</v>
      </c>
      <c r="E8636" s="12" t="s">
        <v>621</v>
      </c>
      <c r="F8636" s="12" t="s">
        <v>622</v>
      </c>
      <c r="G8636" s="12" t="s">
        <v>21</v>
      </c>
      <c r="H8636" s="11" t="s">
        <v>22</v>
      </c>
      <c r="I8636" s="13" t="s">
        <v>17503</v>
      </c>
      <c r="J8636" s="14" t="str">
        <f>HYPERLINK("https://www.boe.es/gazeta/dias/1839/04/14/pdfs/GMD-1839-1611.pdf#page=4","Abrir facsímil")</f>
        <v>Abrir facsímil</v>
      </c>
      <c r="K8636" s="12" t="s">
        <v>24</v>
      </c>
    </row>
    <row r="8637" spans="1:11" ht="40.049999999999997" customHeight="1" x14ac:dyDescent="0.25">
      <c r="A8637" s="11" t="s">
        <v>17498</v>
      </c>
      <c r="B8637" s="11" t="s">
        <v>17498</v>
      </c>
      <c r="C8637" s="11" t="s">
        <v>101</v>
      </c>
      <c r="D8637" s="11" t="s">
        <v>43</v>
      </c>
      <c r="E8637" s="12" t="s">
        <v>1069</v>
      </c>
      <c r="F8637" s="12" t="s">
        <v>1070</v>
      </c>
      <c r="G8637" s="12" t="s">
        <v>21</v>
      </c>
      <c r="H8637" s="11" t="s">
        <v>22</v>
      </c>
      <c r="I8637" s="13" t="s">
        <v>17504</v>
      </c>
      <c r="J8637" s="14" t="str">
        <f>HYPERLINK("https://www.boe.es/gazeta/dias/1839/10/15/pdfs/GMD-1839-1801.pdf#page=4","Abrir facsímil")</f>
        <v>Abrir facsímil</v>
      </c>
      <c r="K8637" s="12" t="s">
        <v>24</v>
      </c>
    </row>
    <row r="8638" spans="1:11" ht="40.049999999999997" customHeight="1" x14ac:dyDescent="0.25">
      <c r="A8638" s="11" t="s">
        <v>17498</v>
      </c>
      <c r="B8638" s="11" t="s">
        <v>17498</v>
      </c>
      <c r="C8638" s="11" t="s">
        <v>17</v>
      </c>
      <c r="D8638" s="11" t="s">
        <v>18</v>
      </c>
      <c r="E8638" s="12" t="s">
        <v>1644</v>
      </c>
      <c r="F8638" s="12" t="s">
        <v>1645</v>
      </c>
      <c r="G8638" s="12" t="s">
        <v>21</v>
      </c>
      <c r="H8638" s="11" t="s">
        <v>22</v>
      </c>
      <c r="I8638" s="13" t="s">
        <v>17505</v>
      </c>
      <c r="J8638" s="14" t="str">
        <f>HYPERLINK("https://www.boe.es/gazeta/dias/1839/04/16/pdfs/GMD-1839-1613.pdf#page=4","Abrir facsímil")</f>
        <v>Abrir facsímil</v>
      </c>
      <c r="K8638" s="12" t="s">
        <v>24</v>
      </c>
    </row>
    <row r="8639" spans="1:11" ht="40.049999999999997" customHeight="1" x14ac:dyDescent="0.25">
      <c r="A8639" s="11" t="s">
        <v>17498</v>
      </c>
      <c r="B8639" s="11" t="s">
        <v>17498</v>
      </c>
      <c r="C8639" s="11" t="s">
        <v>17</v>
      </c>
      <c r="D8639" s="11" t="s">
        <v>18</v>
      </c>
      <c r="E8639" s="12" t="s">
        <v>821</v>
      </c>
      <c r="F8639" s="12" t="s">
        <v>822</v>
      </c>
      <c r="G8639" s="12" t="s">
        <v>21</v>
      </c>
      <c r="H8639" s="11" t="s">
        <v>22</v>
      </c>
      <c r="I8639" s="13" t="s">
        <v>17506</v>
      </c>
      <c r="J8639" s="14" t="str">
        <f>HYPERLINK("https://www.boe.es/gazeta/dias/1839/09/20/pdfs/GMD-1839-1775.pdf#page=4","Abrir facsímil")</f>
        <v>Abrir facsímil</v>
      </c>
      <c r="K8639" s="12" t="s">
        <v>24</v>
      </c>
    </row>
    <row r="8640" spans="1:11" ht="40.049999999999997" customHeight="1" x14ac:dyDescent="0.25">
      <c r="A8640" s="11" t="s">
        <v>17498</v>
      </c>
      <c r="B8640" s="11" t="s">
        <v>17498</v>
      </c>
      <c r="C8640" s="11" t="s">
        <v>17</v>
      </c>
      <c r="D8640" s="11" t="s">
        <v>18</v>
      </c>
      <c r="E8640" s="12" t="s">
        <v>308</v>
      </c>
      <c r="F8640" s="12" t="s">
        <v>309</v>
      </c>
      <c r="G8640" s="12" t="s">
        <v>21</v>
      </c>
      <c r="H8640" s="11" t="s">
        <v>22</v>
      </c>
      <c r="I8640" s="13" t="s">
        <v>17507</v>
      </c>
      <c r="J8640" s="14" t="str">
        <f>HYPERLINK("https://www.boe.es/gazeta/dias/1839/07/29/pdfs/GMD-1839-1718.pdf#page=4","Abrir facsímil")</f>
        <v>Abrir facsímil</v>
      </c>
      <c r="K8640" s="12" t="s">
        <v>24</v>
      </c>
    </row>
    <row r="8641" spans="1:11" ht="40.049999999999997" customHeight="1" x14ac:dyDescent="0.25">
      <c r="A8641" s="11" t="s">
        <v>17498</v>
      </c>
      <c r="B8641" s="11" t="s">
        <v>17498</v>
      </c>
      <c r="C8641" s="11" t="s">
        <v>17</v>
      </c>
      <c r="D8641" s="11" t="s">
        <v>18</v>
      </c>
      <c r="E8641" s="12" t="s">
        <v>1523</v>
      </c>
      <c r="F8641" s="12" t="s">
        <v>1524</v>
      </c>
      <c r="G8641" s="12" t="s">
        <v>21</v>
      </c>
      <c r="H8641" s="11" t="s">
        <v>22</v>
      </c>
      <c r="I8641" s="13" t="s">
        <v>17508</v>
      </c>
      <c r="J8641" s="14" t="str">
        <f>HYPERLINK("https://www.boe.es/gazeta/dias/1839/08/29/pdfs/GMD-1839-1750.pdf#page=4","Abrir facsímil")</f>
        <v>Abrir facsímil</v>
      </c>
      <c r="K8641" s="12" t="s">
        <v>24</v>
      </c>
    </row>
    <row r="8642" spans="1:11" ht="40.049999999999997" customHeight="1" x14ac:dyDescent="0.25">
      <c r="A8642" s="11" t="s">
        <v>17498</v>
      </c>
      <c r="B8642" s="11" t="s">
        <v>17498</v>
      </c>
      <c r="C8642" s="11" t="s">
        <v>59</v>
      </c>
      <c r="D8642" s="11" t="s">
        <v>60</v>
      </c>
      <c r="E8642" s="12" t="s">
        <v>912</v>
      </c>
      <c r="F8642" s="12" t="s">
        <v>913</v>
      </c>
      <c r="G8642" s="12" t="s">
        <v>21</v>
      </c>
      <c r="H8642" s="11" t="s">
        <v>22</v>
      </c>
      <c r="I8642" s="13" t="s">
        <v>17509</v>
      </c>
      <c r="J8642" s="14" t="str">
        <f>HYPERLINK("https://www.boe.es/gazeta/dias/1839/04/30/pdfs/GMD-1839-1627.pdf#page=4","Abrir facsímil")</f>
        <v>Abrir facsímil</v>
      </c>
      <c r="K8642" s="12" t="s">
        <v>24</v>
      </c>
    </row>
    <row r="8643" spans="1:11" ht="40.049999999999997" customHeight="1" x14ac:dyDescent="0.25">
      <c r="A8643" s="11" t="s">
        <v>17510</v>
      </c>
      <c r="B8643" s="11" t="s">
        <v>17510</v>
      </c>
      <c r="C8643" s="11" t="s">
        <v>17</v>
      </c>
      <c r="D8643" s="11" t="s">
        <v>18</v>
      </c>
      <c r="E8643" s="12" t="s">
        <v>1517</v>
      </c>
      <c r="F8643" s="12" t="s">
        <v>1518</v>
      </c>
      <c r="G8643" s="12" t="s">
        <v>40</v>
      </c>
      <c r="H8643" s="11" t="s">
        <v>22</v>
      </c>
      <c r="I8643" s="13" t="s">
        <v>17511</v>
      </c>
      <c r="J8643" s="14" t="str">
        <f>HYPERLINK("https://www.boe.es/gazeta/dias/1839/12/20/pdfs/GMD-1839-1867.pdf#page=2","Abrir facsímil")</f>
        <v>Abrir facsímil</v>
      </c>
      <c r="K8643" s="12" t="s">
        <v>24</v>
      </c>
    </row>
    <row r="8644" spans="1:11" ht="40.049999999999997" customHeight="1" x14ac:dyDescent="0.25">
      <c r="A8644" s="11" t="s">
        <v>17510</v>
      </c>
      <c r="B8644" s="11" t="s">
        <v>17510</v>
      </c>
      <c r="C8644" s="11" t="s">
        <v>137</v>
      </c>
      <c r="D8644" s="11" t="s">
        <v>18</v>
      </c>
      <c r="E8644" s="12" t="s">
        <v>2415</v>
      </c>
      <c r="F8644" s="12" t="s">
        <v>2416</v>
      </c>
      <c r="G8644" s="12" t="s">
        <v>40</v>
      </c>
      <c r="H8644" s="11" t="s">
        <v>22</v>
      </c>
      <c r="I8644" s="13" t="s">
        <v>17512</v>
      </c>
      <c r="J8644" s="14" t="str">
        <f>HYPERLINK("https://www.boe.es/gazeta/dias/1839/12/22/pdfs/GMD-1839-1869.pdf#page=2","Abrir facsímil")</f>
        <v>Abrir facsímil</v>
      </c>
      <c r="K8644" s="12" t="s">
        <v>24</v>
      </c>
    </row>
    <row r="8645" spans="1:11" ht="40.049999999999997" customHeight="1" x14ac:dyDescent="0.25">
      <c r="A8645" s="11" t="s">
        <v>17513</v>
      </c>
      <c r="B8645" s="11" t="s">
        <v>17513</v>
      </c>
      <c r="C8645" s="11" t="s">
        <v>59</v>
      </c>
      <c r="D8645" s="11" t="s">
        <v>60</v>
      </c>
      <c r="E8645" s="12" t="s">
        <v>929</v>
      </c>
      <c r="F8645" s="12" t="s">
        <v>930</v>
      </c>
      <c r="G8645" s="12" t="s">
        <v>21</v>
      </c>
      <c r="H8645" s="11" t="s">
        <v>22</v>
      </c>
      <c r="I8645" s="13" t="s">
        <v>17514</v>
      </c>
      <c r="J8645" s="14" t="str">
        <f>HYPERLINK("https://www.boe.es/gazeta/dias/1839/01/31/pdfs/GMD-1839-1538.pdf#page=4","Abrir facsímil")</f>
        <v>Abrir facsímil</v>
      </c>
      <c r="K8645" s="12" t="s">
        <v>24</v>
      </c>
    </row>
    <row r="8646" spans="1:11" ht="40.049999999999997" customHeight="1" x14ac:dyDescent="0.25">
      <c r="A8646" s="11" t="s">
        <v>17515</v>
      </c>
      <c r="B8646" s="11" t="s">
        <v>17515</v>
      </c>
      <c r="C8646" s="11" t="s">
        <v>17</v>
      </c>
      <c r="D8646" s="11" t="s">
        <v>18</v>
      </c>
      <c r="E8646" s="12" t="s">
        <v>564</v>
      </c>
      <c r="F8646" s="12" t="s">
        <v>565</v>
      </c>
      <c r="G8646" s="12" t="s">
        <v>305</v>
      </c>
      <c r="H8646" s="11" t="s">
        <v>22</v>
      </c>
      <c r="I8646" s="13" t="s">
        <v>17516</v>
      </c>
      <c r="J8646" s="14" t="str">
        <f>HYPERLINK("https://www.boe.es/gazeta/dias/1839/10/17/pdfs/GMD-1839-1803.pdf#page=6","Abrir facsímil")</f>
        <v>Abrir facsímil</v>
      </c>
      <c r="K8646" s="12" t="s">
        <v>24</v>
      </c>
    </row>
    <row r="8647" spans="1:11" ht="40.049999999999997" customHeight="1" x14ac:dyDescent="0.25">
      <c r="A8647" s="11" t="s">
        <v>17517</v>
      </c>
      <c r="B8647" s="11" t="s">
        <v>17517</v>
      </c>
      <c r="C8647" s="11" t="s">
        <v>137</v>
      </c>
      <c r="D8647" s="11" t="s">
        <v>18</v>
      </c>
      <c r="E8647" s="12" t="s">
        <v>1057</v>
      </c>
      <c r="F8647" s="12" t="s">
        <v>1058</v>
      </c>
      <c r="G8647" s="12" t="s">
        <v>305</v>
      </c>
      <c r="H8647" s="11" t="s">
        <v>22</v>
      </c>
      <c r="I8647" s="13" t="s">
        <v>17518</v>
      </c>
      <c r="J8647" s="14" t="str">
        <f>HYPERLINK("https://www.boe.es/gazeta/dias/1839/10/01/pdfs/GMD-1839-1787.pdf#page=6","Abrir facsímil")</f>
        <v>Abrir facsímil</v>
      </c>
      <c r="K8647" s="12" t="s">
        <v>24</v>
      </c>
    </row>
    <row r="8648" spans="1:11" ht="40.049999999999997" customHeight="1" x14ac:dyDescent="0.25">
      <c r="A8648" s="11" t="s">
        <v>17517</v>
      </c>
      <c r="B8648" s="11" t="s">
        <v>17517</v>
      </c>
      <c r="C8648" s="11" t="s">
        <v>80</v>
      </c>
      <c r="D8648" s="11" t="s">
        <v>18</v>
      </c>
      <c r="E8648" s="12" t="s">
        <v>3236</v>
      </c>
      <c r="F8648" s="12" t="s">
        <v>3237</v>
      </c>
      <c r="G8648" s="12" t="s">
        <v>21</v>
      </c>
      <c r="H8648" s="11" t="s">
        <v>22</v>
      </c>
      <c r="I8648" s="13" t="s">
        <v>17519</v>
      </c>
      <c r="J8648" s="14" t="str">
        <f>HYPERLINK("https://www.boe.es/gazeta/dias/1839/12/03/pdfs/GMD-1839-1850.pdf#page=4","Abrir facsímil")</f>
        <v>Abrir facsímil</v>
      </c>
      <c r="K8648" s="12" t="s">
        <v>24</v>
      </c>
    </row>
    <row r="8649" spans="1:11" ht="40.049999999999997" customHeight="1" x14ac:dyDescent="0.25">
      <c r="A8649" s="11" t="s">
        <v>17517</v>
      </c>
      <c r="B8649" s="11" t="s">
        <v>17517</v>
      </c>
      <c r="C8649" s="11" t="s">
        <v>137</v>
      </c>
      <c r="D8649" s="11" t="s">
        <v>18</v>
      </c>
      <c r="E8649" s="12" t="s">
        <v>998</v>
      </c>
      <c r="F8649" s="12" t="s">
        <v>999</v>
      </c>
      <c r="G8649" s="12" t="s">
        <v>21</v>
      </c>
      <c r="H8649" s="11" t="s">
        <v>22</v>
      </c>
      <c r="I8649" s="13" t="s">
        <v>17520</v>
      </c>
      <c r="J8649" s="14" t="str">
        <f>HYPERLINK("https://www.boe.es/gazeta/dias/1839/05/06/pdfs/GMD-1839-1633.pdf#page=4","Abrir facsímil")</f>
        <v>Abrir facsímil</v>
      </c>
      <c r="K8649" s="12" t="s">
        <v>24</v>
      </c>
    </row>
    <row r="8650" spans="1:11" ht="40.049999999999997" customHeight="1" x14ac:dyDescent="0.25">
      <c r="A8650" s="11" t="s">
        <v>17517</v>
      </c>
      <c r="B8650" s="11" t="s">
        <v>17517</v>
      </c>
      <c r="C8650" s="11" t="s">
        <v>137</v>
      </c>
      <c r="D8650" s="11" t="s">
        <v>18</v>
      </c>
      <c r="E8650" s="12" t="s">
        <v>592</v>
      </c>
      <c r="F8650" s="12" t="s">
        <v>593</v>
      </c>
      <c r="G8650" s="12" t="s">
        <v>21</v>
      </c>
      <c r="H8650" s="11" t="s">
        <v>22</v>
      </c>
      <c r="I8650" s="13" t="s">
        <v>17521</v>
      </c>
      <c r="J8650" s="14" t="str">
        <f>HYPERLINK("https://www.boe.es/gazeta/dias/1839/09/14/pdfs/GMD-1839-1767.pdf#page=4","Abrir facsímil")</f>
        <v>Abrir facsímil</v>
      </c>
      <c r="K8650" s="12" t="s">
        <v>24</v>
      </c>
    </row>
    <row r="8651" spans="1:11" ht="40.049999999999997" customHeight="1" x14ac:dyDescent="0.25">
      <c r="A8651" s="11" t="s">
        <v>17517</v>
      </c>
      <c r="B8651" s="11" t="s">
        <v>17517</v>
      </c>
      <c r="C8651" s="11" t="s">
        <v>80</v>
      </c>
      <c r="D8651" s="11" t="s">
        <v>18</v>
      </c>
      <c r="E8651" s="12" t="s">
        <v>1565</v>
      </c>
      <c r="F8651" s="12" t="s">
        <v>1566</v>
      </c>
      <c r="G8651" s="12" t="s">
        <v>21</v>
      </c>
      <c r="H8651" s="11" t="s">
        <v>22</v>
      </c>
      <c r="I8651" s="13" t="s">
        <v>17522</v>
      </c>
      <c r="J8651" s="14" t="str">
        <f>HYPERLINK("https://www.boe.es/gazeta/dias/1839/06/17/pdfs/GMD-1839-1675.pdf#page=4","Abrir facsímil")</f>
        <v>Abrir facsímil</v>
      </c>
      <c r="K8651" s="12" t="s">
        <v>24</v>
      </c>
    </row>
    <row r="8652" spans="1:11" ht="40.049999999999997" customHeight="1" x14ac:dyDescent="0.25">
      <c r="A8652" s="11" t="s">
        <v>17517</v>
      </c>
      <c r="B8652" s="11" t="s">
        <v>17517</v>
      </c>
      <c r="C8652" s="11" t="s">
        <v>17</v>
      </c>
      <c r="D8652" s="11" t="s">
        <v>18</v>
      </c>
      <c r="E8652" s="12" t="s">
        <v>1895</v>
      </c>
      <c r="F8652" s="12" t="s">
        <v>1896</v>
      </c>
      <c r="G8652" s="12" t="s">
        <v>21</v>
      </c>
      <c r="H8652" s="11" t="s">
        <v>22</v>
      </c>
      <c r="I8652" s="13" t="s">
        <v>17523</v>
      </c>
      <c r="J8652" s="14" t="str">
        <f>HYPERLINK("https://www.boe.es/gazeta/dias/1839/12/23/pdfs/GMD-1839-1870.pdf#page=4","Abrir facsímil")</f>
        <v>Abrir facsímil</v>
      </c>
      <c r="K8652" s="12" t="s">
        <v>24</v>
      </c>
    </row>
    <row r="8653" spans="1:11" ht="40.049999999999997" customHeight="1" x14ac:dyDescent="0.25">
      <c r="A8653" s="11" t="s">
        <v>17517</v>
      </c>
      <c r="B8653" s="11" t="s">
        <v>17517</v>
      </c>
      <c r="C8653" s="11" t="s">
        <v>59</v>
      </c>
      <c r="D8653" s="11" t="s">
        <v>60</v>
      </c>
      <c r="E8653" s="12" t="s">
        <v>638</v>
      </c>
      <c r="F8653" s="12" t="s">
        <v>639</v>
      </c>
      <c r="G8653" s="12" t="s">
        <v>21</v>
      </c>
      <c r="H8653" s="11" t="s">
        <v>22</v>
      </c>
      <c r="I8653" s="13" t="s">
        <v>17524</v>
      </c>
      <c r="J8653" s="14" t="str">
        <f>HYPERLINK("https://www.boe.es/gazeta/dias/1839/08/26/pdfs/GMD-1839-1747.pdf#page=4","Abrir facsímil")</f>
        <v>Abrir facsímil</v>
      </c>
      <c r="K8653" s="12" t="s">
        <v>24</v>
      </c>
    </row>
    <row r="8654" spans="1:11" ht="40.049999999999997" customHeight="1" x14ac:dyDescent="0.25">
      <c r="A8654" s="11" t="s">
        <v>17525</v>
      </c>
      <c r="B8654" s="11" t="s">
        <v>17526</v>
      </c>
      <c r="C8654" s="11" t="s">
        <v>17</v>
      </c>
      <c r="D8654" s="11" t="s">
        <v>18</v>
      </c>
      <c r="E8654" s="12" t="s">
        <v>1388</v>
      </c>
      <c r="F8654" s="12" t="s">
        <v>1389</v>
      </c>
      <c r="G8654" s="12" t="s">
        <v>21</v>
      </c>
      <c r="H8654" s="11" t="s">
        <v>22</v>
      </c>
      <c r="I8654" s="13" t="s">
        <v>17527</v>
      </c>
      <c r="J8654" s="14" t="str">
        <f>HYPERLINK("https://www.boe.es/gazeta/dias/1839/06/04/pdfs/GMD-1839-1662.pdf#page=4","Abrir facsímil")</f>
        <v>Abrir facsímil</v>
      </c>
      <c r="K8654" s="12" t="s">
        <v>24</v>
      </c>
    </row>
    <row r="8655" spans="1:11" ht="40.049999999999997" customHeight="1" x14ac:dyDescent="0.25">
      <c r="A8655" s="11" t="s">
        <v>17528</v>
      </c>
      <c r="B8655" s="11" t="s">
        <v>17528</v>
      </c>
      <c r="C8655" s="11" t="s">
        <v>17</v>
      </c>
      <c r="D8655" s="11" t="s">
        <v>18</v>
      </c>
      <c r="E8655" s="12" t="s">
        <v>3289</v>
      </c>
      <c r="F8655" s="12" t="s">
        <v>3290</v>
      </c>
      <c r="G8655" s="12" t="s">
        <v>21</v>
      </c>
      <c r="H8655" s="11" t="s">
        <v>22</v>
      </c>
      <c r="I8655" s="13" t="s">
        <v>17529</v>
      </c>
      <c r="J8655" s="14" t="str">
        <f>HYPERLINK("https://www.boe.es/gazeta/dias/1839/12/10/pdfs/GMD-1839-1857.pdf#page=4","Abrir facsímil")</f>
        <v>Abrir facsímil</v>
      </c>
      <c r="K8655" s="12" t="s">
        <v>24</v>
      </c>
    </row>
    <row r="8656" spans="1:11" ht="40.049999999999997" customHeight="1" x14ac:dyDescent="0.25">
      <c r="A8656" s="11" t="s">
        <v>17530</v>
      </c>
      <c r="B8656" s="11" t="s">
        <v>17530</v>
      </c>
      <c r="C8656" s="11" t="s">
        <v>17</v>
      </c>
      <c r="D8656" s="11" t="s">
        <v>18</v>
      </c>
      <c r="E8656" s="12" t="s">
        <v>280</v>
      </c>
      <c r="F8656" s="12" t="s">
        <v>281</v>
      </c>
      <c r="G8656" s="12" t="s">
        <v>21</v>
      </c>
      <c r="H8656" s="11" t="s">
        <v>22</v>
      </c>
      <c r="I8656" s="13" t="s">
        <v>17531</v>
      </c>
      <c r="J8656" s="14" t="str">
        <f>HYPERLINK("https://www.boe.es/gazeta/dias/1839/08/21/pdfs/GMD-1839-1742.pdf#page=4","Abrir facsímil")</f>
        <v>Abrir facsímil</v>
      </c>
      <c r="K8656" s="12" t="s">
        <v>24</v>
      </c>
    </row>
    <row r="8657" spans="1:11" ht="40.049999999999997" customHeight="1" x14ac:dyDescent="0.25">
      <c r="A8657" s="11" t="s">
        <v>17532</v>
      </c>
      <c r="B8657" s="11" t="s">
        <v>17533</v>
      </c>
      <c r="C8657" s="11" t="s">
        <v>137</v>
      </c>
      <c r="D8657" s="11" t="s">
        <v>18</v>
      </c>
      <c r="E8657" s="12" t="s">
        <v>4463</v>
      </c>
      <c r="F8657" s="12" t="s">
        <v>4464</v>
      </c>
      <c r="G8657" s="12" t="s">
        <v>21</v>
      </c>
      <c r="H8657" s="11" t="s">
        <v>22</v>
      </c>
      <c r="I8657" s="13" t="s">
        <v>17534</v>
      </c>
      <c r="J8657" s="14" t="str">
        <f>HYPERLINK("https://www.boe.es/gazeta/dias/1839/08/28/pdfs/GMD-1839-1749.pdf#page=4","Abrir facsímil")</f>
        <v>Abrir facsímil</v>
      </c>
      <c r="K8657" s="12" t="s">
        <v>24</v>
      </c>
    </row>
    <row r="8658" spans="1:11" ht="40.049999999999997" customHeight="1" x14ac:dyDescent="0.25">
      <c r="A8658" s="11" t="s">
        <v>17535</v>
      </c>
      <c r="B8658" s="11" t="s">
        <v>17536</v>
      </c>
      <c r="C8658" s="11" t="s">
        <v>80</v>
      </c>
      <c r="D8658" s="11" t="s">
        <v>173</v>
      </c>
      <c r="E8658" s="12" t="s">
        <v>395</v>
      </c>
      <c r="F8658" s="12" t="s">
        <v>396</v>
      </c>
      <c r="G8658" s="12" t="s">
        <v>21</v>
      </c>
      <c r="H8658" s="11" t="s">
        <v>22</v>
      </c>
      <c r="I8658" s="13" t="s">
        <v>17537</v>
      </c>
      <c r="J8658" s="14" t="str">
        <f>HYPERLINK("https://www.boe.es/gazeta/dias/1839/03/15/pdfs/GMD-1839-1581.pdf#page=4","Abrir facsímil")</f>
        <v>Abrir facsímil</v>
      </c>
      <c r="K8658" s="12" t="s">
        <v>24</v>
      </c>
    </row>
    <row r="8659" spans="1:11" ht="40.049999999999997" customHeight="1" x14ac:dyDescent="0.25">
      <c r="A8659" s="11" t="s">
        <v>17535</v>
      </c>
      <c r="B8659" s="11" t="s">
        <v>17536</v>
      </c>
      <c r="C8659" s="11" t="s">
        <v>17</v>
      </c>
      <c r="D8659" s="11" t="s">
        <v>18</v>
      </c>
      <c r="E8659" s="12" t="s">
        <v>695</v>
      </c>
      <c r="F8659" s="12" t="s">
        <v>696</v>
      </c>
      <c r="G8659" s="12" t="s">
        <v>21</v>
      </c>
      <c r="H8659" s="11" t="s">
        <v>22</v>
      </c>
      <c r="I8659" s="13" t="s">
        <v>17538</v>
      </c>
      <c r="J8659" s="14" t="str">
        <f>HYPERLINK("https://www.boe.es/gazeta/dias/1839/12/19/pdfs/GMD-1839-1866.pdf#page=4","Abrir facsímil")</f>
        <v>Abrir facsímil</v>
      </c>
      <c r="K8659" s="12" t="s">
        <v>24</v>
      </c>
    </row>
    <row r="8660" spans="1:11" ht="40.049999999999997" customHeight="1" x14ac:dyDescent="0.25">
      <c r="A8660" s="11" t="s">
        <v>17539</v>
      </c>
      <c r="B8660" s="11" t="s">
        <v>17540</v>
      </c>
      <c r="C8660" s="11" t="s">
        <v>59</v>
      </c>
      <c r="D8660" s="11" t="s">
        <v>60</v>
      </c>
      <c r="E8660" s="12" t="s">
        <v>1395</v>
      </c>
      <c r="F8660" s="12" t="s">
        <v>1396</v>
      </c>
      <c r="G8660" s="12" t="s">
        <v>21</v>
      </c>
      <c r="H8660" s="11" t="s">
        <v>63</v>
      </c>
      <c r="I8660" s="13" t="s">
        <v>17541</v>
      </c>
      <c r="J8660" s="14" t="str">
        <f>HYPERLINK("https://www.boe.es/gazeta/dias/1839/06/26/pdfs/GMD-1839-1684.pdf#page=4","Abrir facsímil")</f>
        <v>Abrir facsímil</v>
      </c>
      <c r="K8660" s="12" t="s">
        <v>65</v>
      </c>
    </row>
    <row r="8661" spans="1:11" ht="40.049999999999997" customHeight="1" x14ac:dyDescent="0.25">
      <c r="A8661" s="11" t="s">
        <v>17542</v>
      </c>
      <c r="B8661" s="11" t="s">
        <v>17543</v>
      </c>
      <c r="C8661" s="11" t="s">
        <v>17</v>
      </c>
      <c r="D8661" s="11" t="s">
        <v>18</v>
      </c>
      <c r="E8661" s="12" t="s">
        <v>202</v>
      </c>
      <c r="F8661" s="12" t="s">
        <v>203</v>
      </c>
      <c r="G8661" s="12" t="s">
        <v>40</v>
      </c>
      <c r="H8661" s="11" t="s">
        <v>63</v>
      </c>
      <c r="I8661" s="13" t="s">
        <v>17544</v>
      </c>
      <c r="J8661" s="14" t="str">
        <f>HYPERLINK("https://www.boe.es/gazeta/dias/1839/04/05/pdfs/GMD-1839-1602.pdf#page=2","Abrir facsímil")</f>
        <v>Abrir facsímil</v>
      </c>
      <c r="K8661" s="12" t="s">
        <v>65</v>
      </c>
    </row>
    <row r="8662" spans="1:11" ht="40.049999999999997" customHeight="1" x14ac:dyDescent="0.25">
      <c r="A8662" s="11" t="s">
        <v>17545</v>
      </c>
      <c r="B8662" s="11" t="s">
        <v>17545</v>
      </c>
      <c r="C8662" s="11" t="s">
        <v>17</v>
      </c>
      <c r="D8662" s="11" t="s">
        <v>18</v>
      </c>
      <c r="E8662" s="12" t="s">
        <v>3134</v>
      </c>
      <c r="F8662" s="12" t="s">
        <v>3135</v>
      </c>
      <c r="G8662" s="12" t="s">
        <v>40</v>
      </c>
      <c r="H8662" s="11" t="s">
        <v>63</v>
      </c>
      <c r="I8662" s="13" t="s">
        <v>17546</v>
      </c>
      <c r="J8662" s="14" t="str">
        <f>HYPERLINK("https://www.boe.es/gazeta/dias/1839/08/09/pdfs/GMD-1839-1729.pdf#page=2","Abrir facsímil")</f>
        <v>Abrir facsímil</v>
      </c>
      <c r="K8662" s="12" t="s">
        <v>65</v>
      </c>
    </row>
    <row r="8663" spans="1:11" ht="40.049999999999997" customHeight="1" x14ac:dyDescent="0.25">
      <c r="A8663" s="11" t="s">
        <v>17545</v>
      </c>
      <c r="B8663" s="11" t="s">
        <v>17545</v>
      </c>
      <c r="C8663" s="11" t="s">
        <v>17</v>
      </c>
      <c r="D8663" s="11" t="s">
        <v>18</v>
      </c>
      <c r="E8663" s="12" t="s">
        <v>2069</v>
      </c>
      <c r="F8663" s="12" t="s">
        <v>2070</v>
      </c>
      <c r="G8663" s="12" t="s">
        <v>305</v>
      </c>
      <c r="H8663" s="11" t="s">
        <v>63</v>
      </c>
      <c r="I8663" s="13" t="s">
        <v>17547</v>
      </c>
      <c r="J8663" s="14" t="str">
        <f>HYPERLINK("https://www.boe.es/gazeta/dias/1839/10/20/pdfs/GMD-1839-1806.pdf#page=6","Abrir facsímil")</f>
        <v>Abrir facsímil</v>
      </c>
      <c r="K8663" s="12" t="s">
        <v>65</v>
      </c>
    </row>
    <row r="8664" spans="1:11" ht="40.049999999999997" customHeight="1" x14ac:dyDescent="0.25">
      <c r="A8664" s="11" t="s">
        <v>17545</v>
      </c>
      <c r="B8664" s="11" t="s">
        <v>17545</v>
      </c>
      <c r="C8664" s="11" t="s">
        <v>80</v>
      </c>
      <c r="D8664" s="11" t="s">
        <v>18</v>
      </c>
      <c r="E8664" s="12" t="s">
        <v>571</v>
      </c>
      <c r="F8664" s="12" t="s">
        <v>572</v>
      </c>
      <c r="G8664" s="12" t="s">
        <v>305</v>
      </c>
      <c r="H8664" s="11" t="s">
        <v>63</v>
      </c>
      <c r="I8664" s="13" t="s">
        <v>17548</v>
      </c>
      <c r="J8664" s="14" t="str">
        <f>HYPERLINK("https://www.boe.es/gazeta/dias/1839/09/27/pdfs/GMD-1839-1783.pdf#page=6","Abrir facsímil")</f>
        <v>Abrir facsímil</v>
      </c>
      <c r="K8664" s="12" t="s">
        <v>65</v>
      </c>
    </row>
    <row r="8665" spans="1:11" ht="40.049999999999997" customHeight="1" x14ac:dyDescent="0.25">
      <c r="A8665" s="11" t="s">
        <v>17545</v>
      </c>
      <c r="B8665" s="11" t="s">
        <v>17545</v>
      </c>
      <c r="C8665" s="11" t="s">
        <v>137</v>
      </c>
      <c r="D8665" s="11" t="s">
        <v>18</v>
      </c>
      <c r="E8665" s="12" t="s">
        <v>1118</v>
      </c>
      <c r="F8665" s="12" t="s">
        <v>1119</v>
      </c>
      <c r="G8665" s="12" t="s">
        <v>46</v>
      </c>
      <c r="H8665" s="11" t="s">
        <v>63</v>
      </c>
      <c r="I8665" s="13" t="s">
        <v>17549</v>
      </c>
      <c r="J8665" s="14" t="str">
        <f>HYPERLINK("https://www.boe.es/gazeta/dias/1839/08/30/pdfs/GMD-1839-1751.pdf#page=3","Abrir facsímil")</f>
        <v>Abrir facsímil</v>
      </c>
      <c r="K8665" s="12" t="s">
        <v>65</v>
      </c>
    </row>
    <row r="8666" spans="1:11" ht="40.049999999999997" customHeight="1" x14ac:dyDescent="0.25">
      <c r="A8666" s="11" t="s">
        <v>17545</v>
      </c>
      <c r="B8666" s="11" t="s">
        <v>17545</v>
      </c>
      <c r="C8666" s="11" t="s">
        <v>17</v>
      </c>
      <c r="D8666" s="11" t="s">
        <v>18</v>
      </c>
      <c r="E8666" s="12" t="s">
        <v>1287</v>
      </c>
      <c r="F8666" s="12" t="s">
        <v>1288</v>
      </c>
      <c r="G8666" s="12" t="s">
        <v>21</v>
      </c>
      <c r="H8666" s="11" t="s">
        <v>63</v>
      </c>
      <c r="I8666" s="13" t="s">
        <v>17550</v>
      </c>
      <c r="J8666" s="14" t="str">
        <f>HYPERLINK("https://www.boe.es/gazeta/dias/1839/10/30/pdfs/GMD-1839-1816.pdf#page=4","Abrir facsímil")</f>
        <v>Abrir facsímil</v>
      </c>
      <c r="K8666" s="12" t="s">
        <v>65</v>
      </c>
    </row>
    <row r="8667" spans="1:11" ht="40.049999999999997" customHeight="1" x14ac:dyDescent="0.25">
      <c r="A8667" s="11" t="s">
        <v>17551</v>
      </c>
      <c r="B8667" s="11" t="s">
        <v>17552</v>
      </c>
      <c r="C8667" s="11" t="s">
        <v>17</v>
      </c>
      <c r="D8667" s="11" t="s">
        <v>18</v>
      </c>
      <c r="E8667" s="12" t="s">
        <v>4292</v>
      </c>
      <c r="F8667" s="12" t="s">
        <v>4293</v>
      </c>
      <c r="G8667" s="12" t="s">
        <v>21</v>
      </c>
      <c r="H8667" s="11" t="s">
        <v>63</v>
      </c>
      <c r="I8667" s="13" t="s">
        <v>17553</v>
      </c>
      <c r="J8667" s="14" t="str">
        <f>HYPERLINK("https://www.boe.es/gazeta/dias/1839/11/29/pdfs/GMD-1839-1846.pdf#page=4","Abrir facsímil")</f>
        <v>Abrir facsímil</v>
      </c>
      <c r="K8667" s="12" t="s">
        <v>65</v>
      </c>
    </row>
    <row r="8668" spans="1:11" ht="40.049999999999997" customHeight="1" x14ac:dyDescent="0.25">
      <c r="A8668" s="11" t="s">
        <v>17554</v>
      </c>
      <c r="B8668" s="11" t="s">
        <v>17555</v>
      </c>
      <c r="C8668" s="11" t="s">
        <v>17</v>
      </c>
      <c r="D8668" s="11" t="s">
        <v>18</v>
      </c>
      <c r="E8668" s="12" t="s">
        <v>1395</v>
      </c>
      <c r="F8668" s="12" t="s">
        <v>1396</v>
      </c>
      <c r="G8668" s="12" t="s">
        <v>21</v>
      </c>
      <c r="H8668" s="11" t="s">
        <v>63</v>
      </c>
      <c r="I8668" s="13" t="s">
        <v>17556</v>
      </c>
      <c r="J8668" s="14" t="str">
        <f>HYPERLINK("https://www.boe.es/gazeta/dias/1839/06/26/pdfs/GMD-1839-1684.pdf#page=4","Abrir facsímil")</f>
        <v>Abrir facsímil</v>
      </c>
      <c r="K8668" s="12" t="s">
        <v>65</v>
      </c>
    </row>
    <row r="8669" spans="1:11" ht="40.049999999999997" customHeight="1" x14ac:dyDescent="0.25">
      <c r="A8669" s="11" t="s">
        <v>17557</v>
      </c>
      <c r="B8669" s="11" t="s">
        <v>17558</v>
      </c>
      <c r="C8669" s="11" t="s">
        <v>17</v>
      </c>
      <c r="D8669" s="11" t="s">
        <v>18</v>
      </c>
      <c r="E8669" s="12" t="s">
        <v>918</v>
      </c>
      <c r="F8669" s="12" t="s">
        <v>919</v>
      </c>
      <c r="G8669" s="12" t="s">
        <v>40</v>
      </c>
      <c r="H8669" s="11" t="s">
        <v>22</v>
      </c>
      <c r="I8669" s="13" t="s">
        <v>17559</v>
      </c>
      <c r="J8669" s="14" t="str">
        <f>HYPERLINK("https://www.boe.es/gazeta/dias/1839/12/07/pdfs/GMD-1839-1854.pdf#page=2","Abrir facsímil")</f>
        <v>Abrir facsímil</v>
      </c>
      <c r="K8669" s="12" t="s">
        <v>24</v>
      </c>
    </row>
    <row r="8670" spans="1:11" ht="40.049999999999997" customHeight="1" x14ac:dyDescent="0.25">
      <c r="A8670" s="11" t="s">
        <v>17557</v>
      </c>
      <c r="B8670" s="11" t="s">
        <v>17558</v>
      </c>
      <c r="C8670" s="11" t="s">
        <v>17</v>
      </c>
      <c r="D8670" s="11" t="s">
        <v>18</v>
      </c>
      <c r="E8670" s="12" t="s">
        <v>33</v>
      </c>
      <c r="F8670" s="12" t="s">
        <v>34</v>
      </c>
      <c r="G8670" s="12" t="s">
        <v>21</v>
      </c>
      <c r="H8670" s="11" t="s">
        <v>22</v>
      </c>
      <c r="I8670" s="13" t="s">
        <v>17560</v>
      </c>
      <c r="J8670" s="14" t="str">
        <f>HYPERLINK("https://www.boe.es/gazeta/dias/1839/12/13/pdfs/GMD-1839-1860.pdf#page=4","Abrir facsímil")</f>
        <v>Abrir facsímil</v>
      </c>
      <c r="K8670" s="12" t="s">
        <v>24</v>
      </c>
    </row>
    <row r="8671" spans="1:11" ht="40.049999999999997" customHeight="1" x14ac:dyDescent="0.25">
      <c r="A8671" s="11" t="s">
        <v>17557</v>
      </c>
      <c r="B8671" s="11" t="s">
        <v>17558</v>
      </c>
      <c r="C8671" s="11" t="s">
        <v>17</v>
      </c>
      <c r="D8671" s="11" t="s">
        <v>18</v>
      </c>
      <c r="E8671" s="12" t="s">
        <v>175</v>
      </c>
      <c r="F8671" s="12" t="s">
        <v>176</v>
      </c>
      <c r="G8671" s="12" t="s">
        <v>21</v>
      </c>
      <c r="H8671" s="11" t="s">
        <v>22</v>
      </c>
      <c r="I8671" s="13" t="s">
        <v>17561</v>
      </c>
      <c r="J8671" s="14" t="str">
        <f>HYPERLINK("https://www.boe.es/gazeta/dias/1839/01/16/pdfs/GMD-1839-1523.pdf#page=4","Abrir facsímil")</f>
        <v>Abrir facsímil</v>
      </c>
      <c r="K8671" s="12" t="s">
        <v>24</v>
      </c>
    </row>
    <row r="8672" spans="1:11" ht="40.049999999999997" customHeight="1" x14ac:dyDescent="0.25">
      <c r="A8672" s="11" t="s">
        <v>17557</v>
      </c>
      <c r="B8672" s="11" t="s">
        <v>17558</v>
      </c>
      <c r="C8672" s="11" t="s">
        <v>17</v>
      </c>
      <c r="D8672" s="11" t="s">
        <v>18</v>
      </c>
      <c r="E8672" s="12" t="s">
        <v>1474</v>
      </c>
      <c r="F8672" s="12" t="s">
        <v>1475</v>
      </c>
      <c r="G8672" s="12" t="s">
        <v>21</v>
      </c>
      <c r="H8672" s="11" t="s">
        <v>22</v>
      </c>
      <c r="I8672" s="13" t="s">
        <v>17562</v>
      </c>
      <c r="J8672" s="14" t="str">
        <f>HYPERLINK("https://www.boe.es/gazeta/dias/1839/02/28/pdfs/GMD-1839-1566.pdf#page=4","Abrir facsímil")</f>
        <v>Abrir facsímil</v>
      </c>
      <c r="K8672" s="12" t="s">
        <v>24</v>
      </c>
    </row>
    <row r="8673" spans="1:11" ht="40.049999999999997" customHeight="1" x14ac:dyDescent="0.25">
      <c r="A8673" s="11" t="s">
        <v>17557</v>
      </c>
      <c r="B8673" s="11" t="s">
        <v>17558</v>
      </c>
      <c r="C8673" s="11" t="s">
        <v>59</v>
      </c>
      <c r="D8673" s="11" t="s">
        <v>60</v>
      </c>
      <c r="E8673" s="12" t="s">
        <v>3391</v>
      </c>
      <c r="F8673" s="12" t="s">
        <v>3392</v>
      </c>
      <c r="G8673" s="12" t="s">
        <v>46</v>
      </c>
      <c r="H8673" s="11" t="s">
        <v>22</v>
      </c>
      <c r="I8673" s="13" t="s">
        <v>17563</v>
      </c>
      <c r="J8673" s="14" t="str">
        <f>HYPERLINK("https://www.boe.es/gazeta/dias/1839/12/31/pdfs/GMD-1839-1878.pdf#page=3","Abrir facsímil")</f>
        <v>Abrir facsímil</v>
      </c>
      <c r="K8673" s="12" t="s">
        <v>24</v>
      </c>
    </row>
    <row r="8674" spans="1:11" ht="40.049999999999997" customHeight="1" x14ac:dyDescent="0.25">
      <c r="A8674" s="11" t="s">
        <v>17564</v>
      </c>
      <c r="B8674" s="11" t="s">
        <v>17564</v>
      </c>
      <c r="C8674" s="11" t="s">
        <v>17</v>
      </c>
      <c r="D8674" s="11" t="s">
        <v>18</v>
      </c>
      <c r="E8674" s="12" t="s">
        <v>1663</v>
      </c>
      <c r="F8674" s="12" t="s">
        <v>1664</v>
      </c>
      <c r="G8674" s="12" t="s">
        <v>46</v>
      </c>
      <c r="H8674" s="11" t="s">
        <v>63</v>
      </c>
      <c r="I8674" s="13" t="s">
        <v>17565</v>
      </c>
      <c r="J8674" s="14" t="str">
        <f>HYPERLINK("https://www.boe.es/gazeta/dias/1839/03/22/pdfs/GMD-1839-1588.pdf#page=3","Abrir facsímil")</f>
        <v>Abrir facsímil</v>
      </c>
      <c r="K8674" s="12" t="s">
        <v>65</v>
      </c>
    </row>
    <row r="8675" spans="1:11" ht="40.049999999999997" customHeight="1" x14ac:dyDescent="0.25">
      <c r="A8675" s="11" t="s">
        <v>17566</v>
      </c>
      <c r="B8675" s="11" t="s">
        <v>17566</v>
      </c>
      <c r="C8675" s="11" t="s">
        <v>17</v>
      </c>
      <c r="D8675" s="11" t="s">
        <v>18</v>
      </c>
      <c r="E8675" s="12" t="s">
        <v>1388</v>
      </c>
      <c r="F8675" s="12" t="s">
        <v>1389</v>
      </c>
      <c r="G8675" s="12" t="s">
        <v>29</v>
      </c>
      <c r="H8675" s="11" t="s">
        <v>22</v>
      </c>
      <c r="I8675" s="13" t="s">
        <v>17567</v>
      </c>
      <c r="J8675" s="14" t="str">
        <f>HYPERLINK("https://www.boe.es/gazeta/dias/1839/06/04/pdfs/GMD-1839-1662.pdf#page=1","Abrir facsímil")</f>
        <v>Abrir facsímil</v>
      </c>
      <c r="K8675" s="12" t="s">
        <v>24</v>
      </c>
    </row>
    <row r="8676" spans="1:11" ht="40.049999999999997" customHeight="1" x14ac:dyDescent="0.25">
      <c r="A8676" s="11" t="s">
        <v>17566</v>
      </c>
      <c r="B8676" s="11" t="s">
        <v>17566</v>
      </c>
      <c r="C8676" s="11" t="s">
        <v>101</v>
      </c>
      <c r="D8676" s="11" t="s">
        <v>43</v>
      </c>
      <c r="E8676" s="12" t="s">
        <v>907</v>
      </c>
      <c r="F8676" s="12" t="s">
        <v>908</v>
      </c>
      <c r="G8676" s="12" t="s">
        <v>40</v>
      </c>
      <c r="H8676" s="11" t="s">
        <v>22</v>
      </c>
      <c r="I8676" s="13" t="s">
        <v>17568</v>
      </c>
      <c r="J8676" s="14" t="str">
        <f>HYPERLINK("https://www.boe.es/gazeta/dias/1839/07/31/pdfs/GMD-1839-1720.pdf#page=2","Abrir facsímil")</f>
        <v>Abrir facsímil</v>
      </c>
      <c r="K8676" s="12" t="s">
        <v>24</v>
      </c>
    </row>
    <row r="8677" spans="1:11" ht="40.049999999999997" customHeight="1" x14ac:dyDescent="0.25">
      <c r="A8677" s="11" t="s">
        <v>17569</v>
      </c>
      <c r="B8677" s="11" t="s">
        <v>17569</v>
      </c>
      <c r="C8677" s="11" t="s">
        <v>17</v>
      </c>
      <c r="D8677" s="11" t="s">
        <v>18</v>
      </c>
      <c r="E8677" s="12" t="s">
        <v>2222</v>
      </c>
      <c r="F8677" s="12" t="s">
        <v>2223</v>
      </c>
      <c r="G8677" s="12" t="s">
        <v>29</v>
      </c>
      <c r="H8677" s="11" t="s">
        <v>22</v>
      </c>
      <c r="I8677" s="13" t="s">
        <v>17570</v>
      </c>
      <c r="J8677" s="14" t="str">
        <f>HYPERLINK("https://www.boe.es/gazeta/dias/1839/09/19/pdfs/GMD-1839-1773.pdf#page=1","Abrir facsímil")</f>
        <v>Abrir facsímil</v>
      </c>
      <c r="K8677" s="12" t="s">
        <v>24</v>
      </c>
    </row>
    <row r="8678" spans="1:11" ht="40.049999999999997" customHeight="1" x14ac:dyDescent="0.25">
      <c r="A8678" s="11" t="s">
        <v>17571</v>
      </c>
      <c r="B8678" s="11" t="s">
        <v>17571</v>
      </c>
      <c r="C8678" s="11" t="s">
        <v>17</v>
      </c>
      <c r="D8678" s="11" t="s">
        <v>18</v>
      </c>
      <c r="E8678" s="12" t="s">
        <v>185</v>
      </c>
      <c r="F8678" s="12" t="s">
        <v>186</v>
      </c>
      <c r="G8678" s="12" t="s">
        <v>29</v>
      </c>
      <c r="H8678" s="11" t="s">
        <v>22</v>
      </c>
      <c r="I8678" s="13" t="s">
        <v>17572</v>
      </c>
      <c r="J8678" s="14" t="str">
        <f>HYPERLINK("https://www.boe.es/gazeta/dias/1839/01/15/pdfs/GMD-1839-1522.pdf#page=1","Abrir facsímil")</f>
        <v>Abrir facsímil</v>
      </c>
      <c r="K8678" s="12" t="s">
        <v>24</v>
      </c>
    </row>
    <row r="8679" spans="1:11" ht="40.049999999999997" customHeight="1" x14ac:dyDescent="0.25">
      <c r="A8679" s="11" t="s">
        <v>17573</v>
      </c>
      <c r="B8679" s="11" t="s">
        <v>17574</v>
      </c>
      <c r="C8679" s="11" t="s">
        <v>59</v>
      </c>
      <c r="D8679" s="11" t="s">
        <v>60</v>
      </c>
      <c r="E8679" s="12" t="s">
        <v>462</v>
      </c>
      <c r="F8679" s="12" t="s">
        <v>463</v>
      </c>
      <c r="G8679" s="12" t="s">
        <v>21</v>
      </c>
      <c r="H8679" s="11" t="s">
        <v>22</v>
      </c>
      <c r="I8679" s="13" t="s">
        <v>17575</v>
      </c>
      <c r="J8679" s="14" t="str">
        <f>HYPERLINK("https://www.boe.es/gazeta/dias/1839/06/19/pdfs/GMD-1839-1677.pdf#page=4","Abrir facsímil")</f>
        <v>Abrir facsímil</v>
      </c>
      <c r="K8679" s="12" t="s">
        <v>24</v>
      </c>
    </row>
    <row r="8680" spans="1:11" ht="40.049999999999997" customHeight="1" x14ac:dyDescent="0.25">
      <c r="A8680" s="11" t="s">
        <v>17576</v>
      </c>
      <c r="B8680" s="11" t="s">
        <v>17577</v>
      </c>
      <c r="C8680" s="11" t="s">
        <v>17</v>
      </c>
      <c r="D8680" s="11" t="s">
        <v>18</v>
      </c>
      <c r="E8680" s="12" t="s">
        <v>817</v>
      </c>
      <c r="F8680" s="12" t="s">
        <v>818</v>
      </c>
      <c r="G8680" s="12" t="s">
        <v>21</v>
      </c>
      <c r="H8680" s="11" t="s">
        <v>22</v>
      </c>
      <c r="I8680" s="13" t="s">
        <v>17578</v>
      </c>
      <c r="J8680" s="14" t="str">
        <f>HYPERLINK("https://www.boe.es/gazeta/dias/1839/05/28/pdfs/GMD-1839-1655.pdf#page=4","Abrir facsímil")</f>
        <v>Abrir facsímil</v>
      </c>
      <c r="K8680" s="12" t="s">
        <v>24</v>
      </c>
    </row>
    <row r="8681" spans="1:11" ht="40.049999999999997" customHeight="1" x14ac:dyDescent="0.25">
      <c r="A8681" s="11" t="s">
        <v>17576</v>
      </c>
      <c r="B8681" s="11" t="s">
        <v>17577</v>
      </c>
      <c r="C8681" s="11" t="s">
        <v>80</v>
      </c>
      <c r="D8681" s="11" t="s">
        <v>18</v>
      </c>
      <c r="E8681" s="12" t="s">
        <v>616</v>
      </c>
      <c r="F8681" s="12" t="s">
        <v>617</v>
      </c>
      <c r="G8681" s="12" t="s">
        <v>21</v>
      </c>
      <c r="H8681" s="11" t="s">
        <v>22</v>
      </c>
      <c r="I8681" s="13" t="s">
        <v>17579</v>
      </c>
      <c r="J8681" s="14" t="str">
        <f>HYPERLINK("https://www.boe.es/gazeta/dias/1839/05/29/pdfs/GMD-1839-1656.pdf#page=4","Abrir facsímil")</f>
        <v>Abrir facsímil</v>
      </c>
      <c r="K8681" s="12" t="s">
        <v>24</v>
      </c>
    </row>
    <row r="8682" spans="1:11" ht="40.049999999999997" customHeight="1" x14ac:dyDescent="0.25">
      <c r="A8682" s="11" t="s">
        <v>17580</v>
      </c>
      <c r="B8682" s="11" t="s">
        <v>17581</v>
      </c>
      <c r="C8682" s="11" t="s">
        <v>17</v>
      </c>
      <c r="D8682" s="11" t="s">
        <v>18</v>
      </c>
      <c r="E8682" s="12" t="s">
        <v>1929</v>
      </c>
      <c r="F8682" s="12" t="s">
        <v>1930</v>
      </c>
      <c r="G8682" s="12" t="s">
        <v>46</v>
      </c>
      <c r="H8682" s="11" t="s">
        <v>22</v>
      </c>
      <c r="I8682" s="13" t="s">
        <v>17582</v>
      </c>
      <c r="J8682" s="14" t="str">
        <f>HYPERLINK("https://www.boe.es/gazeta/dias/1839/02/01/pdfs/GMD-1839-1539.pdf#page=3","Abrir facsímil")</f>
        <v>Abrir facsímil</v>
      </c>
      <c r="K8682" s="12" t="s">
        <v>24</v>
      </c>
    </row>
    <row r="8683" spans="1:11" ht="40.049999999999997" customHeight="1" x14ac:dyDescent="0.25">
      <c r="A8683" s="11" t="s">
        <v>17580</v>
      </c>
      <c r="B8683" s="11" t="s">
        <v>17581</v>
      </c>
      <c r="C8683" s="11" t="s">
        <v>101</v>
      </c>
      <c r="D8683" s="11" t="s">
        <v>43</v>
      </c>
      <c r="E8683" s="12" t="s">
        <v>154</v>
      </c>
      <c r="F8683" s="12" t="s">
        <v>155</v>
      </c>
      <c r="G8683" s="12" t="s">
        <v>40</v>
      </c>
      <c r="H8683" s="11" t="s">
        <v>22</v>
      </c>
      <c r="I8683" s="13" t="s">
        <v>17583</v>
      </c>
      <c r="J8683" s="14" t="str">
        <f>HYPERLINK("https://www.boe.es/gazeta/dias/1839/02/02/pdfs/GMD-1839-1540.pdf#page=2","Abrir facsímil")</f>
        <v>Abrir facsímil</v>
      </c>
      <c r="K8683" s="12" t="s">
        <v>24</v>
      </c>
    </row>
    <row r="8684" spans="1:11" ht="40.049999999999997" customHeight="1" x14ac:dyDescent="0.25">
      <c r="A8684" s="11" t="s">
        <v>17580</v>
      </c>
      <c r="B8684" s="11" t="s">
        <v>17581</v>
      </c>
      <c r="C8684" s="11" t="s">
        <v>17</v>
      </c>
      <c r="D8684" s="11" t="s">
        <v>18</v>
      </c>
      <c r="E8684" s="12" t="s">
        <v>2165</v>
      </c>
      <c r="F8684" s="12" t="s">
        <v>2166</v>
      </c>
      <c r="G8684" s="12" t="s">
        <v>46</v>
      </c>
      <c r="H8684" s="11" t="s">
        <v>22</v>
      </c>
      <c r="I8684" s="13" t="s">
        <v>17584</v>
      </c>
      <c r="J8684" s="14" t="str">
        <f>HYPERLINK("https://www.boe.es/gazeta/dias/1839/01/06/pdfs/GMD-1839-1513.pdf#page=3","Abrir facsímil")</f>
        <v>Abrir facsímil</v>
      </c>
      <c r="K8684" s="12" t="s">
        <v>24</v>
      </c>
    </row>
    <row r="8685" spans="1:11" ht="40.049999999999997" customHeight="1" x14ac:dyDescent="0.25">
      <c r="A8685" s="11" t="s">
        <v>17580</v>
      </c>
      <c r="B8685" s="11" t="s">
        <v>17581</v>
      </c>
      <c r="C8685" s="11" t="s">
        <v>17</v>
      </c>
      <c r="D8685" s="11" t="s">
        <v>18</v>
      </c>
      <c r="E8685" s="12" t="s">
        <v>1509</v>
      </c>
      <c r="F8685" s="12" t="s">
        <v>1510</v>
      </c>
      <c r="G8685" s="12" t="s">
        <v>46</v>
      </c>
      <c r="H8685" s="11" t="s">
        <v>22</v>
      </c>
      <c r="I8685" s="13" t="s">
        <v>17585</v>
      </c>
      <c r="J8685" s="14" t="str">
        <f>HYPERLINK("https://www.boe.es/gazeta/dias/1839/10/07/pdfs/GMD-1839-1793.pdf#page=3","Abrir facsímil")</f>
        <v>Abrir facsímil</v>
      </c>
      <c r="K8685" s="12" t="s">
        <v>24</v>
      </c>
    </row>
    <row r="8686" spans="1:11" ht="40.049999999999997" customHeight="1" x14ac:dyDescent="0.25">
      <c r="A8686" s="11" t="s">
        <v>17580</v>
      </c>
      <c r="B8686" s="11" t="s">
        <v>17581</v>
      </c>
      <c r="C8686" s="11" t="s">
        <v>17</v>
      </c>
      <c r="D8686" s="11" t="s">
        <v>18</v>
      </c>
      <c r="E8686" s="12" t="s">
        <v>61</v>
      </c>
      <c r="F8686" s="12" t="s">
        <v>62</v>
      </c>
      <c r="G8686" s="12" t="s">
        <v>40</v>
      </c>
      <c r="H8686" s="11" t="s">
        <v>22</v>
      </c>
      <c r="I8686" s="13" t="s">
        <v>17586</v>
      </c>
      <c r="J8686" s="14" t="str">
        <f>HYPERLINK("https://www.boe.es/gazeta/dias/1839/09/10/pdfs/GMD-1839-1763.pdf#page=2","Abrir facsímil")</f>
        <v>Abrir facsímil</v>
      </c>
      <c r="K8686" s="12" t="s">
        <v>24</v>
      </c>
    </row>
    <row r="8687" spans="1:11" ht="40.049999999999997" customHeight="1" x14ac:dyDescent="0.25">
      <c r="A8687" s="11" t="s">
        <v>17580</v>
      </c>
      <c r="B8687" s="11" t="s">
        <v>17581</v>
      </c>
      <c r="C8687" s="11" t="s">
        <v>17</v>
      </c>
      <c r="D8687" s="11" t="s">
        <v>18</v>
      </c>
      <c r="E8687" s="12" t="s">
        <v>1807</v>
      </c>
      <c r="F8687" s="12" t="s">
        <v>1808</v>
      </c>
      <c r="G8687" s="12" t="s">
        <v>46</v>
      </c>
      <c r="H8687" s="11" t="s">
        <v>22</v>
      </c>
      <c r="I8687" s="13" t="s">
        <v>17587</v>
      </c>
      <c r="J8687" s="14" t="str">
        <f>HYPERLINK("https://www.boe.es/gazeta/dias/1839/01/29/pdfs/GMD-1839-1536.pdf#page=3","Abrir facsímil")</f>
        <v>Abrir facsímil</v>
      </c>
      <c r="K8687" s="12" t="s">
        <v>24</v>
      </c>
    </row>
    <row r="8688" spans="1:11" ht="40.049999999999997" customHeight="1" x14ac:dyDescent="0.25">
      <c r="A8688" s="11" t="s">
        <v>17588</v>
      </c>
      <c r="B8688" s="11" t="s">
        <v>17589</v>
      </c>
      <c r="C8688" s="11" t="s">
        <v>59</v>
      </c>
      <c r="D8688" s="11" t="s">
        <v>60</v>
      </c>
      <c r="E8688" s="12" t="s">
        <v>736</v>
      </c>
      <c r="F8688" s="12" t="s">
        <v>737</v>
      </c>
      <c r="G8688" s="12" t="s">
        <v>21</v>
      </c>
      <c r="H8688" s="11" t="s">
        <v>63</v>
      </c>
      <c r="I8688" s="13" t="s">
        <v>17590</v>
      </c>
      <c r="J8688" s="14" t="str">
        <f>HYPERLINK("https://www.boe.es/gazeta/dias/1839/10/13/pdfs/GMD-1839-1799.pdf#page=4","Abrir facsímil")</f>
        <v>Abrir facsímil</v>
      </c>
      <c r="K8688" s="12" t="s">
        <v>65</v>
      </c>
    </row>
    <row r="8689" spans="1:11" ht="40.049999999999997" customHeight="1" x14ac:dyDescent="0.25">
      <c r="A8689" s="11" t="s">
        <v>17591</v>
      </c>
      <c r="B8689" s="11" t="s">
        <v>17592</v>
      </c>
      <c r="C8689" s="11" t="s">
        <v>17</v>
      </c>
      <c r="D8689" s="11" t="s">
        <v>18</v>
      </c>
      <c r="E8689" s="12" t="s">
        <v>61</v>
      </c>
      <c r="F8689" s="12" t="s">
        <v>62</v>
      </c>
      <c r="G8689" s="12" t="s">
        <v>40</v>
      </c>
      <c r="H8689" s="11" t="s">
        <v>22</v>
      </c>
      <c r="I8689" s="13" t="s">
        <v>17593</v>
      </c>
      <c r="J8689" s="14" t="str">
        <f>HYPERLINK("https://www.boe.es/gazeta/dias/1839/09/10/pdfs/GMD-1839-1763.pdf#page=2","Abrir facsímil")</f>
        <v>Abrir facsímil</v>
      </c>
      <c r="K8689" s="12" t="s">
        <v>24</v>
      </c>
    </row>
    <row r="8690" spans="1:11" ht="40.049999999999997" customHeight="1" x14ac:dyDescent="0.25">
      <c r="A8690" s="11" t="s">
        <v>17594</v>
      </c>
      <c r="B8690" s="11" t="s">
        <v>17595</v>
      </c>
      <c r="C8690" s="11" t="s">
        <v>17</v>
      </c>
      <c r="D8690" s="11" t="s">
        <v>18</v>
      </c>
      <c r="E8690" s="12" t="s">
        <v>1072</v>
      </c>
      <c r="F8690" s="12" t="s">
        <v>1073</v>
      </c>
      <c r="G8690" s="12" t="s">
        <v>29</v>
      </c>
      <c r="H8690" s="11" t="s">
        <v>63</v>
      </c>
      <c r="I8690" s="13" t="s">
        <v>17596</v>
      </c>
      <c r="J8690" s="14" t="str">
        <f>HYPERLINK("https://www.boe.es/gazeta/dias/1839/01/18/pdfs/GMD-1839-1525.pdf#page=1","Abrir facsímil")</f>
        <v>Abrir facsímil</v>
      </c>
      <c r="K8690" s="12" t="s">
        <v>65</v>
      </c>
    </row>
    <row r="8691" spans="1:11" ht="40.049999999999997" customHeight="1" x14ac:dyDescent="0.25">
      <c r="A8691" s="11" t="s">
        <v>17597</v>
      </c>
      <c r="B8691" s="11" t="s">
        <v>17598</v>
      </c>
      <c r="C8691" s="11" t="s">
        <v>80</v>
      </c>
      <c r="D8691" s="11" t="s">
        <v>18</v>
      </c>
      <c r="E8691" s="12" t="s">
        <v>720</v>
      </c>
      <c r="F8691" s="12" t="s">
        <v>721</v>
      </c>
      <c r="G8691" s="12" t="s">
        <v>21</v>
      </c>
      <c r="H8691" s="11" t="s">
        <v>63</v>
      </c>
      <c r="I8691" s="13" t="s">
        <v>17599</v>
      </c>
      <c r="J8691" s="14" t="str">
        <f>HYPERLINK("https://www.boe.es/gazeta/dias/1839/01/14/pdfs/GMD-1839-1521.pdf#page=4","Abrir facsímil")</f>
        <v>Abrir facsímil</v>
      </c>
      <c r="K8691" s="12" t="s">
        <v>65</v>
      </c>
    </row>
    <row r="8692" spans="1:11" ht="40.049999999999997" customHeight="1" x14ac:dyDescent="0.25">
      <c r="A8692" s="11" t="s">
        <v>17600</v>
      </c>
      <c r="B8692" s="11" t="s">
        <v>17601</v>
      </c>
      <c r="C8692" s="11" t="s">
        <v>59</v>
      </c>
      <c r="D8692" s="11" t="s">
        <v>60</v>
      </c>
      <c r="E8692" s="12" t="s">
        <v>489</v>
      </c>
      <c r="F8692" s="12" t="s">
        <v>490</v>
      </c>
      <c r="G8692" s="12" t="s">
        <v>21</v>
      </c>
      <c r="H8692" s="11" t="s">
        <v>63</v>
      </c>
      <c r="I8692" s="13" t="s">
        <v>17602</v>
      </c>
      <c r="J8692" s="14" t="str">
        <f>HYPERLINK("https://www.boe.es/gazeta/dias/1839/06/29/pdfs/GMD-1839-1687.pdf#page=4","Abrir facsímil")</f>
        <v>Abrir facsímil</v>
      </c>
      <c r="K8692" s="12" t="s">
        <v>65</v>
      </c>
    </row>
    <row r="8693" spans="1:11" ht="40.049999999999997" customHeight="1" x14ac:dyDescent="0.25">
      <c r="A8693" s="11" t="s">
        <v>17600</v>
      </c>
      <c r="B8693" s="11" t="s">
        <v>17601</v>
      </c>
      <c r="C8693" s="11" t="s">
        <v>137</v>
      </c>
      <c r="D8693" s="11" t="s">
        <v>18</v>
      </c>
      <c r="E8693" s="12" t="s">
        <v>355</v>
      </c>
      <c r="F8693" s="12" t="s">
        <v>356</v>
      </c>
      <c r="G8693" s="12" t="s">
        <v>21</v>
      </c>
      <c r="H8693" s="11" t="s">
        <v>63</v>
      </c>
      <c r="I8693" s="13" t="s">
        <v>17603</v>
      </c>
      <c r="J8693" s="14" t="str">
        <f>HYPERLINK("https://www.boe.es/gazeta/dias/1839/05/31/pdfs/GMD-1839-1658.pdf#page=4","Abrir facsímil")</f>
        <v>Abrir facsímil</v>
      </c>
      <c r="K8693" s="12" t="s">
        <v>65</v>
      </c>
    </row>
    <row r="8694" spans="1:11" ht="40.049999999999997" customHeight="1" x14ac:dyDescent="0.25">
      <c r="A8694" s="11" t="s">
        <v>17604</v>
      </c>
      <c r="B8694" s="11" t="s">
        <v>17605</v>
      </c>
      <c r="C8694" s="11" t="s">
        <v>80</v>
      </c>
      <c r="D8694" s="11" t="s">
        <v>18</v>
      </c>
      <c r="E8694" s="12" t="s">
        <v>236</v>
      </c>
      <c r="F8694" s="12" t="s">
        <v>237</v>
      </c>
      <c r="G8694" s="12" t="s">
        <v>21</v>
      </c>
      <c r="H8694" s="11" t="s">
        <v>63</v>
      </c>
      <c r="I8694" s="13" t="s">
        <v>17606</v>
      </c>
      <c r="J8694" s="14" t="str">
        <f>HYPERLINK("https://www.boe.es/gazeta/dias/1839/09/18/pdfs/GMD-1839-1771.pdf#page=4","Abrir facsímil")</f>
        <v>Abrir facsímil</v>
      </c>
      <c r="K8694" s="12" t="s">
        <v>65</v>
      </c>
    </row>
    <row r="8695" spans="1:11" ht="40.049999999999997" customHeight="1" x14ac:dyDescent="0.25">
      <c r="A8695" s="11" t="s">
        <v>17607</v>
      </c>
      <c r="B8695" s="11" t="s">
        <v>17608</v>
      </c>
      <c r="C8695" s="11" t="s">
        <v>137</v>
      </c>
      <c r="D8695" s="11" t="s">
        <v>18</v>
      </c>
      <c r="E8695" s="12" t="s">
        <v>236</v>
      </c>
      <c r="F8695" s="12" t="s">
        <v>237</v>
      </c>
      <c r="G8695" s="12" t="s">
        <v>21</v>
      </c>
      <c r="H8695" s="11" t="s">
        <v>63</v>
      </c>
      <c r="I8695" s="13" t="s">
        <v>17609</v>
      </c>
      <c r="J8695" s="14" t="str">
        <f>HYPERLINK("https://www.boe.es/gazeta/dias/1839/09/18/pdfs/GMD-1839-1771.pdf#page=4","Abrir facsímil")</f>
        <v>Abrir facsímil</v>
      </c>
      <c r="K8695" s="12" t="s">
        <v>65</v>
      </c>
    </row>
    <row r="8696" spans="1:11" ht="40.049999999999997" customHeight="1" x14ac:dyDescent="0.25">
      <c r="A8696" s="11" t="s">
        <v>17610</v>
      </c>
      <c r="B8696" s="11" t="s">
        <v>17610</v>
      </c>
      <c r="C8696" s="11" t="s">
        <v>17</v>
      </c>
      <c r="D8696" s="11" t="s">
        <v>18</v>
      </c>
      <c r="E8696" s="12" t="s">
        <v>998</v>
      </c>
      <c r="F8696" s="12" t="s">
        <v>999</v>
      </c>
      <c r="G8696" s="12" t="s">
        <v>21</v>
      </c>
      <c r="H8696" s="11" t="s">
        <v>63</v>
      </c>
      <c r="I8696" s="13" t="s">
        <v>17611</v>
      </c>
      <c r="J8696" s="14" t="str">
        <f>HYPERLINK("https://www.boe.es/gazeta/dias/1839/05/06/pdfs/GMD-1839-1633.pdf#page=4","Abrir facsímil")</f>
        <v>Abrir facsímil</v>
      </c>
      <c r="K8696" s="12" t="s">
        <v>65</v>
      </c>
    </row>
    <row r="8697" spans="1:11" ht="40.049999999999997" customHeight="1" x14ac:dyDescent="0.25">
      <c r="A8697" s="11" t="s">
        <v>17612</v>
      </c>
      <c r="B8697" s="11" t="s">
        <v>17613</v>
      </c>
      <c r="C8697" s="11" t="s">
        <v>17</v>
      </c>
      <c r="D8697" s="11" t="s">
        <v>18</v>
      </c>
      <c r="E8697" s="12" t="s">
        <v>1144</v>
      </c>
      <c r="F8697" s="12" t="s">
        <v>1145</v>
      </c>
      <c r="G8697" s="12" t="s">
        <v>40</v>
      </c>
      <c r="H8697" s="11" t="s">
        <v>22</v>
      </c>
      <c r="I8697" s="13" t="s">
        <v>17614</v>
      </c>
      <c r="J8697" s="14" t="str">
        <f>HYPERLINK("https://www.boe.es/gazeta/dias/1839/08/13/pdfs/GMD-1839-1733.pdf#page=2","Abrir facsímil")</f>
        <v>Abrir facsímil</v>
      </c>
      <c r="K8697" s="12" t="s">
        <v>24</v>
      </c>
    </row>
    <row r="8698" spans="1:11" ht="40.049999999999997" customHeight="1" x14ac:dyDescent="0.25">
      <c r="A8698" s="11" t="s">
        <v>17615</v>
      </c>
      <c r="B8698" s="11" t="s">
        <v>17615</v>
      </c>
      <c r="C8698" s="11" t="s">
        <v>17</v>
      </c>
      <c r="D8698" s="11" t="s">
        <v>18</v>
      </c>
      <c r="E8698" s="12" t="s">
        <v>1183</v>
      </c>
      <c r="F8698" s="12" t="s">
        <v>1184</v>
      </c>
      <c r="G8698" s="12" t="s">
        <v>46</v>
      </c>
      <c r="H8698" s="11" t="s">
        <v>63</v>
      </c>
      <c r="I8698" s="13" t="s">
        <v>17616</v>
      </c>
      <c r="J8698" s="14" t="str">
        <f>HYPERLINK("https://www.boe.es/gazeta/dias/1839/07/26/pdfs/GMD-1839-1715.pdf#page=3","Abrir facsímil")</f>
        <v>Abrir facsímil</v>
      </c>
      <c r="K8698" s="12" t="s">
        <v>65</v>
      </c>
    </row>
    <row r="8699" spans="1:11" ht="40.049999999999997" customHeight="1" x14ac:dyDescent="0.25">
      <c r="A8699" s="11" t="s">
        <v>17617</v>
      </c>
      <c r="B8699" s="11" t="s">
        <v>17617</v>
      </c>
      <c r="C8699" s="11" t="s">
        <v>17</v>
      </c>
      <c r="D8699" s="11" t="s">
        <v>18</v>
      </c>
      <c r="E8699" s="12" t="s">
        <v>1460</v>
      </c>
      <c r="F8699" s="12" t="s">
        <v>1461</v>
      </c>
      <c r="G8699" s="12" t="s">
        <v>40</v>
      </c>
      <c r="H8699" s="11" t="s">
        <v>63</v>
      </c>
      <c r="I8699" s="13" t="s">
        <v>17618</v>
      </c>
      <c r="J8699" s="14" t="str">
        <f>HYPERLINK("https://www.boe.es/gazeta/dias/1839/03/01/pdfs/GMD-1839-1567.pdf#page=2","Abrir facsímil")</f>
        <v>Abrir facsímil</v>
      </c>
      <c r="K8699" s="12" t="s">
        <v>65</v>
      </c>
    </row>
    <row r="8700" spans="1:11" ht="40.049999999999997" customHeight="1" x14ac:dyDescent="0.25">
      <c r="A8700" s="11" t="s">
        <v>17617</v>
      </c>
      <c r="B8700" s="11" t="s">
        <v>17617</v>
      </c>
      <c r="C8700" s="11" t="s">
        <v>17</v>
      </c>
      <c r="D8700" s="11" t="s">
        <v>18</v>
      </c>
      <c r="E8700" s="12" t="s">
        <v>212</v>
      </c>
      <c r="F8700" s="12" t="s">
        <v>213</v>
      </c>
      <c r="G8700" s="12" t="s">
        <v>29</v>
      </c>
      <c r="H8700" s="11" t="s">
        <v>63</v>
      </c>
      <c r="I8700" s="13" t="s">
        <v>17619</v>
      </c>
      <c r="J8700" s="14" t="str">
        <f>HYPERLINK("https://www.boe.es/gazeta/dias/1839/10/03/pdfs/GMD-1839-1789.pdf#page=1","Abrir facsímil")</f>
        <v>Abrir facsímil</v>
      </c>
      <c r="K8700" s="12" t="s">
        <v>65</v>
      </c>
    </row>
    <row r="8701" spans="1:11" ht="40.049999999999997" customHeight="1" x14ac:dyDescent="0.25">
      <c r="A8701" s="11" t="s">
        <v>17617</v>
      </c>
      <c r="B8701" s="11" t="s">
        <v>17617</v>
      </c>
      <c r="C8701" s="11" t="s">
        <v>17</v>
      </c>
      <c r="D8701" s="11" t="s">
        <v>18</v>
      </c>
      <c r="E8701" s="12" t="s">
        <v>1479</v>
      </c>
      <c r="F8701" s="12" t="s">
        <v>1480</v>
      </c>
      <c r="G8701" s="12" t="s">
        <v>21</v>
      </c>
      <c r="H8701" s="11" t="s">
        <v>63</v>
      </c>
      <c r="I8701" s="13" t="s">
        <v>17620</v>
      </c>
      <c r="J8701" s="14" t="str">
        <f>HYPERLINK("https://www.boe.es/gazeta/dias/1839/04/09/pdfs/GMD-1839-1606.pdf#page=4","Abrir facsímil")</f>
        <v>Abrir facsímil</v>
      </c>
      <c r="K8701" s="12" t="s">
        <v>65</v>
      </c>
    </row>
    <row r="8702" spans="1:11" ht="40.049999999999997" customHeight="1" x14ac:dyDescent="0.25">
      <c r="A8702" s="11" t="s">
        <v>17617</v>
      </c>
      <c r="B8702" s="11" t="s">
        <v>17617</v>
      </c>
      <c r="C8702" s="11" t="s">
        <v>137</v>
      </c>
      <c r="D8702" s="11" t="s">
        <v>18</v>
      </c>
      <c r="E8702" s="12" t="s">
        <v>181</v>
      </c>
      <c r="F8702" s="12" t="s">
        <v>182</v>
      </c>
      <c r="G8702" s="12" t="s">
        <v>29</v>
      </c>
      <c r="H8702" s="11" t="s">
        <v>63</v>
      </c>
      <c r="I8702" s="13" t="s">
        <v>17621</v>
      </c>
      <c r="J8702" s="14" t="str">
        <f>HYPERLINK("https://www.boe.es/gazeta/dias/1839/01/11/pdfs/GMD-1839-1518.pdf#page=1","Abrir facsímil")</f>
        <v>Abrir facsímil</v>
      </c>
      <c r="K8702" s="12" t="s">
        <v>65</v>
      </c>
    </row>
    <row r="8703" spans="1:11" ht="40.049999999999997" customHeight="1" x14ac:dyDescent="0.25">
      <c r="A8703" s="11" t="s">
        <v>17617</v>
      </c>
      <c r="B8703" s="11" t="s">
        <v>17617</v>
      </c>
      <c r="C8703" s="11" t="s">
        <v>80</v>
      </c>
      <c r="D8703" s="11" t="s">
        <v>18</v>
      </c>
      <c r="E8703" s="12" t="s">
        <v>181</v>
      </c>
      <c r="F8703" s="12" t="s">
        <v>182</v>
      </c>
      <c r="G8703" s="12" t="s">
        <v>21</v>
      </c>
      <c r="H8703" s="11" t="s">
        <v>63</v>
      </c>
      <c r="I8703" s="13" t="s">
        <v>17622</v>
      </c>
      <c r="J8703" s="14" t="str">
        <f>HYPERLINK("https://www.boe.es/gazeta/dias/1839/01/11/pdfs/GMD-1839-1518.pdf#page=4","Abrir facsímil")</f>
        <v>Abrir facsímil</v>
      </c>
      <c r="K8703" s="12" t="s">
        <v>65</v>
      </c>
    </row>
    <row r="8704" spans="1:11" ht="40.049999999999997" customHeight="1" x14ac:dyDescent="0.25">
      <c r="A8704" s="11" t="s">
        <v>17617</v>
      </c>
      <c r="B8704" s="11" t="s">
        <v>17617</v>
      </c>
      <c r="C8704" s="11" t="s">
        <v>80</v>
      </c>
      <c r="D8704" s="11" t="s">
        <v>18</v>
      </c>
      <c r="E8704" s="12" t="s">
        <v>2205</v>
      </c>
      <c r="F8704" s="12" t="s">
        <v>2206</v>
      </c>
      <c r="G8704" s="12" t="s">
        <v>21</v>
      </c>
      <c r="H8704" s="11" t="s">
        <v>63</v>
      </c>
      <c r="I8704" s="13" t="s">
        <v>17623</v>
      </c>
      <c r="J8704" s="14" t="str">
        <f>HYPERLINK("https://www.boe.es/gazeta/dias/1839/07/11/pdfs/GMD-1839-1699.pdf#page=4","Abrir facsímil")</f>
        <v>Abrir facsímil</v>
      </c>
      <c r="K8704" s="12" t="s">
        <v>65</v>
      </c>
    </row>
    <row r="8705" spans="1:11" ht="40.049999999999997" customHeight="1" x14ac:dyDescent="0.25">
      <c r="A8705" s="11" t="s">
        <v>17617</v>
      </c>
      <c r="B8705" s="11" t="s">
        <v>17617</v>
      </c>
      <c r="C8705" s="11" t="s">
        <v>80</v>
      </c>
      <c r="D8705" s="11" t="s">
        <v>18</v>
      </c>
      <c r="E8705" s="12" t="s">
        <v>720</v>
      </c>
      <c r="F8705" s="12" t="s">
        <v>721</v>
      </c>
      <c r="G8705" s="12" t="s">
        <v>29</v>
      </c>
      <c r="H8705" s="11" t="s">
        <v>63</v>
      </c>
      <c r="I8705" s="13" t="s">
        <v>17624</v>
      </c>
      <c r="J8705" s="14" t="str">
        <f>HYPERLINK("https://www.boe.es/gazeta/dias/1839/01/14/pdfs/GMD-1839-1521.pdf#page=1","Abrir facsímil")</f>
        <v>Abrir facsímil</v>
      </c>
      <c r="K8705" s="12" t="s">
        <v>65</v>
      </c>
    </row>
    <row r="8706" spans="1:11" ht="40.049999999999997" customHeight="1" x14ac:dyDescent="0.25">
      <c r="A8706" s="11" t="s">
        <v>17617</v>
      </c>
      <c r="B8706" s="11" t="s">
        <v>17617</v>
      </c>
      <c r="C8706" s="11" t="s">
        <v>17</v>
      </c>
      <c r="D8706" s="11" t="s">
        <v>18</v>
      </c>
      <c r="E8706" s="12" t="s">
        <v>1644</v>
      </c>
      <c r="F8706" s="12" t="s">
        <v>1645</v>
      </c>
      <c r="G8706" s="12" t="s">
        <v>21</v>
      </c>
      <c r="H8706" s="11" t="s">
        <v>63</v>
      </c>
      <c r="I8706" s="13" t="s">
        <v>17625</v>
      </c>
      <c r="J8706" s="14" t="str">
        <f>HYPERLINK("https://www.boe.es/gazeta/dias/1839/04/16/pdfs/GMD-1839-1613.pdf#page=4","Abrir facsímil")</f>
        <v>Abrir facsímil</v>
      </c>
      <c r="K8706" s="12" t="s">
        <v>65</v>
      </c>
    </row>
    <row r="8707" spans="1:11" ht="40.049999999999997" customHeight="1" x14ac:dyDescent="0.25">
      <c r="A8707" s="11" t="s">
        <v>17617</v>
      </c>
      <c r="B8707" s="11" t="s">
        <v>17617</v>
      </c>
      <c r="C8707" s="11" t="s">
        <v>101</v>
      </c>
      <c r="D8707" s="11" t="s">
        <v>102</v>
      </c>
      <c r="E8707" s="12" t="s">
        <v>756</v>
      </c>
      <c r="F8707" s="12" t="s">
        <v>757</v>
      </c>
      <c r="G8707" s="12" t="s">
        <v>21</v>
      </c>
      <c r="H8707" s="11" t="s">
        <v>63</v>
      </c>
      <c r="I8707" s="13" t="s">
        <v>17626</v>
      </c>
      <c r="J8707" s="14" t="str">
        <f>HYPERLINK("https://www.boe.es/gazeta/dias/1839/12/17/pdfs/GMD-1839-1864.pdf#page=4","Abrir facsímil")</f>
        <v>Abrir facsímil</v>
      </c>
      <c r="K8707" s="12" t="s">
        <v>65</v>
      </c>
    </row>
    <row r="8708" spans="1:11" ht="40.049999999999997" customHeight="1" x14ac:dyDescent="0.25">
      <c r="A8708" s="11" t="s">
        <v>17617</v>
      </c>
      <c r="B8708" s="11" t="s">
        <v>17617</v>
      </c>
      <c r="C8708" s="11" t="s">
        <v>80</v>
      </c>
      <c r="D8708" s="11" t="s">
        <v>18</v>
      </c>
      <c r="E8708" s="12" t="s">
        <v>1497</v>
      </c>
      <c r="F8708" s="12" t="s">
        <v>1498</v>
      </c>
      <c r="G8708" s="12" t="s">
        <v>46</v>
      </c>
      <c r="H8708" s="11" t="s">
        <v>63</v>
      </c>
      <c r="I8708" s="13" t="s">
        <v>17627</v>
      </c>
      <c r="J8708" s="14" t="str">
        <f>HYPERLINK("https://www.boe.es/gazeta/dias/1839/08/23/pdfs/GMD-1839-1744.pdf#page=3","Abrir facsímil")</f>
        <v>Abrir facsímil</v>
      </c>
      <c r="K8708" s="12" t="s">
        <v>65</v>
      </c>
    </row>
    <row r="8709" spans="1:11" ht="40.049999999999997" customHeight="1" x14ac:dyDescent="0.25">
      <c r="A8709" s="11" t="s">
        <v>17617</v>
      </c>
      <c r="B8709" s="11" t="s">
        <v>17617</v>
      </c>
      <c r="C8709" s="11" t="s">
        <v>101</v>
      </c>
      <c r="D8709" s="11" t="s">
        <v>102</v>
      </c>
      <c r="E8709" s="12" t="s">
        <v>775</v>
      </c>
      <c r="F8709" s="12" t="s">
        <v>776</v>
      </c>
      <c r="G8709" s="12" t="s">
        <v>21</v>
      </c>
      <c r="H8709" s="11" t="s">
        <v>63</v>
      </c>
      <c r="I8709" s="13" t="s">
        <v>17628</v>
      </c>
      <c r="J8709" s="14" t="str">
        <f>HYPERLINK("https://www.boe.es/gazeta/dias/1839/02/25/pdfs/GMD-1839-1563.pdf#page=4","Abrir facsímil")</f>
        <v>Abrir facsímil</v>
      </c>
      <c r="K8709" s="12" t="s">
        <v>65</v>
      </c>
    </row>
    <row r="8710" spans="1:11" ht="40.049999999999997" customHeight="1" x14ac:dyDescent="0.25">
      <c r="A8710" s="11" t="s">
        <v>17629</v>
      </c>
      <c r="B8710" s="11" t="s">
        <v>17629</v>
      </c>
      <c r="C8710" s="11" t="s">
        <v>17</v>
      </c>
      <c r="D8710" s="11" t="s">
        <v>18</v>
      </c>
      <c r="E8710" s="12" t="s">
        <v>4186</v>
      </c>
      <c r="F8710" s="12" t="s">
        <v>4187</v>
      </c>
      <c r="G8710" s="12" t="s">
        <v>21</v>
      </c>
      <c r="H8710" s="11" t="s">
        <v>22</v>
      </c>
      <c r="I8710" s="13" t="s">
        <v>17630</v>
      </c>
      <c r="J8710" s="14" t="str">
        <f>HYPERLINK("https://www.boe.es/gazeta/dias/1839/12/12/pdfs/GMD-1839-1859.pdf#page=4","Abrir facsímil")</f>
        <v>Abrir facsímil</v>
      </c>
      <c r="K8710" s="12" t="s">
        <v>24</v>
      </c>
    </row>
    <row r="8711" spans="1:11" ht="40.049999999999997" customHeight="1" x14ac:dyDescent="0.25">
      <c r="A8711" s="11" t="s">
        <v>17631</v>
      </c>
      <c r="B8711" s="11" t="s">
        <v>17632</v>
      </c>
      <c r="C8711" s="11" t="s">
        <v>59</v>
      </c>
      <c r="D8711" s="11" t="s">
        <v>60</v>
      </c>
      <c r="E8711" s="12" t="s">
        <v>2919</v>
      </c>
      <c r="F8711" s="12" t="s">
        <v>2920</v>
      </c>
      <c r="G8711" s="12" t="s">
        <v>21</v>
      </c>
      <c r="H8711" s="11" t="s">
        <v>22</v>
      </c>
      <c r="I8711" s="13" t="s">
        <v>17633</v>
      </c>
      <c r="J8711" s="14" t="str">
        <f>HYPERLINK("https://www.boe.es/gazeta/dias/1839/11/12/pdfs/GMD-1839-1829.pdf#page=4","Abrir facsímil")</f>
        <v>Abrir facsímil</v>
      </c>
      <c r="K8711" s="12" t="s">
        <v>24</v>
      </c>
    </row>
    <row r="8712" spans="1:11" ht="40.049999999999997" customHeight="1" x14ac:dyDescent="0.25">
      <c r="A8712" s="11" t="s">
        <v>17634</v>
      </c>
      <c r="B8712" s="11" t="s">
        <v>17635</v>
      </c>
      <c r="C8712" s="11" t="s">
        <v>17</v>
      </c>
      <c r="D8712" s="11" t="s">
        <v>18</v>
      </c>
      <c r="E8712" s="12" t="s">
        <v>258</v>
      </c>
      <c r="F8712" s="12" t="s">
        <v>259</v>
      </c>
      <c r="G8712" s="12" t="s">
        <v>46</v>
      </c>
      <c r="H8712" s="11" t="s">
        <v>22</v>
      </c>
      <c r="I8712" s="13" t="s">
        <v>17636</v>
      </c>
      <c r="J8712" s="14" t="str">
        <f>HYPERLINK("https://www.boe.es/gazeta/dias/1839/01/02/pdfs/GMD-1839-1509.pdf#page=3","Abrir facsímil")</f>
        <v>Abrir facsímil</v>
      </c>
      <c r="K8712" s="12" t="s">
        <v>24</v>
      </c>
    </row>
    <row r="8713" spans="1:11" ht="40.049999999999997" customHeight="1" x14ac:dyDescent="0.25">
      <c r="A8713" s="11" t="s">
        <v>17637</v>
      </c>
      <c r="B8713" s="11" t="s">
        <v>17638</v>
      </c>
      <c r="C8713" s="11" t="s">
        <v>17</v>
      </c>
      <c r="D8713" s="11" t="s">
        <v>18</v>
      </c>
      <c r="E8713" s="12" t="s">
        <v>1144</v>
      </c>
      <c r="F8713" s="12" t="s">
        <v>1145</v>
      </c>
      <c r="G8713" s="12" t="s">
        <v>40</v>
      </c>
      <c r="H8713" s="11" t="s">
        <v>22</v>
      </c>
      <c r="I8713" s="13" t="s">
        <v>17639</v>
      </c>
      <c r="J8713" s="14" t="str">
        <f>HYPERLINK("https://www.boe.es/gazeta/dias/1839/08/13/pdfs/GMD-1839-1733.pdf#page=2","Abrir facsímil")</f>
        <v>Abrir facsímil</v>
      </c>
      <c r="K8713" s="12" t="s">
        <v>24</v>
      </c>
    </row>
    <row r="8714" spans="1:11" ht="40.049999999999997" customHeight="1" x14ac:dyDescent="0.25">
      <c r="A8714" s="11" t="s">
        <v>17640</v>
      </c>
      <c r="B8714" s="11" t="s">
        <v>17640</v>
      </c>
      <c r="C8714" s="11" t="s">
        <v>17</v>
      </c>
      <c r="D8714" s="11" t="s">
        <v>18</v>
      </c>
      <c r="E8714" s="12" t="s">
        <v>276</v>
      </c>
      <c r="F8714" s="12" t="s">
        <v>277</v>
      </c>
      <c r="G8714" s="12" t="s">
        <v>46</v>
      </c>
      <c r="H8714" s="11" t="s">
        <v>63</v>
      </c>
      <c r="I8714" s="13" t="s">
        <v>17641</v>
      </c>
      <c r="J8714" s="14" t="str">
        <f>HYPERLINK("https://www.boe.es/gazeta/dias/1839/09/24/pdfs/GMD-1839-1780.pdf#page=3","Abrir facsímil")</f>
        <v>Abrir facsímil</v>
      </c>
      <c r="K8714" s="12" t="s">
        <v>65</v>
      </c>
    </row>
    <row r="8715" spans="1:11" ht="40.049999999999997" customHeight="1" x14ac:dyDescent="0.25">
      <c r="A8715" s="11" t="s">
        <v>17642</v>
      </c>
      <c r="B8715" s="11" t="s">
        <v>17643</v>
      </c>
      <c r="C8715" s="11" t="s">
        <v>17</v>
      </c>
      <c r="D8715" s="11" t="s">
        <v>43</v>
      </c>
      <c r="E8715" s="12" t="s">
        <v>4055</v>
      </c>
      <c r="F8715" s="12" t="s">
        <v>4056</v>
      </c>
      <c r="G8715" s="12" t="s">
        <v>29</v>
      </c>
      <c r="H8715" s="11" t="s">
        <v>63</v>
      </c>
      <c r="I8715" s="13" t="s">
        <v>17644</v>
      </c>
      <c r="J8715" s="14" t="str">
        <f>HYPERLINK("https://www.boe.es/gazeta/dias/1839/03/07/pdfs/GMD-1839-1573.pdf#page=1","Abrir facsímil")</f>
        <v>Abrir facsímil</v>
      </c>
      <c r="K8715" s="12" t="s">
        <v>65</v>
      </c>
    </row>
    <row r="8716" spans="1:11" ht="40.049999999999997" customHeight="1" x14ac:dyDescent="0.25">
      <c r="A8716" s="11" t="s">
        <v>17642</v>
      </c>
      <c r="B8716" s="11" t="s">
        <v>17643</v>
      </c>
      <c r="C8716" s="11" t="s">
        <v>101</v>
      </c>
      <c r="D8716" s="11" t="s">
        <v>102</v>
      </c>
      <c r="E8716" s="12" t="s">
        <v>1909</v>
      </c>
      <c r="F8716" s="12" t="s">
        <v>1910</v>
      </c>
      <c r="G8716" s="12" t="s">
        <v>29</v>
      </c>
      <c r="H8716" s="11" t="s">
        <v>63</v>
      </c>
      <c r="I8716" s="13" t="s">
        <v>17645</v>
      </c>
      <c r="J8716" s="14" t="str">
        <f>HYPERLINK("https://www.boe.es/gazeta/dias/1839/10/27/pdfs/GMD-1839-1813.pdf#page=1","Abrir facsímil")</f>
        <v>Abrir facsímil</v>
      </c>
      <c r="K8716" s="12" t="s">
        <v>65</v>
      </c>
    </row>
    <row r="8717" spans="1:11" ht="40.049999999999997" customHeight="1" x14ac:dyDescent="0.25">
      <c r="A8717" s="11" t="s">
        <v>17646</v>
      </c>
      <c r="B8717" s="11" t="s">
        <v>17646</v>
      </c>
      <c r="C8717" s="11" t="s">
        <v>17</v>
      </c>
      <c r="D8717" s="11" t="s">
        <v>18</v>
      </c>
      <c r="E8717" s="12" t="s">
        <v>1909</v>
      </c>
      <c r="F8717" s="12" t="s">
        <v>1910</v>
      </c>
      <c r="G8717" s="12" t="s">
        <v>40</v>
      </c>
      <c r="H8717" s="11" t="s">
        <v>22</v>
      </c>
      <c r="I8717" s="13" t="s">
        <v>17647</v>
      </c>
      <c r="J8717" s="14" t="str">
        <f>HYPERLINK("https://www.boe.es/gazeta/dias/1839/10/27/pdfs/GMD-1839-1813.pdf#page=2","Abrir facsímil")</f>
        <v>Abrir facsímil</v>
      </c>
      <c r="K8717" s="12" t="s">
        <v>24</v>
      </c>
    </row>
    <row r="8718" spans="1:11" ht="40.049999999999997" customHeight="1" x14ac:dyDescent="0.25">
      <c r="A8718" s="11" t="s">
        <v>17648</v>
      </c>
      <c r="B8718" s="11" t="s">
        <v>17649</v>
      </c>
      <c r="C8718" s="11" t="s">
        <v>17</v>
      </c>
      <c r="D8718" s="11" t="s">
        <v>18</v>
      </c>
      <c r="E8718" s="12" t="s">
        <v>2851</v>
      </c>
      <c r="F8718" s="12" t="s">
        <v>2852</v>
      </c>
      <c r="G8718" s="12" t="s">
        <v>29</v>
      </c>
      <c r="H8718" s="11" t="s">
        <v>63</v>
      </c>
      <c r="I8718" s="13" t="s">
        <v>17650</v>
      </c>
      <c r="J8718" s="14" t="str">
        <f>HYPERLINK("https://www.boe.es/gazeta/dias/1839/05/16/pdfs/GMD-1839-1643.pdf#page=1","Abrir facsímil")</f>
        <v>Abrir facsímil</v>
      </c>
      <c r="K8718" s="12" t="s">
        <v>65</v>
      </c>
    </row>
    <row r="8719" spans="1:11" ht="40.049999999999997" customHeight="1" x14ac:dyDescent="0.25">
      <c r="A8719" s="11" t="s">
        <v>17651</v>
      </c>
      <c r="B8719" s="11" t="s">
        <v>17651</v>
      </c>
      <c r="C8719" s="11" t="s">
        <v>17</v>
      </c>
      <c r="D8719" s="11" t="s">
        <v>18</v>
      </c>
      <c r="E8719" s="12" t="s">
        <v>2165</v>
      </c>
      <c r="F8719" s="12" t="s">
        <v>2166</v>
      </c>
      <c r="G8719" s="12" t="s">
        <v>46</v>
      </c>
      <c r="H8719" s="11" t="s">
        <v>22</v>
      </c>
      <c r="I8719" s="13" t="s">
        <v>17652</v>
      </c>
      <c r="J8719" s="14" t="str">
        <f>HYPERLINK("https://www.boe.es/gazeta/dias/1839/01/06/pdfs/GMD-1839-1513.pdf#page=3","Abrir facsímil")</f>
        <v>Abrir facsímil</v>
      </c>
      <c r="K8719" s="12" t="s">
        <v>24</v>
      </c>
    </row>
    <row r="8720" spans="1:11" ht="40.049999999999997" customHeight="1" x14ac:dyDescent="0.25">
      <c r="A8720" s="11" t="s">
        <v>17651</v>
      </c>
      <c r="B8720" s="11" t="s">
        <v>17651</v>
      </c>
      <c r="C8720" s="11" t="s">
        <v>17</v>
      </c>
      <c r="D8720" s="11" t="s">
        <v>18</v>
      </c>
      <c r="E8720" s="12" t="s">
        <v>2165</v>
      </c>
      <c r="F8720" s="12" t="s">
        <v>2166</v>
      </c>
      <c r="G8720" s="12" t="s">
        <v>21</v>
      </c>
      <c r="H8720" s="11" t="s">
        <v>22</v>
      </c>
      <c r="I8720" s="13" t="s">
        <v>17653</v>
      </c>
      <c r="J8720" s="14" t="str">
        <f>HYPERLINK("https://www.boe.es/gazeta/dias/1839/01/06/pdfs/GMD-1839-1513.pdf#page=4","Abrir facsímil")</f>
        <v>Abrir facsímil</v>
      </c>
      <c r="K8720" s="12" t="s">
        <v>24</v>
      </c>
    </row>
    <row r="8721" spans="1:11" ht="40.049999999999997" customHeight="1" x14ac:dyDescent="0.25">
      <c r="A8721" s="11" t="s">
        <v>17654</v>
      </c>
      <c r="B8721" s="11" t="s">
        <v>17654</v>
      </c>
      <c r="C8721" s="11" t="s">
        <v>17</v>
      </c>
      <c r="D8721" s="11" t="s">
        <v>18</v>
      </c>
      <c r="E8721" s="12" t="s">
        <v>2165</v>
      </c>
      <c r="F8721" s="12" t="s">
        <v>2166</v>
      </c>
      <c r="G8721" s="12" t="s">
        <v>46</v>
      </c>
      <c r="H8721" s="11" t="s">
        <v>22</v>
      </c>
      <c r="I8721" s="13" t="s">
        <v>17655</v>
      </c>
      <c r="J8721" s="14" t="str">
        <f>HYPERLINK("https://www.boe.es/gazeta/dias/1839/01/06/pdfs/GMD-1839-1513.pdf#page=3","Abrir facsímil")</f>
        <v>Abrir facsímil</v>
      </c>
      <c r="K8721" s="12" t="s">
        <v>24</v>
      </c>
    </row>
    <row r="8722" spans="1:11" ht="40.049999999999997" customHeight="1" x14ac:dyDescent="0.25">
      <c r="A8722" s="11" t="s">
        <v>17656</v>
      </c>
      <c r="B8722" s="11" t="s">
        <v>17656</v>
      </c>
      <c r="C8722" s="11" t="s">
        <v>137</v>
      </c>
      <c r="D8722" s="11" t="s">
        <v>18</v>
      </c>
      <c r="E8722" s="12" t="s">
        <v>38</v>
      </c>
      <c r="F8722" s="12" t="s">
        <v>39</v>
      </c>
      <c r="G8722" s="12" t="s">
        <v>29</v>
      </c>
      <c r="H8722" s="11" t="s">
        <v>63</v>
      </c>
      <c r="I8722" s="13" t="s">
        <v>17657</v>
      </c>
      <c r="J8722" s="14" t="str">
        <f>HYPERLINK("https://www.boe.es/gazeta/dias/1839/08/08/pdfs/GMD-1839-1728.pdf#page=1","Abrir facsímil")</f>
        <v>Abrir facsímil</v>
      </c>
      <c r="K8722" s="12" t="s">
        <v>65</v>
      </c>
    </row>
    <row r="8723" spans="1:11" ht="40.049999999999997" customHeight="1" x14ac:dyDescent="0.25">
      <c r="A8723" s="11" t="s">
        <v>17658</v>
      </c>
      <c r="B8723" s="11" t="s">
        <v>17658</v>
      </c>
      <c r="C8723" s="11" t="s">
        <v>17</v>
      </c>
      <c r="D8723" s="11" t="s">
        <v>18</v>
      </c>
      <c r="E8723" s="12" t="s">
        <v>1648</v>
      </c>
      <c r="F8723" s="12" t="s">
        <v>1649</v>
      </c>
      <c r="G8723" s="12" t="s">
        <v>40</v>
      </c>
      <c r="H8723" s="11" t="s">
        <v>63</v>
      </c>
      <c r="I8723" s="13" t="s">
        <v>17659</v>
      </c>
      <c r="J8723" s="14" t="str">
        <f>HYPERLINK("https://www.boe.es/gazeta/dias/1839/08/18/pdfs/GMD-1839-1738.pdf#page=2","Abrir facsímil")</f>
        <v>Abrir facsímil</v>
      </c>
      <c r="K8723" s="12" t="s">
        <v>65</v>
      </c>
    </row>
    <row r="8724" spans="1:11" ht="40.049999999999997" customHeight="1" x14ac:dyDescent="0.25">
      <c r="A8724" s="11" t="s">
        <v>17660</v>
      </c>
      <c r="B8724" s="11" t="s">
        <v>17660</v>
      </c>
      <c r="C8724" s="11" t="s">
        <v>17</v>
      </c>
      <c r="D8724" s="11" t="s">
        <v>18</v>
      </c>
      <c r="E8724" s="12" t="s">
        <v>1012</v>
      </c>
      <c r="F8724" s="12" t="s">
        <v>1013</v>
      </c>
      <c r="G8724" s="12" t="s">
        <v>40</v>
      </c>
      <c r="H8724" s="11" t="s">
        <v>63</v>
      </c>
      <c r="I8724" s="13" t="s">
        <v>17661</v>
      </c>
      <c r="J8724" s="14" t="str">
        <f>HYPERLINK("https://www.boe.es/gazeta/dias/1839/11/22/pdfs/GMD-1839-1839.pdf#page=2","Abrir facsímil")</f>
        <v>Abrir facsímil</v>
      </c>
      <c r="K8724" s="12" t="s">
        <v>65</v>
      </c>
    </row>
    <row r="8725" spans="1:11" ht="40.049999999999997" customHeight="1" x14ac:dyDescent="0.25">
      <c r="A8725" s="11" t="s">
        <v>17662</v>
      </c>
      <c r="B8725" s="11" t="s">
        <v>17662</v>
      </c>
      <c r="C8725" s="11" t="s">
        <v>17</v>
      </c>
      <c r="D8725" s="11" t="s">
        <v>18</v>
      </c>
      <c r="E8725" s="12" t="s">
        <v>929</v>
      </c>
      <c r="F8725" s="12" t="s">
        <v>930</v>
      </c>
      <c r="G8725" s="12" t="s">
        <v>40</v>
      </c>
      <c r="H8725" s="11" t="s">
        <v>63</v>
      </c>
      <c r="I8725" s="13" t="s">
        <v>17663</v>
      </c>
      <c r="J8725" s="14" t="str">
        <f>HYPERLINK("https://www.boe.es/gazeta/dias/1839/01/31/pdfs/GMD-1839-1538.pdf#page=2","Abrir facsímil")</f>
        <v>Abrir facsímil</v>
      </c>
      <c r="K8725" s="12" t="s">
        <v>65</v>
      </c>
    </row>
    <row r="8726" spans="1:11" ht="40.049999999999997" customHeight="1" x14ac:dyDescent="0.25">
      <c r="A8726" s="11" t="s">
        <v>17664</v>
      </c>
      <c r="B8726" s="11" t="s">
        <v>17664</v>
      </c>
      <c r="C8726" s="11" t="s">
        <v>17</v>
      </c>
      <c r="D8726" s="11" t="s">
        <v>18</v>
      </c>
      <c r="E8726" s="12" t="s">
        <v>716</v>
      </c>
      <c r="F8726" s="12" t="s">
        <v>717</v>
      </c>
      <c r="G8726" s="12" t="s">
        <v>29</v>
      </c>
      <c r="H8726" s="11" t="s">
        <v>63</v>
      </c>
      <c r="I8726" s="13" t="s">
        <v>17665</v>
      </c>
      <c r="J8726" s="14" t="str">
        <f>HYPERLINK("https://www.boe.es/gazeta/dias/1839/07/30/pdfs/GMD-1839-1719.pdf#page=1","Abrir facsímil")</f>
        <v>Abrir facsímil</v>
      </c>
      <c r="K8726" s="12" t="s">
        <v>65</v>
      </c>
    </row>
    <row r="8727" spans="1:11" ht="40.049999999999997" customHeight="1" x14ac:dyDescent="0.25">
      <c r="A8727" s="11" t="s">
        <v>17666</v>
      </c>
      <c r="B8727" s="11" t="s">
        <v>17666</v>
      </c>
      <c r="C8727" s="11" t="s">
        <v>17</v>
      </c>
      <c r="D8727" s="11" t="s">
        <v>18</v>
      </c>
      <c r="E8727" s="12" t="s">
        <v>1340</v>
      </c>
      <c r="F8727" s="12" t="s">
        <v>1341</v>
      </c>
      <c r="G8727" s="12" t="s">
        <v>21</v>
      </c>
      <c r="H8727" s="11" t="s">
        <v>63</v>
      </c>
      <c r="I8727" s="13" t="s">
        <v>17667</v>
      </c>
      <c r="J8727" s="14" t="str">
        <f>HYPERLINK("https://www.boe.es/gazeta/dias/1839/05/05/pdfs/GMD-1839-1632.pdf#page=4","Abrir facsímil")</f>
        <v>Abrir facsímil</v>
      </c>
      <c r="K8727" s="12" t="s">
        <v>65</v>
      </c>
    </row>
    <row r="8728" spans="1:11" ht="40.049999999999997" customHeight="1" x14ac:dyDescent="0.25">
      <c r="A8728" s="11" t="s">
        <v>17666</v>
      </c>
      <c r="B8728" s="11" t="s">
        <v>17666</v>
      </c>
      <c r="C8728" s="11" t="s">
        <v>137</v>
      </c>
      <c r="D8728" s="11" t="s">
        <v>18</v>
      </c>
      <c r="E8728" s="12" t="s">
        <v>4186</v>
      </c>
      <c r="F8728" s="12" t="s">
        <v>4187</v>
      </c>
      <c r="G8728" s="12" t="s">
        <v>21</v>
      </c>
      <c r="H8728" s="11" t="s">
        <v>63</v>
      </c>
      <c r="I8728" s="13" t="s">
        <v>17668</v>
      </c>
      <c r="J8728" s="14" t="str">
        <f>HYPERLINK("https://www.boe.es/gazeta/dias/1839/12/12/pdfs/GMD-1839-1859.pdf#page=4","Abrir facsímil")</f>
        <v>Abrir facsímil</v>
      </c>
      <c r="K8728" s="12" t="s">
        <v>65</v>
      </c>
    </row>
    <row r="8729" spans="1:11" ht="40.049999999999997" customHeight="1" x14ac:dyDescent="0.25">
      <c r="A8729" s="11" t="s">
        <v>17666</v>
      </c>
      <c r="B8729" s="11" t="s">
        <v>17666</v>
      </c>
      <c r="C8729" s="11" t="s">
        <v>80</v>
      </c>
      <c r="D8729" s="11" t="s">
        <v>173</v>
      </c>
      <c r="E8729" s="12" t="s">
        <v>1644</v>
      </c>
      <c r="F8729" s="12" t="s">
        <v>1645</v>
      </c>
      <c r="G8729" s="12" t="s">
        <v>21</v>
      </c>
      <c r="H8729" s="11" t="s">
        <v>63</v>
      </c>
      <c r="I8729" s="13" t="s">
        <v>17669</v>
      </c>
      <c r="J8729" s="14" t="str">
        <f>HYPERLINK("https://www.boe.es/gazeta/dias/1839/04/16/pdfs/GMD-1839-1613.pdf#page=4","Abrir facsímil")</f>
        <v>Abrir facsímil</v>
      </c>
      <c r="K8729" s="12" t="s">
        <v>65</v>
      </c>
    </row>
    <row r="8730" spans="1:11" ht="40.049999999999997" customHeight="1" x14ac:dyDescent="0.25">
      <c r="A8730" s="11" t="s">
        <v>17670</v>
      </c>
      <c r="B8730" s="11" t="s">
        <v>17670</v>
      </c>
      <c r="C8730" s="11" t="s">
        <v>17</v>
      </c>
      <c r="D8730" s="11" t="s">
        <v>18</v>
      </c>
      <c r="E8730" s="12" t="s">
        <v>883</v>
      </c>
      <c r="F8730" s="12" t="s">
        <v>884</v>
      </c>
      <c r="G8730" s="12" t="s">
        <v>46</v>
      </c>
      <c r="H8730" s="11" t="s">
        <v>63</v>
      </c>
      <c r="I8730" s="13" t="s">
        <v>17671</v>
      </c>
      <c r="J8730" s="14" t="str">
        <f>HYPERLINK("https://www.boe.es/gazeta/dias/1839/11/03/pdfs/GMD-1839-1820.pdf#page=3","Abrir facsímil")</f>
        <v>Abrir facsímil</v>
      </c>
      <c r="K8730" s="12" t="s">
        <v>65</v>
      </c>
    </row>
    <row r="8731" spans="1:11" ht="40.049999999999997" customHeight="1" x14ac:dyDescent="0.25">
      <c r="A8731" s="11" t="s">
        <v>17672</v>
      </c>
      <c r="B8731" s="11" t="s">
        <v>17673</v>
      </c>
      <c r="C8731" s="11" t="s">
        <v>17</v>
      </c>
      <c r="D8731" s="11" t="s">
        <v>18</v>
      </c>
      <c r="E8731" s="12" t="s">
        <v>4475</v>
      </c>
      <c r="F8731" s="12" t="s">
        <v>4476</v>
      </c>
      <c r="G8731" s="12" t="s">
        <v>21</v>
      </c>
      <c r="H8731" s="11" t="s">
        <v>63</v>
      </c>
      <c r="I8731" s="13" t="s">
        <v>17674</v>
      </c>
      <c r="J8731" s="14" t="str">
        <f>HYPERLINK("https://www.boe.es/gazeta/dias/1839/07/04/pdfs/GMD-1839-1692.pdf#page=4","Abrir facsímil")</f>
        <v>Abrir facsímil</v>
      </c>
      <c r="K8731" s="12" t="s">
        <v>65</v>
      </c>
    </row>
    <row r="8732" spans="1:11" ht="40.049999999999997" customHeight="1" x14ac:dyDescent="0.25">
      <c r="A8732" s="11" t="s">
        <v>17675</v>
      </c>
      <c r="B8732" s="11" t="s">
        <v>17675</v>
      </c>
      <c r="C8732" s="11" t="s">
        <v>101</v>
      </c>
      <c r="D8732" s="11" t="s">
        <v>43</v>
      </c>
      <c r="E8732" s="12" t="s">
        <v>798</v>
      </c>
      <c r="F8732" s="12" t="s">
        <v>799</v>
      </c>
      <c r="G8732" s="12" t="s">
        <v>40</v>
      </c>
      <c r="H8732" s="11" t="s">
        <v>63</v>
      </c>
      <c r="I8732" s="13" t="s">
        <v>17676</v>
      </c>
      <c r="J8732" s="14" t="str">
        <f>HYPERLINK("https://www.boe.es/gazeta/dias/1839/09/03/pdfs/GMD-1839-1755.pdf#page=2","Abrir facsímil")</f>
        <v>Abrir facsímil</v>
      </c>
      <c r="K8732" s="12" t="s">
        <v>65</v>
      </c>
    </row>
    <row r="8733" spans="1:11" ht="40.049999999999997" customHeight="1" x14ac:dyDescent="0.25">
      <c r="A8733" s="11" t="s">
        <v>17675</v>
      </c>
      <c r="B8733" s="11" t="s">
        <v>17675</v>
      </c>
      <c r="C8733" s="11" t="s">
        <v>17</v>
      </c>
      <c r="D8733" s="11" t="s">
        <v>18</v>
      </c>
      <c r="E8733" s="12" t="s">
        <v>233</v>
      </c>
      <c r="F8733" s="12" t="s">
        <v>234</v>
      </c>
      <c r="G8733" s="12" t="s">
        <v>40</v>
      </c>
      <c r="H8733" s="11" t="s">
        <v>63</v>
      </c>
      <c r="I8733" s="13" t="s">
        <v>17677</v>
      </c>
      <c r="J8733" s="14" t="str">
        <f>HYPERLINK("https://www.boe.es/gazeta/dias/1839/09/17/pdfs/GMD-1839-1770.pdf#page=2","Abrir facsímil")</f>
        <v>Abrir facsímil</v>
      </c>
      <c r="K8733" s="12" t="s">
        <v>65</v>
      </c>
    </row>
    <row r="8734" spans="1:11" ht="40.049999999999997" customHeight="1" x14ac:dyDescent="0.25">
      <c r="A8734" s="11" t="s">
        <v>17675</v>
      </c>
      <c r="B8734" s="11" t="s">
        <v>17675</v>
      </c>
      <c r="C8734" s="11" t="s">
        <v>137</v>
      </c>
      <c r="D8734" s="11" t="s">
        <v>18</v>
      </c>
      <c r="E8734" s="12" t="s">
        <v>2222</v>
      </c>
      <c r="F8734" s="12" t="s">
        <v>2223</v>
      </c>
      <c r="G8734" s="12" t="s">
        <v>21</v>
      </c>
      <c r="H8734" s="11" t="s">
        <v>63</v>
      </c>
      <c r="I8734" s="13" t="s">
        <v>17678</v>
      </c>
      <c r="J8734" s="14" t="str">
        <f>HYPERLINK("https://www.boe.es/gazeta/dias/1839/09/19/pdfs/GMD-1839-1773.pdf#page=4","Abrir facsímil")</f>
        <v>Abrir facsímil</v>
      </c>
      <c r="K8734" s="12" t="s">
        <v>65</v>
      </c>
    </row>
    <row r="8735" spans="1:11" ht="40.049999999999997" customHeight="1" x14ac:dyDescent="0.25">
      <c r="A8735" s="11" t="s">
        <v>17679</v>
      </c>
      <c r="B8735" s="11" t="s">
        <v>17680</v>
      </c>
      <c r="C8735" s="11" t="s">
        <v>17</v>
      </c>
      <c r="D8735" s="11" t="s">
        <v>18</v>
      </c>
      <c r="E8735" s="12" t="s">
        <v>258</v>
      </c>
      <c r="F8735" s="12" t="s">
        <v>259</v>
      </c>
      <c r="G8735" s="12" t="s">
        <v>46</v>
      </c>
      <c r="H8735" s="11" t="s">
        <v>22</v>
      </c>
      <c r="I8735" s="13" t="s">
        <v>17681</v>
      </c>
      <c r="J8735" s="14" t="str">
        <f>HYPERLINK("https://www.boe.es/gazeta/dias/1839/01/02/pdfs/GMD-1839-1509.pdf#page=3","Abrir facsímil")</f>
        <v>Abrir facsímil</v>
      </c>
      <c r="K8735" s="12" t="s">
        <v>24</v>
      </c>
    </row>
    <row r="8736" spans="1:11" ht="40.049999999999997" customHeight="1" x14ac:dyDescent="0.25">
      <c r="A8736" s="11" t="s">
        <v>17682</v>
      </c>
      <c r="B8736" s="11" t="s">
        <v>17683</v>
      </c>
      <c r="C8736" s="11" t="s">
        <v>80</v>
      </c>
      <c r="D8736" s="11" t="s">
        <v>18</v>
      </c>
      <c r="E8736" s="12" t="s">
        <v>2449</v>
      </c>
      <c r="F8736" s="12" t="s">
        <v>2450</v>
      </c>
      <c r="G8736" s="12" t="s">
        <v>40</v>
      </c>
      <c r="H8736" s="11" t="s">
        <v>63</v>
      </c>
      <c r="I8736" s="13" t="s">
        <v>17684</v>
      </c>
      <c r="J8736" s="14" t="str">
        <f>HYPERLINK("https://www.boe.es/gazeta/dias/1839/12/11/pdfs/GMD-1839-1858.pdf#page=2","Abrir facsímil")</f>
        <v>Abrir facsímil</v>
      </c>
      <c r="K8736" s="12" t="s">
        <v>65</v>
      </c>
    </row>
    <row r="8737" spans="1:11" ht="40.049999999999997" customHeight="1" x14ac:dyDescent="0.25">
      <c r="A8737" s="11" t="s">
        <v>17685</v>
      </c>
      <c r="B8737" s="11" t="s">
        <v>17686</v>
      </c>
      <c r="C8737" s="11" t="s">
        <v>80</v>
      </c>
      <c r="D8737" s="11" t="s">
        <v>18</v>
      </c>
      <c r="E8737" s="12" t="s">
        <v>202</v>
      </c>
      <c r="F8737" s="12" t="s">
        <v>203</v>
      </c>
      <c r="G8737" s="12" t="s">
        <v>40</v>
      </c>
      <c r="H8737" s="11" t="s">
        <v>63</v>
      </c>
      <c r="I8737" s="13" t="s">
        <v>17687</v>
      </c>
      <c r="J8737" s="14" t="str">
        <f>HYPERLINK("https://www.boe.es/gazeta/dias/1839/04/05/pdfs/GMD-1839-1602.pdf#page=2","Abrir facsímil")</f>
        <v>Abrir facsímil</v>
      </c>
      <c r="K8737" s="12" t="s">
        <v>65</v>
      </c>
    </row>
    <row r="8738" spans="1:11" ht="40.049999999999997" customHeight="1" x14ac:dyDescent="0.25">
      <c r="A8738" s="11" t="s">
        <v>17688</v>
      </c>
      <c r="B8738" s="11" t="s">
        <v>17689</v>
      </c>
      <c r="C8738" s="11" t="s">
        <v>80</v>
      </c>
      <c r="D8738" s="11" t="s">
        <v>18</v>
      </c>
      <c r="E8738" s="12" t="s">
        <v>320</v>
      </c>
      <c r="F8738" s="12" t="s">
        <v>321</v>
      </c>
      <c r="G8738" s="12" t="s">
        <v>29</v>
      </c>
      <c r="H8738" s="11" t="s">
        <v>63</v>
      </c>
      <c r="I8738" s="13" t="s">
        <v>17690</v>
      </c>
      <c r="J8738" s="14" t="str">
        <f>HYPERLINK("https://www.boe.es/gazeta/dias/1839/05/11/pdfs/GMD-1839-1638.pdf#page=1","Abrir facsímil")</f>
        <v>Abrir facsímil</v>
      </c>
      <c r="K8738" s="12" t="s">
        <v>65</v>
      </c>
    </row>
    <row r="8739" spans="1:11" ht="40.049999999999997" customHeight="1" x14ac:dyDescent="0.25">
      <c r="A8739" s="11" t="s">
        <v>17691</v>
      </c>
      <c r="B8739" s="11" t="s">
        <v>17692</v>
      </c>
      <c r="C8739" s="11" t="s">
        <v>17</v>
      </c>
      <c r="D8739" s="11" t="s">
        <v>18</v>
      </c>
      <c r="E8739" s="12" t="s">
        <v>1123</v>
      </c>
      <c r="F8739" s="12" t="s">
        <v>1124</v>
      </c>
      <c r="G8739" s="12" t="s">
        <v>40</v>
      </c>
      <c r="H8739" s="11" t="s">
        <v>63</v>
      </c>
      <c r="I8739" s="13" t="s">
        <v>17693</v>
      </c>
      <c r="J8739" s="14" t="str">
        <f>HYPERLINK("https://www.boe.es/gazeta/dias/1839/08/10/pdfs/GMD-1839-1730.pdf#page=2","Abrir facsímil")</f>
        <v>Abrir facsímil</v>
      </c>
      <c r="K8739" s="12" t="s">
        <v>65</v>
      </c>
    </row>
    <row r="8740" spans="1:11" ht="40.049999999999997" customHeight="1" x14ac:dyDescent="0.25">
      <c r="A8740" s="11" t="s">
        <v>17694</v>
      </c>
      <c r="B8740" s="11" t="s">
        <v>17695</v>
      </c>
      <c r="C8740" s="11" t="s">
        <v>17</v>
      </c>
      <c r="D8740" s="11" t="s">
        <v>18</v>
      </c>
      <c r="E8740" s="12" t="s">
        <v>258</v>
      </c>
      <c r="F8740" s="12" t="s">
        <v>259</v>
      </c>
      <c r="G8740" s="12" t="s">
        <v>46</v>
      </c>
      <c r="H8740" s="11" t="s">
        <v>22</v>
      </c>
      <c r="I8740" s="13" t="s">
        <v>17696</v>
      </c>
      <c r="J8740" s="14" t="str">
        <f>HYPERLINK("https://www.boe.es/gazeta/dias/1839/01/02/pdfs/GMD-1839-1509.pdf#page=3","Abrir facsímil")</f>
        <v>Abrir facsímil</v>
      </c>
      <c r="K8740" s="12" t="s">
        <v>24</v>
      </c>
    </row>
    <row r="8741" spans="1:11" ht="40.049999999999997" customHeight="1" x14ac:dyDescent="0.25">
      <c r="A8741" s="11" t="s">
        <v>17697</v>
      </c>
      <c r="B8741" s="11" t="s">
        <v>17698</v>
      </c>
      <c r="C8741" s="11" t="s">
        <v>101</v>
      </c>
      <c r="D8741" s="11" t="s">
        <v>43</v>
      </c>
      <c r="E8741" s="12" t="s">
        <v>736</v>
      </c>
      <c r="F8741" s="12" t="s">
        <v>737</v>
      </c>
      <c r="G8741" s="12" t="s">
        <v>21</v>
      </c>
      <c r="H8741" s="11" t="s">
        <v>63</v>
      </c>
      <c r="I8741" s="13" t="s">
        <v>17699</v>
      </c>
      <c r="J8741" s="14" t="str">
        <f>HYPERLINK("https://www.boe.es/gazeta/dias/1839/10/13/pdfs/GMD-1839-1799.pdf#page=4","Abrir facsímil")</f>
        <v>Abrir facsímil</v>
      </c>
      <c r="K8741" s="12" t="s">
        <v>65</v>
      </c>
    </row>
    <row r="8742" spans="1:11" ht="40.049999999999997" customHeight="1" x14ac:dyDescent="0.25">
      <c r="A8742" s="11" t="s">
        <v>17700</v>
      </c>
      <c r="B8742" s="11" t="s">
        <v>17700</v>
      </c>
      <c r="C8742" s="11" t="s">
        <v>101</v>
      </c>
      <c r="D8742" s="11" t="s">
        <v>43</v>
      </c>
      <c r="E8742" s="12" t="s">
        <v>154</v>
      </c>
      <c r="F8742" s="12" t="s">
        <v>155</v>
      </c>
      <c r="G8742" s="12" t="s">
        <v>46</v>
      </c>
      <c r="H8742" s="11" t="s">
        <v>63</v>
      </c>
      <c r="I8742" s="13" t="s">
        <v>17701</v>
      </c>
      <c r="J8742" s="14" t="str">
        <f>HYPERLINK("https://www.boe.es/gazeta/dias/1839/02/02/pdfs/GMD-1839-1540.pdf#page=3","Abrir facsímil")</f>
        <v>Abrir facsímil</v>
      </c>
      <c r="K8742" s="12" t="s">
        <v>65</v>
      </c>
    </row>
    <row r="8743" spans="1:11" ht="40.049999999999997" customHeight="1" x14ac:dyDescent="0.25">
      <c r="A8743" s="11" t="s">
        <v>17702</v>
      </c>
      <c r="B8743" s="11" t="s">
        <v>17702</v>
      </c>
      <c r="C8743" s="11" t="s">
        <v>17</v>
      </c>
      <c r="D8743" s="11" t="s">
        <v>18</v>
      </c>
      <c r="E8743" s="12" t="s">
        <v>121</v>
      </c>
      <c r="F8743" s="12" t="s">
        <v>122</v>
      </c>
      <c r="G8743" s="12" t="s">
        <v>40</v>
      </c>
      <c r="H8743" s="11" t="s">
        <v>63</v>
      </c>
      <c r="I8743" s="13" t="s">
        <v>17703</v>
      </c>
      <c r="J8743" s="14" t="str">
        <f>HYPERLINK("https://www.boe.es/gazeta/dias/1839/06/08/pdfs/GMD-1839-1666.pdf#page=2","Abrir facsímil")</f>
        <v>Abrir facsímil</v>
      </c>
      <c r="K8743" s="12" t="s">
        <v>65</v>
      </c>
    </row>
    <row r="8744" spans="1:11" ht="40.049999999999997" customHeight="1" x14ac:dyDescent="0.25">
      <c r="A8744" s="11" t="s">
        <v>17704</v>
      </c>
      <c r="B8744" s="11" t="s">
        <v>17704</v>
      </c>
      <c r="C8744" s="11" t="s">
        <v>59</v>
      </c>
      <c r="D8744" s="11" t="s">
        <v>60</v>
      </c>
      <c r="E8744" s="12" t="s">
        <v>4047</v>
      </c>
      <c r="F8744" s="12" t="s">
        <v>4048</v>
      </c>
      <c r="G8744" s="12" t="s">
        <v>46</v>
      </c>
      <c r="H8744" s="11" t="s">
        <v>63</v>
      </c>
      <c r="I8744" s="13" t="s">
        <v>17705</v>
      </c>
      <c r="J8744" s="14" t="str">
        <f>HYPERLINK("https://www.boe.es/gazeta/dias/1839/03/26/pdfs/GMD-1839-1592.pdf#page=3","Abrir facsímil")</f>
        <v>Abrir facsímil</v>
      </c>
      <c r="K8744" s="12" t="s">
        <v>65</v>
      </c>
    </row>
    <row r="8745" spans="1:11" ht="40.049999999999997" customHeight="1" x14ac:dyDescent="0.25">
      <c r="A8745" s="11" t="s">
        <v>17706</v>
      </c>
      <c r="B8745" s="11" t="s">
        <v>17707</v>
      </c>
      <c r="C8745" s="11" t="s">
        <v>17</v>
      </c>
      <c r="D8745" s="11" t="s">
        <v>18</v>
      </c>
      <c r="E8745" s="12" t="s">
        <v>1072</v>
      </c>
      <c r="F8745" s="12" t="s">
        <v>1073</v>
      </c>
      <c r="G8745" s="12" t="s">
        <v>21</v>
      </c>
      <c r="H8745" s="11" t="s">
        <v>22</v>
      </c>
      <c r="I8745" s="13" t="s">
        <v>17708</v>
      </c>
      <c r="J8745" s="14" t="str">
        <f>HYPERLINK("https://www.boe.es/gazeta/dias/1839/01/18/pdfs/GMD-1839-1525.pdf#page=4","Abrir facsímil")</f>
        <v>Abrir facsímil</v>
      </c>
      <c r="K8745" s="12" t="s">
        <v>24</v>
      </c>
    </row>
    <row r="8746" spans="1:11" ht="40.049999999999997" customHeight="1" x14ac:dyDescent="0.25">
      <c r="A8746" s="11" t="s">
        <v>17709</v>
      </c>
      <c r="B8746" s="11" t="s">
        <v>17710</v>
      </c>
      <c r="C8746" s="11" t="s">
        <v>80</v>
      </c>
      <c r="D8746" s="11" t="s">
        <v>18</v>
      </c>
      <c r="E8746" s="12" t="s">
        <v>1284</v>
      </c>
      <c r="F8746" s="12" t="s">
        <v>1285</v>
      </c>
      <c r="G8746" s="12" t="s">
        <v>29</v>
      </c>
      <c r="H8746" s="11" t="s">
        <v>63</v>
      </c>
      <c r="I8746" s="13" t="s">
        <v>17711</v>
      </c>
      <c r="J8746" s="14" t="str">
        <f>HYPERLINK("https://www.boe.es/gazeta/dias/1839/03/27/pdfs/GMD-1839-1593.pdf#page=1","Abrir facsímil")</f>
        <v>Abrir facsímil</v>
      </c>
      <c r="K8746" s="12" t="s">
        <v>65</v>
      </c>
    </row>
    <row r="8747" spans="1:11" ht="40.049999999999997" customHeight="1" x14ac:dyDescent="0.25">
      <c r="A8747" s="11" t="s">
        <v>17712</v>
      </c>
      <c r="B8747" s="11" t="s">
        <v>17713</v>
      </c>
      <c r="C8747" s="11" t="s">
        <v>17</v>
      </c>
      <c r="D8747" s="11" t="s">
        <v>18</v>
      </c>
      <c r="E8747" s="12" t="s">
        <v>1069</v>
      </c>
      <c r="F8747" s="12" t="s">
        <v>1070</v>
      </c>
      <c r="G8747" s="12" t="s">
        <v>40</v>
      </c>
      <c r="H8747" s="11" t="s">
        <v>63</v>
      </c>
      <c r="I8747" s="13" t="s">
        <v>17714</v>
      </c>
      <c r="J8747" s="14" t="str">
        <f>HYPERLINK("https://www.boe.es/gazeta/dias/1839/10/15/pdfs/GMD-1839-1801.pdf#page=2","Abrir facsímil")</f>
        <v>Abrir facsímil</v>
      </c>
      <c r="K8747" s="12" t="s">
        <v>65</v>
      </c>
    </row>
    <row r="8748" spans="1:11" ht="40.049999999999997" customHeight="1" x14ac:dyDescent="0.25">
      <c r="A8748" s="11" t="s">
        <v>17715</v>
      </c>
      <c r="B8748" s="11" t="s">
        <v>17715</v>
      </c>
      <c r="C8748" s="11" t="s">
        <v>17</v>
      </c>
      <c r="D8748" s="11" t="s">
        <v>18</v>
      </c>
      <c r="E8748" s="12" t="s">
        <v>295</v>
      </c>
      <c r="F8748" s="12" t="s">
        <v>296</v>
      </c>
      <c r="G8748" s="12" t="s">
        <v>40</v>
      </c>
      <c r="H8748" s="11" t="s">
        <v>63</v>
      </c>
      <c r="I8748" s="13" t="s">
        <v>17716</v>
      </c>
      <c r="J8748" s="14" t="str">
        <f>HYPERLINK("https://www.boe.es/gazeta/dias/1839/08/19/pdfs/GMD-1839-1740.pdf#page=2","Abrir facsímil")</f>
        <v>Abrir facsímil</v>
      </c>
      <c r="K8748" s="12" t="s">
        <v>65</v>
      </c>
    </row>
    <row r="8749" spans="1:11" ht="40.049999999999997" customHeight="1" x14ac:dyDescent="0.25">
      <c r="A8749" s="11" t="s">
        <v>17717</v>
      </c>
      <c r="B8749" s="11" t="s">
        <v>17718</v>
      </c>
      <c r="C8749" s="11" t="s">
        <v>17</v>
      </c>
      <c r="D8749" s="11" t="s">
        <v>43</v>
      </c>
      <c r="E8749" s="12" t="s">
        <v>4472</v>
      </c>
      <c r="F8749" s="12" t="s">
        <v>4473</v>
      </c>
      <c r="G8749" s="12" t="s">
        <v>40</v>
      </c>
      <c r="H8749" s="11" t="s">
        <v>63</v>
      </c>
      <c r="I8749" s="13" t="s">
        <v>17719</v>
      </c>
      <c r="J8749" s="14" t="str">
        <f>HYPERLINK("https://www.boe.es/gazeta/dias/1839/08/03/pdfs/GMD-1839-1723.pdf#page=2","Abrir facsímil")</f>
        <v>Abrir facsímil</v>
      </c>
      <c r="K8749" s="12" t="s">
        <v>65</v>
      </c>
    </row>
    <row r="8750" spans="1:11" ht="40.049999999999997" customHeight="1" x14ac:dyDescent="0.25">
      <c r="A8750" s="11" t="s">
        <v>17720</v>
      </c>
      <c r="B8750" s="11" t="s">
        <v>17721</v>
      </c>
      <c r="C8750" s="11" t="s">
        <v>17</v>
      </c>
      <c r="D8750" s="11" t="s">
        <v>18</v>
      </c>
      <c r="E8750" s="12" t="s">
        <v>2738</v>
      </c>
      <c r="F8750" s="12" t="s">
        <v>2739</v>
      </c>
      <c r="G8750" s="12" t="s">
        <v>21</v>
      </c>
      <c r="H8750" s="11" t="s">
        <v>22</v>
      </c>
      <c r="I8750" s="13" t="s">
        <v>17722</v>
      </c>
      <c r="J8750" s="14" t="str">
        <f>HYPERLINK("https://www.boe.es/gazeta/dias/1839/09/06/pdfs/GMD-1839-1759.pdf#page=4","Abrir facsímil")</f>
        <v>Abrir facsímil</v>
      </c>
      <c r="K8750" s="12" t="s">
        <v>24</v>
      </c>
    </row>
    <row r="8751" spans="1:11" ht="40.049999999999997" customHeight="1" x14ac:dyDescent="0.25">
      <c r="A8751" s="11" t="s">
        <v>17720</v>
      </c>
      <c r="B8751" s="11" t="s">
        <v>17721</v>
      </c>
      <c r="C8751" s="11" t="s">
        <v>17</v>
      </c>
      <c r="D8751" s="11" t="s">
        <v>18</v>
      </c>
      <c r="E8751" s="12" t="s">
        <v>4485</v>
      </c>
      <c r="F8751" s="12" t="s">
        <v>4486</v>
      </c>
      <c r="G8751" s="12" t="s">
        <v>21</v>
      </c>
      <c r="H8751" s="11" t="s">
        <v>22</v>
      </c>
      <c r="I8751" s="13" t="s">
        <v>17723</v>
      </c>
      <c r="J8751" s="14" t="str">
        <f>HYPERLINK("https://www.boe.es/gazeta/dias/1839/07/08/pdfs/GMD-1839-1696.pdf#page=4","Abrir facsímil")</f>
        <v>Abrir facsímil</v>
      </c>
      <c r="K8751" s="12" t="s">
        <v>24</v>
      </c>
    </row>
    <row r="8752" spans="1:11" ht="40.049999999999997" customHeight="1" x14ac:dyDescent="0.25">
      <c r="A8752" s="11" t="s">
        <v>17720</v>
      </c>
      <c r="B8752" s="11" t="s">
        <v>17721</v>
      </c>
      <c r="C8752" s="11" t="s">
        <v>17</v>
      </c>
      <c r="D8752" s="11" t="s">
        <v>18</v>
      </c>
      <c r="E8752" s="12" t="s">
        <v>1648</v>
      </c>
      <c r="F8752" s="12" t="s">
        <v>1649</v>
      </c>
      <c r="G8752" s="12" t="s">
        <v>21</v>
      </c>
      <c r="H8752" s="11" t="s">
        <v>22</v>
      </c>
      <c r="I8752" s="13" t="s">
        <v>17724</v>
      </c>
      <c r="J8752" s="14" t="str">
        <f>HYPERLINK("https://www.boe.es/gazeta/dias/1839/08/18/pdfs/GMD-1839-1738.pdf#page=4","Abrir facsímil")</f>
        <v>Abrir facsímil</v>
      </c>
      <c r="K8752" s="12" t="s">
        <v>24</v>
      </c>
    </row>
    <row r="8753" spans="1:11" ht="40.049999999999997" customHeight="1" x14ac:dyDescent="0.25">
      <c r="A8753" s="11" t="s">
        <v>17725</v>
      </c>
      <c r="B8753" s="11" t="s">
        <v>17726</v>
      </c>
      <c r="C8753" s="11" t="s">
        <v>17</v>
      </c>
      <c r="D8753" s="11" t="s">
        <v>18</v>
      </c>
      <c r="E8753" s="12" t="s">
        <v>844</v>
      </c>
      <c r="F8753" s="12" t="s">
        <v>845</v>
      </c>
      <c r="G8753" s="12" t="s">
        <v>21</v>
      </c>
      <c r="H8753" s="11" t="s">
        <v>63</v>
      </c>
      <c r="I8753" s="13" t="s">
        <v>17727</v>
      </c>
      <c r="J8753" s="14" t="str">
        <f>HYPERLINK("https://www.boe.es/gazeta/dias/1839/12/24/pdfs/GMD-1839-1871.pdf#page=4","Abrir facsímil")</f>
        <v>Abrir facsímil</v>
      </c>
      <c r="K8753" s="12" t="s">
        <v>65</v>
      </c>
    </row>
    <row r="8754" spans="1:11" ht="40.049999999999997" customHeight="1" x14ac:dyDescent="0.25">
      <c r="A8754" s="11" t="s">
        <v>17728</v>
      </c>
      <c r="B8754" s="11" t="s">
        <v>17728</v>
      </c>
      <c r="C8754" s="11" t="s">
        <v>17</v>
      </c>
      <c r="D8754" s="11" t="s">
        <v>18</v>
      </c>
      <c r="E8754" s="12" t="s">
        <v>704</v>
      </c>
      <c r="F8754" s="12" t="s">
        <v>705</v>
      </c>
      <c r="G8754" s="12" t="s">
        <v>40</v>
      </c>
      <c r="H8754" s="11" t="s">
        <v>63</v>
      </c>
      <c r="I8754" s="13" t="s">
        <v>17729</v>
      </c>
      <c r="J8754" s="14" t="str">
        <f>HYPERLINK("https://www.boe.es/gazeta/dias/1839/03/02/pdfs/GMD-1839-1568.pdf#page=2","Abrir facsímil")</f>
        <v>Abrir facsímil</v>
      </c>
      <c r="K8754" s="12" t="s">
        <v>65</v>
      </c>
    </row>
    <row r="8755" spans="1:11" ht="40.049999999999997" customHeight="1" x14ac:dyDescent="0.25">
      <c r="A8755" s="11" t="s">
        <v>17728</v>
      </c>
      <c r="B8755" s="11" t="s">
        <v>17728</v>
      </c>
      <c r="C8755" s="11" t="s">
        <v>137</v>
      </c>
      <c r="D8755" s="11" t="s">
        <v>18</v>
      </c>
      <c r="E8755" s="12" t="s">
        <v>2021</v>
      </c>
      <c r="F8755" s="12" t="s">
        <v>2022</v>
      </c>
      <c r="G8755" s="12" t="s">
        <v>40</v>
      </c>
      <c r="H8755" s="11" t="s">
        <v>63</v>
      </c>
      <c r="I8755" s="13" t="s">
        <v>17730</v>
      </c>
      <c r="J8755" s="14" t="str">
        <f>HYPERLINK("https://www.boe.es/gazeta/dias/1839/02/17/pdfs/GMD-1839-1555.pdf#page=2","Abrir facsímil")</f>
        <v>Abrir facsímil</v>
      </c>
      <c r="K8755" s="12" t="s">
        <v>65</v>
      </c>
    </row>
    <row r="8756" spans="1:11" ht="40.049999999999997" customHeight="1" x14ac:dyDescent="0.25">
      <c r="A8756" s="11" t="s">
        <v>17731</v>
      </c>
      <c r="B8756" s="11" t="s">
        <v>17732</v>
      </c>
      <c r="C8756" s="11" t="s">
        <v>17</v>
      </c>
      <c r="D8756" s="11" t="s">
        <v>18</v>
      </c>
      <c r="E8756" s="12" t="s">
        <v>3566</v>
      </c>
      <c r="F8756" s="12" t="s">
        <v>3567</v>
      </c>
      <c r="G8756" s="12" t="s">
        <v>46</v>
      </c>
      <c r="H8756" s="11" t="s">
        <v>63</v>
      </c>
      <c r="I8756" s="13" t="s">
        <v>17733</v>
      </c>
      <c r="J8756" s="14" t="str">
        <f>HYPERLINK("https://www.boe.es/gazeta/dias/1839/07/06/pdfs/GMD-1839-1694.pdf#page=3","Abrir facsímil")</f>
        <v>Abrir facsímil</v>
      </c>
      <c r="K8756" s="12" t="s">
        <v>65</v>
      </c>
    </row>
    <row r="8757" spans="1:11" ht="40.049999999999997" customHeight="1" x14ac:dyDescent="0.25">
      <c r="A8757" s="11" t="s">
        <v>17734</v>
      </c>
      <c r="B8757" s="11" t="s">
        <v>17734</v>
      </c>
      <c r="C8757" s="11" t="s">
        <v>17</v>
      </c>
      <c r="D8757" s="11" t="s">
        <v>18</v>
      </c>
      <c r="E8757" s="12" t="s">
        <v>385</v>
      </c>
      <c r="F8757" s="12" t="s">
        <v>386</v>
      </c>
      <c r="G8757" s="12" t="s">
        <v>29</v>
      </c>
      <c r="H8757" s="11" t="s">
        <v>63</v>
      </c>
      <c r="I8757" s="13" t="s">
        <v>17735</v>
      </c>
      <c r="J8757" s="14" t="str">
        <f>HYPERLINK("https://www.boe.es/gazeta/dias/1839/08/01/pdfs/GMD-1839-1721.pdf#page=1","Abrir facsímil")</f>
        <v>Abrir facsímil</v>
      </c>
      <c r="K8757" s="12" t="s">
        <v>65</v>
      </c>
    </row>
    <row r="8758" spans="1:11" ht="40.049999999999997" customHeight="1" x14ac:dyDescent="0.25">
      <c r="A8758" s="11" t="s">
        <v>17736</v>
      </c>
      <c r="B8758" s="11" t="s">
        <v>17736</v>
      </c>
      <c r="C8758" s="11" t="s">
        <v>17</v>
      </c>
      <c r="D8758" s="11" t="s">
        <v>18</v>
      </c>
      <c r="E8758" s="12" t="s">
        <v>4957</v>
      </c>
      <c r="F8758" s="12" t="s">
        <v>4958</v>
      </c>
      <c r="G8758" s="12" t="s">
        <v>29</v>
      </c>
      <c r="H8758" s="11" t="s">
        <v>63</v>
      </c>
      <c r="I8758" s="13" t="s">
        <v>17737</v>
      </c>
      <c r="J8758" s="14" t="str">
        <f>HYPERLINK("https://www.boe.es/gazeta/dias/1839/11/04/pdfs/GMD-1839-1821.pdf#page=1","Abrir facsímil")</f>
        <v>Abrir facsímil</v>
      </c>
      <c r="K8758" s="12" t="s">
        <v>65</v>
      </c>
    </row>
    <row r="8759" spans="1:11" ht="40.049999999999997" customHeight="1" x14ac:dyDescent="0.25">
      <c r="A8759" s="11" t="s">
        <v>17736</v>
      </c>
      <c r="B8759" s="11" t="s">
        <v>17736</v>
      </c>
      <c r="C8759" s="11" t="s">
        <v>17</v>
      </c>
      <c r="D8759" s="11" t="s">
        <v>18</v>
      </c>
      <c r="E8759" s="12" t="s">
        <v>4186</v>
      </c>
      <c r="F8759" s="12" t="s">
        <v>4187</v>
      </c>
      <c r="G8759" s="12" t="s">
        <v>29</v>
      </c>
      <c r="H8759" s="11" t="s">
        <v>63</v>
      </c>
      <c r="I8759" s="13" t="s">
        <v>17738</v>
      </c>
      <c r="J8759" s="14" t="str">
        <f>HYPERLINK("https://www.boe.es/gazeta/dias/1839/12/12/pdfs/GMD-1839-1859.pdf#page=1","Abrir facsímil")</f>
        <v>Abrir facsímil</v>
      </c>
      <c r="K8759" s="12" t="s">
        <v>65</v>
      </c>
    </row>
    <row r="8760" spans="1:11" ht="40.049999999999997" customHeight="1" x14ac:dyDescent="0.25">
      <c r="A8760" s="11" t="s">
        <v>17736</v>
      </c>
      <c r="B8760" s="11" t="s">
        <v>17736</v>
      </c>
      <c r="C8760" s="11" t="s">
        <v>17</v>
      </c>
      <c r="D8760" s="11" t="s">
        <v>18</v>
      </c>
      <c r="E8760" s="12" t="s">
        <v>295</v>
      </c>
      <c r="F8760" s="12" t="s">
        <v>296</v>
      </c>
      <c r="G8760" s="12" t="s">
        <v>29</v>
      </c>
      <c r="H8760" s="11" t="s">
        <v>63</v>
      </c>
      <c r="I8760" s="13" t="s">
        <v>17739</v>
      </c>
      <c r="J8760" s="14" t="str">
        <f>HYPERLINK("https://www.boe.es/gazeta/dias/1839/08/19/pdfs/GMD-1839-1740.pdf#page=1","Abrir facsímil")</f>
        <v>Abrir facsímil</v>
      </c>
      <c r="K8760" s="12" t="s">
        <v>65</v>
      </c>
    </row>
    <row r="8761" spans="1:11" ht="40.049999999999997" customHeight="1" x14ac:dyDescent="0.25">
      <c r="A8761" s="11" t="s">
        <v>17736</v>
      </c>
      <c r="B8761" s="11" t="s">
        <v>17736</v>
      </c>
      <c r="C8761" s="11" t="s">
        <v>80</v>
      </c>
      <c r="D8761" s="11" t="s">
        <v>18</v>
      </c>
      <c r="E8761" s="12" t="s">
        <v>243</v>
      </c>
      <c r="F8761" s="12" t="s">
        <v>244</v>
      </c>
      <c r="G8761" s="12" t="s">
        <v>29</v>
      </c>
      <c r="H8761" s="11" t="s">
        <v>63</v>
      </c>
      <c r="I8761" s="13" t="s">
        <v>17740</v>
      </c>
      <c r="J8761" s="14" t="str">
        <f>HYPERLINK("https://www.boe.es/gazeta/dias/1839/09/23/pdfs/GMD-1839-1779.pdf#page=1","Abrir facsímil")</f>
        <v>Abrir facsímil</v>
      </c>
      <c r="K8761" s="12" t="s">
        <v>65</v>
      </c>
    </row>
    <row r="8762" spans="1:11" ht="40.049999999999997" customHeight="1" x14ac:dyDescent="0.25">
      <c r="A8762" s="11" t="s">
        <v>17741</v>
      </c>
      <c r="B8762" s="11" t="s">
        <v>17741</v>
      </c>
      <c r="C8762" s="11" t="s">
        <v>17</v>
      </c>
      <c r="D8762" s="11" t="s">
        <v>18</v>
      </c>
      <c r="E8762" s="12" t="s">
        <v>3633</v>
      </c>
      <c r="F8762" s="12" t="s">
        <v>3634</v>
      </c>
      <c r="G8762" s="12" t="s">
        <v>21</v>
      </c>
      <c r="H8762" s="11" t="s">
        <v>63</v>
      </c>
      <c r="I8762" s="13" t="s">
        <v>17742</v>
      </c>
      <c r="J8762" s="14" t="str">
        <f>HYPERLINK("https://www.boe.es/gazeta/dias/1839/04/12/pdfs/GMD-1839-1609.pdf#page=4","Abrir facsímil")</f>
        <v>Abrir facsímil</v>
      </c>
      <c r="K8762" s="12" t="s">
        <v>65</v>
      </c>
    </row>
    <row r="8763" spans="1:11" ht="40.049999999999997" customHeight="1" x14ac:dyDescent="0.25">
      <c r="A8763" s="11" t="s">
        <v>17741</v>
      </c>
      <c r="B8763" s="11" t="s">
        <v>17741</v>
      </c>
      <c r="C8763" s="11" t="s">
        <v>17</v>
      </c>
      <c r="D8763" s="11" t="s">
        <v>18</v>
      </c>
      <c r="E8763" s="12" t="s">
        <v>621</v>
      </c>
      <c r="F8763" s="12" t="s">
        <v>622</v>
      </c>
      <c r="G8763" s="12" t="s">
        <v>21</v>
      </c>
      <c r="H8763" s="11" t="s">
        <v>63</v>
      </c>
      <c r="I8763" s="13" t="s">
        <v>17743</v>
      </c>
      <c r="J8763" s="14" t="str">
        <f>HYPERLINK("https://www.boe.es/gazeta/dias/1839/04/14/pdfs/GMD-1839-1611.pdf#page=4","Abrir facsímil")</f>
        <v>Abrir facsímil</v>
      </c>
      <c r="K8763" s="12" t="s">
        <v>65</v>
      </c>
    </row>
    <row r="8764" spans="1:11" ht="40.049999999999997" customHeight="1" x14ac:dyDescent="0.25">
      <c r="A8764" s="11" t="s">
        <v>17744</v>
      </c>
      <c r="B8764" s="11" t="s">
        <v>17744</v>
      </c>
      <c r="C8764" s="11" t="s">
        <v>101</v>
      </c>
      <c r="D8764" s="11" t="s">
        <v>43</v>
      </c>
      <c r="E8764" s="12" t="s">
        <v>284</v>
      </c>
      <c r="F8764" s="12" t="s">
        <v>285</v>
      </c>
      <c r="G8764" s="12" t="s">
        <v>46</v>
      </c>
      <c r="H8764" s="11" t="s">
        <v>22</v>
      </c>
      <c r="I8764" s="13" t="s">
        <v>17745</v>
      </c>
      <c r="J8764" s="14" t="str">
        <f>HYPERLINK("https://www.boe.es/gazeta/dias/1839/01/27/pdfs/GMD-1839-1534.pdf#page=3","Abrir facsímil")</f>
        <v>Abrir facsímil</v>
      </c>
      <c r="K8764" s="12" t="s">
        <v>24</v>
      </c>
    </row>
    <row r="8765" spans="1:11" ht="40.049999999999997" customHeight="1" x14ac:dyDescent="0.25">
      <c r="A8765" s="11" t="s">
        <v>17746</v>
      </c>
      <c r="B8765" s="11" t="s">
        <v>17747</v>
      </c>
      <c r="C8765" s="11" t="s">
        <v>17</v>
      </c>
      <c r="D8765" s="11" t="s">
        <v>18</v>
      </c>
      <c r="E8765" s="12" t="s">
        <v>258</v>
      </c>
      <c r="F8765" s="12" t="s">
        <v>259</v>
      </c>
      <c r="G8765" s="12" t="s">
        <v>46</v>
      </c>
      <c r="H8765" s="11" t="s">
        <v>22</v>
      </c>
      <c r="I8765" s="13" t="s">
        <v>17748</v>
      </c>
      <c r="J8765" s="14" t="str">
        <f>HYPERLINK("https://www.boe.es/gazeta/dias/1839/01/02/pdfs/GMD-1839-1509.pdf#page=3","Abrir facsímil")</f>
        <v>Abrir facsímil</v>
      </c>
      <c r="K8765" s="12" t="s">
        <v>24</v>
      </c>
    </row>
    <row r="8766" spans="1:11" ht="40.049999999999997" customHeight="1" x14ac:dyDescent="0.25">
      <c r="A8766" s="11" t="s">
        <v>17749</v>
      </c>
      <c r="B8766" s="11" t="s">
        <v>17750</v>
      </c>
      <c r="C8766" s="11" t="s">
        <v>101</v>
      </c>
      <c r="D8766" s="11" t="s">
        <v>43</v>
      </c>
      <c r="E8766" s="12" t="s">
        <v>1108</v>
      </c>
      <c r="F8766" s="12" t="s">
        <v>1109</v>
      </c>
      <c r="G8766" s="12" t="s">
        <v>40</v>
      </c>
      <c r="H8766" s="11" t="s">
        <v>22</v>
      </c>
      <c r="I8766" s="13" t="s">
        <v>17751</v>
      </c>
      <c r="J8766" s="14" t="str">
        <f>HYPERLINK("https://www.boe.es/gazeta/dias/1839/09/21/pdfs/GMD-1839-1776.pdf#page=2","Abrir facsímil")</f>
        <v>Abrir facsímil</v>
      </c>
      <c r="K8766" s="12" t="s">
        <v>24</v>
      </c>
    </row>
    <row r="8767" spans="1:11" ht="40.049999999999997" customHeight="1" x14ac:dyDescent="0.25">
      <c r="A8767" s="11" t="s">
        <v>17752</v>
      </c>
      <c r="B8767" s="11" t="s">
        <v>17753</v>
      </c>
      <c r="C8767" s="11" t="s">
        <v>80</v>
      </c>
      <c r="D8767" s="11" t="s">
        <v>18</v>
      </c>
      <c r="E8767" s="12" t="s">
        <v>1512</v>
      </c>
      <c r="F8767" s="12" t="s">
        <v>1513</v>
      </c>
      <c r="G8767" s="12" t="s">
        <v>46</v>
      </c>
      <c r="H8767" s="11" t="s">
        <v>63</v>
      </c>
      <c r="I8767" s="13" t="s">
        <v>17754</v>
      </c>
      <c r="J8767" s="14" t="str">
        <f>HYPERLINK("https://www.boe.es/gazeta/dias/1839/04/13/pdfs/GMD-1839-1610.pdf#page=3","Abrir facsímil")</f>
        <v>Abrir facsímil</v>
      </c>
      <c r="K8767" s="12" t="s">
        <v>65</v>
      </c>
    </row>
    <row r="8768" spans="1:11" ht="40.049999999999997" customHeight="1" x14ac:dyDescent="0.25">
      <c r="A8768" s="11" t="s">
        <v>17752</v>
      </c>
      <c r="B8768" s="11" t="s">
        <v>17753</v>
      </c>
      <c r="C8768" s="11" t="s">
        <v>137</v>
      </c>
      <c r="D8768" s="11" t="s">
        <v>18</v>
      </c>
      <c r="E8768" s="12" t="s">
        <v>1374</v>
      </c>
      <c r="F8768" s="12" t="s">
        <v>1375</v>
      </c>
      <c r="G8768" s="12" t="s">
        <v>46</v>
      </c>
      <c r="H8768" s="11" t="s">
        <v>63</v>
      </c>
      <c r="I8768" s="13" t="s">
        <v>17755</v>
      </c>
      <c r="J8768" s="14" t="str">
        <f>HYPERLINK("https://www.boe.es/gazeta/dias/1839/07/20/pdfs/GMD-1839-1708.pdf#page=3","Abrir facsímil")</f>
        <v>Abrir facsímil</v>
      </c>
      <c r="K8768" s="12" t="s">
        <v>65</v>
      </c>
    </row>
    <row r="8769" spans="1:11" ht="40.049999999999997" customHeight="1" x14ac:dyDescent="0.25">
      <c r="A8769" s="11" t="s">
        <v>17752</v>
      </c>
      <c r="B8769" s="11" t="s">
        <v>17753</v>
      </c>
      <c r="C8769" s="11" t="s">
        <v>17</v>
      </c>
      <c r="D8769" s="11" t="s">
        <v>18</v>
      </c>
      <c r="E8769" s="12" t="s">
        <v>125</v>
      </c>
      <c r="F8769" s="12" t="s">
        <v>126</v>
      </c>
      <c r="G8769" s="12" t="s">
        <v>29</v>
      </c>
      <c r="H8769" s="11" t="s">
        <v>63</v>
      </c>
      <c r="I8769" s="13" t="s">
        <v>17756</v>
      </c>
      <c r="J8769" s="14" t="str">
        <f>HYPERLINK("https://www.boe.es/gazeta/dias/1839/05/23/pdfs/GMD-1839-1650.pdf#page=1","Abrir facsímil")</f>
        <v>Abrir facsímil</v>
      </c>
      <c r="K8769" s="12" t="s">
        <v>65</v>
      </c>
    </row>
    <row r="8770" spans="1:11" ht="40.049999999999997" customHeight="1" x14ac:dyDescent="0.25">
      <c r="A8770" s="11" t="s">
        <v>17757</v>
      </c>
      <c r="B8770" s="11" t="s">
        <v>17758</v>
      </c>
      <c r="C8770" s="11" t="s">
        <v>17</v>
      </c>
      <c r="D8770" s="11" t="s">
        <v>18</v>
      </c>
      <c r="E8770" s="12" t="s">
        <v>1284</v>
      </c>
      <c r="F8770" s="12" t="s">
        <v>1285</v>
      </c>
      <c r="G8770" s="12" t="s">
        <v>46</v>
      </c>
      <c r="H8770" s="11" t="s">
        <v>63</v>
      </c>
      <c r="I8770" s="13" t="s">
        <v>17759</v>
      </c>
      <c r="J8770" s="14" t="str">
        <f>HYPERLINK("https://www.boe.es/gazeta/dias/1839/03/27/pdfs/GMD-1839-1593.pdf#page=3","Abrir facsímil")</f>
        <v>Abrir facsímil</v>
      </c>
      <c r="K8770" s="12" t="s">
        <v>65</v>
      </c>
    </row>
    <row r="8771" spans="1:11" ht="40.049999999999997" customHeight="1" x14ac:dyDescent="0.25">
      <c r="A8771" s="11" t="s">
        <v>17760</v>
      </c>
      <c r="B8771" s="11" t="s">
        <v>17761</v>
      </c>
      <c r="C8771" s="11" t="s">
        <v>59</v>
      </c>
      <c r="D8771" s="11" t="s">
        <v>60</v>
      </c>
      <c r="E8771" s="12" t="s">
        <v>202</v>
      </c>
      <c r="F8771" s="12" t="s">
        <v>203</v>
      </c>
      <c r="G8771" s="12" t="s">
        <v>46</v>
      </c>
      <c r="H8771" s="11" t="s">
        <v>22</v>
      </c>
      <c r="I8771" s="13" t="s">
        <v>17762</v>
      </c>
      <c r="J8771" s="14" t="str">
        <f>HYPERLINK("https://www.boe.es/gazeta/dias/1839/04/05/pdfs/GMD-1839-1602.pdf#page=3","Abrir facsímil")</f>
        <v>Abrir facsímil</v>
      </c>
      <c r="K8771" s="12" t="s">
        <v>24</v>
      </c>
    </row>
    <row r="8772" spans="1:11" ht="40.049999999999997" customHeight="1" x14ac:dyDescent="0.25">
      <c r="A8772" s="11" t="s">
        <v>17763</v>
      </c>
      <c r="B8772" s="11" t="s">
        <v>17763</v>
      </c>
      <c r="C8772" s="11" t="s">
        <v>80</v>
      </c>
      <c r="D8772" s="11" t="s">
        <v>18</v>
      </c>
      <c r="E8772" s="12" t="s">
        <v>138</v>
      </c>
      <c r="F8772" s="12" t="s">
        <v>139</v>
      </c>
      <c r="G8772" s="12" t="s">
        <v>40</v>
      </c>
      <c r="H8772" s="11" t="s">
        <v>63</v>
      </c>
      <c r="I8772" s="13" t="s">
        <v>17764</v>
      </c>
      <c r="J8772" s="14" t="str">
        <f>HYPERLINK("https://www.boe.es/gazeta/dias/1839/10/09/pdfs/GMD-1839-1795.pdf#page=2","Abrir facsímil")</f>
        <v>Abrir facsímil</v>
      </c>
      <c r="K8772" s="12" t="s">
        <v>65</v>
      </c>
    </row>
    <row r="8773" spans="1:11" ht="40.049999999999997" customHeight="1" x14ac:dyDescent="0.25">
      <c r="A8773" s="11" t="s">
        <v>17763</v>
      </c>
      <c r="B8773" s="11" t="s">
        <v>17763</v>
      </c>
      <c r="C8773" s="11" t="s">
        <v>137</v>
      </c>
      <c r="D8773" s="11" t="s">
        <v>18</v>
      </c>
      <c r="E8773" s="12" t="s">
        <v>336</v>
      </c>
      <c r="F8773" s="12" t="s">
        <v>337</v>
      </c>
      <c r="G8773" s="12" t="s">
        <v>29</v>
      </c>
      <c r="H8773" s="11" t="s">
        <v>63</v>
      </c>
      <c r="I8773" s="13" t="s">
        <v>17765</v>
      </c>
      <c r="J8773" s="14" t="str">
        <f>HYPERLINK("https://www.boe.es/gazeta/dias/1839/07/14/pdfs/GMD-1839-1702.pdf#page=1","Abrir facsímil")</f>
        <v>Abrir facsímil</v>
      </c>
      <c r="K8773" s="12" t="s">
        <v>65</v>
      </c>
    </row>
    <row r="8774" spans="1:11" ht="40.049999999999997" customHeight="1" x14ac:dyDescent="0.25">
      <c r="A8774" s="11" t="s">
        <v>17763</v>
      </c>
      <c r="B8774" s="11" t="s">
        <v>17763</v>
      </c>
      <c r="C8774" s="11" t="s">
        <v>137</v>
      </c>
      <c r="D8774" s="11" t="s">
        <v>18</v>
      </c>
      <c r="E8774" s="12" t="s">
        <v>695</v>
      </c>
      <c r="F8774" s="12" t="s">
        <v>696</v>
      </c>
      <c r="G8774" s="12" t="s">
        <v>40</v>
      </c>
      <c r="H8774" s="11" t="s">
        <v>63</v>
      </c>
      <c r="I8774" s="13" t="s">
        <v>17766</v>
      </c>
      <c r="J8774" s="14" t="str">
        <f>HYPERLINK("https://www.boe.es/gazeta/dias/1839/12/19/pdfs/GMD-1839-1866.pdf#page=2","Abrir facsímil")</f>
        <v>Abrir facsímil</v>
      </c>
      <c r="K8774" s="12" t="s">
        <v>65</v>
      </c>
    </row>
    <row r="8775" spans="1:11" ht="40.049999999999997" customHeight="1" x14ac:dyDescent="0.25">
      <c r="A8775" s="11" t="s">
        <v>17763</v>
      </c>
      <c r="B8775" s="11" t="s">
        <v>17763</v>
      </c>
      <c r="C8775" s="11" t="s">
        <v>101</v>
      </c>
      <c r="D8775" s="11" t="s">
        <v>102</v>
      </c>
      <c r="E8775" s="12" t="s">
        <v>1682</v>
      </c>
      <c r="F8775" s="12" t="s">
        <v>1683</v>
      </c>
      <c r="G8775" s="12" t="s">
        <v>40</v>
      </c>
      <c r="H8775" s="11" t="s">
        <v>63</v>
      </c>
      <c r="I8775" s="13" t="s">
        <v>17767</v>
      </c>
      <c r="J8775" s="14" t="str">
        <f>HYPERLINK("https://www.boe.es/gazeta/dias/1839/12/26/pdfs/GMD-1839-1873.pdf#page=2","Abrir facsímil")</f>
        <v>Abrir facsímil</v>
      </c>
      <c r="K8775" s="12" t="s">
        <v>65</v>
      </c>
    </row>
    <row r="8776" spans="1:11" ht="40.049999999999997" customHeight="1" x14ac:dyDescent="0.25">
      <c r="A8776" s="11" t="s">
        <v>17768</v>
      </c>
      <c r="B8776" s="11" t="s">
        <v>17768</v>
      </c>
      <c r="C8776" s="11" t="s">
        <v>80</v>
      </c>
      <c r="D8776" s="11" t="s">
        <v>18</v>
      </c>
      <c r="E8776" s="12" t="s">
        <v>94</v>
      </c>
      <c r="F8776" s="12" t="s">
        <v>95</v>
      </c>
      <c r="G8776" s="12" t="s">
        <v>40</v>
      </c>
      <c r="H8776" s="11" t="s">
        <v>63</v>
      </c>
      <c r="I8776" s="13" t="s">
        <v>17769</v>
      </c>
      <c r="J8776" s="14" t="str">
        <f>HYPERLINK("https://www.boe.es/gazeta/dias/1839/02/24/pdfs/GMD-1839-1562.pdf#page=2","Abrir facsímil")</f>
        <v>Abrir facsímil</v>
      </c>
      <c r="K8776" s="12" t="s">
        <v>65</v>
      </c>
    </row>
    <row r="8777" spans="1:11" ht="40.049999999999997" customHeight="1" x14ac:dyDescent="0.25">
      <c r="A8777" s="11" t="s">
        <v>17770</v>
      </c>
      <c r="B8777" s="11" t="s">
        <v>17770</v>
      </c>
      <c r="C8777" s="11" t="s">
        <v>17</v>
      </c>
      <c r="D8777" s="11" t="s">
        <v>18</v>
      </c>
      <c r="E8777" s="12" t="s">
        <v>448</v>
      </c>
      <c r="F8777" s="12" t="s">
        <v>449</v>
      </c>
      <c r="G8777" s="12" t="s">
        <v>29</v>
      </c>
      <c r="H8777" s="11" t="s">
        <v>63</v>
      </c>
      <c r="I8777" s="13" t="s">
        <v>17771</v>
      </c>
      <c r="J8777" s="14" t="str">
        <f>HYPERLINK("https://www.boe.es/gazeta/dias/1839/02/06/pdfs/GMD-1839-1544.pdf#page=1","Abrir facsímil")</f>
        <v>Abrir facsímil</v>
      </c>
      <c r="K8777" s="12" t="s">
        <v>65</v>
      </c>
    </row>
    <row r="8778" spans="1:11" ht="40.049999999999997" customHeight="1" x14ac:dyDescent="0.25">
      <c r="A8778" s="11" t="s">
        <v>17770</v>
      </c>
      <c r="B8778" s="11" t="s">
        <v>17770</v>
      </c>
      <c r="C8778" s="11" t="s">
        <v>17</v>
      </c>
      <c r="D8778" s="11" t="s">
        <v>18</v>
      </c>
      <c r="E8778" s="12" t="s">
        <v>116</v>
      </c>
      <c r="F8778" s="12" t="s">
        <v>117</v>
      </c>
      <c r="G8778" s="12" t="s">
        <v>21</v>
      </c>
      <c r="H8778" s="11" t="s">
        <v>63</v>
      </c>
      <c r="I8778" s="13" t="s">
        <v>17772</v>
      </c>
      <c r="J8778" s="14" t="str">
        <f>HYPERLINK("https://www.boe.es/gazeta/dias/1839/10/10/pdfs/GMD-1839-1796.pdf#page=4","Abrir facsímil")</f>
        <v>Abrir facsímil</v>
      </c>
      <c r="K8778" s="12" t="s">
        <v>65</v>
      </c>
    </row>
    <row r="8779" spans="1:11" ht="40.049999999999997" customHeight="1" x14ac:dyDescent="0.25">
      <c r="A8779" s="11" t="s">
        <v>17773</v>
      </c>
      <c r="B8779" s="11" t="s">
        <v>17773</v>
      </c>
      <c r="C8779" s="11" t="s">
        <v>80</v>
      </c>
      <c r="D8779" s="11" t="s">
        <v>18</v>
      </c>
      <c r="E8779" s="12" t="s">
        <v>3705</v>
      </c>
      <c r="F8779" s="12" t="s">
        <v>3706</v>
      </c>
      <c r="G8779" s="12" t="s">
        <v>40</v>
      </c>
      <c r="H8779" s="11" t="s">
        <v>63</v>
      </c>
      <c r="I8779" s="13" t="s">
        <v>17774</v>
      </c>
      <c r="J8779" s="14" t="str">
        <f>HYPERLINK("https://www.boe.es/gazeta/dias/1839/03/09/pdfs/GMD-1839-1575.pdf#page=2","Abrir facsímil")</f>
        <v>Abrir facsímil</v>
      </c>
      <c r="K8779" s="12" t="s">
        <v>65</v>
      </c>
    </row>
    <row r="8780" spans="1:11" ht="40.049999999999997" customHeight="1" x14ac:dyDescent="0.25">
      <c r="A8780" s="11" t="s">
        <v>17773</v>
      </c>
      <c r="B8780" s="11" t="s">
        <v>17773</v>
      </c>
      <c r="C8780" s="11" t="s">
        <v>17</v>
      </c>
      <c r="D8780" s="11" t="s">
        <v>18</v>
      </c>
      <c r="E8780" s="12" t="s">
        <v>544</v>
      </c>
      <c r="F8780" s="12" t="s">
        <v>545</v>
      </c>
      <c r="G8780" s="12" t="s">
        <v>40</v>
      </c>
      <c r="H8780" s="11" t="s">
        <v>63</v>
      </c>
      <c r="I8780" s="13" t="s">
        <v>17775</v>
      </c>
      <c r="J8780" s="14" t="str">
        <f>HYPERLINK("https://www.boe.es/gazeta/dias/1839/11/11/pdfs/GMD-1839-1828.pdf#page=2","Abrir facsímil")</f>
        <v>Abrir facsímil</v>
      </c>
      <c r="K8780" s="12" t="s">
        <v>65</v>
      </c>
    </row>
    <row r="8781" spans="1:11" ht="40.049999999999997" customHeight="1" x14ac:dyDescent="0.25">
      <c r="A8781" s="11" t="s">
        <v>17773</v>
      </c>
      <c r="B8781" s="11" t="s">
        <v>17773</v>
      </c>
      <c r="C8781" s="11" t="s">
        <v>101</v>
      </c>
      <c r="D8781" s="11" t="s">
        <v>43</v>
      </c>
      <c r="E8781" s="12" t="s">
        <v>834</v>
      </c>
      <c r="F8781" s="12" t="s">
        <v>835</v>
      </c>
      <c r="G8781" s="12" t="s">
        <v>46</v>
      </c>
      <c r="H8781" s="11" t="s">
        <v>63</v>
      </c>
      <c r="I8781" s="13" t="s">
        <v>17776</v>
      </c>
      <c r="J8781" s="14" t="str">
        <f>HYPERLINK("https://www.boe.es/gazeta/dias/1839/08/17/pdfs/GMD-1839-1737.pdf#page=3","Abrir facsímil")</f>
        <v>Abrir facsímil</v>
      </c>
      <c r="K8781" s="12" t="s">
        <v>65</v>
      </c>
    </row>
    <row r="8782" spans="1:11" ht="40.049999999999997" customHeight="1" x14ac:dyDescent="0.25">
      <c r="A8782" s="11" t="s">
        <v>17773</v>
      </c>
      <c r="B8782" s="11" t="s">
        <v>17773</v>
      </c>
      <c r="C8782" s="11" t="s">
        <v>101</v>
      </c>
      <c r="D8782" s="11" t="s">
        <v>102</v>
      </c>
      <c r="E8782" s="12" t="s">
        <v>7119</v>
      </c>
      <c r="F8782" s="12" t="s">
        <v>7120</v>
      </c>
      <c r="G8782" s="12" t="s">
        <v>46</v>
      </c>
      <c r="H8782" s="11" t="s">
        <v>63</v>
      </c>
      <c r="I8782" s="13" t="s">
        <v>17777</v>
      </c>
      <c r="J8782" s="14" t="str">
        <f>HYPERLINK("https://www.boe.es/gazeta/dias/1839/05/22/pdfs/GMD-1839-1649.pdf#page=3","Abrir facsímil")</f>
        <v>Abrir facsímil</v>
      </c>
      <c r="K8782" s="12" t="s">
        <v>65</v>
      </c>
    </row>
    <row r="8783" spans="1:11" ht="40.049999999999997" customHeight="1" x14ac:dyDescent="0.25">
      <c r="A8783" s="11" t="s">
        <v>17773</v>
      </c>
      <c r="B8783" s="11" t="s">
        <v>17773</v>
      </c>
      <c r="C8783" s="11" t="s">
        <v>17</v>
      </c>
      <c r="D8783" s="11" t="s">
        <v>18</v>
      </c>
      <c r="E8783" s="12" t="s">
        <v>677</v>
      </c>
      <c r="F8783" s="12" t="s">
        <v>678</v>
      </c>
      <c r="G8783" s="12" t="s">
        <v>21</v>
      </c>
      <c r="H8783" s="11" t="s">
        <v>63</v>
      </c>
      <c r="I8783" s="13" t="s">
        <v>17778</v>
      </c>
      <c r="J8783" s="14" t="str">
        <f>HYPERLINK("https://www.boe.es/gazeta/dias/1839/04/28/pdfs/GMD-1839-1625.pdf#page=4","Abrir facsímil")</f>
        <v>Abrir facsímil</v>
      </c>
      <c r="K8783" s="12" t="s">
        <v>65</v>
      </c>
    </row>
    <row r="8784" spans="1:11" ht="40.049999999999997" customHeight="1" x14ac:dyDescent="0.25">
      <c r="A8784" s="11" t="s">
        <v>17773</v>
      </c>
      <c r="B8784" s="11" t="s">
        <v>17773</v>
      </c>
      <c r="C8784" s="11" t="s">
        <v>59</v>
      </c>
      <c r="D8784" s="11" t="s">
        <v>60</v>
      </c>
      <c r="E8784" s="12" t="s">
        <v>1118</v>
      </c>
      <c r="F8784" s="12" t="s">
        <v>1119</v>
      </c>
      <c r="G8784" s="12" t="s">
        <v>29</v>
      </c>
      <c r="H8784" s="11" t="s">
        <v>63</v>
      </c>
      <c r="I8784" s="13" t="s">
        <v>17779</v>
      </c>
      <c r="J8784" s="14" t="str">
        <f>HYPERLINK("https://www.boe.es/gazeta/dias/1839/08/30/pdfs/GMD-1839-1751.pdf#page=1","Abrir facsímil")</f>
        <v>Abrir facsímil</v>
      </c>
      <c r="K8784" s="12" t="s">
        <v>65</v>
      </c>
    </row>
    <row r="8785" spans="1:11" ht="40.049999999999997" customHeight="1" x14ac:dyDescent="0.25">
      <c r="A8785" s="11" t="s">
        <v>17780</v>
      </c>
      <c r="B8785" s="11" t="s">
        <v>17781</v>
      </c>
      <c r="C8785" s="11" t="s">
        <v>17</v>
      </c>
      <c r="D8785" s="11" t="s">
        <v>18</v>
      </c>
      <c r="E8785" s="12" t="s">
        <v>1179</v>
      </c>
      <c r="F8785" s="12" t="s">
        <v>1180</v>
      </c>
      <c r="G8785" s="12" t="s">
        <v>305</v>
      </c>
      <c r="H8785" s="11" t="s">
        <v>63</v>
      </c>
      <c r="I8785" s="13" t="s">
        <v>17782</v>
      </c>
      <c r="J8785" s="14" t="str">
        <f>HYPERLINK("https://www.boe.es/gazeta/dias/1839/10/18/pdfs/GMD-1839-1804.pdf#page=6","Abrir facsímil")</f>
        <v>Abrir facsímil</v>
      </c>
      <c r="K8785" s="12" t="s">
        <v>65</v>
      </c>
    </row>
    <row r="8786" spans="1:11" ht="40.049999999999997" customHeight="1" x14ac:dyDescent="0.25">
      <c r="A8786" s="11" t="s">
        <v>17783</v>
      </c>
      <c r="B8786" s="11" t="s">
        <v>17783</v>
      </c>
      <c r="C8786" s="11" t="s">
        <v>59</v>
      </c>
      <c r="D8786" s="11" t="s">
        <v>60</v>
      </c>
      <c r="E8786" s="12" t="s">
        <v>5138</v>
      </c>
      <c r="F8786" s="12" t="s">
        <v>5139</v>
      </c>
      <c r="G8786" s="12" t="s">
        <v>29</v>
      </c>
      <c r="H8786" s="11" t="s">
        <v>63</v>
      </c>
      <c r="I8786" s="13" t="s">
        <v>17784</v>
      </c>
      <c r="J8786" s="14" t="str">
        <f>HYPERLINK("https://www.boe.es/gazeta/dias/1839/08/15/pdfs/GMD-1839-1735.pdf#page=1","Abrir facsímil")</f>
        <v>Abrir facsímil</v>
      </c>
      <c r="K8786" s="12" t="s">
        <v>65</v>
      </c>
    </row>
    <row r="8787" spans="1:11" ht="40.049999999999997" customHeight="1" x14ac:dyDescent="0.25">
      <c r="A8787" s="11" t="s">
        <v>17783</v>
      </c>
      <c r="B8787" s="11" t="s">
        <v>17783</v>
      </c>
      <c r="C8787" s="11" t="s">
        <v>17</v>
      </c>
      <c r="D8787" s="11" t="s">
        <v>18</v>
      </c>
      <c r="E8787" s="12" t="s">
        <v>1378</v>
      </c>
      <c r="F8787" s="12" t="s">
        <v>1379</v>
      </c>
      <c r="G8787" s="12" t="s">
        <v>40</v>
      </c>
      <c r="H8787" s="11" t="s">
        <v>63</v>
      </c>
      <c r="I8787" s="13" t="s">
        <v>17785</v>
      </c>
      <c r="J8787" s="14" t="str">
        <f>HYPERLINK("https://www.boe.es/gazeta/dias/1839/05/18/pdfs/GMD-1839-1645.pdf#page=2","Abrir facsímil")</f>
        <v>Abrir facsímil</v>
      </c>
      <c r="K8787" s="12" t="s">
        <v>65</v>
      </c>
    </row>
    <row r="8788" spans="1:11" ht="40.049999999999997" customHeight="1" x14ac:dyDescent="0.25">
      <c r="A8788" s="11" t="s">
        <v>17783</v>
      </c>
      <c r="B8788" s="11" t="s">
        <v>17783</v>
      </c>
      <c r="C8788" s="11" t="s">
        <v>17</v>
      </c>
      <c r="D8788" s="11" t="s">
        <v>18</v>
      </c>
      <c r="E8788" s="12" t="s">
        <v>1895</v>
      </c>
      <c r="F8788" s="12" t="s">
        <v>1896</v>
      </c>
      <c r="G8788" s="12" t="s">
        <v>40</v>
      </c>
      <c r="H8788" s="11" t="s">
        <v>63</v>
      </c>
      <c r="I8788" s="13" t="s">
        <v>17786</v>
      </c>
      <c r="J8788" s="14" t="str">
        <f>HYPERLINK("https://www.boe.es/gazeta/dias/1839/12/23/pdfs/GMD-1839-1870.pdf#page=2","Abrir facsímil")</f>
        <v>Abrir facsímil</v>
      </c>
      <c r="K8788" s="12" t="s">
        <v>65</v>
      </c>
    </row>
    <row r="8789" spans="1:11" ht="40.049999999999997" customHeight="1" x14ac:dyDescent="0.25">
      <c r="A8789" s="11" t="s">
        <v>17783</v>
      </c>
      <c r="B8789" s="11" t="s">
        <v>17783</v>
      </c>
      <c r="C8789" s="11" t="s">
        <v>17</v>
      </c>
      <c r="D8789" s="11" t="s">
        <v>18</v>
      </c>
      <c r="E8789" s="12" t="s">
        <v>1895</v>
      </c>
      <c r="F8789" s="12" t="s">
        <v>1896</v>
      </c>
      <c r="G8789" s="12" t="s">
        <v>46</v>
      </c>
      <c r="H8789" s="11" t="s">
        <v>63</v>
      </c>
      <c r="I8789" s="13" t="s">
        <v>17787</v>
      </c>
      <c r="J8789" s="14" t="str">
        <f>HYPERLINK("https://www.boe.es/gazeta/dias/1839/12/23/pdfs/GMD-1839-1870.pdf#page=3","Abrir facsímil")</f>
        <v>Abrir facsímil</v>
      </c>
      <c r="K8789" s="12" t="s">
        <v>65</v>
      </c>
    </row>
    <row r="8790" spans="1:11" ht="40.049999999999997" customHeight="1" x14ac:dyDescent="0.25">
      <c r="A8790" s="11" t="s">
        <v>17788</v>
      </c>
      <c r="B8790" s="11" t="s">
        <v>17788</v>
      </c>
      <c r="C8790" s="11" t="s">
        <v>17</v>
      </c>
      <c r="D8790" s="11" t="s">
        <v>18</v>
      </c>
      <c r="E8790" s="12" t="s">
        <v>5806</v>
      </c>
      <c r="F8790" s="12" t="s">
        <v>5807</v>
      </c>
      <c r="G8790" s="12" t="s">
        <v>29</v>
      </c>
      <c r="H8790" s="11" t="s">
        <v>63</v>
      </c>
      <c r="I8790" s="13" t="s">
        <v>17789</v>
      </c>
      <c r="J8790" s="14" t="str">
        <f>HYPERLINK("https://www.boe.es/gazeta/dias/1839/02/16/pdfs/GMD-1839-1554.pdf#page=1","Abrir facsímil")</f>
        <v>Abrir facsímil</v>
      </c>
      <c r="K8790" s="12" t="s">
        <v>65</v>
      </c>
    </row>
    <row r="8791" spans="1:11" ht="40.049999999999997" customHeight="1" x14ac:dyDescent="0.25">
      <c r="A8791" s="11" t="s">
        <v>17790</v>
      </c>
      <c r="B8791" s="11" t="s">
        <v>17790</v>
      </c>
      <c r="C8791" s="11" t="s">
        <v>101</v>
      </c>
      <c r="D8791" s="11" t="s">
        <v>102</v>
      </c>
      <c r="E8791" s="12" t="s">
        <v>500</v>
      </c>
      <c r="F8791" s="12" t="s">
        <v>501</v>
      </c>
      <c r="G8791" s="12" t="s">
        <v>46</v>
      </c>
      <c r="H8791" s="11" t="s">
        <v>63</v>
      </c>
      <c r="I8791" s="13" t="s">
        <v>17791</v>
      </c>
      <c r="J8791" s="14" t="str">
        <f>HYPERLINK("https://www.boe.es/gazeta/dias/1839/11/06/pdfs/GMD-1839-1823.pdf#page=3","Abrir facsímil")</f>
        <v>Abrir facsímil</v>
      </c>
      <c r="K8791" s="12" t="s">
        <v>65</v>
      </c>
    </row>
    <row r="8792" spans="1:11" ht="40.049999999999997" customHeight="1" x14ac:dyDescent="0.25">
      <c r="A8792" s="11" t="s">
        <v>17790</v>
      </c>
      <c r="B8792" s="11" t="s">
        <v>17790</v>
      </c>
      <c r="C8792" s="11" t="s">
        <v>17</v>
      </c>
      <c r="D8792" s="11" t="s">
        <v>18</v>
      </c>
      <c r="E8792" s="12" t="s">
        <v>4550</v>
      </c>
      <c r="F8792" s="12" t="s">
        <v>4551</v>
      </c>
      <c r="G8792" s="12" t="s">
        <v>46</v>
      </c>
      <c r="H8792" s="11" t="s">
        <v>63</v>
      </c>
      <c r="I8792" s="13" t="s">
        <v>17792</v>
      </c>
      <c r="J8792" s="14" t="str">
        <f>HYPERLINK("https://www.boe.es/gazeta/dias/1839/04/17/pdfs/GMD-1839-1614.pdf#page=3","Abrir facsímil")</f>
        <v>Abrir facsímil</v>
      </c>
      <c r="K8792" s="12" t="s">
        <v>65</v>
      </c>
    </row>
    <row r="8793" spans="1:11" ht="40.049999999999997" customHeight="1" x14ac:dyDescent="0.25">
      <c r="A8793" s="11" t="s">
        <v>17793</v>
      </c>
      <c r="B8793" s="11" t="s">
        <v>17794</v>
      </c>
      <c r="C8793" s="11" t="s">
        <v>80</v>
      </c>
      <c r="D8793" s="11" t="s">
        <v>18</v>
      </c>
      <c r="E8793" s="12" t="s">
        <v>1663</v>
      </c>
      <c r="F8793" s="12" t="s">
        <v>1664</v>
      </c>
      <c r="G8793" s="12" t="s">
        <v>29</v>
      </c>
      <c r="H8793" s="11" t="s">
        <v>63</v>
      </c>
      <c r="I8793" s="13" t="s">
        <v>17795</v>
      </c>
      <c r="J8793" s="14" t="str">
        <f>HYPERLINK("https://www.boe.es/gazeta/dias/1839/03/22/pdfs/GMD-1839-1588.pdf#page=1","Abrir facsímil")</f>
        <v>Abrir facsímil</v>
      </c>
      <c r="K8793" s="12" t="s">
        <v>65</v>
      </c>
    </row>
    <row r="8794" spans="1:11" ht="40.049999999999997" customHeight="1" x14ac:dyDescent="0.25">
      <c r="A8794" s="11" t="s">
        <v>17796</v>
      </c>
      <c r="B8794" s="11" t="s">
        <v>17796</v>
      </c>
      <c r="C8794" s="11" t="s">
        <v>17</v>
      </c>
      <c r="D8794" s="11" t="s">
        <v>43</v>
      </c>
      <c r="E8794" s="12" t="s">
        <v>54</v>
      </c>
      <c r="F8794" s="12" t="s">
        <v>55</v>
      </c>
      <c r="G8794" s="12" t="s">
        <v>40</v>
      </c>
      <c r="H8794" s="11" t="s">
        <v>22</v>
      </c>
      <c r="I8794" s="13" t="s">
        <v>17797</v>
      </c>
      <c r="J8794" s="14" t="str">
        <f>HYPERLINK("https://www.boe.es/gazeta/dias/1839/10/05/pdfs/GMD-1839-1791.pdf#page=2","Abrir facsímil")</f>
        <v>Abrir facsímil</v>
      </c>
      <c r="K8794" s="12" t="s">
        <v>24</v>
      </c>
    </row>
    <row r="8795" spans="1:11" ht="40.049999999999997" customHeight="1" x14ac:dyDescent="0.25">
      <c r="A8795" s="11" t="s">
        <v>17798</v>
      </c>
      <c r="B8795" s="11" t="s">
        <v>17799</v>
      </c>
      <c r="C8795" s="11" t="s">
        <v>17</v>
      </c>
      <c r="D8795" s="11" t="s">
        <v>18</v>
      </c>
      <c r="E8795" s="12" t="s">
        <v>395</v>
      </c>
      <c r="F8795" s="12" t="s">
        <v>396</v>
      </c>
      <c r="G8795" s="12" t="s">
        <v>21</v>
      </c>
      <c r="H8795" s="11" t="s">
        <v>22</v>
      </c>
      <c r="I8795" s="13" t="s">
        <v>17800</v>
      </c>
      <c r="J8795" s="14" t="str">
        <f>HYPERLINK("https://www.boe.es/gazeta/dias/1839/03/15/pdfs/GMD-1839-1581.pdf#page=4","Abrir facsímil")</f>
        <v>Abrir facsímil</v>
      </c>
      <c r="K8795" s="12" t="s">
        <v>24</v>
      </c>
    </row>
    <row r="8796" spans="1:11" ht="40.049999999999997" customHeight="1" x14ac:dyDescent="0.25">
      <c r="A8796" s="11" t="s">
        <v>17798</v>
      </c>
      <c r="B8796" s="11" t="s">
        <v>17799</v>
      </c>
      <c r="C8796" s="11" t="s">
        <v>17</v>
      </c>
      <c r="D8796" s="11" t="s">
        <v>18</v>
      </c>
      <c r="E8796" s="12" t="s">
        <v>398</v>
      </c>
      <c r="F8796" s="12" t="s">
        <v>399</v>
      </c>
      <c r="G8796" s="12" t="s">
        <v>21</v>
      </c>
      <c r="H8796" s="11" t="s">
        <v>22</v>
      </c>
      <c r="I8796" s="13" t="s">
        <v>17801</v>
      </c>
      <c r="J8796" s="14" t="str">
        <f>HYPERLINK("https://www.boe.es/gazeta/dias/1839/05/17/pdfs/GMD-1839-1644.pdf#page=4","Abrir facsímil")</f>
        <v>Abrir facsímil</v>
      </c>
      <c r="K8796" s="12" t="s">
        <v>24</v>
      </c>
    </row>
    <row r="8797" spans="1:11" ht="40.049999999999997" customHeight="1" x14ac:dyDescent="0.25">
      <c r="A8797" s="11" t="s">
        <v>17798</v>
      </c>
      <c r="B8797" s="11" t="s">
        <v>17799</v>
      </c>
      <c r="C8797" s="11" t="s">
        <v>17</v>
      </c>
      <c r="D8797" s="11" t="s">
        <v>18</v>
      </c>
      <c r="E8797" s="12" t="s">
        <v>401</v>
      </c>
      <c r="F8797" s="12" t="s">
        <v>402</v>
      </c>
      <c r="G8797" s="12" t="s">
        <v>21</v>
      </c>
      <c r="H8797" s="11" t="s">
        <v>22</v>
      </c>
      <c r="I8797" s="13" t="s">
        <v>17802</v>
      </c>
      <c r="J8797" s="14" t="str">
        <f>HYPERLINK("https://www.boe.es/gazeta/dias/1839/03/29/pdfs/GMD-1839-1595.pdf#page=4","Abrir facsímil")</f>
        <v>Abrir facsímil</v>
      </c>
      <c r="K8797" s="12" t="s">
        <v>24</v>
      </c>
    </row>
    <row r="8798" spans="1:11" ht="40.049999999999997" customHeight="1" x14ac:dyDescent="0.25">
      <c r="A8798" s="11" t="s">
        <v>17803</v>
      </c>
      <c r="B8798" s="11" t="s">
        <v>17804</v>
      </c>
      <c r="C8798" s="11" t="s">
        <v>17</v>
      </c>
      <c r="D8798" s="11" t="s">
        <v>18</v>
      </c>
      <c r="E8798" s="12" t="s">
        <v>785</v>
      </c>
      <c r="F8798" s="12" t="s">
        <v>786</v>
      </c>
      <c r="G8798" s="12" t="s">
        <v>40</v>
      </c>
      <c r="H8798" s="11" t="s">
        <v>22</v>
      </c>
      <c r="I8798" s="13" t="s">
        <v>17805</v>
      </c>
      <c r="J8798" s="14" t="str">
        <f>HYPERLINK("https://www.boe.es/gazeta/dias/1839/07/13/pdfs/GMD-1839-1701.pdf#page=2","Abrir facsímil")</f>
        <v>Abrir facsímil</v>
      </c>
      <c r="K8798" s="12" t="s">
        <v>24</v>
      </c>
    </row>
    <row r="8799" spans="1:11" ht="40.049999999999997" customHeight="1" x14ac:dyDescent="0.25">
      <c r="A8799" s="11" t="s">
        <v>17806</v>
      </c>
      <c r="B8799" s="11" t="s">
        <v>17807</v>
      </c>
      <c r="C8799" s="11" t="s">
        <v>80</v>
      </c>
      <c r="D8799" s="11" t="s">
        <v>18</v>
      </c>
      <c r="E8799" s="12" t="s">
        <v>1139</v>
      </c>
      <c r="F8799" s="12" t="s">
        <v>1140</v>
      </c>
      <c r="G8799" s="12" t="s">
        <v>29</v>
      </c>
      <c r="H8799" s="11" t="s">
        <v>63</v>
      </c>
      <c r="I8799" s="13" t="s">
        <v>17808</v>
      </c>
      <c r="J8799" s="14" t="str">
        <f>HYPERLINK("https://www.boe.es/gazeta/dias/1839/02/15/pdfs/GMD-1839-1553.pdf#page=1","Abrir facsímil")</f>
        <v>Abrir facsímil</v>
      </c>
      <c r="K8799" s="12" t="s">
        <v>65</v>
      </c>
    </row>
    <row r="8800" spans="1:11" ht="40.049999999999997" customHeight="1" x14ac:dyDescent="0.25">
      <c r="A8800" s="11" t="s">
        <v>17809</v>
      </c>
      <c r="B8800" s="11" t="s">
        <v>17809</v>
      </c>
      <c r="C8800" s="11" t="s">
        <v>137</v>
      </c>
      <c r="D8800" s="11" t="s">
        <v>18</v>
      </c>
      <c r="E8800" s="12" t="s">
        <v>592</v>
      </c>
      <c r="F8800" s="12" t="s">
        <v>593</v>
      </c>
      <c r="G8800" s="12" t="s">
        <v>21</v>
      </c>
      <c r="H8800" s="11" t="s">
        <v>22</v>
      </c>
      <c r="I8800" s="13" t="s">
        <v>17810</v>
      </c>
      <c r="J8800" s="14" t="str">
        <f>HYPERLINK("https://www.boe.es/gazeta/dias/1839/09/14/pdfs/GMD-1839-1767.pdf#page=4","Abrir facsímil")</f>
        <v>Abrir facsímil</v>
      </c>
      <c r="K8800" s="12" t="s">
        <v>24</v>
      </c>
    </row>
    <row r="8801" spans="1:11" ht="40.049999999999997" customHeight="1" x14ac:dyDescent="0.25">
      <c r="A8801" s="11" t="s">
        <v>17811</v>
      </c>
      <c r="B8801" s="11" t="s">
        <v>17812</v>
      </c>
      <c r="C8801" s="11" t="s">
        <v>80</v>
      </c>
      <c r="D8801" s="11" t="s">
        <v>18</v>
      </c>
      <c r="E8801" s="12" t="s">
        <v>1623</v>
      </c>
      <c r="F8801" s="12" t="s">
        <v>1624</v>
      </c>
      <c r="G8801" s="12" t="s">
        <v>40</v>
      </c>
      <c r="H8801" s="11" t="s">
        <v>63</v>
      </c>
      <c r="I8801" s="13" t="s">
        <v>17813</v>
      </c>
      <c r="J8801" s="14" t="str">
        <f>HYPERLINK("https://www.boe.es/gazeta/dias/1839/04/07/pdfs/GMD-1839-1604.pdf#page=2","Abrir facsímil")</f>
        <v>Abrir facsímil</v>
      </c>
      <c r="K8801" s="12" t="s">
        <v>65</v>
      </c>
    </row>
    <row r="8802" spans="1:11" ht="40.049999999999997" customHeight="1" x14ac:dyDescent="0.25">
      <c r="A8802" s="11" t="s">
        <v>17814</v>
      </c>
      <c r="B8802" s="11" t="s">
        <v>17814</v>
      </c>
      <c r="C8802" s="11" t="s">
        <v>17</v>
      </c>
      <c r="D8802" s="11" t="s">
        <v>18</v>
      </c>
      <c r="E8802" s="12" t="s">
        <v>907</v>
      </c>
      <c r="F8802" s="12" t="s">
        <v>908</v>
      </c>
      <c r="G8802" s="12" t="s">
        <v>21</v>
      </c>
      <c r="H8802" s="11" t="s">
        <v>22</v>
      </c>
      <c r="I8802" s="13" t="s">
        <v>17815</v>
      </c>
      <c r="J8802" s="14" t="str">
        <f>HYPERLINK("https://www.boe.es/gazeta/dias/1839/07/31/pdfs/GMD-1839-1720.pdf#page=4","Abrir facsímil")</f>
        <v>Abrir facsímil</v>
      </c>
      <c r="K8802" s="12" t="s">
        <v>24</v>
      </c>
    </row>
    <row r="8803" spans="1:11" ht="40.049999999999997" customHeight="1" x14ac:dyDescent="0.25">
      <c r="A8803" s="11" t="s">
        <v>17816</v>
      </c>
      <c r="B8803" s="11" t="s">
        <v>17816</v>
      </c>
      <c r="C8803" s="11" t="s">
        <v>17</v>
      </c>
      <c r="D8803" s="11" t="s">
        <v>18</v>
      </c>
      <c r="E8803" s="12" t="s">
        <v>262</v>
      </c>
      <c r="F8803" s="12" t="s">
        <v>263</v>
      </c>
      <c r="G8803" s="12" t="s">
        <v>29</v>
      </c>
      <c r="H8803" s="11" t="s">
        <v>22</v>
      </c>
      <c r="I8803" s="13" t="s">
        <v>17817</v>
      </c>
      <c r="J8803" s="14" t="str">
        <f>HYPERLINK("https://www.boe.es/gazeta/dias/1839/01/01/pdfs/GMD-1839-1508.pdf#page=1","Abrir facsímil")</f>
        <v>Abrir facsímil</v>
      </c>
      <c r="K8803" s="12" t="s">
        <v>24</v>
      </c>
    </row>
    <row r="8804" spans="1:11" ht="40.049999999999997" customHeight="1" x14ac:dyDescent="0.25">
      <c r="A8804" s="11" t="s">
        <v>17816</v>
      </c>
      <c r="B8804" s="11" t="s">
        <v>17816</v>
      </c>
      <c r="C8804" s="11" t="s">
        <v>137</v>
      </c>
      <c r="D8804" s="11" t="s">
        <v>18</v>
      </c>
      <c r="E8804" s="12" t="s">
        <v>266</v>
      </c>
      <c r="F8804" s="12" t="s">
        <v>267</v>
      </c>
      <c r="G8804" s="12" t="s">
        <v>40</v>
      </c>
      <c r="H8804" s="11" t="s">
        <v>22</v>
      </c>
      <c r="I8804" s="13" t="s">
        <v>17818</v>
      </c>
      <c r="J8804" s="14" t="str">
        <f>HYPERLINK("https://www.boe.es/gazeta/dias/1839/01/03/pdfs/GMD-1839-1510.pdf#page=2","Abrir facsímil")</f>
        <v>Abrir facsímil</v>
      </c>
      <c r="K8804" s="12" t="s">
        <v>24</v>
      </c>
    </row>
    <row r="8805" spans="1:11" ht="40.049999999999997" customHeight="1" x14ac:dyDescent="0.25">
      <c r="A8805" s="11" t="s">
        <v>17816</v>
      </c>
      <c r="B8805" s="11" t="s">
        <v>17816</v>
      </c>
      <c r="C8805" s="11" t="s">
        <v>59</v>
      </c>
      <c r="D8805" s="11" t="s">
        <v>60</v>
      </c>
      <c r="E8805" s="12" t="s">
        <v>291</v>
      </c>
      <c r="F8805" s="12" t="s">
        <v>292</v>
      </c>
      <c r="G8805" s="12" t="s">
        <v>29</v>
      </c>
      <c r="H8805" s="11" t="s">
        <v>22</v>
      </c>
      <c r="I8805" s="13" t="s">
        <v>17819</v>
      </c>
      <c r="J8805" s="14" t="str">
        <f>HYPERLINK("https://www.boe.es/gazeta/dias/1839/09/04/pdfs/GMD-1839-1757.pdf#page=1","Abrir facsímil")</f>
        <v>Abrir facsímil</v>
      </c>
      <c r="K8805" s="12" t="s">
        <v>24</v>
      </c>
    </row>
    <row r="8806" spans="1:11" ht="40.049999999999997" customHeight="1" x14ac:dyDescent="0.25">
      <c r="A8806" s="11" t="s">
        <v>17816</v>
      </c>
      <c r="B8806" s="11" t="s">
        <v>17816</v>
      </c>
      <c r="C8806" s="11" t="s">
        <v>101</v>
      </c>
      <c r="D8806" s="11" t="s">
        <v>43</v>
      </c>
      <c r="E8806" s="12" t="s">
        <v>54</v>
      </c>
      <c r="F8806" s="12" t="s">
        <v>55</v>
      </c>
      <c r="G8806" s="12" t="s">
        <v>40</v>
      </c>
      <c r="H8806" s="11" t="s">
        <v>22</v>
      </c>
      <c r="I8806" s="13" t="s">
        <v>17820</v>
      </c>
      <c r="J8806" s="14" t="str">
        <f>HYPERLINK("https://www.boe.es/gazeta/dias/1839/10/05/pdfs/GMD-1839-1791.pdf#page=2","Abrir facsímil")</f>
        <v>Abrir facsímil</v>
      </c>
      <c r="K8806" s="12" t="s">
        <v>24</v>
      </c>
    </row>
    <row r="8807" spans="1:11" ht="40.049999999999997" customHeight="1" x14ac:dyDescent="0.25">
      <c r="A8807" s="11" t="s">
        <v>17816</v>
      </c>
      <c r="B8807" s="11" t="s">
        <v>17816</v>
      </c>
      <c r="C8807" s="11" t="s">
        <v>101</v>
      </c>
      <c r="D8807" s="11" t="s">
        <v>43</v>
      </c>
      <c r="E8807" s="12" t="s">
        <v>2738</v>
      </c>
      <c r="F8807" s="12" t="s">
        <v>2739</v>
      </c>
      <c r="G8807" s="12" t="s">
        <v>40</v>
      </c>
      <c r="H8807" s="11" t="s">
        <v>22</v>
      </c>
      <c r="I8807" s="13" t="s">
        <v>17821</v>
      </c>
      <c r="J8807" s="14" t="str">
        <f>HYPERLINK("https://www.boe.es/gazeta/dias/1839/09/06/pdfs/GMD-1839-1759.pdf#page=2","Abrir facsímil")</f>
        <v>Abrir facsímil</v>
      </c>
      <c r="K8807" s="12" t="s">
        <v>24</v>
      </c>
    </row>
    <row r="8808" spans="1:11" ht="40.049999999999997" customHeight="1" x14ac:dyDescent="0.25">
      <c r="A8808" s="11" t="s">
        <v>17816</v>
      </c>
      <c r="B8808" s="11" t="s">
        <v>17816</v>
      </c>
      <c r="C8808" s="11" t="s">
        <v>101</v>
      </c>
      <c r="D8808" s="11" t="s">
        <v>43</v>
      </c>
      <c r="E8808" s="12" t="s">
        <v>1008</v>
      </c>
      <c r="F8808" s="12" t="s">
        <v>1009</v>
      </c>
      <c r="G8808" s="12" t="s">
        <v>40</v>
      </c>
      <c r="H8808" s="11" t="s">
        <v>22</v>
      </c>
      <c r="I8808" s="13" t="s">
        <v>17822</v>
      </c>
      <c r="J8808" s="14" t="str">
        <f>HYPERLINK("https://www.boe.es/gazeta/dias/1839/09/07/pdfs/GMD-1839-1760.pdf#page=2","Abrir facsímil")</f>
        <v>Abrir facsímil</v>
      </c>
      <c r="K8808" s="12" t="s">
        <v>24</v>
      </c>
    </row>
    <row r="8809" spans="1:11" ht="40.049999999999997" customHeight="1" x14ac:dyDescent="0.25">
      <c r="A8809" s="11" t="s">
        <v>17816</v>
      </c>
      <c r="B8809" s="11" t="s">
        <v>17816</v>
      </c>
      <c r="C8809" s="11" t="s">
        <v>17</v>
      </c>
      <c r="D8809" s="11" t="s">
        <v>18</v>
      </c>
      <c r="E8809" s="12" t="s">
        <v>2050</v>
      </c>
      <c r="F8809" s="12" t="s">
        <v>2051</v>
      </c>
      <c r="G8809" s="12" t="s">
        <v>40</v>
      </c>
      <c r="H8809" s="11" t="s">
        <v>22</v>
      </c>
      <c r="I8809" s="13" t="s">
        <v>17823</v>
      </c>
      <c r="J8809" s="14" t="str">
        <f>HYPERLINK("https://www.boe.es/gazeta/dias/1839/01/09/pdfs/GMD-1839-1516.pdf#page=2","Abrir facsímil")</f>
        <v>Abrir facsímil</v>
      </c>
      <c r="K8809" s="12" t="s">
        <v>24</v>
      </c>
    </row>
    <row r="8810" spans="1:11" ht="40.049999999999997" customHeight="1" x14ac:dyDescent="0.25">
      <c r="A8810" s="11" t="s">
        <v>17816</v>
      </c>
      <c r="B8810" s="11" t="s">
        <v>17816</v>
      </c>
      <c r="C8810" s="11" t="s">
        <v>101</v>
      </c>
      <c r="D8810" s="11" t="s">
        <v>43</v>
      </c>
      <c r="E8810" s="12" t="s">
        <v>61</v>
      </c>
      <c r="F8810" s="12" t="s">
        <v>62</v>
      </c>
      <c r="G8810" s="12" t="s">
        <v>29</v>
      </c>
      <c r="H8810" s="11" t="s">
        <v>22</v>
      </c>
      <c r="I8810" s="13" t="s">
        <v>17824</v>
      </c>
      <c r="J8810" s="14" t="str">
        <f>HYPERLINK("https://www.boe.es/gazeta/dias/1839/09/10/pdfs/GMD-1839-1763.pdf#page=1","Abrir facsímil")</f>
        <v>Abrir facsímil</v>
      </c>
      <c r="K8810" s="12" t="s">
        <v>24</v>
      </c>
    </row>
    <row r="8811" spans="1:11" ht="40.049999999999997" customHeight="1" x14ac:dyDescent="0.25">
      <c r="A8811" s="11" t="s">
        <v>17816</v>
      </c>
      <c r="B8811" s="11" t="s">
        <v>17816</v>
      </c>
      <c r="C8811" s="11" t="s">
        <v>137</v>
      </c>
      <c r="D8811" s="11" t="s">
        <v>18</v>
      </c>
      <c r="E8811" s="12" t="s">
        <v>561</v>
      </c>
      <c r="F8811" s="12" t="s">
        <v>562</v>
      </c>
      <c r="G8811" s="12" t="s">
        <v>40</v>
      </c>
      <c r="H8811" s="11" t="s">
        <v>22</v>
      </c>
      <c r="I8811" s="13" t="s">
        <v>17825</v>
      </c>
      <c r="J8811" s="14" t="str">
        <f>HYPERLINK("https://www.boe.es/gazeta/dias/1839/09/11/pdfs/GMD-1839-1764.pdf#page=2","Abrir facsímil")</f>
        <v>Abrir facsímil</v>
      </c>
      <c r="K8811" s="12" t="s">
        <v>24</v>
      </c>
    </row>
    <row r="8812" spans="1:11" ht="40.049999999999997" customHeight="1" x14ac:dyDescent="0.25">
      <c r="A8812" s="11" t="s">
        <v>17816</v>
      </c>
      <c r="B8812" s="11" t="s">
        <v>17816</v>
      </c>
      <c r="C8812" s="11" t="s">
        <v>59</v>
      </c>
      <c r="D8812" s="11" t="s">
        <v>60</v>
      </c>
      <c r="E8812" s="12" t="s">
        <v>1072</v>
      </c>
      <c r="F8812" s="12" t="s">
        <v>1073</v>
      </c>
      <c r="G8812" s="12" t="s">
        <v>29</v>
      </c>
      <c r="H8812" s="11" t="s">
        <v>22</v>
      </c>
      <c r="I8812" s="13" t="s">
        <v>17826</v>
      </c>
      <c r="J8812" s="14" t="str">
        <f>HYPERLINK("https://www.boe.es/gazeta/dias/1839/01/18/pdfs/GMD-1839-1525.pdf#page=1","Abrir facsímil")</f>
        <v>Abrir facsímil</v>
      </c>
      <c r="K8812" s="12" t="s">
        <v>24</v>
      </c>
    </row>
    <row r="8813" spans="1:11" ht="40.049999999999997" customHeight="1" x14ac:dyDescent="0.25">
      <c r="A8813" s="11" t="s">
        <v>17816</v>
      </c>
      <c r="B8813" s="11" t="s">
        <v>17816</v>
      </c>
      <c r="C8813" s="11" t="s">
        <v>17</v>
      </c>
      <c r="D8813" s="11" t="s">
        <v>18</v>
      </c>
      <c r="E8813" s="12" t="s">
        <v>650</v>
      </c>
      <c r="F8813" s="12" t="s">
        <v>651</v>
      </c>
      <c r="G8813" s="12" t="s">
        <v>40</v>
      </c>
      <c r="H8813" s="11" t="s">
        <v>22</v>
      </c>
      <c r="I8813" s="13" t="s">
        <v>17827</v>
      </c>
      <c r="J8813" s="14" t="str">
        <f>HYPERLINK("https://www.boe.es/gazeta/dias/1839/10/25/pdfs/GMD-1839-1811.pdf#page=2","Abrir facsímil")</f>
        <v>Abrir facsímil</v>
      </c>
      <c r="K8813" s="12" t="s">
        <v>24</v>
      </c>
    </row>
    <row r="8814" spans="1:11" ht="40.049999999999997" customHeight="1" x14ac:dyDescent="0.25">
      <c r="A8814" s="11" t="s">
        <v>17828</v>
      </c>
      <c r="B8814" s="11" t="s">
        <v>17828</v>
      </c>
      <c r="C8814" s="11" t="s">
        <v>101</v>
      </c>
      <c r="D8814" s="11" t="s">
        <v>43</v>
      </c>
      <c r="E8814" s="12" t="s">
        <v>568</v>
      </c>
      <c r="F8814" s="12" t="s">
        <v>569</v>
      </c>
      <c r="G8814" s="12" t="s">
        <v>21</v>
      </c>
      <c r="H8814" s="11" t="s">
        <v>22</v>
      </c>
      <c r="I8814" s="13" t="s">
        <v>17829</v>
      </c>
      <c r="J8814" s="14" t="str">
        <f>HYPERLINK("https://www.boe.es/gazeta/dias/1839/10/23/pdfs/GMD-1839-1809.pdf#page=4","Abrir facsímil")</f>
        <v>Abrir facsímil</v>
      </c>
      <c r="K8814" s="12" t="s">
        <v>24</v>
      </c>
    </row>
    <row r="8815" spans="1:11" ht="40.049999999999997" customHeight="1" x14ac:dyDescent="0.25">
      <c r="A8815" s="11" t="s">
        <v>17830</v>
      </c>
      <c r="B8815" s="11" t="s">
        <v>17830</v>
      </c>
      <c r="C8815" s="11" t="s">
        <v>101</v>
      </c>
      <c r="D8815" s="11" t="s">
        <v>43</v>
      </c>
      <c r="E8815" s="12" t="s">
        <v>779</v>
      </c>
      <c r="F8815" s="12" t="s">
        <v>780</v>
      </c>
      <c r="G8815" s="12" t="s">
        <v>40</v>
      </c>
      <c r="H8815" s="11" t="s">
        <v>22</v>
      </c>
      <c r="I8815" s="13" t="s">
        <v>17831</v>
      </c>
      <c r="J8815" s="14" t="str">
        <f>HYPERLINK("https://www.boe.es/gazeta/dias/1839/02/03/pdfs/GMD-1839-1541.pdf#page=2","Abrir facsímil")</f>
        <v>Abrir facsímil</v>
      </c>
      <c r="K8815" s="12" t="s">
        <v>24</v>
      </c>
    </row>
    <row r="8816" spans="1:11" ht="40.049999999999997" customHeight="1" x14ac:dyDescent="0.25">
      <c r="A8816" s="11" t="s">
        <v>17830</v>
      </c>
      <c r="B8816" s="11" t="s">
        <v>17830</v>
      </c>
      <c r="C8816" s="11" t="s">
        <v>59</v>
      </c>
      <c r="D8816" s="11" t="s">
        <v>60</v>
      </c>
      <c r="E8816" s="12" t="s">
        <v>185</v>
      </c>
      <c r="F8816" s="12" t="s">
        <v>186</v>
      </c>
      <c r="G8816" s="12" t="s">
        <v>29</v>
      </c>
      <c r="H8816" s="11" t="s">
        <v>22</v>
      </c>
      <c r="I8816" s="13" t="s">
        <v>17832</v>
      </c>
      <c r="J8816" s="14" t="str">
        <f>HYPERLINK("https://www.boe.es/gazeta/dias/1839/01/15/pdfs/GMD-1839-1522.pdf#page=1","Abrir facsímil")</f>
        <v>Abrir facsímil</v>
      </c>
      <c r="K8816" s="12" t="s">
        <v>24</v>
      </c>
    </row>
    <row r="8817" spans="1:11" ht="40.049999999999997" customHeight="1" x14ac:dyDescent="0.25">
      <c r="A8817" s="11" t="s">
        <v>17830</v>
      </c>
      <c r="B8817" s="11" t="s">
        <v>17830</v>
      </c>
      <c r="C8817" s="11" t="s">
        <v>137</v>
      </c>
      <c r="D8817" s="11" t="s">
        <v>18</v>
      </c>
      <c r="E8817" s="12" t="s">
        <v>2155</v>
      </c>
      <c r="F8817" s="12" t="s">
        <v>2156</v>
      </c>
      <c r="G8817" s="12" t="s">
        <v>29</v>
      </c>
      <c r="H8817" s="11" t="s">
        <v>22</v>
      </c>
      <c r="I8817" s="13" t="s">
        <v>17833</v>
      </c>
      <c r="J8817" s="14" t="str">
        <f>HYPERLINK("https://www.boe.es/gazeta/dias/1839/01/17/pdfs/GMD-1839-1524.pdf#page=1","Abrir facsímil")</f>
        <v>Abrir facsímil</v>
      </c>
      <c r="K8817" s="12" t="s">
        <v>24</v>
      </c>
    </row>
    <row r="8818" spans="1:11" ht="40.049999999999997" customHeight="1" x14ac:dyDescent="0.25">
      <c r="A8818" s="11" t="s">
        <v>17830</v>
      </c>
      <c r="B8818" s="11" t="s">
        <v>17830</v>
      </c>
      <c r="C8818" s="11" t="s">
        <v>17</v>
      </c>
      <c r="D8818" s="11" t="s">
        <v>43</v>
      </c>
      <c r="E8818" s="12" t="s">
        <v>821</v>
      </c>
      <c r="F8818" s="12" t="s">
        <v>822</v>
      </c>
      <c r="G8818" s="12" t="s">
        <v>46</v>
      </c>
      <c r="H8818" s="11" t="s">
        <v>22</v>
      </c>
      <c r="I8818" s="13" t="s">
        <v>17834</v>
      </c>
      <c r="J8818" s="14" t="str">
        <f>HYPERLINK("https://www.boe.es/gazeta/dias/1839/09/20/pdfs/GMD-1839-1775.pdf#page=3","Abrir facsímil")</f>
        <v>Abrir facsímil</v>
      </c>
      <c r="K8818" s="12" t="s">
        <v>24</v>
      </c>
    </row>
    <row r="8819" spans="1:11" ht="40.049999999999997" customHeight="1" x14ac:dyDescent="0.25">
      <c r="A8819" s="11" t="s">
        <v>17835</v>
      </c>
      <c r="B8819" s="11" t="s">
        <v>17836</v>
      </c>
      <c r="C8819" s="11" t="s">
        <v>17</v>
      </c>
      <c r="D8819" s="11" t="s">
        <v>18</v>
      </c>
      <c r="E8819" s="12" t="s">
        <v>284</v>
      </c>
      <c r="F8819" s="12" t="s">
        <v>285</v>
      </c>
      <c r="G8819" s="12" t="s">
        <v>40</v>
      </c>
      <c r="H8819" s="11" t="s">
        <v>63</v>
      </c>
      <c r="I8819" s="13" t="s">
        <v>17837</v>
      </c>
      <c r="J8819" s="14" t="str">
        <f>HYPERLINK("https://www.boe.es/gazeta/dias/1839/01/27/pdfs/GMD-1839-1534.pdf#page=2","Abrir facsímil")</f>
        <v>Abrir facsímil</v>
      </c>
      <c r="K8819" s="12" t="s">
        <v>65</v>
      </c>
    </row>
    <row r="8820" spans="1:11" ht="40.049999999999997" customHeight="1" x14ac:dyDescent="0.25">
      <c r="A8820" s="11" t="s">
        <v>17838</v>
      </c>
      <c r="B8820" s="11" t="s">
        <v>17839</v>
      </c>
      <c r="C8820" s="11" t="s">
        <v>17</v>
      </c>
      <c r="D8820" s="11" t="s">
        <v>18</v>
      </c>
      <c r="E8820" s="12" t="s">
        <v>269</v>
      </c>
      <c r="F8820" s="12" t="s">
        <v>270</v>
      </c>
      <c r="G8820" s="12" t="s">
        <v>40</v>
      </c>
      <c r="H8820" s="11" t="s">
        <v>63</v>
      </c>
      <c r="I8820" s="13" t="s">
        <v>17840</v>
      </c>
      <c r="J8820" s="14" t="str">
        <f>HYPERLINK("https://www.boe.es/gazeta/dias/1839/02/10/pdfs/GMD-1839-1548.pdf#page=2","Abrir facsímil")</f>
        <v>Abrir facsímil</v>
      </c>
      <c r="K8820" s="12" t="s">
        <v>65</v>
      </c>
    </row>
    <row r="8821" spans="1:11" ht="40.049999999999997" customHeight="1" x14ac:dyDescent="0.25">
      <c r="A8821" s="11" t="s">
        <v>17841</v>
      </c>
      <c r="B8821" s="11" t="s">
        <v>17841</v>
      </c>
      <c r="C8821" s="11" t="s">
        <v>17</v>
      </c>
      <c r="D8821" s="11" t="s">
        <v>18</v>
      </c>
      <c r="E8821" s="12" t="s">
        <v>254</v>
      </c>
      <c r="F8821" s="12" t="s">
        <v>255</v>
      </c>
      <c r="G8821" s="12" t="s">
        <v>21</v>
      </c>
      <c r="H8821" s="11" t="s">
        <v>63</v>
      </c>
      <c r="I8821" s="13" t="s">
        <v>17842</v>
      </c>
      <c r="J8821" s="14" t="str">
        <f>HYPERLINK("https://www.boe.es/gazeta/dias/1839/09/12/pdfs/GMD-1839-1765.pdf#page=4","Abrir facsímil")</f>
        <v>Abrir facsímil</v>
      </c>
      <c r="K8821" s="12" t="s">
        <v>65</v>
      </c>
    </row>
    <row r="8822" spans="1:11" ht="40.049999999999997" customHeight="1" x14ac:dyDescent="0.25">
      <c r="A8822" s="11" t="s">
        <v>17843</v>
      </c>
      <c r="B8822" s="11" t="s">
        <v>17844</v>
      </c>
      <c r="C8822" s="11" t="s">
        <v>17</v>
      </c>
      <c r="D8822" s="11" t="s">
        <v>18</v>
      </c>
      <c r="E8822" s="12" t="s">
        <v>116</v>
      </c>
      <c r="F8822" s="12" t="s">
        <v>117</v>
      </c>
      <c r="G8822" s="12" t="s">
        <v>21</v>
      </c>
      <c r="H8822" s="11" t="s">
        <v>63</v>
      </c>
      <c r="I8822" s="13" t="s">
        <v>17845</v>
      </c>
      <c r="J8822" s="14" t="str">
        <f>HYPERLINK("https://www.boe.es/gazeta/dias/1839/10/10/pdfs/GMD-1839-1796.pdf#page=4","Abrir facsímil")</f>
        <v>Abrir facsímil</v>
      </c>
      <c r="K8822" s="12" t="s">
        <v>65</v>
      </c>
    </row>
    <row r="8823" spans="1:11" ht="40.049999999999997" customHeight="1" x14ac:dyDescent="0.25">
      <c r="A8823" s="11" t="s">
        <v>17843</v>
      </c>
      <c r="B8823" s="11" t="s">
        <v>17844</v>
      </c>
      <c r="C8823" s="11" t="s">
        <v>80</v>
      </c>
      <c r="D8823" s="11" t="s">
        <v>18</v>
      </c>
      <c r="E8823" s="12" t="s">
        <v>312</v>
      </c>
      <c r="F8823" s="12" t="s">
        <v>313</v>
      </c>
      <c r="G8823" s="12" t="s">
        <v>21</v>
      </c>
      <c r="H8823" s="11" t="s">
        <v>63</v>
      </c>
      <c r="I8823" s="13" t="s">
        <v>17846</v>
      </c>
      <c r="J8823" s="14" t="str">
        <f>HYPERLINK("https://www.boe.es/gazeta/dias/1839/11/30/pdfs/GMD-1839-1847.pdf#page=4","Abrir facsímil")</f>
        <v>Abrir facsímil</v>
      </c>
      <c r="K8823" s="12" t="s">
        <v>65</v>
      </c>
    </row>
    <row r="8824" spans="1:11" ht="40.049999999999997" customHeight="1" x14ac:dyDescent="0.25">
      <c r="A8824" s="11" t="s">
        <v>17847</v>
      </c>
      <c r="B8824" s="11" t="s">
        <v>17847</v>
      </c>
      <c r="C8824" s="11" t="s">
        <v>137</v>
      </c>
      <c r="D8824" s="11" t="s">
        <v>18</v>
      </c>
      <c r="E8824" s="12" t="s">
        <v>1611</v>
      </c>
      <c r="F8824" s="12" t="s">
        <v>1612</v>
      </c>
      <c r="G8824" s="12" t="s">
        <v>29</v>
      </c>
      <c r="H8824" s="11" t="s">
        <v>22</v>
      </c>
      <c r="I8824" s="13" t="s">
        <v>17848</v>
      </c>
      <c r="J8824" s="14" t="str">
        <f>HYPERLINK("https://www.boe.es/gazeta/dias/1839/05/03/pdfs/GMD-1839-1630.pdf#page=1","Abrir facsímil")</f>
        <v>Abrir facsímil</v>
      </c>
      <c r="K8824" s="12" t="s">
        <v>24</v>
      </c>
    </row>
    <row r="8825" spans="1:11" ht="40.049999999999997" customHeight="1" x14ac:dyDescent="0.25">
      <c r="A8825" s="11" t="s">
        <v>17849</v>
      </c>
      <c r="B8825" s="11" t="s">
        <v>17849</v>
      </c>
      <c r="C8825" s="11" t="s">
        <v>17</v>
      </c>
      <c r="D8825" s="11" t="s">
        <v>18</v>
      </c>
      <c r="E8825" s="12" t="s">
        <v>243</v>
      </c>
      <c r="F8825" s="12" t="s">
        <v>244</v>
      </c>
      <c r="G8825" s="12" t="s">
        <v>21</v>
      </c>
      <c r="H8825" s="11" t="s">
        <v>22</v>
      </c>
      <c r="I8825" s="13" t="s">
        <v>17850</v>
      </c>
      <c r="J8825" s="14" t="str">
        <f>HYPERLINK("https://www.boe.es/gazeta/dias/1839/09/23/pdfs/GMD-1839-1779.pdf#page=4","Abrir facsímil")</f>
        <v>Abrir facsímil</v>
      </c>
      <c r="K8825" s="12" t="s">
        <v>24</v>
      </c>
    </row>
    <row r="8826" spans="1:11" ht="40.049999999999997" customHeight="1" x14ac:dyDescent="0.25">
      <c r="A8826" s="11" t="s">
        <v>17851</v>
      </c>
      <c r="B8826" s="11" t="s">
        <v>17851</v>
      </c>
      <c r="C8826" s="11" t="s">
        <v>80</v>
      </c>
      <c r="D8826" s="11" t="s">
        <v>18</v>
      </c>
      <c r="E8826" s="12" t="s">
        <v>2021</v>
      </c>
      <c r="F8826" s="12" t="s">
        <v>2022</v>
      </c>
      <c r="G8826" s="12" t="s">
        <v>46</v>
      </c>
      <c r="H8826" s="11" t="s">
        <v>63</v>
      </c>
      <c r="I8826" s="13" t="s">
        <v>17852</v>
      </c>
      <c r="J8826" s="14" t="str">
        <f>HYPERLINK("https://www.boe.es/gazeta/dias/1839/02/17/pdfs/GMD-1839-1555.pdf#page=3","Abrir facsímil")</f>
        <v>Abrir facsímil</v>
      </c>
      <c r="K8826" s="12" t="s">
        <v>65</v>
      </c>
    </row>
    <row r="8827" spans="1:11" ht="40.049999999999997" customHeight="1" x14ac:dyDescent="0.25">
      <c r="A8827" s="11" t="s">
        <v>17851</v>
      </c>
      <c r="B8827" s="11" t="s">
        <v>17851</v>
      </c>
      <c r="C8827" s="11" t="s">
        <v>59</v>
      </c>
      <c r="D8827" s="11" t="s">
        <v>60</v>
      </c>
      <c r="E8827" s="12" t="s">
        <v>1657</v>
      </c>
      <c r="F8827" s="12" t="s">
        <v>1658</v>
      </c>
      <c r="G8827" s="12" t="s">
        <v>40</v>
      </c>
      <c r="H8827" s="11" t="s">
        <v>63</v>
      </c>
      <c r="I8827" s="13" t="s">
        <v>17853</v>
      </c>
      <c r="J8827" s="14" t="str">
        <f>HYPERLINK("https://www.boe.es/gazeta/dias/1839/02/21/pdfs/GMD-1839-1559.pdf#page=2","Abrir facsímil")</f>
        <v>Abrir facsímil</v>
      </c>
      <c r="K8827" s="12" t="s">
        <v>65</v>
      </c>
    </row>
    <row r="8828" spans="1:11" ht="40.049999999999997" customHeight="1" x14ac:dyDescent="0.25">
      <c r="A8828" s="11" t="s">
        <v>17854</v>
      </c>
      <c r="B8828" s="11" t="s">
        <v>17855</v>
      </c>
      <c r="C8828" s="11" t="s">
        <v>80</v>
      </c>
      <c r="D8828" s="11" t="s">
        <v>173</v>
      </c>
      <c r="E8828" s="12" t="s">
        <v>409</v>
      </c>
      <c r="F8828" s="12" t="s">
        <v>410</v>
      </c>
      <c r="G8828" s="12" t="s">
        <v>21</v>
      </c>
      <c r="H8828" s="11" t="s">
        <v>63</v>
      </c>
      <c r="I8828" s="13" t="s">
        <v>17856</v>
      </c>
      <c r="J8828" s="14" t="str">
        <f>HYPERLINK("https://www.boe.es/gazeta/dias/1839/07/05/pdfs/GMD-1839-1693.pdf#page=4","Abrir facsímil")</f>
        <v>Abrir facsímil</v>
      </c>
      <c r="K8828" s="12" t="s">
        <v>65</v>
      </c>
    </row>
    <row r="8829" spans="1:11" ht="40.049999999999997" customHeight="1" x14ac:dyDescent="0.25">
      <c r="A8829" s="11" t="s">
        <v>17857</v>
      </c>
      <c r="B8829" s="11" t="s">
        <v>17858</v>
      </c>
      <c r="C8829" s="11" t="s">
        <v>17</v>
      </c>
      <c r="D8829" s="11" t="s">
        <v>18</v>
      </c>
      <c r="E8829" s="12" t="s">
        <v>141</v>
      </c>
      <c r="F8829" s="12" t="s">
        <v>142</v>
      </c>
      <c r="G8829" s="12" t="s">
        <v>21</v>
      </c>
      <c r="H8829" s="11" t="s">
        <v>63</v>
      </c>
      <c r="I8829" s="13" t="s">
        <v>17859</v>
      </c>
      <c r="J8829" s="14" t="str">
        <f>HYPERLINK("https://www.boe.es/gazeta/dias/1839/11/10/pdfs/GMD-1839-1827.pdf#page=4","Abrir facsímil")</f>
        <v>Abrir facsímil</v>
      </c>
      <c r="K8829" s="12" t="s">
        <v>65</v>
      </c>
    </row>
    <row r="8830" spans="1:11" ht="40.049999999999997" customHeight="1" x14ac:dyDescent="0.25">
      <c r="A8830" s="11" t="s">
        <v>17860</v>
      </c>
      <c r="B8830" s="11" t="s">
        <v>17860</v>
      </c>
      <c r="C8830" s="11" t="s">
        <v>80</v>
      </c>
      <c r="D8830" s="11" t="s">
        <v>18</v>
      </c>
      <c r="E8830" s="12" t="s">
        <v>1623</v>
      </c>
      <c r="F8830" s="12" t="s">
        <v>1624</v>
      </c>
      <c r="G8830" s="12" t="s">
        <v>40</v>
      </c>
      <c r="H8830" s="11" t="s">
        <v>63</v>
      </c>
      <c r="I8830" s="13" t="s">
        <v>17861</v>
      </c>
      <c r="J8830" s="14" t="str">
        <f>HYPERLINK("https://www.boe.es/gazeta/dias/1839/04/07/pdfs/GMD-1839-1604.pdf#page=2","Abrir facsímil")</f>
        <v>Abrir facsímil</v>
      </c>
      <c r="K8830" s="12" t="s">
        <v>65</v>
      </c>
    </row>
    <row r="8831" spans="1:11" ht="40.049999999999997" customHeight="1" x14ac:dyDescent="0.25">
      <c r="A8831" s="11" t="s">
        <v>17860</v>
      </c>
      <c r="B8831" s="11" t="s">
        <v>17860</v>
      </c>
      <c r="C8831" s="11" t="s">
        <v>17</v>
      </c>
      <c r="D8831" s="11" t="s">
        <v>18</v>
      </c>
      <c r="E8831" s="12" t="s">
        <v>1562</v>
      </c>
      <c r="F8831" s="12" t="s">
        <v>1563</v>
      </c>
      <c r="G8831" s="12" t="s">
        <v>29</v>
      </c>
      <c r="H8831" s="11" t="s">
        <v>63</v>
      </c>
      <c r="I8831" s="13" t="s">
        <v>17862</v>
      </c>
      <c r="J8831" s="14" t="str">
        <f>HYPERLINK("https://www.boe.es/gazeta/dias/1839/04/08/pdfs/GMD-1839-1605.pdf#page=1","Abrir facsímil")</f>
        <v>Abrir facsímil</v>
      </c>
      <c r="K8831" s="12" t="s">
        <v>65</v>
      </c>
    </row>
    <row r="8832" spans="1:11" ht="40.049999999999997" customHeight="1" x14ac:dyDescent="0.25">
      <c r="A8832" s="11" t="s">
        <v>17860</v>
      </c>
      <c r="B8832" s="11" t="s">
        <v>17860</v>
      </c>
      <c r="C8832" s="11" t="s">
        <v>80</v>
      </c>
      <c r="D8832" s="11" t="s">
        <v>18</v>
      </c>
      <c r="E8832" s="12" t="s">
        <v>141</v>
      </c>
      <c r="F8832" s="12" t="s">
        <v>142</v>
      </c>
      <c r="G8832" s="12" t="s">
        <v>29</v>
      </c>
      <c r="H8832" s="11" t="s">
        <v>63</v>
      </c>
      <c r="I8832" s="13" t="s">
        <v>17863</v>
      </c>
      <c r="J8832" s="14" t="str">
        <f>HYPERLINK("https://www.boe.es/gazeta/dias/1839/11/10/pdfs/GMD-1839-1827.pdf#page=1","Abrir facsímil")</f>
        <v>Abrir facsímil</v>
      </c>
      <c r="K8832" s="12" t="s">
        <v>65</v>
      </c>
    </row>
    <row r="8833" spans="1:11" ht="40.049999999999997" customHeight="1" x14ac:dyDescent="0.25">
      <c r="A8833" s="11" t="s">
        <v>17860</v>
      </c>
      <c r="B8833" s="11" t="s">
        <v>17860</v>
      </c>
      <c r="C8833" s="11" t="s">
        <v>137</v>
      </c>
      <c r="D8833" s="11" t="s">
        <v>18</v>
      </c>
      <c r="E8833" s="12" t="s">
        <v>395</v>
      </c>
      <c r="F8833" s="12" t="s">
        <v>396</v>
      </c>
      <c r="G8833" s="12" t="s">
        <v>40</v>
      </c>
      <c r="H8833" s="11" t="s">
        <v>63</v>
      </c>
      <c r="I8833" s="13" t="s">
        <v>17864</v>
      </c>
      <c r="J8833" s="14" t="str">
        <f>HYPERLINK("https://www.boe.es/gazeta/dias/1839/03/15/pdfs/GMD-1839-1581.pdf#page=2","Abrir facsímil")</f>
        <v>Abrir facsímil</v>
      </c>
      <c r="K8833" s="12" t="s">
        <v>65</v>
      </c>
    </row>
    <row r="8834" spans="1:11" ht="40.049999999999997" customHeight="1" x14ac:dyDescent="0.25">
      <c r="A8834" s="11" t="s">
        <v>17860</v>
      </c>
      <c r="B8834" s="11" t="s">
        <v>17860</v>
      </c>
      <c r="C8834" s="11" t="s">
        <v>17</v>
      </c>
      <c r="D8834" s="11" t="s">
        <v>18</v>
      </c>
      <c r="E8834" s="12" t="s">
        <v>4550</v>
      </c>
      <c r="F8834" s="12" t="s">
        <v>4551</v>
      </c>
      <c r="G8834" s="12" t="s">
        <v>29</v>
      </c>
      <c r="H8834" s="11" t="s">
        <v>63</v>
      </c>
      <c r="I8834" s="13" t="s">
        <v>17865</v>
      </c>
      <c r="J8834" s="14" t="str">
        <f>HYPERLINK("https://www.boe.es/gazeta/dias/1839/04/17/pdfs/GMD-1839-1614.pdf#page=1","Abrir facsímil")</f>
        <v>Abrir facsímil</v>
      </c>
      <c r="K8834" s="12" t="s">
        <v>65</v>
      </c>
    </row>
    <row r="8835" spans="1:11" ht="40.049999999999997" customHeight="1" x14ac:dyDescent="0.25">
      <c r="A8835" s="11" t="s">
        <v>17860</v>
      </c>
      <c r="B8835" s="11" t="s">
        <v>17860</v>
      </c>
      <c r="C8835" s="11" t="s">
        <v>17</v>
      </c>
      <c r="D8835" s="11" t="s">
        <v>18</v>
      </c>
      <c r="E8835" s="12" t="s">
        <v>4108</v>
      </c>
      <c r="F8835" s="12" t="s">
        <v>4109</v>
      </c>
      <c r="G8835" s="12" t="s">
        <v>40</v>
      </c>
      <c r="H8835" s="11" t="s">
        <v>63</v>
      </c>
      <c r="I8835" s="13" t="s">
        <v>17866</v>
      </c>
      <c r="J8835" s="14" t="str">
        <f>HYPERLINK("https://www.boe.es/gazeta/dias/1839/03/23/pdfs/GMD-1839-1589.pdf#page=2","Abrir facsímil")</f>
        <v>Abrir facsímil</v>
      </c>
      <c r="K8835" s="12" t="s">
        <v>65</v>
      </c>
    </row>
    <row r="8836" spans="1:11" ht="40.049999999999997" customHeight="1" x14ac:dyDescent="0.25">
      <c r="A8836" s="11" t="s">
        <v>17867</v>
      </c>
      <c r="B8836" s="11" t="s">
        <v>17867</v>
      </c>
      <c r="C8836" s="11" t="s">
        <v>80</v>
      </c>
      <c r="D8836" s="11" t="s">
        <v>18</v>
      </c>
      <c r="E8836" s="12" t="s">
        <v>420</v>
      </c>
      <c r="F8836" s="12" t="s">
        <v>421</v>
      </c>
      <c r="G8836" s="12" t="s">
        <v>40</v>
      </c>
      <c r="H8836" s="11" t="s">
        <v>63</v>
      </c>
      <c r="I8836" s="13" t="s">
        <v>17868</v>
      </c>
      <c r="J8836" s="14" t="str">
        <f>HYPERLINK("https://www.boe.es/gazeta/dias/1839/03/12/pdfs/GMD-1839-1578.pdf#page=2","Abrir facsímil")</f>
        <v>Abrir facsímil</v>
      </c>
      <c r="K8836" s="12" t="s">
        <v>65</v>
      </c>
    </row>
    <row r="8837" spans="1:11" ht="40.049999999999997" customHeight="1" x14ac:dyDescent="0.25">
      <c r="A8837" s="11" t="s">
        <v>17869</v>
      </c>
      <c r="B8837" s="11" t="s">
        <v>17869</v>
      </c>
      <c r="C8837" s="11" t="s">
        <v>59</v>
      </c>
      <c r="D8837" s="11" t="s">
        <v>60</v>
      </c>
      <c r="E8837" s="12" t="s">
        <v>1474</v>
      </c>
      <c r="F8837" s="12" t="s">
        <v>1475</v>
      </c>
      <c r="G8837" s="12" t="s">
        <v>21</v>
      </c>
      <c r="H8837" s="11" t="s">
        <v>22</v>
      </c>
      <c r="I8837" s="13" t="s">
        <v>17870</v>
      </c>
      <c r="J8837" s="14" t="str">
        <f>HYPERLINK("https://www.boe.es/gazeta/dias/1839/02/28/pdfs/GMD-1839-1566.pdf#page=4","Abrir facsímil")</f>
        <v>Abrir facsímil</v>
      </c>
      <c r="K8837" s="12" t="s">
        <v>24</v>
      </c>
    </row>
    <row r="8838" spans="1:11" ht="40.049999999999997" customHeight="1" x14ac:dyDescent="0.25">
      <c r="A8838" s="11" t="s">
        <v>17871</v>
      </c>
      <c r="B8838" s="11" t="s">
        <v>17872</v>
      </c>
      <c r="C8838" s="11" t="s">
        <v>17</v>
      </c>
      <c r="D8838" s="11" t="s">
        <v>18</v>
      </c>
      <c r="E8838" s="12" t="s">
        <v>844</v>
      </c>
      <c r="F8838" s="12" t="s">
        <v>845</v>
      </c>
      <c r="G8838" s="12" t="s">
        <v>21</v>
      </c>
      <c r="H8838" s="11" t="s">
        <v>63</v>
      </c>
      <c r="I8838" s="13" t="s">
        <v>17873</v>
      </c>
      <c r="J8838" s="14" t="str">
        <f>HYPERLINK("https://www.boe.es/gazeta/dias/1839/12/24/pdfs/GMD-1839-1871.pdf#page=4","Abrir facsímil")</f>
        <v>Abrir facsímil</v>
      </c>
      <c r="K8838" s="12" t="s">
        <v>65</v>
      </c>
    </row>
    <row r="8839" spans="1:11" ht="40.049999999999997" customHeight="1" x14ac:dyDescent="0.25">
      <c r="A8839" s="11" t="s">
        <v>17874</v>
      </c>
      <c r="B8839" s="11" t="s">
        <v>17875</v>
      </c>
      <c r="C8839" s="11" t="s">
        <v>80</v>
      </c>
      <c r="D8839" s="11" t="s">
        <v>18</v>
      </c>
      <c r="E8839" s="12" t="s">
        <v>1027</v>
      </c>
      <c r="F8839" s="12" t="s">
        <v>1028</v>
      </c>
      <c r="G8839" s="12" t="s">
        <v>21</v>
      </c>
      <c r="H8839" s="11" t="s">
        <v>63</v>
      </c>
      <c r="I8839" s="13" t="s">
        <v>17876</v>
      </c>
      <c r="J8839" s="14" t="str">
        <f>HYPERLINK("https://www.boe.es/gazeta/dias/1839/08/16/pdfs/GMD-1839-1736.pdf#page=4","Abrir facsímil")</f>
        <v>Abrir facsímil</v>
      </c>
      <c r="K8839" s="12" t="s">
        <v>65</v>
      </c>
    </row>
    <row r="8840" spans="1:11" ht="40.049999999999997" customHeight="1" x14ac:dyDescent="0.25">
      <c r="A8840" s="11" t="s">
        <v>17877</v>
      </c>
      <c r="B8840" s="11" t="s">
        <v>17877</v>
      </c>
      <c r="C8840" s="11" t="s">
        <v>59</v>
      </c>
      <c r="D8840" s="11" t="s">
        <v>60</v>
      </c>
      <c r="E8840" s="12" t="s">
        <v>2440</v>
      </c>
      <c r="F8840" s="12" t="s">
        <v>2441</v>
      </c>
      <c r="G8840" s="12" t="s">
        <v>29</v>
      </c>
      <c r="H8840" s="11" t="s">
        <v>63</v>
      </c>
      <c r="I8840" s="13" t="s">
        <v>17878</v>
      </c>
      <c r="J8840" s="14" t="str">
        <f>HYPERLINK("https://www.boe.es/gazeta/dias/1839/12/01/pdfs/GMD-1839-1848.pdf#page=1","Abrir facsímil")</f>
        <v>Abrir facsímil</v>
      </c>
      <c r="K8840" s="12" t="s">
        <v>65</v>
      </c>
    </row>
    <row r="8841" spans="1:11" ht="40.049999999999997" customHeight="1" x14ac:dyDescent="0.25">
      <c r="A8841" s="11" t="s">
        <v>17877</v>
      </c>
      <c r="B8841" s="11" t="s">
        <v>17877</v>
      </c>
      <c r="C8841" s="11" t="s">
        <v>59</v>
      </c>
      <c r="D8841" s="11" t="s">
        <v>60</v>
      </c>
      <c r="E8841" s="12" t="s">
        <v>606</v>
      </c>
      <c r="F8841" s="12" t="s">
        <v>607</v>
      </c>
      <c r="G8841" s="12" t="s">
        <v>29</v>
      </c>
      <c r="H8841" s="11" t="s">
        <v>63</v>
      </c>
      <c r="I8841" s="13" t="s">
        <v>17879</v>
      </c>
      <c r="J8841" s="14" t="str">
        <f>HYPERLINK("https://www.boe.es/gazeta/dias/1839/04/02/pdfs/GMD-1839-1599.pdf#page=1","Abrir facsímil")</f>
        <v>Abrir facsímil</v>
      </c>
      <c r="K8841" s="12" t="s">
        <v>65</v>
      </c>
    </row>
    <row r="8842" spans="1:11" ht="40.049999999999997" customHeight="1" x14ac:dyDescent="0.25">
      <c r="A8842" s="11" t="s">
        <v>17877</v>
      </c>
      <c r="B8842" s="11" t="s">
        <v>17877</v>
      </c>
      <c r="C8842" s="11" t="s">
        <v>17</v>
      </c>
      <c r="D8842" s="11" t="s">
        <v>18</v>
      </c>
      <c r="E8842" s="12" t="s">
        <v>1813</v>
      </c>
      <c r="F8842" s="12" t="s">
        <v>1814</v>
      </c>
      <c r="G8842" s="12" t="s">
        <v>40</v>
      </c>
      <c r="H8842" s="11" t="s">
        <v>63</v>
      </c>
      <c r="I8842" s="13" t="s">
        <v>17880</v>
      </c>
      <c r="J8842" s="14" t="str">
        <f>HYPERLINK("https://www.boe.es/gazeta/dias/1839/09/02/pdfs/GMD-1839-1754.pdf#page=2","Abrir facsímil")</f>
        <v>Abrir facsímil</v>
      </c>
      <c r="K8842" s="12" t="s">
        <v>65</v>
      </c>
    </row>
    <row r="8843" spans="1:11" ht="40.049999999999997" customHeight="1" x14ac:dyDescent="0.25">
      <c r="A8843" s="11" t="s">
        <v>17877</v>
      </c>
      <c r="B8843" s="11" t="s">
        <v>17877</v>
      </c>
      <c r="C8843" s="11" t="s">
        <v>17</v>
      </c>
      <c r="D8843" s="11" t="s">
        <v>18</v>
      </c>
      <c r="E8843" s="12" t="s">
        <v>2138</v>
      </c>
      <c r="F8843" s="12" t="s">
        <v>2139</v>
      </c>
      <c r="G8843" s="12" t="s">
        <v>29</v>
      </c>
      <c r="H8843" s="11" t="s">
        <v>63</v>
      </c>
      <c r="I8843" s="13" t="s">
        <v>17881</v>
      </c>
      <c r="J8843" s="14" t="str">
        <f>HYPERLINK("https://www.boe.es/gazeta/dias/1839/10/02/pdfs/GMD-1839-1788.pdf#page=1","Abrir facsímil")</f>
        <v>Abrir facsímil</v>
      </c>
      <c r="K8843" s="12" t="s">
        <v>65</v>
      </c>
    </row>
    <row r="8844" spans="1:11" ht="40.049999999999997" customHeight="1" x14ac:dyDescent="0.25">
      <c r="A8844" s="11" t="s">
        <v>17877</v>
      </c>
      <c r="B8844" s="11" t="s">
        <v>17877</v>
      </c>
      <c r="C8844" s="11" t="s">
        <v>17</v>
      </c>
      <c r="D8844" s="11" t="s">
        <v>18</v>
      </c>
      <c r="E8844" s="12" t="s">
        <v>2138</v>
      </c>
      <c r="F8844" s="12" t="s">
        <v>2139</v>
      </c>
      <c r="G8844" s="12" t="s">
        <v>40</v>
      </c>
      <c r="H8844" s="11" t="s">
        <v>63</v>
      </c>
      <c r="I8844" s="13" t="s">
        <v>17882</v>
      </c>
      <c r="J8844" s="14" t="str">
        <f>HYPERLINK("https://www.boe.es/gazeta/dias/1839/10/02/pdfs/GMD-1839-1788.pdf#page=2","Abrir facsímil")</f>
        <v>Abrir facsímil</v>
      </c>
      <c r="K8844" s="12" t="s">
        <v>65</v>
      </c>
    </row>
    <row r="8845" spans="1:11" ht="40.049999999999997" customHeight="1" x14ac:dyDescent="0.25">
      <c r="A8845" s="11" t="s">
        <v>17877</v>
      </c>
      <c r="B8845" s="11" t="s">
        <v>17877</v>
      </c>
      <c r="C8845" s="11" t="s">
        <v>17</v>
      </c>
      <c r="D8845" s="11" t="s">
        <v>18</v>
      </c>
      <c r="E8845" s="12" t="s">
        <v>2443</v>
      </c>
      <c r="F8845" s="12" t="s">
        <v>2444</v>
      </c>
      <c r="G8845" s="12" t="s">
        <v>29</v>
      </c>
      <c r="H8845" s="11" t="s">
        <v>63</v>
      </c>
      <c r="I8845" s="13" t="s">
        <v>17883</v>
      </c>
      <c r="J8845" s="14" t="str">
        <f>HYPERLINK("https://www.boe.es/gazeta/dias/1839/11/02/pdfs/GMD-1839-1819.pdf#page=1","Abrir facsímil")</f>
        <v>Abrir facsímil</v>
      </c>
      <c r="K8845" s="12" t="s">
        <v>65</v>
      </c>
    </row>
    <row r="8846" spans="1:11" ht="40.049999999999997" customHeight="1" x14ac:dyDescent="0.25">
      <c r="A8846" s="11" t="s">
        <v>17877</v>
      </c>
      <c r="B8846" s="11" t="s">
        <v>17877</v>
      </c>
      <c r="C8846" s="11" t="s">
        <v>17</v>
      </c>
      <c r="D8846" s="11" t="s">
        <v>18</v>
      </c>
      <c r="E8846" s="12" t="s">
        <v>1388</v>
      </c>
      <c r="F8846" s="12" t="s">
        <v>1389</v>
      </c>
      <c r="G8846" s="12" t="s">
        <v>21</v>
      </c>
      <c r="H8846" s="11" t="s">
        <v>63</v>
      </c>
      <c r="I8846" s="13" t="s">
        <v>17884</v>
      </c>
      <c r="J8846" s="14" t="str">
        <f>HYPERLINK("https://www.boe.es/gazeta/dias/1839/06/04/pdfs/GMD-1839-1662.pdf#page=4","Abrir facsímil")</f>
        <v>Abrir facsímil</v>
      </c>
      <c r="K8846" s="12" t="s">
        <v>65</v>
      </c>
    </row>
    <row r="8847" spans="1:11" ht="40.049999999999997" customHeight="1" x14ac:dyDescent="0.25">
      <c r="A8847" s="11" t="s">
        <v>17877</v>
      </c>
      <c r="B8847" s="11" t="s">
        <v>17877</v>
      </c>
      <c r="C8847" s="11" t="s">
        <v>17</v>
      </c>
      <c r="D8847" s="11" t="s">
        <v>18</v>
      </c>
      <c r="E8847" s="12" t="s">
        <v>1467</v>
      </c>
      <c r="F8847" s="12" t="s">
        <v>1468</v>
      </c>
      <c r="G8847" s="12" t="s">
        <v>21</v>
      </c>
      <c r="H8847" s="11" t="s">
        <v>63</v>
      </c>
      <c r="I8847" s="13" t="s">
        <v>17885</v>
      </c>
      <c r="J8847" s="14" t="str">
        <f>HYPERLINK("https://www.boe.es/gazeta/dias/1839/03/05/pdfs/GMD-1839-1571.pdf#page=4","Abrir facsímil")</f>
        <v>Abrir facsímil</v>
      </c>
      <c r="K8847" s="12" t="s">
        <v>65</v>
      </c>
    </row>
    <row r="8848" spans="1:11" ht="40.049999999999997" customHeight="1" x14ac:dyDescent="0.25">
      <c r="A8848" s="11" t="s">
        <v>17877</v>
      </c>
      <c r="B8848" s="11" t="s">
        <v>17877</v>
      </c>
      <c r="C8848" s="11" t="s">
        <v>137</v>
      </c>
      <c r="D8848" s="11" t="s">
        <v>18</v>
      </c>
      <c r="E8848" s="12" t="s">
        <v>2210</v>
      </c>
      <c r="F8848" s="12" t="s">
        <v>2211</v>
      </c>
      <c r="G8848" s="12" t="s">
        <v>40</v>
      </c>
      <c r="H8848" s="11" t="s">
        <v>63</v>
      </c>
      <c r="I8848" s="13" t="s">
        <v>17886</v>
      </c>
      <c r="J8848" s="14" t="str">
        <f>HYPERLINK("https://www.boe.es/gazeta/dias/1839/09/05/pdfs/GMD-1839-1758.pdf#page=2","Abrir facsímil")</f>
        <v>Abrir facsímil</v>
      </c>
      <c r="K8848" s="12" t="s">
        <v>65</v>
      </c>
    </row>
    <row r="8849" spans="1:11" ht="40.049999999999997" customHeight="1" x14ac:dyDescent="0.25">
      <c r="A8849" s="11" t="s">
        <v>17877</v>
      </c>
      <c r="B8849" s="11" t="s">
        <v>17877</v>
      </c>
      <c r="C8849" s="11" t="s">
        <v>80</v>
      </c>
      <c r="D8849" s="11" t="s">
        <v>18</v>
      </c>
      <c r="E8849" s="12" t="s">
        <v>1772</v>
      </c>
      <c r="F8849" s="12" t="s">
        <v>1773</v>
      </c>
      <c r="G8849" s="12" t="s">
        <v>21</v>
      </c>
      <c r="H8849" s="11" t="s">
        <v>63</v>
      </c>
      <c r="I8849" s="13" t="s">
        <v>17887</v>
      </c>
      <c r="J8849" s="14" t="str">
        <f>HYPERLINK("https://www.boe.es/gazeta/dias/1839/05/07/pdfs/GMD-1839-1634.pdf#page=4","Abrir facsímil")</f>
        <v>Abrir facsímil</v>
      </c>
      <c r="K8849" s="12" t="s">
        <v>65</v>
      </c>
    </row>
    <row r="8850" spans="1:11" ht="40.049999999999997" customHeight="1" x14ac:dyDescent="0.25">
      <c r="A8850" s="11" t="s">
        <v>17877</v>
      </c>
      <c r="B8850" s="11" t="s">
        <v>17877</v>
      </c>
      <c r="C8850" s="11" t="s">
        <v>80</v>
      </c>
      <c r="D8850" s="11" t="s">
        <v>18</v>
      </c>
      <c r="E8850" s="12" t="s">
        <v>181</v>
      </c>
      <c r="F8850" s="12" t="s">
        <v>182</v>
      </c>
      <c r="G8850" s="12" t="s">
        <v>29</v>
      </c>
      <c r="H8850" s="11" t="s">
        <v>63</v>
      </c>
      <c r="I8850" s="13" t="s">
        <v>17888</v>
      </c>
      <c r="J8850" s="14" t="str">
        <f>HYPERLINK("https://www.boe.es/gazeta/dias/1839/01/11/pdfs/GMD-1839-1518.pdf#page=1","Abrir facsímil")</f>
        <v>Abrir facsímil</v>
      </c>
      <c r="K8850" s="12" t="s">
        <v>65</v>
      </c>
    </row>
    <row r="8851" spans="1:11" ht="40.049999999999997" customHeight="1" x14ac:dyDescent="0.25">
      <c r="A8851" s="11" t="s">
        <v>17877</v>
      </c>
      <c r="B8851" s="11" t="s">
        <v>17877</v>
      </c>
      <c r="C8851" s="11" t="s">
        <v>80</v>
      </c>
      <c r="D8851" s="11" t="s">
        <v>18</v>
      </c>
      <c r="E8851" s="12" t="s">
        <v>272</v>
      </c>
      <c r="F8851" s="12" t="s">
        <v>273</v>
      </c>
      <c r="G8851" s="12" t="s">
        <v>21</v>
      </c>
      <c r="H8851" s="11" t="s">
        <v>63</v>
      </c>
      <c r="I8851" s="13" t="s">
        <v>17889</v>
      </c>
      <c r="J8851" s="14" t="str">
        <f>HYPERLINK("https://www.boe.es/gazeta/dias/1839/02/12/pdfs/GMD-1839-1550.pdf#page=4","Abrir facsímil")</f>
        <v>Abrir facsímil</v>
      </c>
      <c r="K8851" s="12" t="s">
        <v>65</v>
      </c>
    </row>
    <row r="8852" spans="1:11" ht="40.049999999999997" customHeight="1" x14ac:dyDescent="0.25">
      <c r="A8852" s="11" t="s">
        <v>17877</v>
      </c>
      <c r="B8852" s="11" t="s">
        <v>17877</v>
      </c>
      <c r="C8852" s="11" t="s">
        <v>17</v>
      </c>
      <c r="D8852" s="11" t="s">
        <v>18</v>
      </c>
      <c r="E8852" s="12" t="s">
        <v>592</v>
      </c>
      <c r="F8852" s="12" t="s">
        <v>593</v>
      </c>
      <c r="G8852" s="12" t="s">
        <v>29</v>
      </c>
      <c r="H8852" s="11" t="s">
        <v>63</v>
      </c>
      <c r="I8852" s="13" t="s">
        <v>17890</v>
      </c>
      <c r="J8852" s="14" t="str">
        <f>HYPERLINK("https://www.boe.es/gazeta/dias/1839/09/14/pdfs/GMD-1839-1767.pdf#page=1","Abrir facsímil")</f>
        <v>Abrir facsímil</v>
      </c>
      <c r="K8852" s="12" t="s">
        <v>65</v>
      </c>
    </row>
    <row r="8853" spans="1:11" ht="40.049999999999997" customHeight="1" x14ac:dyDescent="0.25">
      <c r="A8853" s="11" t="s">
        <v>17877</v>
      </c>
      <c r="B8853" s="11" t="s">
        <v>17877</v>
      </c>
      <c r="C8853" s="11" t="s">
        <v>17</v>
      </c>
      <c r="D8853" s="11" t="s">
        <v>18</v>
      </c>
      <c r="E8853" s="12" t="s">
        <v>1891</v>
      </c>
      <c r="F8853" s="12" t="s">
        <v>1892</v>
      </c>
      <c r="G8853" s="12" t="s">
        <v>29</v>
      </c>
      <c r="H8853" s="11" t="s">
        <v>63</v>
      </c>
      <c r="I8853" s="13" t="s">
        <v>17891</v>
      </c>
      <c r="J8853" s="14" t="str">
        <f>HYPERLINK("https://www.boe.es/gazeta/dias/1839/12/14/pdfs/GMD-1839-1861.pdf#page=1","Abrir facsímil")</f>
        <v>Abrir facsímil</v>
      </c>
      <c r="K8853" s="12" t="s">
        <v>65</v>
      </c>
    </row>
    <row r="8854" spans="1:11" ht="40.049999999999997" customHeight="1" x14ac:dyDescent="0.25">
      <c r="A8854" s="11" t="s">
        <v>17877</v>
      </c>
      <c r="B8854" s="11" t="s">
        <v>17877</v>
      </c>
      <c r="C8854" s="11" t="s">
        <v>17</v>
      </c>
      <c r="D8854" s="11" t="s">
        <v>18</v>
      </c>
      <c r="E8854" s="12" t="s">
        <v>1252</v>
      </c>
      <c r="F8854" s="12" t="s">
        <v>1253</v>
      </c>
      <c r="G8854" s="12" t="s">
        <v>29</v>
      </c>
      <c r="H8854" s="11" t="s">
        <v>63</v>
      </c>
      <c r="I8854" s="13" t="s">
        <v>17892</v>
      </c>
      <c r="J8854" s="14" t="str">
        <f>HYPERLINK("https://www.boe.es/gazeta/dias/1839/06/15/pdfs/GMD-1839-1673.pdf#page=1","Abrir facsímil")</f>
        <v>Abrir facsímil</v>
      </c>
      <c r="K8854" s="12" t="s">
        <v>65</v>
      </c>
    </row>
    <row r="8855" spans="1:11" ht="40.049999999999997" customHeight="1" x14ac:dyDescent="0.25">
      <c r="A8855" s="11" t="s">
        <v>17877</v>
      </c>
      <c r="B8855" s="11" t="s">
        <v>17877</v>
      </c>
      <c r="C8855" s="11" t="s">
        <v>80</v>
      </c>
      <c r="D8855" s="11" t="s">
        <v>18</v>
      </c>
      <c r="E8855" s="12" t="s">
        <v>1644</v>
      </c>
      <c r="F8855" s="12" t="s">
        <v>1645</v>
      </c>
      <c r="G8855" s="12" t="s">
        <v>21</v>
      </c>
      <c r="H8855" s="11" t="s">
        <v>63</v>
      </c>
      <c r="I8855" s="13" t="s">
        <v>17893</v>
      </c>
      <c r="J8855" s="14" t="str">
        <f>HYPERLINK("https://www.boe.es/gazeta/dias/1839/04/16/pdfs/GMD-1839-1613.pdf#page=4","Abrir facsímil")</f>
        <v>Abrir facsímil</v>
      </c>
      <c r="K8855" s="12" t="s">
        <v>65</v>
      </c>
    </row>
    <row r="8856" spans="1:11" ht="40.049999999999997" customHeight="1" x14ac:dyDescent="0.25">
      <c r="A8856" s="11" t="s">
        <v>17877</v>
      </c>
      <c r="B8856" s="11" t="s">
        <v>17877</v>
      </c>
      <c r="C8856" s="11" t="s">
        <v>17</v>
      </c>
      <c r="D8856" s="11" t="s">
        <v>18</v>
      </c>
      <c r="E8856" s="12" t="s">
        <v>564</v>
      </c>
      <c r="F8856" s="12" t="s">
        <v>565</v>
      </c>
      <c r="G8856" s="12" t="s">
        <v>40</v>
      </c>
      <c r="H8856" s="11" t="s">
        <v>63</v>
      </c>
      <c r="I8856" s="13" t="s">
        <v>17894</v>
      </c>
      <c r="J8856" s="14" t="str">
        <f>HYPERLINK("https://www.boe.es/gazeta/dias/1839/10/17/pdfs/GMD-1839-1803.pdf#page=2","Abrir facsímil")</f>
        <v>Abrir facsímil</v>
      </c>
      <c r="K8856" s="12" t="s">
        <v>65</v>
      </c>
    </row>
    <row r="8857" spans="1:11" ht="40.049999999999997" customHeight="1" x14ac:dyDescent="0.25">
      <c r="A8857" s="11" t="s">
        <v>17877</v>
      </c>
      <c r="B8857" s="11" t="s">
        <v>17877</v>
      </c>
      <c r="C8857" s="11" t="s">
        <v>59</v>
      </c>
      <c r="D8857" s="11" t="s">
        <v>60</v>
      </c>
      <c r="E8857" s="12" t="s">
        <v>1179</v>
      </c>
      <c r="F8857" s="12" t="s">
        <v>1180</v>
      </c>
      <c r="G8857" s="12" t="s">
        <v>29</v>
      </c>
      <c r="H8857" s="11" t="s">
        <v>63</v>
      </c>
      <c r="I8857" s="13" t="s">
        <v>17895</v>
      </c>
      <c r="J8857" s="14" t="str">
        <f>HYPERLINK("https://www.boe.es/gazeta/dias/1839/10/18/pdfs/GMD-1839-1804.pdf#page=1","Abrir facsímil")</f>
        <v>Abrir facsímil</v>
      </c>
      <c r="K8857" s="12" t="s">
        <v>65</v>
      </c>
    </row>
    <row r="8858" spans="1:11" ht="40.049999999999997" customHeight="1" x14ac:dyDescent="0.25">
      <c r="A8858" s="11" t="s">
        <v>17877</v>
      </c>
      <c r="B8858" s="11" t="s">
        <v>17877</v>
      </c>
      <c r="C8858" s="11" t="s">
        <v>137</v>
      </c>
      <c r="D8858" s="11" t="s">
        <v>18</v>
      </c>
      <c r="E8858" s="12" t="s">
        <v>713</v>
      </c>
      <c r="F8858" s="12" t="s">
        <v>714</v>
      </c>
      <c r="G8858" s="12" t="s">
        <v>21</v>
      </c>
      <c r="H8858" s="11" t="s">
        <v>63</v>
      </c>
      <c r="I8858" s="13" t="s">
        <v>17896</v>
      </c>
      <c r="J8858" s="14" t="str">
        <f>HYPERLINK("https://www.boe.es/gazeta/dias/1839/12/18/pdfs/GMD-1839-1865.pdf#page=4","Abrir facsímil")</f>
        <v>Abrir facsímil</v>
      </c>
      <c r="K8858" s="12" t="s">
        <v>65</v>
      </c>
    </row>
    <row r="8859" spans="1:11" ht="40.049999999999997" customHeight="1" x14ac:dyDescent="0.25">
      <c r="A8859" s="11" t="s">
        <v>17877</v>
      </c>
      <c r="B8859" s="11" t="s">
        <v>17877</v>
      </c>
      <c r="C8859" s="11" t="s">
        <v>17</v>
      </c>
      <c r="D8859" s="11" t="s">
        <v>18</v>
      </c>
      <c r="E8859" s="12" t="s">
        <v>2222</v>
      </c>
      <c r="F8859" s="12" t="s">
        <v>2223</v>
      </c>
      <c r="G8859" s="12" t="s">
        <v>29</v>
      </c>
      <c r="H8859" s="11" t="s">
        <v>63</v>
      </c>
      <c r="I8859" s="13" t="s">
        <v>17897</v>
      </c>
      <c r="J8859" s="14" t="str">
        <f>HYPERLINK("https://www.boe.es/gazeta/dias/1839/09/19/pdfs/GMD-1839-1773.pdf#page=1","Abrir facsímil")</f>
        <v>Abrir facsímil</v>
      </c>
      <c r="K8859" s="12" t="s">
        <v>65</v>
      </c>
    </row>
    <row r="8860" spans="1:11" ht="40.049999999999997" customHeight="1" x14ac:dyDescent="0.25">
      <c r="A8860" s="11" t="s">
        <v>17877</v>
      </c>
      <c r="B8860" s="11" t="s">
        <v>17877</v>
      </c>
      <c r="C8860" s="11" t="s">
        <v>17</v>
      </c>
      <c r="D8860" s="11" t="s">
        <v>18</v>
      </c>
      <c r="E8860" s="12" t="s">
        <v>1654</v>
      </c>
      <c r="F8860" s="12" t="s">
        <v>1655</v>
      </c>
      <c r="G8860" s="12" t="s">
        <v>29</v>
      </c>
      <c r="H8860" s="11" t="s">
        <v>63</v>
      </c>
      <c r="I8860" s="13" t="s">
        <v>17898</v>
      </c>
      <c r="J8860" s="14" t="str">
        <f>HYPERLINK("https://www.boe.es/gazeta/dias/1839/11/19/pdfs/GMD-1839-1836.pdf#page=1","Abrir facsímil")</f>
        <v>Abrir facsímil</v>
      </c>
      <c r="K8860" s="12" t="s">
        <v>65</v>
      </c>
    </row>
    <row r="8861" spans="1:11" ht="40.049999999999997" customHeight="1" x14ac:dyDescent="0.25">
      <c r="A8861" s="11" t="s">
        <v>17877</v>
      </c>
      <c r="B8861" s="11" t="s">
        <v>17877</v>
      </c>
      <c r="C8861" s="11" t="s">
        <v>59</v>
      </c>
      <c r="D8861" s="11" t="s">
        <v>60</v>
      </c>
      <c r="E8861" s="12" t="s">
        <v>695</v>
      </c>
      <c r="F8861" s="12" t="s">
        <v>696</v>
      </c>
      <c r="G8861" s="12" t="s">
        <v>46</v>
      </c>
      <c r="H8861" s="11" t="s">
        <v>63</v>
      </c>
      <c r="I8861" s="13" t="s">
        <v>17899</v>
      </c>
      <c r="J8861" s="14" t="str">
        <f>HYPERLINK("https://www.boe.es/gazeta/dias/1839/12/19/pdfs/GMD-1839-1866.pdf#page=3","Abrir facsímil")</f>
        <v>Abrir facsímil</v>
      </c>
      <c r="K8861" s="12" t="s">
        <v>65</v>
      </c>
    </row>
    <row r="8862" spans="1:11" ht="40.049999999999997" customHeight="1" x14ac:dyDescent="0.25">
      <c r="A8862" s="11" t="s">
        <v>17877</v>
      </c>
      <c r="B8862" s="11" t="s">
        <v>17877</v>
      </c>
      <c r="C8862" s="11" t="s">
        <v>17</v>
      </c>
      <c r="D8862" s="11" t="s">
        <v>18</v>
      </c>
      <c r="E8862" s="12" t="s">
        <v>857</v>
      </c>
      <c r="F8862" s="12" t="s">
        <v>858</v>
      </c>
      <c r="G8862" s="12" t="s">
        <v>29</v>
      </c>
      <c r="H8862" s="11" t="s">
        <v>63</v>
      </c>
      <c r="I8862" s="13" t="s">
        <v>17900</v>
      </c>
      <c r="J8862" s="14" t="str">
        <f>HYPERLINK("https://www.boe.es/gazeta/dias/1839/11/21/pdfs/GMD-1839-1838.pdf#page=1","Abrir facsímil")</f>
        <v>Abrir facsímil</v>
      </c>
      <c r="K8862" s="12" t="s">
        <v>65</v>
      </c>
    </row>
    <row r="8863" spans="1:11" ht="40.049999999999997" customHeight="1" x14ac:dyDescent="0.25">
      <c r="A8863" s="11" t="s">
        <v>17877</v>
      </c>
      <c r="B8863" s="11" t="s">
        <v>17877</v>
      </c>
      <c r="C8863" s="11" t="s">
        <v>17</v>
      </c>
      <c r="D8863" s="11" t="s">
        <v>18</v>
      </c>
      <c r="E8863" s="12" t="s">
        <v>360</v>
      </c>
      <c r="F8863" s="12" t="s">
        <v>361</v>
      </c>
      <c r="G8863" s="12" t="s">
        <v>21</v>
      </c>
      <c r="H8863" s="11" t="s">
        <v>63</v>
      </c>
      <c r="I8863" s="13" t="s">
        <v>17901</v>
      </c>
      <c r="J8863" s="14" t="str">
        <f>HYPERLINK("https://www.boe.es/gazeta/dias/1839/08/22/pdfs/GMD-1839-1743.pdf#page=4","Abrir facsímil")</f>
        <v>Abrir facsímil</v>
      </c>
      <c r="K8863" s="12" t="s">
        <v>65</v>
      </c>
    </row>
    <row r="8864" spans="1:11" ht="40.049999999999997" customHeight="1" x14ac:dyDescent="0.25">
      <c r="A8864" s="11" t="s">
        <v>17877</v>
      </c>
      <c r="B8864" s="11" t="s">
        <v>17877</v>
      </c>
      <c r="C8864" s="11" t="s">
        <v>59</v>
      </c>
      <c r="D8864" s="11" t="s">
        <v>60</v>
      </c>
      <c r="E8864" s="12" t="s">
        <v>479</v>
      </c>
      <c r="F8864" s="12" t="s">
        <v>480</v>
      </c>
      <c r="G8864" s="12" t="s">
        <v>40</v>
      </c>
      <c r="H8864" s="11" t="s">
        <v>63</v>
      </c>
      <c r="I8864" s="13" t="s">
        <v>17902</v>
      </c>
      <c r="J8864" s="14" t="str">
        <f>HYPERLINK("https://www.boe.es/gazeta/dias/1839/06/24/pdfs/GMD-1839-1682.pdf#page=2","Abrir facsímil")</f>
        <v>Abrir facsímil</v>
      </c>
      <c r="K8864" s="12" t="s">
        <v>65</v>
      </c>
    </row>
    <row r="8865" spans="1:11" ht="40.049999999999997" customHeight="1" x14ac:dyDescent="0.25">
      <c r="A8865" s="11" t="s">
        <v>17877</v>
      </c>
      <c r="B8865" s="11" t="s">
        <v>17877</v>
      </c>
      <c r="C8865" s="11" t="s">
        <v>17</v>
      </c>
      <c r="D8865" s="11" t="s">
        <v>18</v>
      </c>
      <c r="E8865" s="12" t="s">
        <v>826</v>
      </c>
      <c r="F8865" s="12" t="s">
        <v>827</v>
      </c>
      <c r="G8865" s="12" t="s">
        <v>40</v>
      </c>
      <c r="H8865" s="11" t="s">
        <v>63</v>
      </c>
      <c r="I8865" s="13" t="s">
        <v>17903</v>
      </c>
      <c r="J8865" s="14" t="str">
        <f>HYPERLINK("https://www.boe.es/gazeta/dias/1839/09/25/pdfs/GMD-1839-1781.pdf#page=2","Abrir facsímil")</f>
        <v>Abrir facsímil</v>
      </c>
      <c r="K8865" s="12" t="s">
        <v>65</v>
      </c>
    </row>
    <row r="8866" spans="1:11" ht="40.049999999999997" customHeight="1" x14ac:dyDescent="0.25">
      <c r="A8866" s="11" t="s">
        <v>17877</v>
      </c>
      <c r="B8866" s="11" t="s">
        <v>17877</v>
      </c>
      <c r="C8866" s="11" t="s">
        <v>17</v>
      </c>
      <c r="D8866" s="11" t="s">
        <v>18</v>
      </c>
      <c r="E8866" s="12" t="s">
        <v>349</v>
      </c>
      <c r="F8866" s="12" t="s">
        <v>350</v>
      </c>
      <c r="G8866" s="12" t="s">
        <v>29</v>
      </c>
      <c r="H8866" s="11" t="s">
        <v>63</v>
      </c>
      <c r="I8866" s="13" t="s">
        <v>17904</v>
      </c>
      <c r="J8866" s="14" t="str">
        <f>HYPERLINK("https://www.boe.es/gazeta/dias/1839/12/25/pdfs/GMD-1839-1872.pdf#page=1","Abrir facsímil")</f>
        <v>Abrir facsímil</v>
      </c>
      <c r="K8866" s="12" t="s">
        <v>65</v>
      </c>
    </row>
    <row r="8867" spans="1:11" ht="40.049999999999997" customHeight="1" x14ac:dyDescent="0.25">
      <c r="A8867" s="11" t="s">
        <v>17877</v>
      </c>
      <c r="B8867" s="11" t="s">
        <v>17877</v>
      </c>
      <c r="C8867" s="11" t="s">
        <v>17</v>
      </c>
      <c r="D8867" s="11" t="s">
        <v>18</v>
      </c>
      <c r="E8867" s="12" t="s">
        <v>723</v>
      </c>
      <c r="F8867" s="12" t="s">
        <v>724</v>
      </c>
      <c r="G8867" s="12" t="s">
        <v>29</v>
      </c>
      <c r="H8867" s="11" t="s">
        <v>63</v>
      </c>
      <c r="I8867" s="13" t="s">
        <v>17905</v>
      </c>
      <c r="J8867" s="14" t="str">
        <f>HYPERLINK("https://www.boe.es/gazeta/dias/1839/09/26/pdfs/GMD-1839-1782.pdf#page=1","Abrir facsímil")</f>
        <v>Abrir facsímil</v>
      </c>
      <c r="K8867" s="12" t="s">
        <v>65</v>
      </c>
    </row>
    <row r="8868" spans="1:11" ht="40.049999999999997" customHeight="1" x14ac:dyDescent="0.25">
      <c r="A8868" s="11" t="s">
        <v>17877</v>
      </c>
      <c r="B8868" s="11" t="s">
        <v>17877</v>
      </c>
      <c r="C8868" s="11" t="s">
        <v>17</v>
      </c>
      <c r="D8868" s="11" t="s">
        <v>18</v>
      </c>
      <c r="E8868" s="12" t="s">
        <v>1284</v>
      </c>
      <c r="F8868" s="12" t="s">
        <v>1285</v>
      </c>
      <c r="G8868" s="12" t="s">
        <v>21</v>
      </c>
      <c r="H8868" s="11" t="s">
        <v>63</v>
      </c>
      <c r="I8868" s="13" t="s">
        <v>17906</v>
      </c>
      <c r="J8868" s="14" t="str">
        <f>HYPERLINK("https://www.boe.es/gazeta/dias/1839/03/27/pdfs/GMD-1839-1593.pdf#page=4","Abrir facsímil")</f>
        <v>Abrir facsímil</v>
      </c>
      <c r="K8868" s="12" t="s">
        <v>65</v>
      </c>
    </row>
    <row r="8869" spans="1:11" ht="40.049999999999997" customHeight="1" x14ac:dyDescent="0.25">
      <c r="A8869" s="11" t="s">
        <v>17877</v>
      </c>
      <c r="B8869" s="11" t="s">
        <v>17877</v>
      </c>
      <c r="C8869" s="11" t="s">
        <v>17</v>
      </c>
      <c r="D8869" s="11" t="s">
        <v>18</v>
      </c>
      <c r="E8869" s="12" t="s">
        <v>571</v>
      </c>
      <c r="F8869" s="12" t="s">
        <v>572</v>
      </c>
      <c r="G8869" s="12" t="s">
        <v>21</v>
      </c>
      <c r="H8869" s="11" t="s">
        <v>63</v>
      </c>
      <c r="I8869" s="13" t="s">
        <v>17907</v>
      </c>
      <c r="J8869" s="14" t="str">
        <f>HYPERLINK("https://www.boe.es/gazeta/dias/1839/09/27/pdfs/GMD-1839-1783.pdf#page=4","Abrir facsímil")</f>
        <v>Abrir facsímil</v>
      </c>
      <c r="K8869" s="12" t="s">
        <v>65</v>
      </c>
    </row>
    <row r="8870" spans="1:11" ht="40.049999999999997" customHeight="1" x14ac:dyDescent="0.25">
      <c r="A8870" s="11" t="s">
        <v>17877</v>
      </c>
      <c r="B8870" s="11" t="s">
        <v>17877</v>
      </c>
      <c r="C8870" s="11" t="s">
        <v>17</v>
      </c>
      <c r="D8870" s="11" t="s">
        <v>18</v>
      </c>
      <c r="E8870" s="12" t="s">
        <v>668</v>
      </c>
      <c r="F8870" s="12" t="s">
        <v>669</v>
      </c>
      <c r="G8870" s="12" t="s">
        <v>21</v>
      </c>
      <c r="H8870" s="11" t="s">
        <v>63</v>
      </c>
      <c r="I8870" s="13" t="s">
        <v>17908</v>
      </c>
      <c r="J8870" s="14" t="str">
        <f>HYPERLINK("https://www.boe.es/gazeta/dias/1839/03/28/pdfs/GMD-1839-1594.pdf#page=4","Abrir facsímil")</f>
        <v>Abrir facsímil</v>
      </c>
      <c r="K8870" s="12" t="s">
        <v>65</v>
      </c>
    </row>
    <row r="8871" spans="1:11" ht="40.049999999999997" customHeight="1" x14ac:dyDescent="0.25">
      <c r="A8871" s="11" t="s">
        <v>17877</v>
      </c>
      <c r="B8871" s="11" t="s">
        <v>17877</v>
      </c>
      <c r="C8871" s="11" t="s">
        <v>59</v>
      </c>
      <c r="D8871" s="11" t="s">
        <v>60</v>
      </c>
      <c r="E8871" s="12" t="s">
        <v>489</v>
      </c>
      <c r="F8871" s="12" t="s">
        <v>490</v>
      </c>
      <c r="G8871" s="12" t="s">
        <v>29</v>
      </c>
      <c r="H8871" s="11" t="s">
        <v>63</v>
      </c>
      <c r="I8871" s="13" t="s">
        <v>17909</v>
      </c>
      <c r="J8871" s="14" t="str">
        <f>HYPERLINK("https://www.boe.es/gazeta/dias/1839/06/29/pdfs/GMD-1839-1687.pdf#page=1","Abrir facsímil")</f>
        <v>Abrir facsímil</v>
      </c>
      <c r="K8871" s="12" t="s">
        <v>65</v>
      </c>
    </row>
    <row r="8872" spans="1:11" ht="40.049999999999997" customHeight="1" x14ac:dyDescent="0.25">
      <c r="A8872" s="11" t="s">
        <v>17877</v>
      </c>
      <c r="B8872" s="11" t="s">
        <v>17877</v>
      </c>
      <c r="C8872" s="11" t="s">
        <v>17</v>
      </c>
      <c r="D8872" s="11" t="s">
        <v>18</v>
      </c>
      <c r="E8872" s="12" t="s">
        <v>2349</v>
      </c>
      <c r="F8872" s="12" t="s">
        <v>2350</v>
      </c>
      <c r="G8872" s="12" t="s">
        <v>40</v>
      </c>
      <c r="H8872" s="11" t="s">
        <v>63</v>
      </c>
      <c r="I8872" s="13" t="s">
        <v>17910</v>
      </c>
      <c r="J8872" s="14" t="str">
        <f>HYPERLINK("https://www.boe.es/gazeta/dias/1839/09/29/pdfs/GMD-1839-1785.pdf#page=2","Abrir facsímil")</f>
        <v>Abrir facsímil</v>
      </c>
      <c r="K8872" s="12" t="s">
        <v>65</v>
      </c>
    </row>
    <row r="8873" spans="1:11" ht="40.049999999999997" customHeight="1" x14ac:dyDescent="0.25">
      <c r="A8873" s="11" t="s">
        <v>17877</v>
      </c>
      <c r="B8873" s="11" t="s">
        <v>17877</v>
      </c>
      <c r="C8873" s="11" t="s">
        <v>17</v>
      </c>
      <c r="D8873" s="11" t="s">
        <v>18</v>
      </c>
      <c r="E8873" s="12" t="s">
        <v>1988</v>
      </c>
      <c r="F8873" s="12" t="s">
        <v>1989</v>
      </c>
      <c r="G8873" s="12" t="s">
        <v>29</v>
      </c>
      <c r="H8873" s="11" t="s">
        <v>63</v>
      </c>
      <c r="I8873" s="13" t="s">
        <v>17911</v>
      </c>
      <c r="J8873" s="14" t="str">
        <f>HYPERLINK("https://www.boe.es/gazeta/dias/1839/10/29/pdfs/GMD-1839-1815.pdf#page=1","Abrir facsímil")</f>
        <v>Abrir facsímil</v>
      </c>
      <c r="K8873" s="12" t="s">
        <v>65</v>
      </c>
    </row>
    <row r="8874" spans="1:11" ht="40.049999999999997" customHeight="1" x14ac:dyDescent="0.25">
      <c r="A8874" s="11" t="s">
        <v>17877</v>
      </c>
      <c r="B8874" s="11" t="s">
        <v>17877</v>
      </c>
      <c r="C8874" s="11" t="s">
        <v>17</v>
      </c>
      <c r="D8874" s="11" t="s">
        <v>18</v>
      </c>
      <c r="E8874" s="12" t="s">
        <v>1988</v>
      </c>
      <c r="F8874" s="12" t="s">
        <v>1989</v>
      </c>
      <c r="G8874" s="12" t="s">
        <v>46</v>
      </c>
      <c r="H8874" s="11" t="s">
        <v>63</v>
      </c>
      <c r="I8874" s="13" t="s">
        <v>17912</v>
      </c>
      <c r="J8874" s="14" t="str">
        <f>HYPERLINK("https://www.boe.es/gazeta/dias/1839/10/29/pdfs/GMD-1839-1815.pdf#page=3","Abrir facsímil")</f>
        <v>Abrir facsímil</v>
      </c>
      <c r="K8874" s="12" t="s">
        <v>65</v>
      </c>
    </row>
    <row r="8875" spans="1:11" ht="40.049999999999997" customHeight="1" x14ac:dyDescent="0.25">
      <c r="A8875" s="11" t="s">
        <v>17913</v>
      </c>
      <c r="B8875" s="11" t="s">
        <v>17914</v>
      </c>
      <c r="C8875" s="11" t="s">
        <v>80</v>
      </c>
      <c r="D8875" s="11" t="s">
        <v>18</v>
      </c>
      <c r="E8875" s="12" t="s">
        <v>462</v>
      </c>
      <c r="F8875" s="12" t="s">
        <v>463</v>
      </c>
      <c r="G8875" s="12" t="s">
        <v>21</v>
      </c>
      <c r="H8875" s="11" t="s">
        <v>63</v>
      </c>
      <c r="I8875" s="13" t="s">
        <v>17915</v>
      </c>
      <c r="J8875" s="14" t="str">
        <f>HYPERLINK("https://www.boe.es/gazeta/dias/1839/06/19/pdfs/GMD-1839-1677.pdf#page=4","Abrir facsímil")</f>
        <v>Abrir facsímil</v>
      </c>
      <c r="K8875" s="12" t="s">
        <v>65</v>
      </c>
    </row>
    <row r="8876" spans="1:11" ht="40.049999999999997" customHeight="1" x14ac:dyDescent="0.25">
      <c r="A8876" s="11" t="s">
        <v>17916</v>
      </c>
      <c r="B8876" s="11" t="s">
        <v>17916</v>
      </c>
      <c r="C8876" s="11" t="s">
        <v>80</v>
      </c>
      <c r="D8876" s="11" t="s">
        <v>18</v>
      </c>
      <c r="E8876" s="12" t="s">
        <v>918</v>
      </c>
      <c r="F8876" s="12" t="s">
        <v>919</v>
      </c>
      <c r="G8876" s="12" t="s">
        <v>40</v>
      </c>
      <c r="H8876" s="11" t="s">
        <v>63</v>
      </c>
      <c r="I8876" s="13" t="s">
        <v>17917</v>
      </c>
      <c r="J8876" s="14" t="str">
        <f>HYPERLINK("https://www.boe.es/gazeta/dias/1839/12/07/pdfs/GMD-1839-1854.pdf#page=2","Abrir facsímil")</f>
        <v>Abrir facsímil</v>
      </c>
      <c r="K8876" s="12" t="s">
        <v>65</v>
      </c>
    </row>
    <row r="8877" spans="1:11" ht="40.049999999999997" customHeight="1" x14ac:dyDescent="0.25">
      <c r="A8877" s="11" t="s">
        <v>17918</v>
      </c>
      <c r="B8877" s="11" t="s">
        <v>17918</v>
      </c>
      <c r="C8877" s="11" t="s">
        <v>137</v>
      </c>
      <c r="D8877" s="11" t="s">
        <v>18</v>
      </c>
      <c r="E8877" s="12" t="s">
        <v>1929</v>
      </c>
      <c r="F8877" s="12" t="s">
        <v>1930</v>
      </c>
      <c r="G8877" s="12" t="s">
        <v>29</v>
      </c>
      <c r="H8877" s="11" t="s">
        <v>63</v>
      </c>
      <c r="I8877" s="13" t="s">
        <v>17919</v>
      </c>
      <c r="J8877" s="14" t="str">
        <f>HYPERLINK("https://www.boe.es/gazeta/dias/1839/02/01/pdfs/GMD-1839-1539.pdf#page=1","Abrir facsímil")</f>
        <v>Abrir facsímil</v>
      </c>
      <c r="K8877" s="12" t="s">
        <v>65</v>
      </c>
    </row>
    <row r="8878" spans="1:11" ht="40.049999999999997" customHeight="1" x14ac:dyDescent="0.25">
      <c r="A8878" s="11" t="s">
        <v>17918</v>
      </c>
      <c r="B8878" s="11" t="s">
        <v>17918</v>
      </c>
      <c r="C8878" s="11" t="s">
        <v>17</v>
      </c>
      <c r="D8878" s="11" t="s">
        <v>18</v>
      </c>
      <c r="E8878" s="12" t="s">
        <v>2491</v>
      </c>
      <c r="F8878" s="12" t="s">
        <v>2492</v>
      </c>
      <c r="G8878" s="12" t="s">
        <v>29</v>
      </c>
      <c r="H8878" s="11" t="s">
        <v>63</v>
      </c>
      <c r="I8878" s="13" t="s">
        <v>17920</v>
      </c>
      <c r="J8878" s="14" t="str">
        <f>HYPERLINK("https://www.boe.es/gazeta/dias/1839/05/01/pdfs/GMD-1839-1628.pdf#page=1","Abrir facsímil")</f>
        <v>Abrir facsímil</v>
      </c>
      <c r="K8878" s="12" t="s">
        <v>65</v>
      </c>
    </row>
    <row r="8879" spans="1:11" ht="40.049999999999997" customHeight="1" x14ac:dyDescent="0.25">
      <c r="A8879" s="11" t="s">
        <v>17918</v>
      </c>
      <c r="B8879" s="11" t="s">
        <v>17918</v>
      </c>
      <c r="C8879" s="11" t="s">
        <v>17</v>
      </c>
      <c r="D8879" s="11" t="s">
        <v>18</v>
      </c>
      <c r="E8879" s="12" t="s">
        <v>4287</v>
      </c>
      <c r="F8879" s="12" t="s">
        <v>4288</v>
      </c>
      <c r="G8879" s="12" t="s">
        <v>40</v>
      </c>
      <c r="H8879" s="11" t="s">
        <v>63</v>
      </c>
      <c r="I8879" s="13" t="s">
        <v>17921</v>
      </c>
      <c r="J8879" s="14" t="str">
        <f>HYPERLINK("https://www.boe.es/gazeta/dias/1839/06/01/pdfs/GMD-1839-1659.pdf#page=2","Abrir facsímil")</f>
        <v>Abrir facsímil</v>
      </c>
      <c r="K8879" s="12" t="s">
        <v>65</v>
      </c>
    </row>
    <row r="8880" spans="1:11" ht="40.049999999999997" customHeight="1" x14ac:dyDescent="0.25">
      <c r="A8880" s="11" t="s">
        <v>17918</v>
      </c>
      <c r="B8880" s="11" t="s">
        <v>17918</v>
      </c>
      <c r="C8880" s="11" t="s">
        <v>17</v>
      </c>
      <c r="D8880" s="11" t="s">
        <v>18</v>
      </c>
      <c r="E8880" s="12" t="s">
        <v>700</v>
      </c>
      <c r="F8880" s="12" t="s">
        <v>701</v>
      </c>
      <c r="G8880" s="12" t="s">
        <v>29</v>
      </c>
      <c r="H8880" s="11" t="s">
        <v>63</v>
      </c>
      <c r="I8880" s="13" t="s">
        <v>17922</v>
      </c>
      <c r="J8880" s="14" t="str">
        <f>HYPERLINK("https://www.boe.es/gazeta/dias/1839/09/01/pdfs/GMD-1839-1753.pdf#page=1","Abrir facsímil")</f>
        <v>Abrir facsímil</v>
      </c>
      <c r="K8880" s="12" t="s">
        <v>65</v>
      </c>
    </row>
    <row r="8881" spans="1:11" ht="40.049999999999997" customHeight="1" x14ac:dyDescent="0.25">
      <c r="A8881" s="11" t="s">
        <v>17918</v>
      </c>
      <c r="B8881" s="11" t="s">
        <v>17918</v>
      </c>
      <c r="C8881" s="11" t="s">
        <v>17</v>
      </c>
      <c r="D8881" s="11" t="s">
        <v>18</v>
      </c>
      <c r="E8881" s="12" t="s">
        <v>1057</v>
      </c>
      <c r="F8881" s="12" t="s">
        <v>1058</v>
      </c>
      <c r="G8881" s="12" t="s">
        <v>29</v>
      </c>
      <c r="H8881" s="11" t="s">
        <v>63</v>
      </c>
      <c r="I8881" s="13" t="s">
        <v>17923</v>
      </c>
      <c r="J8881" s="14" t="str">
        <f>HYPERLINK("https://www.boe.es/gazeta/dias/1839/10/01/pdfs/GMD-1839-1787.pdf#page=1","Abrir facsímil")</f>
        <v>Abrir facsímil</v>
      </c>
      <c r="K8881" s="12" t="s">
        <v>65</v>
      </c>
    </row>
    <row r="8882" spans="1:11" ht="40.049999999999997" customHeight="1" x14ac:dyDescent="0.25">
      <c r="A8882" s="11" t="s">
        <v>17918</v>
      </c>
      <c r="B8882" s="11" t="s">
        <v>17918</v>
      </c>
      <c r="C8882" s="11" t="s">
        <v>101</v>
      </c>
      <c r="D8882" s="11" t="s">
        <v>43</v>
      </c>
      <c r="E8882" s="12" t="s">
        <v>1057</v>
      </c>
      <c r="F8882" s="12" t="s">
        <v>1058</v>
      </c>
      <c r="G8882" s="12" t="s">
        <v>40</v>
      </c>
      <c r="H8882" s="11" t="s">
        <v>63</v>
      </c>
      <c r="I8882" s="13" t="s">
        <v>17924</v>
      </c>
      <c r="J8882" s="14" t="str">
        <f>HYPERLINK("https://www.boe.es/gazeta/dias/1839/10/01/pdfs/GMD-1839-1787.pdf#page=2","Abrir facsímil")</f>
        <v>Abrir facsímil</v>
      </c>
      <c r="K8882" s="12" t="s">
        <v>65</v>
      </c>
    </row>
    <row r="8883" spans="1:11" ht="40.049999999999997" customHeight="1" x14ac:dyDescent="0.25">
      <c r="A8883" s="11" t="s">
        <v>17918</v>
      </c>
      <c r="B8883" s="11" t="s">
        <v>17918</v>
      </c>
      <c r="C8883" s="11" t="s">
        <v>137</v>
      </c>
      <c r="D8883" s="11" t="s">
        <v>18</v>
      </c>
      <c r="E8883" s="12" t="s">
        <v>1057</v>
      </c>
      <c r="F8883" s="12" t="s">
        <v>1058</v>
      </c>
      <c r="G8883" s="12" t="s">
        <v>21</v>
      </c>
      <c r="H8883" s="11" t="s">
        <v>63</v>
      </c>
      <c r="I8883" s="13" t="s">
        <v>17925</v>
      </c>
      <c r="J8883" s="14" t="str">
        <f>HYPERLINK("https://www.boe.es/gazeta/dias/1839/10/01/pdfs/GMD-1839-1787.pdf#page=4","Abrir facsímil")</f>
        <v>Abrir facsímil</v>
      </c>
      <c r="K8883" s="12" t="s">
        <v>65</v>
      </c>
    </row>
    <row r="8884" spans="1:11" ht="40.049999999999997" customHeight="1" x14ac:dyDescent="0.25">
      <c r="A8884" s="11" t="s">
        <v>17918</v>
      </c>
      <c r="B8884" s="11" t="s">
        <v>17918</v>
      </c>
      <c r="C8884" s="11" t="s">
        <v>80</v>
      </c>
      <c r="D8884" s="11" t="s">
        <v>18</v>
      </c>
      <c r="E8884" s="12" t="s">
        <v>1057</v>
      </c>
      <c r="F8884" s="12" t="s">
        <v>1058</v>
      </c>
      <c r="G8884" s="12" t="s">
        <v>305</v>
      </c>
      <c r="H8884" s="11" t="s">
        <v>63</v>
      </c>
      <c r="I8884" s="13" t="s">
        <v>17926</v>
      </c>
      <c r="J8884" s="14" t="str">
        <f>HYPERLINK("https://www.boe.es/gazeta/dias/1839/10/01/pdfs/GMD-1839-1787.pdf#page=6","Abrir facsímil")</f>
        <v>Abrir facsímil</v>
      </c>
      <c r="K8884" s="12" t="s">
        <v>65</v>
      </c>
    </row>
    <row r="8885" spans="1:11" ht="40.049999999999997" customHeight="1" x14ac:dyDescent="0.25">
      <c r="A8885" s="11" t="s">
        <v>17918</v>
      </c>
      <c r="B8885" s="11" t="s">
        <v>17918</v>
      </c>
      <c r="C8885" s="11" t="s">
        <v>101</v>
      </c>
      <c r="D8885" s="11" t="s">
        <v>102</v>
      </c>
      <c r="E8885" s="12" t="s">
        <v>369</v>
      </c>
      <c r="F8885" s="12" t="s">
        <v>370</v>
      </c>
      <c r="G8885" s="12" t="s">
        <v>29</v>
      </c>
      <c r="H8885" s="11" t="s">
        <v>63</v>
      </c>
      <c r="I8885" s="13" t="s">
        <v>17927</v>
      </c>
      <c r="J8885" s="14" t="str">
        <f>HYPERLINK("https://www.boe.es/gazeta/dias/1839/11/01/pdfs/GMD-1839-1818.pdf#page=1","Abrir facsímil")</f>
        <v>Abrir facsímil</v>
      </c>
      <c r="K8885" s="12" t="s">
        <v>65</v>
      </c>
    </row>
    <row r="8886" spans="1:11" ht="40.049999999999997" customHeight="1" x14ac:dyDescent="0.25">
      <c r="A8886" s="11" t="s">
        <v>17918</v>
      </c>
      <c r="B8886" s="11" t="s">
        <v>17918</v>
      </c>
      <c r="C8886" s="11" t="s">
        <v>17</v>
      </c>
      <c r="D8886" s="11" t="s">
        <v>18</v>
      </c>
      <c r="E8886" s="12" t="s">
        <v>2440</v>
      </c>
      <c r="F8886" s="12" t="s">
        <v>2441</v>
      </c>
      <c r="G8886" s="12" t="s">
        <v>29</v>
      </c>
      <c r="H8886" s="11" t="s">
        <v>63</v>
      </c>
      <c r="I8886" s="13" t="s">
        <v>17928</v>
      </c>
      <c r="J8886" s="14" t="str">
        <f>HYPERLINK("https://www.boe.es/gazeta/dias/1839/12/01/pdfs/GMD-1839-1848.pdf#page=1","Abrir facsímil")</f>
        <v>Abrir facsímil</v>
      </c>
      <c r="K8886" s="12" t="s">
        <v>65</v>
      </c>
    </row>
    <row r="8887" spans="1:11" ht="40.049999999999997" customHeight="1" x14ac:dyDescent="0.25">
      <c r="A8887" s="11" t="s">
        <v>17918</v>
      </c>
      <c r="B8887" s="11" t="s">
        <v>17918</v>
      </c>
      <c r="C8887" s="11" t="s">
        <v>17</v>
      </c>
      <c r="D8887" s="11" t="s">
        <v>18</v>
      </c>
      <c r="E8887" s="12" t="s">
        <v>154</v>
      </c>
      <c r="F8887" s="12" t="s">
        <v>155</v>
      </c>
      <c r="G8887" s="12" t="s">
        <v>21</v>
      </c>
      <c r="H8887" s="11" t="s">
        <v>63</v>
      </c>
      <c r="I8887" s="13" t="s">
        <v>17929</v>
      </c>
      <c r="J8887" s="14" t="str">
        <f>HYPERLINK("https://www.boe.es/gazeta/dias/1839/02/02/pdfs/GMD-1839-1540.pdf#page=4","Abrir facsímil")</f>
        <v>Abrir facsímil</v>
      </c>
      <c r="K8887" s="12" t="s">
        <v>65</v>
      </c>
    </row>
    <row r="8888" spans="1:11" ht="40.049999999999997" customHeight="1" x14ac:dyDescent="0.25">
      <c r="A8888" s="11" t="s">
        <v>17918</v>
      </c>
      <c r="B8888" s="11" t="s">
        <v>17918</v>
      </c>
      <c r="C8888" s="11" t="s">
        <v>101</v>
      </c>
      <c r="D8888" s="11" t="s">
        <v>43</v>
      </c>
      <c r="E8888" s="12" t="s">
        <v>381</v>
      </c>
      <c r="F8888" s="12" t="s">
        <v>382</v>
      </c>
      <c r="G8888" s="12" t="s">
        <v>29</v>
      </c>
      <c r="H8888" s="11" t="s">
        <v>63</v>
      </c>
      <c r="I8888" s="13" t="s">
        <v>17930</v>
      </c>
      <c r="J8888" s="14" t="str">
        <f>HYPERLINK("https://www.boe.es/gazeta/dias/1839/06/02/pdfs/GMD-1839-1660.pdf#page=1","Abrir facsímil")</f>
        <v>Abrir facsímil</v>
      </c>
      <c r="K8888" s="12" t="s">
        <v>65</v>
      </c>
    </row>
    <row r="8889" spans="1:11" ht="40.049999999999997" customHeight="1" x14ac:dyDescent="0.25">
      <c r="A8889" s="11" t="s">
        <v>17918</v>
      </c>
      <c r="B8889" s="11" t="s">
        <v>17918</v>
      </c>
      <c r="C8889" s="11" t="s">
        <v>17</v>
      </c>
      <c r="D8889" s="11" t="s">
        <v>18</v>
      </c>
      <c r="E8889" s="12" t="s">
        <v>1606</v>
      </c>
      <c r="F8889" s="12" t="s">
        <v>1607</v>
      </c>
      <c r="G8889" s="12" t="s">
        <v>21</v>
      </c>
      <c r="H8889" s="11" t="s">
        <v>63</v>
      </c>
      <c r="I8889" s="13" t="s">
        <v>17931</v>
      </c>
      <c r="J8889" s="14" t="str">
        <f>HYPERLINK("https://www.boe.es/gazeta/dias/1839/07/02/pdfs/GMD-1839-1690.pdf#page=4","Abrir facsímil")</f>
        <v>Abrir facsímil</v>
      </c>
      <c r="K8889" s="12" t="s">
        <v>65</v>
      </c>
    </row>
    <row r="8890" spans="1:11" ht="40.049999999999997" customHeight="1" x14ac:dyDescent="0.25">
      <c r="A8890" s="11" t="s">
        <v>17918</v>
      </c>
      <c r="B8890" s="11" t="s">
        <v>17918</v>
      </c>
      <c r="C8890" s="11" t="s">
        <v>17</v>
      </c>
      <c r="D8890" s="11" t="s">
        <v>18</v>
      </c>
      <c r="E8890" s="12" t="s">
        <v>1813</v>
      </c>
      <c r="F8890" s="12" t="s">
        <v>1814</v>
      </c>
      <c r="G8890" s="12" t="s">
        <v>29</v>
      </c>
      <c r="H8890" s="11" t="s">
        <v>63</v>
      </c>
      <c r="I8890" s="13" t="s">
        <v>17932</v>
      </c>
      <c r="J8890" s="14" t="str">
        <f>HYPERLINK("https://www.boe.es/gazeta/dias/1839/09/02/pdfs/GMD-1839-1754.pdf#page=1","Abrir facsímil")</f>
        <v>Abrir facsímil</v>
      </c>
      <c r="K8890" s="12" t="s">
        <v>65</v>
      </c>
    </row>
    <row r="8891" spans="1:11" ht="40.049999999999997" customHeight="1" x14ac:dyDescent="0.25">
      <c r="A8891" s="11" t="s">
        <v>17918</v>
      </c>
      <c r="B8891" s="11" t="s">
        <v>17918</v>
      </c>
      <c r="C8891" s="11" t="s">
        <v>17</v>
      </c>
      <c r="D8891" s="11" t="s">
        <v>18</v>
      </c>
      <c r="E8891" s="12" t="s">
        <v>2138</v>
      </c>
      <c r="F8891" s="12" t="s">
        <v>2139</v>
      </c>
      <c r="G8891" s="12" t="s">
        <v>40</v>
      </c>
      <c r="H8891" s="11" t="s">
        <v>63</v>
      </c>
      <c r="I8891" s="13" t="s">
        <v>17933</v>
      </c>
      <c r="J8891" s="14" t="str">
        <f>HYPERLINK("https://www.boe.es/gazeta/dias/1839/10/02/pdfs/GMD-1839-1788.pdf#page=2","Abrir facsímil")</f>
        <v>Abrir facsímil</v>
      </c>
      <c r="K8891" s="12" t="s">
        <v>65</v>
      </c>
    </row>
    <row r="8892" spans="1:11" ht="40.049999999999997" customHeight="1" x14ac:dyDescent="0.25">
      <c r="A8892" s="11" t="s">
        <v>17918</v>
      </c>
      <c r="B8892" s="11" t="s">
        <v>17918</v>
      </c>
      <c r="C8892" s="11" t="s">
        <v>17</v>
      </c>
      <c r="D8892" s="11" t="s">
        <v>18</v>
      </c>
      <c r="E8892" s="12" t="s">
        <v>2138</v>
      </c>
      <c r="F8892" s="12" t="s">
        <v>2139</v>
      </c>
      <c r="G8892" s="12" t="s">
        <v>21</v>
      </c>
      <c r="H8892" s="11" t="s">
        <v>63</v>
      </c>
      <c r="I8892" s="13" t="s">
        <v>17934</v>
      </c>
      <c r="J8892" s="14" t="str">
        <f>HYPERLINK("https://www.boe.es/gazeta/dias/1839/10/02/pdfs/GMD-1839-1788.pdf#page=4","Abrir facsímil")</f>
        <v>Abrir facsímil</v>
      </c>
      <c r="K8892" s="12" t="s">
        <v>65</v>
      </c>
    </row>
    <row r="8893" spans="1:11" ht="40.049999999999997" customHeight="1" x14ac:dyDescent="0.25">
      <c r="A8893" s="11" t="s">
        <v>17918</v>
      </c>
      <c r="B8893" s="11" t="s">
        <v>17918</v>
      </c>
      <c r="C8893" s="11" t="s">
        <v>80</v>
      </c>
      <c r="D8893" s="11" t="s">
        <v>18</v>
      </c>
      <c r="E8893" s="12" t="s">
        <v>2138</v>
      </c>
      <c r="F8893" s="12" t="s">
        <v>2139</v>
      </c>
      <c r="G8893" s="12" t="s">
        <v>305</v>
      </c>
      <c r="H8893" s="11" t="s">
        <v>63</v>
      </c>
      <c r="I8893" s="13" t="s">
        <v>17935</v>
      </c>
      <c r="J8893" s="14" t="str">
        <f>HYPERLINK("https://www.boe.es/gazeta/dias/1839/10/02/pdfs/GMD-1839-1788.pdf#page=6","Abrir facsímil")</f>
        <v>Abrir facsímil</v>
      </c>
      <c r="K8893" s="12" t="s">
        <v>65</v>
      </c>
    </row>
    <row r="8894" spans="1:11" ht="40.049999999999997" customHeight="1" x14ac:dyDescent="0.25">
      <c r="A8894" s="11" t="s">
        <v>17918</v>
      </c>
      <c r="B8894" s="11" t="s">
        <v>17918</v>
      </c>
      <c r="C8894" s="11" t="s">
        <v>17</v>
      </c>
      <c r="D8894" s="11" t="s">
        <v>18</v>
      </c>
      <c r="E8894" s="12" t="s">
        <v>2443</v>
      </c>
      <c r="F8894" s="12" t="s">
        <v>2444</v>
      </c>
      <c r="G8894" s="12" t="s">
        <v>29</v>
      </c>
      <c r="H8894" s="11" t="s">
        <v>63</v>
      </c>
      <c r="I8894" s="13" t="s">
        <v>17936</v>
      </c>
      <c r="J8894" s="14" t="str">
        <f>HYPERLINK("https://www.boe.es/gazeta/dias/1839/11/02/pdfs/GMD-1839-1819.pdf#page=1","Abrir facsímil")</f>
        <v>Abrir facsímil</v>
      </c>
      <c r="K8894" s="12" t="s">
        <v>65</v>
      </c>
    </row>
    <row r="8895" spans="1:11" ht="40.049999999999997" customHeight="1" x14ac:dyDescent="0.25">
      <c r="A8895" s="11" t="s">
        <v>17918</v>
      </c>
      <c r="B8895" s="11" t="s">
        <v>17918</v>
      </c>
      <c r="C8895" s="11" t="s">
        <v>59</v>
      </c>
      <c r="D8895" s="11" t="s">
        <v>60</v>
      </c>
      <c r="E8895" s="12" t="s">
        <v>1136</v>
      </c>
      <c r="F8895" s="12" t="s">
        <v>1137</v>
      </c>
      <c r="G8895" s="12" t="s">
        <v>29</v>
      </c>
      <c r="H8895" s="11" t="s">
        <v>63</v>
      </c>
      <c r="I8895" s="13" t="s">
        <v>17937</v>
      </c>
      <c r="J8895" s="14" t="str">
        <f>HYPERLINK("https://www.boe.es/gazeta/dias/1839/04/03/pdfs/GMD-1839-1600.pdf#page=1","Abrir facsímil")</f>
        <v>Abrir facsímil</v>
      </c>
      <c r="K8895" s="12" t="s">
        <v>65</v>
      </c>
    </row>
    <row r="8896" spans="1:11" ht="40.049999999999997" customHeight="1" x14ac:dyDescent="0.25">
      <c r="A8896" s="11" t="s">
        <v>17918</v>
      </c>
      <c r="B8896" s="11" t="s">
        <v>17918</v>
      </c>
      <c r="C8896" s="11" t="s">
        <v>59</v>
      </c>
      <c r="D8896" s="11" t="s">
        <v>60</v>
      </c>
      <c r="E8896" s="12" t="s">
        <v>1614</v>
      </c>
      <c r="F8896" s="12" t="s">
        <v>1615</v>
      </c>
      <c r="G8896" s="12" t="s">
        <v>29</v>
      </c>
      <c r="H8896" s="11" t="s">
        <v>63</v>
      </c>
      <c r="I8896" s="13" t="s">
        <v>17938</v>
      </c>
      <c r="J8896" s="14" t="str">
        <f>HYPERLINK("https://www.boe.es/gazeta/dias/1839/07/03/pdfs/GMD-1839-1691.pdf#page=1","Abrir facsímil")</f>
        <v>Abrir facsímil</v>
      </c>
      <c r="K8896" s="12" t="s">
        <v>65</v>
      </c>
    </row>
    <row r="8897" spans="1:11" ht="40.049999999999997" customHeight="1" x14ac:dyDescent="0.25">
      <c r="A8897" s="11" t="s">
        <v>17918</v>
      </c>
      <c r="B8897" s="11" t="s">
        <v>17918</v>
      </c>
      <c r="C8897" s="11" t="s">
        <v>17</v>
      </c>
      <c r="D8897" s="11" t="s">
        <v>18</v>
      </c>
      <c r="E8897" s="12" t="s">
        <v>212</v>
      </c>
      <c r="F8897" s="12" t="s">
        <v>213</v>
      </c>
      <c r="G8897" s="12" t="s">
        <v>29</v>
      </c>
      <c r="H8897" s="11" t="s">
        <v>63</v>
      </c>
      <c r="I8897" s="13" t="s">
        <v>17939</v>
      </c>
      <c r="J8897" s="14" t="str">
        <f>HYPERLINK("https://www.boe.es/gazeta/dias/1839/10/03/pdfs/GMD-1839-1789.pdf#page=1","Abrir facsímil")</f>
        <v>Abrir facsímil</v>
      </c>
      <c r="K8897" s="12" t="s">
        <v>65</v>
      </c>
    </row>
    <row r="8898" spans="1:11" ht="40.049999999999997" customHeight="1" x14ac:dyDescent="0.25">
      <c r="A8898" s="11" t="s">
        <v>17918</v>
      </c>
      <c r="B8898" s="11" t="s">
        <v>17918</v>
      </c>
      <c r="C8898" s="11" t="s">
        <v>17</v>
      </c>
      <c r="D8898" s="11" t="s">
        <v>18</v>
      </c>
      <c r="E8898" s="12" t="s">
        <v>883</v>
      </c>
      <c r="F8898" s="12" t="s">
        <v>884</v>
      </c>
      <c r="G8898" s="12" t="s">
        <v>29</v>
      </c>
      <c r="H8898" s="11" t="s">
        <v>63</v>
      </c>
      <c r="I8898" s="13" t="s">
        <v>17940</v>
      </c>
      <c r="J8898" s="14" t="str">
        <f>HYPERLINK("https://www.boe.es/gazeta/dias/1839/11/03/pdfs/GMD-1839-1820.pdf#page=1","Abrir facsímil")</f>
        <v>Abrir facsímil</v>
      </c>
      <c r="K8898" s="12" t="s">
        <v>65</v>
      </c>
    </row>
    <row r="8899" spans="1:11" ht="40.049999999999997" customHeight="1" x14ac:dyDescent="0.25">
      <c r="A8899" s="11" t="s">
        <v>17918</v>
      </c>
      <c r="B8899" s="11" t="s">
        <v>17918</v>
      </c>
      <c r="C8899" s="11" t="s">
        <v>80</v>
      </c>
      <c r="D8899" s="11" t="s">
        <v>18</v>
      </c>
      <c r="E8899" s="12" t="s">
        <v>3236</v>
      </c>
      <c r="F8899" s="12" t="s">
        <v>3237</v>
      </c>
      <c r="G8899" s="12" t="s">
        <v>40</v>
      </c>
      <c r="H8899" s="11" t="s">
        <v>63</v>
      </c>
      <c r="I8899" s="13" t="s">
        <v>17941</v>
      </c>
      <c r="J8899" s="14" t="str">
        <f>HYPERLINK("https://www.boe.es/gazeta/dias/1839/12/03/pdfs/GMD-1839-1850.pdf#page=2","Abrir facsímil")</f>
        <v>Abrir facsímil</v>
      </c>
      <c r="K8899" s="12" t="s">
        <v>65</v>
      </c>
    </row>
    <row r="8900" spans="1:11" ht="40.049999999999997" customHeight="1" x14ac:dyDescent="0.25">
      <c r="A8900" s="11" t="s">
        <v>17918</v>
      </c>
      <c r="B8900" s="11" t="s">
        <v>17918</v>
      </c>
      <c r="C8900" s="11" t="s">
        <v>80</v>
      </c>
      <c r="D8900" s="11" t="s">
        <v>18</v>
      </c>
      <c r="E8900" s="12" t="s">
        <v>3236</v>
      </c>
      <c r="F8900" s="12" t="s">
        <v>3237</v>
      </c>
      <c r="G8900" s="12" t="s">
        <v>21</v>
      </c>
      <c r="H8900" s="11" t="s">
        <v>63</v>
      </c>
      <c r="I8900" s="13" t="s">
        <v>17942</v>
      </c>
      <c r="J8900" s="14" t="str">
        <f>HYPERLINK("https://www.boe.es/gazeta/dias/1839/12/03/pdfs/GMD-1839-1850.pdf#page=4","Abrir facsímil")</f>
        <v>Abrir facsímil</v>
      </c>
      <c r="K8900" s="12" t="s">
        <v>65</v>
      </c>
    </row>
    <row r="8901" spans="1:11" ht="40.049999999999997" customHeight="1" x14ac:dyDescent="0.25">
      <c r="A8901" s="11" t="s">
        <v>17918</v>
      </c>
      <c r="B8901" s="11" t="s">
        <v>17918</v>
      </c>
      <c r="C8901" s="11" t="s">
        <v>80</v>
      </c>
      <c r="D8901" s="11" t="s">
        <v>18</v>
      </c>
      <c r="E8901" s="12" t="s">
        <v>108</v>
      </c>
      <c r="F8901" s="12" t="s">
        <v>109</v>
      </c>
      <c r="G8901" s="12" t="s">
        <v>29</v>
      </c>
      <c r="H8901" s="11" t="s">
        <v>63</v>
      </c>
      <c r="I8901" s="13" t="s">
        <v>17943</v>
      </c>
      <c r="J8901" s="14" t="str">
        <f>HYPERLINK("https://www.boe.es/gazeta/dias/1839/01/04/pdfs/GMD-1839-1511.pdf#page=1","Abrir facsímil")</f>
        <v>Abrir facsímil</v>
      </c>
      <c r="K8901" s="12" t="s">
        <v>65</v>
      </c>
    </row>
    <row r="8902" spans="1:11" ht="40.049999999999997" customHeight="1" x14ac:dyDescent="0.25">
      <c r="A8902" s="11" t="s">
        <v>17918</v>
      </c>
      <c r="B8902" s="11" t="s">
        <v>17918</v>
      </c>
      <c r="C8902" s="11" t="s">
        <v>59</v>
      </c>
      <c r="D8902" s="11" t="s">
        <v>60</v>
      </c>
      <c r="E8902" s="12" t="s">
        <v>1388</v>
      </c>
      <c r="F8902" s="12" t="s">
        <v>1389</v>
      </c>
      <c r="G8902" s="12" t="s">
        <v>29</v>
      </c>
      <c r="H8902" s="11" t="s">
        <v>63</v>
      </c>
      <c r="I8902" s="13" t="s">
        <v>17944</v>
      </c>
      <c r="J8902" s="14" t="str">
        <f>HYPERLINK("https://www.boe.es/gazeta/dias/1839/06/04/pdfs/GMD-1839-1662.pdf#page=1","Abrir facsímil")</f>
        <v>Abrir facsímil</v>
      </c>
      <c r="K8902" s="12" t="s">
        <v>65</v>
      </c>
    </row>
    <row r="8903" spans="1:11" ht="40.049999999999997" customHeight="1" x14ac:dyDescent="0.25">
      <c r="A8903" s="11" t="s">
        <v>17918</v>
      </c>
      <c r="B8903" s="11" t="s">
        <v>17918</v>
      </c>
      <c r="C8903" s="11" t="s">
        <v>17</v>
      </c>
      <c r="D8903" s="11" t="s">
        <v>18</v>
      </c>
      <c r="E8903" s="12" t="s">
        <v>4957</v>
      </c>
      <c r="F8903" s="12" t="s">
        <v>4958</v>
      </c>
      <c r="G8903" s="12" t="s">
        <v>40</v>
      </c>
      <c r="H8903" s="11" t="s">
        <v>63</v>
      </c>
      <c r="I8903" s="13" t="s">
        <v>17945</v>
      </c>
      <c r="J8903" s="14" t="str">
        <f>HYPERLINK("https://www.boe.es/gazeta/dias/1839/11/04/pdfs/GMD-1839-1821.pdf#page=2","Abrir facsímil")</f>
        <v>Abrir facsímil</v>
      </c>
      <c r="K8903" s="12" t="s">
        <v>65</v>
      </c>
    </row>
    <row r="8904" spans="1:11" ht="40.049999999999997" customHeight="1" x14ac:dyDescent="0.25">
      <c r="A8904" s="11" t="s">
        <v>17918</v>
      </c>
      <c r="B8904" s="11" t="s">
        <v>17918</v>
      </c>
      <c r="C8904" s="11" t="s">
        <v>17</v>
      </c>
      <c r="D8904" s="11" t="s">
        <v>18</v>
      </c>
      <c r="E8904" s="12" t="s">
        <v>2227</v>
      </c>
      <c r="F8904" s="12" t="s">
        <v>2228</v>
      </c>
      <c r="G8904" s="12" t="s">
        <v>29</v>
      </c>
      <c r="H8904" s="11" t="s">
        <v>63</v>
      </c>
      <c r="I8904" s="13" t="s">
        <v>17946</v>
      </c>
      <c r="J8904" s="14" t="str">
        <f>HYPERLINK("https://www.boe.es/gazeta/dias/1839/12/04/pdfs/GMD-1839-1851.pdf#page=1","Abrir facsímil")</f>
        <v>Abrir facsímil</v>
      </c>
      <c r="K8904" s="12" t="s">
        <v>65</v>
      </c>
    </row>
    <row r="8905" spans="1:11" ht="40.049999999999997" customHeight="1" x14ac:dyDescent="0.25">
      <c r="A8905" s="11" t="s">
        <v>17918</v>
      </c>
      <c r="B8905" s="11" t="s">
        <v>17918</v>
      </c>
      <c r="C8905" s="11" t="s">
        <v>17</v>
      </c>
      <c r="D8905" s="11" t="s">
        <v>18</v>
      </c>
      <c r="E8905" s="12" t="s">
        <v>1340</v>
      </c>
      <c r="F8905" s="12" t="s">
        <v>1341</v>
      </c>
      <c r="G8905" s="12" t="s">
        <v>21</v>
      </c>
      <c r="H8905" s="11" t="s">
        <v>63</v>
      </c>
      <c r="I8905" s="13" t="s">
        <v>17947</v>
      </c>
      <c r="J8905" s="14" t="str">
        <f>HYPERLINK("https://www.boe.es/gazeta/dias/1839/05/05/pdfs/GMD-1839-1632.pdf#page=4","Abrir facsímil")</f>
        <v>Abrir facsímil</v>
      </c>
      <c r="K8905" s="12" t="s">
        <v>65</v>
      </c>
    </row>
    <row r="8906" spans="1:11" ht="40.049999999999997" customHeight="1" x14ac:dyDescent="0.25">
      <c r="A8906" s="11" t="s">
        <v>17918</v>
      </c>
      <c r="B8906" s="11" t="s">
        <v>17918</v>
      </c>
      <c r="C8906" s="11" t="s">
        <v>17</v>
      </c>
      <c r="D8906" s="11" t="s">
        <v>18</v>
      </c>
      <c r="E8906" s="12" t="s">
        <v>54</v>
      </c>
      <c r="F8906" s="12" t="s">
        <v>55</v>
      </c>
      <c r="G8906" s="12" t="s">
        <v>29</v>
      </c>
      <c r="H8906" s="11" t="s">
        <v>63</v>
      </c>
      <c r="I8906" s="13" t="s">
        <v>17948</v>
      </c>
      <c r="J8906" s="14" t="str">
        <f>HYPERLINK("https://www.boe.es/gazeta/dias/1839/10/05/pdfs/GMD-1839-1791.pdf#page=1","Abrir facsímil")</f>
        <v>Abrir facsímil</v>
      </c>
      <c r="K8906" s="12" t="s">
        <v>65</v>
      </c>
    </row>
    <row r="8907" spans="1:11" ht="40.049999999999997" customHeight="1" x14ac:dyDescent="0.25">
      <c r="A8907" s="11" t="s">
        <v>17918</v>
      </c>
      <c r="B8907" s="11" t="s">
        <v>17918</v>
      </c>
      <c r="C8907" s="11" t="s">
        <v>80</v>
      </c>
      <c r="D8907" s="11" t="s">
        <v>18</v>
      </c>
      <c r="E8907" s="12" t="s">
        <v>770</v>
      </c>
      <c r="F8907" s="12" t="s">
        <v>771</v>
      </c>
      <c r="G8907" s="12" t="s">
        <v>40</v>
      </c>
      <c r="H8907" s="11" t="s">
        <v>63</v>
      </c>
      <c r="I8907" s="13" t="s">
        <v>17949</v>
      </c>
      <c r="J8907" s="14" t="str">
        <f>HYPERLINK("https://www.boe.es/gazeta/dias/1839/12/05/pdfs/GMD-1839-1852.pdf#page=2","Abrir facsímil")</f>
        <v>Abrir facsímil</v>
      </c>
      <c r="K8907" s="12" t="s">
        <v>65</v>
      </c>
    </row>
    <row r="8908" spans="1:11" ht="40.049999999999997" customHeight="1" x14ac:dyDescent="0.25">
      <c r="A8908" s="11" t="s">
        <v>17918</v>
      </c>
      <c r="B8908" s="11" t="s">
        <v>17918</v>
      </c>
      <c r="C8908" s="11" t="s">
        <v>101</v>
      </c>
      <c r="D8908" s="11" t="s">
        <v>102</v>
      </c>
      <c r="E8908" s="12" t="s">
        <v>2165</v>
      </c>
      <c r="F8908" s="12" t="s">
        <v>2166</v>
      </c>
      <c r="G8908" s="12" t="s">
        <v>29</v>
      </c>
      <c r="H8908" s="11" t="s">
        <v>63</v>
      </c>
      <c r="I8908" s="13" t="s">
        <v>17950</v>
      </c>
      <c r="J8908" s="14" t="str">
        <f>HYPERLINK("https://www.boe.es/gazeta/dias/1839/01/06/pdfs/GMD-1839-1513.pdf#page=1","Abrir facsímil")</f>
        <v>Abrir facsímil</v>
      </c>
      <c r="K8908" s="12" t="s">
        <v>65</v>
      </c>
    </row>
    <row r="8909" spans="1:11" ht="40.049999999999997" customHeight="1" x14ac:dyDescent="0.25">
      <c r="A8909" s="11" t="s">
        <v>17918</v>
      </c>
      <c r="B8909" s="11" t="s">
        <v>17918</v>
      </c>
      <c r="C8909" s="11" t="s">
        <v>17</v>
      </c>
      <c r="D8909" s="11" t="s">
        <v>18</v>
      </c>
      <c r="E8909" s="12" t="s">
        <v>2839</v>
      </c>
      <c r="F8909" s="12" t="s">
        <v>2840</v>
      </c>
      <c r="G8909" s="12" t="s">
        <v>21</v>
      </c>
      <c r="H8909" s="11" t="s">
        <v>63</v>
      </c>
      <c r="I8909" s="13" t="s">
        <v>17951</v>
      </c>
      <c r="J8909" s="14" t="str">
        <f>HYPERLINK("https://www.boe.es/gazeta/dias/1839/03/06/pdfs/GMD-1839-1572.pdf#page=4","Abrir facsímil")</f>
        <v>Abrir facsímil</v>
      </c>
      <c r="K8909" s="12" t="s">
        <v>65</v>
      </c>
    </row>
    <row r="8910" spans="1:11" ht="40.049999999999997" customHeight="1" x14ac:dyDescent="0.25">
      <c r="A8910" s="11" t="s">
        <v>17918</v>
      </c>
      <c r="B8910" s="11" t="s">
        <v>17918</v>
      </c>
      <c r="C8910" s="11" t="s">
        <v>80</v>
      </c>
      <c r="D8910" s="11" t="s">
        <v>18</v>
      </c>
      <c r="E8910" s="12" t="s">
        <v>217</v>
      </c>
      <c r="F8910" s="12" t="s">
        <v>218</v>
      </c>
      <c r="G8910" s="12" t="s">
        <v>46</v>
      </c>
      <c r="H8910" s="11" t="s">
        <v>63</v>
      </c>
      <c r="I8910" s="13" t="s">
        <v>17952</v>
      </c>
      <c r="J8910" s="14" t="str">
        <f>HYPERLINK("https://www.boe.es/gazeta/dias/1839/08/06/pdfs/GMD-1839-1726.pdf#page=3","Abrir facsímil")</f>
        <v>Abrir facsímil</v>
      </c>
      <c r="K8910" s="12" t="s">
        <v>65</v>
      </c>
    </row>
    <row r="8911" spans="1:11" ht="40.049999999999997" customHeight="1" x14ac:dyDescent="0.25">
      <c r="A8911" s="11" t="s">
        <v>17918</v>
      </c>
      <c r="B8911" s="11" t="s">
        <v>17918</v>
      </c>
      <c r="C8911" s="11" t="s">
        <v>80</v>
      </c>
      <c r="D8911" s="11" t="s">
        <v>18</v>
      </c>
      <c r="E8911" s="12" t="s">
        <v>2738</v>
      </c>
      <c r="F8911" s="12" t="s">
        <v>2739</v>
      </c>
      <c r="G8911" s="12" t="s">
        <v>21</v>
      </c>
      <c r="H8911" s="11" t="s">
        <v>63</v>
      </c>
      <c r="I8911" s="13" t="s">
        <v>17953</v>
      </c>
      <c r="J8911" s="14" t="str">
        <f>HYPERLINK("https://www.boe.es/gazeta/dias/1839/09/06/pdfs/GMD-1839-1759.pdf#page=4","Abrir facsímil")</f>
        <v>Abrir facsímil</v>
      </c>
      <c r="K8911" s="12" t="s">
        <v>65</v>
      </c>
    </row>
    <row r="8912" spans="1:11" ht="40.049999999999997" customHeight="1" x14ac:dyDescent="0.25">
      <c r="A8912" s="11" t="s">
        <v>17918</v>
      </c>
      <c r="B8912" s="11" t="s">
        <v>17918</v>
      </c>
      <c r="C8912" s="11" t="s">
        <v>101</v>
      </c>
      <c r="D8912" s="11" t="s">
        <v>43</v>
      </c>
      <c r="E8912" s="12" t="s">
        <v>303</v>
      </c>
      <c r="F8912" s="12" t="s">
        <v>304</v>
      </c>
      <c r="G8912" s="12" t="s">
        <v>29</v>
      </c>
      <c r="H8912" s="11" t="s">
        <v>63</v>
      </c>
      <c r="I8912" s="13" t="s">
        <v>17954</v>
      </c>
      <c r="J8912" s="14" t="str">
        <f>HYPERLINK("https://www.boe.es/gazeta/dias/1839/10/06/pdfs/GMD-1839-1792.pdf#page=1","Abrir facsímil")</f>
        <v>Abrir facsímil</v>
      </c>
      <c r="K8912" s="12" t="s">
        <v>65</v>
      </c>
    </row>
    <row r="8913" spans="1:11" ht="40.049999999999997" customHeight="1" x14ac:dyDescent="0.25">
      <c r="A8913" s="11" t="s">
        <v>17918</v>
      </c>
      <c r="B8913" s="11" t="s">
        <v>17918</v>
      </c>
      <c r="C8913" s="11" t="s">
        <v>80</v>
      </c>
      <c r="D8913" s="11" t="s">
        <v>18</v>
      </c>
      <c r="E8913" s="12" t="s">
        <v>4044</v>
      </c>
      <c r="F8913" s="12" t="s">
        <v>4045</v>
      </c>
      <c r="G8913" s="12" t="s">
        <v>29</v>
      </c>
      <c r="H8913" s="11" t="s">
        <v>63</v>
      </c>
      <c r="I8913" s="13" t="s">
        <v>17955</v>
      </c>
      <c r="J8913" s="14" t="str">
        <f>HYPERLINK("https://www.boe.es/gazeta/dias/1839/01/07/pdfs/GMD-1839-1514.pdf#page=1","Abrir facsímil")</f>
        <v>Abrir facsímil</v>
      </c>
      <c r="K8913" s="12" t="s">
        <v>65</v>
      </c>
    </row>
    <row r="8914" spans="1:11" ht="40.049999999999997" customHeight="1" x14ac:dyDescent="0.25">
      <c r="A8914" s="11" t="s">
        <v>17918</v>
      </c>
      <c r="B8914" s="11" t="s">
        <v>17918</v>
      </c>
      <c r="C8914" s="11" t="s">
        <v>17</v>
      </c>
      <c r="D8914" s="11" t="s">
        <v>18</v>
      </c>
      <c r="E8914" s="12" t="s">
        <v>4044</v>
      </c>
      <c r="F8914" s="12" t="s">
        <v>4045</v>
      </c>
      <c r="G8914" s="12" t="s">
        <v>40</v>
      </c>
      <c r="H8914" s="11" t="s">
        <v>63</v>
      </c>
      <c r="I8914" s="13" t="s">
        <v>17956</v>
      </c>
      <c r="J8914" s="14" t="str">
        <f>HYPERLINK("https://www.boe.es/gazeta/dias/1839/01/07/pdfs/GMD-1839-1514.pdf#page=2","Abrir facsímil")</f>
        <v>Abrir facsímil</v>
      </c>
      <c r="K8914" s="12" t="s">
        <v>65</v>
      </c>
    </row>
    <row r="8915" spans="1:11" ht="40.049999999999997" customHeight="1" x14ac:dyDescent="0.25">
      <c r="A8915" s="11" t="s">
        <v>17918</v>
      </c>
      <c r="B8915" s="11" t="s">
        <v>17918</v>
      </c>
      <c r="C8915" s="11" t="s">
        <v>137</v>
      </c>
      <c r="D8915" s="11" t="s">
        <v>18</v>
      </c>
      <c r="E8915" s="12" t="s">
        <v>4055</v>
      </c>
      <c r="F8915" s="12" t="s">
        <v>4056</v>
      </c>
      <c r="G8915" s="12" t="s">
        <v>29</v>
      </c>
      <c r="H8915" s="11" t="s">
        <v>63</v>
      </c>
      <c r="I8915" s="13" t="s">
        <v>17957</v>
      </c>
      <c r="J8915" s="14" t="str">
        <f>HYPERLINK("https://www.boe.es/gazeta/dias/1839/03/07/pdfs/GMD-1839-1573.pdf#page=1","Abrir facsímil")</f>
        <v>Abrir facsímil</v>
      </c>
      <c r="K8915" s="12" t="s">
        <v>65</v>
      </c>
    </row>
    <row r="8916" spans="1:11" ht="40.049999999999997" customHeight="1" x14ac:dyDescent="0.25">
      <c r="A8916" s="11" t="s">
        <v>17918</v>
      </c>
      <c r="B8916" s="11" t="s">
        <v>17918</v>
      </c>
      <c r="C8916" s="11" t="s">
        <v>59</v>
      </c>
      <c r="D8916" s="11" t="s">
        <v>60</v>
      </c>
      <c r="E8916" s="12" t="s">
        <v>1008</v>
      </c>
      <c r="F8916" s="12" t="s">
        <v>1009</v>
      </c>
      <c r="G8916" s="12" t="s">
        <v>40</v>
      </c>
      <c r="H8916" s="11" t="s">
        <v>63</v>
      </c>
      <c r="I8916" s="13" t="s">
        <v>17958</v>
      </c>
      <c r="J8916" s="14" t="str">
        <f>HYPERLINK("https://www.boe.es/gazeta/dias/1839/09/07/pdfs/GMD-1839-1760.pdf#page=2","Abrir facsímil")</f>
        <v>Abrir facsímil</v>
      </c>
      <c r="K8916" s="12" t="s">
        <v>65</v>
      </c>
    </row>
    <row r="8917" spans="1:11" ht="40.049999999999997" customHeight="1" x14ac:dyDescent="0.25">
      <c r="A8917" s="11" t="s">
        <v>17918</v>
      </c>
      <c r="B8917" s="11" t="s">
        <v>17918</v>
      </c>
      <c r="C8917" s="11" t="s">
        <v>17</v>
      </c>
      <c r="D8917" s="11" t="s">
        <v>18</v>
      </c>
      <c r="E8917" s="12" t="s">
        <v>934</v>
      </c>
      <c r="F8917" s="12" t="s">
        <v>935</v>
      </c>
      <c r="G8917" s="12" t="s">
        <v>29</v>
      </c>
      <c r="H8917" s="11" t="s">
        <v>63</v>
      </c>
      <c r="I8917" s="13" t="s">
        <v>17959</v>
      </c>
      <c r="J8917" s="14" t="str">
        <f>HYPERLINK("https://www.boe.es/gazeta/dias/1839/11/07/pdfs/GMD-1839-1824.pdf#page=1","Abrir facsímil")</f>
        <v>Abrir facsímil</v>
      </c>
      <c r="K8917" s="12" t="s">
        <v>65</v>
      </c>
    </row>
    <row r="8918" spans="1:11" ht="40.049999999999997" customHeight="1" x14ac:dyDescent="0.25">
      <c r="A8918" s="11" t="s">
        <v>17918</v>
      </c>
      <c r="B8918" s="11" t="s">
        <v>17918</v>
      </c>
      <c r="C8918" s="11" t="s">
        <v>59</v>
      </c>
      <c r="D8918" s="11" t="s">
        <v>60</v>
      </c>
      <c r="E8918" s="12" t="s">
        <v>918</v>
      </c>
      <c r="F8918" s="12" t="s">
        <v>919</v>
      </c>
      <c r="G8918" s="12" t="s">
        <v>29</v>
      </c>
      <c r="H8918" s="11" t="s">
        <v>63</v>
      </c>
      <c r="I8918" s="13" t="s">
        <v>17960</v>
      </c>
      <c r="J8918" s="14" t="str">
        <f>HYPERLINK("https://www.boe.es/gazeta/dias/1839/12/07/pdfs/GMD-1839-1854.pdf#page=1","Abrir facsímil")</f>
        <v>Abrir facsímil</v>
      </c>
      <c r="K8918" s="12" t="s">
        <v>65</v>
      </c>
    </row>
    <row r="8919" spans="1:11" ht="40.049999999999997" customHeight="1" x14ac:dyDescent="0.25">
      <c r="A8919" s="11" t="s">
        <v>17918</v>
      </c>
      <c r="B8919" s="11" t="s">
        <v>17918</v>
      </c>
      <c r="C8919" s="11" t="s">
        <v>17</v>
      </c>
      <c r="D8919" s="11" t="s">
        <v>18</v>
      </c>
      <c r="E8919" s="12" t="s">
        <v>157</v>
      </c>
      <c r="F8919" s="12" t="s">
        <v>158</v>
      </c>
      <c r="G8919" s="12" t="s">
        <v>29</v>
      </c>
      <c r="H8919" s="11" t="s">
        <v>63</v>
      </c>
      <c r="I8919" s="13" t="s">
        <v>17961</v>
      </c>
      <c r="J8919" s="14" t="str">
        <f>HYPERLINK("https://www.boe.es/gazeta/dias/1839/02/08/pdfs/GMD-1839-1546.pdf#page=1","Abrir facsímil")</f>
        <v>Abrir facsímil</v>
      </c>
      <c r="K8919" s="12" t="s">
        <v>65</v>
      </c>
    </row>
    <row r="8920" spans="1:11" ht="40.049999999999997" customHeight="1" x14ac:dyDescent="0.25">
      <c r="A8920" s="11" t="s">
        <v>17918</v>
      </c>
      <c r="B8920" s="11" t="s">
        <v>17918</v>
      </c>
      <c r="C8920" s="11" t="s">
        <v>80</v>
      </c>
      <c r="D8920" s="11" t="s">
        <v>18</v>
      </c>
      <c r="E8920" s="12" t="s">
        <v>2301</v>
      </c>
      <c r="F8920" s="12" t="s">
        <v>2302</v>
      </c>
      <c r="G8920" s="12" t="s">
        <v>21</v>
      </c>
      <c r="H8920" s="11" t="s">
        <v>63</v>
      </c>
      <c r="I8920" s="13" t="s">
        <v>17962</v>
      </c>
      <c r="J8920" s="14" t="str">
        <f>HYPERLINK("https://www.boe.es/gazeta/dias/1839/09/08/pdfs/GMD-1839-1761.pdf#page=4","Abrir facsímil")</f>
        <v>Abrir facsímil</v>
      </c>
      <c r="K8920" s="12" t="s">
        <v>65</v>
      </c>
    </row>
    <row r="8921" spans="1:11" ht="40.049999999999997" customHeight="1" x14ac:dyDescent="0.25">
      <c r="A8921" s="11" t="s">
        <v>17918</v>
      </c>
      <c r="B8921" s="11" t="s">
        <v>17918</v>
      </c>
      <c r="C8921" s="11" t="s">
        <v>17</v>
      </c>
      <c r="D8921" s="11" t="s">
        <v>18</v>
      </c>
      <c r="E8921" s="12" t="s">
        <v>647</v>
      </c>
      <c r="F8921" s="12" t="s">
        <v>648</v>
      </c>
      <c r="G8921" s="12" t="s">
        <v>40</v>
      </c>
      <c r="H8921" s="11" t="s">
        <v>63</v>
      </c>
      <c r="I8921" s="13" t="s">
        <v>17963</v>
      </c>
      <c r="J8921" s="14" t="str">
        <f>HYPERLINK("https://www.boe.es/gazeta/dias/1839/10/08/pdfs/GMD-1839-1794.pdf#page=2","Abrir facsímil")</f>
        <v>Abrir facsímil</v>
      </c>
      <c r="K8921" s="12" t="s">
        <v>65</v>
      </c>
    </row>
    <row r="8922" spans="1:11" ht="40.049999999999997" customHeight="1" x14ac:dyDescent="0.25">
      <c r="A8922" s="11" t="s">
        <v>17918</v>
      </c>
      <c r="B8922" s="11" t="s">
        <v>17918</v>
      </c>
      <c r="C8922" s="11" t="s">
        <v>17</v>
      </c>
      <c r="D8922" s="11" t="s">
        <v>43</v>
      </c>
      <c r="E8922" s="12" t="s">
        <v>647</v>
      </c>
      <c r="F8922" s="12" t="s">
        <v>648</v>
      </c>
      <c r="G8922" s="12" t="s">
        <v>14301</v>
      </c>
      <c r="H8922" s="11" t="s">
        <v>63</v>
      </c>
      <c r="I8922" s="13" t="s">
        <v>17964</v>
      </c>
      <c r="J8922" s="14" t="str">
        <f>HYPERLINK("https://www.boe.es/gazeta/dias/1839/10/08/pdfs/GMD-1839-1794.pdf#page=8","Abrir facsímil")</f>
        <v>Abrir facsímil</v>
      </c>
      <c r="K8922" s="12" t="s">
        <v>65</v>
      </c>
    </row>
    <row r="8923" spans="1:11" ht="40.049999999999997" customHeight="1" x14ac:dyDescent="0.25">
      <c r="A8923" s="11" t="s">
        <v>17918</v>
      </c>
      <c r="B8923" s="11" t="s">
        <v>17918</v>
      </c>
      <c r="C8923" s="11" t="s">
        <v>17</v>
      </c>
      <c r="D8923" s="11" t="s">
        <v>18</v>
      </c>
      <c r="E8923" s="12" t="s">
        <v>2050</v>
      </c>
      <c r="F8923" s="12" t="s">
        <v>2051</v>
      </c>
      <c r="G8923" s="12" t="s">
        <v>29</v>
      </c>
      <c r="H8923" s="11" t="s">
        <v>63</v>
      </c>
      <c r="I8923" s="13" t="s">
        <v>17965</v>
      </c>
      <c r="J8923" s="14" t="str">
        <f>HYPERLINK("https://www.boe.es/gazeta/dias/1839/01/09/pdfs/GMD-1839-1516.pdf#page=1","Abrir facsímil")</f>
        <v>Abrir facsímil</v>
      </c>
      <c r="K8923" s="12" t="s">
        <v>65</v>
      </c>
    </row>
    <row r="8924" spans="1:11" ht="40.049999999999997" customHeight="1" x14ac:dyDescent="0.25">
      <c r="A8924" s="11" t="s">
        <v>17918</v>
      </c>
      <c r="B8924" s="11" t="s">
        <v>17918</v>
      </c>
      <c r="C8924" s="11" t="s">
        <v>17</v>
      </c>
      <c r="D8924" s="11" t="s">
        <v>18</v>
      </c>
      <c r="E8924" s="12" t="s">
        <v>68</v>
      </c>
      <c r="F8924" s="12" t="s">
        <v>69</v>
      </c>
      <c r="G8924" s="12" t="s">
        <v>46</v>
      </c>
      <c r="H8924" s="11" t="s">
        <v>63</v>
      </c>
      <c r="I8924" s="13" t="s">
        <v>17966</v>
      </c>
      <c r="J8924" s="14" t="str">
        <f>HYPERLINK("https://www.boe.es/gazeta/dias/1839/02/09/pdfs/GMD-1839-1547.pdf#page=3","Abrir facsímil")</f>
        <v>Abrir facsímil</v>
      </c>
      <c r="K8924" s="12" t="s">
        <v>65</v>
      </c>
    </row>
    <row r="8925" spans="1:11" ht="40.049999999999997" customHeight="1" x14ac:dyDescent="0.25">
      <c r="A8925" s="11" t="s">
        <v>17918</v>
      </c>
      <c r="B8925" s="11" t="s">
        <v>17918</v>
      </c>
      <c r="C8925" s="11" t="s">
        <v>101</v>
      </c>
      <c r="D8925" s="11" t="s">
        <v>102</v>
      </c>
      <c r="E8925" s="12" t="s">
        <v>3705</v>
      </c>
      <c r="F8925" s="12" t="s">
        <v>3706</v>
      </c>
      <c r="G8925" s="12" t="s">
        <v>46</v>
      </c>
      <c r="H8925" s="11" t="s">
        <v>63</v>
      </c>
      <c r="I8925" s="13" t="s">
        <v>17967</v>
      </c>
      <c r="J8925" s="14" t="str">
        <f>HYPERLINK("https://www.boe.es/gazeta/dias/1839/03/09/pdfs/GMD-1839-1575.pdf#page=3","Abrir facsímil")</f>
        <v>Abrir facsímil</v>
      </c>
      <c r="K8925" s="12" t="s">
        <v>65</v>
      </c>
    </row>
    <row r="8926" spans="1:11" ht="40.049999999999997" customHeight="1" x14ac:dyDescent="0.25">
      <c r="A8926" s="11" t="s">
        <v>17918</v>
      </c>
      <c r="B8926" s="11" t="s">
        <v>17918</v>
      </c>
      <c r="C8926" s="11" t="s">
        <v>137</v>
      </c>
      <c r="D8926" s="11" t="s">
        <v>18</v>
      </c>
      <c r="E8926" s="12" t="s">
        <v>138</v>
      </c>
      <c r="F8926" s="12" t="s">
        <v>139</v>
      </c>
      <c r="G8926" s="12" t="s">
        <v>40</v>
      </c>
      <c r="H8926" s="11" t="s">
        <v>63</v>
      </c>
      <c r="I8926" s="13" t="s">
        <v>17968</v>
      </c>
      <c r="J8926" s="14" t="str">
        <f>HYPERLINK("https://www.boe.es/gazeta/dias/1839/10/09/pdfs/GMD-1839-1795.pdf#page=2","Abrir facsímil")</f>
        <v>Abrir facsímil</v>
      </c>
      <c r="K8926" s="12" t="s">
        <v>65</v>
      </c>
    </row>
    <row r="8927" spans="1:11" ht="40.049999999999997" customHeight="1" x14ac:dyDescent="0.25">
      <c r="A8927" s="11" t="s">
        <v>17918</v>
      </c>
      <c r="B8927" s="11" t="s">
        <v>17918</v>
      </c>
      <c r="C8927" s="11" t="s">
        <v>17</v>
      </c>
      <c r="D8927" s="11" t="s">
        <v>18</v>
      </c>
      <c r="E8927" s="12" t="s">
        <v>582</v>
      </c>
      <c r="F8927" s="12" t="s">
        <v>583</v>
      </c>
      <c r="G8927" s="12" t="s">
        <v>29</v>
      </c>
      <c r="H8927" s="11" t="s">
        <v>63</v>
      </c>
      <c r="I8927" s="13" t="s">
        <v>17969</v>
      </c>
      <c r="J8927" s="14" t="str">
        <f>HYPERLINK("https://www.boe.es/gazeta/dias/1839/11/09/pdfs/GMD-1839-1826.pdf#page=1","Abrir facsímil")</f>
        <v>Abrir facsímil</v>
      </c>
      <c r="K8927" s="12" t="s">
        <v>65</v>
      </c>
    </row>
    <row r="8928" spans="1:11" ht="40.049999999999997" customHeight="1" x14ac:dyDescent="0.25">
      <c r="A8928" s="11" t="s">
        <v>17918</v>
      </c>
      <c r="B8928" s="11" t="s">
        <v>17918</v>
      </c>
      <c r="C8928" s="11" t="s">
        <v>17</v>
      </c>
      <c r="D8928" s="11" t="s">
        <v>18</v>
      </c>
      <c r="E8928" s="12" t="s">
        <v>160</v>
      </c>
      <c r="F8928" s="12" t="s">
        <v>161</v>
      </c>
      <c r="G8928" s="12" t="s">
        <v>29</v>
      </c>
      <c r="H8928" s="11" t="s">
        <v>63</v>
      </c>
      <c r="I8928" s="13" t="s">
        <v>17970</v>
      </c>
      <c r="J8928" s="14" t="str">
        <f>HYPERLINK("https://www.boe.es/gazeta/dias/1839/01/10/pdfs/GMD-1839-1517.pdf#page=1","Abrir facsímil")</f>
        <v>Abrir facsímil</v>
      </c>
      <c r="K8928" s="12" t="s">
        <v>65</v>
      </c>
    </row>
    <row r="8929" spans="1:11" ht="40.049999999999997" customHeight="1" x14ac:dyDescent="0.25">
      <c r="A8929" s="11" t="s">
        <v>17918</v>
      </c>
      <c r="B8929" s="11" t="s">
        <v>17918</v>
      </c>
      <c r="C8929" s="11" t="s">
        <v>17</v>
      </c>
      <c r="D8929" s="11" t="s">
        <v>18</v>
      </c>
      <c r="E8929" s="12" t="s">
        <v>269</v>
      </c>
      <c r="F8929" s="12" t="s">
        <v>270</v>
      </c>
      <c r="G8929" s="12" t="s">
        <v>46</v>
      </c>
      <c r="H8929" s="11" t="s">
        <v>63</v>
      </c>
      <c r="I8929" s="13" t="s">
        <v>17971</v>
      </c>
      <c r="J8929" s="14" t="str">
        <f>HYPERLINK("https://www.boe.es/gazeta/dias/1839/02/10/pdfs/GMD-1839-1548.pdf#page=3","Abrir facsímil")</f>
        <v>Abrir facsímil</v>
      </c>
      <c r="K8929" s="12" t="s">
        <v>65</v>
      </c>
    </row>
    <row r="8930" spans="1:11" ht="40.049999999999997" customHeight="1" x14ac:dyDescent="0.25">
      <c r="A8930" s="11" t="s">
        <v>17918</v>
      </c>
      <c r="B8930" s="11" t="s">
        <v>17918</v>
      </c>
      <c r="C8930" s="11" t="s">
        <v>59</v>
      </c>
      <c r="D8930" s="11" t="s">
        <v>60</v>
      </c>
      <c r="E8930" s="12" t="s">
        <v>61</v>
      </c>
      <c r="F8930" s="12" t="s">
        <v>62</v>
      </c>
      <c r="G8930" s="12" t="s">
        <v>21</v>
      </c>
      <c r="H8930" s="11" t="s">
        <v>63</v>
      </c>
      <c r="I8930" s="13" t="s">
        <v>17972</v>
      </c>
      <c r="J8930" s="14" t="str">
        <f>HYPERLINK("https://www.boe.es/gazeta/dias/1839/09/10/pdfs/GMD-1839-1763.pdf#page=4","Abrir facsímil")</f>
        <v>Abrir facsímil</v>
      </c>
      <c r="K8930" s="12" t="s">
        <v>65</v>
      </c>
    </row>
    <row r="8931" spans="1:11" ht="40.049999999999997" customHeight="1" x14ac:dyDescent="0.25">
      <c r="A8931" s="11" t="s">
        <v>17918</v>
      </c>
      <c r="B8931" s="11" t="s">
        <v>17918</v>
      </c>
      <c r="C8931" s="11" t="s">
        <v>17</v>
      </c>
      <c r="D8931" s="11" t="s">
        <v>43</v>
      </c>
      <c r="E8931" s="12" t="s">
        <v>116</v>
      </c>
      <c r="F8931" s="12" t="s">
        <v>117</v>
      </c>
      <c r="G8931" s="12" t="s">
        <v>29</v>
      </c>
      <c r="H8931" s="11" t="s">
        <v>63</v>
      </c>
      <c r="I8931" s="13" t="s">
        <v>17973</v>
      </c>
      <c r="J8931" s="14" t="str">
        <f>HYPERLINK("https://www.boe.es/gazeta/dias/1839/10/10/pdfs/GMD-1839-1796.pdf#page=1","Abrir facsímil")</f>
        <v>Abrir facsímil</v>
      </c>
      <c r="K8931" s="12" t="s">
        <v>65</v>
      </c>
    </row>
    <row r="8932" spans="1:11" ht="40.049999999999997" customHeight="1" x14ac:dyDescent="0.25">
      <c r="A8932" s="11" t="s">
        <v>17918</v>
      </c>
      <c r="B8932" s="11" t="s">
        <v>17918</v>
      </c>
      <c r="C8932" s="11" t="s">
        <v>17</v>
      </c>
      <c r="D8932" s="11" t="s">
        <v>43</v>
      </c>
      <c r="E8932" s="12" t="s">
        <v>116</v>
      </c>
      <c r="F8932" s="12" t="s">
        <v>117</v>
      </c>
      <c r="G8932" s="12" t="s">
        <v>40</v>
      </c>
      <c r="H8932" s="11" t="s">
        <v>63</v>
      </c>
      <c r="I8932" s="13" t="s">
        <v>17974</v>
      </c>
      <c r="J8932" s="14" t="str">
        <f>HYPERLINK("https://www.boe.es/gazeta/dias/1839/10/10/pdfs/GMD-1839-1796.pdf#page=2","Abrir facsímil")</f>
        <v>Abrir facsímil</v>
      </c>
      <c r="K8932" s="12" t="s">
        <v>65</v>
      </c>
    </row>
    <row r="8933" spans="1:11" ht="40.049999999999997" customHeight="1" x14ac:dyDescent="0.25">
      <c r="A8933" s="11" t="s">
        <v>17918</v>
      </c>
      <c r="B8933" s="11" t="s">
        <v>17918</v>
      </c>
      <c r="C8933" s="11" t="s">
        <v>17</v>
      </c>
      <c r="D8933" s="11" t="s">
        <v>18</v>
      </c>
      <c r="E8933" s="12" t="s">
        <v>330</v>
      </c>
      <c r="F8933" s="12" t="s">
        <v>331</v>
      </c>
      <c r="G8933" s="12" t="s">
        <v>21</v>
      </c>
      <c r="H8933" s="11" t="s">
        <v>63</v>
      </c>
      <c r="I8933" s="13" t="s">
        <v>17975</v>
      </c>
      <c r="J8933" s="14" t="str">
        <f>HYPERLINK("https://www.boe.es/gazeta/dias/1839/04/11/pdfs/GMD-1839-1608.pdf#page=4","Abrir facsímil")</f>
        <v>Abrir facsímil</v>
      </c>
      <c r="K8933" s="12" t="s">
        <v>65</v>
      </c>
    </row>
    <row r="8934" spans="1:11" ht="40.049999999999997" customHeight="1" x14ac:dyDescent="0.25">
      <c r="A8934" s="11" t="s">
        <v>17918</v>
      </c>
      <c r="B8934" s="11" t="s">
        <v>17918</v>
      </c>
      <c r="C8934" s="11" t="s">
        <v>59</v>
      </c>
      <c r="D8934" s="11" t="s">
        <v>60</v>
      </c>
      <c r="E8934" s="12" t="s">
        <v>320</v>
      </c>
      <c r="F8934" s="12" t="s">
        <v>321</v>
      </c>
      <c r="G8934" s="12" t="s">
        <v>29</v>
      </c>
      <c r="H8934" s="11" t="s">
        <v>63</v>
      </c>
      <c r="I8934" s="13" t="s">
        <v>17976</v>
      </c>
      <c r="J8934" s="14" t="str">
        <f>HYPERLINK("https://www.boe.es/gazeta/dias/1839/05/11/pdfs/GMD-1839-1638.pdf#page=1","Abrir facsímil")</f>
        <v>Abrir facsímil</v>
      </c>
      <c r="K8934" s="12" t="s">
        <v>65</v>
      </c>
    </row>
    <row r="8935" spans="1:11" ht="40.049999999999997" customHeight="1" x14ac:dyDescent="0.25">
      <c r="A8935" s="11" t="s">
        <v>17918</v>
      </c>
      <c r="B8935" s="11" t="s">
        <v>17918</v>
      </c>
      <c r="C8935" s="11" t="s">
        <v>17</v>
      </c>
      <c r="D8935" s="11" t="s">
        <v>18</v>
      </c>
      <c r="E8935" s="12" t="s">
        <v>333</v>
      </c>
      <c r="F8935" s="12" t="s">
        <v>334</v>
      </c>
      <c r="G8935" s="12" t="s">
        <v>29</v>
      </c>
      <c r="H8935" s="11" t="s">
        <v>63</v>
      </c>
      <c r="I8935" s="13" t="s">
        <v>17977</v>
      </c>
      <c r="J8935" s="14" t="str">
        <f>HYPERLINK("https://www.boe.es/gazeta/dias/1839/06/11/pdfs/GMD-1839-1669.pdf#page=1","Abrir facsímil")</f>
        <v>Abrir facsímil</v>
      </c>
      <c r="K8935" s="12" t="s">
        <v>65</v>
      </c>
    </row>
    <row r="8936" spans="1:11" ht="40.049999999999997" customHeight="1" x14ac:dyDescent="0.25">
      <c r="A8936" s="11" t="s">
        <v>17918</v>
      </c>
      <c r="B8936" s="11" t="s">
        <v>17918</v>
      </c>
      <c r="C8936" s="11" t="s">
        <v>80</v>
      </c>
      <c r="D8936" s="11" t="s">
        <v>18</v>
      </c>
      <c r="E8936" s="12" t="s">
        <v>561</v>
      </c>
      <c r="F8936" s="12" t="s">
        <v>562</v>
      </c>
      <c r="G8936" s="12" t="s">
        <v>29</v>
      </c>
      <c r="H8936" s="11" t="s">
        <v>63</v>
      </c>
      <c r="I8936" s="13" t="s">
        <v>17978</v>
      </c>
      <c r="J8936" s="14" t="str">
        <f>HYPERLINK("https://www.boe.es/gazeta/dias/1839/09/11/pdfs/GMD-1839-1764.pdf#page=1","Abrir facsímil")</f>
        <v>Abrir facsímil</v>
      </c>
      <c r="K8936" s="12" t="s">
        <v>65</v>
      </c>
    </row>
    <row r="8937" spans="1:11" ht="40.049999999999997" customHeight="1" x14ac:dyDescent="0.25">
      <c r="A8937" s="11" t="s">
        <v>17918</v>
      </c>
      <c r="B8937" s="11" t="s">
        <v>17918</v>
      </c>
      <c r="C8937" s="11" t="s">
        <v>17</v>
      </c>
      <c r="D8937" s="11" t="s">
        <v>18</v>
      </c>
      <c r="E8937" s="12" t="s">
        <v>2107</v>
      </c>
      <c r="F8937" s="12" t="s">
        <v>2108</v>
      </c>
      <c r="G8937" s="12" t="s">
        <v>40</v>
      </c>
      <c r="H8937" s="11" t="s">
        <v>63</v>
      </c>
      <c r="I8937" s="13" t="s">
        <v>17979</v>
      </c>
      <c r="J8937" s="14" t="str">
        <f>HYPERLINK("https://www.boe.es/gazeta/dias/1839/10/11/pdfs/GMD-1839-1797.pdf#page=2","Abrir facsímil")</f>
        <v>Abrir facsímil</v>
      </c>
      <c r="K8937" s="12" t="s">
        <v>65</v>
      </c>
    </row>
    <row r="8938" spans="1:11" ht="40.049999999999997" customHeight="1" x14ac:dyDescent="0.25">
      <c r="A8938" s="11" t="s">
        <v>17918</v>
      </c>
      <c r="B8938" s="11" t="s">
        <v>17918</v>
      </c>
      <c r="C8938" s="11" t="s">
        <v>17</v>
      </c>
      <c r="D8938" s="11" t="s">
        <v>18</v>
      </c>
      <c r="E8938" s="12" t="s">
        <v>2107</v>
      </c>
      <c r="F8938" s="12" t="s">
        <v>2108</v>
      </c>
      <c r="G8938" s="12" t="s">
        <v>46</v>
      </c>
      <c r="H8938" s="11" t="s">
        <v>63</v>
      </c>
      <c r="I8938" s="13" t="s">
        <v>17980</v>
      </c>
      <c r="J8938" s="14" t="str">
        <f>HYPERLINK("https://www.boe.es/gazeta/dias/1839/10/11/pdfs/GMD-1839-1797.pdf#page=3","Abrir facsímil")</f>
        <v>Abrir facsímil</v>
      </c>
      <c r="K8938" s="12" t="s">
        <v>65</v>
      </c>
    </row>
    <row r="8939" spans="1:11" ht="40.049999999999997" customHeight="1" x14ac:dyDescent="0.25">
      <c r="A8939" s="11" t="s">
        <v>17918</v>
      </c>
      <c r="B8939" s="11" t="s">
        <v>17918</v>
      </c>
      <c r="C8939" s="11" t="s">
        <v>17</v>
      </c>
      <c r="D8939" s="11" t="s">
        <v>18</v>
      </c>
      <c r="E8939" s="12" t="s">
        <v>2107</v>
      </c>
      <c r="F8939" s="12" t="s">
        <v>2108</v>
      </c>
      <c r="G8939" s="12" t="s">
        <v>21</v>
      </c>
      <c r="H8939" s="11" t="s">
        <v>63</v>
      </c>
      <c r="I8939" s="13" t="s">
        <v>17981</v>
      </c>
      <c r="J8939" s="14" t="str">
        <f>HYPERLINK("https://www.boe.es/gazeta/dias/1839/10/11/pdfs/GMD-1839-1797.pdf#page=4","Abrir facsímil")</f>
        <v>Abrir facsímil</v>
      </c>
      <c r="K8939" s="12" t="s">
        <v>65</v>
      </c>
    </row>
    <row r="8940" spans="1:11" ht="40.049999999999997" customHeight="1" x14ac:dyDescent="0.25">
      <c r="A8940" s="11" t="s">
        <v>17918</v>
      </c>
      <c r="B8940" s="11" t="s">
        <v>17918</v>
      </c>
      <c r="C8940" s="11" t="s">
        <v>137</v>
      </c>
      <c r="D8940" s="11" t="s">
        <v>18</v>
      </c>
      <c r="E8940" s="12" t="s">
        <v>192</v>
      </c>
      <c r="F8940" s="12" t="s">
        <v>193</v>
      </c>
      <c r="G8940" s="12" t="s">
        <v>29</v>
      </c>
      <c r="H8940" s="11" t="s">
        <v>63</v>
      </c>
      <c r="I8940" s="13" t="s">
        <v>17982</v>
      </c>
      <c r="J8940" s="14" t="str">
        <f>HYPERLINK("https://www.boe.es/gazeta/dias/1839/01/12/pdfs/GMD-1839-1519.pdf#page=1","Abrir facsímil")</f>
        <v>Abrir facsímil</v>
      </c>
      <c r="K8940" s="12" t="s">
        <v>65</v>
      </c>
    </row>
    <row r="8941" spans="1:11" ht="40.049999999999997" customHeight="1" x14ac:dyDescent="0.25">
      <c r="A8941" s="11" t="s">
        <v>17918</v>
      </c>
      <c r="B8941" s="11" t="s">
        <v>17918</v>
      </c>
      <c r="C8941" s="11" t="s">
        <v>17</v>
      </c>
      <c r="D8941" s="11" t="s">
        <v>43</v>
      </c>
      <c r="E8941" s="12" t="s">
        <v>272</v>
      </c>
      <c r="F8941" s="12" t="s">
        <v>273</v>
      </c>
      <c r="G8941" s="12" t="s">
        <v>29</v>
      </c>
      <c r="H8941" s="11" t="s">
        <v>63</v>
      </c>
      <c r="I8941" s="13" t="s">
        <v>17983</v>
      </c>
      <c r="J8941" s="14" t="str">
        <f>HYPERLINK("https://www.boe.es/gazeta/dias/1839/02/12/pdfs/GMD-1839-1550.pdf#page=1","Abrir facsímil")</f>
        <v>Abrir facsímil</v>
      </c>
      <c r="K8941" s="12" t="s">
        <v>65</v>
      </c>
    </row>
    <row r="8942" spans="1:11" ht="40.049999999999997" customHeight="1" x14ac:dyDescent="0.25">
      <c r="A8942" s="11" t="s">
        <v>17918</v>
      </c>
      <c r="B8942" s="11" t="s">
        <v>17918</v>
      </c>
      <c r="C8942" s="11" t="s">
        <v>59</v>
      </c>
      <c r="D8942" s="11" t="s">
        <v>60</v>
      </c>
      <c r="E8942" s="12" t="s">
        <v>103</v>
      </c>
      <c r="F8942" s="12" t="s">
        <v>104</v>
      </c>
      <c r="G8942" s="12" t="s">
        <v>29</v>
      </c>
      <c r="H8942" s="11" t="s">
        <v>63</v>
      </c>
      <c r="I8942" s="13" t="s">
        <v>17984</v>
      </c>
      <c r="J8942" s="14" t="str">
        <f>HYPERLINK("https://www.boe.es/gazeta/dias/1839/10/12/pdfs/GMD-1839-1798.pdf#page=1","Abrir facsímil")</f>
        <v>Abrir facsímil</v>
      </c>
      <c r="K8942" s="12" t="s">
        <v>65</v>
      </c>
    </row>
    <row r="8943" spans="1:11" ht="40.049999999999997" customHeight="1" x14ac:dyDescent="0.25">
      <c r="A8943" s="11" t="s">
        <v>17918</v>
      </c>
      <c r="B8943" s="11" t="s">
        <v>17918</v>
      </c>
      <c r="C8943" s="11" t="s">
        <v>80</v>
      </c>
      <c r="D8943" s="11" t="s">
        <v>18</v>
      </c>
      <c r="E8943" s="12" t="s">
        <v>103</v>
      </c>
      <c r="F8943" s="12" t="s">
        <v>104</v>
      </c>
      <c r="G8943" s="12" t="s">
        <v>21</v>
      </c>
      <c r="H8943" s="11" t="s">
        <v>63</v>
      </c>
      <c r="I8943" s="13" t="s">
        <v>17985</v>
      </c>
      <c r="J8943" s="14" t="str">
        <f>HYPERLINK("https://www.boe.es/gazeta/dias/1839/10/12/pdfs/GMD-1839-1798.pdf#page=4","Abrir facsímil")</f>
        <v>Abrir facsímil</v>
      </c>
      <c r="K8943" s="12" t="s">
        <v>65</v>
      </c>
    </row>
    <row r="8944" spans="1:11" ht="40.049999999999997" customHeight="1" x14ac:dyDescent="0.25">
      <c r="A8944" s="11" t="s">
        <v>17918</v>
      </c>
      <c r="B8944" s="11" t="s">
        <v>17918</v>
      </c>
      <c r="C8944" s="11" t="s">
        <v>80</v>
      </c>
      <c r="D8944" s="11" t="s">
        <v>18</v>
      </c>
      <c r="E8944" s="12" t="s">
        <v>2919</v>
      </c>
      <c r="F8944" s="12" t="s">
        <v>2920</v>
      </c>
      <c r="G8944" s="12" t="s">
        <v>29</v>
      </c>
      <c r="H8944" s="11" t="s">
        <v>63</v>
      </c>
      <c r="I8944" s="13" t="s">
        <v>17986</v>
      </c>
      <c r="J8944" s="14" t="str">
        <f>HYPERLINK("https://www.boe.es/gazeta/dias/1839/11/12/pdfs/GMD-1839-1829.pdf#page=1","Abrir facsímil")</f>
        <v>Abrir facsímil</v>
      </c>
      <c r="K8944" s="12" t="s">
        <v>65</v>
      </c>
    </row>
    <row r="8945" spans="1:11" ht="40.049999999999997" customHeight="1" x14ac:dyDescent="0.25">
      <c r="A8945" s="11" t="s">
        <v>17918</v>
      </c>
      <c r="B8945" s="11" t="s">
        <v>17918</v>
      </c>
      <c r="C8945" s="11" t="s">
        <v>17</v>
      </c>
      <c r="D8945" s="11" t="s">
        <v>18</v>
      </c>
      <c r="E8945" s="12" t="s">
        <v>4186</v>
      </c>
      <c r="F8945" s="12" t="s">
        <v>4187</v>
      </c>
      <c r="G8945" s="12" t="s">
        <v>40</v>
      </c>
      <c r="H8945" s="11" t="s">
        <v>63</v>
      </c>
      <c r="I8945" s="13" t="s">
        <v>17987</v>
      </c>
      <c r="J8945" s="14" t="str">
        <f>HYPERLINK("https://www.boe.es/gazeta/dias/1839/12/12/pdfs/GMD-1839-1859.pdf#page=2","Abrir facsímil")</f>
        <v>Abrir facsímil</v>
      </c>
      <c r="K8945" s="12" t="s">
        <v>65</v>
      </c>
    </row>
    <row r="8946" spans="1:11" ht="40.049999999999997" customHeight="1" x14ac:dyDescent="0.25">
      <c r="A8946" s="11" t="s">
        <v>17918</v>
      </c>
      <c r="B8946" s="11" t="s">
        <v>17918</v>
      </c>
      <c r="C8946" s="11" t="s">
        <v>137</v>
      </c>
      <c r="D8946" s="11" t="s">
        <v>18</v>
      </c>
      <c r="E8946" s="12" t="s">
        <v>163</v>
      </c>
      <c r="F8946" s="12" t="s">
        <v>164</v>
      </c>
      <c r="G8946" s="12" t="s">
        <v>29</v>
      </c>
      <c r="H8946" s="11" t="s">
        <v>63</v>
      </c>
      <c r="I8946" s="13" t="s">
        <v>17988</v>
      </c>
      <c r="J8946" s="14" t="str">
        <f>HYPERLINK("https://www.boe.es/gazeta/dias/1839/01/13/pdfs/GMD-1839-1520.pdf#page=1","Abrir facsímil")</f>
        <v>Abrir facsímil</v>
      </c>
      <c r="K8946" s="12" t="s">
        <v>65</v>
      </c>
    </row>
    <row r="8947" spans="1:11" ht="40.049999999999997" customHeight="1" x14ac:dyDescent="0.25">
      <c r="A8947" s="11" t="s">
        <v>17918</v>
      </c>
      <c r="B8947" s="11" t="s">
        <v>17918</v>
      </c>
      <c r="C8947" s="11" t="s">
        <v>80</v>
      </c>
      <c r="D8947" s="11" t="s">
        <v>18</v>
      </c>
      <c r="E8947" s="12" t="s">
        <v>4189</v>
      </c>
      <c r="F8947" s="12" t="s">
        <v>4190</v>
      </c>
      <c r="G8947" s="12" t="s">
        <v>46</v>
      </c>
      <c r="H8947" s="11" t="s">
        <v>63</v>
      </c>
      <c r="I8947" s="13" t="s">
        <v>17989</v>
      </c>
      <c r="J8947" s="14" t="str">
        <f>HYPERLINK("https://www.boe.es/gazeta/dias/1839/02/13/pdfs/GMD-1839-1551.pdf#page=3","Abrir facsímil")</f>
        <v>Abrir facsímil</v>
      </c>
      <c r="K8947" s="12" t="s">
        <v>65</v>
      </c>
    </row>
    <row r="8948" spans="1:11" ht="40.049999999999997" customHeight="1" x14ac:dyDescent="0.25">
      <c r="A8948" s="11" t="s">
        <v>17918</v>
      </c>
      <c r="B8948" s="11" t="s">
        <v>17918</v>
      </c>
      <c r="C8948" s="11" t="s">
        <v>17</v>
      </c>
      <c r="D8948" s="11" t="s">
        <v>18</v>
      </c>
      <c r="E8948" s="12" t="s">
        <v>510</v>
      </c>
      <c r="F8948" s="12" t="s">
        <v>511</v>
      </c>
      <c r="G8948" s="12" t="s">
        <v>29</v>
      </c>
      <c r="H8948" s="11" t="s">
        <v>63</v>
      </c>
      <c r="I8948" s="13" t="s">
        <v>17990</v>
      </c>
      <c r="J8948" s="14" t="str">
        <f>HYPERLINK("https://www.boe.es/gazeta/dias/1839/05/13/pdfs/GMD-1839-1640.pdf#page=1","Abrir facsímil")</f>
        <v>Abrir facsímil</v>
      </c>
      <c r="K8948" s="12" t="s">
        <v>65</v>
      </c>
    </row>
    <row r="8949" spans="1:11" ht="40.049999999999997" customHeight="1" x14ac:dyDescent="0.25">
      <c r="A8949" s="11" t="s">
        <v>17918</v>
      </c>
      <c r="B8949" s="11" t="s">
        <v>17918</v>
      </c>
      <c r="C8949" s="11" t="s">
        <v>17</v>
      </c>
      <c r="D8949" s="11" t="s">
        <v>18</v>
      </c>
      <c r="E8949" s="12" t="s">
        <v>736</v>
      </c>
      <c r="F8949" s="12" t="s">
        <v>737</v>
      </c>
      <c r="G8949" s="12" t="s">
        <v>29</v>
      </c>
      <c r="H8949" s="11" t="s">
        <v>63</v>
      </c>
      <c r="I8949" s="13" t="s">
        <v>17991</v>
      </c>
      <c r="J8949" s="14" t="str">
        <f>HYPERLINK("https://www.boe.es/gazeta/dias/1839/10/13/pdfs/GMD-1839-1799.pdf#page=1","Abrir facsímil")</f>
        <v>Abrir facsímil</v>
      </c>
      <c r="K8949" s="12" t="s">
        <v>65</v>
      </c>
    </row>
    <row r="8950" spans="1:11" ht="40.049999999999997" customHeight="1" x14ac:dyDescent="0.25">
      <c r="A8950" s="11" t="s">
        <v>17918</v>
      </c>
      <c r="B8950" s="11" t="s">
        <v>17918</v>
      </c>
      <c r="C8950" s="11" t="s">
        <v>17</v>
      </c>
      <c r="D8950" s="11" t="s">
        <v>18</v>
      </c>
      <c r="E8950" s="12" t="s">
        <v>2320</v>
      </c>
      <c r="F8950" s="12" t="s">
        <v>2321</v>
      </c>
      <c r="G8950" s="12" t="s">
        <v>40</v>
      </c>
      <c r="H8950" s="11" t="s">
        <v>63</v>
      </c>
      <c r="I8950" s="13" t="s">
        <v>17992</v>
      </c>
      <c r="J8950" s="14" t="str">
        <f>HYPERLINK("https://www.boe.es/gazeta/dias/1839/11/13/pdfs/GMD-1839-1830.pdf#page=2","Abrir facsímil")</f>
        <v>Abrir facsímil</v>
      </c>
      <c r="K8950" s="12" t="s">
        <v>65</v>
      </c>
    </row>
    <row r="8951" spans="1:11" ht="40.049999999999997" customHeight="1" x14ac:dyDescent="0.25">
      <c r="A8951" s="11" t="s">
        <v>17918</v>
      </c>
      <c r="B8951" s="11" t="s">
        <v>17918</v>
      </c>
      <c r="C8951" s="11" t="s">
        <v>17</v>
      </c>
      <c r="D8951" s="11" t="s">
        <v>18</v>
      </c>
      <c r="E8951" s="12" t="s">
        <v>33</v>
      </c>
      <c r="F8951" s="12" t="s">
        <v>34</v>
      </c>
      <c r="G8951" s="12" t="s">
        <v>29</v>
      </c>
      <c r="H8951" s="11" t="s">
        <v>63</v>
      </c>
      <c r="I8951" s="13" t="s">
        <v>17993</v>
      </c>
      <c r="J8951" s="14" t="str">
        <f>HYPERLINK("https://www.boe.es/gazeta/dias/1839/12/13/pdfs/GMD-1839-1860.pdf#page=1","Abrir facsímil")</f>
        <v>Abrir facsímil</v>
      </c>
      <c r="K8951" s="12" t="s">
        <v>65</v>
      </c>
    </row>
    <row r="8952" spans="1:11" ht="40.049999999999997" customHeight="1" x14ac:dyDescent="0.25">
      <c r="A8952" s="11" t="s">
        <v>17918</v>
      </c>
      <c r="B8952" s="11" t="s">
        <v>17918</v>
      </c>
      <c r="C8952" s="11" t="s">
        <v>137</v>
      </c>
      <c r="D8952" s="11" t="s">
        <v>18</v>
      </c>
      <c r="E8952" s="12" t="s">
        <v>592</v>
      </c>
      <c r="F8952" s="12" t="s">
        <v>593</v>
      </c>
      <c r="G8952" s="12" t="s">
        <v>29</v>
      </c>
      <c r="H8952" s="11" t="s">
        <v>63</v>
      </c>
      <c r="I8952" s="13" t="s">
        <v>17994</v>
      </c>
      <c r="J8952" s="14" t="str">
        <f>HYPERLINK("https://www.boe.es/gazeta/dias/1839/09/14/pdfs/GMD-1839-1767.pdf#page=1","Abrir facsímil")</f>
        <v>Abrir facsímil</v>
      </c>
      <c r="K8952" s="12" t="s">
        <v>65</v>
      </c>
    </row>
    <row r="8953" spans="1:11" ht="40.049999999999997" customHeight="1" x14ac:dyDescent="0.25">
      <c r="A8953" s="11" t="s">
        <v>17918</v>
      </c>
      <c r="B8953" s="11" t="s">
        <v>17918</v>
      </c>
      <c r="C8953" s="11" t="s">
        <v>80</v>
      </c>
      <c r="D8953" s="11" t="s">
        <v>18</v>
      </c>
      <c r="E8953" s="12" t="s">
        <v>5399</v>
      </c>
      <c r="F8953" s="12" t="s">
        <v>5400</v>
      </c>
      <c r="G8953" s="12" t="s">
        <v>29</v>
      </c>
      <c r="H8953" s="11" t="s">
        <v>63</v>
      </c>
      <c r="I8953" s="13" t="s">
        <v>17995</v>
      </c>
      <c r="J8953" s="14" t="str">
        <f>HYPERLINK("https://www.boe.es/gazeta/dias/1839/10/14/pdfs/GMD-1839-1800.pdf#page=1","Abrir facsímil")</f>
        <v>Abrir facsímil</v>
      </c>
      <c r="K8953" s="12" t="s">
        <v>65</v>
      </c>
    </row>
    <row r="8954" spans="1:11" ht="40.049999999999997" customHeight="1" x14ac:dyDescent="0.25">
      <c r="A8954" s="11" t="s">
        <v>17918</v>
      </c>
      <c r="B8954" s="11" t="s">
        <v>17918</v>
      </c>
      <c r="C8954" s="11" t="s">
        <v>17</v>
      </c>
      <c r="D8954" s="11" t="s">
        <v>18</v>
      </c>
      <c r="E8954" s="12" t="s">
        <v>2452</v>
      </c>
      <c r="F8954" s="12" t="s">
        <v>2453</v>
      </c>
      <c r="G8954" s="12" t="s">
        <v>21</v>
      </c>
      <c r="H8954" s="11" t="s">
        <v>63</v>
      </c>
      <c r="I8954" s="13" t="s">
        <v>17996</v>
      </c>
      <c r="J8954" s="14" t="str">
        <f>HYPERLINK("https://www.boe.es/gazeta/dias/1839/11/14/pdfs/GMD-1839-1831.pdf#page=4","Abrir facsímil")</f>
        <v>Abrir facsímil</v>
      </c>
      <c r="K8954" s="12" t="s">
        <v>65</v>
      </c>
    </row>
    <row r="8955" spans="1:11" ht="40.049999999999997" customHeight="1" x14ac:dyDescent="0.25">
      <c r="A8955" s="11" t="s">
        <v>17918</v>
      </c>
      <c r="B8955" s="11" t="s">
        <v>17918</v>
      </c>
      <c r="C8955" s="11" t="s">
        <v>80</v>
      </c>
      <c r="D8955" s="11" t="s">
        <v>18</v>
      </c>
      <c r="E8955" s="12" t="s">
        <v>1139</v>
      </c>
      <c r="F8955" s="12" t="s">
        <v>1140</v>
      </c>
      <c r="G8955" s="12" t="s">
        <v>46</v>
      </c>
      <c r="H8955" s="11" t="s">
        <v>63</v>
      </c>
      <c r="I8955" s="13" t="s">
        <v>17997</v>
      </c>
      <c r="J8955" s="14" t="str">
        <f>HYPERLINK("https://www.boe.es/gazeta/dias/1839/02/15/pdfs/GMD-1839-1553.pdf#page=3","Abrir facsímil")</f>
        <v>Abrir facsímil</v>
      </c>
      <c r="K8955" s="12" t="s">
        <v>65</v>
      </c>
    </row>
    <row r="8956" spans="1:11" ht="40.049999999999997" customHeight="1" x14ac:dyDescent="0.25">
      <c r="A8956" s="11" t="s">
        <v>17918</v>
      </c>
      <c r="B8956" s="11" t="s">
        <v>17918</v>
      </c>
      <c r="C8956" s="11" t="s">
        <v>17</v>
      </c>
      <c r="D8956" s="11" t="s">
        <v>43</v>
      </c>
      <c r="E8956" s="12" t="s">
        <v>3114</v>
      </c>
      <c r="F8956" s="12" t="s">
        <v>3115</v>
      </c>
      <c r="G8956" s="12" t="s">
        <v>29</v>
      </c>
      <c r="H8956" s="11" t="s">
        <v>63</v>
      </c>
      <c r="I8956" s="13" t="s">
        <v>17998</v>
      </c>
      <c r="J8956" s="14" t="str">
        <f>HYPERLINK("https://www.boe.es/gazeta/dias/1839/05/15/pdfs/GMD-1839-1642.pdf#page=1","Abrir facsímil")</f>
        <v>Abrir facsímil</v>
      </c>
      <c r="K8956" s="12" t="s">
        <v>65</v>
      </c>
    </row>
    <row r="8957" spans="1:11" ht="40.049999999999997" customHeight="1" x14ac:dyDescent="0.25">
      <c r="A8957" s="11" t="s">
        <v>17918</v>
      </c>
      <c r="B8957" s="11" t="s">
        <v>17918</v>
      </c>
      <c r="C8957" s="11" t="s">
        <v>17</v>
      </c>
      <c r="D8957" s="11" t="s">
        <v>18</v>
      </c>
      <c r="E8957" s="12" t="s">
        <v>3114</v>
      </c>
      <c r="F8957" s="12" t="s">
        <v>3115</v>
      </c>
      <c r="G8957" s="12" t="s">
        <v>21</v>
      </c>
      <c r="H8957" s="11" t="s">
        <v>63</v>
      </c>
      <c r="I8957" s="13" t="s">
        <v>17999</v>
      </c>
      <c r="J8957" s="14" t="str">
        <f>HYPERLINK("https://www.boe.es/gazeta/dias/1839/05/15/pdfs/GMD-1839-1642.pdf#page=4","Abrir facsímil")</f>
        <v>Abrir facsímil</v>
      </c>
      <c r="K8957" s="12" t="s">
        <v>65</v>
      </c>
    </row>
    <row r="8958" spans="1:11" ht="40.049999999999997" customHeight="1" x14ac:dyDescent="0.25">
      <c r="A8958" s="11" t="s">
        <v>17918</v>
      </c>
      <c r="B8958" s="11" t="s">
        <v>17918</v>
      </c>
      <c r="C8958" s="11" t="s">
        <v>17</v>
      </c>
      <c r="D8958" s="11" t="s">
        <v>18</v>
      </c>
      <c r="E8958" s="12" t="s">
        <v>1252</v>
      </c>
      <c r="F8958" s="12" t="s">
        <v>1253</v>
      </c>
      <c r="G8958" s="12" t="s">
        <v>21</v>
      </c>
      <c r="H8958" s="11" t="s">
        <v>63</v>
      </c>
      <c r="I8958" s="13" t="s">
        <v>18000</v>
      </c>
      <c r="J8958" s="14" t="str">
        <f>HYPERLINK("https://www.boe.es/gazeta/dias/1839/06/15/pdfs/GMD-1839-1673.pdf#page=4","Abrir facsímil")</f>
        <v>Abrir facsímil</v>
      </c>
      <c r="K8958" s="12" t="s">
        <v>65</v>
      </c>
    </row>
    <row r="8959" spans="1:11" ht="40.049999999999997" customHeight="1" x14ac:dyDescent="0.25">
      <c r="A8959" s="11" t="s">
        <v>17918</v>
      </c>
      <c r="B8959" s="11" t="s">
        <v>17918</v>
      </c>
      <c r="C8959" s="11" t="s">
        <v>101</v>
      </c>
      <c r="D8959" s="11" t="s">
        <v>43</v>
      </c>
      <c r="E8959" s="12" t="s">
        <v>1069</v>
      </c>
      <c r="F8959" s="12" t="s">
        <v>1070</v>
      </c>
      <c r="G8959" s="12" t="s">
        <v>29</v>
      </c>
      <c r="H8959" s="11" t="s">
        <v>63</v>
      </c>
      <c r="I8959" s="13" t="s">
        <v>18001</v>
      </c>
      <c r="J8959" s="14" t="str">
        <f>HYPERLINK("https://www.boe.es/gazeta/dias/1839/10/15/pdfs/GMD-1839-1801.pdf#page=1","Abrir facsímil")</f>
        <v>Abrir facsímil</v>
      </c>
      <c r="K8959" s="12" t="s">
        <v>65</v>
      </c>
    </row>
    <row r="8960" spans="1:11" ht="40.049999999999997" customHeight="1" x14ac:dyDescent="0.25">
      <c r="A8960" s="11" t="s">
        <v>17918</v>
      </c>
      <c r="B8960" s="11" t="s">
        <v>17918</v>
      </c>
      <c r="C8960" s="11" t="s">
        <v>17</v>
      </c>
      <c r="D8960" s="11" t="s">
        <v>18</v>
      </c>
      <c r="E8960" s="12" t="s">
        <v>44</v>
      </c>
      <c r="F8960" s="12" t="s">
        <v>45</v>
      </c>
      <c r="G8960" s="12" t="s">
        <v>29</v>
      </c>
      <c r="H8960" s="11" t="s">
        <v>63</v>
      </c>
      <c r="I8960" s="13" t="s">
        <v>18002</v>
      </c>
      <c r="J8960" s="14" t="str">
        <f>HYPERLINK("https://www.boe.es/gazeta/dias/1839/11/15/pdfs/GMD-1839-1832.pdf#page=1","Abrir facsímil")</f>
        <v>Abrir facsímil</v>
      </c>
      <c r="K8960" s="12" t="s">
        <v>65</v>
      </c>
    </row>
    <row r="8961" spans="1:11" ht="40.049999999999997" customHeight="1" x14ac:dyDescent="0.25">
      <c r="A8961" s="11" t="s">
        <v>17918</v>
      </c>
      <c r="B8961" s="11" t="s">
        <v>17918</v>
      </c>
      <c r="C8961" s="11" t="s">
        <v>17</v>
      </c>
      <c r="D8961" s="11" t="s">
        <v>18</v>
      </c>
      <c r="E8961" s="12" t="s">
        <v>5806</v>
      </c>
      <c r="F8961" s="12" t="s">
        <v>5807</v>
      </c>
      <c r="G8961" s="12" t="s">
        <v>46</v>
      </c>
      <c r="H8961" s="11" t="s">
        <v>63</v>
      </c>
      <c r="I8961" s="13" t="s">
        <v>18003</v>
      </c>
      <c r="J8961" s="14" t="str">
        <f>HYPERLINK("https://www.boe.es/gazeta/dias/1839/02/16/pdfs/GMD-1839-1554.pdf#page=3","Abrir facsímil")</f>
        <v>Abrir facsímil</v>
      </c>
      <c r="K8961" s="12" t="s">
        <v>65</v>
      </c>
    </row>
    <row r="8962" spans="1:11" ht="40.049999999999997" customHeight="1" x14ac:dyDescent="0.25">
      <c r="A8962" s="11" t="s">
        <v>17918</v>
      </c>
      <c r="B8962" s="11" t="s">
        <v>17918</v>
      </c>
      <c r="C8962" s="11" t="s">
        <v>137</v>
      </c>
      <c r="D8962" s="11" t="s">
        <v>18</v>
      </c>
      <c r="E8962" s="12" t="s">
        <v>2851</v>
      </c>
      <c r="F8962" s="12" t="s">
        <v>2852</v>
      </c>
      <c r="G8962" s="12" t="s">
        <v>29</v>
      </c>
      <c r="H8962" s="11" t="s">
        <v>63</v>
      </c>
      <c r="I8962" s="13" t="s">
        <v>18004</v>
      </c>
      <c r="J8962" s="14" t="str">
        <f>HYPERLINK("https://www.boe.es/gazeta/dias/1839/05/16/pdfs/GMD-1839-1643.pdf#page=1","Abrir facsímil")</f>
        <v>Abrir facsímil</v>
      </c>
      <c r="K8962" s="12" t="s">
        <v>65</v>
      </c>
    </row>
    <row r="8963" spans="1:11" ht="40.049999999999997" customHeight="1" x14ac:dyDescent="0.25">
      <c r="A8963" s="11" t="s">
        <v>17918</v>
      </c>
      <c r="B8963" s="11" t="s">
        <v>17918</v>
      </c>
      <c r="C8963" s="11" t="s">
        <v>17</v>
      </c>
      <c r="D8963" s="11" t="s">
        <v>18</v>
      </c>
      <c r="E8963" s="12" t="s">
        <v>1027</v>
      </c>
      <c r="F8963" s="12" t="s">
        <v>1028</v>
      </c>
      <c r="G8963" s="12" t="s">
        <v>29</v>
      </c>
      <c r="H8963" s="11" t="s">
        <v>63</v>
      </c>
      <c r="I8963" s="13" t="s">
        <v>18005</v>
      </c>
      <c r="J8963" s="14" t="str">
        <f>HYPERLINK("https://www.boe.es/gazeta/dias/1839/08/16/pdfs/GMD-1839-1736.pdf#page=1","Abrir facsímil")</f>
        <v>Abrir facsímil</v>
      </c>
      <c r="K8963" s="12" t="s">
        <v>65</v>
      </c>
    </row>
    <row r="8964" spans="1:11" ht="40.049999999999997" customHeight="1" x14ac:dyDescent="0.25">
      <c r="A8964" s="11" t="s">
        <v>17918</v>
      </c>
      <c r="B8964" s="11" t="s">
        <v>17918</v>
      </c>
      <c r="C8964" s="11" t="s">
        <v>101</v>
      </c>
      <c r="D8964" s="11" t="s">
        <v>43</v>
      </c>
      <c r="E8964" s="12" t="s">
        <v>230</v>
      </c>
      <c r="F8964" s="12" t="s">
        <v>231</v>
      </c>
      <c r="G8964" s="12" t="s">
        <v>29</v>
      </c>
      <c r="H8964" s="11" t="s">
        <v>63</v>
      </c>
      <c r="I8964" s="13" t="s">
        <v>18006</v>
      </c>
      <c r="J8964" s="14" t="str">
        <f>HYPERLINK("https://www.boe.es/gazeta/dias/1839/09/16/pdfs/GMD-1839-1769.pdf#page=1","Abrir facsímil")</f>
        <v>Abrir facsímil</v>
      </c>
      <c r="K8964" s="12" t="s">
        <v>65</v>
      </c>
    </row>
    <row r="8965" spans="1:11" ht="40.049999999999997" customHeight="1" x14ac:dyDescent="0.25">
      <c r="A8965" s="11" t="s">
        <v>17918</v>
      </c>
      <c r="B8965" s="11" t="s">
        <v>17918</v>
      </c>
      <c r="C8965" s="11" t="s">
        <v>80</v>
      </c>
      <c r="D8965" s="11" t="s">
        <v>18</v>
      </c>
      <c r="E8965" s="12" t="s">
        <v>230</v>
      </c>
      <c r="F8965" s="12" t="s">
        <v>231</v>
      </c>
      <c r="G8965" s="12" t="s">
        <v>46</v>
      </c>
      <c r="H8965" s="11" t="s">
        <v>63</v>
      </c>
      <c r="I8965" s="13" t="s">
        <v>18007</v>
      </c>
      <c r="J8965" s="14" t="str">
        <f>HYPERLINK("https://www.boe.es/gazeta/dias/1839/09/16/pdfs/GMD-1839-1769.pdf#page=3","Abrir facsímil")</f>
        <v>Abrir facsímil</v>
      </c>
      <c r="K8965" s="12" t="s">
        <v>65</v>
      </c>
    </row>
    <row r="8966" spans="1:11" ht="40.049999999999997" customHeight="1" x14ac:dyDescent="0.25">
      <c r="A8966" s="11" t="s">
        <v>17918</v>
      </c>
      <c r="B8966" s="11" t="s">
        <v>17918</v>
      </c>
      <c r="C8966" s="11" t="s">
        <v>17</v>
      </c>
      <c r="D8966" s="11" t="s">
        <v>18</v>
      </c>
      <c r="E8966" s="12" t="s">
        <v>230</v>
      </c>
      <c r="F8966" s="12" t="s">
        <v>231</v>
      </c>
      <c r="G8966" s="12" t="s">
        <v>21</v>
      </c>
      <c r="H8966" s="11" t="s">
        <v>63</v>
      </c>
      <c r="I8966" s="13" t="s">
        <v>18008</v>
      </c>
      <c r="J8966" s="14" t="str">
        <f>HYPERLINK("https://www.boe.es/gazeta/dias/1839/09/16/pdfs/GMD-1839-1769.pdf#page=4","Abrir facsímil")</f>
        <v>Abrir facsímil</v>
      </c>
      <c r="K8966" s="12" t="s">
        <v>65</v>
      </c>
    </row>
    <row r="8967" spans="1:11" ht="40.049999999999997" customHeight="1" x14ac:dyDescent="0.25">
      <c r="A8967" s="11" t="s">
        <v>17918</v>
      </c>
      <c r="B8967" s="11" t="s">
        <v>17918</v>
      </c>
      <c r="C8967" s="11" t="s">
        <v>101</v>
      </c>
      <c r="D8967" s="11" t="s">
        <v>43</v>
      </c>
      <c r="E8967" s="12" t="s">
        <v>1236</v>
      </c>
      <c r="F8967" s="12" t="s">
        <v>1237</v>
      </c>
      <c r="G8967" s="12" t="s">
        <v>29</v>
      </c>
      <c r="H8967" s="11" t="s">
        <v>63</v>
      </c>
      <c r="I8967" s="13" t="s">
        <v>18009</v>
      </c>
      <c r="J8967" s="14" t="str">
        <f>HYPERLINK("https://www.boe.es/gazeta/dias/1839/10/16/pdfs/GMD-1839-1802.pdf#page=1","Abrir facsímil")</f>
        <v>Abrir facsímil</v>
      </c>
      <c r="K8967" s="12" t="s">
        <v>65</v>
      </c>
    </row>
    <row r="8968" spans="1:11" ht="40.049999999999997" customHeight="1" x14ac:dyDescent="0.25">
      <c r="A8968" s="11" t="s">
        <v>17918</v>
      </c>
      <c r="B8968" s="11" t="s">
        <v>17918</v>
      </c>
      <c r="C8968" s="11" t="s">
        <v>101</v>
      </c>
      <c r="D8968" s="11" t="s">
        <v>43</v>
      </c>
      <c r="E8968" s="12" t="s">
        <v>1236</v>
      </c>
      <c r="F8968" s="12" t="s">
        <v>1237</v>
      </c>
      <c r="G8968" s="12" t="s">
        <v>21</v>
      </c>
      <c r="H8968" s="11" t="s">
        <v>63</v>
      </c>
      <c r="I8968" s="13" t="s">
        <v>18010</v>
      </c>
      <c r="J8968" s="14" t="str">
        <f>HYPERLINK("https://www.boe.es/gazeta/dias/1839/10/16/pdfs/GMD-1839-1802.pdf#page=4","Abrir facsímil")</f>
        <v>Abrir facsímil</v>
      </c>
      <c r="K8968" s="12" t="s">
        <v>65</v>
      </c>
    </row>
    <row r="8969" spans="1:11" ht="40.049999999999997" customHeight="1" x14ac:dyDescent="0.25">
      <c r="A8969" s="11" t="s">
        <v>17918</v>
      </c>
      <c r="B8969" s="11" t="s">
        <v>17918</v>
      </c>
      <c r="C8969" s="11" t="s">
        <v>17</v>
      </c>
      <c r="D8969" s="11" t="s">
        <v>18</v>
      </c>
      <c r="E8969" s="12" t="s">
        <v>1301</v>
      </c>
      <c r="F8969" s="12" t="s">
        <v>1302</v>
      </c>
      <c r="G8969" s="12" t="s">
        <v>29</v>
      </c>
      <c r="H8969" s="11" t="s">
        <v>63</v>
      </c>
      <c r="I8969" s="13" t="s">
        <v>18011</v>
      </c>
      <c r="J8969" s="14" t="str">
        <f>HYPERLINK("https://www.boe.es/gazeta/dias/1839/11/16/pdfs/GMD-1839-1833.pdf#page=1","Abrir facsímil")</f>
        <v>Abrir facsímil</v>
      </c>
      <c r="K8969" s="12" t="s">
        <v>65</v>
      </c>
    </row>
    <row r="8970" spans="1:11" ht="40.049999999999997" customHeight="1" x14ac:dyDescent="0.25">
      <c r="A8970" s="11" t="s">
        <v>17918</v>
      </c>
      <c r="B8970" s="11" t="s">
        <v>17918</v>
      </c>
      <c r="C8970" s="11" t="s">
        <v>59</v>
      </c>
      <c r="D8970" s="11" t="s">
        <v>60</v>
      </c>
      <c r="E8970" s="12" t="s">
        <v>1301</v>
      </c>
      <c r="F8970" s="12" t="s">
        <v>1302</v>
      </c>
      <c r="G8970" s="12" t="s">
        <v>46</v>
      </c>
      <c r="H8970" s="11" t="s">
        <v>63</v>
      </c>
      <c r="I8970" s="13" t="s">
        <v>18012</v>
      </c>
      <c r="J8970" s="14" t="str">
        <f>HYPERLINK("https://www.boe.es/gazeta/dias/1839/11/16/pdfs/GMD-1839-1833.pdf#page=3","Abrir facsímil")</f>
        <v>Abrir facsímil</v>
      </c>
      <c r="K8970" s="12" t="s">
        <v>65</v>
      </c>
    </row>
    <row r="8971" spans="1:11" ht="40.049999999999997" customHeight="1" x14ac:dyDescent="0.25">
      <c r="A8971" s="11" t="s">
        <v>17918</v>
      </c>
      <c r="B8971" s="11" t="s">
        <v>17918</v>
      </c>
      <c r="C8971" s="11" t="s">
        <v>17</v>
      </c>
      <c r="D8971" s="11" t="s">
        <v>18</v>
      </c>
      <c r="E8971" s="12" t="s">
        <v>1537</v>
      </c>
      <c r="F8971" s="12" t="s">
        <v>1538</v>
      </c>
      <c r="G8971" s="12" t="s">
        <v>29</v>
      </c>
      <c r="H8971" s="11" t="s">
        <v>63</v>
      </c>
      <c r="I8971" s="13" t="s">
        <v>18013</v>
      </c>
      <c r="J8971" s="14" t="str">
        <f>HYPERLINK("https://www.boe.es/gazeta/dias/1839/12/16/pdfs/GMD-1839-1863.pdf#page=1","Abrir facsímil")</f>
        <v>Abrir facsímil</v>
      </c>
      <c r="K8971" s="12" t="s">
        <v>65</v>
      </c>
    </row>
    <row r="8972" spans="1:11" ht="40.049999999999997" customHeight="1" x14ac:dyDescent="0.25">
      <c r="A8972" s="11" t="s">
        <v>17918</v>
      </c>
      <c r="B8972" s="11" t="s">
        <v>17918</v>
      </c>
      <c r="C8972" s="11" t="s">
        <v>101</v>
      </c>
      <c r="D8972" s="11" t="s">
        <v>43</v>
      </c>
      <c r="E8972" s="12" t="s">
        <v>2021</v>
      </c>
      <c r="F8972" s="12" t="s">
        <v>2022</v>
      </c>
      <c r="G8972" s="12" t="s">
        <v>29</v>
      </c>
      <c r="H8972" s="11" t="s">
        <v>63</v>
      </c>
      <c r="I8972" s="13" t="s">
        <v>18014</v>
      </c>
      <c r="J8972" s="14" t="str">
        <f>HYPERLINK("https://www.boe.es/gazeta/dias/1839/02/17/pdfs/GMD-1839-1555.pdf#page=1","Abrir facsímil")</f>
        <v>Abrir facsímil</v>
      </c>
      <c r="K8972" s="12" t="s">
        <v>65</v>
      </c>
    </row>
    <row r="8973" spans="1:11" ht="40.049999999999997" customHeight="1" x14ac:dyDescent="0.25">
      <c r="A8973" s="11" t="s">
        <v>17918</v>
      </c>
      <c r="B8973" s="11" t="s">
        <v>17918</v>
      </c>
      <c r="C8973" s="11" t="s">
        <v>17</v>
      </c>
      <c r="D8973" s="11" t="s">
        <v>18</v>
      </c>
      <c r="E8973" s="12" t="s">
        <v>398</v>
      </c>
      <c r="F8973" s="12" t="s">
        <v>399</v>
      </c>
      <c r="G8973" s="12" t="s">
        <v>46</v>
      </c>
      <c r="H8973" s="11" t="s">
        <v>63</v>
      </c>
      <c r="I8973" s="13" t="s">
        <v>18015</v>
      </c>
      <c r="J8973" s="14" t="str">
        <f>HYPERLINK("https://www.boe.es/gazeta/dias/1839/05/17/pdfs/GMD-1839-1644.pdf#page=3","Abrir facsímil")</f>
        <v>Abrir facsímil</v>
      </c>
      <c r="K8973" s="12" t="s">
        <v>65</v>
      </c>
    </row>
    <row r="8974" spans="1:11" ht="40.049999999999997" customHeight="1" x14ac:dyDescent="0.25">
      <c r="A8974" s="11" t="s">
        <v>17918</v>
      </c>
      <c r="B8974" s="11" t="s">
        <v>17918</v>
      </c>
      <c r="C8974" s="11" t="s">
        <v>17</v>
      </c>
      <c r="D8974" s="11" t="s">
        <v>18</v>
      </c>
      <c r="E8974" s="12" t="s">
        <v>834</v>
      </c>
      <c r="F8974" s="12" t="s">
        <v>835</v>
      </c>
      <c r="G8974" s="12" t="s">
        <v>40</v>
      </c>
      <c r="H8974" s="11" t="s">
        <v>63</v>
      </c>
      <c r="I8974" s="13" t="s">
        <v>18016</v>
      </c>
      <c r="J8974" s="14" t="str">
        <f>HYPERLINK("https://www.boe.es/gazeta/dias/1839/08/17/pdfs/GMD-1839-1737.pdf#page=2","Abrir facsímil")</f>
        <v>Abrir facsímil</v>
      </c>
      <c r="K8974" s="12" t="s">
        <v>65</v>
      </c>
    </row>
    <row r="8975" spans="1:11" ht="40.049999999999997" customHeight="1" x14ac:dyDescent="0.25">
      <c r="A8975" s="11" t="s">
        <v>17918</v>
      </c>
      <c r="B8975" s="11" t="s">
        <v>17918</v>
      </c>
      <c r="C8975" s="11" t="s">
        <v>101</v>
      </c>
      <c r="D8975" s="11" t="s">
        <v>43</v>
      </c>
      <c r="E8975" s="12" t="s">
        <v>834</v>
      </c>
      <c r="F8975" s="12" t="s">
        <v>835</v>
      </c>
      <c r="G8975" s="12" t="s">
        <v>46</v>
      </c>
      <c r="H8975" s="11" t="s">
        <v>63</v>
      </c>
      <c r="I8975" s="13" t="s">
        <v>18017</v>
      </c>
      <c r="J8975" s="14" t="str">
        <f>HYPERLINK("https://www.boe.es/gazeta/dias/1839/08/17/pdfs/GMD-1839-1737.pdf#page=3","Abrir facsímil")</f>
        <v>Abrir facsímil</v>
      </c>
      <c r="K8975" s="12" t="s">
        <v>65</v>
      </c>
    </row>
    <row r="8976" spans="1:11" ht="40.049999999999997" customHeight="1" x14ac:dyDescent="0.25">
      <c r="A8976" s="11" t="s">
        <v>17918</v>
      </c>
      <c r="B8976" s="11" t="s">
        <v>17918</v>
      </c>
      <c r="C8976" s="11" t="s">
        <v>17</v>
      </c>
      <c r="D8976" s="11" t="s">
        <v>18</v>
      </c>
      <c r="E8976" s="12" t="s">
        <v>233</v>
      </c>
      <c r="F8976" s="12" t="s">
        <v>234</v>
      </c>
      <c r="G8976" s="12" t="s">
        <v>29</v>
      </c>
      <c r="H8976" s="11" t="s">
        <v>63</v>
      </c>
      <c r="I8976" s="13" t="s">
        <v>18018</v>
      </c>
      <c r="J8976" s="14" t="str">
        <f>HYPERLINK("https://www.boe.es/gazeta/dias/1839/09/17/pdfs/GMD-1839-1770.pdf#page=1","Abrir facsímil")</f>
        <v>Abrir facsímil</v>
      </c>
      <c r="K8976" s="12" t="s">
        <v>65</v>
      </c>
    </row>
    <row r="8977" spans="1:11" ht="40.049999999999997" customHeight="1" x14ac:dyDescent="0.25">
      <c r="A8977" s="11" t="s">
        <v>17918</v>
      </c>
      <c r="B8977" s="11" t="s">
        <v>17918</v>
      </c>
      <c r="C8977" s="11" t="s">
        <v>137</v>
      </c>
      <c r="D8977" s="11" t="s">
        <v>18</v>
      </c>
      <c r="E8977" s="12" t="s">
        <v>233</v>
      </c>
      <c r="F8977" s="12" t="s">
        <v>234</v>
      </c>
      <c r="G8977" s="12" t="s">
        <v>46</v>
      </c>
      <c r="H8977" s="11" t="s">
        <v>63</v>
      </c>
      <c r="I8977" s="13" t="s">
        <v>18019</v>
      </c>
      <c r="J8977" s="14" t="str">
        <f>HYPERLINK("https://www.boe.es/gazeta/dias/1839/09/17/pdfs/GMD-1839-1770.pdf#page=3","Abrir facsímil")</f>
        <v>Abrir facsímil</v>
      </c>
      <c r="K8977" s="12" t="s">
        <v>65</v>
      </c>
    </row>
    <row r="8978" spans="1:11" ht="40.049999999999997" customHeight="1" x14ac:dyDescent="0.25">
      <c r="A8978" s="11" t="s">
        <v>17918</v>
      </c>
      <c r="B8978" s="11" t="s">
        <v>17918</v>
      </c>
      <c r="C8978" s="11" t="s">
        <v>17</v>
      </c>
      <c r="D8978" s="11" t="s">
        <v>18</v>
      </c>
      <c r="E8978" s="12" t="s">
        <v>233</v>
      </c>
      <c r="F8978" s="12" t="s">
        <v>234</v>
      </c>
      <c r="G8978" s="12" t="s">
        <v>21</v>
      </c>
      <c r="H8978" s="11" t="s">
        <v>63</v>
      </c>
      <c r="I8978" s="13" t="s">
        <v>18020</v>
      </c>
      <c r="J8978" s="14" t="str">
        <f>HYPERLINK("https://www.boe.es/gazeta/dias/1839/09/17/pdfs/GMD-1839-1770.pdf#page=4","Abrir facsímil")</f>
        <v>Abrir facsímil</v>
      </c>
      <c r="K8978" s="12" t="s">
        <v>65</v>
      </c>
    </row>
    <row r="8979" spans="1:11" ht="40.049999999999997" customHeight="1" x14ac:dyDescent="0.25">
      <c r="A8979" s="11" t="s">
        <v>17918</v>
      </c>
      <c r="B8979" s="11" t="s">
        <v>17918</v>
      </c>
      <c r="C8979" s="11" t="s">
        <v>137</v>
      </c>
      <c r="D8979" s="11" t="s">
        <v>18</v>
      </c>
      <c r="E8979" s="12" t="s">
        <v>564</v>
      </c>
      <c r="F8979" s="12" t="s">
        <v>565</v>
      </c>
      <c r="G8979" s="12" t="s">
        <v>29</v>
      </c>
      <c r="H8979" s="11" t="s">
        <v>63</v>
      </c>
      <c r="I8979" s="13" t="s">
        <v>18021</v>
      </c>
      <c r="J8979" s="14" t="str">
        <f>HYPERLINK("https://www.boe.es/gazeta/dias/1839/10/17/pdfs/GMD-1839-1803.pdf#page=1","Abrir facsímil")</f>
        <v>Abrir facsímil</v>
      </c>
      <c r="K8979" s="12" t="s">
        <v>65</v>
      </c>
    </row>
    <row r="8980" spans="1:11" ht="40.049999999999997" customHeight="1" x14ac:dyDescent="0.25">
      <c r="A8980" s="11" t="s">
        <v>17918</v>
      </c>
      <c r="B8980" s="11" t="s">
        <v>17918</v>
      </c>
      <c r="C8980" s="11" t="s">
        <v>17</v>
      </c>
      <c r="D8980" s="11" t="s">
        <v>18</v>
      </c>
      <c r="E8980" s="12" t="s">
        <v>564</v>
      </c>
      <c r="F8980" s="12" t="s">
        <v>565</v>
      </c>
      <c r="G8980" s="12" t="s">
        <v>40</v>
      </c>
      <c r="H8980" s="11" t="s">
        <v>63</v>
      </c>
      <c r="I8980" s="13" t="s">
        <v>18022</v>
      </c>
      <c r="J8980" s="14" t="str">
        <f>HYPERLINK("https://www.boe.es/gazeta/dias/1839/10/17/pdfs/GMD-1839-1803.pdf#page=2","Abrir facsímil")</f>
        <v>Abrir facsímil</v>
      </c>
      <c r="K8980" s="12" t="s">
        <v>65</v>
      </c>
    </row>
    <row r="8981" spans="1:11" ht="40.049999999999997" customHeight="1" x14ac:dyDescent="0.25">
      <c r="A8981" s="11" t="s">
        <v>17918</v>
      </c>
      <c r="B8981" s="11" t="s">
        <v>17918</v>
      </c>
      <c r="C8981" s="11" t="s">
        <v>17</v>
      </c>
      <c r="D8981" s="11" t="s">
        <v>18</v>
      </c>
      <c r="E8981" s="12" t="s">
        <v>1725</v>
      </c>
      <c r="F8981" s="12" t="s">
        <v>1726</v>
      </c>
      <c r="G8981" s="12" t="s">
        <v>29</v>
      </c>
      <c r="H8981" s="11" t="s">
        <v>63</v>
      </c>
      <c r="I8981" s="13" t="s">
        <v>18023</v>
      </c>
      <c r="J8981" s="14" t="str">
        <f>HYPERLINK("https://www.boe.es/gazeta/dias/1839/11/17/pdfs/GMD-1839-1834.pdf#page=1","Abrir facsímil")</f>
        <v>Abrir facsímil</v>
      </c>
      <c r="K8981" s="12" t="s">
        <v>65</v>
      </c>
    </row>
    <row r="8982" spans="1:11" ht="40.049999999999997" customHeight="1" x14ac:dyDescent="0.25">
      <c r="A8982" s="11" t="s">
        <v>17918</v>
      </c>
      <c r="B8982" s="11" t="s">
        <v>17918</v>
      </c>
      <c r="C8982" s="11" t="s">
        <v>17</v>
      </c>
      <c r="D8982" s="11" t="s">
        <v>18</v>
      </c>
      <c r="E8982" s="12" t="s">
        <v>756</v>
      </c>
      <c r="F8982" s="12" t="s">
        <v>757</v>
      </c>
      <c r="G8982" s="12" t="s">
        <v>29</v>
      </c>
      <c r="H8982" s="11" t="s">
        <v>63</v>
      </c>
      <c r="I8982" s="13" t="s">
        <v>18024</v>
      </c>
      <c r="J8982" s="14" t="str">
        <f>HYPERLINK("https://www.boe.es/gazeta/dias/1839/12/17/pdfs/GMD-1839-1864.pdf#page=1","Abrir facsímil")</f>
        <v>Abrir facsímil</v>
      </c>
      <c r="K8982" s="12" t="s">
        <v>65</v>
      </c>
    </row>
    <row r="8983" spans="1:11" ht="40.049999999999997" customHeight="1" x14ac:dyDescent="0.25">
      <c r="A8983" s="11" t="s">
        <v>17918</v>
      </c>
      <c r="B8983" s="11" t="s">
        <v>17918</v>
      </c>
      <c r="C8983" s="11" t="s">
        <v>80</v>
      </c>
      <c r="D8983" s="11" t="s">
        <v>18</v>
      </c>
      <c r="E8983" s="12" t="s">
        <v>756</v>
      </c>
      <c r="F8983" s="12" t="s">
        <v>757</v>
      </c>
      <c r="G8983" s="12" t="s">
        <v>21</v>
      </c>
      <c r="H8983" s="11" t="s">
        <v>63</v>
      </c>
      <c r="I8983" s="13" t="s">
        <v>18025</v>
      </c>
      <c r="J8983" s="14" t="str">
        <f>HYPERLINK("https://www.boe.es/gazeta/dias/1839/12/17/pdfs/GMD-1839-1864.pdf#page=4","Abrir facsímil")</f>
        <v>Abrir facsímil</v>
      </c>
      <c r="K8983" s="12" t="s">
        <v>65</v>
      </c>
    </row>
    <row r="8984" spans="1:11" ht="40.049999999999997" customHeight="1" x14ac:dyDescent="0.25">
      <c r="A8984" s="11" t="s">
        <v>17918</v>
      </c>
      <c r="B8984" s="11" t="s">
        <v>17918</v>
      </c>
      <c r="C8984" s="11" t="s">
        <v>101</v>
      </c>
      <c r="D8984" s="11" t="s">
        <v>43</v>
      </c>
      <c r="E8984" s="12" t="s">
        <v>1072</v>
      </c>
      <c r="F8984" s="12" t="s">
        <v>1073</v>
      </c>
      <c r="G8984" s="12" t="s">
        <v>29</v>
      </c>
      <c r="H8984" s="11" t="s">
        <v>63</v>
      </c>
      <c r="I8984" s="13" t="s">
        <v>18026</v>
      </c>
      <c r="J8984" s="14" t="str">
        <f>HYPERLINK("https://www.boe.es/gazeta/dias/1839/01/18/pdfs/GMD-1839-1525.pdf#page=1","Abrir facsímil")</f>
        <v>Abrir facsímil</v>
      </c>
      <c r="K8984" s="12" t="s">
        <v>65</v>
      </c>
    </row>
    <row r="8985" spans="1:11" ht="40.049999999999997" customHeight="1" x14ac:dyDescent="0.25">
      <c r="A8985" s="11" t="s">
        <v>17918</v>
      </c>
      <c r="B8985" s="11" t="s">
        <v>17918</v>
      </c>
      <c r="C8985" s="11" t="s">
        <v>17</v>
      </c>
      <c r="D8985" s="11" t="s">
        <v>18</v>
      </c>
      <c r="E8985" s="12" t="s">
        <v>236</v>
      </c>
      <c r="F8985" s="12" t="s">
        <v>237</v>
      </c>
      <c r="G8985" s="12" t="s">
        <v>29</v>
      </c>
      <c r="H8985" s="11" t="s">
        <v>63</v>
      </c>
      <c r="I8985" s="13" t="s">
        <v>18027</v>
      </c>
      <c r="J8985" s="14" t="str">
        <f>HYPERLINK("https://www.boe.es/gazeta/dias/1839/09/18/pdfs/GMD-1839-1771.pdf#page=1","Abrir facsímil")</f>
        <v>Abrir facsímil</v>
      </c>
      <c r="K8985" s="12" t="s">
        <v>65</v>
      </c>
    </row>
    <row r="8986" spans="1:11" ht="40.049999999999997" customHeight="1" x14ac:dyDescent="0.25">
      <c r="A8986" s="11" t="s">
        <v>17918</v>
      </c>
      <c r="B8986" s="11" t="s">
        <v>17918</v>
      </c>
      <c r="C8986" s="11" t="s">
        <v>17</v>
      </c>
      <c r="D8986" s="11" t="s">
        <v>18</v>
      </c>
      <c r="E8986" s="12" t="s">
        <v>236</v>
      </c>
      <c r="F8986" s="12" t="s">
        <v>237</v>
      </c>
      <c r="G8986" s="12" t="s">
        <v>21</v>
      </c>
      <c r="H8986" s="11" t="s">
        <v>63</v>
      </c>
      <c r="I8986" s="13" t="s">
        <v>18028</v>
      </c>
      <c r="J8986" s="14" t="str">
        <f>HYPERLINK("https://www.boe.es/gazeta/dias/1839/09/18/pdfs/GMD-1839-1771.pdf#page=4","Abrir facsímil")</f>
        <v>Abrir facsímil</v>
      </c>
      <c r="K8986" s="12" t="s">
        <v>65</v>
      </c>
    </row>
    <row r="8987" spans="1:11" ht="40.049999999999997" customHeight="1" x14ac:dyDescent="0.25">
      <c r="A8987" s="11" t="s">
        <v>17918</v>
      </c>
      <c r="B8987" s="11" t="s">
        <v>17918</v>
      </c>
      <c r="C8987" s="11" t="s">
        <v>17</v>
      </c>
      <c r="D8987" s="11" t="s">
        <v>18</v>
      </c>
      <c r="E8987" s="12" t="s">
        <v>483</v>
      </c>
      <c r="F8987" s="12" t="s">
        <v>484</v>
      </c>
      <c r="G8987" s="12" t="s">
        <v>29</v>
      </c>
      <c r="H8987" s="11" t="s">
        <v>63</v>
      </c>
      <c r="I8987" s="13" t="s">
        <v>18029</v>
      </c>
      <c r="J8987" s="14" t="str">
        <f>HYPERLINK("https://www.boe.es/gazeta/dias/1839/11/18/pdfs/GMD-1839-1835.pdf#page=1","Abrir facsímil")</f>
        <v>Abrir facsímil</v>
      </c>
      <c r="K8987" s="12" t="s">
        <v>65</v>
      </c>
    </row>
    <row r="8988" spans="1:11" ht="40.049999999999997" customHeight="1" x14ac:dyDescent="0.25">
      <c r="A8988" s="11" t="s">
        <v>17918</v>
      </c>
      <c r="B8988" s="11" t="s">
        <v>17918</v>
      </c>
      <c r="C8988" s="11" t="s">
        <v>17</v>
      </c>
      <c r="D8988" s="11" t="s">
        <v>18</v>
      </c>
      <c r="E8988" s="12" t="s">
        <v>713</v>
      </c>
      <c r="F8988" s="12" t="s">
        <v>714</v>
      </c>
      <c r="G8988" s="12" t="s">
        <v>29</v>
      </c>
      <c r="H8988" s="11" t="s">
        <v>63</v>
      </c>
      <c r="I8988" s="13" t="s">
        <v>18030</v>
      </c>
      <c r="J8988" s="14" t="str">
        <f>HYPERLINK("https://www.boe.es/gazeta/dias/1839/12/18/pdfs/GMD-1839-1865.pdf#page=1","Abrir facsímil")</f>
        <v>Abrir facsímil</v>
      </c>
      <c r="K8988" s="12" t="s">
        <v>65</v>
      </c>
    </row>
    <row r="8989" spans="1:11" ht="40.049999999999997" customHeight="1" x14ac:dyDescent="0.25">
      <c r="A8989" s="11" t="s">
        <v>17918</v>
      </c>
      <c r="B8989" s="11" t="s">
        <v>17918</v>
      </c>
      <c r="C8989" s="11" t="s">
        <v>137</v>
      </c>
      <c r="D8989" s="11" t="s">
        <v>18</v>
      </c>
      <c r="E8989" s="12" t="s">
        <v>713</v>
      </c>
      <c r="F8989" s="12" t="s">
        <v>714</v>
      </c>
      <c r="G8989" s="12" t="s">
        <v>21</v>
      </c>
      <c r="H8989" s="11" t="s">
        <v>63</v>
      </c>
      <c r="I8989" s="13" t="s">
        <v>18031</v>
      </c>
      <c r="J8989" s="14" t="str">
        <f>HYPERLINK("https://www.boe.es/gazeta/dias/1839/12/18/pdfs/GMD-1839-1865.pdf#page=4","Abrir facsímil")</f>
        <v>Abrir facsímil</v>
      </c>
      <c r="K8989" s="12" t="s">
        <v>65</v>
      </c>
    </row>
    <row r="8990" spans="1:11" ht="40.049999999999997" customHeight="1" x14ac:dyDescent="0.25">
      <c r="A8990" s="11" t="s">
        <v>17918</v>
      </c>
      <c r="B8990" s="11" t="s">
        <v>17918</v>
      </c>
      <c r="C8990" s="11" t="s">
        <v>59</v>
      </c>
      <c r="D8990" s="11" t="s">
        <v>60</v>
      </c>
      <c r="E8990" s="12" t="s">
        <v>3668</v>
      </c>
      <c r="F8990" s="12" t="s">
        <v>3669</v>
      </c>
      <c r="G8990" s="12" t="s">
        <v>29</v>
      </c>
      <c r="H8990" s="11" t="s">
        <v>63</v>
      </c>
      <c r="I8990" s="13" t="s">
        <v>18032</v>
      </c>
      <c r="J8990" s="14" t="str">
        <f>HYPERLINK("https://www.boe.es/gazeta/dias/1839/05/19/pdfs/GMD-1839-1646.pdf#page=1","Abrir facsímil")</f>
        <v>Abrir facsímil</v>
      </c>
      <c r="K8990" s="12" t="s">
        <v>65</v>
      </c>
    </row>
    <row r="8991" spans="1:11" ht="40.049999999999997" customHeight="1" x14ac:dyDescent="0.25">
      <c r="A8991" s="11" t="s">
        <v>17918</v>
      </c>
      <c r="B8991" s="11" t="s">
        <v>17918</v>
      </c>
      <c r="C8991" s="11" t="s">
        <v>17</v>
      </c>
      <c r="D8991" s="11" t="s">
        <v>18</v>
      </c>
      <c r="E8991" s="12" t="s">
        <v>2222</v>
      </c>
      <c r="F8991" s="12" t="s">
        <v>2223</v>
      </c>
      <c r="G8991" s="12" t="s">
        <v>29</v>
      </c>
      <c r="H8991" s="11" t="s">
        <v>63</v>
      </c>
      <c r="I8991" s="13" t="s">
        <v>18033</v>
      </c>
      <c r="J8991" s="14" t="str">
        <f>HYPERLINK("https://www.boe.es/gazeta/dias/1839/09/19/pdfs/GMD-1839-1773.pdf#page=1","Abrir facsímil")</f>
        <v>Abrir facsímil</v>
      </c>
      <c r="K8991" s="12" t="s">
        <v>65</v>
      </c>
    </row>
    <row r="8992" spans="1:11" ht="40.049999999999997" customHeight="1" x14ac:dyDescent="0.25">
      <c r="A8992" s="11" t="s">
        <v>17918</v>
      </c>
      <c r="B8992" s="11" t="s">
        <v>17918</v>
      </c>
      <c r="C8992" s="11" t="s">
        <v>17</v>
      </c>
      <c r="D8992" s="11" t="s">
        <v>18</v>
      </c>
      <c r="E8992" s="12" t="s">
        <v>2222</v>
      </c>
      <c r="F8992" s="12" t="s">
        <v>2223</v>
      </c>
      <c r="G8992" s="12" t="s">
        <v>40</v>
      </c>
      <c r="H8992" s="11" t="s">
        <v>63</v>
      </c>
      <c r="I8992" s="13" t="s">
        <v>18034</v>
      </c>
      <c r="J8992" s="14" t="str">
        <f>HYPERLINK("https://www.boe.es/gazeta/dias/1839/09/19/pdfs/GMD-1839-1773.pdf#page=2","Abrir facsímil")</f>
        <v>Abrir facsímil</v>
      </c>
      <c r="K8992" s="12" t="s">
        <v>65</v>
      </c>
    </row>
    <row r="8993" spans="1:11" ht="40.049999999999997" customHeight="1" x14ac:dyDescent="0.25">
      <c r="A8993" s="11" t="s">
        <v>17918</v>
      </c>
      <c r="B8993" s="11" t="s">
        <v>17918</v>
      </c>
      <c r="C8993" s="11" t="s">
        <v>17</v>
      </c>
      <c r="D8993" s="11" t="s">
        <v>18</v>
      </c>
      <c r="E8993" s="12" t="s">
        <v>2222</v>
      </c>
      <c r="F8993" s="12" t="s">
        <v>2223</v>
      </c>
      <c r="G8993" s="12" t="s">
        <v>21</v>
      </c>
      <c r="H8993" s="11" t="s">
        <v>63</v>
      </c>
      <c r="I8993" s="13" t="s">
        <v>18035</v>
      </c>
      <c r="J8993" s="14" t="str">
        <f>HYPERLINK("https://www.boe.es/gazeta/dias/1839/09/19/pdfs/GMD-1839-1773.pdf#page=4","Abrir facsímil")</f>
        <v>Abrir facsímil</v>
      </c>
      <c r="K8993" s="12" t="s">
        <v>65</v>
      </c>
    </row>
    <row r="8994" spans="1:11" ht="40.049999999999997" customHeight="1" x14ac:dyDescent="0.25">
      <c r="A8994" s="11" t="s">
        <v>17918</v>
      </c>
      <c r="B8994" s="11" t="s">
        <v>17918</v>
      </c>
      <c r="C8994" s="11" t="s">
        <v>17</v>
      </c>
      <c r="D8994" s="11" t="s">
        <v>18</v>
      </c>
      <c r="E8994" s="12" t="s">
        <v>1076</v>
      </c>
      <c r="F8994" s="12" t="s">
        <v>1077</v>
      </c>
      <c r="G8994" s="12" t="s">
        <v>29</v>
      </c>
      <c r="H8994" s="11" t="s">
        <v>63</v>
      </c>
      <c r="I8994" s="13" t="s">
        <v>18036</v>
      </c>
      <c r="J8994" s="14" t="str">
        <f>HYPERLINK("https://www.boe.es/gazeta/dias/1839/10/19/pdfs/GMD-1839-1805.pdf#page=1","Abrir facsímil")</f>
        <v>Abrir facsímil</v>
      </c>
      <c r="K8994" s="12" t="s">
        <v>65</v>
      </c>
    </row>
    <row r="8995" spans="1:11" ht="40.049999999999997" customHeight="1" x14ac:dyDescent="0.25">
      <c r="A8995" s="11" t="s">
        <v>17918</v>
      </c>
      <c r="B8995" s="11" t="s">
        <v>17918</v>
      </c>
      <c r="C8995" s="11" t="s">
        <v>17</v>
      </c>
      <c r="D8995" s="11" t="s">
        <v>18</v>
      </c>
      <c r="E8995" s="12" t="s">
        <v>1654</v>
      </c>
      <c r="F8995" s="12" t="s">
        <v>1655</v>
      </c>
      <c r="G8995" s="12" t="s">
        <v>21</v>
      </c>
      <c r="H8995" s="11" t="s">
        <v>63</v>
      </c>
      <c r="I8995" s="13" t="s">
        <v>18037</v>
      </c>
      <c r="J8995" s="14" t="str">
        <f>HYPERLINK("https://www.boe.es/gazeta/dias/1839/11/19/pdfs/GMD-1839-1836.pdf#page=4","Abrir facsímil")</f>
        <v>Abrir facsímil</v>
      </c>
      <c r="K8995" s="12" t="s">
        <v>65</v>
      </c>
    </row>
    <row r="8996" spans="1:11" ht="40.049999999999997" customHeight="1" x14ac:dyDescent="0.25">
      <c r="A8996" s="11" t="s">
        <v>17918</v>
      </c>
      <c r="B8996" s="11" t="s">
        <v>17918</v>
      </c>
      <c r="C8996" s="11" t="s">
        <v>59</v>
      </c>
      <c r="D8996" s="11" t="s">
        <v>60</v>
      </c>
      <c r="E8996" s="12" t="s">
        <v>695</v>
      </c>
      <c r="F8996" s="12" t="s">
        <v>696</v>
      </c>
      <c r="G8996" s="12" t="s">
        <v>29</v>
      </c>
      <c r="H8996" s="11" t="s">
        <v>63</v>
      </c>
      <c r="I8996" s="13" t="s">
        <v>18038</v>
      </c>
      <c r="J8996" s="14" t="str">
        <f>HYPERLINK("https://www.boe.es/gazeta/dias/1839/12/19/pdfs/GMD-1839-1866.pdf#page=1","Abrir facsímil")</f>
        <v>Abrir facsímil</v>
      </c>
      <c r="K8996" s="12" t="s">
        <v>65</v>
      </c>
    </row>
    <row r="8997" spans="1:11" ht="40.049999999999997" customHeight="1" x14ac:dyDescent="0.25">
      <c r="A8997" s="11" t="s">
        <v>17918</v>
      </c>
      <c r="B8997" s="11" t="s">
        <v>17918</v>
      </c>
      <c r="C8997" s="11" t="s">
        <v>17</v>
      </c>
      <c r="D8997" s="11" t="s">
        <v>18</v>
      </c>
      <c r="E8997" s="12" t="s">
        <v>695</v>
      </c>
      <c r="F8997" s="12" t="s">
        <v>696</v>
      </c>
      <c r="G8997" s="12" t="s">
        <v>21</v>
      </c>
      <c r="H8997" s="11" t="s">
        <v>63</v>
      </c>
      <c r="I8997" s="13" t="s">
        <v>18039</v>
      </c>
      <c r="J8997" s="14" t="str">
        <f>HYPERLINK("https://www.boe.es/gazeta/dias/1839/12/19/pdfs/GMD-1839-1866.pdf#page=4","Abrir facsímil")</f>
        <v>Abrir facsímil</v>
      </c>
      <c r="K8997" s="12" t="s">
        <v>65</v>
      </c>
    </row>
    <row r="8998" spans="1:11" ht="40.049999999999997" customHeight="1" x14ac:dyDescent="0.25">
      <c r="A8998" s="11" t="s">
        <v>17918</v>
      </c>
      <c r="B8998" s="11" t="s">
        <v>17918</v>
      </c>
      <c r="C8998" s="11" t="s">
        <v>80</v>
      </c>
      <c r="D8998" s="11" t="s">
        <v>18</v>
      </c>
      <c r="E8998" s="12" t="s">
        <v>2253</v>
      </c>
      <c r="F8998" s="12" t="s">
        <v>2254</v>
      </c>
      <c r="G8998" s="12" t="s">
        <v>21</v>
      </c>
      <c r="H8998" s="11" t="s">
        <v>63</v>
      </c>
      <c r="I8998" s="13" t="s">
        <v>18040</v>
      </c>
      <c r="J8998" s="14" t="str">
        <f>HYPERLINK("https://www.boe.es/gazeta/dias/1839/02/20/pdfs/GMD-1839-1558.pdf#page=4","Abrir facsímil")</f>
        <v>Abrir facsímil</v>
      </c>
      <c r="K8998" s="12" t="s">
        <v>65</v>
      </c>
    </row>
    <row r="8999" spans="1:11" ht="40.049999999999997" customHeight="1" x14ac:dyDescent="0.25">
      <c r="A8999" s="11" t="s">
        <v>17918</v>
      </c>
      <c r="B8999" s="11" t="s">
        <v>17918</v>
      </c>
      <c r="C8999" s="11" t="s">
        <v>59</v>
      </c>
      <c r="D8999" s="11" t="s">
        <v>60</v>
      </c>
      <c r="E8999" s="12" t="s">
        <v>343</v>
      </c>
      <c r="F8999" s="12" t="s">
        <v>344</v>
      </c>
      <c r="G8999" s="12" t="s">
        <v>46</v>
      </c>
      <c r="H8999" s="11" t="s">
        <v>63</v>
      </c>
      <c r="I8999" s="13" t="s">
        <v>18041</v>
      </c>
      <c r="J8999" s="14" t="str">
        <f>HYPERLINK("https://www.boe.es/gazeta/dias/1839/05/20/pdfs/GMD-1839-1647.pdf#page=3","Abrir facsímil")</f>
        <v>Abrir facsímil</v>
      </c>
      <c r="K8999" s="12" t="s">
        <v>65</v>
      </c>
    </row>
    <row r="9000" spans="1:11" ht="40.049999999999997" customHeight="1" x14ac:dyDescent="0.25">
      <c r="A9000" s="11" t="s">
        <v>17918</v>
      </c>
      <c r="B9000" s="11" t="s">
        <v>17918</v>
      </c>
      <c r="C9000" s="11" t="s">
        <v>17</v>
      </c>
      <c r="D9000" s="11" t="s">
        <v>18</v>
      </c>
      <c r="E9000" s="12" t="s">
        <v>821</v>
      </c>
      <c r="F9000" s="12" t="s">
        <v>822</v>
      </c>
      <c r="G9000" s="12" t="s">
        <v>46</v>
      </c>
      <c r="H9000" s="11" t="s">
        <v>63</v>
      </c>
      <c r="I9000" s="13" t="s">
        <v>18042</v>
      </c>
      <c r="J9000" s="14" t="str">
        <f>HYPERLINK("https://www.boe.es/gazeta/dias/1839/09/20/pdfs/GMD-1839-1775.pdf#page=3","Abrir facsímil")</f>
        <v>Abrir facsímil</v>
      </c>
      <c r="K9000" s="12" t="s">
        <v>65</v>
      </c>
    </row>
    <row r="9001" spans="1:11" ht="40.049999999999997" customHeight="1" x14ac:dyDescent="0.25">
      <c r="A9001" s="11" t="s">
        <v>17918</v>
      </c>
      <c r="B9001" s="11" t="s">
        <v>17918</v>
      </c>
      <c r="C9001" s="11" t="s">
        <v>17</v>
      </c>
      <c r="D9001" s="11" t="s">
        <v>18</v>
      </c>
      <c r="E9001" s="12" t="s">
        <v>2069</v>
      </c>
      <c r="F9001" s="12" t="s">
        <v>2070</v>
      </c>
      <c r="G9001" s="12" t="s">
        <v>29</v>
      </c>
      <c r="H9001" s="11" t="s">
        <v>63</v>
      </c>
      <c r="I9001" s="13" t="s">
        <v>18043</v>
      </c>
      <c r="J9001" s="14" t="str">
        <f>HYPERLINK("https://www.boe.es/gazeta/dias/1839/10/20/pdfs/GMD-1839-1806.pdf#page=1","Abrir facsímil")</f>
        <v>Abrir facsímil</v>
      </c>
      <c r="K9001" s="12" t="s">
        <v>65</v>
      </c>
    </row>
    <row r="9002" spans="1:11" ht="40.049999999999997" customHeight="1" x14ac:dyDescent="0.25">
      <c r="A9002" s="11" t="s">
        <v>17918</v>
      </c>
      <c r="B9002" s="11" t="s">
        <v>17918</v>
      </c>
      <c r="C9002" s="11" t="s">
        <v>101</v>
      </c>
      <c r="D9002" s="11" t="s">
        <v>43</v>
      </c>
      <c r="E9002" s="12" t="s">
        <v>2069</v>
      </c>
      <c r="F9002" s="12" t="s">
        <v>2070</v>
      </c>
      <c r="G9002" s="12" t="s">
        <v>40</v>
      </c>
      <c r="H9002" s="11" t="s">
        <v>63</v>
      </c>
      <c r="I9002" s="13" t="s">
        <v>18044</v>
      </c>
      <c r="J9002" s="14" t="str">
        <f>HYPERLINK("https://www.boe.es/gazeta/dias/1839/10/20/pdfs/GMD-1839-1806.pdf#page=2","Abrir facsímil")</f>
        <v>Abrir facsímil</v>
      </c>
      <c r="K9002" s="12" t="s">
        <v>65</v>
      </c>
    </row>
    <row r="9003" spans="1:11" ht="40.049999999999997" customHeight="1" x14ac:dyDescent="0.25">
      <c r="A9003" s="11" t="s">
        <v>17918</v>
      </c>
      <c r="B9003" s="11" t="s">
        <v>17918</v>
      </c>
      <c r="C9003" s="11" t="s">
        <v>17</v>
      </c>
      <c r="D9003" s="11" t="s">
        <v>18</v>
      </c>
      <c r="E9003" s="12" t="s">
        <v>2069</v>
      </c>
      <c r="F9003" s="12" t="s">
        <v>2070</v>
      </c>
      <c r="G9003" s="12" t="s">
        <v>566</v>
      </c>
      <c r="H9003" s="11" t="s">
        <v>63</v>
      </c>
      <c r="I9003" s="13" t="s">
        <v>18045</v>
      </c>
      <c r="J9003" s="14" t="str">
        <f>HYPERLINK("https://www.boe.es/gazeta/dias/1839/10/20/pdfs/GMD-1839-1806.pdf#page=5","Abrir facsímil")</f>
        <v>Abrir facsímil</v>
      </c>
      <c r="K9003" s="12" t="s">
        <v>65</v>
      </c>
    </row>
    <row r="9004" spans="1:11" ht="40.049999999999997" customHeight="1" x14ac:dyDescent="0.25">
      <c r="A9004" s="11" t="s">
        <v>17918</v>
      </c>
      <c r="B9004" s="11" t="s">
        <v>17918</v>
      </c>
      <c r="C9004" s="11" t="s">
        <v>101</v>
      </c>
      <c r="D9004" s="11" t="s">
        <v>43</v>
      </c>
      <c r="E9004" s="12" t="s">
        <v>2069</v>
      </c>
      <c r="F9004" s="12" t="s">
        <v>2070</v>
      </c>
      <c r="G9004" s="12" t="s">
        <v>305</v>
      </c>
      <c r="H9004" s="11" t="s">
        <v>63</v>
      </c>
      <c r="I9004" s="13" t="s">
        <v>18046</v>
      </c>
      <c r="J9004" s="14" t="str">
        <f>HYPERLINK("https://www.boe.es/gazeta/dias/1839/10/20/pdfs/GMD-1839-1806.pdf#page=6","Abrir facsímil")</f>
        <v>Abrir facsímil</v>
      </c>
      <c r="K9004" s="12" t="s">
        <v>65</v>
      </c>
    </row>
    <row r="9005" spans="1:11" ht="40.049999999999997" customHeight="1" x14ac:dyDescent="0.25">
      <c r="A9005" s="11" t="s">
        <v>17918</v>
      </c>
      <c r="B9005" s="11" t="s">
        <v>17918</v>
      </c>
      <c r="C9005" s="11" t="s">
        <v>59</v>
      </c>
      <c r="D9005" s="11" t="s">
        <v>60</v>
      </c>
      <c r="E9005" s="12" t="s">
        <v>1584</v>
      </c>
      <c r="F9005" s="12" t="s">
        <v>1585</v>
      </c>
      <c r="G9005" s="12" t="s">
        <v>46</v>
      </c>
      <c r="H9005" s="11" t="s">
        <v>63</v>
      </c>
      <c r="I9005" s="13" t="s">
        <v>18047</v>
      </c>
      <c r="J9005" s="14" t="str">
        <f>HYPERLINK("https://www.boe.es/gazeta/dias/1839/11/20/pdfs/GMD-1839-1837.pdf#page=3","Abrir facsímil")</f>
        <v>Abrir facsímil</v>
      </c>
      <c r="K9005" s="12" t="s">
        <v>65</v>
      </c>
    </row>
    <row r="9006" spans="1:11" ht="40.049999999999997" customHeight="1" x14ac:dyDescent="0.25">
      <c r="A9006" s="11" t="s">
        <v>17918</v>
      </c>
      <c r="B9006" s="11" t="s">
        <v>17918</v>
      </c>
      <c r="C9006" s="11" t="s">
        <v>137</v>
      </c>
      <c r="D9006" s="11" t="s">
        <v>18</v>
      </c>
      <c r="E9006" s="12" t="s">
        <v>1517</v>
      </c>
      <c r="F9006" s="12" t="s">
        <v>1518</v>
      </c>
      <c r="G9006" s="12" t="s">
        <v>29</v>
      </c>
      <c r="H9006" s="11" t="s">
        <v>63</v>
      </c>
      <c r="I9006" s="13" t="s">
        <v>18048</v>
      </c>
      <c r="J9006" s="14" t="str">
        <f>HYPERLINK("https://www.boe.es/gazeta/dias/1839/12/20/pdfs/GMD-1839-1867.pdf#page=1","Abrir facsímil")</f>
        <v>Abrir facsímil</v>
      </c>
      <c r="K9006" s="12" t="s">
        <v>65</v>
      </c>
    </row>
    <row r="9007" spans="1:11" ht="40.049999999999997" customHeight="1" x14ac:dyDescent="0.25">
      <c r="A9007" s="11" t="s">
        <v>17918</v>
      </c>
      <c r="B9007" s="11" t="s">
        <v>17918</v>
      </c>
      <c r="C9007" s="11" t="s">
        <v>17</v>
      </c>
      <c r="D9007" s="11" t="s">
        <v>18</v>
      </c>
      <c r="E9007" s="12" t="s">
        <v>280</v>
      </c>
      <c r="F9007" s="12" t="s">
        <v>281</v>
      </c>
      <c r="G9007" s="12" t="s">
        <v>29</v>
      </c>
      <c r="H9007" s="11" t="s">
        <v>63</v>
      </c>
      <c r="I9007" s="13" t="s">
        <v>18049</v>
      </c>
      <c r="J9007" s="14" t="str">
        <f>HYPERLINK("https://www.boe.es/gazeta/dias/1839/08/21/pdfs/GMD-1839-1742.pdf#page=1","Abrir facsímil")</f>
        <v>Abrir facsímil</v>
      </c>
      <c r="K9007" s="12" t="s">
        <v>65</v>
      </c>
    </row>
    <row r="9008" spans="1:11" ht="40.049999999999997" customHeight="1" x14ac:dyDescent="0.25">
      <c r="A9008" s="11" t="s">
        <v>17918</v>
      </c>
      <c r="B9008" s="11" t="s">
        <v>17918</v>
      </c>
      <c r="C9008" s="11" t="s">
        <v>17</v>
      </c>
      <c r="D9008" s="11" t="s">
        <v>18</v>
      </c>
      <c r="E9008" s="12" t="s">
        <v>2949</v>
      </c>
      <c r="F9008" s="12" t="s">
        <v>2950</v>
      </c>
      <c r="G9008" s="12" t="s">
        <v>29</v>
      </c>
      <c r="H9008" s="11" t="s">
        <v>63</v>
      </c>
      <c r="I9008" s="13" t="s">
        <v>18050</v>
      </c>
      <c r="J9008" s="14" t="str">
        <f>HYPERLINK("https://www.boe.es/gazeta/dias/1839/10/21/pdfs/GMD-1839-1807.pdf#page=1","Abrir facsímil")</f>
        <v>Abrir facsímil</v>
      </c>
      <c r="K9008" s="12" t="s">
        <v>65</v>
      </c>
    </row>
    <row r="9009" spans="1:11" ht="40.049999999999997" customHeight="1" x14ac:dyDescent="0.25">
      <c r="A9009" s="11" t="s">
        <v>17918</v>
      </c>
      <c r="B9009" s="11" t="s">
        <v>17918</v>
      </c>
      <c r="C9009" s="11" t="s">
        <v>17</v>
      </c>
      <c r="D9009" s="11" t="s">
        <v>18</v>
      </c>
      <c r="E9009" s="12" t="s">
        <v>2949</v>
      </c>
      <c r="F9009" s="12" t="s">
        <v>2950</v>
      </c>
      <c r="G9009" s="12" t="s">
        <v>46</v>
      </c>
      <c r="H9009" s="11" t="s">
        <v>63</v>
      </c>
      <c r="I9009" s="13" t="s">
        <v>18051</v>
      </c>
      <c r="J9009" s="14" t="str">
        <f>HYPERLINK("https://www.boe.es/gazeta/dias/1839/10/21/pdfs/GMD-1839-1807.pdf#page=3","Abrir facsímil")</f>
        <v>Abrir facsímil</v>
      </c>
      <c r="K9009" s="12" t="s">
        <v>65</v>
      </c>
    </row>
    <row r="9010" spans="1:11" ht="40.049999999999997" customHeight="1" x14ac:dyDescent="0.25">
      <c r="A9010" s="11" t="s">
        <v>17918</v>
      </c>
      <c r="B9010" s="11" t="s">
        <v>17918</v>
      </c>
      <c r="C9010" s="11" t="s">
        <v>17</v>
      </c>
      <c r="D9010" s="11" t="s">
        <v>18</v>
      </c>
      <c r="E9010" s="12" t="s">
        <v>857</v>
      </c>
      <c r="F9010" s="12" t="s">
        <v>858</v>
      </c>
      <c r="G9010" s="12" t="s">
        <v>29</v>
      </c>
      <c r="H9010" s="11" t="s">
        <v>63</v>
      </c>
      <c r="I9010" s="13" t="s">
        <v>18052</v>
      </c>
      <c r="J9010" s="14" t="str">
        <f>HYPERLINK("https://www.boe.es/gazeta/dias/1839/11/21/pdfs/GMD-1839-1838.pdf#page=1","Abrir facsímil")</f>
        <v>Abrir facsímil</v>
      </c>
      <c r="K9010" s="12" t="s">
        <v>65</v>
      </c>
    </row>
    <row r="9011" spans="1:11" ht="40.049999999999997" customHeight="1" x14ac:dyDescent="0.25">
      <c r="A9011" s="11" t="s">
        <v>17918</v>
      </c>
      <c r="B9011" s="11" t="s">
        <v>17918</v>
      </c>
      <c r="C9011" s="11" t="s">
        <v>101</v>
      </c>
      <c r="D9011" s="11" t="s">
        <v>43</v>
      </c>
      <c r="E9011" s="12" t="s">
        <v>794</v>
      </c>
      <c r="F9011" s="12" t="s">
        <v>795</v>
      </c>
      <c r="G9011" s="12" t="s">
        <v>40</v>
      </c>
      <c r="H9011" s="11" t="s">
        <v>63</v>
      </c>
      <c r="I9011" s="13" t="s">
        <v>18053</v>
      </c>
      <c r="J9011" s="14" t="str">
        <f>HYPERLINK("https://www.boe.es/gazeta/dias/1839/01/22/pdfs/GMD-1839-1529.pdf#page=2","Abrir facsímil")</f>
        <v>Abrir facsímil</v>
      </c>
      <c r="K9011" s="12" t="s">
        <v>65</v>
      </c>
    </row>
    <row r="9012" spans="1:11" ht="40.049999999999997" customHeight="1" x14ac:dyDescent="0.25">
      <c r="A9012" s="11" t="s">
        <v>17918</v>
      </c>
      <c r="B9012" s="11" t="s">
        <v>17918</v>
      </c>
      <c r="C9012" s="11" t="s">
        <v>17</v>
      </c>
      <c r="D9012" s="11" t="s">
        <v>18</v>
      </c>
      <c r="E9012" s="12" t="s">
        <v>360</v>
      </c>
      <c r="F9012" s="12" t="s">
        <v>361</v>
      </c>
      <c r="G9012" s="12" t="s">
        <v>46</v>
      </c>
      <c r="H9012" s="11" t="s">
        <v>63</v>
      </c>
      <c r="I9012" s="13" t="s">
        <v>18054</v>
      </c>
      <c r="J9012" s="14" t="str">
        <f>HYPERLINK("https://www.boe.es/gazeta/dias/1839/08/22/pdfs/GMD-1839-1743.pdf#page=3","Abrir facsímil")</f>
        <v>Abrir facsímil</v>
      </c>
      <c r="K9012" s="12" t="s">
        <v>65</v>
      </c>
    </row>
    <row r="9013" spans="1:11" ht="40.049999999999997" customHeight="1" x14ac:dyDescent="0.25">
      <c r="A9013" s="11" t="s">
        <v>17918</v>
      </c>
      <c r="B9013" s="11" t="s">
        <v>17918</v>
      </c>
      <c r="C9013" s="11" t="s">
        <v>17</v>
      </c>
      <c r="D9013" s="11" t="s">
        <v>18</v>
      </c>
      <c r="E9013" s="12" t="s">
        <v>1433</v>
      </c>
      <c r="F9013" s="12" t="s">
        <v>1434</v>
      </c>
      <c r="G9013" s="12" t="s">
        <v>29</v>
      </c>
      <c r="H9013" s="11" t="s">
        <v>63</v>
      </c>
      <c r="I9013" s="13" t="s">
        <v>18055</v>
      </c>
      <c r="J9013" s="14" t="str">
        <f>HYPERLINK("https://www.boe.es/gazeta/dias/1839/10/22/pdfs/GMD-1839-1808.pdf#page=1","Abrir facsímil")</f>
        <v>Abrir facsímil</v>
      </c>
      <c r="K9013" s="12" t="s">
        <v>65</v>
      </c>
    </row>
    <row r="9014" spans="1:11" ht="40.049999999999997" customHeight="1" x14ac:dyDescent="0.25">
      <c r="A9014" s="11" t="s">
        <v>17918</v>
      </c>
      <c r="B9014" s="11" t="s">
        <v>17918</v>
      </c>
      <c r="C9014" s="11" t="s">
        <v>17</v>
      </c>
      <c r="D9014" s="11" t="s">
        <v>18</v>
      </c>
      <c r="E9014" s="12" t="s">
        <v>1433</v>
      </c>
      <c r="F9014" s="12" t="s">
        <v>1434</v>
      </c>
      <c r="G9014" s="12" t="s">
        <v>21</v>
      </c>
      <c r="H9014" s="11" t="s">
        <v>63</v>
      </c>
      <c r="I9014" s="13" t="s">
        <v>18056</v>
      </c>
      <c r="J9014" s="14" t="str">
        <f>HYPERLINK("https://www.boe.es/gazeta/dias/1839/10/22/pdfs/GMD-1839-1808.pdf#page=4","Abrir facsímil")</f>
        <v>Abrir facsímil</v>
      </c>
      <c r="K9014" s="12" t="s">
        <v>65</v>
      </c>
    </row>
    <row r="9015" spans="1:11" ht="40.049999999999997" customHeight="1" x14ac:dyDescent="0.25">
      <c r="A9015" s="11" t="s">
        <v>17918</v>
      </c>
      <c r="B9015" s="11" t="s">
        <v>17918</v>
      </c>
      <c r="C9015" s="11" t="s">
        <v>137</v>
      </c>
      <c r="D9015" s="11" t="s">
        <v>18</v>
      </c>
      <c r="E9015" s="12" t="s">
        <v>1012</v>
      </c>
      <c r="F9015" s="12" t="s">
        <v>1013</v>
      </c>
      <c r="G9015" s="12" t="s">
        <v>29</v>
      </c>
      <c r="H9015" s="11" t="s">
        <v>63</v>
      </c>
      <c r="I9015" s="13" t="s">
        <v>18057</v>
      </c>
      <c r="J9015" s="14" t="str">
        <f>HYPERLINK("https://www.boe.es/gazeta/dias/1839/11/22/pdfs/GMD-1839-1839.pdf#page=1","Abrir facsímil")</f>
        <v>Abrir facsímil</v>
      </c>
      <c r="K9015" s="12" t="s">
        <v>65</v>
      </c>
    </row>
    <row r="9016" spans="1:11" ht="40.049999999999997" customHeight="1" x14ac:dyDescent="0.25">
      <c r="A9016" s="11" t="s">
        <v>17918</v>
      </c>
      <c r="B9016" s="11" t="s">
        <v>17918</v>
      </c>
      <c r="C9016" s="11" t="s">
        <v>101</v>
      </c>
      <c r="D9016" s="11" t="s">
        <v>102</v>
      </c>
      <c r="E9016" s="12" t="s">
        <v>2415</v>
      </c>
      <c r="F9016" s="12" t="s">
        <v>2416</v>
      </c>
      <c r="G9016" s="12" t="s">
        <v>29</v>
      </c>
      <c r="H9016" s="11" t="s">
        <v>63</v>
      </c>
      <c r="I9016" s="13" t="s">
        <v>18058</v>
      </c>
      <c r="J9016" s="14" t="str">
        <f>HYPERLINK("https://www.boe.es/gazeta/dias/1839/12/22/pdfs/GMD-1839-1869.pdf#page=1","Abrir facsímil")</f>
        <v>Abrir facsímil</v>
      </c>
      <c r="K9016" s="12" t="s">
        <v>65</v>
      </c>
    </row>
    <row r="9017" spans="1:11" ht="40.049999999999997" customHeight="1" x14ac:dyDescent="0.25">
      <c r="A9017" s="11" t="s">
        <v>17918</v>
      </c>
      <c r="B9017" s="11" t="s">
        <v>17918</v>
      </c>
      <c r="C9017" s="11" t="s">
        <v>80</v>
      </c>
      <c r="D9017" s="11" t="s">
        <v>18</v>
      </c>
      <c r="E9017" s="12" t="s">
        <v>2415</v>
      </c>
      <c r="F9017" s="12" t="s">
        <v>2416</v>
      </c>
      <c r="G9017" s="12" t="s">
        <v>21</v>
      </c>
      <c r="H9017" s="11" t="s">
        <v>63</v>
      </c>
      <c r="I9017" s="13" t="s">
        <v>18059</v>
      </c>
      <c r="J9017" s="14" t="str">
        <f>HYPERLINK("https://www.boe.es/gazeta/dias/1839/12/22/pdfs/GMD-1839-1869.pdf#page=4","Abrir facsímil")</f>
        <v>Abrir facsímil</v>
      </c>
      <c r="K9017" s="12" t="s">
        <v>65</v>
      </c>
    </row>
    <row r="9018" spans="1:11" ht="40.049999999999997" customHeight="1" x14ac:dyDescent="0.25">
      <c r="A9018" s="11" t="s">
        <v>17918</v>
      </c>
      <c r="B9018" s="11" t="s">
        <v>17918</v>
      </c>
      <c r="C9018" s="11" t="s">
        <v>101</v>
      </c>
      <c r="D9018" s="11" t="s">
        <v>43</v>
      </c>
      <c r="E9018" s="12" t="s">
        <v>596</v>
      </c>
      <c r="F9018" s="12" t="s">
        <v>597</v>
      </c>
      <c r="G9018" s="12" t="s">
        <v>29</v>
      </c>
      <c r="H9018" s="11" t="s">
        <v>63</v>
      </c>
      <c r="I9018" s="13" t="s">
        <v>18060</v>
      </c>
      <c r="J9018" s="14" t="str">
        <f>HYPERLINK("https://www.boe.es/gazeta/dias/1839/01/23/pdfs/GMD-1839-1530.pdf#page=1","Abrir facsímil")</f>
        <v>Abrir facsímil</v>
      </c>
      <c r="K9018" s="12" t="s">
        <v>65</v>
      </c>
    </row>
    <row r="9019" spans="1:11" ht="40.049999999999997" customHeight="1" x14ac:dyDescent="0.25">
      <c r="A9019" s="11" t="s">
        <v>17918</v>
      </c>
      <c r="B9019" s="11" t="s">
        <v>17918</v>
      </c>
      <c r="C9019" s="11" t="s">
        <v>17</v>
      </c>
      <c r="D9019" s="11" t="s">
        <v>18</v>
      </c>
      <c r="E9019" s="12" t="s">
        <v>596</v>
      </c>
      <c r="F9019" s="12" t="s">
        <v>597</v>
      </c>
      <c r="G9019" s="12" t="s">
        <v>40</v>
      </c>
      <c r="H9019" s="11" t="s">
        <v>63</v>
      </c>
      <c r="I9019" s="13" t="s">
        <v>18061</v>
      </c>
      <c r="J9019" s="14" t="str">
        <f>HYPERLINK("https://www.boe.es/gazeta/dias/1839/01/23/pdfs/GMD-1839-1530.pdf#page=2","Abrir facsímil")</f>
        <v>Abrir facsímil</v>
      </c>
      <c r="K9019" s="12" t="s">
        <v>65</v>
      </c>
    </row>
    <row r="9020" spans="1:11" ht="40.049999999999997" customHeight="1" x14ac:dyDescent="0.25">
      <c r="A9020" s="11" t="s">
        <v>17918</v>
      </c>
      <c r="B9020" s="11" t="s">
        <v>17918</v>
      </c>
      <c r="C9020" s="11" t="s">
        <v>80</v>
      </c>
      <c r="D9020" s="11" t="s">
        <v>18</v>
      </c>
      <c r="E9020" s="12" t="s">
        <v>519</v>
      </c>
      <c r="F9020" s="12" t="s">
        <v>520</v>
      </c>
      <c r="G9020" s="12" t="s">
        <v>29</v>
      </c>
      <c r="H9020" s="11" t="s">
        <v>63</v>
      </c>
      <c r="I9020" s="13" t="s">
        <v>18062</v>
      </c>
      <c r="J9020" s="14" t="str">
        <f>HYPERLINK("https://www.boe.es/gazeta/dias/1839/02/23/pdfs/GMD-1839-1561.pdf#page=1","Abrir facsímil")</f>
        <v>Abrir facsímil</v>
      </c>
      <c r="K9020" s="12" t="s">
        <v>65</v>
      </c>
    </row>
    <row r="9021" spans="1:11" ht="40.049999999999997" customHeight="1" x14ac:dyDescent="0.25">
      <c r="A9021" s="11" t="s">
        <v>17918</v>
      </c>
      <c r="B9021" s="11" t="s">
        <v>17918</v>
      </c>
      <c r="C9021" s="11" t="s">
        <v>17</v>
      </c>
      <c r="D9021" s="11" t="s">
        <v>18</v>
      </c>
      <c r="E9021" s="12" t="s">
        <v>519</v>
      </c>
      <c r="F9021" s="12" t="s">
        <v>520</v>
      </c>
      <c r="G9021" s="12" t="s">
        <v>21</v>
      </c>
      <c r="H9021" s="11" t="s">
        <v>63</v>
      </c>
      <c r="I9021" s="13" t="s">
        <v>18063</v>
      </c>
      <c r="J9021" s="14" t="str">
        <f>HYPERLINK("https://www.boe.es/gazeta/dias/1839/02/23/pdfs/GMD-1839-1561.pdf#page=4","Abrir facsímil")</f>
        <v>Abrir facsímil</v>
      </c>
      <c r="K9021" s="12" t="s">
        <v>65</v>
      </c>
    </row>
    <row r="9022" spans="1:11" ht="40.049999999999997" customHeight="1" x14ac:dyDescent="0.25">
      <c r="A9022" s="11" t="s">
        <v>17918</v>
      </c>
      <c r="B9022" s="11" t="s">
        <v>17918</v>
      </c>
      <c r="C9022" s="11" t="s">
        <v>17</v>
      </c>
      <c r="D9022" s="11" t="s">
        <v>18</v>
      </c>
      <c r="E9022" s="12" t="s">
        <v>125</v>
      </c>
      <c r="F9022" s="12" t="s">
        <v>126</v>
      </c>
      <c r="G9022" s="12" t="s">
        <v>29</v>
      </c>
      <c r="H9022" s="11" t="s">
        <v>63</v>
      </c>
      <c r="I9022" s="13" t="s">
        <v>18064</v>
      </c>
      <c r="J9022" s="14" t="str">
        <f>HYPERLINK("https://www.boe.es/gazeta/dias/1839/05/23/pdfs/GMD-1839-1650.pdf#page=1","Abrir facsímil")</f>
        <v>Abrir facsímil</v>
      </c>
      <c r="K9022" s="12" t="s">
        <v>65</v>
      </c>
    </row>
    <row r="9023" spans="1:11" ht="40.049999999999997" customHeight="1" x14ac:dyDescent="0.25">
      <c r="A9023" s="11" t="s">
        <v>17918</v>
      </c>
      <c r="B9023" s="11" t="s">
        <v>17918</v>
      </c>
      <c r="C9023" s="11" t="s">
        <v>59</v>
      </c>
      <c r="D9023" s="11" t="s">
        <v>60</v>
      </c>
      <c r="E9023" s="12" t="s">
        <v>125</v>
      </c>
      <c r="F9023" s="12" t="s">
        <v>126</v>
      </c>
      <c r="G9023" s="12" t="s">
        <v>21</v>
      </c>
      <c r="H9023" s="11" t="s">
        <v>63</v>
      </c>
      <c r="I9023" s="13" t="s">
        <v>18065</v>
      </c>
      <c r="J9023" s="14" t="str">
        <f>HYPERLINK("https://www.boe.es/gazeta/dias/1839/05/23/pdfs/GMD-1839-1650.pdf#page=4","Abrir facsímil")</f>
        <v>Abrir facsímil</v>
      </c>
      <c r="K9023" s="12" t="s">
        <v>65</v>
      </c>
    </row>
    <row r="9024" spans="1:11" ht="40.049999999999997" customHeight="1" x14ac:dyDescent="0.25">
      <c r="A9024" s="11" t="s">
        <v>17918</v>
      </c>
      <c r="B9024" s="11" t="s">
        <v>17918</v>
      </c>
      <c r="C9024" s="11" t="s">
        <v>137</v>
      </c>
      <c r="D9024" s="11" t="s">
        <v>18</v>
      </c>
      <c r="E9024" s="12" t="s">
        <v>243</v>
      </c>
      <c r="F9024" s="12" t="s">
        <v>244</v>
      </c>
      <c r="G9024" s="12" t="s">
        <v>46</v>
      </c>
      <c r="H9024" s="11" t="s">
        <v>63</v>
      </c>
      <c r="I9024" s="13" t="s">
        <v>18066</v>
      </c>
      <c r="J9024" s="14" t="str">
        <f>HYPERLINK("https://www.boe.es/gazeta/dias/1839/09/23/pdfs/GMD-1839-1779.pdf#page=3","Abrir facsímil")</f>
        <v>Abrir facsímil</v>
      </c>
      <c r="K9024" s="12" t="s">
        <v>65</v>
      </c>
    </row>
    <row r="9025" spans="1:11" ht="40.049999999999997" customHeight="1" x14ac:dyDescent="0.25">
      <c r="A9025" s="11" t="s">
        <v>17918</v>
      </c>
      <c r="B9025" s="11" t="s">
        <v>17918</v>
      </c>
      <c r="C9025" s="11" t="s">
        <v>17</v>
      </c>
      <c r="D9025" s="11" t="s">
        <v>18</v>
      </c>
      <c r="E9025" s="12" t="s">
        <v>568</v>
      </c>
      <c r="F9025" s="12" t="s">
        <v>569</v>
      </c>
      <c r="G9025" s="12" t="s">
        <v>29</v>
      </c>
      <c r="H9025" s="11" t="s">
        <v>63</v>
      </c>
      <c r="I9025" s="13" t="s">
        <v>18067</v>
      </c>
      <c r="J9025" s="14" t="str">
        <f>HYPERLINK("https://www.boe.es/gazeta/dias/1839/10/23/pdfs/GMD-1839-1809.pdf#page=1","Abrir facsímil")</f>
        <v>Abrir facsímil</v>
      </c>
      <c r="K9025" s="12" t="s">
        <v>65</v>
      </c>
    </row>
    <row r="9026" spans="1:11" ht="40.049999999999997" customHeight="1" x14ac:dyDescent="0.25">
      <c r="A9026" s="11" t="s">
        <v>17918</v>
      </c>
      <c r="B9026" s="11" t="s">
        <v>17918</v>
      </c>
      <c r="C9026" s="11" t="s">
        <v>137</v>
      </c>
      <c r="D9026" s="11" t="s">
        <v>18</v>
      </c>
      <c r="E9026" s="12" t="s">
        <v>496</v>
      </c>
      <c r="F9026" s="12" t="s">
        <v>497</v>
      </c>
      <c r="G9026" s="12" t="s">
        <v>29</v>
      </c>
      <c r="H9026" s="11" t="s">
        <v>63</v>
      </c>
      <c r="I9026" s="13" t="s">
        <v>18068</v>
      </c>
      <c r="J9026" s="14" t="str">
        <f>HYPERLINK("https://www.boe.es/gazeta/dias/1839/11/23/pdfs/GMD-1839-1840.pdf#page=1","Abrir facsímil")</f>
        <v>Abrir facsímil</v>
      </c>
      <c r="K9026" s="12" t="s">
        <v>65</v>
      </c>
    </row>
    <row r="9027" spans="1:11" ht="40.049999999999997" customHeight="1" x14ac:dyDescent="0.25">
      <c r="A9027" s="11" t="s">
        <v>17918</v>
      </c>
      <c r="B9027" s="11" t="s">
        <v>17918</v>
      </c>
      <c r="C9027" s="11" t="s">
        <v>17</v>
      </c>
      <c r="D9027" s="11" t="s">
        <v>18</v>
      </c>
      <c r="E9027" s="12" t="s">
        <v>276</v>
      </c>
      <c r="F9027" s="12" t="s">
        <v>277</v>
      </c>
      <c r="G9027" s="12" t="s">
        <v>29</v>
      </c>
      <c r="H9027" s="11" t="s">
        <v>63</v>
      </c>
      <c r="I9027" s="13" t="s">
        <v>18069</v>
      </c>
      <c r="J9027" s="14" t="str">
        <f>HYPERLINK("https://www.boe.es/gazeta/dias/1839/09/24/pdfs/GMD-1839-1780.pdf#page=1","Abrir facsímil")</f>
        <v>Abrir facsímil</v>
      </c>
      <c r="K9027" s="12" t="s">
        <v>65</v>
      </c>
    </row>
    <row r="9028" spans="1:11" ht="40.049999999999997" customHeight="1" x14ac:dyDescent="0.25">
      <c r="A9028" s="11" t="s">
        <v>17918</v>
      </c>
      <c r="B9028" s="11" t="s">
        <v>17918</v>
      </c>
      <c r="C9028" s="11" t="s">
        <v>17</v>
      </c>
      <c r="D9028" s="11" t="s">
        <v>18</v>
      </c>
      <c r="E9028" s="12" t="s">
        <v>276</v>
      </c>
      <c r="F9028" s="12" t="s">
        <v>277</v>
      </c>
      <c r="G9028" s="12" t="s">
        <v>40</v>
      </c>
      <c r="H9028" s="11" t="s">
        <v>63</v>
      </c>
      <c r="I9028" s="13" t="s">
        <v>18070</v>
      </c>
      <c r="J9028" s="14" t="str">
        <f>HYPERLINK("https://www.boe.es/gazeta/dias/1839/09/24/pdfs/GMD-1839-1780.pdf#page=2","Abrir facsímil")</f>
        <v>Abrir facsímil</v>
      </c>
      <c r="K9028" s="12" t="s">
        <v>65</v>
      </c>
    </row>
    <row r="9029" spans="1:11" ht="40.049999999999997" customHeight="1" x14ac:dyDescent="0.25">
      <c r="A9029" s="11" t="s">
        <v>17918</v>
      </c>
      <c r="B9029" s="11" t="s">
        <v>17918</v>
      </c>
      <c r="C9029" s="11" t="s">
        <v>17</v>
      </c>
      <c r="D9029" s="11" t="s">
        <v>18</v>
      </c>
      <c r="E9029" s="12" t="s">
        <v>844</v>
      </c>
      <c r="F9029" s="12" t="s">
        <v>845</v>
      </c>
      <c r="G9029" s="12" t="s">
        <v>29</v>
      </c>
      <c r="H9029" s="11" t="s">
        <v>63</v>
      </c>
      <c r="I9029" s="13" t="s">
        <v>18071</v>
      </c>
      <c r="J9029" s="14" t="str">
        <f>HYPERLINK("https://www.boe.es/gazeta/dias/1839/12/24/pdfs/GMD-1839-1871.pdf#page=1","Abrir facsímil")</f>
        <v>Abrir facsímil</v>
      </c>
      <c r="K9029" s="12" t="s">
        <v>65</v>
      </c>
    </row>
    <row r="9030" spans="1:11" ht="40.049999999999997" customHeight="1" x14ac:dyDescent="0.25">
      <c r="A9030" s="11" t="s">
        <v>17918</v>
      </c>
      <c r="B9030" s="11" t="s">
        <v>17918</v>
      </c>
      <c r="C9030" s="11" t="s">
        <v>80</v>
      </c>
      <c r="D9030" s="11" t="s">
        <v>18</v>
      </c>
      <c r="E9030" s="12" t="s">
        <v>844</v>
      </c>
      <c r="F9030" s="12" t="s">
        <v>845</v>
      </c>
      <c r="G9030" s="12" t="s">
        <v>21</v>
      </c>
      <c r="H9030" s="11" t="s">
        <v>63</v>
      </c>
      <c r="I9030" s="13" t="s">
        <v>18072</v>
      </c>
      <c r="J9030" s="14" t="str">
        <f>HYPERLINK("https://www.boe.es/gazeta/dias/1839/12/24/pdfs/GMD-1839-1871.pdf#page=4","Abrir facsímil")</f>
        <v>Abrir facsímil</v>
      </c>
      <c r="K9030" s="12" t="s">
        <v>65</v>
      </c>
    </row>
    <row r="9031" spans="1:11" ht="40.049999999999997" customHeight="1" x14ac:dyDescent="0.25">
      <c r="A9031" s="11" t="s">
        <v>17918</v>
      </c>
      <c r="B9031" s="11" t="s">
        <v>17918</v>
      </c>
      <c r="C9031" s="11" t="s">
        <v>80</v>
      </c>
      <c r="D9031" s="11" t="s">
        <v>173</v>
      </c>
      <c r="E9031" s="12" t="s">
        <v>775</v>
      </c>
      <c r="F9031" s="12" t="s">
        <v>776</v>
      </c>
      <c r="G9031" s="12" t="s">
        <v>29</v>
      </c>
      <c r="H9031" s="11" t="s">
        <v>63</v>
      </c>
      <c r="I9031" s="13" t="s">
        <v>18073</v>
      </c>
      <c r="J9031" s="14" t="str">
        <f>HYPERLINK("https://www.boe.es/gazeta/dias/1839/02/25/pdfs/GMD-1839-1563.pdf#page=1","Abrir facsímil")</f>
        <v>Abrir facsímil</v>
      </c>
      <c r="K9031" s="12" t="s">
        <v>65</v>
      </c>
    </row>
    <row r="9032" spans="1:11" ht="40.049999999999997" customHeight="1" x14ac:dyDescent="0.25">
      <c r="A9032" s="11" t="s">
        <v>17918</v>
      </c>
      <c r="B9032" s="11" t="s">
        <v>17918</v>
      </c>
      <c r="C9032" s="11" t="s">
        <v>59</v>
      </c>
      <c r="D9032" s="11" t="s">
        <v>60</v>
      </c>
      <c r="E9032" s="12" t="s">
        <v>111</v>
      </c>
      <c r="F9032" s="12" t="s">
        <v>112</v>
      </c>
      <c r="G9032" s="12" t="s">
        <v>29</v>
      </c>
      <c r="H9032" s="11" t="s">
        <v>63</v>
      </c>
      <c r="I9032" s="13" t="s">
        <v>18074</v>
      </c>
      <c r="J9032" s="14" t="str">
        <f>HYPERLINK("https://www.boe.es/gazeta/dias/1839/07/25/pdfs/GMD-1839-1714.pdf#page=1","Abrir facsímil")</f>
        <v>Abrir facsímil</v>
      </c>
      <c r="K9032" s="12" t="s">
        <v>65</v>
      </c>
    </row>
    <row r="9033" spans="1:11" ht="40.049999999999997" customHeight="1" x14ac:dyDescent="0.25">
      <c r="A9033" s="11" t="s">
        <v>17918</v>
      </c>
      <c r="B9033" s="11" t="s">
        <v>17918</v>
      </c>
      <c r="C9033" s="11" t="s">
        <v>17</v>
      </c>
      <c r="D9033" s="11" t="s">
        <v>18</v>
      </c>
      <c r="E9033" s="12" t="s">
        <v>1446</v>
      </c>
      <c r="F9033" s="12" t="s">
        <v>1447</v>
      </c>
      <c r="G9033" s="12" t="s">
        <v>29</v>
      </c>
      <c r="H9033" s="11" t="s">
        <v>63</v>
      </c>
      <c r="I9033" s="13" t="s">
        <v>18075</v>
      </c>
      <c r="J9033" s="14" t="str">
        <f>HYPERLINK("https://www.boe.es/gazeta/dias/1839/08/25/pdfs/GMD-1839-1746.pdf#page=1","Abrir facsímil")</f>
        <v>Abrir facsímil</v>
      </c>
      <c r="K9033" s="12" t="s">
        <v>65</v>
      </c>
    </row>
    <row r="9034" spans="1:11" ht="40.049999999999997" customHeight="1" x14ac:dyDescent="0.25">
      <c r="A9034" s="11" t="s">
        <v>17918</v>
      </c>
      <c r="B9034" s="11" t="s">
        <v>17918</v>
      </c>
      <c r="C9034" s="11" t="s">
        <v>59</v>
      </c>
      <c r="D9034" s="11" t="s">
        <v>60</v>
      </c>
      <c r="E9034" s="12" t="s">
        <v>826</v>
      </c>
      <c r="F9034" s="12" t="s">
        <v>827</v>
      </c>
      <c r="G9034" s="12" t="s">
        <v>29</v>
      </c>
      <c r="H9034" s="11" t="s">
        <v>63</v>
      </c>
      <c r="I9034" s="13" t="s">
        <v>18076</v>
      </c>
      <c r="J9034" s="14" t="str">
        <f>HYPERLINK("https://www.boe.es/gazeta/dias/1839/09/25/pdfs/GMD-1839-1781.pdf#page=1","Abrir facsímil")</f>
        <v>Abrir facsímil</v>
      </c>
      <c r="K9034" s="12" t="s">
        <v>65</v>
      </c>
    </row>
    <row r="9035" spans="1:11" ht="40.049999999999997" customHeight="1" x14ac:dyDescent="0.25">
      <c r="A9035" s="11" t="s">
        <v>17918</v>
      </c>
      <c r="B9035" s="11" t="s">
        <v>17918</v>
      </c>
      <c r="C9035" s="11" t="s">
        <v>17</v>
      </c>
      <c r="D9035" s="11" t="s">
        <v>18</v>
      </c>
      <c r="E9035" s="12" t="s">
        <v>826</v>
      </c>
      <c r="F9035" s="12" t="s">
        <v>827</v>
      </c>
      <c r="G9035" s="12" t="s">
        <v>40</v>
      </c>
      <c r="H9035" s="11" t="s">
        <v>63</v>
      </c>
      <c r="I9035" s="13" t="s">
        <v>18077</v>
      </c>
      <c r="J9035" s="14" t="str">
        <f>HYPERLINK("https://www.boe.es/gazeta/dias/1839/09/25/pdfs/GMD-1839-1781.pdf#page=2","Abrir facsímil")</f>
        <v>Abrir facsímil</v>
      </c>
      <c r="K9035" s="12" t="s">
        <v>65</v>
      </c>
    </row>
    <row r="9036" spans="1:11" ht="40.049999999999997" customHeight="1" x14ac:dyDescent="0.25">
      <c r="A9036" s="11" t="s">
        <v>17918</v>
      </c>
      <c r="B9036" s="11" t="s">
        <v>17918</v>
      </c>
      <c r="C9036" s="11" t="s">
        <v>59</v>
      </c>
      <c r="D9036" s="11" t="s">
        <v>60</v>
      </c>
      <c r="E9036" s="12" t="s">
        <v>826</v>
      </c>
      <c r="F9036" s="12" t="s">
        <v>827</v>
      </c>
      <c r="G9036" s="12" t="s">
        <v>21</v>
      </c>
      <c r="H9036" s="11" t="s">
        <v>63</v>
      </c>
      <c r="I9036" s="13" t="s">
        <v>18078</v>
      </c>
      <c r="J9036" s="14" t="str">
        <f>HYPERLINK("https://www.boe.es/gazeta/dias/1839/09/25/pdfs/GMD-1839-1781.pdf#page=4","Abrir facsímil")</f>
        <v>Abrir facsímil</v>
      </c>
      <c r="K9036" s="12" t="s">
        <v>65</v>
      </c>
    </row>
    <row r="9037" spans="1:11" ht="40.049999999999997" customHeight="1" x14ac:dyDescent="0.25">
      <c r="A9037" s="11" t="s">
        <v>17918</v>
      </c>
      <c r="B9037" s="11" t="s">
        <v>17918</v>
      </c>
      <c r="C9037" s="11" t="s">
        <v>59</v>
      </c>
      <c r="D9037" s="11" t="s">
        <v>60</v>
      </c>
      <c r="E9037" s="12" t="s">
        <v>349</v>
      </c>
      <c r="F9037" s="12" t="s">
        <v>350</v>
      </c>
      <c r="G9037" s="12" t="s">
        <v>29</v>
      </c>
      <c r="H9037" s="11" t="s">
        <v>63</v>
      </c>
      <c r="I9037" s="13" t="s">
        <v>18079</v>
      </c>
      <c r="J9037" s="14" t="str">
        <f>HYPERLINK("https://www.boe.es/gazeta/dias/1839/12/25/pdfs/GMD-1839-1872.pdf#page=1","Abrir facsímil")</f>
        <v>Abrir facsímil</v>
      </c>
      <c r="K9037" s="12" t="s">
        <v>65</v>
      </c>
    </row>
    <row r="9038" spans="1:11" ht="40.049999999999997" customHeight="1" x14ac:dyDescent="0.25">
      <c r="A9038" s="11" t="s">
        <v>17918</v>
      </c>
      <c r="B9038" s="11" t="s">
        <v>17918</v>
      </c>
      <c r="C9038" s="11" t="s">
        <v>80</v>
      </c>
      <c r="D9038" s="11" t="s">
        <v>173</v>
      </c>
      <c r="E9038" s="12" t="s">
        <v>1679</v>
      </c>
      <c r="F9038" s="12" t="s">
        <v>1680</v>
      </c>
      <c r="G9038" s="12" t="s">
        <v>29</v>
      </c>
      <c r="H9038" s="11" t="s">
        <v>63</v>
      </c>
      <c r="I9038" s="13" t="s">
        <v>18080</v>
      </c>
      <c r="J9038" s="14" t="str">
        <f>HYPERLINK("https://www.boe.es/gazeta/dias/1839/01/26/pdfs/GMD-1839-1533.pdf#page=1","Abrir facsímil")</f>
        <v>Abrir facsímil</v>
      </c>
      <c r="K9038" s="12" t="s">
        <v>65</v>
      </c>
    </row>
    <row r="9039" spans="1:11" ht="40.049999999999997" customHeight="1" x14ac:dyDescent="0.25">
      <c r="A9039" s="11" t="s">
        <v>17918</v>
      </c>
      <c r="B9039" s="11" t="s">
        <v>17918</v>
      </c>
      <c r="C9039" s="11" t="s">
        <v>17</v>
      </c>
      <c r="D9039" s="11" t="s">
        <v>18</v>
      </c>
      <c r="E9039" s="12" t="s">
        <v>1395</v>
      </c>
      <c r="F9039" s="12" t="s">
        <v>1396</v>
      </c>
      <c r="G9039" s="12" t="s">
        <v>21</v>
      </c>
      <c r="H9039" s="11" t="s">
        <v>63</v>
      </c>
      <c r="I9039" s="13" t="s">
        <v>18081</v>
      </c>
      <c r="J9039" s="14" t="str">
        <f>HYPERLINK("https://www.boe.es/gazeta/dias/1839/06/26/pdfs/GMD-1839-1684.pdf#page=4","Abrir facsímil")</f>
        <v>Abrir facsímil</v>
      </c>
      <c r="K9039" s="12" t="s">
        <v>65</v>
      </c>
    </row>
    <row r="9040" spans="1:11" ht="40.049999999999997" customHeight="1" x14ac:dyDescent="0.25">
      <c r="A9040" s="11" t="s">
        <v>17918</v>
      </c>
      <c r="B9040" s="11" t="s">
        <v>17918</v>
      </c>
      <c r="C9040" s="11" t="s">
        <v>17</v>
      </c>
      <c r="D9040" s="11" t="s">
        <v>18</v>
      </c>
      <c r="E9040" s="12" t="s">
        <v>723</v>
      </c>
      <c r="F9040" s="12" t="s">
        <v>724</v>
      </c>
      <c r="G9040" s="12" t="s">
        <v>29</v>
      </c>
      <c r="H9040" s="11" t="s">
        <v>63</v>
      </c>
      <c r="I9040" s="13" t="s">
        <v>18082</v>
      </c>
      <c r="J9040" s="14" t="str">
        <f>HYPERLINK("https://www.boe.es/gazeta/dias/1839/09/26/pdfs/GMD-1839-1782.pdf#page=1","Abrir facsímil")</f>
        <v>Abrir facsímil</v>
      </c>
      <c r="K9040" s="12" t="s">
        <v>65</v>
      </c>
    </row>
    <row r="9041" spans="1:11" ht="40.049999999999997" customHeight="1" x14ac:dyDescent="0.25">
      <c r="A9041" s="11" t="s">
        <v>17918</v>
      </c>
      <c r="B9041" s="11" t="s">
        <v>17918</v>
      </c>
      <c r="C9041" s="11" t="s">
        <v>101</v>
      </c>
      <c r="D9041" s="11" t="s">
        <v>43</v>
      </c>
      <c r="E9041" s="12" t="s">
        <v>723</v>
      </c>
      <c r="F9041" s="12" t="s">
        <v>724</v>
      </c>
      <c r="G9041" s="12" t="s">
        <v>21</v>
      </c>
      <c r="H9041" s="11" t="s">
        <v>63</v>
      </c>
      <c r="I9041" s="13" t="s">
        <v>18083</v>
      </c>
      <c r="J9041" s="14" t="str">
        <f>HYPERLINK("https://www.boe.es/gazeta/dias/1839/09/26/pdfs/GMD-1839-1782.pdf#page=4","Abrir facsímil")</f>
        <v>Abrir facsímil</v>
      </c>
      <c r="K9041" s="12" t="s">
        <v>65</v>
      </c>
    </row>
    <row r="9042" spans="1:11" ht="40.049999999999997" customHeight="1" x14ac:dyDescent="0.25">
      <c r="A9042" s="11" t="s">
        <v>17918</v>
      </c>
      <c r="B9042" s="11" t="s">
        <v>17918</v>
      </c>
      <c r="C9042" s="11" t="s">
        <v>101</v>
      </c>
      <c r="D9042" s="11" t="s">
        <v>43</v>
      </c>
      <c r="E9042" s="12" t="s">
        <v>1086</v>
      </c>
      <c r="F9042" s="12" t="s">
        <v>1087</v>
      </c>
      <c r="G9042" s="12" t="s">
        <v>29</v>
      </c>
      <c r="H9042" s="11" t="s">
        <v>63</v>
      </c>
      <c r="I9042" s="13" t="s">
        <v>18084</v>
      </c>
      <c r="J9042" s="14" t="str">
        <f>HYPERLINK("https://www.boe.es/gazeta/dias/1839/10/26/pdfs/GMD-1839-1812.pdf#page=1","Abrir facsímil")</f>
        <v>Abrir facsímil</v>
      </c>
      <c r="K9042" s="12" t="s">
        <v>65</v>
      </c>
    </row>
    <row r="9043" spans="1:11" ht="40.049999999999997" customHeight="1" x14ac:dyDescent="0.25">
      <c r="A9043" s="11" t="s">
        <v>17918</v>
      </c>
      <c r="B9043" s="11" t="s">
        <v>17918</v>
      </c>
      <c r="C9043" s="11" t="s">
        <v>137</v>
      </c>
      <c r="D9043" s="11" t="s">
        <v>18</v>
      </c>
      <c r="E9043" s="12" t="s">
        <v>1086</v>
      </c>
      <c r="F9043" s="12" t="s">
        <v>1087</v>
      </c>
      <c r="G9043" s="12" t="s">
        <v>21</v>
      </c>
      <c r="H9043" s="11" t="s">
        <v>63</v>
      </c>
      <c r="I9043" s="13" t="s">
        <v>18085</v>
      </c>
      <c r="J9043" s="14" t="str">
        <f>HYPERLINK("https://www.boe.es/gazeta/dias/1839/10/26/pdfs/GMD-1839-1812.pdf#page=4","Abrir facsímil")</f>
        <v>Abrir facsímil</v>
      </c>
      <c r="K9043" s="12" t="s">
        <v>65</v>
      </c>
    </row>
    <row r="9044" spans="1:11" ht="40.049999999999997" customHeight="1" x14ac:dyDescent="0.25">
      <c r="A9044" s="11" t="s">
        <v>17918</v>
      </c>
      <c r="B9044" s="11" t="s">
        <v>17918</v>
      </c>
      <c r="C9044" s="11" t="s">
        <v>17</v>
      </c>
      <c r="D9044" s="11" t="s">
        <v>18</v>
      </c>
      <c r="E9044" s="12" t="s">
        <v>1685</v>
      </c>
      <c r="F9044" s="12" t="s">
        <v>1686</v>
      </c>
      <c r="G9044" s="12" t="s">
        <v>29</v>
      </c>
      <c r="H9044" s="11" t="s">
        <v>63</v>
      </c>
      <c r="I9044" s="13" t="s">
        <v>18086</v>
      </c>
      <c r="J9044" s="14" t="str">
        <f>HYPERLINK("https://www.boe.es/gazeta/dias/1839/04/27/pdfs/GMD-1839-1624.pdf#page=1","Abrir facsímil")</f>
        <v>Abrir facsímil</v>
      </c>
      <c r="K9044" s="12" t="s">
        <v>65</v>
      </c>
    </row>
    <row r="9045" spans="1:11" ht="40.049999999999997" customHeight="1" x14ac:dyDescent="0.25">
      <c r="A9045" s="11" t="s">
        <v>17918</v>
      </c>
      <c r="B9045" s="11" t="s">
        <v>17918</v>
      </c>
      <c r="C9045" s="11" t="s">
        <v>17</v>
      </c>
      <c r="D9045" s="11" t="s">
        <v>18</v>
      </c>
      <c r="E9045" s="12" t="s">
        <v>2658</v>
      </c>
      <c r="F9045" s="12" t="s">
        <v>2659</v>
      </c>
      <c r="G9045" s="12" t="s">
        <v>29</v>
      </c>
      <c r="H9045" s="11" t="s">
        <v>63</v>
      </c>
      <c r="I9045" s="13" t="s">
        <v>18087</v>
      </c>
      <c r="J9045" s="14" t="str">
        <f>HYPERLINK("https://www.boe.es/gazeta/dias/1839/06/27/pdfs/GMD-1839-1685.pdf#page=1","Abrir facsímil")</f>
        <v>Abrir facsímil</v>
      </c>
      <c r="K9045" s="12" t="s">
        <v>65</v>
      </c>
    </row>
    <row r="9046" spans="1:11" ht="40.049999999999997" customHeight="1" x14ac:dyDescent="0.25">
      <c r="A9046" s="11" t="s">
        <v>17918</v>
      </c>
      <c r="B9046" s="11" t="s">
        <v>17918</v>
      </c>
      <c r="C9046" s="11" t="s">
        <v>17</v>
      </c>
      <c r="D9046" s="11" t="s">
        <v>18</v>
      </c>
      <c r="E9046" s="12" t="s">
        <v>2658</v>
      </c>
      <c r="F9046" s="12" t="s">
        <v>2659</v>
      </c>
      <c r="G9046" s="12" t="s">
        <v>40</v>
      </c>
      <c r="H9046" s="11" t="s">
        <v>63</v>
      </c>
      <c r="I9046" s="13" t="s">
        <v>18088</v>
      </c>
      <c r="J9046" s="14" t="str">
        <f>HYPERLINK("https://www.boe.es/gazeta/dias/1839/06/27/pdfs/GMD-1839-1685.pdf#page=2","Abrir facsímil")</f>
        <v>Abrir facsímil</v>
      </c>
      <c r="K9046" s="12" t="s">
        <v>65</v>
      </c>
    </row>
    <row r="9047" spans="1:11" ht="40.049999999999997" customHeight="1" x14ac:dyDescent="0.25">
      <c r="A9047" s="11" t="s">
        <v>17918</v>
      </c>
      <c r="B9047" s="11" t="s">
        <v>17918</v>
      </c>
      <c r="C9047" s="11" t="s">
        <v>80</v>
      </c>
      <c r="D9047" s="11" t="s">
        <v>18</v>
      </c>
      <c r="E9047" s="12" t="s">
        <v>571</v>
      </c>
      <c r="F9047" s="12" t="s">
        <v>572</v>
      </c>
      <c r="G9047" s="12" t="s">
        <v>29</v>
      </c>
      <c r="H9047" s="11" t="s">
        <v>63</v>
      </c>
      <c r="I9047" s="13" t="s">
        <v>18089</v>
      </c>
      <c r="J9047" s="14" t="str">
        <f>HYPERLINK("https://www.boe.es/gazeta/dias/1839/09/27/pdfs/GMD-1839-1783.pdf#page=1","Abrir facsímil")</f>
        <v>Abrir facsímil</v>
      </c>
      <c r="K9047" s="12" t="s">
        <v>65</v>
      </c>
    </row>
    <row r="9048" spans="1:11" ht="40.049999999999997" customHeight="1" x14ac:dyDescent="0.25">
      <c r="A9048" s="11" t="s">
        <v>17918</v>
      </c>
      <c r="B9048" s="11" t="s">
        <v>17918</v>
      </c>
      <c r="C9048" s="11" t="s">
        <v>17</v>
      </c>
      <c r="D9048" s="11" t="s">
        <v>18</v>
      </c>
      <c r="E9048" s="12" t="s">
        <v>1909</v>
      </c>
      <c r="F9048" s="12" t="s">
        <v>1910</v>
      </c>
      <c r="G9048" s="12" t="s">
        <v>40</v>
      </c>
      <c r="H9048" s="11" t="s">
        <v>63</v>
      </c>
      <c r="I9048" s="13" t="s">
        <v>18090</v>
      </c>
      <c r="J9048" s="14" t="str">
        <f>HYPERLINK("https://www.boe.es/gazeta/dias/1839/10/27/pdfs/GMD-1839-1813.pdf#page=2","Abrir facsímil")</f>
        <v>Abrir facsímil</v>
      </c>
      <c r="K9048" s="12" t="s">
        <v>65</v>
      </c>
    </row>
    <row r="9049" spans="1:11" ht="40.049999999999997" customHeight="1" x14ac:dyDescent="0.25">
      <c r="A9049" s="11" t="s">
        <v>17918</v>
      </c>
      <c r="B9049" s="11" t="s">
        <v>17918</v>
      </c>
      <c r="C9049" s="11" t="s">
        <v>17</v>
      </c>
      <c r="D9049" s="11" t="s">
        <v>18</v>
      </c>
      <c r="E9049" s="12" t="s">
        <v>1909</v>
      </c>
      <c r="F9049" s="12" t="s">
        <v>1910</v>
      </c>
      <c r="G9049" s="12" t="s">
        <v>46</v>
      </c>
      <c r="H9049" s="11" t="s">
        <v>63</v>
      </c>
      <c r="I9049" s="13" t="s">
        <v>18091</v>
      </c>
      <c r="J9049" s="14" t="str">
        <f>HYPERLINK("https://www.boe.es/gazeta/dias/1839/10/27/pdfs/GMD-1839-1813.pdf#page=3","Abrir facsímil")</f>
        <v>Abrir facsímil</v>
      </c>
      <c r="K9049" s="12" t="s">
        <v>65</v>
      </c>
    </row>
    <row r="9050" spans="1:11" ht="40.049999999999997" customHeight="1" x14ac:dyDescent="0.25">
      <c r="A9050" s="11" t="s">
        <v>17918</v>
      </c>
      <c r="B9050" s="11" t="s">
        <v>17918</v>
      </c>
      <c r="C9050" s="11" t="s">
        <v>17</v>
      </c>
      <c r="D9050" s="11" t="s">
        <v>18</v>
      </c>
      <c r="E9050" s="12" t="s">
        <v>287</v>
      </c>
      <c r="F9050" s="12" t="s">
        <v>288</v>
      </c>
      <c r="G9050" s="12" t="s">
        <v>29</v>
      </c>
      <c r="H9050" s="11" t="s">
        <v>63</v>
      </c>
      <c r="I9050" s="13" t="s">
        <v>18092</v>
      </c>
      <c r="J9050" s="14" t="str">
        <f>HYPERLINK("https://www.boe.es/gazeta/dias/1839/11/27/pdfs/GMD-1839-1844.pdf#page=1","Abrir facsímil")</f>
        <v>Abrir facsímil</v>
      </c>
      <c r="K9050" s="12" t="s">
        <v>65</v>
      </c>
    </row>
    <row r="9051" spans="1:11" ht="40.049999999999997" customHeight="1" x14ac:dyDescent="0.25">
      <c r="A9051" s="11" t="s">
        <v>17918</v>
      </c>
      <c r="B9051" s="11" t="s">
        <v>17918</v>
      </c>
      <c r="C9051" s="11" t="s">
        <v>17</v>
      </c>
      <c r="D9051" s="11" t="s">
        <v>18</v>
      </c>
      <c r="E9051" s="12" t="s">
        <v>1520</v>
      </c>
      <c r="F9051" s="12" t="s">
        <v>1521</v>
      </c>
      <c r="G9051" s="12" t="s">
        <v>29</v>
      </c>
      <c r="H9051" s="11" t="s">
        <v>63</v>
      </c>
      <c r="I9051" s="13" t="s">
        <v>18093</v>
      </c>
      <c r="J9051" s="14" t="str">
        <f>HYPERLINK("https://www.boe.es/gazeta/dias/1839/12/27/pdfs/GMD-1839-1874.pdf#page=1","Abrir facsímil")</f>
        <v>Abrir facsímil</v>
      </c>
      <c r="K9051" s="12" t="s">
        <v>65</v>
      </c>
    </row>
    <row r="9052" spans="1:11" ht="40.049999999999997" customHeight="1" x14ac:dyDescent="0.25">
      <c r="A9052" s="11" t="s">
        <v>17918</v>
      </c>
      <c r="B9052" s="11" t="s">
        <v>17918</v>
      </c>
      <c r="C9052" s="11" t="s">
        <v>17</v>
      </c>
      <c r="D9052" s="11" t="s">
        <v>18</v>
      </c>
      <c r="E9052" s="12" t="s">
        <v>677</v>
      </c>
      <c r="F9052" s="12" t="s">
        <v>678</v>
      </c>
      <c r="G9052" s="12" t="s">
        <v>29</v>
      </c>
      <c r="H9052" s="11" t="s">
        <v>63</v>
      </c>
      <c r="I9052" s="13" t="s">
        <v>18094</v>
      </c>
      <c r="J9052" s="14" t="str">
        <f>HYPERLINK("https://www.boe.es/gazeta/dias/1839/04/28/pdfs/GMD-1839-1625.pdf#page=1","Abrir facsímil")</f>
        <v>Abrir facsímil</v>
      </c>
      <c r="K9052" s="12" t="s">
        <v>65</v>
      </c>
    </row>
    <row r="9053" spans="1:11" ht="40.049999999999997" customHeight="1" x14ac:dyDescent="0.25">
      <c r="A9053" s="11" t="s">
        <v>17918</v>
      </c>
      <c r="B9053" s="11" t="s">
        <v>17918</v>
      </c>
      <c r="C9053" s="11" t="s">
        <v>59</v>
      </c>
      <c r="D9053" s="11" t="s">
        <v>60</v>
      </c>
      <c r="E9053" s="12" t="s">
        <v>574</v>
      </c>
      <c r="F9053" s="12" t="s">
        <v>575</v>
      </c>
      <c r="G9053" s="12" t="s">
        <v>29</v>
      </c>
      <c r="H9053" s="11" t="s">
        <v>63</v>
      </c>
      <c r="I9053" s="13" t="s">
        <v>18095</v>
      </c>
      <c r="J9053" s="14" t="str">
        <f>HYPERLINK("https://www.boe.es/gazeta/dias/1839/09/28/pdfs/GMD-1839-1784.pdf#page=1","Abrir facsímil")</f>
        <v>Abrir facsímil</v>
      </c>
      <c r="K9053" s="12" t="s">
        <v>65</v>
      </c>
    </row>
    <row r="9054" spans="1:11" ht="40.049999999999997" customHeight="1" x14ac:dyDescent="0.25">
      <c r="A9054" s="11" t="s">
        <v>17918</v>
      </c>
      <c r="B9054" s="11" t="s">
        <v>17918</v>
      </c>
      <c r="C9054" s="11" t="s">
        <v>59</v>
      </c>
      <c r="D9054" s="11" t="s">
        <v>60</v>
      </c>
      <c r="E9054" s="12" t="s">
        <v>862</v>
      </c>
      <c r="F9054" s="12" t="s">
        <v>863</v>
      </c>
      <c r="G9054" s="12" t="s">
        <v>29</v>
      </c>
      <c r="H9054" s="11" t="s">
        <v>63</v>
      </c>
      <c r="I9054" s="13" t="s">
        <v>18096</v>
      </c>
      <c r="J9054" s="14" t="str">
        <f>HYPERLINK("https://www.boe.es/gazeta/dias/1839/10/28/pdfs/GMD-1839-1814.pdf#page=1","Abrir facsímil")</f>
        <v>Abrir facsímil</v>
      </c>
      <c r="K9054" s="12" t="s">
        <v>65</v>
      </c>
    </row>
    <row r="9055" spans="1:11" ht="40.049999999999997" customHeight="1" x14ac:dyDescent="0.25">
      <c r="A9055" s="11" t="s">
        <v>17918</v>
      </c>
      <c r="B9055" s="11" t="s">
        <v>17918</v>
      </c>
      <c r="C9055" s="11" t="s">
        <v>137</v>
      </c>
      <c r="D9055" s="11" t="s">
        <v>18</v>
      </c>
      <c r="E9055" s="12" t="s">
        <v>862</v>
      </c>
      <c r="F9055" s="12" t="s">
        <v>863</v>
      </c>
      <c r="G9055" s="12" t="s">
        <v>46</v>
      </c>
      <c r="H9055" s="11" t="s">
        <v>63</v>
      </c>
      <c r="I9055" s="13" t="s">
        <v>18097</v>
      </c>
      <c r="J9055" s="14" t="str">
        <f>HYPERLINK("https://www.boe.es/gazeta/dias/1839/10/28/pdfs/GMD-1839-1814.pdf#page=3","Abrir facsímil")</f>
        <v>Abrir facsímil</v>
      </c>
      <c r="K9055" s="12" t="s">
        <v>65</v>
      </c>
    </row>
    <row r="9056" spans="1:11" ht="40.049999999999997" customHeight="1" x14ac:dyDescent="0.25">
      <c r="A9056" s="11" t="s">
        <v>17918</v>
      </c>
      <c r="B9056" s="11" t="s">
        <v>17918</v>
      </c>
      <c r="C9056" s="11" t="s">
        <v>137</v>
      </c>
      <c r="D9056" s="11" t="s">
        <v>18</v>
      </c>
      <c r="E9056" s="12" t="s">
        <v>862</v>
      </c>
      <c r="F9056" s="12" t="s">
        <v>863</v>
      </c>
      <c r="G9056" s="12" t="s">
        <v>566</v>
      </c>
      <c r="H9056" s="11" t="s">
        <v>63</v>
      </c>
      <c r="I9056" s="13" t="s">
        <v>18098</v>
      </c>
      <c r="J9056" s="14" t="str">
        <f>HYPERLINK("https://www.boe.es/gazeta/dias/1839/10/28/pdfs/GMD-1839-1814.pdf#page=5","Abrir facsímil")</f>
        <v>Abrir facsímil</v>
      </c>
      <c r="K9056" s="12" t="s">
        <v>65</v>
      </c>
    </row>
    <row r="9057" spans="1:11" ht="40.049999999999997" customHeight="1" x14ac:dyDescent="0.25">
      <c r="A9057" s="11" t="s">
        <v>17918</v>
      </c>
      <c r="B9057" s="11" t="s">
        <v>17918</v>
      </c>
      <c r="C9057" s="11" t="s">
        <v>101</v>
      </c>
      <c r="D9057" s="11" t="s">
        <v>43</v>
      </c>
      <c r="E9057" s="12" t="s">
        <v>89</v>
      </c>
      <c r="F9057" s="12" t="s">
        <v>90</v>
      </c>
      <c r="G9057" s="12" t="s">
        <v>40</v>
      </c>
      <c r="H9057" s="11" t="s">
        <v>63</v>
      </c>
      <c r="I9057" s="13" t="s">
        <v>18099</v>
      </c>
      <c r="J9057" s="14" t="str">
        <f>HYPERLINK("https://www.boe.es/gazeta/dias/1839/11/28/pdfs/GMD-1839-1845.pdf#page=2","Abrir facsímil")</f>
        <v>Abrir facsímil</v>
      </c>
      <c r="K9057" s="12" t="s">
        <v>65</v>
      </c>
    </row>
    <row r="9058" spans="1:11" ht="40.049999999999997" customHeight="1" x14ac:dyDescent="0.25">
      <c r="A9058" s="11" t="s">
        <v>17918</v>
      </c>
      <c r="B9058" s="11" t="s">
        <v>17918</v>
      </c>
      <c r="C9058" s="11" t="s">
        <v>17</v>
      </c>
      <c r="D9058" s="11" t="s">
        <v>18</v>
      </c>
      <c r="E9058" s="12" t="s">
        <v>892</v>
      </c>
      <c r="F9058" s="12" t="s">
        <v>893</v>
      </c>
      <c r="G9058" s="12" t="s">
        <v>29</v>
      </c>
      <c r="H9058" s="11" t="s">
        <v>63</v>
      </c>
      <c r="I9058" s="13" t="s">
        <v>18100</v>
      </c>
      <c r="J9058" s="14" t="str">
        <f>HYPERLINK("https://www.boe.es/gazeta/dias/1839/12/28/pdfs/GMD-1839-1875.pdf#page=1","Abrir facsímil")</f>
        <v>Abrir facsímil</v>
      </c>
      <c r="K9058" s="12" t="s">
        <v>65</v>
      </c>
    </row>
    <row r="9059" spans="1:11" ht="40.049999999999997" customHeight="1" x14ac:dyDescent="0.25">
      <c r="A9059" s="11" t="s">
        <v>17918</v>
      </c>
      <c r="B9059" s="11" t="s">
        <v>17918</v>
      </c>
      <c r="C9059" s="11" t="s">
        <v>17</v>
      </c>
      <c r="D9059" s="11" t="s">
        <v>18</v>
      </c>
      <c r="E9059" s="12" t="s">
        <v>1807</v>
      </c>
      <c r="F9059" s="12" t="s">
        <v>1808</v>
      </c>
      <c r="G9059" s="12" t="s">
        <v>29</v>
      </c>
      <c r="H9059" s="11" t="s">
        <v>63</v>
      </c>
      <c r="I9059" s="13" t="s">
        <v>18101</v>
      </c>
      <c r="J9059" s="14" t="str">
        <f>HYPERLINK("https://www.boe.es/gazeta/dias/1839/01/29/pdfs/GMD-1839-1536.pdf#page=1","Abrir facsímil")</f>
        <v>Abrir facsímil</v>
      </c>
      <c r="K9059" s="12" t="s">
        <v>65</v>
      </c>
    </row>
    <row r="9060" spans="1:11" ht="40.049999999999997" customHeight="1" x14ac:dyDescent="0.25">
      <c r="A9060" s="11" t="s">
        <v>17918</v>
      </c>
      <c r="B9060" s="11" t="s">
        <v>17918</v>
      </c>
      <c r="C9060" s="11" t="s">
        <v>101</v>
      </c>
      <c r="D9060" s="11" t="s">
        <v>102</v>
      </c>
      <c r="E9060" s="12" t="s">
        <v>1523</v>
      </c>
      <c r="F9060" s="12" t="s">
        <v>1524</v>
      </c>
      <c r="G9060" s="12" t="s">
        <v>29</v>
      </c>
      <c r="H9060" s="11" t="s">
        <v>63</v>
      </c>
      <c r="I9060" s="13" t="s">
        <v>18102</v>
      </c>
      <c r="J9060" s="14" t="str">
        <f>HYPERLINK("https://www.boe.es/gazeta/dias/1839/08/29/pdfs/GMD-1839-1750.pdf#page=1","Abrir facsímil")</f>
        <v>Abrir facsímil</v>
      </c>
      <c r="K9060" s="12" t="s">
        <v>65</v>
      </c>
    </row>
    <row r="9061" spans="1:11" ht="40.049999999999997" customHeight="1" x14ac:dyDescent="0.25">
      <c r="A9061" s="11" t="s">
        <v>17918</v>
      </c>
      <c r="B9061" s="11" t="s">
        <v>17918</v>
      </c>
      <c r="C9061" s="11" t="s">
        <v>17</v>
      </c>
      <c r="D9061" s="11" t="s">
        <v>18</v>
      </c>
      <c r="E9061" s="12" t="s">
        <v>2349</v>
      </c>
      <c r="F9061" s="12" t="s">
        <v>2350</v>
      </c>
      <c r="G9061" s="12" t="s">
        <v>29</v>
      </c>
      <c r="H9061" s="11" t="s">
        <v>63</v>
      </c>
      <c r="I9061" s="13" t="s">
        <v>18103</v>
      </c>
      <c r="J9061" s="14" t="str">
        <f>HYPERLINK("https://www.boe.es/gazeta/dias/1839/09/29/pdfs/GMD-1839-1785.pdf#page=1","Abrir facsímil")</f>
        <v>Abrir facsímil</v>
      </c>
      <c r="K9061" s="12" t="s">
        <v>65</v>
      </c>
    </row>
    <row r="9062" spans="1:11" ht="40.049999999999997" customHeight="1" x14ac:dyDescent="0.25">
      <c r="A9062" s="11" t="s">
        <v>17918</v>
      </c>
      <c r="B9062" s="11" t="s">
        <v>17918</v>
      </c>
      <c r="C9062" s="11" t="s">
        <v>101</v>
      </c>
      <c r="D9062" s="11" t="s">
        <v>43</v>
      </c>
      <c r="E9062" s="12" t="s">
        <v>2349</v>
      </c>
      <c r="F9062" s="12" t="s">
        <v>2350</v>
      </c>
      <c r="G9062" s="12" t="s">
        <v>21</v>
      </c>
      <c r="H9062" s="11" t="s">
        <v>63</v>
      </c>
      <c r="I9062" s="13" t="s">
        <v>18104</v>
      </c>
      <c r="J9062" s="14" t="str">
        <f>HYPERLINK("https://www.boe.es/gazeta/dias/1839/09/29/pdfs/GMD-1839-1785.pdf#page=4","Abrir facsímil")</f>
        <v>Abrir facsímil</v>
      </c>
      <c r="K9062" s="12" t="s">
        <v>65</v>
      </c>
    </row>
    <row r="9063" spans="1:11" ht="40.049999999999997" customHeight="1" x14ac:dyDescent="0.25">
      <c r="A9063" s="11" t="s">
        <v>17918</v>
      </c>
      <c r="B9063" s="11" t="s">
        <v>17918</v>
      </c>
      <c r="C9063" s="11" t="s">
        <v>137</v>
      </c>
      <c r="D9063" s="11" t="s">
        <v>18</v>
      </c>
      <c r="E9063" s="12" t="s">
        <v>2349</v>
      </c>
      <c r="F9063" s="12" t="s">
        <v>2350</v>
      </c>
      <c r="G9063" s="12" t="s">
        <v>305</v>
      </c>
      <c r="H9063" s="11" t="s">
        <v>63</v>
      </c>
      <c r="I9063" s="13" t="s">
        <v>18105</v>
      </c>
      <c r="J9063" s="14" t="str">
        <f>HYPERLINK("https://www.boe.es/gazeta/dias/1839/09/29/pdfs/GMD-1839-1785.pdf#page=6","Abrir facsímil")</f>
        <v>Abrir facsímil</v>
      </c>
      <c r="K9063" s="12" t="s">
        <v>65</v>
      </c>
    </row>
    <row r="9064" spans="1:11" ht="40.049999999999997" customHeight="1" x14ac:dyDescent="0.25">
      <c r="A9064" s="11" t="s">
        <v>17918</v>
      </c>
      <c r="B9064" s="11" t="s">
        <v>17918</v>
      </c>
      <c r="C9064" s="11" t="s">
        <v>17</v>
      </c>
      <c r="D9064" s="11" t="s">
        <v>18</v>
      </c>
      <c r="E9064" s="12" t="s">
        <v>1988</v>
      </c>
      <c r="F9064" s="12" t="s">
        <v>1989</v>
      </c>
      <c r="G9064" s="12" t="s">
        <v>40</v>
      </c>
      <c r="H9064" s="11" t="s">
        <v>63</v>
      </c>
      <c r="I9064" s="13" t="s">
        <v>18106</v>
      </c>
      <c r="J9064" s="14" t="str">
        <f>HYPERLINK("https://www.boe.es/gazeta/dias/1839/10/29/pdfs/GMD-1839-1815.pdf#page=2","Abrir facsímil")</f>
        <v>Abrir facsímil</v>
      </c>
      <c r="K9064" s="12" t="s">
        <v>65</v>
      </c>
    </row>
    <row r="9065" spans="1:11" ht="40.049999999999997" customHeight="1" x14ac:dyDescent="0.25">
      <c r="A9065" s="11" t="s">
        <v>17918</v>
      </c>
      <c r="B9065" s="11" t="s">
        <v>17918</v>
      </c>
      <c r="C9065" s="11" t="s">
        <v>17</v>
      </c>
      <c r="D9065" s="11" t="s">
        <v>18</v>
      </c>
      <c r="E9065" s="12" t="s">
        <v>1988</v>
      </c>
      <c r="F9065" s="12" t="s">
        <v>1989</v>
      </c>
      <c r="G9065" s="12" t="s">
        <v>46</v>
      </c>
      <c r="H9065" s="11" t="s">
        <v>63</v>
      </c>
      <c r="I9065" s="13" t="s">
        <v>18107</v>
      </c>
      <c r="J9065" s="14" t="str">
        <f>HYPERLINK("https://www.boe.es/gazeta/dias/1839/10/29/pdfs/GMD-1839-1815.pdf#page=3","Abrir facsímil")</f>
        <v>Abrir facsímil</v>
      </c>
      <c r="K9065" s="12" t="s">
        <v>65</v>
      </c>
    </row>
    <row r="9066" spans="1:11" ht="40.049999999999997" customHeight="1" x14ac:dyDescent="0.25">
      <c r="A9066" s="11" t="s">
        <v>17918</v>
      </c>
      <c r="B9066" s="11" t="s">
        <v>17918</v>
      </c>
      <c r="C9066" s="11" t="s">
        <v>17</v>
      </c>
      <c r="D9066" s="11" t="s">
        <v>18</v>
      </c>
      <c r="E9066" s="12" t="s">
        <v>716</v>
      </c>
      <c r="F9066" s="12" t="s">
        <v>717</v>
      </c>
      <c r="G9066" s="12" t="s">
        <v>40</v>
      </c>
      <c r="H9066" s="11" t="s">
        <v>63</v>
      </c>
      <c r="I9066" s="13" t="s">
        <v>18108</v>
      </c>
      <c r="J9066" s="14" t="str">
        <f>HYPERLINK("https://www.boe.es/gazeta/dias/1839/07/30/pdfs/GMD-1839-1719.pdf#page=2","Abrir facsímil")</f>
        <v>Abrir facsímil</v>
      </c>
      <c r="K9066" s="12" t="s">
        <v>65</v>
      </c>
    </row>
    <row r="9067" spans="1:11" ht="40.049999999999997" customHeight="1" x14ac:dyDescent="0.25">
      <c r="A9067" s="11" t="s">
        <v>17918</v>
      </c>
      <c r="B9067" s="11" t="s">
        <v>17918</v>
      </c>
      <c r="C9067" s="11" t="s">
        <v>17</v>
      </c>
      <c r="D9067" s="11" t="s">
        <v>18</v>
      </c>
      <c r="E9067" s="12" t="s">
        <v>577</v>
      </c>
      <c r="F9067" s="12" t="s">
        <v>578</v>
      </c>
      <c r="G9067" s="12" t="s">
        <v>29</v>
      </c>
      <c r="H9067" s="11" t="s">
        <v>63</v>
      </c>
      <c r="I9067" s="13" t="s">
        <v>18109</v>
      </c>
      <c r="J9067" s="14" t="str">
        <f>HYPERLINK("https://www.boe.es/gazeta/dias/1839/09/30/pdfs/GMD-1839-1786.pdf#page=1","Abrir facsímil")</f>
        <v>Abrir facsímil</v>
      </c>
      <c r="K9067" s="12" t="s">
        <v>65</v>
      </c>
    </row>
    <row r="9068" spans="1:11" ht="40.049999999999997" customHeight="1" x14ac:dyDescent="0.25">
      <c r="A9068" s="11" t="s">
        <v>17918</v>
      </c>
      <c r="B9068" s="11" t="s">
        <v>17918</v>
      </c>
      <c r="C9068" s="11" t="s">
        <v>17</v>
      </c>
      <c r="D9068" s="11" t="s">
        <v>18</v>
      </c>
      <c r="E9068" s="12" t="s">
        <v>577</v>
      </c>
      <c r="F9068" s="12" t="s">
        <v>578</v>
      </c>
      <c r="G9068" s="12" t="s">
        <v>40</v>
      </c>
      <c r="H9068" s="11" t="s">
        <v>63</v>
      </c>
      <c r="I9068" s="13" t="s">
        <v>18110</v>
      </c>
      <c r="J9068" s="14" t="str">
        <f>HYPERLINK("https://www.boe.es/gazeta/dias/1839/09/30/pdfs/GMD-1839-1786.pdf#page=2","Abrir facsímil")</f>
        <v>Abrir facsímil</v>
      </c>
      <c r="K9068" s="12" t="s">
        <v>65</v>
      </c>
    </row>
    <row r="9069" spans="1:11" ht="40.049999999999997" customHeight="1" x14ac:dyDescent="0.25">
      <c r="A9069" s="11" t="s">
        <v>17918</v>
      </c>
      <c r="B9069" s="11" t="s">
        <v>17918</v>
      </c>
      <c r="C9069" s="11" t="s">
        <v>17</v>
      </c>
      <c r="D9069" s="11" t="s">
        <v>18</v>
      </c>
      <c r="E9069" s="12" t="s">
        <v>1287</v>
      </c>
      <c r="F9069" s="12" t="s">
        <v>1288</v>
      </c>
      <c r="G9069" s="12" t="s">
        <v>29</v>
      </c>
      <c r="H9069" s="11" t="s">
        <v>63</v>
      </c>
      <c r="I9069" s="13" t="s">
        <v>18111</v>
      </c>
      <c r="J9069" s="14" t="str">
        <f>HYPERLINK("https://www.boe.es/gazeta/dias/1839/10/30/pdfs/GMD-1839-1816.pdf#page=1","Abrir facsímil")</f>
        <v>Abrir facsímil</v>
      </c>
      <c r="K9069" s="12" t="s">
        <v>65</v>
      </c>
    </row>
    <row r="9070" spans="1:11" ht="40.049999999999997" customHeight="1" x14ac:dyDescent="0.25">
      <c r="A9070" s="11" t="s">
        <v>17918</v>
      </c>
      <c r="B9070" s="11" t="s">
        <v>17918</v>
      </c>
      <c r="C9070" s="11" t="s">
        <v>17</v>
      </c>
      <c r="D9070" s="11" t="s">
        <v>18</v>
      </c>
      <c r="E9070" s="12" t="s">
        <v>1287</v>
      </c>
      <c r="F9070" s="12" t="s">
        <v>1288</v>
      </c>
      <c r="G9070" s="12" t="s">
        <v>46</v>
      </c>
      <c r="H9070" s="11" t="s">
        <v>63</v>
      </c>
      <c r="I9070" s="13" t="s">
        <v>18112</v>
      </c>
      <c r="J9070" s="14" t="str">
        <f>HYPERLINK("https://www.boe.es/gazeta/dias/1839/10/30/pdfs/GMD-1839-1816.pdf#page=3","Abrir facsímil")</f>
        <v>Abrir facsímil</v>
      </c>
      <c r="K9070" s="12" t="s">
        <v>65</v>
      </c>
    </row>
    <row r="9071" spans="1:11" ht="40.049999999999997" customHeight="1" x14ac:dyDescent="0.25">
      <c r="A9071" s="11" t="s">
        <v>17918</v>
      </c>
      <c r="B9071" s="11" t="s">
        <v>17918</v>
      </c>
      <c r="C9071" s="11" t="s">
        <v>59</v>
      </c>
      <c r="D9071" s="11" t="s">
        <v>60</v>
      </c>
      <c r="E9071" s="12" t="s">
        <v>929</v>
      </c>
      <c r="F9071" s="12" t="s">
        <v>930</v>
      </c>
      <c r="G9071" s="12" t="s">
        <v>29</v>
      </c>
      <c r="H9071" s="11" t="s">
        <v>63</v>
      </c>
      <c r="I9071" s="13" t="s">
        <v>18113</v>
      </c>
      <c r="J9071" s="14" t="str">
        <f>HYPERLINK("https://www.boe.es/gazeta/dias/1839/01/31/pdfs/GMD-1839-1538.pdf#page=1","Abrir facsímil")</f>
        <v>Abrir facsímil</v>
      </c>
      <c r="K9071" s="12" t="s">
        <v>65</v>
      </c>
    </row>
    <row r="9072" spans="1:11" ht="40.049999999999997" customHeight="1" x14ac:dyDescent="0.25">
      <c r="A9072" s="11" t="s">
        <v>17918</v>
      </c>
      <c r="B9072" s="11" t="s">
        <v>17918</v>
      </c>
      <c r="C9072" s="11" t="s">
        <v>137</v>
      </c>
      <c r="D9072" s="11" t="s">
        <v>18</v>
      </c>
      <c r="E9072" s="12" t="s">
        <v>653</v>
      </c>
      <c r="F9072" s="12" t="s">
        <v>654</v>
      </c>
      <c r="G9072" s="12" t="s">
        <v>29</v>
      </c>
      <c r="H9072" s="11" t="s">
        <v>63</v>
      </c>
      <c r="I9072" s="13" t="s">
        <v>18114</v>
      </c>
      <c r="J9072" s="14" t="str">
        <f>HYPERLINK("https://www.boe.es/gazeta/dias/1839/10/31/pdfs/GMD-1839-1817.pdf#page=1","Abrir facsímil")</f>
        <v>Abrir facsímil</v>
      </c>
      <c r="K9072" s="12" t="s">
        <v>65</v>
      </c>
    </row>
    <row r="9073" spans="1:11" ht="40.049999999999997" customHeight="1" x14ac:dyDescent="0.25">
      <c r="A9073" s="11" t="s">
        <v>17918</v>
      </c>
      <c r="B9073" s="11" t="s">
        <v>17918</v>
      </c>
      <c r="C9073" s="11" t="s">
        <v>101</v>
      </c>
      <c r="D9073" s="11" t="s">
        <v>43</v>
      </c>
      <c r="E9073" s="12" t="s">
        <v>653</v>
      </c>
      <c r="F9073" s="12" t="s">
        <v>654</v>
      </c>
      <c r="G9073" s="12" t="s">
        <v>21</v>
      </c>
      <c r="H9073" s="11" t="s">
        <v>63</v>
      </c>
      <c r="I9073" s="13" t="s">
        <v>18115</v>
      </c>
      <c r="J9073" s="14" t="str">
        <f>HYPERLINK("https://www.boe.es/gazeta/dias/1839/10/31/pdfs/GMD-1839-1817.pdf#page=4","Abrir facsímil")</f>
        <v>Abrir facsímil</v>
      </c>
      <c r="K9073" s="12" t="s">
        <v>65</v>
      </c>
    </row>
    <row r="9074" spans="1:11" ht="40.049999999999997" customHeight="1" x14ac:dyDescent="0.25">
      <c r="A9074" s="11" t="s">
        <v>18116</v>
      </c>
      <c r="B9074" s="11" t="s">
        <v>18117</v>
      </c>
      <c r="C9074" s="11" t="s">
        <v>80</v>
      </c>
      <c r="D9074" s="11" t="s">
        <v>18</v>
      </c>
      <c r="E9074" s="12" t="s">
        <v>1144</v>
      </c>
      <c r="F9074" s="12" t="s">
        <v>1145</v>
      </c>
      <c r="G9074" s="12" t="s">
        <v>40</v>
      </c>
      <c r="H9074" s="11" t="s">
        <v>63</v>
      </c>
      <c r="I9074" s="13" t="s">
        <v>18118</v>
      </c>
      <c r="J9074" s="14" t="str">
        <f>HYPERLINK("https://www.boe.es/gazeta/dias/1839/08/13/pdfs/GMD-1839-1733.pdf#page=2","Abrir facsímil")</f>
        <v>Abrir facsímil</v>
      </c>
      <c r="K9074" s="12" t="s">
        <v>65</v>
      </c>
    </row>
    <row r="9075" spans="1:11" ht="40.049999999999997" customHeight="1" x14ac:dyDescent="0.25">
      <c r="A9075" s="11" t="s">
        <v>18116</v>
      </c>
      <c r="B9075" s="11" t="s">
        <v>18117</v>
      </c>
      <c r="C9075" s="11" t="s">
        <v>101</v>
      </c>
      <c r="D9075" s="11" t="s">
        <v>43</v>
      </c>
      <c r="E9075" s="12" t="s">
        <v>1988</v>
      </c>
      <c r="F9075" s="12" t="s">
        <v>1989</v>
      </c>
      <c r="G9075" s="12" t="s">
        <v>46</v>
      </c>
      <c r="H9075" s="11" t="s">
        <v>63</v>
      </c>
      <c r="I9075" s="13" t="s">
        <v>18119</v>
      </c>
      <c r="J9075" s="14" t="str">
        <f>HYPERLINK("https://www.boe.es/gazeta/dias/1839/10/29/pdfs/GMD-1839-1815.pdf#page=3","Abrir facsímil")</f>
        <v>Abrir facsímil</v>
      </c>
      <c r="K9075" s="12" t="s">
        <v>65</v>
      </c>
    </row>
    <row r="9076" spans="1:11" ht="40.049999999999997" customHeight="1" x14ac:dyDescent="0.25">
      <c r="A9076" s="11" t="s">
        <v>18120</v>
      </c>
      <c r="B9076" s="11" t="s">
        <v>18121</v>
      </c>
      <c r="C9076" s="11" t="s">
        <v>17</v>
      </c>
      <c r="D9076" s="11" t="s">
        <v>18</v>
      </c>
      <c r="E9076" s="12" t="s">
        <v>519</v>
      </c>
      <c r="F9076" s="12" t="s">
        <v>520</v>
      </c>
      <c r="G9076" s="12" t="s">
        <v>29</v>
      </c>
      <c r="H9076" s="11" t="s">
        <v>22</v>
      </c>
      <c r="I9076" s="13" t="s">
        <v>18122</v>
      </c>
      <c r="J9076" s="14" t="str">
        <f>HYPERLINK("https://www.boe.es/gazeta/dias/1839/02/23/pdfs/GMD-1839-1561.pdf#page=1","Abrir facsímil")</f>
        <v>Abrir facsímil</v>
      </c>
      <c r="K9076" s="12" t="s">
        <v>24</v>
      </c>
    </row>
    <row r="9077" spans="1:11" ht="40.049999999999997" customHeight="1" x14ac:dyDescent="0.25">
      <c r="A9077" s="11" t="s">
        <v>18123</v>
      </c>
      <c r="B9077" s="11" t="s">
        <v>18124</v>
      </c>
      <c r="C9077" s="11" t="s">
        <v>17</v>
      </c>
      <c r="D9077" s="11" t="s">
        <v>18</v>
      </c>
      <c r="E9077" s="12" t="s">
        <v>571</v>
      </c>
      <c r="F9077" s="12" t="s">
        <v>572</v>
      </c>
      <c r="G9077" s="12" t="s">
        <v>40</v>
      </c>
      <c r="H9077" s="11" t="s">
        <v>63</v>
      </c>
      <c r="I9077" s="13" t="s">
        <v>18125</v>
      </c>
      <c r="J9077" s="14" t="str">
        <f>HYPERLINK("https://www.boe.es/gazeta/dias/1839/09/27/pdfs/GMD-1839-1783.pdf#page=2","Abrir facsímil")</f>
        <v>Abrir facsímil</v>
      </c>
      <c r="K9077" s="12" t="s">
        <v>65</v>
      </c>
    </row>
    <row r="9078" spans="1:11" ht="40.049999999999997" customHeight="1" x14ac:dyDescent="0.25">
      <c r="A9078" s="11" t="s">
        <v>18126</v>
      </c>
      <c r="B9078" s="11" t="s">
        <v>18127</v>
      </c>
      <c r="C9078" s="11" t="s">
        <v>17</v>
      </c>
      <c r="D9078" s="11" t="s">
        <v>18</v>
      </c>
      <c r="E9078" s="12" t="s">
        <v>1236</v>
      </c>
      <c r="F9078" s="12" t="s">
        <v>1237</v>
      </c>
      <c r="G9078" s="12" t="s">
        <v>29</v>
      </c>
      <c r="H9078" s="11" t="s">
        <v>63</v>
      </c>
      <c r="I9078" s="13" t="s">
        <v>18128</v>
      </c>
      <c r="J9078" s="14" t="str">
        <f>HYPERLINK("https://www.boe.es/gazeta/dias/1839/10/16/pdfs/GMD-1839-1802.pdf#page=1","Abrir facsímil")</f>
        <v>Abrir facsímil</v>
      </c>
      <c r="K9078" s="12" t="s">
        <v>65</v>
      </c>
    </row>
    <row r="9079" spans="1:11" ht="40.049999999999997" customHeight="1" x14ac:dyDescent="0.25">
      <c r="A9079" s="11" t="s">
        <v>18129</v>
      </c>
      <c r="B9079" s="11" t="s">
        <v>18130</v>
      </c>
      <c r="C9079" s="11" t="s">
        <v>80</v>
      </c>
      <c r="D9079" s="11" t="s">
        <v>18</v>
      </c>
      <c r="E9079" s="12" t="s">
        <v>3114</v>
      </c>
      <c r="F9079" s="12" t="s">
        <v>3115</v>
      </c>
      <c r="G9079" s="12" t="s">
        <v>21</v>
      </c>
      <c r="H9079" s="11" t="s">
        <v>63</v>
      </c>
      <c r="I9079" s="13" t="s">
        <v>18131</v>
      </c>
      <c r="J9079" s="14" t="str">
        <f>HYPERLINK("https://www.boe.es/gazeta/dias/1839/05/15/pdfs/GMD-1839-1642.pdf#page=4","Abrir facsímil")</f>
        <v>Abrir facsímil</v>
      </c>
      <c r="K9079" s="12" t="s">
        <v>65</v>
      </c>
    </row>
    <row r="9080" spans="1:11" ht="40.049999999999997" customHeight="1" x14ac:dyDescent="0.25">
      <c r="A9080" s="11" t="s">
        <v>18132</v>
      </c>
      <c r="B9080" s="11" t="s">
        <v>18133</v>
      </c>
      <c r="C9080" s="11" t="s">
        <v>17</v>
      </c>
      <c r="D9080" s="11" t="s">
        <v>18</v>
      </c>
      <c r="E9080" s="12" t="s">
        <v>704</v>
      </c>
      <c r="F9080" s="12" t="s">
        <v>705</v>
      </c>
      <c r="G9080" s="12" t="s">
        <v>46</v>
      </c>
      <c r="H9080" s="11" t="s">
        <v>22</v>
      </c>
      <c r="I9080" s="13" t="s">
        <v>18134</v>
      </c>
      <c r="J9080" s="14" t="str">
        <f>HYPERLINK("https://www.boe.es/gazeta/dias/1839/03/02/pdfs/GMD-1839-1568.pdf#page=3","Abrir facsímil")</f>
        <v>Abrir facsímil</v>
      </c>
      <c r="K9080" s="12" t="s">
        <v>24</v>
      </c>
    </row>
    <row r="9081" spans="1:11" ht="40.049999999999997" customHeight="1" x14ac:dyDescent="0.25">
      <c r="A9081" s="11" t="s">
        <v>18135</v>
      </c>
      <c r="B9081" s="11" t="s">
        <v>18135</v>
      </c>
      <c r="C9081" s="11" t="s">
        <v>59</v>
      </c>
      <c r="D9081" s="11" t="s">
        <v>60</v>
      </c>
      <c r="E9081" s="12" t="s">
        <v>2443</v>
      </c>
      <c r="F9081" s="12" t="s">
        <v>2444</v>
      </c>
      <c r="G9081" s="12" t="s">
        <v>46</v>
      </c>
      <c r="H9081" s="11" t="s">
        <v>63</v>
      </c>
      <c r="I9081" s="13" t="s">
        <v>18136</v>
      </c>
      <c r="J9081" s="14" t="str">
        <f>HYPERLINK("https://www.boe.es/gazeta/dias/1839/11/02/pdfs/GMD-1839-1819.pdf#page=3","Abrir facsímil")</f>
        <v>Abrir facsímil</v>
      </c>
      <c r="K9081" s="12" t="s">
        <v>65</v>
      </c>
    </row>
    <row r="9082" spans="1:11" ht="40.049999999999997" customHeight="1" x14ac:dyDescent="0.25">
      <c r="A9082" s="11" t="s">
        <v>18135</v>
      </c>
      <c r="B9082" s="11" t="s">
        <v>18135</v>
      </c>
      <c r="C9082" s="11" t="s">
        <v>80</v>
      </c>
      <c r="D9082" s="11" t="s">
        <v>18</v>
      </c>
      <c r="E9082" s="12" t="s">
        <v>217</v>
      </c>
      <c r="F9082" s="12" t="s">
        <v>218</v>
      </c>
      <c r="G9082" s="12" t="s">
        <v>21</v>
      </c>
      <c r="H9082" s="11" t="s">
        <v>63</v>
      </c>
      <c r="I9082" s="13" t="s">
        <v>18137</v>
      </c>
      <c r="J9082" s="14" t="str">
        <f>HYPERLINK("https://www.boe.es/gazeta/dias/1839/08/06/pdfs/GMD-1839-1726.pdf#page=4","Abrir facsímil")</f>
        <v>Abrir facsímil</v>
      </c>
      <c r="K9082" s="12" t="s">
        <v>65</v>
      </c>
    </row>
    <row r="9083" spans="1:11" ht="40.049999999999997" customHeight="1" x14ac:dyDescent="0.25">
      <c r="A9083" s="11" t="s">
        <v>18135</v>
      </c>
      <c r="B9083" s="11" t="s">
        <v>18135</v>
      </c>
      <c r="C9083" s="11" t="s">
        <v>137</v>
      </c>
      <c r="D9083" s="11" t="s">
        <v>18</v>
      </c>
      <c r="E9083" s="12" t="s">
        <v>1123</v>
      </c>
      <c r="F9083" s="12" t="s">
        <v>1124</v>
      </c>
      <c r="G9083" s="12" t="s">
        <v>29</v>
      </c>
      <c r="H9083" s="11" t="s">
        <v>63</v>
      </c>
      <c r="I9083" s="13" t="s">
        <v>18138</v>
      </c>
      <c r="J9083" s="14" t="str">
        <f>HYPERLINK("https://www.boe.es/gazeta/dias/1839/08/10/pdfs/GMD-1839-1730.pdf#page=1","Abrir facsímil")</f>
        <v>Abrir facsímil</v>
      </c>
      <c r="K9083" s="12" t="s">
        <v>65</v>
      </c>
    </row>
    <row r="9084" spans="1:11" ht="40.049999999999997" customHeight="1" x14ac:dyDescent="0.25">
      <c r="A9084" s="11" t="s">
        <v>18135</v>
      </c>
      <c r="B9084" s="11" t="s">
        <v>18135</v>
      </c>
      <c r="C9084" s="11" t="s">
        <v>17</v>
      </c>
      <c r="D9084" s="11" t="s">
        <v>18</v>
      </c>
      <c r="E9084" s="12" t="s">
        <v>44</v>
      </c>
      <c r="F9084" s="12" t="s">
        <v>45</v>
      </c>
      <c r="G9084" s="12" t="s">
        <v>21</v>
      </c>
      <c r="H9084" s="11" t="s">
        <v>63</v>
      </c>
      <c r="I9084" s="13" t="s">
        <v>18139</v>
      </c>
      <c r="J9084" s="14" t="str">
        <f>HYPERLINK("https://www.boe.es/gazeta/dias/1839/11/15/pdfs/GMD-1839-1832.pdf#page=4","Abrir facsímil")</f>
        <v>Abrir facsímil</v>
      </c>
      <c r="K9084" s="12" t="s">
        <v>65</v>
      </c>
    </row>
    <row r="9085" spans="1:11" ht="40.049999999999997" customHeight="1" x14ac:dyDescent="0.25">
      <c r="A9085" s="11" t="s">
        <v>18135</v>
      </c>
      <c r="B9085" s="11" t="s">
        <v>18135</v>
      </c>
      <c r="C9085" s="11" t="s">
        <v>80</v>
      </c>
      <c r="D9085" s="11" t="s">
        <v>18</v>
      </c>
      <c r="E9085" s="12" t="s">
        <v>1666</v>
      </c>
      <c r="F9085" s="12" t="s">
        <v>1667</v>
      </c>
      <c r="G9085" s="12" t="s">
        <v>21</v>
      </c>
      <c r="H9085" s="11" t="s">
        <v>63</v>
      </c>
      <c r="I9085" s="13" t="s">
        <v>18140</v>
      </c>
      <c r="J9085" s="14" t="str">
        <f>HYPERLINK("https://www.boe.es/gazeta/dias/1839/04/22/pdfs/GMD-1839-1619.pdf#page=4","Abrir facsímil")</f>
        <v>Abrir facsímil</v>
      </c>
      <c r="K9085" s="12" t="s">
        <v>65</v>
      </c>
    </row>
    <row r="9086" spans="1:11" ht="40.049999999999997" customHeight="1" x14ac:dyDescent="0.25">
      <c r="A9086" s="11" t="s">
        <v>18141</v>
      </c>
      <c r="B9086" s="11" t="s">
        <v>18142</v>
      </c>
      <c r="C9086" s="11" t="s">
        <v>59</v>
      </c>
      <c r="D9086" s="11" t="s">
        <v>60</v>
      </c>
      <c r="E9086" s="12" t="s">
        <v>2443</v>
      </c>
      <c r="F9086" s="12" t="s">
        <v>2444</v>
      </c>
      <c r="G9086" s="12" t="s">
        <v>46</v>
      </c>
      <c r="H9086" s="11" t="s">
        <v>22</v>
      </c>
      <c r="I9086" s="13" t="s">
        <v>18143</v>
      </c>
      <c r="J9086" s="14" t="str">
        <f>HYPERLINK("https://www.boe.es/gazeta/dias/1839/11/02/pdfs/GMD-1839-1819.pdf#page=3","Abrir facsímil")</f>
        <v>Abrir facsímil</v>
      </c>
      <c r="K9086" s="12" t="s">
        <v>24</v>
      </c>
    </row>
    <row r="9087" spans="1:11" ht="40.049999999999997" customHeight="1" x14ac:dyDescent="0.25">
      <c r="A9087" s="11" t="s">
        <v>18144</v>
      </c>
      <c r="B9087" s="11" t="s">
        <v>18144</v>
      </c>
      <c r="C9087" s="11" t="s">
        <v>17</v>
      </c>
      <c r="D9087" s="11" t="s">
        <v>43</v>
      </c>
      <c r="E9087" s="12" t="s">
        <v>587</v>
      </c>
      <c r="F9087" s="12" t="s">
        <v>588</v>
      </c>
      <c r="G9087" s="12" t="s">
        <v>40</v>
      </c>
      <c r="H9087" s="11" t="s">
        <v>63</v>
      </c>
      <c r="I9087" s="13" t="s">
        <v>18145</v>
      </c>
      <c r="J9087" s="14" t="str">
        <f>HYPERLINK("https://www.boe.es/gazeta/dias/1839/05/02/pdfs/GMD-1839-1629.pdf#page=2","Abrir facsímil")</f>
        <v>Abrir facsímil</v>
      </c>
      <c r="K9087" s="12" t="s">
        <v>65</v>
      </c>
    </row>
    <row r="9088" spans="1:11" ht="40.049999999999997" customHeight="1" x14ac:dyDescent="0.25">
      <c r="A9088" s="11" t="s">
        <v>18144</v>
      </c>
      <c r="B9088" s="11" t="s">
        <v>18144</v>
      </c>
      <c r="C9088" s="11" t="s">
        <v>80</v>
      </c>
      <c r="D9088" s="11" t="s">
        <v>18</v>
      </c>
      <c r="E9088" s="12" t="s">
        <v>4189</v>
      </c>
      <c r="F9088" s="12" t="s">
        <v>4190</v>
      </c>
      <c r="G9088" s="12" t="s">
        <v>29</v>
      </c>
      <c r="H9088" s="11" t="s">
        <v>63</v>
      </c>
      <c r="I9088" s="13" t="s">
        <v>18146</v>
      </c>
      <c r="J9088" s="14" t="str">
        <f>HYPERLINK("https://www.boe.es/gazeta/dias/1839/02/13/pdfs/GMD-1839-1551.pdf#page=1","Abrir facsímil")</f>
        <v>Abrir facsímil</v>
      </c>
      <c r="K9088" s="12" t="s">
        <v>65</v>
      </c>
    </row>
    <row r="9089" spans="1:11" ht="40.049999999999997" customHeight="1" x14ac:dyDescent="0.25">
      <c r="A9089" s="11" t="s">
        <v>18144</v>
      </c>
      <c r="B9089" s="11" t="s">
        <v>18144</v>
      </c>
      <c r="C9089" s="11" t="s">
        <v>17</v>
      </c>
      <c r="D9089" s="11" t="s">
        <v>18</v>
      </c>
      <c r="E9089" s="12" t="s">
        <v>185</v>
      </c>
      <c r="F9089" s="12" t="s">
        <v>186</v>
      </c>
      <c r="G9089" s="12" t="s">
        <v>21</v>
      </c>
      <c r="H9089" s="11" t="s">
        <v>63</v>
      </c>
      <c r="I9089" s="13" t="s">
        <v>18147</v>
      </c>
      <c r="J9089" s="14" t="str">
        <f>HYPERLINK("https://www.boe.es/gazeta/dias/1839/01/15/pdfs/GMD-1839-1522.pdf#page=4","Abrir facsímil")</f>
        <v>Abrir facsímil</v>
      </c>
      <c r="K9089" s="12" t="s">
        <v>65</v>
      </c>
    </row>
    <row r="9090" spans="1:11" ht="40.049999999999997" customHeight="1" x14ac:dyDescent="0.25">
      <c r="A9090" s="11" t="s">
        <v>18144</v>
      </c>
      <c r="B9090" s="11" t="s">
        <v>18144</v>
      </c>
      <c r="C9090" s="11" t="s">
        <v>17</v>
      </c>
      <c r="D9090" s="11" t="s">
        <v>18</v>
      </c>
      <c r="E9090" s="12" t="s">
        <v>2021</v>
      </c>
      <c r="F9090" s="12" t="s">
        <v>2022</v>
      </c>
      <c r="G9090" s="12" t="s">
        <v>29</v>
      </c>
      <c r="H9090" s="11" t="s">
        <v>63</v>
      </c>
      <c r="I9090" s="13" t="s">
        <v>18148</v>
      </c>
      <c r="J9090" s="14" t="str">
        <f>HYPERLINK("https://www.boe.es/gazeta/dias/1839/02/17/pdfs/GMD-1839-1555.pdf#page=1","Abrir facsímil")</f>
        <v>Abrir facsímil</v>
      </c>
      <c r="K9090" s="12" t="s">
        <v>65</v>
      </c>
    </row>
    <row r="9091" spans="1:11" ht="40.049999999999997" customHeight="1" x14ac:dyDescent="0.25">
      <c r="A9091" s="11" t="s">
        <v>18144</v>
      </c>
      <c r="B9091" s="11" t="s">
        <v>18144</v>
      </c>
      <c r="C9091" s="11" t="s">
        <v>17</v>
      </c>
      <c r="D9091" s="11" t="s">
        <v>18</v>
      </c>
      <c r="E9091" s="12" t="s">
        <v>596</v>
      </c>
      <c r="F9091" s="12" t="s">
        <v>597</v>
      </c>
      <c r="G9091" s="12" t="s">
        <v>29</v>
      </c>
      <c r="H9091" s="11" t="s">
        <v>63</v>
      </c>
      <c r="I9091" s="13" t="s">
        <v>18149</v>
      </c>
      <c r="J9091" s="14" t="str">
        <f>HYPERLINK("https://www.boe.es/gazeta/dias/1839/01/23/pdfs/GMD-1839-1530.pdf#page=1","Abrir facsímil")</f>
        <v>Abrir facsímil</v>
      </c>
      <c r="K9091" s="12" t="s">
        <v>65</v>
      </c>
    </row>
    <row r="9092" spans="1:11" ht="40.049999999999997" customHeight="1" x14ac:dyDescent="0.25">
      <c r="A9092" s="11" t="s">
        <v>18144</v>
      </c>
      <c r="B9092" s="11" t="s">
        <v>18144</v>
      </c>
      <c r="C9092" s="11" t="s">
        <v>59</v>
      </c>
      <c r="D9092" s="11" t="s">
        <v>60</v>
      </c>
      <c r="E9092" s="12" t="s">
        <v>246</v>
      </c>
      <c r="F9092" s="12" t="s">
        <v>247</v>
      </c>
      <c r="G9092" s="12" t="s">
        <v>29</v>
      </c>
      <c r="H9092" s="11" t="s">
        <v>63</v>
      </c>
      <c r="I9092" s="13" t="s">
        <v>18150</v>
      </c>
      <c r="J9092" s="14" t="str">
        <f>HYPERLINK("https://www.boe.es/gazeta/dias/1839/11/24/pdfs/GMD-1839-1841.pdf#page=1","Abrir facsímil")</f>
        <v>Abrir facsímil</v>
      </c>
      <c r="K9092" s="12" t="s">
        <v>65</v>
      </c>
    </row>
    <row r="9093" spans="1:11" ht="40.049999999999997" customHeight="1" x14ac:dyDescent="0.25">
      <c r="A9093" s="11" t="s">
        <v>18144</v>
      </c>
      <c r="B9093" s="11" t="s">
        <v>18144</v>
      </c>
      <c r="C9093" s="11" t="s">
        <v>17</v>
      </c>
      <c r="D9093" s="11" t="s">
        <v>18</v>
      </c>
      <c r="E9093" s="12" t="s">
        <v>1149</v>
      </c>
      <c r="F9093" s="12" t="s">
        <v>1150</v>
      </c>
      <c r="G9093" s="12" t="s">
        <v>21</v>
      </c>
      <c r="H9093" s="11" t="s">
        <v>63</v>
      </c>
      <c r="I9093" s="13" t="s">
        <v>18151</v>
      </c>
      <c r="J9093" s="14" t="str">
        <f>HYPERLINK("https://www.boe.es/gazeta/dias/1839/06/25/pdfs/GMD-1839-1683.pdf#page=4","Abrir facsímil")</f>
        <v>Abrir facsímil</v>
      </c>
      <c r="K9093" s="12" t="s">
        <v>65</v>
      </c>
    </row>
    <row r="9094" spans="1:11" ht="40.049999999999997" customHeight="1" x14ac:dyDescent="0.25">
      <c r="A9094" s="11" t="s">
        <v>18144</v>
      </c>
      <c r="B9094" s="11" t="s">
        <v>18144</v>
      </c>
      <c r="C9094" s="11" t="s">
        <v>80</v>
      </c>
      <c r="D9094" s="11" t="s">
        <v>18</v>
      </c>
      <c r="E9094" s="12" t="s">
        <v>489</v>
      </c>
      <c r="F9094" s="12" t="s">
        <v>490</v>
      </c>
      <c r="G9094" s="12" t="s">
        <v>29</v>
      </c>
      <c r="H9094" s="11" t="s">
        <v>63</v>
      </c>
      <c r="I9094" s="13" t="s">
        <v>18152</v>
      </c>
      <c r="J9094" s="14" t="str">
        <f>HYPERLINK("https://www.boe.es/gazeta/dias/1839/06/29/pdfs/GMD-1839-1687.pdf#page=1","Abrir facsímil")</f>
        <v>Abrir facsímil</v>
      </c>
      <c r="K9094" s="12" t="s">
        <v>65</v>
      </c>
    </row>
    <row r="9095" spans="1:11" ht="40.049999999999997" customHeight="1" x14ac:dyDescent="0.25">
      <c r="A9095" s="11" t="s">
        <v>18144</v>
      </c>
      <c r="B9095" s="11" t="s">
        <v>18144</v>
      </c>
      <c r="C9095" s="11" t="s">
        <v>17</v>
      </c>
      <c r="D9095" s="11" t="s">
        <v>18</v>
      </c>
      <c r="E9095" s="12" t="s">
        <v>1118</v>
      </c>
      <c r="F9095" s="12" t="s">
        <v>1119</v>
      </c>
      <c r="G9095" s="12" t="s">
        <v>46</v>
      </c>
      <c r="H9095" s="11" t="s">
        <v>63</v>
      </c>
      <c r="I9095" s="13" t="s">
        <v>18153</v>
      </c>
      <c r="J9095" s="14" t="str">
        <f>HYPERLINK("https://www.boe.es/gazeta/dias/1839/08/30/pdfs/GMD-1839-1751.pdf#page=3","Abrir facsímil")</f>
        <v>Abrir facsímil</v>
      </c>
      <c r="K9095" s="12" t="s">
        <v>65</v>
      </c>
    </row>
    <row r="9096" spans="1:11" ht="40.049999999999997" customHeight="1" x14ac:dyDescent="0.25">
      <c r="A9096" s="11" t="s">
        <v>18144</v>
      </c>
      <c r="B9096" s="11" t="s">
        <v>18144</v>
      </c>
      <c r="C9096" s="11" t="s">
        <v>17</v>
      </c>
      <c r="D9096" s="11" t="s">
        <v>18</v>
      </c>
      <c r="E9096" s="12" t="s">
        <v>653</v>
      </c>
      <c r="F9096" s="12" t="s">
        <v>654</v>
      </c>
      <c r="G9096" s="12" t="s">
        <v>29</v>
      </c>
      <c r="H9096" s="11" t="s">
        <v>63</v>
      </c>
      <c r="I9096" s="13" t="s">
        <v>18154</v>
      </c>
      <c r="J9096" s="14" t="str">
        <f>HYPERLINK("https://www.boe.es/gazeta/dias/1839/10/31/pdfs/GMD-1839-1817.pdf#page=1","Abrir facsímil")</f>
        <v>Abrir facsímil</v>
      </c>
      <c r="K9096" s="12" t="s">
        <v>65</v>
      </c>
    </row>
    <row r="9097" spans="1:11" ht="40.049999999999997" customHeight="1" x14ac:dyDescent="0.25">
      <c r="A9097" s="11" t="s">
        <v>18155</v>
      </c>
      <c r="B9097" s="11" t="s">
        <v>18155</v>
      </c>
      <c r="C9097" s="11" t="s">
        <v>17</v>
      </c>
      <c r="D9097" s="11" t="s">
        <v>18</v>
      </c>
      <c r="E9097" s="12" t="s">
        <v>1433</v>
      </c>
      <c r="F9097" s="12" t="s">
        <v>1434</v>
      </c>
      <c r="G9097" s="12" t="s">
        <v>40</v>
      </c>
      <c r="H9097" s="11" t="s">
        <v>63</v>
      </c>
      <c r="I9097" s="13" t="s">
        <v>18156</v>
      </c>
      <c r="J9097" s="14" t="str">
        <f>HYPERLINK("https://www.boe.es/gazeta/dias/1839/10/22/pdfs/GMD-1839-1808.pdf#page=2","Abrir facsímil")</f>
        <v>Abrir facsímil</v>
      </c>
      <c r="K9097" s="12" t="s">
        <v>65</v>
      </c>
    </row>
    <row r="9098" spans="1:11" ht="40.049999999999997" customHeight="1" x14ac:dyDescent="0.25">
      <c r="A9098" s="11" t="s">
        <v>18157</v>
      </c>
      <c r="B9098" s="11" t="s">
        <v>18158</v>
      </c>
      <c r="C9098" s="11" t="s">
        <v>137</v>
      </c>
      <c r="D9098" s="11" t="s">
        <v>18</v>
      </c>
      <c r="E9098" s="12" t="s">
        <v>284</v>
      </c>
      <c r="F9098" s="12" t="s">
        <v>285</v>
      </c>
      <c r="G9098" s="12" t="s">
        <v>40</v>
      </c>
      <c r="H9098" s="11" t="s">
        <v>63</v>
      </c>
      <c r="I9098" s="13" t="s">
        <v>18159</v>
      </c>
      <c r="J9098" s="14" t="str">
        <f>HYPERLINK("https://www.boe.es/gazeta/dias/1839/01/27/pdfs/GMD-1839-1534.pdf#page=2","Abrir facsímil")</f>
        <v>Abrir facsímil</v>
      </c>
      <c r="K9098" s="12" t="s">
        <v>65</v>
      </c>
    </row>
    <row r="9099" spans="1:11" ht="40.049999999999997" customHeight="1" x14ac:dyDescent="0.25">
      <c r="A9099" s="11" t="s">
        <v>18160</v>
      </c>
      <c r="B9099" s="11" t="s">
        <v>18160</v>
      </c>
      <c r="C9099" s="11" t="s">
        <v>17</v>
      </c>
      <c r="D9099" s="11" t="s">
        <v>18</v>
      </c>
      <c r="E9099" s="12" t="s">
        <v>453</v>
      </c>
      <c r="F9099" s="12" t="s">
        <v>454</v>
      </c>
      <c r="G9099" s="12" t="s">
        <v>29</v>
      </c>
      <c r="H9099" s="11" t="s">
        <v>22</v>
      </c>
      <c r="I9099" s="13" t="s">
        <v>18161</v>
      </c>
      <c r="J9099" s="14" t="str">
        <f>HYPERLINK("https://www.boe.es/gazeta/dias/1839/02/07/pdfs/GMD-1839-1545.pdf#page=1","Abrir facsímil")</f>
        <v>Abrir facsímil</v>
      </c>
      <c r="K9099" s="12" t="s">
        <v>24</v>
      </c>
    </row>
    <row r="9100" spans="1:11" ht="40.049999999999997" customHeight="1" x14ac:dyDescent="0.25">
      <c r="A9100" s="11" t="s">
        <v>18162</v>
      </c>
      <c r="B9100" s="11" t="s">
        <v>18162</v>
      </c>
      <c r="C9100" s="11" t="s">
        <v>17</v>
      </c>
      <c r="D9100" s="11" t="s">
        <v>18</v>
      </c>
      <c r="E9100" s="12" t="s">
        <v>804</v>
      </c>
      <c r="F9100" s="12" t="s">
        <v>805</v>
      </c>
      <c r="G9100" s="12" t="s">
        <v>29</v>
      </c>
      <c r="H9100" s="11" t="s">
        <v>22</v>
      </c>
      <c r="I9100" s="13" t="s">
        <v>18163</v>
      </c>
      <c r="J9100" s="14" t="str">
        <f>HYPERLINK("https://www.boe.es/gazeta/dias/1839/01/08/pdfs/GMD-1839-1515.pdf#page=1","Abrir facsímil")</f>
        <v>Abrir facsímil</v>
      </c>
      <c r="K9100" s="12" t="s">
        <v>24</v>
      </c>
    </row>
    <row r="9101" spans="1:11" ht="40.049999999999997" customHeight="1" x14ac:dyDescent="0.25">
      <c r="A9101" s="11" t="s">
        <v>18162</v>
      </c>
      <c r="B9101" s="11" t="s">
        <v>18162</v>
      </c>
      <c r="C9101" s="11" t="s">
        <v>101</v>
      </c>
      <c r="D9101" s="11" t="s">
        <v>43</v>
      </c>
      <c r="E9101" s="12" t="s">
        <v>2949</v>
      </c>
      <c r="F9101" s="12" t="s">
        <v>2950</v>
      </c>
      <c r="G9101" s="12" t="s">
        <v>46</v>
      </c>
      <c r="H9101" s="11" t="s">
        <v>22</v>
      </c>
      <c r="I9101" s="13" t="s">
        <v>18164</v>
      </c>
      <c r="J9101" s="14" t="str">
        <f>HYPERLINK("https://www.boe.es/gazeta/dias/1839/10/21/pdfs/GMD-1839-1807.pdf#page=3","Abrir facsímil")</f>
        <v>Abrir facsímil</v>
      </c>
      <c r="K9101" s="12" t="s">
        <v>24</v>
      </c>
    </row>
    <row r="9102" spans="1:11" ht="40.049999999999997" customHeight="1" x14ac:dyDescent="0.25">
      <c r="A9102" s="11" t="s">
        <v>18165</v>
      </c>
      <c r="B9102" s="11" t="s">
        <v>18165</v>
      </c>
      <c r="C9102" s="11" t="s">
        <v>17</v>
      </c>
      <c r="D9102" s="11" t="s">
        <v>18</v>
      </c>
      <c r="E9102" s="12" t="s">
        <v>695</v>
      </c>
      <c r="F9102" s="12" t="s">
        <v>696</v>
      </c>
      <c r="G9102" s="12" t="s">
        <v>21</v>
      </c>
      <c r="H9102" s="11" t="s">
        <v>22</v>
      </c>
      <c r="I9102" s="13" t="s">
        <v>18166</v>
      </c>
      <c r="J9102" s="14" t="str">
        <f>HYPERLINK("https://www.boe.es/gazeta/dias/1839/12/19/pdfs/GMD-1839-1866.pdf#page=4","Abrir facsímil")</f>
        <v>Abrir facsímil</v>
      </c>
      <c r="K9102" s="12" t="s">
        <v>24</v>
      </c>
    </row>
    <row r="9103" spans="1:11" ht="40.049999999999997" customHeight="1" x14ac:dyDescent="0.25">
      <c r="A9103" s="11" t="s">
        <v>18167</v>
      </c>
      <c r="B9103" s="11" t="s">
        <v>18168</v>
      </c>
      <c r="C9103" s="11" t="s">
        <v>101</v>
      </c>
      <c r="D9103" s="11" t="s">
        <v>43</v>
      </c>
      <c r="E9103" s="12" t="s">
        <v>2165</v>
      </c>
      <c r="F9103" s="12" t="s">
        <v>2166</v>
      </c>
      <c r="G9103" s="12" t="s">
        <v>40</v>
      </c>
      <c r="H9103" s="11" t="s">
        <v>22</v>
      </c>
      <c r="I9103" s="13" t="s">
        <v>18169</v>
      </c>
      <c r="J9103" s="14" t="str">
        <f>HYPERLINK("https://www.boe.es/gazeta/dias/1839/01/06/pdfs/GMD-1839-1513.pdf#page=2","Abrir facsímil")</f>
        <v>Abrir facsímil</v>
      </c>
      <c r="K9103" s="12" t="s">
        <v>24</v>
      </c>
    </row>
    <row r="9104" spans="1:11" ht="40.049999999999997" customHeight="1" x14ac:dyDescent="0.25">
      <c r="A9104" s="11" t="s">
        <v>18170</v>
      </c>
      <c r="B9104" s="11" t="s">
        <v>18171</v>
      </c>
      <c r="C9104" s="11" t="s">
        <v>17</v>
      </c>
      <c r="D9104" s="11" t="s">
        <v>18</v>
      </c>
      <c r="E9104" s="12" t="s">
        <v>258</v>
      </c>
      <c r="F9104" s="12" t="s">
        <v>259</v>
      </c>
      <c r="G9104" s="12" t="s">
        <v>46</v>
      </c>
      <c r="H9104" s="11" t="s">
        <v>22</v>
      </c>
      <c r="I9104" s="13" t="s">
        <v>18172</v>
      </c>
      <c r="J9104" s="14" t="str">
        <f>HYPERLINK("https://www.boe.es/gazeta/dias/1839/01/02/pdfs/GMD-1839-1509.pdf#page=3","Abrir facsímil")</f>
        <v>Abrir facsímil</v>
      </c>
      <c r="K9104" s="12" t="s">
        <v>24</v>
      </c>
    </row>
    <row r="9105" spans="1:11" ht="40.049999999999997" customHeight="1" x14ac:dyDescent="0.25">
      <c r="A9105" s="11" t="s">
        <v>18173</v>
      </c>
      <c r="B9105" s="11" t="s">
        <v>18173</v>
      </c>
      <c r="C9105" s="11" t="s">
        <v>137</v>
      </c>
      <c r="D9105" s="11" t="s">
        <v>18</v>
      </c>
      <c r="E9105" s="12" t="s">
        <v>770</v>
      </c>
      <c r="F9105" s="12" t="s">
        <v>771</v>
      </c>
      <c r="G9105" s="12" t="s">
        <v>40</v>
      </c>
      <c r="H9105" s="11" t="s">
        <v>63</v>
      </c>
      <c r="I9105" s="13" t="s">
        <v>18174</v>
      </c>
      <c r="J9105" s="14" t="str">
        <f>HYPERLINK("https://www.boe.es/gazeta/dias/1839/12/05/pdfs/GMD-1839-1852.pdf#page=2","Abrir facsímil")</f>
        <v>Abrir facsímil</v>
      </c>
      <c r="K9105" s="12" t="s">
        <v>65</v>
      </c>
    </row>
    <row r="9106" spans="1:11" ht="40.049999999999997" customHeight="1" x14ac:dyDescent="0.25">
      <c r="A9106" s="11" t="s">
        <v>18175</v>
      </c>
      <c r="B9106" s="11" t="s">
        <v>18176</v>
      </c>
      <c r="C9106" s="11" t="s">
        <v>17</v>
      </c>
      <c r="D9106" s="11" t="s">
        <v>18</v>
      </c>
      <c r="E9106" s="12" t="s">
        <v>1123</v>
      </c>
      <c r="F9106" s="12" t="s">
        <v>1124</v>
      </c>
      <c r="G9106" s="12" t="s">
        <v>21</v>
      </c>
      <c r="H9106" s="11" t="s">
        <v>63</v>
      </c>
      <c r="I9106" s="13" t="s">
        <v>18177</v>
      </c>
      <c r="J9106" s="14" t="str">
        <f>HYPERLINK("https://www.boe.es/gazeta/dias/1839/08/10/pdfs/GMD-1839-1730.pdf#page=4","Abrir facsímil")</f>
        <v>Abrir facsímil</v>
      </c>
      <c r="K9106" s="12" t="s">
        <v>65</v>
      </c>
    </row>
    <row r="9107" spans="1:11" ht="40.049999999999997" customHeight="1" x14ac:dyDescent="0.25">
      <c r="A9107" s="11" t="s">
        <v>18178</v>
      </c>
      <c r="B9107" s="11" t="s">
        <v>18178</v>
      </c>
      <c r="C9107" s="11" t="s">
        <v>17</v>
      </c>
      <c r="D9107" s="11" t="s">
        <v>18</v>
      </c>
      <c r="E9107" s="12" t="s">
        <v>3601</v>
      </c>
      <c r="F9107" s="12" t="s">
        <v>3602</v>
      </c>
      <c r="G9107" s="12" t="s">
        <v>21</v>
      </c>
      <c r="H9107" s="11" t="s">
        <v>63</v>
      </c>
      <c r="I9107" s="13" t="s">
        <v>18179</v>
      </c>
      <c r="J9107" s="14" t="str">
        <f>HYPERLINK("https://www.boe.es/gazeta/dias/1839/03/21/pdfs/GMD-1839-1587.pdf#page=4","Abrir facsímil")</f>
        <v>Abrir facsímil</v>
      </c>
      <c r="K9107" s="12" t="s">
        <v>65</v>
      </c>
    </row>
    <row r="9108" spans="1:11" ht="40.049999999999997" customHeight="1" x14ac:dyDescent="0.25">
      <c r="A9108" s="11" t="s">
        <v>18180</v>
      </c>
      <c r="B9108" s="11" t="s">
        <v>18181</v>
      </c>
      <c r="C9108" s="11" t="s">
        <v>17</v>
      </c>
      <c r="D9108" s="11" t="s">
        <v>18</v>
      </c>
      <c r="E9108" s="12" t="s">
        <v>2155</v>
      </c>
      <c r="F9108" s="12" t="s">
        <v>2156</v>
      </c>
      <c r="G9108" s="12" t="s">
        <v>21</v>
      </c>
      <c r="H9108" s="11" t="s">
        <v>63</v>
      </c>
      <c r="I9108" s="13" t="s">
        <v>18182</v>
      </c>
      <c r="J9108" s="14" t="str">
        <f>HYPERLINK("https://www.boe.es/gazeta/dias/1839/01/17/pdfs/GMD-1839-1524.pdf#page=4","Abrir facsímil")</f>
        <v>Abrir facsímil</v>
      </c>
      <c r="K9108" s="12" t="s">
        <v>65</v>
      </c>
    </row>
    <row r="9109" spans="1:11" ht="40.049999999999997" customHeight="1" x14ac:dyDescent="0.25">
      <c r="A9109" s="11" t="s">
        <v>18183</v>
      </c>
      <c r="B9109" s="11" t="s">
        <v>18184</v>
      </c>
      <c r="C9109" s="11" t="s">
        <v>59</v>
      </c>
      <c r="D9109" s="11" t="s">
        <v>60</v>
      </c>
      <c r="E9109" s="12" t="s">
        <v>38</v>
      </c>
      <c r="F9109" s="12" t="s">
        <v>39</v>
      </c>
      <c r="G9109" s="12" t="s">
        <v>29</v>
      </c>
      <c r="H9109" s="11" t="s">
        <v>63</v>
      </c>
      <c r="I9109" s="13" t="s">
        <v>18185</v>
      </c>
      <c r="J9109" s="14" t="str">
        <f>HYPERLINK("https://www.boe.es/gazeta/dias/1839/08/08/pdfs/GMD-1839-1728.pdf#page=1","Abrir facsímil")</f>
        <v>Abrir facsímil</v>
      </c>
      <c r="K9109" s="12" t="s">
        <v>65</v>
      </c>
    </row>
    <row r="9110" spans="1:11" ht="40.049999999999997" customHeight="1" x14ac:dyDescent="0.25">
      <c r="A9110" s="11" t="s">
        <v>18186</v>
      </c>
      <c r="B9110" s="11" t="s">
        <v>18187</v>
      </c>
      <c r="C9110" s="11" t="s">
        <v>17</v>
      </c>
      <c r="D9110" s="11" t="s">
        <v>18</v>
      </c>
      <c r="E9110" s="12" t="s">
        <v>68</v>
      </c>
      <c r="F9110" s="12" t="s">
        <v>69</v>
      </c>
      <c r="G9110" s="12" t="s">
        <v>40</v>
      </c>
      <c r="H9110" s="11" t="s">
        <v>63</v>
      </c>
      <c r="I9110" s="13" t="s">
        <v>18188</v>
      </c>
      <c r="J9110" s="14" t="str">
        <f>HYPERLINK("https://www.boe.es/gazeta/dias/1839/02/09/pdfs/GMD-1839-1547.pdf#page=2","Abrir facsímil")</f>
        <v>Abrir facsímil</v>
      </c>
      <c r="K9110" s="12" t="s">
        <v>65</v>
      </c>
    </row>
    <row r="9111" spans="1:11" ht="40.049999999999997" customHeight="1" x14ac:dyDescent="0.25">
      <c r="A9111" s="11" t="s">
        <v>18189</v>
      </c>
      <c r="B9111" s="11" t="s">
        <v>18189</v>
      </c>
      <c r="C9111" s="11" t="s">
        <v>17</v>
      </c>
      <c r="D9111" s="11" t="s">
        <v>18</v>
      </c>
      <c r="E9111" s="12" t="s">
        <v>959</v>
      </c>
      <c r="F9111" s="12" t="s">
        <v>960</v>
      </c>
      <c r="G9111" s="12" t="s">
        <v>40</v>
      </c>
      <c r="H9111" s="11" t="s">
        <v>63</v>
      </c>
      <c r="I9111" s="13" t="s">
        <v>18190</v>
      </c>
      <c r="J9111" s="14" t="str">
        <f>HYPERLINK("https://www.boe.es/gazeta/dias/1839/12/06/pdfs/GMD-1839-1853.pdf#page=2","Abrir facsímil")</f>
        <v>Abrir facsímil</v>
      </c>
      <c r="K9111" s="12" t="s">
        <v>65</v>
      </c>
    </row>
    <row r="9112" spans="1:11" ht="40.049999999999997" customHeight="1" x14ac:dyDescent="0.25">
      <c r="A9112" s="11" t="s">
        <v>18191</v>
      </c>
      <c r="B9112" s="11" t="s">
        <v>18191</v>
      </c>
      <c r="C9112" s="11" t="s">
        <v>80</v>
      </c>
      <c r="D9112" s="11" t="s">
        <v>18</v>
      </c>
      <c r="E9112" s="12" t="s">
        <v>1398</v>
      </c>
      <c r="F9112" s="12" t="s">
        <v>1399</v>
      </c>
      <c r="G9112" s="12" t="s">
        <v>21</v>
      </c>
      <c r="H9112" s="11" t="s">
        <v>22</v>
      </c>
      <c r="I9112" s="13" t="s">
        <v>18192</v>
      </c>
      <c r="J9112" s="14" t="str">
        <f>HYPERLINK("https://www.boe.es/gazeta/dias/1839/05/27/pdfs/GMD-1839-1654.pdf#page=4","Abrir facsímil")</f>
        <v>Abrir facsímil</v>
      </c>
      <c r="K9112" s="12" t="s">
        <v>24</v>
      </c>
    </row>
    <row r="9113" spans="1:11" ht="40.049999999999997" customHeight="1" x14ac:dyDescent="0.25">
      <c r="A9113" s="11" t="s">
        <v>18191</v>
      </c>
      <c r="B9113" s="11" t="s">
        <v>18191</v>
      </c>
      <c r="C9113" s="11" t="s">
        <v>17</v>
      </c>
      <c r="D9113" s="11" t="s">
        <v>18</v>
      </c>
      <c r="E9113" s="12" t="s">
        <v>817</v>
      </c>
      <c r="F9113" s="12" t="s">
        <v>818</v>
      </c>
      <c r="G9113" s="12" t="s">
        <v>21</v>
      </c>
      <c r="H9113" s="11" t="s">
        <v>22</v>
      </c>
      <c r="I9113" s="13" t="s">
        <v>18193</v>
      </c>
      <c r="J9113" s="14" t="str">
        <f>HYPERLINK("https://www.boe.es/gazeta/dias/1839/05/28/pdfs/GMD-1839-1655.pdf#page=4","Abrir facsímil")</f>
        <v>Abrir facsímil</v>
      </c>
      <c r="K9113" s="12" t="s">
        <v>24</v>
      </c>
    </row>
    <row r="9114" spans="1:11" ht="40.049999999999997" customHeight="1" x14ac:dyDescent="0.25">
      <c r="A9114" s="11" t="s">
        <v>18194</v>
      </c>
      <c r="B9114" s="11" t="s">
        <v>18194</v>
      </c>
      <c r="C9114" s="11" t="s">
        <v>17</v>
      </c>
      <c r="D9114" s="11" t="s">
        <v>18</v>
      </c>
      <c r="E9114" s="12" t="s">
        <v>2452</v>
      </c>
      <c r="F9114" s="12" t="s">
        <v>2453</v>
      </c>
      <c r="G9114" s="12" t="s">
        <v>21</v>
      </c>
      <c r="H9114" s="11" t="s">
        <v>22</v>
      </c>
      <c r="I9114" s="13" t="s">
        <v>18195</v>
      </c>
      <c r="J9114" s="14" t="str">
        <f>HYPERLINK("https://www.boe.es/gazeta/dias/1839/11/14/pdfs/GMD-1839-1831.pdf#page=4","Abrir facsímil")</f>
        <v>Abrir facsímil</v>
      </c>
      <c r="K9114" s="12" t="s">
        <v>24</v>
      </c>
    </row>
    <row r="9115" spans="1:11" ht="40.049999999999997" customHeight="1" x14ac:dyDescent="0.25">
      <c r="A9115" s="11" t="s">
        <v>18196</v>
      </c>
      <c r="B9115" s="11" t="s">
        <v>18196</v>
      </c>
      <c r="C9115" s="11" t="s">
        <v>17</v>
      </c>
      <c r="D9115" s="11" t="s">
        <v>18</v>
      </c>
      <c r="E9115" s="12" t="s">
        <v>2349</v>
      </c>
      <c r="F9115" s="12" t="s">
        <v>2350</v>
      </c>
      <c r="G9115" s="12" t="s">
        <v>40</v>
      </c>
      <c r="H9115" s="11" t="s">
        <v>63</v>
      </c>
      <c r="I9115" s="13" t="s">
        <v>18197</v>
      </c>
      <c r="J9115" s="14" t="str">
        <f>HYPERLINK("https://www.boe.es/gazeta/dias/1839/09/29/pdfs/GMD-1839-1785.pdf#page=2","Abrir facsímil")</f>
        <v>Abrir facsímil</v>
      </c>
      <c r="K9115" s="12" t="s">
        <v>65</v>
      </c>
    </row>
    <row r="9116" spans="1:11" ht="40.049999999999997" customHeight="1" x14ac:dyDescent="0.25">
      <c r="A9116" s="11" t="s">
        <v>18198</v>
      </c>
      <c r="B9116" s="11" t="s">
        <v>18199</v>
      </c>
      <c r="C9116" s="11" t="s">
        <v>17</v>
      </c>
      <c r="D9116" s="11" t="s">
        <v>18</v>
      </c>
      <c r="E9116" s="12" t="s">
        <v>1069</v>
      </c>
      <c r="F9116" s="12" t="s">
        <v>1070</v>
      </c>
      <c r="G9116" s="12" t="s">
        <v>46</v>
      </c>
      <c r="H9116" s="11" t="s">
        <v>22</v>
      </c>
      <c r="I9116" s="13" t="s">
        <v>18200</v>
      </c>
      <c r="J9116" s="14" t="str">
        <f>HYPERLINK("https://www.boe.es/gazeta/dias/1839/10/15/pdfs/GMD-1839-1801.pdf#page=3","Abrir facsímil")</f>
        <v>Abrir facsímil</v>
      </c>
      <c r="K9116" s="12" t="s">
        <v>24</v>
      </c>
    </row>
    <row r="9117" spans="1:11" ht="40.049999999999997" customHeight="1" x14ac:dyDescent="0.25">
      <c r="A9117" s="11" t="s">
        <v>18201</v>
      </c>
      <c r="B9117" s="11" t="s">
        <v>18201</v>
      </c>
      <c r="C9117" s="11" t="s">
        <v>101</v>
      </c>
      <c r="D9117" s="11" t="s">
        <v>43</v>
      </c>
      <c r="E9117" s="12" t="s">
        <v>181</v>
      </c>
      <c r="F9117" s="12" t="s">
        <v>182</v>
      </c>
      <c r="G9117" s="12" t="s">
        <v>46</v>
      </c>
      <c r="H9117" s="11" t="s">
        <v>22</v>
      </c>
      <c r="I9117" s="13" t="s">
        <v>18202</v>
      </c>
      <c r="J9117" s="14" t="str">
        <f>HYPERLINK("https://www.boe.es/gazeta/dias/1839/01/11/pdfs/GMD-1839-1518.pdf#page=3","Abrir facsímil")</f>
        <v>Abrir facsímil</v>
      </c>
      <c r="K9117" s="12" t="s">
        <v>24</v>
      </c>
    </row>
    <row r="9118" spans="1:11" ht="40.049999999999997" customHeight="1" x14ac:dyDescent="0.25">
      <c r="A9118" s="11" t="s">
        <v>18203</v>
      </c>
      <c r="B9118" s="11" t="s">
        <v>18203</v>
      </c>
      <c r="C9118" s="11" t="s">
        <v>17</v>
      </c>
      <c r="D9118" s="11" t="s">
        <v>18</v>
      </c>
      <c r="E9118" s="12" t="s">
        <v>160</v>
      </c>
      <c r="F9118" s="12" t="s">
        <v>161</v>
      </c>
      <c r="G9118" s="12" t="s">
        <v>46</v>
      </c>
      <c r="H9118" s="11" t="s">
        <v>22</v>
      </c>
      <c r="I9118" s="13" t="s">
        <v>18204</v>
      </c>
      <c r="J9118" s="14" t="str">
        <f>HYPERLINK("https://www.boe.es/gazeta/dias/1839/01/10/pdfs/GMD-1839-1517.pdf#page=3","Abrir facsímil")</f>
        <v>Abrir facsímil</v>
      </c>
      <c r="K9118" s="12" t="s">
        <v>24</v>
      </c>
    </row>
    <row r="9119" spans="1:11" ht="40.049999999999997" customHeight="1" x14ac:dyDescent="0.25">
      <c r="A9119" s="11" t="s">
        <v>18203</v>
      </c>
      <c r="B9119" s="11" t="s">
        <v>18203</v>
      </c>
      <c r="C9119" s="11" t="s">
        <v>17</v>
      </c>
      <c r="D9119" s="11" t="s">
        <v>18</v>
      </c>
      <c r="E9119" s="12" t="s">
        <v>163</v>
      </c>
      <c r="F9119" s="12" t="s">
        <v>164</v>
      </c>
      <c r="G9119" s="12" t="s">
        <v>46</v>
      </c>
      <c r="H9119" s="11" t="s">
        <v>22</v>
      </c>
      <c r="I9119" s="13" t="s">
        <v>18205</v>
      </c>
      <c r="J9119" s="14" t="str">
        <f>HYPERLINK("https://www.boe.es/gazeta/dias/1839/01/13/pdfs/GMD-1839-1520.pdf#page=3","Abrir facsímil")</f>
        <v>Abrir facsímil</v>
      </c>
      <c r="K9119" s="12" t="s">
        <v>24</v>
      </c>
    </row>
    <row r="9120" spans="1:11" ht="40.049999999999997" customHeight="1" x14ac:dyDescent="0.25">
      <c r="A9120" s="11" t="s">
        <v>18206</v>
      </c>
      <c r="B9120" s="11" t="s">
        <v>18206</v>
      </c>
      <c r="C9120" s="11" t="s">
        <v>101</v>
      </c>
      <c r="D9120" s="11" t="s">
        <v>43</v>
      </c>
      <c r="E9120" s="12" t="s">
        <v>262</v>
      </c>
      <c r="F9120" s="12" t="s">
        <v>263</v>
      </c>
      <c r="G9120" s="12" t="s">
        <v>40</v>
      </c>
      <c r="H9120" s="11" t="s">
        <v>63</v>
      </c>
      <c r="I9120" s="13" t="s">
        <v>18207</v>
      </c>
      <c r="J9120" s="14" t="str">
        <f>HYPERLINK("https://www.boe.es/gazeta/dias/1839/01/01/pdfs/GMD-1839-1508.pdf#page=2","Abrir facsímil")</f>
        <v>Abrir facsímil</v>
      </c>
      <c r="K9120" s="12" t="s">
        <v>65</v>
      </c>
    </row>
    <row r="9121" spans="1:11" ht="40.049999999999997" customHeight="1" x14ac:dyDescent="0.25">
      <c r="A9121" s="11" t="s">
        <v>18208</v>
      </c>
      <c r="B9121" s="11" t="s">
        <v>18208</v>
      </c>
      <c r="C9121" s="11" t="s">
        <v>17</v>
      </c>
      <c r="D9121" s="11" t="s">
        <v>18</v>
      </c>
      <c r="E9121" s="12" t="s">
        <v>262</v>
      </c>
      <c r="F9121" s="12" t="s">
        <v>263</v>
      </c>
      <c r="G9121" s="12" t="s">
        <v>40</v>
      </c>
      <c r="H9121" s="11" t="s">
        <v>63</v>
      </c>
      <c r="I9121" s="13" t="s">
        <v>18209</v>
      </c>
      <c r="J9121" s="14" t="str">
        <f>HYPERLINK("https://www.boe.es/gazeta/dias/1839/01/01/pdfs/GMD-1839-1508.pdf#page=2","Abrir facsímil")</f>
        <v>Abrir facsímil</v>
      </c>
      <c r="K9121" s="12" t="s">
        <v>65</v>
      </c>
    </row>
    <row r="9122" spans="1:11" ht="40.049999999999997" customHeight="1" x14ac:dyDescent="0.25">
      <c r="A9122" s="11" t="s">
        <v>18208</v>
      </c>
      <c r="B9122" s="11" t="s">
        <v>18208</v>
      </c>
      <c r="C9122" s="11" t="s">
        <v>17</v>
      </c>
      <c r="D9122" s="11" t="s">
        <v>18</v>
      </c>
      <c r="E9122" s="12" t="s">
        <v>262</v>
      </c>
      <c r="F9122" s="12" t="s">
        <v>263</v>
      </c>
      <c r="G9122" s="12" t="s">
        <v>46</v>
      </c>
      <c r="H9122" s="11" t="s">
        <v>63</v>
      </c>
      <c r="I9122" s="13" t="s">
        <v>18210</v>
      </c>
      <c r="J9122" s="14" t="str">
        <f>HYPERLINK("https://www.boe.es/gazeta/dias/1839/01/01/pdfs/GMD-1839-1508.pdf#page=3","Abrir facsímil")</f>
        <v>Abrir facsímil</v>
      </c>
      <c r="K9122" s="12" t="s">
        <v>65</v>
      </c>
    </row>
    <row r="9123" spans="1:11" ht="40.049999999999997" customHeight="1" x14ac:dyDescent="0.25">
      <c r="A9123" s="11" t="s">
        <v>18208</v>
      </c>
      <c r="B9123" s="11" t="s">
        <v>18208</v>
      </c>
      <c r="C9123" s="11" t="s">
        <v>17</v>
      </c>
      <c r="D9123" s="11" t="s">
        <v>18</v>
      </c>
      <c r="E9123" s="12" t="s">
        <v>266</v>
      </c>
      <c r="F9123" s="12" t="s">
        <v>267</v>
      </c>
      <c r="G9123" s="12" t="s">
        <v>21</v>
      </c>
      <c r="H9123" s="11" t="s">
        <v>63</v>
      </c>
      <c r="I9123" s="13" t="s">
        <v>18211</v>
      </c>
      <c r="J9123" s="14" t="str">
        <f>HYPERLINK("https://www.boe.es/gazeta/dias/1839/01/03/pdfs/GMD-1839-1510.pdf#page=4","Abrir facsímil")</f>
        <v>Abrir facsímil</v>
      </c>
      <c r="K9123" s="12" t="s">
        <v>65</v>
      </c>
    </row>
    <row r="9124" spans="1:11" ht="40.049999999999997" customHeight="1" x14ac:dyDescent="0.25">
      <c r="A9124" s="11" t="s">
        <v>18212</v>
      </c>
      <c r="B9124" s="11" t="s">
        <v>18212</v>
      </c>
      <c r="C9124" s="11" t="s">
        <v>137</v>
      </c>
      <c r="D9124" s="11" t="s">
        <v>18</v>
      </c>
      <c r="E9124" s="12" t="s">
        <v>185</v>
      </c>
      <c r="F9124" s="12" t="s">
        <v>186</v>
      </c>
      <c r="G9124" s="12" t="s">
        <v>40</v>
      </c>
      <c r="H9124" s="11" t="s">
        <v>22</v>
      </c>
      <c r="I9124" s="13" t="s">
        <v>18213</v>
      </c>
      <c r="J9124" s="14" t="str">
        <f>HYPERLINK("https://www.boe.es/gazeta/dias/1839/01/15/pdfs/GMD-1839-1522.pdf#page=2","Abrir facsímil")</f>
        <v>Abrir facsímil</v>
      </c>
      <c r="K9124" s="12" t="s">
        <v>24</v>
      </c>
    </row>
    <row r="9125" spans="1:11" ht="40.049999999999997" customHeight="1" x14ac:dyDescent="0.25">
      <c r="A9125" s="11" t="s">
        <v>18214</v>
      </c>
      <c r="B9125" s="11" t="s">
        <v>18215</v>
      </c>
      <c r="C9125" s="11" t="s">
        <v>17</v>
      </c>
      <c r="D9125" s="11" t="s">
        <v>18</v>
      </c>
      <c r="E9125" s="12" t="s">
        <v>258</v>
      </c>
      <c r="F9125" s="12" t="s">
        <v>259</v>
      </c>
      <c r="G9125" s="12" t="s">
        <v>46</v>
      </c>
      <c r="H9125" s="11" t="s">
        <v>22</v>
      </c>
      <c r="I9125" s="13" t="s">
        <v>18216</v>
      </c>
      <c r="J9125" s="14" t="str">
        <f>HYPERLINK("https://www.boe.es/gazeta/dias/1839/01/02/pdfs/GMD-1839-1509.pdf#page=3","Abrir facsímil")</f>
        <v>Abrir facsímil</v>
      </c>
      <c r="K9125" s="12" t="s">
        <v>24</v>
      </c>
    </row>
    <row r="9126" spans="1:11" ht="40.049999999999997" customHeight="1" x14ac:dyDescent="0.25">
      <c r="A9126" s="11" t="s">
        <v>18217</v>
      </c>
      <c r="B9126" s="11" t="s">
        <v>18218</v>
      </c>
      <c r="C9126" s="11" t="s">
        <v>17</v>
      </c>
      <c r="D9126" s="11" t="s">
        <v>18</v>
      </c>
      <c r="E9126" s="12" t="s">
        <v>1208</v>
      </c>
      <c r="F9126" s="12" t="s">
        <v>1209</v>
      </c>
      <c r="G9126" s="12" t="s">
        <v>21</v>
      </c>
      <c r="H9126" s="11" t="s">
        <v>63</v>
      </c>
      <c r="I9126" s="13" t="s">
        <v>18219</v>
      </c>
      <c r="J9126" s="14" t="str">
        <f>HYPERLINK("https://www.boe.es/gazeta/dias/1839/04/24/pdfs/GMD-1839-1621.pdf#page=4","Abrir facsímil")</f>
        <v>Abrir facsímil</v>
      </c>
      <c r="K9126" s="12" t="s">
        <v>65</v>
      </c>
    </row>
    <row r="9127" spans="1:11" ht="40.049999999999997" customHeight="1" x14ac:dyDescent="0.25">
      <c r="A9127" s="11" t="s">
        <v>18220</v>
      </c>
      <c r="B9127" s="11" t="s">
        <v>18221</v>
      </c>
      <c r="C9127" s="11" t="s">
        <v>101</v>
      </c>
      <c r="D9127" s="11" t="s">
        <v>102</v>
      </c>
      <c r="E9127" s="12" t="s">
        <v>892</v>
      </c>
      <c r="F9127" s="12" t="s">
        <v>893</v>
      </c>
      <c r="G9127" s="12" t="s">
        <v>21</v>
      </c>
      <c r="H9127" s="11" t="s">
        <v>63</v>
      </c>
      <c r="I9127" s="13" t="s">
        <v>18222</v>
      </c>
      <c r="J9127" s="14" t="str">
        <f>HYPERLINK("https://www.boe.es/gazeta/dias/1839/12/28/pdfs/GMD-1839-1875.pdf#page=4","Abrir facsímil")</f>
        <v>Abrir facsímil</v>
      </c>
      <c r="K9127" s="12" t="s">
        <v>65</v>
      </c>
    </row>
    <row r="9128" spans="1:11" ht="40.049999999999997" customHeight="1" x14ac:dyDescent="0.25">
      <c r="A9128" s="11" t="s">
        <v>18223</v>
      </c>
      <c r="B9128" s="11" t="s">
        <v>18224</v>
      </c>
      <c r="C9128" s="11" t="s">
        <v>80</v>
      </c>
      <c r="D9128" s="11" t="s">
        <v>18</v>
      </c>
      <c r="E9128" s="12" t="s">
        <v>168</v>
      </c>
      <c r="F9128" s="12" t="s">
        <v>169</v>
      </c>
      <c r="G9128" s="12" t="s">
        <v>46</v>
      </c>
      <c r="H9128" s="11" t="s">
        <v>63</v>
      </c>
      <c r="I9128" s="13" t="s">
        <v>18225</v>
      </c>
      <c r="J9128" s="14" t="str">
        <f>HYPERLINK("https://www.boe.es/gazeta/dias/1839/07/12/pdfs/GMD-1839-1700.pdf#page=3","Abrir facsímil")</f>
        <v>Abrir facsímil</v>
      </c>
      <c r="K9128" s="12" t="s">
        <v>65</v>
      </c>
    </row>
    <row r="9129" spans="1:11" ht="40.049999999999997" customHeight="1" x14ac:dyDescent="0.25">
      <c r="A9129" s="11" t="s">
        <v>18223</v>
      </c>
      <c r="B9129" s="11" t="s">
        <v>18224</v>
      </c>
      <c r="C9129" s="11" t="s">
        <v>17</v>
      </c>
      <c r="D9129" s="11" t="s">
        <v>18</v>
      </c>
      <c r="E9129" s="12" t="s">
        <v>4108</v>
      </c>
      <c r="F9129" s="12" t="s">
        <v>4109</v>
      </c>
      <c r="G9129" s="12" t="s">
        <v>29</v>
      </c>
      <c r="H9129" s="11" t="s">
        <v>63</v>
      </c>
      <c r="I9129" s="13" t="s">
        <v>18226</v>
      </c>
      <c r="J9129" s="14" t="str">
        <f>HYPERLINK("https://www.boe.es/gazeta/dias/1839/03/23/pdfs/GMD-1839-1589.pdf#page=1","Abrir facsímil")</f>
        <v>Abrir facsímil</v>
      </c>
      <c r="K9129" s="12" t="s">
        <v>65</v>
      </c>
    </row>
    <row r="9130" spans="1:11" ht="40.049999999999997" customHeight="1" x14ac:dyDescent="0.25">
      <c r="A9130" s="11" t="s">
        <v>18227</v>
      </c>
      <c r="B9130" s="11" t="s">
        <v>18228</v>
      </c>
      <c r="C9130" s="11" t="s">
        <v>80</v>
      </c>
      <c r="D9130" s="11" t="s">
        <v>18</v>
      </c>
      <c r="E9130" s="12" t="s">
        <v>230</v>
      </c>
      <c r="F9130" s="12" t="s">
        <v>231</v>
      </c>
      <c r="G9130" s="12" t="s">
        <v>21</v>
      </c>
      <c r="H9130" s="11" t="s">
        <v>63</v>
      </c>
      <c r="I9130" s="13" t="s">
        <v>18229</v>
      </c>
      <c r="J9130" s="14" t="str">
        <f>HYPERLINK("https://www.boe.es/gazeta/dias/1839/09/16/pdfs/GMD-1839-1769.pdf#page=4","Abrir facsímil")</f>
        <v>Abrir facsímil</v>
      </c>
      <c r="K9130" s="12" t="s">
        <v>65</v>
      </c>
    </row>
    <row r="9131" spans="1:11" ht="40.049999999999997" customHeight="1" x14ac:dyDescent="0.25">
      <c r="A9131" s="11" t="s">
        <v>18230</v>
      </c>
      <c r="B9131" s="11" t="s">
        <v>18230</v>
      </c>
      <c r="C9131" s="11" t="s">
        <v>17</v>
      </c>
      <c r="D9131" s="11" t="s">
        <v>18</v>
      </c>
      <c r="E9131" s="12" t="s">
        <v>266</v>
      </c>
      <c r="F9131" s="12" t="s">
        <v>267</v>
      </c>
      <c r="G9131" s="12" t="s">
        <v>21</v>
      </c>
      <c r="H9131" s="11" t="s">
        <v>63</v>
      </c>
      <c r="I9131" s="13" t="s">
        <v>18231</v>
      </c>
      <c r="J9131" s="14" t="str">
        <f>HYPERLINK("https://www.boe.es/gazeta/dias/1839/01/03/pdfs/GMD-1839-1510.pdf#page=4","Abrir facsímil")</f>
        <v>Abrir facsímil</v>
      </c>
      <c r="K9131" s="12" t="s">
        <v>65</v>
      </c>
    </row>
    <row r="9132" spans="1:11" ht="40.049999999999997" customHeight="1" x14ac:dyDescent="0.25">
      <c r="A9132" s="11" t="s">
        <v>18232</v>
      </c>
      <c r="B9132" s="11" t="s">
        <v>18232</v>
      </c>
      <c r="C9132" s="11" t="s">
        <v>17</v>
      </c>
      <c r="D9132" s="11" t="s">
        <v>18</v>
      </c>
      <c r="E9132" s="12" t="s">
        <v>116</v>
      </c>
      <c r="F9132" s="12" t="s">
        <v>117</v>
      </c>
      <c r="G9132" s="12" t="s">
        <v>40</v>
      </c>
      <c r="H9132" s="11" t="s">
        <v>63</v>
      </c>
      <c r="I9132" s="13" t="s">
        <v>18233</v>
      </c>
      <c r="J9132" s="14" t="str">
        <f>HYPERLINK("https://www.boe.es/gazeta/dias/1839/10/10/pdfs/GMD-1839-1796.pdf#page=2","Abrir facsímil")</f>
        <v>Abrir facsímil</v>
      </c>
      <c r="K9132" s="12" t="s">
        <v>65</v>
      </c>
    </row>
    <row r="9133" spans="1:11" ht="40.049999999999997" customHeight="1" x14ac:dyDescent="0.25">
      <c r="A9133" s="11" t="s">
        <v>18234</v>
      </c>
      <c r="B9133" s="11" t="s">
        <v>18234</v>
      </c>
      <c r="C9133" s="11" t="s">
        <v>101</v>
      </c>
      <c r="D9133" s="11" t="s">
        <v>43</v>
      </c>
      <c r="E9133" s="12" t="s">
        <v>555</v>
      </c>
      <c r="F9133" s="12" t="s">
        <v>556</v>
      </c>
      <c r="G9133" s="12" t="s">
        <v>40</v>
      </c>
      <c r="H9133" s="11" t="s">
        <v>63</v>
      </c>
      <c r="I9133" s="13" t="s">
        <v>18235</v>
      </c>
      <c r="J9133" s="14" t="str">
        <f>HYPERLINK("https://www.boe.es/gazeta/dias/1839/07/19/pdfs/GMD-1839-1707.pdf#page=2","Abrir facsímil")</f>
        <v>Abrir facsímil</v>
      </c>
      <c r="K9133" s="12" t="s">
        <v>65</v>
      </c>
    </row>
    <row r="9134" spans="1:11" ht="40.049999999999997" customHeight="1" x14ac:dyDescent="0.25">
      <c r="A9134" s="11" t="s">
        <v>18236</v>
      </c>
      <c r="B9134" s="11" t="s">
        <v>18236</v>
      </c>
      <c r="C9134" s="11" t="s">
        <v>17</v>
      </c>
      <c r="D9134" s="11" t="s">
        <v>18</v>
      </c>
      <c r="E9134" s="12" t="s">
        <v>2138</v>
      </c>
      <c r="F9134" s="12" t="s">
        <v>2139</v>
      </c>
      <c r="G9134" s="12" t="s">
        <v>46</v>
      </c>
      <c r="H9134" s="11" t="s">
        <v>63</v>
      </c>
      <c r="I9134" s="13" t="s">
        <v>18237</v>
      </c>
      <c r="J9134" s="14" t="str">
        <f>HYPERLINK("https://www.boe.es/gazeta/dias/1839/10/02/pdfs/GMD-1839-1788.pdf#page=3","Abrir facsímil")</f>
        <v>Abrir facsímil</v>
      </c>
      <c r="K9134" s="12" t="s">
        <v>65</v>
      </c>
    </row>
    <row r="9135" spans="1:11" ht="40.049999999999997" customHeight="1" x14ac:dyDescent="0.25">
      <c r="A9135" s="11" t="s">
        <v>18236</v>
      </c>
      <c r="B9135" s="11" t="s">
        <v>18236</v>
      </c>
      <c r="C9135" s="11" t="s">
        <v>17</v>
      </c>
      <c r="D9135" s="11" t="s">
        <v>18</v>
      </c>
      <c r="E9135" s="12" t="s">
        <v>2165</v>
      </c>
      <c r="F9135" s="12" t="s">
        <v>2166</v>
      </c>
      <c r="G9135" s="12" t="s">
        <v>46</v>
      </c>
      <c r="H9135" s="11" t="s">
        <v>63</v>
      </c>
      <c r="I9135" s="13" t="s">
        <v>18238</v>
      </c>
      <c r="J9135" s="14" t="str">
        <f>HYPERLINK("https://www.boe.es/gazeta/dias/1839/01/06/pdfs/GMD-1839-1513.pdf#page=3","Abrir facsímil")</f>
        <v>Abrir facsímil</v>
      </c>
      <c r="K9135" s="12" t="s">
        <v>65</v>
      </c>
    </row>
    <row r="9136" spans="1:11" ht="40.049999999999997" customHeight="1" x14ac:dyDescent="0.25">
      <c r="A9136" s="11" t="s">
        <v>18236</v>
      </c>
      <c r="B9136" s="11" t="s">
        <v>18236</v>
      </c>
      <c r="C9136" s="11" t="s">
        <v>17</v>
      </c>
      <c r="D9136" s="11" t="s">
        <v>18</v>
      </c>
      <c r="E9136" s="12" t="s">
        <v>934</v>
      </c>
      <c r="F9136" s="12" t="s">
        <v>935</v>
      </c>
      <c r="G9136" s="12" t="s">
        <v>46</v>
      </c>
      <c r="H9136" s="11" t="s">
        <v>63</v>
      </c>
      <c r="I9136" s="13" t="s">
        <v>18239</v>
      </c>
      <c r="J9136" s="14" t="str">
        <f>HYPERLINK("https://www.boe.es/gazeta/dias/1839/11/07/pdfs/GMD-1839-1824.pdf#page=3","Abrir facsímil")</f>
        <v>Abrir facsímil</v>
      </c>
      <c r="K9136" s="12" t="s">
        <v>65</v>
      </c>
    </row>
    <row r="9137" spans="1:11" ht="40.049999999999997" customHeight="1" x14ac:dyDescent="0.25">
      <c r="A9137" s="11" t="s">
        <v>18236</v>
      </c>
      <c r="B9137" s="11" t="s">
        <v>18236</v>
      </c>
      <c r="C9137" s="11" t="s">
        <v>17</v>
      </c>
      <c r="D9137" s="11" t="s">
        <v>18</v>
      </c>
      <c r="E9137" s="12" t="s">
        <v>647</v>
      </c>
      <c r="F9137" s="12" t="s">
        <v>648</v>
      </c>
      <c r="G9137" s="12" t="s">
        <v>305</v>
      </c>
      <c r="H9137" s="11" t="s">
        <v>63</v>
      </c>
      <c r="I9137" s="13" t="s">
        <v>18240</v>
      </c>
      <c r="J9137" s="14" t="str">
        <f>HYPERLINK("https://www.boe.es/gazeta/dias/1839/10/08/pdfs/GMD-1839-1794.pdf#page=6","Abrir facsímil")</f>
        <v>Abrir facsímil</v>
      </c>
      <c r="K9137" s="12" t="s">
        <v>65</v>
      </c>
    </row>
    <row r="9138" spans="1:11" ht="40.049999999999997" customHeight="1" x14ac:dyDescent="0.25">
      <c r="A9138" s="11" t="s">
        <v>18236</v>
      </c>
      <c r="B9138" s="11" t="s">
        <v>18236</v>
      </c>
      <c r="C9138" s="11" t="s">
        <v>17</v>
      </c>
      <c r="D9138" s="11" t="s">
        <v>18</v>
      </c>
      <c r="E9138" s="12" t="s">
        <v>647</v>
      </c>
      <c r="F9138" s="12" t="s">
        <v>648</v>
      </c>
      <c r="G9138" s="12" t="s">
        <v>5567</v>
      </c>
      <c r="H9138" s="11" t="s">
        <v>63</v>
      </c>
      <c r="I9138" s="13" t="s">
        <v>18241</v>
      </c>
      <c r="J9138" s="14" t="str">
        <f>HYPERLINK("https://www.boe.es/gazeta/dias/1839/10/08/pdfs/GMD-1839-1794.pdf#page=7","Abrir facsímil")</f>
        <v>Abrir facsímil</v>
      </c>
      <c r="K9138" s="12" t="s">
        <v>65</v>
      </c>
    </row>
    <row r="9139" spans="1:11" ht="40.049999999999997" customHeight="1" x14ac:dyDescent="0.25">
      <c r="A9139" s="11" t="s">
        <v>18242</v>
      </c>
      <c r="B9139" s="11" t="s">
        <v>18242</v>
      </c>
      <c r="C9139" s="11" t="s">
        <v>17</v>
      </c>
      <c r="D9139" s="11" t="s">
        <v>18</v>
      </c>
      <c r="E9139" s="12" t="s">
        <v>1366</v>
      </c>
      <c r="F9139" s="12" t="s">
        <v>1367</v>
      </c>
      <c r="G9139" s="12" t="s">
        <v>46</v>
      </c>
      <c r="H9139" s="11" t="s">
        <v>22</v>
      </c>
      <c r="I9139" s="13" t="s">
        <v>18243</v>
      </c>
      <c r="J9139" s="14" t="str">
        <f>HYPERLINK("https://www.boe.es/gazeta/dias/1839/09/09/pdfs/GMD-1839-1762.pdf#page=3","Abrir facsímil")</f>
        <v>Abrir facsímil</v>
      </c>
      <c r="K9139" s="12" t="s">
        <v>24</v>
      </c>
    </row>
    <row r="9140" spans="1:11" ht="40.049999999999997" customHeight="1" x14ac:dyDescent="0.25">
      <c r="A9140" s="11" t="s">
        <v>18242</v>
      </c>
      <c r="B9140" s="11" t="s">
        <v>18242</v>
      </c>
      <c r="C9140" s="11" t="s">
        <v>17</v>
      </c>
      <c r="D9140" s="11" t="s">
        <v>43</v>
      </c>
      <c r="E9140" s="12" t="s">
        <v>269</v>
      </c>
      <c r="F9140" s="12" t="s">
        <v>270</v>
      </c>
      <c r="G9140" s="12" t="s">
        <v>46</v>
      </c>
      <c r="H9140" s="11" t="s">
        <v>22</v>
      </c>
      <c r="I9140" s="13" t="s">
        <v>18244</v>
      </c>
      <c r="J9140" s="14" t="str">
        <f>HYPERLINK("https://www.boe.es/gazeta/dias/1839/02/10/pdfs/GMD-1839-1548.pdf#page=3","Abrir facsímil")</f>
        <v>Abrir facsímil</v>
      </c>
      <c r="K9140" s="12" t="s">
        <v>24</v>
      </c>
    </row>
    <row r="9141" spans="1:11" ht="40.049999999999997" customHeight="1" x14ac:dyDescent="0.25">
      <c r="A9141" s="11" t="s">
        <v>18236</v>
      </c>
      <c r="B9141" s="11" t="s">
        <v>18236</v>
      </c>
      <c r="C9141" s="11" t="s">
        <v>17</v>
      </c>
      <c r="D9141" s="11" t="s">
        <v>18</v>
      </c>
      <c r="E9141" s="12" t="s">
        <v>61</v>
      </c>
      <c r="F9141" s="12" t="s">
        <v>62</v>
      </c>
      <c r="G9141" s="12" t="s">
        <v>40</v>
      </c>
      <c r="H9141" s="11" t="s">
        <v>63</v>
      </c>
      <c r="I9141" s="13" t="s">
        <v>18245</v>
      </c>
      <c r="J9141" s="14" t="str">
        <f>HYPERLINK("https://www.boe.es/gazeta/dias/1839/09/10/pdfs/GMD-1839-1763.pdf#page=2","Abrir facsímil")</f>
        <v>Abrir facsímil</v>
      </c>
      <c r="K9141" s="12" t="s">
        <v>65</v>
      </c>
    </row>
    <row r="9142" spans="1:11" ht="40.049999999999997" customHeight="1" x14ac:dyDescent="0.25">
      <c r="A9142" s="11" t="s">
        <v>18236</v>
      </c>
      <c r="B9142" s="11" t="s">
        <v>18236</v>
      </c>
      <c r="C9142" s="11" t="s">
        <v>17</v>
      </c>
      <c r="D9142" s="11" t="s">
        <v>18</v>
      </c>
      <c r="E9142" s="12" t="s">
        <v>61</v>
      </c>
      <c r="F9142" s="12" t="s">
        <v>62</v>
      </c>
      <c r="G9142" s="12" t="s">
        <v>46</v>
      </c>
      <c r="H9142" s="11" t="s">
        <v>63</v>
      </c>
      <c r="I9142" s="13" t="s">
        <v>18246</v>
      </c>
      <c r="J9142" s="14" t="str">
        <f>HYPERLINK("https://www.boe.es/gazeta/dias/1839/09/10/pdfs/GMD-1839-1763.pdf#page=3","Abrir facsímil")</f>
        <v>Abrir facsímil</v>
      </c>
      <c r="K9142" s="12" t="s">
        <v>65</v>
      </c>
    </row>
    <row r="9143" spans="1:11" ht="40.049999999999997" customHeight="1" x14ac:dyDescent="0.25">
      <c r="A9143" s="11" t="s">
        <v>18242</v>
      </c>
      <c r="B9143" s="11" t="s">
        <v>18242</v>
      </c>
      <c r="C9143" s="11" t="s">
        <v>17</v>
      </c>
      <c r="D9143" s="11" t="s">
        <v>18</v>
      </c>
      <c r="E9143" s="12" t="s">
        <v>723</v>
      </c>
      <c r="F9143" s="12" t="s">
        <v>724</v>
      </c>
      <c r="G9143" s="12" t="s">
        <v>46</v>
      </c>
      <c r="H9143" s="11" t="s">
        <v>22</v>
      </c>
      <c r="I9143" s="13" t="s">
        <v>18247</v>
      </c>
      <c r="J9143" s="14" t="str">
        <f>HYPERLINK("https://www.boe.es/gazeta/dias/1839/09/26/pdfs/GMD-1839-1782.pdf#page=3","Abrir facsímil")</f>
        <v>Abrir facsímil</v>
      </c>
      <c r="K9143" s="12" t="s">
        <v>24</v>
      </c>
    </row>
    <row r="9144" spans="1:11" ht="40.049999999999997" customHeight="1" x14ac:dyDescent="0.25">
      <c r="A9144" s="11" t="s">
        <v>18242</v>
      </c>
      <c r="B9144" s="11" t="s">
        <v>18242</v>
      </c>
      <c r="C9144" s="11" t="s">
        <v>17</v>
      </c>
      <c r="D9144" s="11" t="s">
        <v>18</v>
      </c>
      <c r="E9144" s="12" t="s">
        <v>571</v>
      </c>
      <c r="F9144" s="12" t="s">
        <v>572</v>
      </c>
      <c r="G9144" s="12" t="s">
        <v>46</v>
      </c>
      <c r="H9144" s="11" t="s">
        <v>22</v>
      </c>
      <c r="I9144" s="13" t="s">
        <v>18248</v>
      </c>
      <c r="J9144" s="14" t="str">
        <f>HYPERLINK("https://www.boe.es/gazeta/dias/1839/09/27/pdfs/GMD-1839-1783.pdf#page=3","Abrir facsímil")</f>
        <v>Abrir facsímil</v>
      </c>
      <c r="K9144" s="12" t="s">
        <v>24</v>
      </c>
    </row>
    <row r="9145" spans="1:11" ht="40.049999999999997" customHeight="1" x14ac:dyDescent="0.25">
      <c r="A9145" s="11" t="s">
        <v>18242</v>
      </c>
      <c r="B9145" s="11" t="s">
        <v>18242</v>
      </c>
      <c r="C9145" s="11" t="s">
        <v>17</v>
      </c>
      <c r="D9145" s="11" t="s">
        <v>18</v>
      </c>
      <c r="E9145" s="12" t="s">
        <v>574</v>
      </c>
      <c r="F9145" s="12" t="s">
        <v>575</v>
      </c>
      <c r="G9145" s="12" t="s">
        <v>40</v>
      </c>
      <c r="H9145" s="11" t="s">
        <v>22</v>
      </c>
      <c r="I9145" s="13" t="s">
        <v>18249</v>
      </c>
      <c r="J9145" s="14" t="str">
        <f>HYPERLINK("https://www.boe.es/gazeta/dias/1839/09/28/pdfs/GMD-1839-1784.pdf#page=2","Abrir facsímil")</f>
        <v>Abrir facsímil</v>
      </c>
      <c r="K9145" s="12" t="s">
        <v>24</v>
      </c>
    </row>
    <row r="9146" spans="1:11" ht="40.049999999999997" customHeight="1" x14ac:dyDescent="0.25">
      <c r="A9146" s="11" t="s">
        <v>18250</v>
      </c>
      <c r="B9146" s="11" t="s">
        <v>18251</v>
      </c>
      <c r="C9146" s="11" t="s">
        <v>17</v>
      </c>
      <c r="D9146" s="11" t="s">
        <v>18</v>
      </c>
      <c r="E9146" s="12" t="s">
        <v>621</v>
      </c>
      <c r="F9146" s="12" t="s">
        <v>622</v>
      </c>
      <c r="G9146" s="12" t="s">
        <v>29</v>
      </c>
      <c r="H9146" s="11" t="s">
        <v>63</v>
      </c>
      <c r="I9146" s="13" t="s">
        <v>18252</v>
      </c>
      <c r="J9146" s="14" t="str">
        <f>HYPERLINK("https://www.boe.es/gazeta/dias/1839/04/14/pdfs/GMD-1839-1611.pdf#page=1","Abrir facsímil")</f>
        <v>Abrir facsímil</v>
      </c>
      <c r="K9146" s="12" t="s">
        <v>65</v>
      </c>
    </row>
    <row r="9147" spans="1:11" ht="40.049999999999997" customHeight="1" x14ac:dyDescent="0.25">
      <c r="A9147" s="11" t="s">
        <v>18253</v>
      </c>
      <c r="B9147" s="11" t="s">
        <v>18254</v>
      </c>
      <c r="C9147" s="11" t="s">
        <v>137</v>
      </c>
      <c r="D9147" s="11" t="s">
        <v>18</v>
      </c>
      <c r="E9147" s="12" t="s">
        <v>76</v>
      </c>
      <c r="F9147" s="12" t="s">
        <v>77</v>
      </c>
      <c r="G9147" s="12" t="s">
        <v>46</v>
      </c>
      <c r="H9147" s="11" t="s">
        <v>22</v>
      </c>
      <c r="I9147" s="13" t="s">
        <v>18255</v>
      </c>
      <c r="J9147" s="14" t="str">
        <f>HYPERLINK("https://www.boe.es/gazeta/dias/1839/03/13/pdfs/GMD-1839-1579.pdf#page=3","Abrir facsímil")</f>
        <v>Abrir facsímil</v>
      </c>
      <c r="K9147" s="12" t="s">
        <v>24</v>
      </c>
    </row>
    <row r="9148" spans="1:11" ht="40.049999999999997" customHeight="1" x14ac:dyDescent="0.25">
      <c r="A9148" s="11" t="s">
        <v>18256</v>
      </c>
      <c r="B9148" s="11" t="s">
        <v>18257</v>
      </c>
      <c r="C9148" s="11" t="s">
        <v>17</v>
      </c>
      <c r="D9148" s="11" t="s">
        <v>18</v>
      </c>
      <c r="E9148" s="12" t="s">
        <v>883</v>
      </c>
      <c r="F9148" s="12" t="s">
        <v>884</v>
      </c>
      <c r="G9148" s="12" t="s">
        <v>46</v>
      </c>
      <c r="H9148" s="11" t="s">
        <v>63</v>
      </c>
      <c r="I9148" s="13" t="s">
        <v>18258</v>
      </c>
      <c r="J9148" s="14" t="str">
        <f>HYPERLINK("https://www.boe.es/gazeta/dias/1839/11/03/pdfs/GMD-1839-1820.pdf#page=3","Abrir facsímil")</f>
        <v>Abrir facsímil</v>
      </c>
      <c r="K9148" s="12" t="s">
        <v>65</v>
      </c>
    </row>
    <row r="9149" spans="1:11" ht="40.049999999999997" customHeight="1" x14ac:dyDescent="0.25">
      <c r="A9149" s="11" t="s">
        <v>18256</v>
      </c>
      <c r="B9149" s="11" t="s">
        <v>18257</v>
      </c>
      <c r="C9149" s="11" t="s">
        <v>17</v>
      </c>
      <c r="D9149" s="11" t="s">
        <v>18</v>
      </c>
      <c r="E9149" s="12" t="s">
        <v>138</v>
      </c>
      <c r="F9149" s="12" t="s">
        <v>139</v>
      </c>
      <c r="G9149" s="12" t="s">
        <v>21</v>
      </c>
      <c r="H9149" s="11" t="s">
        <v>63</v>
      </c>
      <c r="I9149" s="13" t="s">
        <v>18259</v>
      </c>
      <c r="J9149" s="14" t="str">
        <f>HYPERLINK("https://www.boe.es/gazeta/dias/1839/10/09/pdfs/GMD-1839-1795.pdf#page=4","Abrir facsímil")</f>
        <v>Abrir facsímil</v>
      </c>
      <c r="K9149" s="12" t="s">
        <v>65</v>
      </c>
    </row>
    <row r="9150" spans="1:11" ht="40.049999999999997" customHeight="1" x14ac:dyDescent="0.25">
      <c r="A9150" s="11" t="s">
        <v>18256</v>
      </c>
      <c r="B9150" s="11" t="s">
        <v>18257</v>
      </c>
      <c r="C9150" s="11" t="s">
        <v>17</v>
      </c>
      <c r="D9150" s="11" t="s">
        <v>18</v>
      </c>
      <c r="E9150" s="12" t="s">
        <v>1149</v>
      </c>
      <c r="F9150" s="12" t="s">
        <v>1150</v>
      </c>
      <c r="G9150" s="12" t="s">
        <v>21</v>
      </c>
      <c r="H9150" s="11" t="s">
        <v>63</v>
      </c>
      <c r="I9150" s="13" t="s">
        <v>18260</v>
      </c>
      <c r="J9150" s="14" t="str">
        <f>HYPERLINK("https://www.boe.es/gazeta/dias/1839/06/25/pdfs/GMD-1839-1683.pdf#page=4","Abrir facsímil")</f>
        <v>Abrir facsímil</v>
      </c>
      <c r="K9150" s="12" t="s">
        <v>65</v>
      </c>
    </row>
    <row r="9151" spans="1:11" ht="40.049999999999997" customHeight="1" x14ac:dyDescent="0.25">
      <c r="A9151" s="11" t="s">
        <v>18261</v>
      </c>
      <c r="B9151" s="11" t="s">
        <v>18261</v>
      </c>
      <c r="C9151" s="11" t="s">
        <v>17</v>
      </c>
      <c r="D9151" s="11" t="s">
        <v>18</v>
      </c>
      <c r="E9151" s="12" t="s">
        <v>2658</v>
      </c>
      <c r="F9151" s="12" t="s">
        <v>2659</v>
      </c>
      <c r="G9151" s="12" t="s">
        <v>21</v>
      </c>
      <c r="H9151" s="11" t="s">
        <v>63</v>
      </c>
      <c r="I9151" s="13" t="s">
        <v>18262</v>
      </c>
      <c r="J9151" s="14" t="str">
        <f>HYPERLINK("https://www.boe.es/gazeta/dias/1839/06/27/pdfs/GMD-1839-1685.pdf#page=4","Abrir facsímil")</f>
        <v>Abrir facsímil</v>
      </c>
      <c r="K9151" s="12" t="s">
        <v>65</v>
      </c>
    </row>
    <row r="9152" spans="1:11" ht="40.049999999999997" customHeight="1" x14ac:dyDescent="0.25">
      <c r="A9152" s="11" t="s">
        <v>18263</v>
      </c>
      <c r="B9152" s="11" t="s">
        <v>18263</v>
      </c>
      <c r="C9152" s="11" t="s">
        <v>80</v>
      </c>
      <c r="D9152" s="11" t="s">
        <v>18</v>
      </c>
      <c r="E9152" s="12" t="s">
        <v>1813</v>
      </c>
      <c r="F9152" s="12" t="s">
        <v>1814</v>
      </c>
      <c r="G9152" s="12" t="s">
        <v>40</v>
      </c>
      <c r="H9152" s="11" t="s">
        <v>63</v>
      </c>
      <c r="I9152" s="13" t="s">
        <v>18264</v>
      </c>
      <c r="J9152" s="14" t="str">
        <f>HYPERLINK("https://www.boe.es/gazeta/dias/1839/09/02/pdfs/GMD-1839-1754.pdf#page=2","Abrir facsímil")</f>
        <v>Abrir facsímil</v>
      </c>
      <c r="K9152" s="12" t="s">
        <v>65</v>
      </c>
    </row>
    <row r="9153" spans="1:11" ht="40.049999999999997" customHeight="1" x14ac:dyDescent="0.25">
      <c r="A9153" s="11" t="s">
        <v>18265</v>
      </c>
      <c r="B9153" s="11" t="s">
        <v>18265</v>
      </c>
      <c r="C9153" s="11" t="s">
        <v>80</v>
      </c>
      <c r="D9153" s="11" t="s">
        <v>18</v>
      </c>
      <c r="E9153" s="12" t="s">
        <v>103</v>
      </c>
      <c r="F9153" s="12" t="s">
        <v>104</v>
      </c>
      <c r="G9153" s="12" t="s">
        <v>21</v>
      </c>
      <c r="H9153" s="11" t="s">
        <v>63</v>
      </c>
      <c r="I9153" s="13" t="s">
        <v>18266</v>
      </c>
      <c r="J9153" s="14" t="str">
        <f>HYPERLINK("https://www.boe.es/gazeta/dias/1839/10/12/pdfs/GMD-1839-1798.pdf#page=4","Abrir facsímil")</f>
        <v>Abrir facsímil</v>
      </c>
      <c r="K9153" s="12" t="s">
        <v>65</v>
      </c>
    </row>
    <row r="9154" spans="1:11" ht="40.049999999999997" customHeight="1" x14ac:dyDescent="0.25">
      <c r="A9154" s="11" t="s">
        <v>18265</v>
      </c>
      <c r="B9154" s="11" t="s">
        <v>18265</v>
      </c>
      <c r="C9154" s="11" t="s">
        <v>17</v>
      </c>
      <c r="D9154" s="11" t="s">
        <v>18</v>
      </c>
      <c r="E9154" s="12" t="s">
        <v>2658</v>
      </c>
      <c r="F9154" s="12" t="s">
        <v>2659</v>
      </c>
      <c r="G9154" s="12" t="s">
        <v>21</v>
      </c>
      <c r="H9154" s="11" t="s">
        <v>63</v>
      </c>
      <c r="I9154" s="13" t="s">
        <v>18267</v>
      </c>
      <c r="J9154" s="14" t="str">
        <f>HYPERLINK("https://www.boe.es/gazeta/dias/1839/06/27/pdfs/GMD-1839-1685.pdf#page=4","Abrir facsímil")</f>
        <v>Abrir facsímil</v>
      </c>
      <c r="K9154" s="12" t="s">
        <v>65</v>
      </c>
    </row>
    <row r="9155" spans="1:11" ht="40.049999999999997" customHeight="1" x14ac:dyDescent="0.25">
      <c r="A9155" s="11" t="s">
        <v>18268</v>
      </c>
      <c r="B9155" s="11" t="s">
        <v>18268</v>
      </c>
      <c r="C9155" s="11" t="s">
        <v>137</v>
      </c>
      <c r="D9155" s="11" t="s">
        <v>18</v>
      </c>
      <c r="E9155" s="12" t="s">
        <v>3289</v>
      </c>
      <c r="F9155" s="12" t="s">
        <v>3290</v>
      </c>
      <c r="G9155" s="12" t="s">
        <v>29</v>
      </c>
      <c r="H9155" s="11" t="s">
        <v>63</v>
      </c>
      <c r="I9155" s="13" t="s">
        <v>18269</v>
      </c>
      <c r="J9155" s="14" t="str">
        <f>HYPERLINK("https://www.boe.es/gazeta/dias/1839/12/10/pdfs/GMD-1839-1857.pdf#page=1","Abrir facsímil")</f>
        <v>Abrir facsímil</v>
      </c>
      <c r="K9155" s="12" t="s">
        <v>65</v>
      </c>
    </row>
    <row r="9156" spans="1:11" ht="40.049999999999997" customHeight="1" x14ac:dyDescent="0.25">
      <c r="A9156" s="11" t="s">
        <v>18268</v>
      </c>
      <c r="B9156" s="11" t="s">
        <v>18268</v>
      </c>
      <c r="C9156" s="11" t="s">
        <v>59</v>
      </c>
      <c r="D9156" s="11" t="s">
        <v>60</v>
      </c>
      <c r="E9156" s="12" t="s">
        <v>992</v>
      </c>
      <c r="F9156" s="12" t="s">
        <v>993</v>
      </c>
      <c r="G9156" s="12" t="s">
        <v>46</v>
      </c>
      <c r="H9156" s="11" t="s">
        <v>63</v>
      </c>
      <c r="I9156" s="13" t="s">
        <v>18270</v>
      </c>
      <c r="J9156" s="14" t="str">
        <f>HYPERLINK("https://www.boe.es/gazeta/dias/1839/02/18/pdfs/GMD-1839-1556.pdf#page=3","Abrir facsímil")</f>
        <v>Abrir facsímil</v>
      </c>
      <c r="K9156" s="12" t="s">
        <v>65</v>
      </c>
    </row>
    <row r="9157" spans="1:11" ht="40.049999999999997" customHeight="1" x14ac:dyDescent="0.25">
      <c r="A9157" s="11" t="s">
        <v>18268</v>
      </c>
      <c r="B9157" s="11" t="s">
        <v>18268</v>
      </c>
      <c r="C9157" s="11" t="s">
        <v>101</v>
      </c>
      <c r="D9157" s="11" t="s">
        <v>43</v>
      </c>
      <c r="E9157" s="12" t="s">
        <v>1679</v>
      </c>
      <c r="F9157" s="12" t="s">
        <v>1680</v>
      </c>
      <c r="G9157" s="12" t="s">
        <v>46</v>
      </c>
      <c r="H9157" s="11" t="s">
        <v>63</v>
      </c>
      <c r="I9157" s="13" t="s">
        <v>18271</v>
      </c>
      <c r="J9157" s="14" t="str">
        <f>HYPERLINK("https://www.boe.es/gazeta/dias/1839/01/26/pdfs/GMD-1839-1533.pdf#page=3","Abrir facsímil")</f>
        <v>Abrir facsímil</v>
      </c>
      <c r="K9157" s="12" t="s">
        <v>65</v>
      </c>
    </row>
    <row r="9158" spans="1:11" ht="40.049999999999997" customHeight="1" x14ac:dyDescent="0.25">
      <c r="A9158" s="11" t="s">
        <v>18272</v>
      </c>
      <c r="B9158" s="11" t="s">
        <v>18272</v>
      </c>
      <c r="C9158" s="11" t="s">
        <v>17</v>
      </c>
      <c r="D9158" s="11" t="s">
        <v>18</v>
      </c>
      <c r="E9158" s="12" t="s">
        <v>438</v>
      </c>
      <c r="F9158" s="12" t="s">
        <v>439</v>
      </c>
      <c r="G9158" s="12" t="s">
        <v>29</v>
      </c>
      <c r="H9158" s="11" t="s">
        <v>63</v>
      </c>
      <c r="I9158" s="13" t="s">
        <v>18273</v>
      </c>
      <c r="J9158" s="14" t="str">
        <f>HYPERLINK("https://www.boe.es/gazeta/dias/1839/07/17/pdfs/GMD-1839-1705.pdf#page=1","Abrir facsímil")</f>
        <v>Abrir facsímil</v>
      </c>
      <c r="K9158" s="12" t="s">
        <v>65</v>
      </c>
    </row>
    <row r="9159" spans="1:11" ht="40.049999999999997" customHeight="1" x14ac:dyDescent="0.25">
      <c r="A9159" s="11" t="s">
        <v>18274</v>
      </c>
      <c r="B9159" s="11" t="s">
        <v>18274</v>
      </c>
      <c r="C9159" s="11" t="s">
        <v>17</v>
      </c>
      <c r="D9159" s="11" t="s">
        <v>18</v>
      </c>
      <c r="E9159" s="12" t="s">
        <v>1474</v>
      </c>
      <c r="F9159" s="12" t="s">
        <v>1475</v>
      </c>
      <c r="G9159" s="12" t="s">
        <v>46</v>
      </c>
      <c r="H9159" s="11" t="s">
        <v>63</v>
      </c>
      <c r="I9159" s="13" t="s">
        <v>18275</v>
      </c>
      <c r="J9159" s="14" t="str">
        <f>HYPERLINK("https://www.boe.es/gazeta/dias/1839/02/28/pdfs/GMD-1839-1566.pdf#page=3","Abrir facsímil")</f>
        <v>Abrir facsímil</v>
      </c>
      <c r="K9159" s="12" t="s">
        <v>65</v>
      </c>
    </row>
    <row r="9160" spans="1:11" ht="40.049999999999997" customHeight="1" x14ac:dyDescent="0.25">
      <c r="A9160" s="11" t="s">
        <v>18276</v>
      </c>
      <c r="B9160" s="11" t="s">
        <v>18277</v>
      </c>
      <c r="C9160" s="11" t="s">
        <v>17</v>
      </c>
      <c r="D9160" s="11" t="s">
        <v>18</v>
      </c>
      <c r="E9160" s="12" t="s">
        <v>38</v>
      </c>
      <c r="F9160" s="12" t="s">
        <v>39</v>
      </c>
      <c r="G9160" s="12" t="s">
        <v>40</v>
      </c>
      <c r="H9160" s="11" t="s">
        <v>63</v>
      </c>
      <c r="I9160" s="13" t="s">
        <v>18278</v>
      </c>
      <c r="J9160" s="14" t="str">
        <f>HYPERLINK("https://www.boe.es/gazeta/dias/1839/08/08/pdfs/GMD-1839-1728.pdf#page=2","Abrir facsímil")</f>
        <v>Abrir facsímil</v>
      </c>
      <c r="K9160" s="12" t="s">
        <v>65</v>
      </c>
    </row>
    <row r="9161" spans="1:11" ht="40.049999999999997" customHeight="1" x14ac:dyDescent="0.25">
      <c r="A9161" s="11" t="s">
        <v>18279</v>
      </c>
      <c r="B9161" s="11" t="s">
        <v>18280</v>
      </c>
      <c r="C9161" s="11" t="s">
        <v>17</v>
      </c>
      <c r="D9161" s="11" t="s">
        <v>18</v>
      </c>
      <c r="E9161" s="12" t="s">
        <v>2069</v>
      </c>
      <c r="F9161" s="12" t="s">
        <v>2070</v>
      </c>
      <c r="G9161" s="12" t="s">
        <v>29</v>
      </c>
      <c r="H9161" s="11" t="s">
        <v>63</v>
      </c>
      <c r="I9161" s="13" t="s">
        <v>18281</v>
      </c>
      <c r="J9161" s="14" t="str">
        <f>HYPERLINK("https://www.boe.es/gazeta/dias/1839/10/20/pdfs/GMD-1839-1806.pdf#page=1","Abrir facsímil")</f>
        <v>Abrir facsímil</v>
      </c>
      <c r="K9161" s="12" t="s">
        <v>65</v>
      </c>
    </row>
    <row r="9162" spans="1:11" ht="40.049999999999997" customHeight="1" x14ac:dyDescent="0.25">
      <c r="A9162" s="11" t="s">
        <v>18282</v>
      </c>
      <c r="B9162" s="11" t="s">
        <v>18283</v>
      </c>
      <c r="C9162" s="11" t="s">
        <v>101</v>
      </c>
      <c r="D9162" s="11" t="s">
        <v>43</v>
      </c>
      <c r="E9162" s="12" t="s">
        <v>903</v>
      </c>
      <c r="F9162" s="12" t="s">
        <v>904</v>
      </c>
      <c r="G9162" s="12" t="s">
        <v>40</v>
      </c>
      <c r="H9162" s="11" t="s">
        <v>63</v>
      </c>
      <c r="I9162" s="13" t="s">
        <v>18284</v>
      </c>
      <c r="J9162" s="14" t="str">
        <f>HYPERLINK("https://www.boe.es/gazeta/dias/1839/03/14/pdfs/GMD-1839-1580.pdf#page=2","Abrir facsímil")</f>
        <v>Abrir facsímil</v>
      </c>
      <c r="K9162" s="12" t="s">
        <v>65</v>
      </c>
    </row>
    <row r="9163" spans="1:11" ht="40.049999999999997" customHeight="1" x14ac:dyDescent="0.25">
      <c r="A9163" s="11" t="s">
        <v>18285</v>
      </c>
      <c r="B9163" s="11" t="s">
        <v>18285</v>
      </c>
      <c r="C9163" s="11" t="s">
        <v>101</v>
      </c>
      <c r="D9163" s="11" t="s">
        <v>102</v>
      </c>
      <c r="E9163" s="12" t="s">
        <v>4189</v>
      </c>
      <c r="F9163" s="12" t="s">
        <v>4190</v>
      </c>
      <c r="G9163" s="12" t="s">
        <v>40</v>
      </c>
      <c r="H9163" s="11" t="s">
        <v>63</v>
      </c>
      <c r="I9163" s="13" t="s">
        <v>18286</v>
      </c>
      <c r="J9163" s="14" t="str">
        <f>HYPERLINK("https://www.boe.es/gazeta/dias/1839/02/13/pdfs/GMD-1839-1551.pdf#page=2","Abrir facsímil")</f>
        <v>Abrir facsímil</v>
      </c>
      <c r="K9163" s="12" t="s">
        <v>65</v>
      </c>
    </row>
    <row r="9164" spans="1:11" ht="40.049999999999997" customHeight="1" x14ac:dyDescent="0.25">
      <c r="A9164" s="11" t="s">
        <v>18285</v>
      </c>
      <c r="B9164" s="11" t="s">
        <v>18285</v>
      </c>
      <c r="C9164" s="11" t="s">
        <v>137</v>
      </c>
      <c r="D9164" s="11" t="s">
        <v>18</v>
      </c>
      <c r="E9164" s="12" t="s">
        <v>903</v>
      </c>
      <c r="F9164" s="12" t="s">
        <v>904</v>
      </c>
      <c r="G9164" s="12" t="s">
        <v>40</v>
      </c>
      <c r="H9164" s="11" t="s">
        <v>63</v>
      </c>
      <c r="I9164" s="13" t="s">
        <v>18287</v>
      </c>
      <c r="J9164" s="14" t="str">
        <f>HYPERLINK("https://www.boe.es/gazeta/dias/1839/03/14/pdfs/GMD-1839-1580.pdf#page=2","Abrir facsímil")</f>
        <v>Abrir facsímil</v>
      </c>
      <c r="K9164" s="12" t="s">
        <v>65</v>
      </c>
    </row>
    <row r="9165" spans="1:11" ht="40.049999999999997" customHeight="1" x14ac:dyDescent="0.25">
      <c r="A9165" s="11" t="s">
        <v>18285</v>
      </c>
      <c r="B9165" s="11" t="s">
        <v>18285</v>
      </c>
      <c r="C9165" s="11" t="s">
        <v>17</v>
      </c>
      <c r="D9165" s="11" t="s">
        <v>18</v>
      </c>
      <c r="E9165" s="12" t="s">
        <v>888</v>
      </c>
      <c r="F9165" s="12" t="s">
        <v>889</v>
      </c>
      <c r="G9165" s="12" t="s">
        <v>40</v>
      </c>
      <c r="H9165" s="11" t="s">
        <v>63</v>
      </c>
      <c r="I9165" s="13" t="s">
        <v>18288</v>
      </c>
      <c r="J9165" s="14" t="str">
        <f>HYPERLINK("https://www.boe.es/gazeta/dias/1839/05/14/pdfs/GMD-1839-1641.pdf#page=2","Abrir facsímil")</f>
        <v>Abrir facsímil</v>
      </c>
      <c r="K9165" s="12" t="s">
        <v>65</v>
      </c>
    </row>
    <row r="9166" spans="1:11" ht="40.049999999999997" customHeight="1" x14ac:dyDescent="0.25">
      <c r="A9166" s="11" t="s">
        <v>18285</v>
      </c>
      <c r="B9166" s="11" t="s">
        <v>18285</v>
      </c>
      <c r="C9166" s="11" t="s">
        <v>17</v>
      </c>
      <c r="D9166" s="11" t="s">
        <v>18</v>
      </c>
      <c r="E9166" s="12" t="s">
        <v>438</v>
      </c>
      <c r="F9166" s="12" t="s">
        <v>439</v>
      </c>
      <c r="G9166" s="12" t="s">
        <v>29</v>
      </c>
      <c r="H9166" s="11" t="s">
        <v>63</v>
      </c>
      <c r="I9166" s="13" t="s">
        <v>18289</v>
      </c>
      <c r="J9166" s="14" t="str">
        <f>HYPERLINK("https://www.boe.es/gazeta/dias/1839/07/17/pdfs/GMD-1839-1705.pdf#page=1","Abrir facsímil")</f>
        <v>Abrir facsímil</v>
      </c>
      <c r="K9166" s="12" t="s">
        <v>65</v>
      </c>
    </row>
    <row r="9167" spans="1:11" ht="40.049999999999997" customHeight="1" x14ac:dyDescent="0.25">
      <c r="A9167" s="11" t="s">
        <v>18285</v>
      </c>
      <c r="B9167" s="11" t="s">
        <v>18285</v>
      </c>
      <c r="C9167" s="11" t="s">
        <v>17</v>
      </c>
      <c r="D9167" s="11" t="s">
        <v>18</v>
      </c>
      <c r="E9167" s="12" t="s">
        <v>1729</v>
      </c>
      <c r="F9167" s="12" t="s">
        <v>1730</v>
      </c>
      <c r="G9167" s="12" t="s">
        <v>46</v>
      </c>
      <c r="H9167" s="11" t="s">
        <v>63</v>
      </c>
      <c r="I9167" s="13" t="s">
        <v>18290</v>
      </c>
      <c r="J9167" s="14" t="str">
        <f>HYPERLINK("https://www.boe.es/gazeta/dias/1839/04/25/pdfs/GMD-1839-1622.pdf#page=3","Abrir facsímil")</f>
        <v>Abrir facsímil</v>
      </c>
      <c r="K9167" s="12" t="s">
        <v>65</v>
      </c>
    </row>
    <row r="9168" spans="1:11" ht="40.049999999999997" customHeight="1" x14ac:dyDescent="0.25">
      <c r="A9168" s="11" t="s">
        <v>18291</v>
      </c>
      <c r="B9168" s="11" t="s">
        <v>18291</v>
      </c>
      <c r="C9168" s="11" t="s">
        <v>17</v>
      </c>
      <c r="D9168" s="11" t="s">
        <v>18</v>
      </c>
      <c r="E9168" s="12" t="s">
        <v>2463</v>
      </c>
      <c r="F9168" s="12" t="s">
        <v>2464</v>
      </c>
      <c r="G9168" s="12" t="s">
        <v>40</v>
      </c>
      <c r="H9168" s="11" t="s">
        <v>63</v>
      </c>
      <c r="I9168" s="13" t="s">
        <v>18292</v>
      </c>
      <c r="J9168" s="14" t="str">
        <f>HYPERLINK("https://www.boe.es/gazeta/dias/1839/04/26/pdfs/GMD-1839-1623.pdf#page=2","Abrir facsímil")</f>
        <v>Abrir facsímil</v>
      </c>
      <c r="K9168" s="12" t="s">
        <v>65</v>
      </c>
    </row>
    <row r="9169" spans="1:11" ht="40.049999999999997" customHeight="1" x14ac:dyDescent="0.25">
      <c r="A9169" s="11" t="s">
        <v>18293</v>
      </c>
      <c r="B9169" s="11" t="s">
        <v>18293</v>
      </c>
      <c r="C9169" s="11" t="s">
        <v>59</v>
      </c>
      <c r="D9169" s="11" t="s">
        <v>60</v>
      </c>
      <c r="E9169" s="12" t="s">
        <v>1057</v>
      </c>
      <c r="F9169" s="12" t="s">
        <v>1058</v>
      </c>
      <c r="G9169" s="12" t="s">
        <v>40</v>
      </c>
      <c r="H9169" s="11" t="s">
        <v>22</v>
      </c>
      <c r="I9169" s="13" t="s">
        <v>18294</v>
      </c>
      <c r="J9169" s="14" t="str">
        <f>HYPERLINK("https://www.boe.es/gazeta/dias/1839/10/01/pdfs/GMD-1839-1787.pdf#page=2","Abrir facsímil")</f>
        <v>Abrir facsímil</v>
      </c>
      <c r="K9169" s="12" t="s">
        <v>24</v>
      </c>
    </row>
    <row r="9170" spans="1:11" ht="40.049999999999997" customHeight="1" x14ac:dyDescent="0.25">
      <c r="A9170" s="11" t="s">
        <v>18293</v>
      </c>
      <c r="B9170" s="11" t="s">
        <v>18293</v>
      </c>
      <c r="C9170" s="11" t="s">
        <v>17</v>
      </c>
      <c r="D9170" s="11" t="s">
        <v>18</v>
      </c>
      <c r="E9170" s="12" t="s">
        <v>571</v>
      </c>
      <c r="F9170" s="12" t="s">
        <v>572</v>
      </c>
      <c r="G9170" s="12" t="s">
        <v>46</v>
      </c>
      <c r="H9170" s="11" t="s">
        <v>22</v>
      </c>
      <c r="I9170" s="13" t="s">
        <v>18295</v>
      </c>
      <c r="J9170" s="14" t="str">
        <f>HYPERLINK("https://www.boe.es/gazeta/dias/1839/09/27/pdfs/GMD-1839-1783.pdf#page=3","Abrir facsímil")</f>
        <v>Abrir facsímil</v>
      </c>
      <c r="K9170" s="12" t="s">
        <v>24</v>
      </c>
    </row>
    <row r="9171" spans="1:11" ht="40.049999999999997" customHeight="1" x14ac:dyDescent="0.25">
      <c r="A9171" s="11" t="s">
        <v>18296</v>
      </c>
      <c r="B9171" s="11" t="s">
        <v>18296</v>
      </c>
      <c r="C9171" s="11" t="s">
        <v>17</v>
      </c>
      <c r="D9171" s="11" t="s">
        <v>18</v>
      </c>
      <c r="E9171" s="12" t="s">
        <v>2222</v>
      </c>
      <c r="F9171" s="12" t="s">
        <v>2223</v>
      </c>
      <c r="G9171" s="12" t="s">
        <v>40</v>
      </c>
      <c r="H9171" s="11" t="s">
        <v>63</v>
      </c>
      <c r="I9171" s="13" t="s">
        <v>18297</v>
      </c>
      <c r="J9171" s="14" t="str">
        <f>HYPERLINK("https://www.boe.es/gazeta/dias/1839/09/19/pdfs/GMD-1839-1773.pdf#page=2","Abrir facsímil")</f>
        <v>Abrir facsímil</v>
      </c>
      <c r="K9171" s="12" t="s">
        <v>65</v>
      </c>
    </row>
    <row r="9172" spans="1:11" ht="40.049999999999997" customHeight="1" x14ac:dyDescent="0.25">
      <c r="A9172" s="11" t="s">
        <v>18296</v>
      </c>
      <c r="B9172" s="11" t="s">
        <v>18296</v>
      </c>
      <c r="C9172" s="11" t="s">
        <v>17</v>
      </c>
      <c r="D9172" s="11" t="s">
        <v>18</v>
      </c>
      <c r="E9172" s="12" t="s">
        <v>1497</v>
      </c>
      <c r="F9172" s="12" t="s">
        <v>1498</v>
      </c>
      <c r="G9172" s="12" t="s">
        <v>21</v>
      </c>
      <c r="H9172" s="11" t="s">
        <v>63</v>
      </c>
      <c r="I9172" s="13" t="s">
        <v>18298</v>
      </c>
      <c r="J9172" s="14" t="str">
        <f>HYPERLINK("https://www.boe.es/gazeta/dias/1839/08/23/pdfs/GMD-1839-1744.pdf#page=4","Abrir facsímil")</f>
        <v>Abrir facsímil</v>
      </c>
      <c r="K9172" s="12" t="s">
        <v>65</v>
      </c>
    </row>
    <row r="9173" spans="1:11" ht="40.049999999999997" customHeight="1" x14ac:dyDescent="0.25">
      <c r="A9173" s="11" t="s">
        <v>18299</v>
      </c>
      <c r="B9173" s="11" t="s">
        <v>18299</v>
      </c>
      <c r="C9173" s="11" t="s">
        <v>17</v>
      </c>
      <c r="D9173" s="11" t="s">
        <v>18</v>
      </c>
      <c r="E9173" s="12" t="s">
        <v>592</v>
      </c>
      <c r="F9173" s="12" t="s">
        <v>593</v>
      </c>
      <c r="G9173" s="12" t="s">
        <v>21</v>
      </c>
      <c r="H9173" s="11" t="s">
        <v>63</v>
      </c>
      <c r="I9173" s="13" t="s">
        <v>18300</v>
      </c>
      <c r="J9173" s="14" t="str">
        <f>HYPERLINK("https://www.boe.es/gazeta/dias/1839/09/14/pdfs/GMD-1839-1767.pdf#page=4","Abrir facsímil")</f>
        <v>Abrir facsímil</v>
      </c>
      <c r="K9173" s="12" t="s">
        <v>65</v>
      </c>
    </row>
    <row r="9174" spans="1:11" ht="40.049999999999997" customHeight="1" x14ac:dyDescent="0.25">
      <c r="A9174" s="11" t="s">
        <v>18301</v>
      </c>
      <c r="B9174" s="11" t="s">
        <v>18302</v>
      </c>
      <c r="C9174" s="11" t="s">
        <v>17</v>
      </c>
      <c r="D9174" s="11" t="s">
        <v>18</v>
      </c>
      <c r="E9174" s="12" t="s">
        <v>582</v>
      </c>
      <c r="F9174" s="12" t="s">
        <v>583</v>
      </c>
      <c r="G9174" s="12" t="s">
        <v>21</v>
      </c>
      <c r="H9174" s="11" t="s">
        <v>63</v>
      </c>
      <c r="I9174" s="13" t="s">
        <v>18303</v>
      </c>
      <c r="J9174" s="14" t="str">
        <f>HYPERLINK("https://www.boe.es/gazeta/dias/1839/11/09/pdfs/GMD-1839-1826.pdf#page=4","Abrir facsímil")</f>
        <v>Abrir facsímil</v>
      </c>
      <c r="K9174" s="12" t="s">
        <v>65</v>
      </c>
    </row>
    <row r="9175" spans="1:11" ht="40.049999999999997" customHeight="1" x14ac:dyDescent="0.25">
      <c r="A9175" s="11" t="s">
        <v>18304</v>
      </c>
      <c r="B9175" s="11" t="s">
        <v>18304</v>
      </c>
      <c r="C9175" s="11" t="s">
        <v>17</v>
      </c>
      <c r="D9175" s="11" t="s">
        <v>18</v>
      </c>
      <c r="E9175" s="12" t="s">
        <v>1001</v>
      </c>
      <c r="F9175" s="12" t="s">
        <v>1002</v>
      </c>
      <c r="G9175" s="12" t="s">
        <v>29</v>
      </c>
      <c r="H9175" s="11" t="s">
        <v>63</v>
      </c>
      <c r="I9175" s="13" t="s">
        <v>18305</v>
      </c>
      <c r="J9175" s="14" t="str">
        <f>HYPERLINK("https://www.boe.es/gazeta/dias/1839/07/09/pdfs/GMD-1839-1697.pdf#page=1","Abrir facsímil")</f>
        <v>Abrir facsímil</v>
      </c>
      <c r="K9175" s="12" t="s">
        <v>65</v>
      </c>
    </row>
    <row r="9176" spans="1:11" ht="40.049999999999997" customHeight="1" x14ac:dyDescent="0.25">
      <c r="A9176" s="11" t="s">
        <v>18306</v>
      </c>
      <c r="B9176" s="11" t="s">
        <v>18306</v>
      </c>
      <c r="C9176" s="11" t="s">
        <v>17</v>
      </c>
      <c r="D9176" s="11" t="s">
        <v>18</v>
      </c>
      <c r="E9176" s="12" t="s">
        <v>1398</v>
      </c>
      <c r="F9176" s="12" t="s">
        <v>1399</v>
      </c>
      <c r="G9176" s="12" t="s">
        <v>21</v>
      </c>
      <c r="H9176" s="11" t="s">
        <v>22</v>
      </c>
      <c r="I9176" s="13" t="s">
        <v>18307</v>
      </c>
      <c r="J9176" s="14" t="str">
        <f>HYPERLINK("https://www.boe.es/gazeta/dias/1839/05/27/pdfs/GMD-1839-1654.pdf#page=4","Abrir facsímil")</f>
        <v>Abrir facsímil</v>
      </c>
      <c r="K9176" s="12" t="s">
        <v>24</v>
      </c>
    </row>
    <row r="9177" spans="1:11" ht="40.049999999999997" customHeight="1" x14ac:dyDescent="0.25">
      <c r="A9177" s="11" t="s">
        <v>18308</v>
      </c>
      <c r="B9177" s="11" t="s">
        <v>18308</v>
      </c>
      <c r="C9177" s="11" t="s">
        <v>17</v>
      </c>
      <c r="D9177" s="11" t="s">
        <v>18</v>
      </c>
      <c r="E9177" s="12" t="s">
        <v>426</v>
      </c>
      <c r="F9177" s="12" t="s">
        <v>427</v>
      </c>
      <c r="G9177" s="12" t="s">
        <v>40</v>
      </c>
      <c r="H9177" s="11" t="s">
        <v>63</v>
      </c>
      <c r="I9177" s="13" t="s">
        <v>18309</v>
      </c>
      <c r="J9177" s="14" t="str">
        <f>HYPERLINK("https://www.boe.es/gazeta/dias/1839/08/11/pdfs/GMD-1839-1731.pdf#page=2","Abrir facsímil")</f>
        <v>Abrir facsímil</v>
      </c>
      <c r="K9177" s="12" t="s">
        <v>65</v>
      </c>
    </row>
    <row r="9178" spans="1:11" ht="40.049999999999997" customHeight="1" x14ac:dyDescent="0.25">
      <c r="A9178" s="11" t="s">
        <v>18308</v>
      </c>
      <c r="B9178" s="11" t="s">
        <v>18308</v>
      </c>
      <c r="C9178" s="11" t="s">
        <v>17</v>
      </c>
      <c r="D9178" s="11" t="s">
        <v>18</v>
      </c>
      <c r="E9178" s="12" t="s">
        <v>888</v>
      </c>
      <c r="F9178" s="12" t="s">
        <v>889</v>
      </c>
      <c r="G9178" s="12" t="s">
        <v>40</v>
      </c>
      <c r="H9178" s="11" t="s">
        <v>63</v>
      </c>
      <c r="I9178" s="13" t="s">
        <v>18310</v>
      </c>
      <c r="J9178" s="14" t="str">
        <f>HYPERLINK("https://www.boe.es/gazeta/dias/1839/05/14/pdfs/GMD-1839-1641.pdf#page=2","Abrir facsímil")</f>
        <v>Abrir facsímil</v>
      </c>
      <c r="K9178" s="12" t="s">
        <v>65</v>
      </c>
    </row>
    <row r="9179" spans="1:11" ht="40.049999999999997" customHeight="1" x14ac:dyDescent="0.25">
      <c r="A9179" s="11" t="s">
        <v>18311</v>
      </c>
      <c r="B9179" s="11" t="s">
        <v>18311</v>
      </c>
      <c r="C9179" s="11" t="s">
        <v>17</v>
      </c>
      <c r="D9179" s="11" t="s">
        <v>18</v>
      </c>
      <c r="E9179" s="12" t="s">
        <v>258</v>
      </c>
      <c r="F9179" s="12" t="s">
        <v>259</v>
      </c>
      <c r="G9179" s="12" t="s">
        <v>40</v>
      </c>
      <c r="H9179" s="11" t="s">
        <v>63</v>
      </c>
      <c r="I9179" s="13" t="s">
        <v>18312</v>
      </c>
      <c r="J9179" s="14" t="str">
        <f>HYPERLINK("https://www.boe.es/gazeta/dias/1839/01/02/pdfs/GMD-1839-1509.pdf#page=2","Abrir facsímil")</f>
        <v>Abrir facsímil</v>
      </c>
      <c r="K9179" s="12" t="s">
        <v>65</v>
      </c>
    </row>
    <row r="9180" spans="1:11" ht="40.049999999999997" customHeight="1" x14ac:dyDescent="0.25">
      <c r="A9180" s="11" t="s">
        <v>18311</v>
      </c>
      <c r="B9180" s="11" t="s">
        <v>18311</v>
      </c>
      <c r="C9180" s="11" t="s">
        <v>80</v>
      </c>
      <c r="D9180" s="11" t="s">
        <v>18</v>
      </c>
      <c r="E9180" s="12" t="s">
        <v>3705</v>
      </c>
      <c r="F9180" s="12" t="s">
        <v>3706</v>
      </c>
      <c r="G9180" s="12" t="s">
        <v>46</v>
      </c>
      <c r="H9180" s="11" t="s">
        <v>63</v>
      </c>
      <c r="I9180" s="13" t="s">
        <v>18313</v>
      </c>
      <c r="J9180" s="14" t="str">
        <f>HYPERLINK("https://www.boe.es/gazeta/dias/1839/03/09/pdfs/GMD-1839-1575.pdf#page=3","Abrir facsímil")</f>
        <v>Abrir facsímil</v>
      </c>
      <c r="K9180" s="12" t="s">
        <v>65</v>
      </c>
    </row>
    <row r="9181" spans="1:11" ht="40.049999999999997" customHeight="1" x14ac:dyDescent="0.25">
      <c r="A9181" s="11" t="s">
        <v>18311</v>
      </c>
      <c r="B9181" s="11" t="s">
        <v>18311</v>
      </c>
      <c r="C9181" s="11" t="s">
        <v>17</v>
      </c>
      <c r="D9181" s="11" t="s">
        <v>18</v>
      </c>
      <c r="E9181" s="12" t="s">
        <v>84</v>
      </c>
      <c r="F9181" s="12" t="s">
        <v>85</v>
      </c>
      <c r="G9181" s="12" t="s">
        <v>21</v>
      </c>
      <c r="H9181" s="11" t="s">
        <v>63</v>
      </c>
      <c r="I9181" s="13" t="s">
        <v>18314</v>
      </c>
      <c r="J9181" s="14" t="str">
        <f>HYPERLINK("https://www.boe.es/gazeta/dias/1839/03/11/pdfs/GMD-1839-1577.pdf#page=4","Abrir facsímil")</f>
        <v>Abrir facsímil</v>
      </c>
      <c r="K9181" s="12" t="s">
        <v>65</v>
      </c>
    </row>
    <row r="9182" spans="1:11" ht="40.049999999999997" customHeight="1" x14ac:dyDescent="0.25">
      <c r="A9182" s="11" t="s">
        <v>18315</v>
      </c>
      <c r="B9182" s="11" t="s">
        <v>18316</v>
      </c>
      <c r="C9182" s="11" t="s">
        <v>17</v>
      </c>
      <c r="D9182" s="11" t="s">
        <v>18</v>
      </c>
      <c r="E9182" s="12" t="s">
        <v>862</v>
      </c>
      <c r="F9182" s="12" t="s">
        <v>863</v>
      </c>
      <c r="G9182" s="12" t="s">
        <v>305</v>
      </c>
      <c r="H9182" s="11" t="s">
        <v>63</v>
      </c>
      <c r="I9182" s="13" t="s">
        <v>18317</v>
      </c>
      <c r="J9182" s="14" t="str">
        <f>HYPERLINK("https://www.boe.es/gazeta/dias/1839/10/28/pdfs/GMD-1839-1814.pdf#page=6","Abrir facsímil")</f>
        <v>Abrir facsímil</v>
      </c>
      <c r="K9182" s="12" t="s">
        <v>65</v>
      </c>
    </row>
    <row r="9183" spans="1:11" ht="40.049999999999997" customHeight="1" x14ac:dyDescent="0.25">
      <c r="A9183" s="11" t="s">
        <v>18318</v>
      </c>
      <c r="B9183" s="11" t="s">
        <v>18319</v>
      </c>
      <c r="C9183" s="11" t="s">
        <v>101</v>
      </c>
      <c r="D9183" s="11" t="s">
        <v>43</v>
      </c>
      <c r="E9183" s="12" t="s">
        <v>258</v>
      </c>
      <c r="F9183" s="12" t="s">
        <v>259</v>
      </c>
      <c r="G9183" s="12" t="s">
        <v>46</v>
      </c>
      <c r="H9183" s="11" t="s">
        <v>22</v>
      </c>
      <c r="I9183" s="13" t="s">
        <v>18320</v>
      </c>
      <c r="J9183" s="14" t="str">
        <f>HYPERLINK("https://www.boe.es/gazeta/dias/1839/01/02/pdfs/GMD-1839-1509.pdf#page=3","Abrir facsímil")</f>
        <v>Abrir facsímil</v>
      </c>
      <c r="K9183" s="12" t="s">
        <v>24</v>
      </c>
    </row>
    <row r="9184" spans="1:11" ht="40.049999999999997" customHeight="1" x14ac:dyDescent="0.25">
      <c r="A9184" s="11" t="s">
        <v>18321</v>
      </c>
      <c r="B9184" s="11" t="s">
        <v>18322</v>
      </c>
      <c r="C9184" s="11" t="s">
        <v>17</v>
      </c>
      <c r="D9184" s="11" t="s">
        <v>18</v>
      </c>
      <c r="E9184" s="12" t="s">
        <v>1623</v>
      </c>
      <c r="F9184" s="12" t="s">
        <v>1624</v>
      </c>
      <c r="G9184" s="12" t="s">
        <v>40</v>
      </c>
      <c r="H9184" s="11" t="s">
        <v>63</v>
      </c>
      <c r="I9184" s="13" t="s">
        <v>18323</v>
      </c>
      <c r="J9184" s="14" t="str">
        <f>HYPERLINK("https://www.boe.es/gazeta/dias/1839/04/07/pdfs/GMD-1839-1604.pdf#page=2","Abrir facsímil")</f>
        <v>Abrir facsímil</v>
      </c>
      <c r="K9184" s="12" t="s">
        <v>65</v>
      </c>
    </row>
    <row r="9185" spans="1:11" ht="40.049999999999997" customHeight="1" x14ac:dyDescent="0.25">
      <c r="A9185" s="11" t="s">
        <v>18321</v>
      </c>
      <c r="B9185" s="11" t="s">
        <v>18322</v>
      </c>
      <c r="C9185" s="11" t="s">
        <v>137</v>
      </c>
      <c r="D9185" s="11" t="s">
        <v>18</v>
      </c>
      <c r="E9185" s="12" t="s">
        <v>1749</v>
      </c>
      <c r="F9185" s="12" t="s">
        <v>1750</v>
      </c>
      <c r="G9185" s="12" t="s">
        <v>29</v>
      </c>
      <c r="H9185" s="11" t="s">
        <v>63</v>
      </c>
      <c r="I9185" s="13" t="s">
        <v>18324</v>
      </c>
      <c r="J9185" s="14" t="str">
        <f>HYPERLINK("https://www.boe.es/gazeta/dias/1839/06/28/pdfs/GMD-1839-1686.pdf#page=1","Abrir facsímil")</f>
        <v>Abrir facsímil</v>
      </c>
      <c r="K9185" s="12" t="s">
        <v>65</v>
      </c>
    </row>
    <row r="9186" spans="1:11" ht="40.049999999999997" customHeight="1" x14ac:dyDescent="0.25">
      <c r="A9186" s="11" t="s">
        <v>18325</v>
      </c>
      <c r="B9186" s="11" t="s">
        <v>18325</v>
      </c>
      <c r="C9186" s="11" t="s">
        <v>101</v>
      </c>
      <c r="D9186" s="11" t="s">
        <v>102</v>
      </c>
      <c r="E9186" s="12" t="s">
        <v>125</v>
      </c>
      <c r="F9186" s="12" t="s">
        <v>126</v>
      </c>
      <c r="G9186" s="12" t="s">
        <v>21</v>
      </c>
      <c r="H9186" s="11" t="s">
        <v>22</v>
      </c>
      <c r="I9186" s="13" t="s">
        <v>18326</v>
      </c>
      <c r="J9186" s="14" t="str">
        <f>HYPERLINK("https://www.boe.es/gazeta/dias/1839/05/23/pdfs/GMD-1839-1650.pdf#page=4","Abrir facsímil")</f>
        <v>Abrir facsímil</v>
      </c>
      <c r="K9186" s="12" t="s">
        <v>24</v>
      </c>
    </row>
    <row r="9187" spans="1:11" ht="40.049999999999997" customHeight="1" x14ac:dyDescent="0.25">
      <c r="A9187" s="11" t="s">
        <v>18327</v>
      </c>
      <c r="B9187" s="11" t="s">
        <v>18328</v>
      </c>
      <c r="C9187" s="11" t="s">
        <v>17</v>
      </c>
      <c r="D9187" s="11" t="s">
        <v>18</v>
      </c>
      <c r="E9187" s="12" t="s">
        <v>798</v>
      </c>
      <c r="F9187" s="12" t="s">
        <v>799</v>
      </c>
      <c r="G9187" s="12" t="s">
        <v>40</v>
      </c>
      <c r="H9187" s="11" t="s">
        <v>22</v>
      </c>
      <c r="I9187" s="13" t="s">
        <v>18329</v>
      </c>
      <c r="J9187" s="14" t="str">
        <f>HYPERLINK("https://www.boe.es/gazeta/dias/1839/09/03/pdfs/GMD-1839-1755.pdf#page=2","Abrir facsímil")</f>
        <v>Abrir facsímil</v>
      </c>
      <c r="K9187" s="12" t="s">
        <v>24</v>
      </c>
    </row>
    <row r="9188" spans="1:11" ht="40.049999999999997" customHeight="1" x14ac:dyDescent="0.25">
      <c r="A9188" s="11" t="s">
        <v>18330</v>
      </c>
      <c r="B9188" s="11" t="s">
        <v>18331</v>
      </c>
      <c r="C9188" s="11" t="s">
        <v>80</v>
      </c>
      <c r="D9188" s="11" t="s">
        <v>18</v>
      </c>
      <c r="E9188" s="12" t="s">
        <v>116</v>
      </c>
      <c r="F9188" s="12" t="s">
        <v>117</v>
      </c>
      <c r="G9188" s="12" t="s">
        <v>46</v>
      </c>
      <c r="H9188" s="11" t="s">
        <v>63</v>
      </c>
      <c r="I9188" s="13" t="s">
        <v>18332</v>
      </c>
      <c r="J9188" s="14" t="str">
        <f>HYPERLINK("https://www.boe.es/gazeta/dias/1839/10/10/pdfs/GMD-1839-1796.pdf#page=3","Abrir facsímil")</f>
        <v>Abrir facsímil</v>
      </c>
      <c r="K9188" s="12" t="s">
        <v>65</v>
      </c>
    </row>
    <row r="9189" spans="1:11" ht="40.049999999999997" customHeight="1" x14ac:dyDescent="0.25">
      <c r="A9189" s="11" t="s">
        <v>18333</v>
      </c>
      <c r="B9189" s="11" t="s">
        <v>18333</v>
      </c>
      <c r="C9189" s="11" t="s">
        <v>59</v>
      </c>
      <c r="D9189" s="11" t="s">
        <v>60</v>
      </c>
      <c r="E9189" s="12" t="s">
        <v>1446</v>
      </c>
      <c r="F9189" s="12" t="s">
        <v>1447</v>
      </c>
      <c r="G9189" s="12" t="s">
        <v>29</v>
      </c>
      <c r="H9189" s="11" t="s">
        <v>63</v>
      </c>
      <c r="I9189" s="13" t="s">
        <v>18334</v>
      </c>
      <c r="J9189" s="14" t="str">
        <f>HYPERLINK("https://www.boe.es/gazeta/dias/1839/08/25/pdfs/GMD-1839-1746.pdf#page=1","Abrir facsímil")</f>
        <v>Abrir facsímil</v>
      </c>
      <c r="K9189" s="12" t="s">
        <v>65</v>
      </c>
    </row>
    <row r="9190" spans="1:11" ht="40.049999999999997" customHeight="1" x14ac:dyDescent="0.25">
      <c r="A9190" s="11" t="s">
        <v>18335</v>
      </c>
      <c r="B9190" s="11" t="s">
        <v>18336</v>
      </c>
      <c r="C9190" s="11" t="s">
        <v>59</v>
      </c>
      <c r="D9190" s="11" t="s">
        <v>60</v>
      </c>
      <c r="E9190" s="12" t="s">
        <v>1446</v>
      </c>
      <c r="F9190" s="12" t="s">
        <v>1447</v>
      </c>
      <c r="G9190" s="12" t="s">
        <v>29</v>
      </c>
      <c r="H9190" s="11" t="s">
        <v>22</v>
      </c>
      <c r="I9190" s="13" t="s">
        <v>18337</v>
      </c>
      <c r="J9190" s="14" t="str">
        <f>HYPERLINK("https://www.boe.es/gazeta/dias/1839/08/25/pdfs/GMD-1839-1746.pdf#page=1","Abrir facsímil")</f>
        <v>Abrir facsímil</v>
      </c>
      <c r="K9190" s="12" t="s">
        <v>24</v>
      </c>
    </row>
    <row r="9191" spans="1:11" ht="40.049999999999997" customHeight="1" x14ac:dyDescent="0.25">
      <c r="A9191" s="11" t="s">
        <v>18338</v>
      </c>
      <c r="B9191" s="11" t="s">
        <v>18338</v>
      </c>
      <c r="C9191" s="11" t="s">
        <v>59</v>
      </c>
      <c r="D9191" s="11" t="s">
        <v>60</v>
      </c>
      <c r="E9191" s="12" t="s">
        <v>395</v>
      </c>
      <c r="F9191" s="12" t="s">
        <v>396</v>
      </c>
      <c r="G9191" s="12" t="s">
        <v>21</v>
      </c>
      <c r="H9191" s="11" t="s">
        <v>63</v>
      </c>
      <c r="I9191" s="13" t="s">
        <v>18339</v>
      </c>
      <c r="J9191" s="14" t="str">
        <f>HYPERLINK("https://www.boe.es/gazeta/dias/1839/03/15/pdfs/GMD-1839-1581.pdf#page=4","Abrir facsímil")</f>
        <v>Abrir facsímil</v>
      </c>
      <c r="K9191" s="12" t="s">
        <v>65</v>
      </c>
    </row>
    <row r="9192" spans="1:11" ht="40.049999999999997" customHeight="1" x14ac:dyDescent="0.25">
      <c r="A9192" s="11" t="s">
        <v>18340</v>
      </c>
      <c r="B9192" s="11" t="s">
        <v>18340</v>
      </c>
      <c r="C9192" s="11" t="s">
        <v>17</v>
      </c>
      <c r="D9192" s="11" t="s">
        <v>18</v>
      </c>
      <c r="E9192" s="12" t="s">
        <v>4055</v>
      </c>
      <c r="F9192" s="12" t="s">
        <v>4056</v>
      </c>
      <c r="G9192" s="12" t="s">
        <v>21</v>
      </c>
      <c r="H9192" s="11" t="s">
        <v>22</v>
      </c>
      <c r="I9192" s="13" t="s">
        <v>18341</v>
      </c>
      <c r="J9192" s="14" t="str">
        <f>HYPERLINK("https://www.boe.es/gazeta/dias/1839/03/07/pdfs/GMD-1839-1573.pdf#page=4","Abrir facsímil")</f>
        <v>Abrir facsímil</v>
      </c>
      <c r="K9192" s="12" t="s">
        <v>24</v>
      </c>
    </row>
    <row r="9193" spans="1:11" ht="40.049999999999997" customHeight="1" x14ac:dyDescent="0.25">
      <c r="A9193" s="11" t="s">
        <v>18342</v>
      </c>
      <c r="B9193" s="11" t="s">
        <v>18343</v>
      </c>
      <c r="C9193" s="11" t="s">
        <v>17</v>
      </c>
      <c r="D9193" s="11" t="s">
        <v>18</v>
      </c>
      <c r="E9193" s="12" t="s">
        <v>395</v>
      </c>
      <c r="F9193" s="12" t="s">
        <v>396</v>
      </c>
      <c r="G9193" s="12" t="s">
        <v>29</v>
      </c>
      <c r="H9193" s="11" t="s">
        <v>63</v>
      </c>
      <c r="I9193" s="13" t="s">
        <v>18344</v>
      </c>
      <c r="J9193" s="14" t="str">
        <f>HYPERLINK("https://www.boe.es/gazeta/dias/1839/03/15/pdfs/GMD-1839-1581.pdf#page=1","Abrir facsímil")</f>
        <v>Abrir facsímil</v>
      </c>
      <c r="K9193" s="12" t="s">
        <v>65</v>
      </c>
    </row>
    <row r="9194" spans="1:11" ht="40.049999999999997" customHeight="1" x14ac:dyDescent="0.25">
      <c r="A9194" s="11" t="s">
        <v>18345</v>
      </c>
      <c r="B9194" s="11" t="s">
        <v>18346</v>
      </c>
      <c r="C9194" s="11" t="s">
        <v>17</v>
      </c>
      <c r="D9194" s="11" t="s">
        <v>18</v>
      </c>
      <c r="E9194" s="12" t="s">
        <v>522</v>
      </c>
      <c r="F9194" s="12" t="s">
        <v>523</v>
      </c>
      <c r="G9194" s="12" t="s">
        <v>40</v>
      </c>
      <c r="H9194" s="11" t="s">
        <v>63</v>
      </c>
      <c r="I9194" s="13" t="s">
        <v>18347</v>
      </c>
      <c r="J9194" s="14" t="str">
        <f>HYPERLINK("https://www.boe.es/gazeta/dias/1839/08/27/pdfs/GMD-1839-1748.pdf#page=2","Abrir facsímil")</f>
        <v>Abrir facsímil</v>
      </c>
      <c r="K9194" s="12" t="s">
        <v>65</v>
      </c>
    </row>
    <row r="9195" spans="1:11" ht="40.049999999999997" customHeight="1" x14ac:dyDescent="0.25">
      <c r="A9195" s="11" t="s">
        <v>18348</v>
      </c>
      <c r="B9195" s="11" t="s">
        <v>18349</v>
      </c>
      <c r="C9195" s="11" t="s">
        <v>59</v>
      </c>
      <c r="D9195" s="11" t="s">
        <v>60</v>
      </c>
      <c r="E9195" s="12" t="s">
        <v>157</v>
      </c>
      <c r="F9195" s="12" t="s">
        <v>158</v>
      </c>
      <c r="G9195" s="12" t="s">
        <v>29</v>
      </c>
      <c r="H9195" s="11" t="s">
        <v>63</v>
      </c>
      <c r="I9195" s="13" t="s">
        <v>18350</v>
      </c>
      <c r="J9195" s="14" t="str">
        <f>HYPERLINK("https://www.boe.es/gazeta/dias/1839/02/08/pdfs/GMD-1839-1546.pdf#page=1","Abrir facsímil")</f>
        <v>Abrir facsímil</v>
      </c>
      <c r="K9195" s="12" t="s">
        <v>65</v>
      </c>
    </row>
    <row r="9196" spans="1:11" ht="40.049999999999997" customHeight="1" x14ac:dyDescent="0.25">
      <c r="A9196" s="11" t="s">
        <v>18351</v>
      </c>
      <c r="B9196" s="11" t="s">
        <v>18351</v>
      </c>
      <c r="C9196" s="11" t="s">
        <v>80</v>
      </c>
      <c r="D9196" s="11" t="s">
        <v>18</v>
      </c>
      <c r="E9196" s="12" t="s">
        <v>647</v>
      </c>
      <c r="F9196" s="12" t="s">
        <v>648</v>
      </c>
      <c r="G9196" s="12" t="s">
        <v>14301</v>
      </c>
      <c r="H9196" s="11" t="s">
        <v>63</v>
      </c>
      <c r="I9196" s="13" t="s">
        <v>18352</v>
      </c>
      <c r="J9196" s="14" t="str">
        <f>HYPERLINK("https://www.boe.es/gazeta/dias/1839/10/08/pdfs/GMD-1839-1794.pdf#page=8","Abrir facsímil")</f>
        <v>Abrir facsímil</v>
      </c>
      <c r="K9196" s="12" t="s">
        <v>65</v>
      </c>
    </row>
    <row r="9197" spans="1:11" ht="40.049999999999997" customHeight="1" x14ac:dyDescent="0.25">
      <c r="A9197" s="11" t="s">
        <v>18353</v>
      </c>
      <c r="B9197" s="11" t="s">
        <v>18353</v>
      </c>
      <c r="C9197" s="11" t="s">
        <v>101</v>
      </c>
      <c r="D9197" s="11" t="s">
        <v>102</v>
      </c>
      <c r="E9197" s="12" t="s">
        <v>212</v>
      </c>
      <c r="F9197" s="12" t="s">
        <v>213</v>
      </c>
      <c r="G9197" s="12" t="s">
        <v>40</v>
      </c>
      <c r="H9197" s="11" t="s">
        <v>63</v>
      </c>
      <c r="I9197" s="13" t="s">
        <v>18354</v>
      </c>
      <c r="J9197" s="14" t="str">
        <f>HYPERLINK("https://www.boe.es/gazeta/dias/1839/10/03/pdfs/GMD-1839-1789.pdf#page=2","Abrir facsímil")</f>
        <v>Abrir facsímil</v>
      </c>
      <c r="K9197" s="12" t="s">
        <v>65</v>
      </c>
    </row>
    <row r="9198" spans="1:11" ht="40.049999999999997" customHeight="1" x14ac:dyDescent="0.25">
      <c r="A9198" s="11" t="s">
        <v>18355</v>
      </c>
      <c r="B9198" s="11" t="s">
        <v>18355</v>
      </c>
      <c r="C9198" s="11" t="s">
        <v>17</v>
      </c>
      <c r="D9198" s="11" t="s">
        <v>18</v>
      </c>
      <c r="E9198" s="12" t="s">
        <v>1100</v>
      </c>
      <c r="F9198" s="12" t="s">
        <v>1101</v>
      </c>
      <c r="G9198" s="12" t="s">
        <v>46</v>
      </c>
      <c r="H9198" s="11" t="s">
        <v>63</v>
      </c>
      <c r="I9198" s="13" t="s">
        <v>18356</v>
      </c>
      <c r="J9198" s="14" t="str">
        <f>HYPERLINK("https://www.boe.es/gazeta/dias/1839/09/13/pdfs/GMD-1839-1766.pdf#page=3","Abrir facsímil")</f>
        <v>Abrir facsímil</v>
      </c>
      <c r="K9198" s="12" t="s">
        <v>65</v>
      </c>
    </row>
    <row r="9199" spans="1:11" ht="40.049999999999997" customHeight="1" x14ac:dyDescent="0.25">
      <c r="A9199" s="11" t="s">
        <v>18357</v>
      </c>
      <c r="B9199" s="11" t="s">
        <v>18358</v>
      </c>
      <c r="C9199" s="11" t="s">
        <v>17</v>
      </c>
      <c r="D9199" s="11" t="s">
        <v>18</v>
      </c>
      <c r="E9199" s="12" t="s">
        <v>197</v>
      </c>
      <c r="F9199" s="12" t="s">
        <v>198</v>
      </c>
      <c r="G9199" s="12" t="s">
        <v>46</v>
      </c>
      <c r="H9199" s="11" t="s">
        <v>63</v>
      </c>
      <c r="I9199" s="13" t="s">
        <v>18359</v>
      </c>
      <c r="J9199" s="14" t="str">
        <f>HYPERLINK("https://www.boe.es/gazeta/dias/1839/10/04/pdfs/GMD-1839-1790.pdf#page=3","Abrir facsímil")</f>
        <v>Abrir facsímil</v>
      </c>
      <c r="K9199" s="12" t="s">
        <v>65</v>
      </c>
    </row>
    <row r="9200" spans="1:11" ht="40.049999999999997" customHeight="1" x14ac:dyDescent="0.25">
      <c r="A9200" s="11" t="s">
        <v>18360</v>
      </c>
      <c r="B9200" s="11" t="s">
        <v>18361</v>
      </c>
      <c r="C9200" s="11" t="s">
        <v>17</v>
      </c>
      <c r="D9200" s="11" t="s">
        <v>18</v>
      </c>
      <c r="E9200" s="12" t="s">
        <v>258</v>
      </c>
      <c r="F9200" s="12" t="s">
        <v>259</v>
      </c>
      <c r="G9200" s="12" t="s">
        <v>46</v>
      </c>
      <c r="H9200" s="11" t="s">
        <v>22</v>
      </c>
      <c r="I9200" s="13" t="s">
        <v>18362</v>
      </c>
      <c r="J9200" s="14" t="str">
        <f>HYPERLINK("https://www.boe.es/gazeta/dias/1839/01/02/pdfs/GMD-1839-1509.pdf#page=3","Abrir facsímil")</f>
        <v>Abrir facsímil</v>
      </c>
      <c r="K9200" s="12" t="s">
        <v>24</v>
      </c>
    </row>
    <row r="9201" spans="1:11" ht="40.049999999999997" customHeight="1" x14ac:dyDescent="0.25">
      <c r="A9201" s="11" t="s">
        <v>18363</v>
      </c>
      <c r="B9201" s="11" t="s">
        <v>18364</v>
      </c>
      <c r="C9201" s="11" t="s">
        <v>137</v>
      </c>
      <c r="D9201" s="11" t="s">
        <v>18</v>
      </c>
      <c r="E9201" s="12" t="s">
        <v>2262</v>
      </c>
      <c r="F9201" s="12" t="s">
        <v>2263</v>
      </c>
      <c r="G9201" s="12" t="s">
        <v>40</v>
      </c>
      <c r="H9201" s="11" t="s">
        <v>63</v>
      </c>
      <c r="I9201" s="13" t="s">
        <v>18365</v>
      </c>
      <c r="J9201" s="14" t="str">
        <f>HYPERLINK("https://www.boe.es/gazeta/dias/1839/03/16/pdfs/GMD-1839-1582.pdf#page=2","Abrir facsímil")</f>
        <v>Abrir facsímil</v>
      </c>
      <c r="K9201" s="12" t="s">
        <v>65</v>
      </c>
    </row>
    <row r="9202" spans="1:11" ht="40.049999999999997" customHeight="1" x14ac:dyDescent="0.25">
      <c r="A9202" s="11" t="s">
        <v>18366</v>
      </c>
      <c r="B9202" s="11" t="s">
        <v>18367</v>
      </c>
      <c r="C9202" s="11" t="s">
        <v>137</v>
      </c>
      <c r="D9202" s="11" t="s">
        <v>18</v>
      </c>
      <c r="E9202" s="12" t="s">
        <v>1623</v>
      </c>
      <c r="F9202" s="12" t="s">
        <v>1624</v>
      </c>
      <c r="G9202" s="12" t="s">
        <v>21</v>
      </c>
      <c r="H9202" s="11" t="s">
        <v>63</v>
      </c>
      <c r="I9202" s="13" t="s">
        <v>18368</v>
      </c>
      <c r="J9202" s="14" t="str">
        <f>HYPERLINK("https://www.boe.es/gazeta/dias/1839/04/07/pdfs/GMD-1839-1604.pdf#page=4","Abrir facsímil")</f>
        <v>Abrir facsímil</v>
      </c>
      <c r="K9202" s="12" t="s">
        <v>65</v>
      </c>
    </row>
    <row r="9203" spans="1:11" ht="40.049999999999997" customHeight="1" x14ac:dyDescent="0.25">
      <c r="A9203" s="11" t="s">
        <v>18366</v>
      </c>
      <c r="B9203" s="11" t="s">
        <v>18367</v>
      </c>
      <c r="C9203" s="11" t="s">
        <v>17</v>
      </c>
      <c r="D9203" s="11" t="s">
        <v>18</v>
      </c>
      <c r="E9203" s="12" t="s">
        <v>168</v>
      </c>
      <c r="F9203" s="12" t="s">
        <v>169</v>
      </c>
      <c r="G9203" s="12" t="s">
        <v>21</v>
      </c>
      <c r="H9203" s="11" t="s">
        <v>63</v>
      </c>
      <c r="I9203" s="13" t="s">
        <v>18369</v>
      </c>
      <c r="J9203" s="14" t="str">
        <f>HYPERLINK("https://www.boe.es/gazeta/dias/1839/07/12/pdfs/GMD-1839-1700.pdf#page=4","Abrir facsímil")</f>
        <v>Abrir facsímil</v>
      </c>
      <c r="K9203" s="12" t="s">
        <v>65</v>
      </c>
    </row>
    <row r="9204" spans="1:11" ht="40.049999999999997" customHeight="1" x14ac:dyDescent="0.25">
      <c r="A9204" s="11" t="s">
        <v>18370</v>
      </c>
      <c r="B9204" s="11" t="s">
        <v>18371</v>
      </c>
      <c r="C9204" s="11" t="s">
        <v>17</v>
      </c>
      <c r="D9204" s="11" t="s">
        <v>18</v>
      </c>
      <c r="E9204" s="12" t="s">
        <v>690</v>
      </c>
      <c r="F9204" s="12" t="s">
        <v>691</v>
      </c>
      <c r="G9204" s="12" t="s">
        <v>46</v>
      </c>
      <c r="H9204" s="11" t="s">
        <v>63</v>
      </c>
      <c r="I9204" s="13" t="s">
        <v>18372</v>
      </c>
      <c r="J9204" s="14" t="str">
        <f>HYPERLINK("https://www.boe.es/gazeta/dias/1839/12/08/pdfs/GMD-1839-1855.pdf#page=3","Abrir facsímil")</f>
        <v>Abrir facsímil</v>
      </c>
      <c r="K9204" s="12" t="s">
        <v>65</v>
      </c>
    </row>
    <row r="9205" spans="1:11" ht="40.049999999999997" customHeight="1" x14ac:dyDescent="0.25">
      <c r="A9205" s="11" t="s">
        <v>18373</v>
      </c>
      <c r="B9205" s="11" t="s">
        <v>18374</v>
      </c>
      <c r="C9205" s="11" t="s">
        <v>17</v>
      </c>
      <c r="D9205" s="11" t="s">
        <v>18</v>
      </c>
      <c r="E9205" s="12" t="s">
        <v>291</v>
      </c>
      <c r="F9205" s="12" t="s">
        <v>292</v>
      </c>
      <c r="G9205" s="12" t="s">
        <v>21</v>
      </c>
      <c r="H9205" s="11" t="s">
        <v>63</v>
      </c>
      <c r="I9205" s="13" t="s">
        <v>18375</v>
      </c>
      <c r="J9205" s="14" t="str">
        <f>HYPERLINK("https://www.boe.es/gazeta/dias/1839/09/04/pdfs/GMD-1839-1757.pdf#page=4","Abrir facsímil")</f>
        <v>Abrir facsímil</v>
      </c>
      <c r="K9205" s="12" t="s">
        <v>65</v>
      </c>
    </row>
    <row r="9206" spans="1:11" ht="40.049999999999997" customHeight="1" x14ac:dyDescent="0.25">
      <c r="A9206" s="11" t="s">
        <v>18376</v>
      </c>
      <c r="B9206" s="11" t="s">
        <v>18377</v>
      </c>
      <c r="C9206" s="11" t="s">
        <v>17</v>
      </c>
      <c r="D9206" s="11" t="s">
        <v>18</v>
      </c>
      <c r="E9206" s="12" t="s">
        <v>291</v>
      </c>
      <c r="F9206" s="12" t="s">
        <v>292</v>
      </c>
      <c r="G9206" s="12" t="s">
        <v>21</v>
      </c>
      <c r="H9206" s="11" t="s">
        <v>63</v>
      </c>
      <c r="I9206" s="13" t="s">
        <v>18378</v>
      </c>
      <c r="J9206" s="14" t="str">
        <f>HYPERLINK("https://www.boe.es/gazeta/dias/1839/09/04/pdfs/GMD-1839-1757.pdf#page=4","Abrir facsímil")</f>
        <v>Abrir facsímil</v>
      </c>
      <c r="K9206" s="12" t="s">
        <v>65</v>
      </c>
    </row>
    <row r="9207" spans="1:11" ht="40.049999999999997" customHeight="1" x14ac:dyDescent="0.25">
      <c r="A9207" s="11" t="s">
        <v>18379</v>
      </c>
      <c r="B9207" s="11" t="s">
        <v>18380</v>
      </c>
      <c r="C9207" s="11" t="s">
        <v>17</v>
      </c>
      <c r="D9207" s="11" t="s">
        <v>18</v>
      </c>
      <c r="E9207" s="12" t="s">
        <v>308</v>
      </c>
      <c r="F9207" s="12" t="s">
        <v>309</v>
      </c>
      <c r="G9207" s="12" t="s">
        <v>21</v>
      </c>
      <c r="H9207" s="11" t="s">
        <v>63</v>
      </c>
      <c r="I9207" s="13" t="s">
        <v>18381</v>
      </c>
      <c r="J9207" s="14" t="str">
        <f>HYPERLINK("https://www.boe.es/gazeta/dias/1839/07/29/pdfs/GMD-1839-1718.pdf#page=4","Abrir facsímil")</f>
        <v>Abrir facsímil</v>
      </c>
      <c r="K9207" s="12" t="s">
        <v>65</v>
      </c>
    </row>
    <row r="9208" spans="1:11" ht="40.049999999999997" customHeight="1" x14ac:dyDescent="0.25">
      <c r="A9208" s="11" t="s">
        <v>18382</v>
      </c>
      <c r="B9208" s="11" t="s">
        <v>18383</v>
      </c>
      <c r="C9208" s="11" t="s">
        <v>17</v>
      </c>
      <c r="D9208" s="11" t="s">
        <v>18</v>
      </c>
      <c r="E9208" s="12" t="s">
        <v>438</v>
      </c>
      <c r="F9208" s="12" t="s">
        <v>439</v>
      </c>
      <c r="G9208" s="12" t="s">
        <v>21</v>
      </c>
      <c r="H9208" s="11" t="s">
        <v>63</v>
      </c>
      <c r="I9208" s="13" t="s">
        <v>18384</v>
      </c>
      <c r="J9208" s="14" t="str">
        <f>HYPERLINK("https://www.boe.es/gazeta/dias/1839/07/17/pdfs/GMD-1839-1705.pdf#page=4","Abrir facsímil")</f>
        <v>Abrir facsímil</v>
      </c>
      <c r="K9208" s="12" t="s">
        <v>65</v>
      </c>
    </row>
    <row r="9209" spans="1:11" ht="40.049999999999997" customHeight="1" x14ac:dyDescent="0.25">
      <c r="A9209" s="11" t="s">
        <v>18385</v>
      </c>
      <c r="B9209" s="11" t="s">
        <v>18386</v>
      </c>
      <c r="C9209" s="11" t="s">
        <v>59</v>
      </c>
      <c r="D9209" s="11" t="s">
        <v>60</v>
      </c>
      <c r="E9209" s="12" t="s">
        <v>1252</v>
      </c>
      <c r="F9209" s="12" t="s">
        <v>1253</v>
      </c>
      <c r="G9209" s="12" t="s">
        <v>21</v>
      </c>
      <c r="H9209" s="11" t="s">
        <v>63</v>
      </c>
      <c r="I9209" s="13" t="s">
        <v>18387</v>
      </c>
      <c r="J9209" s="14" t="str">
        <f>HYPERLINK("https://www.boe.es/gazeta/dias/1839/06/15/pdfs/GMD-1839-1673.pdf#page=4","Abrir facsímil")</f>
        <v>Abrir facsímil</v>
      </c>
      <c r="K9209" s="12" t="s">
        <v>65</v>
      </c>
    </row>
    <row r="9210" spans="1:11" ht="40.049999999999997" customHeight="1" x14ac:dyDescent="0.25">
      <c r="A9210" s="11" t="s">
        <v>18388</v>
      </c>
      <c r="B9210" s="11" t="s">
        <v>18389</v>
      </c>
      <c r="C9210" s="11" t="s">
        <v>17</v>
      </c>
      <c r="D9210" s="11" t="s">
        <v>18</v>
      </c>
      <c r="E9210" s="12" t="s">
        <v>269</v>
      </c>
      <c r="F9210" s="12" t="s">
        <v>270</v>
      </c>
      <c r="G9210" s="12" t="s">
        <v>29</v>
      </c>
      <c r="H9210" s="11" t="s">
        <v>63</v>
      </c>
      <c r="I9210" s="13" t="s">
        <v>18390</v>
      </c>
      <c r="J9210" s="14" t="str">
        <f>HYPERLINK("https://www.boe.es/gazeta/dias/1839/02/10/pdfs/GMD-1839-1548.pdf#page=1","Abrir facsímil")</f>
        <v>Abrir facsímil</v>
      </c>
      <c r="K9210" s="12" t="s">
        <v>65</v>
      </c>
    </row>
    <row r="9211" spans="1:11" ht="40.049999999999997" customHeight="1" x14ac:dyDescent="0.25">
      <c r="A9211" s="11" t="s">
        <v>18391</v>
      </c>
      <c r="B9211" s="11" t="s">
        <v>18392</v>
      </c>
      <c r="C9211" s="11" t="s">
        <v>17</v>
      </c>
      <c r="D9211" s="11" t="s">
        <v>18</v>
      </c>
      <c r="E9211" s="12" t="s">
        <v>168</v>
      </c>
      <c r="F9211" s="12" t="s">
        <v>169</v>
      </c>
      <c r="G9211" s="12" t="s">
        <v>21</v>
      </c>
      <c r="H9211" s="11" t="s">
        <v>63</v>
      </c>
      <c r="I9211" s="13" t="s">
        <v>18393</v>
      </c>
      <c r="J9211" s="14" t="str">
        <f>HYPERLINK("https://www.boe.es/gazeta/dias/1839/07/12/pdfs/GMD-1839-1700.pdf#page=4","Abrir facsímil")</f>
        <v>Abrir facsímil</v>
      </c>
      <c r="K9211" s="12" t="s">
        <v>65</v>
      </c>
    </row>
    <row r="9212" spans="1:11" ht="40.049999999999997" customHeight="1" x14ac:dyDescent="0.25">
      <c r="A9212" s="11" t="s">
        <v>18394</v>
      </c>
      <c r="B9212" s="11" t="s">
        <v>18395</v>
      </c>
      <c r="C9212" s="11" t="s">
        <v>59</v>
      </c>
      <c r="D9212" s="11" t="s">
        <v>60</v>
      </c>
      <c r="E9212" s="12" t="s">
        <v>555</v>
      </c>
      <c r="F9212" s="12" t="s">
        <v>556</v>
      </c>
      <c r="G9212" s="12" t="s">
        <v>29</v>
      </c>
      <c r="H9212" s="11" t="s">
        <v>63</v>
      </c>
      <c r="I9212" s="13" t="s">
        <v>18396</v>
      </c>
      <c r="J9212" s="14" t="str">
        <f>HYPERLINK("https://www.boe.es/gazeta/dias/1839/07/19/pdfs/GMD-1839-1707.pdf#page=1","Abrir facsímil")</f>
        <v>Abrir facsímil</v>
      </c>
      <c r="K9212" s="12" t="s">
        <v>65</v>
      </c>
    </row>
    <row r="9213" spans="1:11" ht="40.049999999999997" customHeight="1" x14ac:dyDescent="0.25">
      <c r="A9213" s="11" t="s">
        <v>18397</v>
      </c>
      <c r="B9213" s="11" t="s">
        <v>18397</v>
      </c>
      <c r="C9213" s="11" t="s">
        <v>17</v>
      </c>
      <c r="D9213" s="11" t="s">
        <v>18</v>
      </c>
      <c r="E9213" s="12" t="s">
        <v>1179</v>
      </c>
      <c r="F9213" s="12" t="s">
        <v>1180</v>
      </c>
      <c r="G9213" s="12" t="s">
        <v>305</v>
      </c>
      <c r="H9213" s="11" t="s">
        <v>22</v>
      </c>
      <c r="I9213" s="13" t="s">
        <v>18398</v>
      </c>
      <c r="J9213" s="14" t="str">
        <f>HYPERLINK("https://www.boe.es/gazeta/dias/1839/10/18/pdfs/GMD-1839-1804.pdf#page=6","Abrir facsímil")</f>
        <v>Abrir facsímil</v>
      </c>
      <c r="K9213" s="12" t="s">
        <v>24</v>
      </c>
    </row>
    <row r="9214" spans="1:11" ht="40.049999999999997" customHeight="1" x14ac:dyDescent="0.25">
      <c r="A9214" s="11" t="s">
        <v>18399</v>
      </c>
      <c r="B9214" s="11" t="s">
        <v>18399</v>
      </c>
      <c r="C9214" s="11" t="s">
        <v>17</v>
      </c>
      <c r="D9214" s="11" t="s">
        <v>18</v>
      </c>
      <c r="E9214" s="12" t="s">
        <v>49</v>
      </c>
      <c r="F9214" s="12" t="s">
        <v>50</v>
      </c>
      <c r="G9214" s="12" t="s">
        <v>21</v>
      </c>
      <c r="H9214" s="11" t="s">
        <v>63</v>
      </c>
      <c r="I9214" s="13" t="s">
        <v>18400</v>
      </c>
      <c r="J9214" s="14" t="str">
        <f>HYPERLINK("https://www.boe.es/gazeta/dias/1839/01/05/pdfs/GMD-1839-1512.pdf#page=4","Abrir facsímil")</f>
        <v>Abrir facsímil</v>
      </c>
      <c r="K9214" s="12" t="s">
        <v>65</v>
      </c>
    </row>
    <row r="9215" spans="1:11" ht="40.049999999999997" customHeight="1" x14ac:dyDescent="0.25">
      <c r="A9215" s="11" t="s">
        <v>18401</v>
      </c>
      <c r="B9215" s="11" t="s">
        <v>18402</v>
      </c>
      <c r="C9215" s="11" t="s">
        <v>101</v>
      </c>
      <c r="D9215" s="11" t="s">
        <v>43</v>
      </c>
      <c r="E9215" s="12" t="s">
        <v>222</v>
      </c>
      <c r="F9215" s="12" t="s">
        <v>223</v>
      </c>
      <c r="G9215" s="12" t="s">
        <v>21</v>
      </c>
      <c r="H9215" s="11" t="s">
        <v>22</v>
      </c>
      <c r="I9215" s="13" t="s">
        <v>18403</v>
      </c>
      <c r="J9215" s="14" t="str">
        <f>HYPERLINK("https://www.boe.es/gazeta/dias/1839/06/22/pdfs/GMD-1839-1680.pdf#page=4","Abrir facsímil")</f>
        <v>Abrir facsímil</v>
      </c>
      <c r="K9215" s="12" t="s">
        <v>24</v>
      </c>
    </row>
    <row r="9216" spans="1:11" ht="40.049999999999997" customHeight="1" x14ac:dyDescent="0.25">
      <c r="A9216" s="11" t="s">
        <v>18401</v>
      </c>
      <c r="B9216" s="11" t="s">
        <v>18402</v>
      </c>
      <c r="C9216" s="11" t="s">
        <v>101</v>
      </c>
      <c r="D9216" s="11" t="s">
        <v>43</v>
      </c>
      <c r="E9216" s="12" t="s">
        <v>276</v>
      </c>
      <c r="F9216" s="12" t="s">
        <v>277</v>
      </c>
      <c r="G9216" s="12" t="s">
        <v>46</v>
      </c>
      <c r="H9216" s="11" t="s">
        <v>22</v>
      </c>
      <c r="I9216" s="13" t="s">
        <v>18404</v>
      </c>
      <c r="J9216" s="14" t="str">
        <f>HYPERLINK("https://www.boe.es/gazeta/dias/1839/09/24/pdfs/GMD-1839-1780.pdf#page=3","Abrir facsímil")</f>
        <v>Abrir facsímil</v>
      </c>
      <c r="K9216" s="12" t="s">
        <v>24</v>
      </c>
    </row>
    <row r="9217" spans="1:11" ht="40.049999999999997" customHeight="1" x14ac:dyDescent="0.25">
      <c r="A9217" s="11" t="s">
        <v>18401</v>
      </c>
      <c r="B9217" s="11" t="s">
        <v>18402</v>
      </c>
      <c r="C9217" s="11" t="s">
        <v>17</v>
      </c>
      <c r="D9217" s="11" t="s">
        <v>18</v>
      </c>
      <c r="E9217" s="12" t="s">
        <v>2349</v>
      </c>
      <c r="F9217" s="12" t="s">
        <v>2350</v>
      </c>
      <c r="G9217" s="12" t="s">
        <v>46</v>
      </c>
      <c r="H9217" s="11" t="s">
        <v>22</v>
      </c>
      <c r="I9217" s="13" t="s">
        <v>18405</v>
      </c>
      <c r="J9217" s="14" t="str">
        <f>HYPERLINK("https://www.boe.es/gazeta/dias/1839/09/29/pdfs/GMD-1839-1785.pdf#page=3","Abrir facsímil")</f>
        <v>Abrir facsímil</v>
      </c>
      <c r="K9217" s="12" t="s">
        <v>24</v>
      </c>
    </row>
    <row r="9218" spans="1:11" ht="40.049999999999997" customHeight="1" x14ac:dyDescent="0.25">
      <c r="A9218" s="11" t="s">
        <v>18406</v>
      </c>
      <c r="B9218" s="11" t="s">
        <v>18407</v>
      </c>
      <c r="C9218" s="11" t="s">
        <v>17</v>
      </c>
      <c r="D9218" s="11" t="s">
        <v>43</v>
      </c>
      <c r="E9218" s="12" t="s">
        <v>1008</v>
      </c>
      <c r="F9218" s="12" t="s">
        <v>1009</v>
      </c>
      <c r="G9218" s="12" t="s">
        <v>40</v>
      </c>
      <c r="H9218" s="11" t="s">
        <v>63</v>
      </c>
      <c r="I9218" s="13" t="s">
        <v>18408</v>
      </c>
      <c r="J9218" s="14" t="str">
        <f>HYPERLINK("https://www.boe.es/gazeta/dias/1839/09/07/pdfs/GMD-1839-1760.pdf#page=2","Abrir facsímil")</f>
        <v>Abrir facsímil</v>
      </c>
      <c r="K9218" s="12" t="s">
        <v>65</v>
      </c>
    </row>
    <row r="9219" spans="1:11" ht="40.049999999999997" customHeight="1" x14ac:dyDescent="0.25">
      <c r="A9219" s="11" t="s">
        <v>18409</v>
      </c>
      <c r="B9219" s="11" t="s">
        <v>18410</v>
      </c>
      <c r="C9219" s="11" t="s">
        <v>17</v>
      </c>
      <c r="D9219" s="11" t="s">
        <v>18</v>
      </c>
      <c r="E9219" s="12" t="s">
        <v>720</v>
      </c>
      <c r="F9219" s="12" t="s">
        <v>721</v>
      </c>
      <c r="G9219" s="12" t="s">
        <v>21</v>
      </c>
      <c r="H9219" s="11" t="s">
        <v>63</v>
      </c>
      <c r="I9219" s="13" t="s">
        <v>18411</v>
      </c>
      <c r="J9219" s="14" t="str">
        <f>HYPERLINK("https://www.boe.es/gazeta/dias/1839/01/14/pdfs/GMD-1839-1521.pdf#page=4","Abrir facsímil")</f>
        <v>Abrir facsímil</v>
      </c>
      <c r="K9219" s="12" t="s">
        <v>65</v>
      </c>
    </row>
    <row r="9220" spans="1:11" ht="40.049999999999997" customHeight="1" x14ac:dyDescent="0.25">
      <c r="A9220" s="11" t="s">
        <v>18412</v>
      </c>
      <c r="B9220" s="11" t="s">
        <v>18413</v>
      </c>
      <c r="C9220" s="11" t="s">
        <v>137</v>
      </c>
      <c r="D9220" s="11" t="s">
        <v>18</v>
      </c>
      <c r="E9220" s="12" t="s">
        <v>355</v>
      </c>
      <c r="F9220" s="12" t="s">
        <v>356</v>
      </c>
      <c r="G9220" s="12" t="s">
        <v>21</v>
      </c>
      <c r="H9220" s="11" t="s">
        <v>22</v>
      </c>
      <c r="I9220" s="13" t="s">
        <v>18414</v>
      </c>
      <c r="J9220" s="14" t="str">
        <f>HYPERLINK("https://www.boe.es/gazeta/dias/1839/05/31/pdfs/GMD-1839-1658.pdf#page=4","Abrir facsímil")</f>
        <v>Abrir facsímil</v>
      </c>
      <c r="K9220" s="12" t="s">
        <v>24</v>
      </c>
    </row>
    <row r="9221" spans="1:11" ht="40.049999999999997" customHeight="1" x14ac:dyDescent="0.25">
      <c r="A9221" s="11" t="s">
        <v>18415</v>
      </c>
      <c r="B9221" s="11" t="s">
        <v>18416</v>
      </c>
      <c r="C9221" s="11" t="s">
        <v>17</v>
      </c>
      <c r="D9221" s="11" t="s">
        <v>18</v>
      </c>
      <c r="E9221" s="12" t="s">
        <v>3705</v>
      </c>
      <c r="F9221" s="12" t="s">
        <v>3706</v>
      </c>
      <c r="G9221" s="12" t="s">
        <v>46</v>
      </c>
      <c r="H9221" s="11" t="s">
        <v>63</v>
      </c>
      <c r="I9221" s="13" t="s">
        <v>18417</v>
      </c>
      <c r="J9221" s="14" t="str">
        <f>HYPERLINK("https://www.boe.es/gazeta/dias/1839/03/09/pdfs/GMD-1839-1575.pdf#page=3","Abrir facsímil")</f>
        <v>Abrir facsímil</v>
      </c>
      <c r="K9221" s="12" t="s">
        <v>65</v>
      </c>
    </row>
    <row r="9222" spans="1:11" ht="40.049999999999997" customHeight="1" x14ac:dyDescent="0.25">
      <c r="A9222" s="11" t="s">
        <v>18418</v>
      </c>
      <c r="B9222" s="11" t="s">
        <v>18419</v>
      </c>
      <c r="C9222" s="11" t="s">
        <v>17</v>
      </c>
      <c r="D9222" s="11" t="s">
        <v>18</v>
      </c>
      <c r="E9222" s="12" t="s">
        <v>44</v>
      </c>
      <c r="F9222" s="12" t="s">
        <v>45</v>
      </c>
      <c r="G9222" s="12" t="s">
        <v>21</v>
      </c>
      <c r="H9222" s="11" t="s">
        <v>63</v>
      </c>
      <c r="I9222" s="13" t="s">
        <v>18420</v>
      </c>
      <c r="J9222" s="14" t="str">
        <f>HYPERLINK("https://www.boe.es/gazeta/dias/1839/11/15/pdfs/GMD-1839-1832.pdf#page=4","Abrir facsímil")</f>
        <v>Abrir facsímil</v>
      </c>
      <c r="K9222" s="12" t="s">
        <v>65</v>
      </c>
    </row>
    <row r="9223" spans="1:11" ht="40.049999999999997" customHeight="1" x14ac:dyDescent="0.25">
      <c r="A9223" s="11" t="s">
        <v>18421</v>
      </c>
      <c r="B9223" s="11" t="s">
        <v>18422</v>
      </c>
      <c r="C9223" s="11" t="s">
        <v>80</v>
      </c>
      <c r="D9223" s="11" t="s">
        <v>18</v>
      </c>
      <c r="E9223" s="12" t="s">
        <v>1666</v>
      </c>
      <c r="F9223" s="12" t="s">
        <v>1667</v>
      </c>
      <c r="G9223" s="12" t="s">
        <v>46</v>
      </c>
      <c r="H9223" s="11" t="s">
        <v>22</v>
      </c>
      <c r="I9223" s="13" t="s">
        <v>18423</v>
      </c>
      <c r="J9223" s="14" t="str">
        <f>HYPERLINK("https://www.boe.es/gazeta/dias/1839/04/22/pdfs/GMD-1839-1619.pdf#page=3","Abrir facsímil")</f>
        <v>Abrir facsímil</v>
      </c>
      <c r="K9223" s="12" t="s">
        <v>24</v>
      </c>
    </row>
    <row r="9224" spans="1:11" ht="40.049999999999997" customHeight="1" x14ac:dyDescent="0.25">
      <c r="A9224" s="11" t="s">
        <v>18424</v>
      </c>
      <c r="B9224" s="11" t="s">
        <v>18425</v>
      </c>
      <c r="C9224" s="11" t="s">
        <v>80</v>
      </c>
      <c r="D9224" s="11" t="s">
        <v>18</v>
      </c>
      <c r="E9224" s="12" t="s">
        <v>44</v>
      </c>
      <c r="F9224" s="12" t="s">
        <v>45</v>
      </c>
      <c r="G9224" s="12" t="s">
        <v>21</v>
      </c>
      <c r="H9224" s="11" t="s">
        <v>63</v>
      </c>
      <c r="I9224" s="13" t="s">
        <v>18426</v>
      </c>
      <c r="J9224" s="14" t="str">
        <f>HYPERLINK("https://www.boe.es/gazeta/dias/1839/11/15/pdfs/GMD-1839-1832.pdf#page=4","Abrir facsímil")</f>
        <v>Abrir facsímil</v>
      </c>
      <c r="K9224" s="12" t="s">
        <v>65</v>
      </c>
    </row>
    <row r="9225" spans="1:11" ht="40.049999999999997" customHeight="1" x14ac:dyDescent="0.25">
      <c r="A9225" s="11" t="s">
        <v>18424</v>
      </c>
      <c r="B9225" s="11" t="s">
        <v>18425</v>
      </c>
      <c r="C9225" s="11" t="s">
        <v>80</v>
      </c>
      <c r="D9225" s="11" t="s">
        <v>173</v>
      </c>
      <c r="E9225" s="12" t="s">
        <v>862</v>
      </c>
      <c r="F9225" s="12" t="s">
        <v>863</v>
      </c>
      <c r="G9225" s="12" t="s">
        <v>305</v>
      </c>
      <c r="H9225" s="11" t="s">
        <v>63</v>
      </c>
      <c r="I9225" s="13" t="s">
        <v>18427</v>
      </c>
      <c r="J9225" s="14" t="str">
        <f>HYPERLINK("https://www.boe.es/gazeta/dias/1839/10/28/pdfs/GMD-1839-1814.pdf#page=6","Abrir facsímil")</f>
        <v>Abrir facsímil</v>
      </c>
      <c r="K9225" s="12" t="s">
        <v>65</v>
      </c>
    </row>
    <row r="9226" spans="1:11" ht="40.049999999999997" customHeight="1" x14ac:dyDescent="0.25">
      <c r="A9226" s="11" t="s">
        <v>18428</v>
      </c>
      <c r="B9226" s="11" t="s">
        <v>18428</v>
      </c>
      <c r="C9226" s="11" t="s">
        <v>101</v>
      </c>
      <c r="D9226" s="11" t="s">
        <v>43</v>
      </c>
      <c r="E9226" s="12" t="s">
        <v>700</v>
      </c>
      <c r="F9226" s="12" t="s">
        <v>701</v>
      </c>
      <c r="G9226" s="12" t="s">
        <v>29</v>
      </c>
      <c r="H9226" s="11" t="s">
        <v>63</v>
      </c>
      <c r="I9226" s="13" t="s">
        <v>18429</v>
      </c>
      <c r="J9226" s="14" t="str">
        <f>HYPERLINK("https://www.boe.es/gazeta/dias/1839/09/01/pdfs/GMD-1839-1753.pdf#page=1","Abrir facsímil")</f>
        <v>Abrir facsímil</v>
      </c>
      <c r="K9226" s="12" t="s">
        <v>65</v>
      </c>
    </row>
    <row r="9227" spans="1:11" ht="40.049999999999997" customHeight="1" x14ac:dyDescent="0.25">
      <c r="A9227" s="11" t="s">
        <v>18428</v>
      </c>
      <c r="B9227" s="11" t="s">
        <v>18428</v>
      </c>
      <c r="C9227" s="11" t="s">
        <v>17</v>
      </c>
      <c r="D9227" s="11" t="s">
        <v>18</v>
      </c>
      <c r="E9227" s="12" t="s">
        <v>369</v>
      </c>
      <c r="F9227" s="12" t="s">
        <v>370</v>
      </c>
      <c r="G9227" s="12" t="s">
        <v>21</v>
      </c>
      <c r="H9227" s="11" t="s">
        <v>63</v>
      </c>
      <c r="I9227" s="13" t="s">
        <v>18430</v>
      </c>
      <c r="J9227" s="14" t="str">
        <f>HYPERLINK("https://www.boe.es/gazeta/dias/1839/11/01/pdfs/GMD-1839-1818.pdf#page=4","Abrir facsímil")</f>
        <v>Abrir facsímil</v>
      </c>
      <c r="K9227" s="12" t="s">
        <v>65</v>
      </c>
    </row>
    <row r="9228" spans="1:11" ht="40.049999999999997" customHeight="1" x14ac:dyDescent="0.25">
      <c r="A9228" s="11" t="s">
        <v>18428</v>
      </c>
      <c r="B9228" s="11" t="s">
        <v>18428</v>
      </c>
      <c r="C9228" s="11" t="s">
        <v>101</v>
      </c>
      <c r="D9228" s="11" t="s">
        <v>43</v>
      </c>
      <c r="E9228" s="12" t="s">
        <v>38</v>
      </c>
      <c r="F9228" s="12" t="s">
        <v>39</v>
      </c>
      <c r="G9228" s="12" t="s">
        <v>40</v>
      </c>
      <c r="H9228" s="11" t="s">
        <v>63</v>
      </c>
      <c r="I9228" s="13" t="s">
        <v>18431</v>
      </c>
      <c r="J9228" s="14" t="str">
        <f>HYPERLINK("https://www.boe.es/gazeta/dias/1839/08/08/pdfs/GMD-1839-1728.pdf#page=2","Abrir facsímil")</f>
        <v>Abrir facsímil</v>
      </c>
      <c r="K9228" s="12" t="s">
        <v>65</v>
      </c>
    </row>
    <row r="9229" spans="1:11" ht="40.049999999999997" customHeight="1" x14ac:dyDescent="0.25">
      <c r="A9229" s="11" t="s">
        <v>18428</v>
      </c>
      <c r="B9229" s="11" t="s">
        <v>18428</v>
      </c>
      <c r="C9229" s="11" t="s">
        <v>17</v>
      </c>
      <c r="D9229" s="11" t="s">
        <v>18</v>
      </c>
      <c r="E9229" s="12" t="s">
        <v>685</v>
      </c>
      <c r="F9229" s="12" t="s">
        <v>686</v>
      </c>
      <c r="G9229" s="12" t="s">
        <v>21</v>
      </c>
      <c r="H9229" s="11" t="s">
        <v>63</v>
      </c>
      <c r="I9229" s="13" t="s">
        <v>18432</v>
      </c>
      <c r="J9229" s="14" t="str">
        <f>HYPERLINK("https://www.boe.es/gazeta/dias/1839/06/18/pdfs/GMD-1839-1676.pdf#page=4","Abrir facsímil")</f>
        <v>Abrir facsímil</v>
      </c>
      <c r="K9229" s="12" t="s">
        <v>65</v>
      </c>
    </row>
    <row r="9230" spans="1:11" ht="40.049999999999997" customHeight="1" x14ac:dyDescent="0.25">
      <c r="A9230" s="11" t="s">
        <v>18428</v>
      </c>
      <c r="B9230" s="11" t="s">
        <v>18428</v>
      </c>
      <c r="C9230" s="11" t="s">
        <v>80</v>
      </c>
      <c r="D9230" s="11" t="s">
        <v>18</v>
      </c>
      <c r="E9230" s="12" t="s">
        <v>1909</v>
      </c>
      <c r="F9230" s="12" t="s">
        <v>1910</v>
      </c>
      <c r="G9230" s="12" t="s">
        <v>21</v>
      </c>
      <c r="H9230" s="11" t="s">
        <v>63</v>
      </c>
      <c r="I9230" s="13" t="s">
        <v>18433</v>
      </c>
      <c r="J9230" s="14" t="str">
        <f>HYPERLINK("https://www.boe.es/gazeta/dias/1839/10/27/pdfs/GMD-1839-1813.pdf#page=4","Abrir facsímil")</f>
        <v>Abrir facsímil</v>
      </c>
      <c r="K9230" s="12" t="s">
        <v>65</v>
      </c>
    </row>
    <row r="9231" spans="1:11" ht="40.049999999999997" customHeight="1" x14ac:dyDescent="0.25">
      <c r="A9231" s="11" t="s">
        <v>18434</v>
      </c>
      <c r="B9231" s="11" t="s">
        <v>18434</v>
      </c>
      <c r="C9231" s="11" t="s">
        <v>17</v>
      </c>
      <c r="D9231" s="11" t="s">
        <v>18</v>
      </c>
      <c r="E9231" s="12" t="s">
        <v>212</v>
      </c>
      <c r="F9231" s="12" t="s">
        <v>213</v>
      </c>
      <c r="G9231" s="12" t="s">
        <v>29</v>
      </c>
      <c r="H9231" s="11" t="s">
        <v>63</v>
      </c>
      <c r="I9231" s="13" t="s">
        <v>18435</v>
      </c>
      <c r="J9231" s="14" t="str">
        <f>HYPERLINK("https://www.boe.es/gazeta/dias/1839/10/03/pdfs/GMD-1839-1789.pdf#page=1","Abrir facsímil")</f>
        <v>Abrir facsímil</v>
      </c>
      <c r="K9231" s="12" t="s">
        <v>65</v>
      </c>
    </row>
    <row r="9232" spans="1:11" ht="40.049999999999997" customHeight="1" x14ac:dyDescent="0.25">
      <c r="A9232" s="11" t="s">
        <v>18434</v>
      </c>
      <c r="B9232" s="11" t="s">
        <v>18434</v>
      </c>
      <c r="C9232" s="11" t="s">
        <v>17</v>
      </c>
      <c r="D9232" s="11" t="s">
        <v>18</v>
      </c>
      <c r="E9232" s="12" t="s">
        <v>561</v>
      </c>
      <c r="F9232" s="12" t="s">
        <v>562</v>
      </c>
      <c r="G9232" s="12" t="s">
        <v>46</v>
      </c>
      <c r="H9232" s="11" t="s">
        <v>63</v>
      </c>
      <c r="I9232" s="13" t="s">
        <v>18436</v>
      </c>
      <c r="J9232" s="14" t="str">
        <f>HYPERLINK("https://www.boe.es/gazeta/dias/1839/09/11/pdfs/GMD-1839-1764.pdf#page=3","Abrir facsímil")</f>
        <v>Abrir facsímil</v>
      </c>
      <c r="K9232" s="12" t="s">
        <v>65</v>
      </c>
    </row>
    <row r="9233" spans="1:11" ht="40.049999999999997" customHeight="1" x14ac:dyDescent="0.25">
      <c r="A9233" s="11" t="s">
        <v>18434</v>
      </c>
      <c r="B9233" s="11" t="s">
        <v>18434</v>
      </c>
      <c r="C9233" s="11" t="s">
        <v>137</v>
      </c>
      <c r="D9233" s="11" t="s">
        <v>18</v>
      </c>
      <c r="E9233" s="12" t="s">
        <v>1100</v>
      </c>
      <c r="F9233" s="12" t="s">
        <v>1101</v>
      </c>
      <c r="G9233" s="12" t="s">
        <v>40</v>
      </c>
      <c r="H9233" s="11" t="s">
        <v>63</v>
      </c>
      <c r="I9233" s="13" t="s">
        <v>18437</v>
      </c>
      <c r="J9233" s="14" t="str">
        <f>HYPERLINK("https://www.boe.es/gazeta/dias/1839/09/13/pdfs/GMD-1839-1766.pdf#page=2","Abrir facsímil")</f>
        <v>Abrir facsímil</v>
      </c>
      <c r="K9233" s="12" t="s">
        <v>65</v>
      </c>
    </row>
    <row r="9234" spans="1:11" ht="40.049999999999997" customHeight="1" x14ac:dyDescent="0.25">
      <c r="A9234" s="11" t="s">
        <v>18438</v>
      </c>
      <c r="B9234" s="11" t="s">
        <v>18438</v>
      </c>
      <c r="C9234" s="11" t="s">
        <v>101</v>
      </c>
      <c r="D9234" s="11" t="s">
        <v>43</v>
      </c>
      <c r="E9234" s="12" t="s">
        <v>108</v>
      </c>
      <c r="F9234" s="12" t="s">
        <v>109</v>
      </c>
      <c r="G9234" s="12" t="s">
        <v>21</v>
      </c>
      <c r="H9234" s="11" t="s">
        <v>63</v>
      </c>
      <c r="I9234" s="13" t="s">
        <v>18439</v>
      </c>
      <c r="J9234" s="14" t="str">
        <f>HYPERLINK("https://www.boe.es/gazeta/dias/1839/01/04/pdfs/GMD-1839-1511.pdf#page=4","Abrir facsímil")</f>
        <v>Abrir facsímil</v>
      </c>
      <c r="K9234" s="12" t="s">
        <v>65</v>
      </c>
    </row>
    <row r="9235" spans="1:11" ht="40.049999999999997" customHeight="1" x14ac:dyDescent="0.25">
      <c r="A9235" s="11" t="s">
        <v>18440</v>
      </c>
      <c r="B9235" s="11" t="s">
        <v>18440</v>
      </c>
      <c r="C9235" s="11" t="s">
        <v>17</v>
      </c>
      <c r="D9235" s="11" t="s">
        <v>18</v>
      </c>
      <c r="E9235" s="12" t="s">
        <v>474</v>
      </c>
      <c r="F9235" s="12" t="s">
        <v>475</v>
      </c>
      <c r="G9235" s="12" t="s">
        <v>21</v>
      </c>
      <c r="H9235" s="11" t="s">
        <v>63</v>
      </c>
      <c r="I9235" s="13" t="s">
        <v>18441</v>
      </c>
      <c r="J9235" s="14" t="str">
        <f>HYPERLINK("https://www.boe.es/gazeta/dias/1839/03/31/pdfs/GMD-1839-1597.pdf#page=4","Abrir facsímil")</f>
        <v>Abrir facsímil</v>
      </c>
      <c r="K9235" s="12" t="s">
        <v>65</v>
      </c>
    </row>
    <row r="9236" spans="1:11" ht="40.049999999999997" customHeight="1" x14ac:dyDescent="0.25">
      <c r="A9236" s="11" t="s">
        <v>18442</v>
      </c>
      <c r="B9236" s="11" t="s">
        <v>18442</v>
      </c>
      <c r="C9236" s="11" t="s">
        <v>17</v>
      </c>
      <c r="D9236" s="11" t="s">
        <v>18</v>
      </c>
      <c r="E9236" s="12" t="s">
        <v>246</v>
      </c>
      <c r="F9236" s="12" t="s">
        <v>247</v>
      </c>
      <c r="G9236" s="12" t="s">
        <v>21</v>
      </c>
      <c r="H9236" s="11" t="s">
        <v>63</v>
      </c>
      <c r="I9236" s="13" t="s">
        <v>18443</v>
      </c>
      <c r="J9236" s="14" t="str">
        <f>HYPERLINK("https://www.boe.es/gazeta/dias/1839/11/24/pdfs/GMD-1839-1841.pdf#page=4","Abrir facsímil")</f>
        <v>Abrir facsímil</v>
      </c>
      <c r="K9236" s="12" t="s">
        <v>65</v>
      </c>
    </row>
    <row r="9237" spans="1:11" ht="40.049999999999997" customHeight="1" x14ac:dyDescent="0.25">
      <c r="A9237" s="11" t="s">
        <v>18444</v>
      </c>
      <c r="B9237" s="11" t="s">
        <v>18444</v>
      </c>
      <c r="C9237" s="11" t="s">
        <v>137</v>
      </c>
      <c r="D9237" s="11" t="s">
        <v>18</v>
      </c>
      <c r="E9237" s="12" t="s">
        <v>197</v>
      </c>
      <c r="F9237" s="12" t="s">
        <v>198</v>
      </c>
      <c r="G9237" s="12" t="s">
        <v>46</v>
      </c>
      <c r="H9237" s="11" t="s">
        <v>63</v>
      </c>
      <c r="I9237" s="13" t="s">
        <v>18445</v>
      </c>
      <c r="J9237" s="14" t="str">
        <f>HYPERLINK("https://www.boe.es/gazeta/dias/1839/10/04/pdfs/GMD-1839-1790.pdf#page=3","Abrir facsímil")</f>
        <v>Abrir facsímil</v>
      </c>
      <c r="K9237" s="12" t="s">
        <v>65</v>
      </c>
    </row>
    <row r="9238" spans="1:11" ht="40.049999999999997" customHeight="1" x14ac:dyDescent="0.25">
      <c r="A9238" s="11" t="s">
        <v>18444</v>
      </c>
      <c r="B9238" s="11" t="s">
        <v>18444</v>
      </c>
      <c r="C9238" s="11" t="s">
        <v>101</v>
      </c>
      <c r="D9238" s="11" t="s">
        <v>43</v>
      </c>
      <c r="E9238" s="12" t="s">
        <v>1008</v>
      </c>
      <c r="F9238" s="12" t="s">
        <v>1009</v>
      </c>
      <c r="G9238" s="12" t="s">
        <v>40</v>
      </c>
      <c r="H9238" s="11" t="s">
        <v>63</v>
      </c>
      <c r="I9238" s="13" t="s">
        <v>18446</v>
      </c>
      <c r="J9238" s="14" t="str">
        <f>HYPERLINK("https://www.boe.es/gazeta/dias/1839/09/07/pdfs/GMD-1839-1760.pdf#page=2","Abrir facsímil")</f>
        <v>Abrir facsímil</v>
      </c>
      <c r="K9238" s="12" t="s">
        <v>65</v>
      </c>
    </row>
    <row r="9239" spans="1:11" ht="40.049999999999997" customHeight="1" x14ac:dyDescent="0.25">
      <c r="A9239" s="11" t="s">
        <v>18444</v>
      </c>
      <c r="B9239" s="11" t="s">
        <v>18444</v>
      </c>
      <c r="C9239" s="11" t="s">
        <v>80</v>
      </c>
      <c r="D9239" s="11" t="s">
        <v>18</v>
      </c>
      <c r="E9239" s="12" t="s">
        <v>2301</v>
      </c>
      <c r="F9239" s="12" t="s">
        <v>2302</v>
      </c>
      <c r="G9239" s="12" t="s">
        <v>46</v>
      </c>
      <c r="H9239" s="11" t="s">
        <v>63</v>
      </c>
      <c r="I9239" s="13" t="s">
        <v>18447</v>
      </c>
      <c r="J9239" s="14" t="str">
        <f>HYPERLINK("https://www.boe.es/gazeta/dias/1839/09/08/pdfs/GMD-1839-1761.pdf#page=3","Abrir facsímil")</f>
        <v>Abrir facsímil</v>
      </c>
      <c r="K9239" s="12" t="s">
        <v>65</v>
      </c>
    </row>
    <row r="9240" spans="1:11" ht="40.049999999999997" customHeight="1" x14ac:dyDescent="0.25">
      <c r="A9240" s="11" t="s">
        <v>18448</v>
      </c>
      <c r="B9240" s="11" t="s">
        <v>18449</v>
      </c>
      <c r="C9240" s="11" t="s">
        <v>17</v>
      </c>
      <c r="D9240" s="11" t="s">
        <v>18</v>
      </c>
      <c r="E9240" s="12" t="s">
        <v>116</v>
      </c>
      <c r="F9240" s="12" t="s">
        <v>117</v>
      </c>
      <c r="G9240" s="12" t="s">
        <v>40</v>
      </c>
      <c r="H9240" s="11" t="s">
        <v>22</v>
      </c>
      <c r="I9240" s="13" t="s">
        <v>18450</v>
      </c>
      <c r="J9240" s="14" t="str">
        <f>HYPERLINK("https://www.boe.es/gazeta/dias/1839/10/10/pdfs/GMD-1839-1796.pdf#page=2","Abrir facsímil")</f>
        <v>Abrir facsímil</v>
      </c>
      <c r="K9240" s="12" t="s">
        <v>24</v>
      </c>
    </row>
    <row r="9241" spans="1:11" ht="40.049999999999997" customHeight="1" x14ac:dyDescent="0.25">
      <c r="A9241" s="11" t="s">
        <v>18451</v>
      </c>
      <c r="B9241" s="11" t="s">
        <v>18452</v>
      </c>
      <c r="C9241" s="11" t="s">
        <v>17</v>
      </c>
      <c r="D9241" s="11" t="s">
        <v>18</v>
      </c>
      <c r="E9241" s="12" t="s">
        <v>258</v>
      </c>
      <c r="F9241" s="12" t="s">
        <v>259</v>
      </c>
      <c r="G9241" s="12" t="s">
        <v>46</v>
      </c>
      <c r="H9241" s="11" t="s">
        <v>22</v>
      </c>
      <c r="I9241" s="13" t="s">
        <v>18453</v>
      </c>
      <c r="J9241" s="14" t="str">
        <f>HYPERLINK("https://www.boe.es/gazeta/dias/1839/01/02/pdfs/GMD-1839-1509.pdf#page=3","Abrir facsímil")</f>
        <v>Abrir facsímil</v>
      </c>
      <c r="K9241" s="12" t="s">
        <v>24</v>
      </c>
    </row>
    <row r="9242" spans="1:11" ht="40.049999999999997" customHeight="1" x14ac:dyDescent="0.25">
      <c r="A9242" s="11" t="s">
        <v>18454</v>
      </c>
      <c r="B9242" s="11" t="s">
        <v>18455</v>
      </c>
      <c r="C9242" s="11" t="s">
        <v>17</v>
      </c>
      <c r="D9242" s="11" t="s">
        <v>18</v>
      </c>
      <c r="E9242" s="12" t="s">
        <v>258</v>
      </c>
      <c r="F9242" s="12" t="s">
        <v>259</v>
      </c>
      <c r="G9242" s="12" t="s">
        <v>46</v>
      </c>
      <c r="H9242" s="11" t="s">
        <v>22</v>
      </c>
      <c r="I9242" s="13" t="s">
        <v>18456</v>
      </c>
      <c r="J9242" s="14" t="str">
        <f>HYPERLINK("https://www.boe.es/gazeta/dias/1839/01/02/pdfs/GMD-1839-1509.pdf#page=3","Abrir facsímil")</f>
        <v>Abrir facsímil</v>
      </c>
      <c r="K9242" s="12" t="s">
        <v>24</v>
      </c>
    </row>
    <row r="9243" spans="1:11" ht="40.049999999999997" customHeight="1" x14ac:dyDescent="0.25">
      <c r="A9243" s="11" t="s">
        <v>18457</v>
      </c>
      <c r="B9243" s="11" t="s">
        <v>18458</v>
      </c>
      <c r="C9243" s="11" t="s">
        <v>17</v>
      </c>
      <c r="D9243" s="11" t="s">
        <v>18</v>
      </c>
      <c r="E9243" s="12" t="s">
        <v>798</v>
      </c>
      <c r="F9243" s="12" t="s">
        <v>799</v>
      </c>
      <c r="G9243" s="12" t="s">
        <v>29</v>
      </c>
      <c r="H9243" s="11" t="s">
        <v>22</v>
      </c>
      <c r="I9243" s="13" t="s">
        <v>18459</v>
      </c>
      <c r="J9243" s="14" t="str">
        <f>HYPERLINK("https://www.boe.es/gazeta/dias/1839/09/03/pdfs/GMD-1839-1755.pdf#page=1","Abrir facsímil")</f>
        <v>Abrir facsímil</v>
      </c>
      <c r="K9243" s="12" t="s">
        <v>24</v>
      </c>
    </row>
    <row r="9244" spans="1:11" ht="40.049999999999997" customHeight="1" x14ac:dyDescent="0.25">
      <c r="A9244" s="11" t="s">
        <v>18460</v>
      </c>
      <c r="B9244" s="11" t="s">
        <v>18460</v>
      </c>
      <c r="C9244" s="11" t="s">
        <v>59</v>
      </c>
      <c r="D9244" s="11" t="s">
        <v>60</v>
      </c>
      <c r="E9244" s="12" t="s">
        <v>1685</v>
      </c>
      <c r="F9244" s="12" t="s">
        <v>1686</v>
      </c>
      <c r="G9244" s="12" t="s">
        <v>29</v>
      </c>
      <c r="H9244" s="11" t="s">
        <v>63</v>
      </c>
      <c r="I9244" s="13" t="s">
        <v>18461</v>
      </c>
      <c r="J9244" s="14" t="str">
        <f>HYPERLINK("https://www.boe.es/gazeta/dias/1839/04/27/pdfs/GMD-1839-1624.pdf#page=1","Abrir facsímil")</f>
        <v>Abrir facsímil</v>
      </c>
      <c r="K9244" s="12" t="s">
        <v>65</v>
      </c>
    </row>
    <row r="9245" spans="1:11" ht="40.049999999999997" customHeight="1" x14ac:dyDescent="0.25">
      <c r="A9245" s="11" t="s">
        <v>18462</v>
      </c>
      <c r="B9245" s="11" t="s">
        <v>18462</v>
      </c>
      <c r="C9245" s="11" t="s">
        <v>80</v>
      </c>
      <c r="D9245" s="11" t="s">
        <v>18</v>
      </c>
      <c r="E9245" s="12" t="s">
        <v>700</v>
      </c>
      <c r="F9245" s="12" t="s">
        <v>701</v>
      </c>
      <c r="G9245" s="12" t="s">
        <v>21</v>
      </c>
      <c r="H9245" s="11" t="s">
        <v>63</v>
      </c>
      <c r="I9245" s="13" t="s">
        <v>18463</v>
      </c>
      <c r="J9245" s="14" t="str">
        <f>HYPERLINK("https://www.boe.es/gazeta/dias/1839/09/01/pdfs/GMD-1839-1753.pdf#page=4","Abrir facsímil")</f>
        <v>Abrir facsímil</v>
      </c>
      <c r="K9245" s="12" t="s">
        <v>65</v>
      </c>
    </row>
    <row r="9246" spans="1:11" ht="40.049999999999997" customHeight="1" x14ac:dyDescent="0.25">
      <c r="A9246" s="11" t="s">
        <v>18462</v>
      </c>
      <c r="B9246" s="11" t="s">
        <v>18462</v>
      </c>
      <c r="C9246" s="11" t="s">
        <v>59</v>
      </c>
      <c r="D9246" s="11" t="s">
        <v>60</v>
      </c>
      <c r="E9246" s="12" t="s">
        <v>258</v>
      </c>
      <c r="F9246" s="12" t="s">
        <v>259</v>
      </c>
      <c r="G9246" s="12" t="s">
        <v>29</v>
      </c>
      <c r="H9246" s="11" t="s">
        <v>63</v>
      </c>
      <c r="I9246" s="13" t="s">
        <v>18464</v>
      </c>
      <c r="J9246" s="14" t="str">
        <f>HYPERLINK("https://www.boe.es/gazeta/dias/1839/01/02/pdfs/GMD-1839-1509.pdf#page=1","Abrir facsímil")</f>
        <v>Abrir facsímil</v>
      </c>
      <c r="K9246" s="12" t="s">
        <v>65</v>
      </c>
    </row>
    <row r="9247" spans="1:11" ht="40.049999999999997" customHeight="1" x14ac:dyDescent="0.25">
      <c r="A9247" s="11" t="s">
        <v>18462</v>
      </c>
      <c r="B9247" s="11" t="s">
        <v>18462</v>
      </c>
      <c r="C9247" s="11" t="s">
        <v>101</v>
      </c>
      <c r="D9247" s="11" t="s">
        <v>43</v>
      </c>
      <c r="E9247" s="12" t="s">
        <v>212</v>
      </c>
      <c r="F9247" s="12" t="s">
        <v>213</v>
      </c>
      <c r="G9247" s="12" t="s">
        <v>46</v>
      </c>
      <c r="H9247" s="11" t="s">
        <v>63</v>
      </c>
      <c r="I9247" s="13" t="s">
        <v>18465</v>
      </c>
      <c r="J9247" s="14" t="str">
        <f>HYPERLINK("https://www.boe.es/gazeta/dias/1839/10/03/pdfs/GMD-1839-1789.pdf#page=3","Abrir facsímil")</f>
        <v>Abrir facsímil</v>
      </c>
      <c r="K9247" s="12" t="s">
        <v>65</v>
      </c>
    </row>
    <row r="9248" spans="1:11" ht="40.049999999999997" customHeight="1" x14ac:dyDescent="0.25">
      <c r="A9248" s="11" t="s">
        <v>18462</v>
      </c>
      <c r="B9248" s="11" t="s">
        <v>18462</v>
      </c>
      <c r="C9248" s="11" t="s">
        <v>80</v>
      </c>
      <c r="D9248" s="11" t="s">
        <v>18</v>
      </c>
      <c r="E9248" s="12" t="s">
        <v>108</v>
      </c>
      <c r="F9248" s="12" t="s">
        <v>109</v>
      </c>
      <c r="G9248" s="12" t="s">
        <v>29</v>
      </c>
      <c r="H9248" s="11" t="s">
        <v>63</v>
      </c>
      <c r="I9248" s="13" t="s">
        <v>18466</v>
      </c>
      <c r="J9248" s="14" t="str">
        <f>HYPERLINK("https://www.boe.es/gazeta/dias/1839/01/04/pdfs/GMD-1839-1511.pdf#page=1","Abrir facsímil")</f>
        <v>Abrir facsímil</v>
      </c>
      <c r="K9248" s="12" t="s">
        <v>65</v>
      </c>
    </row>
    <row r="9249" spans="1:11" ht="40.049999999999997" customHeight="1" x14ac:dyDescent="0.25">
      <c r="A9249" s="11" t="s">
        <v>18462</v>
      </c>
      <c r="B9249" s="11" t="s">
        <v>18462</v>
      </c>
      <c r="C9249" s="11" t="s">
        <v>17</v>
      </c>
      <c r="D9249" s="11" t="s">
        <v>18</v>
      </c>
      <c r="E9249" s="12" t="s">
        <v>108</v>
      </c>
      <c r="F9249" s="12" t="s">
        <v>109</v>
      </c>
      <c r="G9249" s="12" t="s">
        <v>40</v>
      </c>
      <c r="H9249" s="11" t="s">
        <v>63</v>
      </c>
      <c r="I9249" s="13" t="s">
        <v>18467</v>
      </c>
      <c r="J9249" s="14" t="str">
        <f>HYPERLINK("https://www.boe.es/gazeta/dias/1839/01/04/pdfs/GMD-1839-1511.pdf#page=2","Abrir facsímil")</f>
        <v>Abrir facsímil</v>
      </c>
      <c r="K9249" s="12" t="s">
        <v>65</v>
      </c>
    </row>
    <row r="9250" spans="1:11" ht="40.049999999999997" customHeight="1" x14ac:dyDescent="0.25">
      <c r="A9250" s="11" t="s">
        <v>18462</v>
      </c>
      <c r="B9250" s="11" t="s">
        <v>18462</v>
      </c>
      <c r="C9250" s="11" t="s">
        <v>17</v>
      </c>
      <c r="D9250" s="11" t="s">
        <v>18</v>
      </c>
      <c r="E9250" s="12" t="s">
        <v>1388</v>
      </c>
      <c r="F9250" s="12" t="s">
        <v>1389</v>
      </c>
      <c r="G9250" s="12" t="s">
        <v>29</v>
      </c>
      <c r="H9250" s="11" t="s">
        <v>63</v>
      </c>
      <c r="I9250" s="13" t="s">
        <v>18468</v>
      </c>
      <c r="J9250" s="14" t="str">
        <f>HYPERLINK("https://www.boe.es/gazeta/dias/1839/06/04/pdfs/GMD-1839-1662.pdf#page=1","Abrir facsímil")</f>
        <v>Abrir facsímil</v>
      </c>
      <c r="K9250" s="12" t="s">
        <v>65</v>
      </c>
    </row>
    <row r="9251" spans="1:11" ht="40.049999999999997" customHeight="1" x14ac:dyDescent="0.25">
      <c r="A9251" s="11" t="s">
        <v>18462</v>
      </c>
      <c r="B9251" s="11" t="s">
        <v>18462</v>
      </c>
      <c r="C9251" s="11" t="s">
        <v>137</v>
      </c>
      <c r="D9251" s="11" t="s">
        <v>18</v>
      </c>
      <c r="E9251" s="12" t="s">
        <v>291</v>
      </c>
      <c r="F9251" s="12" t="s">
        <v>292</v>
      </c>
      <c r="G9251" s="12" t="s">
        <v>29</v>
      </c>
      <c r="H9251" s="11" t="s">
        <v>63</v>
      </c>
      <c r="I9251" s="13" t="s">
        <v>18469</v>
      </c>
      <c r="J9251" s="14" t="str">
        <f>HYPERLINK("https://www.boe.es/gazeta/dias/1839/09/04/pdfs/GMD-1839-1757.pdf#page=1","Abrir facsímil")</f>
        <v>Abrir facsímil</v>
      </c>
      <c r="K9251" s="12" t="s">
        <v>65</v>
      </c>
    </row>
    <row r="9252" spans="1:11" ht="40.049999999999997" customHeight="1" x14ac:dyDescent="0.25">
      <c r="A9252" s="11" t="s">
        <v>18462</v>
      </c>
      <c r="B9252" s="11" t="s">
        <v>18462</v>
      </c>
      <c r="C9252" s="11" t="s">
        <v>17</v>
      </c>
      <c r="D9252" s="11" t="s">
        <v>18</v>
      </c>
      <c r="E9252" s="12" t="s">
        <v>197</v>
      </c>
      <c r="F9252" s="12" t="s">
        <v>198</v>
      </c>
      <c r="G9252" s="12" t="s">
        <v>40</v>
      </c>
      <c r="H9252" s="11" t="s">
        <v>63</v>
      </c>
      <c r="I9252" s="13" t="s">
        <v>18470</v>
      </c>
      <c r="J9252" s="14" t="str">
        <f>HYPERLINK("https://www.boe.es/gazeta/dias/1839/10/04/pdfs/GMD-1839-1790.pdf#page=2","Abrir facsímil")</f>
        <v>Abrir facsímil</v>
      </c>
      <c r="K9252" s="12" t="s">
        <v>65</v>
      </c>
    </row>
    <row r="9253" spans="1:11" ht="40.049999999999997" customHeight="1" x14ac:dyDescent="0.25">
      <c r="A9253" s="11" t="s">
        <v>18462</v>
      </c>
      <c r="B9253" s="11" t="s">
        <v>18462</v>
      </c>
      <c r="C9253" s="11" t="s">
        <v>17</v>
      </c>
      <c r="D9253" s="11" t="s">
        <v>18</v>
      </c>
      <c r="E9253" s="12" t="s">
        <v>202</v>
      </c>
      <c r="F9253" s="12" t="s">
        <v>203</v>
      </c>
      <c r="G9253" s="12" t="s">
        <v>40</v>
      </c>
      <c r="H9253" s="11" t="s">
        <v>63</v>
      </c>
      <c r="I9253" s="13" t="s">
        <v>18471</v>
      </c>
      <c r="J9253" s="14" t="str">
        <f>HYPERLINK("https://www.boe.es/gazeta/dias/1839/04/05/pdfs/GMD-1839-1602.pdf#page=2","Abrir facsímil")</f>
        <v>Abrir facsímil</v>
      </c>
      <c r="K9253" s="12" t="s">
        <v>65</v>
      </c>
    </row>
    <row r="9254" spans="1:11" ht="40.049999999999997" customHeight="1" x14ac:dyDescent="0.25">
      <c r="A9254" s="11" t="s">
        <v>18462</v>
      </c>
      <c r="B9254" s="11" t="s">
        <v>18462</v>
      </c>
      <c r="C9254" s="11" t="s">
        <v>59</v>
      </c>
      <c r="D9254" s="11" t="s">
        <v>60</v>
      </c>
      <c r="E9254" s="12" t="s">
        <v>503</v>
      </c>
      <c r="F9254" s="12" t="s">
        <v>504</v>
      </c>
      <c r="G9254" s="12" t="s">
        <v>46</v>
      </c>
      <c r="H9254" s="11" t="s">
        <v>63</v>
      </c>
      <c r="I9254" s="13" t="s">
        <v>18472</v>
      </c>
      <c r="J9254" s="14" t="str">
        <f>HYPERLINK("https://www.boe.es/gazeta/dias/1839/06/07/pdfs/GMD-1839-1665.pdf#page=3","Abrir facsímil")</f>
        <v>Abrir facsímil</v>
      </c>
      <c r="K9254" s="12" t="s">
        <v>65</v>
      </c>
    </row>
    <row r="9255" spans="1:11" ht="40.049999999999997" customHeight="1" x14ac:dyDescent="0.25">
      <c r="A9255" s="11" t="s">
        <v>18462</v>
      </c>
      <c r="B9255" s="11" t="s">
        <v>18462</v>
      </c>
      <c r="C9255" s="11" t="s">
        <v>80</v>
      </c>
      <c r="D9255" s="11" t="s">
        <v>18</v>
      </c>
      <c r="E9255" s="12" t="s">
        <v>388</v>
      </c>
      <c r="F9255" s="12" t="s">
        <v>389</v>
      </c>
      <c r="G9255" s="12" t="s">
        <v>29</v>
      </c>
      <c r="H9255" s="11" t="s">
        <v>63</v>
      </c>
      <c r="I9255" s="13" t="s">
        <v>18473</v>
      </c>
      <c r="J9255" s="14" t="str">
        <f>HYPERLINK("https://www.boe.es/gazeta/dias/1839/08/07/pdfs/GMD-1839-1727.pdf#page=1","Abrir facsímil")</f>
        <v>Abrir facsímil</v>
      </c>
      <c r="K9255" s="12" t="s">
        <v>65</v>
      </c>
    </row>
    <row r="9256" spans="1:11" ht="40.049999999999997" customHeight="1" x14ac:dyDescent="0.25">
      <c r="A9256" s="11" t="s">
        <v>18462</v>
      </c>
      <c r="B9256" s="11" t="s">
        <v>18462</v>
      </c>
      <c r="C9256" s="11" t="s">
        <v>101</v>
      </c>
      <c r="D9256" s="11" t="s">
        <v>43</v>
      </c>
      <c r="E9256" s="12" t="s">
        <v>157</v>
      </c>
      <c r="F9256" s="12" t="s">
        <v>158</v>
      </c>
      <c r="G9256" s="12" t="s">
        <v>21</v>
      </c>
      <c r="H9256" s="11" t="s">
        <v>63</v>
      </c>
      <c r="I9256" s="13" t="s">
        <v>18474</v>
      </c>
      <c r="J9256" s="14" t="str">
        <f>HYPERLINK("https://www.boe.es/gazeta/dias/1839/02/08/pdfs/GMD-1839-1546.pdf#page=4","Abrir facsímil")</f>
        <v>Abrir facsímil</v>
      </c>
      <c r="K9256" s="12" t="s">
        <v>65</v>
      </c>
    </row>
    <row r="9257" spans="1:11" ht="40.049999999999997" customHeight="1" x14ac:dyDescent="0.25">
      <c r="A9257" s="11" t="s">
        <v>18462</v>
      </c>
      <c r="B9257" s="11" t="s">
        <v>18462</v>
      </c>
      <c r="C9257" s="11" t="s">
        <v>17</v>
      </c>
      <c r="D9257" s="11" t="s">
        <v>18</v>
      </c>
      <c r="E9257" s="12" t="s">
        <v>647</v>
      </c>
      <c r="F9257" s="12" t="s">
        <v>648</v>
      </c>
      <c r="G9257" s="12" t="s">
        <v>566</v>
      </c>
      <c r="H9257" s="11" t="s">
        <v>63</v>
      </c>
      <c r="I9257" s="13" t="s">
        <v>18475</v>
      </c>
      <c r="J9257" s="14" t="str">
        <f>HYPERLINK("https://www.boe.es/gazeta/dias/1839/10/08/pdfs/GMD-1839-1794.pdf#page=5","Abrir facsímil")</f>
        <v>Abrir facsímil</v>
      </c>
      <c r="K9257" s="12" t="s">
        <v>65</v>
      </c>
    </row>
    <row r="9258" spans="1:11" ht="40.049999999999997" customHeight="1" x14ac:dyDescent="0.25">
      <c r="A9258" s="11" t="s">
        <v>18462</v>
      </c>
      <c r="B9258" s="11" t="s">
        <v>18462</v>
      </c>
      <c r="C9258" s="11" t="s">
        <v>137</v>
      </c>
      <c r="D9258" s="11" t="s">
        <v>18</v>
      </c>
      <c r="E9258" s="12" t="s">
        <v>68</v>
      </c>
      <c r="F9258" s="12" t="s">
        <v>69</v>
      </c>
      <c r="G9258" s="12" t="s">
        <v>29</v>
      </c>
      <c r="H9258" s="11" t="s">
        <v>63</v>
      </c>
      <c r="I9258" s="13" t="s">
        <v>18476</v>
      </c>
      <c r="J9258" s="14" t="str">
        <f>HYPERLINK("https://www.boe.es/gazeta/dias/1839/02/09/pdfs/GMD-1839-1547.pdf#page=1","Abrir facsímil")</f>
        <v>Abrir facsímil</v>
      </c>
      <c r="K9258" s="12" t="s">
        <v>65</v>
      </c>
    </row>
    <row r="9259" spans="1:11" ht="40.049999999999997" customHeight="1" x14ac:dyDescent="0.25">
      <c r="A9259" s="11" t="s">
        <v>18462</v>
      </c>
      <c r="B9259" s="11" t="s">
        <v>18462</v>
      </c>
      <c r="C9259" s="11" t="s">
        <v>101</v>
      </c>
      <c r="D9259" s="11" t="s">
        <v>43</v>
      </c>
      <c r="E9259" s="12" t="s">
        <v>269</v>
      </c>
      <c r="F9259" s="12" t="s">
        <v>270</v>
      </c>
      <c r="G9259" s="12" t="s">
        <v>21</v>
      </c>
      <c r="H9259" s="11" t="s">
        <v>63</v>
      </c>
      <c r="I9259" s="13" t="s">
        <v>18477</v>
      </c>
      <c r="J9259" s="14" t="str">
        <f>HYPERLINK("https://www.boe.es/gazeta/dias/1839/02/10/pdfs/GMD-1839-1548.pdf#page=4","Abrir facsímil")</f>
        <v>Abrir facsímil</v>
      </c>
      <c r="K9259" s="12" t="s">
        <v>65</v>
      </c>
    </row>
    <row r="9260" spans="1:11" ht="40.049999999999997" customHeight="1" x14ac:dyDescent="0.25">
      <c r="A9260" s="11" t="s">
        <v>18462</v>
      </c>
      <c r="B9260" s="11" t="s">
        <v>18462</v>
      </c>
      <c r="C9260" s="11" t="s">
        <v>80</v>
      </c>
      <c r="D9260" s="11" t="s">
        <v>18</v>
      </c>
      <c r="E9260" s="12" t="s">
        <v>1512</v>
      </c>
      <c r="F9260" s="12" t="s">
        <v>1513</v>
      </c>
      <c r="G9260" s="12" t="s">
        <v>21</v>
      </c>
      <c r="H9260" s="11" t="s">
        <v>63</v>
      </c>
      <c r="I9260" s="13" t="s">
        <v>18478</v>
      </c>
      <c r="J9260" s="14" t="str">
        <f>HYPERLINK("https://www.boe.es/gazeta/dias/1839/04/13/pdfs/GMD-1839-1610.pdf#page=4","Abrir facsímil")</f>
        <v>Abrir facsímil</v>
      </c>
      <c r="K9260" s="12" t="s">
        <v>65</v>
      </c>
    </row>
    <row r="9261" spans="1:11" ht="40.049999999999997" customHeight="1" x14ac:dyDescent="0.25">
      <c r="A9261" s="11" t="s">
        <v>18462</v>
      </c>
      <c r="B9261" s="11" t="s">
        <v>18462</v>
      </c>
      <c r="C9261" s="11" t="s">
        <v>17</v>
      </c>
      <c r="D9261" s="11" t="s">
        <v>18</v>
      </c>
      <c r="E9261" s="12" t="s">
        <v>395</v>
      </c>
      <c r="F9261" s="12" t="s">
        <v>396</v>
      </c>
      <c r="G9261" s="12" t="s">
        <v>46</v>
      </c>
      <c r="H9261" s="11" t="s">
        <v>63</v>
      </c>
      <c r="I9261" s="13" t="s">
        <v>18479</v>
      </c>
      <c r="J9261" s="14" t="str">
        <f>HYPERLINK("https://www.boe.es/gazeta/dias/1839/03/15/pdfs/GMD-1839-1581.pdf#page=3","Abrir facsímil")</f>
        <v>Abrir facsímil</v>
      </c>
      <c r="K9261" s="12" t="s">
        <v>65</v>
      </c>
    </row>
    <row r="9262" spans="1:11" ht="40.049999999999997" customHeight="1" x14ac:dyDescent="0.25">
      <c r="A9262" s="11" t="s">
        <v>18462</v>
      </c>
      <c r="B9262" s="11" t="s">
        <v>18462</v>
      </c>
      <c r="C9262" s="11" t="s">
        <v>80</v>
      </c>
      <c r="D9262" s="11" t="s">
        <v>18</v>
      </c>
      <c r="E9262" s="12" t="s">
        <v>685</v>
      </c>
      <c r="F9262" s="12" t="s">
        <v>686</v>
      </c>
      <c r="G9262" s="12" t="s">
        <v>21</v>
      </c>
      <c r="H9262" s="11" t="s">
        <v>63</v>
      </c>
      <c r="I9262" s="13" t="s">
        <v>18480</v>
      </c>
      <c r="J9262" s="14" t="str">
        <f>HYPERLINK("https://www.boe.es/gazeta/dias/1839/06/18/pdfs/GMD-1839-1676.pdf#page=4","Abrir facsímil")</f>
        <v>Abrir facsímil</v>
      </c>
      <c r="K9262" s="12" t="s">
        <v>65</v>
      </c>
    </row>
    <row r="9263" spans="1:11" ht="40.049999999999997" customHeight="1" x14ac:dyDescent="0.25">
      <c r="A9263" s="11" t="s">
        <v>18462</v>
      </c>
      <c r="B9263" s="11" t="s">
        <v>18462</v>
      </c>
      <c r="C9263" s="11" t="s">
        <v>59</v>
      </c>
      <c r="D9263" s="11" t="s">
        <v>60</v>
      </c>
      <c r="E9263" s="12" t="s">
        <v>643</v>
      </c>
      <c r="F9263" s="12" t="s">
        <v>644</v>
      </c>
      <c r="G9263" s="12" t="s">
        <v>40</v>
      </c>
      <c r="H9263" s="11" t="s">
        <v>63</v>
      </c>
      <c r="I9263" s="13" t="s">
        <v>18481</v>
      </c>
      <c r="J9263" s="14" t="str">
        <f>HYPERLINK("https://www.boe.es/gazeta/dias/1839/03/20/pdfs/GMD-1839-1586.pdf#page=2","Abrir facsímil")</f>
        <v>Abrir facsímil</v>
      </c>
      <c r="K9263" s="12" t="s">
        <v>65</v>
      </c>
    </row>
    <row r="9264" spans="1:11" ht="40.049999999999997" customHeight="1" x14ac:dyDescent="0.25">
      <c r="A9264" s="11" t="s">
        <v>18462</v>
      </c>
      <c r="B9264" s="11" t="s">
        <v>18462</v>
      </c>
      <c r="C9264" s="11" t="s">
        <v>59</v>
      </c>
      <c r="D9264" s="11" t="s">
        <v>60</v>
      </c>
      <c r="E9264" s="12" t="s">
        <v>3009</v>
      </c>
      <c r="F9264" s="12" t="s">
        <v>3010</v>
      </c>
      <c r="G9264" s="12" t="s">
        <v>40</v>
      </c>
      <c r="H9264" s="11" t="s">
        <v>63</v>
      </c>
      <c r="I9264" s="13" t="s">
        <v>18482</v>
      </c>
      <c r="J9264" s="14" t="str">
        <f>HYPERLINK("https://www.boe.es/gazeta/dias/1839/04/20/pdfs/GMD-1839-1617.pdf#page=2","Abrir facsímil")</f>
        <v>Abrir facsímil</v>
      </c>
      <c r="K9264" s="12" t="s">
        <v>65</v>
      </c>
    </row>
    <row r="9265" spans="1:11" ht="40.049999999999997" customHeight="1" x14ac:dyDescent="0.25">
      <c r="A9265" s="11" t="s">
        <v>18462</v>
      </c>
      <c r="B9265" s="11" t="s">
        <v>18462</v>
      </c>
      <c r="C9265" s="11" t="s">
        <v>17</v>
      </c>
      <c r="D9265" s="11" t="s">
        <v>18</v>
      </c>
      <c r="E9265" s="12" t="s">
        <v>1374</v>
      </c>
      <c r="F9265" s="12" t="s">
        <v>1375</v>
      </c>
      <c r="G9265" s="12" t="s">
        <v>29</v>
      </c>
      <c r="H9265" s="11" t="s">
        <v>63</v>
      </c>
      <c r="I9265" s="13" t="s">
        <v>18483</v>
      </c>
      <c r="J9265" s="14" t="str">
        <f>HYPERLINK("https://www.boe.es/gazeta/dias/1839/07/20/pdfs/GMD-1839-1708.pdf#page=1","Abrir facsímil")</f>
        <v>Abrir facsímil</v>
      </c>
      <c r="K9265" s="12" t="s">
        <v>65</v>
      </c>
    </row>
    <row r="9266" spans="1:11" ht="40.049999999999997" customHeight="1" x14ac:dyDescent="0.25">
      <c r="A9266" s="11" t="s">
        <v>18462</v>
      </c>
      <c r="B9266" s="11" t="s">
        <v>18462</v>
      </c>
      <c r="C9266" s="11" t="s">
        <v>101</v>
      </c>
      <c r="D9266" s="11" t="s">
        <v>43</v>
      </c>
      <c r="E9266" s="12" t="s">
        <v>1584</v>
      </c>
      <c r="F9266" s="12" t="s">
        <v>1585</v>
      </c>
      <c r="G9266" s="12" t="s">
        <v>46</v>
      </c>
      <c r="H9266" s="11" t="s">
        <v>63</v>
      </c>
      <c r="I9266" s="13" t="s">
        <v>18484</v>
      </c>
      <c r="J9266" s="14" t="str">
        <f>HYPERLINK("https://www.boe.es/gazeta/dias/1839/11/20/pdfs/GMD-1839-1837.pdf#page=3","Abrir facsímil")</f>
        <v>Abrir facsímil</v>
      </c>
      <c r="K9266" s="12" t="s">
        <v>65</v>
      </c>
    </row>
    <row r="9267" spans="1:11" ht="40.049999999999997" customHeight="1" x14ac:dyDescent="0.25">
      <c r="A9267" s="11" t="s">
        <v>18462</v>
      </c>
      <c r="B9267" s="11" t="s">
        <v>18462</v>
      </c>
      <c r="C9267" s="11" t="s">
        <v>17</v>
      </c>
      <c r="D9267" s="11" t="s">
        <v>18</v>
      </c>
      <c r="E9267" s="12" t="s">
        <v>1012</v>
      </c>
      <c r="F9267" s="12" t="s">
        <v>1013</v>
      </c>
      <c r="G9267" s="12" t="s">
        <v>46</v>
      </c>
      <c r="H9267" s="11" t="s">
        <v>63</v>
      </c>
      <c r="I9267" s="13" t="s">
        <v>18485</v>
      </c>
      <c r="J9267" s="14" t="str">
        <f>HYPERLINK("https://www.boe.es/gazeta/dias/1839/11/22/pdfs/GMD-1839-1839.pdf#page=3","Abrir facsímil")</f>
        <v>Abrir facsímil</v>
      </c>
      <c r="K9267" s="12" t="s">
        <v>65</v>
      </c>
    </row>
    <row r="9268" spans="1:11" ht="40.049999999999997" customHeight="1" x14ac:dyDescent="0.25">
      <c r="A9268" s="11" t="s">
        <v>18462</v>
      </c>
      <c r="B9268" s="11" t="s">
        <v>18462</v>
      </c>
      <c r="C9268" s="11" t="s">
        <v>17</v>
      </c>
      <c r="D9268" s="11" t="s">
        <v>18</v>
      </c>
      <c r="E9268" s="12" t="s">
        <v>519</v>
      </c>
      <c r="F9268" s="12" t="s">
        <v>520</v>
      </c>
      <c r="G9268" s="12" t="s">
        <v>40</v>
      </c>
      <c r="H9268" s="11" t="s">
        <v>63</v>
      </c>
      <c r="I9268" s="13" t="s">
        <v>18486</v>
      </c>
      <c r="J9268" s="14" t="str">
        <f>HYPERLINK("https://www.boe.es/gazeta/dias/1839/02/23/pdfs/GMD-1839-1561.pdf#page=2","Abrir facsímil")</f>
        <v>Abrir facsímil</v>
      </c>
      <c r="K9268" s="12" t="s">
        <v>65</v>
      </c>
    </row>
    <row r="9269" spans="1:11" ht="40.049999999999997" customHeight="1" x14ac:dyDescent="0.25">
      <c r="A9269" s="11" t="s">
        <v>18462</v>
      </c>
      <c r="B9269" s="11" t="s">
        <v>18462</v>
      </c>
      <c r="C9269" s="11" t="s">
        <v>59</v>
      </c>
      <c r="D9269" s="11" t="s">
        <v>60</v>
      </c>
      <c r="E9269" s="12" t="s">
        <v>519</v>
      </c>
      <c r="F9269" s="12" t="s">
        <v>520</v>
      </c>
      <c r="G9269" s="12" t="s">
        <v>21</v>
      </c>
      <c r="H9269" s="11" t="s">
        <v>63</v>
      </c>
      <c r="I9269" s="13" t="s">
        <v>18487</v>
      </c>
      <c r="J9269" s="14" t="str">
        <f>HYPERLINK("https://www.boe.es/gazeta/dias/1839/02/23/pdfs/GMD-1839-1561.pdf#page=4","Abrir facsímil")</f>
        <v>Abrir facsímil</v>
      </c>
      <c r="K9269" s="12" t="s">
        <v>65</v>
      </c>
    </row>
    <row r="9270" spans="1:11" ht="40.049999999999997" customHeight="1" x14ac:dyDescent="0.25">
      <c r="A9270" s="11" t="s">
        <v>18462</v>
      </c>
      <c r="B9270" s="11" t="s">
        <v>18462</v>
      </c>
      <c r="C9270" s="11" t="s">
        <v>59</v>
      </c>
      <c r="D9270" s="11" t="s">
        <v>60</v>
      </c>
      <c r="E9270" s="12" t="s">
        <v>243</v>
      </c>
      <c r="F9270" s="12" t="s">
        <v>244</v>
      </c>
      <c r="G9270" s="12" t="s">
        <v>40</v>
      </c>
      <c r="H9270" s="11" t="s">
        <v>63</v>
      </c>
      <c r="I9270" s="13" t="s">
        <v>18488</v>
      </c>
      <c r="J9270" s="14" t="str">
        <f>HYPERLINK("https://www.boe.es/gazeta/dias/1839/09/23/pdfs/GMD-1839-1779.pdf#page=2","Abrir facsímil")</f>
        <v>Abrir facsímil</v>
      </c>
      <c r="K9270" s="12" t="s">
        <v>65</v>
      </c>
    </row>
    <row r="9271" spans="1:11" ht="40.049999999999997" customHeight="1" x14ac:dyDescent="0.25">
      <c r="A9271" s="11" t="s">
        <v>18462</v>
      </c>
      <c r="B9271" s="11" t="s">
        <v>18462</v>
      </c>
      <c r="C9271" s="11" t="s">
        <v>80</v>
      </c>
      <c r="D9271" s="11" t="s">
        <v>18</v>
      </c>
      <c r="E9271" s="12" t="s">
        <v>94</v>
      </c>
      <c r="F9271" s="12" t="s">
        <v>95</v>
      </c>
      <c r="G9271" s="12" t="s">
        <v>21</v>
      </c>
      <c r="H9271" s="11" t="s">
        <v>63</v>
      </c>
      <c r="I9271" s="13" t="s">
        <v>18489</v>
      </c>
      <c r="J9271" s="14" t="str">
        <f>HYPERLINK("https://www.boe.es/gazeta/dias/1839/02/24/pdfs/GMD-1839-1562.pdf#page=4","Abrir facsímil")</f>
        <v>Abrir facsímil</v>
      </c>
      <c r="K9271" s="12" t="s">
        <v>65</v>
      </c>
    </row>
    <row r="9272" spans="1:11" ht="40.049999999999997" customHeight="1" x14ac:dyDescent="0.25">
      <c r="A9272" s="11" t="s">
        <v>18462</v>
      </c>
      <c r="B9272" s="11" t="s">
        <v>18462</v>
      </c>
      <c r="C9272" s="11" t="s">
        <v>137</v>
      </c>
      <c r="D9272" s="11" t="s">
        <v>18</v>
      </c>
      <c r="E9272" s="12" t="s">
        <v>1672</v>
      </c>
      <c r="F9272" s="12" t="s">
        <v>1673</v>
      </c>
      <c r="G9272" s="12" t="s">
        <v>21</v>
      </c>
      <c r="H9272" s="11" t="s">
        <v>63</v>
      </c>
      <c r="I9272" s="13" t="s">
        <v>18490</v>
      </c>
      <c r="J9272" s="14" t="str">
        <f>HYPERLINK("https://www.boe.es/gazeta/dias/1839/08/24/pdfs/GMD-1839-1745.pdf#page=4","Abrir facsímil")</f>
        <v>Abrir facsímil</v>
      </c>
      <c r="K9272" s="12" t="s">
        <v>65</v>
      </c>
    </row>
    <row r="9273" spans="1:11" ht="40.049999999999997" customHeight="1" x14ac:dyDescent="0.25">
      <c r="A9273" s="11" t="s">
        <v>18462</v>
      </c>
      <c r="B9273" s="11" t="s">
        <v>18462</v>
      </c>
      <c r="C9273" s="11" t="s">
        <v>137</v>
      </c>
      <c r="D9273" s="11" t="s">
        <v>18</v>
      </c>
      <c r="E9273" s="12" t="s">
        <v>571</v>
      </c>
      <c r="F9273" s="12" t="s">
        <v>572</v>
      </c>
      <c r="G9273" s="12" t="s">
        <v>21</v>
      </c>
      <c r="H9273" s="11" t="s">
        <v>63</v>
      </c>
      <c r="I9273" s="13" t="s">
        <v>18491</v>
      </c>
      <c r="J9273" s="14" t="str">
        <f>HYPERLINK("https://www.boe.es/gazeta/dias/1839/09/27/pdfs/GMD-1839-1783.pdf#page=4","Abrir facsímil")</f>
        <v>Abrir facsímil</v>
      </c>
      <c r="K9273" s="12" t="s">
        <v>65</v>
      </c>
    </row>
    <row r="9274" spans="1:11" ht="40.049999999999997" customHeight="1" x14ac:dyDescent="0.25">
      <c r="A9274" s="11" t="s">
        <v>18462</v>
      </c>
      <c r="B9274" s="11" t="s">
        <v>18462</v>
      </c>
      <c r="C9274" s="11" t="s">
        <v>137</v>
      </c>
      <c r="D9274" s="11" t="s">
        <v>18</v>
      </c>
      <c r="E9274" s="12" t="s">
        <v>1749</v>
      </c>
      <c r="F9274" s="12" t="s">
        <v>1750</v>
      </c>
      <c r="G9274" s="12" t="s">
        <v>46</v>
      </c>
      <c r="H9274" s="11" t="s">
        <v>63</v>
      </c>
      <c r="I9274" s="13" t="s">
        <v>18492</v>
      </c>
      <c r="J9274" s="14" t="str">
        <f>HYPERLINK("https://www.boe.es/gazeta/dias/1839/06/28/pdfs/GMD-1839-1686.pdf#page=3","Abrir facsímil")</f>
        <v>Abrir facsímil</v>
      </c>
      <c r="K9274" s="12" t="s">
        <v>65</v>
      </c>
    </row>
    <row r="9275" spans="1:11" ht="40.049999999999997" customHeight="1" x14ac:dyDescent="0.25">
      <c r="A9275" s="11" t="s">
        <v>18462</v>
      </c>
      <c r="B9275" s="11" t="s">
        <v>18462</v>
      </c>
      <c r="C9275" s="11" t="s">
        <v>59</v>
      </c>
      <c r="D9275" s="11" t="s">
        <v>60</v>
      </c>
      <c r="E9275" s="12" t="s">
        <v>1269</v>
      </c>
      <c r="F9275" s="12" t="s">
        <v>1270</v>
      </c>
      <c r="G9275" s="12" t="s">
        <v>21</v>
      </c>
      <c r="H9275" s="11" t="s">
        <v>63</v>
      </c>
      <c r="I9275" s="13" t="s">
        <v>18493</v>
      </c>
      <c r="J9275" s="14" t="str">
        <f>HYPERLINK("https://www.boe.es/gazeta/dias/1839/04/29/pdfs/GMD-1839-1626.pdf#page=4","Abrir facsímil")</f>
        <v>Abrir facsímil</v>
      </c>
      <c r="K9275" s="12" t="s">
        <v>65</v>
      </c>
    </row>
    <row r="9276" spans="1:11" ht="40.049999999999997" customHeight="1" x14ac:dyDescent="0.25">
      <c r="A9276" s="11" t="s">
        <v>18462</v>
      </c>
      <c r="B9276" s="11" t="s">
        <v>18462</v>
      </c>
      <c r="C9276" s="11" t="s">
        <v>17</v>
      </c>
      <c r="D9276" s="11" t="s">
        <v>18</v>
      </c>
      <c r="E9276" s="12" t="s">
        <v>352</v>
      </c>
      <c r="F9276" s="12" t="s">
        <v>353</v>
      </c>
      <c r="G9276" s="12" t="s">
        <v>29</v>
      </c>
      <c r="H9276" s="11" t="s">
        <v>63</v>
      </c>
      <c r="I9276" s="13" t="s">
        <v>18494</v>
      </c>
      <c r="J9276" s="14" t="str">
        <f>HYPERLINK("https://www.boe.es/gazeta/dias/1839/03/30/pdfs/GMD-1839-1596.pdf#page=1","Abrir facsímil")</f>
        <v>Abrir facsímil</v>
      </c>
      <c r="K9276" s="12" t="s">
        <v>65</v>
      </c>
    </row>
    <row r="9277" spans="1:11" ht="40.049999999999997" customHeight="1" x14ac:dyDescent="0.25">
      <c r="A9277" s="11" t="s">
        <v>18495</v>
      </c>
      <c r="B9277" s="11" t="s">
        <v>18496</v>
      </c>
      <c r="C9277" s="11" t="s">
        <v>17</v>
      </c>
      <c r="D9277" s="11" t="s">
        <v>18</v>
      </c>
      <c r="E9277" s="12" t="s">
        <v>233</v>
      </c>
      <c r="F9277" s="12" t="s">
        <v>234</v>
      </c>
      <c r="G9277" s="12" t="s">
        <v>46</v>
      </c>
      <c r="H9277" s="11" t="s">
        <v>22</v>
      </c>
      <c r="I9277" s="13" t="s">
        <v>18497</v>
      </c>
      <c r="J9277" s="14" t="str">
        <f>HYPERLINK("https://www.boe.es/gazeta/dias/1839/09/17/pdfs/GMD-1839-1770.pdf#page=3","Abrir facsímil")</f>
        <v>Abrir facsímil</v>
      </c>
      <c r="K9277" s="12" t="s">
        <v>24</v>
      </c>
    </row>
    <row r="9278" spans="1:11" ht="40.049999999999997" customHeight="1" x14ac:dyDescent="0.25">
      <c r="A9278" s="11" t="s">
        <v>18495</v>
      </c>
      <c r="B9278" s="11" t="s">
        <v>18496</v>
      </c>
      <c r="C9278" s="11" t="s">
        <v>137</v>
      </c>
      <c r="D9278" s="11" t="s">
        <v>18</v>
      </c>
      <c r="E9278" s="12" t="s">
        <v>650</v>
      </c>
      <c r="F9278" s="12" t="s">
        <v>651</v>
      </c>
      <c r="G9278" s="12" t="s">
        <v>40</v>
      </c>
      <c r="H9278" s="11" t="s">
        <v>22</v>
      </c>
      <c r="I9278" s="13" t="s">
        <v>18498</v>
      </c>
      <c r="J9278" s="14" t="str">
        <f>HYPERLINK("https://www.boe.es/gazeta/dias/1839/10/25/pdfs/GMD-1839-1811.pdf#page=2","Abrir facsímil")</f>
        <v>Abrir facsímil</v>
      </c>
      <c r="K9278" s="12" t="s">
        <v>24</v>
      </c>
    </row>
    <row r="9279" spans="1:11" ht="40.049999999999997" customHeight="1" x14ac:dyDescent="0.25">
      <c r="A9279" s="11" t="s">
        <v>18499</v>
      </c>
      <c r="B9279" s="11" t="s">
        <v>18500</v>
      </c>
      <c r="C9279" s="11" t="s">
        <v>137</v>
      </c>
      <c r="D9279" s="11" t="s">
        <v>18</v>
      </c>
      <c r="E9279" s="12" t="s">
        <v>108</v>
      </c>
      <c r="F9279" s="12" t="s">
        <v>109</v>
      </c>
      <c r="G9279" s="12" t="s">
        <v>29</v>
      </c>
      <c r="H9279" s="11" t="s">
        <v>22</v>
      </c>
      <c r="I9279" s="13" t="s">
        <v>18501</v>
      </c>
      <c r="J9279" s="14" t="str">
        <f>HYPERLINK("https://www.boe.es/gazeta/dias/1839/01/04/pdfs/GMD-1839-1511.pdf#page=1","Abrir facsímil")</f>
        <v>Abrir facsímil</v>
      </c>
      <c r="K9279" s="12" t="s">
        <v>24</v>
      </c>
    </row>
    <row r="9280" spans="1:11" ht="40.049999999999997" customHeight="1" x14ac:dyDescent="0.25">
      <c r="A9280" s="11" t="s">
        <v>18502</v>
      </c>
      <c r="B9280" s="11" t="s">
        <v>18503</v>
      </c>
      <c r="C9280" s="11" t="s">
        <v>101</v>
      </c>
      <c r="D9280" s="11" t="s">
        <v>102</v>
      </c>
      <c r="E9280" s="12" t="s">
        <v>4055</v>
      </c>
      <c r="F9280" s="12" t="s">
        <v>4056</v>
      </c>
      <c r="G9280" s="12" t="s">
        <v>40</v>
      </c>
      <c r="H9280" s="11" t="s">
        <v>63</v>
      </c>
      <c r="I9280" s="13" t="s">
        <v>18504</v>
      </c>
      <c r="J9280" s="14" t="str">
        <f>HYPERLINK("https://www.boe.es/gazeta/dias/1839/03/07/pdfs/GMD-1839-1573.pdf#page=2","Abrir facsímil")</f>
        <v>Abrir facsímil</v>
      </c>
      <c r="K9280" s="12" t="s">
        <v>65</v>
      </c>
    </row>
    <row r="9281" spans="1:11" ht="40.049999999999997" customHeight="1" x14ac:dyDescent="0.25">
      <c r="A9281" s="11" t="s">
        <v>18505</v>
      </c>
      <c r="B9281" s="11" t="s">
        <v>18505</v>
      </c>
      <c r="C9281" s="11" t="s">
        <v>101</v>
      </c>
      <c r="D9281" s="11" t="s">
        <v>102</v>
      </c>
      <c r="E9281" s="12" t="s">
        <v>336</v>
      </c>
      <c r="F9281" s="12" t="s">
        <v>337</v>
      </c>
      <c r="G9281" s="12" t="s">
        <v>40</v>
      </c>
      <c r="H9281" s="11" t="s">
        <v>63</v>
      </c>
      <c r="I9281" s="13" t="s">
        <v>18506</v>
      </c>
      <c r="J9281" s="14" t="str">
        <f>HYPERLINK("https://www.boe.es/gazeta/dias/1839/07/14/pdfs/GMD-1839-1702.pdf#page=2","Abrir facsímil")</f>
        <v>Abrir facsímil</v>
      </c>
      <c r="K9281" s="12" t="s">
        <v>65</v>
      </c>
    </row>
    <row r="9282" spans="1:11" ht="40.049999999999997" customHeight="1" x14ac:dyDescent="0.25">
      <c r="A9282" s="11" t="s">
        <v>18507</v>
      </c>
      <c r="B9282" s="11" t="s">
        <v>18507</v>
      </c>
      <c r="C9282" s="11" t="s">
        <v>17</v>
      </c>
      <c r="D9282" s="11" t="s">
        <v>18</v>
      </c>
      <c r="E9282" s="12" t="s">
        <v>503</v>
      </c>
      <c r="F9282" s="12" t="s">
        <v>504</v>
      </c>
      <c r="G9282" s="12" t="s">
        <v>46</v>
      </c>
      <c r="H9282" s="11" t="s">
        <v>63</v>
      </c>
      <c r="I9282" s="13" t="s">
        <v>18508</v>
      </c>
      <c r="J9282" s="14" t="str">
        <f>HYPERLINK("https://www.boe.es/gazeta/dias/1839/06/07/pdfs/GMD-1839-1665.pdf#page=3","Abrir facsímil")</f>
        <v>Abrir facsímil</v>
      </c>
      <c r="K9282" s="12" t="s">
        <v>65</v>
      </c>
    </row>
    <row r="9283" spans="1:11" ht="40.049999999999997" customHeight="1" x14ac:dyDescent="0.25">
      <c r="A9283" s="11" t="s">
        <v>18509</v>
      </c>
      <c r="B9283" s="11" t="s">
        <v>18510</v>
      </c>
      <c r="C9283" s="11" t="s">
        <v>17</v>
      </c>
      <c r="D9283" s="11" t="s">
        <v>18</v>
      </c>
      <c r="E9283" s="12" t="s">
        <v>606</v>
      </c>
      <c r="F9283" s="12" t="s">
        <v>607</v>
      </c>
      <c r="G9283" s="12" t="s">
        <v>29</v>
      </c>
      <c r="H9283" s="11" t="s">
        <v>22</v>
      </c>
      <c r="I9283" s="13" t="s">
        <v>18511</v>
      </c>
      <c r="J9283" s="14" t="str">
        <f>HYPERLINK("https://www.boe.es/gazeta/dias/1839/04/02/pdfs/GMD-1839-1599.pdf#page=1","Abrir facsímil")</f>
        <v>Abrir facsímil</v>
      </c>
      <c r="K9283" s="12" t="s">
        <v>24</v>
      </c>
    </row>
    <row r="9284" spans="1:11" ht="40.049999999999997" customHeight="1" x14ac:dyDescent="0.25">
      <c r="A9284" s="11" t="s">
        <v>18512</v>
      </c>
      <c r="B9284" s="11" t="s">
        <v>18513</v>
      </c>
      <c r="C9284" s="11" t="s">
        <v>80</v>
      </c>
      <c r="D9284" s="11" t="s">
        <v>18</v>
      </c>
      <c r="E9284" s="12" t="s">
        <v>272</v>
      </c>
      <c r="F9284" s="12" t="s">
        <v>273</v>
      </c>
      <c r="G9284" s="12" t="s">
        <v>21</v>
      </c>
      <c r="H9284" s="11" t="s">
        <v>63</v>
      </c>
      <c r="I9284" s="13" t="s">
        <v>18514</v>
      </c>
      <c r="J9284" s="14" t="str">
        <f>HYPERLINK("https://www.boe.es/gazeta/dias/1839/02/12/pdfs/GMD-1839-1550.pdf#page=4","Abrir facsímil")</f>
        <v>Abrir facsímil</v>
      </c>
      <c r="K9284" s="12" t="s">
        <v>65</v>
      </c>
    </row>
    <row r="9285" spans="1:11" ht="40.049999999999997" customHeight="1" x14ac:dyDescent="0.25">
      <c r="A9285" s="11" t="s">
        <v>18515</v>
      </c>
      <c r="B9285" s="11" t="s">
        <v>18516</v>
      </c>
      <c r="C9285" s="11" t="s">
        <v>80</v>
      </c>
      <c r="D9285" s="11" t="s">
        <v>18</v>
      </c>
      <c r="E9285" s="12" t="s">
        <v>507</v>
      </c>
      <c r="F9285" s="12" t="s">
        <v>508</v>
      </c>
      <c r="G9285" s="12" t="s">
        <v>21</v>
      </c>
      <c r="H9285" s="11" t="s">
        <v>63</v>
      </c>
      <c r="I9285" s="13" t="s">
        <v>18517</v>
      </c>
      <c r="J9285" s="14" t="str">
        <f>HYPERLINK("https://www.boe.es/gazeta/dias/1839/08/12/pdfs/GMD-1839-1732.pdf#page=4","Abrir facsímil")</f>
        <v>Abrir facsímil</v>
      </c>
      <c r="K9285" s="12" t="s">
        <v>65</v>
      </c>
    </row>
    <row r="9286" spans="1:11" ht="40.049999999999997" customHeight="1" x14ac:dyDescent="0.25">
      <c r="A9286" s="11" t="s">
        <v>18515</v>
      </c>
      <c r="B9286" s="11" t="s">
        <v>18516</v>
      </c>
      <c r="C9286" s="11" t="s">
        <v>80</v>
      </c>
      <c r="D9286" s="11" t="s">
        <v>18</v>
      </c>
      <c r="E9286" s="12" t="s">
        <v>4186</v>
      </c>
      <c r="F9286" s="12" t="s">
        <v>4187</v>
      </c>
      <c r="G9286" s="12" t="s">
        <v>21</v>
      </c>
      <c r="H9286" s="11" t="s">
        <v>63</v>
      </c>
      <c r="I9286" s="13" t="s">
        <v>18518</v>
      </c>
      <c r="J9286" s="14" t="str">
        <f>HYPERLINK("https://www.boe.es/gazeta/dias/1839/12/12/pdfs/GMD-1839-1859.pdf#page=4","Abrir facsímil")</f>
        <v>Abrir facsímil</v>
      </c>
      <c r="K9286" s="12" t="s">
        <v>65</v>
      </c>
    </row>
    <row r="9287" spans="1:11" ht="40.049999999999997" customHeight="1" x14ac:dyDescent="0.25">
      <c r="A9287" s="11" t="s">
        <v>18515</v>
      </c>
      <c r="B9287" s="11" t="s">
        <v>18516</v>
      </c>
      <c r="C9287" s="11" t="s">
        <v>101</v>
      </c>
      <c r="D9287" s="11" t="s">
        <v>102</v>
      </c>
      <c r="E9287" s="12" t="s">
        <v>163</v>
      </c>
      <c r="F9287" s="12" t="s">
        <v>164</v>
      </c>
      <c r="G9287" s="12" t="s">
        <v>40</v>
      </c>
      <c r="H9287" s="11" t="s">
        <v>63</v>
      </c>
      <c r="I9287" s="13" t="s">
        <v>18519</v>
      </c>
      <c r="J9287" s="14" t="str">
        <f>HYPERLINK("https://www.boe.es/gazeta/dias/1839/01/13/pdfs/GMD-1839-1520.pdf#page=2","Abrir facsímil")</f>
        <v>Abrir facsímil</v>
      </c>
      <c r="K9287" s="12" t="s">
        <v>65</v>
      </c>
    </row>
    <row r="9288" spans="1:11" ht="40.049999999999997" customHeight="1" x14ac:dyDescent="0.25">
      <c r="A9288" s="11" t="s">
        <v>18515</v>
      </c>
      <c r="B9288" s="11" t="s">
        <v>18516</v>
      </c>
      <c r="C9288" s="11" t="s">
        <v>17</v>
      </c>
      <c r="D9288" s="11" t="s">
        <v>18</v>
      </c>
      <c r="E9288" s="12" t="s">
        <v>433</v>
      </c>
      <c r="F9288" s="12" t="s">
        <v>434</v>
      </c>
      <c r="G9288" s="12" t="s">
        <v>21</v>
      </c>
      <c r="H9288" s="11" t="s">
        <v>63</v>
      </c>
      <c r="I9288" s="13" t="s">
        <v>18520</v>
      </c>
      <c r="J9288" s="14" t="str">
        <f>HYPERLINK("https://www.boe.es/gazeta/dias/1839/01/20/pdfs/GMD-1839-1527.pdf#page=4","Abrir facsímil")</f>
        <v>Abrir facsímil</v>
      </c>
      <c r="K9288" s="12" t="s">
        <v>65</v>
      </c>
    </row>
    <row r="9289" spans="1:11" ht="40.049999999999997" customHeight="1" x14ac:dyDescent="0.25">
      <c r="A9289" s="11" t="s">
        <v>18515</v>
      </c>
      <c r="B9289" s="11" t="s">
        <v>18516</v>
      </c>
      <c r="C9289" s="11" t="s">
        <v>80</v>
      </c>
      <c r="D9289" s="11" t="s">
        <v>18</v>
      </c>
      <c r="E9289" s="12" t="s">
        <v>1666</v>
      </c>
      <c r="F9289" s="12" t="s">
        <v>1667</v>
      </c>
      <c r="G9289" s="12" t="s">
        <v>21</v>
      </c>
      <c r="H9289" s="11" t="s">
        <v>63</v>
      </c>
      <c r="I9289" s="13" t="s">
        <v>18521</v>
      </c>
      <c r="J9289" s="14" t="str">
        <f>HYPERLINK("https://www.boe.es/gazeta/dias/1839/04/22/pdfs/GMD-1839-1619.pdf#page=4","Abrir facsímil")</f>
        <v>Abrir facsímil</v>
      </c>
      <c r="K9289" s="12" t="s">
        <v>65</v>
      </c>
    </row>
    <row r="9290" spans="1:11" ht="40.049999999999997" customHeight="1" x14ac:dyDescent="0.25">
      <c r="A9290" s="11" t="s">
        <v>18522</v>
      </c>
      <c r="B9290" s="11" t="s">
        <v>18523</v>
      </c>
      <c r="C9290" s="11" t="s">
        <v>80</v>
      </c>
      <c r="D9290" s="11" t="s">
        <v>18</v>
      </c>
      <c r="E9290" s="12" t="s">
        <v>333</v>
      </c>
      <c r="F9290" s="12" t="s">
        <v>334</v>
      </c>
      <c r="G9290" s="12" t="s">
        <v>21</v>
      </c>
      <c r="H9290" s="11" t="s">
        <v>63</v>
      </c>
      <c r="I9290" s="13" t="s">
        <v>18524</v>
      </c>
      <c r="J9290" s="14" t="str">
        <f>HYPERLINK("https://www.boe.es/gazeta/dias/1839/06/11/pdfs/GMD-1839-1669.pdf#page=4","Abrir facsímil")</f>
        <v>Abrir facsímil</v>
      </c>
      <c r="K9290" s="12" t="s">
        <v>65</v>
      </c>
    </row>
    <row r="9291" spans="1:11" ht="40.049999999999997" customHeight="1" x14ac:dyDescent="0.25">
      <c r="A9291" s="11" t="s">
        <v>18525</v>
      </c>
      <c r="B9291" s="11" t="s">
        <v>18525</v>
      </c>
      <c r="C9291" s="11" t="s">
        <v>17</v>
      </c>
      <c r="D9291" s="11" t="s">
        <v>18</v>
      </c>
      <c r="E9291" s="12" t="s">
        <v>1813</v>
      </c>
      <c r="F9291" s="12" t="s">
        <v>1814</v>
      </c>
      <c r="G9291" s="12" t="s">
        <v>46</v>
      </c>
      <c r="H9291" s="11" t="s">
        <v>63</v>
      </c>
      <c r="I9291" s="13" t="s">
        <v>18526</v>
      </c>
      <c r="J9291" s="14" t="str">
        <f>HYPERLINK("https://www.boe.es/gazeta/dias/1839/09/02/pdfs/GMD-1839-1754.pdf#page=3","Abrir facsímil")</f>
        <v>Abrir facsímil</v>
      </c>
      <c r="K9291" s="12" t="s">
        <v>65</v>
      </c>
    </row>
    <row r="9292" spans="1:11" ht="40.049999999999997" customHeight="1" x14ac:dyDescent="0.25">
      <c r="A9292" s="11" t="s">
        <v>18525</v>
      </c>
      <c r="B9292" s="11" t="s">
        <v>18525</v>
      </c>
      <c r="C9292" s="11" t="s">
        <v>137</v>
      </c>
      <c r="D9292" s="11" t="s">
        <v>18</v>
      </c>
      <c r="E9292" s="12" t="s">
        <v>1523</v>
      </c>
      <c r="F9292" s="12" t="s">
        <v>1524</v>
      </c>
      <c r="G9292" s="12" t="s">
        <v>29</v>
      </c>
      <c r="H9292" s="11" t="s">
        <v>63</v>
      </c>
      <c r="I9292" s="13" t="s">
        <v>18527</v>
      </c>
      <c r="J9292" s="14" t="str">
        <f>HYPERLINK("https://www.boe.es/gazeta/dias/1839/08/29/pdfs/GMD-1839-1750.pdf#page=1","Abrir facsímil")</f>
        <v>Abrir facsímil</v>
      </c>
      <c r="K9292" s="12" t="s">
        <v>65</v>
      </c>
    </row>
    <row r="9293" spans="1:11" ht="40.049999999999997" customHeight="1" x14ac:dyDescent="0.25">
      <c r="A9293" s="11" t="s">
        <v>18528</v>
      </c>
      <c r="B9293" s="11" t="s">
        <v>18529</v>
      </c>
      <c r="C9293" s="11" t="s">
        <v>17</v>
      </c>
      <c r="D9293" s="11" t="s">
        <v>18</v>
      </c>
      <c r="E9293" s="12" t="s">
        <v>258</v>
      </c>
      <c r="F9293" s="12" t="s">
        <v>259</v>
      </c>
      <c r="G9293" s="12" t="s">
        <v>46</v>
      </c>
      <c r="H9293" s="11" t="s">
        <v>22</v>
      </c>
      <c r="I9293" s="13" t="s">
        <v>18530</v>
      </c>
      <c r="J9293" s="14" t="str">
        <f>HYPERLINK("https://www.boe.es/gazeta/dias/1839/01/02/pdfs/GMD-1839-1509.pdf#page=3","Abrir facsímil")</f>
        <v>Abrir facsímil</v>
      </c>
      <c r="K9293" s="12" t="s">
        <v>24</v>
      </c>
    </row>
    <row r="9294" spans="1:11" ht="40.049999999999997" customHeight="1" x14ac:dyDescent="0.25">
      <c r="A9294" s="11" t="s">
        <v>18531</v>
      </c>
      <c r="B9294" s="11" t="s">
        <v>18531</v>
      </c>
      <c r="C9294" s="11" t="s">
        <v>80</v>
      </c>
      <c r="D9294" s="11" t="s">
        <v>18</v>
      </c>
      <c r="E9294" s="12" t="s">
        <v>756</v>
      </c>
      <c r="F9294" s="12" t="s">
        <v>757</v>
      </c>
      <c r="G9294" s="12" t="s">
        <v>40</v>
      </c>
      <c r="H9294" s="11" t="s">
        <v>63</v>
      </c>
      <c r="I9294" s="13" t="s">
        <v>18532</v>
      </c>
      <c r="J9294" s="14" t="str">
        <f>HYPERLINK("https://www.boe.es/gazeta/dias/1839/12/17/pdfs/GMD-1839-1864.pdf#page=2","Abrir facsímil")</f>
        <v>Abrir facsímil</v>
      </c>
      <c r="K9294" s="12" t="s">
        <v>65</v>
      </c>
    </row>
    <row r="9295" spans="1:11" ht="40.049999999999997" customHeight="1" x14ac:dyDescent="0.25">
      <c r="A9295" s="11" t="s">
        <v>18533</v>
      </c>
      <c r="B9295" s="11" t="s">
        <v>18533</v>
      </c>
      <c r="C9295" s="11" t="s">
        <v>59</v>
      </c>
      <c r="D9295" s="11" t="s">
        <v>60</v>
      </c>
      <c r="E9295" s="12" t="s">
        <v>770</v>
      </c>
      <c r="F9295" s="12" t="s">
        <v>771</v>
      </c>
      <c r="G9295" s="12" t="s">
        <v>40</v>
      </c>
      <c r="H9295" s="11" t="s">
        <v>22</v>
      </c>
      <c r="I9295" s="13" t="s">
        <v>18534</v>
      </c>
      <c r="J9295" s="14" t="str">
        <f>HYPERLINK("https://www.boe.es/gazeta/dias/1839/12/05/pdfs/GMD-1839-1852.pdf#page=2","Abrir facsímil")</f>
        <v>Abrir facsímil</v>
      </c>
      <c r="K9295" s="12" t="s">
        <v>24</v>
      </c>
    </row>
    <row r="9296" spans="1:11" ht="40.049999999999997" customHeight="1" x14ac:dyDescent="0.25">
      <c r="A9296" s="11" t="s">
        <v>18535</v>
      </c>
      <c r="B9296" s="11" t="s">
        <v>18535</v>
      </c>
      <c r="C9296" s="11" t="s">
        <v>17</v>
      </c>
      <c r="D9296" s="11" t="s">
        <v>18</v>
      </c>
      <c r="E9296" s="12" t="s">
        <v>883</v>
      </c>
      <c r="F9296" s="12" t="s">
        <v>884</v>
      </c>
      <c r="G9296" s="12" t="s">
        <v>46</v>
      </c>
      <c r="H9296" s="11" t="s">
        <v>63</v>
      </c>
      <c r="I9296" s="13" t="s">
        <v>18536</v>
      </c>
      <c r="J9296" s="14" t="str">
        <f>HYPERLINK("https://www.boe.es/gazeta/dias/1839/11/03/pdfs/GMD-1839-1820.pdf#page=3","Abrir facsímil")</f>
        <v>Abrir facsímil</v>
      </c>
      <c r="K9296" s="12" t="s">
        <v>65</v>
      </c>
    </row>
    <row r="9297" spans="1:11" ht="40.049999999999997" customHeight="1" x14ac:dyDescent="0.25">
      <c r="A9297" s="11" t="s">
        <v>18535</v>
      </c>
      <c r="B9297" s="11" t="s">
        <v>18535</v>
      </c>
      <c r="C9297" s="11" t="s">
        <v>80</v>
      </c>
      <c r="D9297" s="11" t="s">
        <v>18</v>
      </c>
      <c r="E9297" s="12" t="s">
        <v>197</v>
      </c>
      <c r="F9297" s="12" t="s">
        <v>198</v>
      </c>
      <c r="G9297" s="12" t="s">
        <v>46</v>
      </c>
      <c r="H9297" s="11" t="s">
        <v>63</v>
      </c>
      <c r="I9297" s="13" t="s">
        <v>18537</v>
      </c>
      <c r="J9297" s="14" t="str">
        <f>HYPERLINK("https://www.boe.es/gazeta/dias/1839/10/04/pdfs/GMD-1839-1790.pdf#page=3","Abrir facsímil")</f>
        <v>Abrir facsímil</v>
      </c>
      <c r="K9297" s="12" t="s">
        <v>65</v>
      </c>
    </row>
    <row r="9298" spans="1:11" ht="40.049999999999997" customHeight="1" x14ac:dyDescent="0.25">
      <c r="A9298" s="11" t="s">
        <v>18535</v>
      </c>
      <c r="B9298" s="11" t="s">
        <v>18535</v>
      </c>
      <c r="C9298" s="11" t="s">
        <v>80</v>
      </c>
      <c r="D9298" s="11" t="s">
        <v>18</v>
      </c>
      <c r="E9298" s="12" t="s">
        <v>507</v>
      </c>
      <c r="F9298" s="12" t="s">
        <v>508</v>
      </c>
      <c r="G9298" s="12" t="s">
        <v>21</v>
      </c>
      <c r="H9298" s="11" t="s">
        <v>63</v>
      </c>
      <c r="I9298" s="13" t="s">
        <v>18538</v>
      </c>
      <c r="J9298" s="14" t="str">
        <f>HYPERLINK("https://www.boe.es/gazeta/dias/1839/08/12/pdfs/GMD-1839-1732.pdf#page=4","Abrir facsímil")</f>
        <v>Abrir facsímil</v>
      </c>
      <c r="K9298" s="12" t="s">
        <v>65</v>
      </c>
    </row>
    <row r="9299" spans="1:11" ht="40.049999999999997" customHeight="1" x14ac:dyDescent="0.25">
      <c r="A9299" s="11" t="s">
        <v>18539</v>
      </c>
      <c r="B9299" s="11" t="s">
        <v>18539</v>
      </c>
      <c r="C9299" s="11" t="s">
        <v>80</v>
      </c>
      <c r="D9299" s="11" t="s">
        <v>173</v>
      </c>
      <c r="E9299" s="12" t="s">
        <v>5845</v>
      </c>
      <c r="F9299" s="12" t="s">
        <v>5846</v>
      </c>
      <c r="G9299" s="12" t="s">
        <v>29</v>
      </c>
      <c r="H9299" s="11" t="s">
        <v>63</v>
      </c>
      <c r="I9299" s="13" t="s">
        <v>18540</v>
      </c>
      <c r="J9299" s="14" t="str">
        <f>HYPERLINK("https://www.boe.es/gazeta/dias/1839/04/01/pdfs/GMD-1839-1598.pdf#page=1","Abrir facsímil")</f>
        <v>Abrir facsímil</v>
      </c>
      <c r="K9299" s="12" t="s">
        <v>65</v>
      </c>
    </row>
    <row r="9300" spans="1:11" ht="40.049999999999997" customHeight="1" x14ac:dyDescent="0.25">
      <c r="A9300" s="11" t="s">
        <v>18539</v>
      </c>
      <c r="B9300" s="11" t="s">
        <v>18539</v>
      </c>
      <c r="C9300" s="11" t="s">
        <v>17</v>
      </c>
      <c r="D9300" s="11" t="s">
        <v>18</v>
      </c>
      <c r="E9300" s="12" t="s">
        <v>4287</v>
      </c>
      <c r="F9300" s="12" t="s">
        <v>4288</v>
      </c>
      <c r="G9300" s="12" t="s">
        <v>29</v>
      </c>
      <c r="H9300" s="11" t="s">
        <v>63</v>
      </c>
      <c r="I9300" s="13" t="s">
        <v>18541</v>
      </c>
      <c r="J9300" s="14" t="str">
        <f>HYPERLINK("https://www.boe.es/gazeta/dias/1839/06/01/pdfs/GMD-1839-1659.pdf#page=1","Abrir facsímil")</f>
        <v>Abrir facsímil</v>
      </c>
      <c r="K9300" s="12" t="s">
        <v>65</v>
      </c>
    </row>
    <row r="9301" spans="1:11" ht="40.049999999999997" customHeight="1" x14ac:dyDescent="0.25">
      <c r="A9301" s="11" t="s">
        <v>18539</v>
      </c>
      <c r="B9301" s="11" t="s">
        <v>18539</v>
      </c>
      <c r="C9301" s="11" t="s">
        <v>59</v>
      </c>
      <c r="D9301" s="11" t="s">
        <v>60</v>
      </c>
      <c r="E9301" s="12" t="s">
        <v>385</v>
      </c>
      <c r="F9301" s="12" t="s">
        <v>386</v>
      </c>
      <c r="G9301" s="12" t="s">
        <v>29</v>
      </c>
      <c r="H9301" s="11" t="s">
        <v>63</v>
      </c>
      <c r="I9301" s="13" t="s">
        <v>18542</v>
      </c>
      <c r="J9301" s="14" t="str">
        <f>HYPERLINK("https://www.boe.es/gazeta/dias/1839/08/01/pdfs/GMD-1839-1721.pdf#page=1","Abrir facsímil")</f>
        <v>Abrir facsímil</v>
      </c>
      <c r="K9301" s="12" t="s">
        <v>65</v>
      </c>
    </row>
    <row r="9302" spans="1:11" ht="40.049999999999997" customHeight="1" x14ac:dyDescent="0.25">
      <c r="A9302" s="11" t="s">
        <v>18539</v>
      </c>
      <c r="B9302" s="11" t="s">
        <v>18539</v>
      </c>
      <c r="C9302" s="11" t="s">
        <v>59</v>
      </c>
      <c r="D9302" s="11" t="s">
        <v>60</v>
      </c>
      <c r="E9302" s="12" t="s">
        <v>385</v>
      </c>
      <c r="F9302" s="12" t="s">
        <v>386</v>
      </c>
      <c r="G9302" s="12" t="s">
        <v>40</v>
      </c>
      <c r="H9302" s="11" t="s">
        <v>63</v>
      </c>
      <c r="I9302" s="13" t="s">
        <v>18543</v>
      </c>
      <c r="J9302" s="14" t="str">
        <f>HYPERLINK("https://www.boe.es/gazeta/dias/1839/08/01/pdfs/GMD-1839-1721.pdf#page=2","Abrir facsímil")</f>
        <v>Abrir facsímil</v>
      </c>
      <c r="K9302" s="12" t="s">
        <v>65</v>
      </c>
    </row>
    <row r="9303" spans="1:11" ht="40.049999999999997" customHeight="1" x14ac:dyDescent="0.25">
      <c r="A9303" s="11" t="s">
        <v>18539</v>
      </c>
      <c r="B9303" s="11" t="s">
        <v>18539</v>
      </c>
      <c r="C9303" s="11" t="s">
        <v>17</v>
      </c>
      <c r="D9303" s="11" t="s">
        <v>18</v>
      </c>
      <c r="E9303" s="12" t="s">
        <v>700</v>
      </c>
      <c r="F9303" s="12" t="s">
        <v>701</v>
      </c>
      <c r="G9303" s="12" t="s">
        <v>40</v>
      </c>
      <c r="H9303" s="11" t="s">
        <v>63</v>
      </c>
      <c r="I9303" s="13" t="s">
        <v>18544</v>
      </c>
      <c r="J9303" s="14" t="str">
        <f>HYPERLINK("https://www.boe.es/gazeta/dias/1839/09/01/pdfs/GMD-1839-1753.pdf#page=2","Abrir facsímil")</f>
        <v>Abrir facsímil</v>
      </c>
      <c r="K9303" s="12" t="s">
        <v>65</v>
      </c>
    </row>
    <row r="9304" spans="1:11" ht="40.049999999999997" customHeight="1" x14ac:dyDescent="0.25">
      <c r="A9304" s="11" t="s">
        <v>18539</v>
      </c>
      <c r="B9304" s="11" t="s">
        <v>18539</v>
      </c>
      <c r="C9304" s="11" t="s">
        <v>101</v>
      </c>
      <c r="D9304" s="11" t="s">
        <v>43</v>
      </c>
      <c r="E9304" s="12" t="s">
        <v>369</v>
      </c>
      <c r="F9304" s="12" t="s">
        <v>370</v>
      </c>
      <c r="G9304" s="12" t="s">
        <v>46</v>
      </c>
      <c r="H9304" s="11" t="s">
        <v>63</v>
      </c>
      <c r="I9304" s="13" t="s">
        <v>18545</v>
      </c>
      <c r="J9304" s="14" t="str">
        <f>HYPERLINK("https://www.boe.es/gazeta/dias/1839/11/01/pdfs/GMD-1839-1818.pdf#page=3","Abrir facsímil")</f>
        <v>Abrir facsímil</v>
      </c>
      <c r="K9304" s="12" t="s">
        <v>65</v>
      </c>
    </row>
    <row r="9305" spans="1:11" ht="40.049999999999997" customHeight="1" x14ac:dyDescent="0.25">
      <c r="A9305" s="11" t="s">
        <v>18539</v>
      </c>
      <c r="B9305" s="11" t="s">
        <v>18539</v>
      </c>
      <c r="C9305" s="11" t="s">
        <v>59</v>
      </c>
      <c r="D9305" s="11" t="s">
        <v>60</v>
      </c>
      <c r="E9305" s="12" t="s">
        <v>258</v>
      </c>
      <c r="F9305" s="12" t="s">
        <v>259</v>
      </c>
      <c r="G9305" s="12" t="s">
        <v>29</v>
      </c>
      <c r="H9305" s="11" t="s">
        <v>63</v>
      </c>
      <c r="I9305" s="13" t="s">
        <v>18546</v>
      </c>
      <c r="J9305" s="14" t="str">
        <f>HYPERLINK("https://www.boe.es/gazeta/dias/1839/01/02/pdfs/GMD-1839-1509.pdf#page=1","Abrir facsímil")</f>
        <v>Abrir facsímil</v>
      </c>
      <c r="K9305" s="12" t="s">
        <v>65</v>
      </c>
    </row>
    <row r="9306" spans="1:11" ht="40.049999999999997" customHeight="1" x14ac:dyDescent="0.25">
      <c r="A9306" s="11" t="s">
        <v>18539</v>
      </c>
      <c r="B9306" s="11" t="s">
        <v>18539</v>
      </c>
      <c r="C9306" s="11" t="s">
        <v>17</v>
      </c>
      <c r="D9306" s="11" t="s">
        <v>18</v>
      </c>
      <c r="E9306" s="12" t="s">
        <v>258</v>
      </c>
      <c r="F9306" s="12" t="s">
        <v>259</v>
      </c>
      <c r="G9306" s="12" t="s">
        <v>40</v>
      </c>
      <c r="H9306" s="11" t="s">
        <v>63</v>
      </c>
      <c r="I9306" s="13" t="s">
        <v>18547</v>
      </c>
      <c r="J9306" s="14" t="str">
        <f>HYPERLINK("https://www.boe.es/gazeta/dias/1839/01/02/pdfs/GMD-1839-1509.pdf#page=2","Abrir facsímil")</f>
        <v>Abrir facsímil</v>
      </c>
      <c r="K9306" s="12" t="s">
        <v>65</v>
      </c>
    </row>
    <row r="9307" spans="1:11" ht="40.049999999999997" customHeight="1" x14ac:dyDescent="0.25">
      <c r="A9307" s="11" t="s">
        <v>18539</v>
      </c>
      <c r="B9307" s="11" t="s">
        <v>18539</v>
      </c>
      <c r="C9307" s="11" t="s">
        <v>59</v>
      </c>
      <c r="D9307" s="11" t="s">
        <v>60</v>
      </c>
      <c r="E9307" s="12" t="s">
        <v>154</v>
      </c>
      <c r="F9307" s="12" t="s">
        <v>155</v>
      </c>
      <c r="G9307" s="12" t="s">
        <v>21</v>
      </c>
      <c r="H9307" s="11" t="s">
        <v>63</v>
      </c>
      <c r="I9307" s="13" t="s">
        <v>18548</v>
      </c>
      <c r="J9307" s="14" t="str">
        <f>HYPERLINK("https://www.boe.es/gazeta/dias/1839/02/02/pdfs/GMD-1839-1540.pdf#page=4","Abrir facsímil")</f>
        <v>Abrir facsímil</v>
      </c>
      <c r="K9307" s="12" t="s">
        <v>65</v>
      </c>
    </row>
    <row r="9308" spans="1:11" ht="40.049999999999997" customHeight="1" x14ac:dyDescent="0.25">
      <c r="A9308" s="11" t="s">
        <v>18539</v>
      </c>
      <c r="B9308" s="11" t="s">
        <v>18539</v>
      </c>
      <c r="C9308" s="11" t="s">
        <v>80</v>
      </c>
      <c r="D9308" s="11" t="s">
        <v>18</v>
      </c>
      <c r="E9308" s="12" t="s">
        <v>704</v>
      </c>
      <c r="F9308" s="12" t="s">
        <v>705</v>
      </c>
      <c r="G9308" s="12" t="s">
        <v>21</v>
      </c>
      <c r="H9308" s="11" t="s">
        <v>63</v>
      </c>
      <c r="I9308" s="13" t="s">
        <v>18549</v>
      </c>
      <c r="J9308" s="14" t="str">
        <f>HYPERLINK("https://www.boe.es/gazeta/dias/1839/03/02/pdfs/GMD-1839-1568.pdf#page=4","Abrir facsímil")</f>
        <v>Abrir facsímil</v>
      </c>
      <c r="K9308" s="12" t="s">
        <v>65</v>
      </c>
    </row>
    <row r="9309" spans="1:11" ht="40.049999999999997" customHeight="1" x14ac:dyDescent="0.25">
      <c r="A9309" s="11" t="s">
        <v>18539</v>
      </c>
      <c r="B9309" s="11" t="s">
        <v>18539</v>
      </c>
      <c r="C9309" s="11" t="s">
        <v>101</v>
      </c>
      <c r="D9309" s="11" t="s">
        <v>43</v>
      </c>
      <c r="E9309" s="12" t="s">
        <v>606</v>
      </c>
      <c r="F9309" s="12" t="s">
        <v>607</v>
      </c>
      <c r="G9309" s="12" t="s">
        <v>40</v>
      </c>
      <c r="H9309" s="11" t="s">
        <v>63</v>
      </c>
      <c r="I9309" s="13" t="s">
        <v>18550</v>
      </c>
      <c r="J9309" s="14" t="str">
        <f>HYPERLINK("https://www.boe.es/gazeta/dias/1839/04/02/pdfs/GMD-1839-1599.pdf#page=2","Abrir facsímil")</f>
        <v>Abrir facsímil</v>
      </c>
      <c r="K9309" s="12" t="s">
        <v>65</v>
      </c>
    </row>
    <row r="9310" spans="1:11" ht="40.049999999999997" customHeight="1" x14ac:dyDescent="0.25">
      <c r="A9310" s="11" t="s">
        <v>18539</v>
      </c>
      <c r="B9310" s="11" t="s">
        <v>18539</v>
      </c>
      <c r="C9310" s="11" t="s">
        <v>101</v>
      </c>
      <c r="D9310" s="11" t="s">
        <v>102</v>
      </c>
      <c r="E9310" s="12" t="s">
        <v>587</v>
      </c>
      <c r="F9310" s="12" t="s">
        <v>588</v>
      </c>
      <c r="G9310" s="12" t="s">
        <v>21</v>
      </c>
      <c r="H9310" s="11" t="s">
        <v>63</v>
      </c>
      <c r="I9310" s="13" t="s">
        <v>18551</v>
      </c>
      <c r="J9310" s="14" t="str">
        <f>HYPERLINK("https://www.boe.es/gazeta/dias/1839/05/02/pdfs/GMD-1839-1629.pdf#page=4","Abrir facsímil")</f>
        <v>Abrir facsímil</v>
      </c>
      <c r="K9310" s="12" t="s">
        <v>65</v>
      </c>
    </row>
    <row r="9311" spans="1:11" ht="40.049999999999997" customHeight="1" x14ac:dyDescent="0.25">
      <c r="A9311" s="11" t="s">
        <v>18539</v>
      </c>
      <c r="B9311" s="11" t="s">
        <v>18539</v>
      </c>
      <c r="C9311" s="11" t="s">
        <v>101</v>
      </c>
      <c r="D9311" s="11" t="s">
        <v>43</v>
      </c>
      <c r="E9311" s="12" t="s">
        <v>381</v>
      </c>
      <c r="F9311" s="12" t="s">
        <v>382</v>
      </c>
      <c r="G9311" s="12" t="s">
        <v>21</v>
      </c>
      <c r="H9311" s="11" t="s">
        <v>63</v>
      </c>
      <c r="I9311" s="13" t="s">
        <v>18552</v>
      </c>
      <c r="J9311" s="14" t="str">
        <f>HYPERLINK("https://www.boe.es/gazeta/dias/1839/06/02/pdfs/GMD-1839-1660.pdf#page=4","Abrir facsímil")</f>
        <v>Abrir facsímil</v>
      </c>
      <c r="K9311" s="12" t="s">
        <v>65</v>
      </c>
    </row>
    <row r="9312" spans="1:11" ht="40.049999999999997" customHeight="1" x14ac:dyDescent="0.25">
      <c r="A9312" s="11" t="s">
        <v>18539</v>
      </c>
      <c r="B9312" s="11" t="s">
        <v>18539</v>
      </c>
      <c r="C9312" s="11" t="s">
        <v>17</v>
      </c>
      <c r="D9312" s="11" t="s">
        <v>18</v>
      </c>
      <c r="E9312" s="12" t="s">
        <v>4451</v>
      </c>
      <c r="F9312" s="12" t="s">
        <v>4452</v>
      </c>
      <c r="G9312" s="12" t="s">
        <v>21</v>
      </c>
      <c r="H9312" s="11" t="s">
        <v>63</v>
      </c>
      <c r="I9312" s="13" t="s">
        <v>18553</v>
      </c>
      <c r="J9312" s="14" t="str">
        <f>HYPERLINK("https://www.boe.es/gazeta/dias/1839/12/02/pdfs/GMD-1839-1849.pdf#page=4","Abrir facsímil")</f>
        <v>Abrir facsímil</v>
      </c>
      <c r="K9312" s="12" t="s">
        <v>65</v>
      </c>
    </row>
    <row r="9313" spans="1:11" ht="40.049999999999997" customHeight="1" x14ac:dyDescent="0.25">
      <c r="A9313" s="11" t="s">
        <v>18539</v>
      </c>
      <c r="B9313" s="11" t="s">
        <v>18539</v>
      </c>
      <c r="C9313" s="11" t="s">
        <v>59</v>
      </c>
      <c r="D9313" s="11" t="s">
        <v>60</v>
      </c>
      <c r="E9313" s="12" t="s">
        <v>779</v>
      </c>
      <c r="F9313" s="12" t="s">
        <v>780</v>
      </c>
      <c r="G9313" s="12" t="s">
        <v>29</v>
      </c>
      <c r="H9313" s="11" t="s">
        <v>63</v>
      </c>
      <c r="I9313" s="13" t="s">
        <v>18554</v>
      </c>
      <c r="J9313" s="14" t="str">
        <f>HYPERLINK("https://www.boe.es/gazeta/dias/1839/02/03/pdfs/GMD-1839-1541.pdf#page=1","Abrir facsímil")</f>
        <v>Abrir facsímil</v>
      </c>
      <c r="K9313" s="12" t="s">
        <v>65</v>
      </c>
    </row>
    <row r="9314" spans="1:11" ht="40.049999999999997" customHeight="1" x14ac:dyDescent="0.25">
      <c r="A9314" s="11" t="s">
        <v>18539</v>
      </c>
      <c r="B9314" s="11" t="s">
        <v>18539</v>
      </c>
      <c r="C9314" s="11" t="s">
        <v>80</v>
      </c>
      <c r="D9314" s="11" t="s">
        <v>173</v>
      </c>
      <c r="E9314" s="12" t="s">
        <v>81</v>
      </c>
      <c r="F9314" s="12" t="s">
        <v>82</v>
      </c>
      <c r="G9314" s="12" t="s">
        <v>29</v>
      </c>
      <c r="H9314" s="11" t="s">
        <v>63</v>
      </c>
      <c r="I9314" s="13" t="s">
        <v>18555</v>
      </c>
      <c r="J9314" s="14" t="str">
        <f>HYPERLINK("https://www.boe.es/gazeta/dias/1839/03/03/pdfs/GMD-1839-1569.pdf#page=1","Abrir facsímil")</f>
        <v>Abrir facsímil</v>
      </c>
      <c r="K9314" s="12" t="s">
        <v>65</v>
      </c>
    </row>
    <row r="9315" spans="1:11" ht="40.049999999999997" customHeight="1" x14ac:dyDescent="0.25">
      <c r="A9315" s="11" t="s">
        <v>18539</v>
      </c>
      <c r="B9315" s="11" t="s">
        <v>18539</v>
      </c>
      <c r="C9315" s="11" t="s">
        <v>17</v>
      </c>
      <c r="D9315" s="11" t="s">
        <v>18</v>
      </c>
      <c r="E9315" s="12" t="s">
        <v>81</v>
      </c>
      <c r="F9315" s="12" t="s">
        <v>82</v>
      </c>
      <c r="G9315" s="12" t="s">
        <v>40</v>
      </c>
      <c r="H9315" s="11" t="s">
        <v>63</v>
      </c>
      <c r="I9315" s="13" t="s">
        <v>18556</v>
      </c>
      <c r="J9315" s="14" t="str">
        <f>HYPERLINK("https://www.boe.es/gazeta/dias/1839/03/03/pdfs/GMD-1839-1569.pdf#page=2","Abrir facsímil")</f>
        <v>Abrir facsímil</v>
      </c>
      <c r="K9315" s="12" t="s">
        <v>65</v>
      </c>
    </row>
    <row r="9316" spans="1:11" ht="40.049999999999997" customHeight="1" x14ac:dyDescent="0.25">
      <c r="A9316" s="11" t="s">
        <v>18539</v>
      </c>
      <c r="B9316" s="11" t="s">
        <v>18539</v>
      </c>
      <c r="C9316" s="11" t="s">
        <v>80</v>
      </c>
      <c r="D9316" s="11" t="s">
        <v>18</v>
      </c>
      <c r="E9316" s="12" t="s">
        <v>4472</v>
      </c>
      <c r="F9316" s="12" t="s">
        <v>4473</v>
      </c>
      <c r="G9316" s="12" t="s">
        <v>29</v>
      </c>
      <c r="H9316" s="11" t="s">
        <v>63</v>
      </c>
      <c r="I9316" s="13" t="s">
        <v>18557</v>
      </c>
      <c r="J9316" s="14" t="str">
        <f>HYPERLINK("https://www.boe.es/gazeta/dias/1839/08/03/pdfs/GMD-1839-1723.pdf#page=1","Abrir facsímil")</f>
        <v>Abrir facsímil</v>
      </c>
      <c r="K9316" s="12" t="s">
        <v>65</v>
      </c>
    </row>
    <row r="9317" spans="1:11" ht="40.049999999999997" customHeight="1" x14ac:dyDescent="0.25">
      <c r="A9317" s="11" t="s">
        <v>18539</v>
      </c>
      <c r="B9317" s="11" t="s">
        <v>18539</v>
      </c>
      <c r="C9317" s="11" t="s">
        <v>137</v>
      </c>
      <c r="D9317" s="11" t="s">
        <v>18</v>
      </c>
      <c r="E9317" s="12" t="s">
        <v>212</v>
      </c>
      <c r="F9317" s="12" t="s">
        <v>213</v>
      </c>
      <c r="G9317" s="12" t="s">
        <v>305</v>
      </c>
      <c r="H9317" s="11" t="s">
        <v>63</v>
      </c>
      <c r="I9317" s="13" t="s">
        <v>18558</v>
      </c>
      <c r="J9317" s="14" t="str">
        <f>HYPERLINK("https://www.boe.es/gazeta/dias/1839/10/03/pdfs/GMD-1839-1789.pdf#page=6","Abrir facsímil")</f>
        <v>Abrir facsímil</v>
      </c>
      <c r="K9317" s="12" t="s">
        <v>65</v>
      </c>
    </row>
    <row r="9318" spans="1:11" ht="40.049999999999997" customHeight="1" x14ac:dyDescent="0.25">
      <c r="A9318" s="11" t="s">
        <v>18539</v>
      </c>
      <c r="B9318" s="11" t="s">
        <v>18539</v>
      </c>
      <c r="C9318" s="11" t="s">
        <v>17</v>
      </c>
      <c r="D9318" s="11" t="s">
        <v>18</v>
      </c>
      <c r="E9318" s="12" t="s">
        <v>883</v>
      </c>
      <c r="F9318" s="12" t="s">
        <v>884</v>
      </c>
      <c r="G9318" s="12" t="s">
        <v>46</v>
      </c>
      <c r="H9318" s="11" t="s">
        <v>63</v>
      </c>
      <c r="I9318" s="13" t="s">
        <v>18559</v>
      </c>
      <c r="J9318" s="14" t="str">
        <f>HYPERLINK("https://www.boe.es/gazeta/dias/1839/11/03/pdfs/GMD-1839-1820.pdf#page=3","Abrir facsímil")</f>
        <v>Abrir facsímil</v>
      </c>
      <c r="K9318" s="12" t="s">
        <v>65</v>
      </c>
    </row>
    <row r="9319" spans="1:11" ht="40.049999999999997" customHeight="1" x14ac:dyDescent="0.25">
      <c r="A9319" s="11" t="s">
        <v>18539</v>
      </c>
      <c r="B9319" s="11" t="s">
        <v>18539</v>
      </c>
      <c r="C9319" s="11" t="s">
        <v>17</v>
      </c>
      <c r="D9319" s="11" t="s">
        <v>18</v>
      </c>
      <c r="E9319" s="12" t="s">
        <v>108</v>
      </c>
      <c r="F9319" s="12" t="s">
        <v>109</v>
      </c>
      <c r="G9319" s="12" t="s">
        <v>29</v>
      </c>
      <c r="H9319" s="11" t="s">
        <v>63</v>
      </c>
      <c r="I9319" s="13" t="s">
        <v>18560</v>
      </c>
      <c r="J9319" s="14" t="str">
        <f>HYPERLINK("https://www.boe.es/gazeta/dias/1839/01/04/pdfs/GMD-1839-1511.pdf#page=1","Abrir facsímil")</f>
        <v>Abrir facsímil</v>
      </c>
      <c r="K9319" s="12" t="s">
        <v>65</v>
      </c>
    </row>
    <row r="9320" spans="1:11" ht="40.049999999999997" customHeight="1" x14ac:dyDescent="0.25">
      <c r="A9320" s="11" t="s">
        <v>18539</v>
      </c>
      <c r="B9320" s="11" t="s">
        <v>18539</v>
      </c>
      <c r="C9320" s="11" t="s">
        <v>17</v>
      </c>
      <c r="D9320" s="11" t="s">
        <v>18</v>
      </c>
      <c r="E9320" s="12" t="s">
        <v>108</v>
      </c>
      <c r="F9320" s="12" t="s">
        <v>109</v>
      </c>
      <c r="G9320" s="12" t="s">
        <v>40</v>
      </c>
      <c r="H9320" s="11" t="s">
        <v>63</v>
      </c>
      <c r="I9320" s="13" t="s">
        <v>18561</v>
      </c>
      <c r="J9320" s="14" t="str">
        <f>HYPERLINK("https://www.boe.es/gazeta/dias/1839/01/04/pdfs/GMD-1839-1511.pdf#page=2","Abrir facsímil")</f>
        <v>Abrir facsímil</v>
      </c>
      <c r="K9320" s="12" t="s">
        <v>65</v>
      </c>
    </row>
    <row r="9321" spans="1:11" ht="40.049999999999997" customHeight="1" x14ac:dyDescent="0.25">
      <c r="A9321" s="11" t="s">
        <v>18539</v>
      </c>
      <c r="B9321" s="11" t="s">
        <v>18539</v>
      </c>
      <c r="C9321" s="11" t="s">
        <v>17</v>
      </c>
      <c r="D9321" s="11" t="s">
        <v>18</v>
      </c>
      <c r="E9321" s="12" t="s">
        <v>7860</v>
      </c>
      <c r="F9321" s="12" t="s">
        <v>7861</v>
      </c>
      <c r="G9321" s="12" t="s">
        <v>21</v>
      </c>
      <c r="H9321" s="11" t="s">
        <v>63</v>
      </c>
      <c r="I9321" s="13" t="s">
        <v>18562</v>
      </c>
      <c r="J9321" s="14" t="str">
        <f>HYPERLINK("https://www.boe.es/gazeta/dias/1839/03/04/pdfs/GMD-1839-1570.pdf#page=4","Abrir facsímil")</f>
        <v>Abrir facsímil</v>
      </c>
      <c r="K9321" s="12" t="s">
        <v>65</v>
      </c>
    </row>
    <row r="9322" spans="1:11" ht="40.049999999999997" customHeight="1" x14ac:dyDescent="0.25">
      <c r="A9322" s="11" t="s">
        <v>18539</v>
      </c>
      <c r="B9322" s="11" t="s">
        <v>18539</v>
      </c>
      <c r="C9322" s="11" t="s">
        <v>137</v>
      </c>
      <c r="D9322" s="11" t="s">
        <v>18</v>
      </c>
      <c r="E9322" s="12" t="s">
        <v>3614</v>
      </c>
      <c r="F9322" s="12" t="s">
        <v>3615</v>
      </c>
      <c r="G9322" s="12" t="s">
        <v>46</v>
      </c>
      <c r="H9322" s="11" t="s">
        <v>63</v>
      </c>
      <c r="I9322" s="13" t="s">
        <v>18563</v>
      </c>
      <c r="J9322" s="14" t="str">
        <f>HYPERLINK("https://www.boe.es/gazeta/dias/1839/04/04/pdfs/GMD-1839-1601.pdf#page=3","Abrir facsímil")</f>
        <v>Abrir facsímil</v>
      </c>
      <c r="K9322" s="12" t="s">
        <v>65</v>
      </c>
    </row>
    <row r="9323" spans="1:11" ht="40.049999999999997" customHeight="1" x14ac:dyDescent="0.25">
      <c r="A9323" s="11" t="s">
        <v>18539</v>
      </c>
      <c r="B9323" s="11" t="s">
        <v>18539</v>
      </c>
      <c r="C9323" s="11" t="s">
        <v>17</v>
      </c>
      <c r="D9323" s="11" t="s">
        <v>18</v>
      </c>
      <c r="E9323" s="12" t="s">
        <v>1388</v>
      </c>
      <c r="F9323" s="12" t="s">
        <v>1389</v>
      </c>
      <c r="G9323" s="12" t="s">
        <v>21</v>
      </c>
      <c r="H9323" s="11" t="s">
        <v>63</v>
      </c>
      <c r="I9323" s="13" t="s">
        <v>18564</v>
      </c>
      <c r="J9323" s="14" t="str">
        <f>HYPERLINK("https://www.boe.es/gazeta/dias/1839/06/04/pdfs/GMD-1839-1662.pdf#page=4","Abrir facsímil")</f>
        <v>Abrir facsímil</v>
      </c>
      <c r="K9323" s="12" t="s">
        <v>65</v>
      </c>
    </row>
    <row r="9324" spans="1:11" ht="40.049999999999997" customHeight="1" x14ac:dyDescent="0.25">
      <c r="A9324" s="11" t="s">
        <v>18539</v>
      </c>
      <c r="B9324" s="11" t="s">
        <v>18539</v>
      </c>
      <c r="C9324" s="11" t="s">
        <v>17</v>
      </c>
      <c r="D9324" s="11" t="s">
        <v>18</v>
      </c>
      <c r="E9324" s="12" t="s">
        <v>291</v>
      </c>
      <c r="F9324" s="12" t="s">
        <v>292</v>
      </c>
      <c r="G9324" s="12" t="s">
        <v>29</v>
      </c>
      <c r="H9324" s="11" t="s">
        <v>63</v>
      </c>
      <c r="I9324" s="13" t="s">
        <v>18565</v>
      </c>
      <c r="J9324" s="14" t="str">
        <f>HYPERLINK("https://www.boe.es/gazeta/dias/1839/09/04/pdfs/GMD-1839-1757.pdf#page=1","Abrir facsímil")</f>
        <v>Abrir facsímil</v>
      </c>
      <c r="K9324" s="12" t="s">
        <v>65</v>
      </c>
    </row>
    <row r="9325" spans="1:11" ht="40.049999999999997" customHeight="1" x14ac:dyDescent="0.25">
      <c r="A9325" s="11" t="s">
        <v>18539</v>
      </c>
      <c r="B9325" s="11" t="s">
        <v>18539</v>
      </c>
      <c r="C9325" s="11" t="s">
        <v>17</v>
      </c>
      <c r="D9325" s="11" t="s">
        <v>18</v>
      </c>
      <c r="E9325" s="12" t="s">
        <v>291</v>
      </c>
      <c r="F9325" s="12" t="s">
        <v>292</v>
      </c>
      <c r="G9325" s="12" t="s">
        <v>46</v>
      </c>
      <c r="H9325" s="11" t="s">
        <v>63</v>
      </c>
      <c r="I9325" s="13" t="s">
        <v>18566</v>
      </c>
      <c r="J9325" s="14" t="str">
        <f>HYPERLINK("https://www.boe.es/gazeta/dias/1839/09/04/pdfs/GMD-1839-1757.pdf#page=3","Abrir facsímil")</f>
        <v>Abrir facsímil</v>
      </c>
      <c r="K9325" s="12" t="s">
        <v>65</v>
      </c>
    </row>
    <row r="9326" spans="1:11" ht="40.049999999999997" customHeight="1" x14ac:dyDescent="0.25">
      <c r="A9326" s="11" t="s">
        <v>18539</v>
      </c>
      <c r="B9326" s="11" t="s">
        <v>18539</v>
      </c>
      <c r="C9326" s="11" t="s">
        <v>17</v>
      </c>
      <c r="D9326" s="11" t="s">
        <v>18</v>
      </c>
      <c r="E9326" s="12" t="s">
        <v>197</v>
      </c>
      <c r="F9326" s="12" t="s">
        <v>198</v>
      </c>
      <c r="G9326" s="12" t="s">
        <v>46</v>
      </c>
      <c r="H9326" s="11" t="s">
        <v>63</v>
      </c>
      <c r="I9326" s="13" t="s">
        <v>18567</v>
      </c>
      <c r="J9326" s="14" t="str">
        <f>HYPERLINK("https://www.boe.es/gazeta/dias/1839/10/04/pdfs/GMD-1839-1790.pdf#page=3","Abrir facsímil")</f>
        <v>Abrir facsímil</v>
      </c>
      <c r="K9326" s="12" t="s">
        <v>65</v>
      </c>
    </row>
    <row r="9327" spans="1:11" ht="40.049999999999997" customHeight="1" x14ac:dyDescent="0.25">
      <c r="A9327" s="11" t="s">
        <v>18539</v>
      </c>
      <c r="B9327" s="11" t="s">
        <v>18539</v>
      </c>
      <c r="C9327" s="11" t="s">
        <v>101</v>
      </c>
      <c r="D9327" s="11" t="s">
        <v>43</v>
      </c>
      <c r="E9327" s="12" t="s">
        <v>49</v>
      </c>
      <c r="F9327" s="12" t="s">
        <v>50</v>
      </c>
      <c r="G9327" s="12" t="s">
        <v>46</v>
      </c>
      <c r="H9327" s="11" t="s">
        <v>63</v>
      </c>
      <c r="I9327" s="13" t="s">
        <v>18568</v>
      </c>
      <c r="J9327" s="14" t="str">
        <f>HYPERLINK("https://www.boe.es/gazeta/dias/1839/01/05/pdfs/GMD-1839-1512.pdf#page=3","Abrir facsímil")</f>
        <v>Abrir facsímil</v>
      </c>
      <c r="K9327" s="12" t="s">
        <v>65</v>
      </c>
    </row>
    <row r="9328" spans="1:11" ht="40.049999999999997" customHeight="1" x14ac:dyDescent="0.25">
      <c r="A9328" s="11" t="s">
        <v>18539</v>
      </c>
      <c r="B9328" s="11" t="s">
        <v>18539</v>
      </c>
      <c r="C9328" s="11" t="s">
        <v>59</v>
      </c>
      <c r="D9328" s="11" t="s">
        <v>60</v>
      </c>
      <c r="E9328" s="12" t="s">
        <v>202</v>
      </c>
      <c r="F9328" s="12" t="s">
        <v>203</v>
      </c>
      <c r="G9328" s="12" t="s">
        <v>46</v>
      </c>
      <c r="H9328" s="11" t="s">
        <v>63</v>
      </c>
      <c r="I9328" s="13" t="s">
        <v>18569</v>
      </c>
      <c r="J9328" s="14" t="str">
        <f>HYPERLINK("https://www.boe.es/gazeta/dias/1839/04/05/pdfs/GMD-1839-1602.pdf#page=3","Abrir facsímil")</f>
        <v>Abrir facsímil</v>
      </c>
      <c r="K9328" s="12" t="s">
        <v>65</v>
      </c>
    </row>
    <row r="9329" spans="1:11" ht="40.049999999999997" customHeight="1" x14ac:dyDescent="0.25">
      <c r="A9329" s="11" t="s">
        <v>18539</v>
      </c>
      <c r="B9329" s="11" t="s">
        <v>18539</v>
      </c>
      <c r="C9329" s="11" t="s">
        <v>137</v>
      </c>
      <c r="D9329" s="11" t="s">
        <v>18</v>
      </c>
      <c r="E9329" s="12" t="s">
        <v>1356</v>
      </c>
      <c r="F9329" s="12" t="s">
        <v>1357</v>
      </c>
      <c r="G9329" s="12" t="s">
        <v>21</v>
      </c>
      <c r="H9329" s="11" t="s">
        <v>63</v>
      </c>
      <c r="I9329" s="13" t="s">
        <v>18570</v>
      </c>
      <c r="J9329" s="14" t="str">
        <f>HYPERLINK("https://www.boe.es/gazeta/dias/1839/06/05/pdfs/GMD-1839-1663.pdf#page=4","Abrir facsímil")</f>
        <v>Abrir facsímil</v>
      </c>
      <c r="K9329" s="12" t="s">
        <v>65</v>
      </c>
    </row>
    <row r="9330" spans="1:11" ht="40.049999999999997" customHeight="1" x14ac:dyDescent="0.25">
      <c r="A9330" s="11" t="s">
        <v>18539</v>
      </c>
      <c r="B9330" s="11" t="s">
        <v>18539</v>
      </c>
      <c r="C9330" s="11" t="s">
        <v>101</v>
      </c>
      <c r="D9330" s="11" t="s">
        <v>43</v>
      </c>
      <c r="E9330" s="12" t="s">
        <v>409</v>
      </c>
      <c r="F9330" s="12" t="s">
        <v>410</v>
      </c>
      <c r="G9330" s="12" t="s">
        <v>40</v>
      </c>
      <c r="H9330" s="11" t="s">
        <v>63</v>
      </c>
      <c r="I9330" s="13" t="s">
        <v>18571</v>
      </c>
      <c r="J9330" s="14" t="str">
        <f>HYPERLINK("https://www.boe.es/gazeta/dias/1839/07/05/pdfs/GMD-1839-1693.pdf#page=2","Abrir facsímil")</f>
        <v>Abrir facsímil</v>
      </c>
      <c r="K9330" s="12" t="s">
        <v>65</v>
      </c>
    </row>
    <row r="9331" spans="1:11" ht="40.049999999999997" customHeight="1" x14ac:dyDescent="0.25">
      <c r="A9331" s="11" t="s">
        <v>18539</v>
      </c>
      <c r="B9331" s="11" t="s">
        <v>18539</v>
      </c>
      <c r="C9331" s="11" t="s">
        <v>17</v>
      </c>
      <c r="D9331" s="11" t="s">
        <v>18</v>
      </c>
      <c r="E9331" s="12" t="s">
        <v>2210</v>
      </c>
      <c r="F9331" s="12" t="s">
        <v>2211</v>
      </c>
      <c r="G9331" s="12" t="s">
        <v>29</v>
      </c>
      <c r="H9331" s="11" t="s">
        <v>63</v>
      </c>
      <c r="I9331" s="13" t="s">
        <v>18572</v>
      </c>
      <c r="J9331" s="14" t="str">
        <f>HYPERLINK("https://www.boe.es/gazeta/dias/1839/09/05/pdfs/GMD-1839-1758.pdf#page=1","Abrir facsímil")</f>
        <v>Abrir facsímil</v>
      </c>
      <c r="K9331" s="12" t="s">
        <v>65</v>
      </c>
    </row>
    <row r="9332" spans="1:11" ht="40.049999999999997" customHeight="1" x14ac:dyDescent="0.25">
      <c r="A9332" s="11" t="s">
        <v>18539</v>
      </c>
      <c r="B9332" s="11" t="s">
        <v>18539</v>
      </c>
      <c r="C9332" s="11" t="s">
        <v>17</v>
      </c>
      <c r="D9332" s="11" t="s">
        <v>18</v>
      </c>
      <c r="E9332" s="12" t="s">
        <v>54</v>
      </c>
      <c r="F9332" s="12" t="s">
        <v>55</v>
      </c>
      <c r="G9332" s="12" t="s">
        <v>21</v>
      </c>
      <c r="H9332" s="11" t="s">
        <v>63</v>
      </c>
      <c r="I9332" s="13" t="s">
        <v>18573</v>
      </c>
      <c r="J9332" s="14" t="str">
        <f>HYPERLINK("https://www.boe.es/gazeta/dias/1839/10/05/pdfs/GMD-1839-1791.pdf#page=4","Abrir facsímil")</f>
        <v>Abrir facsímil</v>
      </c>
      <c r="K9332" s="12" t="s">
        <v>65</v>
      </c>
    </row>
    <row r="9333" spans="1:11" ht="40.049999999999997" customHeight="1" x14ac:dyDescent="0.25">
      <c r="A9333" s="11" t="s">
        <v>18539</v>
      </c>
      <c r="B9333" s="11" t="s">
        <v>18539</v>
      </c>
      <c r="C9333" s="11" t="s">
        <v>17</v>
      </c>
      <c r="D9333" s="11" t="s">
        <v>43</v>
      </c>
      <c r="E9333" s="12" t="s">
        <v>2165</v>
      </c>
      <c r="F9333" s="12" t="s">
        <v>2166</v>
      </c>
      <c r="G9333" s="12" t="s">
        <v>40</v>
      </c>
      <c r="H9333" s="11" t="s">
        <v>63</v>
      </c>
      <c r="I9333" s="13" t="s">
        <v>18574</v>
      </c>
      <c r="J9333" s="14" t="str">
        <f>HYPERLINK("https://www.boe.es/gazeta/dias/1839/01/06/pdfs/GMD-1839-1513.pdf#page=2","Abrir facsímil")</f>
        <v>Abrir facsímil</v>
      </c>
      <c r="K9333" s="12" t="s">
        <v>65</v>
      </c>
    </row>
    <row r="9334" spans="1:11" ht="40.049999999999997" customHeight="1" x14ac:dyDescent="0.25">
      <c r="A9334" s="11" t="s">
        <v>18539</v>
      </c>
      <c r="B9334" s="11" t="s">
        <v>18539</v>
      </c>
      <c r="C9334" s="11" t="s">
        <v>17</v>
      </c>
      <c r="D9334" s="11" t="s">
        <v>18</v>
      </c>
      <c r="E9334" s="12" t="s">
        <v>448</v>
      </c>
      <c r="F9334" s="12" t="s">
        <v>449</v>
      </c>
      <c r="G9334" s="12" t="s">
        <v>29</v>
      </c>
      <c r="H9334" s="11" t="s">
        <v>63</v>
      </c>
      <c r="I9334" s="13" t="s">
        <v>18575</v>
      </c>
      <c r="J9334" s="14" t="str">
        <f>HYPERLINK("https://www.boe.es/gazeta/dias/1839/02/06/pdfs/GMD-1839-1544.pdf#page=1","Abrir facsímil")</f>
        <v>Abrir facsímil</v>
      </c>
      <c r="K9334" s="12" t="s">
        <v>65</v>
      </c>
    </row>
    <row r="9335" spans="1:11" ht="40.049999999999997" customHeight="1" x14ac:dyDescent="0.25">
      <c r="A9335" s="11" t="s">
        <v>18539</v>
      </c>
      <c r="B9335" s="11" t="s">
        <v>18539</v>
      </c>
      <c r="C9335" s="11" t="s">
        <v>80</v>
      </c>
      <c r="D9335" s="11" t="s">
        <v>18</v>
      </c>
      <c r="E9335" s="12" t="s">
        <v>632</v>
      </c>
      <c r="F9335" s="12" t="s">
        <v>633</v>
      </c>
      <c r="G9335" s="12" t="s">
        <v>21</v>
      </c>
      <c r="H9335" s="11" t="s">
        <v>63</v>
      </c>
      <c r="I9335" s="13" t="s">
        <v>18576</v>
      </c>
      <c r="J9335" s="14" t="str">
        <f>HYPERLINK("https://www.boe.es/gazeta/dias/1839/04/06/pdfs/GMD-1839-1603.pdf#page=4","Abrir facsímil")</f>
        <v>Abrir facsímil</v>
      </c>
      <c r="K9335" s="12" t="s">
        <v>65</v>
      </c>
    </row>
    <row r="9336" spans="1:11" ht="40.049999999999997" customHeight="1" x14ac:dyDescent="0.25">
      <c r="A9336" s="11" t="s">
        <v>18539</v>
      </c>
      <c r="B9336" s="11" t="s">
        <v>18539</v>
      </c>
      <c r="C9336" s="11" t="s">
        <v>80</v>
      </c>
      <c r="D9336" s="11" t="s">
        <v>18</v>
      </c>
      <c r="E9336" s="12" t="s">
        <v>1623</v>
      </c>
      <c r="F9336" s="12" t="s">
        <v>1624</v>
      </c>
      <c r="G9336" s="12" t="s">
        <v>40</v>
      </c>
      <c r="H9336" s="11" t="s">
        <v>63</v>
      </c>
      <c r="I9336" s="13" t="s">
        <v>18577</v>
      </c>
      <c r="J9336" s="14" t="str">
        <f>HYPERLINK("https://www.boe.es/gazeta/dias/1839/04/07/pdfs/GMD-1839-1604.pdf#page=2","Abrir facsímil")</f>
        <v>Abrir facsímil</v>
      </c>
      <c r="K9336" s="12" t="s">
        <v>65</v>
      </c>
    </row>
    <row r="9337" spans="1:11" ht="40.049999999999997" customHeight="1" x14ac:dyDescent="0.25">
      <c r="A9337" s="11" t="s">
        <v>18539</v>
      </c>
      <c r="B9337" s="11" t="s">
        <v>18539</v>
      </c>
      <c r="C9337" s="11" t="s">
        <v>17</v>
      </c>
      <c r="D9337" s="11" t="s">
        <v>18</v>
      </c>
      <c r="E9337" s="12" t="s">
        <v>1772</v>
      </c>
      <c r="F9337" s="12" t="s">
        <v>1773</v>
      </c>
      <c r="G9337" s="12" t="s">
        <v>29</v>
      </c>
      <c r="H9337" s="11" t="s">
        <v>63</v>
      </c>
      <c r="I9337" s="13" t="s">
        <v>18578</v>
      </c>
      <c r="J9337" s="14" t="str">
        <f>HYPERLINK("https://www.boe.es/gazeta/dias/1839/05/07/pdfs/GMD-1839-1634.pdf#page=1","Abrir facsímil")</f>
        <v>Abrir facsímil</v>
      </c>
      <c r="K9337" s="12" t="s">
        <v>65</v>
      </c>
    </row>
    <row r="9338" spans="1:11" ht="40.049999999999997" customHeight="1" x14ac:dyDescent="0.25">
      <c r="A9338" s="11" t="s">
        <v>18539</v>
      </c>
      <c r="B9338" s="11" t="s">
        <v>18539</v>
      </c>
      <c r="C9338" s="11" t="s">
        <v>59</v>
      </c>
      <c r="D9338" s="11" t="s">
        <v>60</v>
      </c>
      <c r="E9338" s="12" t="s">
        <v>388</v>
      </c>
      <c r="F9338" s="12" t="s">
        <v>389</v>
      </c>
      <c r="G9338" s="12" t="s">
        <v>21</v>
      </c>
      <c r="H9338" s="11" t="s">
        <v>63</v>
      </c>
      <c r="I9338" s="13" t="s">
        <v>18579</v>
      </c>
      <c r="J9338" s="14" t="str">
        <f>HYPERLINK("https://www.boe.es/gazeta/dias/1839/08/07/pdfs/GMD-1839-1727.pdf#page=4","Abrir facsímil")</f>
        <v>Abrir facsímil</v>
      </c>
      <c r="K9338" s="12" t="s">
        <v>65</v>
      </c>
    </row>
    <row r="9339" spans="1:11" ht="40.049999999999997" customHeight="1" x14ac:dyDescent="0.25">
      <c r="A9339" s="11" t="s">
        <v>18539</v>
      </c>
      <c r="B9339" s="11" t="s">
        <v>18539</v>
      </c>
      <c r="C9339" s="11" t="s">
        <v>17</v>
      </c>
      <c r="D9339" s="11" t="s">
        <v>18</v>
      </c>
      <c r="E9339" s="12" t="s">
        <v>1008</v>
      </c>
      <c r="F9339" s="12" t="s">
        <v>1009</v>
      </c>
      <c r="G9339" s="12" t="s">
        <v>29</v>
      </c>
      <c r="H9339" s="11" t="s">
        <v>63</v>
      </c>
      <c r="I9339" s="13" t="s">
        <v>18580</v>
      </c>
      <c r="J9339" s="14" t="str">
        <f>HYPERLINK("https://www.boe.es/gazeta/dias/1839/09/07/pdfs/GMD-1839-1760.pdf#page=1","Abrir facsímil")</f>
        <v>Abrir facsímil</v>
      </c>
      <c r="K9339" s="12" t="s">
        <v>65</v>
      </c>
    </row>
    <row r="9340" spans="1:11" ht="40.049999999999997" customHeight="1" x14ac:dyDescent="0.25">
      <c r="A9340" s="11" t="s">
        <v>18539</v>
      </c>
      <c r="B9340" s="11" t="s">
        <v>18539</v>
      </c>
      <c r="C9340" s="11" t="s">
        <v>17</v>
      </c>
      <c r="D9340" s="11" t="s">
        <v>18</v>
      </c>
      <c r="E9340" s="12" t="s">
        <v>1509</v>
      </c>
      <c r="F9340" s="12" t="s">
        <v>1510</v>
      </c>
      <c r="G9340" s="12" t="s">
        <v>305</v>
      </c>
      <c r="H9340" s="11" t="s">
        <v>63</v>
      </c>
      <c r="I9340" s="13" t="s">
        <v>18581</v>
      </c>
      <c r="J9340" s="14" t="str">
        <f>HYPERLINK("https://www.boe.es/gazeta/dias/1839/10/07/pdfs/GMD-1839-1793.pdf#page=6","Abrir facsímil")</f>
        <v>Abrir facsímil</v>
      </c>
      <c r="K9340" s="12" t="s">
        <v>65</v>
      </c>
    </row>
    <row r="9341" spans="1:11" ht="40.049999999999997" customHeight="1" x14ac:dyDescent="0.25">
      <c r="A9341" s="11" t="s">
        <v>18539</v>
      </c>
      <c r="B9341" s="11" t="s">
        <v>18539</v>
      </c>
      <c r="C9341" s="11" t="s">
        <v>17</v>
      </c>
      <c r="D9341" s="11" t="s">
        <v>18</v>
      </c>
      <c r="E9341" s="12" t="s">
        <v>38</v>
      </c>
      <c r="F9341" s="12" t="s">
        <v>39</v>
      </c>
      <c r="G9341" s="12" t="s">
        <v>29</v>
      </c>
      <c r="H9341" s="11" t="s">
        <v>63</v>
      </c>
      <c r="I9341" s="13" t="s">
        <v>18582</v>
      </c>
      <c r="J9341" s="14" t="str">
        <f>HYPERLINK("https://www.boe.es/gazeta/dias/1839/08/08/pdfs/GMD-1839-1728.pdf#page=1","Abrir facsímil")</f>
        <v>Abrir facsímil</v>
      </c>
      <c r="K9341" s="12" t="s">
        <v>65</v>
      </c>
    </row>
    <row r="9342" spans="1:11" ht="40.049999999999997" customHeight="1" x14ac:dyDescent="0.25">
      <c r="A9342" s="11" t="s">
        <v>18539</v>
      </c>
      <c r="B9342" s="11" t="s">
        <v>18539</v>
      </c>
      <c r="C9342" s="11" t="s">
        <v>17</v>
      </c>
      <c r="D9342" s="11" t="s">
        <v>18</v>
      </c>
      <c r="E9342" s="12" t="s">
        <v>2301</v>
      </c>
      <c r="F9342" s="12" t="s">
        <v>2302</v>
      </c>
      <c r="G9342" s="12" t="s">
        <v>46</v>
      </c>
      <c r="H9342" s="11" t="s">
        <v>63</v>
      </c>
      <c r="I9342" s="13" t="s">
        <v>18583</v>
      </c>
      <c r="J9342" s="14" t="str">
        <f>HYPERLINK("https://www.boe.es/gazeta/dias/1839/09/08/pdfs/GMD-1839-1761.pdf#page=3","Abrir facsímil")</f>
        <v>Abrir facsímil</v>
      </c>
      <c r="K9342" s="12" t="s">
        <v>65</v>
      </c>
    </row>
    <row r="9343" spans="1:11" ht="40.049999999999997" customHeight="1" x14ac:dyDescent="0.25">
      <c r="A9343" s="11" t="s">
        <v>18539</v>
      </c>
      <c r="B9343" s="11" t="s">
        <v>18539</v>
      </c>
      <c r="C9343" s="11" t="s">
        <v>80</v>
      </c>
      <c r="D9343" s="11" t="s">
        <v>18</v>
      </c>
      <c r="E9343" s="12" t="s">
        <v>372</v>
      </c>
      <c r="F9343" s="12" t="s">
        <v>373</v>
      </c>
      <c r="G9343" s="12" t="s">
        <v>40</v>
      </c>
      <c r="H9343" s="11" t="s">
        <v>63</v>
      </c>
      <c r="I9343" s="13" t="s">
        <v>18584</v>
      </c>
      <c r="J9343" s="14" t="str">
        <f>HYPERLINK("https://www.boe.es/gazeta/dias/1839/11/08/pdfs/GMD-1839-1825.pdf#page=2","Abrir facsímil")</f>
        <v>Abrir facsímil</v>
      </c>
      <c r="K9343" s="12" t="s">
        <v>65</v>
      </c>
    </row>
    <row r="9344" spans="1:11" ht="40.049999999999997" customHeight="1" x14ac:dyDescent="0.25">
      <c r="A9344" s="11" t="s">
        <v>18539</v>
      </c>
      <c r="B9344" s="11" t="s">
        <v>18539</v>
      </c>
      <c r="C9344" s="11" t="s">
        <v>17</v>
      </c>
      <c r="D9344" s="11" t="s">
        <v>18</v>
      </c>
      <c r="E9344" s="12" t="s">
        <v>372</v>
      </c>
      <c r="F9344" s="12" t="s">
        <v>373</v>
      </c>
      <c r="G9344" s="12" t="s">
        <v>46</v>
      </c>
      <c r="H9344" s="11" t="s">
        <v>63</v>
      </c>
      <c r="I9344" s="13" t="s">
        <v>18585</v>
      </c>
      <c r="J9344" s="14" t="str">
        <f>HYPERLINK("https://www.boe.es/gazeta/dias/1839/11/08/pdfs/GMD-1839-1825.pdf#page=3","Abrir facsímil")</f>
        <v>Abrir facsímil</v>
      </c>
      <c r="K9344" s="12" t="s">
        <v>65</v>
      </c>
    </row>
    <row r="9345" spans="1:11" ht="40.049999999999997" customHeight="1" x14ac:dyDescent="0.25">
      <c r="A9345" s="11" t="s">
        <v>18539</v>
      </c>
      <c r="B9345" s="11" t="s">
        <v>18539</v>
      </c>
      <c r="C9345" s="11" t="s">
        <v>17</v>
      </c>
      <c r="D9345" s="11" t="s">
        <v>18</v>
      </c>
      <c r="E9345" s="12" t="s">
        <v>690</v>
      </c>
      <c r="F9345" s="12" t="s">
        <v>691</v>
      </c>
      <c r="G9345" s="12" t="s">
        <v>21</v>
      </c>
      <c r="H9345" s="11" t="s">
        <v>63</v>
      </c>
      <c r="I9345" s="13" t="s">
        <v>18586</v>
      </c>
      <c r="J9345" s="14" t="str">
        <f>HYPERLINK("https://www.boe.es/gazeta/dias/1839/12/08/pdfs/GMD-1839-1855.pdf#page=4","Abrir facsímil")</f>
        <v>Abrir facsímil</v>
      </c>
      <c r="K9345" s="12" t="s">
        <v>65</v>
      </c>
    </row>
    <row r="9346" spans="1:11" ht="40.049999999999997" customHeight="1" x14ac:dyDescent="0.25">
      <c r="A9346" s="11" t="s">
        <v>18539</v>
      </c>
      <c r="B9346" s="11" t="s">
        <v>18539</v>
      </c>
      <c r="C9346" s="11" t="s">
        <v>17</v>
      </c>
      <c r="D9346" s="11" t="s">
        <v>18</v>
      </c>
      <c r="E9346" s="12" t="s">
        <v>3705</v>
      </c>
      <c r="F9346" s="12" t="s">
        <v>3706</v>
      </c>
      <c r="G9346" s="12" t="s">
        <v>29</v>
      </c>
      <c r="H9346" s="11" t="s">
        <v>63</v>
      </c>
      <c r="I9346" s="13" t="s">
        <v>18587</v>
      </c>
      <c r="J9346" s="14" t="str">
        <f>HYPERLINK("https://www.boe.es/gazeta/dias/1839/03/09/pdfs/GMD-1839-1575.pdf#page=1","Abrir facsímil")</f>
        <v>Abrir facsímil</v>
      </c>
      <c r="K9346" s="12" t="s">
        <v>65</v>
      </c>
    </row>
    <row r="9347" spans="1:11" ht="40.049999999999997" customHeight="1" x14ac:dyDescent="0.25">
      <c r="A9347" s="11" t="s">
        <v>18539</v>
      </c>
      <c r="B9347" s="11" t="s">
        <v>18539</v>
      </c>
      <c r="C9347" s="11" t="s">
        <v>17</v>
      </c>
      <c r="D9347" s="11" t="s">
        <v>18</v>
      </c>
      <c r="E9347" s="12" t="s">
        <v>1366</v>
      </c>
      <c r="F9347" s="12" t="s">
        <v>1367</v>
      </c>
      <c r="G9347" s="12" t="s">
        <v>40</v>
      </c>
      <c r="H9347" s="11" t="s">
        <v>63</v>
      </c>
      <c r="I9347" s="13" t="s">
        <v>18588</v>
      </c>
      <c r="J9347" s="14" t="str">
        <f>HYPERLINK("https://www.boe.es/gazeta/dias/1839/09/09/pdfs/GMD-1839-1762.pdf#page=2","Abrir facsímil")</f>
        <v>Abrir facsímil</v>
      </c>
      <c r="K9347" s="12" t="s">
        <v>65</v>
      </c>
    </row>
    <row r="9348" spans="1:11" ht="40.049999999999997" customHeight="1" x14ac:dyDescent="0.25">
      <c r="A9348" s="11" t="s">
        <v>18539</v>
      </c>
      <c r="B9348" s="11" t="s">
        <v>18539</v>
      </c>
      <c r="C9348" s="11" t="s">
        <v>17</v>
      </c>
      <c r="D9348" s="11" t="s">
        <v>18</v>
      </c>
      <c r="E9348" s="12" t="s">
        <v>138</v>
      </c>
      <c r="F9348" s="12" t="s">
        <v>139</v>
      </c>
      <c r="G9348" s="12" t="s">
        <v>21</v>
      </c>
      <c r="H9348" s="11" t="s">
        <v>63</v>
      </c>
      <c r="I9348" s="13" t="s">
        <v>18589</v>
      </c>
      <c r="J9348" s="14" t="str">
        <f>HYPERLINK("https://www.boe.es/gazeta/dias/1839/10/09/pdfs/GMD-1839-1795.pdf#page=4","Abrir facsímil")</f>
        <v>Abrir facsímil</v>
      </c>
      <c r="K9348" s="12" t="s">
        <v>65</v>
      </c>
    </row>
    <row r="9349" spans="1:11" ht="40.049999999999997" customHeight="1" x14ac:dyDescent="0.25">
      <c r="A9349" s="11" t="s">
        <v>18539</v>
      </c>
      <c r="B9349" s="11" t="s">
        <v>18539</v>
      </c>
      <c r="C9349" s="11" t="s">
        <v>80</v>
      </c>
      <c r="D9349" s="11" t="s">
        <v>18</v>
      </c>
      <c r="E9349" s="12" t="s">
        <v>1628</v>
      </c>
      <c r="F9349" s="12" t="s">
        <v>1629</v>
      </c>
      <c r="G9349" s="12" t="s">
        <v>29</v>
      </c>
      <c r="H9349" s="11" t="s">
        <v>63</v>
      </c>
      <c r="I9349" s="13" t="s">
        <v>18590</v>
      </c>
      <c r="J9349" s="14" t="str">
        <f>HYPERLINK("https://www.boe.es/gazeta/dias/1839/03/10/pdfs/GMD-1839-1576.pdf#page=1","Abrir facsímil")</f>
        <v>Abrir facsímil</v>
      </c>
      <c r="K9349" s="12" t="s">
        <v>65</v>
      </c>
    </row>
    <row r="9350" spans="1:11" ht="40.049999999999997" customHeight="1" x14ac:dyDescent="0.25">
      <c r="A9350" s="11" t="s">
        <v>18539</v>
      </c>
      <c r="B9350" s="11" t="s">
        <v>18539</v>
      </c>
      <c r="C9350" s="11" t="s">
        <v>137</v>
      </c>
      <c r="D9350" s="11" t="s">
        <v>18</v>
      </c>
      <c r="E9350" s="12" t="s">
        <v>984</v>
      </c>
      <c r="F9350" s="12" t="s">
        <v>985</v>
      </c>
      <c r="G9350" s="12" t="s">
        <v>29</v>
      </c>
      <c r="H9350" s="11" t="s">
        <v>63</v>
      </c>
      <c r="I9350" s="13" t="s">
        <v>18591</v>
      </c>
      <c r="J9350" s="14" t="str">
        <f>HYPERLINK("https://www.boe.es/gazeta/dias/1839/04/10/pdfs/GMD-1839-1607.pdf#page=1","Abrir facsímil")</f>
        <v>Abrir facsímil</v>
      </c>
      <c r="K9350" s="12" t="s">
        <v>65</v>
      </c>
    </row>
    <row r="9351" spans="1:11" ht="40.049999999999997" customHeight="1" x14ac:dyDescent="0.25">
      <c r="A9351" s="11" t="s">
        <v>18539</v>
      </c>
      <c r="B9351" s="11" t="s">
        <v>18539</v>
      </c>
      <c r="C9351" s="11" t="s">
        <v>17</v>
      </c>
      <c r="D9351" s="11" t="s">
        <v>18</v>
      </c>
      <c r="E9351" s="12" t="s">
        <v>1631</v>
      </c>
      <c r="F9351" s="12" t="s">
        <v>1632</v>
      </c>
      <c r="G9351" s="12" t="s">
        <v>21</v>
      </c>
      <c r="H9351" s="11" t="s">
        <v>63</v>
      </c>
      <c r="I9351" s="13" t="s">
        <v>18592</v>
      </c>
      <c r="J9351" s="14" t="str">
        <f>HYPERLINK("https://www.boe.es/gazeta/dias/1839/05/10/pdfs/GMD-1839-1637.pdf#page=4","Abrir facsímil")</f>
        <v>Abrir facsímil</v>
      </c>
      <c r="K9351" s="12" t="s">
        <v>65</v>
      </c>
    </row>
    <row r="9352" spans="1:11" ht="40.049999999999997" customHeight="1" x14ac:dyDescent="0.25">
      <c r="A9352" s="11" t="s">
        <v>18539</v>
      </c>
      <c r="B9352" s="11" t="s">
        <v>18539</v>
      </c>
      <c r="C9352" s="11" t="s">
        <v>137</v>
      </c>
      <c r="D9352" s="11" t="s">
        <v>18</v>
      </c>
      <c r="E9352" s="12" t="s">
        <v>61</v>
      </c>
      <c r="F9352" s="12" t="s">
        <v>62</v>
      </c>
      <c r="G9352" s="12" t="s">
        <v>29</v>
      </c>
      <c r="H9352" s="11" t="s">
        <v>63</v>
      </c>
      <c r="I9352" s="13" t="s">
        <v>18593</v>
      </c>
      <c r="J9352" s="14" t="str">
        <f>HYPERLINK("https://www.boe.es/gazeta/dias/1839/09/10/pdfs/GMD-1839-1763.pdf#page=1","Abrir facsímil")</f>
        <v>Abrir facsímil</v>
      </c>
      <c r="K9352" s="12" t="s">
        <v>65</v>
      </c>
    </row>
    <row r="9353" spans="1:11" ht="40.049999999999997" customHeight="1" x14ac:dyDescent="0.25">
      <c r="A9353" s="11" t="s">
        <v>18539</v>
      </c>
      <c r="B9353" s="11" t="s">
        <v>18539</v>
      </c>
      <c r="C9353" s="11" t="s">
        <v>137</v>
      </c>
      <c r="D9353" s="11" t="s">
        <v>18</v>
      </c>
      <c r="E9353" s="12" t="s">
        <v>116</v>
      </c>
      <c r="F9353" s="12" t="s">
        <v>117</v>
      </c>
      <c r="G9353" s="12" t="s">
        <v>40</v>
      </c>
      <c r="H9353" s="11" t="s">
        <v>63</v>
      </c>
      <c r="I9353" s="13" t="s">
        <v>18594</v>
      </c>
      <c r="J9353" s="14" t="str">
        <f>HYPERLINK("https://www.boe.es/gazeta/dias/1839/10/10/pdfs/GMD-1839-1796.pdf#page=2","Abrir facsímil")</f>
        <v>Abrir facsímil</v>
      </c>
      <c r="K9353" s="12" t="s">
        <v>65</v>
      </c>
    </row>
    <row r="9354" spans="1:11" ht="40.049999999999997" customHeight="1" x14ac:dyDescent="0.25">
      <c r="A9354" s="11" t="s">
        <v>18539</v>
      </c>
      <c r="B9354" s="11" t="s">
        <v>18539</v>
      </c>
      <c r="C9354" s="11" t="s">
        <v>137</v>
      </c>
      <c r="D9354" s="11" t="s">
        <v>18</v>
      </c>
      <c r="E9354" s="12" t="s">
        <v>2449</v>
      </c>
      <c r="F9354" s="12" t="s">
        <v>2450</v>
      </c>
      <c r="G9354" s="12" t="s">
        <v>40</v>
      </c>
      <c r="H9354" s="11" t="s">
        <v>63</v>
      </c>
      <c r="I9354" s="13" t="s">
        <v>18595</v>
      </c>
      <c r="J9354" s="14" t="str">
        <f>HYPERLINK("https://www.boe.es/gazeta/dias/1839/12/11/pdfs/GMD-1839-1858.pdf#page=2","Abrir facsímil")</f>
        <v>Abrir facsímil</v>
      </c>
      <c r="K9354" s="12" t="s">
        <v>65</v>
      </c>
    </row>
    <row r="9355" spans="1:11" ht="40.049999999999997" customHeight="1" x14ac:dyDescent="0.25">
      <c r="A9355" s="11" t="s">
        <v>18539</v>
      </c>
      <c r="B9355" s="11" t="s">
        <v>18539</v>
      </c>
      <c r="C9355" s="11" t="s">
        <v>80</v>
      </c>
      <c r="D9355" s="11" t="s">
        <v>18</v>
      </c>
      <c r="E9355" s="12" t="s">
        <v>2449</v>
      </c>
      <c r="F9355" s="12" t="s">
        <v>2450</v>
      </c>
      <c r="G9355" s="12" t="s">
        <v>21</v>
      </c>
      <c r="H9355" s="11" t="s">
        <v>63</v>
      </c>
      <c r="I9355" s="13" t="s">
        <v>18596</v>
      </c>
      <c r="J9355" s="14" t="str">
        <f>HYPERLINK("https://www.boe.es/gazeta/dias/1839/12/11/pdfs/GMD-1839-1858.pdf#page=4","Abrir facsímil")</f>
        <v>Abrir facsímil</v>
      </c>
      <c r="K9355" s="12" t="s">
        <v>65</v>
      </c>
    </row>
    <row r="9356" spans="1:11" ht="40.049999999999997" customHeight="1" x14ac:dyDescent="0.25">
      <c r="A9356" s="11" t="s">
        <v>18539</v>
      </c>
      <c r="B9356" s="11" t="s">
        <v>18539</v>
      </c>
      <c r="C9356" s="11" t="s">
        <v>59</v>
      </c>
      <c r="D9356" s="11" t="s">
        <v>60</v>
      </c>
      <c r="E9356" s="12" t="s">
        <v>507</v>
      </c>
      <c r="F9356" s="12" t="s">
        <v>508</v>
      </c>
      <c r="G9356" s="12" t="s">
        <v>29</v>
      </c>
      <c r="H9356" s="11" t="s">
        <v>63</v>
      </c>
      <c r="I9356" s="13" t="s">
        <v>18597</v>
      </c>
      <c r="J9356" s="14" t="str">
        <f>HYPERLINK("https://www.boe.es/gazeta/dias/1839/08/12/pdfs/GMD-1839-1732.pdf#page=1","Abrir facsímil")</f>
        <v>Abrir facsímil</v>
      </c>
      <c r="K9356" s="12" t="s">
        <v>65</v>
      </c>
    </row>
    <row r="9357" spans="1:11" ht="40.049999999999997" customHeight="1" x14ac:dyDescent="0.25">
      <c r="A9357" s="11" t="s">
        <v>18539</v>
      </c>
      <c r="B9357" s="11" t="s">
        <v>18539</v>
      </c>
      <c r="C9357" s="11" t="s">
        <v>101</v>
      </c>
      <c r="D9357" s="11" t="s">
        <v>43</v>
      </c>
      <c r="E9357" s="12" t="s">
        <v>254</v>
      </c>
      <c r="F9357" s="12" t="s">
        <v>255</v>
      </c>
      <c r="G9357" s="12" t="s">
        <v>40</v>
      </c>
      <c r="H9357" s="11" t="s">
        <v>63</v>
      </c>
      <c r="I9357" s="13" t="s">
        <v>18598</v>
      </c>
      <c r="J9357" s="14" t="str">
        <f>HYPERLINK("https://www.boe.es/gazeta/dias/1839/09/12/pdfs/GMD-1839-1765.pdf#page=2","Abrir facsímil")</f>
        <v>Abrir facsímil</v>
      </c>
      <c r="K9357" s="12" t="s">
        <v>65</v>
      </c>
    </row>
    <row r="9358" spans="1:11" ht="40.049999999999997" customHeight="1" x14ac:dyDescent="0.25">
      <c r="A9358" s="11" t="s">
        <v>18539</v>
      </c>
      <c r="B9358" s="11" t="s">
        <v>18539</v>
      </c>
      <c r="C9358" s="11" t="s">
        <v>17</v>
      </c>
      <c r="D9358" s="11" t="s">
        <v>18</v>
      </c>
      <c r="E9358" s="12" t="s">
        <v>254</v>
      </c>
      <c r="F9358" s="12" t="s">
        <v>255</v>
      </c>
      <c r="G9358" s="12" t="s">
        <v>21</v>
      </c>
      <c r="H9358" s="11" t="s">
        <v>63</v>
      </c>
      <c r="I9358" s="13" t="s">
        <v>18599</v>
      </c>
      <c r="J9358" s="14" t="str">
        <f>HYPERLINK("https://www.boe.es/gazeta/dias/1839/09/12/pdfs/GMD-1839-1765.pdf#page=4","Abrir facsímil")</f>
        <v>Abrir facsímil</v>
      </c>
      <c r="K9358" s="12" t="s">
        <v>65</v>
      </c>
    </row>
    <row r="9359" spans="1:11" ht="40.049999999999997" customHeight="1" x14ac:dyDescent="0.25">
      <c r="A9359" s="11" t="s">
        <v>18539</v>
      </c>
      <c r="B9359" s="11" t="s">
        <v>18539</v>
      </c>
      <c r="C9359" s="11" t="s">
        <v>17</v>
      </c>
      <c r="D9359" s="11" t="s">
        <v>18</v>
      </c>
      <c r="E9359" s="12" t="s">
        <v>4189</v>
      </c>
      <c r="F9359" s="12" t="s">
        <v>4190</v>
      </c>
      <c r="G9359" s="12" t="s">
        <v>21</v>
      </c>
      <c r="H9359" s="11" t="s">
        <v>63</v>
      </c>
      <c r="I9359" s="13" t="s">
        <v>18600</v>
      </c>
      <c r="J9359" s="14" t="str">
        <f>HYPERLINK("https://www.boe.es/gazeta/dias/1839/02/13/pdfs/GMD-1839-1551.pdf#page=4","Abrir facsímil")</f>
        <v>Abrir facsímil</v>
      </c>
      <c r="K9359" s="12" t="s">
        <v>65</v>
      </c>
    </row>
    <row r="9360" spans="1:11" ht="40.049999999999997" customHeight="1" x14ac:dyDescent="0.25">
      <c r="A9360" s="11" t="s">
        <v>18539</v>
      </c>
      <c r="B9360" s="11" t="s">
        <v>18539</v>
      </c>
      <c r="C9360" s="11" t="s">
        <v>101</v>
      </c>
      <c r="D9360" s="11" t="s">
        <v>102</v>
      </c>
      <c r="E9360" s="12" t="s">
        <v>510</v>
      </c>
      <c r="F9360" s="12" t="s">
        <v>511</v>
      </c>
      <c r="G9360" s="12" t="s">
        <v>29</v>
      </c>
      <c r="H9360" s="11" t="s">
        <v>63</v>
      </c>
      <c r="I9360" s="13" t="s">
        <v>18601</v>
      </c>
      <c r="J9360" s="14" t="str">
        <f>HYPERLINK("https://www.boe.es/gazeta/dias/1839/05/13/pdfs/GMD-1839-1640.pdf#page=1","Abrir facsímil")</f>
        <v>Abrir facsímil</v>
      </c>
      <c r="K9360" s="12" t="s">
        <v>65</v>
      </c>
    </row>
    <row r="9361" spans="1:11" ht="40.049999999999997" customHeight="1" x14ac:dyDescent="0.25">
      <c r="A9361" s="11" t="s">
        <v>18539</v>
      </c>
      <c r="B9361" s="11" t="s">
        <v>18539</v>
      </c>
      <c r="C9361" s="11" t="s">
        <v>80</v>
      </c>
      <c r="D9361" s="11" t="s">
        <v>173</v>
      </c>
      <c r="E9361" s="12" t="s">
        <v>510</v>
      </c>
      <c r="F9361" s="12" t="s">
        <v>511</v>
      </c>
      <c r="G9361" s="12" t="s">
        <v>21</v>
      </c>
      <c r="H9361" s="11" t="s">
        <v>63</v>
      </c>
      <c r="I9361" s="13" t="s">
        <v>18602</v>
      </c>
      <c r="J9361" s="14" t="str">
        <f>HYPERLINK("https://www.boe.es/gazeta/dias/1839/05/13/pdfs/GMD-1839-1640.pdf#page=4","Abrir facsímil")</f>
        <v>Abrir facsímil</v>
      </c>
      <c r="K9361" s="12" t="s">
        <v>65</v>
      </c>
    </row>
    <row r="9362" spans="1:11" ht="40.049999999999997" customHeight="1" x14ac:dyDescent="0.25">
      <c r="A9362" s="11" t="s">
        <v>18539</v>
      </c>
      <c r="B9362" s="11" t="s">
        <v>18539</v>
      </c>
      <c r="C9362" s="11" t="s">
        <v>80</v>
      </c>
      <c r="D9362" s="11" t="s">
        <v>18</v>
      </c>
      <c r="E9362" s="12" t="s">
        <v>1144</v>
      </c>
      <c r="F9362" s="12" t="s">
        <v>1145</v>
      </c>
      <c r="G9362" s="12" t="s">
        <v>29</v>
      </c>
      <c r="H9362" s="11" t="s">
        <v>63</v>
      </c>
      <c r="I9362" s="13" t="s">
        <v>18603</v>
      </c>
      <c r="J9362" s="14" t="str">
        <f>HYPERLINK("https://www.boe.es/gazeta/dias/1839/08/13/pdfs/GMD-1839-1733.pdf#page=1","Abrir facsímil")</f>
        <v>Abrir facsímil</v>
      </c>
      <c r="K9362" s="12" t="s">
        <v>65</v>
      </c>
    </row>
    <row r="9363" spans="1:11" ht="40.049999999999997" customHeight="1" x14ac:dyDescent="0.25">
      <c r="A9363" s="11" t="s">
        <v>18539</v>
      </c>
      <c r="B9363" s="11" t="s">
        <v>18539</v>
      </c>
      <c r="C9363" s="11" t="s">
        <v>17</v>
      </c>
      <c r="D9363" s="11" t="s">
        <v>18</v>
      </c>
      <c r="E9363" s="12" t="s">
        <v>736</v>
      </c>
      <c r="F9363" s="12" t="s">
        <v>737</v>
      </c>
      <c r="G9363" s="12" t="s">
        <v>40</v>
      </c>
      <c r="H9363" s="11" t="s">
        <v>63</v>
      </c>
      <c r="I9363" s="13" t="s">
        <v>18604</v>
      </c>
      <c r="J9363" s="14" t="str">
        <f>HYPERLINK("https://www.boe.es/gazeta/dias/1839/10/13/pdfs/GMD-1839-1799.pdf#page=2","Abrir facsímil")</f>
        <v>Abrir facsímil</v>
      </c>
      <c r="K9363" s="12" t="s">
        <v>65</v>
      </c>
    </row>
    <row r="9364" spans="1:11" ht="40.049999999999997" customHeight="1" x14ac:dyDescent="0.25">
      <c r="A9364" s="11" t="s">
        <v>18539</v>
      </c>
      <c r="B9364" s="11" t="s">
        <v>18539</v>
      </c>
      <c r="C9364" s="11" t="s">
        <v>80</v>
      </c>
      <c r="D9364" s="11" t="s">
        <v>173</v>
      </c>
      <c r="E9364" s="12" t="s">
        <v>736</v>
      </c>
      <c r="F9364" s="12" t="s">
        <v>737</v>
      </c>
      <c r="G9364" s="12" t="s">
        <v>46</v>
      </c>
      <c r="H9364" s="11" t="s">
        <v>63</v>
      </c>
      <c r="I9364" s="13" t="s">
        <v>18605</v>
      </c>
      <c r="J9364" s="14" t="str">
        <f>HYPERLINK("https://www.boe.es/gazeta/dias/1839/10/13/pdfs/GMD-1839-1799.pdf#page=3","Abrir facsímil")</f>
        <v>Abrir facsímil</v>
      </c>
      <c r="K9364" s="12" t="s">
        <v>65</v>
      </c>
    </row>
    <row r="9365" spans="1:11" ht="40.049999999999997" customHeight="1" x14ac:dyDescent="0.25">
      <c r="A9365" s="11" t="s">
        <v>18539</v>
      </c>
      <c r="B9365" s="11" t="s">
        <v>18539</v>
      </c>
      <c r="C9365" s="11" t="s">
        <v>59</v>
      </c>
      <c r="D9365" s="11" t="s">
        <v>60</v>
      </c>
      <c r="E9365" s="12" t="s">
        <v>736</v>
      </c>
      <c r="F9365" s="12" t="s">
        <v>737</v>
      </c>
      <c r="G9365" s="12" t="s">
        <v>21</v>
      </c>
      <c r="H9365" s="11" t="s">
        <v>63</v>
      </c>
      <c r="I9365" s="13" t="s">
        <v>18606</v>
      </c>
      <c r="J9365" s="14" t="str">
        <f>HYPERLINK("https://www.boe.es/gazeta/dias/1839/10/13/pdfs/GMD-1839-1799.pdf#page=4","Abrir facsímil")</f>
        <v>Abrir facsímil</v>
      </c>
      <c r="K9365" s="12" t="s">
        <v>65</v>
      </c>
    </row>
    <row r="9366" spans="1:11" ht="40.049999999999997" customHeight="1" x14ac:dyDescent="0.25">
      <c r="A9366" s="11" t="s">
        <v>18539</v>
      </c>
      <c r="B9366" s="11" t="s">
        <v>18539</v>
      </c>
      <c r="C9366" s="11" t="s">
        <v>17</v>
      </c>
      <c r="D9366" s="11" t="s">
        <v>18</v>
      </c>
      <c r="E9366" s="12" t="s">
        <v>621</v>
      </c>
      <c r="F9366" s="12" t="s">
        <v>622</v>
      </c>
      <c r="G9366" s="12" t="s">
        <v>29</v>
      </c>
      <c r="H9366" s="11" t="s">
        <v>63</v>
      </c>
      <c r="I9366" s="13" t="s">
        <v>18607</v>
      </c>
      <c r="J9366" s="14" t="str">
        <f>HYPERLINK("https://www.boe.es/gazeta/dias/1839/04/14/pdfs/GMD-1839-1611.pdf#page=1","Abrir facsímil")</f>
        <v>Abrir facsímil</v>
      </c>
      <c r="K9366" s="12" t="s">
        <v>65</v>
      </c>
    </row>
    <row r="9367" spans="1:11" ht="40.049999999999997" customHeight="1" x14ac:dyDescent="0.25">
      <c r="A9367" s="11" t="s">
        <v>18539</v>
      </c>
      <c r="B9367" s="11" t="s">
        <v>18539</v>
      </c>
      <c r="C9367" s="11" t="s">
        <v>17</v>
      </c>
      <c r="D9367" s="11" t="s">
        <v>18</v>
      </c>
      <c r="E9367" s="12" t="s">
        <v>2374</v>
      </c>
      <c r="F9367" s="12" t="s">
        <v>2375</v>
      </c>
      <c r="G9367" s="12" t="s">
        <v>21</v>
      </c>
      <c r="H9367" s="11" t="s">
        <v>63</v>
      </c>
      <c r="I9367" s="13" t="s">
        <v>18608</v>
      </c>
      <c r="J9367" s="14" t="str">
        <f>HYPERLINK("https://www.boe.es/gazeta/dias/1839/06/14/pdfs/GMD-1839-1672.pdf#page=4","Abrir facsímil")</f>
        <v>Abrir facsímil</v>
      </c>
      <c r="K9367" s="12" t="s">
        <v>65</v>
      </c>
    </row>
    <row r="9368" spans="1:11" ht="40.049999999999997" customHeight="1" x14ac:dyDescent="0.25">
      <c r="A9368" s="11" t="s">
        <v>18539</v>
      </c>
      <c r="B9368" s="11" t="s">
        <v>18539</v>
      </c>
      <c r="C9368" s="11" t="s">
        <v>59</v>
      </c>
      <c r="D9368" s="11" t="s">
        <v>60</v>
      </c>
      <c r="E9368" s="12" t="s">
        <v>592</v>
      </c>
      <c r="F9368" s="12" t="s">
        <v>593</v>
      </c>
      <c r="G9368" s="12" t="s">
        <v>29</v>
      </c>
      <c r="H9368" s="11" t="s">
        <v>63</v>
      </c>
      <c r="I9368" s="13" t="s">
        <v>18609</v>
      </c>
      <c r="J9368" s="14" t="str">
        <f>HYPERLINK("https://www.boe.es/gazeta/dias/1839/09/14/pdfs/GMD-1839-1767.pdf#page=1","Abrir facsímil")</f>
        <v>Abrir facsímil</v>
      </c>
      <c r="K9368" s="12" t="s">
        <v>65</v>
      </c>
    </row>
    <row r="9369" spans="1:11" ht="40.049999999999997" customHeight="1" x14ac:dyDescent="0.25">
      <c r="A9369" s="11" t="s">
        <v>18539</v>
      </c>
      <c r="B9369" s="11" t="s">
        <v>18539</v>
      </c>
      <c r="C9369" s="11" t="s">
        <v>17</v>
      </c>
      <c r="D9369" s="11" t="s">
        <v>18</v>
      </c>
      <c r="E9369" s="12" t="s">
        <v>395</v>
      </c>
      <c r="F9369" s="12" t="s">
        <v>396</v>
      </c>
      <c r="G9369" s="12" t="s">
        <v>46</v>
      </c>
      <c r="H9369" s="11" t="s">
        <v>63</v>
      </c>
      <c r="I9369" s="13" t="s">
        <v>18610</v>
      </c>
      <c r="J9369" s="14" t="str">
        <f>HYPERLINK("https://www.boe.es/gazeta/dias/1839/03/15/pdfs/GMD-1839-1581.pdf#page=3","Abrir facsímil")</f>
        <v>Abrir facsímil</v>
      </c>
      <c r="K9369" s="12" t="s">
        <v>65</v>
      </c>
    </row>
    <row r="9370" spans="1:11" ht="40.049999999999997" customHeight="1" x14ac:dyDescent="0.25">
      <c r="A9370" s="11" t="s">
        <v>18539</v>
      </c>
      <c r="B9370" s="11" t="s">
        <v>18539</v>
      </c>
      <c r="C9370" s="11" t="s">
        <v>80</v>
      </c>
      <c r="D9370" s="11" t="s">
        <v>173</v>
      </c>
      <c r="E9370" s="12" t="s">
        <v>946</v>
      </c>
      <c r="F9370" s="12" t="s">
        <v>947</v>
      </c>
      <c r="G9370" s="12" t="s">
        <v>21</v>
      </c>
      <c r="H9370" s="11" t="s">
        <v>63</v>
      </c>
      <c r="I9370" s="13" t="s">
        <v>18611</v>
      </c>
      <c r="J9370" s="14" t="str">
        <f>HYPERLINK("https://www.boe.es/gazeta/dias/1839/04/15/pdfs/GMD-1839-1612.pdf#page=4","Abrir facsímil")</f>
        <v>Abrir facsímil</v>
      </c>
      <c r="K9370" s="12" t="s">
        <v>65</v>
      </c>
    </row>
    <row r="9371" spans="1:11" ht="40.049999999999997" customHeight="1" x14ac:dyDescent="0.25">
      <c r="A9371" s="11" t="s">
        <v>18539</v>
      </c>
      <c r="B9371" s="11" t="s">
        <v>18539</v>
      </c>
      <c r="C9371" s="11" t="s">
        <v>80</v>
      </c>
      <c r="D9371" s="11" t="s">
        <v>18</v>
      </c>
      <c r="E9371" s="12" t="s">
        <v>1252</v>
      </c>
      <c r="F9371" s="12" t="s">
        <v>1253</v>
      </c>
      <c r="G9371" s="12" t="s">
        <v>21</v>
      </c>
      <c r="H9371" s="11" t="s">
        <v>63</v>
      </c>
      <c r="I9371" s="13" t="s">
        <v>18612</v>
      </c>
      <c r="J9371" s="14" t="str">
        <f>HYPERLINK("https://www.boe.es/gazeta/dias/1839/06/15/pdfs/GMD-1839-1673.pdf#page=4","Abrir facsímil")</f>
        <v>Abrir facsímil</v>
      </c>
      <c r="K9371" s="12" t="s">
        <v>65</v>
      </c>
    </row>
    <row r="9372" spans="1:11" ht="40.049999999999997" customHeight="1" x14ac:dyDescent="0.25">
      <c r="A9372" s="11" t="s">
        <v>18539</v>
      </c>
      <c r="B9372" s="11" t="s">
        <v>18539</v>
      </c>
      <c r="C9372" s="11" t="s">
        <v>80</v>
      </c>
      <c r="D9372" s="11" t="s">
        <v>18</v>
      </c>
      <c r="E9372" s="12" t="s">
        <v>44</v>
      </c>
      <c r="F9372" s="12" t="s">
        <v>45</v>
      </c>
      <c r="G9372" s="12" t="s">
        <v>21</v>
      </c>
      <c r="H9372" s="11" t="s">
        <v>63</v>
      </c>
      <c r="I9372" s="13" t="s">
        <v>18613</v>
      </c>
      <c r="J9372" s="14" t="str">
        <f>HYPERLINK("https://www.boe.es/gazeta/dias/1839/11/15/pdfs/GMD-1839-1832.pdf#page=4","Abrir facsímil")</f>
        <v>Abrir facsímil</v>
      </c>
      <c r="K9372" s="12" t="s">
        <v>65</v>
      </c>
    </row>
    <row r="9373" spans="1:11" ht="40.049999999999997" customHeight="1" x14ac:dyDescent="0.25">
      <c r="A9373" s="11" t="s">
        <v>18539</v>
      </c>
      <c r="B9373" s="11" t="s">
        <v>18539</v>
      </c>
      <c r="C9373" s="11" t="s">
        <v>17</v>
      </c>
      <c r="D9373" s="11" t="s">
        <v>18</v>
      </c>
      <c r="E9373" s="12" t="s">
        <v>1528</v>
      </c>
      <c r="F9373" s="12" t="s">
        <v>1529</v>
      </c>
      <c r="G9373" s="12" t="s">
        <v>46</v>
      </c>
      <c r="H9373" s="11" t="s">
        <v>63</v>
      </c>
      <c r="I9373" s="13" t="s">
        <v>18614</v>
      </c>
      <c r="J9373" s="14" t="str">
        <f>HYPERLINK("https://www.boe.es/gazeta/dias/1839/12/15/pdfs/GMD-1839-1862.pdf#page=3","Abrir facsímil")</f>
        <v>Abrir facsímil</v>
      </c>
      <c r="K9373" s="12" t="s">
        <v>65</v>
      </c>
    </row>
    <row r="9374" spans="1:11" ht="40.049999999999997" customHeight="1" x14ac:dyDescent="0.25">
      <c r="A9374" s="11" t="s">
        <v>18539</v>
      </c>
      <c r="B9374" s="11" t="s">
        <v>18539</v>
      </c>
      <c r="C9374" s="11" t="s">
        <v>137</v>
      </c>
      <c r="D9374" s="11" t="s">
        <v>18</v>
      </c>
      <c r="E9374" s="12" t="s">
        <v>1528</v>
      </c>
      <c r="F9374" s="12" t="s">
        <v>1529</v>
      </c>
      <c r="G9374" s="12" t="s">
        <v>21</v>
      </c>
      <c r="H9374" s="11" t="s">
        <v>63</v>
      </c>
      <c r="I9374" s="13" t="s">
        <v>18615</v>
      </c>
      <c r="J9374" s="14" t="str">
        <f>HYPERLINK("https://www.boe.es/gazeta/dias/1839/12/15/pdfs/GMD-1839-1862.pdf#page=4","Abrir facsímil")</f>
        <v>Abrir facsímil</v>
      </c>
      <c r="K9374" s="12" t="s">
        <v>65</v>
      </c>
    </row>
    <row r="9375" spans="1:11" ht="40.049999999999997" customHeight="1" x14ac:dyDescent="0.25">
      <c r="A9375" s="11" t="s">
        <v>18539</v>
      </c>
      <c r="B9375" s="11" t="s">
        <v>18539</v>
      </c>
      <c r="C9375" s="11" t="s">
        <v>59</v>
      </c>
      <c r="D9375" s="11" t="s">
        <v>60</v>
      </c>
      <c r="E9375" s="12" t="s">
        <v>1644</v>
      </c>
      <c r="F9375" s="12" t="s">
        <v>1645</v>
      </c>
      <c r="G9375" s="12" t="s">
        <v>29</v>
      </c>
      <c r="H9375" s="11" t="s">
        <v>63</v>
      </c>
      <c r="I9375" s="13" t="s">
        <v>18616</v>
      </c>
      <c r="J9375" s="14" t="str">
        <f>HYPERLINK("https://www.boe.es/gazeta/dias/1839/04/16/pdfs/GMD-1839-1613.pdf#page=1","Abrir facsímil")</f>
        <v>Abrir facsímil</v>
      </c>
      <c r="K9375" s="12" t="s">
        <v>65</v>
      </c>
    </row>
    <row r="9376" spans="1:11" ht="40.049999999999997" customHeight="1" x14ac:dyDescent="0.25">
      <c r="A9376" s="11" t="s">
        <v>18539</v>
      </c>
      <c r="B9376" s="11" t="s">
        <v>18539</v>
      </c>
      <c r="C9376" s="11" t="s">
        <v>80</v>
      </c>
      <c r="D9376" s="11" t="s">
        <v>18</v>
      </c>
      <c r="E9376" s="12" t="s">
        <v>1644</v>
      </c>
      <c r="F9376" s="12" t="s">
        <v>1645</v>
      </c>
      <c r="G9376" s="12" t="s">
        <v>21</v>
      </c>
      <c r="H9376" s="11" t="s">
        <v>63</v>
      </c>
      <c r="I9376" s="13" t="s">
        <v>18617</v>
      </c>
      <c r="J9376" s="14" t="str">
        <f>HYPERLINK("https://www.boe.es/gazeta/dias/1839/04/16/pdfs/GMD-1839-1613.pdf#page=4","Abrir facsímil")</f>
        <v>Abrir facsímil</v>
      </c>
      <c r="K9376" s="12" t="s">
        <v>65</v>
      </c>
    </row>
    <row r="9377" spans="1:11" ht="40.049999999999997" customHeight="1" x14ac:dyDescent="0.25">
      <c r="A9377" s="11" t="s">
        <v>18539</v>
      </c>
      <c r="B9377" s="11" t="s">
        <v>18539</v>
      </c>
      <c r="C9377" s="11" t="s">
        <v>17</v>
      </c>
      <c r="D9377" s="11" t="s">
        <v>18</v>
      </c>
      <c r="E9377" s="12" t="s">
        <v>148</v>
      </c>
      <c r="F9377" s="12" t="s">
        <v>149</v>
      </c>
      <c r="G9377" s="12" t="s">
        <v>21</v>
      </c>
      <c r="H9377" s="11" t="s">
        <v>63</v>
      </c>
      <c r="I9377" s="13" t="s">
        <v>18618</v>
      </c>
      <c r="J9377" s="14" t="str">
        <f>HYPERLINK("https://www.boe.es/gazeta/dias/1839/07/16/pdfs/GMD-1839-1704.pdf#page=4","Abrir facsímil")</f>
        <v>Abrir facsímil</v>
      </c>
      <c r="K9377" s="12" t="s">
        <v>65</v>
      </c>
    </row>
    <row r="9378" spans="1:11" ht="40.049999999999997" customHeight="1" x14ac:dyDescent="0.25">
      <c r="A9378" s="11" t="s">
        <v>18539</v>
      </c>
      <c r="B9378" s="11" t="s">
        <v>18539</v>
      </c>
      <c r="C9378" s="11" t="s">
        <v>17</v>
      </c>
      <c r="D9378" s="11" t="s">
        <v>18</v>
      </c>
      <c r="E9378" s="12" t="s">
        <v>1027</v>
      </c>
      <c r="F9378" s="12" t="s">
        <v>1028</v>
      </c>
      <c r="G9378" s="12" t="s">
        <v>21</v>
      </c>
      <c r="H9378" s="11" t="s">
        <v>63</v>
      </c>
      <c r="I9378" s="13" t="s">
        <v>18619</v>
      </c>
      <c r="J9378" s="14" t="str">
        <f>HYPERLINK("https://www.boe.es/gazeta/dias/1839/08/16/pdfs/GMD-1839-1736.pdf#page=4","Abrir facsímil")</f>
        <v>Abrir facsímil</v>
      </c>
      <c r="K9378" s="12" t="s">
        <v>65</v>
      </c>
    </row>
    <row r="9379" spans="1:11" ht="40.049999999999997" customHeight="1" x14ac:dyDescent="0.25">
      <c r="A9379" s="11" t="s">
        <v>18539</v>
      </c>
      <c r="B9379" s="11" t="s">
        <v>18539</v>
      </c>
      <c r="C9379" s="11" t="s">
        <v>137</v>
      </c>
      <c r="D9379" s="11" t="s">
        <v>18</v>
      </c>
      <c r="E9379" s="12" t="s">
        <v>230</v>
      </c>
      <c r="F9379" s="12" t="s">
        <v>231</v>
      </c>
      <c r="G9379" s="12" t="s">
        <v>21</v>
      </c>
      <c r="H9379" s="11" t="s">
        <v>63</v>
      </c>
      <c r="I9379" s="13" t="s">
        <v>18620</v>
      </c>
      <c r="J9379" s="14" t="str">
        <f>HYPERLINK("https://www.boe.es/gazeta/dias/1839/09/16/pdfs/GMD-1839-1769.pdf#page=4","Abrir facsímil")</f>
        <v>Abrir facsímil</v>
      </c>
      <c r="K9379" s="12" t="s">
        <v>65</v>
      </c>
    </row>
    <row r="9380" spans="1:11" ht="40.049999999999997" customHeight="1" x14ac:dyDescent="0.25">
      <c r="A9380" s="11" t="s">
        <v>18539</v>
      </c>
      <c r="B9380" s="11" t="s">
        <v>18539</v>
      </c>
      <c r="C9380" s="11" t="s">
        <v>59</v>
      </c>
      <c r="D9380" s="11" t="s">
        <v>60</v>
      </c>
      <c r="E9380" s="12" t="s">
        <v>1537</v>
      </c>
      <c r="F9380" s="12" t="s">
        <v>1538</v>
      </c>
      <c r="G9380" s="12" t="s">
        <v>21</v>
      </c>
      <c r="H9380" s="11" t="s">
        <v>63</v>
      </c>
      <c r="I9380" s="13" t="s">
        <v>18621</v>
      </c>
      <c r="J9380" s="14" t="str">
        <f>HYPERLINK("https://www.boe.es/gazeta/dias/1839/12/16/pdfs/GMD-1839-1863.pdf#page=4","Abrir facsímil")</f>
        <v>Abrir facsímil</v>
      </c>
      <c r="K9380" s="12" t="s">
        <v>65</v>
      </c>
    </row>
    <row r="9381" spans="1:11" ht="40.049999999999997" customHeight="1" x14ac:dyDescent="0.25">
      <c r="A9381" s="11" t="s">
        <v>18539</v>
      </c>
      <c r="B9381" s="11" t="s">
        <v>18539</v>
      </c>
      <c r="C9381" s="11" t="s">
        <v>80</v>
      </c>
      <c r="D9381" s="11" t="s">
        <v>18</v>
      </c>
      <c r="E9381" s="12" t="s">
        <v>2021</v>
      </c>
      <c r="F9381" s="12" t="s">
        <v>2022</v>
      </c>
      <c r="G9381" s="12" t="s">
        <v>29</v>
      </c>
      <c r="H9381" s="11" t="s">
        <v>63</v>
      </c>
      <c r="I9381" s="13" t="s">
        <v>18622</v>
      </c>
      <c r="J9381" s="14" t="str">
        <f>HYPERLINK("https://www.boe.es/gazeta/dias/1839/02/17/pdfs/GMD-1839-1555.pdf#page=1","Abrir facsímil")</f>
        <v>Abrir facsímil</v>
      </c>
      <c r="K9381" s="12" t="s">
        <v>65</v>
      </c>
    </row>
    <row r="9382" spans="1:11" ht="40.049999999999997" customHeight="1" x14ac:dyDescent="0.25">
      <c r="A9382" s="11" t="s">
        <v>18539</v>
      </c>
      <c r="B9382" s="11" t="s">
        <v>18539</v>
      </c>
      <c r="C9382" s="11" t="s">
        <v>17</v>
      </c>
      <c r="D9382" s="11" t="s">
        <v>18</v>
      </c>
      <c r="E9382" s="12" t="s">
        <v>834</v>
      </c>
      <c r="F9382" s="12" t="s">
        <v>835</v>
      </c>
      <c r="G9382" s="12" t="s">
        <v>21</v>
      </c>
      <c r="H9382" s="11" t="s">
        <v>63</v>
      </c>
      <c r="I9382" s="13" t="s">
        <v>18623</v>
      </c>
      <c r="J9382" s="14" t="str">
        <f>HYPERLINK("https://www.boe.es/gazeta/dias/1839/08/17/pdfs/GMD-1839-1737.pdf#page=4","Abrir facsímil")</f>
        <v>Abrir facsímil</v>
      </c>
      <c r="K9382" s="12" t="s">
        <v>65</v>
      </c>
    </row>
    <row r="9383" spans="1:11" ht="40.049999999999997" customHeight="1" x14ac:dyDescent="0.25">
      <c r="A9383" s="11" t="s">
        <v>18539</v>
      </c>
      <c r="B9383" s="11" t="s">
        <v>18539</v>
      </c>
      <c r="C9383" s="11" t="s">
        <v>17</v>
      </c>
      <c r="D9383" s="11" t="s">
        <v>18</v>
      </c>
      <c r="E9383" s="12" t="s">
        <v>564</v>
      </c>
      <c r="F9383" s="12" t="s">
        <v>565</v>
      </c>
      <c r="G9383" s="12" t="s">
        <v>305</v>
      </c>
      <c r="H9383" s="11" t="s">
        <v>63</v>
      </c>
      <c r="I9383" s="13" t="s">
        <v>18624</v>
      </c>
      <c r="J9383" s="14" t="str">
        <f>HYPERLINK("https://www.boe.es/gazeta/dias/1839/10/17/pdfs/GMD-1839-1803.pdf#page=6","Abrir facsímil")</f>
        <v>Abrir facsímil</v>
      </c>
      <c r="K9383" s="12" t="s">
        <v>65</v>
      </c>
    </row>
    <row r="9384" spans="1:11" ht="40.049999999999997" customHeight="1" x14ac:dyDescent="0.25">
      <c r="A9384" s="11" t="s">
        <v>18539</v>
      </c>
      <c r="B9384" s="11" t="s">
        <v>18539</v>
      </c>
      <c r="C9384" s="11" t="s">
        <v>17</v>
      </c>
      <c r="D9384" s="11" t="s">
        <v>18</v>
      </c>
      <c r="E9384" s="12" t="s">
        <v>1725</v>
      </c>
      <c r="F9384" s="12" t="s">
        <v>1726</v>
      </c>
      <c r="G9384" s="12" t="s">
        <v>21</v>
      </c>
      <c r="H9384" s="11" t="s">
        <v>63</v>
      </c>
      <c r="I9384" s="13" t="s">
        <v>18625</v>
      </c>
      <c r="J9384" s="14" t="str">
        <f>HYPERLINK("https://www.boe.es/gazeta/dias/1839/11/17/pdfs/GMD-1839-1834.pdf#page=4","Abrir facsímil")</f>
        <v>Abrir facsímil</v>
      </c>
      <c r="K9384" s="12" t="s">
        <v>65</v>
      </c>
    </row>
    <row r="9385" spans="1:11" ht="40.049999999999997" customHeight="1" x14ac:dyDescent="0.25">
      <c r="A9385" s="11" t="s">
        <v>18539</v>
      </c>
      <c r="B9385" s="11" t="s">
        <v>18539</v>
      </c>
      <c r="C9385" s="11" t="s">
        <v>59</v>
      </c>
      <c r="D9385" s="11" t="s">
        <v>60</v>
      </c>
      <c r="E9385" s="12" t="s">
        <v>756</v>
      </c>
      <c r="F9385" s="12" t="s">
        <v>757</v>
      </c>
      <c r="G9385" s="12" t="s">
        <v>29</v>
      </c>
      <c r="H9385" s="11" t="s">
        <v>63</v>
      </c>
      <c r="I9385" s="13" t="s">
        <v>18626</v>
      </c>
      <c r="J9385" s="14" t="str">
        <f>HYPERLINK("https://www.boe.es/gazeta/dias/1839/12/17/pdfs/GMD-1839-1864.pdf#page=1","Abrir facsímil")</f>
        <v>Abrir facsímil</v>
      </c>
      <c r="K9385" s="12" t="s">
        <v>65</v>
      </c>
    </row>
    <row r="9386" spans="1:11" ht="40.049999999999997" customHeight="1" x14ac:dyDescent="0.25">
      <c r="A9386" s="11" t="s">
        <v>18539</v>
      </c>
      <c r="B9386" s="11" t="s">
        <v>18539</v>
      </c>
      <c r="C9386" s="11" t="s">
        <v>17</v>
      </c>
      <c r="D9386" s="11" t="s">
        <v>18</v>
      </c>
      <c r="E9386" s="12" t="s">
        <v>1072</v>
      </c>
      <c r="F9386" s="12" t="s">
        <v>1073</v>
      </c>
      <c r="G9386" s="12" t="s">
        <v>29</v>
      </c>
      <c r="H9386" s="11" t="s">
        <v>63</v>
      </c>
      <c r="I9386" s="13" t="s">
        <v>18627</v>
      </c>
      <c r="J9386" s="14" t="str">
        <f>HYPERLINK("https://www.boe.es/gazeta/dias/1839/01/18/pdfs/GMD-1839-1525.pdf#page=1","Abrir facsímil")</f>
        <v>Abrir facsímil</v>
      </c>
      <c r="K9386" s="12" t="s">
        <v>65</v>
      </c>
    </row>
    <row r="9387" spans="1:11" ht="40.049999999999997" customHeight="1" x14ac:dyDescent="0.25">
      <c r="A9387" s="11" t="s">
        <v>18539</v>
      </c>
      <c r="B9387" s="11" t="s">
        <v>18539</v>
      </c>
      <c r="C9387" s="11" t="s">
        <v>17</v>
      </c>
      <c r="D9387" s="11" t="s">
        <v>18</v>
      </c>
      <c r="E9387" s="12" t="s">
        <v>685</v>
      </c>
      <c r="F9387" s="12" t="s">
        <v>686</v>
      </c>
      <c r="G9387" s="12" t="s">
        <v>21</v>
      </c>
      <c r="H9387" s="11" t="s">
        <v>63</v>
      </c>
      <c r="I9387" s="13" t="s">
        <v>18628</v>
      </c>
      <c r="J9387" s="14" t="str">
        <f>HYPERLINK("https://www.boe.es/gazeta/dias/1839/06/18/pdfs/GMD-1839-1676.pdf#page=4","Abrir facsímil")</f>
        <v>Abrir facsímil</v>
      </c>
      <c r="K9387" s="12" t="s">
        <v>65</v>
      </c>
    </row>
    <row r="9388" spans="1:11" ht="40.049999999999997" customHeight="1" x14ac:dyDescent="0.25">
      <c r="A9388" s="11" t="s">
        <v>18539</v>
      </c>
      <c r="B9388" s="11" t="s">
        <v>18539</v>
      </c>
      <c r="C9388" s="11" t="s">
        <v>17</v>
      </c>
      <c r="D9388" s="11" t="s">
        <v>18</v>
      </c>
      <c r="E9388" s="12" t="s">
        <v>483</v>
      </c>
      <c r="F9388" s="12" t="s">
        <v>484</v>
      </c>
      <c r="G9388" s="12" t="s">
        <v>29</v>
      </c>
      <c r="H9388" s="11" t="s">
        <v>63</v>
      </c>
      <c r="I9388" s="13" t="s">
        <v>18629</v>
      </c>
      <c r="J9388" s="14" t="str">
        <f>HYPERLINK("https://www.boe.es/gazeta/dias/1839/11/18/pdfs/GMD-1839-1835.pdf#page=1","Abrir facsímil")</f>
        <v>Abrir facsímil</v>
      </c>
      <c r="K9388" s="12" t="s">
        <v>65</v>
      </c>
    </row>
    <row r="9389" spans="1:11" ht="40.049999999999997" customHeight="1" x14ac:dyDescent="0.25">
      <c r="A9389" s="11" t="s">
        <v>18539</v>
      </c>
      <c r="B9389" s="11" t="s">
        <v>18539</v>
      </c>
      <c r="C9389" s="11" t="s">
        <v>80</v>
      </c>
      <c r="D9389" s="11" t="s">
        <v>18</v>
      </c>
      <c r="E9389" s="12" t="s">
        <v>713</v>
      </c>
      <c r="F9389" s="12" t="s">
        <v>714</v>
      </c>
      <c r="G9389" s="12" t="s">
        <v>40</v>
      </c>
      <c r="H9389" s="11" t="s">
        <v>63</v>
      </c>
      <c r="I9389" s="13" t="s">
        <v>18630</v>
      </c>
      <c r="J9389" s="14" t="str">
        <f>HYPERLINK("https://www.boe.es/gazeta/dias/1839/12/18/pdfs/GMD-1839-1865.pdf#page=2","Abrir facsímil")</f>
        <v>Abrir facsímil</v>
      </c>
      <c r="K9389" s="12" t="s">
        <v>65</v>
      </c>
    </row>
    <row r="9390" spans="1:11" ht="40.049999999999997" customHeight="1" x14ac:dyDescent="0.25">
      <c r="A9390" s="11" t="s">
        <v>18539</v>
      </c>
      <c r="B9390" s="11" t="s">
        <v>18539</v>
      </c>
      <c r="C9390" s="11" t="s">
        <v>17</v>
      </c>
      <c r="D9390" s="11" t="s">
        <v>18</v>
      </c>
      <c r="E9390" s="12" t="s">
        <v>713</v>
      </c>
      <c r="F9390" s="12" t="s">
        <v>714</v>
      </c>
      <c r="G9390" s="12" t="s">
        <v>46</v>
      </c>
      <c r="H9390" s="11" t="s">
        <v>63</v>
      </c>
      <c r="I9390" s="13" t="s">
        <v>18631</v>
      </c>
      <c r="J9390" s="14" t="str">
        <f>HYPERLINK("https://www.boe.es/gazeta/dias/1839/12/18/pdfs/GMD-1839-1865.pdf#page=3","Abrir facsímil")</f>
        <v>Abrir facsímil</v>
      </c>
      <c r="K9390" s="12" t="s">
        <v>65</v>
      </c>
    </row>
    <row r="9391" spans="1:11" ht="40.049999999999997" customHeight="1" x14ac:dyDescent="0.25">
      <c r="A9391" s="11" t="s">
        <v>18539</v>
      </c>
      <c r="B9391" s="11" t="s">
        <v>18539</v>
      </c>
      <c r="C9391" s="11" t="s">
        <v>137</v>
      </c>
      <c r="D9391" s="11" t="s">
        <v>18</v>
      </c>
      <c r="E9391" s="12" t="s">
        <v>713</v>
      </c>
      <c r="F9391" s="12" t="s">
        <v>714</v>
      </c>
      <c r="G9391" s="12" t="s">
        <v>21</v>
      </c>
      <c r="H9391" s="11" t="s">
        <v>63</v>
      </c>
      <c r="I9391" s="13" t="s">
        <v>18632</v>
      </c>
      <c r="J9391" s="14" t="str">
        <f>HYPERLINK("https://www.boe.es/gazeta/dias/1839/12/18/pdfs/GMD-1839-1865.pdf#page=4","Abrir facsímil")</f>
        <v>Abrir facsímil</v>
      </c>
      <c r="K9391" s="12" t="s">
        <v>65</v>
      </c>
    </row>
    <row r="9392" spans="1:11" ht="40.049999999999997" customHeight="1" x14ac:dyDescent="0.25">
      <c r="A9392" s="11" t="s">
        <v>18539</v>
      </c>
      <c r="B9392" s="11" t="s">
        <v>18539</v>
      </c>
      <c r="C9392" s="11" t="s">
        <v>137</v>
      </c>
      <c r="D9392" s="11" t="s">
        <v>18</v>
      </c>
      <c r="E9392" s="12" t="s">
        <v>19</v>
      </c>
      <c r="F9392" s="12" t="s">
        <v>20</v>
      </c>
      <c r="G9392" s="12" t="s">
        <v>40</v>
      </c>
      <c r="H9392" s="11" t="s">
        <v>63</v>
      </c>
      <c r="I9392" s="13" t="s">
        <v>18633</v>
      </c>
      <c r="J9392" s="14" t="str">
        <f>HYPERLINK("https://www.boe.es/gazeta/dias/1839/01/19/pdfs/GMD-1839-1526.pdf#page=2","Abrir facsímil")</f>
        <v>Abrir facsímil</v>
      </c>
      <c r="K9392" s="12" t="s">
        <v>65</v>
      </c>
    </row>
    <row r="9393" spans="1:11" ht="40.049999999999997" customHeight="1" x14ac:dyDescent="0.25">
      <c r="A9393" s="11" t="s">
        <v>18539</v>
      </c>
      <c r="B9393" s="11" t="s">
        <v>18539</v>
      </c>
      <c r="C9393" s="11" t="s">
        <v>80</v>
      </c>
      <c r="D9393" s="11" t="s">
        <v>18</v>
      </c>
      <c r="E9393" s="12" t="s">
        <v>486</v>
      </c>
      <c r="F9393" s="12" t="s">
        <v>487</v>
      </c>
      <c r="G9393" s="12" t="s">
        <v>40</v>
      </c>
      <c r="H9393" s="11" t="s">
        <v>63</v>
      </c>
      <c r="I9393" s="13" t="s">
        <v>18634</v>
      </c>
      <c r="J9393" s="14" t="str">
        <f>HYPERLINK("https://www.boe.es/gazeta/dias/1839/04/19/pdfs/GMD-1839-1616.pdf#page=2","Abrir facsímil")</f>
        <v>Abrir facsímil</v>
      </c>
      <c r="K9393" s="12" t="s">
        <v>65</v>
      </c>
    </row>
    <row r="9394" spans="1:11" ht="40.049999999999997" customHeight="1" x14ac:dyDescent="0.25">
      <c r="A9394" s="11" t="s">
        <v>18539</v>
      </c>
      <c r="B9394" s="11" t="s">
        <v>18539</v>
      </c>
      <c r="C9394" s="11" t="s">
        <v>80</v>
      </c>
      <c r="D9394" s="11" t="s">
        <v>18</v>
      </c>
      <c r="E9394" s="12" t="s">
        <v>3009</v>
      </c>
      <c r="F9394" s="12" t="s">
        <v>3010</v>
      </c>
      <c r="G9394" s="12" t="s">
        <v>29</v>
      </c>
      <c r="H9394" s="11" t="s">
        <v>63</v>
      </c>
      <c r="I9394" s="13" t="s">
        <v>18635</v>
      </c>
      <c r="J9394" s="14" t="str">
        <f>HYPERLINK("https://www.boe.es/gazeta/dias/1839/04/20/pdfs/GMD-1839-1617.pdf#page=1","Abrir facsímil")</f>
        <v>Abrir facsímil</v>
      </c>
      <c r="K9394" s="12" t="s">
        <v>65</v>
      </c>
    </row>
    <row r="9395" spans="1:11" ht="40.049999999999997" customHeight="1" x14ac:dyDescent="0.25">
      <c r="A9395" s="11" t="s">
        <v>18539</v>
      </c>
      <c r="B9395" s="11" t="s">
        <v>18539</v>
      </c>
      <c r="C9395" s="11" t="s">
        <v>137</v>
      </c>
      <c r="D9395" s="11" t="s">
        <v>18</v>
      </c>
      <c r="E9395" s="12" t="s">
        <v>3009</v>
      </c>
      <c r="F9395" s="12" t="s">
        <v>3010</v>
      </c>
      <c r="G9395" s="12" t="s">
        <v>40</v>
      </c>
      <c r="H9395" s="11" t="s">
        <v>63</v>
      </c>
      <c r="I9395" s="13" t="s">
        <v>18636</v>
      </c>
      <c r="J9395" s="14" t="str">
        <f>HYPERLINK("https://www.boe.es/gazeta/dias/1839/04/20/pdfs/GMD-1839-1617.pdf#page=2","Abrir facsímil")</f>
        <v>Abrir facsímil</v>
      </c>
      <c r="K9395" s="12" t="s">
        <v>65</v>
      </c>
    </row>
    <row r="9396" spans="1:11" ht="40.049999999999997" customHeight="1" x14ac:dyDescent="0.25">
      <c r="A9396" s="11" t="s">
        <v>18539</v>
      </c>
      <c r="B9396" s="11" t="s">
        <v>18539</v>
      </c>
      <c r="C9396" s="11" t="s">
        <v>137</v>
      </c>
      <c r="D9396" s="11" t="s">
        <v>18</v>
      </c>
      <c r="E9396" s="12" t="s">
        <v>343</v>
      </c>
      <c r="F9396" s="12" t="s">
        <v>344</v>
      </c>
      <c r="G9396" s="12" t="s">
        <v>21</v>
      </c>
      <c r="H9396" s="11" t="s">
        <v>63</v>
      </c>
      <c r="I9396" s="13" t="s">
        <v>18637</v>
      </c>
      <c r="J9396" s="14" t="str">
        <f>HYPERLINK("https://www.boe.es/gazeta/dias/1839/05/20/pdfs/GMD-1839-1647.pdf#page=4","Abrir facsímil")</f>
        <v>Abrir facsímil</v>
      </c>
      <c r="K9396" s="12" t="s">
        <v>65</v>
      </c>
    </row>
    <row r="9397" spans="1:11" ht="40.049999999999997" customHeight="1" x14ac:dyDescent="0.25">
      <c r="A9397" s="11" t="s">
        <v>18539</v>
      </c>
      <c r="B9397" s="11" t="s">
        <v>18539</v>
      </c>
      <c r="C9397" s="11" t="s">
        <v>59</v>
      </c>
      <c r="D9397" s="11" t="s">
        <v>60</v>
      </c>
      <c r="E9397" s="12" t="s">
        <v>1374</v>
      </c>
      <c r="F9397" s="12" t="s">
        <v>1375</v>
      </c>
      <c r="G9397" s="12" t="s">
        <v>29</v>
      </c>
      <c r="H9397" s="11" t="s">
        <v>63</v>
      </c>
      <c r="I9397" s="13" t="s">
        <v>18638</v>
      </c>
      <c r="J9397" s="14" t="str">
        <f>HYPERLINK("https://www.boe.es/gazeta/dias/1839/07/20/pdfs/GMD-1839-1708.pdf#page=1","Abrir facsímil")</f>
        <v>Abrir facsímil</v>
      </c>
      <c r="K9397" s="12" t="s">
        <v>65</v>
      </c>
    </row>
    <row r="9398" spans="1:11" ht="40.049999999999997" customHeight="1" x14ac:dyDescent="0.25">
      <c r="A9398" s="11" t="s">
        <v>18539</v>
      </c>
      <c r="B9398" s="11" t="s">
        <v>18539</v>
      </c>
      <c r="C9398" s="11" t="s">
        <v>17</v>
      </c>
      <c r="D9398" s="11" t="s">
        <v>18</v>
      </c>
      <c r="E9398" s="12" t="s">
        <v>1374</v>
      </c>
      <c r="F9398" s="12" t="s">
        <v>1375</v>
      </c>
      <c r="G9398" s="12" t="s">
        <v>46</v>
      </c>
      <c r="H9398" s="11" t="s">
        <v>63</v>
      </c>
      <c r="I9398" s="13" t="s">
        <v>18639</v>
      </c>
      <c r="J9398" s="14" t="str">
        <f>HYPERLINK("https://www.boe.es/gazeta/dias/1839/07/20/pdfs/GMD-1839-1708.pdf#page=3","Abrir facsímil")</f>
        <v>Abrir facsímil</v>
      </c>
      <c r="K9398" s="12" t="s">
        <v>65</v>
      </c>
    </row>
    <row r="9399" spans="1:11" ht="40.049999999999997" customHeight="1" x14ac:dyDescent="0.25">
      <c r="A9399" s="11" t="s">
        <v>18539</v>
      </c>
      <c r="B9399" s="11" t="s">
        <v>18539</v>
      </c>
      <c r="C9399" s="11" t="s">
        <v>17</v>
      </c>
      <c r="D9399" s="11" t="s">
        <v>18</v>
      </c>
      <c r="E9399" s="12" t="s">
        <v>1703</v>
      </c>
      <c r="F9399" s="12" t="s">
        <v>1704</v>
      </c>
      <c r="G9399" s="12" t="s">
        <v>46</v>
      </c>
      <c r="H9399" s="11" t="s">
        <v>63</v>
      </c>
      <c r="I9399" s="13" t="s">
        <v>18640</v>
      </c>
      <c r="J9399" s="14" t="str">
        <f>HYPERLINK("https://www.boe.es/gazeta/dias/1839/01/21/pdfs/GMD-1839-1528.pdf#page=3","Abrir facsímil")</f>
        <v>Abrir facsímil</v>
      </c>
      <c r="K9399" s="12" t="s">
        <v>65</v>
      </c>
    </row>
    <row r="9400" spans="1:11" ht="40.049999999999997" customHeight="1" x14ac:dyDescent="0.25">
      <c r="A9400" s="11" t="s">
        <v>18539</v>
      </c>
      <c r="B9400" s="11" t="s">
        <v>18539</v>
      </c>
      <c r="C9400" s="11" t="s">
        <v>59</v>
      </c>
      <c r="D9400" s="11" t="s">
        <v>60</v>
      </c>
      <c r="E9400" s="12" t="s">
        <v>516</v>
      </c>
      <c r="F9400" s="12" t="s">
        <v>517</v>
      </c>
      <c r="G9400" s="12" t="s">
        <v>29</v>
      </c>
      <c r="H9400" s="11" t="s">
        <v>63</v>
      </c>
      <c r="I9400" s="13" t="s">
        <v>18641</v>
      </c>
      <c r="J9400" s="14" t="str">
        <f>HYPERLINK("https://www.boe.es/gazeta/dias/1839/06/21/pdfs/GMD-1839-1679.pdf#page=1","Abrir facsímil")</f>
        <v>Abrir facsímil</v>
      </c>
      <c r="K9400" s="12" t="s">
        <v>65</v>
      </c>
    </row>
    <row r="9401" spans="1:11" ht="40.049999999999997" customHeight="1" x14ac:dyDescent="0.25">
      <c r="A9401" s="11" t="s">
        <v>18539</v>
      </c>
      <c r="B9401" s="11" t="s">
        <v>18539</v>
      </c>
      <c r="C9401" s="11" t="s">
        <v>17</v>
      </c>
      <c r="D9401" s="11" t="s">
        <v>18</v>
      </c>
      <c r="E9401" s="12" t="s">
        <v>516</v>
      </c>
      <c r="F9401" s="12" t="s">
        <v>517</v>
      </c>
      <c r="G9401" s="12" t="s">
        <v>21</v>
      </c>
      <c r="H9401" s="11" t="s">
        <v>63</v>
      </c>
      <c r="I9401" s="13" t="s">
        <v>18642</v>
      </c>
      <c r="J9401" s="14" t="str">
        <f>HYPERLINK("https://www.boe.es/gazeta/dias/1839/06/21/pdfs/GMD-1839-1679.pdf#page=4","Abrir facsímil")</f>
        <v>Abrir facsímil</v>
      </c>
      <c r="K9401" s="12" t="s">
        <v>65</v>
      </c>
    </row>
    <row r="9402" spans="1:11" ht="40.049999999999997" customHeight="1" x14ac:dyDescent="0.25">
      <c r="A9402" s="11" t="s">
        <v>18539</v>
      </c>
      <c r="B9402" s="11" t="s">
        <v>18539</v>
      </c>
      <c r="C9402" s="11" t="s">
        <v>80</v>
      </c>
      <c r="D9402" s="11" t="s">
        <v>18</v>
      </c>
      <c r="E9402" s="12" t="s">
        <v>2962</v>
      </c>
      <c r="F9402" s="12" t="s">
        <v>2963</v>
      </c>
      <c r="G9402" s="12" t="s">
        <v>21</v>
      </c>
      <c r="H9402" s="11" t="s">
        <v>63</v>
      </c>
      <c r="I9402" s="13" t="s">
        <v>18643</v>
      </c>
      <c r="J9402" s="14" t="str">
        <f>HYPERLINK("https://www.boe.es/gazeta/dias/1839/12/21/pdfs/GMD-1839-1868.pdf#page=4","Abrir facsímil")</f>
        <v>Abrir facsímil</v>
      </c>
      <c r="K9402" s="12" t="s">
        <v>65</v>
      </c>
    </row>
    <row r="9403" spans="1:11" ht="40.049999999999997" customHeight="1" x14ac:dyDescent="0.25">
      <c r="A9403" s="11" t="s">
        <v>18539</v>
      </c>
      <c r="B9403" s="11" t="s">
        <v>18539</v>
      </c>
      <c r="C9403" s="11" t="s">
        <v>17</v>
      </c>
      <c r="D9403" s="11" t="s">
        <v>18</v>
      </c>
      <c r="E9403" s="12" t="s">
        <v>1794</v>
      </c>
      <c r="F9403" s="12" t="s">
        <v>1795</v>
      </c>
      <c r="G9403" s="12" t="s">
        <v>29</v>
      </c>
      <c r="H9403" s="11" t="s">
        <v>63</v>
      </c>
      <c r="I9403" s="13" t="s">
        <v>18644</v>
      </c>
      <c r="J9403" s="14" t="str">
        <f>HYPERLINK("https://www.boe.es/gazeta/dias/1839/02/22/pdfs/GMD-1839-1560.pdf#page=1","Abrir facsímil")</f>
        <v>Abrir facsímil</v>
      </c>
      <c r="K9403" s="12" t="s">
        <v>65</v>
      </c>
    </row>
    <row r="9404" spans="1:11" ht="40.049999999999997" customHeight="1" x14ac:dyDescent="0.25">
      <c r="A9404" s="11" t="s">
        <v>18539</v>
      </c>
      <c r="B9404" s="11" t="s">
        <v>18539</v>
      </c>
      <c r="C9404" s="11" t="s">
        <v>59</v>
      </c>
      <c r="D9404" s="11" t="s">
        <v>60</v>
      </c>
      <c r="E9404" s="12" t="s">
        <v>1663</v>
      </c>
      <c r="F9404" s="12" t="s">
        <v>1664</v>
      </c>
      <c r="G9404" s="12" t="s">
        <v>29</v>
      </c>
      <c r="H9404" s="11" t="s">
        <v>63</v>
      </c>
      <c r="I9404" s="13" t="s">
        <v>18645</v>
      </c>
      <c r="J9404" s="14" t="str">
        <f>HYPERLINK("https://www.boe.es/gazeta/dias/1839/03/22/pdfs/GMD-1839-1588.pdf#page=1","Abrir facsímil")</f>
        <v>Abrir facsímil</v>
      </c>
      <c r="K9404" s="12" t="s">
        <v>65</v>
      </c>
    </row>
    <row r="9405" spans="1:11" ht="40.049999999999997" customHeight="1" x14ac:dyDescent="0.25">
      <c r="A9405" s="11" t="s">
        <v>18539</v>
      </c>
      <c r="B9405" s="11" t="s">
        <v>18539</v>
      </c>
      <c r="C9405" s="11" t="s">
        <v>137</v>
      </c>
      <c r="D9405" s="11" t="s">
        <v>18</v>
      </c>
      <c r="E9405" s="12" t="s">
        <v>239</v>
      </c>
      <c r="F9405" s="12" t="s">
        <v>240</v>
      </c>
      <c r="G9405" s="12" t="s">
        <v>21</v>
      </c>
      <c r="H9405" s="11" t="s">
        <v>63</v>
      </c>
      <c r="I9405" s="13" t="s">
        <v>18646</v>
      </c>
      <c r="J9405" s="14" t="str">
        <f>HYPERLINK("https://www.boe.es/gazeta/dias/1839/09/22/pdfs/GMD-1839-1777.pdf#page=4","Abrir facsímil")</f>
        <v>Abrir facsímil</v>
      </c>
      <c r="K9405" s="12" t="s">
        <v>65</v>
      </c>
    </row>
    <row r="9406" spans="1:11" ht="40.049999999999997" customHeight="1" x14ac:dyDescent="0.25">
      <c r="A9406" s="11" t="s">
        <v>18539</v>
      </c>
      <c r="B9406" s="11" t="s">
        <v>18539</v>
      </c>
      <c r="C9406" s="11" t="s">
        <v>80</v>
      </c>
      <c r="D9406" s="11" t="s">
        <v>18</v>
      </c>
      <c r="E9406" s="12" t="s">
        <v>519</v>
      </c>
      <c r="F9406" s="12" t="s">
        <v>520</v>
      </c>
      <c r="G9406" s="12" t="s">
        <v>21</v>
      </c>
      <c r="H9406" s="11" t="s">
        <v>63</v>
      </c>
      <c r="I9406" s="13" t="s">
        <v>18647</v>
      </c>
      <c r="J9406" s="14" t="str">
        <f>HYPERLINK("https://www.boe.es/gazeta/dias/1839/02/23/pdfs/GMD-1839-1561.pdf#page=4","Abrir facsímil")</f>
        <v>Abrir facsímil</v>
      </c>
      <c r="K9406" s="12" t="s">
        <v>65</v>
      </c>
    </row>
    <row r="9407" spans="1:11" ht="40.049999999999997" customHeight="1" x14ac:dyDescent="0.25">
      <c r="A9407" s="11" t="s">
        <v>18539</v>
      </c>
      <c r="B9407" s="11" t="s">
        <v>18539</v>
      </c>
      <c r="C9407" s="11" t="s">
        <v>17</v>
      </c>
      <c r="D9407" s="11" t="s">
        <v>18</v>
      </c>
      <c r="E9407" s="12" t="s">
        <v>568</v>
      </c>
      <c r="F9407" s="12" t="s">
        <v>569</v>
      </c>
      <c r="G9407" s="12" t="s">
        <v>40</v>
      </c>
      <c r="H9407" s="11" t="s">
        <v>63</v>
      </c>
      <c r="I9407" s="13" t="s">
        <v>18648</v>
      </c>
      <c r="J9407" s="14" t="str">
        <f>HYPERLINK("https://www.boe.es/gazeta/dias/1839/10/23/pdfs/GMD-1839-1809.pdf#page=2","Abrir facsímil")</f>
        <v>Abrir facsímil</v>
      </c>
      <c r="K9407" s="12" t="s">
        <v>65</v>
      </c>
    </row>
    <row r="9408" spans="1:11" ht="40.049999999999997" customHeight="1" x14ac:dyDescent="0.25">
      <c r="A9408" s="11" t="s">
        <v>18539</v>
      </c>
      <c r="B9408" s="11" t="s">
        <v>18539</v>
      </c>
      <c r="C9408" s="11" t="s">
        <v>80</v>
      </c>
      <c r="D9408" s="11" t="s">
        <v>173</v>
      </c>
      <c r="E9408" s="12" t="s">
        <v>1895</v>
      </c>
      <c r="F9408" s="12" t="s">
        <v>1896</v>
      </c>
      <c r="G9408" s="12" t="s">
        <v>21</v>
      </c>
      <c r="H9408" s="11" t="s">
        <v>63</v>
      </c>
      <c r="I9408" s="13" t="s">
        <v>18649</v>
      </c>
      <c r="J9408" s="14" t="str">
        <f>HYPERLINK("https://www.boe.es/gazeta/dias/1839/12/23/pdfs/GMD-1839-1870.pdf#page=4","Abrir facsímil")</f>
        <v>Abrir facsímil</v>
      </c>
      <c r="K9408" s="12" t="s">
        <v>65</v>
      </c>
    </row>
    <row r="9409" spans="1:11" ht="40.049999999999997" customHeight="1" x14ac:dyDescent="0.25">
      <c r="A9409" s="11" t="s">
        <v>18539</v>
      </c>
      <c r="B9409" s="11" t="s">
        <v>18539</v>
      </c>
      <c r="C9409" s="11" t="s">
        <v>17</v>
      </c>
      <c r="D9409" s="11" t="s">
        <v>18</v>
      </c>
      <c r="E9409" s="12" t="s">
        <v>94</v>
      </c>
      <c r="F9409" s="12" t="s">
        <v>95</v>
      </c>
      <c r="G9409" s="12" t="s">
        <v>21</v>
      </c>
      <c r="H9409" s="11" t="s">
        <v>63</v>
      </c>
      <c r="I9409" s="13" t="s">
        <v>18650</v>
      </c>
      <c r="J9409" s="14" t="str">
        <f>HYPERLINK("https://www.boe.es/gazeta/dias/1839/02/24/pdfs/GMD-1839-1562.pdf#page=4","Abrir facsímil")</f>
        <v>Abrir facsímil</v>
      </c>
      <c r="K9409" s="12" t="s">
        <v>65</v>
      </c>
    </row>
    <row r="9410" spans="1:11" ht="40.049999999999997" customHeight="1" x14ac:dyDescent="0.25">
      <c r="A9410" s="11" t="s">
        <v>18539</v>
      </c>
      <c r="B9410" s="11" t="s">
        <v>18539</v>
      </c>
      <c r="C9410" s="11" t="s">
        <v>101</v>
      </c>
      <c r="D9410" s="11" t="s">
        <v>43</v>
      </c>
      <c r="E9410" s="12" t="s">
        <v>1672</v>
      </c>
      <c r="F9410" s="12" t="s">
        <v>1673</v>
      </c>
      <c r="G9410" s="12" t="s">
        <v>40</v>
      </c>
      <c r="H9410" s="11" t="s">
        <v>63</v>
      </c>
      <c r="I9410" s="13" t="s">
        <v>18651</v>
      </c>
      <c r="J9410" s="14" t="str">
        <f>HYPERLINK("https://www.boe.es/gazeta/dias/1839/08/24/pdfs/GMD-1839-1745.pdf#page=2","Abrir facsímil")</f>
        <v>Abrir facsímil</v>
      </c>
      <c r="K9410" s="12" t="s">
        <v>65</v>
      </c>
    </row>
    <row r="9411" spans="1:11" ht="40.049999999999997" customHeight="1" x14ac:dyDescent="0.25">
      <c r="A9411" s="11" t="s">
        <v>18539</v>
      </c>
      <c r="B9411" s="11" t="s">
        <v>18539</v>
      </c>
      <c r="C9411" s="11" t="s">
        <v>80</v>
      </c>
      <c r="D9411" s="11" t="s">
        <v>18</v>
      </c>
      <c r="E9411" s="12" t="s">
        <v>276</v>
      </c>
      <c r="F9411" s="12" t="s">
        <v>277</v>
      </c>
      <c r="G9411" s="12" t="s">
        <v>21</v>
      </c>
      <c r="H9411" s="11" t="s">
        <v>63</v>
      </c>
      <c r="I9411" s="13" t="s">
        <v>18652</v>
      </c>
      <c r="J9411" s="14" t="str">
        <f>HYPERLINK("https://www.boe.es/gazeta/dias/1839/09/24/pdfs/GMD-1839-1780.pdf#page=4","Abrir facsímil")</f>
        <v>Abrir facsímil</v>
      </c>
      <c r="K9411" s="12" t="s">
        <v>65</v>
      </c>
    </row>
    <row r="9412" spans="1:11" ht="40.049999999999997" customHeight="1" x14ac:dyDescent="0.25">
      <c r="A9412" s="11" t="s">
        <v>18539</v>
      </c>
      <c r="B9412" s="11" t="s">
        <v>18539</v>
      </c>
      <c r="C9412" s="11" t="s">
        <v>17</v>
      </c>
      <c r="D9412" s="11" t="s">
        <v>18</v>
      </c>
      <c r="E9412" s="12" t="s">
        <v>775</v>
      </c>
      <c r="F9412" s="12" t="s">
        <v>776</v>
      </c>
      <c r="G9412" s="12" t="s">
        <v>29</v>
      </c>
      <c r="H9412" s="11" t="s">
        <v>63</v>
      </c>
      <c r="I9412" s="13" t="s">
        <v>18653</v>
      </c>
      <c r="J9412" s="14" t="str">
        <f>HYPERLINK("https://www.boe.es/gazeta/dias/1839/02/25/pdfs/GMD-1839-1563.pdf#page=1","Abrir facsímil")</f>
        <v>Abrir facsímil</v>
      </c>
      <c r="K9412" s="12" t="s">
        <v>65</v>
      </c>
    </row>
    <row r="9413" spans="1:11" ht="40.049999999999997" customHeight="1" x14ac:dyDescent="0.25">
      <c r="A9413" s="11" t="s">
        <v>18539</v>
      </c>
      <c r="B9413" s="11" t="s">
        <v>18539</v>
      </c>
      <c r="C9413" s="11" t="s">
        <v>17</v>
      </c>
      <c r="D9413" s="11" t="s">
        <v>18</v>
      </c>
      <c r="E9413" s="12" t="s">
        <v>1446</v>
      </c>
      <c r="F9413" s="12" t="s">
        <v>1447</v>
      </c>
      <c r="G9413" s="12" t="s">
        <v>29</v>
      </c>
      <c r="H9413" s="11" t="s">
        <v>63</v>
      </c>
      <c r="I9413" s="13" t="s">
        <v>18654</v>
      </c>
      <c r="J9413" s="14" t="str">
        <f>HYPERLINK("https://www.boe.es/gazeta/dias/1839/08/25/pdfs/GMD-1839-1746.pdf#page=1","Abrir facsímil")</f>
        <v>Abrir facsímil</v>
      </c>
      <c r="K9413" s="12" t="s">
        <v>65</v>
      </c>
    </row>
    <row r="9414" spans="1:11" ht="40.049999999999997" customHeight="1" x14ac:dyDescent="0.25">
      <c r="A9414" s="11" t="s">
        <v>18539</v>
      </c>
      <c r="B9414" s="11" t="s">
        <v>18539</v>
      </c>
      <c r="C9414" s="11" t="s">
        <v>17</v>
      </c>
      <c r="D9414" s="11" t="s">
        <v>18</v>
      </c>
      <c r="E9414" s="12" t="s">
        <v>826</v>
      </c>
      <c r="F9414" s="12" t="s">
        <v>827</v>
      </c>
      <c r="G9414" s="12" t="s">
        <v>40</v>
      </c>
      <c r="H9414" s="11" t="s">
        <v>63</v>
      </c>
      <c r="I9414" s="13" t="s">
        <v>18655</v>
      </c>
      <c r="J9414" s="14" t="str">
        <f>HYPERLINK("https://www.boe.es/gazeta/dias/1839/09/25/pdfs/GMD-1839-1781.pdf#page=2","Abrir facsímil")</f>
        <v>Abrir facsímil</v>
      </c>
      <c r="K9414" s="12" t="s">
        <v>65</v>
      </c>
    </row>
    <row r="9415" spans="1:11" ht="40.049999999999997" customHeight="1" x14ac:dyDescent="0.25">
      <c r="A9415" s="11" t="s">
        <v>18539</v>
      </c>
      <c r="B9415" s="11" t="s">
        <v>18539</v>
      </c>
      <c r="C9415" s="11" t="s">
        <v>17</v>
      </c>
      <c r="D9415" s="11" t="s">
        <v>18</v>
      </c>
      <c r="E9415" s="12" t="s">
        <v>723</v>
      </c>
      <c r="F9415" s="12" t="s">
        <v>724</v>
      </c>
      <c r="G9415" s="12" t="s">
        <v>40</v>
      </c>
      <c r="H9415" s="11" t="s">
        <v>63</v>
      </c>
      <c r="I9415" s="13" t="s">
        <v>18656</v>
      </c>
      <c r="J9415" s="14" t="str">
        <f>HYPERLINK("https://www.boe.es/gazeta/dias/1839/09/26/pdfs/GMD-1839-1782.pdf#page=2","Abrir facsímil")</f>
        <v>Abrir facsímil</v>
      </c>
      <c r="K9415" s="12" t="s">
        <v>65</v>
      </c>
    </row>
    <row r="9416" spans="1:11" ht="40.049999999999997" customHeight="1" x14ac:dyDescent="0.25">
      <c r="A9416" s="11" t="s">
        <v>18539</v>
      </c>
      <c r="B9416" s="11" t="s">
        <v>18539</v>
      </c>
      <c r="C9416" s="11" t="s">
        <v>17</v>
      </c>
      <c r="D9416" s="11" t="s">
        <v>18</v>
      </c>
      <c r="E9416" s="12" t="s">
        <v>1685</v>
      </c>
      <c r="F9416" s="12" t="s">
        <v>1686</v>
      </c>
      <c r="G9416" s="12" t="s">
        <v>29</v>
      </c>
      <c r="H9416" s="11" t="s">
        <v>63</v>
      </c>
      <c r="I9416" s="13" t="s">
        <v>18657</v>
      </c>
      <c r="J9416" s="14" t="str">
        <f>HYPERLINK("https://www.boe.es/gazeta/dias/1839/04/27/pdfs/GMD-1839-1624.pdf#page=1","Abrir facsímil")</f>
        <v>Abrir facsímil</v>
      </c>
      <c r="K9416" s="12" t="s">
        <v>65</v>
      </c>
    </row>
    <row r="9417" spans="1:11" ht="40.049999999999997" customHeight="1" x14ac:dyDescent="0.25">
      <c r="A9417" s="11" t="s">
        <v>18539</v>
      </c>
      <c r="B9417" s="11" t="s">
        <v>18539</v>
      </c>
      <c r="C9417" s="11" t="s">
        <v>17</v>
      </c>
      <c r="D9417" s="11" t="s">
        <v>18</v>
      </c>
      <c r="E9417" s="12" t="s">
        <v>1685</v>
      </c>
      <c r="F9417" s="12" t="s">
        <v>1686</v>
      </c>
      <c r="G9417" s="12" t="s">
        <v>46</v>
      </c>
      <c r="H9417" s="11" t="s">
        <v>63</v>
      </c>
      <c r="I9417" s="13" t="s">
        <v>18658</v>
      </c>
      <c r="J9417" s="14" t="str">
        <f>HYPERLINK("https://www.boe.es/gazeta/dias/1839/04/27/pdfs/GMD-1839-1624.pdf#page=3","Abrir facsímil")</f>
        <v>Abrir facsímil</v>
      </c>
      <c r="K9417" s="12" t="s">
        <v>65</v>
      </c>
    </row>
    <row r="9418" spans="1:11" ht="40.049999999999997" customHeight="1" x14ac:dyDescent="0.25">
      <c r="A9418" s="11" t="s">
        <v>18539</v>
      </c>
      <c r="B9418" s="11" t="s">
        <v>18539</v>
      </c>
      <c r="C9418" s="11" t="s">
        <v>17</v>
      </c>
      <c r="D9418" s="11" t="s">
        <v>18</v>
      </c>
      <c r="E9418" s="12" t="s">
        <v>2658</v>
      </c>
      <c r="F9418" s="12" t="s">
        <v>2659</v>
      </c>
      <c r="G9418" s="12" t="s">
        <v>46</v>
      </c>
      <c r="H9418" s="11" t="s">
        <v>63</v>
      </c>
      <c r="I9418" s="13" t="s">
        <v>18659</v>
      </c>
      <c r="J9418" s="14" t="str">
        <f>HYPERLINK("https://www.boe.es/gazeta/dias/1839/06/27/pdfs/GMD-1839-1685.pdf#page=3","Abrir facsímil")</f>
        <v>Abrir facsímil</v>
      </c>
      <c r="K9418" s="12" t="s">
        <v>65</v>
      </c>
    </row>
    <row r="9419" spans="1:11" ht="40.049999999999997" customHeight="1" x14ac:dyDescent="0.25">
      <c r="A9419" s="11" t="s">
        <v>18539</v>
      </c>
      <c r="B9419" s="11" t="s">
        <v>18539</v>
      </c>
      <c r="C9419" s="11" t="s">
        <v>17</v>
      </c>
      <c r="D9419" s="11" t="s">
        <v>18</v>
      </c>
      <c r="E9419" s="12" t="s">
        <v>522</v>
      </c>
      <c r="F9419" s="12" t="s">
        <v>523</v>
      </c>
      <c r="G9419" s="12" t="s">
        <v>21</v>
      </c>
      <c r="H9419" s="11" t="s">
        <v>63</v>
      </c>
      <c r="I9419" s="13" t="s">
        <v>18660</v>
      </c>
      <c r="J9419" s="14" t="str">
        <f>HYPERLINK("https://www.boe.es/gazeta/dias/1839/08/27/pdfs/GMD-1839-1748.pdf#page=4","Abrir facsímil")</f>
        <v>Abrir facsímil</v>
      </c>
      <c r="K9419" s="12" t="s">
        <v>65</v>
      </c>
    </row>
    <row r="9420" spans="1:11" ht="40.049999999999997" customHeight="1" x14ac:dyDescent="0.25">
      <c r="A9420" s="11" t="s">
        <v>18539</v>
      </c>
      <c r="B9420" s="11" t="s">
        <v>18539</v>
      </c>
      <c r="C9420" s="11" t="s">
        <v>17</v>
      </c>
      <c r="D9420" s="11" t="s">
        <v>18</v>
      </c>
      <c r="E9420" s="12" t="s">
        <v>1909</v>
      </c>
      <c r="F9420" s="12" t="s">
        <v>1910</v>
      </c>
      <c r="G9420" s="12" t="s">
        <v>46</v>
      </c>
      <c r="H9420" s="11" t="s">
        <v>63</v>
      </c>
      <c r="I9420" s="13" t="s">
        <v>18661</v>
      </c>
      <c r="J9420" s="14" t="str">
        <f>HYPERLINK("https://www.boe.es/gazeta/dias/1839/10/27/pdfs/GMD-1839-1813.pdf#page=3","Abrir facsímil")</f>
        <v>Abrir facsímil</v>
      </c>
      <c r="K9420" s="12" t="s">
        <v>65</v>
      </c>
    </row>
    <row r="9421" spans="1:11" ht="40.049999999999997" customHeight="1" x14ac:dyDescent="0.25">
      <c r="A9421" s="11" t="s">
        <v>18539</v>
      </c>
      <c r="B9421" s="11" t="s">
        <v>18539</v>
      </c>
      <c r="C9421" s="11" t="s">
        <v>59</v>
      </c>
      <c r="D9421" s="11" t="s">
        <v>60</v>
      </c>
      <c r="E9421" s="12" t="s">
        <v>1474</v>
      </c>
      <c r="F9421" s="12" t="s">
        <v>1475</v>
      </c>
      <c r="G9421" s="12" t="s">
        <v>21</v>
      </c>
      <c r="H9421" s="11" t="s">
        <v>63</v>
      </c>
      <c r="I9421" s="13" t="s">
        <v>18662</v>
      </c>
      <c r="J9421" s="14" t="str">
        <f>HYPERLINK("https://www.boe.es/gazeta/dias/1839/02/28/pdfs/GMD-1839-1566.pdf#page=4","Abrir facsímil")</f>
        <v>Abrir facsímil</v>
      </c>
      <c r="K9421" s="12" t="s">
        <v>65</v>
      </c>
    </row>
    <row r="9422" spans="1:11" ht="40.049999999999997" customHeight="1" x14ac:dyDescent="0.25">
      <c r="A9422" s="11" t="s">
        <v>18539</v>
      </c>
      <c r="B9422" s="11" t="s">
        <v>18539</v>
      </c>
      <c r="C9422" s="11" t="s">
        <v>137</v>
      </c>
      <c r="D9422" s="11" t="s">
        <v>18</v>
      </c>
      <c r="E9422" s="12" t="s">
        <v>677</v>
      </c>
      <c r="F9422" s="12" t="s">
        <v>678</v>
      </c>
      <c r="G9422" s="12" t="s">
        <v>29</v>
      </c>
      <c r="H9422" s="11" t="s">
        <v>63</v>
      </c>
      <c r="I9422" s="13" t="s">
        <v>18663</v>
      </c>
      <c r="J9422" s="14" t="str">
        <f>HYPERLINK("https://www.boe.es/gazeta/dias/1839/04/28/pdfs/GMD-1839-1625.pdf#page=1","Abrir facsímil")</f>
        <v>Abrir facsímil</v>
      </c>
      <c r="K9422" s="12" t="s">
        <v>65</v>
      </c>
    </row>
    <row r="9423" spans="1:11" ht="40.049999999999997" customHeight="1" x14ac:dyDescent="0.25">
      <c r="A9423" s="11" t="s">
        <v>18539</v>
      </c>
      <c r="B9423" s="11" t="s">
        <v>18539</v>
      </c>
      <c r="C9423" s="11" t="s">
        <v>17</v>
      </c>
      <c r="D9423" s="11" t="s">
        <v>18</v>
      </c>
      <c r="E9423" s="12" t="s">
        <v>677</v>
      </c>
      <c r="F9423" s="12" t="s">
        <v>678</v>
      </c>
      <c r="G9423" s="12" t="s">
        <v>21</v>
      </c>
      <c r="H9423" s="11" t="s">
        <v>63</v>
      </c>
      <c r="I9423" s="13" t="s">
        <v>18664</v>
      </c>
      <c r="J9423" s="14" t="str">
        <f>HYPERLINK("https://www.boe.es/gazeta/dias/1839/04/28/pdfs/GMD-1839-1625.pdf#page=4","Abrir facsímil")</f>
        <v>Abrir facsímil</v>
      </c>
      <c r="K9423" s="12" t="s">
        <v>65</v>
      </c>
    </row>
    <row r="9424" spans="1:11" ht="40.049999999999997" customHeight="1" x14ac:dyDescent="0.25">
      <c r="A9424" s="11" t="s">
        <v>18539</v>
      </c>
      <c r="B9424" s="11" t="s">
        <v>18539</v>
      </c>
      <c r="C9424" s="11" t="s">
        <v>17</v>
      </c>
      <c r="D9424" s="11" t="s">
        <v>18</v>
      </c>
      <c r="E9424" s="12" t="s">
        <v>27</v>
      </c>
      <c r="F9424" s="12" t="s">
        <v>28</v>
      </c>
      <c r="G9424" s="12" t="s">
        <v>29</v>
      </c>
      <c r="H9424" s="11" t="s">
        <v>63</v>
      </c>
      <c r="I9424" s="13" t="s">
        <v>18665</v>
      </c>
      <c r="J9424" s="14" t="str">
        <f>HYPERLINK("https://www.boe.es/gazeta/dias/1839/07/28/pdfs/GMD-1839-1717.pdf#page=1","Abrir facsímil")</f>
        <v>Abrir facsímil</v>
      </c>
      <c r="K9424" s="12" t="s">
        <v>65</v>
      </c>
    </row>
    <row r="9425" spans="1:11" ht="40.049999999999997" customHeight="1" x14ac:dyDescent="0.25">
      <c r="A9425" s="11" t="s">
        <v>18539</v>
      </c>
      <c r="B9425" s="11" t="s">
        <v>18539</v>
      </c>
      <c r="C9425" s="11" t="s">
        <v>137</v>
      </c>
      <c r="D9425" s="11" t="s">
        <v>18</v>
      </c>
      <c r="E9425" s="12" t="s">
        <v>27</v>
      </c>
      <c r="F9425" s="12" t="s">
        <v>28</v>
      </c>
      <c r="G9425" s="12" t="s">
        <v>21</v>
      </c>
      <c r="H9425" s="11" t="s">
        <v>63</v>
      </c>
      <c r="I9425" s="13" t="s">
        <v>18666</v>
      </c>
      <c r="J9425" s="14" t="str">
        <f>HYPERLINK("https://www.boe.es/gazeta/dias/1839/07/28/pdfs/GMD-1839-1717.pdf#page=4","Abrir facsímil")</f>
        <v>Abrir facsímil</v>
      </c>
      <c r="K9425" s="12" t="s">
        <v>65</v>
      </c>
    </row>
    <row r="9426" spans="1:11" ht="40.049999999999997" customHeight="1" x14ac:dyDescent="0.25">
      <c r="A9426" s="11" t="s">
        <v>18539</v>
      </c>
      <c r="B9426" s="11" t="s">
        <v>18539</v>
      </c>
      <c r="C9426" s="11" t="s">
        <v>101</v>
      </c>
      <c r="D9426" s="11" t="s">
        <v>43</v>
      </c>
      <c r="E9426" s="12" t="s">
        <v>862</v>
      </c>
      <c r="F9426" s="12" t="s">
        <v>863</v>
      </c>
      <c r="G9426" s="12" t="s">
        <v>21</v>
      </c>
      <c r="H9426" s="11" t="s">
        <v>63</v>
      </c>
      <c r="I9426" s="13" t="s">
        <v>18667</v>
      </c>
      <c r="J9426" s="14" t="str">
        <f>HYPERLINK("https://www.boe.es/gazeta/dias/1839/10/28/pdfs/GMD-1839-1814.pdf#page=4","Abrir facsímil")</f>
        <v>Abrir facsímil</v>
      </c>
      <c r="K9426" s="12" t="s">
        <v>65</v>
      </c>
    </row>
    <row r="9427" spans="1:11" ht="40.049999999999997" customHeight="1" x14ac:dyDescent="0.25">
      <c r="A9427" s="11" t="s">
        <v>18539</v>
      </c>
      <c r="B9427" s="11" t="s">
        <v>18539</v>
      </c>
      <c r="C9427" s="11" t="s">
        <v>17</v>
      </c>
      <c r="D9427" s="11" t="s">
        <v>18</v>
      </c>
      <c r="E9427" s="12" t="s">
        <v>862</v>
      </c>
      <c r="F9427" s="12" t="s">
        <v>863</v>
      </c>
      <c r="G9427" s="12" t="s">
        <v>566</v>
      </c>
      <c r="H9427" s="11" t="s">
        <v>63</v>
      </c>
      <c r="I9427" s="13" t="s">
        <v>18668</v>
      </c>
      <c r="J9427" s="14" t="str">
        <f>HYPERLINK("https://www.boe.es/gazeta/dias/1839/10/28/pdfs/GMD-1839-1814.pdf#page=5","Abrir facsímil")</f>
        <v>Abrir facsímil</v>
      </c>
      <c r="K9427" s="12" t="s">
        <v>65</v>
      </c>
    </row>
    <row r="9428" spans="1:11" ht="40.049999999999997" customHeight="1" x14ac:dyDescent="0.25">
      <c r="A9428" s="11" t="s">
        <v>18539</v>
      </c>
      <c r="B9428" s="11" t="s">
        <v>18539</v>
      </c>
      <c r="C9428" s="11" t="s">
        <v>80</v>
      </c>
      <c r="D9428" s="11" t="s">
        <v>18</v>
      </c>
      <c r="E9428" s="12" t="s">
        <v>862</v>
      </c>
      <c r="F9428" s="12" t="s">
        <v>863</v>
      </c>
      <c r="G9428" s="12" t="s">
        <v>305</v>
      </c>
      <c r="H9428" s="11" t="s">
        <v>63</v>
      </c>
      <c r="I9428" s="13" t="s">
        <v>18669</v>
      </c>
      <c r="J9428" s="14" t="str">
        <f>HYPERLINK("https://www.boe.es/gazeta/dias/1839/10/28/pdfs/GMD-1839-1814.pdf#page=6","Abrir facsímil")</f>
        <v>Abrir facsímil</v>
      </c>
      <c r="K9428" s="12" t="s">
        <v>65</v>
      </c>
    </row>
    <row r="9429" spans="1:11" ht="40.049999999999997" customHeight="1" x14ac:dyDescent="0.25">
      <c r="A9429" s="11" t="s">
        <v>18539</v>
      </c>
      <c r="B9429" s="11" t="s">
        <v>18539</v>
      </c>
      <c r="C9429" s="11" t="s">
        <v>101</v>
      </c>
      <c r="D9429" s="11" t="s">
        <v>43</v>
      </c>
      <c r="E9429" s="12" t="s">
        <v>892</v>
      </c>
      <c r="F9429" s="12" t="s">
        <v>893</v>
      </c>
      <c r="G9429" s="12" t="s">
        <v>29</v>
      </c>
      <c r="H9429" s="11" t="s">
        <v>63</v>
      </c>
      <c r="I9429" s="13" t="s">
        <v>18670</v>
      </c>
      <c r="J9429" s="14" t="str">
        <f>HYPERLINK("https://www.boe.es/gazeta/dias/1839/12/28/pdfs/GMD-1839-1875.pdf#page=1","Abrir facsímil")</f>
        <v>Abrir facsímil</v>
      </c>
      <c r="K9429" s="12" t="s">
        <v>65</v>
      </c>
    </row>
    <row r="9430" spans="1:11" ht="40.049999999999997" customHeight="1" x14ac:dyDescent="0.25">
      <c r="A9430" s="11" t="s">
        <v>18539</v>
      </c>
      <c r="B9430" s="11" t="s">
        <v>18539</v>
      </c>
      <c r="C9430" s="11" t="s">
        <v>137</v>
      </c>
      <c r="D9430" s="11" t="s">
        <v>18</v>
      </c>
      <c r="E9430" s="12" t="s">
        <v>489</v>
      </c>
      <c r="F9430" s="12" t="s">
        <v>490</v>
      </c>
      <c r="G9430" s="12" t="s">
        <v>21</v>
      </c>
      <c r="H9430" s="11" t="s">
        <v>63</v>
      </c>
      <c r="I9430" s="13" t="s">
        <v>18671</v>
      </c>
      <c r="J9430" s="14" t="str">
        <f>HYPERLINK("https://www.boe.es/gazeta/dias/1839/06/29/pdfs/GMD-1839-1687.pdf#page=4","Abrir facsímil")</f>
        <v>Abrir facsímil</v>
      </c>
      <c r="K9430" s="12" t="s">
        <v>65</v>
      </c>
    </row>
    <row r="9431" spans="1:11" ht="40.049999999999997" customHeight="1" x14ac:dyDescent="0.25">
      <c r="A9431" s="11" t="s">
        <v>18539</v>
      </c>
      <c r="B9431" s="11" t="s">
        <v>18539</v>
      </c>
      <c r="C9431" s="11" t="s">
        <v>17</v>
      </c>
      <c r="D9431" s="11" t="s">
        <v>18</v>
      </c>
      <c r="E9431" s="12" t="s">
        <v>308</v>
      </c>
      <c r="F9431" s="12" t="s">
        <v>309</v>
      </c>
      <c r="G9431" s="12" t="s">
        <v>40</v>
      </c>
      <c r="H9431" s="11" t="s">
        <v>63</v>
      </c>
      <c r="I9431" s="13" t="s">
        <v>18672</v>
      </c>
      <c r="J9431" s="14" t="str">
        <f>HYPERLINK("https://www.boe.es/gazeta/dias/1839/07/29/pdfs/GMD-1839-1718.pdf#page=2","Abrir facsímil")</f>
        <v>Abrir facsímil</v>
      </c>
      <c r="K9431" s="12" t="s">
        <v>65</v>
      </c>
    </row>
    <row r="9432" spans="1:11" ht="40.049999999999997" customHeight="1" x14ac:dyDescent="0.25">
      <c r="A9432" s="11" t="s">
        <v>18539</v>
      </c>
      <c r="B9432" s="11" t="s">
        <v>18539</v>
      </c>
      <c r="C9432" s="11" t="s">
        <v>17</v>
      </c>
      <c r="D9432" s="11" t="s">
        <v>18</v>
      </c>
      <c r="E9432" s="12" t="s">
        <v>1523</v>
      </c>
      <c r="F9432" s="12" t="s">
        <v>1524</v>
      </c>
      <c r="G9432" s="12" t="s">
        <v>29</v>
      </c>
      <c r="H9432" s="11" t="s">
        <v>63</v>
      </c>
      <c r="I9432" s="13" t="s">
        <v>18673</v>
      </c>
      <c r="J9432" s="14" t="str">
        <f>HYPERLINK("https://www.boe.es/gazeta/dias/1839/08/29/pdfs/GMD-1839-1750.pdf#page=1","Abrir facsímil")</f>
        <v>Abrir facsímil</v>
      </c>
      <c r="K9432" s="12" t="s">
        <v>65</v>
      </c>
    </row>
    <row r="9433" spans="1:11" ht="40.049999999999997" customHeight="1" x14ac:dyDescent="0.25">
      <c r="A9433" s="11" t="s">
        <v>18539</v>
      </c>
      <c r="B9433" s="11" t="s">
        <v>18539</v>
      </c>
      <c r="C9433" s="11" t="s">
        <v>101</v>
      </c>
      <c r="D9433" s="11" t="s">
        <v>43</v>
      </c>
      <c r="E9433" s="12" t="s">
        <v>1988</v>
      </c>
      <c r="F9433" s="12" t="s">
        <v>1989</v>
      </c>
      <c r="G9433" s="12" t="s">
        <v>46</v>
      </c>
      <c r="H9433" s="11" t="s">
        <v>63</v>
      </c>
      <c r="I9433" s="13" t="s">
        <v>18674</v>
      </c>
      <c r="J9433" s="14" t="str">
        <f>HYPERLINK("https://www.boe.es/gazeta/dias/1839/10/29/pdfs/GMD-1839-1815.pdf#page=3","Abrir facsímil")</f>
        <v>Abrir facsímil</v>
      </c>
      <c r="K9433" s="12" t="s">
        <v>65</v>
      </c>
    </row>
    <row r="9434" spans="1:11" ht="40.049999999999997" customHeight="1" x14ac:dyDescent="0.25">
      <c r="A9434" s="11" t="s">
        <v>18539</v>
      </c>
      <c r="B9434" s="11" t="s">
        <v>18539</v>
      </c>
      <c r="C9434" s="11" t="s">
        <v>137</v>
      </c>
      <c r="D9434" s="11" t="s">
        <v>18</v>
      </c>
      <c r="E9434" s="12" t="s">
        <v>1988</v>
      </c>
      <c r="F9434" s="12" t="s">
        <v>1989</v>
      </c>
      <c r="G9434" s="12" t="s">
        <v>305</v>
      </c>
      <c r="H9434" s="11" t="s">
        <v>63</v>
      </c>
      <c r="I9434" s="13" t="s">
        <v>18675</v>
      </c>
      <c r="J9434" s="14" t="str">
        <f>HYPERLINK("https://www.boe.es/gazeta/dias/1839/10/29/pdfs/GMD-1839-1815.pdf#page=6","Abrir facsímil")</f>
        <v>Abrir facsímil</v>
      </c>
      <c r="K9434" s="12" t="s">
        <v>65</v>
      </c>
    </row>
    <row r="9435" spans="1:11" ht="40.049999999999997" customHeight="1" x14ac:dyDescent="0.25">
      <c r="A9435" s="11" t="s">
        <v>18539</v>
      </c>
      <c r="B9435" s="11" t="s">
        <v>18539</v>
      </c>
      <c r="C9435" s="11" t="s">
        <v>17</v>
      </c>
      <c r="D9435" s="11" t="s">
        <v>18</v>
      </c>
      <c r="E9435" s="12" t="s">
        <v>1867</v>
      </c>
      <c r="F9435" s="12" t="s">
        <v>1868</v>
      </c>
      <c r="G9435" s="12" t="s">
        <v>21</v>
      </c>
      <c r="H9435" s="11" t="s">
        <v>63</v>
      </c>
      <c r="I9435" s="13" t="s">
        <v>18676</v>
      </c>
      <c r="J9435" s="14" t="str">
        <f>HYPERLINK("https://www.boe.es/gazeta/dias/1839/01/30/pdfs/GMD-1839-1537.pdf#page=4","Abrir facsímil")</f>
        <v>Abrir facsímil</v>
      </c>
      <c r="K9435" s="12" t="s">
        <v>65</v>
      </c>
    </row>
    <row r="9436" spans="1:11" ht="40.049999999999997" customHeight="1" x14ac:dyDescent="0.25">
      <c r="A9436" s="11" t="s">
        <v>18539</v>
      </c>
      <c r="B9436" s="11" t="s">
        <v>18539</v>
      </c>
      <c r="C9436" s="11" t="s">
        <v>80</v>
      </c>
      <c r="D9436" s="11" t="s">
        <v>18</v>
      </c>
      <c r="E9436" s="12" t="s">
        <v>912</v>
      </c>
      <c r="F9436" s="12" t="s">
        <v>913</v>
      </c>
      <c r="G9436" s="12" t="s">
        <v>21</v>
      </c>
      <c r="H9436" s="11" t="s">
        <v>63</v>
      </c>
      <c r="I9436" s="13" t="s">
        <v>18677</v>
      </c>
      <c r="J9436" s="14" t="str">
        <f>HYPERLINK("https://www.boe.es/gazeta/dias/1839/04/30/pdfs/GMD-1839-1627.pdf#page=4","Abrir facsímil")</f>
        <v>Abrir facsímil</v>
      </c>
      <c r="K9436" s="12" t="s">
        <v>65</v>
      </c>
    </row>
    <row r="9437" spans="1:11" ht="40.049999999999997" customHeight="1" x14ac:dyDescent="0.25">
      <c r="A9437" s="11" t="s">
        <v>18539</v>
      </c>
      <c r="B9437" s="11" t="s">
        <v>18539</v>
      </c>
      <c r="C9437" s="11" t="s">
        <v>59</v>
      </c>
      <c r="D9437" s="11" t="s">
        <v>60</v>
      </c>
      <c r="E9437" s="12" t="s">
        <v>1551</v>
      </c>
      <c r="F9437" s="12" t="s">
        <v>1552</v>
      </c>
      <c r="G9437" s="12" t="s">
        <v>29</v>
      </c>
      <c r="H9437" s="11" t="s">
        <v>63</v>
      </c>
      <c r="I9437" s="13" t="s">
        <v>18678</v>
      </c>
      <c r="J9437" s="14" t="str">
        <f>HYPERLINK("https://www.boe.es/gazeta/dias/1839/06/30/pdfs/GMD-1839-1688.pdf#page=1","Abrir facsímil")</f>
        <v>Abrir facsímil</v>
      </c>
      <c r="K9437" s="12" t="s">
        <v>65</v>
      </c>
    </row>
    <row r="9438" spans="1:11" ht="40.049999999999997" customHeight="1" x14ac:dyDescent="0.25">
      <c r="A9438" s="11" t="s">
        <v>18539</v>
      </c>
      <c r="B9438" s="11" t="s">
        <v>18539</v>
      </c>
      <c r="C9438" s="11" t="s">
        <v>17</v>
      </c>
      <c r="D9438" s="11" t="s">
        <v>18</v>
      </c>
      <c r="E9438" s="12" t="s">
        <v>716</v>
      </c>
      <c r="F9438" s="12" t="s">
        <v>717</v>
      </c>
      <c r="G9438" s="12" t="s">
        <v>29</v>
      </c>
      <c r="H9438" s="11" t="s">
        <v>63</v>
      </c>
      <c r="I9438" s="13" t="s">
        <v>18679</v>
      </c>
      <c r="J9438" s="14" t="str">
        <f>HYPERLINK("https://www.boe.es/gazeta/dias/1839/07/30/pdfs/GMD-1839-1719.pdf#page=1","Abrir facsímil")</f>
        <v>Abrir facsímil</v>
      </c>
      <c r="K9438" s="12" t="s">
        <v>65</v>
      </c>
    </row>
    <row r="9439" spans="1:11" ht="40.049999999999997" customHeight="1" x14ac:dyDescent="0.25">
      <c r="A9439" s="11" t="s">
        <v>18539</v>
      </c>
      <c r="B9439" s="11" t="s">
        <v>18539</v>
      </c>
      <c r="C9439" s="11" t="s">
        <v>17</v>
      </c>
      <c r="D9439" s="11" t="s">
        <v>18</v>
      </c>
      <c r="E9439" s="12" t="s">
        <v>716</v>
      </c>
      <c r="F9439" s="12" t="s">
        <v>717</v>
      </c>
      <c r="G9439" s="12" t="s">
        <v>46</v>
      </c>
      <c r="H9439" s="11" t="s">
        <v>63</v>
      </c>
      <c r="I9439" s="13" t="s">
        <v>18680</v>
      </c>
      <c r="J9439" s="14" t="str">
        <f>HYPERLINK("https://www.boe.es/gazeta/dias/1839/07/30/pdfs/GMD-1839-1719.pdf#page=3","Abrir facsímil")</f>
        <v>Abrir facsímil</v>
      </c>
      <c r="K9439" s="12" t="s">
        <v>65</v>
      </c>
    </row>
    <row r="9440" spans="1:11" ht="40.049999999999997" customHeight="1" x14ac:dyDescent="0.25">
      <c r="A9440" s="11" t="s">
        <v>18539</v>
      </c>
      <c r="B9440" s="11" t="s">
        <v>18539</v>
      </c>
      <c r="C9440" s="11" t="s">
        <v>80</v>
      </c>
      <c r="D9440" s="11" t="s">
        <v>18</v>
      </c>
      <c r="E9440" s="12" t="s">
        <v>716</v>
      </c>
      <c r="F9440" s="12" t="s">
        <v>717</v>
      </c>
      <c r="G9440" s="12" t="s">
        <v>21</v>
      </c>
      <c r="H9440" s="11" t="s">
        <v>63</v>
      </c>
      <c r="I9440" s="13" t="s">
        <v>18681</v>
      </c>
      <c r="J9440" s="14" t="str">
        <f>HYPERLINK("https://www.boe.es/gazeta/dias/1839/07/30/pdfs/GMD-1839-1719.pdf#page=4","Abrir facsímil")</f>
        <v>Abrir facsímil</v>
      </c>
      <c r="K9440" s="12" t="s">
        <v>65</v>
      </c>
    </row>
    <row r="9441" spans="1:11" ht="40.049999999999997" customHeight="1" x14ac:dyDescent="0.25">
      <c r="A9441" s="11" t="s">
        <v>18539</v>
      </c>
      <c r="B9441" s="11" t="s">
        <v>18539</v>
      </c>
      <c r="C9441" s="11" t="s">
        <v>17</v>
      </c>
      <c r="D9441" s="11" t="s">
        <v>18</v>
      </c>
      <c r="E9441" s="12" t="s">
        <v>312</v>
      </c>
      <c r="F9441" s="12" t="s">
        <v>313</v>
      </c>
      <c r="G9441" s="12" t="s">
        <v>40</v>
      </c>
      <c r="H9441" s="11" t="s">
        <v>63</v>
      </c>
      <c r="I9441" s="13" t="s">
        <v>18682</v>
      </c>
      <c r="J9441" s="14" t="str">
        <f>HYPERLINK("https://www.boe.es/gazeta/dias/1839/11/30/pdfs/GMD-1839-1847.pdf#page=2","Abrir facsímil")</f>
        <v>Abrir facsímil</v>
      </c>
      <c r="K9441" s="12" t="s">
        <v>65</v>
      </c>
    </row>
    <row r="9442" spans="1:11" ht="40.049999999999997" customHeight="1" x14ac:dyDescent="0.25">
      <c r="A9442" s="11" t="s">
        <v>18539</v>
      </c>
      <c r="B9442" s="11" t="s">
        <v>18539</v>
      </c>
      <c r="C9442" s="11" t="s">
        <v>80</v>
      </c>
      <c r="D9442" s="11" t="s">
        <v>18</v>
      </c>
      <c r="E9442" s="12" t="s">
        <v>3391</v>
      </c>
      <c r="F9442" s="12" t="s">
        <v>3392</v>
      </c>
      <c r="G9442" s="12" t="s">
        <v>21</v>
      </c>
      <c r="H9442" s="11" t="s">
        <v>63</v>
      </c>
      <c r="I9442" s="13" t="s">
        <v>18683</v>
      </c>
      <c r="J9442" s="14" t="str">
        <f>HYPERLINK("https://www.boe.es/gazeta/dias/1839/12/31/pdfs/GMD-1839-1878.pdf#page=4","Abrir facsímil")</f>
        <v>Abrir facsímil</v>
      </c>
      <c r="K9442" s="12" t="s">
        <v>65</v>
      </c>
    </row>
    <row r="9443" spans="1:11" ht="40.049999999999997" customHeight="1" x14ac:dyDescent="0.25">
      <c r="A9443" s="11" t="s">
        <v>18684</v>
      </c>
      <c r="B9443" s="11" t="s">
        <v>18684</v>
      </c>
      <c r="C9443" s="11" t="s">
        <v>137</v>
      </c>
      <c r="D9443" s="11" t="s">
        <v>18</v>
      </c>
      <c r="E9443" s="12" t="s">
        <v>4186</v>
      </c>
      <c r="F9443" s="12" t="s">
        <v>4187</v>
      </c>
      <c r="G9443" s="12" t="s">
        <v>21</v>
      </c>
      <c r="H9443" s="11" t="s">
        <v>63</v>
      </c>
      <c r="I9443" s="13" t="s">
        <v>18685</v>
      </c>
      <c r="J9443" s="14" t="str">
        <f>HYPERLINK("https://www.boe.es/gazeta/dias/1839/12/12/pdfs/GMD-1839-1859.pdf#page=4","Abrir facsímil")</f>
        <v>Abrir facsímil</v>
      </c>
      <c r="K9443" s="12" t="s">
        <v>65</v>
      </c>
    </row>
    <row r="9444" spans="1:11" ht="40.049999999999997" customHeight="1" x14ac:dyDescent="0.25">
      <c r="A9444" s="11" t="s">
        <v>18686</v>
      </c>
      <c r="B9444" s="11" t="s">
        <v>18687</v>
      </c>
      <c r="C9444" s="11" t="s">
        <v>17</v>
      </c>
      <c r="D9444" s="11" t="s">
        <v>18</v>
      </c>
      <c r="E9444" s="12" t="s">
        <v>474</v>
      </c>
      <c r="F9444" s="12" t="s">
        <v>475</v>
      </c>
      <c r="G9444" s="12" t="s">
        <v>21</v>
      </c>
      <c r="H9444" s="11" t="s">
        <v>63</v>
      </c>
      <c r="I9444" s="13" t="s">
        <v>18688</v>
      </c>
      <c r="J9444" s="14" t="str">
        <f>HYPERLINK("https://www.boe.es/gazeta/dias/1839/03/31/pdfs/GMD-1839-1597.pdf#page=4","Abrir facsímil")</f>
        <v>Abrir facsímil</v>
      </c>
      <c r="K9444" s="12" t="s">
        <v>65</v>
      </c>
    </row>
    <row r="9445" spans="1:11" ht="40.049999999999997" customHeight="1" x14ac:dyDescent="0.25">
      <c r="A9445" s="11" t="s">
        <v>18689</v>
      </c>
      <c r="B9445" s="11" t="s">
        <v>18690</v>
      </c>
      <c r="C9445" s="11" t="s">
        <v>101</v>
      </c>
      <c r="D9445" s="11" t="s">
        <v>102</v>
      </c>
      <c r="E9445" s="12" t="s">
        <v>291</v>
      </c>
      <c r="F9445" s="12" t="s">
        <v>292</v>
      </c>
      <c r="G9445" s="12" t="s">
        <v>46</v>
      </c>
      <c r="H9445" s="11" t="s">
        <v>22</v>
      </c>
      <c r="I9445" s="13" t="s">
        <v>18691</v>
      </c>
      <c r="J9445" s="14" t="str">
        <f>HYPERLINK("https://www.boe.es/gazeta/dias/1839/09/04/pdfs/GMD-1839-1757.pdf#page=3","Abrir facsímil")</f>
        <v>Abrir facsímil</v>
      </c>
      <c r="K9445" s="12" t="s">
        <v>24</v>
      </c>
    </row>
    <row r="9446" spans="1:11" ht="40.049999999999997" customHeight="1" x14ac:dyDescent="0.25">
      <c r="A9446" s="11" t="s">
        <v>18692</v>
      </c>
      <c r="B9446" s="11" t="s">
        <v>18693</v>
      </c>
      <c r="C9446" s="11" t="s">
        <v>17</v>
      </c>
      <c r="D9446" s="11" t="s">
        <v>18</v>
      </c>
      <c r="E9446" s="12" t="s">
        <v>1772</v>
      </c>
      <c r="F9446" s="12" t="s">
        <v>1773</v>
      </c>
      <c r="G9446" s="12" t="s">
        <v>29</v>
      </c>
      <c r="H9446" s="11" t="s">
        <v>63</v>
      </c>
      <c r="I9446" s="13" t="s">
        <v>18694</v>
      </c>
      <c r="J9446" s="14" t="str">
        <f>HYPERLINK("https://www.boe.es/gazeta/dias/1839/05/07/pdfs/GMD-1839-1634.pdf#page=1","Abrir facsímil")</f>
        <v>Abrir facsímil</v>
      </c>
      <c r="K9446" s="12" t="s">
        <v>65</v>
      </c>
    </row>
    <row r="9447" spans="1:11" ht="40.049999999999997" customHeight="1" x14ac:dyDescent="0.25">
      <c r="A9447" s="11" t="s">
        <v>18695</v>
      </c>
      <c r="B9447" s="11" t="s">
        <v>18696</v>
      </c>
      <c r="C9447" s="11" t="s">
        <v>137</v>
      </c>
      <c r="D9447" s="11" t="s">
        <v>18</v>
      </c>
      <c r="E9447" s="12" t="s">
        <v>1460</v>
      </c>
      <c r="F9447" s="12" t="s">
        <v>1461</v>
      </c>
      <c r="G9447" s="12" t="s">
        <v>46</v>
      </c>
      <c r="H9447" s="11" t="s">
        <v>22</v>
      </c>
      <c r="I9447" s="13" t="s">
        <v>18697</v>
      </c>
      <c r="J9447" s="14" t="str">
        <f>HYPERLINK("https://www.boe.es/gazeta/dias/1839/03/01/pdfs/GMD-1839-1567.pdf#page=3","Abrir facsímil")</f>
        <v>Abrir facsímil</v>
      </c>
      <c r="K9447" s="12" t="s">
        <v>24</v>
      </c>
    </row>
    <row r="9448" spans="1:11" ht="40.049999999999997" customHeight="1" x14ac:dyDescent="0.25">
      <c r="A9448" s="11" t="s">
        <v>18695</v>
      </c>
      <c r="B9448" s="11" t="s">
        <v>18696</v>
      </c>
      <c r="C9448" s="11" t="s">
        <v>17</v>
      </c>
      <c r="D9448" s="11" t="s">
        <v>18</v>
      </c>
      <c r="E9448" s="12" t="s">
        <v>258</v>
      </c>
      <c r="F9448" s="12" t="s">
        <v>259</v>
      </c>
      <c r="G9448" s="12" t="s">
        <v>46</v>
      </c>
      <c r="H9448" s="11" t="s">
        <v>22</v>
      </c>
      <c r="I9448" s="13" t="s">
        <v>18698</v>
      </c>
      <c r="J9448" s="14" t="str">
        <f>HYPERLINK("https://www.boe.es/gazeta/dias/1839/01/02/pdfs/GMD-1839-1509.pdf#page=3","Abrir facsímil")</f>
        <v>Abrir facsímil</v>
      </c>
      <c r="K9448" s="12" t="s">
        <v>24</v>
      </c>
    </row>
    <row r="9449" spans="1:11" ht="40.049999999999997" customHeight="1" x14ac:dyDescent="0.25">
      <c r="A9449" s="11" t="s">
        <v>18695</v>
      </c>
      <c r="B9449" s="11" t="s">
        <v>18696</v>
      </c>
      <c r="C9449" s="11" t="s">
        <v>17</v>
      </c>
      <c r="D9449" s="11" t="s">
        <v>18</v>
      </c>
      <c r="E9449" s="12" t="s">
        <v>2210</v>
      </c>
      <c r="F9449" s="12" t="s">
        <v>2211</v>
      </c>
      <c r="G9449" s="12" t="s">
        <v>46</v>
      </c>
      <c r="H9449" s="11" t="s">
        <v>22</v>
      </c>
      <c r="I9449" s="13" t="s">
        <v>18699</v>
      </c>
      <c r="J9449" s="14" t="str">
        <f>HYPERLINK("https://www.boe.es/gazeta/dias/1839/09/05/pdfs/GMD-1839-1758.pdf#page=3","Abrir facsímil")</f>
        <v>Abrir facsímil</v>
      </c>
      <c r="K9449" s="12" t="s">
        <v>24</v>
      </c>
    </row>
    <row r="9450" spans="1:11" ht="40.049999999999997" customHeight="1" x14ac:dyDescent="0.25">
      <c r="A9450" s="11" t="s">
        <v>18695</v>
      </c>
      <c r="B9450" s="11" t="s">
        <v>18696</v>
      </c>
      <c r="C9450" s="11" t="s">
        <v>137</v>
      </c>
      <c r="D9450" s="11" t="s">
        <v>18</v>
      </c>
      <c r="E9450" s="12" t="s">
        <v>2738</v>
      </c>
      <c r="F9450" s="12" t="s">
        <v>2739</v>
      </c>
      <c r="G9450" s="12" t="s">
        <v>40</v>
      </c>
      <c r="H9450" s="11" t="s">
        <v>22</v>
      </c>
      <c r="I9450" s="13" t="s">
        <v>18700</v>
      </c>
      <c r="J9450" s="14" t="str">
        <f>HYPERLINK("https://www.boe.es/gazeta/dias/1839/09/06/pdfs/GMD-1839-1759.pdf#page=2","Abrir facsímil")</f>
        <v>Abrir facsímil</v>
      </c>
      <c r="K9450" s="12" t="s">
        <v>24</v>
      </c>
    </row>
    <row r="9451" spans="1:11" ht="40.049999999999997" customHeight="1" x14ac:dyDescent="0.25">
      <c r="A9451" s="11" t="s">
        <v>18695</v>
      </c>
      <c r="B9451" s="11" t="s">
        <v>18696</v>
      </c>
      <c r="C9451" s="11" t="s">
        <v>137</v>
      </c>
      <c r="D9451" s="11" t="s">
        <v>18</v>
      </c>
      <c r="E9451" s="12" t="s">
        <v>2050</v>
      </c>
      <c r="F9451" s="12" t="s">
        <v>2051</v>
      </c>
      <c r="G9451" s="12" t="s">
        <v>46</v>
      </c>
      <c r="H9451" s="11" t="s">
        <v>22</v>
      </c>
      <c r="I9451" s="13" t="s">
        <v>18701</v>
      </c>
      <c r="J9451" s="14" t="str">
        <f>HYPERLINK("https://www.boe.es/gazeta/dias/1839/01/09/pdfs/GMD-1839-1516.pdf#page=3","Abrir facsímil")</f>
        <v>Abrir facsímil</v>
      </c>
      <c r="K9451" s="12" t="s">
        <v>24</v>
      </c>
    </row>
    <row r="9452" spans="1:11" ht="40.049999999999997" customHeight="1" x14ac:dyDescent="0.25">
      <c r="A9452" s="11" t="s">
        <v>18695</v>
      </c>
      <c r="B9452" s="11" t="s">
        <v>18696</v>
      </c>
      <c r="C9452" s="11" t="s">
        <v>137</v>
      </c>
      <c r="D9452" s="11" t="s">
        <v>18</v>
      </c>
      <c r="E9452" s="12" t="s">
        <v>1628</v>
      </c>
      <c r="F9452" s="12" t="s">
        <v>1629</v>
      </c>
      <c r="G9452" s="12" t="s">
        <v>40</v>
      </c>
      <c r="H9452" s="11" t="s">
        <v>22</v>
      </c>
      <c r="I9452" s="13" t="s">
        <v>18702</v>
      </c>
      <c r="J9452" s="14" t="str">
        <f>HYPERLINK("https://www.boe.es/gazeta/dias/1839/03/10/pdfs/GMD-1839-1576.pdf#page=2","Abrir facsímil")</f>
        <v>Abrir facsímil</v>
      </c>
      <c r="K9452" s="12" t="s">
        <v>24</v>
      </c>
    </row>
    <row r="9453" spans="1:11" ht="40.049999999999997" customHeight="1" x14ac:dyDescent="0.25">
      <c r="A9453" s="11" t="s">
        <v>18695</v>
      </c>
      <c r="B9453" s="11" t="s">
        <v>18696</v>
      </c>
      <c r="C9453" s="11" t="s">
        <v>17</v>
      </c>
      <c r="D9453" s="11" t="s">
        <v>18</v>
      </c>
      <c r="E9453" s="12" t="s">
        <v>2205</v>
      </c>
      <c r="F9453" s="12" t="s">
        <v>2206</v>
      </c>
      <c r="G9453" s="12" t="s">
        <v>21</v>
      </c>
      <c r="H9453" s="11" t="s">
        <v>22</v>
      </c>
      <c r="I9453" s="13" t="s">
        <v>18703</v>
      </c>
      <c r="J9453" s="14" t="str">
        <f>HYPERLINK("https://www.boe.es/gazeta/dias/1839/07/11/pdfs/GMD-1839-1699.pdf#page=4","Abrir facsímil")</f>
        <v>Abrir facsímil</v>
      </c>
      <c r="K9453" s="12" t="s">
        <v>24</v>
      </c>
    </row>
    <row r="9454" spans="1:11" ht="40.049999999999997" customHeight="1" x14ac:dyDescent="0.25">
      <c r="A9454" s="11" t="s">
        <v>18695</v>
      </c>
      <c r="B9454" s="11" t="s">
        <v>18696</v>
      </c>
      <c r="C9454" s="11" t="s">
        <v>17</v>
      </c>
      <c r="D9454" s="11" t="s">
        <v>18</v>
      </c>
      <c r="E9454" s="12" t="s">
        <v>544</v>
      </c>
      <c r="F9454" s="12" t="s">
        <v>545</v>
      </c>
      <c r="G9454" s="12" t="s">
        <v>46</v>
      </c>
      <c r="H9454" s="11" t="s">
        <v>22</v>
      </c>
      <c r="I9454" s="13" t="s">
        <v>18704</v>
      </c>
      <c r="J9454" s="14" t="str">
        <f>HYPERLINK("https://www.boe.es/gazeta/dias/1839/11/11/pdfs/GMD-1839-1828.pdf#page=3","Abrir facsímil")</f>
        <v>Abrir facsímil</v>
      </c>
      <c r="K9454" s="12" t="s">
        <v>24</v>
      </c>
    </row>
    <row r="9455" spans="1:11" ht="40.049999999999997" customHeight="1" x14ac:dyDescent="0.25">
      <c r="A9455" s="11" t="s">
        <v>18695</v>
      </c>
      <c r="B9455" s="11" t="s">
        <v>18696</v>
      </c>
      <c r="C9455" s="11" t="s">
        <v>17</v>
      </c>
      <c r="D9455" s="11" t="s">
        <v>43</v>
      </c>
      <c r="E9455" s="12" t="s">
        <v>1528</v>
      </c>
      <c r="F9455" s="12" t="s">
        <v>1529</v>
      </c>
      <c r="G9455" s="12" t="s">
        <v>46</v>
      </c>
      <c r="H9455" s="11" t="s">
        <v>22</v>
      </c>
      <c r="I9455" s="13" t="s">
        <v>18705</v>
      </c>
      <c r="J9455" s="14" t="str">
        <f>HYPERLINK("https://www.boe.es/gazeta/dias/1839/12/15/pdfs/GMD-1839-1862.pdf#page=3","Abrir facsímil")</f>
        <v>Abrir facsímil</v>
      </c>
      <c r="K9455" s="12" t="s">
        <v>24</v>
      </c>
    </row>
    <row r="9456" spans="1:11" ht="40.049999999999997" customHeight="1" x14ac:dyDescent="0.25">
      <c r="A9456" s="11" t="s">
        <v>18695</v>
      </c>
      <c r="B9456" s="11" t="s">
        <v>18696</v>
      </c>
      <c r="C9456" s="11" t="s">
        <v>137</v>
      </c>
      <c r="D9456" s="11" t="s">
        <v>18</v>
      </c>
      <c r="E9456" s="12" t="s">
        <v>564</v>
      </c>
      <c r="F9456" s="12" t="s">
        <v>565</v>
      </c>
      <c r="G9456" s="12" t="s">
        <v>46</v>
      </c>
      <c r="H9456" s="11" t="s">
        <v>22</v>
      </c>
      <c r="I9456" s="13" t="s">
        <v>18706</v>
      </c>
      <c r="J9456" s="14" t="str">
        <f>HYPERLINK("https://www.boe.es/gazeta/dias/1839/10/17/pdfs/GMD-1839-1803.pdf#page=3","Abrir facsímil")</f>
        <v>Abrir facsímil</v>
      </c>
      <c r="K9456" s="12" t="s">
        <v>24</v>
      </c>
    </row>
    <row r="9457" spans="1:11" ht="40.049999999999997" customHeight="1" x14ac:dyDescent="0.25">
      <c r="A9457" s="11" t="s">
        <v>18695</v>
      </c>
      <c r="B9457" s="11" t="s">
        <v>18696</v>
      </c>
      <c r="C9457" s="11" t="s">
        <v>80</v>
      </c>
      <c r="D9457" s="11" t="s">
        <v>173</v>
      </c>
      <c r="E9457" s="12" t="s">
        <v>462</v>
      </c>
      <c r="F9457" s="12" t="s">
        <v>463</v>
      </c>
      <c r="G9457" s="12" t="s">
        <v>21</v>
      </c>
      <c r="H9457" s="11" t="s">
        <v>22</v>
      </c>
      <c r="I9457" s="13" t="s">
        <v>18707</v>
      </c>
      <c r="J9457" s="14" t="str">
        <f>HYPERLINK("https://www.boe.es/gazeta/dias/1839/06/19/pdfs/GMD-1839-1677.pdf#page=4","Abrir facsímil")</f>
        <v>Abrir facsímil</v>
      </c>
      <c r="K9457" s="12" t="s">
        <v>24</v>
      </c>
    </row>
    <row r="9458" spans="1:11" ht="40.049999999999997" customHeight="1" x14ac:dyDescent="0.25">
      <c r="A9458" s="11" t="s">
        <v>18695</v>
      </c>
      <c r="B9458" s="11" t="s">
        <v>18696</v>
      </c>
      <c r="C9458" s="11" t="s">
        <v>17</v>
      </c>
      <c r="D9458" s="11" t="s">
        <v>18</v>
      </c>
      <c r="E9458" s="12" t="s">
        <v>1395</v>
      </c>
      <c r="F9458" s="12" t="s">
        <v>1396</v>
      </c>
      <c r="G9458" s="12" t="s">
        <v>21</v>
      </c>
      <c r="H9458" s="11" t="s">
        <v>22</v>
      </c>
      <c r="I9458" s="13" t="s">
        <v>18708</v>
      </c>
      <c r="J9458" s="14" t="str">
        <f>HYPERLINK("https://www.boe.es/gazeta/dias/1839/06/26/pdfs/GMD-1839-1684.pdf#page=4","Abrir facsímil")</f>
        <v>Abrir facsímil</v>
      </c>
      <c r="K9458" s="12" t="s">
        <v>24</v>
      </c>
    </row>
    <row r="9459" spans="1:11" ht="40.049999999999997" customHeight="1" x14ac:dyDescent="0.25">
      <c r="A9459" s="11" t="s">
        <v>18695</v>
      </c>
      <c r="B9459" s="11" t="s">
        <v>18696</v>
      </c>
      <c r="C9459" s="11" t="s">
        <v>17</v>
      </c>
      <c r="D9459" s="11" t="s">
        <v>18</v>
      </c>
      <c r="E9459" s="12" t="s">
        <v>1551</v>
      </c>
      <c r="F9459" s="12" t="s">
        <v>1552</v>
      </c>
      <c r="G9459" s="12" t="s">
        <v>29</v>
      </c>
      <c r="H9459" s="11" t="s">
        <v>22</v>
      </c>
      <c r="I9459" s="13" t="s">
        <v>18709</v>
      </c>
      <c r="J9459" s="14" t="str">
        <f>HYPERLINK("https://www.boe.es/gazeta/dias/1839/06/30/pdfs/GMD-1839-1688.pdf#page=1","Abrir facsímil")</f>
        <v>Abrir facsímil</v>
      </c>
      <c r="K9459" s="12" t="s">
        <v>24</v>
      </c>
    </row>
    <row r="9460" spans="1:11" ht="40.049999999999997" customHeight="1" x14ac:dyDescent="0.25">
      <c r="A9460" s="11" t="s">
        <v>18710</v>
      </c>
      <c r="B9460" s="11" t="s">
        <v>18711</v>
      </c>
      <c r="C9460" s="11" t="s">
        <v>17</v>
      </c>
      <c r="D9460" s="11" t="s">
        <v>18</v>
      </c>
      <c r="E9460" s="12" t="s">
        <v>258</v>
      </c>
      <c r="F9460" s="12" t="s">
        <v>259</v>
      </c>
      <c r="G9460" s="12" t="s">
        <v>46</v>
      </c>
      <c r="H9460" s="11" t="s">
        <v>22</v>
      </c>
      <c r="I9460" s="13" t="s">
        <v>18712</v>
      </c>
      <c r="J9460" s="14" t="str">
        <f>HYPERLINK("https://www.boe.es/gazeta/dias/1839/01/02/pdfs/GMD-1839-1509.pdf#page=3","Abrir facsímil")</f>
        <v>Abrir facsímil</v>
      </c>
      <c r="K9460" s="12" t="s">
        <v>24</v>
      </c>
    </row>
    <row r="9461" spans="1:11" ht="40.049999999999997" customHeight="1" x14ac:dyDescent="0.25">
      <c r="A9461" s="11" t="s">
        <v>18713</v>
      </c>
      <c r="B9461" s="11" t="s">
        <v>18714</v>
      </c>
      <c r="C9461" s="11" t="s">
        <v>17</v>
      </c>
      <c r="D9461" s="11" t="s">
        <v>18</v>
      </c>
      <c r="E9461" s="12" t="s">
        <v>258</v>
      </c>
      <c r="F9461" s="12" t="s">
        <v>259</v>
      </c>
      <c r="G9461" s="12" t="s">
        <v>46</v>
      </c>
      <c r="H9461" s="11" t="s">
        <v>22</v>
      </c>
      <c r="I9461" s="13" t="s">
        <v>18715</v>
      </c>
      <c r="J9461" s="14" t="str">
        <f>HYPERLINK("https://www.boe.es/gazeta/dias/1839/01/02/pdfs/GMD-1839-1509.pdf#page=3","Abrir facsímil")</f>
        <v>Abrir facsímil</v>
      </c>
      <c r="K9461" s="12" t="s">
        <v>24</v>
      </c>
    </row>
    <row r="9462" spans="1:11" ht="40.049999999999997" customHeight="1" x14ac:dyDescent="0.25">
      <c r="A9462" s="11" t="s">
        <v>18716</v>
      </c>
      <c r="B9462" s="11" t="s">
        <v>18717</v>
      </c>
      <c r="C9462" s="11" t="s">
        <v>17</v>
      </c>
      <c r="D9462" s="11" t="s">
        <v>18</v>
      </c>
      <c r="E9462" s="12" t="s">
        <v>258</v>
      </c>
      <c r="F9462" s="12" t="s">
        <v>259</v>
      </c>
      <c r="G9462" s="12" t="s">
        <v>46</v>
      </c>
      <c r="H9462" s="11" t="s">
        <v>22</v>
      </c>
      <c r="I9462" s="13" t="s">
        <v>18718</v>
      </c>
      <c r="J9462" s="14" t="str">
        <f>HYPERLINK("https://www.boe.es/gazeta/dias/1839/01/02/pdfs/GMD-1839-1509.pdf#page=3","Abrir facsímil")</f>
        <v>Abrir facsímil</v>
      </c>
      <c r="K9462" s="12" t="s">
        <v>24</v>
      </c>
    </row>
    <row r="9463" spans="1:11" ht="40.049999999999997" customHeight="1" x14ac:dyDescent="0.25">
      <c r="A9463" s="11" t="s">
        <v>18719</v>
      </c>
      <c r="B9463" s="11" t="s">
        <v>18720</v>
      </c>
      <c r="C9463" s="11" t="s">
        <v>17</v>
      </c>
      <c r="D9463" s="11" t="s">
        <v>18</v>
      </c>
      <c r="E9463" s="12" t="s">
        <v>181</v>
      </c>
      <c r="F9463" s="12" t="s">
        <v>182</v>
      </c>
      <c r="G9463" s="12" t="s">
        <v>29</v>
      </c>
      <c r="H9463" s="11" t="s">
        <v>22</v>
      </c>
      <c r="I9463" s="13" t="s">
        <v>18721</v>
      </c>
      <c r="J9463" s="14" t="str">
        <f>HYPERLINK("https://www.boe.es/gazeta/dias/1839/01/11/pdfs/GMD-1839-1518.pdf#page=1","Abrir facsímil")</f>
        <v>Abrir facsímil</v>
      </c>
      <c r="K9463" s="12" t="s">
        <v>24</v>
      </c>
    </row>
    <row r="9464" spans="1:11" ht="40.049999999999997" customHeight="1" x14ac:dyDescent="0.25">
      <c r="A9464" s="11" t="s">
        <v>18719</v>
      </c>
      <c r="B9464" s="11" t="s">
        <v>18720</v>
      </c>
      <c r="C9464" s="11" t="s">
        <v>137</v>
      </c>
      <c r="D9464" s="11" t="s">
        <v>18</v>
      </c>
      <c r="E9464" s="12" t="s">
        <v>405</v>
      </c>
      <c r="F9464" s="12" t="s">
        <v>406</v>
      </c>
      <c r="G9464" s="12" t="s">
        <v>29</v>
      </c>
      <c r="H9464" s="11" t="s">
        <v>22</v>
      </c>
      <c r="I9464" s="13" t="s">
        <v>18722</v>
      </c>
      <c r="J9464" s="14" t="str">
        <f>HYPERLINK("https://www.boe.es/gazeta/dias/1839/03/25/pdfs/GMD-1839-1591.pdf#page=1","Abrir facsímil")</f>
        <v>Abrir facsímil</v>
      </c>
      <c r="K9464" s="12" t="s">
        <v>24</v>
      </c>
    </row>
    <row r="9465" spans="1:11" ht="40.049999999999997" customHeight="1" x14ac:dyDescent="0.25">
      <c r="A9465" s="11" t="s">
        <v>18719</v>
      </c>
      <c r="B9465" s="11" t="s">
        <v>18720</v>
      </c>
      <c r="C9465" s="11" t="s">
        <v>17</v>
      </c>
      <c r="D9465" s="11" t="s">
        <v>18</v>
      </c>
      <c r="E9465" s="12" t="s">
        <v>89</v>
      </c>
      <c r="F9465" s="12" t="s">
        <v>90</v>
      </c>
      <c r="G9465" s="12" t="s">
        <v>21</v>
      </c>
      <c r="H9465" s="11" t="s">
        <v>22</v>
      </c>
      <c r="I9465" s="13" t="s">
        <v>18723</v>
      </c>
      <c r="J9465" s="14" t="str">
        <f>HYPERLINK("https://www.boe.es/gazeta/dias/1839/11/28/pdfs/GMD-1839-1845.pdf#page=4","Abrir facsímil")</f>
        <v>Abrir facsímil</v>
      </c>
      <c r="K9465" s="12" t="s">
        <v>24</v>
      </c>
    </row>
    <row r="9466" spans="1:11" ht="40.049999999999997" customHeight="1" x14ac:dyDescent="0.25">
      <c r="A9466" s="11" t="s">
        <v>18724</v>
      </c>
      <c r="B9466" s="11" t="s">
        <v>18725</v>
      </c>
      <c r="C9466" s="11" t="s">
        <v>17</v>
      </c>
      <c r="D9466" s="11" t="s">
        <v>18</v>
      </c>
      <c r="E9466" s="12" t="s">
        <v>258</v>
      </c>
      <c r="F9466" s="12" t="s">
        <v>259</v>
      </c>
      <c r="G9466" s="12" t="s">
        <v>46</v>
      </c>
      <c r="H9466" s="11" t="s">
        <v>22</v>
      </c>
      <c r="I9466" s="13" t="s">
        <v>18726</v>
      </c>
      <c r="J9466" s="14" t="str">
        <f>HYPERLINK("https://www.boe.es/gazeta/dias/1839/01/02/pdfs/GMD-1839-1509.pdf#page=3","Abrir facsímil")</f>
        <v>Abrir facsímil</v>
      </c>
      <c r="K9466" s="12" t="s">
        <v>24</v>
      </c>
    </row>
    <row r="9467" spans="1:11" ht="40.049999999999997" customHeight="1" x14ac:dyDescent="0.25">
      <c r="A9467" s="11" t="s">
        <v>18727</v>
      </c>
      <c r="B9467" s="11" t="s">
        <v>18728</v>
      </c>
      <c r="C9467" s="11" t="s">
        <v>17</v>
      </c>
      <c r="D9467" s="11" t="s">
        <v>18</v>
      </c>
      <c r="E9467" s="12" t="s">
        <v>258</v>
      </c>
      <c r="F9467" s="12" t="s">
        <v>259</v>
      </c>
      <c r="G9467" s="12" t="s">
        <v>46</v>
      </c>
      <c r="H9467" s="11" t="s">
        <v>22</v>
      </c>
      <c r="I9467" s="13" t="s">
        <v>18729</v>
      </c>
      <c r="J9467" s="14" t="str">
        <f>HYPERLINK("https://www.boe.es/gazeta/dias/1839/01/02/pdfs/GMD-1839-1509.pdf#page=3","Abrir facsímil")</f>
        <v>Abrir facsímil</v>
      </c>
      <c r="K9467" s="12" t="s">
        <v>24</v>
      </c>
    </row>
    <row r="9468" spans="1:11" ht="40.049999999999997" customHeight="1" x14ac:dyDescent="0.25">
      <c r="A9468" s="11" t="s">
        <v>18730</v>
      </c>
      <c r="B9468" s="11" t="s">
        <v>18731</v>
      </c>
      <c r="C9468" s="11" t="s">
        <v>17</v>
      </c>
      <c r="D9468" s="11" t="s">
        <v>18</v>
      </c>
      <c r="E9468" s="12" t="s">
        <v>258</v>
      </c>
      <c r="F9468" s="12" t="s">
        <v>259</v>
      </c>
      <c r="G9468" s="12" t="s">
        <v>46</v>
      </c>
      <c r="H9468" s="11" t="s">
        <v>22</v>
      </c>
      <c r="I9468" s="13" t="s">
        <v>18732</v>
      </c>
      <c r="J9468" s="14" t="str">
        <f>HYPERLINK("https://www.boe.es/gazeta/dias/1839/01/02/pdfs/GMD-1839-1509.pdf#page=3","Abrir facsímil")</f>
        <v>Abrir facsímil</v>
      </c>
      <c r="K9468" s="12" t="s">
        <v>24</v>
      </c>
    </row>
    <row r="9469" spans="1:11" ht="40.049999999999997" customHeight="1" x14ac:dyDescent="0.25">
      <c r="A9469" s="11" t="s">
        <v>18733</v>
      </c>
      <c r="B9469" s="11" t="s">
        <v>18734</v>
      </c>
      <c r="C9469" s="11" t="s">
        <v>17</v>
      </c>
      <c r="D9469" s="11" t="s">
        <v>18</v>
      </c>
      <c r="E9469" s="12" t="s">
        <v>474</v>
      </c>
      <c r="F9469" s="12" t="s">
        <v>475</v>
      </c>
      <c r="G9469" s="12" t="s">
        <v>21</v>
      </c>
      <c r="H9469" s="11" t="s">
        <v>63</v>
      </c>
      <c r="I9469" s="13" t="s">
        <v>18735</v>
      </c>
      <c r="J9469" s="14" t="str">
        <f>HYPERLINK("https://www.boe.es/gazeta/dias/1839/03/31/pdfs/GMD-1839-1597.pdf#page=4","Abrir facsímil")</f>
        <v>Abrir facsímil</v>
      </c>
      <c r="K9469" s="12" t="s">
        <v>65</v>
      </c>
    </row>
    <row r="9470" spans="1:11" ht="40.049999999999997" customHeight="1" x14ac:dyDescent="0.25">
      <c r="A9470" s="11" t="s">
        <v>18736</v>
      </c>
      <c r="B9470" s="11" t="s">
        <v>18737</v>
      </c>
      <c r="C9470" s="11" t="s">
        <v>17</v>
      </c>
      <c r="D9470" s="11" t="s">
        <v>18</v>
      </c>
      <c r="E9470" s="12" t="s">
        <v>108</v>
      </c>
      <c r="F9470" s="12" t="s">
        <v>109</v>
      </c>
      <c r="G9470" s="12" t="s">
        <v>29</v>
      </c>
      <c r="H9470" s="11" t="s">
        <v>63</v>
      </c>
      <c r="I9470" s="13" t="s">
        <v>18738</v>
      </c>
      <c r="J9470" s="14" t="str">
        <f>HYPERLINK("https://www.boe.es/gazeta/dias/1839/01/04/pdfs/GMD-1839-1511.pdf#page=1","Abrir facsímil")</f>
        <v>Abrir facsímil</v>
      </c>
      <c r="K9470" s="12" t="s">
        <v>65</v>
      </c>
    </row>
    <row r="9471" spans="1:11" ht="40.049999999999997" customHeight="1" x14ac:dyDescent="0.25">
      <c r="A9471" s="11" t="s">
        <v>18739</v>
      </c>
      <c r="B9471" s="11" t="s">
        <v>18740</v>
      </c>
      <c r="C9471" s="11" t="s">
        <v>17</v>
      </c>
      <c r="D9471" s="11" t="s">
        <v>18</v>
      </c>
      <c r="E9471" s="12" t="s">
        <v>258</v>
      </c>
      <c r="F9471" s="12" t="s">
        <v>259</v>
      </c>
      <c r="G9471" s="12" t="s">
        <v>46</v>
      </c>
      <c r="H9471" s="11" t="s">
        <v>22</v>
      </c>
      <c r="I9471" s="13" t="s">
        <v>18741</v>
      </c>
      <c r="J9471" s="14" t="str">
        <f>HYPERLINK("https://www.boe.es/gazeta/dias/1839/01/02/pdfs/GMD-1839-1509.pdf#page=3","Abrir facsímil")</f>
        <v>Abrir facsímil</v>
      </c>
      <c r="K9471" s="12" t="s">
        <v>24</v>
      </c>
    </row>
    <row r="9472" spans="1:11" ht="40.049999999999997" customHeight="1" x14ac:dyDescent="0.25">
      <c r="A9472" s="11" t="s">
        <v>18742</v>
      </c>
      <c r="B9472" s="11" t="s">
        <v>18743</v>
      </c>
      <c r="C9472" s="11" t="s">
        <v>17</v>
      </c>
      <c r="D9472" s="11" t="s">
        <v>18</v>
      </c>
      <c r="E9472" s="12" t="s">
        <v>862</v>
      </c>
      <c r="F9472" s="12" t="s">
        <v>863</v>
      </c>
      <c r="G9472" s="12" t="s">
        <v>40</v>
      </c>
      <c r="H9472" s="11" t="s">
        <v>22</v>
      </c>
      <c r="I9472" s="13" t="s">
        <v>18744</v>
      </c>
      <c r="J9472" s="14" t="str">
        <f>HYPERLINK("https://www.boe.es/gazeta/dias/1839/10/28/pdfs/GMD-1839-1814.pdf#page=2","Abrir facsímil")</f>
        <v>Abrir facsímil</v>
      </c>
      <c r="K9472" s="12" t="s">
        <v>24</v>
      </c>
    </row>
    <row r="9473" spans="1:11" ht="40.049999999999997" customHeight="1" x14ac:dyDescent="0.25">
      <c r="A9473" s="11" t="s">
        <v>18745</v>
      </c>
      <c r="B9473" s="11" t="s">
        <v>18746</v>
      </c>
      <c r="C9473" s="11" t="s">
        <v>137</v>
      </c>
      <c r="D9473" s="11" t="s">
        <v>18</v>
      </c>
      <c r="E9473" s="12" t="s">
        <v>1909</v>
      </c>
      <c r="F9473" s="12" t="s">
        <v>1910</v>
      </c>
      <c r="G9473" s="12" t="s">
        <v>21</v>
      </c>
      <c r="H9473" s="11" t="s">
        <v>22</v>
      </c>
      <c r="I9473" s="13" t="s">
        <v>18747</v>
      </c>
      <c r="J9473" s="14" t="str">
        <f>HYPERLINK("https://www.boe.es/gazeta/dias/1839/10/27/pdfs/GMD-1839-1813.pdf#page=4","Abrir facsímil")</f>
        <v>Abrir facsímil</v>
      </c>
      <c r="K9473" s="12" t="s">
        <v>24</v>
      </c>
    </row>
    <row r="9474" spans="1:11" ht="40.049999999999997" customHeight="1" x14ac:dyDescent="0.25">
      <c r="A9474" s="11" t="s">
        <v>18748</v>
      </c>
      <c r="B9474" s="11" t="s">
        <v>18749</v>
      </c>
      <c r="C9474" s="11" t="s">
        <v>17</v>
      </c>
      <c r="D9474" s="11" t="s">
        <v>18</v>
      </c>
      <c r="E9474" s="12" t="s">
        <v>197</v>
      </c>
      <c r="F9474" s="12" t="s">
        <v>198</v>
      </c>
      <c r="G9474" s="12" t="s">
        <v>46</v>
      </c>
      <c r="H9474" s="11" t="s">
        <v>63</v>
      </c>
      <c r="I9474" s="13" t="s">
        <v>18750</v>
      </c>
      <c r="J9474" s="14" t="str">
        <f>HYPERLINK("https://www.boe.es/gazeta/dias/1839/10/04/pdfs/GMD-1839-1790.pdf#page=3","Abrir facsímil")</f>
        <v>Abrir facsímil</v>
      </c>
      <c r="K9474" s="12" t="s">
        <v>65</v>
      </c>
    </row>
    <row r="9475" spans="1:11" ht="40.049999999999997" customHeight="1" x14ac:dyDescent="0.25">
      <c r="A9475" s="11" t="s">
        <v>18748</v>
      </c>
      <c r="B9475" s="11" t="s">
        <v>18749</v>
      </c>
      <c r="C9475" s="11" t="s">
        <v>17</v>
      </c>
      <c r="D9475" s="11" t="s">
        <v>18</v>
      </c>
      <c r="E9475" s="12" t="s">
        <v>138</v>
      </c>
      <c r="F9475" s="12" t="s">
        <v>139</v>
      </c>
      <c r="G9475" s="12" t="s">
        <v>21</v>
      </c>
      <c r="H9475" s="11" t="s">
        <v>63</v>
      </c>
      <c r="I9475" s="13" t="s">
        <v>18751</v>
      </c>
      <c r="J9475" s="14" t="str">
        <f>HYPERLINK("https://www.boe.es/gazeta/dias/1839/10/09/pdfs/GMD-1839-1795.pdf#page=4","Abrir facsímil")</f>
        <v>Abrir facsímil</v>
      </c>
      <c r="K9475" s="12" t="s">
        <v>65</v>
      </c>
    </row>
    <row r="9476" spans="1:11" ht="40.049999999999997" customHeight="1" x14ac:dyDescent="0.25">
      <c r="A9476" s="11" t="s">
        <v>18748</v>
      </c>
      <c r="B9476" s="11" t="s">
        <v>18749</v>
      </c>
      <c r="C9476" s="11" t="s">
        <v>80</v>
      </c>
      <c r="D9476" s="11" t="s">
        <v>18</v>
      </c>
      <c r="E9476" s="12" t="s">
        <v>1019</v>
      </c>
      <c r="F9476" s="12" t="s">
        <v>1020</v>
      </c>
      <c r="G9476" s="12" t="s">
        <v>21</v>
      </c>
      <c r="H9476" s="11" t="s">
        <v>63</v>
      </c>
      <c r="I9476" s="13" t="s">
        <v>18752</v>
      </c>
      <c r="J9476" s="14" t="str">
        <f>HYPERLINK("https://www.boe.es/gazeta/dias/1839/07/15/pdfs/GMD-1839-1703.pdf#page=4","Abrir facsímil")</f>
        <v>Abrir facsímil</v>
      </c>
      <c r="K9476" s="12" t="s">
        <v>65</v>
      </c>
    </row>
    <row r="9477" spans="1:11" ht="40.049999999999997" customHeight="1" x14ac:dyDescent="0.25">
      <c r="A9477" s="11" t="s">
        <v>18748</v>
      </c>
      <c r="B9477" s="11" t="s">
        <v>18749</v>
      </c>
      <c r="C9477" s="11" t="s">
        <v>17</v>
      </c>
      <c r="D9477" s="11" t="s">
        <v>18</v>
      </c>
      <c r="E9477" s="12" t="s">
        <v>1027</v>
      </c>
      <c r="F9477" s="12" t="s">
        <v>1028</v>
      </c>
      <c r="G9477" s="12" t="s">
        <v>21</v>
      </c>
      <c r="H9477" s="11" t="s">
        <v>63</v>
      </c>
      <c r="I9477" s="13" t="s">
        <v>18753</v>
      </c>
      <c r="J9477" s="14" t="str">
        <f>HYPERLINK("https://www.boe.es/gazeta/dias/1839/08/16/pdfs/GMD-1839-1736.pdf#page=4","Abrir facsímil")</f>
        <v>Abrir facsímil</v>
      </c>
      <c r="K9477" s="12" t="s">
        <v>65</v>
      </c>
    </row>
    <row r="9478" spans="1:11" ht="40.049999999999997" customHeight="1" x14ac:dyDescent="0.25">
      <c r="A9478" s="11" t="s">
        <v>18748</v>
      </c>
      <c r="B9478" s="11" t="s">
        <v>18749</v>
      </c>
      <c r="C9478" s="11" t="s">
        <v>101</v>
      </c>
      <c r="D9478" s="11" t="s">
        <v>43</v>
      </c>
      <c r="E9478" s="12" t="s">
        <v>239</v>
      </c>
      <c r="F9478" s="12" t="s">
        <v>240</v>
      </c>
      <c r="G9478" s="12" t="s">
        <v>29</v>
      </c>
      <c r="H9478" s="11" t="s">
        <v>63</v>
      </c>
      <c r="I9478" s="13" t="s">
        <v>18754</v>
      </c>
      <c r="J9478" s="14" t="str">
        <f>HYPERLINK("https://www.boe.es/gazeta/dias/1839/09/22/pdfs/GMD-1839-1777.pdf#page=1","Abrir facsímil")</f>
        <v>Abrir facsímil</v>
      </c>
      <c r="K9478" s="12" t="s">
        <v>65</v>
      </c>
    </row>
    <row r="9479" spans="1:11" ht="40.049999999999997" customHeight="1" x14ac:dyDescent="0.25">
      <c r="A9479" s="11" t="s">
        <v>18755</v>
      </c>
      <c r="B9479" s="11" t="s">
        <v>18756</v>
      </c>
      <c r="C9479" s="11" t="s">
        <v>80</v>
      </c>
      <c r="D9479" s="11" t="s">
        <v>18</v>
      </c>
      <c r="E9479" s="12" t="s">
        <v>4044</v>
      </c>
      <c r="F9479" s="12" t="s">
        <v>4045</v>
      </c>
      <c r="G9479" s="12" t="s">
        <v>29</v>
      </c>
      <c r="H9479" s="11" t="s">
        <v>63</v>
      </c>
      <c r="I9479" s="13" t="s">
        <v>18757</v>
      </c>
      <c r="J9479" s="14" t="str">
        <f>HYPERLINK("https://www.boe.es/gazeta/dias/1839/01/07/pdfs/GMD-1839-1514.pdf#page=1","Abrir facsímil")</f>
        <v>Abrir facsímil</v>
      </c>
      <c r="K9479" s="12" t="s">
        <v>65</v>
      </c>
    </row>
    <row r="9480" spans="1:11" ht="40.049999999999997" customHeight="1" x14ac:dyDescent="0.25">
      <c r="A9480" s="11" t="s">
        <v>18758</v>
      </c>
      <c r="B9480" s="11" t="s">
        <v>18759</v>
      </c>
      <c r="C9480" s="11" t="s">
        <v>137</v>
      </c>
      <c r="D9480" s="11" t="s">
        <v>18</v>
      </c>
      <c r="E9480" s="12" t="s">
        <v>1749</v>
      </c>
      <c r="F9480" s="12" t="s">
        <v>1750</v>
      </c>
      <c r="G9480" s="12" t="s">
        <v>29</v>
      </c>
      <c r="H9480" s="11" t="s">
        <v>63</v>
      </c>
      <c r="I9480" s="13" t="s">
        <v>18760</v>
      </c>
      <c r="J9480" s="14" t="str">
        <f>HYPERLINK("https://www.boe.es/gazeta/dias/1839/06/28/pdfs/GMD-1839-1686.pdf#page=1","Abrir facsímil")</f>
        <v>Abrir facsímil</v>
      </c>
      <c r="K9480" s="12" t="s">
        <v>65</v>
      </c>
    </row>
    <row r="9481" spans="1:11" ht="40.049999999999997" customHeight="1" x14ac:dyDescent="0.25">
      <c r="A9481" s="11" t="s">
        <v>18761</v>
      </c>
      <c r="B9481" s="11" t="s">
        <v>18762</v>
      </c>
      <c r="C9481" s="11" t="s">
        <v>17</v>
      </c>
      <c r="D9481" s="11" t="s">
        <v>18</v>
      </c>
      <c r="E9481" s="12" t="s">
        <v>1057</v>
      </c>
      <c r="F9481" s="12" t="s">
        <v>1058</v>
      </c>
      <c r="G9481" s="12" t="s">
        <v>40</v>
      </c>
      <c r="H9481" s="11" t="s">
        <v>63</v>
      </c>
      <c r="I9481" s="13" t="s">
        <v>18763</v>
      </c>
      <c r="J9481" s="14" t="str">
        <f>HYPERLINK("https://www.boe.es/gazeta/dias/1839/10/01/pdfs/GMD-1839-1787.pdf#page=2","Abrir facsímil")</f>
        <v>Abrir facsímil</v>
      </c>
      <c r="K9481" s="12" t="s">
        <v>65</v>
      </c>
    </row>
    <row r="9482" spans="1:11" ht="40.049999999999997" customHeight="1" x14ac:dyDescent="0.25">
      <c r="A9482" s="11" t="s">
        <v>18761</v>
      </c>
      <c r="B9482" s="11" t="s">
        <v>18762</v>
      </c>
      <c r="C9482" s="11" t="s">
        <v>17</v>
      </c>
      <c r="D9482" s="11" t="s">
        <v>18</v>
      </c>
      <c r="E9482" s="12" t="s">
        <v>226</v>
      </c>
      <c r="F9482" s="12" t="s">
        <v>227</v>
      </c>
      <c r="G9482" s="12" t="s">
        <v>21</v>
      </c>
      <c r="H9482" s="11" t="s">
        <v>63</v>
      </c>
      <c r="I9482" s="13" t="s">
        <v>18764</v>
      </c>
      <c r="J9482" s="14" t="str">
        <f>HYPERLINK("https://www.boe.es/gazeta/dias/1839/06/09/pdfs/GMD-1839-1667.pdf#page=4","Abrir facsímil")</f>
        <v>Abrir facsímil</v>
      </c>
      <c r="K9482" s="12" t="s">
        <v>65</v>
      </c>
    </row>
    <row r="9483" spans="1:11" ht="40.049999999999997" customHeight="1" x14ac:dyDescent="0.25">
      <c r="A9483" s="11" t="s">
        <v>18765</v>
      </c>
      <c r="B9483" s="11" t="s">
        <v>18766</v>
      </c>
      <c r="C9483" s="11" t="s">
        <v>17</v>
      </c>
      <c r="D9483" s="11" t="s">
        <v>18</v>
      </c>
      <c r="E9483" s="12" t="s">
        <v>1406</v>
      </c>
      <c r="F9483" s="12" t="s">
        <v>1407</v>
      </c>
      <c r="G9483" s="12" t="s">
        <v>21</v>
      </c>
      <c r="H9483" s="11" t="s">
        <v>22</v>
      </c>
      <c r="I9483" s="13" t="s">
        <v>18767</v>
      </c>
      <c r="J9483" s="14" t="str">
        <f>HYPERLINK("https://www.boe.es/gazeta/dias/1839/07/18/pdfs/GMD-1839-1706.pdf#page=4","Abrir facsímil")</f>
        <v>Abrir facsímil</v>
      </c>
      <c r="K9483" s="12" t="s">
        <v>24</v>
      </c>
    </row>
    <row r="9484" spans="1:11" ht="40.049999999999997" customHeight="1" x14ac:dyDescent="0.25">
      <c r="A9484" s="11" t="s">
        <v>18768</v>
      </c>
      <c r="B9484" s="11" t="s">
        <v>18769</v>
      </c>
      <c r="C9484" s="11" t="s">
        <v>17</v>
      </c>
      <c r="D9484" s="11" t="s">
        <v>18</v>
      </c>
      <c r="E9484" s="12" t="s">
        <v>1374</v>
      </c>
      <c r="F9484" s="12" t="s">
        <v>1375</v>
      </c>
      <c r="G9484" s="12" t="s">
        <v>46</v>
      </c>
      <c r="H9484" s="11" t="s">
        <v>63</v>
      </c>
      <c r="I9484" s="13" t="s">
        <v>18770</v>
      </c>
      <c r="J9484" s="14" t="str">
        <f>HYPERLINK("https://www.boe.es/gazeta/dias/1839/07/20/pdfs/GMD-1839-1708.pdf#page=3","Abrir facsímil")</f>
        <v>Abrir facsímil</v>
      </c>
      <c r="K9484" s="12" t="s">
        <v>65</v>
      </c>
    </row>
    <row r="9485" spans="1:11" ht="40.049999999999997" customHeight="1" x14ac:dyDescent="0.25">
      <c r="A9485" s="11" t="s">
        <v>18771</v>
      </c>
      <c r="B9485" s="11" t="s">
        <v>18771</v>
      </c>
      <c r="C9485" s="11" t="s">
        <v>17</v>
      </c>
      <c r="D9485" s="11" t="s">
        <v>18</v>
      </c>
      <c r="E9485" s="12" t="s">
        <v>3668</v>
      </c>
      <c r="F9485" s="12" t="s">
        <v>3669</v>
      </c>
      <c r="G9485" s="12" t="s">
        <v>46</v>
      </c>
      <c r="H9485" s="11" t="s">
        <v>63</v>
      </c>
      <c r="I9485" s="13" t="s">
        <v>18772</v>
      </c>
      <c r="J9485" s="14" t="str">
        <f>HYPERLINK("https://www.boe.es/gazeta/dias/1839/05/19/pdfs/GMD-1839-1646.pdf#page=3","Abrir facsímil")</f>
        <v>Abrir facsímil</v>
      </c>
      <c r="K9485" s="12" t="s">
        <v>65</v>
      </c>
    </row>
    <row r="9486" spans="1:11" ht="40.049999999999997" customHeight="1" x14ac:dyDescent="0.25">
      <c r="A9486" s="11" t="s">
        <v>18773</v>
      </c>
      <c r="B9486" s="11" t="s">
        <v>18773</v>
      </c>
      <c r="C9486" s="11" t="s">
        <v>17</v>
      </c>
      <c r="D9486" s="11" t="s">
        <v>18</v>
      </c>
      <c r="E9486" s="12" t="s">
        <v>2962</v>
      </c>
      <c r="F9486" s="12" t="s">
        <v>2963</v>
      </c>
      <c r="G9486" s="12" t="s">
        <v>40</v>
      </c>
      <c r="H9486" s="11" t="s">
        <v>63</v>
      </c>
      <c r="I9486" s="13" t="s">
        <v>18774</v>
      </c>
      <c r="J9486" s="14" t="str">
        <f>HYPERLINK("https://www.boe.es/gazeta/dias/1839/12/21/pdfs/GMD-1839-1868.pdf#page=2","Abrir facsímil")</f>
        <v>Abrir facsímil</v>
      </c>
      <c r="K9486" s="12" t="s">
        <v>65</v>
      </c>
    </row>
    <row r="9487" spans="1:11" ht="40.049999999999997" customHeight="1" x14ac:dyDescent="0.25">
      <c r="A9487" s="11" t="s">
        <v>18775</v>
      </c>
      <c r="B9487" s="11" t="s">
        <v>18776</v>
      </c>
      <c r="C9487" s="11" t="s">
        <v>80</v>
      </c>
      <c r="D9487" s="11" t="s">
        <v>18</v>
      </c>
      <c r="E9487" s="12" t="s">
        <v>1012</v>
      </c>
      <c r="F9487" s="12" t="s">
        <v>1013</v>
      </c>
      <c r="G9487" s="12" t="s">
        <v>40</v>
      </c>
      <c r="H9487" s="11" t="s">
        <v>63</v>
      </c>
      <c r="I9487" s="13" t="s">
        <v>18777</v>
      </c>
      <c r="J9487" s="14" t="str">
        <f>HYPERLINK("https://www.boe.es/gazeta/dias/1839/11/22/pdfs/GMD-1839-1839.pdf#page=2","Abrir facsímil")</f>
        <v>Abrir facsímil</v>
      </c>
      <c r="K9487" s="12" t="s">
        <v>65</v>
      </c>
    </row>
    <row r="9488" spans="1:11" ht="40.049999999999997" customHeight="1" x14ac:dyDescent="0.25">
      <c r="A9488" s="11" t="s">
        <v>18778</v>
      </c>
      <c r="B9488" s="11" t="s">
        <v>18779</v>
      </c>
      <c r="C9488" s="11" t="s">
        <v>17</v>
      </c>
      <c r="D9488" s="11" t="s">
        <v>18</v>
      </c>
      <c r="E9488" s="12" t="s">
        <v>388</v>
      </c>
      <c r="F9488" s="12" t="s">
        <v>389</v>
      </c>
      <c r="G9488" s="12" t="s">
        <v>21</v>
      </c>
      <c r="H9488" s="11" t="s">
        <v>63</v>
      </c>
      <c r="I9488" s="13" t="s">
        <v>18780</v>
      </c>
      <c r="J9488" s="14" t="str">
        <f>HYPERLINK("https://www.boe.es/gazeta/dias/1839/08/07/pdfs/GMD-1839-1727.pdf#page=4","Abrir facsímil")</f>
        <v>Abrir facsímil</v>
      </c>
      <c r="K9488" s="12" t="s">
        <v>65</v>
      </c>
    </row>
    <row r="9489" spans="1:11" ht="40.049999999999997" customHeight="1" x14ac:dyDescent="0.25">
      <c r="A9489" s="11" t="s">
        <v>18781</v>
      </c>
      <c r="B9489" s="11" t="s">
        <v>18782</v>
      </c>
      <c r="C9489" s="11" t="s">
        <v>17</v>
      </c>
      <c r="D9489" s="11" t="s">
        <v>18</v>
      </c>
      <c r="E9489" s="12" t="s">
        <v>330</v>
      </c>
      <c r="F9489" s="12" t="s">
        <v>331</v>
      </c>
      <c r="G9489" s="12" t="s">
        <v>21</v>
      </c>
      <c r="H9489" s="11" t="s">
        <v>63</v>
      </c>
      <c r="I9489" s="13" t="s">
        <v>18783</v>
      </c>
      <c r="J9489" s="14" t="str">
        <f>HYPERLINK("https://www.boe.es/gazeta/dias/1839/04/11/pdfs/GMD-1839-1608.pdf#page=4","Abrir facsímil")</f>
        <v>Abrir facsímil</v>
      </c>
      <c r="K9489" s="12" t="s">
        <v>65</v>
      </c>
    </row>
    <row r="9490" spans="1:11" ht="40.049999999999997" customHeight="1" x14ac:dyDescent="0.25">
      <c r="A9490" s="11" t="s">
        <v>18784</v>
      </c>
      <c r="B9490" s="11" t="s">
        <v>18785</v>
      </c>
      <c r="C9490" s="11" t="s">
        <v>17</v>
      </c>
      <c r="D9490" s="11" t="s">
        <v>18</v>
      </c>
      <c r="E9490" s="12" t="s">
        <v>154</v>
      </c>
      <c r="F9490" s="12" t="s">
        <v>155</v>
      </c>
      <c r="G9490" s="12" t="s">
        <v>21</v>
      </c>
      <c r="H9490" s="11" t="s">
        <v>22</v>
      </c>
      <c r="I9490" s="13" t="s">
        <v>18786</v>
      </c>
      <c r="J9490" s="14" t="str">
        <f>HYPERLINK("https://www.boe.es/gazeta/dias/1839/02/02/pdfs/GMD-1839-1540.pdf#page=4","Abrir facsímil")</f>
        <v>Abrir facsímil</v>
      </c>
      <c r="K9490" s="12" t="s">
        <v>24</v>
      </c>
    </row>
    <row r="9491" spans="1:11" ht="40.049999999999997" customHeight="1" x14ac:dyDescent="0.25">
      <c r="A9491" s="11" t="s">
        <v>18784</v>
      </c>
      <c r="B9491" s="11" t="s">
        <v>18785</v>
      </c>
      <c r="C9491" s="11" t="s">
        <v>17</v>
      </c>
      <c r="D9491" s="11" t="s">
        <v>18</v>
      </c>
      <c r="E9491" s="12" t="s">
        <v>168</v>
      </c>
      <c r="F9491" s="12" t="s">
        <v>169</v>
      </c>
      <c r="G9491" s="12" t="s">
        <v>21</v>
      </c>
      <c r="H9491" s="11" t="s">
        <v>22</v>
      </c>
      <c r="I9491" s="13" t="s">
        <v>18787</v>
      </c>
      <c r="J9491" s="14" t="str">
        <f>HYPERLINK("https://www.boe.es/gazeta/dias/1839/07/12/pdfs/GMD-1839-1700.pdf#page=4","Abrir facsímil")</f>
        <v>Abrir facsímil</v>
      </c>
      <c r="K9491" s="12" t="s">
        <v>24</v>
      </c>
    </row>
    <row r="9492" spans="1:11" ht="40.049999999999997" customHeight="1" x14ac:dyDescent="0.25">
      <c r="A9492" s="11" t="s">
        <v>18784</v>
      </c>
      <c r="B9492" s="11" t="s">
        <v>18785</v>
      </c>
      <c r="C9492" s="11" t="s">
        <v>137</v>
      </c>
      <c r="D9492" s="11" t="s">
        <v>18</v>
      </c>
      <c r="E9492" s="12" t="s">
        <v>510</v>
      </c>
      <c r="F9492" s="12" t="s">
        <v>511</v>
      </c>
      <c r="G9492" s="12" t="s">
        <v>21</v>
      </c>
      <c r="H9492" s="11" t="s">
        <v>22</v>
      </c>
      <c r="I9492" s="13" t="s">
        <v>18788</v>
      </c>
      <c r="J9492" s="14" t="str">
        <f>HYPERLINK("https://www.boe.es/gazeta/dias/1839/05/13/pdfs/GMD-1839-1640.pdf#page=4","Abrir facsímil")</f>
        <v>Abrir facsímil</v>
      </c>
      <c r="K9492" s="12" t="s">
        <v>24</v>
      </c>
    </row>
    <row r="9493" spans="1:11" ht="40.049999999999997" customHeight="1" x14ac:dyDescent="0.25">
      <c r="A9493" s="11" t="s">
        <v>18784</v>
      </c>
      <c r="B9493" s="11" t="s">
        <v>18785</v>
      </c>
      <c r="C9493" s="11" t="s">
        <v>101</v>
      </c>
      <c r="D9493" s="11" t="s">
        <v>43</v>
      </c>
      <c r="E9493" s="12" t="s">
        <v>336</v>
      </c>
      <c r="F9493" s="12" t="s">
        <v>337</v>
      </c>
      <c r="G9493" s="12" t="s">
        <v>46</v>
      </c>
      <c r="H9493" s="11" t="s">
        <v>22</v>
      </c>
      <c r="I9493" s="13" t="s">
        <v>18789</v>
      </c>
      <c r="J9493" s="14" t="str">
        <f>HYPERLINK("https://www.boe.es/gazeta/dias/1839/07/14/pdfs/GMD-1839-1702.pdf#page=3","Abrir facsímil")</f>
        <v>Abrir facsímil</v>
      </c>
      <c r="K9493" s="12" t="s">
        <v>24</v>
      </c>
    </row>
    <row r="9494" spans="1:11" ht="40.049999999999997" customHeight="1" x14ac:dyDescent="0.25">
      <c r="A9494" s="11" t="s">
        <v>18784</v>
      </c>
      <c r="B9494" s="11" t="s">
        <v>18785</v>
      </c>
      <c r="C9494" s="11" t="s">
        <v>17</v>
      </c>
      <c r="D9494" s="11" t="s">
        <v>18</v>
      </c>
      <c r="E9494" s="12" t="s">
        <v>395</v>
      </c>
      <c r="F9494" s="12" t="s">
        <v>396</v>
      </c>
      <c r="G9494" s="12" t="s">
        <v>29</v>
      </c>
      <c r="H9494" s="11" t="s">
        <v>22</v>
      </c>
      <c r="I9494" s="13" t="s">
        <v>18790</v>
      </c>
      <c r="J9494" s="14" t="str">
        <f>HYPERLINK("https://www.boe.es/gazeta/dias/1839/03/15/pdfs/GMD-1839-1581.pdf#page=1","Abrir facsímil")</f>
        <v>Abrir facsímil</v>
      </c>
      <c r="K9494" s="12" t="s">
        <v>24</v>
      </c>
    </row>
    <row r="9495" spans="1:11" ht="40.049999999999997" customHeight="1" x14ac:dyDescent="0.25">
      <c r="A9495" s="11" t="s">
        <v>18784</v>
      </c>
      <c r="B9495" s="11" t="s">
        <v>18785</v>
      </c>
      <c r="C9495" s="11" t="s">
        <v>17</v>
      </c>
      <c r="D9495" s="11" t="s">
        <v>18</v>
      </c>
      <c r="E9495" s="12" t="s">
        <v>1179</v>
      </c>
      <c r="F9495" s="12" t="s">
        <v>1180</v>
      </c>
      <c r="G9495" s="12" t="s">
        <v>305</v>
      </c>
      <c r="H9495" s="11" t="s">
        <v>22</v>
      </c>
      <c r="I9495" s="13" t="s">
        <v>18791</v>
      </c>
      <c r="J9495" s="14" t="str">
        <f>HYPERLINK("https://www.boe.es/gazeta/dias/1839/10/18/pdfs/GMD-1839-1804.pdf#page=6","Abrir facsímil")</f>
        <v>Abrir facsímil</v>
      </c>
      <c r="K9495" s="12" t="s">
        <v>24</v>
      </c>
    </row>
    <row r="9496" spans="1:11" ht="40.049999999999997" customHeight="1" x14ac:dyDescent="0.25">
      <c r="A9496" s="11" t="s">
        <v>18784</v>
      </c>
      <c r="B9496" s="11" t="s">
        <v>18785</v>
      </c>
      <c r="C9496" s="11" t="s">
        <v>17</v>
      </c>
      <c r="D9496" s="11" t="s">
        <v>18</v>
      </c>
      <c r="E9496" s="12" t="s">
        <v>2253</v>
      </c>
      <c r="F9496" s="12" t="s">
        <v>2254</v>
      </c>
      <c r="G9496" s="12" t="s">
        <v>29</v>
      </c>
      <c r="H9496" s="11" t="s">
        <v>22</v>
      </c>
      <c r="I9496" s="13" t="s">
        <v>18792</v>
      </c>
      <c r="J9496" s="14" t="str">
        <f>HYPERLINK("https://www.boe.es/gazeta/dias/1839/02/20/pdfs/GMD-1839-1558.pdf#page=1","Abrir facsímil")</f>
        <v>Abrir facsímil</v>
      </c>
      <c r="K9496" s="12" t="s">
        <v>24</v>
      </c>
    </row>
    <row r="9497" spans="1:11" ht="40.049999999999997" customHeight="1" x14ac:dyDescent="0.25">
      <c r="A9497" s="11" t="s">
        <v>18784</v>
      </c>
      <c r="B9497" s="11" t="s">
        <v>18785</v>
      </c>
      <c r="C9497" s="11" t="s">
        <v>80</v>
      </c>
      <c r="D9497" s="11" t="s">
        <v>18</v>
      </c>
      <c r="E9497" s="12" t="s">
        <v>2962</v>
      </c>
      <c r="F9497" s="12" t="s">
        <v>2963</v>
      </c>
      <c r="G9497" s="12" t="s">
        <v>21</v>
      </c>
      <c r="H9497" s="11" t="s">
        <v>22</v>
      </c>
      <c r="I9497" s="13" t="s">
        <v>18793</v>
      </c>
      <c r="J9497" s="14" t="str">
        <f>HYPERLINK("https://www.boe.es/gazeta/dias/1839/12/21/pdfs/GMD-1839-1868.pdf#page=4","Abrir facsímil")</f>
        <v>Abrir facsímil</v>
      </c>
      <c r="K9497" s="12" t="s">
        <v>24</v>
      </c>
    </row>
    <row r="9498" spans="1:11" ht="40.049999999999997" customHeight="1" x14ac:dyDescent="0.25">
      <c r="A9498" s="11" t="s">
        <v>18784</v>
      </c>
      <c r="B9498" s="11" t="s">
        <v>18785</v>
      </c>
      <c r="C9498" s="11" t="s">
        <v>137</v>
      </c>
      <c r="D9498" s="11" t="s">
        <v>18</v>
      </c>
      <c r="E9498" s="12" t="s">
        <v>1490</v>
      </c>
      <c r="F9498" s="12" t="s">
        <v>1491</v>
      </c>
      <c r="G9498" s="12" t="s">
        <v>29</v>
      </c>
      <c r="H9498" s="11" t="s">
        <v>22</v>
      </c>
      <c r="I9498" s="13" t="s">
        <v>18794</v>
      </c>
      <c r="J9498" s="14" t="str">
        <f>HYPERLINK("https://www.boe.es/gazeta/dias/1839/02/27/pdfs/GMD-1839-1565.pdf#page=1","Abrir facsímil")</f>
        <v>Abrir facsímil</v>
      </c>
      <c r="K9498" s="12" t="s">
        <v>24</v>
      </c>
    </row>
    <row r="9499" spans="1:11" ht="40.049999999999997" customHeight="1" x14ac:dyDescent="0.25">
      <c r="A9499" s="11" t="s">
        <v>18795</v>
      </c>
      <c r="B9499" s="11" t="s">
        <v>18796</v>
      </c>
      <c r="C9499" s="11" t="s">
        <v>80</v>
      </c>
      <c r="D9499" s="11" t="s">
        <v>18</v>
      </c>
      <c r="E9499" s="12" t="s">
        <v>770</v>
      </c>
      <c r="F9499" s="12" t="s">
        <v>771</v>
      </c>
      <c r="G9499" s="12" t="s">
        <v>21</v>
      </c>
      <c r="H9499" s="11" t="s">
        <v>22</v>
      </c>
      <c r="I9499" s="13" t="s">
        <v>18797</v>
      </c>
      <c r="J9499" s="14" t="str">
        <f>HYPERLINK("https://www.boe.es/gazeta/dias/1839/12/05/pdfs/GMD-1839-1852.pdf#page=4","Abrir facsímil")</f>
        <v>Abrir facsímil</v>
      </c>
      <c r="K9499" s="12" t="s">
        <v>24</v>
      </c>
    </row>
    <row r="9500" spans="1:11" ht="40.049999999999997" customHeight="1" x14ac:dyDescent="0.25">
      <c r="A9500" s="11" t="s">
        <v>18798</v>
      </c>
      <c r="B9500" s="11" t="s">
        <v>18799</v>
      </c>
      <c r="C9500" s="11" t="s">
        <v>137</v>
      </c>
      <c r="D9500" s="11" t="s">
        <v>18</v>
      </c>
      <c r="E9500" s="12" t="s">
        <v>4186</v>
      </c>
      <c r="F9500" s="12" t="s">
        <v>4187</v>
      </c>
      <c r="G9500" s="12" t="s">
        <v>21</v>
      </c>
      <c r="H9500" s="11" t="s">
        <v>22</v>
      </c>
      <c r="I9500" s="13" t="s">
        <v>18800</v>
      </c>
      <c r="J9500" s="14" t="str">
        <f>HYPERLINK("https://www.boe.es/gazeta/dias/1839/12/12/pdfs/GMD-1839-1859.pdf#page=4","Abrir facsímil")</f>
        <v>Abrir facsímil</v>
      </c>
      <c r="K9500" s="12" t="s">
        <v>24</v>
      </c>
    </row>
    <row r="9501" spans="1:11" ht="40.049999999999997" customHeight="1" x14ac:dyDescent="0.25">
      <c r="A9501" s="11" t="s">
        <v>18801</v>
      </c>
      <c r="B9501" s="11" t="s">
        <v>18802</v>
      </c>
      <c r="C9501" s="11" t="s">
        <v>80</v>
      </c>
      <c r="D9501" s="11" t="s">
        <v>18</v>
      </c>
      <c r="E9501" s="12" t="s">
        <v>116</v>
      </c>
      <c r="F9501" s="12" t="s">
        <v>117</v>
      </c>
      <c r="G9501" s="12" t="s">
        <v>46</v>
      </c>
      <c r="H9501" s="11" t="s">
        <v>63</v>
      </c>
      <c r="I9501" s="13" t="s">
        <v>18803</v>
      </c>
      <c r="J9501" s="14" t="str">
        <f>HYPERLINK("https://www.boe.es/gazeta/dias/1839/10/10/pdfs/GMD-1839-1796.pdf#page=3","Abrir facsímil")</f>
        <v>Abrir facsímil</v>
      </c>
      <c r="K9501" s="12" t="s">
        <v>65</v>
      </c>
    </row>
    <row r="9502" spans="1:11" ht="40.049999999999997" customHeight="1" x14ac:dyDescent="0.25">
      <c r="A9502" s="11" t="s">
        <v>18801</v>
      </c>
      <c r="B9502" s="11" t="s">
        <v>18802</v>
      </c>
      <c r="C9502" s="11" t="s">
        <v>17</v>
      </c>
      <c r="D9502" s="11" t="s">
        <v>18</v>
      </c>
      <c r="E9502" s="12" t="s">
        <v>507</v>
      </c>
      <c r="F9502" s="12" t="s">
        <v>508</v>
      </c>
      <c r="G9502" s="12" t="s">
        <v>21</v>
      </c>
      <c r="H9502" s="11" t="s">
        <v>63</v>
      </c>
      <c r="I9502" s="13" t="s">
        <v>18804</v>
      </c>
      <c r="J9502" s="14" t="str">
        <f>HYPERLINK("https://www.boe.es/gazeta/dias/1839/08/12/pdfs/GMD-1839-1732.pdf#page=4","Abrir facsímil")</f>
        <v>Abrir facsímil</v>
      </c>
      <c r="K9502" s="12" t="s">
        <v>65</v>
      </c>
    </row>
    <row r="9503" spans="1:11" ht="40.049999999999997" customHeight="1" x14ac:dyDescent="0.25">
      <c r="A9503" s="11" t="s">
        <v>18805</v>
      </c>
      <c r="B9503" s="11" t="s">
        <v>18806</v>
      </c>
      <c r="C9503" s="11" t="s">
        <v>17</v>
      </c>
      <c r="D9503" s="11" t="s">
        <v>18</v>
      </c>
      <c r="E9503" s="12" t="s">
        <v>1388</v>
      </c>
      <c r="F9503" s="12" t="s">
        <v>1389</v>
      </c>
      <c r="G9503" s="12" t="s">
        <v>21</v>
      </c>
      <c r="H9503" s="11" t="s">
        <v>63</v>
      </c>
      <c r="I9503" s="13" t="s">
        <v>18807</v>
      </c>
      <c r="J9503" s="14" t="str">
        <f>HYPERLINK("https://www.boe.es/gazeta/dias/1839/06/04/pdfs/GMD-1839-1662.pdf#page=4","Abrir facsímil")</f>
        <v>Abrir facsímil</v>
      </c>
      <c r="K9503" s="12" t="s">
        <v>65</v>
      </c>
    </row>
    <row r="9504" spans="1:11" ht="40.049999999999997" customHeight="1" x14ac:dyDescent="0.25">
      <c r="A9504" s="11" t="s">
        <v>18808</v>
      </c>
      <c r="B9504" s="11" t="s">
        <v>18809</v>
      </c>
      <c r="C9504" s="11" t="s">
        <v>80</v>
      </c>
      <c r="D9504" s="11" t="s">
        <v>173</v>
      </c>
      <c r="E9504" s="12" t="s">
        <v>522</v>
      </c>
      <c r="F9504" s="12" t="s">
        <v>523</v>
      </c>
      <c r="G9504" s="12" t="s">
        <v>21</v>
      </c>
      <c r="H9504" s="11" t="s">
        <v>22</v>
      </c>
      <c r="I9504" s="13" t="s">
        <v>18810</v>
      </c>
      <c r="J9504" s="14" t="str">
        <f>HYPERLINK("https://www.boe.es/gazeta/dias/1839/08/27/pdfs/GMD-1839-1748.pdf#page=4","Abrir facsímil")</f>
        <v>Abrir facsímil</v>
      </c>
      <c r="K9504" s="12" t="s">
        <v>24</v>
      </c>
    </row>
    <row r="9505" spans="1:11" ht="40.049999999999997" customHeight="1" x14ac:dyDescent="0.25">
      <c r="A9505" s="11" t="s">
        <v>18811</v>
      </c>
      <c r="B9505" s="11" t="s">
        <v>18812</v>
      </c>
      <c r="C9505" s="11" t="s">
        <v>80</v>
      </c>
      <c r="D9505" s="11" t="s">
        <v>18</v>
      </c>
      <c r="E9505" s="12" t="s">
        <v>81</v>
      </c>
      <c r="F9505" s="12" t="s">
        <v>82</v>
      </c>
      <c r="G9505" s="12" t="s">
        <v>29</v>
      </c>
      <c r="H9505" s="11" t="s">
        <v>22</v>
      </c>
      <c r="I9505" s="13" t="s">
        <v>18813</v>
      </c>
      <c r="J9505" s="14" t="str">
        <f>HYPERLINK("https://www.boe.es/gazeta/dias/1839/03/03/pdfs/GMD-1839-1569.pdf#page=1","Abrir facsímil")</f>
        <v>Abrir facsímil</v>
      </c>
      <c r="K9505" s="12" t="s">
        <v>24</v>
      </c>
    </row>
    <row r="9506" spans="1:11" ht="40.049999999999997" customHeight="1" x14ac:dyDescent="0.25">
      <c r="A9506" s="11" t="s">
        <v>18814</v>
      </c>
      <c r="B9506" s="11" t="s">
        <v>18815</v>
      </c>
      <c r="C9506" s="11" t="s">
        <v>137</v>
      </c>
      <c r="D9506" s="11" t="s">
        <v>18</v>
      </c>
      <c r="E9506" s="12" t="s">
        <v>1628</v>
      </c>
      <c r="F9506" s="12" t="s">
        <v>1629</v>
      </c>
      <c r="G9506" s="12" t="s">
        <v>29</v>
      </c>
      <c r="H9506" s="11" t="s">
        <v>22</v>
      </c>
      <c r="I9506" s="13" t="s">
        <v>18816</v>
      </c>
      <c r="J9506" s="14" t="str">
        <f>HYPERLINK("https://www.boe.es/gazeta/dias/1839/03/10/pdfs/GMD-1839-1576.pdf#page=1","Abrir facsímil")</f>
        <v>Abrir facsímil</v>
      </c>
      <c r="K9506" s="12" t="s">
        <v>24</v>
      </c>
    </row>
    <row r="9507" spans="1:11" ht="40.049999999999997" customHeight="1" x14ac:dyDescent="0.25">
      <c r="A9507" s="11" t="s">
        <v>18817</v>
      </c>
      <c r="B9507" s="11" t="s">
        <v>18818</v>
      </c>
      <c r="C9507" s="11" t="s">
        <v>17</v>
      </c>
      <c r="D9507" s="11" t="s">
        <v>18</v>
      </c>
      <c r="E9507" s="12" t="s">
        <v>1672</v>
      </c>
      <c r="F9507" s="12" t="s">
        <v>1673</v>
      </c>
      <c r="G9507" s="12" t="s">
        <v>21</v>
      </c>
      <c r="H9507" s="11" t="s">
        <v>63</v>
      </c>
      <c r="I9507" s="13" t="s">
        <v>18819</v>
      </c>
      <c r="J9507" s="14" t="str">
        <f>HYPERLINK("https://www.boe.es/gazeta/dias/1839/08/24/pdfs/GMD-1839-1745.pdf#page=4","Abrir facsímil")</f>
        <v>Abrir facsímil</v>
      </c>
      <c r="K9507" s="12" t="s">
        <v>65</v>
      </c>
    </row>
    <row r="9508" spans="1:11" ht="40.049999999999997" customHeight="1" x14ac:dyDescent="0.25">
      <c r="A9508" s="11" t="s">
        <v>18820</v>
      </c>
      <c r="B9508" s="11" t="s">
        <v>18821</v>
      </c>
      <c r="C9508" s="11" t="s">
        <v>59</v>
      </c>
      <c r="D9508" s="11" t="s">
        <v>60</v>
      </c>
      <c r="E9508" s="12" t="s">
        <v>1523</v>
      </c>
      <c r="F9508" s="12" t="s">
        <v>1524</v>
      </c>
      <c r="G9508" s="12" t="s">
        <v>29</v>
      </c>
      <c r="H9508" s="11" t="s">
        <v>63</v>
      </c>
      <c r="I9508" s="13" t="s">
        <v>18822</v>
      </c>
      <c r="J9508" s="14" t="str">
        <f>HYPERLINK("https://www.boe.es/gazeta/dias/1839/08/29/pdfs/GMD-1839-1750.pdf#page=1","Abrir facsímil")</f>
        <v>Abrir facsímil</v>
      </c>
      <c r="K9508" s="12" t="s">
        <v>65</v>
      </c>
    </row>
    <row r="9509" spans="1:11" ht="40.049999999999997" customHeight="1" x14ac:dyDescent="0.25">
      <c r="A9509" s="11" t="s">
        <v>18823</v>
      </c>
      <c r="B9509" s="11" t="s">
        <v>18823</v>
      </c>
      <c r="C9509" s="11" t="s">
        <v>17</v>
      </c>
      <c r="D9509" s="11" t="s">
        <v>18</v>
      </c>
      <c r="E9509" s="12" t="s">
        <v>700</v>
      </c>
      <c r="F9509" s="12" t="s">
        <v>701</v>
      </c>
      <c r="G9509" s="12" t="s">
        <v>21</v>
      </c>
      <c r="H9509" s="11" t="s">
        <v>63</v>
      </c>
      <c r="I9509" s="13" t="s">
        <v>18824</v>
      </c>
      <c r="J9509" s="14" t="str">
        <f>HYPERLINK("https://www.boe.es/gazeta/dias/1839/09/01/pdfs/GMD-1839-1753.pdf#page=4","Abrir facsímil")</f>
        <v>Abrir facsímil</v>
      </c>
      <c r="K9509" s="12" t="s">
        <v>65</v>
      </c>
    </row>
    <row r="9510" spans="1:11" ht="40.049999999999997" customHeight="1" x14ac:dyDescent="0.25">
      <c r="A9510" s="11" t="s">
        <v>18823</v>
      </c>
      <c r="B9510" s="11" t="s">
        <v>18823</v>
      </c>
      <c r="C9510" s="11" t="s">
        <v>17</v>
      </c>
      <c r="D9510" s="11" t="s">
        <v>18</v>
      </c>
      <c r="E9510" s="12" t="s">
        <v>1528</v>
      </c>
      <c r="F9510" s="12" t="s">
        <v>1529</v>
      </c>
      <c r="G9510" s="12" t="s">
        <v>21</v>
      </c>
      <c r="H9510" s="11" t="s">
        <v>63</v>
      </c>
      <c r="I9510" s="13" t="s">
        <v>18825</v>
      </c>
      <c r="J9510" s="14" t="str">
        <f>HYPERLINK("https://www.boe.es/gazeta/dias/1839/12/15/pdfs/GMD-1839-1862.pdf#page=4","Abrir facsímil")</f>
        <v>Abrir facsímil</v>
      </c>
      <c r="K9510" s="12" t="s">
        <v>65</v>
      </c>
    </row>
    <row r="9511" spans="1:11" ht="40.049999999999997" customHeight="1" x14ac:dyDescent="0.25">
      <c r="A9511" s="11" t="s">
        <v>18823</v>
      </c>
      <c r="B9511" s="11" t="s">
        <v>18823</v>
      </c>
      <c r="C9511" s="11" t="s">
        <v>17</v>
      </c>
      <c r="D9511" s="11" t="s">
        <v>18</v>
      </c>
      <c r="E9511" s="12" t="s">
        <v>1749</v>
      </c>
      <c r="F9511" s="12" t="s">
        <v>1750</v>
      </c>
      <c r="G9511" s="12" t="s">
        <v>29</v>
      </c>
      <c r="H9511" s="11" t="s">
        <v>63</v>
      </c>
      <c r="I9511" s="13" t="s">
        <v>18826</v>
      </c>
      <c r="J9511" s="14" t="str">
        <f>HYPERLINK("https://www.boe.es/gazeta/dias/1839/06/28/pdfs/GMD-1839-1686.pdf#page=1","Abrir facsímil")</f>
        <v>Abrir facsímil</v>
      </c>
      <c r="K9511" s="12" t="s">
        <v>65</v>
      </c>
    </row>
    <row r="9512" spans="1:11" ht="40.049999999999997" customHeight="1" x14ac:dyDescent="0.25">
      <c r="A9512" s="11" t="s">
        <v>18827</v>
      </c>
      <c r="B9512" s="11" t="s">
        <v>18827</v>
      </c>
      <c r="C9512" s="11" t="s">
        <v>101</v>
      </c>
      <c r="D9512" s="11" t="s">
        <v>102</v>
      </c>
      <c r="E9512" s="12" t="s">
        <v>132</v>
      </c>
      <c r="F9512" s="12" t="s">
        <v>133</v>
      </c>
      <c r="G9512" s="12" t="s">
        <v>46</v>
      </c>
      <c r="H9512" s="11" t="s">
        <v>63</v>
      </c>
      <c r="I9512" s="13" t="s">
        <v>18828</v>
      </c>
      <c r="J9512" s="14" t="str">
        <f>HYPERLINK("https://www.boe.es/gazeta/dias/1839/08/02/pdfs/GMD-1839-1722.pdf#page=3","Abrir facsímil")</f>
        <v>Abrir facsímil</v>
      </c>
      <c r="K9512" s="12" t="s">
        <v>65</v>
      </c>
    </row>
    <row r="9513" spans="1:11" ht="40.049999999999997" customHeight="1" x14ac:dyDescent="0.25">
      <c r="A9513" s="11" t="s">
        <v>18827</v>
      </c>
      <c r="B9513" s="11" t="s">
        <v>18827</v>
      </c>
      <c r="C9513" s="11" t="s">
        <v>17</v>
      </c>
      <c r="D9513" s="11" t="s">
        <v>18</v>
      </c>
      <c r="E9513" s="12" t="s">
        <v>1136</v>
      </c>
      <c r="F9513" s="12" t="s">
        <v>1137</v>
      </c>
      <c r="G9513" s="12" t="s">
        <v>46</v>
      </c>
      <c r="H9513" s="11" t="s">
        <v>63</v>
      </c>
      <c r="I9513" s="13" t="s">
        <v>18829</v>
      </c>
      <c r="J9513" s="14" t="str">
        <f>HYPERLINK("https://www.boe.es/gazeta/dias/1839/04/03/pdfs/GMD-1839-1600.pdf#page=3","Abrir facsímil")</f>
        <v>Abrir facsímil</v>
      </c>
      <c r="K9513" s="12" t="s">
        <v>65</v>
      </c>
    </row>
    <row r="9514" spans="1:11" ht="40.049999999999997" customHeight="1" x14ac:dyDescent="0.25">
      <c r="A9514" s="11" t="s">
        <v>18827</v>
      </c>
      <c r="B9514" s="11" t="s">
        <v>18827</v>
      </c>
      <c r="C9514" s="11" t="s">
        <v>101</v>
      </c>
      <c r="D9514" s="11" t="s">
        <v>43</v>
      </c>
      <c r="E9514" s="12" t="s">
        <v>108</v>
      </c>
      <c r="F9514" s="12" t="s">
        <v>109</v>
      </c>
      <c r="G9514" s="12" t="s">
        <v>21</v>
      </c>
      <c r="H9514" s="11" t="s">
        <v>63</v>
      </c>
      <c r="I9514" s="13" t="s">
        <v>18830</v>
      </c>
      <c r="J9514" s="14" t="str">
        <f>HYPERLINK("https://www.boe.es/gazeta/dias/1839/01/04/pdfs/GMD-1839-1511.pdf#page=4","Abrir facsímil")</f>
        <v>Abrir facsímil</v>
      </c>
      <c r="K9514" s="12" t="s">
        <v>65</v>
      </c>
    </row>
    <row r="9515" spans="1:11" ht="40.049999999999997" customHeight="1" x14ac:dyDescent="0.25">
      <c r="A9515" s="11" t="s">
        <v>18827</v>
      </c>
      <c r="B9515" s="11" t="s">
        <v>18827</v>
      </c>
      <c r="C9515" s="11" t="s">
        <v>17</v>
      </c>
      <c r="D9515" s="11" t="s">
        <v>18</v>
      </c>
      <c r="E9515" s="12" t="s">
        <v>2165</v>
      </c>
      <c r="F9515" s="12" t="s">
        <v>2166</v>
      </c>
      <c r="G9515" s="12" t="s">
        <v>46</v>
      </c>
      <c r="H9515" s="11" t="s">
        <v>63</v>
      </c>
      <c r="I9515" s="13" t="s">
        <v>18831</v>
      </c>
      <c r="J9515" s="14" t="str">
        <f>HYPERLINK("https://www.boe.es/gazeta/dias/1839/01/06/pdfs/GMD-1839-1513.pdf#page=3","Abrir facsímil")</f>
        <v>Abrir facsímil</v>
      </c>
      <c r="K9515" s="12" t="s">
        <v>65</v>
      </c>
    </row>
    <row r="9516" spans="1:11" ht="40.049999999999997" customHeight="1" x14ac:dyDescent="0.25">
      <c r="A9516" s="11" t="s">
        <v>18827</v>
      </c>
      <c r="B9516" s="11" t="s">
        <v>18827</v>
      </c>
      <c r="C9516" s="11" t="s">
        <v>59</v>
      </c>
      <c r="D9516" s="11" t="s">
        <v>60</v>
      </c>
      <c r="E9516" s="12" t="s">
        <v>2839</v>
      </c>
      <c r="F9516" s="12" t="s">
        <v>2840</v>
      </c>
      <c r="G9516" s="12" t="s">
        <v>29</v>
      </c>
      <c r="H9516" s="11" t="s">
        <v>63</v>
      </c>
      <c r="I9516" s="13" t="s">
        <v>18832</v>
      </c>
      <c r="J9516" s="14" t="str">
        <f>HYPERLINK("https://www.boe.es/gazeta/dias/1839/03/06/pdfs/GMD-1839-1572.pdf#page=1","Abrir facsímil")</f>
        <v>Abrir facsímil</v>
      </c>
      <c r="K9516" s="12" t="s">
        <v>65</v>
      </c>
    </row>
    <row r="9517" spans="1:11" ht="40.049999999999997" customHeight="1" x14ac:dyDescent="0.25">
      <c r="A9517" s="11" t="s">
        <v>18827</v>
      </c>
      <c r="B9517" s="11" t="s">
        <v>18827</v>
      </c>
      <c r="C9517" s="11" t="s">
        <v>17</v>
      </c>
      <c r="D9517" s="11" t="s">
        <v>18</v>
      </c>
      <c r="E9517" s="12" t="s">
        <v>548</v>
      </c>
      <c r="F9517" s="12" t="s">
        <v>549</v>
      </c>
      <c r="G9517" s="12" t="s">
        <v>29</v>
      </c>
      <c r="H9517" s="11" t="s">
        <v>63</v>
      </c>
      <c r="I9517" s="13" t="s">
        <v>18833</v>
      </c>
      <c r="J9517" s="14" t="str">
        <f>HYPERLINK("https://www.boe.es/gazeta/dias/1839/06/06/pdfs/GMD-1839-1664.pdf#page=1","Abrir facsímil")</f>
        <v>Abrir facsímil</v>
      </c>
      <c r="K9517" s="12" t="s">
        <v>65</v>
      </c>
    </row>
    <row r="9518" spans="1:11" ht="40.049999999999997" customHeight="1" x14ac:dyDescent="0.25">
      <c r="A9518" s="11" t="s">
        <v>18827</v>
      </c>
      <c r="B9518" s="11" t="s">
        <v>18827</v>
      </c>
      <c r="C9518" s="11" t="s">
        <v>17</v>
      </c>
      <c r="D9518" s="11" t="s">
        <v>18</v>
      </c>
      <c r="E9518" s="12" t="s">
        <v>217</v>
      </c>
      <c r="F9518" s="12" t="s">
        <v>218</v>
      </c>
      <c r="G9518" s="12" t="s">
        <v>46</v>
      </c>
      <c r="H9518" s="11" t="s">
        <v>63</v>
      </c>
      <c r="I9518" s="13" t="s">
        <v>18834</v>
      </c>
      <c r="J9518" s="14" t="str">
        <f>HYPERLINK("https://www.boe.es/gazeta/dias/1839/08/06/pdfs/GMD-1839-1726.pdf#page=3","Abrir facsímil")</f>
        <v>Abrir facsímil</v>
      </c>
      <c r="K9518" s="12" t="s">
        <v>65</v>
      </c>
    </row>
    <row r="9519" spans="1:11" ht="40.049999999999997" customHeight="1" x14ac:dyDescent="0.25">
      <c r="A9519" s="11" t="s">
        <v>18827</v>
      </c>
      <c r="B9519" s="11" t="s">
        <v>18827</v>
      </c>
      <c r="C9519" s="11" t="s">
        <v>80</v>
      </c>
      <c r="D9519" s="11" t="s">
        <v>18</v>
      </c>
      <c r="E9519" s="12" t="s">
        <v>303</v>
      </c>
      <c r="F9519" s="12" t="s">
        <v>304</v>
      </c>
      <c r="G9519" s="12" t="s">
        <v>40</v>
      </c>
      <c r="H9519" s="11" t="s">
        <v>63</v>
      </c>
      <c r="I9519" s="13" t="s">
        <v>18835</v>
      </c>
      <c r="J9519" s="14" t="str">
        <f>HYPERLINK("https://www.boe.es/gazeta/dias/1839/10/06/pdfs/GMD-1839-1792.pdf#page=2","Abrir facsímil")</f>
        <v>Abrir facsímil</v>
      </c>
      <c r="K9519" s="12" t="s">
        <v>65</v>
      </c>
    </row>
    <row r="9520" spans="1:11" ht="40.049999999999997" customHeight="1" x14ac:dyDescent="0.25">
      <c r="A9520" s="11" t="s">
        <v>18827</v>
      </c>
      <c r="B9520" s="11" t="s">
        <v>18827</v>
      </c>
      <c r="C9520" s="11" t="s">
        <v>17</v>
      </c>
      <c r="D9520" s="11" t="s">
        <v>18</v>
      </c>
      <c r="E9520" s="12" t="s">
        <v>303</v>
      </c>
      <c r="F9520" s="12" t="s">
        <v>304</v>
      </c>
      <c r="G9520" s="12" t="s">
        <v>305</v>
      </c>
      <c r="H9520" s="11" t="s">
        <v>63</v>
      </c>
      <c r="I9520" s="13" t="s">
        <v>18836</v>
      </c>
      <c r="J9520" s="14" t="str">
        <f>HYPERLINK("https://www.boe.es/gazeta/dias/1839/10/06/pdfs/GMD-1839-1792.pdf#page=6","Abrir facsímil")</f>
        <v>Abrir facsímil</v>
      </c>
      <c r="K9520" s="12" t="s">
        <v>65</v>
      </c>
    </row>
    <row r="9521" spans="1:11" ht="40.049999999999997" customHeight="1" x14ac:dyDescent="0.25">
      <c r="A9521" s="11" t="s">
        <v>18827</v>
      </c>
      <c r="B9521" s="11" t="s">
        <v>18827</v>
      </c>
      <c r="C9521" s="11" t="s">
        <v>17</v>
      </c>
      <c r="D9521" s="11" t="s">
        <v>18</v>
      </c>
      <c r="E9521" s="12" t="s">
        <v>2482</v>
      </c>
      <c r="F9521" s="12" t="s">
        <v>2483</v>
      </c>
      <c r="G9521" s="12" t="s">
        <v>46</v>
      </c>
      <c r="H9521" s="11" t="s">
        <v>63</v>
      </c>
      <c r="I9521" s="13" t="s">
        <v>18837</v>
      </c>
      <c r="J9521" s="14" t="str">
        <f>HYPERLINK("https://www.boe.es/gazeta/dias/1839/07/07/pdfs/GMD-1839-1695.pdf#page=3","Abrir facsímil")</f>
        <v>Abrir facsímil</v>
      </c>
      <c r="K9521" s="12" t="s">
        <v>65</v>
      </c>
    </row>
    <row r="9522" spans="1:11" ht="40.049999999999997" customHeight="1" x14ac:dyDescent="0.25">
      <c r="A9522" s="11" t="s">
        <v>18827</v>
      </c>
      <c r="B9522" s="11" t="s">
        <v>18827</v>
      </c>
      <c r="C9522" s="11" t="s">
        <v>80</v>
      </c>
      <c r="D9522" s="11" t="s">
        <v>18</v>
      </c>
      <c r="E9522" s="12" t="s">
        <v>1562</v>
      </c>
      <c r="F9522" s="12" t="s">
        <v>1563</v>
      </c>
      <c r="G9522" s="12" t="s">
        <v>21</v>
      </c>
      <c r="H9522" s="11" t="s">
        <v>63</v>
      </c>
      <c r="I9522" s="13" t="s">
        <v>18838</v>
      </c>
      <c r="J9522" s="14" t="str">
        <f>HYPERLINK("https://www.boe.es/gazeta/dias/1839/04/08/pdfs/GMD-1839-1605.pdf#page=4","Abrir facsímil")</f>
        <v>Abrir facsímil</v>
      </c>
      <c r="K9522" s="12" t="s">
        <v>65</v>
      </c>
    </row>
    <row r="9523" spans="1:11" ht="40.049999999999997" customHeight="1" x14ac:dyDescent="0.25">
      <c r="A9523" s="11" t="s">
        <v>18827</v>
      </c>
      <c r="B9523" s="11" t="s">
        <v>18827</v>
      </c>
      <c r="C9523" s="11" t="s">
        <v>80</v>
      </c>
      <c r="D9523" s="11" t="s">
        <v>18</v>
      </c>
      <c r="E9523" s="12" t="s">
        <v>372</v>
      </c>
      <c r="F9523" s="12" t="s">
        <v>373</v>
      </c>
      <c r="G9523" s="12" t="s">
        <v>21</v>
      </c>
      <c r="H9523" s="11" t="s">
        <v>63</v>
      </c>
      <c r="I9523" s="13" t="s">
        <v>18839</v>
      </c>
      <c r="J9523" s="14" t="str">
        <f>HYPERLINK("https://www.boe.es/gazeta/dias/1839/11/08/pdfs/GMD-1839-1825.pdf#page=4","Abrir facsímil")</f>
        <v>Abrir facsímil</v>
      </c>
      <c r="K9523" s="12" t="s">
        <v>65</v>
      </c>
    </row>
    <row r="9524" spans="1:11" ht="40.049999999999997" customHeight="1" x14ac:dyDescent="0.25">
      <c r="A9524" s="11" t="s">
        <v>18827</v>
      </c>
      <c r="B9524" s="11" t="s">
        <v>18827</v>
      </c>
      <c r="C9524" s="11" t="s">
        <v>17</v>
      </c>
      <c r="D9524" s="11" t="s">
        <v>18</v>
      </c>
      <c r="E9524" s="12" t="s">
        <v>690</v>
      </c>
      <c r="F9524" s="12" t="s">
        <v>691</v>
      </c>
      <c r="G9524" s="12" t="s">
        <v>21</v>
      </c>
      <c r="H9524" s="11" t="s">
        <v>63</v>
      </c>
      <c r="I9524" s="13" t="s">
        <v>18840</v>
      </c>
      <c r="J9524" s="14" t="str">
        <f>HYPERLINK("https://www.boe.es/gazeta/dias/1839/12/08/pdfs/GMD-1839-1855.pdf#page=4","Abrir facsímil")</f>
        <v>Abrir facsímil</v>
      </c>
      <c r="K9524" s="12" t="s">
        <v>65</v>
      </c>
    </row>
    <row r="9525" spans="1:11" ht="40.049999999999997" customHeight="1" x14ac:dyDescent="0.25">
      <c r="A9525" s="11" t="s">
        <v>18827</v>
      </c>
      <c r="B9525" s="11" t="s">
        <v>18827</v>
      </c>
      <c r="C9525" s="11" t="s">
        <v>17</v>
      </c>
      <c r="D9525" s="11" t="s">
        <v>18</v>
      </c>
      <c r="E9525" s="12" t="s">
        <v>68</v>
      </c>
      <c r="F9525" s="12" t="s">
        <v>69</v>
      </c>
      <c r="G9525" s="12" t="s">
        <v>40</v>
      </c>
      <c r="H9525" s="11" t="s">
        <v>63</v>
      </c>
      <c r="I9525" s="13" t="s">
        <v>18841</v>
      </c>
      <c r="J9525" s="14" t="str">
        <f>HYPERLINK("https://www.boe.es/gazeta/dias/1839/02/09/pdfs/GMD-1839-1547.pdf#page=2","Abrir facsímil")</f>
        <v>Abrir facsímil</v>
      </c>
      <c r="K9525" s="12" t="s">
        <v>65</v>
      </c>
    </row>
    <row r="9526" spans="1:11" ht="40.049999999999997" customHeight="1" x14ac:dyDescent="0.25">
      <c r="A9526" s="11" t="s">
        <v>18827</v>
      </c>
      <c r="B9526" s="11" t="s">
        <v>18827</v>
      </c>
      <c r="C9526" s="11" t="s">
        <v>17</v>
      </c>
      <c r="D9526" s="11" t="s">
        <v>18</v>
      </c>
      <c r="E9526" s="12" t="s">
        <v>1123</v>
      </c>
      <c r="F9526" s="12" t="s">
        <v>1124</v>
      </c>
      <c r="G9526" s="12" t="s">
        <v>21</v>
      </c>
      <c r="H9526" s="11" t="s">
        <v>63</v>
      </c>
      <c r="I9526" s="13" t="s">
        <v>18842</v>
      </c>
      <c r="J9526" s="14" t="str">
        <f>HYPERLINK("https://www.boe.es/gazeta/dias/1839/08/10/pdfs/GMD-1839-1730.pdf#page=4","Abrir facsímil")</f>
        <v>Abrir facsímil</v>
      </c>
      <c r="K9526" s="12" t="s">
        <v>65</v>
      </c>
    </row>
    <row r="9527" spans="1:11" ht="40.049999999999997" customHeight="1" x14ac:dyDescent="0.25">
      <c r="A9527" s="11" t="s">
        <v>18827</v>
      </c>
      <c r="B9527" s="11" t="s">
        <v>18827</v>
      </c>
      <c r="C9527" s="11" t="s">
        <v>137</v>
      </c>
      <c r="D9527" s="11" t="s">
        <v>18</v>
      </c>
      <c r="E9527" s="12" t="s">
        <v>116</v>
      </c>
      <c r="F9527" s="12" t="s">
        <v>117</v>
      </c>
      <c r="G9527" s="12" t="s">
        <v>40</v>
      </c>
      <c r="H9527" s="11" t="s">
        <v>63</v>
      </c>
      <c r="I9527" s="13" t="s">
        <v>18843</v>
      </c>
      <c r="J9527" s="14" t="str">
        <f>HYPERLINK("https://www.boe.es/gazeta/dias/1839/10/10/pdfs/GMD-1839-1796.pdf#page=2","Abrir facsímil")</f>
        <v>Abrir facsímil</v>
      </c>
      <c r="K9527" s="12" t="s">
        <v>65</v>
      </c>
    </row>
    <row r="9528" spans="1:11" ht="40.049999999999997" customHeight="1" x14ac:dyDescent="0.25">
      <c r="A9528" s="11" t="s">
        <v>18827</v>
      </c>
      <c r="B9528" s="11" t="s">
        <v>18827</v>
      </c>
      <c r="C9528" s="11" t="s">
        <v>80</v>
      </c>
      <c r="D9528" s="11" t="s">
        <v>18</v>
      </c>
      <c r="E9528" s="12" t="s">
        <v>181</v>
      </c>
      <c r="F9528" s="12" t="s">
        <v>182</v>
      </c>
      <c r="G9528" s="12" t="s">
        <v>29</v>
      </c>
      <c r="H9528" s="11" t="s">
        <v>63</v>
      </c>
      <c r="I9528" s="13" t="s">
        <v>18844</v>
      </c>
      <c r="J9528" s="14" t="str">
        <f>HYPERLINK("https://www.boe.es/gazeta/dias/1839/01/11/pdfs/GMD-1839-1518.pdf#page=1","Abrir facsímil")</f>
        <v>Abrir facsímil</v>
      </c>
      <c r="K9528" s="12" t="s">
        <v>65</v>
      </c>
    </row>
    <row r="9529" spans="1:11" ht="40.049999999999997" customHeight="1" x14ac:dyDescent="0.25">
      <c r="A9529" s="11" t="s">
        <v>18827</v>
      </c>
      <c r="B9529" s="11" t="s">
        <v>18827</v>
      </c>
      <c r="C9529" s="11" t="s">
        <v>17</v>
      </c>
      <c r="D9529" s="11" t="s">
        <v>18</v>
      </c>
      <c r="E9529" s="12" t="s">
        <v>1414</v>
      </c>
      <c r="F9529" s="12" t="s">
        <v>1415</v>
      </c>
      <c r="G9529" s="12" t="s">
        <v>21</v>
      </c>
      <c r="H9529" s="11" t="s">
        <v>63</v>
      </c>
      <c r="I9529" s="13" t="s">
        <v>18845</v>
      </c>
      <c r="J9529" s="14" t="str">
        <f>HYPERLINK("https://www.boe.es/gazeta/dias/1839/06/12/pdfs/GMD-1839-1670.pdf#page=4","Abrir facsímil")</f>
        <v>Abrir facsímil</v>
      </c>
      <c r="K9529" s="12" t="s">
        <v>65</v>
      </c>
    </row>
    <row r="9530" spans="1:11" ht="40.049999999999997" customHeight="1" x14ac:dyDescent="0.25">
      <c r="A9530" s="11" t="s">
        <v>18827</v>
      </c>
      <c r="B9530" s="11" t="s">
        <v>18827</v>
      </c>
      <c r="C9530" s="11" t="s">
        <v>17</v>
      </c>
      <c r="D9530" s="11" t="s">
        <v>18</v>
      </c>
      <c r="E9530" s="12" t="s">
        <v>507</v>
      </c>
      <c r="F9530" s="12" t="s">
        <v>508</v>
      </c>
      <c r="G9530" s="12" t="s">
        <v>21</v>
      </c>
      <c r="H9530" s="11" t="s">
        <v>63</v>
      </c>
      <c r="I9530" s="13" t="s">
        <v>18846</v>
      </c>
      <c r="J9530" s="14" t="str">
        <f>HYPERLINK("https://www.boe.es/gazeta/dias/1839/08/12/pdfs/GMD-1839-1732.pdf#page=4","Abrir facsímil")</f>
        <v>Abrir facsímil</v>
      </c>
      <c r="K9530" s="12" t="s">
        <v>65</v>
      </c>
    </row>
    <row r="9531" spans="1:11" ht="40.049999999999997" customHeight="1" x14ac:dyDescent="0.25">
      <c r="A9531" s="11" t="s">
        <v>18827</v>
      </c>
      <c r="B9531" s="11" t="s">
        <v>18827</v>
      </c>
      <c r="C9531" s="11" t="s">
        <v>17</v>
      </c>
      <c r="D9531" s="11" t="s">
        <v>18</v>
      </c>
      <c r="E9531" s="12" t="s">
        <v>785</v>
      </c>
      <c r="F9531" s="12" t="s">
        <v>786</v>
      </c>
      <c r="G9531" s="12" t="s">
        <v>40</v>
      </c>
      <c r="H9531" s="11" t="s">
        <v>63</v>
      </c>
      <c r="I9531" s="13" t="s">
        <v>18847</v>
      </c>
      <c r="J9531" s="14" t="str">
        <f>HYPERLINK("https://www.boe.es/gazeta/dias/1839/07/13/pdfs/GMD-1839-1701.pdf#page=2","Abrir facsímil")</f>
        <v>Abrir facsímil</v>
      </c>
      <c r="K9531" s="12" t="s">
        <v>65</v>
      </c>
    </row>
    <row r="9532" spans="1:11" ht="40.049999999999997" customHeight="1" x14ac:dyDescent="0.25">
      <c r="A9532" s="11" t="s">
        <v>18827</v>
      </c>
      <c r="B9532" s="11" t="s">
        <v>18827</v>
      </c>
      <c r="C9532" s="11" t="s">
        <v>59</v>
      </c>
      <c r="D9532" s="11" t="s">
        <v>60</v>
      </c>
      <c r="E9532" s="12" t="s">
        <v>736</v>
      </c>
      <c r="F9532" s="12" t="s">
        <v>737</v>
      </c>
      <c r="G9532" s="12" t="s">
        <v>21</v>
      </c>
      <c r="H9532" s="11" t="s">
        <v>63</v>
      </c>
      <c r="I9532" s="13" t="s">
        <v>18848</v>
      </c>
      <c r="J9532" s="14" t="str">
        <f>HYPERLINK("https://www.boe.es/gazeta/dias/1839/10/13/pdfs/GMD-1839-1799.pdf#page=4","Abrir facsímil")</f>
        <v>Abrir facsímil</v>
      </c>
      <c r="K9532" s="12" t="s">
        <v>65</v>
      </c>
    </row>
    <row r="9533" spans="1:11" ht="40.049999999999997" customHeight="1" x14ac:dyDescent="0.25">
      <c r="A9533" s="11" t="s">
        <v>18827</v>
      </c>
      <c r="B9533" s="11" t="s">
        <v>18827</v>
      </c>
      <c r="C9533" s="11" t="s">
        <v>59</v>
      </c>
      <c r="D9533" s="11" t="s">
        <v>60</v>
      </c>
      <c r="E9533" s="12" t="s">
        <v>621</v>
      </c>
      <c r="F9533" s="12" t="s">
        <v>622</v>
      </c>
      <c r="G9533" s="12" t="s">
        <v>46</v>
      </c>
      <c r="H9533" s="11" t="s">
        <v>63</v>
      </c>
      <c r="I9533" s="13" t="s">
        <v>18849</v>
      </c>
      <c r="J9533" s="14" t="str">
        <f>HYPERLINK("https://www.boe.es/gazeta/dias/1839/04/14/pdfs/GMD-1839-1611.pdf#page=3","Abrir facsímil")</f>
        <v>Abrir facsímil</v>
      </c>
      <c r="K9533" s="12" t="s">
        <v>65</v>
      </c>
    </row>
    <row r="9534" spans="1:11" ht="40.049999999999997" customHeight="1" x14ac:dyDescent="0.25">
      <c r="A9534" s="11" t="s">
        <v>18827</v>
      </c>
      <c r="B9534" s="11" t="s">
        <v>18827</v>
      </c>
      <c r="C9534" s="11" t="s">
        <v>17</v>
      </c>
      <c r="D9534" s="11" t="s">
        <v>18</v>
      </c>
      <c r="E9534" s="12" t="s">
        <v>185</v>
      </c>
      <c r="F9534" s="12" t="s">
        <v>186</v>
      </c>
      <c r="G9534" s="12" t="s">
        <v>40</v>
      </c>
      <c r="H9534" s="11" t="s">
        <v>63</v>
      </c>
      <c r="I9534" s="13" t="s">
        <v>18850</v>
      </c>
      <c r="J9534" s="14" t="str">
        <f>HYPERLINK("https://www.boe.es/gazeta/dias/1839/01/15/pdfs/GMD-1839-1522.pdf#page=2","Abrir facsímil")</f>
        <v>Abrir facsímil</v>
      </c>
      <c r="K9534" s="12" t="s">
        <v>65</v>
      </c>
    </row>
    <row r="9535" spans="1:11" ht="40.049999999999997" customHeight="1" x14ac:dyDescent="0.25">
      <c r="A9535" s="11" t="s">
        <v>18827</v>
      </c>
      <c r="B9535" s="11" t="s">
        <v>18827</v>
      </c>
      <c r="C9535" s="11" t="s">
        <v>17</v>
      </c>
      <c r="D9535" s="11" t="s">
        <v>18</v>
      </c>
      <c r="E9535" s="12" t="s">
        <v>1019</v>
      </c>
      <c r="F9535" s="12" t="s">
        <v>1020</v>
      </c>
      <c r="G9535" s="12" t="s">
        <v>40</v>
      </c>
      <c r="H9535" s="11" t="s">
        <v>63</v>
      </c>
      <c r="I9535" s="13" t="s">
        <v>18851</v>
      </c>
      <c r="J9535" s="14" t="str">
        <f>HYPERLINK("https://www.boe.es/gazeta/dias/1839/07/15/pdfs/GMD-1839-1703.pdf#page=2","Abrir facsímil")</f>
        <v>Abrir facsímil</v>
      </c>
      <c r="K9535" s="12" t="s">
        <v>65</v>
      </c>
    </row>
    <row r="9536" spans="1:11" ht="40.049999999999997" customHeight="1" x14ac:dyDescent="0.25">
      <c r="A9536" s="11" t="s">
        <v>18827</v>
      </c>
      <c r="B9536" s="11" t="s">
        <v>18827</v>
      </c>
      <c r="C9536" s="11" t="s">
        <v>17</v>
      </c>
      <c r="D9536" s="11" t="s">
        <v>18</v>
      </c>
      <c r="E9536" s="12" t="s">
        <v>175</v>
      </c>
      <c r="F9536" s="12" t="s">
        <v>176</v>
      </c>
      <c r="G9536" s="12" t="s">
        <v>46</v>
      </c>
      <c r="H9536" s="11" t="s">
        <v>63</v>
      </c>
      <c r="I9536" s="13" t="s">
        <v>18852</v>
      </c>
      <c r="J9536" s="14" t="str">
        <f>HYPERLINK("https://www.boe.es/gazeta/dias/1839/01/16/pdfs/GMD-1839-1523.pdf#page=3","Abrir facsímil")</f>
        <v>Abrir facsímil</v>
      </c>
      <c r="K9536" s="12" t="s">
        <v>65</v>
      </c>
    </row>
    <row r="9537" spans="1:11" ht="40.049999999999997" customHeight="1" x14ac:dyDescent="0.25">
      <c r="A9537" s="11" t="s">
        <v>18827</v>
      </c>
      <c r="B9537" s="11" t="s">
        <v>18827</v>
      </c>
      <c r="C9537" s="11" t="s">
        <v>101</v>
      </c>
      <c r="D9537" s="11" t="s">
        <v>43</v>
      </c>
      <c r="E9537" s="12" t="s">
        <v>2155</v>
      </c>
      <c r="F9537" s="12" t="s">
        <v>2156</v>
      </c>
      <c r="G9537" s="12" t="s">
        <v>40</v>
      </c>
      <c r="H9537" s="11" t="s">
        <v>63</v>
      </c>
      <c r="I9537" s="13" t="s">
        <v>18853</v>
      </c>
      <c r="J9537" s="14" t="str">
        <f>HYPERLINK("https://www.boe.es/gazeta/dias/1839/01/17/pdfs/GMD-1839-1524.pdf#page=2","Abrir facsímil")</f>
        <v>Abrir facsímil</v>
      </c>
      <c r="K9537" s="12" t="s">
        <v>65</v>
      </c>
    </row>
    <row r="9538" spans="1:11" ht="40.049999999999997" customHeight="1" x14ac:dyDescent="0.25">
      <c r="A9538" s="11" t="s">
        <v>18827</v>
      </c>
      <c r="B9538" s="11" t="s">
        <v>18827</v>
      </c>
      <c r="C9538" s="11" t="s">
        <v>137</v>
      </c>
      <c r="D9538" s="11" t="s">
        <v>18</v>
      </c>
      <c r="E9538" s="12" t="s">
        <v>513</v>
      </c>
      <c r="F9538" s="12" t="s">
        <v>514</v>
      </c>
      <c r="G9538" s="12" t="s">
        <v>21</v>
      </c>
      <c r="H9538" s="11" t="s">
        <v>63</v>
      </c>
      <c r="I9538" s="13" t="s">
        <v>18854</v>
      </c>
      <c r="J9538" s="14" t="str">
        <f>HYPERLINK("https://www.boe.es/gazeta/dias/1839/03/17/pdfs/GMD-1839-1583.pdf#page=4","Abrir facsímil")</f>
        <v>Abrir facsímil</v>
      </c>
      <c r="K9538" s="12" t="s">
        <v>65</v>
      </c>
    </row>
    <row r="9539" spans="1:11" ht="40.049999999999997" customHeight="1" x14ac:dyDescent="0.25">
      <c r="A9539" s="11" t="s">
        <v>18827</v>
      </c>
      <c r="B9539" s="11" t="s">
        <v>18827</v>
      </c>
      <c r="C9539" s="11" t="s">
        <v>101</v>
      </c>
      <c r="D9539" s="11" t="s">
        <v>43</v>
      </c>
      <c r="E9539" s="12" t="s">
        <v>834</v>
      </c>
      <c r="F9539" s="12" t="s">
        <v>835</v>
      </c>
      <c r="G9539" s="12" t="s">
        <v>40</v>
      </c>
      <c r="H9539" s="11" t="s">
        <v>63</v>
      </c>
      <c r="I9539" s="13" t="s">
        <v>18855</v>
      </c>
      <c r="J9539" s="14" t="str">
        <f>HYPERLINK("https://www.boe.es/gazeta/dias/1839/08/17/pdfs/GMD-1839-1737.pdf#page=2","Abrir facsímil")</f>
        <v>Abrir facsímil</v>
      </c>
      <c r="K9539" s="12" t="s">
        <v>65</v>
      </c>
    </row>
    <row r="9540" spans="1:11" ht="40.049999999999997" customHeight="1" x14ac:dyDescent="0.25">
      <c r="A9540" s="11" t="s">
        <v>18827</v>
      </c>
      <c r="B9540" s="11" t="s">
        <v>18827</v>
      </c>
      <c r="C9540" s="11" t="s">
        <v>17</v>
      </c>
      <c r="D9540" s="11" t="s">
        <v>18</v>
      </c>
      <c r="E9540" s="12" t="s">
        <v>834</v>
      </c>
      <c r="F9540" s="12" t="s">
        <v>835</v>
      </c>
      <c r="G9540" s="12" t="s">
        <v>21</v>
      </c>
      <c r="H9540" s="11" t="s">
        <v>63</v>
      </c>
      <c r="I9540" s="13" t="s">
        <v>18856</v>
      </c>
      <c r="J9540" s="14" t="str">
        <f>HYPERLINK("https://www.boe.es/gazeta/dias/1839/08/17/pdfs/GMD-1839-1737.pdf#page=4","Abrir facsímil")</f>
        <v>Abrir facsímil</v>
      </c>
      <c r="K9540" s="12" t="s">
        <v>65</v>
      </c>
    </row>
    <row r="9541" spans="1:11" ht="40.049999999999997" customHeight="1" x14ac:dyDescent="0.25">
      <c r="A9541" s="11" t="s">
        <v>18827</v>
      </c>
      <c r="B9541" s="11" t="s">
        <v>18827</v>
      </c>
      <c r="C9541" s="11" t="s">
        <v>17</v>
      </c>
      <c r="D9541" s="11" t="s">
        <v>18</v>
      </c>
      <c r="E9541" s="12" t="s">
        <v>1179</v>
      </c>
      <c r="F9541" s="12" t="s">
        <v>1180</v>
      </c>
      <c r="G9541" s="12" t="s">
        <v>305</v>
      </c>
      <c r="H9541" s="11" t="s">
        <v>63</v>
      </c>
      <c r="I9541" s="13" t="s">
        <v>18857</v>
      </c>
      <c r="J9541" s="14" t="str">
        <f>HYPERLINK("https://www.boe.es/gazeta/dias/1839/10/18/pdfs/GMD-1839-1804.pdf#page=6","Abrir facsímil")</f>
        <v>Abrir facsímil</v>
      </c>
      <c r="K9541" s="12" t="s">
        <v>65</v>
      </c>
    </row>
    <row r="9542" spans="1:11" ht="40.049999999999997" customHeight="1" x14ac:dyDescent="0.25">
      <c r="A9542" s="11" t="s">
        <v>18827</v>
      </c>
      <c r="B9542" s="11" t="s">
        <v>18827</v>
      </c>
      <c r="C9542" s="11" t="s">
        <v>17</v>
      </c>
      <c r="D9542" s="11" t="s">
        <v>18</v>
      </c>
      <c r="E9542" s="12" t="s">
        <v>516</v>
      </c>
      <c r="F9542" s="12" t="s">
        <v>517</v>
      </c>
      <c r="G9542" s="12" t="s">
        <v>21</v>
      </c>
      <c r="H9542" s="11" t="s">
        <v>63</v>
      </c>
      <c r="I9542" s="13" t="s">
        <v>18858</v>
      </c>
      <c r="J9542" s="14" t="str">
        <f>HYPERLINK("https://www.boe.es/gazeta/dias/1839/06/21/pdfs/GMD-1839-1679.pdf#page=4","Abrir facsímil")</f>
        <v>Abrir facsímil</v>
      </c>
      <c r="K9542" s="12" t="s">
        <v>65</v>
      </c>
    </row>
    <row r="9543" spans="1:11" ht="40.049999999999997" customHeight="1" x14ac:dyDescent="0.25">
      <c r="A9543" s="11" t="s">
        <v>18827</v>
      </c>
      <c r="B9543" s="11" t="s">
        <v>18827</v>
      </c>
      <c r="C9543" s="11" t="s">
        <v>80</v>
      </c>
      <c r="D9543" s="11" t="s">
        <v>18</v>
      </c>
      <c r="E9543" s="12" t="s">
        <v>1663</v>
      </c>
      <c r="F9543" s="12" t="s">
        <v>1664</v>
      </c>
      <c r="G9543" s="12" t="s">
        <v>21</v>
      </c>
      <c r="H9543" s="11" t="s">
        <v>63</v>
      </c>
      <c r="I9543" s="13" t="s">
        <v>18859</v>
      </c>
      <c r="J9543" s="14" t="str">
        <f>HYPERLINK("https://www.boe.es/gazeta/dias/1839/03/22/pdfs/GMD-1839-1588.pdf#page=4","Abrir facsímil")</f>
        <v>Abrir facsímil</v>
      </c>
      <c r="K9543" s="12" t="s">
        <v>65</v>
      </c>
    </row>
    <row r="9544" spans="1:11" ht="40.049999999999997" customHeight="1" x14ac:dyDescent="0.25">
      <c r="A9544" s="11" t="s">
        <v>18827</v>
      </c>
      <c r="B9544" s="11" t="s">
        <v>18827</v>
      </c>
      <c r="C9544" s="11" t="s">
        <v>80</v>
      </c>
      <c r="D9544" s="11" t="s">
        <v>18</v>
      </c>
      <c r="E9544" s="12" t="s">
        <v>222</v>
      </c>
      <c r="F9544" s="12" t="s">
        <v>223</v>
      </c>
      <c r="G9544" s="12" t="s">
        <v>21</v>
      </c>
      <c r="H9544" s="11" t="s">
        <v>63</v>
      </c>
      <c r="I9544" s="13" t="s">
        <v>18860</v>
      </c>
      <c r="J9544" s="14" t="str">
        <f>HYPERLINK("https://www.boe.es/gazeta/dias/1839/06/22/pdfs/GMD-1839-1680.pdf#page=4","Abrir facsímil")</f>
        <v>Abrir facsímil</v>
      </c>
      <c r="K9544" s="12" t="s">
        <v>65</v>
      </c>
    </row>
    <row r="9545" spans="1:11" ht="40.049999999999997" customHeight="1" x14ac:dyDescent="0.25">
      <c r="A9545" s="11" t="s">
        <v>18827</v>
      </c>
      <c r="B9545" s="11" t="s">
        <v>18827</v>
      </c>
      <c r="C9545" s="11" t="s">
        <v>17</v>
      </c>
      <c r="D9545" s="11" t="s">
        <v>18</v>
      </c>
      <c r="E9545" s="12" t="s">
        <v>1310</v>
      </c>
      <c r="F9545" s="12" t="s">
        <v>1311</v>
      </c>
      <c r="G9545" s="12" t="s">
        <v>40</v>
      </c>
      <c r="H9545" s="11" t="s">
        <v>63</v>
      </c>
      <c r="I9545" s="13" t="s">
        <v>18861</v>
      </c>
      <c r="J9545" s="14" t="str">
        <f>HYPERLINK("https://www.boe.es/gazeta/dias/1839/04/23/pdfs/GMD-1839-1620.pdf#page=2","Abrir facsímil")</f>
        <v>Abrir facsímil</v>
      </c>
      <c r="K9545" s="12" t="s">
        <v>65</v>
      </c>
    </row>
    <row r="9546" spans="1:11" ht="40.049999999999997" customHeight="1" x14ac:dyDescent="0.25">
      <c r="A9546" s="11" t="s">
        <v>18827</v>
      </c>
      <c r="B9546" s="11" t="s">
        <v>18827</v>
      </c>
      <c r="C9546" s="11" t="s">
        <v>137</v>
      </c>
      <c r="D9546" s="11" t="s">
        <v>18</v>
      </c>
      <c r="E9546" s="12" t="s">
        <v>125</v>
      </c>
      <c r="F9546" s="12" t="s">
        <v>126</v>
      </c>
      <c r="G9546" s="12" t="s">
        <v>29</v>
      </c>
      <c r="H9546" s="11" t="s">
        <v>63</v>
      </c>
      <c r="I9546" s="13" t="s">
        <v>18862</v>
      </c>
      <c r="J9546" s="14" t="str">
        <f>HYPERLINK("https://www.boe.es/gazeta/dias/1839/05/23/pdfs/GMD-1839-1650.pdf#page=1","Abrir facsímil")</f>
        <v>Abrir facsímil</v>
      </c>
      <c r="K9546" s="12" t="s">
        <v>65</v>
      </c>
    </row>
    <row r="9547" spans="1:11" ht="40.049999999999997" customHeight="1" x14ac:dyDescent="0.25">
      <c r="A9547" s="11" t="s">
        <v>18827</v>
      </c>
      <c r="B9547" s="11" t="s">
        <v>18827</v>
      </c>
      <c r="C9547" s="11" t="s">
        <v>59</v>
      </c>
      <c r="D9547" s="11" t="s">
        <v>60</v>
      </c>
      <c r="E9547" s="12" t="s">
        <v>496</v>
      </c>
      <c r="F9547" s="12" t="s">
        <v>497</v>
      </c>
      <c r="G9547" s="12" t="s">
        <v>29</v>
      </c>
      <c r="H9547" s="11" t="s">
        <v>63</v>
      </c>
      <c r="I9547" s="13" t="s">
        <v>18863</v>
      </c>
      <c r="J9547" s="14" t="str">
        <f>HYPERLINK("https://www.boe.es/gazeta/dias/1839/11/23/pdfs/GMD-1839-1840.pdf#page=1","Abrir facsímil")</f>
        <v>Abrir facsímil</v>
      </c>
      <c r="K9547" s="12" t="s">
        <v>65</v>
      </c>
    </row>
    <row r="9548" spans="1:11" ht="40.049999999999997" customHeight="1" x14ac:dyDescent="0.25">
      <c r="A9548" s="11" t="s">
        <v>18827</v>
      </c>
      <c r="B9548" s="11" t="s">
        <v>18827</v>
      </c>
      <c r="C9548" s="11" t="s">
        <v>17</v>
      </c>
      <c r="D9548" s="11" t="s">
        <v>18</v>
      </c>
      <c r="E9548" s="12" t="s">
        <v>496</v>
      </c>
      <c r="F9548" s="12" t="s">
        <v>497</v>
      </c>
      <c r="G9548" s="12" t="s">
        <v>46</v>
      </c>
      <c r="H9548" s="11" t="s">
        <v>63</v>
      </c>
      <c r="I9548" s="13" t="s">
        <v>18864</v>
      </c>
      <c r="J9548" s="14" t="str">
        <f>HYPERLINK("https://www.boe.es/gazeta/dias/1839/11/23/pdfs/GMD-1839-1840.pdf#page=3","Abrir facsímil")</f>
        <v>Abrir facsímil</v>
      </c>
      <c r="K9548" s="12" t="s">
        <v>65</v>
      </c>
    </row>
    <row r="9549" spans="1:11" ht="40.049999999999997" customHeight="1" x14ac:dyDescent="0.25">
      <c r="A9549" s="11" t="s">
        <v>18827</v>
      </c>
      <c r="B9549" s="11" t="s">
        <v>18827</v>
      </c>
      <c r="C9549" s="11" t="s">
        <v>17</v>
      </c>
      <c r="D9549" s="11" t="s">
        <v>18</v>
      </c>
      <c r="E9549" s="12" t="s">
        <v>496</v>
      </c>
      <c r="F9549" s="12" t="s">
        <v>497</v>
      </c>
      <c r="G9549" s="12" t="s">
        <v>21</v>
      </c>
      <c r="H9549" s="11" t="s">
        <v>63</v>
      </c>
      <c r="I9549" s="13" t="s">
        <v>18865</v>
      </c>
      <c r="J9549" s="14" t="str">
        <f>HYPERLINK("https://www.boe.es/gazeta/dias/1839/11/23/pdfs/GMD-1839-1840.pdf#page=4","Abrir facsímil")</f>
        <v>Abrir facsímil</v>
      </c>
      <c r="K9549" s="12" t="s">
        <v>65</v>
      </c>
    </row>
    <row r="9550" spans="1:11" ht="40.049999999999997" customHeight="1" x14ac:dyDescent="0.25">
      <c r="A9550" s="11" t="s">
        <v>18827</v>
      </c>
      <c r="B9550" s="11" t="s">
        <v>18827</v>
      </c>
      <c r="C9550" s="11" t="s">
        <v>17</v>
      </c>
      <c r="D9550" s="11" t="s">
        <v>18</v>
      </c>
      <c r="E9550" s="12" t="s">
        <v>94</v>
      </c>
      <c r="F9550" s="12" t="s">
        <v>95</v>
      </c>
      <c r="G9550" s="12" t="s">
        <v>21</v>
      </c>
      <c r="H9550" s="11" t="s">
        <v>63</v>
      </c>
      <c r="I9550" s="13" t="s">
        <v>18866</v>
      </c>
      <c r="J9550" s="14" t="str">
        <f>HYPERLINK("https://www.boe.es/gazeta/dias/1839/02/24/pdfs/GMD-1839-1562.pdf#page=4","Abrir facsímil")</f>
        <v>Abrir facsímil</v>
      </c>
      <c r="K9550" s="12" t="s">
        <v>65</v>
      </c>
    </row>
    <row r="9551" spans="1:11" ht="40.049999999999997" customHeight="1" x14ac:dyDescent="0.25">
      <c r="A9551" s="11" t="s">
        <v>18827</v>
      </c>
      <c r="B9551" s="11" t="s">
        <v>18827</v>
      </c>
      <c r="C9551" s="11" t="s">
        <v>80</v>
      </c>
      <c r="D9551" s="11" t="s">
        <v>18</v>
      </c>
      <c r="E9551" s="12" t="s">
        <v>1079</v>
      </c>
      <c r="F9551" s="12" t="s">
        <v>1080</v>
      </c>
      <c r="G9551" s="12" t="s">
        <v>40</v>
      </c>
      <c r="H9551" s="11" t="s">
        <v>63</v>
      </c>
      <c r="I9551" s="13" t="s">
        <v>18867</v>
      </c>
      <c r="J9551" s="14" t="str">
        <f>HYPERLINK("https://www.boe.es/gazeta/dias/1839/05/24/pdfs/GMD-1839-1651.pdf#page=2","Abrir facsímil")</f>
        <v>Abrir facsímil</v>
      </c>
      <c r="K9551" s="12" t="s">
        <v>65</v>
      </c>
    </row>
    <row r="9552" spans="1:11" ht="40.049999999999997" customHeight="1" x14ac:dyDescent="0.25">
      <c r="A9552" s="11" t="s">
        <v>18827</v>
      </c>
      <c r="B9552" s="11" t="s">
        <v>18827</v>
      </c>
      <c r="C9552" s="11" t="s">
        <v>137</v>
      </c>
      <c r="D9552" s="11" t="s">
        <v>18</v>
      </c>
      <c r="E9552" s="12" t="s">
        <v>276</v>
      </c>
      <c r="F9552" s="12" t="s">
        <v>277</v>
      </c>
      <c r="G9552" s="12" t="s">
        <v>29</v>
      </c>
      <c r="H9552" s="11" t="s">
        <v>63</v>
      </c>
      <c r="I9552" s="13" t="s">
        <v>18868</v>
      </c>
      <c r="J9552" s="14" t="str">
        <f>HYPERLINK("https://www.boe.es/gazeta/dias/1839/09/24/pdfs/GMD-1839-1780.pdf#page=1","Abrir facsímil")</f>
        <v>Abrir facsímil</v>
      </c>
      <c r="K9552" s="12" t="s">
        <v>65</v>
      </c>
    </row>
    <row r="9553" spans="1:11" ht="40.049999999999997" customHeight="1" x14ac:dyDescent="0.25">
      <c r="A9553" s="11" t="s">
        <v>18827</v>
      </c>
      <c r="B9553" s="11" t="s">
        <v>18827</v>
      </c>
      <c r="C9553" s="11" t="s">
        <v>137</v>
      </c>
      <c r="D9553" s="11" t="s">
        <v>18</v>
      </c>
      <c r="E9553" s="12" t="s">
        <v>926</v>
      </c>
      <c r="F9553" s="12" t="s">
        <v>927</v>
      </c>
      <c r="G9553" s="12" t="s">
        <v>21</v>
      </c>
      <c r="H9553" s="11" t="s">
        <v>63</v>
      </c>
      <c r="I9553" s="13" t="s">
        <v>18869</v>
      </c>
      <c r="J9553" s="14" t="str">
        <f>HYPERLINK("https://www.boe.es/gazeta/dias/1839/01/25/pdfs/GMD-1839-1532.pdf#page=4","Abrir facsímil")</f>
        <v>Abrir facsímil</v>
      </c>
      <c r="K9553" s="12" t="s">
        <v>65</v>
      </c>
    </row>
    <row r="9554" spans="1:11" ht="40.049999999999997" customHeight="1" x14ac:dyDescent="0.25">
      <c r="A9554" s="11" t="s">
        <v>18827</v>
      </c>
      <c r="B9554" s="11" t="s">
        <v>18827</v>
      </c>
      <c r="C9554" s="11" t="s">
        <v>17</v>
      </c>
      <c r="D9554" s="11" t="s">
        <v>18</v>
      </c>
      <c r="E9554" s="12" t="s">
        <v>405</v>
      </c>
      <c r="F9554" s="12" t="s">
        <v>406</v>
      </c>
      <c r="G9554" s="12" t="s">
        <v>29</v>
      </c>
      <c r="H9554" s="11" t="s">
        <v>63</v>
      </c>
      <c r="I9554" s="13" t="s">
        <v>18870</v>
      </c>
      <c r="J9554" s="14" t="str">
        <f>HYPERLINK("https://www.boe.es/gazeta/dias/1839/03/25/pdfs/GMD-1839-1591.pdf#page=1","Abrir facsímil")</f>
        <v>Abrir facsímil</v>
      </c>
      <c r="K9554" s="12" t="s">
        <v>65</v>
      </c>
    </row>
    <row r="9555" spans="1:11" ht="40.049999999999997" customHeight="1" x14ac:dyDescent="0.25">
      <c r="A9555" s="11" t="s">
        <v>18827</v>
      </c>
      <c r="B9555" s="11" t="s">
        <v>18827</v>
      </c>
      <c r="C9555" s="11" t="s">
        <v>17</v>
      </c>
      <c r="D9555" s="11" t="s">
        <v>18</v>
      </c>
      <c r="E9555" s="12" t="s">
        <v>111</v>
      </c>
      <c r="F9555" s="12" t="s">
        <v>112</v>
      </c>
      <c r="G9555" s="12" t="s">
        <v>21</v>
      </c>
      <c r="H9555" s="11" t="s">
        <v>63</v>
      </c>
      <c r="I9555" s="13" t="s">
        <v>18871</v>
      </c>
      <c r="J9555" s="14" t="str">
        <f>HYPERLINK("https://www.boe.es/gazeta/dias/1839/07/25/pdfs/GMD-1839-1714.pdf#page=4","Abrir facsímil")</f>
        <v>Abrir facsímil</v>
      </c>
      <c r="K9555" s="12" t="s">
        <v>65</v>
      </c>
    </row>
    <row r="9556" spans="1:11" ht="40.049999999999997" customHeight="1" x14ac:dyDescent="0.25">
      <c r="A9556" s="11" t="s">
        <v>18827</v>
      </c>
      <c r="B9556" s="11" t="s">
        <v>18827</v>
      </c>
      <c r="C9556" s="11" t="s">
        <v>17</v>
      </c>
      <c r="D9556" s="11" t="s">
        <v>18</v>
      </c>
      <c r="E9556" s="12" t="s">
        <v>375</v>
      </c>
      <c r="F9556" s="12" t="s">
        <v>376</v>
      </c>
      <c r="G9556" s="12" t="s">
        <v>29</v>
      </c>
      <c r="H9556" s="11" t="s">
        <v>63</v>
      </c>
      <c r="I9556" s="13" t="s">
        <v>18872</v>
      </c>
      <c r="J9556" s="14" t="str">
        <f>HYPERLINK("https://www.boe.es/gazeta/dias/1839/11/25/pdfs/GMD-1839-1842.pdf#page=1","Abrir facsímil")</f>
        <v>Abrir facsímil</v>
      </c>
      <c r="K9556" s="12" t="s">
        <v>65</v>
      </c>
    </row>
    <row r="9557" spans="1:11" ht="40.049999999999997" customHeight="1" x14ac:dyDescent="0.25">
      <c r="A9557" s="11" t="s">
        <v>18827</v>
      </c>
      <c r="B9557" s="11" t="s">
        <v>18827</v>
      </c>
      <c r="C9557" s="11" t="s">
        <v>17</v>
      </c>
      <c r="D9557" s="11" t="s">
        <v>18</v>
      </c>
      <c r="E9557" s="12" t="s">
        <v>1685</v>
      </c>
      <c r="F9557" s="12" t="s">
        <v>1686</v>
      </c>
      <c r="G9557" s="12" t="s">
        <v>40</v>
      </c>
      <c r="H9557" s="11" t="s">
        <v>63</v>
      </c>
      <c r="I9557" s="13" t="s">
        <v>18873</v>
      </c>
      <c r="J9557" s="14" t="str">
        <f>HYPERLINK("https://www.boe.es/gazeta/dias/1839/04/27/pdfs/GMD-1839-1624.pdf#page=2","Abrir facsímil")</f>
        <v>Abrir facsímil</v>
      </c>
      <c r="K9557" s="12" t="s">
        <v>65</v>
      </c>
    </row>
    <row r="9558" spans="1:11" ht="40.049999999999997" customHeight="1" x14ac:dyDescent="0.25">
      <c r="A9558" s="11" t="s">
        <v>18827</v>
      </c>
      <c r="B9558" s="11" t="s">
        <v>18827</v>
      </c>
      <c r="C9558" s="11" t="s">
        <v>80</v>
      </c>
      <c r="D9558" s="11" t="s">
        <v>18</v>
      </c>
      <c r="E9558" s="12" t="s">
        <v>817</v>
      </c>
      <c r="F9558" s="12" t="s">
        <v>818</v>
      </c>
      <c r="G9558" s="12" t="s">
        <v>21</v>
      </c>
      <c r="H9558" s="11" t="s">
        <v>63</v>
      </c>
      <c r="I9558" s="13" t="s">
        <v>18874</v>
      </c>
      <c r="J9558" s="14" t="str">
        <f>HYPERLINK("https://www.boe.es/gazeta/dias/1839/05/28/pdfs/GMD-1839-1655.pdf#page=4","Abrir facsímil")</f>
        <v>Abrir facsímil</v>
      </c>
      <c r="K9558" s="12" t="s">
        <v>65</v>
      </c>
    </row>
    <row r="9559" spans="1:11" ht="40.049999999999997" customHeight="1" x14ac:dyDescent="0.25">
      <c r="A9559" s="11" t="s">
        <v>18827</v>
      </c>
      <c r="B9559" s="11" t="s">
        <v>18827</v>
      </c>
      <c r="C9559" s="11" t="s">
        <v>101</v>
      </c>
      <c r="D9559" s="11" t="s">
        <v>43</v>
      </c>
      <c r="E9559" s="12" t="s">
        <v>1867</v>
      </c>
      <c r="F9559" s="12" t="s">
        <v>1868</v>
      </c>
      <c r="G9559" s="12" t="s">
        <v>40</v>
      </c>
      <c r="H9559" s="11" t="s">
        <v>63</v>
      </c>
      <c r="I9559" s="13" t="s">
        <v>18875</v>
      </c>
      <c r="J9559" s="14" t="str">
        <f>HYPERLINK("https://www.boe.es/gazeta/dias/1839/01/30/pdfs/GMD-1839-1537.pdf#page=2","Abrir facsímil")</f>
        <v>Abrir facsímil</v>
      </c>
      <c r="K9559" s="12" t="s">
        <v>65</v>
      </c>
    </row>
    <row r="9560" spans="1:11" ht="40.049999999999997" customHeight="1" x14ac:dyDescent="0.25">
      <c r="A9560" s="11" t="s">
        <v>18827</v>
      </c>
      <c r="B9560" s="11" t="s">
        <v>18827</v>
      </c>
      <c r="C9560" s="11" t="s">
        <v>17</v>
      </c>
      <c r="D9560" s="11" t="s">
        <v>18</v>
      </c>
      <c r="E9560" s="12" t="s">
        <v>907</v>
      </c>
      <c r="F9560" s="12" t="s">
        <v>908</v>
      </c>
      <c r="G9560" s="12" t="s">
        <v>21</v>
      </c>
      <c r="H9560" s="11" t="s">
        <v>63</v>
      </c>
      <c r="I9560" s="13" t="s">
        <v>18876</v>
      </c>
      <c r="J9560" s="14" t="str">
        <f>HYPERLINK("https://www.boe.es/gazeta/dias/1839/07/31/pdfs/GMD-1839-1720.pdf#page=4","Abrir facsímil")</f>
        <v>Abrir facsímil</v>
      </c>
      <c r="K9560" s="12" t="s">
        <v>65</v>
      </c>
    </row>
    <row r="9561" spans="1:11" ht="40.049999999999997" customHeight="1" x14ac:dyDescent="0.25">
      <c r="A9561" s="11" t="s">
        <v>18877</v>
      </c>
      <c r="B9561" s="11" t="s">
        <v>18878</v>
      </c>
      <c r="C9561" s="11" t="s">
        <v>137</v>
      </c>
      <c r="D9561" s="11" t="s">
        <v>18</v>
      </c>
      <c r="E9561" s="12" t="s">
        <v>38</v>
      </c>
      <c r="F9561" s="12" t="s">
        <v>39</v>
      </c>
      <c r="G9561" s="12" t="s">
        <v>21</v>
      </c>
      <c r="H9561" s="11" t="s">
        <v>22</v>
      </c>
      <c r="I9561" s="13" t="s">
        <v>18879</v>
      </c>
      <c r="J9561" s="14" t="str">
        <f>HYPERLINK("https://www.boe.es/gazeta/dias/1839/08/08/pdfs/GMD-1839-1728.pdf#page=4","Abrir facsímil")</f>
        <v>Abrir facsímil</v>
      </c>
      <c r="K9561" s="12" t="s">
        <v>24</v>
      </c>
    </row>
    <row r="9562" spans="1:11" ht="40.049999999999997" customHeight="1" x14ac:dyDescent="0.25">
      <c r="A9562" s="11" t="s">
        <v>18880</v>
      </c>
      <c r="B9562" s="11" t="s">
        <v>18881</v>
      </c>
      <c r="C9562" s="11" t="s">
        <v>17</v>
      </c>
      <c r="D9562" s="11" t="s">
        <v>18</v>
      </c>
      <c r="E9562" s="12" t="s">
        <v>138</v>
      </c>
      <c r="F9562" s="12" t="s">
        <v>139</v>
      </c>
      <c r="G9562" s="12" t="s">
        <v>21</v>
      </c>
      <c r="H9562" s="11" t="s">
        <v>22</v>
      </c>
      <c r="I9562" s="13" t="s">
        <v>18882</v>
      </c>
      <c r="J9562" s="14" t="str">
        <f>HYPERLINK("https://www.boe.es/gazeta/dias/1839/10/09/pdfs/GMD-1839-1795.pdf#page=4","Abrir facsímil")</f>
        <v>Abrir facsímil</v>
      </c>
      <c r="K9562" s="12" t="s">
        <v>24</v>
      </c>
    </row>
    <row r="9563" spans="1:11" ht="40.049999999999997" customHeight="1" x14ac:dyDescent="0.25">
      <c r="A9563" s="11" t="s">
        <v>18880</v>
      </c>
      <c r="B9563" s="11" t="s">
        <v>18881</v>
      </c>
      <c r="C9563" s="11" t="s">
        <v>101</v>
      </c>
      <c r="D9563" s="11" t="s">
        <v>43</v>
      </c>
      <c r="E9563" s="12" t="s">
        <v>222</v>
      </c>
      <c r="F9563" s="12" t="s">
        <v>223</v>
      </c>
      <c r="G9563" s="12" t="s">
        <v>21</v>
      </c>
      <c r="H9563" s="11" t="s">
        <v>22</v>
      </c>
      <c r="I9563" s="13" t="s">
        <v>18883</v>
      </c>
      <c r="J9563" s="14" t="str">
        <f>HYPERLINK("https://www.boe.es/gazeta/dias/1839/06/22/pdfs/GMD-1839-1680.pdf#page=4","Abrir facsímil")</f>
        <v>Abrir facsímil</v>
      </c>
      <c r="K9563" s="12" t="s">
        <v>24</v>
      </c>
    </row>
    <row r="9564" spans="1:11" ht="40.049999999999997" customHeight="1" x14ac:dyDescent="0.25">
      <c r="A9564" s="11" t="s">
        <v>18880</v>
      </c>
      <c r="B9564" s="11" t="s">
        <v>18881</v>
      </c>
      <c r="C9564" s="11" t="s">
        <v>137</v>
      </c>
      <c r="D9564" s="11" t="s">
        <v>18</v>
      </c>
      <c r="E9564" s="12" t="s">
        <v>346</v>
      </c>
      <c r="F9564" s="12" t="s">
        <v>347</v>
      </c>
      <c r="G9564" s="12" t="s">
        <v>29</v>
      </c>
      <c r="H9564" s="11" t="s">
        <v>22</v>
      </c>
      <c r="I9564" s="13" t="s">
        <v>18884</v>
      </c>
      <c r="J9564" s="14" t="str">
        <f>HYPERLINK("https://www.boe.es/gazeta/dias/1839/03/24/pdfs/GMD-1839-1590.pdf#page=1","Abrir facsímil")</f>
        <v>Abrir facsímil</v>
      </c>
      <c r="K9564" s="12" t="s">
        <v>24</v>
      </c>
    </row>
    <row r="9565" spans="1:11" ht="40.049999999999997" customHeight="1" x14ac:dyDescent="0.25">
      <c r="A9565" s="11" t="s">
        <v>18885</v>
      </c>
      <c r="B9565" s="11" t="s">
        <v>18886</v>
      </c>
      <c r="C9565" s="11" t="s">
        <v>17</v>
      </c>
      <c r="D9565" s="11" t="s">
        <v>18</v>
      </c>
      <c r="E9565" s="12" t="s">
        <v>258</v>
      </c>
      <c r="F9565" s="12" t="s">
        <v>259</v>
      </c>
      <c r="G9565" s="12" t="s">
        <v>46</v>
      </c>
      <c r="H9565" s="11" t="s">
        <v>22</v>
      </c>
      <c r="I9565" s="13" t="s">
        <v>18887</v>
      </c>
      <c r="J9565" s="14" t="str">
        <f>HYPERLINK("https://www.boe.es/gazeta/dias/1839/01/02/pdfs/GMD-1839-1509.pdf#page=3","Abrir facsímil")</f>
        <v>Abrir facsímil</v>
      </c>
      <c r="K9565" s="12" t="s">
        <v>24</v>
      </c>
    </row>
    <row r="9566" spans="1:11" ht="40.049999999999997" customHeight="1" x14ac:dyDescent="0.25">
      <c r="A9566" s="11" t="s">
        <v>18888</v>
      </c>
      <c r="B9566" s="11" t="s">
        <v>18889</v>
      </c>
      <c r="C9566" s="11" t="s">
        <v>17</v>
      </c>
      <c r="D9566" s="11" t="s">
        <v>18</v>
      </c>
      <c r="E9566" s="12" t="s">
        <v>1332</v>
      </c>
      <c r="F9566" s="12" t="s">
        <v>1333</v>
      </c>
      <c r="G9566" s="12" t="s">
        <v>21</v>
      </c>
      <c r="H9566" s="11" t="s">
        <v>22</v>
      </c>
      <c r="I9566" s="13" t="s">
        <v>18890</v>
      </c>
      <c r="J9566" s="14" t="str">
        <f>HYPERLINK("https://www.boe.es/gazeta/dias/1839/05/04/pdfs/GMD-1839-1631.pdf#page=4","Abrir facsímil")</f>
        <v>Abrir facsímil</v>
      </c>
      <c r="K9566" s="12" t="s">
        <v>24</v>
      </c>
    </row>
    <row r="9567" spans="1:11" ht="40.049999999999997" customHeight="1" x14ac:dyDescent="0.25">
      <c r="A9567" s="11" t="s">
        <v>18891</v>
      </c>
      <c r="B9567" s="11" t="s">
        <v>18892</v>
      </c>
      <c r="C9567" s="11" t="s">
        <v>17</v>
      </c>
      <c r="D9567" s="11" t="s">
        <v>18</v>
      </c>
      <c r="E9567" s="12" t="s">
        <v>1813</v>
      </c>
      <c r="F9567" s="12" t="s">
        <v>1814</v>
      </c>
      <c r="G9567" s="12" t="s">
        <v>46</v>
      </c>
      <c r="H9567" s="11" t="s">
        <v>63</v>
      </c>
      <c r="I9567" s="13" t="s">
        <v>18893</v>
      </c>
      <c r="J9567" s="14" t="str">
        <f>HYPERLINK("https://www.boe.es/gazeta/dias/1839/09/02/pdfs/GMD-1839-1754.pdf#page=3","Abrir facsímil")</f>
        <v>Abrir facsímil</v>
      </c>
      <c r="K9567" s="12" t="s">
        <v>65</v>
      </c>
    </row>
    <row r="9568" spans="1:11" ht="40.049999999999997" customHeight="1" x14ac:dyDescent="0.25">
      <c r="A9568" s="11" t="s">
        <v>18894</v>
      </c>
      <c r="B9568" s="11" t="s">
        <v>18895</v>
      </c>
      <c r="C9568" s="11" t="s">
        <v>17</v>
      </c>
      <c r="D9568" s="11" t="s">
        <v>18</v>
      </c>
      <c r="E9568" s="12" t="s">
        <v>239</v>
      </c>
      <c r="F9568" s="12" t="s">
        <v>240</v>
      </c>
      <c r="G9568" s="12" t="s">
        <v>29</v>
      </c>
      <c r="H9568" s="11" t="s">
        <v>63</v>
      </c>
      <c r="I9568" s="13" t="s">
        <v>18896</v>
      </c>
      <c r="J9568" s="14" t="str">
        <f>HYPERLINK("https://www.boe.es/gazeta/dias/1839/09/22/pdfs/GMD-1839-1777.pdf#page=1","Abrir facsímil")</f>
        <v>Abrir facsímil</v>
      </c>
      <c r="K9568" s="12" t="s">
        <v>65</v>
      </c>
    </row>
    <row r="9569" spans="1:11" ht="40.049999999999997" customHeight="1" x14ac:dyDescent="0.25">
      <c r="A9569" s="11" t="s">
        <v>18897</v>
      </c>
      <c r="B9569" s="11" t="s">
        <v>18898</v>
      </c>
      <c r="C9569" s="11" t="s">
        <v>17</v>
      </c>
      <c r="D9569" s="11" t="s">
        <v>18</v>
      </c>
      <c r="E9569" s="12" t="s">
        <v>2507</v>
      </c>
      <c r="F9569" s="12" t="s">
        <v>2508</v>
      </c>
      <c r="G9569" s="12" t="s">
        <v>21</v>
      </c>
      <c r="H9569" s="11" t="s">
        <v>22</v>
      </c>
      <c r="I9569" s="13" t="s">
        <v>18899</v>
      </c>
      <c r="J9569" s="14" t="str">
        <f>HYPERLINK("https://www.boe.es/gazeta/dias/1839/03/08/pdfs/GMD-1839-1574.pdf#page=4","Abrir facsímil")</f>
        <v>Abrir facsímil</v>
      </c>
      <c r="K9569" s="12" t="s">
        <v>24</v>
      </c>
    </row>
    <row r="9570" spans="1:11" ht="40.049999999999997" customHeight="1" x14ac:dyDescent="0.25">
      <c r="A9570" s="11" t="s">
        <v>18900</v>
      </c>
      <c r="B9570" s="11" t="s">
        <v>18900</v>
      </c>
      <c r="C9570" s="11" t="s">
        <v>17</v>
      </c>
      <c r="D9570" s="11" t="s">
        <v>18</v>
      </c>
      <c r="E9570" s="12" t="s">
        <v>3224</v>
      </c>
      <c r="F9570" s="12" t="s">
        <v>3225</v>
      </c>
      <c r="G9570" s="12" t="s">
        <v>46</v>
      </c>
      <c r="H9570" s="11" t="s">
        <v>63</v>
      </c>
      <c r="I9570" s="13" t="s">
        <v>18901</v>
      </c>
      <c r="J9570" s="14" t="str">
        <f>HYPERLINK("https://www.boe.es/gazeta/dias/1839/06/03/pdfs/GMD-1839-1661.pdf#page=3","Abrir facsímil")</f>
        <v>Abrir facsímil</v>
      </c>
      <c r="K9570" s="12" t="s">
        <v>65</v>
      </c>
    </row>
    <row r="9571" spans="1:11" ht="40.049999999999997" customHeight="1" x14ac:dyDescent="0.25">
      <c r="A9571" s="11" t="s">
        <v>18900</v>
      </c>
      <c r="B9571" s="11" t="s">
        <v>18900</v>
      </c>
      <c r="C9571" s="11" t="s">
        <v>17</v>
      </c>
      <c r="D9571" s="11" t="s">
        <v>18</v>
      </c>
      <c r="E9571" s="12" t="s">
        <v>3224</v>
      </c>
      <c r="F9571" s="12" t="s">
        <v>3225</v>
      </c>
      <c r="G9571" s="12" t="s">
        <v>21</v>
      </c>
      <c r="H9571" s="11" t="s">
        <v>63</v>
      </c>
      <c r="I9571" s="13" t="s">
        <v>18902</v>
      </c>
      <c r="J9571" s="14" t="str">
        <f>HYPERLINK("https://www.boe.es/gazeta/dias/1839/06/03/pdfs/GMD-1839-1661.pdf#page=4","Abrir facsímil")</f>
        <v>Abrir facsímil</v>
      </c>
      <c r="K9571" s="12" t="s">
        <v>65</v>
      </c>
    </row>
    <row r="9572" spans="1:11" ht="40.049999999999997" customHeight="1" x14ac:dyDescent="0.25">
      <c r="A9572" s="11" t="s">
        <v>18900</v>
      </c>
      <c r="B9572" s="11" t="s">
        <v>18900</v>
      </c>
      <c r="C9572" s="11" t="s">
        <v>17</v>
      </c>
      <c r="D9572" s="11" t="s">
        <v>18</v>
      </c>
      <c r="E9572" s="12" t="s">
        <v>1388</v>
      </c>
      <c r="F9572" s="12" t="s">
        <v>1389</v>
      </c>
      <c r="G9572" s="12" t="s">
        <v>46</v>
      </c>
      <c r="H9572" s="11" t="s">
        <v>63</v>
      </c>
      <c r="I9572" s="13" t="s">
        <v>18903</v>
      </c>
      <c r="J9572" s="14" t="str">
        <f>HYPERLINK("https://www.boe.es/gazeta/dias/1839/06/04/pdfs/GMD-1839-1662.pdf#page=3","Abrir facsímil")</f>
        <v>Abrir facsímil</v>
      </c>
      <c r="K9572" s="12" t="s">
        <v>65</v>
      </c>
    </row>
    <row r="9573" spans="1:11" ht="40.049999999999997" customHeight="1" x14ac:dyDescent="0.25">
      <c r="A9573" s="11" t="s">
        <v>18900</v>
      </c>
      <c r="B9573" s="11" t="s">
        <v>18900</v>
      </c>
      <c r="C9573" s="11" t="s">
        <v>101</v>
      </c>
      <c r="D9573" s="11" t="s">
        <v>43</v>
      </c>
      <c r="E9573" s="12" t="s">
        <v>486</v>
      </c>
      <c r="F9573" s="12" t="s">
        <v>487</v>
      </c>
      <c r="G9573" s="12" t="s">
        <v>29</v>
      </c>
      <c r="H9573" s="11" t="s">
        <v>63</v>
      </c>
      <c r="I9573" s="13" t="s">
        <v>18904</v>
      </c>
      <c r="J9573" s="14" t="str">
        <f>HYPERLINK("https://www.boe.es/gazeta/dias/1839/04/19/pdfs/GMD-1839-1616.pdf#page=1","Abrir facsímil")</f>
        <v>Abrir facsímil</v>
      </c>
      <c r="K9573" s="12" t="s">
        <v>65</v>
      </c>
    </row>
    <row r="9574" spans="1:11" ht="40.049999999999997" customHeight="1" x14ac:dyDescent="0.25">
      <c r="A9574" s="11" t="s">
        <v>18905</v>
      </c>
      <c r="B9574" s="11" t="s">
        <v>18906</v>
      </c>
      <c r="C9574" s="11" t="s">
        <v>17</v>
      </c>
      <c r="D9574" s="11" t="s">
        <v>18</v>
      </c>
      <c r="E9574" s="12" t="s">
        <v>756</v>
      </c>
      <c r="F9574" s="12" t="s">
        <v>757</v>
      </c>
      <c r="G9574" s="12" t="s">
        <v>21</v>
      </c>
      <c r="H9574" s="11" t="s">
        <v>63</v>
      </c>
      <c r="I9574" s="13" t="s">
        <v>18907</v>
      </c>
      <c r="J9574" s="14" t="str">
        <f>HYPERLINK("https://www.boe.es/gazeta/dias/1839/12/17/pdfs/GMD-1839-1864.pdf#page=4","Abrir facsímil")</f>
        <v>Abrir facsímil</v>
      </c>
      <c r="K9574" s="12" t="s">
        <v>65</v>
      </c>
    </row>
    <row r="9575" spans="1:11" ht="40.049999999999997" customHeight="1" x14ac:dyDescent="0.25">
      <c r="A9575" s="11" t="s">
        <v>18908</v>
      </c>
      <c r="B9575" s="11" t="s">
        <v>18908</v>
      </c>
      <c r="C9575" s="11" t="s">
        <v>80</v>
      </c>
      <c r="D9575" s="11" t="s">
        <v>18</v>
      </c>
      <c r="E9575" s="12" t="s">
        <v>7119</v>
      </c>
      <c r="F9575" s="12" t="s">
        <v>7120</v>
      </c>
      <c r="G9575" s="12" t="s">
        <v>21</v>
      </c>
      <c r="H9575" s="11" t="s">
        <v>22</v>
      </c>
      <c r="I9575" s="13" t="s">
        <v>18909</v>
      </c>
      <c r="J9575" s="14" t="str">
        <f>HYPERLINK("https://www.boe.es/gazeta/dias/1839/05/22/pdfs/GMD-1839-1649.pdf#page=4","Abrir facsímil")</f>
        <v>Abrir facsímil</v>
      </c>
      <c r="K9575" s="12" t="s">
        <v>24</v>
      </c>
    </row>
    <row r="9576" spans="1:11" ht="40.049999999999997" customHeight="1" x14ac:dyDescent="0.25">
      <c r="A9576" s="11" t="s">
        <v>18910</v>
      </c>
      <c r="B9576" s="11" t="s">
        <v>18910</v>
      </c>
      <c r="C9576" s="11" t="s">
        <v>17</v>
      </c>
      <c r="D9576" s="11" t="s">
        <v>18</v>
      </c>
      <c r="E9576" s="12" t="s">
        <v>510</v>
      </c>
      <c r="F9576" s="12" t="s">
        <v>511</v>
      </c>
      <c r="G9576" s="12" t="s">
        <v>21</v>
      </c>
      <c r="H9576" s="11" t="s">
        <v>22</v>
      </c>
      <c r="I9576" s="13" t="s">
        <v>18911</v>
      </c>
      <c r="J9576" s="14" t="str">
        <f>HYPERLINK("https://www.boe.es/gazeta/dias/1839/05/13/pdfs/GMD-1839-1640.pdf#page=4","Abrir facsímil")</f>
        <v>Abrir facsímil</v>
      </c>
      <c r="K9576" s="12" t="s">
        <v>24</v>
      </c>
    </row>
    <row r="9577" spans="1:11" ht="40.049999999999997" customHeight="1" x14ac:dyDescent="0.25">
      <c r="A9577" s="11" t="s">
        <v>18910</v>
      </c>
      <c r="B9577" s="11" t="s">
        <v>18910</v>
      </c>
      <c r="C9577" s="11" t="s">
        <v>137</v>
      </c>
      <c r="D9577" s="11" t="s">
        <v>18</v>
      </c>
      <c r="E9577" s="12" t="s">
        <v>1378</v>
      </c>
      <c r="F9577" s="12" t="s">
        <v>1379</v>
      </c>
      <c r="G9577" s="12" t="s">
        <v>21</v>
      </c>
      <c r="H9577" s="11" t="s">
        <v>22</v>
      </c>
      <c r="I9577" s="13" t="s">
        <v>18912</v>
      </c>
      <c r="J9577" s="14" t="str">
        <f>HYPERLINK("https://www.boe.es/gazeta/dias/1839/05/18/pdfs/GMD-1839-1645.pdf#page=4","Abrir facsímil")</f>
        <v>Abrir facsímil</v>
      </c>
      <c r="K9577" s="12" t="s">
        <v>24</v>
      </c>
    </row>
    <row r="9578" spans="1:11" ht="40.049999999999997" customHeight="1" x14ac:dyDescent="0.25">
      <c r="A9578" s="11" t="s">
        <v>18910</v>
      </c>
      <c r="B9578" s="11" t="s">
        <v>18910</v>
      </c>
      <c r="C9578" s="11" t="s">
        <v>17</v>
      </c>
      <c r="D9578" s="11" t="s">
        <v>18</v>
      </c>
      <c r="E9578" s="12" t="s">
        <v>2392</v>
      </c>
      <c r="F9578" s="12" t="s">
        <v>2393</v>
      </c>
      <c r="G9578" s="12" t="s">
        <v>21</v>
      </c>
      <c r="H9578" s="11" t="s">
        <v>22</v>
      </c>
      <c r="I9578" s="13" t="s">
        <v>18913</v>
      </c>
      <c r="J9578" s="14" t="str">
        <f>HYPERLINK("https://www.boe.es/gazeta/dias/1839/05/21/pdfs/GMD-1839-1648.pdf#page=4","Abrir facsímil")</f>
        <v>Abrir facsímil</v>
      </c>
      <c r="K9578" s="12" t="s">
        <v>24</v>
      </c>
    </row>
    <row r="9579" spans="1:11" ht="40.049999999999997" customHeight="1" x14ac:dyDescent="0.25">
      <c r="A9579" s="11" t="s">
        <v>18910</v>
      </c>
      <c r="B9579" s="11" t="s">
        <v>18910</v>
      </c>
      <c r="C9579" s="11" t="s">
        <v>80</v>
      </c>
      <c r="D9579" s="11" t="s">
        <v>18</v>
      </c>
      <c r="E9579" s="12" t="s">
        <v>125</v>
      </c>
      <c r="F9579" s="12" t="s">
        <v>126</v>
      </c>
      <c r="G9579" s="12" t="s">
        <v>21</v>
      </c>
      <c r="H9579" s="11" t="s">
        <v>22</v>
      </c>
      <c r="I9579" s="13" t="s">
        <v>18914</v>
      </c>
      <c r="J9579" s="14" t="str">
        <f>HYPERLINK("https://www.boe.es/gazeta/dias/1839/05/23/pdfs/GMD-1839-1650.pdf#page=4","Abrir facsímil")</f>
        <v>Abrir facsímil</v>
      </c>
      <c r="K9579" s="12" t="s">
        <v>24</v>
      </c>
    </row>
    <row r="9580" spans="1:11" ht="40.049999999999997" customHeight="1" x14ac:dyDescent="0.25">
      <c r="A9580" s="11" t="s">
        <v>18915</v>
      </c>
      <c r="B9580" s="11" t="s">
        <v>18916</v>
      </c>
      <c r="C9580" s="11" t="s">
        <v>101</v>
      </c>
      <c r="D9580" s="11" t="s">
        <v>43</v>
      </c>
      <c r="E9580" s="12" t="s">
        <v>1446</v>
      </c>
      <c r="F9580" s="12" t="s">
        <v>1447</v>
      </c>
      <c r="G9580" s="12" t="s">
        <v>21</v>
      </c>
      <c r="H9580" s="11" t="s">
        <v>22</v>
      </c>
      <c r="I9580" s="13" t="s">
        <v>18917</v>
      </c>
      <c r="J9580" s="14" t="str">
        <f>HYPERLINK("https://www.boe.es/gazeta/dias/1839/08/25/pdfs/GMD-1839-1746.pdf#page=4","Abrir facsímil")</f>
        <v>Abrir facsímil</v>
      </c>
      <c r="K9580" s="12" t="s">
        <v>24</v>
      </c>
    </row>
    <row r="9581" spans="1:11" ht="40.049999999999997" customHeight="1" x14ac:dyDescent="0.25">
      <c r="A9581" s="11" t="s">
        <v>18918</v>
      </c>
      <c r="B9581" s="11" t="s">
        <v>18918</v>
      </c>
      <c r="C9581" s="11" t="s">
        <v>80</v>
      </c>
      <c r="D9581" s="11" t="s">
        <v>173</v>
      </c>
      <c r="E9581" s="12" t="s">
        <v>291</v>
      </c>
      <c r="F9581" s="12" t="s">
        <v>292</v>
      </c>
      <c r="G9581" s="12" t="s">
        <v>21</v>
      </c>
      <c r="H9581" s="11" t="s">
        <v>63</v>
      </c>
      <c r="I9581" s="13" t="s">
        <v>18919</v>
      </c>
      <c r="J9581" s="14" t="str">
        <f>HYPERLINK("https://www.boe.es/gazeta/dias/1839/09/04/pdfs/GMD-1839-1757.pdf#page=4","Abrir facsímil")</f>
        <v>Abrir facsímil</v>
      </c>
      <c r="K9581" s="12" t="s">
        <v>65</v>
      </c>
    </row>
    <row r="9582" spans="1:11" ht="40.049999999999997" customHeight="1" x14ac:dyDescent="0.25">
      <c r="A9582" s="11" t="s">
        <v>18918</v>
      </c>
      <c r="B9582" s="11" t="s">
        <v>18918</v>
      </c>
      <c r="C9582" s="11" t="s">
        <v>80</v>
      </c>
      <c r="D9582" s="11" t="s">
        <v>18</v>
      </c>
      <c r="E9582" s="12" t="s">
        <v>1414</v>
      </c>
      <c r="F9582" s="12" t="s">
        <v>1415</v>
      </c>
      <c r="G9582" s="12" t="s">
        <v>21</v>
      </c>
      <c r="H9582" s="11" t="s">
        <v>63</v>
      </c>
      <c r="I9582" s="13" t="s">
        <v>18920</v>
      </c>
      <c r="J9582" s="14" t="str">
        <f>HYPERLINK("https://www.boe.es/gazeta/dias/1839/06/12/pdfs/GMD-1839-1670.pdf#page=4","Abrir facsímil")</f>
        <v>Abrir facsímil</v>
      </c>
      <c r="K9582" s="12" t="s">
        <v>65</v>
      </c>
    </row>
    <row r="9583" spans="1:11" ht="40.049999999999997" customHeight="1" x14ac:dyDescent="0.25">
      <c r="A9583" s="11" t="s">
        <v>18918</v>
      </c>
      <c r="B9583" s="11" t="s">
        <v>18918</v>
      </c>
      <c r="C9583" s="11" t="s">
        <v>17</v>
      </c>
      <c r="D9583" s="11" t="s">
        <v>18</v>
      </c>
      <c r="E9583" s="12" t="s">
        <v>3114</v>
      </c>
      <c r="F9583" s="12" t="s">
        <v>3115</v>
      </c>
      <c r="G9583" s="12" t="s">
        <v>21</v>
      </c>
      <c r="H9583" s="11" t="s">
        <v>63</v>
      </c>
      <c r="I9583" s="13" t="s">
        <v>18921</v>
      </c>
      <c r="J9583" s="14" t="str">
        <f>HYPERLINK("https://www.boe.es/gazeta/dias/1839/05/15/pdfs/GMD-1839-1642.pdf#page=4","Abrir facsímil")</f>
        <v>Abrir facsímil</v>
      </c>
      <c r="K9583" s="12" t="s">
        <v>65</v>
      </c>
    </row>
    <row r="9584" spans="1:11" ht="40.049999999999997" customHeight="1" x14ac:dyDescent="0.25">
      <c r="A9584" s="11" t="s">
        <v>18918</v>
      </c>
      <c r="B9584" s="11" t="s">
        <v>18918</v>
      </c>
      <c r="C9584" s="11" t="s">
        <v>17</v>
      </c>
      <c r="D9584" s="11" t="s">
        <v>18</v>
      </c>
      <c r="E9584" s="12" t="s">
        <v>522</v>
      </c>
      <c r="F9584" s="12" t="s">
        <v>523</v>
      </c>
      <c r="G9584" s="12" t="s">
        <v>40</v>
      </c>
      <c r="H9584" s="11" t="s">
        <v>63</v>
      </c>
      <c r="I9584" s="13" t="s">
        <v>18922</v>
      </c>
      <c r="J9584" s="14" t="str">
        <f>HYPERLINK("https://www.boe.es/gazeta/dias/1839/08/27/pdfs/GMD-1839-1748.pdf#page=2","Abrir facsímil")</f>
        <v>Abrir facsímil</v>
      </c>
      <c r="K9584" s="12" t="s">
        <v>65</v>
      </c>
    </row>
    <row r="9585" spans="1:11" ht="40.049999999999997" customHeight="1" x14ac:dyDescent="0.25">
      <c r="A9585" s="11" t="s">
        <v>18923</v>
      </c>
      <c r="B9585" s="11" t="s">
        <v>18924</v>
      </c>
      <c r="C9585" s="11" t="s">
        <v>17</v>
      </c>
      <c r="D9585" s="11" t="s">
        <v>43</v>
      </c>
      <c r="E9585" s="12" t="s">
        <v>409</v>
      </c>
      <c r="F9585" s="12" t="s">
        <v>410</v>
      </c>
      <c r="G9585" s="12" t="s">
        <v>21</v>
      </c>
      <c r="H9585" s="11" t="s">
        <v>22</v>
      </c>
      <c r="I9585" s="13" t="s">
        <v>18925</v>
      </c>
      <c r="J9585" s="14" t="str">
        <f>HYPERLINK("https://www.boe.es/gazeta/dias/1839/07/05/pdfs/GMD-1839-1693.pdf#page=4","Abrir facsímil")</f>
        <v>Abrir facsímil</v>
      </c>
      <c r="K9585" s="12" t="s">
        <v>24</v>
      </c>
    </row>
    <row r="9586" spans="1:11" ht="40.049999999999997" customHeight="1" x14ac:dyDescent="0.25">
      <c r="A9586" s="11" t="s">
        <v>18923</v>
      </c>
      <c r="B9586" s="11" t="s">
        <v>18924</v>
      </c>
      <c r="C9586" s="11" t="s">
        <v>137</v>
      </c>
      <c r="D9586" s="11" t="s">
        <v>18</v>
      </c>
      <c r="E9586" s="12" t="s">
        <v>1406</v>
      </c>
      <c r="F9586" s="12" t="s">
        <v>1407</v>
      </c>
      <c r="G9586" s="12" t="s">
        <v>21</v>
      </c>
      <c r="H9586" s="11" t="s">
        <v>22</v>
      </c>
      <c r="I9586" s="13" t="s">
        <v>18926</v>
      </c>
      <c r="J9586" s="14" t="str">
        <f>HYPERLINK("https://www.boe.es/gazeta/dias/1839/07/18/pdfs/GMD-1839-1706.pdf#page=4","Abrir facsímil")</f>
        <v>Abrir facsímil</v>
      </c>
      <c r="K9586" s="12" t="s">
        <v>24</v>
      </c>
    </row>
    <row r="9587" spans="1:11" ht="40.049999999999997" customHeight="1" x14ac:dyDescent="0.25">
      <c r="A9587" s="11" t="s">
        <v>18927</v>
      </c>
      <c r="B9587" s="11" t="s">
        <v>18927</v>
      </c>
      <c r="C9587" s="11" t="s">
        <v>137</v>
      </c>
      <c r="D9587" s="11" t="s">
        <v>18</v>
      </c>
      <c r="E9587" s="12" t="s">
        <v>7860</v>
      </c>
      <c r="F9587" s="12" t="s">
        <v>7861</v>
      </c>
      <c r="G9587" s="12" t="s">
        <v>21</v>
      </c>
      <c r="H9587" s="11" t="s">
        <v>63</v>
      </c>
      <c r="I9587" s="13" t="s">
        <v>18928</v>
      </c>
      <c r="J9587" s="14" t="str">
        <f>HYPERLINK("https://www.boe.es/gazeta/dias/1839/03/04/pdfs/GMD-1839-1570.pdf#page=4","Abrir facsímil")</f>
        <v>Abrir facsímil</v>
      </c>
      <c r="K9587" s="12" t="s">
        <v>65</v>
      </c>
    </row>
    <row r="9588" spans="1:11" ht="40.049999999999997" customHeight="1" x14ac:dyDescent="0.25">
      <c r="A9588" s="11" t="s">
        <v>18927</v>
      </c>
      <c r="B9588" s="11" t="s">
        <v>18927</v>
      </c>
      <c r="C9588" s="11" t="s">
        <v>59</v>
      </c>
      <c r="D9588" s="11" t="s">
        <v>60</v>
      </c>
      <c r="E9588" s="12" t="s">
        <v>2262</v>
      </c>
      <c r="F9588" s="12" t="s">
        <v>2263</v>
      </c>
      <c r="G9588" s="12" t="s">
        <v>40</v>
      </c>
      <c r="H9588" s="11" t="s">
        <v>63</v>
      </c>
      <c r="I9588" s="13" t="s">
        <v>18929</v>
      </c>
      <c r="J9588" s="14" t="str">
        <f>HYPERLINK("https://www.boe.es/gazeta/dias/1839/03/16/pdfs/GMD-1839-1582.pdf#page=2","Abrir facsímil")</f>
        <v>Abrir facsímil</v>
      </c>
      <c r="K9588" s="12" t="s">
        <v>65</v>
      </c>
    </row>
    <row r="9589" spans="1:11" ht="40.049999999999997" customHeight="1" x14ac:dyDescent="0.25">
      <c r="A9589" s="11" t="s">
        <v>18927</v>
      </c>
      <c r="B9589" s="11" t="s">
        <v>18927</v>
      </c>
      <c r="C9589" s="11" t="s">
        <v>17</v>
      </c>
      <c r="D9589" s="11" t="s">
        <v>18</v>
      </c>
      <c r="E9589" s="12" t="s">
        <v>611</v>
      </c>
      <c r="F9589" s="12" t="s">
        <v>612</v>
      </c>
      <c r="G9589" s="12" t="s">
        <v>29</v>
      </c>
      <c r="H9589" s="11" t="s">
        <v>63</v>
      </c>
      <c r="I9589" s="13" t="s">
        <v>18930</v>
      </c>
      <c r="J9589" s="14" t="str">
        <f>HYPERLINK("https://www.boe.es/gazeta/dias/1839/07/22/pdfs/GMD-1839-1710.pdf#page=1","Abrir facsímil")</f>
        <v>Abrir facsímil</v>
      </c>
      <c r="K9589" s="12" t="s">
        <v>65</v>
      </c>
    </row>
    <row r="9590" spans="1:11" ht="40.049999999999997" customHeight="1" x14ac:dyDescent="0.25">
      <c r="A9590" s="11" t="s">
        <v>18927</v>
      </c>
      <c r="B9590" s="11" t="s">
        <v>18927</v>
      </c>
      <c r="C9590" s="11" t="s">
        <v>101</v>
      </c>
      <c r="D9590" s="11" t="s">
        <v>43</v>
      </c>
      <c r="E9590" s="12" t="s">
        <v>668</v>
      </c>
      <c r="F9590" s="12" t="s">
        <v>669</v>
      </c>
      <c r="G9590" s="12" t="s">
        <v>46</v>
      </c>
      <c r="H9590" s="11" t="s">
        <v>63</v>
      </c>
      <c r="I9590" s="13" t="s">
        <v>18931</v>
      </c>
      <c r="J9590" s="14" t="str">
        <f>HYPERLINK("https://www.boe.es/gazeta/dias/1839/03/28/pdfs/GMD-1839-1594.pdf#page=3","Abrir facsímil")</f>
        <v>Abrir facsímil</v>
      </c>
      <c r="K9590" s="12" t="s">
        <v>65</v>
      </c>
    </row>
    <row r="9591" spans="1:11" ht="40.049999999999997" customHeight="1" x14ac:dyDescent="0.25">
      <c r="A9591" s="11" t="s">
        <v>18932</v>
      </c>
      <c r="B9591" s="11" t="s">
        <v>18932</v>
      </c>
      <c r="C9591" s="11" t="s">
        <v>59</v>
      </c>
      <c r="D9591" s="11" t="s">
        <v>60</v>
      </c>
      <c r="E9591" s="12" t="s">
        <v>49</v>
      </c>
      <c r="F9591" s="12" t="s">
        <v>50</v>
      </c>
      <c r="G9591" s="12" t="s">
        <v>40</v>
      </c>
      <c r="H9591" s="11" t="s">
        <v>63</v>
      </c>
      <c r="I9591" s="13" t="s">
        <v>18933</v>
      </c>
      <c r="J9591" s="14" t="str">
        <f>HYPERLINK("https://www.boe.es/gazeta/dias/1839/01/05/pdfs/GMD-1839-1512.pdf#page=2","Abrir facsímil")</f>
        <v>Abrir facsímil</v>
      </c>
      <c r="K9591" s="12" t="s">
        <v>65</v>
      </c>
    </row>
    <row r="9592" spans="1:11" ht="40.049999999999997" customHeight="1" x14ac:dyDescent="0.25">
      <c r="A9592" s="11" t="s">
        <v>18932</v>
      </c>
      <c r="B9592" s="11" t="s">
        <v>18932</v>
      </c>
      <c r="C9592" s="11" t="s">
        <v>80</v>
      </c>
      <c r="D9592" s="11" t="s">
        <v>18</v>
      </c>
      <c r="E9592" s="12" t="s">
        <v>388</v>
      </c>
      <c r="F9592" s="12" t="s">
        <v>389</v>
      </c>
      <c r="G9592" s="12" t="s">
        <v>21</v>
      </c>
      <c r="H9592" s="11" t="s">
        <v>63</v>
      </c>
      <c r="I9592" s="13" t="s">
        <v>18934</v>
      </c>
      <c r="J9592" s="14" t="str">
        <f>HYPERLINK("https://www.boe.es/gazeta/dias/1839/08/07/pdfs/GMD-1839-1727.pdf#page=4","Abrir facsímil")</f>
        <v>Abrir facsímil</v>
      </c>
      <c r="K9592" s="12" t="s">
        <v>65</v>
      </c>
    </row>
    <row r="9593" spans="1:11" ht="40.049999999999997" customHeight="1" x14ac:dyDescent="0.25">
      <c r="A9593" s="11" t="s">
        <v>18935</v>
      </c>
      <c r="B9593" s="11" t="s">
        <v>18935</v>
      </c>
      <c r="C9593" s="11" t="s">
        <v>101</v>
      </c>
      <c r="D9593" s="11" t="s">
        <v>102</v>
      </c>
      <c r="E9593" s="12" t="s">
        <v>121</v>
      </c>
      <c r="F9593" s="12" t="s">
        <v>122</v>
      </c>
      <c r="G9593" s="12" t="s">
        <v>40</v>
      </c>
      <c r="H9593" s="11" t="s">
        <v>63</v>
      </c>
      <c r="I9593" s="13" t="s">
        <v>18936</v>
      </c>
      <c r="J9593" s="14" t="str">
        <f>HYPERLINK("https://www.boe.es/gazeta/dias/1839/06/08/pdfs/GMD-1839-1666.pdf#page=2","Abrir facsímil")</f>
        <v>Abrir facsímil</v>
      </c>
      <c r="K9593" s="12" t="s">
        <v>65</v>
      </c>
    </row>
    <row r="9594" spans="1:11" ht="40.049999999999997" customHeight="1" x14ac:dyDescent="0.25">
      <c r="A9594" s="11" t="s">
        <v>18937</v>
      </c>
      <c r="B9594" s="11" t="s">
        <v>18937</v>
      </c>
      <c r="C9594" s="11" t="s">
        <v>59</v>
      </c>
      <c r="D9594" s="11" t="s">
        <v>60</v>
      </c>
      <c r="E9594" s="12" t="s">
        <v>230</v>
      </c>
      <c r="F9594" s="12" t="s">
        <v>231</v>
      </c>
      <c r="G9594" s="12" t="s">
        <v>21</v>
      </c>
      <c r="H9594" s="11" t="s">
        <v>63</v>
      </c>
      <c r="I9594" s="13" t="s">
        <v>18938</v>
      </c>
      <c r="J9594" s="14" t="str">
        <f>HYPERLINK("https://www.boe.es/gazeta/dias/1839/09/16/pdfs/GMD-1839-1769.pdf#page=4","Abrir facsímil")</f>
        <v>Abrir facsímil</v>
      </c>
      <c r="K9594" s="12" t="s">
        <v>65</v>
      </c>
    </row>
    <row r="9595" spans="1:11" ht="40.049999999999997" customHeight="1" x14ac:dyDescent="0.25">
      <c r="A9595" s="11" t="s">
        <v>18939</v>
      </c>
      <c r="B9595" s="11" t="s">
        <v>18939</v>
      </c>
      <c r="C9595" s="11" t="s">
        <v>101</v>
      </c>
      <c r="D9595" s="11" t="s">
        <v>102</v>
      </c>
      <c r="E9595" s="12" t="s">
        <v>1366</v>
      </c>
      <c r="F9595" s="12" t="s">
        <v>1367</v>
      </c>
      <c r="G9595" s="12" t="s">
        <v>29</v>
      </c>
      <c r="H9595" s="11" t="s">
        <v>63</v>
      </c>
      <c r="I9595" s="13" t="s">
        <v>18940</v>
      </c>
      <c r="J9595" s="14" t="str">
        <f>HYPERLINK("https://www.boe.es/gazeta/dias/1839/09/09/pdfs/GMD-1839-1762.pdf#page=1","Abrir facsímil")</f>
        <v>Abrir facsímil</v>
      </c>
      <c r="K9595" s="12" t="s">
        <v>65</v>
      </c>
    </row>
    <row r="9596" spans="1:11" ht="40.049999999999997" customHeight="1" x14ac:dyDescent="0.25">
      <c r="A9596" s="11" t="s">
        <v>18941</v>
      </c>
      <c r="B9596" s="11" t="s">
        <v>18941</v>
      </c>
      <c r="C9596" s="11" t="s">
        <v>59</v>
      </c>
      <c r="D9596" s="11" t="s">
        <v>60</v>
      </c>
      <c r="E9596" s="12" t="s">
        <v>503</v>
      </c>
      <c r="F9596" s="12" t="s">
        <v>504</v>
      </c>
      <c r="G9596" s="12" t="s">
        <v>46</v>
      </c>
      <c r="H9596" s="11" t="s">
        <v>63</v>
      </c>
      <c r="I9596" s="13" t="s">
        <v>18942</v>
      </c>
      <c r="J9596" s="14" t="str">
        <f>HYPERLINK("https://www.boe.es/gazeta/dias/1839/06/07/pdfs/GMD-1839-1665.pdf#page=3","Abrir facsímil")</f>
        <v>Abrir facsímil</v>
      </c>
      <c r="K9596" s="12" t="s">
        <v>65</v>
      </c>
    </row>
    <row r="9597" spans="1:11" ht="40.049999999999997" customHeight="1" x14ac:dyDescent="0.25">
      <c r="A9597" s="11" t="s">
        <v>18943</v>
      </c>
      <c r="B9597" s="11" t="s">
        <v>18943</v>
      </c>
      <c r="C9597" s="11" t="s">
        <v>80</v>
      </c>
      <c r="D9597" s="11" t="s">
        <v>18</v>
      </c>
      <c r="E9597" s="12" t="s">
        <v>2378</v>
      </c>
      <c r="F9597" s="12" t="s">
        <v>2379</v>
      </c>
      <c r="G9597" s="12" t="s">
        <v>29</v>
      </c>
      <c r="H9597" s="11" t="s">
        <v>63</v>
      </c>
      <c r="I9597" s="13" t="s">
        <v>18944</v>
      </c>
      <c r="J9597" s="14" t="str">
        <f>HYPERLINK("https://www.boe.es/gazeta/dias/1839/06/20/pdfs/GMD-1839-1678.pdf#page=1","Abrir facsímil")</f>
        <v>Abrir facsímil</v>
      </c>
      <c r="K9597" s="12" t="s">
        <v>65</v>
      </c>
    </row>
    <row r="9598" spans="1:11" ht="40.049999999999997" customHeight="1" x14ac:dyDescent="0.25">
      <c r="A9598" s="11" t="s">
        <v>18945</v>
      </c>
      <c r="B9598" s="11" t="s">
        <v>18945</v>
      </c>
      <c r="C9598" s="11" t="s">
        <v>17</v>
      </c>
      <c r="D9598" s="11" t="s">
        <v>18</v>
      </c>
      <c r="E9598" s="12" t="s">
        <v>346</v>
      </c>
      <c r="F9598" s="12" t="s">
        <v>347</v>
      </c>
      <c r="G9598" s="12" t="s">
        <v>21</v>
      </c>
      <c r="H9598" s="11" t="s">
        <v>63</v>
      </c>
      <c r="I9598" s="13" t="s">
        <v>18946</v>
      </c>
      <c r="J9598" s="14" t="str">
        <f>HYPERLINK("https://www.boe.es/gazeta/dias/1839/03/24/pdfs/GMD-1839-1590.pdf#page=4","Abrir facsímil")</f>
        <v>Abrir facsímil</v>
      </c>
      <c r="K9598" s="12" t="s">
        <v>65</v>
      </c>
    </row>
    <row r="9599" spans="1:11" ht="40.049999999999997" customHeight="1" x14ac:dyDescent="0.25">
      <c r="A9599" s="11" t="s">
        <v>18947</v>
      </c>
      <c r="B9599" s="11" t="s">
        <v>18948</v>
      </c>
      <c r="C9599" s="11" t="s">
        <v>17</v>
      </c>
      <c r="D9599" s="11" t="s">
        <v>18</v>
      </c>
      <c r="E9599" s="12" t="s">
        <v>81</v>
      </c>
      <c r="F9599" s="12" t="s">
        <v>82</v>
      </c>
      <c r="G9599" s="12" t="s">
        <v>29</v>
      </c>
      <c r="H9599" s="11" t="s">
        <v>63</v>
      </c>
      <c r="I9599" s="13" t="s">
        <v>18949</v>
      </c>
      <c r="J9599" s="14" t="str">
        <f>HYPERLINK("https://www.boe.es/gazeta/dias/1839/03/03/pdfs/GMD-1839-1569.pdf#page=1","Abrir facsímil")</f>
        <v>Abrir facsímil</v>
      </c>
      <c r="K9599" s="12" t="s">
        <v>65</v>
      </c>
    </row>
    <row r="9600" spans="1:11" ht="40.049999999999997" customHeight="1" x14ac:dyDescent="0.25">
      <c r="A9600" s="11" t="s">
        <v>18950</v>
      </c>
      <c r="B9600" s="11" t="s">
        <v>18950</v>
      </c>
      <c r="C9600" s="11" t="s">
        <v>17</v>
      </c>
      <c r="D9600" s="11" t="s">
        <v>18</v>
      </c>
      <c r="E9600" s="12" t="s">
        <v>883</v>
      </c>
      <c r="F9600" s="12" t="s">
        <v>884</v>
      </c>
      <c r="G9600" s="12" t="s">
        <v>29</v>
      </c>
      <c r="H9600" s="11" t="s">
        <v>63</v>
      </c>
      <c r="I9600" s="13" t="s">
        <v>18951</v>
      </c>
      <c r="J9600" s="14" t="str">
        <f>HYPERLINK("https://www.boe.es/gazeta/dias/1839/11/03/pdfs/GMD-1839-1820.pdf#page=1","Abrir facsímil")</f>
        <v>Abrir facsímil</v>
      </c>
      <c r="K9600" s="12" t="s">
        <v>65</v>
      </c>
    </row>
    <row r="9601" spans="1:11" ht="40.049999999999997" customHeight="1" x14ac:dyDescent="0.25">
      <c r="A9601" s="11" t="s">
        <v>18952</v>
      </c>
      <c r="B9601" s="11" t="s">
        <v>18953</v>
      </c>
      <c r="C9601" s="11" t="s">
        <v>17</v>
      </c>
      <c r="D9601" s="11" t="s">
        <v>18</v>
      </c>
      <c r="E9601" s="12" t="s">
        <v>1123</v>
      </c>
      <c r="F9601" s="12" t="s">
        <v>1124</v>
      </c>
      <c r="G9601" s="12" t="s">
        <v>21</v>
      </c>
      <c r="H9601" s="11" t="s">
        <v>63</v>
      </c>
      <c r="I9601" s="13" t="s">
        <v>18954</v>
      </c>
      <c r="J9601" s="14" t="str">
        <f>HYPERLINK("https://www.boe.es/gazeta/dias/1839/08/10/pdfs/GMD-1839-1730.pdf#page=4","Abrir facsímil")</f>
        <v>Abrir facsímil</v>
      </c>
      <c r="K9601" s="12" t="s">
        <v>65</v>
      </c>
    </row>
    <row r="9602" spans="1:11" ht="40.049999999999997" customHeight="1" x14ac:dyDescent="0.25">
      <c r="A9602" s="11" t="s">
        <v>18955</v>
      </c>
      <c r="B9602" s="11" t="s">
        <v>18955</v>
      </c>
      <c r="C9602" s="11" t="s">
        <v>59</v>
      </c>
      <c r="D9602" s="11" t="s">
        <v>60</v>
      </c>
      <c r="E9602" s="12" t="s">
        <v>596</v>
      </c>
      <c r="F9602" s="12" t="s">
        <v>597</v>
      </c>
      <c r="G9602" s="12" t="s">
        <v>21</v>
      </c>
      <c r="H9602" s="11" t="s">
        <v>63</v>
      </c>
      <c r="I9602" s="13" t="s">
        <v>18956</v>
      </c>
      <c r="J9602" s="14" t="str">
        <f>HYPERLINK("https://www.boe.es/gazeta/dias/1839/01/23/pdfs/GMD-1839-1530.pdf#page=4","Abrir facsímil")</f>
        <v>Abrir facsímil</v>
      </c>
      <c r="K9602" s="12" t="s">
        <v>65</v>
      </c>
    </row>
    <row r="9603" spans="1:11" ht="40.049999999999997" customHeight="1" x14ac:dyDescent="0.25">
      <c r="A9603" s="11" t="s">
        <v>18957</v>
      </c>
      <c r="B9603" s="11" t="s">
        <v>18957</v>
      </c>
      <c r="C9603" s="11" t="s">
        <v>17</v>
      </c>
      <c r="D9603" s="11" t="s">
        <v>18</v>
      </c>
      <c r="E9603" s="12" t="s">
        <v>3668</v>
      </c>
      <c r="F9603" s="12" t="s">
        <v>3669</v>
      </c>
      <c r="G9603" s="12" t="s">
        <v>46</v>
      </c>
      <c r="H9603" s="11" t="s">
        <v>63</v>
      </c>
      <c r="I9603" s="13" t="s">
        <v>18958</v>
      </c>
      <c r="J9603" s="14" t="str">
        <f>HYPERLINK("https://www.boe.es/gazeta/dias/1839/05/19/pdfs/GMD-1839-1646.pdf#page=3","Abrir facsímil")</f>
        <v>Abrir facsímil</v>
      </c>
      <c r="K9603" s="12" t="s">
        <v>65</v>
      </c>
    </row>
    <row r="9604" spans="1:11" ht="40.049999999999997" customHeight="1" x14ac:dyDescent="0.25">
      <c r="A9604" s="11" t="s">
        <v>18959</v>
      </c>
      <c r="B9604" s="11" t="s">
        <v>18959</v>
      </c>
      <c r="C9604" s="11" t="s">
        <v>59</v>
      </c>
      <c r="D9604" s="11" t="s">
        <v>60</v>
      </c>
      <c r="E9604" s="12" t="s">
        <v>1672</v>
      </c>
      <c r="F9604" s="12" t="s">
        <v>1673</v>
      </c>
      <c r="G9604" s="12" t="s">
        <v>29</v>
      </c>
      <c r="H9604" s="11" t="s">
        <v>63</v>
      </c>
      <c r="I9604" s="13" t="s">
        <v>18960</v>
      </c>
      <c r="J9604" s="14" t="str">
        <f>HYPERLINK("https://www.boe.es/gazeta/dias/1839/08/24/pdfs/GMD-1839-1745.pdf#page=1","Abrir facsímil")</f>
        <v>Abrir facsímil</v>
      </c>
      <c r="K9604" s="12" t="s">
        <v>65</v>
      </c>
    </row>
    <row r="9605" spans="1:11" ht="40.049999999999997" customHeight="1" x14ac:dyDescent="0.25">
      <c r="A9605" s="11" t="s">
        <v>18961</v>
      </c>
      <c r="B9605" s="11" t="s">
        <v>18961</v>
      </c>
      <c r="C9605" s="11" t="s">
        <v>17</v>
      </c>
      <c r="D9605" s="11" t="s">
        <v>18</v>
      </c>
      <c r="E9605" s="12" t="s">
        <v>2222</v>
      </c>
      <c r="F9605" s="12" t="s">
        <v>10214</v>
      </c>
      <c r="G9605" s="12" t="s">
        <v>29</v>
      </c>
      <c r="H9605" s="11" t="s">
        <v>63</v>
      </c>
      <c r="I9605" s="13" t="s">
        <v>18962</v>
      </c>
      <c r="J9605" s="14" t="str">
        <f>HYPERLINK("https://www.boe.es/datos/pdfs/BOE//1839/1774/E00001-00001.pdf#page=1","Abrir facsímil")</f>
        <v>Abrir facsímil</v>
      </c>
      <c r="K9605" s="12" t="s">
        <v>65</v>
      </c>
    </row>
    <row r="9606" spans="1:11" ht="40.049999999999997" customHeight="1" x14ac:dyDescent="0.25">
      <c r="A9606" s="11" t="s">
        <v>18963</v>
      </c>
      <c r="B9606" s="11" t="s">
        <v>18964</v>
      </c>
      <c r="C9606" s="11" t="s">
        <v>17</v>
      </c>
      <c r="D9606" s="11" t="s">
        <v>18</v>
      </c>
      <c r="E9606" s="12" t="s">
        <v>892</v>
      </c>
      <c r="F9606" s="12" t="s">
        <v>893</v>
      </c>
      <c r="G9606" s="12" t="s">
        <v>21</v>
      </c>
      <c r="H9606" s="11" t="s">
        <v>63</v>
      </c>
      <c r="I9606" s="13" t="s">
        <v>18965</v>
      </c>
      <c r="J9606" s="14" t="str">
        <f>HYPERLINK("https://www.boe.es/gazeta/dias/1839/12/28/pdfs/GMD-1839-1875.pdf#page=4","Abrir facsímil")</f>
        <v>Abrir facsímil</v>
      </c>
      <c r="K9606" s="12" t="s">
        <v>65</v>
      </c>
    </row>
    <row r="9607" spans="1:11" ht="40.049999999999997" customHeight="1" x14ac:dyDescent="0.25">
      <c r="A9607" s="11" t="s">
        <v>18966</v>
      </c>
      <c r="B9607" s="11" t="s">
        <v>18967</v>
      </c>
      <c r="C9607" s="11" t="s">
        <v>17</v>
      </c>
      <c r="D9607" s="11" t="s">
        <v>18</v>
      </c>
      <c r="E9607" s="12" t="s">
        <v>1909</v>
      </c>
      <c r="F9607" s="12" t="s">
        <v>1910</v>
      </c>
      <c r="G9607" s="12" t="s">
        <v>46</v>
      </c>
      <c r="H9607" s="11" t="s">
        <v>63</v>
      </c>
      <c r="I9607" s="13" t="s">
        <v>18968</v>
      </c>
      <c r="J9607" s="14" t="str">
        <f>HYPERLINK("https://www.boe.es/gazeta/dias/1839/10/27/pdfs/GMD-1839-1813.pdf#page=3","Abrir facsímil")</f>
        <v>Abrir facsímil</v>
      </c>
      <c r="K9607" s="12" t="s">
        <v>65</v>
      </c>
    </row>
    <row r="9608" spans="1:11" ht="40.049999999999997" customHeight="1" x14ac:dyDescent="0.25">
      <c r="A9608" s="11" t="s">
        <v>18969</v>
      </c>
      <c r="B9608" s="11" t="s">
        <v>18970</v>
      </c>
      <c r="C9608" s="11" t="s">
        <v>17</v>
      </c>
      <c r="D9608" s="11" t="s">
        <v>18</v>
      </c>
      <c r="E9608" s="12" t="s">
        <v>4287</v>
      </c>
      <c r="F9608" s="12" t="s">
        <v>4288</v>
      </c>
      <c r="G9608" s="12" t="s">
        <v>40</v>
      </c>
      <c r="H9608" s="11" t="s">
        <v>63</v>
      </c>
      <c r="I9608" s="13" t="s">
        <v>18971</v>
      </c>
      <c r="J9608" s="14" t="str">
        <f>HYPERLINK("https://www.boe.es/gazeta/dias/1839/06/01/pdfs/GMD-1839-1659.pdf#page=2","Abrir facsímil")</f>
        <v>Abrir facsímil</v>
      </c>
      <c r="K9608" s="12" t="s">
        <v>65</v>
      </c>
    </row>
    <row r="9609" spans="1:11" ht="40.049999999999997" customHeight="1" x14ac:dyDescent="0.25">
      <c r="A9609" s="11" t="s">
        <v>18972</v>
      </c>
      <c r="B9609" s="11" t="s">
        <v>18973</v>
      </c>
      <c r="C9609" s="11" t="s">
        <v>101</v>
      </c>
      <c r="D9609" s="11" t="s">
        <v>43</v>
      </c>
      <c r="E9609" s="12" t="s">
        <v>4108</v>
      </c>
      <c r="F9609" s="12" t="s">
        <v>4109</v>
      </c>
      <c r="G9609" s="12" t="s">
        <v>40</v>
      </c>
      <c r="H9609" s="11" t="s">
        <v>63</v>
      </c>
      <c r="I9609" s="13" t="s">
        <v>18974</v>
      </c>
      <c r="J9609" s="14" t="str">
        <f>HYPERLINK("https://www.boe.es/gazeta/dias/1839/03/23/pdfs/GMD-1839-1589.pdf#page=2","Abrir facsímil")</f>
        <v>Abrir facsímil</v>
      </c>
      <c r="K9609" s="12" t="s">
        <v>65</v>
      </c>
    </row>
    <row r="9610" spans="1:11" ht="40.049999999999997" customHeight="1" x14ac:dyDescent="0.25">
      <c r="A9610" s="11" t="s">
        <v>18975</v>
      </c>
      <c r="B9610" s="11" t="s">
        <v>18975</v>
      </c>
      <c r="C9610" s="11" t="s">
        <v>17</v>
      </c>
      <c r="D9610" s="11" t="s">
        <v>18</v>
      </c>
      <c r="E9610" s="12" t="s">
        <v>1479</v>
      </c>
      <c r="F9610" s="12" t="s">
        <v>1480</v>
      </c>
      <c r="G9610" s="12" t="s">
        <v>40</v>
      </c>
      <c r="H9610" s="11" t="s">
        <v>63</v>
      </c>
      <c r="I9610" s="13" t="s">
        <v>18976</v>
      </c>
      <c r="J9610" s="14" t="str">
        <f>HYPERLINK("https://www.boe.es/gazeta/dias/1839/04/09/pdfs/GMD-1839-1606.pdf#page=2","Abrir facsímil")</f>
        <v>Abrir facsímil</v>
      </c>
      <c r="K9610" s="12" t="s">
        <v>65</v>
      </c>
    </row>
    <row r="9611" spans="1:11" ht="40.049999999999997" customHeight="1" x14ac:dyDescent="0.25">
      <c r="A9611" s="11" t="s">
        <v>18977</v>
      </c>
      <c r="B9611" s="11" t="s">
        <v>18978</v>
      </c>
      <c r="C9611" s="11" t="s">
        <v>17</v>
      </c>
      <c r="D9611" s="11" t="s">
        <v>18</v>
      </c>
      <c r="E9611" s="12" t="s">
        <v>647</v>
      </c>
      <c r="F9611" s="12" t="s">
        <v>648</v>
      </c>
      <c r="G9611" s="12" t="s">
        <v>21</v>
      </c>
      <c r="H9611" s="11" t="s">
        <v>63</v>
      </c>
      <c r="I9611" s="13" t="s">
        <v>18979</v>
      </c>
      <c r="J9611" s="14" t="str">
        <f>HYPERLINK("https://www.boe.es/gazeta/dias/1839/10/08/pdfs/GMD-1839-1794.pdf#page=4","Abrir facsímil")</f>
        <v>Abrir facsímil</v>
      </c>
      <c r="K9611" s="12" t="s">
        <v>65</v>
      </c>
    </row>
    <row r="9612" spans="1:11" ht="40.049999999999997" customHeight="1" x14ac:dyDescent="0.25">
      <c r="A9612" s="11" t="s">
        <v>18980</v>
      </c>
      <c r="B9612" s="11" t="s">
        <v>18981</v>
      </c>
      <c r="C9612" s="11" t="s">
        <v>80</v>
      </c>
      <c r="D9612" s="11" t="s">
        <v>18</v>
      </c>
      <c r="E9612" s="12" t="s">
        <v>1179</v>
      </c>
      <c r="F9612" s="12" t="s">
        <v>1180</v>
      </c>
      <c r="G9612" s="12" t="s">
        <v>305</v>
      </c>
      <c r="H9612" s="11" t="s">
        <v>63</v>
      </c>
      <c r="I9612" s="13" t="s">
        <v>18982</v>
      </c>
      <c r="J9612" s="14" t="str">
        <f>HYPERLINK("https://www.boe.es/gazeta/dias/1839/10/18/pdfs/GMD-1839-1804.pdf#page=6","Abrir facsímil")</f>
        <v>Abrir facsímil</v>
      </c>
      <c r="K9612" s="12" t="s">
        <v>65</v>
      </c>
    </row>
    <row r="9613" spans="1:11" ht="40.049999999999997" customHeight="1" x14ac:dyDescent="0.25">
      <c r="A9613" s="11" t="s">
        <v>18983</v>
      </c>
      <c r="B9613" s="11" t="s">
        <v>18984</v>
      </c>
      <c r="C9613" s="11" t="s">
        <v>17</v>
      </c>
      <c r="D9613" s="11" t="s">
        <v>18</v>
      </c>
      <c r="E9613" s="12" t="s">
        <v>647</v>
      </c>
      <c r="F9613" s="12" t="s">
        <v>648</v>
      </c>
      <c r="G9613" s="12" t="s">
        <v>21</v>
      </c>
      <c r="H9613" s="11" t="s">
        <v>63</v>
      </c>
      <c r="I9613" s="13" t="s">
        <v>18985</v>
      </c>
      <c r="J9613" s="14" t="str">
        <f>HYPERLINK("https://www.boe.es/gazeta/dias/1839/10/08/pdfs/GMD-1839-1794.pdf#page=4","Abrir facsímil")</f>
        <v>Abrir facsímil</v>
      </c>
      <c r="K9613" s="12" t="s">
        <v>65</v>
      </c>
    </row>
    <row r="9614" spans="1:11" ht="40.049999999999997" customHeight="1" x14ac:dyDescent="0.25">
      <c r="A9614" s="11" t="s">
        <v>18986</v>
      </c>
      <c r="B9614" s="11" t="s">
        <v>18987</v>
      </c>
      <c r="C9614" s="11" t="s">
        <v>17</v>
      </c>
      <c r="D9614" s="11" t="s">
        <v>18</v>
      </c>
      <c r="E9614" s="12" t="s">
        <v>385</v>
      </c>
      <c r="F9614" s="12" t="s">
        <v>386</v>
      </c>
      <c r="G9614" s="12" t="s">
        <v>21</v>
      </c>
      <c r="H9614" s="11" t="s">
        <v>63</v>
      </c>
      <c r="I9614" s="13" t="s">
        <v>18988</v>
      </c>
      <c r="J9614" s="14" t="str">
        <f>HYPERLINK("https://www.boe.es/gazeta/dias/1839/08/01/pdfs/GMD-1839-1721.pdf#page=4","Abrir facsímil")</f>
        <v>Abrir facsímil</v>
      </c>
      <c r="K9614" s="12" t="s">
        <v>65</v>
      </c>
    </row>
    <row r="9615" spans="1:11" ht="40.049999999999997" customHeight="1" x14ac:dyDescent="0.25">
      <c r="A9615" s="11" t="s">
        <v>18989</v>
      </c>
      <c r="B9615" s="11" t="s">
        <v>18990</v>
      </c>
      <c r="C9615" s="11" t="s">
        <v>17</v>
      </c>
      <c r="D9615" s="11" t="s">
        <v>18</v>
      </c>
      <c r="E9615" s="12" t="s">
        <v>254</v>
      </c>
      <c r="F9615" s="12" t="s">
        <v>255</v>
      </c>
      <c r="G9615" s="12" t="s">
        <v>40</v>
      </c>
      <c r="H9615" s="11" t="s">
        <v>63</v>
      </c>
      <c r="I9615" s="13" t="s">
        <v>18991</v>
      </c>
      <c r="J9615" s="14" t="str">
        <f>HYPERLINK("https://www.boe.es/gazeta/dias/1839/09/12/pdfs/GMD-1839-1765.pdf#page=2","Abrir facsímil")</f>
        <v>Abrir facsímil</v>
      </c>
      <c r="K9615" s="12" t="s">
        <v>65</v>
      </c>
    </row>
    <row r="9616" spans="1:11" ht="40.049999999999997" customHeight="1" x14ac:dyDescent="0.25">
      <c r="A9616" s="11" t="s">
        <v>18992</v>
      </c>
      <c r="B9616" s="11" t="s">
        <v>18993</v>
      </c>
      <c r="C9616" s="11" t="s">
        <v>17</v>
      </c>
      <c r="D9616" s="11" t="s">
        <v>18</v>
      </c>
      <c r="E9616" s="12" t="s">
        <v>160</v>
      </c>
      <c r="F9616" s="12" t="s">
        <v>161</v>
      </c>
      <c r="G9616" s="12" t="s">
        <v>40</v>
      </c>
      <c r="H9616" s="11" t="s">
        <v>63</v>
      </c>
      <c r="I9616" s="13" t="s">
        <v>18994</v>
      </c>
      <c r="J9616" s="14" t="str">
        <f>HYPERLINK("https://www.boe.es/gazeta/dias/1839/01/10/pdfs/GMD-1839-1517.pdf#page=2","Abrir facsímil")</f>
        <v>Abrir facsímil</v>
      </c>
      <c r="K9616" s="12" t="s">
        <v>65</v>
      </c>
    </row>
    <row r="9617" spans="1:11" ht="40.049999999999997" customHeight="1" x14ac:dyDescent="0.25">
      <c r="A9617" s="11" t="s">
        <v>18995</v>
      </c>
      <c r="B9617" s="11" t="s">
        <v>18996</v>
      </c>
      <c r="C9617" s="11" t="s">
        <v>17</v>
      </c>
      <c r="D9617" s="11" t="s">
        <v>18</v>
      </c>
      <c r="E9617" s="12" t="s">
        <v>230</v>
      </c>
      <c r="F9617" s="12" t="s">
        <v>231</v>
      </c>
      <c r="G9617" s="12" t="s">
        <v>21</v>
      </c>
      <c r="H9617" s="11" t="s">
        <v>63</v>
      </c>
      <c r="I9617" s="13" t="s">
        <v>18997</v>
      </c>
      <c r="J9617" s="14" t="str">
        <f>HYPERLINK("https://www.boe.es/gazeta/dias/1839/09/16/pdfs/GMD-1839-1769.pdf#page=4","Abrir facsímil")</f>
        <v>Abrir facsímil</v>
      </c>
      <c r="K9617" s="12" t="s">
        <v>65</v>
      </c>
    </row>
    <row r="9618" spans="1:11" ht="40.049999999999997" customHeight="1" x14ac:dyDescent="0.25">
      <c r="A9618" s="11" t="s">
        <v>18998</v>
      </c>
      <c r="B9618" s="11" t="s">
        <v>18999</v>
      </c>
      <c r="C9618" s="11" t="s">
        <v>80</v>
      </c>
      <c r="D9618" s="11" t="s">
        <v>18</v>
      </c>
      <c r="E9618" s="12" t="s">
        <v>544</v>
      </c>
      <c r="F9618" s="12" t="s">
        <v>545</v>
      </c>
      <c r="G9618" s="12" t="s">
        <v>46</v>
      </c>
      <c r="H9618" s="11" t="s">
        <v>63</v>
      </c>
      <c r="I9618" s="13" t="s">
        <v>19000</v>
      </c>
      <c r="J9618" s="14" t="str">
        <f>HYPERLINK("https://www.boe.es/gazeta/dias/1839/11/11/pdfs/GMD-1839-1828.pdf#page=3","Abrir facsímil")</f>
        <v>Abrir facsímil</v>
      </c>
      <c r="K9618" s="12" t="s">
        <v>65</v>
      </c>
    </row>
    <row r="9619" spans="1:11" ht="40.049999999999997" customHeight="1" x14ac:dyDescent="0.25">
      <c r="A9619" s="11" t="s">
        <v>19001</v>
      </c>
      <c r="B9619" s="11" t="s">
        <v>19002</v>
      </c>
      <c r="C9619" s="11" t="s">
        <v>17</v>
      </c>
      <c r="D9619" s="11" t="s">
        <v>18</v>
      </c>
      <c r="E9619" s="12" t="s">
        <v>4047</v>
      </c>
      <c r="F9619" s="12" t="s">
        <v>4048</v>
      </c>
      <c r="G9619" s="12" t="s">
        <v>40</v>
      </c>
      <c r="H9619" s="11" t="s">
        <v>22</v>
      </c>
      <c r="I9619" s="13" t="s">
        <v>19003</v>
      </c>
      <c r="J9619" s="14" t="str">
        <f>HYPERLINK("https://www.boe.es/gazeta/dias/1839/03/26/pdfs/GMD-1839-1592.pdf#page=2","Abrir facsímil")</f>
        <v>Abrir facsímil</v>
      </c>
      <c r="K9619" s="12" t="s">
        <v>24</v>
      </c>
    </row>
    <row r="9620" spans="1:11" ht="40.049999999999997" customHeight="1" x14ac:dyDescent="0.25">
      <c r="A9620" s="11" t="s">
        <v>19004</v>
      </c>
      <c r="B9620" s="11" t="s">
        <v>19005</v>
      </c>
      <c r="C9620" s="11" t="s">
        <v>59</v>
      </c>
      <c r="D9620" s="11" t="s">
        <v>60</v>
      </c>
      <c r="E9620" s="12" t="s">
        <v>54</v>
      </c>
      <c r="F9620" s="12" t="s">
        <v>55</v>
      </c>
      <c r="G9620" s="12" t="s">
        <v>40</v>
      </c>
      <c r="H9620" s="11" t="s">
        <v>63</v>
      </c>
      <c r="I9620" s="13" t="s">
        <v>19006</v>
      </c>
      <c r="J9620" s="14" t="str">
        <f>HYPERLINK("https://www.boe.es/gazeta/dias/1839/10/05/pdfs/GMD-1839-1791.pdf#page=2","Abrir facsímil")</f>
        <v>Abrir facsímil</v>
      </c>
      <c r="K9620" s="12" t="s">
        <v>65</v>
      </c>
    </row>
    <row r="9621" spans="1:11" ht="40.049999999999997" customHeight="1" x14ac:dyDescent="0.25">
      <c r="A9621" s="11" t="s">
        <v>19007</v>
      </c>
      <c r="B9621" s="11" t="s">
        <v>19008</v>
      </c>
      <c r="C9621" s="11" t="s">
        <v>101</v>
      </c>
      <c r="D9621" s="11" t="s">
        <v>43</v>
      </c>
      <c r="E9621" s="12" t="s">
        <v>54</v>
      </c>
      <c r="F9621" s="12" t="s">
        <v>55</v>
      </c>
      <c r="G9621" s="12" t="s">
        <v>305</v>
      </c>
      <c r="H9621" s="11" t="s">
        <v>63</v>
      </c>
      <c r="I9621" s="13" t="s">
        <v>19009</v>
      </c>
      <c r="J9621" s="14" t="str">
        <f>HYPERLINK("https://www.boe.es/gazeta/dias/1839/10/05/pdfs/GMD-1839-1791.pdf#page=6","Abrir facsímil")</f>
        <v>Abrir facsímil</v>
      </c>
      <c r="K9621" s="12" t="s">
        <v>65</v>
      </c>
    </row>
    <row r="9622" spans="1:11" ht="40.049999999999997" customHeight="1" x14ac:dyDescent="0.25">
      <c r="A9622" s="11" t="s">
        <v>19010</v>
      </c>
      <c r="B9622" s="11" t="s">
        <v>19011</v>
      </c>
      <c r="C9622" s="11" t="s">
        <v>80</v>
      </c>
      <c r="D9622" s="11" t="s">
        <v>18</v>
      </c>
      <c r="E9622" s="12" t="s">
        <v>2658</v>
      </c>
      <c r="F9622" s="12" t="s">
        <v>2659</v>
      </c>
      <c r="G9622" s="12" t="s">
        <v>21</v>
      </c>
      <c r="H9622" s="11" t="s">
        <v>63</v>
      </c>
      <c r="I9622" s="13" t="s">
        <v>19012</v>
      </c>
      <c r="J9622" s="14" t="str">
        <f>HYPERLINK("https://www.boe.es/gazeta/dias/1839/06/27/pdfs/GMD-1839-1685.pdf#page=4","Abrir facsímil")</f>
        <v>Abrir facsímil</v>
      </c>
      <c r="K9622" s="12" t="s">
        <v>65</v>
      </c>
    </row>
    <row r="9623" spans="1:11" ht="40.049999999999997" customHeight="1" x14ac:dyDescent="0.25">
      <c r="A9623" s="11" t="s">
        <v>19013</v>
      </c>
      <c r="B9623" s="11" t="s">
        <v>19014</v>
      </c>
      <c r="C9623" s="11" t="s">
        <v>17</v>
      </c>
      <c r="D9623" s="11" t="s">
        <v>18</v>
      </c>
      <c r="E9623" s="12" t="s">
        <v>3289</v>
      </c>
      <c r="F9623" s="12" t="s">
        <v>3290</v>
      </c>
      <c r="G9623" s="12" t="s">
        <v>40</v>
      </c>
      <c r="H9623" s="11" t="s">
        <v>63</v>
      </c>
      <c r="I9623" s="13" t="s">
        <v>19015</v>
      </c>
      <c r="J9623" s="14" t="str">
        <f>HYPERLINK("https://www.boe.es/gazeta/dias/1839/12/10/pdfs/GMD-1839-1857.pdf#page=2","Abrir facsímil")</f>
        <v>Abrir facsímil</v>
      </c>
      <c r="K9623" s="12" t="s">
        <v>65</v>
      </c>
    </row>
    <row r="9624" spans="1:11" ht="40.049999999999997" customHeight="1" x14ac:dyDescent="0.25">
      <c r="A9624" s="11" t="s">
        <v>19016</v>
      </c>
      <c r="B9624" s="11" t="s">
        <v>19017</v>
      </c>
      <c r="C9624" s="11" t="s">
        <v>137</v>
      </c>
      <c r="D9624" s="11" t="s">
        <v>18</v>
      </c>
      <c r="E9624" s="12" t="s">
        <v>121</v>
      </c>
      <c r="F9624" s="12" t="s">
        <v>122</v>
      </c>
      <c r="G9624" s="12" t="s">
        <v>21</v>
      </c>
      <c r="H9624" s="11" t="s">
        <v>63</v>
      </c>
      <c r="I9624" s="13" t="s">
        <v>19018</v>
      </c>
      <c r="J9624" s="14" t="str">
        <f>HYPERLINK("https://www.boe.es/gazeta/dias/1839/06/08/pdfs/GMD-1839-1666.pdf#page=4","Abrir facsímil")</f>
        <v>Abrir facsímil</v>
      </c>
      <c r="K9624" s="12" t="s">
        <v>65</v>
      </c>
    </row>
    <row r="9625" spans="1:11" ht="40.049999999999997" customHeight="1" x14ac:dyDescent="0.25">
      <c r="A9625" s="11" t="s">
        <v>19019</v>
      </c>
      <c r="B9625" s="11" t="s">
        <v>19020</v>
      </c>
      <c r="C9625" s="11" t="s">
        <v>101</v>
      </c>
      <c r="D9625" s="11" t="s">
        <v>43</v>
      </c>
      <c r="E9625" s="12" t="s">
        <v>1183</v>
      </c>
      <c r="F9625" s="12" t="s">
        <v>1184</v>
      </c>
      <c r="G9625" s="12" t="s">
        <v>40</v>
      </c>
      <c r="H9625" s="11" t="s">
        <v>63</v>
      </c>
      <c r="I9625" s="13" t="s">
        <v>19021</v>
      </c>
      <c r="J9625" s="14" t="str">
        <f>HYPERLINK("https://www.boe.es/gazeta/dias/1839/07/26/pdfs/GMD-1839-1715.pdf#page=2","Abrir facsímil")</f>
        <v>Abrir facsímil</v>
      </c>
      <c r="K9625" s="12" t="s">
        <v>65</v>
      </c>
    </row>
    <row r="9626" spans="1:11" ht="40.049999999999997" customHeight="1" x14ac:dyDescent="0.25">
      <c r="A9626" s="11" t="s">
        <v>19022</v>
      </c>
      <c r="B9626" s="11" t="s">
        <v>19023</v>
      </c>
      <c r="C9626" s="11" t="s">
        <v>17</v>
      </c>
      <c r="D9626" s="11" t="s">
        <v>18</v>
      </c>
      <c r="E9626" s="12" t="s">
        <v>1388</v>
      </c>
      <c r="F9626" s="12" t="s">
        <v>1389</v>
      </c>
      <c r="G9626" s="12" t="s">
        <v>46</v>
      </c>
      <c r="H9626" s="11" t="s">
        <v>63</v>
      </c>
      <c r="I9626" s="13" t="s">
        <v>19024</v>
      </c>
      <c r="J9626" s="14" t="str">
        <f>HYPERLINK("https://www.boe.es/gazeta/dias/1839/06/04/pdfs/GMD-1839-1662.pdf#page=3","Abrir facsímil")</f>
        <v>Abrir facsímil</v>
      </c>
      <c r="K9626" s="12" t="s">
        <v>65</v>
      </c>
    </row>
    <row r="9627" spans="1:11" ht="40.049999999999997" customHeight="1" x14ac:dyDescent="0.25">
      <c r="A9627" s="11" t="s">
        <v>19025</v>
      </c>
      <c r="B9627" s="11" t="s">
        <v>19026</v>
      </c>
      <c r="C9627" s="11" t="s">
        <v>17</v>
      </c>
      <c r="D9627" s="11" t="s">
        <v>18</v>
      </c>
      <c r="E9627" s="12" t="s">
        <v>1118</v>
      </c>
      <c r="F9627" s="12" t="s">
        <v>1119</v>
      </c>
      <c r="G9627" s="12" t="s">
        <v>21</v>
      </c>
      <c r="H9627" s="11" t="s">
        <v>22</v>
      </c>
      <c r="I9627" s="13" t="s">
        <v>19027</v>
      </c>
      <c r="J9627" s="14" t="str">
        <f>HYPERLINK("https://www.boe.es/gazeta/dias/1839/08/30/pdfs/GMD-1839-1751.pdf#page=4","Abrir facsímil")</f>
        <v>Abrir facsímil</v>
      </c>
      <c r="K9627" s="12" t="s">
        <v>24</v>
      </c>
    </row>
    <row r="9628" spans="1:11" ht="40.049999999999997" customHeight="1" x14ac:dyDescent="0.25">
      <c r="A9628" s="11" t="s">
        <v>19028</v>
      </c>
      <c r="B9628" s="11" t="s">
        <v>19029</v>
      </c>
      <c r="C9628" s="11" t="s">
        <v>17</v>
      </c>
      <c r="D9628" s="11" t="s">
        <v>18</v>
      </c>
      <c r="E9628" s="12" t="s">
        <v>2482</v>
      </c>
      <c r="F9628" s="12" t="s">
        <v>2483</v>
      </c>
      <c r="G9628" s="12" t="s">
        <v>46</v>
      </c>
      <c r="H9628" s="11" t="s">
        <v>63</v>
      </c>
      <c r="I9628" s="13" t="s">
        <v>19030</v>
      </c>
      <c r="J9628" s="14" t="str">
        <f>HYPERLINK("https://www.boe.es/gazeta/dias/1839/07/07/pdfs/GMD-1839-1695.pdf#page=3","Abrir facsímil")</f>
        <v>Abrir facsímil</v>
      </c>
      <c r="K9628" s="12" t="s">
        <v>65</v>
      </c>
    </row>
    <row r="9629" spans="1:11" ht="40.049999999999997" customHeight="1" x14ac:dyDescent="0.25">
      <c r="A9629" s="11" t="s">
        <v>19031</v>
      </c>
      <c r="B9629" s="11" t="s">
        <v>19032</v>
      </c>
      <c r="C9629" s="11" t="s">
        <v>101</v>
      </c>
      <c r="D9629" s="11" t="s">
        <v>102</v>
      </c>
      <c r="E9629" s="12" t="s">
        <v>1813</v>
      </c>
      <c r="F9629" s="12" t="s">
        <v>1814</v>
      </c>
      <c r="G9629" s="12" t="s">
        <v>40</v>
      </c>
      <c r="H9629" s="11" t="s">
        <v>63</v>
      </c>
      <c r="I9629" s="13" t="s">
        <v>19033</v>
      </c>
      <c r="J9629" s="14" t="str">
        <f>HYPERLINK("https://www.boe.es/gazeta/dias/1839/09/02/pdfs/GMD-1839-1754.pdf#page=2","Abrir facsímil")</f>
        <v>Abrir facsímil</v>
      </c>
      <c r="K9629" s="12" t="s">
        <v>65</v>
      </c>
    </row>
    <row r="9630" spans="1:11" ht="40.049999999999997" customHeight="1" x14ac:dyDescent="0.25">
      <c r="A9630" s="11" t="s">
        <v>19034</v>
      </c>
      <c r="B9630" s="11" t="s">
        <v>19035</v>
      </c>
      <c r="C9630" s="11" t="s">
        <v>17</v>
      </c>
      <c r="D9630" s="11" t="s">
        <v>18</v>
      </c>
      <c r="E9630" s="12" t="s">
        <v>587</v>
      </c>
      <c r="F9630" s="12" t="s">
        <v>588</v>
      </c>
      <c r="G9630" s="12" t="s">
        <v>29</v>
      </c>
      <c r="H9630" s="11" t="s">
        <v>63</v>
      </c>
      <c r="I9630" s="13" t="s">
        <v>19036</v>
      </c>
      <c r="J9630" s="14" t="str">
        <f>HYPERLINK("https://www.boe.es/gazeta/dias/1839/05/02/pdfs/GMD-1839-1629.pdf#page=1","Abrir facsímil")</f>
        <v>Abrir facsímil</v>
      </c>
      <c r="K9630" s="12" t="s">
        <v>65</v>
      </c>
    </row>
    <row r="9631" spans="1:11" ht="40.049999999999997" customHeight="1" x14ac:dyDescent="0.25">
      <c r="A9631" s="11" t="s">
        <v>19034</v>
      </c>
      <c r="B9631" s="11" t="s">
        <v>19035</v>
      </c>
      <c r="C9631" s="11" t="s">
        <v>59</v>
      </c>
      <c r="D9631" s="11" t="s">
        <v>60</v>
      </c>
      <c r="E9631" s="12" t="s">
        <v>1606</v>
      </c>
      <c r="F9631" s="12" t="s">
        <v>1607</v>
      </c>
      <c r="G9631" s="12" t="s">
        <v>21</v>
      </c>
      <c r="H9631" s="11" t="s">
        <v>63</v>
      </c>
      <c r="I9631" s="13" t="s">
        <v>19037</v>
      </c>
      <c r="J9631" s="14" t="str">
        <f>HYPERLINK("https://www.boe.es/gazeta/dias/1839/07/02/pdfs/GMD-1839-1690.pdf#page=4","Abrir facsímil")</f>
        <v>Abrir facsímil</v>
      </c>
      <c r="K9631" s="12" t="s">
        <v>65</v>
      </c>
    </row>
    <row r="9632" spans="1:11" ht="40.049999999999997" customHeight="1" x14ac:dyDescent="0.25">
      <c r="A9632" s="11" t="s">
        <v>19034</v>
      </c>
      <c r="B9632" s="11" t="s">
        <v>19035</v>
      </c>
      <c r="C9632" s="11" t="s">
        <v>80</v>
      </c>
      <c r="D9632" s="11" t="s">
        <v>18</v>
      </c>
      <c r="E9632" s="12" t="s">
        <v>548</v>
      </c>
      <c r="F9632" s="12" t="s">
        <v>549</v>
      </c>
      <c r="G9632" s="12" t="s">
        <v>29</v>
      </c>
      <c r="H9632" s="11" t="s">
        <v>63</v>
      </c>
      <c r="I9632" s="13" t="s">
        <v>19038</v>
      </c>
      <c r="J9632" s="14" t="str">
        <f>HYPERLINK("https://www.boe.es/gazeta/dias/1839/06/06/pdfs/GMD-1839-1664.pdf#page=1","Abrir facsímil")</f>
        <v>Abrir facsímil</v>
      </c>
      <c r="K9632" s="12" t="s">
        <v>65</v>
      </c>
    </row>
    <row r="9633" spans="1:11" ht="40.049999999999997" customHeight="1" x14ac:dyDescent="0.25">
      <c r="A9633" s="11" t="s">
        <v>19034</v>
      </c>
      <c r="B9633" s="11" t="s">
        <v>19035</v>
      </c>
      <c r="C9633" s="11" t="s">
        <v>17</v>
      </c>
      <c r="D9633" s="11" t="s">
        <v>18</v>
      </c>
      <c r="E9633" s="12" t="s">
        <v>160</v>
      </c>
      <c r="F9633" s="12" t="s">
        <v>161</v>
      </c>
      <c r="G9633" s="12" t="s">
        <v>29</v>
      </c>
      <c r="H9633" s="11" t="s">
        <v>63</v>
      </c>
      <c r="I9633" s="13" t="s">
        <v>19039</v>
      </c>
      <c r="J9633" s="14" t="str">
        <f>HYPERLINK("https://www.boe.es/gazeta/dias/1839/01/10/pdfs/GMD-1839-1517.pdf#page=1","Abrir facsímil")</f>
        <v>Abrir facsímil</v>
      </c>
      <c r="K9633" s="12" t="s">
        <v>65</v>
      </c>
    </row>
    <row r="9634" spans="1:11" ht="40.049999999999997" customHeight="1" x14ac:dyDescent="0.25">
      <c r="A9634" s="11" t="s">
        <v>19034</v>
      </c>
      <c r="B9634" s="11" t="s">
        <v>19035</v>
      </c>
      <c r="C9634" s="11" t="s">
        <v>59</v>
      </c>
      <c r="D9634" s="11" t="s">
        <v>60</v>
      </c>
      <c r="E9634" s="12" t="s">
        <v>269</v>
      </c>
      <c r="F9634" s="12" t="s">
        <v>270</v>
      </c>
      <c r="G9634" s="12" t="s">
        <v>29</v>
      </c>
      <c r="H9634" s="11" t="s">
        <v>63</v>
      </c>
      <c r="I9634" s="13" t="s">
        <v>19040</v>
      </c>
      <c r="J9634" s="14" t="str">
        <f>HYPERLINK("https://www.boe.es/gazeta/dias/1839/02/10/pdfs/GMD-1839-1548.pdf#page=1","Abrir facsímil")</f>
        <v>Abrir facsímil</v>
      </c>
      <c r="K9634" s="12" t="s">
        <v>65</v>
      </c>
    </row>
    <row r="9635" spans="1:11" ht="40.049999999999997" customHeight="1" x14ac:dyDescent="0.25">
      <c r="A9635" s="11" t="s">
        <v>19034</v>
      </c>
      <c r="B9635" s="11" t="s">
        <v>19035</v>
      </c>
      <c r="C9635" s="11" t="s">
        <v>59</v>
      </c>
      <c r="D9635" s="11" t="s">
        <v>60</v>
      </c>
      <c r="E9635" s="12" t="s">
        <v>163</v>
      </c>
      <c r="F9635" s="12" t="s">
        <v>164</v>
      </c>
      <c r="G9635" s="12" t="s">
        <v>21</v>
      </c>
      <c r="H9635" s="11" t="s">
        <v>63</v>
      </c>
      <c r="I9635" s="13" t="s">
        <v>19041</v>
      </c>
      <c r="J9635" s="14" t="str">
        <f>HYPERLINK("https://www.boe.es/gazeta/dias/1839/01/13/pdfs/GMD-1839-1520.pdf#page=4","Abrir facsímil")</f>
        <v>Abrir facsímil</v>
      </c>
      <c r="K9635" s="12" t="s">
        <v>65</v>
      </c>
    </row>
    <row r="9636" spans="1:11" ht="40.049999999999997" customHeight="1" x14ac:dyDescent="0.25">
      <c r="A9636" s="11" t="s">
        <v>19034</v>
      </c>
      <c r="B9636" s="11" t="s">
        <v>19035</v>
      </c>
      <c r="C9636" s="11" t="s">
        <v>17</v>
      </c>
      <c r="D9636" s="11" t="s">
        <v>18</v>
      </c>
      <c r="E9636" s="12" t="s">
        <v>4189</v>
      </c>
      <c r="F9636" s="12" t="s">
        <v>4190</v>
      </c>
      <c r="G9636" s="12" t="s">
        <v>29</v>
      </c>
      <c r="H9636" s="11" t="s">
        <v>63</v>
      </c>
      <c r="I9636" s="13" t="s">
        <v>19042</v>
      </c>
      <c r="J9636" s="14" t="str">
        <f>HYPERLINK("https://www.boe.es/gazeta/dias/1839/02/13/pdfs/GMD-1839-1551.pdf#page=1","Abrir facsímil")</f>
        <v>Abrir facsímil</v>
      </c>
      <c r="K9636" s="12" t="s">
        <v>65</v>
      </c>
    </row>
    <row r="9637" spans="1:11" ht="40.049999999999997" customHeight="1" x14ac:dyDescent="0.25">
      <c r="A9637" s="11" t="s">
        <v>19034</v>
      </c>
      <c r="B9637" s="11" t="s">
        <v>19035</v>
      </c>
      <c r="C9637" s="11" t="s">
        <v>80</v>
      </c>
      <c r="D9637" s="11" t="s">
        <v>18</v>
      </c>
      <c r="E9637" s="12" t="s">
        <v>946</v>
      </c>
      <c r="F9637" s="12" t="s">
        <v>947</v>
      </c>
      <c r="G9637" s="12" t="s">
        <v>21</v>
      </c>
      <c r="H9637" s="11" t="s">
        <v>63</v>
      </c>
      <c r="I9637" s="13" t="s">
        <v>19043</v>
      </c>
      <c r="J9637" s="14" t="str">
        <f>HYPERLINK("https://www.boe.es/gazeta/dias/1839/04/15/pdfs/GMD-1839-1612.pdf#page=4","Abrir facsímil")</f>
        <v>Abrir facsímil</v>
      </c>
      <c r="K9637" s="12" t="s">
        <v>65</v>
      </c>
    </row>
    <row r="9638" spans="1:11" ht="40.049999999999997" customHeight="1" x14ac:dyDescent="0.25">
      <c r="A9638" s="11" t="s">
        <v>19034</v>
      </c>
      <c r="B9638" s="11" t="s">
        <v>19035</v>
      </c>
      <c r="C9638" s="11" t="s">
        <v>59</v>
      </c>
      <c r="D9638" s="11" t="s">
        <v>60</v>
      </c>
      <c r="E9638" s="12" t="s">
        <v>1725</v>
      </c>
      <c r="F9638" s="12" t="s">
        <v>1726</v>
      </c>
      <c r="G9638" s="12" t="s">
        <v>40</v>
      </c>
      <c r="H9638" s="11" t="s">
        <v>63</v>
      </c>
      <c r="I9638" s="13" t="s">
        <v>19044</v>
      </c>
      <c r="J9638" s="14" t="str">
        <f>HYPERLINK("https://www.boe.es/gazeta/dias/1839/11/17/pdfs/GMD-1839-1834.pdf#page=2","Abrir facsímil")</f>
        <v>Abrir facsímil</v>
      </c>
      <c r="K9638" s="12" t="s">
        <v>65</v>
      </c>
    </row>
    <row r="9639" spans="1:11" ht="40.049999999999997" customHeight="1" x14ac:dyDescent="0.25">
      <c r="A9639" s="11" t="s">
        <v>19034</v>
      </c>
      <c r="B9639" s="11" t="s">
        <v>19035</v>
      </c>
      <c r="C9639" s="11" t="s">
        <v>137</v>
      </c>
      <c r="D9639" s="11" t="s">
        <v>18</v>
      </c>
      <c r="E9639" s="12" t="s">
        <v>207</v>
      </c>
      <c r="F9639" s="12" t="s">
        <v>208</v>
      </c>
      <c r="G9639" s="12" t="s">
        <v>29</v>
      </c>
      <c r="H9639" s="11" t="s">
        <v>63</v>
      </c>
      <c r="I9639" s="13" t="s">
        <v>19045</v>
      </c>
      <c r="J9639" s="14" t="str">
        <f>HYPERLINK("https://www.boe.es/gazeta/dias/1839/02/19/pdfs/GMD-1839-1557.pdf#page=1","Abrir facsímil")</f>
        <v>Abrir facsímil</v>
      </c>
      <c r="K9639" s="12" t="s">
        <v>65</v>
      </c>
    </row>
    <row r="9640" spans="1:11" ht="40.049999999999997" customHeight="1" x14ac:dyDescent="0.25">
      <c r="A9640" s="11" t="s">
        <v>19034</v>
      </c>
      <c r="B9640" s="11" t="s">
        <v>19035</v>
      </c>
      <c r="C9640" s="11" t="s">
        <v>17</v>
      </c>
      <c r="D9640" s="11" t="s">
        <v>18</v>
      </c>
      <c r="E9640" s="12" t="s">
        <v>1012</v>
      </c>
      <c r="F9640" s="12" t="s">
        <v>1013</v>
      </c>
      <c r="G9640" s="12" t="s">
        <v>29</v>
      </c>
      <c r="H9640" s="11" t="s">
        <v>63</v>
      </c>
      <c r="I9640" s="13" t="s">
        <v>19046</v>
      </c>
      <c r="J9640" s="14" t="str">
        <f>HYPERLINK("https://www.boe.es/gazeta/dias/1839/11/22/pdfs/GMD-1839-1839.pdf#page=1","Abrir facsímil")</f>
        <v>Abrir facsímil</v>
      </c>
      <c r="K9640" s="12" t="s">
        <v>65</v>
      </c>
    </row>
    <row r="9641" spans="1:11" ht="40.049999999999997" customHeight="1" x14ac:dyDescent="0.25">
      <c r="A9641" s="11" t="s">
        <v>19034</v>
      </c>
      <c r="B9641" s="11" t="s">
        <v>19035</v>
      </c>
      <c r="C9641" s="11" t="s">
        <v>80</v>
      </c>
      <c r="D9641" s="11" t="s">
        <v>18</v>
      </c>
      <c r="E9641" s="12" t="s">
        <v>416</v>
      </c>
      <c r="F9641" s="12" t="s">
        <v>417</v>
      </c>
      <c r="G9641" s="12" t="s">
        <v>21</v>
      </c>
      <c r="H9641" s="11" t="s">
        <v>63</v>
      </c>
      <c r="I9641" s="13" t="s">
        <v>19047</v>
      </c>
      <c r="J9641" s="14" t="str">
        <f>HYPERLINK("https://www.boe.es/gazeta/dias/1839/10/24/pdfs/GMD-1839-1810.pdf#page=4","Abrir facsímil")</f>
        <v>Abrir facsímil</v>
      </c>
      <c r="K9641" s="12" t="s">
        <v>65</v>
      </c>
    </row>
    <row r="9642" spans="1:11" ht="40.049999999999997" customHeight="1" x14ac:dyDescent="0.25">
      <c r="A9642" s="11" t="s">
        <v>19034</v>
      </c>
      <c r="B9642" s="11" t="s">
        <v>19035</v>
      </c>
      <c r="C9642" s="11" t="s">
        <v>17</v>
      </c>
      <c r="D9642" s="11" t="s">
        <v>18</v>
      </c>
      <c r="E9642" s="12" t="s">
        <v>2658</v>
      </c>
      <c r="F9642" s="12" t="s">
        <v>2659</v>
      </c>
      <c r="G9642" s="12" t="s">
        <v>29</v>
      </c>
      <c r="H9642" s="11" t="s">
        <v>63</v>
      </c>
      <c r="I9642" s="13" t="s">
        <v>19048</v>
      </c>
      <c r="J9642" s="14" t="str">
        <f>HYPERLINK("https://www.boe.es/gazeta/dias/1839/06/27/pdfs/GMD-1839-1685.pdf#page=1","Abrir facsímil")</f>
        <v>Abrir facsímil</v>
      </c>
      <c r="K9642" s="12" t="s">
        <v>65</v>
      </c>
    </row>
    <row r="9643" spans="1:11" ht="40.049999999999997" customHeight="1" x14ac:dyDescent="0.25">
      <c r="A9643" s="11" t="s">
        <v>19049</v>
      </c>
      <c r="B9643" s="11" t="s">
        <v>19050</v>
      </c>
      <c r="C9643" s="11" t="s">
        <v>80</v>
      </c>
      <c r="D9643" s="11" t="s">
        <v>18</v>
      </c>
      <c r="E9643" s="12" t="s">
        <v>821</v>
      </c>
      <c r="F9643" s="12" t="s">
        <v>822</v>
      </c>
      <c r="G9643" s="12" t="s">
        <v>29</v>
      </c>
      <c r="H9643" s="11" t="s">
        <v>63</v>
      </c>
      <c r="I9643" s="13" t="s">
        <v>19051</v>
      </c>
      <c r="J9643" s="14" t="str">
        <f>HYPERLINK("https://www.boe.es/gazeta/dias/1839/09/20/pdfs/GMD-1839-1775.pdf#page=1","Abrir facsímil")</f>
        <v>Abrir facsímil</v>
      </c>
      <c r="K9643" s="12" t="s">
        <v>65</v>
      </c>
    </row>
    <row r="9644" spans="1:11" ht="40.049999999999997" customHeight="1" x14ac:dyDescent="0.25">
      <c r="A9644" s="11" t="s">
        <v>19052</v>
      </c>
      <c r="B9644" s="11" t="s">
        <v>19053</v>
      </c>
      <c r="C9644" s="11" t="s">
        <v>17</v>
      </c>
      <c r="D9644" s="11" t="s">
        <v>18</v>
      </c>
      <c r="E9644" s="12" t="s">
        <v>621</v>
      </c>
      <c r="F9644" s="12" t="s">
        <v>622</v>
      </c>
      <c r="G9644" s="12" t="s">
        <v>29</v>
      </c>
      <c r="H9644" s="11" t="s">
        <v>22</v>
      </c>
      <c r="I9644" s="13" t="s">
        <v>19054</v>
      </c>
      <c r="J9644" s="14" t="str">
        <f>HYPERLINK("https://www.boe.es/gazeta/dias/1839/04/14/pdfs/GMD-1839-1611.pdf#page=1","Abrir facsímil")</f>
        <v>Abrir facsímil</v>
      </c>
      <c r="K9644" s="12" t="s">
        <v>24</v>
      </c>
    </row>
    <row r="9645" spans="1:11" ht="40.049999999999997" customHeight="1" x14ac:dyDescent="0.25">
      <c r="A9645" s="11" t="s">
        <v>19055</v>
      </c>
      <c r="B9645" s="11" t="s">
        <v>19056</v>
      </c>
      <c r="C9645" s="11" t="s">
        <v>17</v>
      </c>
      <c r="D9645" s="11" t="s">
        <v>18</v>
      </c>
      <c r="E9645" s="12" t="s">
        <v>2919</v>
      </c>
      <c r="F9645" s="12" t="s">
        <v>2920</v>
      </c>
      <c r="G9645" s="12" t="s">
        <v>29</v>
      </c>
      <c r="H9645" s="11" t="s">
        <v>63</v>
      </c>
      <c r="I9645" s="13" t="s">
        <v>19057</v>
      </c>
      <c r="J9645" s="14" t="str">
        <f>HYPERLINK("https://www.boe.es/gazeta/dias/1839/11/12/pdfs/GMD-1839-1829.pdf#page=1","Abrir facsímil")</f>
        <v>Abrir facsímil</v>
      </c>
      <c r="K9645" s="12" t="s">
        <v>65</v>
      </c>
    </row>
    <row r="9646" spans="1:11" ht="40.049999999999997" customHeight="1" x14ac:dyDescent="0.25">
      <c r="A9646" s="11" t="s">
        <v>19058</v>
      </c>
      <c r="B9646" s="11" t="s">
        <v>19059</v>
      </c>
      <c r="C9646" s="11" t="s">
        <v>59</v>
      </c>
      <c r="D9646" s="11" t="s">
        <v>60</v>
      </c>
      <c r="E9646" s="12" t="s">
        <v>643</v>
      </c>
      <c r="F9646" s="12" t="s">
        <v>644</v>
      </c>
      <c r="G9646" s="12" t="s">
        <v>29</v>
      </c>
      <c r="H9646" s="11" t="s">
        <v>22</v>
      </c>
      <c r="I9646" s="13" t="s">
        <v>19060</v>
      </c>
      <c r="J9646" s="14" t="str">
        <f>HYPERLINK("https://www.boe.es/gazeta/dias/1839/03/20/pdfs/GMD-1839-1586.pdf#page=1","Abrir facsímil")</f>
        <v>Abrir facsímil</v>
      </c>
      <c r="K9646" s="12" t="s">
        <v>24</v>
      </c>
    </row>
    <row r="9647" spans="1:11" ht="40.049999999999997" customHeight="1" x14ac:dyDescent="0.25">
      <c r="A9647" s="11" t="s">
        <v>19061</v>
      </c>
      <c r="B9647" s="11" t="s">
        <v>19062</v>
      </c>
      <c r="C9647" s="11" t="s">
        <v>17</v>
      </c>
      <c r="D9647" s="11" t="s">
        <v>18</v>
      </c>
      <c r="E9647" s="12" t="s">
        <v>756</v>
      </c>
      <c r="F9647" s="12" t="s">
        <v>757</v>
      </c>
      <c r="G9647" s="12" t="s">
        <v>21</v>
      </c>
      <c r="H9647" s="11" t="s">
        <v>63</v>
      </c>
      <c r="I9647" s="13" t="s">
        <v>19063</v>
      </c>
      <c r="J9647" s="14" t="str">
        <f>HYPERLINK("https://www.boe.es/gazeta/dias/1839/12/17/pdfs/GMD-1839-1864.pdf#page=4","Abrir facsímil")</f>
        <v>Abrir facsímil</v>
      </c>
      <c r="K9647" s="12" t="s">
        <v>65</v>
      </c>
    </row>
    <row r="9648" spans="1:11" ht="40.049999999999997" customHeight="1" x14ac:dyDescent="0.25">
      <c r="A9648" s="11" t="s">
        <v>19064</v>
      </c>
      <c r="B9648" s="11" t="s">
        <v>19065</v>
      </c>
      <c r="C9648" s="11" t="s">
        <v>59</v>
      </c>
      <c r="D9648" s="11" t="s">
        <v>60</v>
      </c>
      <c r="E9648" s="12" t="s">
        <v>2839</v>
      </c>
      <c r="F9648" s="12" t="s">
        <v>2840</v>
      </c>
      <c r="G9648" s="12" t="s">
        <v>29</v>
      </c>
      <c r="H9648" s="11" t="s">
        <v>63</v>
      </c>
      <c r="I9648" s="13" t="s">
        <v>19066</v>
      </c>
      <c r="J9648" s="14" t="str">
        <f>HYPERLINK("https://www.boe.es/gazeta/dias/1839/03/06/pdfs/GMD-1839-1572.pdf#page=1","Abrir facsímil")</f>
        <v>Abrir facsímil</v>
      </c>
      <c r="K9648" s="12" t="s">
        <v>65</v>
      </c>
    </row>
    <row r="9649" spans="1:11" ht="40.049999999999997" customHeight="1" x14ac:dyDescent="0.25">
      <c r="A9649" s="11" t="s">
        <v>19064</v>
      </c>
      <c r="B9649" s="11" t="s">
        <v>19065</v>
      </c>
      <c r="C9649" s="11" t="s">
        <v>17</v>
      </c>
      <c r="D9649" s="11" t="s">
        <v>43</v>
      </c>
      <c r="E9649" s="12" t="s">
        <v>3566</v>
      </c>
      <c r="F9649" s="12" t="s">
        <v>3567</v>
      </c>
      <c r="G9649" s="12" t="s">
        <v>29</v>
      </c>
      <c r="H9649" s="11" t="s">
        <v>63</v>
      </c>
      <c r="I9649" s="13" t="s">
        <v>19067</v>
      </c>
      <c r="J9649" s="14" t="str">
        <f>HYPERLINK("https://www.boe.es/gazeta/dias/1839/07/06/pdfs/GMD-1839-1694.pdf#page=1","Abrir facsímil")</f>
        <v>Abrir facsímil</v>
      </c>
      <c r="K9649" s="12" t="s">
        <v>65</v>
      </c>
    </row>
    <row r="9650" spans="1:11" ht="40.049999999999997" customHeight="1" x14ac:dyDescent="0.25">
      <c r="A9650" s="11" t="s">
        <v>19064</v>
      </c>
      <c r="B9650" s="11" t="s">
        <v>19065</v>
      </c>
      <c r="C9650" s="11" t="s">
        <v>101</v>
      </c>
      <c r="D9650" s="11" t="s">
        <v>102</v>
      </c>
      <c r="E9650" s="12" t="s">
        <v>121</v>
      </c>
      <c r="F9650" s="12" t="s">
        <v>122</v>
      </c>
      <c r="G9650" s="12" t="s">
        <v>29</v>
      </c>
      <c r="H9650" s="11" t="s">
        <v>63</v>
      </c>
      <c r="I9650" s="13" t="s">
        <v>19068</v>
      </c>
      <c r="J9650" s="14" t="str">
        <f>HYPERLINK("https://www.boe.es/gazeta/dias/1839/06/08/pdfs/GMD-1839-1666.pdf#page=1","Abrir facsímil")</f>
        <v>Abrir facsímil</v>
      </c>
      <c r="K9650" s="12" t="s">
        <v>65</v>
      </c>
    </row>
    <row r="9651" spans="1:11" ht="40.049999999999997" customHeight="1" x14ac:dyDescent="0.25">
      <c r="A9651" s="11" t="s">
        <v>19064</v>
      </c>
      <c r="B9651" s="11" t="s">
        <v>19065</v>
      </c>
      <c r="C9651" s="11" t="s">
        <v>17</v>
      </c>
      <c r="D9651" s="11" t="s">
        <v>18</v>
      </c>
      <c r="E9651" s="12" t="s">
        <v>2320</v>
      </c>
      <c r="F9651" s="12" t="s">
        <v>2321</v>
      </c>
      <c r="G9651" s="12" t="s">
        <v>46</v>
      </c>
      <c r="H9651" s="11" t="s">
        <v>63</v>
      </c>
      <c r="I9651" s="13" t="s">
        <v>19069</v>
      </c>
      <c r="J9651" s="14" t="str">
        <f>HYPERLINK("https://www.boe.es/gazeta/dias/1839/11/13/pdfs/GMD-1839-1830.pdf#page=3","Abrir facsímil")</f>
        <v>Abrir facsímil</v>
      </c>
      <c r="K9651" s="12" t="s">
        <v>65</v>
      </c>
    </row>
    <row r="9652" spans="1:11" ht="40.049999999999997" customHeight="1" x14ac:dyDescent="0.25">
      <c r="A9652" s="11" t="s">
        <v>19064</v>
      </c>
      <c r="B9652" s="11" t="s">
        <v>19065</v>
      </c>
      <c r="C9652" s="11" t="s">
        <v>17</v>
      </c>
      <c r="D9652" s="11" t="s">
        <v>18</v>
      </c>
      <c r="E9652" s="12" t="s">
        <v>2155</v>
      </c>
      <c r="F9652" s="12" t="s">
        <v>2156</v>
      </c>
      <c r="G9652" s="12" t="s">
        <v>29</v>
      </c>
      <c r="H9652" s="11" t="s">
        <v>63</v>
      </c>
      <c r="I9652" s="13" t="s">
        <v>19070</v>
      </c>
      <c r="J9652" s="14" t="str">
        <f>HYPERLINK("https://www.boe.es/gazeta/dias/1839/01/17/pdfs/GMD-1839-1524.pdf#page=1","Abrir facsímil")</f>
        <v>Abrir facsímil</v>
      </c>
      <c r="K9652" s="12" t="s">
        <v>65</v>
      </c>
    </row>
    <row r="9653" spans="1:11" ht="40.049999999999997" customHeight="1" x14ac:dyDescent="0.25">
      <c r="A9653" s="11" t="s">
        <v>19064</v>
      </c>
      <c r="B9653" s="11" t="s">
        <v>19065</v>
      </c>
      <c r="C9653" s="11" t="s">
        <v>17</v>
      </c>
      <c r="D9653" s="11" t="s">
        <v>18</v>
      </c>
      <c r="E9653" s="12" t="s">
        <v>4550</v>
      </c>
      <c r="F9653" s="12" t="s">
        <v>4551</v>
      </c>
      <c r="G9653" s="12" t="s">
        <v>29</v>
      </c>
      <c r="H9653" s="11" t="s">
        <v>63</v>
      </c>
      <c r="I9653" s="13" t="s">
        <v>19071</v>
      </c>
      <c r="J9653" s="14" t="str">
        <f>HYPERLINK("https://www.boe.es/gazeta/dias/1839/04/17/pdfs/GMD-1839-1614.pdf#page=1","Abrir facsímil")</f>
        <v>Abrir facsímil</v>
      </c>
      <c r="K9653" s="12" t="s">
        <v>65</v>
      </c>
    </row>
    <row r="9654" spans="1:11" ht="40.049999999999997" customHeight="1" x14ac:dyDescent="0.25">
      <c r="A9654" s="11" t="s">
        <v>19064</v>
      </c>
      <c r="B9654" s="11" t="s">
        <v>19065</v>
      </c>
      <c r="C9654" s="11" t="s">
        <v>59</v>
      </c>
      <c r="D9654" s="11" t="s">
        <v>60</v>
      </c>
      <c r="E9654" s="12" t="s">
        <v>1374</v>
      </c>
      <c r="F9654" s="12" t="s">
        <v>1375</v>
      </c>
      <c r="G9654" s="12" t="s">
        <v>29</v>
      </c>
      <c r="H9654" s="11" t="s">
        <v>63</v>
      </c>
      <c r="I9654" s="13" t="s">
        <v>19072</v>
      </c>
      <c r="J9654" s="14" t="str">
        <f>HYPERLINK("https://www.boe.es/gazeta/dias/1839/07/20/pdfs/GMD-1839-1708.pdf#page=1","Abrir facsímil")</f>
        <v>Abrir facsímil</v>
      </c>
      <c r="K9654" s="12" t="s">
        <v>65</v>
      </c>
    </row>
    <row r="9655" spans="1:11" ht="40.049999999999997" customHeight="1" x14ac:dyDescent="0.25">
      <c r="A9655" s="11" t="s">
        <v>19064</v>
      </c>
      <c r="B9655" s="11" t="s">
        <v>19065</v>
      </c>
      <c r="C9655" s="11" t="s">
        <v>80</v>
      </c>
      <c r="D9655" s="11" t="s">
        <v>18</v>
      </c>
      <c r="E9655" s="12" t="s">
        <v>1584</v>
      </c>
      <c r="F9655" s="12" t="s">
        <v>1585</v>
      </c>
      <c r="G9655" s="12" t="s">
        <v>46</v>
      </c>
      <c r="H9655" s="11" t="s">
        <v>63</v>
      </c>
      <c r="I9655" s="13" t="s">
        <v>19073</v>
      </c>
      <c r="J9655" s="14" t="str">
        <f>HYPERLINK("https://www.boe.es/gazeta/dias/1839/11/20/pdfs/GMD-1839-1837.pdf#page=3","Abrir facsímil")</f>
        <v>Abrir facsímil</v>
      </c>
      <c r="K9655" s="12" t="s">
        <v>65</v>
      </c>
    </row>
    <row r="9656" spans="1:11" ht="40.049999999999997" customHeight="1" x14ac:dyDescent="0.25">
      <c r="A9656" s="11" t="s">
        <v>19064</v>
      </c>
      <c r="B9656" s="11" t="s">
        <v>19065</v>
      </c>
      <c r="C9656" s="11" t="s">
        <v>17</v>
      </c>
      <c r="D9656" s="11" t="s">
        <v>18</v>
      </c>
      <c r="E9656" s="12" t="s">
        <v>280</v>
      </c>
      <c r="F9656" s="12" t="s">
        <v>281</v>
      </c>
      <c r="G9656" s="12" t="s">
        <v>21</v>
      </c>
      <c r="H9656" s="11" t="s">
        <v>63</v>
      </c>
      <c r="I9656" s="13" t="s">
        <v>19074</v>
      </c>
      <c r="J9656" s="14" t="str">
        <f>HYPERLINK("https://www.boe.es/gazeta/dias/1839/08/21/pdfs/GMD-1839-1742.pdf#page=4","Abrir facsímil")</f>
        <v>Abrir facsímil</v>
      </c>
      <c r="K9656" s="12" t="s">
        <v>65</v>
      </c>
    </row>
    <row r="9657" spans="1:11" ht="40.049999999999997" customHeight="1" x14ac:dyDescent="0.25">
      <c r="A9657" s="11" t="s">
        <v>19064</v>
      </c>
      <c r="B9657" s="11" t="s">
        <v>19065</v>
      </c>
      <c r="C9657" s="11" t="s">
        <v>17</v>
      </c>
      <c r="D9657" s="11" t="s">
        <v>18</v>
      </c>
      <c r="E9657" s="12" t="s">
        <v>2962</v>
      </c>
      <c r="F9657" s="12" t="s">
        <v>2963</v>
      </c>
      <c r="G9657" s="12" t="s">
        <v>29</v>
      </c>
      <c r="H9657" s="11" t="s">
        <v>63</v>
      </c>
      <c r="I9657" s="13" t="s">
        <v>19075</v>
      </c>
      <c r="J9657" s="14" t="str">
        <f>HYPERLINK("https://www.boe.es/gazeta/dias/1839/12/21/pdfs/GMD-1839-1868.pdf#page=1","Abrir facsímil")</f>
        <v>Abrir facsímil</v>
      </c>
      <c r="K9657" s="12" t="s">
        <v>65</v>
      </c>
    </row>
    <row r="9658" spans="1:11" ht="40.049999999999997" customHeight="1" x14ac:dyDescent="0.25">
      <c r="A9658" s="11" t="s">
        <v>19064</v>
      </c>
      <c r="B9658" s="11" t="s">
        <v>19065</v>
      </c>
      <c r="C9658" s="11" t="s">
        <v>59</v>
      </c>
      <c r="D9658" s="11" t="s">
        <v>60</v>
      </c>
      <c r="E9658" s="12" t="s">
        <v>1685</v>
      </c>
      <c r="F9658" s="12" t="s">
        <v>1686</v>
      </c>
      <c r="G9658" s="12" t="s">
        <v>21</v>
      </c>
      <c r="H9658" s="11" t="s">
        <v>63</v>
      </c>
      <c r="I9658" s="13" t="s">
        <v>19076</v>
      </c>
      <c r="J9658" s="14" t="str">
        <f>HYPERLINK("https://www.boe.es/gazeta/dias/1839/04/27/pdfs/GMD-1839-1624.pdf#page=4","Abrir facsímil")</f>
        <v>Abrir facsímil</v>
      </c>
      <c r="K9658" s="12" t="s">
        <v>65</v>
      </c>
    </row>
    <row r="9659" spans="1:11" ht="40.049999999999997" customHeight="1" x14ac:dyDescent="0.25">
      <c r="A9659" s="11" t="s">
        <v>19064</v>
      </c>
      <c r="B9659" s="11" t="s">
        <v>19065</v>
      </c>
      <c r="C9659" s="11" t="s">
        <v>17</v>
      </c>
      <c r="D9659" s="11" t="s">
        <v>18</v>
      </c>
      <c r="E9659" s="12" t="s">
        <v>489</v>
      </c>
      <c r="F9659" s="12" t="s">
        <v>490</v>
      </c>
      <c r="G9659" s="12" t="s">
        <v>29</v>
      </c>
      <c r="H9659" s="11" t="s">
        <v>63</v>
      </c>
      <c r="I9659" s="13" t="s">
        <v>19077</v>
      </c>
      <c r="J9659" s="14" t="str">
        <f>HYPERLINK("https://www.boe.es/gazeta/dias/1839/06/29/pdfs/GMD-1839-1687.pdf#page=1","Abrir facsímil")</f>
        <v>Abrir facsímil</v>
      </c>
      <c r="K9659" s="12" t="s">
        <v>65</v>
      </c>
    </row>
    <row r="9660" spans="1:11" ht="40.049999999999997" customHeight="1" x14ac:dyDescent="0.25">
      <c r="A9660" s="11" t="s">
        <v>19078</v>
      </c>
      <c r="B9660" s="11" t="s">
        <v>19079</v>
      </c>
      <c r="C9660" s="11" t="s">
        <v>17</v>
      </c>
      <c r="D9660" s="11" t="s">
        <v>18</v>
      </c>
      <c r="E9660" s="12" t="s">
        <v>1588</v>
      </c>
      <c r="F9660" s="12" t="s">
        <v>1589</v>
      </c>
      <c r="G9660" s="12" t="s">
        <v>29</v>
      </c>
      <c r="H9660" s="11" t="s">
        <v>63</v>
      </c>
      <c r="I9660" s="13" t="s">
        <v>19080</v>
      </c>
      <c r="J9660" s="14" t="str">
        <f>HYPERLINK("https://www.boe.es/gazeta/dias/1839/07/27/pdfs/GMD-1839-1716.pdf#page=1","Abrir facsímil")</f>
        <v>Abrir facsímil</v>
      </c>
      <c r="K9660" s="12" t="s">
        <v>65</v>
      </c>
    </row>
    <row r="9661" spans="1:11" ht="40.049999999999997" customHeight="1" x14ac:dyDescent="0.25">
      <c r="A9661" s="11" t="s">
        <v>19081</v>
      </c>
      <c r="B9661" s="11" t="s">
        <v>19082</v>
      </c>
      <c r="C9661" s="11" t="s">
        <v>59</v>
      </c>
      <c r="D9661" s="11" t="s">
        <v>60</v>
      </c>
      <c r="E9661" s="12" t="s">
        <v>280</v>
      </c>
      <c r="F9661" s="12" t="s">
        <v>281</v>
      </c>
      <c r="G9661" s="12" t="s">
        <v>21</v>
      </c>
      <c r="H9661" s="11" t="s">
        <v>63</v>
      </c>
      <c r="I9661" s="13" t="s">
        <v>19083</v>
      </c>
      <c r="J9661" s="14" t="str">
        <f>HYPERLINK("https://www.boe.es/gazeta/dias/1839/08/21/pdfs/GMD-1839-1742.pdf#page=4","Abrir facsímil")</f>
        <v>Abrir facsímil</v>
      </c>
      <c r="K9661" s="12" t="s">
        <v>65</v>
      </c>
    </row>
    <row r="9662" spans="1:11" ht="40.049999999999997" customHeight="1" x14ac:dyDescent="0.25">
      <c r="A9662" s="11" t="s">
        <v>19084</v>
      </c>
      <c r="B9662" s="11" t="s">
        <v>19085</v>
      </c>
      <c r="C9662" s="11" t="s">
        <v>137</v>
      </c>
      <c r="D9662" s="11" t="s">
        <v>18</v>
      </c>
      <c r="E9662" s="12" t="s">
        <v>650</v>
      </c>
      <c r="F9662" s="12" t="s">
        <v>651</v>
      </c>
      <c r="G9662" s="12" t="s">
        <v>21</v>
      </c>
      <c r="H9662" s="11" t="s">
        <v>63</v>
      </c>
      <c r="I9662" s="13" t="s">
        <v>19086</v>
      </c>
      <c r="J9662" s="14" t="str">
        <f>HYPERLINK("https://www.boe.es/gazeta/dias/1839/10/25/pdfs/GMD-1839-1811.pdf#page=4","Abrir facsímil")</f>
        <v>Abrir facsímil</v>
      </c>
      <c r="K9662" s="12" t="s">
        <v>65</v>
      </c>
    </row>
    <row r="9663" spans="1:11" ht="40.049999999999997" customHeight="1" x14ac:dyDescent="0.25">
      <c r="A9663" s="11" t="s">
        <v>19087</v>
      </c>
      <c r="B9663" s="11" t="s">
        <v>19088</v>
      </c>
      <c r="C9663" s="11" t="s">
        <v>137</v>
      </c>
      <c r="D9663" s="11" t="s">
        <v>18</v>
      </c>
      <c r="E9663" s="12" t="s">
        <v>862</v>
      </c>
      <c r="F9663" s="12" t="s">
        <v>863</v>
      </c>
      <c r="G9663" s="12" t="s">
        <v>566</v>
      </c>
      <c r="H9663" s="11" t="s">
        <v>63</v>
      </c>
      <c r="I9663" s="13" t="s">
        <v>19089</v>
      </c>
      <c r="J9663" s="14" t="str">
        <f>HYPERLINK("https://www.boe.es/gazeta/dias/1839/10/28/pdfs/GMD-1839-1814.pdf#page=5","Abrir facsímil")</f>
        <v>Abrir facsímil</v>
      </c>
      <c r="K9663" s="12" t="s">
        <v>65</v>
      </c>
    </row>
    <row r="9664" spans="1:11" ht="40.049999999999997" customHeight="1" x14ac:dyDescent="0.25">
      <c r="A9664" s="11" t="s">
        <v>19090</v>
      </c>
      <c r="B9664" s="11" t="s">
        <v>19091</v>
      </c>
      <c r="C9664" s="11" t="s">
        <v>17</v>
      </c>
      <c r="D9664" s="11" t="s">
        <v>18</v>
      </c>
      <c r="E9664" s="12" t="s">
        <v>1663</v>
      </c>
      <c r="F9664" s="12" t="s">
        <v>1664</v>
      </c>
      <c r="G9664" s="12" t="s">
        <v>21</v>
      </c>
      <c r="H9664" s="11" t="s">
        <v>63</v>
      </c>
      <c r="I9664" s="13" t="s">
        <v>19092</v>
      </c>
      <c r="J9664" s="14" t="str">
        <f>HYPERLINK("https://www.boe.es/gazeta/dias/1839/03/22/pdfs/GMD-1839-1588.pdf#page=4","Abrir facsímil")</f>
        <v>Abrir facsímil</v>
      </c>
      <c r="K9664" s="12" t="s">
        <v>65</v>
      </c>
    </row>
    <row r="9665" spans="1:11" ht="40.049999999999997" customHeight="1" x14ac:dyDescent="0.25">
      <c r="A9665" s="11" t="s">
        <v>19093</v>
      </c>
      <c r="B9665" s="11" t="s">
        <v>19094</v>
      </c>
      <c r="C9665" s="11" t="s">
        <v>80</v>
      </c>
      <c r="D9665" s="11" t="s">
        <v>18</v>
      </c>
      <c r="E9665" s="12" t="s">
        <v>207</v>
      </c>
      <c r="F9665" s="12" t="s">
        <v>208</v>
      </c>
      <c r="G9665" s="12" t="s">
        <v>40</v>
      </c>
      <c r="H9665" s="11" t="s">
        <v>63</v>
      </c>
      <c r="I9665" s="13" t="s">
        <v>19095</v>
      </c>
      <c r="J9665" s="14" t="str">
        <f>HYPERLINK("https://www.boe.es/gazeta/dias/1839/02/19/pdfs/GMD-1839-1557.pdf#page=2","Abrir facsímil")</f>
        <v>Abrir facsímil</v>
      </c>
      <c r="K9665" s="12" t="s">
        <v>65</v>
      </c>
    </row>
    <row r="9666" spans="1:11" ht="40.049999999999997" customHeight="1" x14ac:dyDescent="0.25">
      <c r="A9666" s="11" t="s">
        <v>19096</v>
      </c>
      <c r="B9666" s="11" t="s">
        <v>19097</v>
      </c>
      <c r="C9666" s="11" t="s">
        <v>59</v>
      </c>
      <c r="D9666" s="11" t="s">
        <v>60</v>
      </c>
      <c r="E9666" s="12" t="s">
        <v>1012</v>
      </c>
      <c r="F9666" s="12" t="s">
        <v>1013</v>
      </c>
      <c r="G9666" s="12" t="s">
        <v>46</v>
      </c>
      <c r="H9666" s="11" t="s">
        <v>63</v>
      </c>
      <c r="I9666" s="13" t="s">
        <v>19098</v>
      </c>
      <c r="J9666" s="14" t="str">
        <f>HYPERLINK("https://www.boe.es/gazeta/dias/1839/11/22/pdfs/GMD-1839-1839.pdf#page=3","Abrir facsímil")</f>
        <v>Abrir facsímil</v>
      </c>
      <c r="K9666" s="12" t="s">
        <v>65</v>
      </c>
    </row>
    <row r="9667" spans="1:11" ht="40.049999999999997" customHeight="1" x14ac:dyDescent="0.25">
      <c r="A9667" s="11" t="s">
        <v>19099</v>
      </c>
      <c r="B9667" s="11" t="s">
        <v>19100</v>
      </c>
      <c r="C9667" s="11" t="s">
        <v>59</v>
      </c>
      <c r="D9667" s="11" t="s">
        <v>60</v>
      </c>
      <c r="E9667" s="12" t="s">
        <v>1374</v>
      </c>
      <c r="F9667" s="12" t="s">
        <v>1375</v>
      </c>
      <c r="G9667" s="12" t="s">
        <v>40</v>
      </c>
      <c r="H9667" s="11" t="s">
        <v>63</v>
      </c>
      <c r="I9667" s="13" t="s">
        <v>19101</v>
      </c>
      <c r="J9667" s="14" t="str">
        <f>HYPERLINK("https://www.boe.es/gazeta/dias/1839/07/20/pdfs/GMD-1839-1708.pdf#page=2","Abrir facsímil")</f>
        <v>Abrir facsímil</v>
      </c>
      <c r="K9667" s="12" t="s">
        <v>65</v>
      </c>
    </row>
    <row r="9668" spans="1:11" ht="40.049999999999997" customHeight="1" x14ac:dyDescent="0.25">
      <c r="A9668" s="11" t="s">
        <v>19102</v>
      </c>
      <c r="B9668" s="11" t="s">
        <v>19103</v>
      </c>
      <c r="C9668" s="11" t="s">
        <v>80</v>
      </c>
      <c r="D9668" s="11" t="s">
        <v>18</v>
      </c>
      <c r="E9668" s="12" t="s">
        <v>638</v>
      </c>
      <c r="F9668" s="12" t="s">
        <v>639</v>
      </c>
      <c r="G9668" s="12" t="s">
        <v>29</v>
      </c>
      <c r="H9668" s="11" t="s">
        <v>63</v>
      </c>
      <c r="I9668" s="13" t="s">
        <v>19104</v>
      </c>
      <c r="J9668" s="14" t="str">
        <f>HYPERLINK("https://www.boe.es/gazeta/dias/1839/08/26/pdfs/GMD-1839-1747.pdf#page=1","Abrir facsímil")</f>
        <v>Abrir facsímil</v>
      </c>
      <c r="K9668" s="12" t="s">
        <v>65</v>
      </c>
    </row>
    <row r="9669" spans="1:11" ht="40.049999999999997" customHeight="1" x14ac:dyDescent="0.25">
      <c r="A9669" s="11" t="s">
        <v>19105</v>
      </c>
      <c r="B9669" s="11" t="s">
        <v>19106</v>
      </c>
      <c r="C9669" s="11" t="s">
        <v>101</v>
      </c>
      <c r="D9669" s="11" t="s">
        <v>43</v>
      </c>
      <c r="E9669" s="12" t="s">
        <v>448</v>
      </c>
      <c r="F9669" s="12" t="s">
        <v>449</v>
      </c>
      <c r="G9669" s="12" t="s">
        <v>46</v>
      </c>
      <c r="H9669" s="11" t="s">
        <v>63</v>
      </c>
      <c r="I9669" s="13" t="s">
        <v>19107</v>
      </c>
      <c r="J9669" s="14" t="str">
        <f>HYPERLINK("https://www.boe.es/gazeta/dias/1839/02/06/pdfs/GMD-1839-1544.pdf#page=3","Abrir facsímil")</f>
        <v>Abrir facsímil</v>
      </c>
      <c r="K9669" s="12" t="s">
        <v>65</v>
      </c>
    </row>
    <row r="9670" spans="1:11" ht="40.049999999999997" customHeight="1" x14ac:dyDescent="0.25">
      <c r="A9670" s="11" t="s">
        <v>19105</v>
      </c>
      <c r="B9670" s="11" t="s">
        <v>19106</v>
      </c>
      <c r="C9670" s="11" t="s">
        <v>17</v>
      </c>
      <c r="D9670" s="11" t="s">
        <v>18</v>
      </c>
      <c r="E9670" s="12" t="s">
        <v>453</v>
      </c>
      <c r="F9670" s="12" t="s">
        <v>454</v>
      </c>
      <c r="G9670" s="12" t="s">
        <v>46</v>
      </c>
      <c r="H9670" s="11" t="s">
        <v>63</v>
      </c>
      <c r="I9670" s="13" t="s">
        <v>19108</v>
      </c>
      <c r="J9670" s="14" t="str">
        <f>HYPERLINK("https://www.boe.es/gazeta/dias/1839/02/07/pdfs/GMD-1839-1545.pdf#page=3","Abrir facsímil")</f>
        <v>Abrir facsímil</v>
      </c>
      <c r="K9670" s="12" t="s">
        <v>65</v>
      </c>
    </row>
    <row r="9671" spans="1:11" ht="40.049999999999997" customHeight="1" x14ac:dyDescent="0.25">
      <c r="A9671" s="11" t="s">
        <v>19109</v>
      </c>
      <c r="B9671" s="11" t="s">
        <v>19110</v>
      </c>
      <c r="C9671" s="11" t="s">
        <v>80</v>
      </c>
      <c r="D9671" s="11" t="s">
        <v>173</v>
      </c>
      <c r="E9671" s="12" t="s">
        <v>163</v>
      </c>
      <c r="F9671" s="12" t="s">
        <v>164</v>
      </c>
      <c r="G9671" s="12" t="s">
        <v>21</v>
      </c>
      <c r="H9671" s="11" t="s">
        <v>63</v>
      </c>
      <c r="I9671" s="13" t="s">
        <v>19111</v>
      </c>
      <c r="J9671" s="14" t="str">
        <f>HYPERLINK("https://www.boe.es/gazeta/dias/1839/01/13/pdfs/GMD-1839-1520.pdf#page=4","Abrir facsímil")</f>
        <v>Abrir facsímil</v>
      </c>
      <c r="K9671" s="12" t="s">
        <v>65</v>
      </c>
    </row>
    <row r="9672" spans="1:11" ht="40.049999999999997" customHeight="1" x14ac:dyDescent="0.25">
      <c r="A9672" s="11" t="s">
        <v>19112</v>
      </c>
      <c r="B9672" s="11" t="s">
        <v>19113</v>
      </c>
      <c r="C9672" s="11" t="s">
        <v>101</v>
      </c>
      <c r="D9672" s="11" t="s">
        <v>43</v>
      </c>
      <c r="E9672" s="12" t="s">
        <v>561</v>
      </c>
      <c r="F9672" s="12" t="s">
        <v>562</v>
      </c>
      <c r="G9672" s="12" t="s">
        <v>46</v>
      </c>
      <c r="H9672" s="11" t="s">
        <v>63</v>
      </c>
      <c r="I9672" s="13" t="s">
        <v>19114</v>
      </c>
      <c r="J9672" s="14" t="str">
        <f>HYPERLINK("https://www.boe.es/gazeta/dias/1839/09/11/pdfs/GMD-1839-1764.pdf#page=3","Abrir facsímil")</f>
        <v>Abrir facsímil</v>
      </c>
      <c r="K9672" s="12" t="s">
        <v>65</v>
      </c>
    </row>
    <row r="9673" spans="1:11" ht="40.049999999999997" customHeight="1" x14ac:dyDescent="0.25">
      <c r="A9673" s="11" t="s">
        <v>19112</v>
      </c>
      <c r="B9673" s="11" t="s">
        <v>19113</v>
      </c>
      <c r="C9673" s="11" t="s">
        <v>80</v>
      </c>
      <c r="D9673" s="11" t="s">
        <v>18</v>
      </c>
      <c r="E9673" s="12" t="s">
        <v>2155</v>
      </c>
      <c r="F9673" s="12" t="s">
        <v>2156</v>
      </c>
      <c r="G9673" s="12" t="s">
        <v>40</v>
      </c>
      <c r="H9673" s="11" t="s">
        <v>63</v>
      </c>
      <c r="I9673" s="13" t="s">
        <v>19115</v>
      </c>
      <c r="J9673" s="14" t="str">
        <f>HYPERLINK("https://www.boe.es/gazeta/dias/1839/01/17/pdfs/GMD-1839-1524.pdf#page=2","Abrir facsímil")</f>
        <v>Abrir facsímil</v>
      </c>
      <c r="K9673" s="12" t="s">
        <v>65</v>
      </c>
    </row>
    <row r="9674" spans="1:11" ht="40.049999999999997" customHeight="1" x14ac:dyDescent="0.25">
      <c r="A9674" s="11" t="s">
        <v>19116</v>
      </c>
      <c r="B9674" s="11" t="s">
        <v>19117</v>
      </c>
      <c r="C9674" s="11" t="s">
        <v>17</v>
      </c>
      <c r="D9674" s="11" t="s">
        <v>18</v>
      </c>
      <c r="E9674" s="12" t="s">
        <v>1136</v>
      </c>
      <c r="F9674" s="12" t="s">
        <v>1137</v>
      </c>
      <c r="G9674" s="12" t="s">
        <v>21</v>
      </c>
      <c r="H9674" s="11" t="s">
        <v>63</v>
      </c>
      <c r="I9674" s="13" t="s">
        <v>19118</v>
      </c>
      <c r="J9674" s="14" t="str">
        <f>HYPERLINK("https://www.boe.es/gazeta/dias/1839/04/03/pdfs/GMD-1839-1600.pdf#page=4","Abrir facsímil")</f>
        <v>Abrir facsímil</v>
      </c>
      <c r="K9674" s="12" t="s">
        <v>65</v>
      </c>
    </row>
    <row r="9675" spans="1:11" ht="40.049999999999997" customHeight="1" x14ac:dyDescent="0.25">
      <c r="A9675" s="11" t="s">
        <v>19119</v>
      </c>
      <c r="B9675" s="11" t="s">
        <v>19120</v>
      </c>
      <c r="C9675" s="11" t="s">
        <v>101</v>
      </c>
      <c r="D9675" s="11" t="s">
        <v>43</v>
      </c>
      <c r="E9675" s="12" t="s">
        <v>4186</v>
      </c>
      <c r="F9675" s="12" t="s">
        <v>4187</v>
      </c>
      <c r="G9675" s="12" t="s">
        <v>21</v>
      </c>
      <c r="H9675" s="11" t="s">
        <v>63</v>
      </c>
      <c r="I9675" s="13" t="s">
        <v>19121</v>
      </c>
      <c r="J9675" s="14" t="str">
        <f>HYPERLINK("https://www.boe.es/gazeta/dias/1839/12/12/pdfs/GMD-1839-1859.pdf#page=4","Abrir facsímil")</f>
        <v>Abrir facsímil</v>
      </c>
      <c r="K9675" s="12" t="s">
        <v>65</v>
      </c>
    </row>
    <row r="9676" spans="1:11" ht="40.049999999999997" customHeight="1" x14ac:dyDescent="0.25">
      <c r="A9676" s="11" t="s">
        <v>19122</v>
      </c>
      <c r="B9676" s="11" t="s">
        <v>19123</v>
      </c>
      <c r="C9676" s="11" t="s">
        <v>17</v>
      </c>
      <c r="D9676" s="11" t="s">
        <v>18</v>
      </c>
      <c r="E9676" s="12" t="s">
        <v>744</v>
      </c>
      <c r="F9676" s="12" t="s">
        <v>745</v>
      </c>
      <c r="G9676" s="12" t="s">
        <v>40</v>
      </c>
      <c r="H9676" s="11" t="s">
        <v>63</v>
      </c>
      <c r="I9676" s="13" t="s">
        <v>19124</v>
      </c>
      <c r="J9676" s="14" t="str">
        <f>HYPERLINK("https://www.boe.es/gazeta/dias/1839/12/09/pdfs/GMD-1839-1856.pdf#page=2","Abrir facsímil")</f>
        <v>Abrir facsímil</v>
      </c>
      <c r="K9676" s="12" t="s">
        <v>65</v>
      </c>
    </row>
    <row r="9677" spans="1:11" ht="40.049999999999997" customHeight="1" x14ac:dyDescent="0.25">
      <c r="A9677" s="11" t="s">
        <v>19125</v>
      </c>
      <c r="B9677" s="11" t="s">
        <v>19126</v>
      </c>
      <c r="C9677" s="11" t="s">
        <v>137</v>
      </c>
      <c r="D9677" s="11" t="s">
        <v>18</v>
      </c>
      <c r="E9677" s="12" t="s">
        <v>809</v>
      </c>
      <c r="F9677" s="12" t="s">
        <v>810</v>
      </c>
      <c r="G9677" s="12" t="s">
        <v>21</v>
      </c>
      <c r="H9677" s="11" t="s">
        <v>63</v>
      </c>
      <c r="I9677" s="13" t="s">
        <v>19127</v>
      </c>
      <c r="J9677" s="14" t="str">
        <f>HYPERLINK("https://www.boe.es/gazeta/dias/1839/02/11/pdfs/GMD-1839-1549.pdf#page=4","Abrir facsímil")</f>
        <v>Abrir facsímil</v>
      </c>
      <c r="K9677" s="12" t="s">
        <v>65</v>
      </c>
    </row>
    <row r="9678" spans="1:11" ht="40.049999999999997" customHeight="1" x14ac:dyDescent="0.25">
      <c r="A9678" s="11" t="s">
        <v>19128</v>
      </c>
      <c r="B9678" s="11" t="s">
        <v>19129</v>
      </c>
      <c r="C9678" s="11" t="s">
        <v>17</v>
      </c>
      <c r="D9678" s="11" t="s">
        <v>18</v>
      </c>
      <c r="E9678" s="12" t="s">
        <v>54</v>
      </c>
      <c r="F9678" s="12" t="s">
        <v>55</v>
      </c>
      <c r="G9678" s="12" t="s">
        <v>21</v>
      </c>
      <c r="H9678" s="11" t="s">
        <v>63</v>
      </c>
      <c r="I9678" s="13" t="s">
        <v>19130</v>
      </c>
      <c r="J9678" s="14" t="str">
        <f>HYPERLINK("https://www.boe.es/gazeta/dias/1839/10/05/pdfs/GMD-1839-1791.pdf#page=4","Abrir facsímil")</f>
        <v>Abrir facsímil</v>
      </c>
      <c r="K9678" s="12" t="s">
        <v>65</v>
      </c>
    </row>
    <row r="9679" spans="1:11" ht="40.049999999999997" customHeight="1" x14ac:dyDescent="0.25">
      <c r="A9679" s="11" t="s">
        <v>19131</v>
      </c>
      <c r="B9679" s="11" t="s">
        <v>19132</v>
      </c>
      <c r="C9679" s="11" t="s">
        <v>101</v>
      </c>
      <c r="D9679" s="11" t="s">
        <v>43</v>
      </c>
      <c r="E9679" s="12" t="s">
        <v>4189</v>
      </c>
      <c r="F9679" s="12" t="s">
        <v>4190</v>
      </c>
      <c r="G9679" s="12" t="s">
        <v>46</v>
      </c>
      <c r="H9679" s="11" t="s">
        <v>63</v>
      </c>
      <c r="I9679" s="13" t="s">
        <v>19133</v>
      </c>
      <c r="J9679" s="14" t="str">
        <f>HYPERLINK("https://www.boe.es/gazeta/dias/1839/02/13/pdfs/GMD-1839-1551.pdf#page=3","Abrir facsímil")</f>
        <v>Abrir facsímil</v>
      </c>
      <c r="K9679" s="12" t="s">
        <v>65</v>
      </c>
    </row>
    <row r="9680" spans="1:11" ht="40.049999999999997" customHeight="1" x14ac:dyDescent="0.25">
      <c r="A9680" s="11" t="s">
        <v>19134</v>
      </c>
      <c r="B9680" s="11" t="s">
        <v>19135</v>
      </c>
      <c r="C9680" s="11" t="s">
        <v>17</v>
      </c>
      <c r="D9680" s="11" t="s">
        <v>18</v>
      </c>
      <c r="E9680" s="12" t="s">
        <v>548</v>
      </c>
      <c r="F9680" s="12" t="s">
        <v>549</v>
      </c>
      <c r="G9680" s="12" t="s">
        <v>40</v>
      </c>
      <c r="H9680" s="11" t="s">
        <v>63</v>
      </c>
      <c r="I9680" s="13" t="s">
        <v>19136</v>
      </c>
      <c r="J9680" s="14" t="str">
        <f>HYPERLINK("https://www.boe.es/gazeta/dias/1839/06/06/pdfs/GMD-1839-1664.pdf#page=2","Abrir facsímil")</f>
        <v>Abrir facsímil</v>
      </c>
      <c r="K9680" s="12" t="s">
        <v>65</v>
      </c>
    </row>
    <row r="9681" spans="1:11" ht="40.049999999999997" customHeight="1" x14ac:dyDescent="0.25">
      <c r="A9681" s="11" t="s">
        <v>19137</v>
      </c>
      <c r="B9681" s="11" t="s">
        <v>19138</v>
      </c>
      <c r="C9681" s="11" t="s">
        <v>17</v>
      </c>
      <c r="D9681" s="11" t="s">
        <v>18</v>
      </c>
      <c r="E9681" s="12" t="s">
        <v>2522</v>
      </c>
      <c r="F9681" s="12" t="s">
        <v>2523</v>
      </c>
      <c r="G9681" s="12" t="s">
        <v>40</v>
      </c>
      <c r="H9681" s="11" t="s">
        <v>63</v>
      </c>
      <c r="I9681" s="13" t="s">
        <v>19139</v>
      </c>
      <c r="J9681" s="14" t="str">
        <f>HYPERLINK("https://www.boe.es/gazeta/dias/1839/12/29/pdfs/GMD-1839-1876.pdf#page=2","Abrir facsímil")</f>
        <v>Abrir facsímil</v>
      </c>
      <c r="K9681" s="12" t="s">
        <v>65</v>
      </c>
    </row>
    <row r="9682" spans="1:11" ht="40.049999999999997" customHeight="1" x14ac:dyDescent="0.25">
      <c r="A9682" s="11" t="s">
        <v>19140</v>
      </c>
      <c r="B9682" s="11" t="s">
        <v>19141</v>
      </c>
      <c r="C9682" s="11" t="s">
        <v>101</v>
      </c>
      <c r="D9682" s="11" t="s">
        <v>43</v>
      </c>
      <c r="E9682" s="12" t="s">
        <v>1057</v>
      </c>
      <c r="F9682" s="12" t="s">
        <v>1058</v>
      </c>
      <c r="G9682" s="12" t="s">
        <v>46</v>
      </c>
      <c r="H9682" s="11" t="s">
        <v>63</v>
      </c>
      <c r="I9682" s="13" t="s">
        <v>19142</v>
      </c>
      <c r="J9682" s="14" t="str">
        <f>HYPERLINK("https://www.boe.es/gazeta/dias/1839/10/01/pdfs/GMD-1839-1787.pdf#page=3","Abrir facsímil")</f>
        <v>Abrir facsímil</v>
      </c>
      <c r="K9682" s="12" t="s">
        <v>65</v>
      </c>
    </row>
    <row r="9683" spans="1:11" ht="40.049999999999997" customHeight="1" x14ac:dyDescent="0.25">
      <c r="A9683" s="11" t="s">
        <v>19143</v>
      </c>
      <c r="B9683" s="11" t="s">
        <v>19144</v>
      </c>
      <c r="C9683" s="11" t="s">
        <v>101</v>
      </c>
      <c r="D9683" s="11" t="s">
        <v>43</v>
      </c>
      <c r="E9683" s="12" t="s">
        <v>2222</v>
      </c>
      <c r="F9683" s="12" t="s">
        <v>2223</v>
      </c>
      <c r="G9683" s="12" t="s">
        <v>40</v>
      </c>
      <c r="H9683" s="11" t="s">
        <v>63</v>
      </c>
      <c r="I9683" s="13" t="s">
        <v>19145</v>
      </c>
      <c r="J9683" s="14" t="str">
        <f>HYPERLINK("https://www.boe.es/gazeta/dias/1839/09/19/pdfs/GMD-1839-1773.pdf#page=2","Abrir facsímil")</f>
        <v>Abrir facsímil</v>
      </c>
      <c r="K9683" s="12" t="s">
        <v>65</v>
      </c>
    </row>
    <row r="9684" spans="1:11" ht="40.049999999999997" customHeight="1" x14ac:dyDescent="0.25">
      <c r="A9684" s="11" t="s">
        <v>19146</v>
      </c>
      <c r="B9684" s="11" t="s">
        <v>19147</v>
      </c>
      <c r="C9684" s="11" t="s">
        <v>101</v>
      </c>
      <c r="D9684" s="11" t="s">
        <v>43</v>
      </c>
      <c r="E9684" s="12" t="s">
        <v>1433</v>
      </c>
      <c r="F9684" s="12" t="s">
        <v>1434</v>
      </c>
      <c r="G9684" s="12" t="s">
        <v>40</v>
      </c>
      <c r="H9684" s="11" t="s">
        <v>63</v>
      </c>
      <c r="I9684" s="13" t="s">
        <v>19148</v>
      </c>
      <c r="J9684" s="14" t="str">
        <f>HYPERLINK("https://www.boe.es/gazeta/dias/1839/10/22/pdfs/GMD-1839-1808.pdf#page=2","Abrir facsímil")</f>
        <v>Abrir facsímil</v>
      </c>
      <c r="K9684" s="12" t="s">
        <v>65</v>
      </c>
    </row>
    <row r="9685" spans="1:11" ht="40.049999999999997" customHeight="1" x14ac:dyDescent="0.25">
      <c r="A9685" s="11" t="s">
        <v>19149</v>
      </c>
      <c r="B9685" s="11" t="s">
        <v>19150</v>
      </c>
      <c r="C9685" s="11" t="s">
        <v>17</v>
      </c>
      <c r="D9685" s="11" t="s">
        <v>18</v>
      </c>
      <c r="E9685" s="12" t="s">
        <v>2995</v>
      </c>
      <c r="F9685" s="12" t="s">
        <v>2996</v>
      </c>
      <c r="G9685" s="12" t="s">
        <v>21</v>
      </c>
      <c r="H9685" s="11" t="s">
        <v>63</v>
      </c>
      <c r="I9685" s="13" t="s">
        <v>19151</v>
      </c>
      <c r="J9685" s="14" t="str">
        <f>HYPERLINK("https://www.boe.es/gazeta/dias/1839/06/16/pdfs/GMD-1839-1674.pdf#page=4","Abrir facsímil")</f>
        <v>Abrir facsímil</v>
      </c>
      <c r="K9685" s="12" t="s">
        <v>65</v>
      </c>
    </row>
    <row r="9686" spans="1:11" ht="40.049999999999997" customHeight="1" x14ac:dyDescent="0.25">
      <c r="A9686" s="11" t="s">
        <v>19152</v>
      </c>
      <c r="B9686" s="11" t="s">
        <v>19153</v>
      </c>
      <c r="C9686" s="11" t="s">
        <v>17</v>
      </c>
      <c r="D9686" s="11" t="s">
        <v>18</v>
      </c>
      <c r="E9686" s="12" t="s">
        <v>1654</v>
      </c>
      <c r="F9686" s="12" t="s">
        <v>1655</v>
      </c>
      <c r="G9686" s="12" t="s">
        <v>29</v>
      </c>
      <c r="H9686" s="11" t="s">
        <v>63</v>
      </c>
      <c r="I9686" s="13" t="s">
        <v>19154</v>
      </c>
      <c r="J9686" s="14" t="str">
        <f>HYPERLINK("https://www.boe.es/gazeta/dias/1839/11/19/pdfs/GMD-1839-1836.pdf#page=1","Abrir facsímil")</f>
        <v>Abrir facsímil</v>
      </c>
      <c r="K9686" s="12" t="s">
        <v>65</v>
      </c>
    </row>
    <row r="9687" spans="1:11" ht="40.049999999999997" customHeight="1" x14ac:dyDescent="0.25">
      <c r="A9687" s="11" t="s">
        <v>19155</v>
      </c>
      <c r="B9687" s="11" t="s">
        <v>19156</v>
      </c>
      <c r="C9687" s="11" t="s">
        <v>80</v>
      </c>
      <c r="D9687" s="11" t="s">
        <v>18</v>
      </c>
      <c r="E9687" s="12" t="s">
        <v>2491</v>
      </c>
      <c r="F9687" s="12" t="s">
        <v>2492</v>
      </c>
      <c r="G9687" s="12" t="s">
        <v>21</v>
      </c>
      <c r="H9687" s="11" t="s">
        <v>63</v>
      </c>
      <c r="I9687" s="13" t="s">
        <v>19157</v>
      </c>
      <c r="J9687" s="14" t="str">
        <f>HYPERLINK("https://www.boe.es/gazeta/dias/1839/05/01/pdfs/GMD-1839-1628.pdf#page=4","Abrir facsímil")</f>
        <v>Abrir facsímil</v>
      </c>
      <c r="K9687" s="12" t="s">
        <v>65</v>
      </c>
    </row>
    <row r="9688" spans="1:11" ht="40.049999999999997" customHeight="1" x14ac:dyDescent="0.25">
      <c r="A9688" s="11" t="s">
        <v>19158</v>
      </c>
      <c r="B9688" s="11" t="s">
        <v>19159</v>
      </c>
      <c r="C9688" s="11" t="s">
        <v>59</v>
      </c>
      <c r="D9688" s="11" t="s">
        <v>60</v>
      </c>
      <c r="E9688" s="12" t="s">
        <v>2491</v>
      </c>
      <c r="F9688" s="12" t="s">
        <v>2492</v>
      </c>
      <c r="G9688" s="12" t="s">
        <v>29</v>
      </c>
      <c r="H9688" s="11" t="s">
        <v>63</v>
      </c>
      <c r="I9688" s="13" t="s">
        <v>19160</v>
      </c>
      <c r="J9688" s="14" t="str">
        <f>HYPERLINK("https://www.boe.es/gazeta/dias/1839/05/01/pdfs/GMD-1839-1628.pdf#page=1","Abrir facsímil")</f>
        <v>Abrir facsímil</v>
      </c>
      <c r="K9688" s="12" t="s">
        <v>65</v>
      </c>
    </row>
    <row r="9689" spans="1:11" ht="40.049999999999997" customHeight="1" x14ac:dyDescent="0.25">
      <c r="A9689" s="11" t="s">
        <v>19158</v>
      </c>
      <c r="B9689" s="11" t="s">
        <v>19159</v>
      </c>
      <c r="C9689" s="11" t="s">
        <v>17</v>
      </c>
      <c r="D9689" s="11" t="s">
        <v>18</v>
      </c>
      <c r="E9689" s="12" t="s">
        <v>2829</v>
      </c>
      <c r="F9689" s="12" t="s">
        <v>2830</v>
      </c>
      <c r="G9689" s="12" t="s">
        <v>21</v>
      </c>
      <c r="H9689" s="11" t="s">
        <v>63</v>
      </c>
      <c r="I9689" s="13" t="s">
        <v>19161</v>
      </c>
      <c r="J9689" s="14" t="str">
        <f>HYPERLINK("https://www.boe.es/gazeta/dias/1839/07/01/pdfs/GMD-1839-1689.pdf#page=4","Abrir facsímil")</f>
        <v>Abrir facsímil</v>
      </c>
      <c r="K9689" s="12" t="s">
        <v>65</v>
      </c>
    </row>
    <row r="9690" spans="1:11" ht="40.049999999999997" customHeight="1" x14ac:dyDescent="0.25">
      <c r="A9690" s="11" t="s">
        <v>19158</v>
      </c>
      <c r="B9690" s="11" t="s">
        <v>19159</v>
      </c>
      <c r="C9690" s="11" t="s">
        <v>17</v>
      </c>
      <c r="D9690" s="11" t="s">
        <v>18</v>
      </c>
      <c r="E9690" s="12" t="s">
        <v>54</v>
      </c>
      <c r="F9690" s="12" t="s">
        <v>55</v>
      </c>
      <c r="G9690" s="12" t="s">
        <v>40</v>
      </c>
      <c r="H9690" s="11" t="s">
        <v>63</v>
      </c>
      <c r="I9690" s="13" t="s">
        <v>19162</v>
      </c>
      <c r="J9690" s="14" t="str">
        <f>HYPERLINK("https://www.boe.es/gazeta/dias/1839/10/05/pdfs/GMD-1839-1791.pdf#page=2","Abrir facsímil")</f>
        <v>Abrir facsímil</v>
      </c>
      <c r="K9690" s="12" t="s">
        <v>65</v>
      </c>
    </row>
    <row r="9691" spans="1:11" ht="40.049999999999997" customHeight="1" x14ac:dyDescent="0.25">
      <c r="A9691" s="11" t="s">
        <v>19158</v>
      </c>
      <c r="B9691" s="11" t="s">
        <v>19159</v>
      </c>
      <c r="C9691" s="11" t="s">
        <v>17</v>
      </c>
      <c r="D9691" s="11" t="s">
        <v>18</v>
      </c>
      <c r="E9691" s="12" t="s">
        <v>388</v>
      </c>
      <c r="F9691" s="12" t="s">
        <v>389</v>
      </c>
      <c r="G9691" s="12" t="s">
        <v>29</v>
      </c>
      <c r="H9691" s="11" t="s">
        <v>63</v>
      </c>
      <c r="I9691" s="13" t="s">
        <v>19163</v>
      </c>
      <c r="J9691" s="14" t="str">
        <f>HYPERLINK("https://www.boe.es/gazeta/dias/1839/08/07/pdfs/GMD-1839-1727.pdf#page=1","Abrir facsímil")</f>
        <v>Abrir facsímil</v>
      </c>
      <c r="K9691" s="12" t="s">
        <v>65</v>
      </c>
    </row>
    <row r="9692" spans="1:11" ht="40.049999999999997" customHeight="1" x14ac:dyDescent="0.25">
      <c r="A9692" s="11" t="s">
        <v>19158</v>
      </c>
      <c r="B9692" s="11" t="s">
        <v>19159</v>
      </c>
      <c r="C9692" s="11" t="s">
        <v>17</v>
      </c>
      <c r="D9692" s="11" t="s">
        <v>18</v>
      </c>
      <c r="E9692" s="12" t="s">
        <v>3705</v>
      </c>
      <c r="F9692" s="12" t="s">
        <v>3706</v>
      </c>
      <c r="G9692" s="12" t="s">
        <v>29</v>
      </c>
      <c r="H9692" s="11" t="s">
        <v>63</v>
      </c>
      <c r="I9692" s="13" t="s">
        <v>19164</v>
      </c>
      <c r="J9692" s="14" t="str">
        <f>HYPERLINK("https://www.boe.es/gazeta/dias/1839/03/09/pdfs/GMD-1839-1575.pdf#page=1","Abrir facsímil")</f>
        <v>Abrir facsímil</v>
      </c>
      <c r="K9692" s="12" t="s">
        <v>65</v>
      </c>
    </row>
    <row r="9693" spans="1:11" ht="40.049999999999997" customHeight="1" x14ac:dyDescent="0.25">
      <c r="A9693" s="11" t="s">
        <v>19158</v>
      </c>
      <c r="B9693" s="11" t="s">
        <v>19159</v>
      </c>
      <c r="C9693" s="11" t="s">
        <v>17</v>
      </c>
      <c r="D9693" s="11" t="s">
        <v>18</v>
      </c>
      <c r="E9693" s="12" t="s">
        <v>116</v>
      </c>
      <c r="F9693" s="12" t="s">
        <v>117</v>
      </c>
      <c r="G9693" s="12" t="s">
        <v>29</v>
      </c>
      <c r="H9693" s="11" t="s">
        <v>63</v>
      </c>
      <c r="I9693" s="13" t="s">
        <v>19165</v>
      </c>
      <c r="J9693" s="14" t="str">
        <f>HYPERLINK("https://www.boe.es/gazeta/dias/1839/10/10/pdfs/GMD-1839-1796.pdf#page=1","Abrir facsímil")</f>
        <v>Abrir facsímil</v>
      </c>
      <c r="K9693" s="12" t="s">
        <v>65</v>
      </c>
    </row>
    <row r="9694" spans="1:11" ht="40.049999999999997" customHeight="1" x14ac:dyDescent="0.25">
      <c r="A9694" s="11" t="s">
        <v>19158</v>
      </c>
      <c r="B9694" s="11" t="s">
        <v>19159</v>
      </c>
      <c r="C9694" s="11" t="s">
        <v>59</v>
      </c>
      <c r="D9694" s="11" t="s">
        <v>60</v>
      </c>
      <c r="E9694" s="12" t="s">
        <v>19</v>
      </c>
      <c r="F9694" s="12" t="s">
        <v>20</v>
      </c>
      <c r="G9694" s="12" t="s">
        <v>29</v>
      </c>
      <c r="H9694" s="11" t="s">
        <v>63</v>
      </c>
      <c r="I9694" s="13" t="s">
        <v>19166</v>
      </c>
      <c r="J9694" s="14" t="str">
        <f>HYPERLINK("https://www.boe.es/gazeta/dias/1839/01/19/pdfs/GMD-1839-1526.pdf#page=1","Abrir facsímil")</f>
        <v>Abrir facsímil</v>
      </c>
      <c r="K9694" s="12" t="s">
        <v>65</v>
      </c>
    </row>
    <row r="9695" spans="1:11" ht="40.049999999999997" customHeight="1" x14ac:dyDescent="0.25">
      <c r="A9695" s="11" t="s">
        <v>19158</v>
      </c>
      <c r="B9695" s="11" t="s">
        <v>19159</v>
      </c>
      <c r="C9695" s="11" t="s">
        <v>101</v>
      </c>
      <c r="D9695" s="11" t="s">
        <v>102</v>
      </c>
      <c r="E9695" s="12" t="s">
        <v>125</v>
      </c>
      <c r="F9695" s="12" t="s">
        <v>126</v>
      </c>
      <c r="G9695" s="12" t="s">
        <v>21</v>
      </c>
      <c r="H9695" s="11" t="s">
        <v>63</v>
      </c>
      <c r="I9695" s="13" t="s">
        <v>19167</v>
      </c>
      <c r="J9695" s="14" t="str">
        <f>HYPERLINK("https://www.boe.es/gazeta/dias/1839/05/23/pdfs/GMD-1839-1650.pdf#page=4","Abrir facsímil")</f>
        <v>Abrir facsímil</v>
      </c>
      <c r="K9695" s="12" t="s">
        <v>65</v>
      </c>
    </row>
    <row r="9696" spans="1:11" ht="40.049999999999997" customHeight="1" x14ac:dyDescent="0.25">
      <c r="A9696" s="11" t="s">
        <v>19158</v>
      </c>
      <c r="B9696" s="11" t="s">
        <v>19159</v>
      </c>
      <c r="C9696" s="11" t="s">
        <v>59</v>
      </c>
      <c r="D9696" s="11" t="s">
        <v>60</v>
      </c>
      <c r="E9696" s="12" t="s">
        <v>479</v>
      </c>
      <c r="F9696" s="12" t="s">
        <v>480</v>
      </c>
      <c r="G9696" s="12" t="s">
        <v>29</v>
      </c>
      <c r="H9696" s="11" t="s">
        <v>63</v>
      </c>
      <c r="I9696" s="13" t="s">
        <v>19168</v>
      </c>
      <c r="J9696" s="14" t="str">
        <f>HYPERLINK("https://www.boe.es/gazeta/dias/1839/06/24/pdfs/GMD-1839-1682.pdf#page=1","Abrir facsímil")</f>
        <v>Abrir facsímil</v>
      </c>
      <c r="K9696" s="12" t="s">
        <v>65</v>
      </c>
    </row>
    <row r="9697" spans="1:11" ht="40.049999999999997" customHeight="1" x14ac:dyDescent="0.25">
      <c r="A9697" s="11" t="s">
        <v>19169</v>
      </c>
      <c r="B9697" s="11" t="s">
        <v>19170</v>
      </c>
      <c r="C9697" s="11" t="s">
        <v>17</v>
      </c>
      <c r="D9697" s="11" t="s">
        <v>18</v>
      </c>
      <c r="E9697" s="12" t="s">
        <v>479</v>
      </c>
      <c r="F9697" s="12" t="s">
        <v>480</v>
      </c>
      <c r="G9697" s="12" t="s">
        <v>40</v>
      </c>
      <c r="H9697" s="11" t="s">
        <v>63</v>
      </c>
      <c r="I9697" s="13" t="s">
        <v>19171</v>
      </c>
      <c r="J9697" s="14" t="str">
        <f>HYPERLINK("https://www.boe.es/gazeta/dias/1839/06/24/pdfs/GMD-1839-1682.pdf#page=2","Abrir facsímil")</f>
        <v>Abrir facsímil</v>
      </c>
      <c r="K9697" s="12" t="s">
        <v>65</v>
      </c>
    </row>
    <row r="9698" spans="1:11" ht="40.049999999999997" customHeight="1" x14ac:dyDescent="0.25">
      <c r="A9698" s="11" t="s">
        <v>19172</v>
      </c>
      <c r="B9698" s="11" t="s">
        <v>19173</v>
      </c>
      <c r="C9698" s="11" t="s">
        <v>17</v>
      </c>
      <c r="D9698" s="11" t="s">
        <v>18</v>
      </c>
      <c r="E9698" s="12" t="s">
        <v>4550</v>
      </c>
      <c r="F9698" s="12" t="s">
        <v>4551</v>
      </c>
      <c r="G9698" s="12" t="s">
        <v>21</v>
      </c>
      <c r="H9698" s="11" t="s">
        <v>63</v>
      </c>
      <c r="I9698" s="13" t="s">
        <v>19174</v>
      </c>
      <c r="J9698" s="14" t="str">
        <f>HYPERLINK("https://www.boe.es/gazeta/dias/1839/04/17/pdfs/GMD-1839-1614.pdf#page=4","Abrir facsímil")</f>
        <v>Abrir facsímil</v>
      </c>
      <c r="K9698" s="12" t="s">
        <v>65</v>
      </c>
    </row>
    <row r="9699" spans="1:11" ht="40.049999999999997" customHeight="1" x14ac:dyDescent="0.25">
      <c r="A9699" s="11" t="s">
        <v>19175</v>
      </c>
      <c r="B9699" s="11" t="s">
        <v>19176</v>
      </c>
      <c r="C9699" s="11" t="s">
        <v>17</v>
      </c>
      <c r="D9699" s="11" t="s">
        <v>18</v>
      </c>
      <c r="E9699" s="12" t="s">
        <v>2165</v>
      </c>
      <c r="F9699" s="12" t="s">
        <v>2166</v>
      </c>
      <c r="G9699" s="12" t="s">
        <v>46</v>
      </c>
      <c r="H9699" s="11" t="s">
        <v>63</v>
      </c>
      <c r="I9699" s="13" t="s">
        <v>19177</v>
      </c>
      <c r="J9699" s="14" t="str">
        <f>HYPERLINK("https://www.boe.es/gazeta/dias/1839/01/06/pdfs/GMD-1839-1513.pdf#page=3","Abrir facsímil")</f>
        <v>Abrir facsímil</v>
      </c>
      <c r="K9699" s="12" t="s">
        <v>65</v>
      </c>
    </row>
    <row r="9700" spans="1:11" ht="40.049999999999997" customHeight="1" x14ac:dyDescent="0.25">
      <c r="A9700" s="11" t="s">
        <v>19178</v>
      </c>
      <c r="B9700" s="11" t="s">
        <v>19179</v>
      </c>
      <c r="C9700" s="11" t="s">
        <v>80</v>
      </c>
      <c r="D9700" s="11" t="s">
        <v>18</v>
      </c>
      <c r="E9700" s="12" t="s">
        <v>3614</v>
      </c>
      <c r="F9700" s="12" t="s">
        <v>3615</v>
      </c>
      <c r="G9700" s="12" t="s">
        <v>21</v>
      </c>
      <c r="H9700" s="11" t="s">
        <v>63</v>
      </c>
      <c r="I9700" s="13" t="s">
        <v>19180</v>
      </c>
      <c r="J9700" s="14" t="str">
        <f>HYPERLINK("https://www.boe.es/gazeta/dias/1839/04/04/pdfs/GMD-1839-1601.pdf#page=4","Abrir facsímil")</f>
        <v>Abrir facsímil</v>
      </c>
      <c r="K9700" s="12" t="s">
        <v>65</v>
      </c>
    </row>
    <row r="9701" spans="1:11" ht="40.049999999999997" customHeight="1" x14ac:dyDescent="0.25">
      <c r="A9701" s="11" t="s">
        <v>19181</v>
      </c>
      <c r="B9701" s="11" t="s">
        <v>19182</v>
      </c>
      <c r="C9701" s="11" t="s">
        <v>17</v>
      </c>
      <c r="D9701" s="11" t="s">
        <v>18</v>
      </c>
      <c r="E9701" s="12" t="s">
        <v>254</v>
      </c>
      <c r="F9701" s="12" t="s">
        <v>255</v>
      </c>
      <c r="G9701" s="12" t="s">
        <v>46</v>
      </c>
      <c r="H9701" s="11" t="s">
        <v>63</v>
      </c>
      <c r="I9701" s="13" t="s">
        <v>19183</v>
      </c>
      <c r="J9701" s="14" t="str">
        <f>HYPERLINK("https://www.boe.es/gazeta/dias/1839/09/12/pdfs/GMD-1839-1765.pdf#page=3","Abrir facsímil")</f>
        <v>Abrir facsímil</v>
      </c>
      <c r="K9701" s="12" t="s">
        <v>65</v>
      </c>
    </row>
    <row r="9702" spans="1:11" ht="40.049999999999997" customHeight="1" x14ac:dyDescent="0.25">
      <c r="A9702" s="11" t="s">
        <v>19184</v>
      </c>
      <c r="B9702" s="11" t="s">
        <v>19185</v>
      </c>
      <c r="C9702" s="11" t="s">
        <v>101</v>
      </c>
      <c r="D9702" s="11" t="s">
        <v>43</v>
      </c>
      <c r="E9702" s="12" t="s">
        <v>1100</v>
      </c>
      <c r="F9702" s="12" t="s">
        <v>1101</v>
      </c>
      <c r="G9702" s="12" t="s">
        <v>46</v>
      </c>
      <c r="H9702" s="11" t="s">
        <v>63</v>
      </c>
      <c r="I9702" s="13" t="s">
        <v>19186</v>
      </c>
      <c r="J9702" s="14" t="str">
        <f>HYPERLINK("https://www.boe.es/gazeta/dias/1839/09/13/pdfs/GMD-1839-1766.pdf#page=3","Abrir facsímil")</f>
        <v>Abrir facsímil</v>
      </c>
      <c r="K9702" s="12" t="s">
        <v>65</v>
      </c>
    </row>
    <row r="9703" spans="1:11" ht="40.049999999999997" customHeight="1" x14ac:dyDescent="0.25">
      <c r="A9703" s="11" t="s">
        <v>19187</v>
      </c>
      <c r="B9703" s="11" t="s">
        <v>19188</v>
      </c>
      <c r="C9703" s="11" t="s">
        <v>17</v>
      </c>
      <c r="D9703" s="11" t="s">
        <v>18</v>
      </c>
      <c r="E9703" s="12" t="s">
        <v>496</v>
      </c>
      <c r="F9703" s="12" t="s">
        <v>497</v>
      </c>
      <c r="G9703" s="12" t="s">
        <v>46</v>
      </c>
      <c r="H9703" s="11" t="s">
        <v>63</v>
      </c>
      <c r="I9703" s="13" t="s">
        <v>19189</v>
      </c>
      <c r="J9703" s="14" t="str">
        <f>HYPERLINK("https://www.boe.es/gazeta/dias/1839/11/23/pdfs/GMD-1839-1840.pdf#page=3","Abrir facsímil")</f>
        <v>Abrir facsímil</v>
      </c>
      <c r="K9703" s="12" t="s">
        <v>65</v>
      </c>
    </row>
    <row r="9704" spans="1:11" ht="40.049999999999997" customHeight="1" x14ac:dyDescent="0.25">
      <c r="A9704" s="11" t="s">
        <v>19190</v>
      </c>
      <c r="B9704" s="11" t="s">
        <v>19191</v>
      </c>
      <c r="C9704" s="11" t="s">
        <v>80</v>
      </c>
      <c r="D9704" s="11" t="s">
        <v>18</v>
      </c>
      <c r="E9704" s="12" t="s">
        <v>462</v>
      </c>
      <c r="F9704" s="12" t="s">
        <v>463</v>
      </c>
      <c r="G9704" s="12" t="s">
        <v>21</v>
      </c>
      <c r="H9704" s="11" t="s">
        <v>22</v>
      </c>
      <c r="I9704" s="13" t="s">
        <v>19192</v>
      </c>
      <c r="J9704" s="14" t="str">
        <f>HYPERLINK("https://www.boe.es/gazeta/dias/1839/06/19/pdfs/GMD-1839-1677.pdf#page=4","Abrir facsímil")</f>
        <v>Abrir facsímil</v>
      </c>
      <c r="K9704" s="12" t="s">
        <v>24</v>
      </c>
    </row>
    <row r="9705" spans="1:11" ht="40.049999999999997" customHeight="1" x14ac:dyDescent="0.25">
      <c r="A9705" s="11" t="s">
        <v>19193</v>
      </c>
      <c r="B9705" s="11" t="s">
        <v>19194</v>
      </c>
      <c r="C9705" s="11" t="s">
        <v>80</v>
      </c>
      <c r="D9705" s="11" t="s">
        <v>18</v>
      </c>
      <c r="E9705" s="12" t="s">
        <v>125</v>
      </c>
      <c r="F9705" s="12" t="s">
        <v>126</v>
      </c>
      <c r="G9705" s="12" t="s">
        <v>46</v>
      </c>
      <c r="H9705" s="11" t="s">
        <v>22</v>
      </c>
      <c r="I9705" s="13" t="s">
        <v>19195</v>
      </c>
      <c r="J9705" s="14" t="str">
        <f>HYPERLINK("https://www.boe.es/gazeta/dias/1839/05/23/pdfs/GMD-1839-1650.pdf#page=3","Abrir facsímil")</f>
        <v>Abrir facsímil</v>
      </c>
      <c r="K9705" s="12" t="s">
        <v>24</v>
      </c>
    </row>
    <row r="9706" spans="1:11" ht="40.049999999999997" customHeight="1" x14ac:dyDescent="0.25">
      <c r="A9706" s="11" t="s">
        <v>19196</v>
      </c>
      <c r="B9706" s="11" t="s">
        <v>19197</v>
      </c>
      <c r="C9706" s="11" t="s">
        <v>137</v>
      </c>
      <c r="D9706" s="11" t="s">
        <v>18</v>
      </c>
      <c r="E9706" s="12" t="s">
        <v>489</v>
      </c>
      <c r="F9706" s="12" t="s">
        <v>490</v>
      </c>
      <c r="G9706" s="12" t="s">
        <v>46</v>
      </c>
      <c r="H9706" s="11" t="s">
        <v>22</v>
      </c>
      <c r="I9706" s="13" t="s">
        <v>19198</v>
      </c>
      <c r="J9706" s="14" t="str">
        <f>HYPERLINK("https://www.boe.es/gazeta/dias/1839/06/29/pdfs/GMD-1839-1687.pdf#page=3","Abrir facsímil")</f>
        <v>Abrir facsímil</v>
      </c>
      <c r="K9706" s="12" t="s">
        <v>24</v>
      </c>
    </row>
    <row r="9707" spans="1:11" ht="40.049999999999997" customHeight="1" x14ac:dyDescent="0.25">
      <c r="A9707" s="11" t="s">
        <v>19199</v>
      </c>
      <c r="B9707" s="11" t="s">
        <v>19200</v>
      </c>
      <c r="C9707" s="11" t="s">
        <v>17</v>
      </c>
      <c r="D9707" s="11" t="s">
        <v>18</v>
      </c>
      <c r="E9707" s="12" t="s">
        <v>5399</v>
      </c>
      <c r="F9707" s="12" t="s">
        <v>5400</v>
      </c>
      <c r="G9707" s="12" t="s">
        <v>40</v>
      </c>
      <c r="H9707" s="11" t="s">
        <v>22</v>
      </c>
      <c r="I9707" s="13" t="s">
        <v>19201</v>
      </c>
      <c r="J9707" s="14" t="str">
        <f>HYPERLINK("https://www.boe.es/gazeta/dias/1839/10/14/pdfs/GMD-1839-1800.pdf#page=2","Abrir facsímil")</f>
        <v>Abrir facsímil</v>
      </c>
      <c r="K9707" s="12" t="s">
        <v>24</v>
      </c>
    </row>
    <row r="9708" spans="1:11" ht="40.049999999999997" customHeight="1" x14ac:dyDescent="0.25">
      <c r="A9708" s="11" t="s">
        <v>19202</v>
      </c>
      <c r="B9708" s="11" t="s">
        <v>19203</v>
      </c>
      <c r="C9708" s="11" t="s">
        <v>17</v>
      </c>
      <c r="D9708" s="11" t="s">
        <v>18</v>
      </c>
      <c r="E9708" s="12" t="s">
        <v>44</v>
      </c>
      <c r="F9708" s="12" t="s">
        <v>45</v>
      </c>
      <c r="G9708" s="12" t="s">
        <v>46</v>
      </c>
      <c r="H9708" s="11" t="s">
        <v>22</v>
      </c>
      <c r="I9708" s="13" t="s">
        <v>19204</v>
      </c>
      <c r="J9708" s="14" t="str">
        <f>HYPERLINK("https://www.boe.es/gazeta/dias/1839/11/15/pdfs/GMD-1839-1832.pdf#page=3","Abrir facsímil")</f>
        <v>Abrir facsímil</v>
      </c>
      <c r="K9708" s="12" t="s">
        <v>24</v>
      </c>
    </row>
    <row r="9709" spans="1:11" ht="40.049999999999997" customHeight="1" x14ac:dyDescent="0.25">
      <c r="A9709" s="11" t="s">
        <v>19205</v>
      </c>
      <c r="B9709" s="11" t="s">
        <v>19206</v>
      </c>
      <c r="C9709" s="11" t="s">
        <v>17</v>
      </c>
      <c r="D9709" s="11" t="s">
        <v>18</v>
      </c>
      <c r="E9709" s="12" t="s">
        <v>1076</v>
      </c>
      <c r="F9709" s="12" t="s">
        <v>1077</v>
      </c>
      <c r="G9709" s="12" t="s">
        <v>40</v>
      </c>
      <c r="H9709" s="11" t="s">
        <v>22</v>
      </c>
      <c r="I9709" s="13" t="s">
        <v>19207</v>
      </c>
      <c r="J9709" s="14" t="str">
        <f>HYPERLINK("https://www.boe.es/gazeta/dias/1839/10/19/pdfs/GMD-1839-1805.pdf#page=2","Abrir facsímil")</f>
        <v>Abrir facsímil</v>
      </c>
      <c r="K9709" s="12" t="s">
        <v>24</v>
      </c>
    </row>
    <row r="9710" spans="1:11" ht="40.049999999999997" customHeight="1" x14ac:dyDescent="0.25">
      <c r="A9710" s="11" t="s">
        <v>19208</v>
      </c>
      <c r="B9710" s="11" t="s">
        <v>19209</v>
      </c>
      <c r="C9710" s="11" t="s">
        <v>17</v>
      </c>
      <c r="D9710" s="11" t="s">
        <v>18</v>
      </c>
      <c r="E9710" s="12" t="s">
        <v>1284</v>
      </c>
      <c r="F9710" s="12" t="s">
        <v>1285</v>
      </c>
      <c r="G9710" s="12" t="s">
        <v>21</v>
      </c>
      <c r="H9710" s="11" t="s">
        <v>22</v>
      </c>
      <c r="I9710" s="13" t="s">
        <v>19210</v>
      </c>
      <c r="J9710" s="14" t="str">
        <f>HYPERLINK("https://www.boe.es/gazeta/dias/1839/03/27/pdfs/GMD-1839-1593.pdf#page=4","Abrir facsímil")</f>
        <v>Abrir facsímil</v>
      </c>
      <c r="K9710" s="12" t="s">
        <v>24</v>
      </c>
    </row>
    <row r="9711" spans="1:11" ht="40.049999999999997" customHeight="1" x14ac:dyDescent="0.25">
      <c r="A9711" s="11" t="s">
        <v>19211</v>
      </c>
      <c r="B9711" s="11" t="s">
        <v>19212</v>
      </c>
      <c r="C9711" s="11" t="s">
        <v>137</v>
      </c>
      <c r="D9711" s="11" t="s">
        <v>18</v>
      </c>
      <c r="E9711" s="12" t="s">
        <v>398</v>
      </c>
      <c r="F9711" s="12" t="s">
        <v>399</v>
      </c>
      <c r="G9711" s="12" t="s">
        <v>46</v>
      </c>
      <c r="H9711" s="11" t="s">
        <v>22</v>
      </c>
      <c r="I9711" s="13" t="s">
        <v>19213</v>
      </c>
      <c r="J9711" s="14" t="str">
        <f>HYPERLINK("https://www.boe.es/gazeta/dias/1839/05/17/pdfs/GMD-1839-1644.pdf#page=3","Abrir facsímil")</f>
        <v>Abrir facsímil</v>
      </c>
      <c r="K9711" s="12" t="s">
        <v>24</v>
      </c>
    </row>
    <row r="9712" spans="1:11" ht="40.049999999999997" customHeight="1" x14ac:dyDescent="0.25">
      <c r="A9712" s="11" t="s">
        <v>19214</v>
      </c>
      <c r="B9712" s="11" t="s">
        <v>19215</v>
      </c>
      <c r="C9712" s="11" t="s">
        <v>17</v>
      </c>
      <c r="D9712" s="11" t="s">
        <v>18</v>
      </c>
      <c r="E9712" s="12" t="s">
        <v>1012</v>
      </c>
      <c r="F9712" s="12" t="s">
        <v>1013</v>
      </c>
      <c r="G9712" s="12" t="s">
        <v>21</v>
      </c>
      <c r="H9712" s="11" t="s">
        <v>63</v>
      </c>
      <c r="I9712" s="13" t="s">
        <v>19216</v>
      </c>
      <c r="J9712" s="14" t="str">
        <f>HYPERLINK("https://www.boe.es/gazeta/dias/1839/11/22/pdfs/GMD-1839-1839.pdf#page=4","Abrir facsímil")</f>
        <v>Abrir facsímil</v>
      </c>
      <c r="K9712" s="12" t="s">
        <v>65</v>
      </c>
    </row>
    <row r="9713" spans="1:11" ht="40.049999999999997" customHeight="1" x14ac:dyDescent="0.25">
      <c r="A9713" s="11" t="s">
        <v>19217</v>
      </c>
      <c r="B9713" s="11" t="s">
        <v>19218</v>
      </c>
      <c r="C9713" s="11" t="s">
        <v>17</v>
      </c>
      <c r="D9713" s="11" t="s">
        <v>18</v>
      </c>
      <c r="E9713" s="12" t="s">
        <v>2829</v>
      </c>
      <c r="F9713" s="12" t="s">
        <v>2830</v>
      </c>
      <c r="G9713" s="12" t="s">
        <v>40</v>
      </c>
      <c r="H9713" s="11" t="s">
        <v>63</v>
      </c>
      <c r="I9713" s="13" t="s">
        <v>19219</v>
      </c>
      <c r="J9713" s="14" t="str">
        <f>HYPERLINK("https://www.boe.es/gazeta/dias/1839/07/01/pdfs/GMD-1839-1689.pdf#page=2","Abrir facsímil")</f>
        <v>Abrir facsímil</v>
      </c>
      <c r="K9713" s="12" t="s">
        <v>65</v>
      </c>
    </row>
    <row r="9714" spans="1:11" ht="40.049999999999997" customHeight="1" x14ac:dyDescent="0.25">
      <c r="A9714" s="11" t="s">
        <v>19220</v>
      </c>
      <c r="B9714" s="11" t="s">
        <v>19221</v>
      </c>
      <c r="C9714" s="11" t="s">
        <v>17</v>
      </c>
      <c r="D9714" s="11" t="s">
        <v>18</v>
      </c>
      <c r="E9714" s="12" t="s">
        <v>433</v>
      </c>
      <c r="F9714" s="12" t="s">
        <v>434</v>
      </c>
      <c r="G9714" s="12" t="s">
        <v>40</v>
      </c>
      <c r="H9714" s="11" t="s">
        <v>63</v>
      </c>
      <c r="I9714" s="13" t="s">
        <v>19222</v>
      </c>
      <c r="J9714" s="14" t="str">
        <f>HYPERLINK("https://www.boe.es/gazeta/dias/1839/01/20/pdfs/GMD-1839-1527.pdf#page=2","Abrir facsímil")</f>
        <v>Abrir facsímil</v>
      </c>
      <c r="K9714" s="12" t="s">
        <v>65</v>
      </c>
    </row>
    <row r="9715" spans="1:11" ht="40.049999999999997" customHeight="1" x14ac:dyDescent="0.25">
      <c r="A9715" s="11" t="s">
        <v>19223</v>
      </c>
      <c r="B9715" s="11" t="s">
        <v>19224</v>
      </c>
      <c r="C9715" s="11" t="s">
        <v>101</v>
      </c>
      <c r="D9715" s="11" t="s">
        <v>43</v>
      </c>
      <c r="E9715" s="12" t="s">
        <v>254</v>
      </c>
      <c r="F9715" s="12" t="s">
        <v>255</v>
      </c>
      <c r="G9715" s="12" t="s">
        <v>46</v>
      </c>
      <c r="H9715" s="11" t="s">
        <v>63</v>
      </c>
      <c r="I9715" s="13" t="s">
        <v>19225</v>
      </c>
      <c r="J9715" s="14" t="str">
        <f>HYPERLINK("https://www.boe.es/gazeta/dias/1839/09/12/pdfs/GMD-1839-1765.pdf#page=3","Abrir facsímil")</f>
        <v>Abrir facsímil</v>
      </c>
      <c r="K9715" s="12" t="s">
        <v>65</v>
      </c>
    </row>
    <row r="9716" spans="1:11" ht="40.049999999999997" customHeight="1" x14ac:dyDescent="0.25">
      <c r="A9716" s="11" t="s">
        <v>19226</v>
      </c>
      <c r="B9716" s="11" t="s">
        <v>19227</v>
      </c>
      <c r="C9716" s="11" t="s">
        <v>80</v>
      </c>
      <c r="D9716" s="11" t="s">
        <v>18</v>
      </c>
      <c r="E9716" s="12" t="s">
        <v>544</v>
      </c>
      <c r="F9716" s="12" t="s">
        <v>545</v>
      </c>
      <c r="G9716" s="12" t="s">
        <v>46</v>
      </c>
      <c r="H9716" s="11" t="s">
        <v>63</v>
      </c>
      <c r="I9716" s="13" t="s">
        <v>19228</v>
      </c>
      <c r="J9716" s="14" t="str">
        <f>HYPERLINK("https://www.boe.es/gazeta/dias/1839/11/11/pdfs/GMD-1839-1828.pdf#page=3","Abrir facsímil")</f>
        <v>Abrir facsímil</v>
      </c>
      <c r="K9716" s="12" t="s">
        <v>65</v>
      </c>
    </row>
    <row r="9717" spans="1:11" ht="40.049999999999997" customHeight="1" x14ac:dyDescent="0.25">
      <c r="A9717" s="11" t="s">
        <v>19229</v>
      </c>
      <c r="B9717" s="11" t="s">
        <v>19230</v>
      </c>
      <c r="C9717" s="11" t="s">
        <v>101</v>
      </c>
      <c r="D9717" s="11" t="s">
        <v>43</v>
      </c>
      <c r="E9717" s="12" t="s">
        <v>157</v>
      </c>
      <c r="F9717" s="12" t="s">
        <v>158</v>
      </c>
      <c r="G9717" s="12" t="s">
        <v>46</v>
      </c>
      <c r="H9717" s="11" t="s">
        <v>63</v>
      </c>
      <c r="I9717" s="13" t="s">
        <v>19231</v>
      </c>
      <c r="J9717" s="14" t="str">
        <f>HYPERLINK("https://www.boe.es/gazeta/dias/1839/02/08/pdfs/GMD-1839-1546.pdf#page=3","Abrir facsímil")</f>
        <v>Abrir facsímil</v>
      </c>
      <c r="K9717" s="12" t="s">
        <v>65</v>
      </c>
    </row>
    <row r="9718" spans="1:11" ht="40.049999999999997" customHeight="1" x14ac:dyDescent="0.25">
      <c r="A9718" s="11" t="s">
        <v>19229</v>
      </c>
      <c r="B9718" s="11" t="s">
        <v>19230</v>
      </c>
      <c r="C9718" s="11" t="s">
        <v>17</v>
      </c>
      <c r="D9718" s="11" t="s">
        <v>18</v>
      </c>
      <c r="E9718" s="12" t="s">
        <v>647</v>
      </c>
      <c r="F9718" s="12" t="s">
        <v>648</v>
      </c>
      <c r="G9718" s="12" t="s">
        <v>5567</v>
      </c>
      <c r="H9718" s="11" t="s">
        <v>63</v>
      </c>
      <c r="I9718" s="13" t="s">
        <v>19232</v>
      </c>
      <c r="J9718" s="14" t="str">
        <f>HYPERLINK("https://www.boe.es/gazeta/dias/1839/10/08/pdfs/GMD-1839-1794.pdf#page=7","Abrir facsímil")</f>
        <v>Abrir facsímil</v>
      </c>
      <c r="K9718" s="12" t="s">
        <v>65</v>
      </c>
    </row>
    <row r="9719" spans="1:11" ht="40.049999999999997" customHeight="1" x14ac:dyDescent="0.25">
      <c r="A9719" s="11" t="s">
        <v>19229</v>
      </c>
      <c r="B9719" s="11" t="s">
        <v>19230</v>
      </c>
      <c r="C9719" s="11" t="s">
        <v>17</v>
      </c>
      <c r="D9719" s="11" t="s">
        <v>18</v>
      </c>
      <c r="E9719" s="12" t="s">
        <v>564</v>
      </c>
      <c r="F9719" s="12" t="s">
        <v>565</v>
      </c>
      <c r="G9719" s="12" t="s">
        <v>46</v>
      </c>
      <c r="H9719" s="11" t="s">
        <v>63</v>
      </c>
      <c r="I9719" s="13" t="s">
        <v>19233</v>
      </c>
      <c r="J9719" s="14" t="str">
        <f>HYPERLINK("https://www.boe.es/gazeta/dias/1839/10/17/pdfs/GMD-1839-1803.pdf#page=3","Abrir facsímil")</f>
        <v>Abrir facsímil</v>
      </c>
      <c r="K9719" s="12" t="s">
        <v>65</v>
      </c>
    </row>
    <row r="9720" spans="1:11" ht="40.049999999999997" customHeight="1" x14ac:dyDescent="0.25">
      <c r="A9720" s="11" t="s">
        <v>19234</v>
      </c>
      <c r="B9720" s="11" t="s">
        <v>19235</v>
      </c>
      <c r="C9720" s="11" t="s">
        <v>80</v>
      </c>
      <c r="D9720" s="11" t="s">
        <v>18</v>
      </c>
      <c r="E9720" s="12" t="s">
        <v>2829</v>
      </c>
      <c r="F9720" s="12" t="s">
        <v>2830</v>
      </c>
      <c r="G9720" s="12" t="s">
        <v>40</v>
      </c>
      <c r="H9720" s="11" t="s">
        <v>63</v>
      </c>
      <c r="I9720" s="13" t="s">
        <v>19236</v>
      </c>
      <c r="J9720" s="14" t="str">
        <f>HYPERLINK("https://www.boe.es/gazeta/dias/1839/07/01/pdfs/GMD-1839-1689.pdf#page=2","Abrir facsímil")</f>
        <v>Abrir facsímil</v>
      </c>
      <c r="K9720" s="12" t="s">
        <v>65</v>
      </c>
    </row>
    <row r="9721" spans="1:11" ht="40.049999999999997" customHeight="1" x14ac:dyDescent="0.25">
      <c r="A9721" s="11" t="s">
        <v>19237</v>
      </c>
      <c r="B9721" s="11" t="s">
        <v>19238</v>
      </c>
      <c r="C9721" s="11" t="s">
        <v>137</v>
      </c>
      <c r="D9721" s="11" t="s">
        <v>18</v>
      </c>
      <c r="E9721" s="12" t="s">
        <v>700</v>
      </c>
      <c r="F9721" s="12" t="s">
        <v>701</v>
      </c>
      <c r="G9721" s="12" t="s">
        <v>21</v>
      </c>
      <c r="H9721" s="11" t="s">
        <v>63</v>
      </c>
      <c r="I9721" s="13" t="s">
        <v>19239</v>
      </c>
      <c r="J9721" s="14" t="str">
        <f>HYPERLINK("https://www.boe.es/gazeta/dias/1839/09/01/pdfs/GMD-1839-1753.pdf#page=4","Abrir facsímil")</f>
        <v>Abrir facsímil</v>
      </c>
      <c r="K9721" s="12" t="s">
        <v>65</v>
      </c>
    </row>
    <row r="9722" spans="1:11" ht="40.049999999999997" customHeight="1" x14ac:dyDescent="0.25">
      <c r="A9722" s="11" t="s">
        <v>19240</v>
      </c>
      <c r="B9722" s="11" t="s">
        <v>19241</v>
      </c>
      <c r="C9722" s="11" t="s">
        <v>17</v>
      </c>
      <c r="D9722" s="11" t="s">
        <v>18</v>
      </c>
      <c r="E9722" s="12" t="s">
        <v>2658</v>
      </c>
      <c r="F9722" s="12" t="s">
        <v>2659</v>
      </c>
      <c r="G9722" s="12" t="s">
        <v>29</v>
      </c>
      <c r="H9722" s="11" t="s">
        <v>63</v>
      </c>
      <c r="I9722" s="13" t="s">
        <v>19242</v>
      </c>
      <c r="J9722" s="14" t="str">
        <f>HYPERLINK("https://www.boe.es/gazeta/dias/1839/06/27/pdfs/GMD-1839-1685.pdf#page=1","Abrir facsímil")</f>
        <v>Abrir facsímil</v>
      </c>
      <c r="K9722" s="12" t="s">
        <v>65</v>
      </c>
    </row>
    <row r="9723" spans="1:11" ht="40.049999999999997" customHeight="1" x14ac:dyDescent="0.25">
      <c r="A9723" s="11" t="s">
        <v>19243</v>
      </c>
      <c r="B9723" s="11" t="s">
        <v>19244</v>
      </c>
      <c r="C9723" s="11" t="s">
        <v>17</v>
      </c>
      <c r="D9723" s="11" t="s">
        <v>18</v>
      </c>
      <c r="E9723" s="12" t="s">
        <v>1644</v>
      </c>
      <c r="F9723" s="12" t="s">
        <v>1645</v>
      </c>
      <c r="G9723" s="12" t="s">
        <v>29</v>
      </c>
      <c r="H9723" s="11" t="s">
        <v>63</v>
      </c>
      <c r="I9723" s="13" t="s">
        <v>19245</v>
      </c>
      <c r="J9723" s="14" t="str">
        <f>HYPERLINK("https://www.boe.es/gazeta/dias/1839/04/16/pdfs/GMD-1839-1613.pdf#page=1","Abrir facsímil")</f>
        <v>Abrir facsímil</v>
      </c>
      <c r="K9723" s="12" t="s">
        <v>65</v>
      </c>
    </row>
    <row r="9724" spans="1:11" ht="40.049999999999997" customHeight="1" x14ac:dyDescent="0.25">
      <c r="A9724" s="11" t="s">
        <v>19246</v>
      </c>
      <c r="B9724" s="11" t="s">
        <v>19247</v>
      </c>
      <c r="C9724" s="11" t="s">
        <v>101</v>
      </c>
      <c r="D9724" s="11" t="s">
        <v>43</v>
      </c>
      <c r="E9724" s="12" t="s">
        <v>462</v>
      </c>
      <c r="F9724" s="12" t="s">
        <v>463</v>
      </c>
      <c r="G9724" s="12" t="s">
        <v>46</v>
      </c>
      <c r="H9724" s="11" t="s">
        <v>63</v>
      </c>
      <c r="I9724" s="13" t="s">
        <v>19248</v>
      </c>
      <c r="J9724" s="14" t="str">
        <f>HYPERLINK("https://www.boe.es/gazeta/dias/1839/06/19/pdfs/GMD-1839-1677.pdf#page=3","Abrir facsímil")</f>
        <v>Abrir facsímil</v>
      </c>
      <c r="K9724" s="12" t="s">
        <v>65</v>
      </c>
    </row>
    <row r="9725" spans="1:11" ht="40.049999999999997" customHeight="1" x14ac:dyDescent="0.25">
      <c r="A9725" s="11" t="s">
        <v>19249</v>
      </c>
      <c r="B9725" s="11" t="s">
        <v>19250</v>
      </c>
      <c r="C9725" s="11" t="s">
        <v>80</v>
      </c>
      <c r="D9725" s="11" t="s">
        <v>173</v>
      </c>
      <c r="E9725" s="12" t="s">
        <v>320</v>
      </c>
      <c r="F9725" s="12" t="s">
        <v>321</v>
      </c>
      <c r="G9725" s="12" t="s">
        <v>21</v>
      </c>
      <c r="H9725" s="11" t="s">
        <v>22</v>
      </c>
      <c r="I9725" s="13" t="s">
        <v>19251</v>
      </c>
      <c r="J9725" s="14" t="str">
        <f>HYPERLINK("https://www.boe.es/gazeta/dias/1839/05/11/pdfs/GMD-1839-1638.pdf#page=4","Abrir facsímil")</f>
        <v>Abrir facsímil</v>
      </c>
      <c r="K9725" s="12" t="s">
        <v>24</v>
      </c>
    </row>
    <row r="9726" spans="1:11" ht="40.049999999999997" customHeight="1" x14ac:dyDescent="0.25">
      <c r="A9726" s="11" t="s">
        <v>19252</v>
      </c>
      <c r="B9726" s="11" t="s">
        <v>19253</v>
      </c>
      <c r="C9726" s="11" t="s">
        <v>17</v>
      </c>
      <c r="D9726" s="11" t="s">
        <v>43</v>
      </c>
      <c r="E9726" s="12" t="s">
        <v>1509</v>
      </c>
      <c r="F9726" s="12" t="s">
        <v>1510</v>
      </c>
      <c r="G9726" s="12" t="s">
        <v>46</v>
      </c>
      <c r="H9726" s="11" t="s">
        <v>63</v>
      </c>
      <c r="I9726" s="13" t="s">
        <v>19254</v>
      </c>
      <c r="J9726" s="14" t="str">
        <f>HYPERLINK("https://www.boe.es/gazeta/dias/1839/10/07/pdfs/GMD-1839-1793.pdf#page=3","Abrir facsímil")</f>
        <v>Abrir facsímil</v>
      </c>
      <c r="K9726" s="12" t="s">
        <v>65</v>
      </c>
    </row>
    <row r="9727" spans="1:11" ht="40.049999999999997" customHeight="1" x14ac:dyDescent="0.25">
      <c r="A9727" s="11" t="s">
        <v>19255</v>
      </c>
      <c r="B9727" s="11" t="s">
        <v>19256</v>
      </c>
      <c r="C9727" s="11" t="s">
        <v>17</v>
      </c>
      <c r="D9727" s="11" t="s">
        <v>18</v>
      </c>
      <c r="E9727" s="12" t="s">
        <v>355</v>
      </c>
      <c r="F9727" s="12" t="s">
        <v>356</v>
      </c>
      <c r="G9727" s="12" t="s">
        <v>21</v>
      </c>
      <c r="H9727" s="11" t="s">
        <v>22</v>
      </c>
      <c r="I9727" s="13" t="s">
        <v>19257</v>
      </c>
      <c r="J9727" s="14" t="str">
        <f>HYPERLINK("https://www.boe.es/gazeta/dias/1839/05/31/pdfs/GMD-1839-1658.pdf#page=4","Abrir facsímil")</f>
        <v>Abrir facsímil</v>
      </c>
      <c r="K9727" s="12" t="s">
        <v>24</v>
      </c>
    </row>
    <row r="9728" spans="1:11" ht="40.049999999999997" customHeight="1" x14ac:dyDescent="0.25">
      <c r="A9728" s="11" t="s">
        <v>19258</v>
      </c>
      <c r="B9728" s="11" t="s">
        <v>19259</v>
      </c>
      <c r="C9728" s="11" t="s">
        <v>101</v>
      </c>
      <c r="D9728" s="11" t="s">
        <v>43</v>
      </c>
      <c r="E9728" s="12" t="s">
        <v>132</v>
      </c>
      <c r="F9728" s="12" t="s">
        <v>133</v>
      </c>
      <c r="G9728" s="12" t="s">
        <v>21</v>
      </c>
      <c r="H9728" s="11" t="s">
        <v>63</v>
      </c>
      <c r="I9728" s="13" t="s">
        <v>19260</v>
      </c>
      <c r="J9728" s="14" t="str">
        <f>HYPERLINK("https://www.boe.es/gazeta/dias/1839/08/02/pdfs/GMD-1839-1722.pdf#page=4","Abrir facsímil")</f>
        <v>Abrir facsímil</v>
      </c>
      <c r="K9728" s="12" t="s">
        <v>65</v>
      </c>
    </row>
    <row r="9729" spans="1:11" ht="40.049999999999997" customHeight="1" x14ac:dyDescent="0.25">
      <c r="A9729" s="11" t="s">
        <v>19261</v>
      </c>
      <c r="B9729" s="11" t="s">
        <v>19262</v>
      </c>
      <c r="C9729" s="11" t="s">
        <v>17</v>
      </c>
      <c r="D9729" s="11" t="s">
        <v>18</v>
      </c>
      <c r="E9729" s="12" t="s">
        <v>668</v>
      </c>
      <c r="F9729" s="12" t="s">
        <v>669</v>
      </c>
      <c r="G9729" s="12" t="s">
        <v>40</v>
      </c>
      <c r="H9729" s="11" t="s">
        <v>63</v>
      </c>
      <c r="I9729" s="13" t="s">
        <v>19263</v>
      </c>
      <c r="J9729" s="14" t="str">
        <f>HYPERLINK("https://www.boe.es/gazeta/dias/1839/03/28/pdfs/GMD-1839-1594.pdf#page=2","Abrir facsímil")</f>
        <v>Abrir facsímil</v>
      </c>
      <c r="K9729" s="12" t="s">
        <v>65</v>
      </c>
    </row>
    <row r="9730" spans="1:11" ht="40.049999999999997" customHeight="1" x14ac:dyDescent="0.25">
      <c r="A9730" s="11" t="s">
        <v>19264</v>
      </c>
      <c r="B9730" s="11" t="s">
        <v>19265</v>
      </c>
      <c r="C9730" s="11" t="s">
        <v>137</v>
      </c>
      <c r="D9730" s="11" t="s">
        <v>18</v>
      </c>
      <c r="E9730" s="12" t="s">
        <v>258</v>
      </c>
      <c r="F9730" s="12" t="s">
        <v>259</v>
      </c>
      <c r="G9730" s="12" t="s">
        <v>40</v>
      </c>
      <c r="H9730" s="11" t="s">
        <v>63</v>
      </c>
      <c r="I9730" s="13" t="s">
        <v>19266</v>
      </c>
      <c r="J9730" s="14" t="str">
        <f>HYPERLINK("https://www.boe.es/gazeta/dias/1839/01/02/pdfs/GMD-1839-1509.pdf#page=2","Abrir facsímil")</f>
        <v>Abrir facsímil</v>
      </c>
      <c r="K9730" s="12" t="s">
        <v>65</v>
      </c>
    </row>
    <row r="9731" spans="1:11" ht="40.049999999999997" customHeight="1" x14ac:dyDescent="0.25">
      <c r="A9731" s="11" t="s">
        <v>19267</v>
      </c>
      <c r="B9731" s="11" t="s">
        <v>19268</v>
      </c>
      <c r="C9731" s="11" t="s">
        <v>17</v>
      </c>
      <c r="D9731" s="11" t="s">
        <v>18</v>
      </c>
      <c r="E9731" s="12" t="s">
        <v>1682</v>
      </c>
      <c r="F9731" s="12" t="s">
        <v>1683</v>
      </c>
      <c r="G9731" s="12" t="s">
        <v>46</v>
      </c>
      <c r="H9731" s="11" t="s">
        <v>63</v>
      </c>
      <c r="I9731" s="13" t="s">
        <v>19269</v>
      </c>
      <c r="J9731" s="14" t="str">
        <f>HYPERLINK("https://www.boe.es/gazeta/dias/1839/12/26/pdfs/GMD-1839-1873.pdf#page=3","Abrir facsímil")</f>
        <v>Abrir facsímil</v>
      </c>
      <c r="K9731" s="12" t="s">
        <v>65</v>
      </c>
    </row>
    <row r="9732" spans="1:11" ht="40.049999999999997" customHeight="1" x14ac:dyDescent="0.25">
      <c r="A9732" s="11" t="s">
        <v>19270</v>
      </c>
      <c r="B9732" s="11" t="s">
        <v>19271</v>
      </c>
      <c r="C9732" s="11" t="s">
        <v>101</v>
      </c>
      <c r="D9732" s="11" t="s">
        <v>43</v>
      </c>
      <c r="E9732" s="12" t="s">
        <v>736</v>
      </c>
      <c r="F9732" s="12" t="s">
        <v>737</v>
      </c>
      <c r="G9732" s="12" t="s">
        <v>46</v>
      </c>
      <c r="H9732" s="11" t="s">
        <v>63</v>
      </c>
      <c r="I9732" s="13" t="s">
        <v>19272</v>
      </c>
      <c r="J9732" s="14" t="str">
        <f>HYPERLINK("https://www.boe.es/gazeta/dias/1839/10/13/pdfs/GMD-1839-1799.pdf#page=3","Abrir facsímil")</f>
        <v>Abrir facsímil</v>
      </c>
      <c r="K9732" s="12" t="s">
        <v>65</v>
      </c>
    </row>
    <row r="9733" spans="1:11" ht="40.049999999999997" customHeight="1" x14ac:dyDescent="0.25">
      <c r="A9733" s="11" t="s">
        <v>19273</v>
      </c>
      <c r="B9733" s="11" t="s">
        <v>19274</v>
      </c>
      <c r="C9733" s="11" t="s">
        <v>17</v>
      </c>
      <c r="D9733" s="11" t="s">
        <v>18</v>
      </c>
      <c r="E9733" s="12" t="s">
        <v>2962</v>
      </c>
      <c r="F9733" s="12" t="s">
        <v>2963</v>
      </c>
      <c r="G9733" s="12" t="s">
        <v>46</v>
      </c>
      <c r="H9733" s="11" t="s">
        <v>63</v>
      </c>
      <c r="I9733" s="13" t="s">
        <v>19275</v>
      </c>
      <c r="J9733" s="14" t="str">
        <f>HYPERLINK("https://www.boe.es/gazeta/dias/1839/12/21/pdfs/GMD-1839-1868.pdf#page=3","Abrir facsímil")</f>
        <v>Abrir facsímil</v>
      </c>
      <c r="K9733" s="12" t="s">
        <v>65</v>
      </c>
    </row>
    <row r="9734" spans="1:11" ht="40.049999999999997" customHeight="1" x14ac:dyDescent="0.25">
      <c r="A9734" s="11" t="s">
        <v>19276</v>
      </c>
      <c r="B9734" s="11" t="s">
        <v>19277</v>
      </c>
      <c r="C9734" s="11" t="s">
        <v>137</v>
      </c>
      <c r="D9734" s="11" t="s">
        <v>18</v>
      </c>
      <c r="E9734" s="12" t="s">
        <v>3705</v>
      </c>
      <c r="F9734" s="12" t="s">
        <v>3706</v>
      </c>
      <c r="G9734" s="12" t="s">
        <v>40</v>
      </c>
      <c r="H9734" s="11" t="s">
        <v>63</v>
      </c>
      <c r="I9734" s="13" t="s">
        <v>19278</v>
      </c>
      <c r="J9734" s="14" t="str">
        <f>HYPERLINK("https://www.boe.es/gazeta/dias/1839/03/09/pdfs/GMD-1839-1575.pdf#page=2","Abrir facsímil")</f>
        <v>Abrir facsímil</v>
      </c>
      <c r="K9734" s="12" t="s">
        <v>65</v>
      </c>
    </row>
    <row r="9735" spans="1:11" ht="40.049999999999997" customHeight="1" x14ac:dyDescent="0.25">
      <c r="A9735" s="11" t="s">
        <v>19279</v>
      </c>
      <c r="B9735" s="11" t="s">
        <v>19280</v>
      </c>
      <c r="C9735" s="11" t="s">
        <v>17</v>
      </c>
      <c r="D9735" s="11" t="s">
        <v>18</v>
      </c>
      <c r="E9735" s="12" t="s">
        <v>68</v>
      </c>
      <c r="F9735" s="12" t="s">
        <v>69</v>
      </c>
      <c r="G9735" s="12" t="s">
        <v>40</v>
      </c>
      <c r="H9735" s="11" t="s">
        <v>63</v>
      </c>
      <c r="I9735" s="13" t="s">
        <v>19281</v>
      </c>
      <c r="J9735" s="14" t="str">
        <f>HYPERLINK("https://www.boe.es/gazeta/dias/1839/02/09/pdfs/GMD-1839-1547.pdf#page=2","Abrir facsímil")</f>
        <v>Abrir facsímil</v>
      </c>
      <c r="K9735" s="12" t="s">
        <v>65</v>
      </c>
    </row>
    <row r="9736" spans="1:11" ht="40.049999999999997" customHeight="1" x14ac:dyDescent="0.25">
      <c r="A9736" s="11" t="s">
        <v>19282</v>
      </c>
      <c r="B9736" s="11" t="s">
        <v>19283</v>
      </c>
      <c r="C9736" s="11" t="s">
        <v>59</v>
      </c>
      <c r="D9736" s="11" t="s">
        <v>60</v>
      </c>
      <c r="E9736" s="12" t="s">
        <v>486</v>
      </c>
      <c r="F9736" s="12" t="s">
        <v>487</v>
      </c>
      <c r="G9736" s="12" t="s">
        <v>29</v>
      </c>
      <c r="H9736" s="11" t="s">
        <v>63</v>
      </c>
      <c r="I9736" s="13" t="s">
        <v>19284</v>
      </c>
      <c r="J9736" s="14" t="str">
        <f>HYPERLINK("https://www.boe.es/gazeta/dias/1839/04/19/pdfs/GMD-1839-1616.pdf#page=1","Abrir facsímil")</f>
        <v>Abrir facsímil</v>
      </c>
      <c r="K9736" s="12" t="s">
        <v>65</v>
      </c>
    </row>
    <row r="9737" spans="1:11" ht="40.049999999999997" customHeight="1" x14ac:dyDescent="0.25">
      <c r="A9737" s="11" t="s">
        <v>19285</v>
      </c>
      <c r="B9737" s="11" t="s">
        <v>19286</v>
      </c>
      <c r="C9737" s="11" t="s">
        <v>17</v>
      </c>
      <c r="D9737" s="11" t="s">
        <v>18</v>
      </c>
      <c r="E9737" s="12" t="s">
        <v>217</v>
      </c>
      <c r="F9737" s="12" t="s">
        <v>218</v>
      </c>
      <c r="G9737" s="12" t="s">
        <v>29</v>
      </c>
      <c r="H9737" s="11" t="s">
        <v>63</v>
      </c>
      <c r="I9737" s="13" t="s">
        <v>19287</v>
      </c>
      <c r="J9737" s="14" t="str">
        <f>HYPERLINK("https://www.boe.es/gazeta/dias/1839/08/06/pdfs/GMD-1839-1726.pdf#page=1","Abrir facsímil")</f>
        <v>Abrir facsímil</v>
      </c>
      <c r="K9737" s="12" t="s">
        <v>65</v>
      </c>
    </row>
    <row r="9738" spans="1:11" ht="40.049999999999997" customHeight="1" x14ac:dyDescent="0.25">
      <c r="A9738" s="11" t="s">
        <v>19285</v>
      </c>
      <c r="B9738" s="11" t="s">
        <v>19286</v>
      </c>
      <c r="C9738" s="11" t="s">
        <v>80</v>
      </c>
      <c r="D9738" s="11" t="s">
        <v>18</v>
      </c>
      <c r="E9738" s="12" t="s">
        <v>1666</v>
      </c>
      <c r="F9738" s="12" t="s">
        <v>1667</v>
      </c>
      <c r="G9738" s="12" t="s">
        <v>21</v>
      </c>
      <c r="H9738" s="11" t="s">
        <v>63</v>
      </c>
      <c r="I9738" s="13" t="s">
        <v>19288</v>
      </c>
      <c r="J9738" s="14" t="str">
        <f>HYPERLINK("https://www.boe.es/gazeta/dias/1839/04/22/pdfs/GMD-1839-1619.pdf#page=4","Abrir facsímil")</f>
        <v>Abrir facsímil</v>
      </c>
      <c r="K9738" s="12" t="s">
        <v>65</v>
      </c>
    </row>
    <row r="9739" spans="1:11" ht="40.049999999999997" customHeight="1" x14ac:dyDescent="0.25">
      <c r="A9739" s="11" t="s">
        <v>19285</v>
      </c>
      <c r="B9739" s="11" t="s">
        <v>19286</v>
      </c>
      <c r="C9739" s="11" t="s">
        <v>17</v>
      </c>
      <c r="D9739" s="11" t="s">
        <v>18</v>
      </c>
      <c r="E9739" s="12" t="s">
        <v>1079</v>
      </c>
      <c r="F9739" s="12" t="s">
        <v>1080</v>
      </c>
      <c r="G9739" s="12" t="s">
        <v>29</v>
      </c>
      <c r="H9739" s="11" t="s">
        <v>63</v>
      </c>
      <c r="I9739" s="13" t="s">
        <v>19289</v>
      </c>
      <c r="J9739" s="14" t="str">
        <f>HYPERLINK("https://www.boe.es/gazeta/dias/1839/05/24/pdfs/GMD-1839-1651.pdf#page=1","Abrir facsímil")</f>
        <v>Abrir facsímil</v>
      </c>
      <c r="K9739" s="12" t="s">
        <v>65</v>
      </c>
    </row>
    <row r="9740" spans="1:11" ht="40.049999999999997" customHeight="1" x14ac:dyDescent="0.25">
      <c r="A9740" s="11" t="s">
        <v>19290</v>
      </c>
      <c r="B9740" s="11" t="s">
        <v>19291</v>
      </c>
      <c r="C9740" s="11" t="s">
        <v>17</v>
      </c>
      <c r="D9740" s="11" t="s">
        <v>18</v>
      </c>
      <c r="E9740" s="12" t="s">
        <v>4787</v>
      </c>
      <c r="F9740" s="12" t="s">
        <v>4788</v>
      </c>
      <c r="G9740" s="12" t="s">
        <v>46</v>
      </c>
      <c r="H9740" s="11" t="s">
        <v>63</v>
      </c>
      <c r="I9740" s="13" t="s">
        <v>19292</v>
      </c>
      <c r="J9740" s="14" t="str">
        <f>HYPERLINK("https://www.boe.es/gazeta/dias/1839/05/26/pdfs/GMD-1839-1653.pdf#page=3","Abrir facsímil")</f>
        <v>Abrir facsímil</v>
      </c>
      <c r="K9740" s="12" t="s">
        <v>65</v>
      </c>
    </row>
    <row r="9741" spans="1:11" ht="40.049999999999997" customHeight="1" x14ac:dyDescent="0.25">
      <c r="A9741" s="11" t="s">
        <v>19293</v>
      </c>
      <c r="B9741" s="11" t="s">
        <v>19294</v>
      </c>
      <c r="C9741" s="11" t="s">
        <v>17</v>
      </c>
      <c r="D9741" s="11" t="s">
        <v>18</v>
      </c>
      <c r="E9741" s="12" t="s">
        <v>2415</v>
      </c>
      <c r="F9741" s="12" t="s">
        <v>2416</v>
      </c>
      <c r="G9741" s="12" t="s">
        <v>21</v>
      </c>
      <c r="H9741" s="11" t="s">
        <v>22</v>
      </c>
      <c r="I9741" s="13" t="s">
        <v>19295</v>
      </c>
      <c r="J9741" s="14" t="str">
        <f>HYPERLINK("https://www.boe.es/gazeta/dias/1839/12/22/pdfs/GMD-1839-1869.pdf#page=4","Abrir facsímil")</f>
        <v>Abrir facsímil</v>
      </c>
      <c r="K9741" s="12" t="s">
        <v>24</v>
      </c>
    </row>
    <row r="9742" spans="1:11" ht="40.049999999999997" customHeight="1" x14ac:dyDescent="0.25">
      <c r="A9742" s="11" t="s">
        <v>19296</v>
      </c>
      <c r="B9742" s="11" t="s">
        <v>19297</v>
      </c>
      <c r="C9742" s="11" t="s">
        <v>59</v>
      </c>
      <c r="D9742" s="11" t="s">
        <v>60</v>
      </c>
      <c r="E9742" s="12" t="s">
        <v>2919</v>
      </c>
      <c r="F9742" s="12" t="s">
        <v>2920</v>
      </c>
      <c r="G9742" s="12" t="s">
        <v>21</v>
      </c>
      <c r="H9742" s="11" t="s">
        <v>63</v>
      </c>
      <c r="I9742" s="13" t="s">
        <v>19298</v>
      </c>
      <c r="J9742" s="14" t="str">
        <f>HYPERLINK("https://www.boe.es/gazeta/dias/1839/11/12/pdfs/GMD-1839-1829.pdf#page=4","Abrir facsímil")</f>
        <v>Abrir facsímil</v>
      </c>
      <c r="K9742" s="12" t="s">
        <v>65</v>
      </c>
    </row>
    <row r="9743" spans="1:11" ht="40.049999999999997" customHeight="1" x14ac:dyDescent="0.25">
      <c r="A9743" s="11" t="s">
        <v>19299</v>
      </c>
      <c r="B9743" s="11" t="s">
        <v>19300</v>
      </c>
      <c r="C9743" s="11" t="s">
        <v>59</v>
      </c>
      <c r="D9743" s="11" t="s">
        <v>60</v>
      </c>
      <c r="E9743" s="12" t="s">
        <v>438</v>
      </c>
      <c r="F9743" s="12" t="s">
        <v>439</v>
      </c>
      <c r="G9743" s="12" t="s">
        <v>40</v>
      </c>
      <c r="H9743" s="11" t="s">
        <v>63</v>
      </c>
      <c r="I9743" s="13" t="s">
        <v>19301</v>
      </c>
      <c r="J9743" s="14" t="str">
        <f>HYPERLINK("https://www.boe.es/gazeta/dias/1839/07/17/pdfs/GMD-1839-1705.pdf#page=2","Abrir facsímil")</f>
        <v>Abrir facsímil</v>
      </c>
      <c r="K9743" s="12" t="s">
        <v>65</v>
      </c>
    </row>
    <row r="9744" spans="1:11" ht="40.049999999999997" customHeight="1" x14ac:dyDescent="0.25">
      <c r="A9744" s="11" t="s">
        <v>19302</v>
      </c>
      <c r="B9744" s="11" t="s">
        <v>19303</v>
      </c>
      <c r="C9744" s="11" t="s">
        <v>17</v>
      </c>
      <c r="D9744" s="11" t="s">
        <v>18</v>
      </c>
      <c r="E9744" s="12" t="s">
        <v>333</v>
      </c>
      <c r="F9744" s="12" t="s">
        <v>334</v>
      </c>
      <c r="G9744" s="12" t="s">
        <v>21</v>
      </c>
      <c r="H9744" s="11" t="s">
        <v>22</v>
      </c>
      <c r="I9744" s="13" t="s">
        <v>19304</v>
      </c>
      <c r="J9744" s="14" t="str">
        <f>HYPERLINK("https://www.boe.es/gazeta/dias/1839/06/11/pdfs/GMD-1839-1669.pdf#page=4","Abrir facsímil")</f>
        <v>Abrir facsímil</v>
      </c>
      <c r="K9744" s="12" t="s">
        <v>24</v>
      </c>
    </row>
    <row r="9745" spans="1:11" ht="40.049999999999997" customHeight="1" x14ac:dyDescent="0.25">
      <c r="A9745" s="11" t="s">
        <v>19305</v>
      </c>
      <c r="B9745" s="11" t="s">
        <v>19306</v>
      </c>
      <c r="C9745" s="11" t="s">
        <v>137</v>
      </c>
      <c r="D9745" s="11" t="s">
        <v>18</v>
      </c>
      <c r="E9745" s="12" t="s">
        <v>1794</v>
      </c>
      <c r="F9745" s="12" t="s">
        <v>1795</v>
      </c>
      <c r="G9745" s="12" t="s">
        <v>40</v>
      </c>
      <c r="H9745" s="11" t="s">
        <v>63</v>
      </c>
      <c r="I9745" s="13" t="s">
        <v>19307</v>
      </c>
      <c r="J9745" s="14" t="str">
        <f>HYPERLINK("https://www.boe.es/gazeta/dias/1839/02/22/pdfs/GMD-1839-1560.pdf#page=2","Abrir facsímil")</f>
        <v>Abrir facsímil</v>
      </c>
      <c r="K9745" s="12" t="s">
        <v>65</v>
      </c>
    </row>
    <row r="9746" spans="1:11" ht="40.049999999999997" customHeight="1" x14ac:dyDescent="0.25">
      <c r="A9746" s="11" t="s">
        <v>19308</v>
      </c>
      <c r="B9746" s="11" t="s">
        <v>19309</v>
      </c>
      <c r="C9746" s="11" t="s">
        <v>17</v>
      </c>
      <c r="D9746" s="11" t="s">
        <v>18</v>
      </c>
      <c r="E9746" s="12" t="s">
        <v>1446</v>
      </c>
      <c r="F9746" s="12" t="s">
        <v>1447</v>
      </c>
      <c r="G9746" s="12" t="s">
        <v>29</v>
      </c>
      <c r="H9746" s="11" t="s">
        <v>63</v>
      </c>
      <c r="I9746" s="13" t="s">
        <v>19310</v>
      </c>
      <c r="J9746" s="14" t="str">
        <f>HYPERLINK("https://www.boe.es/gazeta/dias/1839/08/25/pdfs/GMD-1839-1746.pdf#page=1","Abrir facsímil")</f>
        <v>Abrir facsímil</v>
      </c>
      <c r="K9746" s="12" t="s">
        <v>65</v>
      </c>
    </row>
    <row r="9747" spans="1:11" ht="40.049999999999997" customHeight="1" x14ac:dyDescent="0.25">
      <c r="A9747" s="11" t="s">
        <v>19311</v>
      </c>
      <c r="B9747" s="11" t="s">
        <v>19312</v>
      </c>
      <c r="C9747" s="11" t="s">
        <v>17</v>
      </c>
      <c r="D9747" s="11" t="s">
        <v>18</v>
      </c>
      <c r="E9747" s="12" t="s">
        <v>1623</v>
      </c>
      <c r="F9747" s="12" t="s">
        <v>1624</v>
      </c>
      <c r="G9747" s="12" t="s">
        <v>46</v>
      </c>
      <c r="H9747" s="11" t="s">
        <v>63</v>
      </c>
      <c r="I9747" s="13" t="s">
        <v>19313</v>
      </c>
      <c r="J9747" s="14" t="str">
        <f>HYPERLINK("https://www.boe.es/gazeta/dias/1839/04/07/pdfs/GMD-1839-1604.pdf#page=3","Abrir facsímil")</f>
        <v>Abrir facsímil</v>
      </c>
      <c r="K9747" s="12" t="s">
        <v>65</v>
      </c>
    </row>
    <row r="9748" spans="1:11" ht="40.049999999999997" customHeight="1" x14ac:dyDescent="0.25">
      <c r="A9748" s="11" t="s">
        <v>19314</v>
      </c>
      <c r="B9748" s="11" t="s">
        <v>19315</v>
      </c>
      <c r="C9748" s="11" t="s">
        <v>137</v>
      </c>
      <c r="D9748" s="11" t="s">
        <v>18</v>
      </c>
      <c r="E9748" s="12" t="s">
        <v>1012</v>
      </c>
      <c r="F9748" s="12" t="s">
        <v>1013</v>
      </c>
      <c r="G9748" s="12" t="s">
        <v>46</v>
      </c>
      <c r="H9748" s="11" t="s">
        <v>63</v>
      </c>
      <c r="I9748" s="13" t="s">
        <v>19316</v>
      </c>
      <c r="J9748" s="14" t="str">
        <f>HYPERLINK("https://www.boe.es/gazeta/dias/1839/11/22/pdfs/GMD-1839-1839.pdf#page=3","Abrir facsímil")</f>
        <v>Abrir facsímil</v>
      </c>
      <c r="K9748" s="12" t="s">
        <v>65</v>
      </c>
    </row>
    <row r="9749" spans="1:11" ht="40.049999999999997" customHeight="1" x14ac:dyDescent="0.25">
      <c r="A9749" s="11" t="s">
        <v>19317</v>
      </c>
      <c r="B9749" s="11" t="s">
        <v>19318</v>
      </c>
      <c r="C9749" s="11" t="s">
        <v>17</v>
      </c>
      <c r="D9749" s="11" t="s">
        <v>18</v>
      </c>
      <c r="E9749" s="12" t="s">
        <v>821</v>
      </c>
      <c r="F9749" s="12" t="s">
        <v>822</v>
      </c>
      <c r="G9749" s="12" t="s">
        <v>21</v>
      </c>
      <c r="H9749" s="11" t="s">
        <v>63</v>
      </c>
      <c r="I9749" s="13" t="s">
        <v>19319</v>
      </c>
      <c r="J9749" s="14" t="str">
        <f>HYPERLINK("https://www.boe.es/gazeta/dias/1839/09/20/pdfs/GMD-1839-1775.pdf#page=4","Abrir facsímil")</f>
        <v>Abrir facsímil</v>
      </c>
      <c r="K9749" s="12" t="s">
        <v>65</v>
      </c>
    </row>
    <row r="9750" spans="1:11" ht="40.049999999999997" customHeight="1" x14ac:dyDescent="0.25">
      <c r="A9750" s="11" t="s">
        <v>19317</v>
      </c>
      <c r="B9750" s="11" t="s">
        <v>19318</v>
      </c>
      <c r="C9750" s="11" t="s">
        <v>137</v>
      </c>
      <c r="D9750" s="11" t="s">
        <v>18</v>
      </c>
      <c r="E9750" s="12" t="s">
        <v>416</v>
      </c>
      <c r="F9750" s="12" t="s">
        <v>417</v>
      </c>
      <c r="G9750" s="12" t="s">
        <v>46</v>
      </c>
      <c r="H9750" s="11" t="s">
        <v>63</v>
      </c>
      <c r="I9750" s="13" t="s">
        <v>19320</v>
      </c>
      <c r="J9750" s="14" t="str">
        <f>HYPERLINK("https://www.boe.es/gazeta/dias/1839/10/24/pdfs/GMD-1839-1810.pdf#page=3","Abrir facsímil")</f>
        <v>Abrir facsímil</v>
      </c>
      <c r="K9750" s="12" t="s">
        <v>65</v>
      </c>
    </row>
    <row r="9751" spans="1:11" ht="40.049999999999997" customHeight="1" x14ac:dyDescent="0.25">
      <c r="A9751" s="11" t="s">
        <v>19321</v>
      </c>
      <c r="B9751" s="11" t="s">
        <v>19322</v>
      </c>
      <c r="C9751" s="11" t="s">
        <v>101</v>
      </c>
      <c r="D9751" s="11" t="s">
        <v>43</v>
      </c>
      <c r="E9751" s="12" t="s">
        <v>647</v>
      </c>
      <c r="F9751" s="12" t="s">
        <v>648</v>
      </c>
      <c r="G9751" s="12" t="s">
        <v>21</v>
      </c>
      <c r="H9751" s="11" t="s">
        <v>63</v>
      </c>
      <c r="I9751" s="13" t="s">
        <v>19323</v>
      </c>
      <c r="J9751" s="14" t="str">
        <f>HYPERLINK("https://www.boe.es/gazeta/dias/1839/10/08/pdfs/GMD-1839-1794.pdf#page=4","Abrir facsímil")</f>
        <v>Abrir facsímil</v>
      </c>
      <c r="K9751" s="12" t="s">
        <v>65</v>
      </c>
    </row>
    <row r="9752" spans="1:11" ht="40.049999999999997" customHeight="1" x14ac:dyDescent="0.25">
      <c r="A9752" s="11" t="s">
        <v>19324</v>
      </c>
      <c r="B9752" s="11" t="s">
        <v>19325</v>
      </c>
      <c r="C9752" s="11" t="s">
        <v>17</v>
      </c>
      <c r="D9752" s="11" t="s">
        <v>18</v>
      </c>
      <c r="E9752" s="12" t="s">
        <v>365</v>
      </c>
      <c r="F9752" s="12" t="s">
        <v>366</v>
      </c>
      <c r="G9752" s="12" t="s">
        <v>29</v>
      </c>
      <c r="H9752" s="11" t="s">
        <v>63</v>
      </c>
      <c r="I9752" s="13" t="s">
        <v>19326</v>
      </c>
      <c r="J9752" s="14" t="str">
        <f>HYPERLINK("https://www.boe.es/gazeta/dias/1839/08/14/pdfs/GMD-1839-1734.pdf#page=1","Abrir facsímil")</f>
        <v>Abrir facsímil</v>
      </c>
      <c r="K9752" s="12" t="s">
        <v>65</v>
      </c>
    </row>
    <row r="9753" spans="1:11" ht="40.049999999999997" customHeight="1" x14ac:dyDescent="0.25">
      <c r="A9753" s="11" t="s">
        <v>19327</v>
      </c>
      <c r="B9753" s="11" t="s">
        <v>19328</v>
      </c>
      <c r="C9753" s="11" t="s">
        <v>17</v>
      </c>
      <c r="D9753" s="11" t="s">
        <v>18</v>
      </c>
      <c r="E9753" s="12" t="s">
        <v>230</v>
      </c>
      <c r="F9753" s="12" t="s">
        <v>231</v>
      </c>
      <c r="G9753" s="12" t="s">
        <v>29</v>
      </c>
      <c r="H9753" s="11" t="s">
        <v>63</v>
      </c>
      <c r="I9753" s="13" t="s">
        <v>19329</v>
      </c>
      <c r="J9753" s="14" t="str">
        <f>HYPERLINK("https://www.boe.es/gazeta/dias/1839/09/16/pdfs/GMD-1839-1769.pdf#page=1","Abrir facsímil")</f>
        <v>Abrir facsímil</v>
      </c>
      <c r="K9753" s="12" t="s">
        <v>65</v>
      </c>
    </row>
    <row r="9754" spans="1:11" ht="40.049999999999997" customHeight="1" x14ac:dyDescent="0.25">
      <c r="A9754" s="11" t="s">
        <v>19330</v>
      </c>
      <c r="B9754" s="11" t="s">
        <v>19331</v>
      </c>
      <c r="C9754" s="11" t="s">
        <v>59</v>
      </c>
      <c r="D9754" s="11" t="s">
        <v>60</v>
      </c>
      <c r="E9754" s="12" t="s">
        <v>720</v>
      </c>
      <c r="F9754" s="12" t="s">
        <v>721</v>
      </c>
      <c r="G9754" s="12" t="s">
        <v>21</v>
      </c>
      <c r="H9754" s="11" t="s">
        <v>63</v>
      </c>
      <c r="I9754" s="13" t="s">
        <v>19332</v>
      </c>
      <c r="J9754" s="14" t="str">
        <f>HYPERLINK("https://www.boe.es/gazeta/dias/1839/01/14/pdfs/GMD-1839-1521.pdf#page=4","Abrir facsímil")</f>
        <v>Abrir facsímil</v>
      </c>
      <c r="K9754" s="12" t="s">
        <v>65</v>
      </c>
    </row>
    <row r="9755" spans="1:11" ht="40.049999999999997" customHeight="1" x14ac:dyDescent="0.25">
      <c r="A9755" s="11" t="s">
        <v>19333</v>
      </c>
      <c r="B9755" s="11" t="s">
        <v>19334</v>
      </c>
      <c r="C9755" s="11" t="s">
        <v>17</v>
      </c>
      <c r="D9755" s="11" t="s">
        <v>18</v>
      </c>
      <c r="E9755" s="12" t="s">
        <v>1179</v>
      </c>
      <c r="F9755" s="12" t="s">
        <v>1180</v>
      </c>
      <c r="G9755" s="12" t="s">
        <v>29</v>
      </c>
      <c r="H9755" s="11" t="s">
        <v>63</v>
      </c>
      <c r="I9755" s="13" t="s">
        <v>19335</v>
      </c>
      <c r="J9755" s="14" t="str">
        <f>HYPERLINK("https://www.boe.es/gazeta/dias/1839/10/18/pdfs/GMD-1839-1804.pdf#page=1","Abrir facsímil")</f>
        <v>Abrir facsímil</v>
      </c>
      <c r="K9755" s="12" t="s">
        <v>65</v>
      </c>
    </row>
    <row r="9756" spans="1:11" ht="40.049999999999997" customHeight="1" x14ac:dyDescent="0.25">
      <c r="A9756" s="11" t="s">
        <v>19336</v>
      </c>
      <c r="B9756" s="11" t="s">
        <v>19337</v>
      </c>
      <c r="C9756" s="11" t="s">
        <v>17</v>
      </c>
      <c r="D9756" s="11" t="s">
        <v>18</v>
      </c>
      <c r="E9756" s="12" t="s">
        <v>4550</v>
      </c>
      <c r="F9756" s="12" t="s">
        <v>4551</v>
      </c>
      <c r="G9756" s="12" t="s">
        <v>46</v>
      </c>
      <c r="H9756" s="11" t="s">
        <v>63</v>
      </c>
      <c r="I9756" s="13" t="s">
        <v>19338</v>
      </c>
      <c r="J9756" s="14" t="str">
        <f>HYPERLINK("https://www.boe.es/gazeta/dias/1839/04/17/pdfs/GMD-1839-1614.pdf#page=3","Abrir facsímil")</f>
        <v>Abrir facsímil</v>
      </c>
      <c r="K9756" s="12" t="s">
        <v>65</v>
      </c>
    </row>
    <row r="9757" spans="1:11" ht="40.049999999999997" customHeight="1" x14ac:dyDescent="0.25">
      <c r="A9757" s="11" t="s">
        <v>19339</v>
      </c>
      <c r="B9757" s="11" t="s">
        <v>19340</v>
      </c>
      <c r="C9757" s="11" t="s">
        <v>137</v>
      </c>
      <c r="D9757" s="11" t="s">
        <v>18</v>
      </c>
      <c r="E9757" s="12" t="s">
        <v>1366</v>
      </c>
      <c r="F9757" s="12" t="s">
        <v>1367</v>
      </c>
      <c r="G9757" s="12" t="s">
        <v>46</v>
      </c>
      <c r="H9757" s="11" t="s">
        <v>63</v>
      </c>
      <c r="I9757" s="13" t="s">
        <v>19341</v>
      </c>
      <c r="J9757" s="14" t="str">
        <f>HYPERLINK("https://www.boe.es/gazeta/dias/1839/09/09/pdfs/GMD-1839-1762.pdf#page=3","Abrir facsímil")</f>
        <v>Abrir facsímil</v>
      </c>
      <c r="K9757" s="12" t="s">
        <v>65</v>
      </c>
    </row>
    <row r="9758" spans="1:11" ht="40.049999999999997" customHeight="1" x14ac:dyDescent="0.25">
      <c r="A9758" s="11" t="s">
        <v>19342</v>
      </c>
      <c r="B9758" s="11" t="s">
        <v>19343</v>
      </c>
      <c r="C9758" s="11" t="s">
        <v>80</v>
      </c>
      <c r="D9758" s="11" t="s">
        <v>18</v>
      </c>
      <c r="E9758" s="12" t="s">
        <v>1537</v>
      </c>
      <c r="F9758" s="12" t="s">
        <v>1538</v>
      </c>
      <c r="G9758" s="12" t="s">
        <v>21</v>
      </c>
      <c r="H9758" s="11" t="s">
        <v>22</v>
      </c>
      <c r="I9758" s="13" t="s">
        <v>19344</v>
      </c>
      <c r="J9758" s="14" t="str">
        <f>HYPERLINK("https://www.boe.es/gazeta/dias/1839/12/16/pdfs/GMD-1839-1863.pdf#page=4","Abrir facsímil")</f>
        <v>Abrir facsímil</v>
      </c>
      <c r="K9758" s="12" t="s">
        <v>24</v>
      </c>
    </row>
    <row r="9759" spans="1:11" ht="40.049999999999997" customHeight="1" x14ac:dyDescent="0.25">
      <c r="A9759" s="11" t="s">
        <v>19345</v>
      </c>
      <c r="B9759" s="11" t="s">
        <v>19346</v>
      </c>
      <c r="C9759" s="11" t="s">
        <v>17</v>
      </c>
      <c r="D9759" s="11" t="s">
        <v>18</v>
      </c>
      <c r="E9759" s="12" t="s">
        <v>243</v>
      </c>
      <c r="F9759" s="12" t="s">
        <v>244</v>
      </c>
      <c r="G9759" s="12" t="s">
        <v>21</v>
      </c>
      <c r="H9759" s="11" t="s">
        <v>63</v>
      </c>
      <c r="I9759" s="13" t="s">
        <v>19347</v>
      </c>
      <c r="J9759" s="14" t="str">
        <f>HYPERLINK("https://www.boe.es/gazeta/dias/1839/09/23/pdfs/GMD-1839-1779.pdf#page=4","Abrir facsímil")</f>
        <v>Abrir facsímil</v>
      </c>
      <c r="K9759" s="12" t="s">
        <v>65</v>
      </c>
    </row>
    <row r="9760" spans="1:11" ht="40.049999999999997" customHeight="1" x14ac:dyDescent="0.25">
      <c r="A9760" s="11" t="s">
        <v>19348</v>
      </c>
      <c r="B9760" s="11" t="s">
        <v>19349</v>
      </c>
      <c r="C9760" s="11" t="s">
        <v>101</v>
      </c>
      <c r="D9760" s="11" t="s">
        <v>43</v>
      </c>
      <c r="E9760" s="12" t="s">
        <v>33</v>
      </c>
      <c r="F9760" s="12" t="s">
        <v>34</v>
      </c>
      <c r="G9760" s="12" t="s">
        <v>21</v>
      </c>
      <c r="H9760" s="11" t="s">
        <v>63</v>
      </c>
      <c r="I9760" s="13" t="s">
        <v>19350</v>
      </c>
      <c r="J9760" s="14" t="str">
        <f>HYPERLINK("https://www.boe.es/gazeta/dias/1839/12/13/pdfs/GMD-1839-1860.pdf#page=4","Abrir facsímil")</f>
        <v>Abrir facsímil</v>
      </c>
      <c r="K9760" s="12" t="s">
        <v>65</v>
      </c>
    </row>
    <row r="9761" spans="1:11" ht="40.049999999999997" customHeight="1" x14ac:dyDescent="0.25">
      <c r="A9761" s="11" t="s">
        <v>19351</v>
      </c>
      <c r="B9761" s="11" t="s">
        <v>19352</v>
      </c>
      <c r="C9761" s="11" t="s">
        <v>101</v>
      </c>
      <c r="D9761" s="11" t="s">
        <v>43</v>
      </c>
      <c r="E9761" s="12" t="s">
        <v>381</v>
      </c>
      <c r="F9761" s="12" t="s">
        <v>382</v>
      </c>
      <c r="G9761" s="12" t="s">
        <v>21</v>
      </c>
      <c r="H9761" s="11" t="s">
        <v>63</v>
      </c>
      <c r="I9761" s="13" t="s">
        <v>19353</v>
      </c>
      <c r="J9761" s="14" t="str">
        <f>HYPERLINK("https://www.boe.es/gazeta/dias/1839/06/02/pdfs/GMD-1839-1660.pdf#page=4","Abrir facsímil")</f>
        <v>Abrir facsímil</v>
      </c>
      <c r="K9761" s="12" t="s">
        <v>65</v>
      </c>
    </row>
    <row r="9762" spans="1:11" ht="40.049999999999997" customHeight="1" x14ac:dyDescent="0.25">
      <c r="A9762" s="11" t="s">
        <v>19354</v>
      </c>
      <c r="B9762" s="11" t="s">
        <v>19355</v>
      </c>
      <c r="C9762" s="11" t="s">
        <v>17</v>
      </c>
      <c r="D9762" s="11" t="s">
        <v>18</v>
      </c>
      <c r="E9762" s="12" t="s">
        <v>548</v>
      </c>
      <c r="F9762" s="12" t="s">
        <v>549</v>
      </c>
      <c r="G9762" s="12" t="s">
        <v>21</v>
      </c>
      <c r="H9762" s="11" t="s">
        <v>63</v>
      </c>
      <c r="I9762" s="13" t="s">
        <v>19356</v>
      </c>
      <c r="J9762" s="14" t="str">
        <f>HYPERLINK("https://www.boe.es/gazeta/dias/1839/06/06/pdfs/GMD-1839-1664.pdf#page=4","Abrir facsímil")</f>
        <v>Abrir facsímil</v>
      </c>
      <c r="K9762" s="12" t="s">
        <v>65</v>
      </c>
    </row>
    <row r="9763" spans="1:11" ht="40.049999999999997" customHeight="1" x14ac:dyDescent="0.25">
      <c r="A9763" s="11" t="s">
        <v>19357</v>
      </c>
      <c r="B9763" s="11" t="s">
        <v>19358</v>
      </c>
      <c r="C9763" s="11" t="s">
        <v>80</v>
      </c>
      <c r="D9763" s="11" t="s">
        <v>173</v>
      </c>
      <c r="E9763" s="12" t="s">
        <v>181</v>
      </c>
      <c r="F9763" s="12" t="s">
        <v>182</v>
      </c>
      <c r="G9763" s="12" t="s">
        <v>29</v>
      </c>
      <c r="H9763" s="11" t="s">
        <v>63</v>
      </c>
      <c r="I9763" s="13" t="s">
        <v>19359</v>
      </c>
      <c r="J9763" s="14" t="str">
        <f>HYPERLINK("https://www.boe.es/gazeta/dias/1839/01/11/pdfs/GMD-1839-1518.pdf#page=1","Abrir facsímil")</f>
        <v>Abrir facsímil</v>
      </c>
      <c r="K9763" s="12" t="s">
        <v>65</v>
      </c>
    </row>
    <row r="9764" spans="1:11" ht="40.049999999999997" customHeight="1" x14ac:dyDescent="0.25">
      <c r="A9764" s="11" t="s">
        <v>19360</v>
      </c>
      <c r="B9764" s="11" t="s">
        <v>19361</v>
      </c>
      <c r="C9764" s="11" t="s">
        <v>17</v>
      </c>
      <c r="D9764" s="11" t="s">
        <v>18</v>
      </c>
      <c r="E9764" s="12" t="s">
        <v>700</v>
      </c>
      <c r="F9764" s="12" t="s">
        <v>701</v>
      </c>
      <c r="G9764" s="12" t="s">
        <v>21</v>
      </c>
      <c r="H9764" s="11" t="s">
        <v>63</v>
      </c>
      <c r="I9764" s="13" t="s">
        <v>19362</v>
      </c>
      <c r="J9764" s="14" t="str">
        <f>HYPERLINK("https://www.boe.es/gazeta/dias/1839/09/01/pdfs/GMD-1839-1753.pdf#page=4","Abrir facsímil")</f>
        <v>Abrir facsímil</v>
      </c>
      <c r="K9764" s="12" t="s">
        <v>65</v>
      </c>
    </row>
    <row r="9765" spans="1:11" ht="40.049999999999997" customHeight="1" x14ac:dyDescent="0.25">
      <c r="A9765" s="11" t="s">
        <v>19363</v>
      </c>
      <c r="B9765" s="11" t="s">
        <v>19364</v>
      </c>
      <c r="C9765" s="11" t="s">
        <v>137</v>
      </c>
      <c r="D9765" s="11" t="s">
        <v>18</v>
      </c>
      <c r="E9765" s="12" t="s">
        <v>857</v>
      </c>
      <c r="F9765" s="12" t="s">
        <v>858</v>
      </c>
      <c r="G9765" s="12" t="s">
        <v>21</v>
      </c>
      <c r="H9765" s="11" t="s">
        <v>63</v>
      </c>
      <c r="I9765" s="13" t="s">
        <v>19365</v>
      </c>
      <c r="J9765" s="14" t="str">
        <f>HYPERLINK("https://www.boe.es/gazeta/dias/1839/11/21/pdfs/GMD-1839-1838.pdf#page=4","Abrir facsímil")</f>
        <v>Abrir facsímil</v>
      </c>
      <c r="K9765" s="12" t="s">
        <v>65</v>
      </c>
    </row>
    <row r="9766" spans="1:11" ht="40.049999999999997" customHeight="1" x14ac:dyDescent="0.25">
      <c r="A9766" s="11" t="s">
        <v>19366</v>
      </c>
      <c r="B9766" s="11" t="s">
        <v>19367</v>
      </c>
      <c r="C9766" s="11" t="s">
        <v>17</v>
      </c>
      <c r="D9766" s="11" t="s">
        <v>18</v>
      </c>
      <c r="E9766" s="12" t="s">
        <v>544</v>
      </c>
      <c r="F9766" s="12" t="s">
        <v>545</v>
      </c>
      <c r="G9766" s="12" t="s">
        <v>46</v>
      </c>
      <c r="H9766" s="11" t="s">
        <v>63</v>
      </c>
      <c r="I9766" s="13" t="s">
        <v>19368</v>
      </c>
      <c r="J9766" s="14" t="str">
        <f>HYPERLINK("https://www.boe.es/gazeta/dias/1839/11/11/pdfs/GMD-1839-1828.pdf#page=3","Abrir facsímil")</f>
        <v>Abrir facsímil</v>
      </c>
      <c r="K9766" s="12" t="s">
        <v>65</v>
      </c>
    </row>
    <row r="9767" spans="1:11" ht="40.049999999999997" customHeight="1" x14ac:dyDescent="0.25">
      <c r="A9767" s="11" t="s">
        <v>19369</v>
      </c>
      <c r="B9767" s="11" t="s">
        <v>19370</v>
      </c>
      <c r="C9767" s="11" t="s">
        <v>101</v>
      </c>
      <c r="D9767" s="11" t="s">
        <v>43</v>
      </c>
      <c r="E9767" s="12" t="s">
        <v>1446</v>
      </c>
      <c r="F9767" s="12" t="s">
        <v>1447</v>
      </c>
      <c r="G9767" s="12" t="s">
        <v>29</v>
      </c>
      <c r="H9767" s="11" t="s">
        <v>63</v>
      </c>
      <c r="I9767" s="13" t="s">
        <v>19371</v>
      </c>
      <c r="J9767" s="14" t="str">
        <f>HYPERLINK("https://www.boe.es/gazeta/dias/1839/08/25/pdfs/GMD-1839-1746.pdf#page=1","Abrir facsímil")</f>
        <v>Abrir facsímil</v>
      </c>
      <c r="K9767" s="12" t="s">
        <v>65</v>
      </c>
    </row>
    <row r="9768" spans="1:11" ht="40.049999999999997" customHeight="1" x14ac:dyDescent="0.25">
      <c r="A9768" s="11" t="s">
        <v>19372</v>
      </c>
      <c r="B9768" s="11" t="s">
        <v>19373</v>
      </c>
      <c r="C9768" s="11" t="s">
        <v>17</v>
      </c>
      <c r="D9768" s="11" t="s">
        <v>18</v>
      </c>
      <c r="E9768" s="12" t="s">
        <v>798</v>
      </c>
      <c r="F9768" s="12" t="s">
        <v>799</v>
      </c>
      <c r="G9768" s="12" t="s">
        <v>21</v>
      </c>
      <c r="H9768" s="11" t="s">
        <v>63</v>
      </c>
      <c r="I9768" s="13" t="s">
        <v>19374</v>
      </c>
      <c r="J9768" s="14" t="str">
        <f>HYPERLINK("https://www.boe.es/gazeta/dias/1839/09/03/pdfs/GMD-1839-1755.pdf#page=4","Abrir facsímil")</f>
        <v>Abrir facsímil</v>
      </c>
      <c r="K9768" s="12" t="s">
        <v>65</v>
      </c>
    </row>
    <row r="9769" spans="1:11" ht="40.049999999999997" customHeight="1" x14ac:dyDescent="0.25">
      <c r="A9769" s="11" t="s">
        <v>19375</v>
      </c>
      <c r="B9769" s="11" t="s">
        <v>19376</v>
      </c>
      <c r="C9769" s="11" t="s">
        <v>17</v>
      </c>
      <c r="D9769" s="11" t="s">
        <v>18</v>
      </c>
      <c r="E9769" s="12" t="s">
        <v>330</v>
      </c>
      <c r="F9769" s="12" t="s">
        <v>331</v>
      </c>
      <c r="G9769" s="12" t="s">
        <v>21</v>
      </c>
      <c r="H9769" s="11" t="s">
        <v>63</v>
      </c>
      <c r="I9769" s="13" t="s">
        <v>19377</v>
      </c>
      <c r="J9769" s="14" t="str">
        <f>HYPERLINK("https://www.boe.es/gazeta/dias/1839/04/11/pdfs/GMD-1839-1608.pdf#page=4","Abrir facsímil")</f>
        <v>Abrir facsímil</v>
      </c>
      <c r="K9769" s="12" t="s">
        <v>65</v>
      </c>
    </row>
    <row r="9770" spans="1:11" ht="40.049999999999997" customHeight="1" x14ac:dyDescent="0.25">
      <c r="A9770" s="11" t="s">
        <v>19378</v>
      </c>
      <c r="B9770" s="11" t="s">
        <v>19379</v>
      </c>
      <c r="C9770" s="11" t="s">
        <v>17</v>
      </c>
      <c r="D9770" s="11" t="s">
        <v>18</v>
      </c>
      <c r="E9770" s="12" t="s">
        <v>1144</v>
      </c>
      <c r="F9770" s="12" t="s">
        <v>1145</v>
      </c>
      <c r="G9770" s="12" t="s">
        <v>40</v>
      </c>
      <c r="H9770" s="11" t="s">
        <v>63</v>
      </c>
      <c r="I9770" s="13" t="s">
        <v>19380</v>
      </c>
      <c r="J9770" s="14" t="str">
        <f>HYPERLINK("https://www.boe.es/gazeta/dias/1839/08/13/pdfs/GMD-1839-1733.pdf#page=2","Abrir facsímil")</f>
        <v>Abrir facsímil</v>
      </c>
      <c r="K9770" s="12" t="s">
        <v>65</v>
      </c>
    </row>
    <row r="9771" spans="1:11" ht="40.049999999999997" customHeight="1" x14ac:dyDescent="0.25">
      <c r="A9771" s="11" t="s">
        <v>19381</v>
      </c>
      <c r="B9771" s="11" t="s">
        <v>19382</v>
      </c>
      <c r="C9771" s="11" t="s">
        <v>17</v>
      </c>
      <c r="D9771" s="11" t="s">
        <v>18</v>
      </c>
      <c r="E9771" s="12" t="s">
        <v>2881</v>
      </c>
      <c r="F9771" s="12" t="s">
        <v>2882</v>
      </c>
      <c r="G9771" s="12" t="s">
        <v>46</v>
      </c>
      <c r="H9771" s="11" t="s">
        <v>63</v>
      </c>
      <c r="I9771" s="13" t="s">
        <v>19383</v>
      </c>
      <c r="J9771" s="14" t="str">
        <f>HYPERLINK("https://www.boe.es/gazeta/dias/1839/05/08/pdfs/GMD-1839-1635.pdf#page=3","Abrir facsímil")</f>
        <v>Abrir facsímil</v>
      </c>
      <c r="K9771" s="12" t="s">
        <v>65</v>
      </c>
    </row>
    <row r="9772" spans="1:11" ht="40.049999999999997" customHeight="1" x14ac:dyDescent="0.25">
      <c r="A9772" s="11" t="s">
        <v>19384</v>
      </c>
      <c r="B9772" s="11" t="s">
        <v>19385</v>
      </c>
      <c r="C9772" s="11" t="s">
        <v>17</v>
      </c>
      <c r="D9772" s="11" t="s">
        <v>18</v>
      </c>
      <c r="E9772" s="12" t="s">
        <v>561</v>
      </c>
      <c r="F9772" s="12" t="s">
        <v>562</v>
      </c>
      <c r="G9772" s="12" t="s">
        <v>46</v>
      </c>
      <c r="H9772" s="11" t="s">
        <v>63</v>
      </c>
      <c r="I9772" s="13" t="s">
        <v>19386</v>
      </c>
      <c r="J9772" s="14" t="str">
        <f>HYPERLINK("https://www.boe.es/gazeta/dias/1839/09/11/pdfs/GMD-1839-1764.pdf#page=3","Abrir facsímil")</f>
        <v>Abrir facsímil</v>
      </c>
      <c r="K9772" s="12" t="s">
        <v>65</v>
      </c>
    </row>
    <row r="9773" spans="1:11" ht="40.049999999999997" customHeight="1" x14ac:dyDescent="0.25">
      <c r="A9773" s="11" t="s">
        <v>19387</v>
      </c>
      <c r="B9773" s="11" t="s">
        <v>19388</v>
      </c>
      <c r="C9773" s="11" t="s">
        <v>17</v>
      </c>
      <c r="D9773" s="11" t="s">
        <v>43</v>
      </c>
      <c r="E9773" s="12" t="s">
        <v>857</v>
      </c>
      <c r="F9773" s="12" t="s">
        <v>858</v>
      </c>
      <c r="G9773" s="12" t="s">
        <v>40</v>
      </c>
      <c r="H9773" s="11" t="s">
        <v>63</v>
      </c>
      <c r="I9773" s="13" t="s">
        <v>19389</v>
      </c>
      <c r="J9773" s="14" t="str">
        <f>HYPERLINK("https://www.boe.es/gazeta/dias/1839/11/21/pdfs/GMD-1839-1838.pdf#page=2","Abrir facsímil")</f>
        <v>Abrir facsímil</v>
      </c>
      <c r="K9773" s="12" t="s">
        <v>65</v>
      </c>
    </row>
    <row r="9774" spans="1:11" ht="40.049999999999997" customHeight="1" x14ac:dyDescent="0.25">
      <c r="A9774" s="11" t="s">
        <v>19390</v>
      </c>
      <c r="B9774" s="11" t="s">
        <v>19391</v>
      </c>
      <c r="C9774" s="11" t="s">
        <v>17</v>
      </c>
      <c r="D9774" s="11" t="s">
        <v>18</v>
      </c>
      <c r="E9774" s="12" t="s">
        <v>1490</v>
      </c>
      <c r="F9774" s="12" t="s">
        <v>1491</v>
      </c>
      <c r="G9774" s="12" t="s">
        <v>46</v>
      </c>
      <c r="H9774" s="11" t="s">
        <v>63</v>
      </c>
      <c r="I9774" s="13" t="s">
        <v>19392</v>
      </c>
      <c r="J9774" s="14" t="str">
        <f>HYPERLINK("https://www.boe.es/gazeta/dias/1839/02/27/pdfs/GMD-1839-1565.pdf#page=3","Abrir facsímil")</f>
        <v>Abrir facsímil</v>
      </c>
      <c r="K9774" s="12" t="s">
        <v>65</v>
      </c>
    </row>
    <row r="9775" spans="1:11" ht="40.049999999999997" customHeight="1" x14ac:dyDescent="0.25">
      <c r="A9775" s="11" t="s">
        <v>19393</v>
      </c>
      <c r="B9775" s="11" t="s">
        <v>19394</v>
      </c>
      <c r="C9775" s="11" t="s">
        <v>101</v>
      </c>
      <c r="D9775" s="11" t="s">
        <v>43</v>
      </c>
      <c r="E9775" s="12" t="s">
        <v>723</v>
      </c>
      <c r="F9775" s="12" t="s">
        <v>724</v>
      </c>
      <c r="G9775" s="12" t="s">
        <v>46</v>
      </c>
      <c r="H9775" s="11" t="s">
        <v>63</v>
      </c>
      <c r="I9775" s="13" t="s">
        <v>19395</v>
      </c>
      <c r="J9775" s="14" t="str">
        <f>HYPERLINK("https://www.boe.es/gazeta/dias/1839/09/26/pdfs/GMD-1839-1782.pdf#page=3","Abrir facsímil")</f>
        <v>Abrir facsímil</v>
      </c>
      <c r="K9775" s="12" t="s">
        <v>65</v>
      </c>
    </row>
    <row r="9776" spans="1:11" ht="40.049999999999997" customHeight="1" x14ac:dyDescent="0.25">
      <c r="A9776" s="11" t="s">
        <v>19396</v>
      </c>
      <c r="B9776" s="11" t="s">
        <v>19397</v>
      </c>
      <c r="C9776" s="11" t="s">
        <v>59</v>
      </c>
      <c r="D9776" s="11" t="s">
        <v>60</v>
      </c>
      <c r="E9776" s="12" t="s">
        <v>653</v>
      </c>
      <c r="F9776" s="12" t="s">
        <v>654</v>
      </c>
      <c r="G9776" s="12" t="s">
        <v>46</v>
      </c>
      <c r="H9776" s="11" t="s">
        <v>63</v>
      </c>
      <c r="I9776" s="13" t="s">
        <v>19398</v>
      </c>
      <c r="J9776" s="14" t="str">
        <f>HYPERLINK("https://www.boe.es/gazeta/dias/1839/10/31/pdfs/GMD-1839-1817.pdf#page=3","Abrir facsímil")</f>
        <v>Abrir facsímil</v>
      </c>
      <c r="K9776" s="12" t="s">
        <v>65</v>
      </c>
    </row>
    <row r="9777" spans="1:11" ht="40.049999999999997" customHeight="1" x14ac:dyDescent="0.25">
      <c r="A9777" s="11" t="s">
        <v>19399</v>
      </c>
      <c r="B9777" s="11" t="s">
        <v>19400</v>
      </c>
      <c r="C9777" s="11" t="s">
        <v>17</v>
      </c>
      <c r="D9777" s="11" t="s">
        <v>18</v>
      </c>
      <c r="E9777" s="12" t="s">
        <v>561</v>
      </c>
      <c r="F9777" s="12" t="s">
        <v>562</v>
      </c>
      <c r="G9777" s="12" t="s">
        <v>46</v>
      </c>
      <c r="H9777" s="11" t="s">
        <v>63</v>
      </c>
      <c r="I9777" s="13" t="s">
        <v>19401</v>
      </c>
      <c r="J9777" s="14" t="str">
        <f>HYPERLINK("https://www.boe.es/gazeta/dias/1839/09/11/pdfs/GMD-1839-1764.pdf#page=3","Abrir facsímil")</f>
        <v>Abrir facsímil</v>
      </c>
      <c r="K9777" s="12" t="s">
        <v>65</v>
      </c>
    </row>
    <row r="9778" spans="1:11" ht="40.049999999999997" customHeight="1" x14ac:dyDescent="0.25">
      <c r="A9778" s="11" t="s">
        <v>19402</v>
      </c>
      <c r="B9778" s="11" t="s">
        <v>19403</v>
      </c>
      <c r="C9778" s="11" t="s">
        <v>59</v>
      </c>
      <c r="D9778" s="11" t="s">
        <v>60</v>
      </c>
      <c r="E9778" s="12" t="s">
        <v>516</v>
      </c>
      <c r="F9778" s="12" t="s">
        <v>517</v>
      </c>
      <c r="G9778" s="12" t="s">
        <v>21</v>
      </c>
      <c r="H9778" s="11" t="s">
        <v>63</v>
      </c>
      <c r="I9778" s="13" t="s">
        <v>19404</v>
      </c>
      <c r="J9778" s="14" t="str">
        <f>HYPERLINK("https://www.boe.es/gazeta/dias/1839/06/21/pdfs/GMD-1839-1679.pdf#page=4","Abrir facsímil")</f>
        <v>Abrir facsímil</v>
      </c>
      <c r="K9778" s="12" t="s">
        <v>65</v>
      </c>
    </row>
    <row r="9779" spans="1:11" ht="40.049999999999997" customHeight="1" x14ac:dyDescent="0.25">
      <c r="A9779" s="11" t="s">
        <v>19405</v>
      </c>
      <c r="B9779" s="11" t="s">
        <v>19406</v>
      </c>
      <c r="C9779" s="11" t="s">
        <v>17</v>
      </c>
      <c r="D9779" s="11" t="s">
        <v>18</v>
      </c>
      <c r="E9779" s="12" t="s">
        <v>1269</v>
      </c>
      <c r="F9779" s="12" t="s">
        <v>1270</v>
      </c>
      <c r="G9779" s="12" t="s">
        <v>46</v>
      </c>
      <c r="H9779" s="11" t="s">
        <v>63</v>
      </c>
      <c r="I9779" s="13" t="s">
        <v>19407</v>
      </c>
      <c r="J9779" s="14" t="str">
        <f>HYPERLINK("https://www.boe.es/gazeta/dias/1839/04/29/pdfs/GMD-1839-1626.pdf#page=3","Abrir facsímil")</f>
        <v>Abrir facsímil</v>
      </c>
      <c r="K9779" s="12" t="s">
        <v>65</v>
      </c>
    </row>
    <row r="9780" spans="1:11" ht="40.049999999999997" customHeight="1" x14ac:dyDescent="0.25">
      <c r="A9780" s="11" t="s">
        <v>19408</v>
      </c>
      <c r="B9780" s="11" t="s">
        <v>19409</v>
      </c>
      <c r="C9780" s="11" t="s">
        <v>17</v>
      </c>
      <c r="D9780" s="11" t="s">
        <v>18</v>
      </c>
      <c r="E9780" s="12" t="s">
        <v>276</v>
      </c>
      <c r="F9780" s="12" t="s">
        <v>277</v>
      </c>
      <c r="G9780" s="12" t="s">
        <v>46</v>
      </c>
      <c r="H9780" s="11" t="s">
        <v>63</v>
      </c>
      <c r="I9780" s="13" t="s">
        <v>19410</v>
      </c>
      <c r="J9780" s="14" t="str">
        <f>HYPERLINK("https://www.boe.es/gazeta/dias/1839/09/24/pdfs/GMD-1839-1780.pdf#page=3","Abrir facsímil")</f>
        <v>Abrir facsímil</v>
      </c>
      <c r="K9780" s="12" t="s">
        <v>65</v>
      </c>
    </row>
    <row r="9781" spans="1:11" ht="40.049999999999997" customHeight="1" x14ac:dyDescent="0.25">
      <c r="A9781" s="11" t="s">
        <v>19411</v>
      </c>
      <c r="B9781" s="11" t="s">
        <v>19412</v>
      </c>
      <c r="C9781" s="11" t="s">
        <v>17</v>
      </c>
      <c r="D9781" s="11" t="s">
        <v>18</v>
      </c>
      <c r="E9781" s="12" t="s">
        <v>907</v>
      </c>
      <c r="F9781" s="12" t="s">
        <v>908</v>
      </c>
      <c r="G9781" s="12" t="s">
        <v>21</v>
      </c>
      <c r="H9781" s="11" t="s">
        <v>63</v>
      </c>
      <c r="I9781" s="13" t="s">
        <v>19413</v>
      </c>
      <c r="J9781" s="14" t="str">
        <f>HYPERLINK("https://www.boe.es/gazeta/dias/1839/07/31/pdfs/GMD-1839-1720.pdf#page=4","Abrir facsímil")</f>
        <v>Abrir facsímil</v>
      </c>
      <c r="K9781" s="12" t="s">
        <v>65</v>
      </c>
    </row>
    <row r="9782" spans="1:11" ht="40.049999999999997" customHeight="1" x14ac:dyDescent="0.25">
      <c r="A9782" s="11" t="s">
        <v>19414</v>
      </c>
      <c r="B9782" s="11" t="s">
        <v>19415</v>
      </c>
      <c r="C9782" s="11" t="s">
        <v>17</v>
      </c>
      <c r="D9782" s="11" t="s">
        <v>18</v>
      </c>
      <c r="E9782" s="12" t="s">
        <v>486</v>
      </c>
      <c r="F9782" s="12" t="s">
        <v>487</v>
      </c>
      <c r="G9782" s="12" t="s">
        <v>40</v>
      </c>
      <c r="H9782" s="11" t="s">
        <v>63</v>
      </c>
      <c r="I9782" s="13" t="s">
        <v>19416</v>
      </c>
      <c r="J9782" s="14" t="str">
        <f>HYPERLINK("https://www.boe.es/gazeta/dias/1839/04/19/pdfs/GMD-1839-1616.pdf#page=2","Abrir facsímil")</f>
        <v>Abrir facsímil</v>
      </c>
      <c r="K9782" s="12" t="s">
        <v>65</v>
      </c>
    </row>
    <row r="9783" spans="1:11" ht="40.049999999999997" customHeight="1" x14ac:dyDescent="0.25">
      <c r="A9783" s="11" t="s">
        <v>19417</v>
      </c>
      <c r="B9783" s="11" t="s">
        <v>19418</v>
      </c>
      <c r="C9783" s="11" t="s">
        <v>59</v>
      </c>
      <c r="D9783" s="11" t="s">
        <v>60</v>
      </c>
      <c r="E9783" s="12" t="s">
        <v>287</v>
      </c>
      <c r="F9783" s="12" t="s">
        <v>288</v>
      </c>
      <c r="G9783" s="12" t="s">
        <v>46</v>
      </c>
      <c r="H9783" s="11" t="s">
        <v>63</v>
      </c>
      <c r="I9783" s="13" t="s">
        <v>19419</v>
      </c>
      <c r="J9783" s="14" t="str">
        <f>HYPERLINK("https://www.boe.es/gazeta/dias/1839/11/27/pdfs/GMD-1839-1844.pdf#page=3","Abrir facsímil")</f>
        <v>Abrir facsímil</v>
      </c>
      <c r="K9783" s="12" t="s">
        <v>65</v>
      </c>
    </row>
    <row r="9784" spans="1:11" ht="40.049999999999997" customHeight="1" x14ac:dyDescent="0.25">
      <c r="A9784" s="11" t="s">
        <v>19420</v>
      </c>
      <c r="B9784" s="11" t="s">
        <v>19421</v>
      </c>
      <c r="C9784" s="11" t="s">
        <v>59</v>
      </c>
      <c r="D9784" s="11" t="s">
        <v>60</v>
      </c>
      <c r="E9784" s="12" t="s">
        <v>695</v>
      </c>
      <c r="F9784" s="12" t="s">
        <v>696</v>
      </c>
      <c r="G9784" s="12" t="s">
        <v>46</v>
      </c>
      <c r="H9784" s="11" t="s">
        <v>63</v>
      </c>
      <c r="I9784" s="13" t="s">
        <v>19422</v>
      </c>
      <c r="J9784" s="14" t="str">
        <f>HYPERLINK("https://www.boe.es/gazeta/dias/1839/12/19/pdfs/GMD-1839-1866.pdf#page=3","Abrir facsímil")</f>
        <v>Abrir facsímil</v>
      </c>
      <c r="K9784" s="12" t="s">
        <v>65</v>
      </c>
    </row>
    <row r="9785" spans="1:11" ht="40.049999999999997" customHeight="1" x14ac:dyDescent="0.25">
      <c r="A9785" s="11" t="s">
        <v>19423</v>
      </c>
      <c r="B9785" s="11" t="s">
        <v>19424</v>
      </c>
      <c r="C9785" s="11" t="s">
        <v>80</v>
      </c>
      <c r="D9785" s="11" t="s">
        <v>18</v>
      </c>
      <c r="E9785" s="12" t="s">
        <v>1144</v>
      </c>
      <c r="F9785" s="12" t="s">
        <v>1145</v>
      </c>
      <c r="G9785" s="12" t="s">
        <v>40</v>
      </c>
      <c r="H9785" s="11" t="s">
        <v>63</v>
      </c>
      <c r="I9785" s="13" t="s">
        <v>19425</v>
      </c>
      <c r="J9785" s="14" t="str">
        <f>HYPERLINK("https://www.boe.es/gazeta/dias/1839/08/13/pdfs/GMD-1839-1733.pdf#page=2","Abrir facsímil")</f>
        <v>Abrir facsímil</v>
      </c>
      <c r="K9785" s="12" t="s">
        <v>65</v>
      </c>
    </row>
    <row r="9786" spans="1:11" ht="40.049999999999997" customHeight="1" x14ac:dyDescent="0.25">
      <c r="A9786" s="11" t="s">
        <v>19426</v>
      </c>
      <c r="B9786" s="11" t="s">
        <v>19427</v>
      </c>
      <c r="C9786" s="11" t="s">
        <v>59</v>
      </c>
      <c r="D9786" s="11" t="s">
        <v>60</v>
      </c>
      <c r="E9786" s="12" t="s">
        <v>946</v>
      </c>
      <c r="F9786" s="12" t="s">
        <v>947</v>
      </c>
      <c r="G9786" s="12" t="s">
        <v>29</v>
      </c>
      <c r="H9786" s="11" t="s">
        <v>63</v>
      </c>
      <c r="I9786" s="13" t="s">
        <v>19428</v>
      </c>
      <c r="J9786" s="14" t="str">
        <f>HYPERLINK("https://www.boe.es/gazeta/dias/1839/04/15/pdfs/GMD-1839-1612.pdf#page=1","Abrir facsímil")</f>
        <v>Abrir facsímil</v>
      </c>
      <c r="K9786" s="12" t="s">
        <v>65</v>
      </c>
    </row>
    <row r="9787" spans="1:11" ht="40.049999999999997" customHeight="1" x14ac:dyDescent="0.25">
      <c r="A9787" s="11" t="s">
        <v>19429</v>
      </c>
      <c r="B9787" s="11" t="s">
        <v>19430</v>
      </c>
      <c r="C9787" s="11" t="s">
        <v>17</v>
      </c>
      <c r="D9787" s="11" t="s">
        <v>18</v>
      </c>
      <c r="E9787" s="12" t="s">
        <v>2222</v>
      </c>
      <c r="F9787" s="12" t="s">
        <v>2223</v>
      </c>
      <c r="G9787" s="12" t="s">
        <v>29</v>
      </c>
      <c r="H9787" s="11" t="s">
        <v>63</v>
      </c>
      <c r="I9787" s="13" t="s">
        <v>19431</v>
      </c>
      <c r="J9787" s="14" t="str">
        <f>HYPERLINK("https://www.boe.es/gazeta/dias/1839/09/19/pdfs/GMD-1839-1773.pdf#page=1","Abrir facsímil")</f>
        <v>Abrir facsímil</v>
      </c>
      <c r="K9787" s="12" t="s">
        <v>65</v>
      </c>
    </row>
    <row r="9788" spans="1:11" ht="40.049999999999997" customHeight="1" x14ac:dyDescent="0.25">
      <c r="A9788" s="11" t="s">
        <v>19432</v>
      </c>
      <c r="B9788" s="11" t="s">
        <v>19433</v>
      </c>
      <c r="C9788" s="11" t="s">
        <v>101</v>
      </c>
      <c r="D9788" s="11" t="s">
        <v>102</v>
      </c>
      <c r="E9788" s="12" t="s">
        <v>516</v>
      </c>
      <c r="F9788" s="12" t="s">
        <v>517</v>
      </c>
      <c r="G9788" s="12" t="s">
        <v>21</v>
      </c>
      <c r="H9788" s="11" t="s">
        <v>63</v>
      </c>
      <c r="I9788" s="13" t="s">
        <v>19434</v>
      </c>
      <c r="J9788" s="14" t="str">
        <f>HYPERLINK("https://www.boe.es/gazeta/dias/1839/06/21/pdfs/GMD-1839-1679.pdf#page=4","Abrir facsímil")</f>
        <v>Abrir facsímil</v>
      </c>
      <c r="K9788" s="12" t="s">
        <v>65</v>
      </c>
    </row>
    <row r="9789" spans="1:11" ht="40.049999999999997" customHeight="1" x14ac:dyDescent="0.25">
      <c r="A9789" s="11" t="s">
        <v>19435</v>
      </c>
      <c r="B9789" s="11" t="s">
        <v>19436</v>
      </c>
      <c r="C9789" s="11" t="s">
        <v>101</v>
      </c>
      <c r="D9789" s="11" t="s">
        <v>43</v>
      </c>
      <c r="E9789" s="12" t="s">
        <v>157</v>
      </c>
      <c r="F9789" s="12" t="s">
        <v>158</v>
      </c>
      <c r="G9789" s="12" t="s">
        <v>21</v>
      </c>
      <c r="H9789" s="11" t="s">
        <v>63</v>
      </c>
      <c r="I9789" s="13" t="s">
        <v>19437</v>
      </c>
      <c r="J9789" s="14" t="str">
        <f>HYPERLINK("https://www.boe.es/gazeta/dias/1839/02/08/pdfs/GMD-1839-1546.pdf#page=4","Abrir facsímil")</f>
        <v>Abrir facsímil</v>
      </c>
      <c r="K9789" s="12" t="s">
        <v>65</v>
      </c>
    </row>
    <row r="9790" spans="1:11" ht="40.049999999999997" customHeight="1" x14ac:dyDescent="0.25">
      <c r="A9790" s="11" t="s">
        <v>19435</v>
      </c>
      <c r="B9790" s="11" t="s">
        <v>19436</v>
      </c>
      <c r="C9790" s="11" t="s">
        <v>17</v>
      </c>
      <c r="D9790" s="11" t="s">
        <v>18</v>
      </c>
      <c r="E9790" s="12" t="s">
        <v>862</v>
      </c>
      <c r="F9790" s="12" t="s">
        <v>863</v>
      </c>
      <c r="G9790" s="12" t="s">
        <v>566</v>
      </c>
      <c r="H9790" s="11" t="s">
        <v>63</v>
      </c>
      <c r="I9790" s="13" t="s">
        <v>19438</v>
      </c>
      <c r="J9790" s="14" t="str">
        <f>HYPERLINK("https://www.boe.es/gazeta/dias/1839/10/28/pdfs/GMD-1839-1814.pdf#page=5","Abrir facsímil")</f>
        <v>Abrir facsímil</v>
      </c>
      <c r="K9790" s="12" t="s">
        <v>65</v>
      </c>
    </row>
    <row r="9791" spans="1:11" ht="40.049999999999997" customHeight="1" x14ac:dyDescent="0.25">
      <c r="A9791" s="11" t="s">
        <v>19439</v>
      </c>
      <c r="B9791" s="11" t="s">
        <v>19440</v>
      </c>
      <c r="C9791" s="11" t="s">
        <v>137</v>
      </c>
      <c r="D9791" s="11" t="s">
        <v>18</v>
      </c>
      <c r="E9791" s="12" t="s">
        <v>1909</v>
      </c>
      <c r="F9791" s="12" t="s">
        <v>1910</v>
      </c>
      <c r="G9791" s="12" t="s">
        <v>46</v>
      </c>
      <c r="H9791" s="11" t="s">
        <v>63</v>
      </c>
      <c r="I9791" s="13" t="s">
        <v>19441</v>
      </c>
      <c r="J9791" s="14" t="str">
        <f>HYPERLINK("https://www.boe.es/gazeta/dias/1839/10/27/pdfs/GMD-1839-1813.pdf#page=3","Abrir facsímil")</f>
        <v>Abrir facsímil</v>
      </c>
      <c r="K9791" s="12" t="s">
        <v>65</v>
      </c>
    </row>
    <row r="9792" spans="1:11" ht="40.049999999999997" customHeight="1" x14ac:dyDescent="0.25">
      <c r="A9792" s="11" t="s">
        <v>19442</v>
      </c>
      <c r="B9792" s="11" t="s">
        <v>19443</v>
      </c>
      <c r="C9792" s="11" t="s">
        <v>101</v>
      </c>
      <c r="D9792" s="11" t="s">
        <v>43</v>
      </c>
      <c r="E9792" s="12" t="s">
        <v>647</v>
      </c>
      <c r="F9792" s="12" t="s">
        <v>648</v>
      </c>
      <c r="G9792" s="12" t="s">
        <v>21</v>
      </c>
      <c r="H9792" s="11" t="s">
        <v>63</v>
      </c>
      <c r="I9792" s="13" t="s">
        <v>19444</v>
      </c>
      <c r="J9792" s="14" t="str">
        <f>HYPERLINK("https://www.boe.es/gazeta/dias/1839/10/08/pdfs/GMD-1839-1794.pdf#page=4","Abrir facsímil")</f>
        <v>Abrir facsímil</v>
      </c>
      <c r="K9792" s="12" t="s">
        <v>65</v>
      </c>
    </row>
    <row r="9793" spans="1:11" ht="40.049999999999997" customHeight="1" x14ac:dyDescent="0.25">
      <c r="A9793" s="11" t="s">
        <v>19445</v>
      </c>
      <c r="B9793" s="11" t="s">
        <v>19446</v>
      </c>
      <c r="C9793" s="11" t="s">
        <v>17</v>
      </c>
      <c r="D9793" s="11" t="s">
        <v>18</v>
      </c>
      <c r="E9793" s="12" t="s">
        <v>1672</v>
      </c>
      <c r="F9793" s="12" t="s">
        <v>1673</v>
      </c>
      <c r="G9793" s="12" t="s">
        <v>21</v>
      </c>
      <c r="H9793" s="11" t="s">
        <v>22</v>
      </c>
      <c r="I9793" s="13" t="s">
        <v>19447</v>
      </c>
      <c r="J9793" s="14" t="str">
        <f>HYPERLINK("https://www.boe.es/gazeta/dias/1839/08/24/pdfs/GMD-1839-1745.pdf#page=4","Abrir facsímil")</f>
        <v>Abrir facsímil</v>
      </c>
      <c r="K9793" s="12" t="s">
        <v>24</v>
      </c>
    </row>
    <row r="9794" spans="1:11" ht="40.049999999999997" customHeight="1" x14ac:dyDescent="0.25">
      <c r="A9794" s="11" t="s">
        <v>19448</v>
      </c>
      <c r="B9794" s="11" t="s">
        <v>19449</v>
      </c>
      <c r="C9794" s="11" t="s">
        <v>17</v>
      </c>
      <c r="D9794" s="11" t="s">
        <v>18</v>
      </c>
      <c r="E9794" s="12" t="s">
        <v>1988</v>
      </c>
      <c r="F9794" s="12" t="s">
        <v>1989</v>
      </c>
      <c r="G9794" s="12" t="s">
        <v>305</v>
      </c>
      <c r="H9794" s="11" t="s">
        <v>63</v>
      </c>
      <c r="I9794" s="13" t="s">
        <v>19450</v>
      </c>
      <c r="J9794" s="14" t="str">
        <f>HYPERLINK("https://www.boe.es/gazeta/dias/1839/10/29/pdfs/GMD-1839-1815.pdf#page=6","Abrir facsímil")</f>
        <v>Abrir facsímil</v>
      </c>
      <c r="K9794" s="12" t="s">
        <v>65</v>
      </c>
    </row>
    <row r="9795" spans="1:11" ht="40.049999999999997" customHeight="1" x14ac:dyDescent="0.25">
      <c r="A9795" s="11" t="s">
        <v>19451</v>
      </c>
      <c r="B9795" s="11" t="s">
        <v>19452</v>
      </c>
      <c r="C9795" s="11" t="s">
        <v>17</v>
      </c>
      <c r="D9795" s="11" t="s">
        <v>18</v>
      </c>
      <c r="E9795" s="12" t="s">
        <v>453</v>
      </c>
      <c r="F9795" s="12" t="s">
        <v>454</v>
      </c>
      <c r="G9795" s="12" t="s">
        <v>46</v>
      </c>
      <c r="H9795" s="11" t="s">
        <v>63</v>
      </c>
      <c r="I9795" s="13" t="s">
        <v>19453</v>
      </c>
      <c r="J9795" s="14" t="str">
        <f>HYPERLINK("https://www.boe.es/gazeta/dias/1839/02/07/pdfs/GMD-1839-1545.pdf#page=3","Abrir facsímil")</f>
        <v>Abrir facsímil</v>
      </c>
      <c r="K9795" s="12" t="s">
        <v>65</v>
      </c>
    </row>
    <row r="9796" spans="1:11" ht="40.049999999999997" customHeight="1" x14ac:dyDescent="0.25">
      <c r="A9796" s="11" t="s">
        <v>19454</v>
      </c>
      <c r="B9796" s="11" t="s">
        <v>19455</v>
      </c>
      <c r="C9796" s="11" t="s">
        <v>17</v>
      </c>
      <c r="D9796" s="11" t="s">
        <v>18</v>
      </c>
      <c r="E9796" s="12" t="s">
        <v>1310</v>
      </c>
      <c r="F9796" s="12" t="s">
        <v>1311</v>
      </c>
      <c r="G9796" s="12" t="s">
        <v>40</v>
      </c>
      <c r="H9796" s="11" t="s">
        <v>63</v>
      </c>
      <c r="I9796" s="13" t="s">
        <v>19456</v>
      </c>
      <c r="J9796" s="14" t="str">
        <f>HYPERLINK("https://www.boe.es/gazeta/dias/1839/04/23/pdfs/GMD-1839-1620.pdf#page=2","Abrir facsímil")</f>
        <v>Abrir facsímil</v>
      </c>
      <c r="K9796" s="12" t="s">
        <v>65</v>
      </c>
    </row>
    <row r="9797" spans="1:11" ht="40.049999999999997" customHeight="1" x14ac:dyDescent="0.25">
      <c r="A9797" s="11" t="s">
        <v>19457</v>
      </c>
      <c r="B9797" s="11" t="s">
        <v>19458</v>
      </c>
      <c r="C9797" s="11" t="s">
        <v>59</v>
      </c>
      <c r="D9797" s="11" t="s">
        <v>60</v>
      </c>
      <c r="E9797" s="12" t="s">
        <v>4472</v>
      </c>
      <c r="F9797" s="12" t="s">
        <v>4473</v>
      </c>
      <c r="G9797" s="12" t="s">
        <v>29</v>
      </c>
      <c r="H9797" s="11" t="s">
        <v>63</v>
      </c>
      <c r="I9797" s="13" t="s">
        <v>19459</v>
      </c>
      <c r="J9797" s="14" t="str">
        <f>HYPERLINK("https://www.boe.es/gazeta/dias/1839/08/03/pdfs/GMD-1839-1723.pdf#page=1","Abrir facsímil")</f>
        <v>Abrir facsímil</v>
      </c>
      <c r="K9797" s="12" t="s">
        <v>65</v>
      </c>
    </row>
    <row r="9798" spans="1:11" ht="40.049999999999997" customHeight="1" x14ac:dyDescent="0.25">
      <c r="A9798" s="11" t="s">
        <v>19460</v>
      </c>
      <c r="B9798" s="11" t="s">
        <v>19461</v>
      </c>
      <c r="C9798" s="11" t="s">
        <v>17</v>
      </c>
      <c r="D9798" s="11" t="s">
        <v>18</v>
      </c>
      <c r="E9798" s="12" t="s">
        <v>3224</v>
      </c>
      <c r="F9798" s="12" t="s">
        <v>3225</v>
      </c>
      <c r="G9798" s="12" t="s">
        <v>46</v>
      </c>
      <c r="H9798" s="11" t="s">
        <v>63</v>
      </c>
      <c r="I9798" s="13" t="s">
        <v>19462</v>
      </c>
      <c r="J9798" s="14" t="str">
        <f>HYPERLINK("https://www.boe.es/gazeta/dias/1839/06/03/pdfs/GMD-1839-1661.pdf#page=3","Abrir facsímil")</f>
        <v>Abrir facsímil</v>
      </c>
      <c r="K9798" s="12" t="s">
        <v>65</v>
      </c>
    </row>
    <row r="9799" spans="1:11" ht="40.049999999999997" customHeight="1" x14ac:dyDescent="0.25">
      <c r="A9799" s="11" t="s">
        <v>19460</v>
      </c>
      <c r="B9799" s="11" t="s">
        <v>19461</v>
      </c>
      <c r="C9799" s="11" t="s">
        <v>17</v>
      </c>
      <c r="D9799" s="11" t="s">
        <v>18</v>
      </c>
      <c r="E9799" s="12" t="s">
        <v>1388</v>
      </c>
      <c r="F9799" s="12" t="s">
        <v>1389</v>
      </c>
      <c r="G9799" s="12" t="s">
        <v>46</v>
      </c>
      <c r="H9799" s="11" t="s">
        <v>63</v>
      </c>
      <c r="I9799" s="13" t="s">
        <v>19463</v>
      </c>
      <c r="J9799" s="14" t="str">
        <f>HYPERLINK("https://www.boe.es/gazeta/dias/1839/06/04/pdfs/GMD-1839-1662.pdf#page=3","Abrir facsímil")</f>
        <v>Abrir facsímil</v>
      </c>
      <c r="K9799" s="12" t="s">
        <v>65</v>
      </c>
    </row>
    <row r="9800" spans="1:11" ht="40.049999999999997" customHeight="1" x14ac:dyDescent="0.25">
      <c r="A9800" s="11" t="s">
        <v>19464</v>
      </c>
      <c r="B9800" s="11" t="s">
        <v>19465</v>
      </c>
      <c r="C9800" s="11" t="s">
        <v>17</v>
      </c>
      <c r="D9800" s="11" t="s">
        <v>18</v>
      </c>
      <c r="E9800" s="12" t="s">
        <v>3224</v>
      </c>
      <c r="F9800" s="12" t="s">
        <v>3225</v>
      </c>
      <c r="G9800" s="12" t="s">
        <v>46</v>
      </c>
      <c r="H9800" s="11" t="s">
        <v>63</v>
      </c>
      <c r="I9800" s="13" t="s">
        <v>19466</v>
      </c>
      <c r="J9800" s="14" t="str">
        <f>HYPERLINK("https://www.boe.es/gazeta/dias/1839/06/03/pdfs/GMD-1839-1661.pdf#page=3","Abrir facsímil")</f>
        <v>Abrir facsímil</v>
      </c>
      <c r="K9800" s="12" t="s">
        <v>65</v>
      </c>
    </row>
    <row r="9801" spans="1:11" ht="40.049999999999997" customHeight="1" x14ac:dyDescent="0.25">
      <c r="A9801" s="11" t="s">
        <v>19467</v>
      </c>
      <c r="B9801" s="11" t="s">
        <v>19468</v>
      </c>
      <c r="C9801" s="11" t="s">
        <v>17</v>
      </c>
      <c r="D9801" s="11" t="s">
        <v>18</v>
      </c>
      <c r="E9801" s="12" t="s">
        <v>3224</v>
      </c>
      <c r="F9801" s="12" t="s">
        <v>3225</v>
      </c>
      <c r="G9801" s="12" t="s">
        <v>46</v>
      </c>
      <c r="H9801" s="11" t="s">
        <v>63</v>
      </c>
      <c r="I9801" s="13" t="s">
        <v>19469</v>
      </c>
      <c r="J9801" s="14" t="str">
        <f>HYPERLINK("https://www.boe.es/gazeta/dias/1839/06/03/pdfs/GMD-1839-1661.pdf#page=3","Abrir facsímil")</f>
        <v>Abrir facsímil</v>
      </c>
      <c r="K9801" s="12" t="s">
        <v>65</v>
      </c>
    </row>
    <row r="9802" spans="1:11" ht="40.049999999999997" customHeight="1" x14ac:dyDescent="0.25">
      <c r="A9802" s="11" t="s">
        <v>19470</v>
      </c>
      <c r="B9802" s="11" t="s">
        <v>19471</v>
      </c>
      <c r="C9802" s="11" t="s">
        <v>17</v>
      </c>
      <c r="D9802" s="11" t="s">
        <v>18</v>
      </c>
      <c r="E9802" s="12" t="s">
        <v>998</v>
      </c>
      <c r="F9802" s="12" t="s">
        <v>999</v>
      </c>
      <c r="G9802" s="12" t="s">
        <v>46</v>
      </c>
      <c r="H9802" s="11" t="s">
        <v>63</v>
      </c>
      <c r="I9802" s="13" t="s">
        <v>19472</v>
      </c>
      <c r="J9802" s="14" t="str">
        <f>HYPERLINK("https://www.boe.es/gazeta/dias/1839/05/06/pdfs/GMD-1839-1633.pdf#page=3","Abrir facsímil")</f>
        <v>Abrir facsímil</v>
      </c>
      <c r="K9802" s="12" t="s">
        <v>65</v>
      </c>
    </row>
    <row r="9803" spans="1:11" ht="40.049999999999997" customHeight="1" x14ac:dyDescent="0.25">
      <c r="A9803" s="11" t="s">
        <v>19473</v>
      </c>
      <c r="B9803" s="11" t="s">
        <v>19474</v>
      </c>
      <c r="C9803" s="11" t="s">
        <v>101</v>
      </c>
      <c r="D9803" s="11" t="s">
        <v>102</v>
      </c>
      <c r="E9803" s="12" t="s">
        <v>1679</v>
      </c>
      <c r="F9803" s="12" t="s">
        <v>1680</v>
      </c>
      <c r="G9803" s="12" t="s">
        <v>46</v>
      </c>
      <c r="H9803" s="11" t="s">
        <v>63</v>
      </c>
      <c r="I9803" s="13" t="s">
        <v>19475</v>
      </c>
      <c r="J9803" s="14" t="str">
        <f>HYPERLINK("https://www.boe.es/gazeta/dias/1839/01/26/pdfs/GMD-1839-1533.pdf#page=3","Abrir facsímil")</f>
        <v>Abrir facsímil</v>
      </c>
      <c r="K9803" s="12" t="s">
        <v>65</v>
      </c>
    </row>
    <row r="9804" spans="1:11" ht="40.049999999999997" customHeight="1" x14ac:dyDescent="0.25">
      <c r="A9804" s="11" t="s">
        <v>19476</v>
      </c>
      <c r="B9804" s="11" t="s">
        <v>19477</v>
      </c>
      <c r="C9804" s="11" t="s">
        <v>59</v>
      </c>
      <c r="D9804" s="11" t="s">
        <v>60</v>
      </c>
      <c r="E9804" s="12" t="s">
        <v>84</v>
      </c>
      <c r="F9804" s="12" t="s">
        <v>85</v>
      </c>
      <c r="G9804" s="12" t="s">
        <v>21</v>
      </c>
      <c r="H9804" s="11" t="s">
        <v>63</v>
      </c>
      <c r="I9804" s="13" t="s">
        <v>19478</v>
      </c>
      <c r="J9804" s="14" t="str">
        <f>HYPERLINK("https://www.boe.es/gazeta/dias/1839/03/11/pdfs/GMD-1839-1577.pdf#page=4","Abrir facsímil")</f>
        <v>Abrir facsímil</v>
      </c>
      <c r="K9804" s="12" t="s">
        <v>65</v>
      </c>
    </row>
    <row r="9805" spans="1:11" ht="40.049999999999997" customHeight="1" x14ac:dyDescent="0.25">
      <c r="A9805" s="11" t="s">
        <v>19479</v>
      </c>
      <c r="B9805" s="11" t="s">
        <v>19480</v>
      </c>
      <c r="C9805" s="11" t="s">
        <v>17</v>
      </c>
      <c r="D9805" s="11" t="s">
        <v>18</v>
      </c>
      <c r="E9805" s="12" t="s">
        <v>4055</v>
      </c>
      <c r="F9805" s="12" t="s">
        <v>4056</v>
      </c>
      <c r="G9805" s="12" t="s">
        <v>29</v>
      </c>
      <c r="H9805" s="11" t="s">
        <v>63</v>
      </c>
      <c r="I9805" s="13" t="s">
        <v>19481</v>
      </c>
      <c r="J9805" s="14" t="str">
        <f>HYPERLINK("https://www.boe.es/gazeta/dias/1839/03/07/pdfs/GMD-1839-1573.pdf#page=1","Abrir facsímil")</f>
        <v>Abrir facsímil</v>
      </c>
      <c r="K9805" s="12" t="s">
        <v>65</v>
      </c>
    </row>
    <row r="9806" spans="1:11" ht="40.049999999999997" customHeight="1" x14ac:dyDescent="0.25">
      <c r="A9806" s="11" t="s">
        <v>19482</v>
      </c>
      <c r="B9806" s="11" t="s">
        <v>19483</v>
      </c>
      <c r="C9806" s="11" t="s">
        <v>17</v>
      </c>
      <c r="D9806" s="11" t="s">
        <v>18</v>
      </c>
      <c r="E9806" s="12" t="s">
        <v>76</v>
      </c>
      <c r="F9806" s="12" t="s">
        <v>77</v>
      </c>
      <c r="G9806" s="12" t="s">
        <v>21</v>
      </c>
      <c r="H9806" s="11" t="s">
        <v>63</v>
      </c>
      <c r="I9806" s="13" t="s">
        <v>19484</v>
      </c>
      <c r="J9806" s="14" t="str">
        <f>HYPERLINK("https://www.boe.es/gazeta/dias/1839/03/13/pdfs/GMD-1839-1579.pdf#page=4","Abrir facsímil")</f>
        <v>Abrir facsímil</v>
      </c>
      <c r="K9806" s="12" t="s">
        <v>65</v>
      </c>
    </row>
    <row r="9807" spans="1:11" ht="40.049999999999997" customHeight="1" x14ac:dyDescent="0.25">
      <c r="A9807" s="11" t="s">
        <v>19485</v>
      </c>
      <c r="B9807" s="11" t="s">
        <v>19486</v>
      </c>
      <c r="C9807" s="11" t="s">
        <v>17</v>
      </c>
      <c r="D9807" s="11" t="s">
        <v>18</v>
      </c>
      <c r="E9807" s="12" t="s">
        <v>2392</v>
      </c>
      <c r="F9807" s="12" t="s">
        <v>2393</v>
      </c>
      <c r="G9807" s="12" t="s">
        <v>40</v>
      </c>
      <c r="H9807" s="11" t="s">
        <v>63</v>
      </c>
      <c r="I9807" s="13" t="s">
        <v>19487</v>
      </c>
      <c r="J9807" s="14" t="str">
        <f>HYPERLINK("https://www.boe.es/gazeta/dias/1839/05/21/pdfs/GMD-1839-1648.pdf#page=2","Abrir facsímil")</f>
        <v>Abrir facsímil</v>
      </c>
      <c r="K9807" s="12" t="s">
        <v>65</v>
      </c>
    </row>
    <row r="9808" spans="1:11" ht="40.049999999999997" customHeight="1" x14ac:dyDescent="0.25">
      <c r="A9808" s="11" t="s">
        <v>19488</v>
      </c>
      <c r="B9808" s="11" t="s">
        <v>19489</v>
      </c>
      <c r="C9808" s="11" t="s">
        <v>17</v>
      </c>
      <c r="D9808" s="11" t="s">
        <v>18</v>
      </c>
      <c r="E9808" s="12" t="s">
        <v>821</v>
      </c>
      <c r="F9808" s="12" t="s">
        <v>822</v>
      </c>
      <c r="G9808" s="12" t="s">
        <v>40</v>
      </c>
      <c r="H9808" s="11" t="s">
        <v>63</v>
      </c>
      <c r="I9808" s="13" t="s">
        <v>19490</v>
      </c>
      <c r="J9808" s="14" t="str">
        <f>HYPERLINK("https://www.boe.es/gazeta/dias/1839/09/20/pdfs/GMD-1839-1775.pdf#page=2","Abrir facsímil")</f>
        <v>Abrir facsímil</v>
      </c>
      <c r="K9808" s="12" t="s">
        <v>65</v>
      </c>
    </row>
    <row r="9809" spans="1:11" ht="40.049999999999997" customHeight="1" x14ac:dyDescent="0.25">
      <c r="A9809" s="11" t="s">
        <v>19491</v>
      </c>
      <c r="B9809" s="11" t="s">
        <v>19492</v>
      </c>
      <c r="C9809" s="11" t="s">
        <v>101</v>
      </c>
      <c r="D9809" s="11" t="s">
        <v>43</v>
      </c>
      <c r="E9809" s="12" t="s">
        <v>236</v>
      </c>
      <c r="F9809" s="12" t="s">
        <v>237</v>
      </c>
      <c r="G9809" s="12" t="s">
        <v>40</v>
      </c>
      <c r="H9809" s="11" t="s">
        <v>63</v>
      </c>
      <c r="I9809" s="13" t="s">
        <v>19493</v>
      </c>
      <c r="J9809" s="14" t="str">
        <f>HYPERLINK("https://www.boe.es/gazeta/dias/1839/09/18/pdfs/GMD-1839-1771.pdf#page=2","Abrir facsímil")</f>
        <v>Abrir facsímil</v>
      </c>
      <c r="K9809" s="12" t="s">
        <v>65</v>
      </c>
    </row>
    <row r="9810" spans="1:11" ht="40.049999999999997" customHeight="1" x14ac:dyDescent="0.25">
      <c r="A9810" s="11" t="s">
        <v>19494</v>
      </c>
      <c r="B9810" s="11" t="s">
        <v>19495</v>
      </c>
      <c r="C9810" s="11" t="s">
        <v>101</v>
      </c>
      <c r="D9810" s="11" t="s">
        <v>102</v>
      </c>
      <c r="E9810" s="12" t="s">
        <v>81</v>
      </c>
      <c r="F9810" s="12" t="s">
        <v>82</v>
      </c>
      <c r="G9810" s="12" t="s">
        <v>21</v>
      </c>
      <c r="H9810" s="11" t="s">
        <v>63</v>
      </c>
      <c r="I9810" s="13" t="s">
        <v>19496</v>
      </c>
      <c r="J9810" s="14" t="str">
        <f>HYPERLINK("https://www.boe.es/gazeta/dias/1839/03/03/pdfs/GMD-1839-1569.pdf#page=4","Abrir facsímil")</f>
        <v>Abrir facsímil</v>
      </c>
      <c r="K9810" s="12" t="s">
        <v>65</v>
      </c>
    </row>
    <row r="9811" spans="1:11" ht="40.049999999999997" customHeight="1" x14ac:dyDescent="0.25">
      <c r="A9811" s="11" t="s">
        <v>19494</v>
      </c>
      <c r="B9811" s="11" t="s">
        <v>19495</v>
      </c>
      <c r="C9811" s="11" t="s">
        <v>17</v>
      </c>
      <c r="D9811" s="11" t="s">
        <v>43</v>
      </c>
      <c r="E9811" s="12" t="s">
        <v>1467</v>
      </c>
      <c r="F9811" s="12" t="s">
        <v>1468</v>
      </c>
      <c r="G9811" s="12" t="s">
        <v>21</v>
      </c>
      <c r="H9811" s="11" t="s">
        <v>63</v>
      </c>
      <c r="I9811" s="13" t="s">
        <v>19497</v>
      </c>
      <c r="J9811" s="14" t="str">
        <f>HYPERLINK("https://www.boe.es/gazeta/dias/1839/03/05/pdfs/GMD-1839-1571.pdf#page=4","Abrir facsímil")</f>
        <v>Abrir facsímil</v>
      </c>
      <c r="K9811" s="12" t="s">
        <v>65</v>
      </c>
    </row>
    <row r="9812" spans="1:11" ht="40.049999999999997" customHeight="1" x14ac:dyDescent="0.25">
      <c r="A9812" s="11" t="s">
        <v>19494</v>
      </c>
      <c r="B9812" s="11" t="s">
        <v>19495</v>
      </c>
      <c r="C9812" s="11" t="s">
        <v>17</v>
      </c>
      <c r="D9812" s="11" t="s">
        <v>18</v>
      </c>
      <c r="E9812" s="12" t="s">
        <v>76</v>
      </c>
      <c r="F9812" s="12" t="s">
        <v>77</v>
      </c>
      <c r="G9812" s="12" t="s">
        <v>21</v>
      </c>
      <c r="H9812" s="11" t="s">
        <v>63</v>
      </c>
      <c r="I9812" s="13" t="s">
        <v>19498</v>
      </c>
      <c r="J9812" s="14" t="str">
        <f>HYPERLINK("https://www.boe.es/gazeta/dias/1839/03/13/pdfs/GMD-1839-1579.pdf#page=4","Abrir facsímil")</f>
        <v>Abrir facsímil</v>
      </c>
      <c r="K9812" s="12" t="s">
        <v>65</v>
      </c>
    </row>
    <row r="9813" spans="1:11" ht="40.049999999999997" customHeight="1" x14ac:dyDescent="0.25">
      <c r="A9813" s="11" t="s">
        <v>19494</v>
      </c>
      <c r="B9813" s="11" t="s">
        <v>19495</v>
      </c>
      <c r="C9813" s="11" t="s">
        <v>80</v>
      </c>
      <c r="D9813" s="11" t="s">
        <v>18</v>
      </c>
      <c r="E9813" s="12" t="s">
        <v>775</v>
      </c>
      <c r="F9813" s="12" t="s">
        <v>776</v>
      </c>
      <c r="G9813" s="12" t="s">
        <v>21</v>
      </c>
      <c r="H9813" s="11" t="s">
        <v>63</v>
      </c>
      <c r="I9813" s="13" t="s">
        <v>19499</v>
      </c>
      <c r="J9813" s="14" t="str">
        <f>HYPERLINK("https://www.boe.es/gazeta/dias/1839/02/25/pdfs/GMD-1839-1563.pdf#page=4","Abrir facsímil")</f>
        <v>Abrir facsímil</v>
      </c>
      <c r="K9813" s="12" t="s">
        <v>65</v>
      </c>
    </row>
    <row r="9814" spans="1:11" ht="40.049999999999997" customHeight="1" x14ac:dyDescent="0.25">
      <c r="A9814" s="11" t="s">
        <v>19500</v>
      </c>
      <c r="B9814" s="11" t="s">
        <v>19501</v>
      </c>
      <c r="C9814" s="11" t="s">
        <v>17</v>
      </c>
      <c r="D9814" s="11" t="s">
        <v>18</v>
      </c>
      <c r="E9814" s="12" t="s">
        <v>94</v>
      </c>
      <c r="F9814" s="12" t="s">
        <v>95</v>
      </c>
      <c r="G9814" s="12" t="s">
        <v>21</v>
      </c>
      <c r="H9814" s="11" t="s">
        <v>63</v>
      </c>
      <c r="I9814" s="13" t="s">
        <v>19502</v>
      </c>
      <c r="J9814" s="14" t="str">
        <f>HYPERLINK("https://www.boe.es/gazeta/dias/1839/02/24/pdfs/GMD-1839-1562.pdf#page=4","Abrir facsímil")</f>
        <v>Abrir facsímil</v>
      </c>
      <c r="K9814" s="12" t="s">
        <v>65</v>
      </c>
    </row>
    <row r="9815" spans="1:11" ht="40.049999999999997" customHeight="1" x14ac:dyDescent="0.25">
      <c r="A9815" s="11" t="s">
        <v>19503</v>
      </c>
      <c r="B9815" s="11" t="s">
        <v>19504</v>
      </c>
      <c r="C9815" s="11" t="s">
        <v>137</v>
      </c>
      <c r="D9815" s="11" t="s">
        <v>18</v>
      </c>
      <c r="E9815" s="12" t="s">
        <v>951</v>
      </c>
      <c r="F9815" s="12" t="s">
        <v>952</v>
      </c>
      <c r="G9815" s="12" t="s">
        <v>21</v>
      </c>
      <c r="H9815" s="11" t="s">
        <v>63</v>
      </c>
      <c r="I9815" s="13" t="s">
        <v>19505</v>
      </c>
      <c r="J9815" s="14" t="str">
        <f>HYPERLINK("https://www.boe.es/gazeta/dias/1839/12/30/pdfs/GMD-1839-1877.pdf#page=4","Abrir facsímil")</f>
        <v>Abrir facsímil</v>
      </c>
      <c r="K9815" s="12" t="s">
        <v>65</v>
      </c>
    </row>
    <row r="9816" spans="1:11" ht="40.049999999999997" customHeight="1" x14ac:dyDescent="0.25">
      <c r="A9816" s="11" t="s">
        <v>19506</v>
      </c>
      <c r="B9816" s="11" t="s">
        <v>19507</v>
      </c>
      <c r="C9816" s="11" t="s">
        <v>17</v>
      </c>
      <c r="D9816" s="11" t="s">
        <v>18</v>
      </c>
      <c r="E9816" s="12" t="s">
        <v>207</v>
      </c>
      <c r="F9816" s="12" t="s">
        <v>208</v>
      </c>
      <c r="G9816" s="12" t="s">
        <v>40</v>
      </c>
      <c r="H9816" s="11" t="s">
        <v>63</v>
      </c>
      <c r="I9816" s="13" t="s">
        <v>19508</v>
      </c>
      <c r="J9816" s="14" t="str">
        <f>HYPERLINK("https://www.boe.es/gazeta/dias/1839/02/19/pdfs/GMD-1839-1557.pdf#page=2","Abrir facsímil")</f>
        <v>Abrir facsímil</v>
      </c>
      <c r="K9816" s="12" t="s">
        <v>65</v>
      </c>
    </row>
    <row r="9817" spans="1:11" ht="40.049999999999997" customHeight="1" x14ac:dyDescent="0.25">
      <c r="A9817" s="11" t="s">
        <v>19509</v>
      </c>
      <c r="B9817" s="11" t="s">
        <v>19510</v>
      </c>
      <c r="C9817" s="11" t="s">
        <v>101</v>
      </c>
      <c r="D9817" s="11" t="s">
        <v>43</v>
      </c>
      <c r="E9817" s="12" t="s">
        <v>2021</v>
      </c>
      <c r="F9817" s="12" t="s">
        <v>2022</v>
      </c>
      <c r="G9817" s="12" t="s">
        <v>21</v>
      </c>
      <c r="H9817" s="11" t="s">
        <v>63</v>
      </c>
      <c r="I9817" s="13" t="s">
        <v>19511</v>
      </c>
      <c r="J9817" s="14" t="str">
        <f>HYPERLINK("https://www.boe.es/gazeta/dias/1839/02/17/pdfs/GMD-1839-1555.pdf#page=4","Abrir facsímil")</f>
        <v>Abrir facsímil</v>
      </c>
      <c r="K9817" s="12" t="s">
        <v>65</v>
      </c>
    </row>
    <row r="9818" spans="1:11" ht="40.049999999999997" customHeight="1" x14ac:dyDescent="0.25">
      <c r="A9818" s="11" t="s">
        <v>19512</v>
      </c>
      <c r="B9818" s="11" t="s">
        <v>19513</v>
      </c>
      <c r="C9818" s="11" t="s">
        <v>17</v>
      </c>
      <c r="D9818" s="11" t="s">
        <v>18</v>
      </c>
      <c r="E9818" s="12" t="s">
        <v>516</v>
      </c>
      <c r="F9818" s="12" t="s">
        <v>517</v>
      </c>
      <c r="G9818" s="12" t="s">
        <v>21</v>
      </c>
      <c r="H9818" s="11" t="s">
        <v>63</v>
      </c>
      <c r="I9818" s="13" t="s">
        <v>19514</v>
      </c>
      <c r="J9818" s="14" t="str">
        <f>HYPERLINK("https://www.boe.es/gazeta/dias/1839/06/21/pdfs/GMD-1839-1679.pdf#page=4","Abrir facsímil")</f>
        <v>Abrir facsímil</v>
      </c>
      <c r="K9818" s="12" t="s">
        <v>65</v>
      </c>
    </row>
    <row r="9819" spans="1:11" ht="40.049999999999997" customHeight="1" x14ac:dyDescent="0.25">
      <c r="A9819" s="11" t="s">
        <v>19515</v>
      </c>
      <c r="B9819" s="11" t="s">
        <v>19516</v>
      </c>
      <c r="C9819" s="11" t="s">
        <v>17</v>
      </c>
      <c r="D9819" s="11" t="s">
        <v>18</v>
      </c>
      <c r="E9819" s="12" t="s">
        <v>474</v>
      </c>
      <c r="F9819" s="12" t="s">
        <v>475</v>
      </c>
      <c r="G9819" s="12" t="s">
        <v>46</v>
      </c>
      <c r="H9819" s="11" t="s">
        <v>63</v>
      </c>
      <c r="I9819" s="13" t="s">
        <v>19517</v>
      </c>
      <c r="J9819" s="14" t="str">
        <f>HYPERLINK("https://www.boe.es/gazeta/dias/1839/03/31/pdfs/GMD-1839-1597.pdf#page=3","Abrir facsímil")</f>
        <v>Abrir facsímil</v>
      </c>
      <c r="K9819" s="12" t="s">
        <v>65</v>
      </c>
    </row>
    <row r="9820" spans="1:11" ht="40.049999999999997" customHeight="1" x14ac:dyDescent="0.25">
      <c r="A9820" s="11" t="s">
        <v>19518</v>
      </c>
      <c r="B9820" s="11" t="s">
        <v>19519</v>
      </c>
      <c r="C9820" s="11" t="s">
        <v>17</v>
      </c>
      <c r="D9820" s="11" t="s">
        <v>18</v>
      </c>
      <c r="E9820" s="12" t="s">
        <v>1100</v>
      </c>
      <c r="F9820" s="12" t="s">
        <v>1101</v>
      </c>
      <c r="G9820" s="12" t="s">
        <v>21</v>
      </c>
      <c r="H9820" s="11" t="s">
        <v>63</v>
      </c>
      <c r="I9820" s="13" t="s">
        <v>19520</v>
      </c>
      <c r="J9820" s="14" t="str">
        <f>HYPERLINK("https://www.boe.es/gazeta/dias/1839/09/13/pdfs/GMD-1839-1766.pdf#page=4","Abrir facsímil")</f>
        <v>Abrir facsímil</v>
      </c>
      <c r="K9820" s="12" t="s">
        <v>65</v>
      </c>
    </row>
    <row r="9821" spans="1:11" ht="40.049999999999997" customHeight="1" x14ac:dyDescent="0.25">
      <c r="A9821" s="11" t="s">
        <v>19521</v>
      </c>
      <c r="B9821" s="11" t="s">
        <v>19522</v>
      </c>
      <c r="C9821" s="11" t="s">
        <v>17</v>
      </c>
      <c r="D9821" s="11" t="s">
        <v>18</v>
      </c>
      <c r="E9821" s="12" t="s">
        <v>1057</v>
      </c>
      <c r="F9821" s="12" t="s">
        <v>1058</v>
      </c>
      <c r="G9821" s="12" t="s">
        <v>566</v>
      </c>
      <c r="H9821" s="11" t="s">
        <v>63</v>
      </c>
      <c r="I9821" s="13" t="s">
        <v>19523</v>
      </c>
      <c r="J9821" s="14" t="str">
        <f>HYPERLINK("https://www.boe.es/gazeta/dias/1839/10/01/pdfs/GMD-1839-1787.pdf#page=5","Abrir facsímil")</f>
        <v>Abrir facsímil</v>
      </c>
      <c r="K9821" s="12" t="s">
        <v>65</v>
      </c>
    </row>
    <row r="9822" spans="1:11" ht="40.049999999999997" customHeight="1" x14ac:dyDescent="0.25">
      <c r="A9822" s="11" t="s">
        <v>19524</v>
      </c>
      <c r="B9822" s="11" t="s">
        <v>19525</v>
      </c>
      <c r="C9822" s="11" t="s">
        <v>17</v>
      </c>
      <c r="D9822" s="11" t="s">
        <v>18</v>
      </c>
      <c r="E9822" s="12" t="s">
        <v>1654</v>
      </c>
      <c r="F9822" s="12" t="s">
        <v>1655</v>
      </c>
      <c r="G9822" s="12" t="s">
        <v>21</v>
      </c>
      <c r="H9822" s="11" t="s">
        <v>22</v>
      </c>
      <c r="I9822" s="13" t="s">
        <v>19526</v>
      </c>
      <c r="J9822" s="14" t="str">
        <f>HYPERLINK("https://www.boe.es/gazeta/dias/1839/11/19/pdfs/GMD-1839-1836.pdf#page=4","Abrir facsímil")</f>
        <v>Abrir facsímil</v>
      </c>
      <c r="K9822" s="12" t="s">
        <v>24</v>
      </c>
    </row>
    <row r="9823" spans="1:11" ht="40.049999999999997" customHeight="1" x14ac:dyDescent="0.25">
      <c r="A9823" s="11" t="s">
        <v>19524</v>
      </c>
      <c r="B9823" s="11" t="s">
        <v>19525</v>
      </c>
      <c r="C9823" s="11" t="s">
        <v>17</v>
      </c>
      <c r="D9823" s="11" t="s">
        <v>18</v>
      </c>
      <c r="E9823" s="12" t="s">
        <v>2117</v>
      </c>
      <c r="F9823" s="12" t="s">
        <v>2118</v>
      </c>
      <c r="G9823" s="12" t="s">
        <v>40</v>
      </c>
      <c r="H9823" s="11" t="s">
        <v>22</v>
      </c>
      <c r="I9823" s="13" t="s">
        <v>19527</v>
      </c>
      <c r="J9823" s="14" t="str">
        <f>HYPERLINK("https://www.boe.es/gazeta/dias/1839/06/23/pdfs/GMD-1839-1681.pdf#page=2","Abrir facsímil")</f>
        <v>Abrir facsímil</v>
      </c>
      <c r="K9823" s="12" t="s">
        <v>24</v>
      </c>
    </row>
    <row r="9824" spans="1:11" ht="40.049999999999997" customHeight="1" x14ac:dyDescent="0.25">
      <c r="A9824" s="11" t="s">
        <v>19524</v>
      </c>
      <c r="B9824" s="11" t="s">
        <v>19525</v>
      </c>
      <c r="C9824" s="11" t="s">
        <v>17</v>
      </c>
      <c r="D9824" s="11" t="s">
        <v>18</v>
      </c>
      <c r="E9824" s="12" t="s">
        <v>1807</v>
      </c>
      <c r="F9824" s="12" t="s">
        <v>1808</v>
      </c>
      <c r="G9824" s="12" t="s">
        <v>40</v>
      </c>
      <c r="H9824" s="11" t="s">
        <v>22</v>
      </c>
      <c r="I9824" s="13" t="s">
        <v>19528</v>
      </c>
      <c r="J9824" s="14" t="str">
        <f>HYPERLINK("https://www.boe.es/gazeta/dias/1839/01/29/pdfs/GMD-1839-1536.pdf#page=2","Abrir facsímil")</f>
        <v>Abrir facsímil</v>
      </c>
      <c r="K9824" s="12" t="s">
        <v>24</v>
      </c>
    </row>
    <row r="9825" spans="1:11" ht="40.049999999999997" customHeight="1" x14ac:dyDescent="0.25">
      <c r="A9825" s="11" t="s">
        <v>19529</v>
      </c>
      <c r="B9825" s="11" t="s">
        <v>19530</v>
      </c>
      <c r="C9825" s="11" t="s">
        <v>17</v>
      </c>
      <c r="D9825" s="11" t="s">
        <v>18</v>
      </c>
      <c r="E9825" s="12" t="s">
        <v>513</v>
      </c>
      <c r="F9825" s="12" t="s">
        <v>514</v>
      </c>
      <c r="G9825" s="12" t="s">
        <v>21</v>
      </c>
      <c r="H9825" s="11" t="s">
        <v>63</v>
      </c>
      <c r="I9825" s="13" t="s">
        <v>19531</v>
      </c>
      <c r="J9825" s="14" t="str">
        <f>HYPERLINK("https://www.boe.es/gazeta/dias/1839/03/17/pdfs/GMD-1839-1583.pdf#page=4","Abrir facsímil")</f>
        <v>Abrir facsímil</v>
      </c>
      <c r="K9825" s="12" t="s">
        <v>65</v>
      </c>
    </row>
    <row r="9826" spans="1:11" ht="40.049999999999997" customHeight="1" x14ac:dyDescent="0.25">
      <c r="A9826" s="11" t="s">
        <v>19532</v>
      </c>
      <c r="B9826" s="11" t="s">
        <v>19533</v>
      </c>
      <c r="C9826" s="11" t="s">
        <v>80</v>
      </c>
      <c r="D9826" s="11" t="s">
        <v>18</v>
      </c>
      <c r="E9826" s="12" t="s">
        <v>163</v>
      </c>
      <c r="F9826" s="12" t="s">
        <v>164</v>
      </c>
      <c r="G9826" s="12" t="s">
        <v>46</v>
      </c>
      <c r="H9826" s="11" t="s">
        <v>63</v>
      </c>
      <c r="I9826" s="13" t="s">
        <v>19534</v>
      </c>
      <c r="J9826" s="14" t="str">
        <f>HYPERLINK("https://www.boe.es/gazeta/dias/1839/01/13/pdfs/GMD-1839-1520.pdf#page=3","Abrir facsímil")</f>
        <v>Abrir facsímil</v>
      </c>
      <c r="K9826" s="12" t="s">
        <v>65</v>
      </c>
    </row>
    <row r="9827" spans="1:11" ht="40.049999999999997" customHeight="1" x14ac:dyDescent="0.25">
      <c r="A9827" s="11" t="s">
        <v>19535</v>
      </c>
      <c r="B9827" s="11" t="s">
        <v>19536</v>
      </c>
      <c r="C9827" s="11" t="s">
        <v>17</v>
      </c>
      <c r="D9827" s="11" t="s">
        <v>18</v>
      </c>
      <c r="E9827" s="12" t="s">
        <v>336</v>
      </c>
      <c r="F9827" s="12" t="s">
        <v>337</v>
      </c>
      <c r="G9827" s="12" t="s">
        <v>29</v>
      </c>
      <c r="H9827" s="11" t="s">
        <v>63</v>
      </c>
      <c r="I9827" s="13" t="s">
        <v>19537</v>
      </c>
      <c r="J9827" s="14" t="str">
        <f>HYPERLINK("https://www.boe.es/gazeta/dias/1839/07/14/pdfs/GMD-1839-1702.pdf#page=1","Abrir facsímil")</f>
        <v>Abrir facsímil</v>
      </c>
      <c r="K9827" s="12" t="s">
        <v>65</v>
      </c>
    </row>
    <row r="9828" spans="1:11" ht="40.049999999999997" customHeight="1" x14ac:dyDescent="0.25">
      <c r="A9828" s="11" t="s">
        <v>19538</v>
      </c>
      <c r="B9828" s="11" t="s">
        <v>19539</v>
      </c>
      <c r="C9828" s="11" t="s">
        <v>17</v>
      </c>
      <c r="D9828" s="11" t="s">
        <v>18</v>
      </c>
      <c r="E9828" s="12" t="s">
        <v>1374</v>
      </c>
      <c r="F9828" s="12" t="s">
        <v>1375</v>
      </c>
      <c r="G9828" s="12" t="s">
        <v>29</v>
      </c>
      <c r="H9828" s="11" t="s">
        <v>63</v>
      </c>
      <c r="I9828" s="13" t="s">
        <v>19540</v>
      </c>
      <c r="J9828" s="14" t="str">
        <f>HYPERLINK("https://www.boe.es/gazeta/dias/1839/07/20/pdfs/GMD-1839-1708.pdf#page=1","Abrir facsímil")</f>
        <v>Abrir facsímil</v>
      </c>
      <c r="K9828" s="12" t="s">
        <v>65</v>
      </c>
    </row>
    <row r="9829" spans="1:11" ht="40.049999999999997" customHeight="1" x14ac:dyDescent="0.25">
      <c r="A9829" s="11" t="s">
        <v>19541</v>
      </c>
      <c r="B9829" s="11" t="s">
        <v>19542</v>
      </c>
      <c r="C9829" s="11" t="s">
        <v>59</v>
      </c>
      <c r="D9829" s="11" t="s">
        <v>60</v>
      </c>
      <c r="E9829" s="12" t="s">
        <v>258</v>
      </c>
      <c r="F9829" s="12" t="s">
        <v>259</v>
      </c>
      <c r="G9829" s="12" t="s">
        <v>21</v>
      </c>
      <c r="H9829" s="11" t="s">
        <v>63</v>
      </c>
      <c r="I9829" s="13" t="s">
        <v>19543</v>
      </c>
      <c r="J9829" s="14" t="str">
        <f>HYPERLINK("https://www.boe.es/gazeta/dias/1839/01/02/pdfs/GMD-1839-1509.pdf#page=4","Abrir facsímil")</f>
        <v>Abrir facsímil</v>
      </c>
      <c r="K9829" s="12" t="s">
        <v>65</v>
      </c>
    </row>
    <row r="9830" spans="1:11" ht="40.049999999999997" customHeight="1" x14ac:dyDescent="0.25">
      <c r="A9830" s="11" t="s">
        <v>19544</v>
      </c>
      <c r="B9830" s="11" t="s">
        <v>19545</v>
      </c>
      <c r="C9830" s="11" t="s">
        <v>59</v>
      </c>
      <c r="D9830" s="11" t="s">
        <v>60</v>
      </c>
      <c r="E9830" s="12" t="s">
        <v>821</v>
      </c>
      <c r="F9830" s="12" t="s">
        <v>822</v>
      </c>
      <c r="G9830" s="12" t="s">
        <v>40</v>
      </c>
      <c r="H9830" s="11" t="s">
        <v>63</v>
      </c>
      <c r="I9830" s="13" t="s">
        <v>19546</v>
      </c>
      <c r="J9830" s="14" t="str">
        <f>HYPERLINK("https://www.boe.es/gazeta/dias/1839/09/20/pdfs/GMD-1839-1775.pdf#page=2","Abrir facsímil")</f>
        <v>Abrir facsímil</v>
      </c>
      <c r="K9830" s="12" t="s">
        <v>65</v>
      </c>
    </row>
    <row r="9831" spans="1:11" ht="40.049999999999997" customHeight="1" x14ac:dyDescent="0.25">
      <c r="A9831" s="11" t="s">
        <v>19547</v>
      </c>
      <c r="B9831" s="11" t="s">
        <v>19548</v>
      </c>
      <c r="C9831" s="11" t="s">
        <v>59</v>
      </c>
      <c r="D9831" s="11" t="s">
        <v>60</v>
      </c>
      <c r="E9831" s="12" t="s">
        <v>2507</v>
      </c>
      <c r="F9831" s="12" t="s">
        <v>2508</v>
      </c>
      <c r="G9831" s="12" t="s">
        <v>40</v>
      </c>
      <c r="H9831" s="11" t="s">
        <v>63</v>
      </c>
      <c r="I9831" s="13" t="s">
        <v>19549</v>
      </c>
      <c r="J9831" s="14" t="str">
        <f>HYPERLINK("https://www.boe.es/gazeta/dias/1839/03/08/pdfs/GMD-1839-1574.pdf#page=2","Abrir facsímil")</f>
        <v>Abrir facsímil</v>
      </c>
      <c r="K9831" s="12" t="s">
        <v>65</v>
      </c>
    </row>
    <row r="9832" spans="1:11" ht="40.049999999999997" customHeight="1" x14ac:dyDescent="0.25">
      <c r="A9832" s="11" t="s">
        <v>19550</v>
      </c>
      <c r="B9832" s="11" t="s">
        <v>19551</v>
      </c>
      <c r="C9832" s="11" t="s">
        <v>17</v>
      </c>
      <c r="D9832" s="11" t="s">
        <v>18</v>
      </c>
      <c r="E9832" s="12" t="s">
        <v>1086</v>
      </c>
      <c r="F9832" s="12" t="s">
        <v>1087</v>
      </c>
      <c r="G9832" s="12" t="s">
        <v>40</v>
      </c>
      <c r="H9832" s="11" t="s">
        <v>63</v>
      </c>
      <c r="I9832" s="13" t="s">
        <v>19552</v>
      </c>
      <c r="J9832" s="14" t="str">
        <f>HYPERLINK("https://www.boe.es/gazeta/dias/1839/10/26/pdfs/GMD-1839-1812.pdf#page=2","Abrir facsímil")</f>
        <v>Abrir facsímil</v>
      </c>
      <c r="K9832" s="12" t="s">
        <v>65</v>
      </c>
    </row>
    <row r="9833" spans="1:11" ht="40.049999999999997" customHeight="1" x14ac:dyDescent="0.25">
      <c r="A9833" s="11" t="s">
        <v>19553</v>
      </c>
      <c r="B9833" s="11" t="s">
        <v>19554</v>
      </c>
      <c r="C9833" s="11" t="s">
        <v>17</v>
      </c>
      <c r="D9833" s="11" t="s">
        <v>18</v>
      </c>
      <c r="E9833" s="12" t="s">
        <v>621</v>
      </c>
      <c r="F9833" s="12" t="s">
        <v>622</v>
      </c>
      <c r="G9833" s="12" t="s">
        <v>29</v>
      </c>
      <c r="H9833" s="11" t="s">
        <v>63</v>
      </c>
      <c r="I9833" s="13" t="s">
        <v>19555</v>
      </c>
      <c r="J9833" s="14" t="str">
        <f>HYPERLINK("https://www.boe.es/gazeta/dias/1839/04/14/pdfs/GMD-1839-1611.pdf#page=1","Abrir facsímil")</f>
        <v>Abrir facsímil</v>
      </c>
      <c r="K9833" s="12" t="s">
        <v>65</v>
      </c>
    </row>
    <row r="9834" spans="1:11" ht="40.049999999999997" customHeight="1" x14ac:dyDescent="0.25">
      <c r="A9834" s="11" t="s">
        <v>19556</v>
      </c>
      <c r="B9834" s="11" t="s">
        <v>19557</v>
      </c>
      <c r="C9834" s="11" t="s">
        <v>101</v>
      </c>
      <c r="D9834" s="11" t="s">
        <v>102</v>
      </c>
      <c r="E9834" s="12" t="s">
        <v>704</v>
      </c>
      <c r="F9834" s="12" t="s">
        <v>705</v>
      </c>
      <c r="G9834" s="12" t="s">
        <v>40</v>
      </c>
      <c r="H9834" s="11" t="s">
        <v>63</v>
      </c>
      <c r="I9834" s="13" t="s">
        <v>19558</v>
      </c>
      <c r="J9834" s="14" t="str">
        <f>HYPERLINK("https://www.boe.es/gazeta/dias/1839/03/02/pdfs/GMD-1839-1568.pdf#page=2","Abrir facsímil")</f>
        <v>Abrir facsímil</v>
      </c>
      <c r="K9834" s="12" t="s">
        <v>65</v>
      </c>
    </row>
    <row r="9835" spans="1:11" ht="40.049999999999997" customHeight="1" x14ac:dyDescent="0.25">
      <c r="A9835" s="11" t="s">
        <v>19559</v>
      </c>
      <c r="B9835" s="11" t="s">
        <v>19560</v>
      </c>
      <c r="C9835" s="11" t="s">
        <v>101</v>
      </c>
      <c r="D9835" s="11" t="s">
        <v>43</v>
      </c>
      <c r="E9835" s="12" t="s">
        <v>632</v>
      </c>
      <c r="F9835" s="12" t="s">
        <v>633</v>
      </c>
      <c r="G9835" s="12" t="s">
        <v>40</v>
      </c>
      <c r="H9835" s="11" t="s">
        <v>63</v>
      </c>
      <c r="I9835" s="13" t="s">
        <v>19561</v>
      </c>
      <c r="J9835" s="14" t="str">
        <f>HYPERLINK("https://www.boe.es/gazeta/dias/1839/04/06/pdfs/GMD-1839-1603.pdf#page=2","Abrir facsímil")</f>
        <v>Abrir facsímil</v>
      </c>
      <c r="K9835" s="12" t="s">
        <v>65</v>
      </c>
    </row>
    <row r="9836" spans="1:11" ht="40.049999999999997" customHeight="1" x14ac:dyDescent="0.25">
      <c r="A9836" s="11" t="s">
        <v>19559</v>
      </c>
      <c r="B9836" s="11" t="s">
        <v>19560</v>
      </c>
      <c r="C9836" s="11" t="s">
        <v>59</v>
      </c>
      <c r="D9836" s="11" t="s">
        <v>60</v>
      </c>
      <c r="E9836" s="12" t="s">
        <v>638</v>
      </c>
      <c r="F9836" s="12" t="s">
        <v>639</v>
      </c>
      <c r="G9836" s="12" t="s">
        <v>29</v>
      </c>
      <c r="H9836" s="11" t="s">
        <v>63</v>
      </c>
      <c r="I9836" s="13" t="s">
        <v>19562</v>
      </c>
      <c r="J9836" s="14" t="str">
        <f>HYPERLINK("https://www.boe.es/gazeta/dias/1839/08/26/pdfs/GMD-1839-1747.pdf#page=1","Abrir facsímil")</f>
        <v>Abrir facsímil</v>
      </c>
      <c r="K9836" s="12" t="s">
        <v>65</v>
      </c>
    </row>
    <row r="9837" spans="1:11" ht="40.049999999999997" customHeight="1" x14ac:dyDescent="0.25">
      <c r="A9837" s="11" t="s">
        <v>19563</v>
      </c>
      <c r="B9837" s="11" t="s">
        <v>19564</v>
      </c>
      <c r="C9837" s="11" t="s">
        <v>17</v>
      </c>
      <c r="D9837" s="11" t="s">
        <v>18</v>
      </c>
      <c r="E9837" s="12" t="s">
        <v>1509</v>
      </c>
      <c r="F9837" s="12" t="s">
        <v>1510</v>
      </c>
      <c r="G9837" s="12" t="s">
        <v>29</v>
      </c>
      <c r="H9837" s="11" t="s">
        <v>63</v>
      </c>
      <c r="I9837" s="13" t="s">
        <v>19565</v>
      </c>
      <c r="J9837" s="14" t="str">
        <f>HYPERLINK("https://www.boe.es/gazeta/dias/1839/10/07/pdfs/GMD-1839-1793.pdf#page=1","Abrir facsímil")</f>
        <v>Abrir facsímil</v>
      </c>
      <c r="K9837" s="12" t="s">
        <v>65</v>
      </c>
    </row>
    <row r="9838" spans="1:11" ht="40.049999999999997" customHeight="1" x14ac:dyDescent="0.25">
      <c r="A9838" s="11" t="s">
        <v>19566</v>
      </c>
      <c r="B9838" s="11" t="s">
        <v>19567</v>
      </c>
      <c r="C9838" s="11" t="s">
        <v>101</v>
      </c>
      <c r="D9838" s="11" t="s">
        <v>102</v>
      </c>
      <c r="E9838" s="12" t="s">
        <v>336</v>
      </c>
      <c r="F9838" s="12" t="s">
        <v>337</v>
      </c>
      <c r="G9838" s="12" t="s">
        <v>46</v>
      </c>
      <c r="H9838" s="11" t="s">
        <v>63</v>
      </c>
      <c r="I9838" s="13" t="s">
        <v>19568</v>
      </c>
      <c r="J9838" s="14" t="str">
        <f>HYPERLINK("https://www.boe.es/gazeta/dias/1839/07/14/pdfs/GMD-1839-1702.pdf#page=3","Abrir facsímil")</f>
        <v>Abrir facsímil</v>
      </c>
      <c r="K9838" s="12" t="s">
        <v>65</v>
      </c>
    </row>
    <row r="9839" spans="1:11" ht="40.049999999999997" customHeight="1" x14ac:dyDescent="0.25">
      <c r="A9839" s="11" t="s">
        <v>19569</v>
      </c>
      <c r="B9839" s="11" t="s">
        <v>19570</v>
      </c>
      <c r="C9839" s="11" t="s">
        <v>17</v>
      </c>
      <c r="D9839" s="11" t="s">
        <v>18</v>
      </c>
      <c r="E9839" s="12" t="s">
        <v>1509</v>
      </c>
      <c r="F9839" s="12" t="s">
        <v>1510</v>
      </c>
      <c r="G9839" s="12" t="s">
        <v>305</v>
      </c>
      <c r="H9839" s="11" t="s">
        <v>63</v>
      </c>
      <c r="I9839" s="13" t="s">
        <v>19571</v>
      </c>
      <c r="J9839" s="14" t="str">
        <f>HYPERLINK("https://www.boe.es/gazeta/dias/1839/10/07/pdfs/GMD-1839-1793.pdf#page=6","Abrir facsímil")</f>
        <v>Abrir facsímil</v>
      </c>
      <c r="K9839" s="12" t="s">
        <v>65</v>
      </c>
    </row>
    <row r="9840" spans="1:11" ht="40.049999999999997" customHeight="1" x14ac:dyDescent="0.25">
      <c r="A9840" s="11" t="s">
        <v>19572</v>
      </c>
      <c r="B9840" s="11" t="s">
        <v>19573</v>
      </c>
      <c r="C9840" s="11" t="s">
        <v>17</v>
      </c>
      <c r="D9840" s="11" t="s">
        <v>18</v>
      </c>
      <c r="E9840" s="12" t="s">
        <v>883</v>
      </c>
      <c r="F9840" s="12" t="s">
        <v>884</v>
      </c>
      <c r="G9840" s="12" t="s">
        <v>29</v>
      </c>
      <c r="H9840" s="11" t="s">
        <v>63</v>
      </c>
      <c r="I9840" s="13" t="s">
        <v>19574</v>
      </c>
      <c r="J9840" s="14" t="str">
        <f>HYPERLINK("https://www.boe.es/gazeta/dias/1839/11/03/pdfs/GMD-1839-1820.pdf#page=1","Abrir facsímil")</f>
        <v>Abrir facsímil</v>
      </c>
      <c r="K9840" s="12" t="s">
        <v>65</v>
      </c>
    </row>
    <row r="9841" spans="1:11" ht="40.049999999999997" customHeight="1" x14ac:dyDescent="0.25">
      <c r="A9841" s="11" t="s">
        <v>19575</v>
      </c>
      <c r="B9841" s="11" t="s">
        <v>19576</v>
      </c>
      <c r="C9841" s="11" t="s">
        <v>80</v>
      </c>
      <c r="D9841" s="11" t="s">
        <v>18</v>
      </c>
      <c r="E9841" s="12" t="s">
        <v>798</v>
      </c>
      <c r="F9841" s="12" t="s">
        <v>799</v>
      </c>
      <c r="G9841" s="12" t="s">
        <v>40</v>
      </c>
      <c r="H9841" s="11" t="s">
        <v>63</v>
      </c>
      <c r="I9841" s="13" t="s">
        <v>19577</v>
      </c>
      <c r="J9841" s="14" t="str">
        <f>HYPERLINK("https://www.boe.es/gazeta/dias/1839/09/03/pdfs/GMD-1839-1755.pdf#page=2","Abrir facsímil")</f>
        <v>Abrir facsímil</v>
      </c>
      <c r="K9841" s="12" t="s">
        <v>65</v>
      </c>
    </row>
    <row r="9842" spans="1:11" ht="40.049999999999997" customHeight="1" x14ac:dyDescent="0.25">
      <c r="A9842" s="11" t="s">
        <v>19578</v>
      </c>
      <c r="B9842" s="11" t="s">
        <v>19579</v>
      </c>
      <c r="C9842" s="11" t="s">
        <v>101</v>
      </c>
      <c r="D9842" s="11" t="s">
        <v>43</v>
      </c>
      <c r="E9842" s="12" t="s">
        <v>54</v>
      </c>
      <c r="F9842" s="12" t="s">
        <v>55</v>
      </c>
      <c r="G9842" s="12" t="s">
        <v>305</v>
      </c>
      <c r="H9842" s="11" t="s">
        <v>63</v>
      </c>
      <c r="I9842" s="13" t="s">
        <v>19580</v>
      </c>
      <c r="J9842" s="14" t="str">
        <f>HYPERLINK("https://www.boe.es/gazeta/dias/1839/10/05/pdfs/GMD-1839-1791.pdf#page=6","Abrir facsímil")</f>
        <v>Abrir facsímil</v>
      </c>
      <c r="K9842" s="12" t="s">
        <v>65</v>
      </c>
    </row>
    <row r="9843" spans="1:11" ht="40.049999999999997" customHeight="1" x14ac:dyDescent="0.25">
      <c r="A9843" s="11" t="s">
        <v>19581</v>
      </c>
      <c r="B9843" s="11" t="s">
        <v>19582</v>
      </c>
      <c r="C9843" s="11" t="s">
        <v>17</v>
      </c>
      <c r="D9843" s="11" t="s">
        <v>18</v>
      </c>
      <c r="E9843" s="12" t="s">
        <v>474</v>
      </c>
      <c r="F9843" s="12" t="s">
        <v>475</v>
      </c>
      <c r="G9843" s="12" t="s">
        <v>46</v>
      </c>
      <c r="H9843" s="11" t="s">
        <v>63</v>
      </c>
      <c r="I9843" s="13" t="s">
        <v>19583</v>
      </c>
      <c r="J9843" s="14" t="str">
        <f>HYPERLINK("https://www.boe.es/gazeta/dias/1839/03/31/pdfs/GMD-1839-1597.pdf#page=3","Abrir facsímil")</f>
        <v>Abrir facsímil</v>
      </c>
      <c r="K9843" s="12" t="s">
        <v>65</v>
      </c>
    </row>
    <row r="9844" spans="1:11" ht="40.049999999999997" customHeight="1" x14ac:dyDescent="0.25">
      <c r="A9844" s="11" t="s">
        <v>19584</v>
      </c>
      <c r="B9844" s="11" t="s">
        <v>19585</v>
      </c>
      <c r="C9844" s="11" t="s">
        <v>137</v>
      </c>
      <c r="D9844" s="11" t="s">
        <v>18</v>
      </c>
      <c r="E9844" s="12" t="s">
        <v>448</v>
      </c>
      <c r="F9844" s="12" t="s">
        <v>449</v>
      </c>
      <c r="G9844" s="12" t="s">
        <v>29</v>
      </c>
      <c r="H9844" s="11" t="s">
        <v>63</v>
      </c>
      <c r="I9844" s="13" t="s">
        <v>19586</v>
      </c>
      <c r="J9844" s="14" t="str">
        <f>HYPERLINK("https://www.boe.es/gazeta/dias/1839/02/06/pdfs/GMD-1839-1544.pdf#page=1","Abrir facsímil")</f>
        <v>Abrir facsímil</v>
      </c>
      <c r="K9844" s="12" t="s">
        <v>65</v>
      </c>
    </row>
    <row r="9845" spans="1:11" ht="40.049999999999997" customHeight="1" x14ac:dyDescent="0.25">
      <c r="A9845" s="11" t="s">
        <v>19587</v>
      </c>
      <c r="B9845" s="11" t="s">
        <v>19588</v>
      </c>
      <c r="C9845" s="11" t="s">
        <v>101</v>
      </c>
      <c r="D9845" s="11" t="s">
        <v>102</v>
      </c>
      <c r="E9845" s="12" t="s">
        <v>2301</v>
      </c>
      <c r="F9845" s="12" t="s">
        <v>2302</v>
      </c>
      <c r="G9845" s="12" t="s">
        <v>40</v>
      </c>
      <c r="H9845" s="11" t="s">
        <v>63</v>
      </c>
      <c r="I9845" s="13" t="s">
        <v>19589</v>
      </c>
      <c r="J9845" s="14" t="str">
        <f>HYPERLINK("https://www.boe.es/gazeta/dias/1839/09/08/pdfs/GMD-1839-1761.pdf#page=2","Abrir facsímil")</f>
        <v>Abrir facsímil</v>
      </c>
      <c r="K9845" s="12" t="s">
        <v>65</v>
      </c>
    </row>
    <row r="9846" spans="1:11" ht="40.049999999999997" customHeight="1" x14ac:dyDescent="0.25">
      <c r="A9846" s="11" t="s">
        <v>19590</v>
      </c>
      <c r="B9846" s="11" t="s">
        <v>19591</v>
      </c>
      <c r="C9846" s="11" t="s">
        <v>80</v>
      </c>
      <c r="D9846" s="11" t="s">
        <v>18</v>
      </c>
      <c r="E9846" s="12" t="s">
        <v>312</v>
      </c>
      <c r="F9846" s="12" t="s">
        <v>313</v>
      </c>
      <c r="G9846" s="12" t="s">
        <v>46</v>
      </c>
      <c r="H9846" s="11" t="s">
        <v>63</v>
      </c>
      <c r="I9846" s="13" t="s">
        <v>19592</v>
      </c>
      <c r="J9846" s="14" t="str">
        <f>HYPERLINK("https://www.boe.es/gazeta/dias/1839/11/30/pdfs/GMD-1839-1847.pdf#page=3","Abrir facsímil")</f>
        <v>Abrir facsímil</v>
      </c>
      <c r="K9846" s="12" t="s">
        <v>65</v>
      </c>
    </row>
    <row r="9847" spans="1:11" ht="40.049999999999997" customHeight="1" x14ac:dyDescent="0.25">
      <c r="A9847" s="11" t="s">
        <v>19593</v>
      </c>
      <c r="B9847" s="11" t="s">
        <v>19594</v>
      </c>
      <c r="C9847" s="11" t="s">
        <v>17</v>
      </c>
      <c r="D9847" s="11" t="s">
        <v>18</v>
      </c>
      <c r="E9847" s="12" t="s">
        <v>54</v>
      </c>
      <c r="F9847" s="12" t="s">
        <v>55</v>
      </c>
      <c r="G9847" s="12" t="s">
        <v>40</v>
      </c>
      <c r="H9847" s="11" t="s">
        <v>63</v>
      </c>
      <c r="I9847" s="13" t="s">
        <v>19595</v>
      </c>
      <c r="J9847" s="14" t="str">
        <f>HYPERLINK("https://www.boe.es/gazeta/dias/1839/10/05/pdfs/GMD-1839-1791.pdf#page=2","Abrir facsímil")</f>
        <v>Abrir facsímil</v>
      </c>
      <c r="K9847" s="12" t="s">
        <v>65</v>
      </c>
    </row>
    <row r="9848" spans="1:11" ht="40.049999999999997" customHeight="1" x14ac:dyDescent="0.25">
      <c r="A9848" s="11" t="s">
        <v>19596</v>
      </c>
      <c r="B9848" s="11" t="s">
        <v>19597</v>
      </c>
      <c r="C9848" s="11" t="s">
        <v>17</v>
      </c>
      <c r="D9848" s="11" t="s">
        <v>18</v>
      </c>
      <c r="E9848" s="12" t="s">
        <v>756</v>
      </c>
      <c r="F9848" s="12" t="s">
        <v>757</v>
      </c>
      <c r="G9848" s="12" t="s">
        <v>21</v>
      </c>
      <c r="H9848" s="11" t="s">
        <v>63</v>
      </c>
      <c r="I9848" s="13" t="s">
        <v>19598</v>
      </c>
      <c r="J9848" s="14" t="str">
        <f>HYPERLINK("https://www.boe.es/gazeta/dias/1839/12/17/pdfs/GMD-1839-1864.pdf#page=4","Abrir facsímil")</f>
        <v>Abrir facsímil</v>
      </c>
      <c r="K9848" s="12" t="s">
        <v>65</v>
      </c>
    </row>
    <row r="9849" spans="1:11" ht="40.049999999999997" customHeight="1" x14ac:dyDescent="0.25">
      <c r="A9849" s="11" t="s">
        <v>19599</v>
      </c>
      <c r="B9849" s="11" t="s">
        <v>19599</v>
      </c>
      <c r="C9849" s="11" t="s">
        <v>17</v>
      </c>
      <c r="D9849" s="11" t="s">
        <v>18</v>
      </c>
      <c r="E9849" s="12" t="s">
        <v>2270</v>
      </c>
      <c r="F9849" s="12" t="s">
        <v>2271</v>
      </c>
      <c r="G9849" s="12" t="s">
        <v>40</v>
      </c>
      <c r="H9849" s="11" t="s">
        <v>63</v>
      </c>
      <c r="I9849" s="13" t="s">
        <v>19600</v>
      </c>
      <c r="J9849" s="14" t="str">
        <f>HYPERLINK("https://www.boe.es/gazeta/dias/1839/06/13/pdfs/GMD-1839-1671.pdf#page=2","Abrir facsímil")</f>
        <v>Abrir facsímil</v>
      </c>
      <c r="K9849" s="12" t="s">
        <v>65</v>
      </c>
    </row>
    <row r="9850" spans="1:11" ht="40.049999999999997" customHeight="1" x14ac:dyDescent="0.25">
      <c r="A9850" s="11" t="s">
        <v>19601</v>
      </c>
      <c r="B9850" s="11" t="s">
        <v>19602</v>
      </c>
      <c r="C9850" s="11" t="s">
        <v>17</v>
      </c>
      <c r="D9850" s="11" t="s">
        <v>18</v>
      </c>
      <c r="E9850" s="12" t="s">
        <v>1144</v>
      </c>
      <c r="F9850" s="12" t="s">
        <v>1145</v>
      </c>
      <c r="G9850" s="12" t="s">
        <v>40</v>
      </c>
      <c r="H9850" s="11" t="s">
        <v>63</v>
      </c>
      <c r="I9850" s="13" t="s">
        <v>19603</v>
      </c>
      <c r="J9850" s="14" t="str">
        <f>HYPERLINK("https://www.boe.es/gazeta/dias/1839/08/13/pdfs/GMD-1839-1733.pdf#page=2","Abrir facsímil")</f>
        <v>Abrir facsímil</v>
      </c>
      <c r="K9850" s="12" t="s">
        <v>65</v>
      </c>
    </row>
    <row r="9851" spans="1:11" ht="40.049999999999997" customHeight="1" x14ac:dyDescent="0.25">
      <c r="A9851" s="11" t="s">
        <v>19604</v>
      </c>
      <c r="B9851" s="11" t="s">
        <v>19604</v>
      </c>
      <c r="C9851" s="11" t="s">
        <v>137</v>
      </c>
      <c r="D9851" s="11" t="s">
        <v>18</v>
      </c>
      <c r="E9851" s="12" t="s">
        <v>883</v>
      </c>
      <c r="F9851" s="12" t="s">
        <v>884</v>
      </c>
      <c r="G9851" s="12" t="s">
        <v>40</v>
      </c>
      <c r="H9851" s="11" t="s">
        <v>63</v>
      </c>
      <c r="I9851" s="13" t="s">
        <v>19605</v>
      </c>
      <c r="J9851" s="14" t="str">
        <f>HYPERLINK("https://www.boe.es/gazeta/dias/1839/11/03/pdfs/GMD-1839-1820.pdf#page=2","Abrir facsímil")</f>
        <v>Abrir facsímil</v>
      </c>
      <c r="K9851" s="12" t="s">
        <v>65</v>
      </c>
    </row>
    <row r="9852" spans="1:11" ht="40.049999999999997" customHeight="1" x14ac:dyDescent="0.25">
      <c r="A9852" s="11" t="s">
        <v>19606</v>
      </c>
      <c r="B9852" s="11" t="s">
        <v>19606</v>
      </c>
      <c r="C9852" s="11" t="s">
        <v>17</v>
      </c>
      <c r="D9852" s="11" t="s">
        <v>18</v>
      </c>
      <c r="E9852" s="12" t="s">
        <v>2650</v>
      </c>
      <c r="F9852" s="12" t="s">
        <v>2651</v>
      </c>
      <c r="G9852" s="12" t="s">
        <v>40</v>
      </c>
      <c r="H9852" s="11" t="s">
        <v>63</v>
      </c>
      <c r="I9852" s="13" t="s">
        <v>19607</v>
      </c>
      <c r="J9852" s="14" t="str">
        <f>HYPERLINK("https://www.boe.es/gazeta/dias/1839/09/15/pdfs/GMD-1839-1768.pdf#page=2","Abrir facsímil")</f>
        <v>Abrir facsímil</v>
      </c>
      <c r="K9852" s="12" t="s">
        <v>65</v>
      </c>
    </row>
    <row r="9853" spans="1:11" ht="40.049999999999997" customHeight="1" x14ac:dyDescent="0.25">
      <c r="A9853" s="11" t="s">
        <v>19606</v>
      </c>
      <c r="B9853" s="11" t="s">
        <v>19606</v>
      </c>
      <c r="C9853" s="11" t="s">
        <v>59</v>
      </c>
      <c r="D9853" s="11" t="s">
        <v>60</v>
      </c>
      <c r="E9853" s="12" t="s">
        <v>1069</v>
      </c>
      <c r="F9853" s="12" t="s">
        <v>1070</v>
      </c>
      <c r="G9853" s="12" t="s">
        <v>29</v>
      </c>
      <c r="H9853" s="11" t="s">
        <v>63</v>
      </c>
      <c r="I9853" s="13" t="s">
        <v>19608</v>
      </c>
      <c r="J9853" s="14" t="str">
        <f>HYPERLINK("https://www.boe.es/gazeta/dias/1839/10/15/pdfs/GMD-1839-1801.pdf#page=1","Abrir facsímil")</f>
        <v>Abrir facsímil</v>
      </c>
      <c r="K9853" s="12" t="s">
        <v>65</v>
      </c>
    </row>
    <row r="9854" spans="1:11" ht="40.049999999999997" customHeight="1" x14ac:dyDescent="0.25">
      <c r="A9854" s="11" t="s">
        <v>19606</v>
      </c>
      <c r="B9854" s="11" t="s">
        <v>19606</v>
      </c>
      <c r="C9854" s="11" t="s">
        <v>59</v>
      </c>
      <c r="D9854" s="11" t="s">
        <v>60</v>
      </c>
      <c r="E9854" s="12" t="s">
        <v>239</v>
      </c>
      <c r="F9854" s="12" t="s">
        <v>240</v>
      </c>
      <c r="G9854" s="12" t="s">
        <v>29</v>
      </c>
      <c r="H9854" s="11" t="s">
        <v>63</v>
      </c>
      <c r="I9854" s="13" t="s">
        <v>19609</v>
      </c>
      <c r="J9854" s="14" t="str">
        <f>HYPERLINK("https://www.boe.es/gazeta/dias/1839/09/22/pdfs/GMD-1839-1777.pdf#page=1","Abrir facsímil")</f>
        <v>Abrir facsímil</v>
      </c>
      <c r="K9854" s="12" t="s">
        <v>65</v>
      </c>
    </row>
    <row r="9855" spans="1:11" ht="40.049999999999997" customHeight="1" x14ac:dyDescent="0.25">
      <c r="A9855" s="11" t="s">
        <v>19606</v>
      </c>
      <c r="B9855" s="11" t="s">
        <v>19606</v>
      </c>
      <c r="C9855" s="11" t="s">
        <v>59</v>
      </c>
      <c r="D9855" s="11" t="s">
        <v>60</v>
      </c>
      <c r="E9855" s="12" t="s">
        <v>2349</v>
      </c>
      <c r="F9855" s="12" t="s">
        <v>2350</v>
      </c>
      <c r="G9855" s="12" t="s">
        <v>305</v>
      </c>
      <c r="H9855" s="11" t="s">
        <v>63</v>
      </c>
      <c r="I9855" s="13" t="s">
        <v>19610</v>
      </c>
      <c r="J9855" s="14" t="str">
        <f>HYPERLINK("https://www.boe.es/gazeta/dias/1839/09/29/pdfs/GMD-1839-1785.pdf#page=6","Abrir facsímil")</f>
        <v>Abrir facsímil</v>
      </c>
      <c r="K9855" s="12" t="s">
        <v>65</v>
      </c>
    </row>
    <row r="9856" spans="1:11" ht="40.049999999999997" customHeight="1" x14ac:dyDescent="0.25">
      <c r="A9856" s="11" t="s">
        <v>19606</v>
      </c>
      <c r="B9856" s="11" t="s">
        <v>19606</v>
      </c>
      <c r="C9856" s="11" t="s">
        <v>17</v>
      </c>
      <c r="D9856" s="11" t="s">
        <v>18</v>
      </c>
      <c r="E9856" s="12" t="s">
        <v>312</v>
      </c>
      <c r="F9856" s="12" t="s">
        <v>313</v>
      </c>
      <c r="G9856" s="12" t="s">
        <v>21</v>
      </c>
      <c r="H9856" s="11" t="s">
        <v>63</v>
      </c>
      <c r="I9856" s="13" t="s">
        <v>19611</v>
      </c>
      <c r="J9856" s="14" t="str">
        <f>HYPERLINK("https://www.boe.es/gazeta/dias/1839/11/30/pdfs/GMD-1839-1847.pdf#page=4","Abrir facsímil")</f>
        <v>Abrir facsímil</v>
      </c>
      <c r="K9856" s="12" t="s">
        <v>65</v>
      </c>
    </row>
    <row r="9857" spans="1:11" ht="40.049999999999997" customHeight="1" x14ac:dyDescent="0.25">
      <c r="A9857" s="11" t="s">
        <v>19612</v>
      </c>
      <c r="B9857" s="11" t="s">
        <v>19612</v>
      </c>
      <c r="C9857" s="11" t="s">
        <v>137</v>
      </c>
      <c r="D9857" s="11" t="s">
        <v>18</v>
      </c>
      <c r="E9857" s="12" t="s">
        <v>647</v>
      </c>
      <c r="F9857" s="12" t="s">
        <v>648</v>
      </c>
      <c r="G9857" s="12" t="s">
        <v>5567</v>
      </c>
      <c r="H9857" s="11" t="s">
        <v>63</v>
      </c>
      <c r="I9857" s="13" t="s">
        <v>19613</v>
      </c>
      <c r="J9857" s="14" t="str">
        <f>HYPERLINK("https://www.boe.es/gazeta/dias/1839/10/08/pdfs/GMD-1839-1794.pdf#page=7","Abrir facsímil")</f>
        <v>Abrir facsímil</v>
      </c>
      <c r="K9857" s="12" t="s">
        <v>65</v>
      </c>
    </row>
    <row r="9858" spans="1:11" ht="40.049999999999997" customHeight="1" x14ac:dyDescent="0.25">
      <c r="A9858" s="11" t="s">
        <v>19612</v>
      </c>
      <c r="B9858" s="11" t="s">
        <v>19612</v>
      </c>
      <c r="C9858" s="11" t="s">
        <v>17</v>
      </c>
      <c r="D9858" s="11" t="s">
        <v>18</v>
      </c>
      <c r="E9858" s="12" t="s">
        <v>592</v>
      </c>
      <c r="F9858" s="12" t="s">
        <v>593</v>
      </c>
      <c r="G9858" s="12" t="s">
        <v>29</v>
      </c>
      <c r="H9858" s="11" t="s">
        <v>63</v>
      </c>
      <c r="I9858" s="13" t="s">
        <v>19614</v>
      </c>
      <c r="J9858" s="14" t="str">
        <f>HYPERLINK("https://www.boe.es/gazeta/dias/1839/09/14/pdfs/GMD-1839-1767.pdf#page=1","Abrir facsímil")</f>
        <v>Abrir facsímil</v>
      </c>
      <c r="K9858" s="12" t="s">
        <v>65</v>
      </c>
    </row>
    <row r="9859" spans="1:11" ht="40.049999999999997" customHeight="1" x14ac:dyDescent="0.25">
      <c r="A9859" s="11" t="s">
        <v>19612</v>
      </c>
      <c r="B9859" s="11" t="s">
        <v>19612</v>
      </c>
      <c r="C9859" s="11" t="s">
        <v>59</v>
      </c>
      <c r="D9859" s="11" t="s">
        <v>60</v>
      </c>
      <c r="E9859" s="12" t="s">
        <v>233</v>
      </c>
      <c r="F9859" s="12" t="s">
        <v>234</v>
      </c>
      <c r="G9859" s="12" t="s">
        <v>29</v>
      </c>
      <c r="H9859" s="11" t="s">
        <v>63</v>
      </c>
      <c r="I9859" s="13" t="s">
        <v>19615</v>
      </c>
      <c r="J9859" s="14" t="str">
        <f>HYPERLINK("https://www.boe.es/gazeta/dias/1839/09/17/pdfs/GMD-1839-1770.pdf#page=1","Abrir facsímil")</f>
        <v>Abrir facsímil</v>
      </c>
      <c r="K9859" s="12" t="s">
        <v>65</v>
      </c>
    </row>
    <row r="9860" spans="1:11" ht="40.049999999999997" customHeight="1" x14ac:dyDescent="0.25">
      <c r="A9860" s="11" t="s">
        <v>19612</v>
      </c>
      <c r="B9860" s="11" t="s">
        <v>19612</v>
      </c>
      <c r="C9860" s="11" t="s">
        <v>17</v>
      </c>
      <c r="D9860" s="11" t="s">
        <v>43</v>
      </c>
      <c r="E9860" s="12" t="s">
        <v>276</v>
      </c>
      <c r="F9860" s="12" t="s">
        <v>277</v>
      </c>
      <c r="G9860" s="12" t="s">
        <v>40</v>
      </c>
      <c r="H9860" s="11" t="s">
        <v>63</v>
      </c>
      <c r="I9860" s="13" t="s">
        <v>19616</v>
      </c>
      <c r="J9860" s="14" t="str">
        <f>HYPERLINK("https://www.boe.es/gazeta/dias/1839/09/24/pdfs/GMD-1839-1780.pdf#page=2","Abrir facsímil")</f>
        <v>Abrir facsímil</v>
      </c>
      <c r="K9860" s="12" t="s">
        <v>65</v>
      </c>
    </row>
    <row r="9861" spans="1:11" ht="40.049999999999997" customHeight="1" x14ac:dyDescent="0.25">
      <c r="A9861" s="11" t="s">
        <v>19612</v>
      </c>
      <c r="B9861" s="11" t="s">
        <v>19612</v>
      </c>
      <c r="C9861" s="11" t="s">
        <v>101</v>
      </c>
      <c r="D9861" s="11" t="s">
        <v>102</v>
      </c>
      <c r="E9861" s="12" t="s">
        <v>287</v>
      </c>
      <c r="F9861" s="12" t="s">
        <v>288</v>
      </c>
      <c r="G9861" s="12" t="s">
        <v>29</v>
      </c>
      <c r="H9861" s="11" t="s">
        <v>63</v>
      </c>
      <c r="I9861" s="13" t="s">
        <v>19617</v>
      </c>
      <c r="J9861" s="14" t="str">
        <f>HYPERLINK("https://www.boe.es/gazeta/dias/1839/11/27/pdfs/GMD-1839-1844.pdf#page=1","Abrir facsímil")</f>
        <v>Abrir facsímil</v>
      </c>
      <c r="K9861" s="12" t="s">
        <v>65</v>
      </c>
    </row>
    <row r="9862" spans="1:11" ht="40.049999999999997" customHeight="1" x14ac:dyDescent="0.25">
      <c r="A9862" s="11" t="s">
        <v>19612</v>
      </c>
      <c r="B9862" s="11" t="s">
        <v>19612</v>
      </c>
      <c r="C9862" s="11" t="s">
        <v>17</v>
      </c>
      <c r="D9862" s="11" t="s">
        <v>18</v>
      </c>
      <c r="E9862" s="12" t="s">
        <v>1523</v>
      </c>
      <c r="F9862" s="12" t="s">
        <v>1524</v>
      </c>
      <c r="G9862" s="12" t="s">
        <v>29</v>
      </c>
      <c r="H9862" s="11" t="s">
        <v>63</v>
      </c>
      <c r="I9862" s="13" t="s">
        <v>19618</v>
      </c>
      <c r="J9862" s="14" t="str">
        <f>HYPERLINK("https://www.boe.es/gazeta/dias/1839/08/29/pdfs/GMD-1839-1750.pdf#page=1","Abrir facsímil")</f>
        <v>Abrir facsímil</v>
      </c>
      <c r="K9862" s="12" t="s">
        <v>65</v>
      </c>
    </row>
    <row r="9863" spans="1:11" ht="40.049999999999997" customHeight="1" x14ac:dyDescent="0.25">
      <c r="A9863" s="11" t="s">
        <v>19619</v>
      </c>
      <c r="B9863" s="11" t="s">
        <v>19620</v>
      </c>
      <c r="C9863" s="11" t="s">
        <v>17</v>
      </c>
      <c r="D9863" s="11" t="s">
        <v>18</v>
      </c>
      <c r="E9863" s="12" t="s">
        <v>2650</v>
      </c>
      <c r="F9863" s="12" t="s">
        <v>2651</v>
      </c>
      <c r="G9863" s="12" t="s">
        <v>40</v>
      </c>
      <c r="H9863" s="11" t="s">
        <v>63</v>
      </c>
      <c r="I9863" s="13" t="s">
        <v>19621</v>
      </c>
      <c r="J9863" s="14" t="str">
        <f>HYPERLINK("https://www.boe.es/gazeta/dias/1839/09/15/pdfs/GMD-1839-1768.pdf#page=2","Abrir facsímil")</f>
        <v>Abrir facsímil</v>
      </c>
      <c r="K9863" s="12" t="s">
        <v>65</v>
      </c>
    </row>
    <row r="9864" spans="1:11" ht="40.049999999999997" customHeight="1" x14ac:dyDescent="0.25">
      <c r="A9864" s="11" t="s">
        <v>19622</v>
      </c>
      <c r="B9864" s="11" t="s">
        <v>19622</v>
      </c>
      <c r="C9864" s="11" t="s">
        <v>17</v>
      </c>
      <c r="D9864" s="11" t="s">
        <v>18</v>
      </c>
      <c r="E9864" s="12" t="s">
        <v>197</v>
      </c>
      <c r="F9864" s="12" t="s">
        <v>198</v>
      </c>
      <c r="G9864" s="12" t="s">
        <v>40</v>
      </c>
      <c r="H9864" s="11" t="s">
        <v>63</v>
      </c>
      <c r="I9864" s="13" t="s">
        <v>19623</v>
      </c>
      <c r="J9864" s="14" t="str">
        <f>HYPERLINK("https://www.boe.es/gazeta/dias/1839/10/04/pdfs/GMD-1839-1790.pdf#page=2","Abrir facsímil")</f>
        <v>Abrir facsímil</v>
      </c>
      <c r="K9864" s="12" t="s">
        <v>65</v>
      </c>
    </row>
    <row r="9865" spans="1:11" ht="40.049999999999997" customHeight="1" x14ac:dyDescent="0.25">
      <c r="A9865" s="11" t="s">
        <v>19622</v>
      </c>
      <c r="B9865" s="11" t="s">
        <v>19622</v>
      </c>
      <c r="C9865" s="11" t="s">
        <v>80</v>
      </c>
      <c r="D9865" s="11" t="s">
        <v>18</v>
      </c>
      <c r="E9865" s="12" t="s">
        <v>160</v>
      </c>
      <c r="F9865" s="12" t="s">
        <v>161</v>
      </c>
      <c r="G9865" s="12" t="s">
        <v>29</v>
      </c>
      <c r="H9865" s="11" t="s">
        <v>63</v>
      </c>
      <c r="I9865" s="13" t="s">
        <v>19624</v>
      </c>
      <c r="J9865" s="14" t="str">
        <f>HYPERLINK("https://www.boe.es/gazeta/dias/1839/01/10/pdfs/GMD-1839-1517.pdf#page=1","Abrir facsímil")</f>
        <v>Abrir facsímil</v>
      </c>
      <c r="K9865" s="12" t="s">
        <v>65</v>
      </c>
    </row>
    <row r="9866" spans="1:11" ht="40.049999999999997" customHeight="1" x14ac:dyDescent="0.25">
      <c r="A9866" s="11" t="s">
        <v>19622</v>
      </c>
      <c r="B9866" s="11" t="s">
        <v>19622</v>
      </c>
      <c r="C9866" s="11" t="s">
        <v>17</v>
      </c>
      <c r="D9866" s="11" t="s">
        <v>18</v>
      </c>
      <c r="E9866" s="12" t="s">
        <v>160</v>
      </c>
      <c r="F9866" s="12" t="s">
        <v>161</v>
      </c>
      <c r="G9866" s="12" t="s">
        <v>40</v>
      </c>
      <c r="H9866" s="11" t="s">
        <v>63</v>
      </c>
      <c r="I9866" s="13" t="s">
        <v>19625</v>
      </c>
      <c r="J9866" s="14" t="str">
        <f>HYPERLINK("https://www.boe.es/gazeta/dias/1839/01/10/pdfs/GMD-1839-1517.pdf#page=2","Abrir facsímil")</f>
        <v>Abrir facsímil</v>
      </c>
      <c r="K9866" s="12" t="s">
        <v>65</v>
      </c>
    </row>
    <row r="9867" spans="1:11" ht="40.049999999999997" customHeight="1" x14ac:dyDescent="0.25">
      <c r="A9867" s="11" t="s">
        <v>19626</v>
      </c>
      <c r="B9867" s="11" t="s">
        <v>19627</v>
      </c>
      <c r="C9867" s="11" t="s">
        <v>137</v>
      </c>
      <c r="D9867" s="11" t="s">
        <v>18</v>
      </c>
      <c r="E9867" s="12" t="s">
        <v>1012</v>
      </c>
      <c r="F9867" s="12" t="s">
        <v>1013</v>
      </c>
      <c r="G9867" s="12" t="s">
        <v>46</v>
      </c>
      <c r="H9867" s="11" t="s">
        <v>63</v>
      </c>
      <c r="I9867" s="13" t="s">
        <v>19628</v>
      </c>
      <c r="J9867" s="14" t="str">
        <f>HYPERLINK("https://www.boe.es/gazeta/dias/1839/11/22/pdfs/GMD-1839-1839.pdf#page=3","Abrir facsímil")</f>
        <v>Abrir facsímil</v>
      </c>
      <c r="K9867" s="12" t="s">
        <v>65</v>
      </c>
    </row>
    <row r="9868" spans="1:11" ht="40.049999999999997" customHeight="1" x14ac:dyDescent="0.25">
      <c r="A9868" s="11" t="s">
        <v>19629</v>
      </c>
      <c r="B9868" s="11" t="s">
        <v>19629</v>
      </c>
      <c r="C9868" s="11" t="s">
        <v>17</v>
      </c>
      <c r="D9868" s="11" t="s">
        <v>18</v>
      </c>
      <c r="E9868" s="12" t="s">
        <v>1027</v>
      </c>
      <c r="F9868" s="12" t="s">
        <v>1028</v>
      </c>
      <c r="G9868" s="12" t="s">
        <v>40</v>
      </c>
      <c r="H9868" s="11" t="s">
        <v>63</v>
      </c>
      <c r="I9868" s="13" t="s">
        <v>19630</v>
      </c>
      <c r="J9868" s="14" t="str">
        <f>HYPERLINK("https://www.boe.es/gazeta/dias/1839/08/16/pdfs/GMD-1839-1736.pdf#page=2","Abrir facsímil")</f>
        <v>Abrir facsímil</v>
      </c>
      <c r="K9868" s="12" t="s">
        <v>65</v>
      </c>
    </row>
    <row r="9869" spans="1:11" ht="40.049999999999997" customHeight="1" x14ac:dyDescent="0.25">
      <c r="A9869" s="11" t="s">
        <v>19631</v>
      </c>
      <c r="B9869" s="11" t="s">
        <v>19632</v>
      </c>
      <c r="C9869" s="11" t="s">
        <v>59</v>
      </c>
      <c r="D9869" s="11" t="s">
        <v>60</v>
      </c>
      <c r="E9869" s="12" t="s">
        <v>775</v>
      </c>
      <c r="F9869" s="12" t="s">
        <v>776</v>
      </c>
      <c r="G9869" s="12" t="s">
        <v>29</v>
      </c>
      <c r="H9869" s="11" t="s">
        <v>63</v>
      </c>
      <c r="I9869" s="13" t="s">
        <v>19633</v>
      </c>
      <c r="J9869" s="14" t="str">
        <f>HYPERLINK("https://www.boe.es/gazeta/dias/1839/02/25/pdfs/GMD-1839-1563.pdf#page=1","Abrir facsímil")</f>
        <v>Abrir facsímil</v>
      </c>
      <c r="K9869" s="12" t="s">
        <v>65</v>
      </c>
    </row>
    <row r="9870" spans="1:11" ht="40.049999999999997" customHeight="1" x14ac:dyDescent="0.25">
      <c r="A9870" s="11" t="s">
        <v>19634</v>
      </c>
      <c r="B9870" s="11" t="s">
        <v>19634</v>
      </c>
      <c r="C9870" s="11" t="s">
        <v>17</v>
      </c>
      <c r="D9870" s="11" t="s">
        <v>18</v>
      </c>
      <c r="E9870" s="12" t="s">
        <v>568</v>
      </c>
      <c r="F9870" s="12" t="s">
        <v>569</v>
      </c>
      <c r="G9870" s="12" t="s">
        <v>21</v>
      </c>
      <c r="H9870" s="11" t="s">
        <v>22</v>
      </c>
      <c r="I9870" s="13" t="s">
        <v>19635</v>
      </c>
      <c r="J9870" s="14" t="str">
        <f>HYPERLINK("https://www.boe.es/gazeta/dias/1839/10/23/pdfs/GMD-1839-1809.pdf#page=4","Abrir facsímil")</f>
        <v>Abrir facsímil</v>
      </c>
      <c r="K9870" s="12" t="s">
        <v>24</v>
      </c>
    </row>
    <row r="9871" spans="1:11" ht="40.049999999999997" customHeight="1" x14ac:dyDescent="0.25">
      <c r="A9871" s="11" t="s">
        <v>19636</v>
      </c>
      <c r="B9871" s="11" t="s">
        <v>19636</v>
      </c>
      <c r="C9871" s="11" t="s">
        <v>17</v>
      </c>
      <c r="D9871" s="11" t="s">
        <v>18</v>
      </c>
      <c r="E9871" s="12" t="s">
        <v>1179</v>
      </c>
      <c r="F9871" s="12" t="s">
        <v>1180</v>
      </c>
      <c r="G9871" s="12" t="s">
        <v>40</v>
      </c>
      <c r="H9871" s="11" t="s">
        <v>63</v>
      </c>
      <c r="I9871" s="13" t="s">
        <v>19637</v>
      </c>
      <c r="J9871" s="14" t="str">
        <f>HYPERLINK("https://www.boe.es/gazeta/dias/1839/10/18/pdfs/GMD-1839-1804.pdf#page=2","Abrir facsímil")</f>
        <v>Abrir facsímil</v>
      </c>
      <c r="K9871" s="12" t="s">
        <v>65</v>
      </c>
    </row>
    <row r="9872" spans="1:11" ht="40.049999999999997" customHeight="1" x14ac:dyDescent="0.25">
      <c r="A9872" s="11" t="s">
        <v>19638</v>
      </c>
      <c r="B9872" s="11" t="s">
        <v>19639</v>
      </c>
      <c r="C9872" s="11" t="s">
        <v>17</v>
      </c>
      <c r="D9872" s="11" t="s">
        <v>18</v>
      </c>
      <c r="E9872" s="12" t="s">
        <v>1654</v>
      </c>
      <c r="F9872" s="12" t="s">
        <v>1655</v>
      </c>
      <c r="G9872" s="12" t="s">
        <v>21</v>
      </c>
      <c r="H9872" s="11" t="s">
        <v>63</v>
      </c>
      <c r="I9872" s="13" t="s">
        <v>19640</v>
      </c>
      <c r="J9872" s="14" t="str">
        <f>HYPERLINK("https://www.boe.es/gazeta/dias/1839/11/19/pdfs/GMD-1839-1836.pdf#page=4","Abrir facsímil")</f>
        <v>Abrir facsímil</v>
      </c>
      <c r="K9872" s="12" t="s">
        <v>65</v>
      </c>
    </row>
    <row r="9873" spans="1:11" ht="40.049999999999997" customHeight="1" x14ac:dyDescent="0.25">
      <c r="A9873" s="11" t="s">
        <v>19641</v>
      </c>
      <c r="B9873" s="11" t="s">
        <v>19641</v>
      </c>
      <c r="C9873" s="11" t="s">
        <v>17</v>
      </c>
      <c r="D9873" s="11" t="s">
        <v>18</v>
      </c>
      <c r="E9873" s="12" t="s">
        <v>568</v>
      </c>
      <c r="F9873" s="12" t="s">
        <v>569</v>
      </c>
      <c r="G9873" s="12" t="s">
        <v>21</v>
      </c>
      <c r="H9873" s="11" t="s">
        <v>63</v>
      </c>
      <c r="I9873" s="13" t="s">
        <v>19642</v>
      </c>
      <c r="J9873" s="14" t="str">
        <f>HYPERLINK("https://www.boe.es/gazeta/dias/1839/10/23/pdfs/GMD-1839-1809.pdf#page=4","Abrir facsímil")</f>
        <v>Abrir facsímil</v>
      </c>
      <c r="K9873" s="12" t="s">
        <v>65</v>
      </c>
    </row>
    <row r="9874" spans="1:11" ht="40.049999999999997" customHeight="1" x14ac:dyDescent="0.25">
      <c r="A9874" s="11" t="s">
        <v>19643</v>
      </c>
      <c r="B9874" s="11" t="s">
        <v>19644</v>
      </c>
      <c r="C9874" s="11" t="s">
        <v>17</v>
      </c>
      <c r="D9874" s="11" t="s">
        <v>18</v>
      </c>
      <c r="E9874" s="12" t="s">
        <v>2069</v>
      </c>
      <c r="F9874" s="12" t="s">
        <v>2070</v>
      </c>
      <c r="G9874" s="12" t="s">
        <v>305</v>
      </c>
      <c r="H9874" s="11" t="s">
        <v>63</v>
      </c>
      <c r="I9874" s="13" t="s">
        <v>19645</v>
      </c>
      <c r="J9874" s="14" t="str">
        <f>HYPERLINK("https://www.boe.es/gazeta/dias/1839/10/20/pdfs/GMD-1839-1806.pdf#page=6","Abrir facsímil")</f>
        <v>Abrir facsímil</v>
      </c>
      <c r="K9874" s="12" t="s">
        <v>65</v>
      </c>
    </row>
    <row r="9875" spans="1:11" ht="40.049999999999997" customHeight="1" x14ac:dyDescent="0.25">
      <c r="A9875" s="11" t="s">
        <v>19646</v>
      </c>
      <c r="B9875" s="11" t="s">
        <v>19647</v>
      </c>
      <c r="C9875" s="11" t="s">
        <v>59</v>
      </c>
      <c r="D9875" s="11" t="s">
        <v>60</v>
      </c>
      <c r="E9875" s="12" t="s">
        <v>1813</v>
      </c>
      <c r="F9875" s="12" t="s">
        <v>1814</v>
      </c>
      <c r="G9875" s="12" t="s">
        <v>40</v>
      </c>
      <c r="H9875" s="11" t="s">
        <v>63</v>
      </c>
      <c r="I9875" s="13" t="s">
        <v>19648</v>
      </c>
      <c r="J9875" s="14" t="str">
        <f>HYPERLINK("https://www.boe.es/gazeta/dias/1839/09/02/pdfs/GMD-1839-1754.pdf#page=2","Abrir facsímil")</f>
        <v>Abrir facsímil</v>
      </c>
      <c r="K9875" s="12" t="s">
        <v>65</v>
      </c>
    </row>
    <row r="9876" spans="1:11" ht="40.049999999999997" customHeight="1" x14ac:dyDescent="0.25">
      <c r="A9876" s="11" t="s">
        <v>19649</v>
      </c>
      <c r="B9876" s="11" t="s">
        <v>19650</v>
      </c>
      <c r="C9876" s="11" t="s">
        <v>101</v>
      </c>
      <c r="D9876" s="11" t="s">
        <v>43</v>
      </c>
      <c r="E9876" s="12" t="s">
        <v>568</v>
      </c>
      <c r="F9876" s="12" t="s">
        <v>569</v>
      </c>
      <c r="G9876" s="12" t="s">
        <v>46</v>
      </c>
      <c r="H9876" s="11" t="s">
        <v>63</v>
      </c>
      <c r="I9876" s="13" t="s">
        <v>19651</v>
      </c>
      <c r="J9876" s="14" t="str">
        <f>HYPERLINK("https://www.boe.es/gazeta/dias/1839/10/23/pdfs/GMD-1839-1809.pdf#page=3","Abrir facsímil")</f>
        <v>Abrir facsímil</v>
      </c>
      <c r="K9876" s="12" t="s">
        <v>65</v>
      </c>
    </row>
    <row r="9877" spans="1:11" ht="40.049999999999997" customHeight="1" x14ac:dyDescent="0.25">
      <c r="A9877" s="11" t="s">
        <v>19649</v>
      </c>
      <c r="B9877" s="11" t="s">
        <v>19650</v>
      </c>
      <c r="C9877" s="11" t="s">
        <v>101</v>
      </c>
      <c r="D9877" s="11" t="s">
        <v>102</v>
      </c>
      <c r="E9877" s="12" t="s">
        <v>401</v>
      </c>
      <c r="F9877" s="12" t="s">
        <v>402</v>
      </c>
      <c r="G9877" s="12" t="s">
        <v>46</v>
      </c>
      <c r="H9877" s="11" t="s">
        <v>63</v>
      </c>
      <c r="I9877" s="13" t="s">
        <v>19652</v>
      </c>
      <c r="J9877" s="14" t="str">
        <f>HYPERLINK("https://www.boe.es/gazeta/dias/1839/03/29/pdfs/GMD-1839-1595.pdf#page=3","Abrir facsímil")</f>
        <v>Abrir facsímil</v>
      </c>
      <c r="K9877" s="12" t="s">
        <v>65</v>
      </c>
    </row>
    <row r="9878" spans="1:11" ht="40.049999999999997" customHeight="1" x14ac:dyDescent="0.25">
      <c r="A9878" s="11" t="s">
        <v>19653</v>
      </c>
      <c r="B9878" s="11" t="s">
        <v>19654</v>
      </c>
      <c r="C9878" s="11" t="s">
        <v>59</v>
      </c>
      <c r="D9878" s="11" t="s">
        <v>60</v>
      </c>
      <c r="E9878" s="12" t="s">
        <v>141</v>
      </c>
      <c r="F9878" s="12" t="s">
        <v>142</v>
      </c>
      <c r="G9878" s="12" t="s">
        <v>29</v>
      </c>
      <c r="H9878" s="11" t="s">
        <v>63</v>
      </c>
      <c r="I9878" s="13" t="s">
        <v>19655</v>
      </c>
      <c r="J9878" s="14" t="str">
        <f>HYPERLINK("https://www.boe.es/gazeta/dias/1839/11/10/pdfs/GMD-1839-1827.pdf#page=1","Abrir facsímil")</f>
        <v>Abrir facsímil</v>
      </c>
      <c r="K9878" s="12" t="s">
        <v>65</v>
      </c>
    </row>
    <row r="9879" spans="1:11" ht="40.049999999999997" customHeight="1" x14ac:dyDescent="0.25">
      <c r="A9879" s="11" t="s">
        <v>19656</v>
      </c>
      <c r="B9879" s="11" t="s">
        <v>19657</v>
      </c>
      <c r="C9879" s="11" t="s">
        <v>17</v>
      </c>
      <c r="D9879" s="11" t="s">
        <v>18</v>
      </c>
      <c r="E9879" s="12" t="s">
        <v>320</v>
      </c>
      <c r="F9879" s="12" t="s">
        <v>321</v>
      </c>
      <c r="G9879" s="12" t="s">
        <v>21</v>
      </c>
      <c r="H9879" s="11" t="s">
        <v>63</v>
      </c>
      <c r="I9879" s="13" t="s">
        <v>19658</v>
      </c>
      <c r="J9879" s="14" t="str">
        <f>HYPERLINK("https://www.boe.es/gazeta/dias/1839/05/11/pdfs/GMD-1839-1638.pdf#page=4","Abrir facsímil")</f>
        <v>Abrir facsímil</v>
      </c>
      <c r="K9879" s="12" t="s">
        <v>65</v>
      </c>
    </row>
    <row r="9880" spans="1:11" ht="40.049999999999997" customHeight="1" x14ac:dyDescent="0.25">
      <c r="A9880" s="11" t="s">
        <v>19659</v>
      </c>
      <c r="B9880" s="11" t="s">
        <v>19659</v>
      </c>
      <c r="C9880" s="11" t="s">
        <v>59</v>
      </c>
      <c r="D9880" s="11" t="s">
        <v>60</v>
      </c>
      <c r="E9880" s="12" t="s">
        <v>1551</v>
      </c>
      <c r="F9880" s="12" t="s">
        <v>1552</v>
      </c>
      <c r="G9880" s="12" t="s">
        <v>46</v>
      </c>
      <c r="H9880" s="11" t="s">
        <v>63</v>
      </c>
      <c r="I9880" s="13" t="s">
        <v>19660</v>
      </c>
      <c r="J9880" s="14" t="str">
        <f>HYPERLINK("https://www.boe.es/gazeta/dias/1839/06/30/pdfs/GMD-1839-1688.pdf#page=3","Abrir facsímil")</f>
        <v>Abrir facsímil</v>
      </c>
      <c r="K9880" s="12" t="s">
        <v>65</v>
      </c>
    </row>
    <row r="9881" spans="1:11" ht="40.049999999999997" customHeight="1" x14ac:dyDescent="0.25">
      <c r="A9881" s="11" t="s">
        <v>19661</v>
      </c>
      <c r="B9881" s="11" t="s">
        <v>19661</v>
      </c>
      <c r="C9881" s="11" t="s">
        <v>59</v>
      </c>
      <c r="D9881" s="11" t="s">
        <v>60</v>
      </c>
      <c r="E9881" s="12" t="s">
        <v>951</v>
      </c>
      <c r="F9881" s="12" t="s">
        <v>952</v>
      </c>
      <c r="G9881" s="12" t="s">
        <v>40</v>
      </c>
      <c r="H9881" s="11" t="s">
        <v>63</v>
      </c>
      <c r="I9881" s="13" t="s">
        <v>19662</v>
      </c>
      <c r="J9881" s="14" t="str">
        <f>HYPERLINK("https://www.boe.es/gazeta/dias/1839/12/30/pdfs/GMD-1839-1877.pdf#page=2","Abrir facsímil")</f>
        <v>Abrir facsímil</v>
      </c>
      <c r="K9881" s="12" t="s">
        <v>65</v>
      </c>
    </row>
    <row r="9882" spans="1:11" ht="40.049999999999997" customHeight="1" x14ac:dyDescent="0.25">
      <c r="A9882" s="11" t="s">
        <v>19661</v>
      </c>
      <c r="B9882" s="11" t="s">
        <v>19661</v>
      </c>
      <c r="C9882" s="11" t="s">
        <v>137</v>
      </c>
      <c r="D9882" s="11" t="s">
        <v>18</v>
      </c>
      <c r="E9882" s="12" t="s">
        <v>907</v>
      </c>
      <c r="F9882" s="12" t="s">
        <v>908</v>
      </c>
      <c r="G9882" s="12" t="s">
        <v>29</v>
      </c>
      <c r="H9882" s="11" t="s">
        <v>63</v>
      </c>
      <c r="I9882" s="13" t="s">
        <v>19663</v>
      </c>
      <c r="J9882" s="14" t="str">
        <f>HYPERLINK("https://www.boe.es/gazeta/dias/1839/07/31/pdfs/GMD-1839-1720.pdf#page=1","Abrir facsímil")</f>
        <v>Abrir facsímil</v>
      </c>
      <c r="K9882" s="12" t="s">
        <v>65</v>
      </c>
    </row>
    <row r="9883" spans="1:11" ht="40.049999999999997" customHeight="1" x14ac:dyDescent="0.25">
      <c r="A9883" s="11" t="s">
        <v>19664</v>
      </c>
      <c r="B9883" s="11" t="s">
        <v>19665</v>
      </c>
      <c r="C9883" s="11" t="s">
        <v>17</v>
      </c>
      <c r="D9883" s="11" t="s">
        <v>18</v>
      </c>
      <c r="E9883" s="12" t="s">
        <v>254</v>
      </c>
      <c r="F9883" s="12" t="s">
        <v>255</v>
      </c>
      <c r="G9883" s="12" t="s">
        <v>46</v>
      </c>
      <c r="H9883" s="11" t="s">
        <v>63</v>
      </c>
      <c r="I9883" s="13" t="s">
        <v>19666</v>
      </c>
      <c r="J9883" s="14" t="str">
        <f>HYPERLINK("https://www.boe.es/gazeta/dias/1839/09/12/pdfs/GMD-1839-1765.pdf#page=3","Abrir facsímil")</f>
        <v>Abrir facsímil</v>
      </c>
      <c r="K9883" s="12" t="s">
        <v>65</v>
      </c>
    </row>
    <row r="9884" spans="1:11" ht="40.049999999999997" customHeight="1" x14ac:dyDescent="0.25">
      <c r="A9884" s="11" t="s">
        <v>19667</v>
      </c>
      <c r="B9884" s="11" t="s">
        <v>19668</v>
      </c>
      <c r="C9884" s="11" t="s">
        <v>137</v>
      </c>
      <c r="D9884" s="11" t="s">
        <v>18</v>
      </c>
      <c r="E9884" s="12" t="s">
        <v>870</v>
      </c>
      <c r="F9884" s="12" t="s">
        <v>871</v>
      </c>
      <c r="G9884" s="12" t="s">
        <v>21</v>
      </c>
      <c r="H9884" s="11" t="s">
        <v>63</v>
      </c>
      <c r="I9884" s="13" t="s">
        <v>19669</v>
      </c>
      <c r="J9884" s="14" t="str">
        <f>HYPERLINK("https://www.boe.es/gazeta/dias/1839/04/18/pdfs/GMD-1839-1615.pdf#page=4","Abrir facsímil")</f>
        <v>Abrir facsímil</v>
      </c>
      <c r="K9884" s="12" t="s">
        <v>65</v>
      </c>
    </row>
    <row r="9885" spans="1:11" ht="40.049999999999997" customHeight="1" x14ac:dyDescent="0.25">
      <c r="A9885" s="11" t="s">
        <v>19670</v>
      </c>
      <c r="B9885" s="11" t="s">
        <v>19670</v>
      </c>
      <c r="C9885" s="11" t="s">
        <v>17</v>
      </c>
      <c r="D9885" s="11" t="s">
        <v>18</v>
      </c>
      <c r="E9885" s="12" t="s">
        <v>375</v>
      </c>
      <c r="F9885" s="12" t="s">
        <v>376</v>
      </c>
      <c r="G9885" s="12" t="s">
        <v>40</v>
      </c>
      <c r="H9885" s="11" t="s">
        <v>63</v>
      </c>
      <c r="I9885" s="13" t="s">
        <v>19671</v>
      </c>
      <c r="J9885" s="14" t="str">
        <f>HYPERLINK("https://www.boe.es/gazeta/dias/1839/11/25/pdfs/GMD-1839-1842.pdf#page=2","Abrir facsímil")</f>
        <v>Abrir facsímil</v>
      </c>
      <c r="K9885" s="12" t="s">
        <v>65</v>
      </c>
    </row>
    <row r="9886" spans="1:11" ht="40.049999999999997" customHeight="1" x14ac:dyDescent="0.25">
      <c r="A9886" s="11" t="s">
        <v>19672</v>
      </c>
      <c r="B9886" s="11" t="s">
        <v>19673</v>
      </c>
      <c r="C9886" s="11" t="s">
        <v>101</v>
      </c>
      <c r="D9886" s="11" t="s">
        <v>43</v>
      </c>
      <c r="E9886" s="12" t="s">
        <v>236</v>
      </c>
      <c r="F9886" s="12" t="s">
        <v>237</v>
      </c>
      <c r="G9886" s="12" t="s">
        <v>46</v>
      </c>
      <c r="H9886" s="11" t="s">
        <v>63</v>
      </c>
      <c r="I9886" s="13" t="s">
        <v>19674</v>
      </c>
      <c r="J9886" s="14" t="str">
        <f>HYPERLINK("https://www.boe.es/gazeta/dias/1839/09/18/pdfs/GMD-1839-1771.pdf#page=3","Abrir facsímil")</f>
        <v>Abrir facsímil</v>
      </c>
      <c r="K9886" s="12" t="s">
        <v>65</v>
      </c>
    </row>
    <row r="9887" spans="1:11" ht="40.049999999999997" customHeight="1" x14ac:dyDescent="0.25">
      <c r="A9887" s="11" t="s">
        <v>19675</v>
      </c>
      <c r="B9887" s="11" t="s">
        <v>19675</v>
      </c>
      <c r="C9887" s="11" t="s">
        <v>17</v>
      </c>
      <c r="D9887" s="11" t="s">
        <v>18</v>
      </c>
      <c r="E9887" s="12" t="s">
        <v>2482</v>
      </c>
      <c r="F9887" s="12" t="s">
        <v>2483</v>
      </c>
      <c r="G9887" s="12" t="s">
        <v>29</v>
      </c>
      <c r="H9887" s="11" t="s">
        <v>63</v>
      </c>
      <c r="I9887" s="13" t="s">
        <v>19676</v>
      </c>
      <c r="J9887" s="14" t="str">
        <f>HYPERLINK("https://www.boe.es/gazeta/dias/1839/07/07/pdfs/GMD-1839-1695.pdf#page=1","Abrir facsímil")</f>
        <v>Abrir facsímil</v>
      </c>
      <c r="K9887" s="12" t="s">
        <v>65</v>
      </c>
    </row>
    <row r="9888" spans="1:11" ht="40.049999999999997" customHeight="1" x14ac:dyDescent="0.25">
      <c r="A9888" s="11" t="s">
        <v>19677</v>
      </c>
      <c r="B9888" s="11" t="s">
        <v>19677</v>
      </c>
      <c r="C9888" s="11" t="s">
        <v>101</v>
      </c>
      <c r="D9888" s="11" t="s">
        <v>43</v>
      </c>
      <c r="E9888" s="12" t="s">
        <v>327</v>
      </c>
      <c r="F9888" s="12" t="s">
        <v>328</v>
      </c>
      <c r="G9888" s="12" t="s">
        <v>29</v>
      </c>
      <c r="H9888" s="11" t="s">
        <v>63</v>
      </c>
      <c r="I9888" s="13" t="s">
        <v>19678</v>
      </c>
      <c r="J9888" s="14" t="str">
        <f>HYPERLINK("https://www.boe.es/gazeta/dias/1839/08/05/pdfs/GMD-1839-1725.pdf#page=1","Abrir facsímil")</f>
        <v>Abrir facsímil</v>
      </c>
      <c r="K9888" s="12" t="s">
        <v>65</v>
      </c>
    </row>
    <row r="9889" spans="1:11" ht="40.049999999999997" customHeight="1" x14ac:dyDescent="0.25">
      <c r="A9889" s="11" t="s">
        <v>19677</v>
      </c>
      <c r="B9889" s="11" t="s">
        <v>19677</v>
      </c>
      <c r="C9889" s="11" t="s">
        <v>17</v>
      </c>
      <c r="D9889" s="11" t="s">
        <v>18</v>
      </c>
      <c r="E9889" s="12" t="s">
        <v>2482</v>
      </c>
      <c r="F9889" s="12" t="s">
        <v>2483</v>
      </c>
      <c r="G9889" s="12" t="s">
        <v>29</v>
      </c>
      <c r="H9889" s="11" t="s">
        <v>63</v>
      </c>
      <c r="I9889" s="13" t="s">
        <v>19679</v>
      </c>
      <c r="J9889" s="14" t="str">
        <f>HYPERLINK("https://www.boe.es/gazeta/dias/1839/07/07/pdfs/GMD-1839-1695.pdf#page=1","Abrir facsímil")</f>
        <v>Abrir facsímil</v>
      </c>
      <c r="K9889" s="12" t="s">
        <v>65</v>
      </c>
    </row>
    <row r="9890" spans="1:11" ht="40.049999999999997" customHeight="1" x14ac:dyDescent="0.25">
      <c r="A9890" s="11" t="s">
        <v>19677</v>
      </c>
      <c r="B9890" s="11" t="s">
        <v>19677</v>
      </c>
      <c r="C9890" s="11" t="s">
        <v>17</v>
      </c>
      <c r="D9890" s="11" t="s">
        <v>18</v>
      </c>
      <c r="E9890" s="12" t="s">
        <v>3766</v>
      </c>
      <c r="F9890" s="12" t="s">
        <v>3767</v>
      </c>
      <c r="G9890" s="12" t="s">
        <v>40</v>
      </c>
      <c r="H9890" s="11" t="s">
        <v>63</v>
      </c>
      <c r="I9890" s="13" t="s">
        <v>19680</v>
      </c>
      <c r="J9890" s="14" t="str">
        <f>HYPERLINK("https://www.boe.es/gazeta/dias/1839/06/10/pdfs/GMD-1839-1668.pdf#page=2","Abrir facsímil")</f>
        <v>Abrir facsímil</v>
      </c>
      <c r="K9890" s="12" t="s">
        <v>65</v>
      </c>
    </row>
    <row r="9891" spans="1:11" ht="40.049999999999997" customHeight="1" x14ac:dyDescent="0.25">
      <c r="A9891" s="11" t="s">
        <v>19677</v>
      </c>
      <c r="B9891" s="11" t="s">
        <v>19677</v>
      </c>
      <c r="C9891" s="11" t="s">
        <v>59</v>
      </c>
      <c r="D9891" s="11" t="s">
        <v>60</v>
      </c>
      <c r="E9891" s="12" t="s">
        <v>426</v>
      </c>
      <c r="F9891" s="12" t="s">
        <v>427</v>
      </c>
      <c r="G9891" s="12" t="s">
        <v>29</v>
      </c>
      <c r="H9891" s="11" t="s">
        <v>63</v>
      </c>
      <c r="I9891" s="13" t="s">
        <v>19681</v>
      </c>
      <c r="J9891" s="14" t="str">
        <f>HYPERLINK("https://www.boe.es/gazeta/dias/1839/08/11/pdfs/GMD-1839-1731.pdf#page=1","Abrir facsímil")</f>
        <v>Abrir facsímil</v>
      </c>
      <c r="K9891" s="12" t="s">
        <v>65</v>
      </c>
    </row>
    <row r="9892" spans="1:11" ht="40.049999999999997" customHeight="1" x14ac:dyDescent="0.25">
      <c r="A9892" s="11" t="s">
        <v>19677</v>
      </c>
      <c r="B9892" s="11" t="s">
        <v>19677</v>
      </c>
      <c r="C9892" s="11" t="s">
        <v>59</v>
      </c>
      <c r="D9892" s="11" t="s">
        <v>60</v>
      </c>
      <c r="E9892" s="12" t="s">
        <v>426</v>
      </c>
      <c r="F9892" s="12" t="s">
        <v>427</v>
      </c>
      <c r="G9892" s="12" t="s">
        <v>40</v>
      </c>
      <c r="H9892" s="11" t="s">
        <v>63</v>
      </c>
      <c r="I9892" s="13" t="s">
        <v>19682</v>
      </c>
      <c r="J9892" s="14" t="str">
        <f>HYPERLINK("https://www.boe.es/gazeta/dias/1839/08/11/pdfs/GMD-1839-1731.pdf#page=2","Abrir facsímil")</f>
        <v>Abrir facsímil</v>
      </c>
      <c r="K9892" s="12" t="s">
        <v>65</v>
      </c>
    </row>
    <row r="9893" spans="1:11" ht="40.049999999999997" customHeight="1" x14ac:dyDescent="0.25">
      <c r="A9893" s="11" t="s">
        <v>19677</v>
      </c>
      <c r="B9893" s="11" t="s">
        <v>19677</v>
      </c>
      <c r="C9893" s="11" t="s">
        <v>17</v>
      </c>
      <c r="D9893" s="11" t="s">
        <v>18</v>
      </c>
      <c r="E9893" s="12" t="s">
        <v>834</v>
      </c>
      <c r="F9893" s="12" t="s">
        <v>835</v>
      </c>
      <c r="G9893" s="12" t="s">
        <v>46</v>
      </c>
      <c r="H9893" s="11" t="s">
        <v>63</v>
      </c>
      <c r="I9893" s="13" t="s">
        <v>19683</v>
      </c>
      <c r="J9893" s="14" t="str">
        <f>HYPERLINK("https://www.boe.es/gazeta/dias/1839/08/17/pdfs/GMD-1839-1737.pdf#page=3","Abrir facsímil")</f>
        <v>Abrir facsímil</v>
      </c>
      <c r="K9893" s="12" t="s">
        <v>65</v>
      </c>
    </row>
    <row r="9894" spans="1:11" ht="40.049999999999997" customHeight="1" x14ac:dyDescent="0.25">
      <c r="A9894" s="11" t="s">
        <v>19677</v>
      </c>
      <c r="B9894" s="11" t="s">
        <v>19677</v>
      </c>
      <c r="C9894" s="11" t="s">
        <v>101</v>
      </c>
      <c r="D9894" s="11" t="s">
        <v>43</v>
      </c>
      <c r="E9894" s="12" t="s">
        <v>1374</v>
      </c>
      <c r="F9894" s="12" t="s">
        <v>1375</v>
      </c>
      <c r="G9894" s="12" t="s">
        <v>40</v>
      </c>
      <c r="H9894" s="11" t="s">
        <v>63</v>
      </c>
      <c r="I9894" s="13" t="s">
        <v>19684</v>
      </c>
      <c r="J9894" s="14" t="str">
        <f>HYPERLINK("https://www.boe.es/gazeta/dias/1839/07/20/pdfs/GMD-1839-1708.pdf#page=2","Abrir facsímil")</f>
        <v>Abrir facsímil</v>
      </c>
      <c r="K9894" s="12" t="s">
        <v>65</v>
      </c>
    </row>
    <row r="9895" spans="1:11" ht="40.049999999999997" customHeight="1" x14ac:dyDescent="0.25">
      <c r="A9895" s="11" t="s">
        <v>19677</v>
      </c>
      <c r="B9895" s="11" t="s">
        <v>19677</v>
      </c>
      <c r="C9895" s="11" t="s">
        <v>59</v>
      </c>
      <c r="D9895" s="11" t="s">
        <v>60</v>
      </c>
      <c r="E9895" s="12" t="s">
        <v>664</v>
      </c>
      <c r="F9895" s="12" t="s">
        <v>665</v>
      </c>
      <c r="G9895" s="12" t="s">
        <v>46</v>
      </c>
      <c r="H9895" s="11" t="s">
        <v>63</v>
      </c>
      <c r="I9895" s="13" t="s">
        <v>19685</v>
      </c>
      <c r="J9895" s="14" t="str">
        <f>HYPERLINK("https://www.boe.es/gazeta/dias/1839/01/24/pdfs/GMD-1839-1531.pdf#page=3","Abrir facsímil")</f>
        <v>Abrir facsímil</v>
      </c>
      <c r="K9895" s="12" t="s">
        <v>65</v>
      </c>
    </row>
    <row r="9896" spans="1:11" ht="40.049999999999997" customHeight="1" x14ac:dyDescent="0.25">
      <c r="A9896" s="11" t="s">
        <v>19677</v>
      </c>
      <c r="B9896" s="11" t="s">
        <v>19677</v>
      </c>
      <c r="C9896" s="11" t="s">
        <v>17</v>
      </c>
      <c r="D9896" s="11" t="s">
        <v>18</v>
      </c>
      <c r="E9896" s="12" t="s">
        <v>638</v>
      </c>
      <c r="F9896" s="12" t="s">
        <v>639</v>
      </c>
      <c r="G9896" s="12" t="s">
        <v>29</v>
      </c>
      <c r="H9896" s="11" t="s">
        <v>63</v>
      </c>
      <c r="I9896" s="13" t="s">
        <v>19686</v>
      </c>
      <c r="J9896" s="14" t="str">
        <f>HYPERLINK("https://www.boe.es/gazeta/dias/1839/08/26/pdfs/GMD-1839-1747.pdf#page=1","Abrir facsímil")</f>
        <v>Abrir facsímil</v>
      </c>
      <c r="K9896" s="12" t="s">
        <v>65</v>
      </c>
    </row>
    <row r="9897" spans="1:11" ht="40.049999999999997" customHeight="1" x14ac:dyDescent="0.25">
      <c r="A9897" s="11" t="s">
        <v>19677</v>
      </c>
      <c r="B9897" s="11" t="s">
        <v>19677</v>
      </c>
      <c r="C9897" s="11" t="s">
        <v>137</v>
      </c>
      <c r="D9897" s="11" t="s">
        <v>18</v>
      </c>
      <c r="E9897" s="12" t="s">
        <v>716</v>
      </c>
      <c r="F9897" s="12" t="s">
        <v>717</v>
      </c>
      <c r="G9897" s="12" t="s">
        <v>40</v>
      </c>
      <c r="H9897" s="11" t="s">
        <v>63</v>
      </c>
      <c r="I9897" s="13" t="s">
        <v>19687</v>
      </c>
      <c r="J9897" s="14" t="str">
        <f>HYPERLINK("https://www.boe.es/gazeta/dias/1839/07/30/pdfs/GMD-1839-1719.pdf#page=2","Abrir facsímil")</f>
        <v>Abrir facsímil</v>
      </c>
      <c r="K9897" s="12" t="s">
        <v>65</v>
      </c>
    </row>
    <row r="9898" spans="1:11" ht="40.049999999999997" customHeight="1" x14ac:dyDescent="0.25">
      <c r="A9898" s="11" t="s">
        <v>19688</v>
      </c>
      <c r="B9898" s="11" t="s">
        <v>19688</v>
      </c>
      <c r="C9898" s="11" t="s">
        <v>17</v>
      </c>
      <c r="D9898" s="11" t="s">
        <v>18</v>
      </c>
      <c r="E9898" s="12" t="s">
        <v>336</v>
      </c>
      <c r="F9898" s="12" t="s">
        <v>337</v>
      </c>
      <c r="G9898" s="12" t="s">
        <v>40</v>
      </c>
      <c r="H9898" s="11" t="s">
        <v>63</v>
      </c>
      <c r="I9898" s="13" t="s">
        <v>19689</v>
      </c>
      <c r="J9898" s="14" t="str">
        <f>HYPERLINK("https://www.boe.es/gazeta/dias/1839/07/14/pdfs/GMD-1839-1702.pdf#page=2","Abrir facsímil")</f>
        <v>Abrir facsímil</v>
      </c>
      <c r="K9898" s="12" t="s">
        <v>65</v>
      </c>
    </row>
    <row r="9899" spans="1:11" ht="40.049999999999997" customHeight="1" x14ac:dyDescent="0.25">
      <c r="A9899" s="11" t="s">
        <v>19690</v>
      </c>
      <c r="B9899" s="11" t="s">
        <v>19690</v>
      </c>
      <c r="C9899" s="11" t="s">
        <v>17</v>
      </c>
      <c r="D9899" s="11" t="s">
        <v>18</v>
      </c>
      <c r="E9899" s="12" t="s">
        <v>3766</v>
      </c>
      <c r="F9899" s="12" t="s">
        <v>3767</v>
      </c>
      <c r="G9899" s="12" t="s">
        <v>46</v>
      </c>
      <c r="H9899" s="11" t="s">
        <v>63</v>
      </c>
      <c r="I9899" s="13" t="s">
        <v>19691</v>
      </c>
      <c r="J9899" s="14" t="str">
        <f>HYPERLINK("https://www.boe.es/gazeta/dias/1839/06/10/pdfs/GMD-1839-1668.pdf#page=3","Abrir facsímil")</f>
        <v>Abrir facsímil</v>
      </c>
      <c r="K9899" s="12" t="s">
        <v>65</v>
      </c>
    </row>
    <row r="9900" spans="1:11" ht="40.049999999999997" customHeight="1" x14ac:dyDescent="0.25">
      <c r="A9900" s="11" t="s">
        <v>19692</v>
      </c>
      <c r="B9900" s="11" t="s">
        <v>19692</v>
      </c>
      <c r="C9900" s="11" t="s">
        <v>80</v>
      </c>
      <c r="D9900" s="11" t="s">
        <v>18</v>
      </c>
      <c r="E9900" s="12" t="s">
        <v>1123</v>
      </c>
      <c r="F9900" s="12" t="s">
        <v>1124</v>
      </c>
      <c r="G9900" s="12" t="s">
        <v>46</v>
      </c>
      <c r="H9900" s="11" t="s">
        <v>63</v>
      </c>
      <c r="I9900" s="13" t="s">
        <v>19693</v>
      </c>
      <c r="J9900" s="14" t="str">
        <f>HYPERLINK("https://www.boe.es/gazeta/dias/1839/08/10/pdfs/GMD-1839-1730.pdf#page=3","Abrir facsímil")</f>
        <v>Abrir facsímil</v>
      </c>
      <c r="K9900" s="12" t="s">
        <v>65</v>
      </c>
    </row>
    <row r="9901" spans="1:11" ht="40.049999999999997" customHeight="1" x14ac:dyDescent="0.25">
      <c r="A9901" s="11" t="s">
        <v>19694</v>
      </c>
      <c r="B9901" s="11" t="s">
        <v>19694</v>
      </c>
      <c r="C9901" s="11" t="s">
        <v>17</v>
      </c>
      <c r="D9901" s="11" t="s">
        <v>18</v>
      </c>
      <c r="E9901" s="12" t="s">
        <v>2227</v>
      </c>
      <c r="F9901" s="12" t="s">
        <v>2228</v>
      </c>
      <c r="G9901" s="12" t="s">
        <v>21</v>
      </c>
      <c r="H9901" s="11" t="s">
        <v>63</v>
      </c>
      <c r="I9901" s="13" t="s">
        <v>19695</v>
      </c>
      <c r="J9901" s="14" t="str">
        <f>HYPERLINK("https://www.boe.es/gazeta/dias/1839/12/04/pdfs/GMD-1839-1851.pdf#page=4","Abrir facsímil")</f>
        <v>Abrir facsímil</v>
      </c>
      <c r="K9901" s="12" t="s">
        <v>65</v>
      </c>
    </row>
    <row r="9902" spans="1:11" ht="40.049999999999997" customHeight="1" x14ac:dyDescent="0.25">
      <c r="A9902" s="11" t="s">
        <v>19694</v>
      </c>
      <c r="B9902" s="11" t="s">
        <v>19694</v>
      </c>
      <c r="C9902" s="11" t="s">
        <v>17</v>
      </c>
      <c r="D9902" s="11" t="s">
        <v>18</v>
      </c>
      <c r="E9902" s="12" t="s">
        <v>959</v>
      </c>
      <c r="F9902" s="12" t="s">
        <v>960</v>
      </c>
      <c r="G9902" s="12" t="s">
        <v>21</v>
      </c>
      <c r="H9902" s="11" t="s">
        <v>63</v>
      </c>
      <c r="I9902" s="13" t="s">
        <v>19696</v>
      </c>
      <c r="J9902" s="14" t="str">
        <f>HYPERLINK("https://www.boe.es/gazeta/dias/1839/12/06/pdfs/GMD-1839-1853.pdf#page=4","Abrir facsímil")</f>
        <v>Abrir facsímil</v>
      </c>
      <c r="K9902" s="12" t="s">
        <v>65</v>
      </c>
    </row>
    <row r="9903" spans="1:11" ht="40.049999999999997" customHeight="1" x14ac:dyDescent="0.25">
      <c r="A9903" s="11" t="s">
        <v>19694</v>
      </c>
      <c r="B9903" s="11" t="s">
        <v>19694</v>
      </c>
      <c r="C9903" s="11" t="s">
        <v>101</v>
      </c>
      <c r="D9903" s="11" t="s">
        <v>102</v>
      </c>
      <c r="E9903" s="12" t="s">
        <v>4055</v>
      </c>
      <c r="F9903" s="12" t="s">
        <v>4056</v>
      </c>
      <c r="G9903" s="12" t="s">
        <v>21</v>
      </c>
      <c r="H9903" s="11" t="s">
        <v>63</v>
      </c>
      <c r="I9903" s="13" t="s">
        <v>19697</v>
      </c>
      <c r="J9903" s="14" t="str">
        <f>HYPERLINK("https://www.boe.es/gazeta/dias/1839/03/07/pdfs/GMD-1839-1573.pdf#page=4","Abrir facsímil")</f>
        <v>Abrir facsímil</v>
      </c>
      <c r="K9903" s="12" t="s">
        <v>65</v>
      </c>
    </row>
    <row r="9904" spans="1:11" ht="40.049999999999997" customHeight="1" x14ac:dyDescent="0.25">
      <c r="A9904" s="11" t="s">
        <v>19694</v>
      </c>
      <c r="B9904" s="11" t="s">
        <v>19694</v>
      </c>
      <c r="C9904" s="11" t="s">
        <v>17</v>
      </c>
      <c r="D9904" s="11" t="s">
        <v>18</v>
      </c>
      <c r="E9904" s="12" t="s">
        <v>713</v>
      </c>
      <c r="F9904" s="12" t="s">
        <v>714</v>
      </c>
      <c r="G9904" s="12" t="s">
        <v>46</v>
      </c>
      <c r="H9904" s="11" t="s">
        <v>63</v>
      </c>
      <c r="I9904" s="13" t="s">
        <v>19698</v>
      </c>
      <c r="J9904" s="14" t="str">
        <f>HYPERLINK("https://www.boe.es/gazeta/dias/1839/12/18/pdfs/GMD-1839-1865.pdf#page=3","Abrir facsímil")</f>
        <v>Abrir facsímil</v>
      </c>
      <c r="K9904" s="12" t="s">
        <v>65</v>
      </c>
    </row>
    <row r="9905" spans="1:11" ht="40.049999999999997" customHeight="1" x14ac:dyDescent="0.25">
      <c r="A9905" s="11" t="s">
        <v>19699</v>
      </c>
      <c r="B9905" s="11" t="s">
        <v>19700</v>
      </c>
      <c r="C9905" s="11" t="s">
        <v>101</v>
      </c>
      <c r="D9905" s="11" t="s">
        <v>102</v>
      </c>
      <c r="E9905" s="12" t="s">
        <v>2522</v>
      </c>
      <c r="F9905" s="12" t="s">
        <v>2523</v>
      </c>
      <c r="G9905" s="12" t="s">
        <v>40</v>
      </c>
      <c r="H9905" s="11" t="s">
        <v>63</v>
      </c>
      <c r="I9905" s="13" t="s">
        <v>19701</v>
      </c>
      <c r="J9905" s="14" t="str">
        <f>HYPERLINK("https://www.boe.es/gazeta/dias/1839/12/29/pdfs/GMD-1839-1876.pdf#page=2","Abrir facsímil")</f>
        <v>Abrir facsímil</v>
      </c>
      <c r="K9905" s="12" t="s">
        <v>65</v>
      </c>
    </row>
    <row r="9906" spans="1:11" ht="40.049999999999997" customHeight="1" x14ac:dyDescent="0.25">
      <c r="A9906" s="11" t="s">
        <v>19702</v>
      </c>
      <c r="B9906" s="11" t="s">
        <v>19702</v>
      </c>
      <c r="C9906" s="11" t="s">
        <v>17</v>
      </c>
      <c r="D9906" s="11" t="s">
        <v>18</v>
      </c>
      <c r="E9906" s="12" t="s">
        <v>770</v>
      </c>
      <c r="F9906" s="12" t="s">
        <v>771</v>
      </c>
      <c r="G9906" s="12" t="s">
        <v>21</v>
      </c>
      <c r="H9906" s="11" t="s">
        <v>63</v>
      </c>
      <c r="I9906" s="13" t="s">
        <v>19703</v>
      </c>
      <c r="J9906" s="14" t="str">
        <f>HYPERLINK("https://www.boe.es/gazeta/dias/1839/12/05/pdfs/GMD-1839-1852.pdf#page=4","Abrir facsímil")</f>
        <v>Abrir facsímil</v>
      </c>
      <c r="K9906" s="12" t="s">
        <v>65</v>
      </c>
    </row>
    <row r="9907" spans="1:11" ht="40.049999999999997" customHeight="1" x14ac:dyDescent="0.25">
      <c r="A9907" s="11" t="s">
        <v>19702</v>
      </c>
      <c r="B9907" s="11" t="s">
        <v>19702</v>
      </c>
      <c r="C9907" s="11" t="s">
        <v>17</v>
      </c>
      <c r="D9907" s="11" t="s">
        <v>18</v>
      </c>
      <c r="E9907" s="12" t="s">
        <v>141</v>
      </c>
      <c r="F9907" s="12" t="s">
        <v>142</v>
      </c>
      <c r="G9907" s="12" t="s">
        <v>46</v>
      </c>
      <c r="H9907" s="11" t="s">
        <v>63</v>
      </c>
      <c r="I9907" s="13" t="s">
        <v>19704</v>
      </c>
      <c r="J9907" s="14" t="str">
        <f>HYPERLINK("https://www.boe.es/gazeta/dias/1839/11/10/pdfs/GMD-1839-1827.pdf#page=3","Abrir facsímil")</f>
        <v>Abrir facsímil</v>
      </c>
      <c r="K9907" s="12" t="s">
        <v>65</v>
      </c>
    </row>
    <row r="9908" spans="1:11" ht="40.049999999999997" customHeight="1" x14ac:dyDescent="0.25">
      <c r="A9908" s="11" t="s">
        <v>19705</v>
      </c>
      <c r="B9908" s="11" t="s">
        <v>19705</v>
      </c>
      <c r="C9908" s="11" t="s">
        <v>59</v>
      </c>
      <c r="D9908" s="11" t="s">
        <v>60</v>
      </c>
      <c r="E9908" s="12" t="s">
        <v>2829</v>
      </c>
      <c r="F9908" s="12" t="s">
        <v>2830</v>
      </c>
      <c r="G9908" s="12" t="s">
        <v>46</v>
      </c>
      <c r="H9908" s="11" t="s">
        <v>63</v>
      </c>
      <c r="I9908" s="13" t="s">
        <v>19706</v>
      </c>
      <c r="J9908" s="14" t="str">
        <f>HYPERLINK("https://www.boe.es/gazeta/dias/1839/07/01/pdfs/GMD-1839-1689.pdf#page=3","Abrir facsímil")</f>
        <v>Abrir facsímil</v>
      </c>
      <c r="K9908" s="12" t="s">
        <v>65</v>
      </c>
    </row>
    <row r="9909" spans="1:11" ht="40.049999999999997" customHeight="1" x14ac:dyDescent="0.25">
      <c r="A9909" s="11" t="s">
        <v>19707</v>
      </c>
      <c r="B9909" s="11" t="s">
        <v>19708</v>
      </c>
      <c r="C9909" s="11" t="s">
        <v>59</v>
      </c>
      <c r="D9909" s="11" t="s">
        <v>60</v>
      </c>
      <c r="E9909" s="12" t="s">
        <v>2210</v>
      </c>
      <c r="F9909" s="12" t="s">
        <v>2211</v>
      </c>
      <c r="G9909" s="12" t="s">
        <v>29</v>
      </c>
      <c r="H9909" s="11" t="s">
        <v>63</v>
      </c>
      <c r="I9909" s="13" t="s">
        <v>19709</v>
      </c>
      <c r="J9909" s="14" t="str">
        <f>HYPERLINK("https://www.boe.es/gazeta/dias/1839/09/05/pdfs/GMD-1839-1758.pdf#page=1","Abrir facsímil")</f>
        <v>Abrir facsímil</v>
      </c>
      <c r="K9909" s="12" t="s">
        <v>65</v>
      </c>
    </row>
    <row r="9910" spans="1:11" ht="40.049999999999997" customHeight="1" x14ac:dyDescent="0.25">
      <c r="A9910" s="11" t="s">
        <v>19710</v>
      </c>
      <c r="B9910" s="11" t="s">
        <v>19711</v>
      </c>
      <c r="C9910" s="11" t="s">
        <v>17</v>
      </c>
      <c r="D9910" s="11" t="s">
        <v>18</v>
      </c>
      <c r="E9910" s="12" t="s">
        <v>516</v>
      </c>
      <c r="F9910" s="12" t="s">
        <v>517</v>
      </c>
      <c r="G9910" s="12" t="s">
        <v>29</v>
      </c>
      <c r="H9910" s="11" t="s">
        <v>63</v>
      </c>
      <c r="I9910" s="13" t="s">
        <v>19712</v>
      </c>
      <c r="J9910" s="14" t="str">
        <f>HYPERLINK("https://www.boe.es/gazeta/dias/1839/06/21/pdfs/GMD-1839-1679.pdf#page=1","Abrir facsímil")</f>
        <v>Abrir facsímil</v>
      </c>
      <c r="K9910" s="12" t="s">
        <v>65</v>
      </c>
    </row>
    <row r="9911" spans="1:11" ht="40.049999999999997" customHeight="1" x14ac:dyDescent="0.25">
      <c r="A9911" s="11" t="s">
        <v>19713</v>
      </c>
      <c r="B9911" s="11" t="s">
        <v>19714</v>
      </c>
      <c r="C9911" s="11" t="s">
        <v>17</v>
      </c>
      <c r="D9911" s="11" t="s">
        <v>18</v>
      </c>
      <c r="E9911" s="12" t="s">
        <v>1562</v>
      </c>
      <c r="F9911" s="12" t="s">
        <v>1563</v>
      </c>
      <c r="G9911" s="12" t="s">
        <v>29</v>
      </c>
      <c r="H9911" s="11" t="s">
        <v>63</v>
      </c>
      <c r="I9911" s="13" t="s">
        <v>19715</v>
      </c>
      <c r="J9911" s="14" t="str">
        <f>HYPERLINK("https://www.boe.es/gazeta/dias/1839/04/08/pdfs/GMD-1839-1605.pdf#page=1","Abrir facsímil")</f>
        <v>Abrir facsímil</v>
      </c>
      <c r="K9911" s="12" t="s">
        <v>65</v>
      </c>
    </row>
    <row r="9912" spans="1:11" ht="40.049999999999997" customHeight="1" x14ac:dyDescent="0.25">
      <c r="A9912" s="11" t="s">
        <v>19716</v>
      </c>
      <c r="B9912" s="11" t="s">
        <v>19716</v>
      </c>
      <c r="C9912" s="11" t="s">
        <v>59</v>
      </c>
      <c r="D9912" s="11" t="s">
        <v>60</v>
      </c>
      <c r="E9912" s="12" t="s">
        <v>744</v>
      </c>
      <c r="F9912" s="12" t="s">
        <v>745</v>
      </c>
      <c r="G9912" s="12" t="s">
        <v>29</v>
      </c>
      <c r="H9912" s="11" t="s">
        <v>63</v>
      </c>
      <c r="I9912" s="13" t="s">
        <v>19717</v>
      </c>
      <c r="J9912" s="14" t="str">
        <f>HYPERLINK("https://www.boe.es/gazeta/dias/1839/12/09/pdfs/GMD-1839-1856.pdf#page=1","Abrir facsímil")</f>
        <v>Abrir facsímil</v>
      </c>
      <c r="K9912" s="12" t="s">
        <v>65</v>
      </c>
    </row>
    <row r="9913" spans="1:11" ht="40.049999999999997" customHeight="1" x14ac:dyDescent="0.25">
      <c r="A9913" s="11" t="s">
        <v>19718</v>
      </c>
      <c r="B9913" s="11" t="s">
        <v>19719</v>
      </c>
      <c r="C9913" s="11" t="s">
        <v>80</v>
      </c>
      <c r="D9913" s="11" t="s">
        <v>18</v>
      </c>
      <c r="E9913" s="12" t="s">
        <v>522</v>
      </c>
      <c r="F9913" s="12" t="s">
        <v>523</v>
      </c>
      <c r="G9913" s="12" t="s">
        <v>40</v>
      </c>
      <c r="H9913" s="11" t="s">
        <v>63</v>
      </c>
      <c r="I9913" s="13" t="s">
        <v>19720</v>
      </c>
      <c r="J9913" s="14" t="str">
        <f>HYPERLINK("https://www.boe.es/gazeta/dias/1839/08/27/pdfs/GMD-1839-1748.pdf#page=2","Abrir facsímil")</f>
        <v>Abrir facsímil</v>
      </c>
      <c r="K9913" s="12" t="s">
        <v>65</v>
      </c>
    </row>
    <row r="9914" spans="1:11" ht="40.049999999999997" customHeight="1" x14ac:dyDescent="0.25">
      <c r="A9914" s="11" t="s">
        <v>19721</v>
      </c>
      <c r="B9914" s="11" t="s">
        <v>19721</v>
      </c>
      <c r="C9914" s="11" t="s">
        <v>17</v>
      </c>
      <c r="D9914" s="11" t="s">
        <v>18</v>
      </c>
      <c r="E9914" s="12" t="s">
        <v>2738</v>
      </c>
      <c r="F9914" s="12" t="s">
        <v>2739</v>
      </c>
      <c r="G9914" s="12" t="s">
        <v>40</v>
      </c>
      <c r="H9914" s="11" t="s">
        <v>63</v>
      </c>
      <c r="I9914" s="13" t="s">
        <v>19722</v>
      </c>
      <c r="J9914" s="14" t="str">
        <f>HYPERLINK("https://www.boe.es/gazeta/dias/1839/09/06/pdfs/GMD-1839-1759.pdf#page=2","Abrir facsímil")</f>
        <v>Abrir facsímil</v>
      </c>
      <c r="K9914" s="12" t="s">
        <v>65</v>
      </c>
    </row>
    <row r="9915" spans="1:11" ht="40.049999999999997" customHeight="1" x14ac:dyDescent="0.25">
      <c r="A9915" s="11" t="s">
        <v>19721</v>
      </c>
      <c r="B9915" s="11" t="s">
        <v>19721</v>
      </c>
      <c r="C9915" s="11" t="s">
        <v>17</v>
      </c>
      <c r="D9915" s="11" t="s">
        <v>18</v>
      </c>
      <c r="E9915" s="12" t="s">
        <v>2222</v>
      </c>
      <c r="F9915" s="12" t="s">
        <v>2223</v>
      </c>
      <c r="G9915" s="12" t="s">
        <v>40</v>
      </c>
      <c r="H9915" s="11" t="s">
        <v>63</v>
      </c>
      <c r="I9915" s="13" t="s">
        <v>19723</v>
      </c>
      <c r="J9915" s="14" t="str">
        <f>HYPERLINK("https://www.boe.es/gazeta/dias/1839/09/19/pdfs/GMD-1839-1773.pdf#page=2","Abrir facsímil")</f>
        <v>Abrir facsímil</v>
      </c>
      <c r="K9915" s="12" t="s">
        <v>65</v>
      </c>
    </row>
    <row r="9916" spans="1:11" ht="40.049999999999997" customHeight="1" x14ac:dyDescent="0.25">
      <c r="A9916" s="11" t="s">
        <v>19724</v>
      </c>
      <c r="B9916" s="11" t="s">
        <v>19724</v>
      </c>
      <c r="C9916" s="11" t="s">
        <v>17</v>
      </c>
      <c r="D9916" s="11" t="s">
        <v>18</v>
      </c>
      <c r="E9916" s="12" t="s">
        <v>2069</v>
      </c>
      <c r="F9916" s="12" t="s">
        <v>2070</v>
      </c>
      <c r="G9916" s="12" t="s">
        <v>21</v>
      </c>
      <c r="H9916" s="11" t="s">
        <v>22</v>
      </c>
      <c r="I9916" s="13" t="s">
        <v>19725</v>
      </c>
      <c r="J9916" s="14" t="str">
        <f>HYPERLINK("https://www.boe.es/gazeta/dias/1839/10/20/pdfs/GMD-1839-1806.pdf#page=4","Abrir facsímil")</f>
        <v>Abrir facsímil</v>
      </c>
      <c r="K9916" s="12" t="s">
        <v>24</v>
      </c>
    </row>
    <row r="9917" spans="1:11" ht="40.049999999999997" customHeight="1" x14ac:dyDescent="0.25">
      <c r="A9917" s="11" t="s">
        <v>19724</v>
      </c>
      <c r="B9917" s="11" t="s">
        <v>19724</v>
      </c>
      <c r="C9917" s="11" t="s">
        <v>101</v>
      </c>
      <c r="D9917" s="11" t="s">
        <v>43</v>
      </c>
      <c r="E9917" s="12" t="s">
        <v>2069</v>
      </c>
      <c r="F9917" s="12" t="s">
        <v>2070</v>
      </c>
      <c r="G9917" s="12" t="s">
        <v>566</v>
      </c>
      <c r="H9917" s="11" t="s">
        <v>22</v>
      </c>
      <c r="I9917" s="13" t="s">
        <v>19726</v>
      </c>
      <c r="J9917" s="14" t="str">
        <f>HYPERLINK("https://www.boe.es/gazeta/dias/1839/10/20/pdfs/GMD-1839-1806.pdf#page=5","Abrir facsímil")</f>
        <v>Abrir facsímil</v>
      </c>
      <c r="K9917" s="12" t="s">
        <v>24</v>
      </c>
    </row>
    <row r="9918" spans="1:11" ht="40.049999999999997" customHeight="1" x14ac:dyDescent="0.25">
      <c r="A9918" s="11" t="s">
        <v>19724</v>
      </c>
      <c r="B9918" s="11" t="s">
        <v>19724</v>
      </c>
      <c r="C9918" s="11" t="s">
        <v>17</v>
      </c>
      <c r="D9918" s="11" t="s">
        <v>18</v>
      </c>
      <c r="E9918" s="12" t="s">
        <v>596</v>
      </c>
      <c r="F9918" s="12" t="s">
        <v>597</v>
      </c>
      <c r="G9918" s="12" t="s">
        <v>21</v>
      </c>
      <c r="H9918" s="11" t="s">
        <v>22</v>
      </c>
      <c r="I9918" s="13" t="s">
        <v>19727</v>
      </c>
      <c r="J9918" s="14" t="str">
        <f>HYPERLINK("https://www.boe.es/gazeta/dias/1839/01/23/pdfs/GMD-1839-1530.pdf#page=4","Abrir facsímil")</f>
        <v>Abrir facsímil</v>
      </c>
      <c r="K9918" s="12" t="s">
        <v>24</v>
      </c>
    </row>
    <row r="9919" spans="1:11" ht="40.049999999999997" customHeight="1" x14ac:dyDescent="0.25">
      <c r="A9919" s="11" t="s">
        <v>19721</v>
      </c>
      <c r="B9919" s="11" t="s">
        <v>19721</v>
      </c>
      <c r="C9919" s="11" t="s">
        <v>101</v>
      </c>
      <c r="D9919" s="11" t="s">
        <v>102</v>
      </c>
      <c r="E9919" s="12" t="s">
        <v>568</v>
      </c>
      <c r="F9919" s="12" t="s">
        <v>569</v>
      </c>
      <c r="G9919" s="12" t="s">
        <v>40</v>
      </c>
      <c r="H9919" s="11" t="s">
        <v>63</v>
      </c>
      <c r="I9919" s="13" t="s">
        <v>19728</v>
      </c>
      <c r="J9919" s="14" t="str">
        <f>HYPERLINK("https://www.boe.es/gazeta/dias/1839/10/23/pdfs/GMD-1839-1809.pdf#page=2","Abrir facsímil")</f>
        <v>Abrir facsímil</v>
      </c>
      <c r="K9919" s="12" t="s">
        <v>65</v>
      </c>
    </row>
    <row r="9920" spans="1:11" ht="40.049999999999997" customHeight="1" x14ac:dyDescent="0.25">
      <c r="A9920" s="11" t="s">
        <v>19724</v>
      </c>
      <c r="B9920" s="11" t="s">
        <v>19724</v>
      </c>
      <c r="C9920" s="11" t="s">
        <v>137</v>
      </c>
      <c r="D9920" s="11" t="s">
        <v>18</v>
      </c>
      <c r="E9920" s="12" t="s">
        <v>1807</v>
      </c>
      <c r="F9920" s="12" t="s">
        <v>1808</v>
      </c>
      <c r="G9920" s="12" t="s">
        <v>46</v>
      </c>
      <c r="H9920" s="11" t="s">
        <v>22</v>
      </c>
      <c r="I9920" s="13" t="s">
        <v>19729</v>
      </c>
      <c r="J9920" s="14" t="str">
        <f>HYPERLINK("https://www.boe.es/gazeta/dias/1839/01/29/pdfs/GMD-1839-1536.pdf#page=3","Abrir facsímil")</f>
        <v>Abrir facsímil</v>
      </c>
      <c r="K9920" s="12" t="s">
        <v>24</v>
      </c>
    </row>
    <row r="9921" spans="1:11" ht="40.049999999999997" customHeight="1" x14ac:dyDescent="0.25">
      <c r="A9921" s="11" t="s">
        <v>19730</v>
      </c>
      <c r="B9921" s="11" t="s">
        <v>19731</v>
      </c>
      <c r="C9921" s="11" t="s">
        <v>17</v>
      </c>
      <c r="D9921" s="11" t="s">
        <v>18</v>
      </c>
      <c r="E9921" s="12" t="s">
        <v>280</v>
      </c>
      <c r="F9921" s="12" t="s">
        <v>281</v>
      </c>
      <c r="G9921" s="12" t="s">
        <v>29</v>
      </c>
      <c r="H9921" s="11" t="s">
        <v>63</v>
      </c>
      <c r="I9921" s="13" t="s">
        <v>19732</v>
      </c>
      <c r="J9921" s="14" t="str">
        <f>HYPERLINK("https://www.boe.es/gazeta/dias/1839/08/21/pdfs/GMD-1839-1742.pdf#page=1","Abrir facsímil")</f>
        <v>Abrir facsímil</v>
      </c>
      <c r="K9921" s="12" t="s">
        <v>65</v>
      </c>
    </row>
    <row r="9922" spans="1:11" ht="40.049999999999997" customHeight="1" x14ac:dyDescent="0.25">
      <c r="A9922" s="11" t="s">
        <v>19733</v>
      </c>
      <c r="B9922" s="11" t="s">
        <v>19733</v>
      </c>
      <c r="C9922" s="11" t="s">
        <v>101</v>
      </c>
      <c r="D9922" s="11" t="s">
        <v>43</v>
      </c>
      <c r="E9922" s="12" t="s">
        <v>2155</v>
      </c>
      <c r="F9922" s="12" t="s">
        <v>2156</v>
      </c>
      <c r="G9922" s="12" t="s">
        <v>40</v>
      </c>
      <c r="H9922" s="11" t="s">
        <v>63</v>
      </c>
      <c r="I9922" s="13" t="s">
        <v>19734</v>
      </c>
      <c r="J9922" s="14" t="str">
        <f>HYPERLINK("https://www.boe.es/gazeta/dias/1839/01/17/pdfs/GMD-1839-1524.pdf#page=2","Abrir facsímil")</f>
        <v>Abrir facsímil</v>
      </c>
      <c r="K9922" s="12" t="s">
        <v>65</v>
      </c>
    </row>
    <row r="9923" spans="1:11" ht="40.049999999999997" customHeight="1" x14ac:dyDescent="0.25">
      <c r="A9923" s="11" t="s">
        <v>19735</v>
      </c>
      <c r="B9923" s="11" t="s">
        <v>19735</v>
      </c>
      <c r="C9923" s="11" t="s">
        <v>137</v>
      </c>
      <c r="D9923" s="11" t="s">
        <v>18</v>
      </c>
      <c r="E9923" s="12" t="s">
        <v>4287</v>
      </c>
      <c r="F9923" s="12" t="s">
        <v>4288</v>
      </c>
      <c r="G9923" s="12" t="s">
        <v>29</v>
      </c>
      <c r="H9923" s="11" t="s">
        <v>63</v>
      </c>
      <c r="I9923" s="13" t="s">
        <v>19736</v>
      </c>
      <c r="J9923" s="14" t="str">
        <f>HYPERLINK("https://www.boe.es/gazeta/dias/1839/06/01/pdfs/GMD-1839-1659.pdf#page=1","Abrir facsímil")</f>
        <v>Abrir facsímil</v>
      </c>
      <c r="K9923" s="12" t="s">
        <v>65</v>
      </c>
    </row>
    <row r="9924" spans="1:11" ht="40.049999999999997" customHeight="1" x14ac:dyDescent="0.25">
      <c r="A9924" s="11" t="s">
        <v>19737</v>
      </c>
      <c r="B9924" s="11" t="s">
        <v>19738</v>
      </c>
      <c r="C9924" s="11" t="s">
        <v>17</v>
      </c>
      <c r="D9924" s="11" t="s">
        <v>18</v>
      </c>
      <c r="E9924" s="12" t="s">
        <v>756</v>
      </c>
      <c r="F9924" s="12" t="s">
        <v>757</v>
      </c>
      <c r="G9924" s="12" t="s">
        <v>21</v>
      </c>
      <c r="H9924" s="11" t="s">
        <v>63</v>
      </c>
      <c r="I9924" s="13" t="s">
        <v>19739</v>
      </c>
      <c r="J9924" s="14" t="str">
        <f>HYPERLINK("https://www.boe.es/gazeta/dias/1839/12/17/pdfs/GMD-1839-1864.pdf#page=4","Abrir facsímil")</f>
        <v>Abrir facsímil</v>
      </c>
      <c r="K9924" s="12" t="s">
        <v>65</v>
      </c>
    </row>
    <row r="9925" spans="1:11" ht="40.049999999999997" customHeight="1" x14ac:dyDescent="0.25">
      <c r="A9925" s="11" t="s">
        <v>19740</v>
      </c>
      <c r="B9925" s="11" t="s">
        <v>19741</v>
      </c>
      <c r="C9925" s="11" t="s">
        <v>17</v>
      </c>
      <c r="D9925" s="11" t="s">
        <v>18</v>
      </c>
      <c r="E9925" s="12" t="s">
        <v>44</v>
      </c>
      <c r="F9925" s="12" t="s">
        <v>45</v>
      </c>
      <c r="G9925" s="12" t="s">
        <v>46</v>
      </c>
      <c r="H9925" s="11" t="s">
        <v>63</v>
      </c>
      <c r="I9925" s="13" t="s">
        <v>19742</v>
      </c>
      <c r="J9925" s="14" t="str">
        <f>HYPERLINK("https://www.boe.es/gazeta/dias/1839/11/15/pdfs/GMD-1839-1832.pdf#page=3","Abrir facsímil")</f>
        <v>Abrir facsímil</v>
      </c>
      <c r="K9925" s="12" t="s">
        <v>65</v>
      </c>
    </row>
    <row r="9926" spans="1:11" ht="40.049999999999997" customHeight="1" x14ac:dyDescent="0.25">
      <c r="A9926" s="11" t="s">
        <v>19743</v>
      </c>
      <c r="B9926" s="11" t="s">
        <v>19744</v>
      </c>
      <c r="C9926" s="11" t="s">
        <v>80</v>
      </c>
      <c r="D9926" s="11" t="s">
        <v>18</v>
      </c>
      <c r="E9926" s="12" t="s">
        <v>89</v>
      </c>
      <c r="F9926" s="12" t="s">
        <v>90</v>
      </c>
      <c r="G9926" s="12" t="s">
        <v>21</v>
      </c>
      <c r="H9926" s="11" t="s">
        <v>63</v>
      </c>
      <c r="I9926" s="13" t="s">
        <v>19745</v>
      </c>
      <c r="J9926" s="14" t="str">
        <f>HYPERLINK("https://www.boe.es/gazeta/dias/1839/11/28/pdfs/GMD-1839-1845.pdf#page=4","Abrir facsímil")</f>
        <v>Abrir facsímil</v>
      </c>
      <c r="K9926" s="12" t="s">
        <v>65</v>
      </c>
    </row>
    <row r="9927" spans="1:11" ht="40.049999999999997" customHeight="1" x14ac:dyDescent="0.25">
      <c r="A9927" s="11" t="s">
        <v>19746</v>
      </c>
      <c r="B9927" s="11" t="s">
        <v>19746</v>
      </c>
      <c r="C9927" s="11" t="s">
        <v>137</v>
      </c>
      <c r="D9927" s="11" t="s">
        <v>18</v>
      </c>
      <c r="E9927" s="12" t="s">
        <v>230</v>
      </c>
      <c r="F9927" s="12" t="s">
        <v>231</v>
      </c>
      <c r="G9927" s="12" t="s">
        <v>21</v>
      </c>
      <c r="H9927" s="11" t="s">
        <v>63</v>
      </c>
      <c r="I9927" s="13" t="s">
        <v>19747</v>
      </c>
      <c r="J9927" s="14" t="str">
        <f>HYPERLINK("https://www.boe.es/gazeta/dias/1839/09/16/pdfs/GMD-1839-1769.pdf#page=4","Abrir facsímil")</f>
        <v>Abrir facsímil</v>
      </c>
      <c r="K9927" s="12" t="s">
        <v>65</v>
      </c>
    </row>
    <row r="9928" spans="1:11" ht="40.049999999999997" customHeight="1" x14ac:dyDescent="0.25">
      <c r="A9928" s="11" t="s">
        <v>19748</v>
      </c>
      <c r="B9928" s="11" t="s">
        <v>19749</v>
      </c>
      <c r="C9928" s="11" t="s">
        <v>17</v>
      </c>
      <c r="D9928" s="11" t="s">
        <v>18</v>
      </c>
      <c r="E9928" s="12" t="s">
        <v>333</v>
      </c>
      <c r="F9928" s="12" t="s">
        <v>334</v>
      </c>
      <c r="G9928" s="12" t="s">
        <v>29</v>
      </c>
      <c r="H9928" s="11" t="s">
        <v>63</v>
      </c>
      <c r="I9928" s="13" t="s">
        <v>19750</v>
      </c>
      <c r="J9928" s="14" t="str">
        <f>HYPERLINK("https://www.boe.es/gazeta/dias/1839/06/11/pdfs/GMD-1839-1669.pdf#page=1","Abrir facsímil")</f>
        <v>Abrir facsímil</v>
      </c>
      <c r="K9928" s="12" t="s">
        <v>65</v>
      </c>
    </row>
    <row r="9929" spans="1:11" ht="40.049999999999997" customHeight="1" x14ac:dyDescent="0.25">
      <c r="A9929" s="11" t="s">
        <v>19751</v>
      </c>
      <c r="B9929" s="11" t="s">
        <v>19751</v>
      </c>
      <c r="C9929" s="11" t="s">
        <v>80</v>
      </c>
      <c r="D9929" s="11" t="s">
        <v>18</v>
      </c>
      <c r="E9929" s="12" t="s">
        <v>1663</v>
      </c>
      <c r="F9929" s="12" t="s">
        <v>1664</v>
      </c>
      <c r="G9929" s="12" t="s">
        <v>21</v>
      </c>
      <c r="H9929" s="11" t="s">
        <v>63</v>
      </c>
      <c r="I9929" s="13" t="s">
        <v>19752</v>
      </c>
      <c r="J9929" s="14" t="str">
        <f>HYPERLINK("https://www.boe.es/gazeta/dias/1839/03/22/pdfs/GMD-1839-1588.pdf#page=4","Abrir facsímil")</f>
        <v>Abrir facsímil</v>
      </c>
      <c r="K9929" s="12" t="s">
        <v>65</v>
      </c>
    </row>
    <row r="9930" spans="1:11" ht="40.049999999999997" customHeight="1" x14ac:dyDescent="0.25">
      <c r="A9930" s="11" t="s">
        <v>19753</v>
      </c>
      <c r="B9930" s="11" t="s">
        <v>19754</v>
      </c>
      <c r="C9930" s="11" t="s">
        <v>17</v>
      </c>
      <c r="D9930" s="11" t="s">
        <v>18</v>
      </c>
      <c r="E9930" s="12" t="s">
        <v>1562</v>
      </c>
      <c r="F9930" s="12" t="s">
        <v>1563</v>
      </c>
      <c r="G9930" s="12" t="s">
        <v>29</v>
      </c>
      <c r="H9930" s="11" t="s">
        <v>63</v>
      </c>
      <c r="I9930" s="13" t="s">
        <v>19755</v>
      </c>
      <c r="J9930" s="14" t="str">
        <f>HYPERLINK("https://www.boe.es/gazeta/dias/1839/04/08/pdfs/GMD-1839-1605.pdf#page=1","Abrir facsímil")</f>
        <v>Abrir facsímil</v>
      </c>
      <c r="K9930" s="12" t="s">
        <v>65</v>
      </c>
    </row>
    <row r="9931" spans="1:11" ht="40.049999999999997" customHeight="1" x14ac:dyDescent="0.25">
      <c r="A9931" s="11" t="s">
        <v>19756</v>
      </c>
      <c r="B9931" s="11" t="s">
        <v>19757</v>
      </c>
      <c r="C9931" s="11" t="s">
        <v>137</v>
      </c>
      <c r="D9931" s="11" t="s">
        <v>18</v>
      </c>
      <c r="E9931" s="12" t="s">
        <v>592</v>
      </c>
      <c r="F9931" s="12" t="s">
        <v>593</v>
      </c>
      <c r="G9931" s="12" t="s">
        <v>29</v>
      </c>
      <c r="H9931" s="11" t="s">
        <v>63</v>
      </c>
      <c r="I9931" s="13" t="s">
        <v>19758</v>
      </c>
      <c r="J9931" s="14" t="str">
        <f>HYPERLINK("https://www.boe.es/gazeta/dias/1839/09/14/pdfs/GMD-1839-1767.pdf#page=1","Abrir facsímil")</f>
        <v>Abrir facsímil</v>
      </c>
      <c r="K9931" s="12" t="s">
        <v>65</v>
      </c>
    </row>
    <row r="9932" spans="1:11" ht="40.049999999999997" customHeight="1" x14ac:dyDescent="0.25">
      <c r="A9932" s="11" t="s">
        <v>19759</v>
      </c>
      <c r="B9932" s="11" t="s">
        <v>19759</v>
      </c>
      <c r="C9932" s="11" t="s">
        <v>17</v>
      </c>
      <c r="D9932" s="11" t="s">
        <v>18</v>
      </c>
      <c r="E9932" s="12" t="s">
        <v>1072</v>
      </c>
      <c r="F9932" s="12" t="s">
        <v>1073</v>
      </c>
      <c r="G9932" s="12" t="s">
        <v>40</v>
      </c>
      <c r="H9932" s="11" t="s">
        <v>63</v>
      </c>
      <c r="I9932" s="13" t="s">
        <v>19760</v>
      </c>
      <c r="J9932" s="14" t="str">
        <f>HYPERLINK("https://www.boe.es/gazeta/dias/1839/01/18/pdfs/GMD-1839-1525.pdf#page=2","Abrir facsímil")</f>
        <v>Abrir facsímil</v>
      </c>
      <c r="K9932" s="12" t="s">
        <v>65</v>
      </c>
    </row>
    <row r="9933" spans="1:11" ht="40.049999999999997" customHeight="1" x14ac:dyDescent="0.25">
      <c r="A9933" s="11" t="s">
        <v>19759</v>
      </c>
      <c r="B9933" s="11" t="s">
        <v>19759</v>
      </c>
      <c r="C9933" s="11" t="s">
        <v>101</v>
      </c>
      <c r="D9933" s="11" t="s">
        <v>43</v>
      </c>
      <c r="E9933" s="12" t="s">
        <v>1072</v>
      </c>
      <c r="F9933" s="12" t="s">
        <v>1073</v>
      </c>
      <c r="G9933" s="12" t="s">
        <v>46</v>
      </c>
      <c r="H9933" s="11" t="s">
        <v>63</v>
      </c>
      <c r="I9933" s="13" t="s">
        <v>19761</v>
      </c>
      <c r="J9933" s="14" t="str">
        <f>HYPERLINK("https://www.boe.es/gazeta/dias/1839/01/18/pdfs/GMD-1839-1525.pdf#page=3","Abrir facsímil")</f>
        <v>Abrir facsímil</v>
      </c>
      <c r="K9933" s="12" t="s">
        <v>65</v>
      </c>
    </row>
    <row r="9934" spans="1:11" ht="40.049999999999997" customHeight="1" x14ac:dyDescent="0.25">
      <c r="A9934" s="11" t="s">
        <v>19762</v>
      </c>
      <c r="B9934" s="11" t="s">
        <v>19762</v>
      </c>
      <c r="C9934" s="11" t="s">
        <v>17</v>
      </c>
      <c r="D9934" s="11" t="s">
        <v>18</v>
      </c>
      <c r="E9934" s="12" t="s">
        <v>2155</v>
      </c>
      <c r="F9934" s="12" t="s">
        <v>2156</v>
      </c>
      <c r="G9934" s="12" t="s">
        <v>46</v>
      </c>
      <c r="H9934" s="11" t="s">
        <v>22</v>
      </c>
      <c r="I9934" s="13" t="s">
        <v>19763</v>
      </c>
      <c r="J9934" s="14" t="str">
        <f>HYPERLINK("https://www.boe.es/gazeta/dias/1839/01/17/pdfs/GMD-1839-1524.pdf#page=3","Abrir facsímil")</f>
        <v>Abrir facsímil</v>
      </c>
      <c r="K9934" s="12" t="s">
        <v>24</v>
      </c>
    </row>
    <row r="9935" spans="1:11" ht="40.049999999999997" customHeight="1" x14ac:dyDescent="0.25">
      <c r="A9935" s="11" t="s">
        <v>19764</v>
      </c>
      <c r="B9935" s="11" t="s">
        <v>19765</v>
      </c>
      <c r="C9935" s="11" t="s">
        <v>80</v>
      </c>
      <c r="D9935" s="11" t="s">
        <v>18</v>
      </c>
      <c r="E9935" s="12" t="s">
        <v>2491</v>
      </c>
      <c r="F9935" s="12" t="s">
        <v>2492</v>
      </c>
      <c r="G9935" s="12" t="s">
        <v>21</v>
      </c>
      <c r="H9935" s="11" t="s">
        <v>63</v>
      </c>
      <c r="I9935" s="13" t="s">
        <v>19766</v>
      </c>
      <c r="J9935" s="14" t="str">
        <f>HYPERLINK("https://www.boe.es/gazeta/dias/1839/05/01/pdfs/GMD-1839-1628.pdf#page=4","Abrir facsímil")</f>
        <v>Abrir facsímil</v>
      </c>
      <c r="K9935" s="12" t="s">
        <v>65</v>
      </c>
    </row>
    <row r="9936" spans="1:11" ht="40.049999999999997" customHeight="1" x14ac:dyDescent="0.25">
      <c r="A9936" s="11" t="s">
        <v>19767</v>
      </c>
      <c r="B9936" s="11" t="s">
        <v>19767</v>
      </c>
      <c r="C9936" s="11" t="s">
        <v>17</v>
      </c>
      <c r="D9936" s="11" t="s">
        <v>18</v>
      </c>
      <c r="E9936" s="12" t="s">
        <v>61</v>
      </c>
      <c r="F9936" s="12" t="s">
        <v>62</v>
      </c>
      <c r="G9936" s="12" t="s">
        <v>40</v>
      </c>
      <c r="H9936" s="11" t="s">
        <v>63</v>
      </c>
      <c r="I9936" s="13" t="s">
        <v>19768</v>
      </c>
      <c r="J9936" s="14" t="str">
        <f>HYPERLINK("https://www.boe.es/gazeta/dias/1839/09/10/pdfs/GMD-1839-1763.pdf#page=2","Abrir facsímil")</f>
        <v>Abrir facsímil</v>
      </c>
      <c r="K9936" s="12" t="s">
        <v>65</v>
      </c>
    </row>
    <row r="9937" spans="1:11" ht="40.049999999999997" customHeight="1" x14ac:dyDescent="0.25">
      <c r="A9937" s="11" t="s">
        <v>19769</v>
      </c>
      <c r="B9937" s="11" t="s">
        <v>19770</v>
      </c>
      <c r="C9937" s="11" t="s">
        <v>17</v>
      </c>
      <c r="D9937" s="11" t="s">
        <v>18</v>
      </c>
      <c r="E9937" s="12" t="s">
        <v>76</v>
      </c>
      <c r="F9937" s="12" t="s">
        <v>77</v>
      </c>
      <c r="G9937" s="12" t="s">
        <v>40</v>
      </c>
      <c r="H9937" s="11" t="s">
        <v>63</v>
      </c>
      <c r="I9937" s="13" t="s">
        <v>19771</v>
      </c>
      <c r="J9937" s="14" t="str">
        <f>HYPERLINK("https://www.boe.es/gazeta/dias/1839/03/13/pdfs/GMD-1839-1579.pdf#page=2","Abrir facsímil")</f>
        <v>Abrir facsímil</v>
      </c>
      <c r="K9937" s="12" t="s">
        <v>65</v>
      </c>
    </row>
    <row r="9938" spans="1:11" ht="40.049999999999997" customHeight="1" x14ac:dyDescent="0.25">
      <c r="A9938" s="11" t="s">
        <v>19772</v>
      </c>
      <c r="B9938" s="11" t="s">
        <v>19773</v>
      </c>
      <c r="C9938" s="11" t="s">
        <v>80</v>
      </c>
      <c r="D9938" s="11" t="s">
        <v>18</v>
      </c>
      <c r="E9938" s="12" t="s">
        <v>907</v>
      </c>
      <c r="F9938" s="12" t="s">
        <v>908</v>
      </c>
      <c r="G9938" s="12" t="s">
        <v>21</v>
      </c>
      <c r="H9938" s="11" t="s">
        <v>63</v>
      </c>
      <c r="I9938" s="13" t="s">
        <v>19774</v>
      </c>
      <c r="J9938" s="14" t="str">
        <f>HYPERLINK("https://www.boe.es/gazeta/dias/1839/07/31/pdfs/GMD-1839-1720.pdf#page=4","Abrir facsímil")</f>
        <v>Abrir facsímil</v>
      </c>
      <c r="K9938" s="12" t="s">
        <v>65</v>
      </c>
    </row>
    <row r="9939" spans="1:11" ht="40.049999999999997" customHeight="1" x14ac:dyDescent="0.25">
      <c r="A9939" s="11" t="s">
        <v>19775</v>
      </c>
      <c r="B9939" s="11" t="s">
        <v>19776</v>
      </c>
      <c r="C9939" s="11" t="s">
        <v>101</v>
      </c>
      <c r="D9939" s="11" t="s">
        <v>43</v>
      </c>
      <c r="E9939" s="12" t="s">
        <v>175</v>
      </c>
      <c r="F9939" s="12" t="s">
        <v>176</v>
      </c>
      <c r="G9939" s="12" t="s">
        <v>40</v>
      </c>
      <c r="H9939" s="11" t="s">
        <v>63</v>
      </c>
      <c r="I9939" s="13" t="s">
        <v>19777</v>
      </c>
      <c r="J9939" s="14" t="str">
        <f>HYPERLINK("https://www.boe.es/gazeta/dias/1839/01/16/pdfs/GMD-1839-1523.pdf#page=2","Abrir facsímil")</f>
        <v>Abrir facsímil</v>
      </c>
      <c r="K9939" s="12" t="s">
        <v>65</v>
      </c>
    </row>
    <row r="9940" spans="1:11" ht="40.049999999999997" customHeight="1" x14ac:dyDescent="0.25">
      <c r="A9940" s="11" t="s">
        <v>19778</v>
      </c>
      <c r="B9940" s="11" t="s">
        <v>19779</v>
      </c>
      <c r="C9940" s="11" t="s">
        <v>17</v>
      </c>
      <c r="D9940" s="11" t="s">
        <v>18</v>
      </c>
      <c r="E9940" s="12" t="s">
        <v>1891</v>
      </c>
      <c r="F9940" s="12" t="s">
        <v>1892</v>
      </c>
      <c r="G9940" s="12" t="s">
        <v>21</v>
      </c>
      <c r="H9940" s="11" t="s">
        <v>63</v>
      </c>
      <c r="I9940" s="13" t="s">
        <v>19780</v>
      </c>
      <c r="J9940" s="14" t="str">
        <f>HYPERLINK("https://www.boe.es/gazeta/dias/1839/12/14/pdfs/GMD-1839-1861.pdf#page=4","Abrir facsímil")</f>
        <v>Abrir facsímil</v>
      </c>
      <c r="K9940" s="12" t="s">
        <v>65</v>
      </c>
    </row>
    <row r="9941" spans="1:11" ht="40.049999999999997" customHeight="1" x14ac:dyDescent="0.25">
      <c r="A9941" s="11" t="s">
        <v>19781</v>
      </c>
      <c r="B9941" s="11" t="s">
        <v>19782</v>
      </c>
      <c r="C9941" s="11" t="s">
        <v>137</v>
      </c>
      <c r="D9941" s="11" t="s">
        <v>18</v>
      </c>
      <c r="E9941" s="12" t="s">
        <v>946</v>
      </c>
      <c r="F9941" s="12" t="s">
        <v>947</v>
      </c>
      <c r="G9941" s="12" t="s">
        <v>21</v>
      </c>
      <c r="H9941" s="11" t="s">
        <v>63</v>
      </c>
      <c r="I9941" s="13" t="s">
        <v>19783</v>
      </c>
      <c r="J9941" s="14" t="str">
        <f>HYPERLINK("https://www.boe.es/gazeta/dias/1839/04/15/pdfs/GMD-1839-1612.pdf#page=4","Abrir facsímil")</f>
        <v>Abrir facsímil</v>
      </c>
      <c r="K9941" s="12" t="s">
        <v>65</v>
      </c>
    </row>
    <row r="9942" spans="1:11" ht="40.049999999999997" customHeight="1" x14ac:dyDescent="0.25">
      <c r="A9942" s="11" t="s">
        <v>19784</v>
      </c>
      <c r="B9942" s="11" t="s">
        <v>19785</v>
      </c>
      <c r="C9942" s="11" t="s">
        <v>17</v>
      </c>
      <c r="D9942" s="11" t="s">
        <v>18</v>
      </c>
      <c r="E9942" s="12" t="s">
        <v>1528</v>
      </c>
      <c r="F9942" s="12" t="s">
        <v>1529</v>
      </c>
      <c r="G9942" s="12" t="s">
        <v>29</v>
      </c>
      <c r="H9942" s="11" t="s">
        <v>63</v>
      </c>
      <c r="I9942" s="13" t="s">
        <v>19786</v>
      </c>
      <c r="J9942" s="14" t="str">
        <f>HYPERLINK("https://www.boe.es/gazeta/dias/1839/12/15/pdfs/GMD-1839-1862.pdf#page=1","Abrir facsímil")</f>
        <v>Abrir facsímil</v>
      </c>
      <c r="K9942" s="12" t="s">
        <v>65</v>
      </c>
    </row>
    <row r="9943" spans="1:11" ht="40.049999999999997" customHeight="1" x14ac:dyDescent="0.25">
      <c r="A9943" s="11" t="s">
        <v>19787</v>
      </c>
      <c r="B9943" s="11" t="s">
        <v>19788</v>
      </c>
      <c r="C9943" s="11" t="s">
        <v>17</v>
      </c>
      <c r="D9943" s="11" t="s">
        <v>18</v>
      </c>
      <c r="E9943" s="12" t="s">
        <v>1729</v>
      </c>
      <c r="F9943" s="12" t="s">
        <v>1730</v>
      </c>
      <c r="G9943" s="12" t="s">
        <v>40</v>
      </c>
      <c r="H9943" s="11" t="s">
        <v>63</v>
      </c>
      <c r="I9943" s="13" t="s">
        <v>19789</v>
      </c>
      <c r="J9943" s="14" t="str">
        <f>HYPERLINK("https://www.boe.es/gazeta/dias/1839/04/25/pdfs/GMD-1839-1622.pdf#page=2","Abrir facsímil")</f>
        <v>Abrir facsímil</v>
      </c>
      <c r="K9943" s="12" t="s">
        <v>65</v>
      </c>
    </row>
    <row r="9944" spans="1:11" ht="40.049999999999997" customHeight="1" x14ac:dyDescent="0.25">
      <c r="A9944" s="11" t="s">
        <v>19790</v>
      </c>
      <c r="B9944" s="11" t="s">
        <v>19791</v>
      </c>
      <c r="C9944" s="11" t="s">
        <v>101</v>
      </c>
      <c r="D9944" s="11" t="s">
        <v>43</v>
      </c>
      <c r="E9944" s="12" t="s">
        <v>175</v>
      </c>
      <c r="F9944" s="12" t="s">
        <v>176</v>
      </c>
      <c r="G9944" s="12" t="s">
        <v>40</v>
      </c>
      <c r="H9944" s="11" t="s">
        <v>63</v>
      </c>
      <c r="I9944" s="13" t="s">
        <v>19792</v>
      </c>
      <c r="J9944" s="14" t="str">
        <f>HYPERLINK("https://www.boe.es/gazeta/dias/1839/01/16/pdfs/GMD-1839-1523.pdf#page=2","Abrir facsímil")</f>
        <v>Abrir facsímil</v>
      </c>
      <c r="K9944" s="12" t="s">
        <v>65</v>
      </c>
    </row>
    <row r="9945" spans="1:11" ht="40.049999999999997" customHeight="1" x14ac:dyDescent="0.25">
      <c r="A9945" s="11" t="s">
        <v>19793</v>
      </c>
      <c r="B9945" s="11" t="s">
        <v>19794</v>
      </c>
      <c r="C9945" s="11" t="s">
        <v>17</v>
      </c>
      <c r="D9945" s="11" t="s">
        <v>18</v>
      </c>
      <c r="E9945" s="12" t="s">
        <v>61</v>
      </c>
      <c r="F9945" s="12" t="s">
        <v>62</v>
      </c>
      <c r="G9945" s="12" t="s">
        <v>40</v>
      </c>
      <c r="H9945" s="11" t="s">
        <v>63</v>
      </c>
      <c r="I9945" s="13" t="s">
        <v>19795</v>
      </c>
      <c r="J9945" s="14" t="str">
        <f>HYPERLINK("https://www.boe.es/gazeta/dias/1839/09/10/pdfs/GMD-1839-1763.pdf#page=2","Abrir facsímil")</f>
        <v>Abrir facsímil</v>
      </c>
      <c r="K9945" s="12" t="s">
        <v>65</v>
      </c>
    </row>
    <row r="9946" spans="1:11" ht="40.049999999999997" customHeight="1" x14ac:dyDescent="0.25">
      <c r="A9946" s="11" t="s">
        <v>19796</v>
      </c>
      <c r="B9946" s="11" t="s">
        <v>19797</v>
      </c>
      <c r="C9946" s="11" t="s">
        <v>80</v>
      </c>
      <c r="D9946" s="11" t="s">
        <v>18</v>
      </c>
      <c r="E9946" s="12" t="s">
        <v>2021</v>
      </c>
      <c r="F9946" s="12" t="s">
        <v>2022</v>
      </c>
      <c r="G9946" s="12" t="s">
        <v>29</v>
      </c>
      <c r="H9946" s="11" t="s">
        <v>63</v>
      </c>
      <c r="I9946" s="13" t="s">
        <v>19798</v>
      </c>
      <c r="J9946" s="14" t="str">
        <f>HYPERLINK("https://www.boe.es/gazeta/dias/1839/02/17/pdfs/GMD-1839-1555.pdf#page=1","Abrir facsímil")</f>
        <v>Abrir facsímil</v>
      </c>
      <c r="K9946" s="12" t="s">
        <v>65</v>
      </c>
    </row>
    <row r="9947" spans="1:11" ht="40.049999999999997" customHeight="1" x14ac:dyDescent="0.25">
      <c r="A9947" s="11" t="s">
        <v>19799</v>
      </c>
      <c r="B9947" s="11" t="s">
        <v>19800</v>
      </c>
      <c r="C9947" s="11" t="s">
        <v>17</v>
      </c>
      <c r="D9947" s="11" t="s">
        <v>18</v>
      </c>
      <c r="E9947" s="12" t="s">
        <v>496</v>
      </c>
      <c r="F9947" s="12" t="s">
        <v>497</v>
      </c>
      <c r="G9947" s="12" t="s">
        <v>40</v>
      </c>
      <c r="H9947" s="11" t="s">
        <v>63</v>
      </c>
      <c r="I9947" s="13" t="s">
        <v>19801</v>
      </c>
      <c r="J9947" s="14" t="str">
        <f>HYPERLINK("https://www.boe.es/gazeta/dias/1839/11/23/pdfs/GMD-1839-1840.pdf#page=2","Abrir facsímil")</f>
        <v>Abrir facsímil</v>
      </c>
      <c r="K9947" s="12" t="s">
        <v>65</v>
      </c>
    </row>
    <row r="9948" spans="1:11" ht="40.049999999999997" customHeight="1" x14ac:dyDescent="0.25">
      <c r="A9948" s="11" t="s">
        <v>19802</v>
      </c>
      <c r="B9948" s="11" t="s">
        <v>19803</v>
      </c>
      <c r="C9948" s="11" t="s">
        <v>17</v>
      </c>
      <c r="D9948" s="11" t="s">
        <v>18</v>
      </c>
      <c r="E9948" s="12" t="s">
        <v>1179</v>
      </c>
      <c r="F9948" s="12" t="s">
        <v>1180</v>
      </c>
      <c r="G9948" s="12" t="s">
        <v>566</v>
      </c>
      <c r="H9948" s="11" t="s">
        <v>63</v>
      </c>
      <c r="I9948" s="13" t="s">
        <v>19804</v>
      </c>
      <c r="J9948" s="14" t="str">
        <f>HYPERLINK("https://www.boe.es/gazeta/dias/1839/10/18/pdfs/GMD-1839-1804.pdf#page=5","Abrir facsímil")</f>
        <v>Abrir facsímil</v>
      </c>
      <c r="K9948" s="12" t="s">
        <v>65</v>
      </c>
    </row>
    <row r="9949" spans="1:11" ht="40.049999999999997" customHeight="1" x14ac:dyDescent="0.25">
      <c r="A9949" s="11" t="s">
        <v>19805</v>
      </c>
      <c r="B9949" s="11" t="s">
        <v>19805</v>
      </c>
      <c r="C9949" s="11" t="s">
        <v>101</v>
      </c>
      <c r="D9949" s="11" t="s">
        <v>43</v>
      </c>
      <c r="E9949" s="12" t="s">
        <v>163</v>
      </c>
      <c r="F9949" s="12" t="s">
        <v>164</v>
      </c>
      <c r="G9949" s="12" t="s">
        <v>40</v>
      </c>
      <c r="H9949" s="11" t="s">
        <v>63</v>
      </c>
      <c r="I9949" s="13" t="s">
        <v>19806</v>
      </c>
      <c r="J9949" s="14" t="str">
        <f>HYPERLINK("https://www.boe.es/gazeta/dias/1839/01/13/pdfs/GMD-1839-1520.pdf#page=2","Abrir facsímil")</f>
        <v>Abrir facsímil</v>
      </c>
      <c r="K9949" s="12" t="s">
        <v>65</v>
      </c>
    </row>
    <row r="9950" spans="1:11" ht="40.049999999999997" customHeight="1" x14ac:dyDescent="0.25">
      <c r="A9950" s="11" t="s">
        <v>19805</v>
      </c>
      <c r="B9950" s="11" t="s">
        <v>19805</v>
      </c>
      <c r="C9950" s="11" t="s">
        <v>17</v>
      </c>
      <c r="D9950" s="11" t="s">
        <v>18</v>
      </c>
      <c r="E9950" s="12" t="s">
        <v>2270</v>
      </c>
      <c r="F9950" s="12" t="s">
        <v>2271</v>
      </c>
      <c r="G9950" s="12" t="s">
        <v>29</v>
      </c>
      <c r="H9950" s="11" t="s">
        <v>63</v>
      </c>
      <c r="I9950" s="13" t="s">
        <v>19807</v>
      </c>
      <c r="J9950" s="14" t="str">
        <f>HYPERLINK("https://www.boe.es/gazeta/dias/1839/06/13/pdfs/GMD-1839-1671.pdf#page=1","Abrir facsímil")</f>
        <v>Abrir facsímil</v>
      </c>
      <c r="K9950" s="12" t="s">
        <v>65</v>
      </c>
    </row>
    <row r="9951" spans="1:11" ht="40.049999999999997" customHeight="1" x14ac:dyDescent="0.25">
      <c r="A9951" s="11" t="s">
        <v>19805</v>
      </c>
      <c r="B9951" s="11" t="s">
        <v>19805</v>
      </c>
      <c r="C9951" s="11" t="s">
        <v>17</v>
      </c>
      <c r="D9951" s="11" t="s">
        <v>18</v>
      </c>
      <c r="E9951" s="12" t="s">
        <v>2270</v>
      </c>
      <c r="F9951" s="12" t="s">
        <v>2271</v>
      </c>
      <c r="G9951" s="12" t="s">
        <v>40</v>
      </c>
      <c r="H9951" s="11" t="s">
        <v>63</v>
      </c>
      <c r="I9951" s="13" t="s">
        <v>19808</v>
      </c>
      <c r="J9951" s="14" t="str">
        <f>HYPERLINK("https://www.boe.es/gazeta/dias/1839/06/13/pdfs/GMD-1839-1671.pdf#page=2","Abrir facsímil")</f>
        <v>Abrir facsímil</v>
      </c>
      <c r="K9951" s="12" t="s">
        <v>65</v>
      </c>
    </row>
    <row r="9952" spans="1:11" ht="40.049999999999997" customHeight="1" x14ac:dyDescent="0.25">
      <c r="A9952" s="11" t="s">
        <v>19805</v>
      </c>
      <c r="B9952" s="11" t="s">
        <v>19805</v>
      </c>
      <c r="C9952" s="11" t="s">
        <v>137</v>
      </c>
      <c r="D9952" s="11" t="s">
        <v>18</v>
      </c>
      <c r="E9952" s="12" t="s">
        <v>185</v>
      </c>
      <c r="F9952" s="12" t="s">
        <v>186</v>
      </c>
      <c r="G9952" s="12" t="s">
        <v>40</v>
      </c>
      <c r="H9952" s="11" t="s">
        <v>63</v>
      </c>
      <c r="I9952" s="13" t="s">
        <v>19809</v>
      </c>
      <c r="J9952" s="14" t="str">
        <f>HYPERLINK("https://www.boe.es/gazeta/dias/1839/01/15/pdfs/GMD-1839-1522.pdf#page=2","Abrir facsímil")</f>
        <v>Abrir facsímil</v>
      </c>
      <c r="K9952" s="12" t="s">
        <v>65</v>
      </c>
    </row>
    <row r="9953" spans="1:11" ht="40.049999999999997" customHeight="1" x14ac:dyDescent="0.25">
      <c r="A9953" s="11" t="s">
        <v>19805</v>
      </c>
      <c r="B9953" s="11" t="s">
        <v>19805</v>
      </c>
      <c r="C9953" s="11" t="s">
        <v>137</v>
      </c>
      <c r="D9953" s="11" t="s">
        <v>18</v>
      </c>
      <c r="E9953" s="12" t="s">
        <v>1807</v>
      </c>
      <c r="F9953" s="12" t="s">
        <v>1808</v>
      </c>
      <c r="G9953" s="12" t="s">
        <v>46</v>
      </c>
      <c r="H9953" s="11" t="s">
        <v>63</v>
      </c>
      <c r="I9953" s="13" t="s">
        <v>19810</v>
      </c>
      <c r="J9953" s="14" t="str">
        <f>HYPERLINK("https://www.boe.es/gazeta/dias/1839/01/29/pdfs/GMD-1839-1536.pdf#page=3","Abrir facsímil")</f>
        <v>Abrir facsímil</v>
      </c>
      <c r="K9953" s="12" t="s">
        <v>65</v>
      </c>
    </row>
    <row r="9954" spans="1:11" ht="40.049999999999997" customHeight="1" x14ac:dyDescent="0.25">
      <c r="A9954" s="11" t="s">
        <v>19811</v>
      </c>
      <c r="B9954" s="11" t="s">
        <v>19811</v>
      </c>
      <c r="C9954" s="11" t="s">
        <v>17</v>
      </c>
      <c r="D9954" s="11" t="s">
        <v>18</v>
      </c>
      <c r="E9954" s="12" t="s">
        <v>1551</v>
      </c>
      <c r="F9954" s="12" t="s">
        <v>1552</v>
      </c>
      <c r="G9954" s="12" t="s">
        <v>46</v>
      </c>
      <c r="H9954" s="11" t="s">
        <v>63</v>
      </c>
      <c r="I9954" s="13" t="s">
        <v>19812</v>
      </c>
      <c r="J9954" s="14" t="str">
        <f>HYPERLINK("https://www.boe.es/gazeta/dias/1839/06/30/pdfs/GMD-1839-1688.pdf#page=3","Abrir facsímil")</f>
        <v>Abrir facsímil</v>
      </c>
      <c r="K9954" s="12" t="s">
        <v>65</v>
      </c>
    </row>
    <row r="9955" spans="1:11" ht="40.049999999999997" customHeight="1" x14ac:dyDescent="0.25">
      <c r="A9955" s="11" t="s">
        <v>19813</v>
      </c>
      <c r="B9955" s="11" t="s">
        <v>19813</v>
      </c>
      <c r="C9955" s="11" t="s">
        <v>17</v>
      </c>
      <c r="D9955" s="11" t="s">
        <v>18</v>
      </c>
      <c r="E9955" s="12" t="s">
        <v>2491</v>
      </c>
      <c r="F9955" s="12" t="s">
        <v>2492</v>
      </c>
      <c r="G9955" s="12" t="s">
        <v>21</v>
      </c>
      <c r="H9955" s="11" t="s">
        <v>63</v>
      </c>
      <c r="I9955" s="13" t="s">
        <v>19814</v>
      </c>
      <c r="J9955" s="14" t="str">
        <f>HYPERLINK("https://www.boe.es/gazeta/dias/1839/05/01/pdfs/GMD-1839-1628.pdf#page=4","Abrir facsímil")</f>
        <v>Abrir facsímil</v>
      </c>
      <c r="K9955" s="12" t="s">
        <v>65</v>
      </c>
    </row>
    <row r="9956" spans="1:11" ht="40.049999999999997" customHeight="1" x14ac:dyDescent="0.25">
      <c r="A9956" s="11" t="s">
        <v>19813</v>
      </c>
      <c r="B9956" s="11" t="s">
        <v>19813</v>
      </c>
      <c r="C9956" s="11" t="s">
        <v>17</v>
      </c>
      <c r="D9956" s="11" t="s">
        <v>18</v>
      </c>
      <c r="E9956" s="12" t="s">
        <v>2270</v>
      </c>
      <c r="F9956" s="12" t="s">
        <v>2271</v>
      </c>
      <c r="G9956" s="12" t="s">
        <v>21</v>
      </c>
      <c r="H9956" s="11" t="s">
        <v>63</v>
      </c>
      <c r="I9956" s="13" t="s">
        <v>19815</v>
      </c>
      <c r="J9956" s="14" t="str">
        <f>HYPERLINK("https://www.boe.es/gazeta/dias/1839/06/13/pdfs/GMD-1839-1671.pdf#page=4","Abrir facsímil")</f>
        <v>Abrir facsímil</v>
      </c>
      <c r="K9956" s="12" t="s">
        <v>65</v>
      </c>
    </row>
    <row r="9957" spans="1:11" ht="40.049999999999997" customHeight="1" x14ac:dyDescent="0.25">
      <c r="A9957" s="11" t="s">
        <v>19816</v>
      </c>
      <c r="B9957" s="11" t="s">
        <v>19817</v>
      </c>
      <c r="C9957" s="11" t="s">
        <v>17</v>
      </c>
      <c r="D9957" s="11" t="s">
        <v>18</v>
      </c>
      <c r="E9957" s="12" t="s">
        <v>1027</v>
      </c>
      <c r="F9957" s="12" t="s">
        <v>1028</v>
      </c>
      <c r="G9957" s="12" t="s">
        <v>21</v>
      </c>
      <c r="H9957" s="11" t="s">
        <v>63</v>
      </c>
      <c r="I9957" s="13" t="s">
        <v>19818</v>
      </c>
      <c r="J9957" s="14" t="str">
        <f>HYPERLINK("https://www.boe.es/gazeta/dias/1839/08/16/pdfs/GMD-1839-1736.pdf#page=4","Abrir facsímil")</f>
        <v>Abrir facsímil</v>
      </c>
      <c r="K9957" s="12" t="s">
        <v>65</v>
      </c>
    </row>
    <row r="9958" spans="1:11" ht="40.049999999999997" customHeight="1" x14ac:dyDescent="0.25">
      <c r="A9958" s="11" t="s">
        <v>19819</v>
      </c>
      <c r="B9958" s="11" t="s">
        <v>19820</v>
      </c>
      <c r="C9958" s="11" t="s">
        <v>17</v>
      </c>
      <c r="D9958" s="11" t="s">
        <v>18</v>
      </c>
      <c r="E9958" s="12" t="s">
        <v>2491</v>
      </c>
      <c r="F9958" s="12" t="s">
        <v>2492</v>
      </c>
      <c r="G9958" s="12" t="s">
        <v>21</v>
      </c>
      <c r="H9958" s="11" t="s">
        <v>63</v>
      </c>
      <c r="I9958" s="13" t="s">
        <v>19821</v>
      </c>
      <c r="J9958" s="14" t="str">
        <f>HYPERLINK("https://www.boe.es/gazeta/dias/1839/05/01/pdfs/GMD-1839-1628.pdf#page=4","Abrir facsímil")</f>
        <v>Abrir facsímil</v>
      </c>
      <c r="K9958" s="12" t="s">
        <v>65</v>
      </c>
    </row>
    <row r="9959" spans="1:11" ht="40.049999999999997" customHeight="1" x14ac:dyDescent="0.25">
      <c r="A9959" s="11" t="s">
        <v>19822</v>
      </c>
      <c r="B9959" s="11" t="s">
        <v>19823</v>
      </c>
      <c r="C9959" s="11" t="s">
        <v>80</v>
      </c>
      <c r="D9959" s="11" t="s">
        <v>173</v>
      </c>
      <c r="E9959" s="12" t="s">
        <v>756</v>
      </c>
      <c r="F9959" s="12" t="s">
        <v>757</v>
      </c>
      <c r="G9959" s="12" t="s">
        <v>21</v>
      </c>
      <c r="H9959" s="11" t="s">
        <v>63</v>
      </c>
      <c r="I9959" s="13" t="s">
        <v>19824</v>
      </c>
      <c r="J9959" s="14" t="str">
        <f>HYPERLINK("https://www.boe.es/gazeta/dias/1839/12/17/pdfs/GMD-1839-1864.pdf#page=4","Abrir facsímil")</f>
        <v>Abrir facsímil</v>
      </c>
      <c r="K9959" s="12" t="s">
        <v>65</v>
      </c>
    </row>
    <row r="9960" spans="1:11" ht="40.049999999999997" customHeight="1" x14ac:dyDescent="0.25">
      <c r="A9960" s="11" t="s">
        <v>19825</v>
      </c>
      <c r="B9960" s="11" t="s">
        <v>19826</v>
      </c>
      <c r="C9960" s="11" t="s">
        <v>17</v>
      </c>
      <c r="D9960" s="11" t="s">
        <v>18</v>
      </c>
      <c r="E9960" s="12" t="s">
        <v>1069</v>
      </c>
      <c r="F9960" s="12" t="s">
        <v>1070</v>
      </c>
      <c r="G9960" s="12" t="s">
        <v>46</v>
      </c>
      <c r="H9960" s="11" t="s">
        <v>63</v>
      </c>
      <c r="I9960" s="13" t="s">
        <v>19827</v>
      </c>
      <c r="J9960" s="14" t="str">
        <f>HYPERLINK("https://www.boe.es/gazeta/dias/1839/10/15/pdfs/GMD-1839-1801.pdf#page=3","Abrir facsímil")</f>
        <v>Abrir facsímil</v>
      </c>
      <c r="K9960" s="12" t="s">
        <v>65</v>
      </c>
    </row>
    <row r="9961" spans="1:11" ht="40.049999999999997" customHeight="1" x14ac:dyDescent="0.25">
      <c r="A9961" s="11" t="s">
        <v>19828</v>
      </c>
      <c r="B9961" s="11" t="s">
        <v>19829</v>
      </c>
      <c r="C9961" s="11" t="s">
        <v>17</v>
      </c>
      <c r="D9961" s="11" t="s">
        <v>18</v>
      </c>
      <c r="E9961" s="12" t="s">
        <v>222</v>
      </c>
      <c r="F9961" s="12" t="s">
        <v>223</v>
      </c>
      <c r="G9961" s="12" t="s">
        <v>21</v>
      </c>
      <c r="H9961" s="11" t="s">
        <v>63</v>
      </c>
      <c r="I9961" s="13" t="s">
        <v>19830</v>
      </c>
      <c r="J9961" s="14" t="str">
        <f>HYPERLINK("https://www.boe.es/gazeta/dias/1839/06/22/pdfs/GMD-1839-1680.pdf#page=4","Abrir facsímil")</f>
        <v>Abrir facsímil</v>
      </c>
      <c r="K9961" s="12" t="s">
        <v>65</v>
      </c>
    </row>
    <row r="9962" spans="1:11" ht="40.049999999999997" customHeight="1" x14ac:dyDescent="0.25">
      <c r="A9962" s="11" t="s">
        <v>19831</v>
      </c>
      <c r="B9962" s="11" t="s">
        <v>19831</v>
      </c>
      <c r="C9962" s="11" t="s">
        <v>137</v>
      </c>
      <c r="D9962" s="11" t="s">
        <v>18</v>
      </c>
      <c r="E9962" s="12" t="s">
        <v>1366</v>
      </c>
      <c r="F9962" s="12" t="s">
        <v>1367</v>
      </c>
      <c r="G9962" s="12" t="s">
        <v>40</v>
      </c>
      <c r="H9962" s="11" t="s">
        <v>63</v>
      </c>
      <c r="I9962" s="13" t="s">
        <v>19832</v>
      </c>
      <c r="J9962" s="14" t="str">
        <f>HYPERLINK("https://www.boe.es/gazeta/dias/1839/09/09/pdfs/GMD-1839-1762.pdf#page=2","Abrir facsímil")</f>
        <v>Abrir facsímil</v>
      </c>
      <c r="K9962" s="12" t="s">
        <v>65</v>
      </c>
    </row>
    <row r="9963" spans="1:11" ht="40.049999999999997" customHeight="1" x14ac:dyDescent="0.25">
      <c r="A9963" s="11" t="s">
        <v>19831</v>
      </c>
      <c r="B9963" s="11" t="s">
        <v>19831</v>
      </c>
      <c r="C9963" s="11" t="s">
        <v>101</v>
      </c>
      <c r="D9963" s="11" t="s">
        <v>102</v>
      </c>
      <c r="E9963" s="12" t="s">
        <v>103</v>
      </c>
      <c r="F9963" s="12" t="s">
        <v>104</v>
      </c>
      <c r="G9963" s="12" t="s">
        <v>21</v>
      </c>
      <c r="H9963" s="11" t="s">
        <v>63</v>
      </c>
      <c r="I9963" s="13" t="s">
        <v>19833</v>
      </c>
      <c r="J9963" s="14" t="str">
        <f>HYPERLINK("https://www.boe.es/gazeta/dias/1839/10/12/pdfs/GMD-1839-1798.pdf#page=4","Abrir facsímil")</f>
        <v>Abrir facsímil</v>
      </c>
      <c r="K9963" s="12" t="s">
        <v>65</v>
      </c>
    </row>
    <row r="9964" spans="1:11" ht="40.049999999999997" customHeight="1" x14ac:dyDescent="0.25">
      <c r="A9964" s="11" t="s">
        <v>19834</v>
      </c>
      <c r="B9964" s="11" t="s">
        <v>19834</v>
      </c>
      <c r="C9964" s="11" t="s">
        <v>101</v>
      </c>
      <c r="D9964" s="11" t="s">
        <v>43</v>
      </c>
      <c r="E9964" s="12" t="s">
        <v>1100</v>
      </c>
      <c r="F9964" s="12" t="s">
        <v>1101</v>
      </c>
      <c r="G9964" s="12" t="s">
        <v>29</v>
      </c>
      <c r="H9964" s="11" t="s">
        <v>22</v>
      </c>
      <c r="I9964" s="13" t="s">
        <v>19835</v>
      </c>
      <c r="J9964" s="14" t="str">
        <f>HYPERLINK("https://www.boe.es/gazeta/dias/1839/09/13/pdfs/GMD-1839-1766.pdf#page=1","Abrir facsímil")</f>
        <v>Abrir facsímil</v>
      </c>
      <c r="K9964" s="12" t="s">
        <v>24</v>
      </c>
    </row>
    <row r="9965" spans="1:11" ht="40.049999999999997" customHeight="1" x14ac:dyDescent="0.25">
      <c r="A9965" s="11" t="s">
        <v>19836</v>
      </c>
      <c r="B9965" s="11" t="s">
        <v>19836</v>
      </c>
      <c r="C9965" s="11" t="s">
        <v>59</v>
      </c>
      <c r="D9965" s="11" t="s">
        <v>60</v>
      </c>
      <c r="E9965" s="12" t="s">
        <v>5806</v>
      </c>
      <c r="F9965" s="12" t="s">
        <v>5807</v>
      </c>
      <c r="G9965" s="12" t="s">
        <v>40</v>
      </c>
      <c r="H9965" s="11" t="s">
        <v>63</v>
      </c>
      <c r="I9965" s="13" t="s">
        <v>19837</v>
      </c>
      <c r="J9965" s="14" t="str">
        <f>HYPERLINK("https://www.boe.es/gazeta/dias/1839/02/16/pdfs/GMD-1839-1554.pdf#page=2","Abrir facsímil")</f>
        <v>Abrir facsímil</v>
      </c>
      <c r="K9965" s="12" t="s">
        <v>65</v>
      </c>
    </row>
    <row r="9966" spans="1:11" ht="40.049999999999997" customHeight="1" x14ac:dyDescent="0.25">
      <c r="A9966" s="11" t="s">
        <v>19836</v>
      </c>
      <c r="B9966" s="11" t="s">
        <v>19836</v>
      </c>
      <c r="C9966" s="11" t="s">
        <v>59</v>
      </c>
      <c r="D9966" s="11" t="s">
        <v>60</v>
      </c>
      <c r="E9966" s="12" t="s">
        <v>616</v>
      </c>
      <c r="F9966" s="12" t="s">
        <v>617</v>
      </c>
      <c r="G9966" s="12" t="s">
        <v>46</v>
      </c>
      <c r="H9966" s="11" t="s">
        <v>63</v>
      </c>
      <c r="I9966" s="13" t="s">
        <v>19838</v>
      </c>
      <c r="J9966" s="14" t="str">
        <f>HYPERLINK("https://www.boe.es/gazeta/dias/1839/05/29/pdfs/GMD-1839-1656.pdf#page=3","Abrir facsímil")</f>
        <v>Abrir facsímil</v>
      </c>
      <c r="K9966" s="12" t="s">
        <v>65</v>
      </c>
    </row>
    <row r="9967" spans="1:11" ht="40.049999999999997" customHeight="1" x14ac:dyDescent="0.25">
      <c r="A9967" s="11" t="s">
        <v>19839</v>
      </c>
      <c r="B9967" s="11" t="s">
        <v>19840</v>
      </c>
      <c r="C9967" s="11" t="s">
        <v>137</v>
      </c>
      <c r="D9967" s="11" t="s">
        <v>18</v>
      </c>
      <c r="E9967" s="12" t="s">
        <v>1537</v>
      </c>
      <c r="F9967" s="12" t="s">
        <v>1538</v>
      </c>
      <c r="G9967" s="12" t="s">
        <v>21</v>
      </c>
      <c r="H9967" s="11" t="s">
        <v>63</v>
      </c>
      <c r="I9967" s="13" t="s">
        <v>19841</v>
      </c>
      <c r="J9967" s="14" t="str">
        <f>HYPERLINK("https://www.boe.es/gazeta/dias/1839/12/16/pdfs/GMD-1839-1863.pdf#page=4","Abrir facsímil")</f>
        <v>Abrir facsímil</v>
      </c>
      <c r="K9967" s="12" t="s">
        <v>65</v>
      </c>
    </row>
    <row r="9968" spans="1:11" ht="40.049999999999997" customHeight="1" x14ac:dyDescent="0.25">
      <c r="A9968" s="11" t="s">
        <v>19842</v>
      </c>
      <c r="B9968" s="11" t="s">
        <v>19842</v>
      </c>
      <c r="C9968" s="11" t="s">
        <v>80</v>
      </c>
      <c r="D9968" s="11" t="s">
        <v>18</v>
      </c>
      <c r="E9968" s="12" t="s">
        <v>295</v>
      </c>
      <c r="F9968" s="12" t="s">
        <v>296</v>
      </c>
      <c r="G9968" s="12" t="s">
        <v>46</v>
      </c>
      <c r="H9968" s="11" t="s">
        <v>63</v>
      </c>
      <c r="I9968" s="13" t="s">
        <v>19843</v>
      </c>
      <c r="J9968" s="14" t="str">
        <f>HYPERLINK("https://www.boe.es/gazeta/dias/1839/08/19/pdfs/GMD-1839-1740.pdf#page=3","Abrir facsímil")</f>
        <v>Abrir facsímil</v>
      </c>
      <c r="K9968" s="12" t="s">
        <v>65</v>
      </c>
    </row>
    <row r="9969" spans="1:11" ht="40.049999999999997" customHeight="1" x14ac:dyDescent="0.25">
      <c r="A9969" s="11" t="s">
        <v>19844</v>
      </c>
      <c r="B9969" s="11" t="s">
        <v>19844</v>
      </c>
      <c r="C9969" s="11" t="s">
        <v>80</v>
      </c>
      <c r="D9969" s="11" t="s">
        <v>18</v>
      </c>
      <c r="E9969" s="12" t="s">
        <v>544</v>
      </c>
      <c r="F9969" s="12" t="s">
        <v>545</v>
      </c>
      <c r="G9969" s="12" t="s">
        <v>46</v>
      </c>
      <c r="H9969" s="11" t="s">
        <v>63</v>
      </c>
      <c r="I9969" s="13" t="s">
        <v>19845</v>
      </c>
      <c r="J9969" s="14" t="str">
        <f>HYPERLINK("https://www.boe.es/gazeta/dias/1839/11/11/pdfs/GMD-1839-1828.pdf#page=3","Abrir facsímil")</f>
        <v>Abrir facsímil</v>
      </c>
      <c r="K9969" s="12" t="s">
        <v>65</v>
      </c>
    </row>
    <row r="9970" spans="1:11" ht="40.049999999999997" customHeight="1" x14ac:dyDescent="0.25">
      <c r="A9970" s="11" t="s">
        <v>19846</v>
      </c>
      <c r="B9970" s="11" t="s">
        <v>19847</v>
      </c>
      <c r="C9970" s="11" t="s">
        <v>101</v>
      </c>
      <c r="D9970" s="11" t="s">
        <v>43</v>
      </c>
      <c r="E9970" s="12" t="s">
        <v>587</v>
      </c>
      <c r="F9970" s="12" t="s">
        <v>588</v>
      </c>
      <c r="G9970" s="12" t="s">
        <v>21</v>
      </c>
      <c r="H9970" s="11" t="s">
        <v>63</v>
      </c>
      <c r="I9970" s="13" t="s">
        <v>19848</v>
      </c>
      <c r="J9970" s="14" t="str">
        <f>HYPERLINK("https://www.boe.es/gazeta/dias/1839/05/02/pdfs/GMD-1839-1629.pdf#page=4","Abrir facsímil")</f>
        <v>Abrir facsímil</v>
      </c>
      <c r="K9970" s="12" t="s">
        <v>65</v>
      </c>
    </row>
    <row r="9971" spans="1:11" ht="40.049999999999997" customHeight="1" x14ac:dyDescent="0.25">
      <c r="A9971" s="11" t="s">
        <v>19846</v>
      </c>
      <c r="B9971" s="11" t="s">
        <v>19847</v>
      </c>
      <c r="C9971" s="11" t="s">
        <v>17</v>
      </c>
      <c r="D9971" s="11" t="s">
        <v>18</v>
      </c>
      <c r="E9971" s="12" t="s">
        <v>513</v>
      </c>
      <c r="F9971" s="12" t="s">
        <v>514</v>
      </c>
      <c r="G9971" s="12" t="s">
        <v>29</v>
      </c>
      <c r="H9971" s="11" t="s">
        <v>63</v>
      </c>
      <c r="I9971" s="13" t="s">
        <v>19849</v>
      </c>
      <c r="J9971" s="14" t="str">
        <f>HYPERLINK("https://www.boe.es/gazeta/dias/1839/03/17/pdfs/GMD-1839-1583.pdf#page=1","Abrir facsímil")</f>
        <v>Abrir facsímil</v>
      </c>
      <c r="K9971" s="12" t="s">
        <v>65</v>
      </c>
    </row>
    <row r="9972" spans="1:11" ht="40.049999999999997" customHeight="1" x14ac:dyDescent="0.25">
      <c r="A9972" s="11" t="s">
        <v>19846</v>
      </c>
      <c r="B9972" s="11" t="s">
        <v>19847</v>
      </c>
      <c r="C9972" s="11" t="s">
        <v>17</v>
      </c>
      <c r="D9972" s="11" t="s">
        <v>18</v>
      </c>
      <c r="E9972" s="12" t="s">
        <v>246</v>
      </c>
      <c r="F9972" s="12" t="s">
        <v>247</v>
      </c>
      <c r="G9972" s="12" t="s">
        <v>46</v>
      </c>
      <c r="H9972" s="11" t="s">
        <v>63</v>
      </c>
      <c r="I9972" s="13" t="s">
        <v>19850</v>
      </c>
      <c r="J9972" s="14" t="str">
        <f>HYPERLINK("https://www.boe.es/gazeta/dias/1839/11/24/pdfs/GMD-1839-1841.pdf#page=3","Abrir facsímil")</f>
        <v>Abrir facsímil</v>
      </c>
      <c r="K9972" s="12" t="s">
        <v>65</v>
      </c>
    </row>
    <row r="9973" spans="1:11" ht="40.049999999999997" customHeight="1" x14ac:dyDescent="0.25">
      <c r="A9973" s="11" t="s">
        <v>19851</v>
      </c>
      <c r="B9973" s="11" t="s">
        <v>19852</v>
      </c>
      <c r="C9973" s="11" t="s">
        <v>101</v>
      </c>
      <c r="D9973" s="11" t="s">
        <v>43</v>
      </c>
      <c r="E9973" s="12" t="s">
        <v>519</v>
      </c>
      <c r="F9973" s="12" t="s">
        <v>520</v>
      </c>
      <c r="G9973" s="12" t="s">
        <v>21</v>
      </c>
      <c r="H9973" s="11" t="s">
        <v>63</v>
      </c>
      <c r="I9973" s="13" t="s">
        <v>19853</v>
      </c>
      <c r="J9973" s="14" t="str">
        <f>HYPERLINK("https://www.boe.es/gazeta/dias/1839/02/23/pdfs/GMD-1839-1561.pdf#page=4","Abrir facsímil")</f>
        <v>Abrir facsímil</v>
      </c>
      <c r="K9973" s="12" t="s">
        <v>65</v>
      </c>
    </row>
    <row r="9974" spans="1:11" ht="40.049999999999997" customHeight="1" x14ac:dyDescent="0.25">
      <c r="A9974" s="11" t="s">
        <v>19851</v>
      </c>
      <c r="B9974" s="11" t="s">
        <v>19852</v>
      </c>
      <c r="C9974" s="11" t="s">
        <v>80</v>
      </c>
      <c r="D9974" s="11" t="s">
        <v>18</v>
      </c>
      <c r="E9974" s="12" t="s">
        <v>1310</v>
      </c>
      <c r="F9974" s="12" t="s">
        <v>1311</v>
      </c>
      <c r="G9974" s="12" t="s">
        <v>40</v>
      </c>
      <c r="H9974" s="11" t="s">
        <v>63</v>
      </c>
      <c r="I9974" s="13" t="s">
        <v>19854</v>
      </c>
      <c r="J9974" s="14" t="str">
        <f>HYPERLINK("https://www.boe.es/gazeta/dias/1839/04/23/pdfs/GMD-1839-1620.pdf#page=2","Abrir facsímil")</f>
        <v>Abrir facsímil</v>
      </c>
      <c r="K9974" s="12" t="s">
        <v>65</v>
      </c>
    </row>
    <row r="9975" spans="1:11" ht="40.049999999999997" customHeight="1" x14ac:dyDescent="0.25">
      <c r="A9975" s="11" t="s">
        <v>19855</v>
      </c>
      <c r="B9975" s="11" t="s">
        <v>19856</v>
      </c>
      <c r="C9975" s="11" t="s">
        <v>137</v>
      </c>
      <c r="D9975" s="11" t="s">
        <v>18</v>
      </c>
      <c r="E9975" s="12" t="s">
        <v>4186</v>
      </c>
      <c r="F9975" s="12" t="s">
        <v>4187</v>
      </c>
      <c r="G9975" s="12" t="s">
        <v>21</v>
      </c>
      <c r="H9975" s="11" t="s">
        <v>63</v>
      </c>
      <c r="I9975" s="13" t="s">
        <v>19857</v>
      </c>
      <c r="J9975" s="14" t="str">
        <f>HYPERLINK("https://www.boe.es/gazeta/dias/1839/12/12/pdfs/GMD-1839-1859.pdf#page=4","Abrir facsímil")</f>
        <v>Abrir facsímil</v>
      </c>
      <c r="K9975" s="12" t="s">
        <v>65</v>
      </c>
    </row>
    <row r="9976" spans="1:11" ht="40.049999999999997" customHeight="1" x14ac:dyDescent="0.25">
      <c r="A9976" s="11" t="s">
        <v>19855</v>
      </c>
      <c r="B9976" s="11" t="s">
        <v>19856</v>
      </c>
      <c r="C9976" s="11" t="s">
        <v>137</v>
      </c>
      <c r="D9976" s="11" t="s">
        <v>18</v>
      </c>
      <c r="E9976" s="12" t="s">
        <v>951</v>
      </c>
      <c r="F9976" s="12" t="s">
        <v>952</v>
      </c>
      <c r="G9976" s="12" t="s">
        <v>21</v>
      </c>
      <c r="H9976" s="11" t="s">
        <v>63</v>
      </c>
      <c r="I9976" s="13" t="s">
        <v>19858</v>
      </c>
      <c r="J9976" s="14" t="str">
        <f>HYPERLINK("https://www.boe.es/gazeta/dias/1839/12/30/pdfs/GMD-1839-1877.pdf#page=4","Abrir facsímil")</f>
        <v>Abrir facsímil</v>
      </c>
      <c r="K9976" s="12" t="s">
        <v>65</v>
      </c>
    </row>
    <row r="9977" spans="1:11" ht="40.049999999999997" customHeight="1" x14ac:dyDescent="0.25">
      <c r="A9977" s="11" t="s">
        <v>19859</v>
      </c>
      <c r="B9977" s="11" t="s">
        <v>19859</v>
      </c>
      <c r="C9977" s="11" t="s">
        <v>101</v>
      </c>
      <c r="D9977" s="11" t="s">
        <v>102</v>
      </c>
      <c r="E9977" s="12" t="s">
        <v>892</v>
      </c>
      <c r="F9977" s="12" t="s">
        <v>893</v>
      </c>
      <c r="G9977" s="12" t="s">
        <v>40</v>
      </c>
      <c r="H9977" s="11" t="s">
        <v>63</v>
      </c>
      <c r="I9977" s="13" t="s">
        <v>19860</v>
      </c>
      <c r="J9977" s="14" t="str">
        <f>HYPERLINK("https://www.boe.es/gazeta/dias/1839/12/28/pdfs/GMD-1839-1875.pdf#page=2","Abrir facsímil")</f>
        <v>Abrir facsímil</v>
      </c>
      <c r="K9977" s="12" t="s">
        <v>65</v>
      </c>
    </row>
    <row r="9978" spans="1:11" ht="40.049999999999997" customHeight="1" x14ac:dyDescent="0.25">
      <c r="A9978" s="11" t="s">
        <v>19861</v>
      </c>
      <c r="B9978" s="11" t="s">
        <v>19861</v>
      </c>
      <c r="C9978" s="11" t="s">
        <v>17</v>
      </c>
      <c r="D9978" s="11" t="s">
        <v>18</v>
      </c>
      <c r="E9978" s="12" t="s">
        <v>892</v>
      </c>
      <c r="F9978" s="12" t="s">
        <v>893</v>
      </c>
      <c r="G9978" s="12" t="s">
        <v>40</v>
      </c>
      <c r="H9978" s="11" t="s">
        <v>22</v>
      </c>
      <c r="I9978" s="13" t="s">
        <v>19862</v>
      </c>
      <c r="J9978" s="14" t="str">
        <f>HYPERLINK("https://www.boe.es/gazeta/dias/1839/12/28/pdfs/GMD-1839-1875.pdf#page=2","Abrir facsímil")</f>
        <v>Abrir facsímil</v>
      </c>
      <c r="K9978" s="12" t="s">
        <v>24</v>
      </c>
    </row>
    <row r="9979" spans="1:11" ht="40.049999999999997" customHeight="1" x14ac:dyDescent="0.25">
      <c r="A9979" s="11" t="s">
        <v>19863</v>
      </c>
      <c r="B9979" s="11" t="s">
        <v>19863</v>
      </c>
      <c r="C9979" s="11" t="s">
        <v>17</v>
      </c>
      <c r="D9979" s="11" t="s">
        <v>18</v>
      </c>
      <c r="E9979" s="12" t="s">
        <v>1895</v>
      </c>
      <c r="F9979" s="12" t="s">
        <v>1896</v>
      </c>
      <c r="G9979" s="12" t="s">
        <v>29</v>
      </c>
      <c r="H9979" s="11" t="s">
        <v>63</v>
      </c>
      <c r="I9979" s="13" t="s">
        <v>19864</v>
      </c>
      <c r="J9979" s="14" t="str">
        <f>HYPERLINK("https://www.boe.es/gazeta/dias/1839/12/23/pdfs/GMD-1839-1870.pdf#page=1","Abrir facsímil")</f>
        <v>Abrir facsímil</v>
      </c>
      <c r="K9979" s="12" t="s">
        <v>65</v>
      </c>
    </row>
    <row r="9980" spans="1:11" ht="40.049999999999997" customHeight="1" x14ac:dyDescent="0.25">
      <c r="A9980" s="11" t="s">
        <v>19865</v>
      </c>
      <c r="B9980" s="11" t="s">
        <v>19865</v>
      </c>
      <c r="C9980" s="11" t="s">
        <v>17</v>
      </c>
      <c r="D9980" s="11" t="s">
        <v>18</v>
      </c>
      <c r="E9980" s="12" t="s">
        <v>236</v>
      </c>
      <c r="F9980" s="12" t="s">
        <v>237</v>
      </c>
      <c r="G9980" s="12" t="s">
        <v>40</v>
      </c>
      <c r="H9980" s="11" t="s">
        <v>63</v>
      </c>
      <c r="I9980" s="13" t="s">
        <v>19866</v>
      </c>
      <c r="J9980" s="14" t="str">
        <f>HYPERLINK("https://www.boe.es/gazeta/dias/1839/09/18/pdfs/GMD-1839-1771.pdf#page=2","Abrir facsímil")</f>
        <v>Abrir facsímil</v>
      </c>
      <c r="K9980" s="12" t="s">
        <v>65</v>
      </c>
    </row>
    <row r="9981" spans="1:11" ht="40.049999999999997" customHeight="1" x14ac:dyDescent="0.25">
      <c r="A9981" s="11" t="s">
        <v>19867</v>
      </c>
      <c r="B9981" s="11" t="s">
        <v>19867</v>
      </c>
      <c r="C9981" s="11" t="s">
        <v>80</v>
      </c>
      <c r="D9981" s="11" t="s">
        <v>18</v>
      </c>
      <c r="E9981" s="12" t="s">
        <v>2881</v>
      </c>
      <c r="F9981" s="12" t="s">
        <v>2882</v>
      </c>
      <c r="G9981" s="12" t="s">
        <v>21</v>
      </c>
      <c r="H9981" s="11" t="s">
        <v>63</v>
      </c>
      <c r="I9981" s="13" t="s">
        <v>19868</v>
      </c>
      <c r="J9981" s="14" t="str">
        <f>HYPERLINK("https://www.boe.es/gazeta/dias/1839/05/08/pdfs/GMD-1839-1635.pdf#page=4","Abrir facsímil")</f>
        <v>Abrir facsímil</v>
      </c>
      <c r="K9981" s="12" t="s">
        <v>65</v>
      </c>
    </row>
    <row r="9982" spans="1:11" ht="40.049999999999997" customHeight="1" x14ac:dyDescent="0.25">
      <c r="A9982" s="11" t="s">
        <v>19869</v>
      </c>
      <c r="B9982" s="11" t="s">
        <v>19870</v>
      </c>
      <c r="C9982" s="11" t="s">
        <v>137</v>
      </c>
      <c r="D9982" s="11" t="s">
        <v>18</v>
      </c>
      <c r="E9982" s="12" t="s">
        <v>287</v>
      </c>
      <c r="F9982" s="12" t="s">
        <v>288</v>
      </c>
      <c r="G9982" s="12" t="s">
        <v>46</v>
      </c>
      <c r="H9982" s="11" t="s">
        <v>63</v>
      </c>
      <c r="I9982" s="13" t="s">
        <v>19871</v>
      </c>
      <c r="J9982" s="14" t="str">
        <f>HYPERLINK("https://www.boe.es/gazeta/dias/1839/11/27/pdfs/GMD-1839-1844.pdf#page=3","Abrir facsímil")</f>
        <v>Abrir facsímil</v>
      </c>
      <c r="K9982" s="12" t="s">
        <v>65</v>
      </c>
    </row>
    <row r="9983" spans="1:11" ht="40.049999999999997" customHeight="1" x14ac:dyDescent="0.25">
      <c r="A9983" s="11" t="s">
        <v>19872</v>
      </c>
      <c r="B9983" s="11" t="s">
        <v>19872</v>
      </c>
      <c r="C9983" s="11" t="s">
        <v>17</v>
      </c>
      <c r="D9983" s="11" t="s">
        <v>18</v>
      </c>
      <c r="E9983" s="12" t="s">
        <v>601</v>
      </c>
      <c r="F9983" s="12" t="s">
        <v>602</v>
      </c>
      <c r="G9983" s="12" t="s">
        <v>40</v>
      </c>
      <c r="H9983" s="11" t="s">
        <v>63</v>
      </c>
      <c r="I9983" s="13" t="s">
        <v>19873</v>
      </c>
      <c r="J9983" s="14" t="str">
        <f>HYPERLINK("https://www.boe.es/gazeta/dias/1839/04/21/pdfs/GMD-1839-1618.pdf#page=2","Abrir facsímil")</f>
        <v>Abrir facsímil</v>
      </c>
      <c r="K9983" s="12" t="s">
        <v>65</v>
      </c>
    </row>
    <row r="9984" spans="1:11" ht="40.049999999999997" customHeight="1" x14ac:dyDescent="0.25">
      <c r="A9984" s="11" t="s">
        <v>19874</v>
      </c>
      <c r="B9984" s="11" t="s">
        <v>19874</v>
      </c>
      <c r="C9984" s="11" t="s">
        <v>59</v>
      </c>
      <c r="D9984" s="11" t="s">
        <v>60</v>
      </c>
      <c r="E9984" s="12" t="s">
        <v>544</v>
      </c>
      <c r="F9984" s="12" t="s">
        <v>545</v>
      </c>
      <c r="G9984" s="12" t="s">
        <v>29</v>
      </c>
      <c r="H9984" s="11" t="s">
        <v>63</v>
      </c>
      <c r="I9984" s="13" t="s">
        <v>19875</v>
      </c>
      <c r="J9984" s="14" t="str">
        <f>HYPERLINK("https://www.boe.es/gazeta/dias/1839/11/11/pdfs/GMD-1839-1828.pdf#page=1","Abrir facsímil")</f>
        <v>Abrir facsímil</v>
      </c>
      <c r="K9984" s="12" t="s">
        <v>65</v>
      </c>
    </row>
    <row r="9985" spans="1:11" ht="40.049999999999997" customHeight="1" x14ac:dyDescent="0.25">
      <c r="A9985" s="11" t="s">
        <v>19874</v>
      </c>
      <c r="B9985" s="11" t="s">
        <v>19874</v>
      </c>
      <c r="C9985" s="11" t="s">
        <v>17</v>
      </c>
      <c r="D9985" s="11" t="s">
        <v>18</v>
      </c>
      <c r="E9985" s="12" t="s">
        <v>2522</v>
      </c>
      <c r="F9985" s="12" t="s">
        <v>2523</v>
      </c>
      <c r="G9985" s="12" t="s">
        <v>40</v>
      </c>
      <c r="H9985" s="11" t="s">
        <v>63</v>
      </c>
      <c r="I9985" s="13" t="s">
        <v>19876</v>
      </c>
      <c r="J9985" s="14" t="str">
        <f>HYPERLINK("https://www.boe.es/gazeta/dias/1839/12/29/pdfs/GMD-1839-1876.pdf#page=2","Abrir facsímil")</f>
        <v>Abrir facsímil</v>
      </c>
      <c r="K9985" s="12" t="s">
        <v>65</v>
      </c>
    </row>
    <row r="9986" spans="1:11" ht="40.049999999999997" customHeight="1" x14ac:dyDescent="0.25">
      <c r="A9986" s="11" t="s">
        <v>19877</v>
      </c>
      <c r="B9986" s="11" t="s">
        <v>19878</v>
      </c>
      <c r="C9986" s="11" t="s">
        <v>17</v>
      </c>
      <c r="D9986" s="11" t="s">
        <v>18</v>
      </c>
      <c r="E9986" s="12" t="s">
        <v>601</v>
      </c>
      <c r="F9986" s="12" t="s">
        <v>602</v>
      </c>
      <c r="G9986" s="12" t="s">
        <v>21</v>
      </c>
      <c r="H9986" s="11" t="s">
        <v>63</v>
      </c>
      <c r="I9986" s="13" t="s">
        <v>19879</v>
      </c>
      <c r="J9986" s="14" t="str">
        <f>HYPERLINK("https://www.boe.es/gazeta/dias/1839/04/21/pdfs/GMD-1839-1618.pdf#page=4","Abrir facsímil")</f>
        <v>Abrir facsímil</v>
      </c>
      <c r="K9986" s="12" t="s">
        <v>65</v>
      </c>
    </row>
    <row r="9987" spans="1:11" ht="40.049999999999997" customHeight="1" x14ac:dyDescent="0.25">
      <c r="A9987" s="11" t="s">
        <v>19880</v>
      </c>
      <c r="B9987" s="11" t="s">
        <v>19881</v>
      </c>
      <c r="C9987" s="11" t="s">
        <v>17</v>
      </c>
      <c r="D9987" s="11" t="s">
        <v>18</v>
      </c>
      <c r="E9987" s="12" t="s">
        <v>352</v>
      </c>
      <c r="F9987" s="12" t="s">
        <v>353</v>
      </c>
      <c r="G9987" s="12" t="s">
        <v>29</v>
      </c>
      <c r="H9987" s="11" t="s">
        <v>63</v>
      </c>
      <c r="I9987" s="13" t="s">
        <v>19882</v>
      </c>
      <c r="J9987" s="14" t="str">
        <f>HYPERLINK("https://www.boe.es/gazeta/dias/1839/03/30/pdfs/GMD-1839-1596.pdf#page=1","Abrir facsímil")</f>
        <v>Abrir facsímil</v>
      </c>
      <c r="K9987" s="12" t="s">
        <v>65</v>
      </c>
    </row>
    <row r="9988" spans="1:11" ht="40.049999999999997" customHeight="1" x14ac:dyDescent="0.25">
      <c r="A9988" s="11" t="s">
        <v>19883</v>
      </c>
      <c r="B9988" s="11" t="s">
        <v>19884</v>
      </c>
      <c r="C9988" s="11" t="s">
        <v>17</v>
      </c>
      <c r="D9988" s="11" t="s">
        <v>18</v>
      </c>
      <c r="E9988" s="12" t="s">
        <v>1772</v>
      </c>
      <c r="F9988" s="12" t="s">
        <v>1773</v>
      </c>
      <c r="G9988" s="12" t="s">
        <v>29</v>
      </c>
      <c r="H9988" s="11" t="s">
        <v>63</v>
      </c>
      <c r="I9988" s="13" t="s">
        <v>19885</v>
      </c>
      <c r="J9988" s="14" t="str">
        <f>HYPERLINK("https://www.boe.es/gazeta/dias/1839/05/07/pdfs/GMD-1839-1634.pdf#page=1","Abrir facsímil")</f>
        <v>Abrir facsímil</v>
      </c>
      <c r="K9988" s="12" t="s">
        <v>65</v>
      </c>
    </row>
    <row r="9989" spans="1:11" ht="40.049999999999997" customHeight="1" x14ac:dyDescent="0.25">
      <c r="A9989" s="11" t="s">
        <v>19886</v>
      </c>
      <c r="B9989" s="11" t="s">
        <v>19886</v>
      </c>
      <c r="C9989" s="11" t="s">
        <v>80</v>
      </c>
      <c r="D9989" s="11" t="s">
        <v>173</v>
      </c>
      <c r="E9989" s="12" t="s">
        <v>401</v>
      </c>
      <c r="F9989" s="12" t="s">
        <v>402</v>
      </c>
      <c r="G9989" s="12" t="s">
        <v>29</v>
      </c>
      <c r="H9989" s="11" t="s">
        <v>63</v>
      </c>
      <c r="I9989" s="13" t="s">
        <v>19887</v>
      </c>
      <c r="J9989" s="14" t="str">
        <f>HYPERLINK("https://www.boe.es/gazeta/dias/1839/03/29/pdfs/GMD-1839-1595.pdf#page=1","Abrir facsímil")</f>
        <v>Abrir facsímil</v>
      </c>
      <c r="K9989" s="12" t="s">
        <v>65</v>
      </c>
    </row>
    <row r="9990" spans="1:11" ht="40.049999999999997" customHeight="1" x14ac:dyDescent="0.25">
      <c r="A9990" s="11" t="s">
        <v>19888</v>
      </c>
      <c r="B9990" s="11" t="s">
        <v>19888</v>
      </c>
      <c r="C9990" s="11" t="s">
        <v>59</v>
      </c>
      <c r="D9990" s="11" t="s">
        <v>60</v>
      </c>
      <c r="E9990" s="12" t="s">
        <v>1551</v>
      </c>
      <c r="F9990" s="12" t="s">
        <v>1552</v>
      </c>
      <c r="G9990" s="12" t="s">
        <v>40</v>
      </c>
      <c r="H9990" s="11" t="s">
        <v>63</v>
      </c>
      <c r="I9990" s="13" t="s">
        <v>19889</v>
      </c>
      <c r="J9990" s="14" t="str">
        <f>HYPERLINK("https://www.boe.es/gazeta/dias/1839/06/30/pdfs/GMD-1839-1688.pdf#page=2","Abrir facsímil")</f>
        <v>Abrir facsímil</v>
      </c>
      <c r="K9990" s="12" t="s">
        <v>65</v>
      </c>
    </row>
    <row r="9991" spans="1:11" ht="40.049999999999997" customHeight="1" x14ac:dyDescent="0.25">
      <c r="A9991" s="11" t="s">
        <v>19888</v>
      </c>
      <c r="B9991" s="11" t="s">
        <v>19888</v>
      </c>
      <c r="C9991" s="11" t="s">
        <v>59</v>
      </c>
      <c r="D9991" s="11" t="s">
        <v>60</v>
      </c>
      <c r="E9991" s="12" t="s">
        <v>1551</v>
      </c>
      <c r="F9991" s="12" t="s">
        <v>1552</v>
      </c>
      <c r="G9991" s="12" t="s">
        <v>46</v>
      </c>
      <c r="H9991" s="11" t="s">
        <v>63</v>
      </c>
      <c r="I9991" s="13" t="s">
        <v>19890</v>
      </c>
      <c r="J9991" s="14" t="str">
        <f>HYPERLINK("https://www.boe.es/gazeta/dias/1839/06/30/pdfs/GMD-1839-1688.pdf#page=3","Abrir facsímil")</f>
        <v>Abrir facsímil</v>
      </c>
      <c r="K9991" s="12" t="s">
        <v>65</v>
      </c>
    </row>
    <row r="9992" spans="1:11" ht="40.049999999999997" customHeight="1" x14ac:dyDescent="0.25">
      <c r="A9992" s="11" t="s">
        <v>19891</v>
      </c>
      <c r="B9992" s="11" t="s">
        <v>19891</v>
      </c>
      <c r="C9992" s="11" t="s">
        <v>17</v>
      </c>
      <c r="D9992" s="11" t="s">
        <v>18</v>
      </c>
      <c r="E9992" s="12" t="s">
        <v>121</v>
      </c>
      <c r="F9992" s="12" t="s">
        <v>122</v>
      </c>
      <c r="G9992" s="12" t="s">
        <v>21</v>
      </c>
      <c r="H9992" s="11" t="s">
        <v>63</v>
      </c>
      <c r="I9992" s="13" t="s">
        <v>19892</v>
      </c>
      <c r="J9992" s="14" t="str">
        <f>HYPERLINK("https://www.boe.es/gazeta/dias/1839/06/08/pdfs/GMD-1839-1666.pdf#page=4","Abrir facsímil")</f>
        <v>Abrir facsímil</v>
      </c>
      <c r="K9992" s="12" t="s">
        <v>65</v>
      </c>
    </row>
    <row r="9993" spans="1:11" ht="40.049999999999997" customHeight="1" x14ac:dyDescent="0.25">
      <c r="A9993" s="11" t="s">
        <v>19893</v>
      </c>
      <c r="B9993" s="11" t="s">
        <v>19894</v>
      </c>
      <c r="C9993" s="11" t="s">
        <v>80</v>
      </c>
      <c r="D9993" s="11" t="s">
        <v>18</v>
      </c>
      <c r="E9993" s="12" t="s">
        <v>280</v>
      </c>
      <c r="F9993" s="12" t="s">
        <v>281</v>
      </c>
      <c r="G9993" s="12" t="s">
        <v>21</v>
      </c>
      <c r="H9993" s="11" t="s">
        <v>63</v>
      </c>
      <c r="I9993" s="13" t="s">
        <v>19895</v>
      </c>
      <c r="J9993" s="14" t="str">
        <f>HYPERLINK("https://www.boe.es/gazeta/dias/1839/08/21/pdfs/GMD-1839-1742.pdf#page=4","Abrir facsímil")</f>
        <v>Abrir facsímil</v>
      </c>
      <c r="K9993" s="12" t="s">
        <v>65</v>
      </c>
    </row>
    <row r="9994" spans="1:11" ht="40.049999999999997" customHeight="1" x14ac:dyDescent="0.25">
      <c r="A9994" s="11" t="s">
        <v>19896</v>
      </c>
      <c r="B9994" s="11" t="s">
        <v>19896</v>
      </c>
      <c r="C9994" s="11" t="s">
        <v>17</v>
      </c>
      <c r="D9994" s="11" t="s">
        <v>18</v>
      </c>
      <c r="E9994" s="12" t="s">
        <v>154</v>
      </c>
      <c r="F9994" s="12" t="s">
        <v>155</v>
      </c>
      <c r="G9994" s="12" t="s">
        <v>40</v>
      </c>
      <c r="H9994" s="11" t="s">
        <v>63</v>
      </c>
      <c r="I9994" s="13" t="s">
        <v>19897</v>
      </c>
      <c r="J9994" s="14" t="str">
        <f>HYPERLINK("https://www.boe.es/gazeta/dias/1839/02/02/pdfs/GMD-1839-1540.pdf#page=2","Abrir facsímil")</f>
        <v>Abrir facsímil</v>
      </c>
      <c r="K9994" s="12" t="s">
        <v>65</v>
      </c>
    </row>
    <row r="9995" spans="1:11" ht="40.049999999999997" customHeight="1" x14ac:dyDescent="0.25">
      <c r="A9995" s="11" t="s">
        <v>19896</v>
      </c>
      <c r="B9995" s="11" t="s">
        <v>19896</v>
      </c>
      <c r="C9995" s="11" t="s">
        <v>17</v>
      </c>
      <c r="D9995" s="11" t="s">
        <v>18</v>
      </c>
      <c r="E9995" s="12" t="s">
        <v>197</v>
      </c>
      <c r="F9995" s="12" t="s">
        <v>198</v>
      </c>
      <c r="G9995" s="12" t="s">
        <v>40</v>
      </c>
      <c r="H9995" s="11" t="s">
        <v>63</v>
      </c>
      <c r="I9995" s="13" t="s">
        <v>19898</v>
      </c>
      <c r="J9995" s="14" t="str">
        <f>HYPERLINK("https://www.boe.es/gazeta/dias/1839/10/04/pdfs/GMD-1839-1790.pdf#page=2","Abrir facsímil")</f>
        <v>Abrir facsímil</v>
      </c>
      <c r="K9995" s="12" t="s">
        <v>65</v>
      </c>
    </row>
    <row r="9996" spans="1:11" ht="40.049999999999997" customHeight="1" x14ac:dyDescent="0.25">
      <c r="A9996" s="11" t="s">
        <v>19896</v>
      </c>
      <c r="B9996" s="11" t="s">
        <v>19896</v>
      </c>
      <c r="C9996" s="11" t="s">
        <v>137</v>
      </c>
      <c r="D9996" s="11" t="s">
        <v>18</v>
      </c>
      <c r="E9996" s="12" t="s">
        <v>303</v>
      </c>
      <c r="F9996" s="12" t="s">
        <v>304</v>
      </c>
      <c r="G9996" s="12" t="s">
        <v>40</v>
      </c>
      <c r="H9996" s="11" t="s">
        <v>63</v>
      </c>
      <c r="I9996" s="13" t="s">
        <v>19899</v>
      </c>
      <c r="J9996" s="14" t="str">
        <f>HYPERLINK("https://www.boe.es/gazeta/dias/1839/10/06/pdfs/GMD-1839-1792.pdf#page=2","Abrir facsímil")</f>
        <v>Abrir facsímil</v>
      </c>
      <c r="K9996" s="12" t="s">
        <v>65</v>
      </c>
    </row>
    <row r="9997" spans="1:11" ht="40.049999999999997" customHeight="1" x14ac:dyDescent="0.25">
      <c r="A9997" s="11" t="s">
        <v>19900</v>
      </c>
      <c r="B9997" s="11" t="s">
        <v>19901</v>
      </c>
      <c r="C9997" s="11" t="s">
        <v>17</v>
      </c>
      <c r="D9997" s="11" t="s">
        <v>18</v>
      </c>
      <c r="E9997" s="12" t="s">
        <v>564</v>
      </c>
      <c r="F9997" s="12" t="s">
        <v>565</v>
      </c>
      <c r="G9997" s="12" t="s">
        <v>566</v>
      </c>
      <c r="H9997" s="11" t="s">
        <v>63</v>
      </c>
      <c r="I9997" s="13" t="s">
        <v>19902</v>
      </c>
      <c r="J9997" s="14" t="str">
        <f>HYPERLINK("https://www.boe.es/gazeta/dias/1839/10/17/pdfs/GMD-1839-1803.pdf#page=5","Abrir facsímil")</f>
        <v>Abrir facsímil</v>
      </c>
      <c r="K9997" s="12" t="s">
        <v>65</v>
      </c>
    </row>
    <row r="9998" spans="1:11" ht="40.049999999999997" customHeight="1" x14ac:dyDescent="0.25">
      <c r="A9998" s="11" t="s">
        <v>19903</v>
      </c>
      <c r="B9998" s="11" t="s">
        <v>19903</v>
      </c>
      <c r="C9998" s="11" t="s">
        <v>17</v>
      </c>
      <c r="D9998" s="11" t="s">
        <v>18</v>
      </c>
      <c r="E9998" s="12" t="s">
        <v>677</v>
      </c>
      <c r="F9998" s="12" t="s">
        <v>678</v>
      </c>
      <c r="G9998" s="12" t="s">
        <v>21</v>
      </c>
      <c r="H9998" s="11" t="s">
        <v>63</v>
      </c>
      <c r="I9998" s="13" t="s">
        <v>19904</v>
      </c>
      <c r="J9998" s="14" t="str">
        <f>HYPERLINK("https://www.boe.es/gazeta/dias/1839/04/28/pdfs/GMD-1839-1625.pdf#page=4","Abrir facsímil")</f>
        <v>Abrir facsímil</v>
      </c>
      <c r="K9998" s="12" t="s">
        <v>65</v>
      </c>
    </row>
    <row r="9999" spans="1:11" ht="40.049999999999997" customHeight="1" x14ac:dyDescent="0.25">
      <c r="A9999" s="11" t="s">
        <v>19905</v>
      </c>
      <c r="B9999" s="11" t="s">
        <v>19905</v>
      </c>
      <c r="C9999" s="11" t="s">
        <v>137</v>
      </c>
      <c r="D9999" s="11" t="s">
        <v>18</v>
      </c>
      <c r="E9999" s="12" t="s">
        <v>2507</v>
      </c>
      <c r="F9999" s="12" t="s">
        <v>2508</v>
      </c>
      <c r="G9999" s="12" t="s">
        <v>46</v>
      </c>
      <c r="H9999" s="11" t="s">
        <v>63</v>
      </c>
      <c r="I9999" s="13" t="s">
        <v>19906</v>
      </c>
      <c r="J9999" s="14" t="str">
        <f>HYPERLINK("https://www.boe.es/gazeta/dias/1839/03/08/pdfs/GMD-1839-1574.pdf#page=3","Abrir facsímil")</f>
        <v>Abrir facsímil</v>
      </c>
      <c r="K9999" s="12" t="s">
        <v>65</v>
      </c>
    </row>
    <row r="10000" spans="1:11" ht="40.049999999999997" customHeight="1" x14ac:dyDescent="0.25">
      <c r="A10000" s="11" t="s">
        <v>19905</v>
      </c>
      <c r="B10000" s="11" t="s">
        <v>19905</v>
      </c>
      <c r="C10000" s="11" t="s">
        <v>17</v>
      </c>
      <c r="D10000" s="11" t="s">
        <v>18</v>
      </c>
      <c r="E10000" s="12" t="s">
        <v>192</v>
      </c>
      <c r="F10000" s="12" t="s">
        <v>193</v>
      </c>
      <c r="G10000" s="12" t="s">
        <v>46</v>
      </c>
      <c r="H10000" s="11" t="s">
        <v>63</v>
      </c>
      <c r="I10000" s="13" t="s">
        <v>19907</v>
      </c>
      <c r="J10000" s="14" t="str">
        <f>HYPERLINK("https://www.boe.es/gazeta/dias/1839/01/12/pdfs/GMD-1839-1519.pdf#page=3","Abrir facsímil")</f>
        <v>Abrir facsímil</v>
      </c>
      <c r="K10000" s="12" t="s">
        <v>65</v>
      </c>
    </row>
    <row r="10001" spans="1:11" ht="40.049999999999997" customHeight="1" x14ac:dyDescent="0.25">
      <c r="A10001" s="11" t="s">
        <v>19905</v>
      </c>
      <c r="B10001" s="11" t="s">
        <v>19905</v>
      </c>
      <c r="C10001" s="11" t="s">
        <v>17</v>
      </c>
      <c r="D10001" s="11" t="s">
        <v>18</v>
      </c>
      <c r="E10001" s="12" t="s">
        <v>395</v>
      </c>
      <c r="F10001" s="12" t="s">
        <v>396</v>
      </c>
      <c r="G10001" s="12" t="s">
        <v>40</v>
      </c>
      <c r="H10001" s="11" t="s">
        <v>63</v>
      </c>
      <c r="I10001" s="13" t="s">
        <v>19908</v>
      </c>
      <c r="J10001" s="14" t="str">
        <f>HYPERLINK("https://www.boe.es/gazeta/dias/1839/03/15/pdfs/GMD-1839-1581.pdf#page=2","Abrir facsímil")</f>
        <v>Abrir facsímil</v>
      </c>
      <c r="K10001" s="12" t="s">
        <v>65</v>
      </c>
    </row>
    <row r="10002" spans="1:11" ht="40.049999999999997" customHeight="1" x14ac:dyDescent="0.25">
      <c r="A10002" s="11" t="s">
        <v>19905</v>
      </c>
      <c r="B10002" s="11" t="s">
        <v>19905</v>
      </c>
      <c r="C10002" s="11" t="s">
        <v>137</v>
      </c>
      <c r="D10002" s="11" t="s">
        <v>18</v>
      </c>
      <c r="E10002" s="12" t="s">
        <v>94</v>
      </c>
      <c r="F10002" s="12" t="s">
        <v>95</v>
      </c>
      <c r="G10002" s="12" t="s">
        <v>29</v>
      </c>
      <c r="H10002" s="11" t="s">
        <v>63</v>
      </c>
      <c r="I10002" s="13" t="s">
        <v>19909</v>
      </c>
      <c r="J10002" s="14" t="str">
        <f>HYPERLINK("https://www.boe.es/gazeta/dias/1839/02/24/pdfs/GMD-1839-1562.pdf#page=1","Abrir facsímil")</f>
        <v>Abrir facsímil</v>
      </c>
      <c r="K10002" s="12" t="s">
        <v>65</v>
      </c>
    </row>
    <row r="10003" spans="1:11" ht="40.049999999999997" customHeight="1" x14ac:dyDescent="0.25">
      <c r="A10003" s="11" t="s">
        <v>19910</v>
      </c>
      <c r="B10003" s="11" t="s">
        <v>19910</v>
      </c>
      <c r="C10003" s="11" t="s">
        <v>101</v>
      </c>
      <c r="D10003" s="11" t="s">
        <v>43</v>
      </c>
      <c r="E10003" s="12" t="s">
        <v>369</v>
      </c>
      <c r="F10003" s="12" t="s">
        <v>370</v>
      </c>
      <c r="G10003" s="12" t="s">
        <v>29</v>
      </c>
      <c r="H10003" s="11" t="s">
        <v>63</v>
      </c>
      <c r="I10003" s="13" t="s">
        <v>19911</v>
      </c>
      <c r="J10003" s="14" t="str">
        <f>HYPERLINK("https://www.boe.es/gazeta/dias/1839/11/01/pdfs/GMD-1839-1818.pdf#page=1","Abrir facsímil")</f>
        <v>Abrir facsímil</v>
      </c>
      <c r="K10003" s="12" t="s">
        <v>65</v>
      </c>
    </row>
    <row r="10004" spans="1:11" ht="40.049999999999997" customHeight="1" x14ac:dyDescent="0.25">
      <c r="A10004" s="11" t="s">
        <v>19910</v>
      </c>
      <c r="B10004" s="11" t="s">
        <v>19910</v>
      </c>
      <c r="C10004" s="11" t="s">
        <v>17</v>
      </c>
      <c r="D10004" s="11" t="s">
        <v>18</v>
      </c>
      <c r="E10004" s="12" t="s">
        <v>2463</v>
      </c>
      <c r="F10004" s="12" t="s">
        <v>2464</v>
      </c>
      <c r="G10004" s="12" t="s">
        <v>40</v>
      </c>
      <c r="H10004" s="11" t="s">
        <v>63</v>
      </c>
      <c r="I10004" s="13" t="s">
        <v>19912</v>
      </c>
      <c r="J10004" s="14" t="str">
        <f>HYPERLINK("https://www.boe.es/gazeta/dias/1839/04/26/pdfs/GMD-1839-1623.pdf#page=2","Abrir facsímil")</f>
        <v>Abrir facsímil</v>
      </c>
      <c r="K10004" s="12" t="s">
        <v>65</v>
      </c>
    </row>
    <row r="10005" spans="1:11" ht="40.049999999999997" customHeight="1" x14ac:dyDescent="0.25">
      <c r="A10005" s="11" t="s">
        <v>19910</v>
      </c>
      <c r="B10005" s="11" t="s">
        <v>19910</v>
      </c>
      <c r="C10005" s="11" t="s">
        <v>59</v>
      </c>
      <c r="D10005" s="11" t="s">
        <v>60</v>
      </c>
      <c r="E10005" s="12" t="s">
        <v>716</v>
      </c>
      <c r="F10005" s="12" t="s">
        <v>717</v>
      </c>
      <c r="G10005" s="12" t="s">
        <v>40</v>
      </c>
      <c r="H10005" s="11" t="s">
        <v>63</v>
      </c>
      <c r="I10005" s="13" t="s">
        <v>19913</v>
      </c>
      <c r="J10005" s="14" t="str">
        <f>HYPERLINK("https://www.boe.es/gazeta/dias/1839/07/30/pdfs/GMD-1839-1719.pdf#page=2","Abrir facsímil")</f>
        <v>Abrir facsímil</v>
      </c>
      <c r="K10005" s="12" t="s">
        <v>65</v>
      </c>
    </row>
    <row r="10006" spans="1:11" ht="40.049999999999997" customHeight="1" x14ac:dyDescent="0.25">
      <c r="A10006" s="11" t="s">
        <v>19914</v>
      </c>
      <c r="B10006" s="11" t="s">
        <v>19914</v>
      </c>
      <c r="C10006" s="11" t="s">
        <v>17</v>
      </c>
      <c r="D10006" s="11" t="s">
        <v>18</v>
      </c>
      <c r="E10006" s="12" t="s">
        <v>527</v>
      </c>
      <c r="F10006" s="12" t="s">
        <v>528</v>
      </c>
      <c r="G10006" s="12" t="s">
        <v>29</v>
      </c>
      <c r="H10006" s="11" t="s">
        <v>63</v>
      </c>
      <c r="I10006" s="13" t="s">
        <v>19915</v>
      </c>
      <c r="J10006" s="14" t="str">
        <f>HYPERLINK("https://www.boe.es/gazeta/dias/1839/07/10/pdfs/GMD-1839-1698.pdf#page=1","Abrir facsímil")</f>
        <v>Abrir facsímil</v>
      </c>
      <c r="K10006" s="12" t="s">
        <v>65</v>
      </c>
    </row>
    <row r="10007" spans="1:11" ht="40.049999999999997" customHeight="1" x14ac:dyDescent="0.25">
      <c r="A10007" s="11" t="s">
        <v>19916</v>
      </c>
      <c r="B10007" s="11" t="s">
        <v>19916</v>
      </c>
      <c r="C10007" s="11" t="s">
        <v>17</v>
      </c>
      <c r="D10007" s="11" t="s">
        <v>18</v>
      </c>
      <c r="E10007" s="12" t="s">
        <v>349</v>
      </c>
      <c r="F10007" s="12" t="s">
        <v>350</v>
      </c>
      <c r="G10007" s="12" t="s">
        <v>29</v>
      </c>
      <c r="H10007" s="11" t="s">
        <v>63</v>
      </c>
      <c r="I10007" s="13" t="s">
        <v>19917</v>
      </c>
      <c r="J10007" s="14" t="str">
        <f>HYPERLINK("https://www.boe.es/gazeta/dias/1839/12/25/pdfs/GMD-1839-1872.pdf#page=1","Abrir facsímil")</f>
        <v>Abrir facsímil</v>
      </c>
      <c r="K10007" s="12" t="s">
        <v>65</v>
      </c>
    </row>
    <row r="10008" spans="1:11" ht="40.049999999999997" customHeight="1" x14ac:dyDescent="0.25">
      <c r="A10008" s="11" t="s">
        <v>19918</v>
      </c>
      <c r="B10008" s="11" t="s">
        <v>19918</v>
      </c>
      <c r="C10008" s="11" t="s">
        <v>80</v>
      </c>
      <c r="D10008" s="11" t="s">
        <v>18</v>
      </c>
      <c r="E10008" s="12" t="s">
        <v>844</v>
      </c>
      <c r="F10008" s="12" t="s">
        <v>845</v>
      </c>
      <c r="G10008" s="12" t="s">
        <v>40</v>
      </c>
      <c r="H10008" s="11" t="s">
        <v>63</v>
      </c>
      <c r="I10008" s="13" t="s">
        <v>19919</v>
      </c>
      <c r="J10008" s="14" t="str">
        <f>HYPERLINK("https://www.boe.es/gazeta/dias/1839/12/24/pdfs/GMD-1839-1871.pdf#page=2","Abrir facsímil")</f>
        <v>Abrir facsímil</v>
      </c>
      <c r="K10008" s="12" t="s">
        <v>65</v>
      </c>
    </row>
    <row r="10009" spans="1:11" ht="40.049999999999997" customHeight="1" x14ac:dyDescent="0.25">
      <c r="A10009" s="11" t="s">
        <v>19920</v>
      </c>
      <c r="B10009" s="11" t="s">
        <v>19921</v>
      </c>
      <c r="C10009" s="11" t="s">
        <v>17</v>
      </c>
      <c r="D10009" s="11" t="s">
        <v>18</v>
      </c>
      <c r="E10009" s="12" t="s">
        <v>1252</v>
      </c>
      <c r="F10009" s="12" t="s">
        <v>1253</v>
      </c>
      <c r="G10009" s="12" t="s">
        <v>29</v>
      </c>
      <c r="H10009" s="11" t="s">
        <v>63</v>
      </c>
      <c r="I10009" s="13" t="s">
        <v>19922</v>
      </c>
      <c r="J10009" s="14" t="str">
        <f>HYPERLINK("https://www.boe.es/gazeta/dias/1839/06/15/pdfs/GMD-1839-1673.pdf#page=1","Abrir facsímil")</f>
        <v>Abrir facsímil</v>
      </c>
      <c r="K10009" s="12" t="s">
        <v>65</v>
      </c>
    </row>
    <row r="10010" spans="1:11" ht="40.049999999999997" customHeight="1" x14ac:dyDescent="0.25">
      <c r="A10010" s="11" t="s">
        <v>19923</v>
      </c>
      <c r="B10010" s="11" t="s">
        <v>19923</v>
      </c>
      <c r="C10010" s="11" t="s">
        <v>59</v>
      </c>
      <c r="D10010" s="11" t="s">
        <v>60</v>
      </c>
      <c r="E10010" s="12" t="s">
        <v>360</v>
      </c>
      <c r="F10010" s="12" t="s">
        <v>361</v>
      </c>
      <c r="G10010" s="12" t="s">
        <v>29</v>
      </c>
      <c r="H10010" s="11" t="s">
        <v>63</v>
      </c>
      <c r="I10010" s="13" t="s">
        <v>19924</v>
      </c>
      <c r="J10010" s="14" t="str">
        <f>HYPERLINK("https://www.boe.es/gazeta/dias/1839/08/22/pdfs/GMD-1839-1743.pdf#page=1","Abrir facsímil")</f>
        <v>Abrir facsímil</v>
      </c>
      <c r="K10010" s="12" t="s">
        <v>65</v>
      </c>
    </row>
    <row r="10011" spans="1:11" ht="40.049999999999997" customHeight="1" x14ac:dyDescent="0.25">
      <c r="A10011" s="11" t="s">
        <v>19925</v>
      </c>
      <c r="B10011" s="11" t="s">
        <v>19926</v>
      </c>
      <c r="C10011" s="11" t="s">
        <v>17</v>
      </c>
      <c r="D10011" s="11" t="s">
        <v>18</v>
      </c>
      <c r="E10011" s="12" t="s">
        <v>1685</v>
      </c>
      <c r="F10011" s="12" t="s">
        <v>1686</v>
      </c>
      <c r="G10011" s="12" t="s">
        <v>29</v>
      </c>
      <c r="H10011" s="11" t="s">
        <v>63</v>
      </c>
      <c r="I10011" s="13" t="s">
        <v>19927</v>
      </c>
      <c r="J10011" s="14" t="str">
        <f>HYPERLINK("https://www.boe.es/gazeta/dias/1839/04/27/pdfs/GMD-1839-1624.pdf#page=1","Abrir facsímil")</f>
        <v>Abrir facsímil</v>
      </c>
      <c r="K10011" s="12" t="s">
        <v>65</v>
      </c>
    </row>
    <row r="10012" spans="1:11" ht="40.049999999999997" customHeight="1" x14ac:dyDescent="0.25">
      <c r="A10012" s="11" t="s">
        <v>19928</v>
      </c>
      <c r="B10012" s="11" t="s">
        <v>19928</v>
      </c>
      <c r="C10012" s="11" t="s">
        <v>17</v>
      </c>
      <c r="D10012" s="11" t="s">
        <v>18</v>
      </c>
      <c r="E10012" s="12" t="s">
        <v>1340</v>
      </c>
      <c r="F10012" s="12" t="s">
        <v>1341</v>
      </c>
      <c r="G10012" s="12" t="s">
        <v>40</v>
      </c>
      <c r="H10012" s="11" t="s">
        <v>63</v>
      </c>
      <c r="I10012" s="13" t="s">
        <v>19929</v>
      </c>
      <c r="J10012" s="14" t="str">
        <f>HYPERLINK("https://www.boe.es/gazeta/dias/1839/05/05/pdfs/GMD-1839-1632.pdf#page=2","Abrir facsímil")</f>
        <v>Abrir facsímil</v>
      </c>
      <c r="K10012" s="12" t="s">
        <v>65</v>
      </c>
    </row>
    <row r="10013" spans="1:11" ht="40.049999999999997" customHeight="1" x14ac:dyDescent="0.25">
      <c r="A10013" s="11" t="s">
        <v>19930</v>
      </c>
      <c r="B10013" s="11" t="s">
        <v>19930</v>
      </c>
      <c r="C10013" s="11" t="s">
        <v>17</v>
      </c>
      <c r="D10013" s="11" t="s">
        <v>18</v>
      </c>
      <c r="E10013" s="12" t="s">
        <v>1012</v>
      </c>
      <c r="F10013" s="12" t="s">
        <v>1013</v>
      </c>
      <c r="G10013" s="12" t="s">
        <v>29</v>
      </c>
      <c r="H10013" s="11" t="s">
        <v>63</v>
      </c>
      <c r="I10013" s="13" t="s">
        <v>19931</v>
      </c>
      <c r="J10013" s="14" t="str">
        <f>HYPERLINK("https://www.boe.es/gazeta/dias/1839/11/22/pdfs/GMD-1839-1839.pdf#page=1","Abrir facsímil")</f>
        <v>Abrir facsímil</v>
      </c>
      <c r="K10013" s="12" t="s">
        <v>65</v>
      </c>
    </row>
    <row r="10014" spans="1:11" ht="40.049999999999997" customHeight="1" x14ac:dyDescent="0.25">
      <c r="A10014" s="11" t="s">
        <v>19932</v>
      </c>
      <c r="B10014" s="11" t="s">
        <v>19933</v>
      </c>
      <c r="C10014" s="11" t="s">
        <v>137</v>
      </c>
      <c r="D10014" s="11" t="s">
        <v>18</v>
      </c>
      <c r="E10014" s="12" t="s">
        <v>94</v>
      </c>
      <c r="F10014" s="12" t="s">
        <v>95</v>
      </c>
      <c r="G10014" s="12" t="s">
        <v>29</v>
      </c>
      <c r="H10014" s="11" t="s">
        <v>63</v>
      </c>
      <c r="I10014" s="13" t="s">
        <v>19934</v>
      </c>
      <c r="J10014" s="14" t="str">
        <f>HYPERLINK("https://www.boe.es/gazeta/dias/1839/02/24/pdfs/GMD-1839-1562.pdf#page=1","Abrir facsímil")</f>
        <v>Abrir facsímil</v>
      </c>
      <c r="K10014" s="12" t="s">
        <v>65</v>
      </c>
    </row>
    <row r="10015" spans="1:11" ht="40.049999999999997" customHeight="1" x14ac:dyDescent="0.25">
      <c r="A10015" s="11" t="s">
        <v>19935</v>
      </c>
      <c r="B10015" s="11" t="s">
        <v>19935</v>
      </c>
      <c r="C10015" s="11" t="s">
        <v>137</v>
      </c>
      <c r="D10015" s="11" t="s">
        <v>18</v>
      </c>
      <c r="E10015" s="12" t="s">
        <v>246</v>
      </c>
      <c r="F10015" s="12" t="s">
        <v>247</v>
      </c>
      <c r="G10015" s="12" t="s">
        <v>40</v>
      </c>
      <c r="H10015" s="11" t="s">
        <v>63</v>
      </c>
      <c r="I10015" s="13" t="s">
        <v>19936</v>
      </c>
      <c r="J10015" s="14" t="str">
        <f>HYPERLINK("https://www.boe.es/gazeta/dias/1839/11/24/pdfs/GMD-1839-1841.pdf#page=2","Abrir facsímil")</f>
        <v>Abrir facsímil</v>
      </c>
      <c r="K10015" s="12" t="s">
        <v>65</v>
      </c>
    </row>
    <row r="10016" spans="1:11" ht="40.049999999999997" customHeight="1" x14ac:dyDescent="0.25">
      <c r="A10016" s="11" t="s">
        <v>19937</v>
      </c>
      <c r="B10016" s="11" t="s">
        <v>19937</v>
      </c>
      <c r="C10016" s="11" t="s">
        <v>17</v>
      </c>
      <c r="D10016" s="11" t="s">
        <v>18</v>
      </c>
      <c r="E10016" s="12" t="s">
        <v>1729</v>
      </c>
      <c r="F10016" s="12" t="s">
        <v>1730</v>
      </c>
      <c r="G10016" s="12" t="s">
        <v>40</v>
      </c>
      <c r="H10016" s="11" t="s">
        <v>63</v>
      </c>
      <c r="I10016" s="13" t="s">
        <v>19938</v>
      </c>
      <c r="J10016" s="14" t="str">
        <f>HYPERLINK("https://www.boe.es/gazeta/dias/1839/04/25/pdfs/GMD-1839-1622.pdf#page=2","Abrir facsímil")</f>
        <v>Abrir facsímil</v>
      </c>
      <c r="K10016" s="12" t="s">
        <v>65</v>
      </c>
    </row>
    <row r="10017" spans="1:11" ht="40.049999999999997" customHeight="1" x14ac:dyDescent="0.25">
      <c r="A10017" s="11" t="s">
        <v>19939</v>
      </c>
      <c r="B10017" s="11" t="s">
        <v>19940</v>
      </c>
      <c r="C10017" s="11" t="s">
        <v>137</v>
      </c>
      <c r="D10017" s="11" t="s">
        <v>18</v>
      </c>
      <c r="E10017" s="12" t="s">
        <v>89</v>
      </c>
      <c r="F10017" s="12" t="s">
        <v>90</v>
      </c>
      <c r="G10017" s="12" t="s">
        <v>21</v>
      </c>
      <c r="H10017" s="11" t="s">
        <v>63</v>
      </c>
      <c r="I10017" s="13" t="s">
        <v>19941</v>
      </c>
      <c r="J10017" s="14" t="str">
        <f>HYPERLINK("https://www.boe.es/gazeta/dias/1839/11/28/pdfs/GMD-1839-1845.pdf#page=4","Abrir facsímil")</f>
        <v>Abrir facsímil</v>
      </c>
      <c r="K10017" s="12" t="s">
        <v>65</v>
      </c>
    </row>
    <row r="10018" spans="1:11" ht="40.049999999999997" customHeight="1" x14ac:dyDescent="0.25">
      <c r="A10018" s="11" t="s">
        <v>19942</v>
      </c>
      <c r="B10018" s="11" t="s">
        <v>19942</v>
      </c>
      <c r="C10018" s="11" t="s">
        <v>17</v>
      </c>
      <c r="D10018" s="11" t="s">
        <v>18</v>
      </c>
      <c r="E10018" s="12" t="s">
        <v>2374</v>
      </c>
      <c r="F10018" s="12" t="s">
        <v>2375</v>
      </c>
      <c r="G10018" s="12" t="s">
        <v>46</v>
      </c>
      <c r="H10018" s="11" t="s">
        <v>63</v>
      </c>
      <c r="I10018" s="13" t="s">
        <v>19943</v>
      </c>
      <c r="J10018" s="14" t="str">
        <f>HYPERLINK("https://www.boe.es/gazeta/dias/1839/06/14/pdfs/GMD-1839-1672.pdf#page=3","Abrir facsímil")</f>
        <v>Abrir facsímil</v>
      </c>
      <c r="K10018" s="12" t="s">
        <v>65</v>
      </c>
    </row>
    <row r="10019" spans="1:11" ht="40.049999999999997" customHeight="1" x14ac:dyDescent="0.25">
      <c r="A10019" s="11" t="s">
        <v>19944</v>
      </c>
      <c r="B10019" s="11" t="s">
        <v>19945</v>
      </c>
      <c r="C10019" s="11" t="s">
        <v>137</v>
      </c>
      <c r="D10019" s="11" t="s">
        <v>18</v>
      </c>
      <c r="E10019" s="12" t="s">
        <v>479</v>
      </c>
      <c r="F10019" s="12" t="s">
        <v>480</v>
      </c>
      <c r="G10019" s="12" t="s">
        <v>21</v>
      </c>
      <c r="H10019" s="11" t="s">
        <v>63</v>
      </c>
      <c r="I10019" s="13" t="s">
        <v>19946</v>
      </c>
      <c r="J10019" s="14" t="str">
        <f>HYPERLINK("https://www.boe.es/gazeta/dias/1839/06/24/pdfs/GMD-1839-1682.pdf#page=4","Abrir facsímil")</f>
        <v>Abrir facsímil</v>
      </c>
      <c r="K10019" s="12" t="s">
        <v>65</v>
      </c>
    </row>
    <row r="10020" spans="1:11" ht="40.049999999999997" customHeight="1" x14ac:dyDescent="0.25">
      <c r="A10020" s="11" t="s">
        <v>19947</v>
      </c>
      <c r="B10020" s="11" t="s">
        <v>19947</v>
      </c>
      <c r="C10020" s="11" t="s">
        <v>101</v>
      </c>
      <c r="D10020" s="11" t="s">
        <v>43</v>
      </c>
      <c r="E10020" s="12" t="s">
        <v>744</v>
      </c>
      <c r="F10020" s="12" t="s">
        <v>745</v>
      </c>
      <c r="G10020" s="12" t="s">
        <v>29</v>
      </c>
      <c r="H10020" s="11" t="s">
        <v>63</v>
      </c>
      <c r="I10020" s="13" t="s">
        <v>19948</v>
      </c>
      <c r="J10020" s="14" t="str">
        <f>HYPERLINK("https://www.boe.es/gazeta/dias/1839/12/09/pdfs/GMD-1839-1856.pdf#page=1","Abrir facsímil")</f>
        <v>Abrir facsímil</v>
      </c>
      <c r="K10020" s="12" t="s">
        <v>65</v>
      </c>
    </row>
    <row r="10021" spans="1:11" ht="40.049999999999997" customHeight="1" x14ac:dyDescent="0.25">
      <c r="A10021" s="11" t="s">
        <v>19949</v>
      </c>
      <c r="B10021" s="11" t="s">
        <v>19949</v>
      </c>
      <c r="C10021" s="11" t="s">
        <v>17</v>
      </c>
      <c r="D10021" s="11" t="s">
        <v>18</v>
      </c>
      <c r="E10021" s="12" t="s">
        <v>3134</v>
      </c>
      <c r="F10021" s="12" t="s">
        <v>3135</v>
      </c>
      <c r="G10021" s="12" t="s">
        <v>40</v>
      </c>
      <c r="H10021" s="11" t="s">
        <v>63</v>
      </c>
      <c r="I10021" s="13" t="s">
        <v>19950</v>
      </c>
      <c r="J10021" s="14" t="str">
        <f>HYPERLINK("https://www.boe.es/gazeta/dias/1839/08/09/pdfs/GMD-1839-1729.pdf#page=2","Abrir facsímil")</f>
        <v>Abrir facsímil</v>
      </c>
      <c r="K10021" s="12" t="s">
        <v>65</v>
      </c>
    </row>
    <row r="10022" spans="1:11" ht="40.049999999999997" customHeight="1" x14ac:dyDescent="0.25">
      <c r="A10022" s="11" t="s">
        <v>19951</v>
      </c>
      <c r="B10022" s="11" t="s">
        <v>19952</v>
      </c>
      <c r="C10022" s="11" t="s">
        <v>17</v>
      </c>
      <c r="D10022" s="11" t="s">
        <v>18</v>
      </c>
      <c r="E10022" s="12" t="s">
        <v>3134</v>
      </c>
      <c r="F10022" s="12" t="s">
        <v>3135</v>
      </c>
      <c r="G10022" s="12" t="s">
        <v>29</v>
      </c>
      <c r="H10022" s="11" t="s">
        <v>63</v>
      </c>
      <c r="I10022" s="13" t="s">
        <v>19953</v>
      </c>
      <c r="J10022" s="14" t="str">
        <f>HYPERLINK("https://www.boe.es/gazeta/dias/1839/08/09/pdfs/GMD-1839-1729.pdf#page=1","Abrir facsímil")</f>
        <v>Abrir facsímil</v>
      </c>
      <c r="K10022" s="12" t="s">
        <v>65</v>
      </c>
    </row>
    <row r="10023" spans="1:11" ht="40.049999999999997" customHeight="1" x14ac:dyDescent="0.25">
      <c r="A10023" s="11" t="s">
        <v>19951</v>
      </c>
      <c r="B10023" s="11" t="s">
        <v>19952</v>
      </c>
      <c r="C10023" s="11" t="s">
        <v>59</v>
      </c>
      <c r="D10023" s="11" t="s">
        <v>60</v>
      </c>
      <c r="E10023" s="12" t="s">
        <v>756</v>
      </c>
      <c r="F10023" s="12" t="s">
        <v>757</v>
      </c>
      <c r="G10023" s="12" t="s">
        <v>29</v>
      </c>
      <c r="H10023" s="11" t="s">
        <v>63</v>
      </c>
      <c r="I10023" s="13" t="s">
        <v>19954</v>
      </c>
      <c r="J10023" s="14" t="str">
        <f>HYPERLINK("https://www.boe.es/gazeta/dias/1839/12/17/pdfs/GMD-1839-1864.pdf#page=1","Abrir facsímil")</f>
        <v>Abrir facsímil</v>
      </c>
      <c r="K10023" s="12" t="s">
        <v>65</v>
      </c>
    </row>
    <row r="10024" spans="1:11" ht="40.049999999999997" customHeight="1" x14ac:dyDescent="0.25">
      <c r="A10024" s="11" t="s">
        <v>19955</v>
      </c>
      <c r="B10024" s="11" t="s">
        <v>19956</v>
      </c>
      <c r="C10024" s="11" t="s">
        <v>59</v>
      </c>
      <c r="D10024" s="11" t="s">
        <v>60</v>
      </c>
      <c r="E10024" s="12" t="s">
        <v>756</v>
      </c>
      <c r="F10024" s="12" t="s">
        <v>757</v>
      </c>
      <c r="G10024" s="12" t="s">
        <v>29</v>
      </c>
      <c r="H10024" s="11" t="s">
        <v>63</v>
      </c>
      <c r="I10024" s="13" t="s">
        <v>19957</v>
      </c>
      <c r="J10024" s="14" t="str">
        <f>HYPERLINK("https://www.boe.es/gazeta/dias/1839/12/17/pdfs/GMD-1839-1864.pdf#page=1","Abrir facsímil")</f>
        <v>Abrir facsímil</v>
      </c>
      <c r="K10024" s="12" t="s">
        <v>65</v>
      </c>
    </row>
    <row r="10025" spans="1:11" ht="40.049999999999997" customHeight="1" x14ac:dyDescent="0.25">
      <c r="A10025" s="11" t="s">
        <v>19958</v>
      </c>
      <c r="B10025" s="11" t="s">
        <v>19959</v>
      </c>
      <c r="C10025" s="11" t="s">
        <v>80</v>
      </c>
      <c r="D10025" s="11" t="s">
        <v>18</v>
      </c>
      <c r="E10025" s="12" t="s">
        <v>38</v>
      </c>
      <c r="F10025" s="12" t="s">
        <v>39</v>
      </c>
      <c r="G10025" s="12" t="s">
        <v>21</v>
      </c>
      <c r="H10025" s="11" t="s">
        <v>63</v>
      </c>
      <c r="I10025" s="13" t="s">
        <v>19960</v>
      </c>
      <c r="J10025" s="14" t="str">
        <f>HYPERLINK("https://www.boe.es/gazeta/dias/1839/08/08/pdfs/GMD-1839-1728.pdf#page=4","Abrir facsímil")</f>
        <v>Abrir facsímil</v>
      </c>
      <c r="K10025" s="12" t="s">
        <v>65</v>
      </c>
    </row>
    <row r="10026" spans="1:11" ht="40.049999999999997" customHeight="1" x14ac:dyDescent="0.25">
      <c r="A10026" s="11" t="s">
        <v>19961</v>
      </c>
      <c r="B10026" s="11" t="s">
        <v>19961</v>
      </c>
      <c r="C10026" s="11" t="s">
        <v>17</v>
      </c>
      <c r="D10026" s="11" t="s">
        <v>18</v>
      </c>
      <c r="E10026" s="12" t="s">
        <v>1388</v>
      </c>
      <c r="F10026" s="12" t="s">
        <v>1389</v>
      </c>
      <c r="G10026" s="12" t="s">
        <v>21</v>
      </c>
      <c r="H10026" s="11" t="s">
        <v>63</v>
      </c>
      <c r="I10026" s="13" t="s">
        <v>19962</v>
      </c>
      <c r="J10026" s="14" t="str">
        <f>HYPERLINK("https://www.boe.es/gazeta/dias/1839/06/04/pdfs/GMD-1839-1662.pdf#page=4","Abrir facsímil")</f>
        <v>Abrir facsímil</v>
      </c>
      <c r="K10026" s="12" t="s">
        <v>65</v>
      </c>
    </row>
    <row r="10027" spans="1:11" ht="40.049999999999997" customHeight="1" x14ac:dyDescent="0.25">
      <c r="A10027" s="11" t="s">
        <v>19963</v>
      </c>
      <c r="B10027" s="11" t="s">
        <v>19963</v>
      </c>
      <c r="C10027" s="11" t="s">
        <v>80</v>
      </c>
      <c r="D10027" s="11" t="s">
        <v>18</v>
      </c>
      <c r="E10027" s="12" t="s">
        <v>2374</v>
      </c>
      <c r="F10027" s="12" t="s">
        <v>2375</v>
      </c>
      <c r="G10027" s="12" t="s">
        <v>21</v>
      </c>
      <c r="H10027" s="11" t="s">
        <v>63</v>
      </c>
      <c r="I10027" s="13" t="s">
        <v>19964</v>
      </c>
      <c r="J10027" s="14" t="str">
        <f>HYPERLINK("https://www.boe.es/gazeta/dias/1839/06/14/pdfs/GMD-1839-1672.pdf#page=4","Abrir facsímil")</f>
        <v>Abrir facsímil</v>
      </c>
      <c r="K10027" s="12" t="s">
        <v>65</v>
      </c>
    </row>
    <row r="10028" spans="1:11" ht="40.049999999999997" customHeight="1" x14ac:dyDescent="0.25">
      <c r="A10028" s="11" t="s">
        <v>19963</v>
      </c>
      <c r="B10028" s="11" t="s">
        <v>19963</v>
      </c>
      <c r="C10028" s="11" t="s">
        <v>17</v>
      </c>
      <c r="D10028" s="11" t="s">
        <v>18</v>
      </c>
      <c r="E10028" s="12" t="s">
        <v>496</v>
      </c>
      <c r="F10028" s="12" t="s">
        <v>497</v>
      </c>
      <c r="G10028" s="12" t="s">
        <v>46</v>
      </c>
      <c r="H10028" s="11" t="s">
        <v>63</v>
      </c>
      <c r="I10028" s="13" t="s">
        <v>19965</v>
      </c>
      <c r="J10028" s="14" t="str">
        <f>HYPERLINK("https://www.boe.es/gazeta/dias/1839/11/23/pdfs/GMD-1839-1840.pdf#page=3","Abrir facsímil")</f>
        <v>Abrir facsímil</v>
      </c>
      <c r="K10028" s="12" t="s">
        <v>65</v>
      </c>
    </row>
    <row r="10029" spans="1:11" ht="40.049999999999997" customHeight="1" x14ac:dyDescent="0.25">
      <c r="A10029" s="11" t="s">
        <v>19966</v>
      </c>
      <c r="B10029" s="11" t="s">
        <v>19966</v>
      </c>
      <c r="C10029" s="11" t="s">
        <v>17</v>
      </c>
      <c r="D10029" s="11" t="s">
        <v>18</v>
      </c>
      <c r="E10029" s="12" t="s">
        <v>3224</v>
      </c>
      <c r="F10029" s="12" t="s">
        <v>3225</v>
      </c>
      <c r="G10029" s="12" t="s">
        <v>46</v>
      </c>
      <c r="H10029" s="11" t="s">
        <v>63</v>
      </c>
      <c r="I10029" s="13" t="s">
        <v>19967</v>
      </c>
      <c r="J10029" s="14" t="str">
        <f>HYPERLINK("https://www.boe.es/gazeta/dias/1839/06/03/pdfs/GMD-1839-1661.pdf#page=3","Abrir facsímil")</f>
        <v>Abrir facsímil</v>
      </c>
      <c r="K10029" s="12" t="s">
        <v>65</v>
      </c>
    </row>
    <row r="10030" spans="1:11" ht="40.049999999999997" customHeight="1" x14ac:dyDescent="0.25">
      <c r="A10030" s="11" t="s">
        <v>19966</v>
      </c>
      <c r="B10030" s="11" t="s">
        <v>19966</v>
      </c>
      <c r="C10030" s="11" t="s">
        <v>17</v>
      </c>
      <c r="D10030" s="11" t="s">
        <v>18</v>
      </c>
      <c r="E10030" s="12" t="s">
        <v>1388</v>
      </c>
      <c r="F10030" s="12" t="s">
        <v>1389</v>
      </c>
      <c r="G10030" s="12" t="s">
        <v>21</v>
      </c>
      <c r="H10030" s="11" t="s">
        <v>63</v>
      </c>
      <c r="I10030" s="13" t="s">
        <v>19968</v>
      </c>
      <c r="J10030" s="14" t="str">
        <f>HYPERLINK("https://www.boe.es/gazeta/dias/1839/06/04/pdfs/GMD-1839-1662.pdf#page=4","Abrir facsímil")</f>
        <v>Abrir facsímil</v>
      </c>
      <c r="K10030" s="12" t="s">
        <v>65</v>
      </c>
    </row>
    <row r="10031" spans="1:11" ht="40.049999999999997" customHeight="1" x14ac:dyDescent="0.25">
      <c r="A10031" s="11" t="s">
        <v>19969</v>
      </c>
      <c r="B10031" s="11" t="s">
        <v>19970</v>
      </c>
      <c r="C10031" s="11" t="s">
        <v>17</v>
      </c>
      <c r="D10031" s="11" t="s">
        <v>18</v>
      </c>
      <c r="E10031" s="12" t="s">
        <v>3224</v>
      </c>
      <c r="F10031" s="12" t="s">
        <v>3225</v>
      </c>
      <c r="G10031" s="12" t="s">
        <v>46</v>
      </c>
      <c r="H10031" s="11" t="s">
        <v>63</v>
      </c>
      <c r="I10031" s="13" t="s">
        <v>19971</v>
      </c>
      <c r="J10031" s="14" t="str">
        <f>HYPERLINK("https://www.boe.es/gazeta/dias/1839/06/03/pdfs/GMD-1839-1661.pdf#page=3","Abrir facsímil")</f>
        <v>Abrir facsímil</v>
      </c>
      <c r="K10031" s="12" t="s">
        <v>65</v>
      </c>
    </row>
    <row r="10032" spans="1:11" ht="40.049999999999997" customHeight="1" x14ac:dyDescent="0.25">
      <c r="A10032" s="11" t="s">
        <v>19972</v>
      </c>
      <c r="B10032" s="11" t="s">
        <v>19973</v>
      </c>
      <c r="C10032" s="11" t="s">
        <v>17</v>
      </c>
      <c r="D10032" s="11" t="s">
        <v>18</v>
      </c>
      <c r="E10032" s="12" t="s">
        <v>1388</v>
      </c>
      <c r="F10032" s="12" t="s">
        <v>1389</v>
      </c>
      <c r="G10032" s="12" t="s">
        <v>21</v>
      </c>
      <c r="H10032" s="11" t="s">
        <v>63</v>
      </c>
      <c r="I10032" s="13" t="s">
        <v>19974</v>
      </c>
      <c r="J10032" s="14" t="str">
        <f>HYPERLINK("https://www.boe.es/gazeta/dias/1839/06/04/pdfs/GMD-1839-1662.pdf#page=4","Abrir facsímil")</f>
        <v>Abrir facsímil</v>
      </c>
      <c r="K10032" s="12" t="s">
        <v>65</v>
      </c>
    </row>
    <row r="10033" spans="1:11" ht="40.049999999999997" customHeight="1" x14ac:dyDescent="0.25">
      <c r="A10033" s="11" t="s">
        <v>19975</v>
      </c>
      <c r="B10033" s="11" t="s">
        <v>19975</v>
      </c>
      <c r="C10033" s="11" t="s">
        <v>59</v>
      </c>
      <c r="D10033" s="11" t="s">
        <v>60</v>
      </c>
      <c r="E10033" s="12" t="s">
        <v>320</v>
      </c>
      <c r="F10033" s="12" t="s">
        <v>321</v>
      </c>
      <c r="G10033" s="12" t="s">
        <v>29</v>
      </c>
      <c r="H10033" s="11" t="s">
        <v>63</v>
      </c>
      <c r="I10033" s="13" t="s">
        <v>19976</v>
      </c>
      <c r="J10033" s="14" t="str">
        <f>HYPERLINK("https://www.boe.es/gazeta/dias/1839/05/11/pdfs/GMD-1839-1638.pdf#page=1","Abrir facsímil")</f>
        <v>Abrir facsímil</v>
      </c>
      <c r="K10033" s="12" t="s">
        <v>65</v>
      </c>
    </row>
    <row r="10034" spans="1:11" ht="40.049999999999997" customHeight="1" x14ac:dyDescent="0.25">
      <c r="A10034" s="11" t="s">
        <v>19977</v>
      </c>
      <c r="B10034" s="11" t="s">
        <v>19977</v>
      </c>
      <c r="C10034" s="11" t="s">
        <v>17</v>
      </c>
      <c r="D10034" s="11" t="s">
        <v>18</v>
      </c>
      <c r="E10034" s="12" t="s">
        <v>1144</v>
      </c>
      <c r="F10034" s="12" t="s">
        <v>1145</v>
      </c>
      <c r="G10034" s="12" t="s">
        <v>40</v>
      </c>
      <c r="H10034" s="11" t="s">
        <v>63</v>
      </c>
      <c r="I10034" s="13" t="s">
        <v>19978</v>
      </c>
      <c r="J10034" s="14" t="str">
        <f>HYPERLINK("https://www.boe.es/gazeta/dias/1839/08/13/pdfs/GMD-1839-1733.pdf#page=2","Abrir facsímil")</f>
        <v>Abrir facsímil</v>
      </c>
      <c r="K10034" s="12" t="s">
        <v>65</v>
      </c>
    </row>
    <row r="10035" spans="1:11" ht="40.049999999999997" customHeight="1" x14ac:dyDescent="0.25">
      <c r="A10035" s="11" t="s">
        <v>19979</v>
      </c>
      <c r="B10035" s="11" t="s">
        <v>19979</v>
      </c>
      <c r="C10035" s="11" t="s">
        <v>17</v>
      </c>
      <c r="D10035" s="11" t="s">
        <v>18</v>
      </c>
      <c r="E10035" s="12" t="s">
        <v>2491</v>
      </c>
      <c r="F10035" s="12" t="s">
        <v>2492</v>
      </c>
      <c r="G10035" s="12" t="s">
        <v>29</v>
      </c>
      <c r="H10035" s="11" t="s">
        <v>63</v>
      </c>
      <c r="I10035" s="13" t="s">
        <v>19980</v>
      </c>
      <c r="J10035" s="14" t="str">
        <f>HYPERLINK("https://www.boe.es/gazeta/dias/1839/05/01/pdfs/GMD-1839-1628.pdf#page=1","Abrir facsímil")</f>
        <v>Abrir facsímil</v>
      </c>
      <c r="K10035" s="12" t="s">
        <v>65</v>
      </c>
    </row>
    <row r="10036" spans="1:11" ht="40.049999999999997" customHeight="1" x14ac:dyDescent="0.25">
      <c r="A10036" s="11" t="s">
        <v>19979</v>
      </c>
      <c r="B10036" s="11" t="s">
        <v>19979</v>
      </c>
      <c r="C10036" s="11" t="s">
        <v>17</v>
      </c>
      <c r="D10036" s="11" t="s">
        <v>18</v>
      </c>
      <c r="E10036" s="12" t="s">
        <v>1366</v>
      </c>
      <c r="F10036" s="12" t="s">
        <v>1367</v>
      </c>
      <c r="G10036" s="12" t="s">
        <v>21</v>
      </c>
      <c r="H10036" s="11" t="s">
        <v>63</v>
      </c>
      <c r="I10036" s="13" t="s">
        <v>19981</v>
      </c>
      <c r="J10036" s="14" t="str">
        <f>HYPERLINK("https://www.boe.es/gazeta/dias/1839/09/09/pdfs/GMD-1839-1762.pdf#page=4","Abrir facsímil")</f>
        <v>Abrir facsímil</v>
      </c>
      <c r="K10036" s="12" t="s">
        <v>65</v>
      </c>
    </row>
    <row r="10037" spans="1:11" ht="40.049999999999997" customHeight="1" x14ac:dyDescent="0.25">
      <c r="A10037" s="11" t="s">
        <v>19979</v>
      </c>
      <c r="B10037" s="11" t="s">
        <v>19979</v>
      </c>
      <c r="C10037" s="11" t="s">
        <v>101</v>
      </c>
      <c r="D10037" s="11" t="s">
        <v>102</v>
      </c>
      <c r="E10037" s="12" t="s">
        <v>544</v>
      </c>
      <c r="F10037" s="12" t="s">
        <v>545</v>
      </c>
      <c r="G10037" s="12" t="s">
        <v>40</v>
      </c>
      <c r="H10037" s="11" t="s">
        <v>63</v>
      </c>
      <c r="I10037" s="13" t="s">
        <v>19982</v>
      </c>
      <c r="J10037" s="14" t="str">
        <f>HYPERLINK("https://www.boe.es/gazeta/dias/1839/11/11/pdfs/GMD-1839-1828.pdf#page=2","Abrir facsímil")</f>
        <v>Abrir facsímil</v>
      </c>
      <c r="K10037" s="12" t="s">
        <v>65</v>
      </c>
    </row>
    <row r="10038" spans="1:11" ht="40.049999999999997" customHeight="1" x14ac:dyDescent="0.25">
      <c r="A10038" s="11" t="s">
        <v>19979</v>
      </c>
      <c r="B10038" s="11" t="s">
        <v>19979</v>
      </c>
      <c r="C10038" s="11" t="s">
        <v>17</v>
      </c>
      <c r="D10038" s="11" t="s">
        <v>18</v>
      </c>
      <c r="E10038" s="12" t="s">
        <v>736</v>
      </c>
      <c r="F10038" s="12" t="s">
        <v>737</v>
      </c>
      <c r="G10038" s="12" t="s">
        <v>21</v>
      </c>
      <c r="H10038" s="11" t="s">
        <v>63</v>
      </c>
      <c r="I10038" s="13" t="s">
        <v>19983</v>
      </c>
      <c r="J10038" s="14" t="str">
        <f>HYPERLINK("https://www.boe.es/gazeta/dias/1839/10/13/pdfs/GMD-1839-1799.pdf#page=4","Abrir facsímil")</f>
        <v>Abrir facsímil</v>
      </c>
      <c r="K10038" s="12" t="s">
        <v>65</v>
      </c>
    </row>
    <row r="10039" spans="1:11" ht="40.049999999999997" customHeight="1" x14ac:dyDescent="0.25">
      <c r="A10039" s="11" t="s">
        <v>19979</v>
      </c>
      <c r="B10039" s="11" t="s">
        <v>19979</v>
      </c>
      <c r="C10039" s="11" t="s">
        <v>59</v>
      </c>
      <c r="D10039" s="11" t="s">
        <v>60</v>
      </c>
      <c r="E10039" s="12" t="s">
        <v>1374</v>
      </c>
      <c r="F10039" s="12" t="s">
        <v>1375</v>
      </c>
      <c r="G10039" s="12" t="s">
        <v>40</v>
      </c>
      <c r="H10039" s="11" t="s">
        <v>63</v>
      </c>
      <c r="I10039" s="13" t="s">
        <v>19984</v>
      </c>
      <c r="J10039" s="14" t="str">
        <f>HYPERLINK("https://www.boe.es/gazeta/dias/1839/07/20/pdfs/GMD-1839-1708.pdf#page=2","Abrir facsímil")</f>
        <v>Abrir facsímil</v>
      </c>
      <c r="K10039" s="12" t="s">
        <v>65</v>
      </c>
    </row>
    <row r="10040" spans="1:11" ht="40.049999999999997" customHeight="1" x14ac:dyDescent="0.25">
      <c r="A10040" s="11" t="s">
        <v>19979</v>
      </c>
      <c r="B10040" s="11" t="s">
        <v>19979</v>
      </c>
      <c r="C10040" s="11" t="s">
        <v>137</v>
      </c>
      <c r="D10040" s="11" t="s">
        <v>18</v>
      </c>
      <c r="E10040" s="12" t="s">
        <v>568</v>
      </c>
      <c r="F10040" s="12" t="s">
        <v>569</v>
      </c>
      <c r="G10040" s="12" t="s">
        <v>21</v>
      </c>
      <c r="H10040" s="11" t="s">
        <v>63</v>
      </c>
      <c r="I10040" s="13" t="s">
        <v>19985</v>
      </c>
      <c r="J10040" s="14" t="str">
        <f>HYPERLINK("https://www.boe.es/gazeta/dias/1839/10/23/pdfs/GMD-1839-1809.pdf#page=4","Abrir facsímil")</f>
        <v>Abrir facsímil</v>
      </c>
      <c r="K10040" s="12" t="s">
        <v>65</v>
      </c>
    </row>
    <row r="10041" spans="1:11" ht="40.049999999999997" customHeight="1" x14ac:dyDescent="0.25">
      <c r="A10041" s="11" t="s">
        <v>19979</v>
      </c>
      <c r="B10041" s="11" t="s">
        <v>19979</v>
      </c>
      <c r="C10041" s="11" t="s">
        <v>17</v>
      </c>
      <c r="D10041" s="11" t="s">
        <v>18</v>
      </c>
      <c r="E10041" s="12" t="s">
        <v>416</v>
      </c>
      <c r="F10041" s="12" t="s">
        <v>417</v>
      </c>
      <c r="G10041" s="12" t="s">
        <v>29</v>
      </c>
      <c r="H10041" s="11" t="s">
        <v>63</v>
      </c>
      <c r="I10041" s="13" t="s">
        <v>19986</v>
      </c>
      <c r="J10041" s="14" t="str">
        <f>HYPERLINK("https://www.boe.es/gazeta/dias/1839/10/24/pdfs/GMD-1839-1810.pdf#page=1","Abrir facsímil")</f>
        <v>Abrir facsímil</v>
      </c>
      <c r="K10041" s="12" t="s">
        <v>65</v>
      </c>
    </row>
    <row r="10042" spans="1:11" ht="40.049999999999997" customHeight="1" x14ac:dyDescent="0.25">
      <c r="A10042" s="11" t="s">
        <v>19979</v>
      </c>
      <c r="B10042" s="11" t="s">
        <v>19979</v>
      </c>
      <c r="C10042" s="11" t="s">
        <v>59</v>
      </c>
      <c r="D10042" s="11" t="s">
        <v>60</v>
      </c>
      <c r="E10042" s="12" t="s">
        <v>287</v>
      </c>
      <c r="F10042" s="12" t="s">
        <v>288</v>
      </c>
      <c r="G10042" s="12" t="s">
        <v>46</v>
      </c>
      <c r="H10042" s="11" t="s">
        <v>63</v>
      </c>
      <c r="I10042" s="13" t="s">
        <v>19987</v>
      </c>
      <c r="J10042" s="14" t="str">
        <f>HYPERLINK("https://www.boe.es/gazeta/dias/1839/11/27/pdfs/GMD-1839-1844.pdf#page=3","Abrir facsímil")</f>
        <v>Abrir facsímil</v>
      </c>
      <c r="K10042" s="12" t="s">
        <v>65</v>
      </c>
    </row>
    <row r="10043" spans="1:11" ht="40.049999999999997" customHeight="1" x14ac:dyDescent="0.25">
      <c r="A10043" s="11" t="s">
        <v>19979</v>
      </c>
      <c r="B10043" s="11" t="s">
        <v>19979</v>
      </c>
      <c r="C10043" s="11" t="s">
        <v>59</v>
      </c>
      <c r="D10043" s="11" t="s">
        <v>60</v>
      </c>
      <c r="E10043" s="12" t="s">
        <v>489</v>
      </c>
      <c r="F10043" s="12" t="s">
        <v>490</v>
      </c>
      <c r="G10043" s="12" t="s">
        <v>29</v>
      </c>
      <c r="H10043" s="11" t="s">
        <v>63</v>
      </c>
      <c r="I10043" s="13" t="s">
        <v>19988</v>
      </c>
      <c r="J10043" s="14" t="str">
        <f>HYPERLINK("https://www.boe.es/gazeta/dias/1839/06/29/pdfs/GMD-1839-1687.pdf#page=1","Abrir facsímil")</f>
        <v>Abrir facsímil</v>
      </c>
      <c r="K10043" s="12" t="s">
        <v>65</v>
      </c>
    </row>
    <row r="10044" spans="1:11" ht="40.049999999999997" customHeight="1" x14ac:dyDescent="0.25">
      <c r="A10044" s="11" t="s">
        <v>19989</v>
      </c>
      <c r="B10044" s="11" t="s">
        <v>19989</v>
      </c>
      <c r="C10044" s="11" t="s">
        <v>17</v>
      </c>
      <c r="D10044" s="11" t="s">
        <v>18</v>
      </c>
      <c r="E10044" s="12" t="s">
        <v>2374</v>
      </c>
      <c r="F10044" s="12" t="s">
        <v>2375</v>
      </c>
      <c r="G10044" s="12" t="s">
        <v>46</v>
      </c>
      <c r="H10044" s="11" t="s">
        <v>63</v>
      </c>
      <c r="I10044" s="13" t="s">
        <v>19990</v>
      </c>
      <c r="J10044" s="14" t="str">
        <f>HYPERLINK("https://www.boe.es/gazeta/dias/1839/06/14/pdfs/GMD-1839-1672.pdf#page=3","Abrir facsímil")</f>
        <v>Abrir facsímil</v>
      </c>
      <c r="K10044" s="12" t="s">
        <v>65</v>
      </c>
    </row>
    <row r="10045" spans="1:11" ht="40.049999999999997" customHeight="1" x14ac:dyDescent="0.25">
      <c r="A10045" s="11" t="s">
        <v>19991</v>
      </c>
      <c r="B10045" s="11" t="s">
        <v>19991</v>
      </c>
      <c r="C10045" s="11" t="s">
        <v>101</v>
      </c>
      <c r="D10045" s="11" t="s">
        <v>102</v>
      </c>
      <c r="E10045" s="12" t="s">
        <v>308</v>
      </c>
      <c r="F10045" s="12" t="s">
        <v>309</v>
      </c>
      <c r="G10045" s="12" t="s">
        <v>29</v>
      </c>
      <c r="H10045" s="11" t="s">
        <v>63</v>
      </c>
      <c r="I10045" s="13" t="s">
        <v>19992</v>
      </c>
      <c r="J10045" s="14" t="str">
        <f>HYPERLINK("https://www.boe.es/gazeta/dias/1839/07/29/pdfs/GMD-1839-1718.pdf#page=1","Abrir facsímil")</f>
        <v>Abrir facsímil</v>
      </c>
      <c r="K10045" s="12" t="s">
        <v>65</v>
      </c>
    </row>
    <row r="10046" spans="1:11" ht="40.049999999999997" customHeight="1" x14ac:dyDescent="0.25">
      <c r="A10046" s="11" t="s">
        <v>19993</v>
      </c>
      <c r="B10046" s="11" t="s">
        <v>19994</v>
      </c>
      <c r="C10046" s="11" t="s">
        <v>17</v>
      </c>
      <c r="D10046" s="11" t="s">
        <v>18</v>
      </c>
      <c r="E10046" s="12" t="s">
        <v>561</v>
      </c>
      <c r="F10046" s="12" t="s">
        <v>562</v>
      </c>
      <c r="G10046" s="12" t="s">
        <v>46</v>
      </c>
      <c r="H10046" s="11" t="s">
        <v>63</v>
      </c>
      <c r="I10046" s="13" t="s">
        <v>19995</v>
      </c>
      <c r="J10046" s="14" t="str">
        <f>HYPERLINK("https://www.boe.es/gazeta/dias/1839/09/11/pdfs/GMD-1839-1764.pdf#page=3","Abrir facsímil")</f>
        <v>Abrir facsímil</v>
      </c>
      <c r="K10046" s="12" t="s">
        <v>65</v>
      </c>
    </row>
    <row r="10047" spans="1:11" ht="40.049999999999997" customHeight="1" x14ac:dyDescent="0.25">
      <c r="A10047" s="11" t="s">
        <v>19996</v>
      </c>
      <c r="B10047" s="11" t="s">
        <v>19996</v>
      </c>
      <c r="C10047" s="11" t="s">
        <v>101</v>
      </c>
      <c r="D10047" s="11" t="s">
        <v>102</v>
      </c>
      <c r="E10047" s="12" t="s">
        <v>1183</v>
      </c>
      <c r="F10047" s="12" t="s">
        <v>1184</v>
      </c>
      <c r="G10047" s="12" t="s">
        <v>40</v>
      </c>
      <c r="H10047" s="11" t="s">
        <v>63</v>
      </c>
      <c r="I10047" s="13" t="s">
        <v>19997</v>
      </c>
      <c r="J10047" s="14" t="str">
        <f>HYPERLINK("https://www.boe.es/gazeta/dias/1839/07/26/pdfs/GMD-1839-1715.pdf#page=2","Abrir facsímil")</f>
        <v>Abrir facsímil</v>
      </c>
      <c r="K10047" s="12" t="s">
        <v>65</v>
      </c>
    </row>
    <row r="10048" spans="1:11" ht="40.049999999999997" customHeight="1" x14ac:dyDescent="0.25">
      <c r="A10048" s="11" t="s">
        <v>19998</v>
      </c>
      <c r="B10048" s="11" t="s">
        <v>19999</v>
      </c>
      <c r="C10048" s="11" t="s">
        <v>17</v>
      </c>
      <c r="D10048" s="11" t="s">
        <v>18</v>
      </c>
      <c r="E10048" s="12" t="s">
        <v>330</v>
      </c>
      <c r="F10048" s="12" t="s">
        <v>331</v>
      </c>
      <c r="G10048" s="12" t="s">
        <v>21</v>
      </c>
      <c r="H10048" s="11" t="s">
        <v>22</v>
      </c>
      <c r="I10048" s="13" t="s">
        <v>20000</v>
      </c>
      <c r="J10048" s="14" t="str">
        <f>HYPERLINK("https://www.boe.es/gazeta/dias/1839/04/11/pdfs/GMD-1839-1608.pdf#page=4","Abrir facsímil")</f>
        <v>Abrir facsímil</v>
      </c>
      <c r="K10048" s="12" t="s">
        <v>24</v>
      </c>
    </row>
    <row r="10049" spans="1:11" ht="40.049999999999997" customHeight="1" x14ac:dyDescent="0.25">
      <c r="A10049" s="11" t="s">
        <v>19998</v>
      </c>
      <c r="B10049" s="11" t="s">
        <v>19999</v>
      </c>
      <c r="C10049" s="11" t="s">
        <v>137</v>
      </c>
      <c r="D10049" s="11" t="s">
        <v>18</v>
      </c>
      <c r="E10049" s="12" t="s">
        <v>1588</v>
      </c>
      <c r="F10049" s="12" t="s">
        <v>1589</v>
      </c>
      <c r="G10049" s="12" t="s">
        <v>21</v>
      </c>
      <c r="H10049" s="11" t="s">
        <v>22</v>
      </c>
      <c r="I10049" s="13" t="s">
        <v>20001</v>
      </c>
      <c r="J10049" s="14" t="str">
        <f>HYPERLINK("https://www.boe.es/gazeta/dias/1839/07/27/pdfs/GMD-1839-1716.pdf#page=4","Abrir facsímil")</f>
        <v>Abrir facsímil</v>
      </c>
      <c r="K10049" s="12" t="s">
        <v>24</v>
      </c>
    </row>
    <row r="10050" spans="1:11" ht="40.049999999999997" customHeight="1" x14ac:dyDescent="0.25">
      <c r="A10050" s="11" t="s">
        <v>20002</v>
      </c>
      <c r="B10050" s="11" t="s">
        <v>20003</v>
      </c>
      <c r="C10050" s="11" t="s">
        <v>17</v>
      </c>
      <c r="D10050" s="11" t="s">
        <v>18</v>
      </c>
      <c r="E10050" s="12" t="s">
        <v>1012</v>
      </c>
      <c r="F10050" s="12" t="s">
        <v>1013</v>
      </c>
      <c r="G10050" s="12" t="s">
        <v>29</v>
      </c>
      <c r="H10050" s="11" t="s">
        <v>63</v>
      </c>
      <c r="I10050" s="13" t="s">
        <v>20004</v>
      </c>
      <c r="J10050" s="14" t="str">
        <f>HYPERLINK("https://www.boe.es/gazeta/dias/1839/11/22/pdfs/GMD-1839-1839.pdf#page=1","Abrir facsímil")</f>
        <v>Abrir facsímil</v>
      </c>
      <c r="K10050" s="12" t="s">
        <v>65</v>
      </c>
    </row>
    <row r="10051" spans="1:11" ht="40.049999999999997" customHeight="1" x14ac:dyDescent="0.25">
      <c r="A10051" s="11" t="s">
        <v>20005</v>
      </c>
      <c r="B10051" s="11" t="s">
        <v>20006</v>
      </c>
      <c r="C10051" s="11" t="s">
        <v>137</v>
      </c>
      <c r="D10051" s="11" t="s">
        <v>18</v>
      </c>
      <c r="E10051" s="12" t="s">
        <v>1528</v>
      </c>
      <c r="F10051" s="12" t="s">
        <v>1529</v>
      </c>
      <c r="G10051" s="12" t="s">
        <v>21</v>
      </c>
      <c r="H10051" s="11" t="s">
        <v>63</v>
      </c>
      <c r="I10051" s="13" t="s">
        <v>20007</v>
      </c>
      <c r="J10051" s="14" t="str">
        <f>HYPERLINK("https://www.boe.es/gazeta/dias/1839/12/15/pdfs/GMD-1839-1862.pdf#page=4","Abrir facsímil")</f>
        <v>Abrir facsímil</v>
      </c>
      <c r="K10051" s="12" t="s">
        <v>65</v>
      </c>
    </row>
    <row r="10052" spans="1:11" ht="40.049999999999997" customHeight="1" x14ac:dyDescent="0.25">
      <c r="A10052" s="11" t="s">
        <v>20005</v>
      </c>
      <c r="B10052" s="11" t="s">
        <v>20006</v>
      </c>
      <c r="C10052" s="11" t="s">
        <v>137</v>
      </c>
      <c r="D10052" s="11" t="s">
        <v>18</v>
      </c>
      <c r="E10052" s="12" t="s">
        <v>951</v>
      </c>
      <c r="F10052" s="12" t="s">
        <v>952</v>
      </c>
      <c r="G10052" s="12" t="s">
        <v>21</v>
      </c>
      <c r="H10052" s="11" t="s">
        <v>63</v>
      </c>
      <c r="I10052" s="13" t="s">
        <v>20008</v>
      </c>
      <c r="J10052" s="14" t="str">
        <f>HYPERLINK("https://www.boe.es/gazeta/dias/1839/12/30/pdfs/GMD-1839-1877.pdf#page=4","Abrir facsímil")</f>
        <v>Abrir facsímil</v>
      </c>
      <c r="K10052" s="12" t="s">
        <v>65</v>
      </c>
    </row>
    <row r="10053" spans="1:11" ht="40.049999999999997" customHeight="1" x14ac:dyDescent="0.25">
      <c r="A10053" s="11" t="s">
        <v>20009</v>
      </c>
      <c r="B10053" s="11" t="s">
        <v>20009</v>
      </c>
      <c r="C10053" s="11" t="s">
        <v>59</v>
      </c>
      <c r="D10053" s="11" t="s">
        <v>60</v>
      </c>
      <c r="E10053" s="12" t="s">
        <v>3009</v>
      </c>
      <c r="F10053" s="12" t="s">
        <v>3010</v>
      </c>
      <c r="G10053" s="12" t="s">
        <v>40</v>
      </c>
      <c r="H10053" s="11" t="s">
        <v>63</v>
      </c>
      <c r="I10053" s="13" t="s">
        <v>20010</v>
      </c>
      <c r="J10053" s="14" t="str">
        <f>HYPERLINK("https://www.boe.es/gazeta/dias/1839/04/20/pdfs/GMD-1839-1617.pdf#page=2","Abrir facsímil")</f>
        <v>Abrir facsímil</v>
      </c>
      <c r="K10053" s="12" t="s">
        <v>65</v>
      </c>
    </row>
    <row r="10054" spans="1:11" ht="40.049999999999997" customHeight="1" x14ac:dyDescent="0.25">
      <c r="A10054" s="11" t="s">
        <v>20011</v>
      </c>
      <c r="B10054" s="11" t="s">
        <v>20011</v>
      </c>
      <c r="C10054" s="11" t="s">
        <v>101</v>
      </c>
      <c r="D10054" s="11" t="s">
        <v>43</v>
      </c>
      <c r="E10054" s="12" t="s">
        <v>1179</v>
      </c>
      <c r="F10054" s="12" t="s">
        <v>1180</v>
      </c>
      <c r="G10054" s="12" t="s">
        <v>40</v>
      </c>
      <c r="H10054" s="11" t="s">
        <v>63</v>
      </c>
      <c r="I10054" s="13" t="s">
        <v>20012</v>
      </c>
      <c r="J10054" s="14" t="str">
        <f>HYPERLINK("https://www.boe.es/gazeta/dias/1839/10/18/pdfs/GMD-1839-1804.pdf#page=2","Abrir facsímil")</f>
        <v>Abrir facsímil</v>
      </c>
      <c r="K10054" s="12" t="s">
        <v>65</v>
      </c>
    </row>
    <row r="10055" spans="1:11" ht="40.049999999999997" customHeight="1" x14ac:dyDescent="0.25">
      <c r="A10055" s="11" t="s">
        <v>20011</v>
      </c>
      <c r="B10055" s="11" t="s">
        <v>20011</v>
      </c>
      <c r="C10055" s="11" t="s">
        <v>101</v>
      </c>
      <c r="D10055" s="11" t="s">
        <v>102</v>
      </c>
      <c r="E10055" s="12" t="s">
        <v>857</v>
      </c>
      <c r="F10055" s="12" t="s">
        <v>858</v>
      </c>
      <c r="G10055" s="12" t="s">
        <v>40</v>
      </c>
      <c r="H10055" s="11" t="s">
        <v>63</v>
      </c>
      <c r="I10055" s="13" t="s">
        <v>20013</v>
      </c>
      <c r="J10055" s="14" t="str">
        <f>HYPERLINK("https://www.boe.es/gazeta/dias/1839/11/21/pdfs/GMD-1839-1838.pdf#page=2","Abrir facsímil")</f>
        <v>Abrir facsímil</v>
      </c>
      <c r="K10055" s="12" t="s">
        <v>65</v>
      </c>
    </row>
    <row r="10056" spans="1:11" ht="40.049999999999997" customHeight="1" x14ac:dyDescent="0.25">
      <c r="A10056" s="11" t="s">
        <v>20011</v>
      </c>
      <c r="B10056" s="11" t="s">
        <v>20011</v>
      </c>
      <c r="C10056" s="11" t="s">
        <v>80</v>
      </c>
      <c r="D10056" s="11" t="s">
        <v>173</v>
      </c>
      <c r="E10056" s="12" t="s">
        <v>474</v>
      </c>
      <c r="F10056" s="12" t="s">
        <v>475</v>
      </c>
      <c r="G10056" s="12" t="s">
        <v>29</v>
      </c>
      <c r="H10056" s="11" t="s">
        <v>63</v>
      </c>
      <c r="I10056" s="13" t="s">
        <v>20014</v>
      </c>
      <c r="J10056" s="14" t="str">
        <f>HYPERLINK("https://www.boe.es/gazeta/dias/1839/03/31/pdfs/GMD-1839-1597.pdf#page=1","Abrir facsímil")</f>
        <v>Abrir facsímil</v>
      </c>
      <c r="K10056" s="12" t="s">
        <v>65</v>
      </c>
    </row>
    <row r="10057" spans="1:11" ht="40.049999999999997" customHeight="1" x14ac:dyDescent="0.25">
      <c r="A10057" s="11" t="s">
        <v>20015</v>
      </c>
      <c r="B10057" s="11" t="s">
        <v>20015</v>
      </c>
      <c r="C10057" s="11" t="s">
        <v>17</v>
      </c>
      <c r="D10057" s="11" t="s">
        <v>18</v>
      </c>
      <c r="E10057" s="12" t="s">
        <v>1551</v>
      </c>
      <c r="F10057" s="12" t="s">
        <v>1552</v>
      </c>
      <c r="G10057" s="12" t="s">
        <v>29</v>
      </c>
      <c r="H10057" s="11" t="s">
        <v>63</v>
      </c>
      <c r="I10057" s="13" t="s">
        <v>20016</v>
      </c>
      <c r="J10057" s="14" t="str">
        <f>HYPERLINK("https://www.boe.es/gazeta/dias/1839/06/30/pdfs/GMD-1839-1688.pdf#page=1","Abrir facsímil")</f>
        <v>Abrir facsímil</v>
      </c>
      <c r="K10057" s="12" t="s">
        <v>65</v>
      </c>
    </row>
    <row r="10058" spans="1:11" ht="40.049999999999997" customHeight="1" x14ac:dyDescent="0.25">
      <c r="A10058" s="11" t="s">
        <v>20017</v>
      </c>
      <c r="B10058" s="11" t="s">
        <v>20017</v>
      </c>
      <c r="C10058" s="11" t="s">
        <v>59</v>
      </c>
      <c r="D10058" s="11" t="s">
        <v>60</v>
      </c>
      <c r="E10058" s="12" t="s">
        <v>3289</v>
      </c>
      <c r="F10058" s="12" t="s">
        <v>3290</v>
      </c>
      <c r="G10058" s="12" t="s">
        <v>29</v>
      </c>
      <c r="H10058" s="11" t="s">
        <v>63</v>
      </c>
      <c r="I10058" s="13" t="s">
        <v>20018</v>
      </c>
      <c r="J10058" s="14" t="str">
        <f>HYPERLINK("https://www.boe.es/gazeta/dias/1839/12/10/pdfs/GMD-1839-1857.pdf#page=1","Abrir facsímil")</f>
        <v>Abrir facsímil</v>
      </c>
      <c r="K10058" s="12" t="s">
        <v>65</v>
      </c>
    </row>
    <row r="10059" spans="1:11" ht="40.049999999999997" customHeight="1" x14ac:dyDescent="0.25">
      <c r="A10059" s="11" t="s">
        <v>20019</v>
      </c>
      <c r="B10059" s="11" t="s">
        <v>20019</v>
      </c>
      <c r="C10059" s="11" t="s">
        <v>137</v>
      </c>
      <c r="D10059" s="11" t="s">
        <v>18</v>
      </c>
      <c r="E10059" s="12" t="s">
        <v>2227</v>
      </c>
      <c r="F10059" s="12" t="s">
        <v>2228</v>
      </c>
      <c r="G10059" s="12" t="s">
        <v>40</v>
      </c>
      <c r="H10059" s="11" t="s">
        <v>63</v>
      </c>
      <c r="I10059" s="13" t="s">
        <v>20020</v>
      </c>
      <c r="J10059" s="14" t="str">
        <f>HYPERLINK("https://www.boe.es/gazeta/dias/1839/12/04/pdfs/GMD-1839-1851.pdf#page=2","Abrir facsímil")</f>
        <v>Abrir facsímil</v>
      </c>
      <c r="K10059" s="12" t="s">
        <v>65</v>
      </c>
    </row>
    <row r="10060" spans="1:11" ht="40.049999999999997" customHeight="1" x14ac:dyDescent="0.25">
      <c r="A10060" s="11" t="s">
        <v>20021</v>
      </c>
      <c r="B10060" s="11" t="s">
        <v>20022</v>
      </c>
      <c r="C10060" s="11" t="s">
        <v>80</v>
      </c>
      <c r="D10060" s="11" t="s">
        <v>18</v>
      </c>
      <c r="E10060" s="12" t="s">
        <v>785</v>
      </c>
      <c r="F10060" s="12" t="s">
        <v>786</v>
      </c>
      <c r="G10060" s="12" t="s">
        <v>46</v>
      </c>
      <c r="H10060" s="11" t="s">
        <v>63</v>
      </c>
      <c r="I10060" s="13" t="s">
        <v>20023</v>
      </c>
      <c r="J10060" s="14" t="str">
        <f>HYPERLINK("https://www.boe.es/gazeta/dias/1839/07/13/pdfs/GMD-1839-1701.pdf#page=3","Abrir facsímil")</f>
        <v>Abrir facsímil</v>
      </c>
      <c r="K10060" s="12" t="s">
        <v>65</v>
      </c>
    </row>
    <row r="10061" spans="1:11" ht="40.049999999999997" customHeight="1" x14ac:dyDescent="0.25">
      <c r="A10061" s="11" t="s">
        <v>20024</v>
      </c>
      <c r="B10061" s="11" t="s">
        <v>20024</v>
      </c>
      <c r="C10061" s="11" t="s">
        <v>59</v>
      </c>
      <c r="D10061" s="11" t="s">
        <v>60</v>
      </c>
      <c r="E10061" s="12" t="s">
        <v>1813</v>
      </c>
      <c r="F10061" s="12" t="s">
        <v>1814</v>
      </c>
      <c r="G10061" s="12" t="s">
        <v>40</v>
      </c>
      <c r="H10061" s="11" t="s">
        <v>63</v>
      </c>
      <c r="I10061" s="13" t="s">
        <v>20025</v>
      </c>
      <c r="J10061" s="14" t="str">
        <f>HYPERLINK("https://www.boe.es/gazeta/dias/1839/09/02/pdfs/GMD-1839-1754.pdf#page=2","Abrir facsímil")</f>
        <v>Abrir facsímil</v>
      </c>
      <c r="K10061" s="12" t="s">
        <v>65</v>
      </c>
    </row>
    <row r="10062" spans="1:11" ht="40.049999999999997" customHeight="1" x14ac:dyDescent="0.25">
      <c r="A10062" s="11" t="s">
        <v>20024</v>
      </c>
      <c r="B10062" s="11" t="s">
        <v>20024</v>
      </c>
      <c r="C10062" s="11" t="s">
        <v>17</v>
      </c>
      <c r="D10062" s="11" t="s">
        <v>18</v>
      </c>
      <c r="E10062" s="12" t="s">
        <v>1467</v>
      </c>
      <c r="F10062" s="12" t="s">
        <v>1468</v>
      </c>
      <c r="G10062" s="12" t="s">
        <v>46</v>
      </c>
      <c r="H10062" s="11" t="s">
        <v>63</v>
      </c>
      <c r="I10062" s="13" t="s">
        <v>20026</v>
      </c>
      <c r="J10062" s="14" t="str">
        <f>HYPERLINK("https://www.boe.es/gazeta/dias/1839/03/05/pdfs/GMD-1839-1571.pdf#page=3","Abrir facsímil")</f>
        <v>Abrir facsímil</v>
      </c>
      <c r="K10062" s="12" t="s">
        <v>65</v>
      </c>
    </row>
    <row r="10063" spans="1:11" ht="40.049999999999997" customHeight="1" x14ac:dyDescent="0.25">
      <c r="A10063" s="11" t="s">
        <v>20024</v>
      </c>
      <c r="B10063" s="11" t="s">
        <v>20024</v>
      </c>
      <c r="C10063" s="11" t="s">
        <v>17</v>
      </c>
      <c r="D10063" s="11" t="s">
        <v>18</v>
      </c>
      <c r="E10063" s="12" t="s">
        <v>1366</v>
      </c>
      <c r="F10063" s="12" t="s">
        <v>1367</v>
      </c>
      <c r="G10063" s="12" t="s">
        <v>40</v>
      </c>
      <c r="H10063" s="11" t="s">
        <v>63</v>
      </c>
      <c r="I10063" s="13" t="s">
        <v>20027</v>
      </c>
      <c r="J10063" s="14" t="str">
        <f>HYPERLINK("https://www.boe.es/gazeta/dias/1839/09/09/pdfs/GMD-1839-1762.pdf#page=2","Abrir facsímil")</f>
        <v>Abrir facsímil</v>
      </c>
      <c r="K10063" s="12" t="s">
        <v>65</v>
      </c>
    </row>
    <row r="10064" spans="1:11" ht="40.049999999999997" customHeight="1" x14ac:dyDescent="0.25">
      <c r="A10064" s="11" t="s">
        <v>20024</v>
      </c>
      <c r="B10064" s="11" t="s">
        <v>20024</v>
      </c>
      <c r="C10064" s="11" t="s">
        <v>59</v>
      </c>
      <c r="D10064" s="11" t="s">
        <v>60</v>
      </c>
      <c r="E10064" s="12" t="s">
        <v>1366</v>
      </c>
      <c r="F10064" s="12" t="s">
        <v>1367</v>
      </c>
      <c r="G10064" s="12" t="s">
        <v>46</v>
      </c>
      <c r="H10064" s="11" t="s">
        <v>63</v>
      </c>
      <c r="I10064" s="13" t="s">
        <v>20028</v>
      </c>
      <c r="J10064" s="14" t="str">
        <f>HYPERLINK("https://www.boe.es/gazeta/dias/1839/09/09/pdfs/GMD-1839-1762.pdf#page=3","Abrir facsímil")</f>
        <v>Abrir facsímil</v>
      </c>
      <c r="K10064" s="12" t="s">
        <v>65</v>
      </c>
    </row>
    <row r="10065" spans="1:11" ht="40.049999999999997" customHeight="1" x14ac:dyDescent="0.25">
      <c r="A10065" s="11" t="s">
        <v>20024</v>
      </c>
      <c r="B10065" s="11" t="s">
        <v>20024</v>
      </c>
      <c r="C10065" s="11" t="s">
        <v>137</v>
      </c>
      <c r="D10065" s="11" t="s">
        <v>18</v>
      </c>
      <c r="E10065" s="12" t="s">
        <v>84</v>
      </c>
      <c r="F10065" s="12" t="s">
        <v>85</v>
      </c>
      <c r="G10065" s="12" t="s">
        <v>21</v>
      </c>
      <c r="H10065" s="11" t="s">
        <v>63</v>
      </c>
      <c r="I10065" s="13" t="s">
        <v>20029</v>
      </c>
      <c r="J10065" s="14" t="str">
        <f>HYPERLINK("https://www.boe.es/gazeta/dias/1839/03/11/pdfs/GMD-1839-1577.pdf#page=4","Abrir facsímil")</f>
        <v>Abrir facsímil</v>
      </c>
      <c r="K10065" s="12" t="s">
        <v>65</v>
      </c>
    </row>
    <row r="10066" spans="1:11" ht="40.049999999999997" customHeight="1" x14ac:dyDescent="0.25">
      <c r="A10066" s="11" t="s">
        <v>20024</v>
      </c>
      <c r="B10066" s="11" t="s">
        <v>20024</v>
      </c>
      <c r="C10066" s="11" t="s">
        <v>17</v>
      </c>
      <c r="D10066" s="11" t="s">
        <v>18</v>
      </c>
      <c r="E10066" s="12" t="s">
        <v>320</v>
      </c>
      <c r="F10066" s="12" t="s">
        <v>321</v>
      </c>
      <c r="G10066" s="12" t="s">
        <v>21</v>
      </c>
      <c r="H10066" s="11" t="s">
        <v>63</v>
      </c>
      <c r="I10066" s="13" t="s">
        <v>20030</v>
      </c>
      <c r="J10066" s="14" t="str">
        <f>HYPERLINK("https://www.boe.es/gazeta/dias/1839/05/11/pdfs/GMD-1839-1638.pdf#page=4","Abrir facsímil")</f>
        <v>Abrir facsímil</v>
      </c>
      <c r="K10066" s="12" t="s">
        <v>65</v>
      </c>
    </row>
    <row r="10067" spans="1:11" ht="40.049999999999997" customHeight="1" x14ac:dyDescent="0.25">
      <c r="A10067" s="11" t="s">
        <v>20024</v>
      </c>
      <c r="B10067" s="11" t="s">
        <v>20024</v>
      </c>
      <c r="C10067" s="11" t="s">
        <v>59</v>
      </c>
      <c r="D10067" s="11" t="s">
        <v>60</v>
      </c>
      <c r="E10067" s="12" t="s">
        <v>903</v>
      </c>
      <c r="F10067" s="12" t="s">
        <v>904</v>
      </c>
      <c r="G10067" s="12" t="s">
        <v>29</v>
      </c>
      <c r="H10067" s="11" t="s">
        <v>63</v>
      </c>
      <c r="I10067" s="13" t="s">
        <v>20031</v>
      </c>
      <c r="J10067" s="14" t="str">
        <f>HYPERLINK("https://www.boe.es/gazeta/dias/1839/03/14/pdfs/GMD-1839-1580.pdf#page=1","Abrir facsímil")</f>
        <v>Abrir facsímil</v>
      </c>
      <c r="K10067" s="12" t="s">
        <v>65</v>
      </c>
    </row>
    <row r="10068" spans="1:11" ht="40.049999999999997" customHeight="1" x14ac:dyDescent="0.25">
      <c r="A10068" s="11" t="s">
        <v>20024</v>
      </c>
      <c r="B10068" s="11" t="s">
        <v>20024</v>
      </c>
      <c r="C10068" s="11" t="s">
        <v>101</v>
      </c>
      <c r="D10068" s="11" t="s">
        <v>102</v>
      </c>
      <c r="E10068" s="12" t="s">
        <v>2262</v>
      </c>
      <c r="F10068" s="12" t="s">
        <v>2263</v>
      </c>
      <c r="G10068" s="12" t="s">
        <v>21</v>
      </c>
      <c r="H10068" s="11" t="s">
        <v>63</v>
      </c>
      <c r="I10068" s="13" t="s">
        <v>20032</v>
      </c>
      <c r="J10068" s="14" t="str">
        <f>HYPERLINK("https://www.boe.es/gazeta/dias/1839/03/16/pdfs/GMD-1839-1582.pdf#page=4","Abrir facsímil")</f>
        <v>Abrir facsímil</v>
      </c>
      <c r="K10068" s="12" t="s">
        <v>65</v>
      </c>
    </row>
    <row r="10069" spans="1:11" ht="40.049999999999997" customHeight="1" x14ac:dyDescent="0.25">
      <c r="A10069" s="11" t="s">
        <v>20024</v>
      </c>
      <c r="B10069" s="11" t="s">
        <v>20024</v>
      </c>
      <c r="C10069" s="11" t="s">
        <v>17</v>
      </c>
      <c r="D10069" s="11" t="s">
        <v>18</v>
      </c>
      <c r="E10069" s="12" t="s">
        <v>4550</v>
      </c>
      <c r="F10069" s="12" t="s">
        <v>4551</v>
      </c>
      <c r="G10069" s="12" t="s">
        <v>21</v>
      </c>
      <c r="H10069" s="11" t="s">
        <v>63</v>
      </c>
      <c r="I10069" s="13" t="s">
        <v>20033</v>
      </c>
      <c r="J10069" s="14" t="str">
        <f>HYPERLINK("https://www.boe.es/gazeta/dias/1839/04/17/pdfs/GMD-1839-1614.pdf#page=4","Abrir facsímil")</f>
        <v>Abrir facsímil</v>
      </c>
      <c r="K10069" s="12" t="s">
        <v>65</v>
      </c>
    </row>
    <row r="10070" spans="1:11" ht="40.049999999999997" customHeight="1" x14ac:dyDescent="0.25">
      <c r="A10070" s="11" t="s">
        <v>20024</v>
      </c>
      <c r="B10070" s="11" t="s">
        <v>20024</v>
      </c>
      <c r="C10070" s="11" t="s">
        <v>17</v>
      </c>
      <c r="D10070" s="11" t="s">
        <v>18</v>
      </c>
      <c r="E10070" s="12" t="s">
        <v>713</v>
      </c>
      <c r="F10070" s="12" t="s">
        <v>714</v>
      </c>
      <c r="G10070" s="12" t="s">
        <v>40</v>
      </c>
      <c r="H10070" s="11" t="s">
        <v>63</v>
      </c>
      <c r="I10070" s="13" t="s">
        <v>20034</v>
      </c>
      <c r="J10070" s="14" t="str">
        <f>HYPERLINK("https://www.boe.es/gazeta/dias/1839/12/18/pdfs/GMD-1839-1865.pdf#page=2","Abrir facsímil")</f>
        <v>Abrir facsímil</v>
      </c>
      <c r="K10070" s="12" t="s">
        <v>65</v>
      </c>
    </row>
    <row r="10071" spans="1:11" ht="40.049999999999997" customHeight="1" x14ac:dyDescent="0.25">
      <c r="A10071" s="11" t="s">
        <v>20024</v>
      </c>
      <c r="B10071" s="11" t="s">
        <v>20024</v>
      </c>
      <c r="C10071" s="11" t="s">
        <v>59</v>
      </c>
      <c r="D10071" s="11" t="s">
        <v>60</v>
      </c>
      <c r="E10071" s="12" t="s">
        <v>2222</v>
      </c>
      <c r="F10071" s="12" t="s">
        <v>10214</v>
      </c>
      <c r="G10071" s="12" t="s">
        <v>29</v>
      </c>
      <c r="H10071" s="11" t="s">
        <v>63</v>
      </c>
      <c r="I10071" s="13" t="s">
        <v>20035</v>
      </c>
      <c r="J10071" s="14" t="str">
        <f>HYPERLINK("https://www.boe.es/datos/pdfs/BOE//1839/1774/E00001-00001.pdf#page=1","Abrir facsímil")</f>
        <v>Abrir facsímil</v>
      </c>
      <c r="K10071" s="12" t="s">
        <v>65</v>
      </c>
    </row>
    <row r="10072" spans="1:11" ht="40.049999999999997" customHeight="1" x14ac:dyDescent="0.25">
      <c r="A10072" s="11" t="s">
        <v>20024</v>
      </c>
      <c r="B10072" s="11" t="s">
        <v>20024</v>
      </c>
      <c r="C10072" s="11" t="s">
        <v>17</v>
      </c>
      <c r="D10072" s="11" t="s">
        <v>43</v>
      </c>
      <c r="E10072" s="12" t="s">
        <v>2069</v>
      </c>
      <c r="F10072" s="12" t="s">
        <v>2070</v>
      </c>
      <c r="G10072" s="12" t="s">
        <v>305</v>
      </c>
      <c r="H10072" s="11" t="s">
        <v>63</v>
      </c>
      <c r="I10072" s="13" t="s">
        <v>20036</v>
      </c>
      <c r="J10072" s="14" t="str">
        <f>HYPERLINK("https://www.boe.es/gazeta/dias/1839/10/20/pdfs/GMD-1839-1806.pdf#page=6","Abrir facsímil")</f>
        <v>Abrir facsímil</v>
      </c>
      <c r="K10072" s="12" t="s">
        <v>65</v>
      </c>
    </row>
    <row r="10073" spans="1:11" ht="40.049999999999997" customHeight="1" x14ac:dyDescent="0.25">
      <c r="A10073" s="11" t="s">
        <v>20024</v>
      </c>
      <c r="B10073" s="11" t="s">
        <v>20024</v>
      </c>
      <c r="C10073" s="11" t="s">
        <v>17</v>
      </c>
      <c r="D10073" s="11" t="s">
        <v>18</v>
      </c>
      <c r="E10073" s="12" t="s">
        <v>2392</v>
      </c>
      <c r="F10073" s="12" t="s">
        <v>2393</v>
      </c>
      <c r="G10073" s="12" t="s">
        <v>29</v>
      </c>
      <c r="H10073" s="11" t="s">
        <v>63</v>
      </c>
      <c r="I10073" s="13" t="s">
        <v>20037</v>
      </c>
      <c r="J10073" s="14" t="str">
        <f>HYPERLINK("https://www.boe.es/gazeta/dias/1839/05/21/pdfs/GMD-1839-1648.pdf#page=1","Abrir facsímil")</f>
        <v>Abrir facsímil</v>
      </c>
      <c r="K10073" s="12" t="s">
        <v>65</v>
      </c>
    </row>
    <row r="10074" spans="1:11" ht="40.049999999999997" customHeight="1" x14ac:dyDescent="0.25">
      <c r="A10074" s="11" t="s">
        <v>20024</v>
      </c>
      <c r="B10074" s="11" t="s">
        <v>20024</v>
      </c>
      <c r="C10074" s="11" t="s">
        <v>17</v>
      </c>
      <c r="D10074" s="11" t="s">
        <v>18</v>
      </c>
      <c r="E10074" s="12" t="s">
        <v>1672</v>
      </c>
      <c r="F10074" s="12" t="s">
        <v>1673</v>
      </c>
      <c r="G10074" s="12" t="s">
        <v>21</v>
      </c>
      <c r="H10074" s="11" t="s">
        <v>63</v>
      </c>
      <c r="I10074" s="13" t="s">
        <v>20038</v>
      </c>
      <c r="J10074" s="14" t="str">
        <f>HYPERLINK("https://www.boe.es/gazeta/dias/1839/08/24/pdfs/GMD-1839-1745.pdf#page=4","Abrir facsímil")</f>
        <v>Abrir facsímil</v>
      </c>
      <c r="K10074" s="12" t="s">
        <v>65</v>
      </c>
    </row>
    <row r="10075" spans="1:11" ht="40.049999999999997" customHeight="1" x14ac:dyDescent="0.25">
      <c r="A10075" s="11" t="s">
        <v>20024</v>
      </c>
      <c r="B10075" s="11" t="s">
        <v>20024</v>
      </c>
      <c r="C10075" s="11" t="s">
        <v>17</v>
      </c>
      <c r="D10075" s="11" t="s">
        <v>18</v>
      </c>
      <c r="E10075" s="12" t="s">
        <v>1395</v>
      </c>
      <c r="F10075" s="12" t="s">
        <v>1396</v>
      </c>
      <c r="G10075" s="12" t="s">
        <v>21</v>
      </c>
      <c r="H10075" s="11" t="s">
        <v>63</v>
      </c>
      <c r="I10075" s="13" t="s">
        <v>20039</v>
      </c>
      <c r="J10075" s="14" t="str">
        <f>HYPERLINK("https://www.boe.es/gazeta/dias/1839/06/26/pdfs/GMD-1839-1684.pdf#page=4","Abrir facsímil")</f>
        <v>Abrir facsímil</v>
      </c>
      <c r="K10075" s="12" t="s">
        <v>65</v>
      </c>
    </row>
    <row r="10076" spans="1:11" ht="40.049999999999997" customHeight="1" x14ac:dyDescent="0.25">
      <c r="A10076" s="11" t="s">
        <v>20024</v>
      </c>
      <c r="B10076" s="11" t="s">
        <v>20024</v>
      </c>
      <c r="C10076" s="11" t="s">
        <v>17</v>
      </c>
      <c r="D10076" s="11" t="s">
        <v>43</v>
      </c>
      <c r="E10076" s="12" t="s">
        <v>2658</v>
      </c>
      <c r="F10076" s="12" t="s">
        <v>2659</v>
      </c>
      <c r="G10076" s="12" t="s">
        <v>46</v>
      </c>
      <c r="H10076" s="11" t="s">
        <v>63</v>
      </c>
      <c r="I10076" s="13" t="s">
        <v>20040</v>
      </c>
      <c r="J10076" s="14" t="str">
        <f>HYPERLINK("https://www.boe.es/gazeta/dias/1839/06/27/pdfs/GMD-1839-1685.pdf#page=3","Abrir facsímil")</f>
        <v>Abrir facsímil</v>
      </c>
      <c r="K10076" s="12" t="s">
        <v>65</v>
      </c>
    </row>
    <row r="10077" spans="1:11" ht="40.049999999999997" customHeight="1" x14ac:dyDescent="0.25">
      <c r="A10077" s="11" t="s">
        <v>20024</v>
      </c>
      <c r="B10077" s="11" t="s">
        <v>20024</v>
      </c>
      <c r="C10077" s="11" t="s">
        <v>101</v>
      </c>
      <c r="D10077" s="11" t="s">
        <v>43</v>
      </c>
      <c r="E10077" s="12" t="s">
        <v>522</v>
      </c>
      <c r="F10077" s="12" t="s">
        <v>523</v>
      </c>
      <c r="G10077" s="12" t="s">
        <v>40</v>
      </c>
      <c r="H10077" s="11" t="s">
        <v>63</v>
      </c>
      <c r="I10077" s="13" t="s">
        <v>20041</v>
      </c>
      <c r="J10077" s="14" t="str">
        <f>HYPERLINK("https://www.boe.es/gazeta/dias/1839/08/27/pdfs/GMD-1839-1748.pdf#page=2","Abrir facsímil")</f>
        <v>Abrir facsímil</v>
      </c>
      <c r="K10077" s="12" t="s">
        <v>65</v>
      </c>
    </row>
    <row r="10078" spans="1:11" ht="40.049999999999997" customHeight="1" x14ac:dyDescent="0.25">
      <c r="A10078" s="11" t="s">
        <v>20024</v>
      </c>
      <c r="B10078" s="11" t="s">
        <v>20024</v>
      </c>
      <c r="C10078" s="11" t="s">
        <v>59</v>
      </c>
      <c r="D10078" s="11" t="s">
        <v>60</v>
      </c>
      <c r="E10078" s="12" t="s">
        <v>522</v>
      </c>
      <c r="F10078" s="12" t="s">
        <v>523</v>
      </c>
      <c r="G10078" s="12" t="s">
        <v>566</v>
      </c>
      <c r="H10078" s="11" t="s">
        <v>63</v>
      </c>
      <c r="I10078" s="13" t="s">
        <v>20042</v>
      </c>
      <c r="J10078" s="14" t="str">
        <f>HYPERLINK("https://www.boe.es/gazeta/dias/1839/08/27/pdfs/GMD-1839-1748.pdf#page=5","Abrir facsímil")</f>
        <v>Abrir facsímil</v>
      </c>
      <c r="K10078" s="12" t="s">
        <v>65</v>
      </c>
    </row>
    <row r="10079" spans="1:11" ht="40.049999999999997" customHeight="1" x14ac:dyDescent="0.25">
      <c r="A10079" s="11" t="s">
        <v>20043</v>
      </c>
      <c r="B10079" s="11" t="s">
        <v>20044</v>
      </c>
      <c r="C10079" s="11" t="s">
        <v>17</v>
      </c>
      <c r="D10079" s="11" t="s">
        <v>18</v>
      </c>
      <c r="E10079" s="12" t="s">
        <v>1606</v>
      </c>
      <c r="F10079" s="12" t="s">
        <v>1607</v>
      </c>
      <c r="G10079" s="12" t="s">
        <v>21</v>
      </c>
      <c r="H10079" s="11" t="s">
        <v>63</v>
      </c>
      <c r="I10079" s="13" t="s">
        <v>20045</v>
      </c>
      <c r="J10079" s="14" t="str">
        <f>HYPERLINK("https://www.boe.es/gazeta/dias/1839/07/02/pdfs/GMD-1839-1690.pdf#page=4","Abrir facsímil")</f>
        <v>Abrir facsímil</v>
      </c>
      <c r="K10079" s="12" t="s">
        <v>65</v>
      </c>
    </row>
    <row r="10080" spans="1:11" ht="40.049999999999997" customHeight="1" x14ac:dyDescent="0.25">
      <c r="A10080" s="11" t="s">
        <v>20043</v>
      </c>
      <c r="B10080" s="11" t="s">
        <v>20044</v>
      </c>
      <c r="C10080" s="11" t="s">
        <v>59</v>
      </c>
      <c r="D10080" s="11" t="s">
        <v>60</v>
      </c>
      <c r="E10080" s="12" t="s">
        <v>239</v>
      </c>
      <c r="F10080" s="12" t="s">
        <v>1863</v>
      </c>
      <c r="G10080" s="12" t="s">
        <v>29</v>
      </c>
      <c r="H10080" s="11" t="s">
        <v>63</v>
      </c>
      <c r="I10080" s="13" t="s">
        <v>20046</v>
      </c>
      <c r="J10080" s="14" t="str">
        <f>HYPERLINK("https://www.boe.es/datos/pdfs/BOE//1839/1778/E00001-00001.pdf#page=1","Abrir facsímil")</f>
        <v>Abrir facsímil</v>
      </c>
      <c r="K10080" s="12" t="s">
        <v>65</v>
      </c>
    </row>
    <row r="10081" spans="1:11" ht="40.049999999999997" customHeight="1" x14ac:dyDescent="0.25">
      <c r="A10081" s="11" t="s">
        <v>20043</v>
      </c>
      <c r="B10081" s="11" t="s">
        <v>20044</v>
      </c>
      <c r="C10081" s="11" t="s">
        <v>17</v>
      </c>
      <c r="D10081" s="11" t="s">
        <v>18</v>
      </c>
      <c r="E10081" s="12" t="s">
        <v>243</v>
      </c>
      <c r="F10081" s="12" t="s">
        <v>244</v>
      </c>
      <c r="G10081" s="12" t="s">
        <v>40</v>
      </c>
      <c r="H10081" s="11" t="s">
        <v>63</v>
      </c>
      <c r="I10081" s="13" t="s">
        <v>20047</v>
      </c>
      <c r="J10081" s="14" t="str">
        <f>HYPERLINK("https://www.boe.es/gazeta/dias/1839/09/23/pdfs/GMD-1839-1779.pdf#page=2","Abrir facsímil")</f>
        <v>Abrir facsímil</v>
      </c>
      <c r="K10081" s="12" t="s">
        <v>65</v>
      </c>
    </row>
    <row r="10082" spans="1:11" ht="40.049999999999997" customHeight="1" x14ac:dyDescent="0.25">
      <c r="A10082" s="11" t="s">
        <v>20048</v>
      </c>
      <c r="B10082" s="11" t="s">
        <v>20049</v>
      </c>
      <c r="C10082" s="11" t="s">
        <v>17</v>
      </c>
      <c r="D10082" s="11" t="s">
        <v>18</v>
      </c>
      <c r="E10082" s="12" t="s">
        <v>202</v>
      </c>
      <c r="F10082" s="12" t="s">
        <v>203</v>
      </c>
      <c r="G10082" s="12" t="s">
        <v>46</v>
      </c>
      <c r="H10082" s="11" t="s">
        <v>63</v>
      </c>
      <c r="I10082" s="13" t="s">
        <v>20050</v>
      </c>
      <c r="J10082" s="14" t="str">
        <f>HYPERLINK("https://www.boe.es/gazeta/dias/1839/04/05/pdfs/GMD-1839-1602.pdf#page=3","Abrir facsímil")</f>
        <v>Abrir facsímil</v>
      </c>
      <c r="K10082" s="12" t="s">
        <v>65</v>
      </c>
    </row>
    <row r="10083" spans="1:11" ht="40.049999999999997" customHeight="1" x14ac:dyDescent="0.25">
      <c r="A10083" s="11" t="s">
        <v>20051</v>
      </c>
      <c r="B10083" s="11" t="s">
        <v>20052</v>
      </c>
      <c r="C10083" s="11" t="s">
        <v>17</v>
      </c>
      <c r="D10083" s="11" t="s">
        <v>18</v>
      </c>
      <c r="E10083" s="12" t="s">
        <v>1079</v>
      </c>
      <c r="F10083" s="12" t="s">
        <v>1080</v>
      </c>
      <c r="G10083" s="12" t="s">
        <v>21</v>
      </c>
      <c r="H10083" s="11" t="s">
        <v>22</v>
      </c>
      <c r="I10083" s="13" t="s">
        <v>20053</v>
      </c>
      <c r="J10083" s="14" t="str">
        <f>HYPERLINK("https://www.boe.es/gazeta/dias/1839/05/24/pdfs/GMD-1839-1651.pdf#page=4","Abrir facsímil")</f>
        <v>Abrir facsímil</v>
      </c>
      <c r="K10083" s="12" t="s">
        <v>24</v>
      </c>
    </row>
    <row r="10084" spans="1:11" ht="40.049999999999997" customHeight="1" x14ac:dyDescent="0.25">
      <c r="A10084" s="11" t="s">
        <v>20054</v>
      </c>
      <c r="B10084" s="11" t="s">
        <v>20055</v>
      </c>
      <c r="C10084" s="11" t="s">
        <v>17</v>
      </c>
      <c r="D10084" s="11" t="s">
        <v>18</v>
      </c>
      <c r="E10084" s="12" t="s">
        <v>751</v>
      </c>
      <c r="F10084" s="12" t="s">
        <v>752</v>
      </c>
      <c r="G10084" s="12" t="s">
        <v>21</v>
      </c>
      <c r="H10084" s="11" t="s">
        <v>63</v>
      </c>
      <c r="I10084" s="13" t="s">
        <v>20056</v>
      </c>
      <c r="J10084" s="14" t="str">
        <f>HYPERLINK("https://www.boe.es/gazeta/dias/1839/02/05/pdfs/GMD-1839-1543.pdf#page=4","Abrir facsímil")</f>
        <v>Abrir facsímil</v>
      </c>
      <c r="K10084" s="12" t="s">
        <v>65</v>
      </c>
    </row>
    <row r="10085" spans="1:11" ht="40.049999999999997" customHeight="1" x14ac:dyDescent="0.25">
      <c r="A10085" s="11" t="s">
        <v>20057</v>
      </c>
      <c r="B10085" s="11" t="s">
        <v>20057</v>
      </c>
      <c r="C10085" s="11" t="s">
        <v>101</v>
      </c>
      <c r="D10085" s="11" t="s">
        <v>43</v>
      </c>
      <c r="E10085" s="12" t="s">
        <v>544</v>
      </c>
      <c r="F10085" s="12" t="s">
        <v>545</v>
      </c>
      <c r="G10085" s="12" t="s">
        <v>29</v>
      </c>
      <c r="H10085" s="11" t="s">
        <v>63</v>
      </c>
      <c r="I10085" s="13" t="s">
        <v>20058</v>
      </c>
      <c r="J10085" s="14" t="str">
        <f>HYPERLINK("https://www.boe.es/gazeta/dias/1839/11/11/pdfs/GMD-1839-1828.pdf#page=1","Abrir facsímil")</f>
        <v>Abrir facsímil</v>
      </c>
      <c r="K10085" s="12" t="s">
        <v>65</v>
      </c>
    </row>
    <row r="10086" spans="1:11" ht="40.049999999999997" customHeight="1" x14ac:dyDescent="0.25">
      <c r="A10086" s="11" t="s">
        <v>20059</v>
      </c>
      <c r="B10086" s="11" t="s">
        <v>20060</v>
      </c>
      <c r="C10086" s="11" t="s">
        <v>80</v>
      </c>
      <c r="D10086" s="11" t="s">
        <v>173</v>
      </c>
      <c r="E10086" s="12" t="s">
        <v>343</v>
      </c>
      <c r="F10086" s="12" t="s">
        <v>344</v>
      </c>
      <c r="G10086" s="12" t="s">
        <v>21</v>
      </c>
      <c r="H10086" s="11" t="s">
        <v>63</v>
      </c>
      <c r="I10086" s="13" t="s">
        <v>20061</v>
      </c>
      <c r="J10086" s="14" t="str">
        <f>HYPERLINK("https://www.boe.es/gazeta/dias/1839/05/20/pdfs/GMD-1839-1647.pdf#page=4","Abrir facsímil")</f>
        <v>Abrir facsímil</v>
      </c>
      <c r="K10086" s="12" t="s">
        <v>65</v>
      </c>
    </row>
    <row r="10087" spans="1:11" ht="40.049999999999997" customHeight="1" x14ac:dyDescent="0.25">
      <c r="A10087" s="11" t="s">
        <v>20062</v>
      </c>
      <c r="B10087" s="11" t="s">
        <v>20063</v>
      </c>
      <c r="C10087" s="11" t="s">
        <v>17</v>
      </c>
      <c r="D10087" s="11" t="s">
        <v>18</v>
      </c>
      <c r="E10087" s="12" t="s">
        <v>1310</v>
      </c>
      <c r="F10087" s="12" t="s">
        <v>1311</v>
      </c>
      <c r="G10087" s="12" t="s">
        <v>40</v>
      </c>
      <c r="H10087" s="11" t="s">
        <v>63</v>
      </c>
      <c r="I10087" s="13" t="s">
        <v>20064</v>
      </c>
      <c r="J10087" s="14" t="str">
        <f>HYPERLINK("https://www.boe.es/gazeta/dias/1839/04/23/pdfs/GMD-1839-1620.pdf#page=2","Abrir facsímil")</f>
        <v>Abrir facsímil</v>
      </c>
      <c r="K10087" s="12" t="s">
        <v>65</v>
      </c>
    </row>
    <row r="10088" spans="1:11" ht="40.049999999999997" customHeight="1" x14ac:dyDescent="0.25">
      <c r="A10088" s="11" t="s">
        <v>20065</v>
      </c>
      <c r="B10088" s="11" t="s">
        <v>20066</v>
      </c>
      <c r="C10088" s="11" t="s">
        <v>17</v>
      </c>
      <c r="D10088" s="11" t="s">
        <v>18</v>
      </c>
      <c r="E10088" s="12" t="s">
        <v>568</v>
      </c>
      <c r="F10088" s="12" t="s">
        <v>569</v>
      </c>
      <c r="G10088" s="12" t="s">
        <v>46</v>
      </c>
      <c r="H10088" s="11" t="s">
        <v>63</v>
      </c>
      <c r="I10088" s="13" t="s">
        <v>20067</v>
      </c>
      <c r="J10088" s="14" t="str">
        <f>HYPERLINK("https://www.boe.es/gazeta/dias/1839/10/23/pdfs/GMD-1839-1809.pdf#page=3","Abrir facsímil")</f>
        <v>Abrir facsímil</v>
      </c>
      <c r="K10088" s="12" t="s">
        <v>65</v>
      </c>
    </row>
    <row r="10089" spans="1:11" ht="40.049999999999997" customHeight="1" x14ac:dyDescent="0.25">
      <c r="A10089" s="11" t="s">
        <v>20068</v>
      </c>
      <c r="B10089" s="11" t="s">
        <v>20068</v>
      </c>
      <c r="C10089" s="11" t="s">
        <v>17</v>
      </c>
      <c r="D10089" s="11" t="s">
        <v>18</v>
      </c>
      <c r="E10089" s="12" t="s">
        <v>3668</v>
      </c>
      <c r="F10089" s="12" t="s">
        <v>3669</v>
      </c>
      <c r="G10089" s="12" t="s">
        <v>46</v>
      </c>
      <c r="H10089" s="11" t="s">
        <v>63</v>
      </c>
      <c r="I10089" s="13" t="s">
        <v>20069</v>
      </c>
      <c r="J10089" s="14" t="str">
        <f>HYPERLINK("https://www.boe.es/gazeta/dias/1839/05/19/pdfs/GMD-1839-1646.pdf#page=3","Abrir facsímil")</f>
        <v>Abrir facsímil</v>
      </c>
      <c r="K10089" s="12" t="s">
        <v>65</v>
      </c>
    </row>
    <row r="10090" spans="1:11" ht="40.049999999999997" customHeight="1" x14ac:dyDescent="0.25">
      <c r="A10090" s="11" t="s">
        <v>20070</v>
      </c>
      <c r="B10090" s="11" t="s">
        <v>20071</v>
      </c>
      <c r="C10090" s="11" t="s">
        <v>59</v>
      </c>
      <c r="D10090" s="11" t="s">
        <v>60</v>
      </c>
      <c r="E10090" s="12" t="s">
        <v>571</v>
      </c>
      <c r="F10090" s="12" t="s">
        <v>572</v>
      </c>
      <c r="G10090" s="12" t="s">
        <v>21</v>
      </c>
      <c r="H10090" s="11" t="s">
        <v>63</v>
      </c>
      <c r="I10090" s="13" t="s">
        <v>20072</v>
      </c>
      <c r="J10090" s="14" t="str">
        <f>HYPERLINK("https://www.boe.es/gazeta/dias/1839/09/27/pdfs/GMD-1839-1783.pdf#page=4","Abrir facsímil")</f>
        <v>Abrir facsímil</v>
      </c>
      <c r="K10090" s="12" t="s">
        <v>65</v>
      </c>
    </row>
    <row r="10091" spans="1:11" ht="40.049999999999997" customHeight="1" x14ac:dyDescent="0.25">
      <c r="A10091" s="11" t="s">
        <v>20073</v>
      </c>
      <c r="B10091" s="11" t="s">
        <v>20073</v>
      </c>
      <c r="C10091" s="11" t="s">
        <v>17</v>
      </c>
      <c r="D10091" s="11" t="s">
        <v>18</v>
      </c>
      <c r="E10091" s="12" t="s">
        <v>1467</v>
      </c>
      <c r="F10091" s="12" t="s">
        <v>1468</v>
      </c>
      <c r="G10091" s="12" t="s">
        <v>29</v>
      </c>
      <c r="H10091" s="11" t="s">
        <v>63</v>
      </c>
      <c r="I10091" s="13" t="s">
        <v>20074</v>
      </c>
      <c r="J10091" s="14" t="str">
        <f>HYPERLINK("https://www.boe.es/gazeta/dias/1839/03/05/pdfs/GMD-1839-1571.pdf#page=1","Abrir facsímil")</f>
        <v>Abrir facsímil</v>
      </c>
      <c r="K10091" s="12" t="s">
        <v>65</v>
      </c>
    </row>
    <row r="10092" spans="1:11" ht="40.049999999999997" customHeight="1" x14ac:dyDescent="0.25">
      <c r="A10092" s="11" t="s">
        <v>20073</v>
      </c>
      <c r="B10092" s="11" t="s">
        <v>20073</v>
      </c>
      <c r="C10092" s="11" t="s">
        <v>17</v>
      </c>
      <c r="D10092" s="11" t="s">
        <v>18</v>
      </c>
      <c r="E10092" s="12" t="s">
        <v>775</v>
      </c>
      <c r="F10092" s="12" t="s">
        <v>776</v>
      </c>
      <c r="G10092" s="12" t="s">
        <v>40</v>
      </c>
      <c r="H10092" s="11" t="s">
        <v>63</v>
      </c>
      <c r="I10092" s="13" t="s">
        <v>20075</v>
      </c>
      <c r="J10092" s="14" t="str">
        <f>HYPERLINK("https://www.boe.es/gazeta/dias/1839/02/25/pdfs/GMD-1839-1563.pdf#page=2","Abrir facsímil")</f>
        <v>Abrir facsímil</v>
      </c>
      <c r="K10092" s="12" t="s">
        <v>65</v>
      </c>
    </row>
    <row r="10093" spans="1:11" ht="40.049999999999997" customHeight="1" x14ac:dyDescent="0.25">
      <c r="A10093" s="11" t="s">
        <v>20076</v>
      </c>
      <c r="B10093" s="11" t="s">
        <v>20076</v>
      </c>
      <c r="C10093" s="11" t="s">
        <v>80</v>
      </c>
      <c r="D10093" s="11" t="s">
        <v>18</v>
      </c>
      <c r="E10093" s="12" t="s">
        <v>287</v>
      </c>
      <c r="F10093" s="12" t="s">
        <v>288</v>
      </c>
      <c r="G10093" s="12" t="s">
        <v>29</v>
      </c>
      <c r="H10093" s="11" t="s">
        <v>63</v>
      </c>
      <c r="I10093" s="13" t="s">
        <v>20077</v>
      </c>
      <c r="J10093" s="14" t="str">
        <f>HYPERLINK("https://www.boe.es/gazeta/dias/1839/11/27/pdfs/GMD-1839-1844.pdf#page=1","Abrir facsímil")</f>
        <v>Abrir facsímil</v>
      </c>
      <c r="K10093" s="12" t="s">
        <v>65</v>
      </c>
    </row>
    <row r="10094" spans="1:11" ht="40.049999999999997" customHeight="1" x14ac:dyDescent="0.25">
      <c r="A10094" s="11" t="s">
        <v>20078</v>
      </c>
      <c r="B10094" s="11" t="s">
        <v>20079</v>
      </c>
      <c r="C10094" s="11" t="s">
        <v>59</v>
      </c>
      <c r="D10094" s="11" t="s">
        <v>60</v>
      </c>
      <c r="E10094" s="12" t="s">
        <v>870</v>
      </c>
      <c r="F10094" s="12" t="s">
        <v>871</v>
      </c>
      <c r="G10094" s="12" t="s">
        <v>21</v>
      </c>
      <c r="H10094" s="11" t="s">
        <v>63</v>
      </c>
      <c r="I10094" s="13" t="s">
        <v>20080</v>
      </c>
      <c r="J10094" s="14" t="str">
        <f>HYPERLINK("https://www.boe.es/gazeta/dias/1839/04/18/pdfs/GMD-1839-1615.pdf#page=4","Abrir facsímil")</f>
        <v>Abrir facsímil</v>
      </c>
      <c r="K10094" s="12" t="s">
        <v>65</v>
      </c>
    </row>
    <row r="10095" spans="1:11" ht="40.049999999999997" customHeight="1" x14ac:dyDescent="0.25">
      <c r="A10095" s="11" t="s">
        <v>20081</v>
      </c>
      <c r="B10095" s="11" t="s">
        <v>20082</v>
      </c>
      <c r="C10095" s="11" t="s">
        <v>17</v>
      </c>
      <c r="D10095" s="11" t="s">
        <v>18</v>
      </c>
      <c r="E10095" s="12" t="s">
        <v>243</v>
      </c>
      <c r="F10095" s="12" t="s">
        <v>244</v>
      </c>
      <c r="G10095" s="12" t="s">
        <v>21</v>
      </c>
      <c r="H10095" s="11" t="s">
        <v>63</v>
      </c>
      <c r="I10095" s="13" t="s">
        <v>20083</v>
      </c>
      <c r="J10095" s="14" t="str">
        <f>HYPERLINK("https://www.boe.es/gazeta/dias/1839/09/23/pdfs/GMD-1839-1779.pdf#page=4","Abrir facsímil")</f>
        <v>Abrir facsímil</v>
      </c>
      <c r="K10095" s="12" t="s">
        <v>65</v>
      </c>
    </row>
    <row r="10096" spans="1:11" ht="40.049999999999997" customHeight="1" x14ac:dyDescent="0.25">
      <c r="A10096" s="11" t="s">
        <v>20084</v>
      </c>
      <c r="B10096" s="11" t="s">
        <v>20085</v>
      </c>
      <c r="C10096" s="11" t="s">
        <v>17</v>
      </c>
      <c r="D10096" s="11" t="s">
        <v>18</v>
      </c>
      <c r="E10096" s="12" t="s">
        <v>870</v>
      </c>
      <c r="F10096" s="12" t="s">
        <v>871</v>
      </c>
      <c r="G10096" s="12" t="s">
        <v>21</v>
      </c>
      <c r="H10096" s="11" t="s">
        <v>22</v>
      </c>
      <c r="I10096" s="13" t="s">
        <v>20086</v>
      </c>
      <c r="J10096" s="14" t="str">
        <f>HYPERLINK("https://www.boe.es/gazeta/dias/1839/04/18/pdfs/GMD-1839-1615.pdf#page=4","Abrir facsímil")</f>
        <v>Abrir facsímil</v>
      </c>
      <c r="K10096" s="12" t="s">
        <v>24</v>
      </c>
    </row>
    <row r="10097" spans="1:11" ht="40.049999999999997" customHeight="1" x14ac:dyDescent="0.25">
      <c r="A10097" s="11" t="s">
        <v>20087</v>
      </c>
      <c r="B10097" s="11" t="s">
        <v>20087</v>
      </c>
      <c r="C10097" s="11" t="s">
        <v>17</v>
      </c>
      <c r="D10097" s="11" t="s">
        <v>18</v>
      </c>
      <c r="E10097" s="12" t="s">
        <v>744</v>
      </c>
      <c r="F10097" s="12" t="s">
        <v>745</v>
      </c>
      <c r="G10097" s="12" t="s">
        <v>29</v>
      </c>
      <c r="H10097" s="11" t="s">
        <v>63</v>
      </c>
      <c r="I10097" s="13" t="s">
        <v>20088</v>
      </c>
      <c r="J10097" s="14" t="str">
        <f>HYPERLINK("https://www.boe.es/gazeta/dias/1839/12/09/pdfs/GMD-1839-1856.pdf#page=1","Abrir facsímil")</f>
        <v>Abrir facsímil</v>
      </c>
      <c r="K10097" s="12" t="s">
        <v>65</v>
      </c>
    </row>
    <row r="10098" spans="1:11" ht="40.049999999999997" customHeight="1" x14ac:dyDescent="0.25">
      <c r="A10098" s="11" t="s">
        <v>20089</v>
      </c>
      <c r="B10098" s="11" t="s">
        <v>20089</v>
      </c>
      <c r="C10098" s="11" t="s">
        <v>17</v>
      </c>
      <c r="D10098" s="11" t="s">
        <v>18</v>
      </c>
      <c r="E10098" s="12" t="s">
        <v>5845</v>
      </c>
      <c r="F10098" s="12" t="s">
        <v>5846</v>
      </c>
      <c r="G10098" s="12" t="s">
        <v>21</v>
      </c>
      <c r="H10098" s="11" t="s">
        <v>63</v>
      </c>
      <c r="I10098" s="13" t="s">
        <v>20090</v>
      </c>
      <c r="J10098" s="14" t="str">
        <f>HYPERLINK("https://www.boe.es/gazeta/dias/1839/04/01/pdfs/GMD-1839-1598.pdf#page=4","Abrir facsímil")</f>
        <v>Abrir facsímil</v>
      </c>
      <c r="K10098" s="12" t="s">
        <v>65</v>
      </c>
    </row>
    <row r="10099" spans="1:11" ht="40.049999999999997" customHeight="1" x14ac:dyDescent="0.25">
      <c r="A10099" s="11" t="s">
        <v>20089</v>
      </c>
      <c r="B10099" s="11" t="s">
        <v>20089</v>
      </c>
      <c r="C10099" s="11" t="s">
        <v>17</v>
      </c>
      <c r="D10099" s="11" t="s">
        <v>18</v>
      </c>
      <c r="E10099" s="12" t="s">
        <v>857</v>
      </c>
      <c r="F10099" s="12" t="s">
        <v>858</v>
      </c>
      <c r="G10099" s="12" t="s">
        <v>21</v>
      </c>
      <c r="H10099" s="11" t="s">
        <v>63</v>
      </c>
      <c r="I10099" s="13" t="s">
        <v>20091</v>
      </c>
      <c r="J10099" s="14" t="str">
        <f>HYPERLINK("https://www.boe.es/gazeta/dias/1839/11/21/pdfs/GMD-1839-1838.pdf#page=4","Abrir facsímil")</f>
        <v>Abrir facsímil</v>
      </c>
      <c r="K10099" s="12" t="s">
        <v>65</v>
      </c>
    </row>
    <row r="10100" spans="1:11" ht="40.049999999999997" customHeight="1" x14ac:dyDescent="0.25">
      <c r="A10100" s="11" t="s">
        <v>20089</v>
      </c>
      <c r="B10100" s="11" t="s">
        <v>20089</v>
      </c>
      <c r="C10100" s="11" t="s">
        <v>17</v>
      </c>
      <c r="D10100" s="11" t="s">
        <v>18</v>
      </c>
      <c r="E10100" s="12" t="s">
        <v>1284</v>
      </c>
      <c r="F10100" s="12" t="s">
        <v>1285</v>
      </c>
      <c r="G10100" s="12" t="s">
        <v>21</v>
      </c>
      <c r="H10100" s="11" t="s">
        <v>63</v>
      </c>
      <c r="I10100" s="13" t="s">
        <v>20092</v>
      </c>
      <c r="J10100" s="14" t="str">
        <f>HYPERLINK("https://www.boe.es/gazeta/dias/1839/03/27/pdfs/GMD-1839-1593.pdf#page=4","Abrir facsímil")</f>
        <v>Abrir facsímil</v>
      </c>
      <c r="K10100" s="12" t="s">
        <v>65</v>
      </c>
    </row>
    <row r="10101" spans="1:11" ht="40.049999999999997" customHeight="1" x14ac:dyDescent="0.25">
      <c r="A10101" s="11" t="s">
        <v>20093</v>
      </c>
      <c r="B10101" s="11" t="s">
        <v>20093</v>
      </c>
      <c r="C10101" s="11" t="s">
        <v>17</v>
      </c>
      <c r="D10101" s="11" t="s">
        <v>18</v>
      </c>
      <c r="E10101" s="12" t="s">
        <v>3289</v>
      </c>
      <c r="F10101" s="12" t="s">
        <v>3290</v>
      </c>
      <c r="G10101" s="12" t="s">
        <v>46</v>
      </c>
      <c r="H10101" s="11" t="s">
        <v>63</v>
      </c>
      <c r="I10101" s="13" t="s">
        <v>20094</v>
      </c>
      <c r="J10101" s="14" t="str">
        <f>HYPERLINK("https://www.boe.es/gazeta/dias/1839/12/10/pdfs/GMD-1839-1857.pdf#page=3","Abrir facsímil")</f>
        <v>Abrir facsímil</v>
      </c>
      <c r="K10101" s="12" t="s">
        <v>65</v>
      </c>
    </row>
    <row r="10102" spans="1:11" ht="40.049999999999997" customHeight="1" x14ac:dyDescent="0.25">
      <c r="A10102" s="11" t="s">
        <v>20093</v>
      </c>
      <c r="B10102" s="11" t="s">
        <v>20093</v>
      </c>
      <c r="C10102" s="11" t="s">
        <v>17</v>
      </c>
      <c r="D10102" s="11" t="s">
        <v>18</v>
      </c>
      <c r="E10102" s="12" t="s">
        <v>3668</v>
      </c>
      <c r="F10102" s="12" t="s">
        <v>3669</v>
      </c>
      <c r="G10102" s="12" t="s">
        <v>46</v>
      </c>
      <c r="H10102" s="11" t="s">
        <v>63</v>
      </c>
      <c r="I10102" s="13" t="s">
        <v>20095</v>
      </c>
      <c r="J10102" s="14" t="str">
        <f>HYPERLINK("https://www.boe.es/gazeta/dias/1839/05/19/pdfs/GMD-1839-1646.pdf#page=3","Abrir facsímil")</f>
        <v>Abrir facsímil</v>
      </c>
      <c r="K10102" s="12" t="s">
        <v>65</v>
      </c>
    </row>
    <row r="10103" spans="1:11" ht="40.049999999999997" customHeight="1" x14ac:dyDescent="0.25">
      <c r="A10103" s="11" t="s">
        <v>20096</v>
      </c>
      <c r="B10103" s="11" t="s">
        <v>20097</v>
      </c>
      <c r="C10103" s="11" t="s">
        <v>137</v>
      </c>
      <c r="D10103" s="11" t="s">
        <v>18</v>
      </c>
      <c r="E10103" s="12" t="s">
        <v>2851</v>
      </c>
      <c r="F10103" s="12" t="s">
        <v>2852</v>
      </c>
      <c r="G10103" s="12" t="s">
        <v>29</v>
      </c>
      <c r="H10103" s="11" t="s">
        <v>63</v>
      </c>
      <c r="I10103" s="13" t="s">
        <v>20098</v>
      </c>
      <c r="J10103" s="14" t="str">
        <f>HYPERLINK("https://www.boe.es/gazeta/dias/1839/05/16/pdfs/GMD-1839-1643.pdf#page=1","Abrir facsímil")</f>
        <v>Abrir facsímil</v>
      </c>
      <c r="K10103" s="12" t="s">
        <v>65</v>
      </c>
    </row>
    <row r="10104" spans="1:11" ht="40.049999999999997" customHeight="1" x14ac:dyDescent="0.25">
      <c r="A10104" s="11" t="s">
        <v>20099</v>
      </c>
      <c r="B10104" s="11" t="s">
        <v>20100</v>
      </c>
      <c r="C10104" s="11" t="s">
        <v>17</v>
      </c>
      <c r="D10104" s="11" t="s">
        <v>18</v>
      </c>
      <c r="E10104" s="12" t="s">
        <v>4055</v>
      </c>
      <c r="F10104" s="12" t="s">
        <v>4056</v>
      </c>
      <c r="G10104" s="12" t="s">
        <v>29</v>
      </c>
      <c r="H10104" s="11" t="s">
        <v>63</v>
      </c>
      <c r="I10104" s="13" t="s">
        <v>20101</v>
      </c>
      <c r="J10104" s="14" t="str">
        <f>HYPERLINK("https://www.boe.es/gazeta/dias/1839/03/07/pdfs/GMD-1839-1573.pdf#page=1","Abrir facsímil")</f>
        <v>Abrir facsímil</v>
      </c>
      <c r="K10104" s="12" t="s">
        <v>65</v>
      </c>
    </row>
    <row r="10105" spans="1:11" ht="40.049999999999997" customHeight="1" x14ac:dyDescent="0.25">
      <c r="A10105" s="11" t="s">
        <v>20102</v>
      </c>
      <c r="B10105" s="11" t="s">
        <v>20102</v>
      </c>
      <c r="C10105" s="11" t="s">
        <v>17</v>
      </c>
      <c r="D10105" s="11" t="s">
        <v>18</v>
      </c>
      <c r="E10105" s="12" t="s">
        <v>736</v>
      </c>
      <c r="F10105" s="12" t="s">
        <v>737</v>
      </c>
      <c r="G10105" s="12" t="s">
        <v>40</v>
      </c>
      <c r="H10105" s="11" t="s">
        <v>63</v>
      </c>
      <c r="I10105" s="13" t="s">
        <v>20103</v>
      </c>
      <c r="J10105" s="14" t="str">
        <f>HYPERLINK("https://www.boe.es/gazeta/dias/1839/10/13/pdfs/GMD-1839-1799.pdf#page=2","Abrir facsímil")</f>
        <v>Abrir facsímil</v>
      </c>
      <c r="K10105" s="12" t="s">
        <v>65</v>
      </c>
    </row>
    <row r="10106" spans="1:11" ht="40.049999999999997" customHeight="1" x14ac:dyDescent="0.25">
      <c r="A10106" s="11" t="s">
        <v>20104</v>
      </c>
      <c r="B10106" s="11" t="s">
        <v>20105</v>
      </c>
      <c r="C10106" s="11" t="s">
        <v>17</v>
      </c>
      <c r="D10106" s="11" t="s">
        <v>18</v>
      </c>
      <c r="E10106" s="12" t="s">
        <v>2270</v>
      </c>
      <c r="F10106" s="12" t="s">
        <v>2271</v>
      </c>
      <c r="G10106" s="12" t="s">
        <v>21</v>
      </c>
      <c r="H10106" s="11" t="s">
        <v>63</v>
      </c>
      <c r="I10106" s="13" t="s">
        <v>20106</v>
      </c>
      <c r="J10106" s="14" t="str">
        <f>HYPERLINK("https://www.boe.es/gazeta/dias/1839/06/13/pdfs/GMD-1839-1671.pdf#page=4","Abrir facsímil")</f>
        <v>Abrir facsímil</v>
      </c>
      <c r="K10106" s="12" t="s">
        <v>65</v>
      </c>
    </row>
    <row r="10107" spans="1:11" ht="40.049999999999997" customHeight="1" x14ac:dyDescent="0.25">
      <c r="A10107" s="11" t="s">
        <v>20107</v>
      </c>
      <c r="B10107" s="11" t="s">
        <v>20108</v>
      </c>
      <c r="C10107" s="11" t="s">
        <v>17</v>
      </c>
      <c r="D10107" s="11" t="s">
        <v>18</v>
      </c>
      <c r="E10107" s="12" t="s">
        <v>695</v>
      </c>
      <c r="F10107" s="12" t="s">
        <v>696</v>
      </c>
      <c r="G10107" s="12" t="s">
        <v>46</v>
      </c>
      <c r="H10107" s="11" t="s">
        <v>63</v>
      </c>
      <c r="I10107" s="13" t="s">
        <v>20109</v>
      </c>
      <c r="J10107" s="14" t="str">
        <f>HYPERLINK("https://www.boe.es/gazeta/dias/1839/12/19/pdfs/GMD-1839-1866.pdf#page=3","Abrir facsímil")</f>
        <v>Abrir facsímil</v>
      </c>
      <c r="K10107" s="12" t="s">
        <v>65</v>
      </c>
    </row>
    <row r="10108" spans="1:11" ht="40.049999999999997" customHeight="1" x14ac:dyDescent="0.25">
      <c r="A10108" s="11" t="s">
        <v>20107</v>
      </c>
      <c r="B10108" s="11" t="s">
        <v>20108</v>
      </c>
      <c r="C10108" s="11" t="s">
        <v>17</v>
      </c>
      <c r="D10108" s="11" t="s">
        <v>18</v>
      </c>
      <c r="E10108" s="12" t="s">
        <v>857</v>
      </c>
      <c r="F10108" s="12" t="s">
        <v>858</v>
      </c>
      <c r="G10108" s="12" t="s">
        <v>29</v>
      </c>
      <c r="H10108" s="11" t="s">
        <v>63</v>
      </c>
      <c r="I10108" s="13" t="s">
        <v>20110</v>
      </c>
      <c r="J10108" s="14" t="str">
        <f>HYPERLINK("https://www.boe.es/gazeta/dias/1839/11/21/pdfs/GMD-1839-1838.pdf#page=1","Abrir facsímil")</f>
        <v>Abrir facsímil</v>
      </c>
      <c r="K10108" s="12" t="s">
        <v>65</v>
      </c>
    </row>
    <row r="10109" spans="1:11" ht="40.049999999999997" customHeight="1" x14ac:dyDescent="0.25">
      <c r="A10109" s="11" t="s">
        <v>20111</v>
      </c>
      <c r="B10109" s="11" t="s">
        <v>20111</v>
      </c>
      <c r="C10109" s="11" t="s">
        <v>17</v>
      </c>
      <c r="D10109" s="11" t="s">
        <v>18</v>
      </c>
      <c r="E10109" s="12" t="s">
        <v>1433</v>
      </c>
      <c r="F10109" s="12" t="s">
        <v>1434</v>
      </c>
      <c r="G10109" s="12" t="s">
        <v>40</v>
      </c>
      <c r="H10109" s="11" t="s">
        <v>63</v>
      </c>
      <c r="I10109" s="13" t="s">
        <v>20112</v>
      </c>
      <c r="J10109" s="14" t="str">
        <f>HYPERLINK("https://www.boe.es/gazeta/dias/1839/10/22/pdfs/GMD-1839-1808.pdf#page=2","Abrir facsímil")</f>
        <v>Abrir facsímil</v>
      </c>
      <c r="K10109" s="12" t="s">
        <v>65</v>
      </c>
    </row>
    <row r="10110" spans="1:11" ht="40.049999999999997" customHeight="1" x14ac:dyDescent="0.25">
      <c r="A10110" s="11" t="s">
        <v>20111</v>
      </c>
      <c r="B10110" s="11" t="s">
        <v>20111</v>
      </c>
      <c r="C10110" s="11" t="s">
        <v>17</v>
      </c>
      <c r="D10110" s="11" t="s">
        <v>43</v>
      </c>
      <c r="E10110" s="12" t="s">
        <v>568</v>
      </c>
      <c r="F10110" s="12" t="s">
        <v>569</v>
      </c>
      <c r="G10110" s="12" t="s">
        <v>40</v>
      </c>
      <c r="H10110" s="11" t="s">
        <v>63</v>
      </c>
      <c r="I10110" s="13" t="s">
        <v>20113</v>
      </c>
      <c r="J10110" s="14" t="str">
        <f>HYPERLINK("https://www.boe.es/gazeta/dias/1839/10/23/pdfs/GMD-1839-1809.pdf#page=2","Abrir facsímil")</f>
        <v>Abrir facsímil</v>
      </c>
      <c r="K10110" s="12" t="s">
        <v>65</v>
      </c>
    </row>
    <row r="10111" spans="1:11" ht="40.049999999999997" customHeight="1" x14ac:dyDescent="0.25">
      <c r="A10111" s="11" t="s">
        <v>20114</v>
      </c>
      <c r="B10111" s="11" t="s">
        <v>20115</v>
      </c>
      <c r="C10111" s="11" t="s">
        <v>17</v>
      </c>
      <c r="D10111" s="11" t="s">
        <v>18</v>
      </c>
      <c r="E10111" s="12" t="s">
        <v>568</v>
      </c>
      <c r="F10111" s="12" t="s">
        <v>569</v>
      </c>
      <c r="G10111" s="12" t="s">
        <v>46</v>
      </c>
      <c r="H10111" s="11" t="s">
        <v>63</v>
      </c>
      <c r="I10111" s="13" t="s">
        <v>20116</v>
      </c>
      <c r="J10111" s="14" t="str">
        <f>HYPERLINK("https://www.boe.es/gazeta/dias/1839/10/23/pdfs/GMD-1839-1809.pdf#page=3","Abrir facsímil")</f>
        <v>Abrir facsímil</v>
      </c>
      <c r="K10111" s="12" t="s">
        <v>65</v>
      </c>
    </row>
    <row r="10112" spans="1:11" ht="40.049999999999997" customHeight="1" x14ac:dyDescent="0.25">
      <c r="A10112" s="11" t="s">
        <v>20117</v>
      </c>
      <c r="B10112" s="11" t="s">
        <v>20117</v>
      </c>
      <c r="C10112" s="11" t="s">
        <v>17</v>
      </c>
      <c r="D10112" s="11" t="s">
        <v>18</v>
      </c>
      <c r="E10112" s="12" t="s">
        <v>1729</v>
      </c>
      <c r="F10112" s="12" t="s">
        <v>1730</v>
      </c>
      <c r="G10112" s="12" t="s">
        <v>46</v>
      </c>
      <c r="H10112" s="11" t="s">
        <v>63</v>
      </c>
      <c r="I10112" s="13" t="s">
        <v>20118</v>
      </c>
      <c r="J10112" s="14" t="str">
        <f>HYPERLINK("https://www.boe.es/gazeta/dias/1839/04/25/pdfs/GMD-1839-1622.pdf#page=3","Abrir facsímil")</f>
        <v>Abrir facsímil</v>
      </c>
      <c r="K10112" s="12" t="s">
        <v>65</v>
      </c>
    </row>
    <row r="10113" spans="1:11" ht="40.049999999999997" customHeight="1" x14ac:dyDescent="0.25">
      <c r="A10113" s="11" t="s">
        <v>20119</v>
      </c>
      <c r="B10113" s="11" t="s">
        <v>20120</v>
      </c>
      <c r="C10113" s="11" t="s">
        <v>59</v>
      </c>
      <c r="D10113" s="11" t="s">
        <v>60</v>
      </c>
      <c r="E10113" s="12" t="s">
        <v>1356</v>
      </c>
      <c r="F10113" s="12" t="s">
        <v>1357</v>
      </c>
      <c r="G10113" s="12" t="s">
        <v>46</v>
      </c>
      <c r="H10113" s="11" t="s">
        <v>63</v>
      </c>
      <c r="I10113" s="13" t="s">
        <v>20121</v>
      </c>
      <c r="J10113" s="14" t="str">
        <f>HYPERLINK("https://www.boe.es/gazeta/dias/1839/06/05/pdfs/GMD-1839-1663.pdf#page=3","Abrir facsímil")</f>
        <v>Abrir facsímil</v>
      </c>
      <c r="K10113" s="12" t="s">
        <v>65</v>
      </c>
    </row>
    <row r="10114" spans="1:11" ht="40.049999999999997" customHeight="1" x14ac:dyDescent="0.25">
      <c r="A10114" s="11" t="s">
        <v>20122</v>
      </c>
      <c r="B10114" s="11" t="s">
        <v>20123</v>
      </c>
      <c r="C10114" s="11" t="s">
        <v>17</v>
      </c>
      <c r="D10114" s="11" t="s">
        <v>18</v>
      </c>
      <c r="E10114" s="12" t="s">
        <v>369</v>
      </c>
      <c r="F10114" s="12" t="s">
        <v>370</v>
      </c>
      <c r="G10114" s="12" t="s">
        <v>40</v>
      </c>
      <c r="H10114" s="11" t="s">
        <v>63</v>
      </c>
      <c r="I10114" s="13" t="s">
        <v>20124</v>
      </c>
      <c r="J10114" s="14" t="str">
        <f>HYPERLINK("https://www.boe.es/gazeta/dias/1839/11/01/pdfs/GMD-1839-1818.pdf#page=2","Abrir facsímil")</f>
        <v>Abrir facsímil</v>
      </c>
      <c r="K10114" s="12" t="s">
        <v>65</v>
      </c>
    </row>
    <row r="10115" spans="1:11" ht="40.049999999999997" customHeight="1" x14ac:dyDescent="0.25">
      <c r="A10115" s="11" t="s">
        <v>20125</v>
      </c>
      <c r="B10115" s="11" t="s">
        <v>20126</v>
      </c>
      <c r="C10115" s="11" t="s">
        <v>17</v>
      </c>
      <c r="D10115" s="11" t="s">
        <v>18</v>
      </c>
      <c r="E10115" s="12" t="s">
        <v>474</v>
      </c>
      <c r="F10115" s="12" t="s">
        <v>475</v>
      </c>
      <c r="G10115" s="12" t="s">
        <v>46</v>
      </c>
      <c r="H10115" s="11" t="s">
        <v>63</v>
      </c>
      <c r="I10115" s="13" t="s">
        <v>20127</v>
      </c>
      <c r="J10115" s="14" t="str">
        <f>HYPERLINK("https://www.boe.es/gazeta/dias/1839/03/31/pdfs/GMD-1839-1597.pdf#page=3","Abrir facsímil")</f>
        <v>Abrir facsímil</v>
      </c>
      <c r="K10115" s="12" t="s">
        <v>65</v>
      </c>
    </row>
    <row r="10116" spans="1:11" ht="40.049999999999997" customHeight="1" x14ac:dyDescent="0.25">
      <c r="A10116" s="11" t="s">
        <v>20128</v>
      </c>
      <c r="B10116" s="11" t="s">
        <v>20129</v>
      </c>
      <c r="C10116" s="11" t="s">
        <v>17</v>
      </c>
      <c r="D10116" s="11" t="s">
        <v>18</v>
      </c>
      <c r="E10116" s="12" t="s">
        <v>690</v>
      </c>
      <c r="F10116" s="12" t="s">
        <v>691</v>
      </c>
      <c r="G10116" s="12" t="s">
        <v>46</v>
      </c>
      <c r="H10116" s="11" t="s">
        <v>63</v>
      </c>
      <c r="I10116" s="13" t="s">
        <v>20130</v>
      </c>
      <c r="J10116" s="14" t="str">
        <f>HYPERLINK("https://www.boe.es/gazeta/dias/1839/12/08/pdfs/GMD-1839-1855.pdf#page=3","Abrir facsímil")</f>
        <v>Abrir facsímil</v>
      </c>
      <c r="K10116" s="12" t="s">
        <v>65</v>
      </c>
    </row>
    <row r="10117" spans="1:11" ht="40.049999999999997" customHeight="1" x14ac:dyDescent="0.25">
      <c r="A10117" s="11" t="s">
        <v>20131</v>
      </c>
      <c r="B10117" s="11" t="s">
        <v>20132</v>
      </c>
      <c r="C10117" s="11" t="s">
        <v>101</v>
      </c>
      <c r="D10117" s="11" t="s">
        <v>102</v>
      </c>
      <c r="E10117" s="12" t="s">
        <v>903</v>
      </c>
      <c r="F10117" s="12" t="s">
        <v>904</v>
      </c>
      <c r="G10117" s="12" t="s">
        <v>40</v>
      </c>
      <c r="H10117" s="11" t="s">
        <v>22</v>
      </c>
      <c r="I10117" s="13" t="s">
        <v>20133</v>
      </c>
      <c r="J10117" s="14" t="str">
        <f>HYPERLINK("https://www.boe.es/gazeta/dias/1839/03/14/pdfs/GMD-1839-1580.pdf#page=2","Abrir facsímil")</f>
        <v>Abrir facsímil</v>
      </c>
      <c r="K10117" s="12" t="s">
        <v>24</v>
      </c>
    </row>
    <row r="10118" spans="1:11" ht="40.049999999999997" customHeight="1" x14ac:dyDescent="0.25">
      <c r="A10118" s="11" t="s">
        <v>20134</v>
      </c>
      <c r="B10118" s="11" t="s">
        <v>20134</v>
      </c>
      <c r="C10118" s="11" t="s">
        <v>59</v>
      </c>
      <c r="D10118" s="11" t="s">
        <v>60</v>
      </c>
      <c r="E10118" s="12" t="s">
        <v>513</v>
      </c>
      <c r="F10118" s="12" t="s">
        <v>514</v>
      </c>
      <c r="G10118" s="12" t="s">
        <v>21</v>
      </c>
      <c r="H10118" s="11" t="s">
        <v>63</v>
      </c>
      <c r="I10118" s="13" t="s">
        <v>20135</v>
      </c>
      <c r="J10118" s="14" t="str">
        <f>HYPERLINK("https://www.boe.es/gazeta/dias/1839/03/17/pdfs/GMD-1839-1583.pdf#page=4","Abrir facsímil")</f>
        <v>Abrir facsímil</v>
      </c>
      <c r="K10118" s="12" t="s">
        <v>65</v>
      </c>
    </row>
    <row r="10119" spans="1:11" ht="40.049999999999997" customHeight="1" x14ac:dyDescent="0.25">
      <c r="A10119" s="11" t="s">
        <v>20136</v>
      </c>
      <c r="B10119" s="11" t="s">
        <v>20137</v>
      </c>
      <c r="C10119" s="11" t="s">
        <v>137</v>
      </c>
      <c r="D10119" s="11" t="s">
        <v>18</v>
      </c>
      <c r="E10119" s="12" t="s">
        <v>1310</v>
      </c>
      <c r="F10119" s="12" t="s">
        <v>1311</v>
      </c>
      <c r="G10119" s="12" t="s">
        <v>40</v>
      </c>
      <c r="H10119" s="11" t="s">
        <v>63</v>
      </c>
      <c r="I10119" s="13" t="s">
        <v>20138</v>
      </c>
      <c r="J10119" s="14" t="str">
        <f>HYPERLINK("https://www.boe.es/gazeta/dias/1839/04/23/pdfs/GMD-1839-1620.pdf#page=2","Abrir facsímil")</f>
        <v>Abrir facsímil</v>
      </c>
      <c r="K10119" s="12" t="s">
        <v>65</v>
      </c>
    </row>
    <row r="10120" spans="1:11" ht="40.049999999999997" customHeight="1" x14ac:dyDescent="0.25">
      <c r="A10120" s="11" t="s">
        <v>20139</v>
      </c>
      <c r="B10120" s="11" t="s">
        <v>20140</v>
      </c>
      <c r="C10120" s="11" t="s">
        <v>17</v>
      </c>
      <c r="D10120" s="11" t="s">
        <v>18</v>
      </c>
      <c r="E10120" s="12" t="s">
        <v>544</v>
      </c>
      <c r="F10120" s="12" t="s">
        <v>545</v>
      </c>
      <c r="G10120" s="12" t="s">
        <v>46</v>
      </c>
      <c r="H10120" s="11" t="s">
        <v>22</v>
      </c>
      <c r="I10120" s="13" t="s">
        <v>20141</v>
      </c>
      <c r="J10120" s="14" t="str">
        <f>HYPERLINK("https://www.boe.es/gazeta/dias/1839/11/11/pdfs/GMD-1839-1828.pdf#page=3","Abrir facsímil")</f>
        <v>Abrir facsímil</v>
      </c>
      <c r="K10120" s="12" t="s">
        <v>24</v>
      </c>
    </row>
    <row r="10121" spans="1:11" ht="40.049999999999997" customHeight="1" x14ac:dyDescent="0.25">
      <c r="A10121" s="11" t="s">
        <v>20142</v>
      </c>
      <c r="B10121" s="11" t="s">
        <v>20143</v>
      </c>
      <c r="C10121" s="11" t="s">
        <v>17</v>
      </c>
      <c r="D10121" s="11" t="s">
        <v>18</v>
      </c>
      <c r="E10121" s="12" t="s">
        <v>1588</v>
      </c>
      <c r="F10121" s="12" t="s">
        <v>1589</v>
      </c>
      <c r="G10121" s="12" t="s">
        <v>21</v>
      </c>
      <c r="H10121" s="11" t="s">
        <v>22</v>
      </c>
      <c r="I10121" s="13" t="s">
        <v>20144</v>
      </c>
      <c r="J10121" s="14" t="str">
        <f>HYPERLINK("https://www.boe.es/gazeta/dias/1839/07/27/pdfs/GMD-1839-1716.pdf#page=4","Abrir facsímil")</f>
        <v>Abrir facsímil</v>
      </c>
      <c r="K10121" s="12" t="s">
        <v>24</v>
      </c>
    </row>
    <row r="10122" spans="1:11" ht="40.049999999999997" customHeight="1" x14ac:dyDescent="0.25">
      <c r="A10122" s="11" t="s">
        <v>20145</v>
      </c>
      <c r="B10122" s="11" t="s">
        <v>20146</v>
      </c>
      <c r="C10122" s="11" t="s">
        <v>17</v>
      </c>
      <c r="D10122" s="11" t="s">
        <v>18</v>
      </c>
      <c r="E10122" s="12" t="s">
        <v>469</v>
      </c>
      <c r="F10122" s="12" t="s">
        <v>470</v>
      </c>
      <c r="G10122" s="12" t="s">
        <v>29</v>
      </c>
      <c r="H10122" s="11" t="s">
        <v>63</v>
      </c>
      <c r="I10122" s="13" t="s">
        <v>20147</v>
      </c>
      <c r="J10122" s="14" t="str">
        <f>HYPERLINK("https://www.boe.es/gazeta/dias/1839/08/20/pdfs/GMD-1839-1741.pdf#page=1","Abrir facsímil")</f>
        <v>Abrir facsímil</v>
      </c>
      <c r="K10122" s="12" t="s">
        <v>65</v>
      </c>
    </row>
    <row r="10123" spans="1:11" ht="40.049999999999997" customHeight="1" x14ac:dyDescent="0.25">
      <c r="A10123" s="11" t="s">
        <v>20148</v>
      </c>
      <c r="B10123" s="11" t="s">
        <v>20149</v>
      </c>
      <c r="C10123" s="11" t="s">
        <v>17</v>
      </c>
      <c r="D10123" s="11" t="s">
        <v>18</v>
      </c>
      <c r="E10123" s="12" t="s">
        <v>870</v>
      </c>
      <c r="F10123" s="12" t="s">
        <v>871</v>
      </c>
      <c r="G10123" s="12" t="s">
        <v>46</v>
      </c>
      <c r="H10123" s="11" t="s">
        <v>22</v>
      </c>
      <c r="I10123" s="13" t="s">
        <v>20150</v>
      </c>
      <c r="J10123" s="14" t="str">
        <f>HYPERLINK("https://www.boe.es/gazeta/dias/1839/04/18/pdfs/GMD-1839-1615.pdf#page=3","Abrir facsímil")</f>
        <v>Abrir facsímil</v>
      </c>
      <c r="K10123" s="12" t="s">
        <v>24</v>
      </c>
    </row>
    <row r="10124" spans="1:11" ht="40.049999999999997" customHeight="1" x14ac:dyDescent="0.25">
      <c r="A10124" s="11" t="s">
        <v>20151</v>
      </c>
      <c r="B10124" s="11" t="s">
        <v>20152</v>
      </c>
      <c r="C10124" s="11" t="s">
        <v>80</v>
      </c>
      <c r="D10124" s="11" t="s">
        <v>18</v>
      </c>
      <c r="E10124" s="12" t="s">
        <v>462</v>
      </c>
      <c r="F10124" s="12" t="s">
        <v>463</v>
      </c>
      <c r="G10124" s="12" t="s">
        <v>21</v>
      </c>
      <c r="H10124" s="11" t="s">
        <v>22</v>
      </c>
      <c r="I10124" s="13" t="s">
        <v>20153</v>
      </c>
      <c r="J10124" s="14" t="str">
        <f>HYPERLINK("https://www.boe.es/gazeta/dias/1839/06/19/pdfs/GMD-1839-1677.pdf#page=4","Abrir facsímil")</f>
        <v>Abrir facsímil</v>
      </c>
      <c r="K10124" s="12" t="s">
        <v>24</v>
      </c>
    </row>
    <row r="10125" spans="1:11" ht="40.049999999999997" customHeight="1" x14ac:dyDescent="0.25">
      <c r="A10125" s="11" t="s">
        <v>20154</v>
      </c>
      <c r="B10125" s="11" t="s">
        <v>20155</v>
      </c>
      <c r="C10125" s="11" t="s">
        <v>137</v>
      </c>
      <c r="D10125" s="11" t="s">
        <v>18</v>
      </c>
      <c r="E10125" s="12" t="s">
        <v>1517</v>
      </c>
      <c r="F10125" s="12" t="s">
        <v>1518</v>
      </c>
      <c r="G10125" s="12" t="s">
        <v>29</v>
      </c>
      <c r="H10125" s="11" t="s">
        <v>63</v>
      </c>
      <c r="I10125" s="13" t="s">
        <v>20156</v>
      </c>
      <c r="J10125" s="14" t="str">
        <f>HYPERLINK("https://www.boe.es/gazeta/dias/1839/12/20/pdfs/GMD-1839-1867.pdf#page=1","Abrir facsímil")</f>
        <v>Abrir facsímil</v>
      </c>
      <c r="K10125" s="12" t="s">
        <v>65</v>
      </c>
    </row>
    <row r="10126" spans="1:11" ht="40.049999999999997" customHeight="1" x14ac:dyDescent="0.25">
      <c r="A10126" s="11" t="s">
        <v>20157</v>
      </c>
      <c r="B10126" s="11" t="s">
        <v>20158</v>
      </c>
      <c r="C10126" s="11" t="s">
        <v>17</v>
      </c>
      <c r="D10126" s="11" t="s">
        <v>18</v>
      </c>
      <c r="E10126" s="12" t="s">
        <v>2262</v>
      </c>
      <c r="F10126" s="12" t="s">
        <v>2263</v>
      </c>
      <c r="G10126" s="12" t="s">
        <v>21</v>
      </c>
      <c r="H10126" s="11" t="s">
        <v>63</v>
      </c>
      <c r="I10126" s="13" t="s">
        <v>20159</v>
      </c>
      <c r="J10126" s="14" t="str">
        <f>HYPERLINK("https://www.boe.es/gazeta/dias/1839/03/16/pdfs/GMD-1839-1582.pdf#page=4","Abrir facsímil")</f>
        <v>Abrir facsímil</v>
      </c>
      <c r="K10126" s="12" t="s">
        <v>65</v>
      </c>
    </row>
    <row r="10127" spans="1:11" ht="40.049999999999997" customHeight="1" x14ac:dyDescent="0.25">
      <c r="A10127" s="11" t="s">
        <v>20157</v>
      </c>
      <c r="B10127" s="11" t="s">
        <v>20158</v>
      </c>
      <c r="C10127" s="11" t="s">
        <v>17</v>
      </c>
      <c r="D10127" s="11" t="s">
        <v>18</v>
      </c>
      <c r="E10127" s="12" t="s">
        <v>1663</v>
      </c>
      <c r="F10127" s="12" t="s">
        <v>1664</v>
      </c>
      <c r="G10127" s="12" t="s">
        <v>46</v>
      </c>
      <c r="H10127" s="11" t="s">
        <v>63</v>
      </c>
      <c r="I10127" s="13" t="s">
        <v>20160</v>
      </c>
      <c r="J10127" s="14" t="str">
        <f>HYPERLINK("https://www.boe.es/gazeta/dias/1839/03/22/pdfs/GMD-1839-1588.pdf#page=3","Abrir facsímil")</f>
        <v>Abrir facsímil</v>
      </c>
      <c r="K10127" s="12" t="s">
        <v>65</v>
      </c>
    </row>
    <row r="10128" spans="1:11" ht="40.049999999999997" customHeight="1" x14ac:dyDescent="0.25">
      <c r="A10128" s="11" t="s">
        <v>20161</v>
      </c>
      <c r="B10128" s="11" t="s">
        <v>20162</v>
      </c>
      <c r="C10128" s="11" t="s">
        <v>137</v>
      </c>
      <c r="D10128" s="11" t="s">
        <v>18</v>
      </c>
      <c r="E10128" s="12" t="s">
        <v>121</v>
      </c>
      <c r="F10128" s="12" t="s">
        <v>122</v>
      </c>
      <c r="G10128" s="12" t="s">
        <v>21</v>
      </c>
      <c r="H10128" s="11" t="s">
        <v>63</v>
      </c>
      <c r="I10128" s="13" t="s">
        <v>20163</v>
      </c>
      <c r="J10128" s="14" t="str">
        <f>HYPERLINK("https://www.boe.es/gazeta/dias/1839/06/08/pdfs/GMD-1839-1666.pdf#page=4","Abrir facsímil")</f>
        <v>Abrir facsímil</v>
      </c>
      <c r="K10128" s="12" t="s">
        <v>65</v>
      </c>
    </row>
    <row r="10129" spans="1:11" ht="40.049999999999997" customHeight="1" x14ac:dyDescent="0.25">
      <c r="A10129" s="11" t="s">
        <v>20164</v>
      </c>
      <c r="B10129" s="11" t="s">
        <v>20165</v>
      </c>
      <c r="C10129" s="11" t="s">
        <v>137</v>
      </c>
      <c r="D10129" s="11" t="s">
        <v>18</v>
      </c>
      <c r="E10129" s="12" t="s">
        <v>1012</v>
      </c>
      <c r="F10129" s="12" t="s">
        <v>1013</v>
      </c>
      <c r="G10129" s="12" t="s">
        <v>46</v>
      </c>
      <c r="H10129" s="11" t="s">
        <v>63</v>
      </c>
      <c r="I10129" s="13" t="s">
        <v>20166</v>
      </c>
      <c r="J10129" s="14" t="str">
        <f>HYPERLINK("https://www.boe.es/gazeta/dias/1839/11/22/pdfs/GMD-1839-1839.pdf#page=3","Abrir facsímil")</f>
        <v>Abrir facsímil</v>
      </c>
      <c r="K10129" s="12" t="s">
        <v>65</v>
      </c>
    </row>
    <row r="10130" spans="1:11" ht="40.049999999999997" customHeight="1" x14ac:dyDescent="0.25">
      <c r="A10130" s="11" t="s">
        <v>20167</v>
      </c>
      <c r="B10130" s="11" t="s">
        <v>20167</v>
      </c>
      <c r="C10130" s="11" t="s">
        <v>17</v>
      </c>
      <c r="D10130" s="11" t="s">
        <v>18</v>
      </c>
      <c r="E10130" s="12" t="s">
        <v>1623</v>
      </c>
      <c r="F10130" s="12" t="s">
        <v>1624</v>
      </c>
      <c r="G10130" s="12" t="s">
        <v>46</v>
      </c>
      <c r="H10130" s="11" t="s">
        <v>63</v>
      </c>
      <c r="I10130" s="13" t="s">
        <v>20168</v>
      </c>
      <c r="J10130" s="14" t="str">
        <f>HYPERLINK("https://www.boe.es/gazeta/dias/1839/04/07/pdfs/GMD-1839-1604.pdf#page=3","Abrir facsímil")</f>
        <v>Abrir facsímil</v>
      </c>
      <c r="K10130" s="12" t="s">
        <v>65</v>
      </c>
    </row>
    <row r="10131" spans="1:11" ht="40.049999999999997" customHeight="1" x14ac:dyDescent="0.25">
      <c r="A10131" s="11" t="s">
        <v>20167</v>
      </c>
      <c r="B10131" s="11" t="s">
        <v>20167</v>
      </c>
      <c r="C10131" s="11" t="s">
        <v>17</v>
      </c>
      <c r="D10131" s="11" t="s">
        <v>18</v>
      </c>
      <c r="E10131" s="12" t="s">
        <v>1179</v>
      </c>
      <c r="F10131" s="12" t="s">
        <v>1180</v>
      </c>
      <c r="G10131" s="12" t="s">
        <v>566</v>
      </c>
      <c r="H10131" s="11" t="s">
        <v>63</v>
      </c>
      <c r="I10131" s="13" t="s">
        <v>20169</v>
      </c>
      <c r="J10131" s="14" t="str">
        <f>HYPERLINK("https://www.boe.es/gazeta/dias/1839/10/18/pdfs/GMD-1839-1804.pdf#page=5","Abrir facsímil")</f>
        <v>Abrir facsímil</v>
      </c>
      <c r="K10131" s="12" t="s">
        <v>65</v>
      </c>
    </row>
    <row r="10132" spans="1:11" ht="40.049999999999997" customHeight="1" x14ac:dyDescent="0.25">
      <c r="A10132" s="11" t="s">
        <v>20170</v>
      </c>
      <c r="B10132" s="11" t="s">
        <v>20171</v>
      </c>
      <c r="C10132" s="11" t="s">
        <v>59</v>
      </c>
      <c r="D10132" s="11" t="s">
        <v>60</v>
      </c>
      <c r="E10132" s="12" t="s">
        <v>496</v>
      </c>
      <c r="F10132" s="12" t="s">
        <v>497</v>
      </c>
      <c r="G10132" s="12" t="s">
        <v>29</v>
      </c>
      <c r="H10132" s="11" t="s">
        <v>63</v>
      </c>
      <c r="I10132" s="13" t="s">
        <v>20172</v>
      </c>
      <c r="J10132" s="14" t="str">
        <f>HYPERLINK("https://www.boe.es/gazeta/dias/1839/11/23/pdfs/GMD-1839-1840.pdf#page=1","Abrir facsímil")</f>
        <v>Abrir facsímil</v>
      </c>
      <c r="K10132" s="12" t="s">
        <v>65</v>
      </c>
    </row>
    <row r="10133" spans="1:11" ht="40.049999999999997" customHeight="1" x14ac:dyDescent="0.25">
      <c r="A10133" s="11" t="s">
        <v>20173</v>
      </c>
      <c r="B10133" s="11" t="s">
        <v>20173</v>
      </c>
      <c r="C10133" s="11" t="s">
        <v>17</v>
      </c>
      <c r="D10133" s="11" t="s">
        <v>18</v>
      </c>
      <c r="E10133" s="12" t="s">
        <v>291</v>
      </c>
      <c r="F10133" s="12" t="s">
        <v>292</v>
      </c>
      <c r="G10133" s="12" t="s">
        <v>40</v>
      </c>
      <c r="H10133" s="11" t="s">
        <v>63</v>
      </c>
      <c r="I10133" s="13" t="s">
        <v>20174</v>
      </c>
      <c r="J10133" s="14" t="str">
        <f>HYPERLINK("https://www.boe.es/gazeta/dias/1839/09/04/pdfs/GMD-1839-1757.pdf#page=2","Abrir facsímil")</f>
        <v>Abrir facsímil</v>
      </c>
      <c r="K10133" s="12" t="s">
        <v>65</v>
      </c>
    </row>
    <row r="10134" spans="1:11" ht="40.049999999999997" customHeight="1" x14ac:dyDescent="0.25">
      <c r="A10134" s="11" t="s">
        <v>20173</v>
      </c>
      <c r="B10134" s="11" t="s">
        <v>20173</v>
      </c>
      <c r="C10134" s="11" t="s">
        <v>17</v>
      </c>
      <c r="D10134" s="11" t="s">
        <v>18</v>
      </c>
      <c r="E10134" s="12" t="s">
        <v>141</v>
      </c>
      <c r="F10134" s="12" t="s">
        <v>142</v>
      </c>
      <c r="G10134" s="12" t="s">
        <v>46</v>
      </c>
      <c r="H10134" s="11" t="s">
        <v>63</v>
      </c>
      <c r="I10134" s="13" t="s">
        <v>20175</v>
      </c>
      <c r="J10134" s="14" t="str">
        <f>HYPERLINK("https://www.boe.es/gazeta/dias/1839/11/10/pdfs/GMD-1839-1827.pdf#page=3","Abrir facsímil")</f>
        <v>Abrir facsímil</v>
      </c>
      <c r="K10134" s="12" t="s">
        <v>65</v>
      </c>
    </row>
    <row r="10135" spans="1:11" ht="40.049999999999997" customHeight="1" x14ac:dyDescent="0.25">
      <c r="A10135" s="11" t="s">
        <v>20173</v>
      </c>
      <c r="B10135" s="11" t="s">
        <v>20173</v>
      </c>
      <c r="C10135" s="11" t="s">
        <v>17</v>
      </c>
      <c r="D10135" s="11" t="s">
        <v>18</v>
      </c>
      <c r="E10135" s="12" t="s">
        <v>1179</v>
      </c>
      <c r="F10135" s="12" t="s">
        <v>1180</v>
      </c>
      <c r="G10135" s="12" t="s">
        <v>566</v>
      </c>
      <c r="H10135" s="11" t="s">
        <v>63</v>
      </c>
      <c r="I10135" s="13" t="s">
        <v>20176</v>
      </c>
      <c r="J10135" s="14" t="str">
        <f>HYPERLINK("https://www.boe.es/gazeta/dias/1839/10/18/pdfs/GMD-1839-1804.pdf#page=5","Abrir facsímil")</f>
        <v>Abrir facsímil</v>
      </c>
      <c r="K10135" s="12" t="s">
        <v>65</v>
      </c>
    </row>
    <row r="10136" spans="1:11" ht="40.049999999999997" customHeight="1" x14ac:dyDescent="0.25">
      <c r="A10136" s="11" t="s">
        <v>20173</v>
      </c>
      <c r="B10136" s="11" t="s">
        <v>20173</v>
      </c>
      <c r="C10136" s="11" t="s">
        <v>17</v>
      </c>
      <c r="D10136" s="11" t="s">
        <v>18</v>
      </c>
      <c r="E10136" s="12" t="s">
        <v>2415</v>
      </c>
      <c r="F10136" s="12" t="s">
        <v>2416</v>
      </c>
      <c r="G10136" s="12" t="s">
        <v>46</v>
      </c>
      <c r="H10136" s="11" t="s">
        <v>63</v>
      </c>
      <c r="I10136" s="13" t="s">
        <v>20177</v>
      </c>
      <c r="J10136" s="14" t="str">
        <f>HYPERLINK("https://www.boe.es/gazeta/dias/1839/12/22/pdfs/GMD-1839-1869.pdf#page=3","Abrir facsímil")</f>
        <v>Abrir facsímil</v>
      </c>
      <c r="K10136" s="12" t="s">
        <v>65</v>
      </c>
    </row>
    <row r="10137" spans="1:11" ht="40.049999999999997" customHeight="1" x14ac:dyDescent="0.25">
      <c r="A10137" s="11" t="s">
        <v>20178</v>
      </c>
      <c r="B10137" s="11" t="s">
        <v>20179</v>
      </c>
      <c r="C10137" s="11" t="s">
        <v>101</v>
      </c>
      <c r="D10137" s="11" t="s">
        <v>102</v>
      </c>
      <c r="E10137" s="12" t="s">
        <v>817</v>
      </c>
      <c r="F10137" s="12" t="s">
        <v>818</v>
      </c>
      <c r="G10137" s="12" t="s">
        <v>21</v>
      </c>
      <c r="H10137" s="11" t="s">
        <v>63</v>
      </c>
      <c r="I10137" s="13" t="s">
        <v>20180</v>
      </c>
      <c r="J10137" s="14" t="str">
        <f>HYPERLINK("https://www.boe.es/gazeta/dias/1839/05/28/pdfs/GMD-1839-1655.pdf#page=4","Abrir facsímil")</f>
        <v>Abrir facsímil</v>
      </c>
      <c r="K10137" s="12" t="s">
        <v>65</v>
      </c>
    </row>
    <row r="10138" spans="1:11" ht="40.049999999999997" customHeight="1" x14ac:dyDescent="0.25">
      <c r="A10138" s="11" t="s">
        <v>20181</v>
      </c>
      <c r="B10138" s="11" t="s">
        <v>20181</v>
      </c>
      <c r="C10138" s="11" t="s">
        <v>17</v>
      </c>
      <c r="D10138" s="11" t="s">
        <v>18</v>
      </c>
      <c r="E10138" s="12" t="s">
        <v>330</v>
      </c>
      <c r="F10138" s="12" t="s">
        <v>331</v>
      </c>
      <c r="G10138" s="12" t="s">
        <v>40</v>
      </c>
      <c r="H10138" s="11" t="s">
        <v>63</v>
      </c>
      <c r="I10138" s="13" t="s">
        <v>20182</v>
      </c>
      <c r="J10138" s="14" t="str">
        <f>HYPERLINK("https://www.boe.es/gazeta/dias/1839/04/11/pdfs/GMD-1839-1608.pdf#page=2","Abrir facsímil")</f>
        <v>Abrir facsímil</v>
      </c>
      <c r="K10138" s="12" t="s">
        <v>65</v>
      </c>
    </row>
    <row r="10139" spans="1:11" ht="40.049999999999997" customHeight="1" x14ac:dyDescent="0.25">
      <c r="A10139" s="11" t="s">
        <v>20183</v>
      </c>
      <c r="B10139" s="11" t="s">
        <v>20184</v>
      </c>
      <c r="C10139" s="11" t="s">
        <v>17</v>
      </c>
      <c r="D10139" s="11" t="s">
        <v>18</v>
      </c>
      <c r="E10139" s="12" t="s">
        <v>2432</v>
      </c>
      <c r="F10139" s="12" t="s">
        <v>2581</v>
      </c>
      <c r="G10139" s="12" t="s">
        <v>21</v>
      </c>
      <c r="H10139" s="11" t="s">
        <v>63</v>
      </c>
      <c r="I10139" s="13" t="s">
        <v>20185</v>
      </c>
      <c r="J10139" s="14" t="str">
        <f>HYPERLINK("https://www.boe.es/gazeta/dias/1839/07/23/pdfs/GMD-1839-1711.pdf#page=4","Abrir facsímil")</f>
        <v>Abrir facsímil</v>
      </c>
      <c r="K10139" s="12" t="s">
        <v>65</v>
      </c>
    </row>
    <row r="10140" spans="1:11" ht="40.049999999999997" customHeight="1" x14ac:dyDescent="0.25">
      <c r="A10140" s="11" t="s">
        <v>20186</v>
      </c>
      <c r="B10140" s="11" t="s">
        <v>20187</v>
      </c>
      <c r="C10140" s="11" t="s">
        <v>80</v>
      </c>
      <c r="D10140" s="11" t="s">
        <v>18</v>
      </c>
      <c r="E10140" s="12" t="s">
        <v>2374</v>
      </c>
      <c r="F10140" s="12" t="s">
        <v>2375</v>
      </c>
      <c r="G10140" s="12" t="s">
        <v>21</v>
      </c>
      <c r="H10140" s="11" t="s">
        <v>22</v>
      </c>
      <c r="I10140" s="13" t="s">
        <v>20188</v>
      </c>
      <c r="J10140" s="14" t="str">
        <f>HYPERLINK("https://www.boe.es/gazeta/dias/1839/06/14/pdfs/GMD-1839-1672.pdf#page=4","Abrir facsímil")</f>
        <v>Abrir facsímil</v>
      </c>
      <c r="K10140" s="12" t="s">
        <v>24</v>
      </c>
    </row>
    <row r="10141" spans="1:11" ht="40.049999999999997" customHeight="1" x14ac:dyDescent="0.25">
      <c r="A10141" s="11" t="s">
        <v>20189</v>
      </c>
      <c r="B10141" s="11" t="s">
        <v>20190</v>
      </c>
      <c r="C10141" s="11" t="s">
        <v>80</v>
      </c>
      <c r="D10141" s="11" t="s">
        <v>18</v>
      </c>
      <c r="E10141" s="12" t="s">
        <v>243</v>
      </c>
      <c r="F10141" s="12" t="s">
        <v>244</v>
      </c>
      <c r="G10141" s="12" t="s">
        <v>21</v>
      </c>
      <c r="H10141" s="11" t="s">
        <v>63</v>
      </c>
      <c r="I10141" s="13" t="s">
        <v>20191</v>
      </c>
      <c r="J10141" s="14" t="str">
        <f>HYPERLINK("https://www.boe.es/gazeta/dias/1839/09/23/pdfs/GMD-1839-1779.pdf#page=4","Abrir facsímil")</f>
        <v>Abrir facsímil</v>
      </c>
      <c r="K10141" s="12" t="s">
        <v>65</v>
      </c>
    </row>
    <row r="10142" spans="1:11" ht="40.049999999999997" customHeight="1" x14ac:dyDescent="0.25">
      <c r="A10142" s="11" t="s">
        <v>20192</v>
      </c>
      <c r="B10142" s="11" t="s">
        <v>20193</v>
      </c>
      <c r="C10142" s="11" t="s">
        <v>80</v>
      </c>
      <c r="D10142" s="11" t="s">
        <v>18</v>
      </c>
      <c r="E10142" s="12" t="s">
        <v>1663</v>
      </c>
      <c r="F10142" s="12" t="s">
        <v>1664</v>
      </c>
      <c r="G10142" s="12" t="s">
        <v>21</v>
      </c>
      <c r="H10142" s="11" t="s">
        <v>63</v>
      </c>
      <c r="I10142" s="13" t="s">
        <v>20194</v>
      </c>
      <c r="J10142" s="14" t="str">
        <f>HYPERLINK("https://www.boe.es/gazeta/dias/1839/03/22/pdfs/GMD-1839-1588.pdf#page=4","Abrir facsímil")</f>
        <v>Abrir facsímil</v>
      </c>
      <c r="K10142" s="12" t="s">
        <v>65</v>
      </c>
    </row>
    <row r="10143" spans="1:11" ht="40.049999999999997" customHeight="1" x14ac:dyDescent="0.25">
      <c r="A10143" s="11" t="s">
        <v>20195</v>
      </c>
      <c r="B10143" s="11" t="s">
        <v>20195</v>
      </c>
      <c r="C10143" s="11" t="s">
        <v>137</v>
      </c>
      <c r="D10143" s="11" t="s">
        <v>18</v>
      </c>
      <c r="E10143" s="12" t="s">
        <v>266</v>
      </c>
      <c r="F10143" s="12" t="s">
        <v>267</v>
      </c>
      <c r="G10143" s="12" t="s">
        <v>40</v>
      </c>
      <c r="H10143" s="11" t="s">
        <v>63</v>
      </c>
      <c r="I10143" s="13" t="s">
        <v>20196</v>
      </c>
      <c r="J10143" s="14" t="str">
        <f>HYPERLINK("https://www.boe.es/gazeta/dias/1839/01/03/pdfs/GMD-1839-1510.pdf#page=2","Abrir facsímil")</f>
        <v>Abrir facsímil</v>
      </c>
      <c r="K10143" s="12" t="s">
        <v>65</v>
      </c>
    </row>
    <row r="10144" spans="1:11" ht="40.049999999999997" customHeight="1" x14ac:dyDescent="0.25">
      <c r="A10144" s="11" t="s">
        <v>20197</v>
      </c>
      <c r="B10144" s="11" t="s">
        <v>20197</v>
      </c>
      <c r="C10144" s="11" t="s">
        <v>17</v>
      </c>
      <c r="D10144" s="11" t="s">
        <v>18</v>
      </c>
      <c r="E10144" s="12" t="s">
        <v>1179</v>
      </c>
      <c r="F10144" s="12" t="s">
        <v>1180</v>
      </c>
      <c r="G10144" s="12" t="s">
        <v>566</v>
      </c>
      <c r="H10144" s="11" t="s">
        <v>22</v>
      </c>
      <c r="I10144" s="13" t="s">
        <v>20198</v>
      </c>
      <c r="J10144" s="14" t="str">
        <f>HYPERLINK("https://www.boe.es/gazeta/dias/1839/10/18/pdfs/GMD-1839-1804.pdf#page=5","Abrir facsímil")</f>
        <v>Abrir facsímil</v>
      </c>
      <c r="K10144" s="12" t="s">
        <v>24</v>
      </c>
    </row>
    <row r="10145" spans="1:11" ht="40.049999999999997" customHeight="1" x14ac:dyDescent="0.25">
      <c r="A10145" s="11" t="s">
        <v>20197</v>
      </c>
      <c r="B10145" s="11" t="s">
        <v>20197</v>
      </c>
      <c r="C10145" s="11" t="s">
        <v>17</v>
      </c>
      <c r="D10145" s="11" t="s">
        <v>18</v>
      </c>
      <c r="E10145" s="12" t="s">
        <v>650</v>
      </c>
      <c r="F10145" s="12" t="s">
        <v>651</v>
      </c>
      <c r="G10145" s="12" t="s">
        <v>40</v>
      </c>
      <c r="H10145" s="11" t="s">
        <v>22</v>
      </c>
      <c r="I10145" s="13" t="s">
        <v>20199</v>
      </c>
      <c r="J10145" s="14" t="str">
        <f>HYPERLINK("https://www.boe.es/gazeta/dias/1839/10/25/pdfs/GMD-1839-1811.pdf#page=2","Abrir facsímil")</f>
        <v>Abrir facsímil</v>
      </c>
      <c r="K10145" s="12" t="s">
        <v>24</v>
      </c>
    </row>
    <row r="10146" spans="1:11" ht="40.049999999999997" customHeight="1" x14ac:dyDescent="0.25">
      <c r="A10146" s="11" t="s">
        <v>20197</v>
      </c>
      <c r="B10146" s="11" t="s">
        <v>20197</v>
      </c>
      <c r="C10146" s="11" t="s">
        <v>101</v>
      </c>
      <c r="D10146" s="11" t="s">
        <v>43</v>
      </c>
      <c r="E10146" s="12" t="s">
        <v>1086</v>
      </c>
      <c r="F10146" s="12" t="s">
        <v>1087</v>
      </c>
      <c r="G10146" s="12" t="s">
        <v>40</v>
      </c>
      <c r="H10146" s="11" t="s">
        <v>22</v>
      </c>
      <c r="I10146" s="13" t="s">
        <v>20200</v>
      </c>
      <c r="J10146" s="14" t="str">
        <f>HYPERLINK("https://www.boe.es/gazeta/dias/1839/10/26/pdfs/GMD-1839-1812.pdf#page=2","Abrir facsímil")</f>
        <v>Abrir facsímil</v>
      </c>
      <c r="K10146" s="12" t="s">
        <v>24</v>
      </c>
    </row>
    <row r="10147" spans="1:11" ht="40.049999999999997" customHeight="1" x14ac:dyDescent="0.25">
      <c r="A10147" s="11" t="s">
        <v>20197</v>
      </c>
      <c r="B10147" s="11" t="s">
        <v>20197</v>
      </c>
      <c r="C10147" s="11" t="s">
        <v>17</v>
      </c>
      <c r="D10147" s="11" t="s">
        <v>18</v>
      </c>
      <c r="E10147" s="12" t="s">
        <v>653</v>
      </c>
      <c r="F10147" s="12" t="s">
        <v>654</v>
      </c>
      <c r="G10147" s="12" t="s">
        <v>40</v>
      </c>
      <c r="H10147" s="11" t="s">
        <v>22</v>
      </c>
      <c r="I10147" s="13" t="s">
        <v>20201</v>
      </c>
      <c r="J10147" s="14" t="str">
        <f>HYPERLINK("https://www.boe.es/gazeta/dias/1839/10/31/pdfs/GMD-1839-1817.pdf#page=2","Abrir facsímil")</f>
        <v>Abrir facsímil</v>
      </c>
      <c r="K10147" s="12" t="s">
        <v>24</v>
      </c>
    </row>
    <row r="10148" spans="1:11" ht="40.049999999999997" customHeight="1" x14ac:dyDescent="0.25">
      <c r="A10148" s="11" t="s">
        <v>20202</v>
      </c>
      <c r="B10148" s="11" t="s">
        <v>20202</v>
      </c>
      <c r="C10148" s="11" t="s">
        <v>137</v>
      </c>
      <c r="D10148" s="11" t="s">
        <v>18</v>
      </c>
      <c r="E10148" s="12" t="s">
        <v>185</v>
      </c>
      <c r="F10148" s="12" t="s">
        <v>186</v>
      </c>
      <c r="G10148" s="12" t="s">
        <v>40</v>
      </c>
      <c r="H10148" s="11" t="s">
        <v>63</v>
      </c>
      <c r="I10148" s="13" t="s">
        <v>20203</v>
      </c>
      <c r="J10148" s="14" t="str">
        <f>HYPERLINK("https://www.boe.es/gazeta/dias/1839/01/15/pdfs/GMD-1839-1522.pdf#page=2","Abrir facsímil")</f>
        <v>Abrir facsímil</v>
      </c>
      <c r="K10148" s="12" t="s">
        <v>65</v>
      </c>
    </row>
    <row r="10149" spans="1:11" ht="40.049999999999997" customHeight="1" x14ac:dyDescent="0.25">
      <c r="A10149" s="11" t="s">
        <v>20202</v>
      </c>
      <c r="B10149" s="11" t="s">
        <v>20202</v>
      </c>
      <c r="C10149" s="11" t="s">
        <v>17</v>
      </c>
      <c r="D10149" s="11" t="s">
        <v>18</v>
      </c>
      <c r="E10149" s="12" t="s">
        <v>643</v>
      </c>
      <c r="F10149" s="12" t="s">
        <v>644</v>
      </c>
      <c r="G10149" s="12" t="s">
        <v>46</v>
      </c>
      <c r="H10149" s="11" t="s">
        <v>63</v>
      </c>
      <c r="I10149" s="13" t="s">
        <v>20204</v>
      </c>
      <c r="J10149" s="14" t="str">
        <f>HYPERLINK("https://www.boe.es/gazeta/dias/1839/03/20/pdfs/GMD-1839-1586.pdf#page=3","Abrir facsímil")</f>
        <v>Abrir facsímil</v>
      </c>
      <c r="K10149" s="12" t="s">
        <v>65</v>
      </c>
    </row>
    <row r="10150" spans="1:11" ht="40.049999999999997" customHeight="1" x14ac:dyDescent="0.25">
      <c r="A10150" s="11" t="s">
        <v>20205</v>
      </c>
      <c r="B10150" s="11" t="s">
        <v>20205</v>
      </c>
      <c r="C10150" s="11" t="s">
        <v>17</v>
      </c>
      <c r="D10150" s="11" t="s">
        <v>18</v>
      </c>
      <c r="E10150" s="12" t="s">
        <v>862</v>
      </c>
      <c r="F10150" s="12" t="s">
        <v>863</v>
      </c>
      <c r="G10150" s="12" t="s">
        <v>40</v>
      </c>
      <c r="H10150" s="11" t="s">
        <v>63</v>
      </c>
      <c r="I10150" s="13" t="s">
        <v>20206</v>
      </c>
      <c r="J10150" s="14" t="str">
        <f>HYPERLINK("https://www.boe.es/gazeta/dias/1839/10/28/pdfs/GMD-1839-1814.pdf#page=2","Abrir facsímil")</f>
        <v>Abrir facsímil</v>
      </c>
      <c r="K10150" s="12" t="s">
        <v>65</v>
      </c>
    </row>
    <row r="10151" spans="1:11" ht="40.049999999999997" customHeight="1" x14ac:dyDescent="0.25">
      <c r="A10151" s="11" t="s">
        <v>20205</v>
      </c>
      <c r="B10151" s="11" t="s">
        <v>20205</v>
      </c>
      <c r="C10151" s="11" t="s">
        <v>17</v>
      </c>
      <c r="D10151" s="11" t="s">
        <v>18</v>
      </c>
      <c r="E10151" s="12" t="s">
        <v>1988</v>
      </c>
      <c r="F10151" s="12" t="s">
        <v>1989</v>
      </c>
      <c r="G10151" s="12" t="s">
        <v>566</v>
      </c>
      <c r="H10151" s="11" t="s">
        <v>63</v>
      </c>
      <c r="I10151" s="13" t="s">
        <v>20207</v>
      </c>
      <c r="J10151" s="14" t="str">
        <f>HYPERLINK("https://www.boe.es/gazeta/dias/1839/10/29/pdfs/GMD-1839-1815.pdf#page=5","Abrir facsímil")</f>
        <v>Abrir facsímil</v>
      </c>
      <c r="K10151" s="12" t="s">
        <v>65</v>
      </c>
    </row>
    <row r="10152" spans="1:11" ht="40.049999999999997" customHeight="1" x14ac:dyDescent="0.25">
      <c r="A10152" s="11" t="s">
        <v>20208</v>
      </c>
      <c r="B10152" s="11" t="s">
        <v>20209</v>
      </c>
      <c r="C10152" s="11" t="s">
        <v>137</v>
      </c>
      <c r="D10152" s="11" t="s">
        <v>18</v>
      </c>
      <c r="E10152" s="12" t="s">
        <v>1388</v>
      </c>
      <c r="F10152" s="12" t="s">
        <v>1389</v>
      </c>
      <c r="G10152" s="12" t="s">
        <v>21</v>
      </c>
      <c r="H10152" s="11" t="s">
        <v>22</v>
      </c>
      <c r="I10152" s="13" t="s">
        <v>20210</v>
      </c>
      <c r="J10152" s="14" t="str">
        <f>HYPERLINK("https://www.boe.es/gazeta/dias/1839/06/04/pdfs/GMD-1839-1662.pdf#page=4","Abrir facsímil")</f>
        <v>Abrir facsímil</v>
      </c>
      <c r="K10152" s="12" t="s">
        <v>24</v>
      </c>
    </row>
    <row r="10153" spans="1:11" ht="40.049999999999997" customHeight="1" x14ac:dyDescent="0.25">
      <c r="A10153" s="11" t="s">
        <v>20211</v>
      </c>
      <c r="B10153" s="11" t="s">
        <v>20211</v>
      </c>
      <c r="C10153" s="11" t="s">
        <v>59</v>
      </c>
      <c r="D10153" s="11" t="s">
        <v>60</v>
      </c>
      <c r="E10153" s="12" t="s">
        <v>1057</v>
      </c>
      <c r="F10153" s="12" t="s">
        <v>1058</v>
      </c>
      <c r="G10153" s="12" t="s">
        <v>46</v>
      </c>
      <c r="H10153" s="11" t="s">
        <v>22</v>
      </c>
      <c r="I10153" s="13" t="s">
        <v>20212</v>
      </c>
      <c r="J10153" s="14" t="str">
        <f>HYPERLINK("https://www.boe.es/gazeta/dias/1839/10/01/pdfs/GMD-1839-1787.pdf#page=3","Abrir facsímil")</f>
        <v>Abrir facsímil</v>
      </c>
      <c r="K10153" s="12" t="s">
        <v>24</v>
      </c>
    </row>
    <row r="10154" spans="1:11" ht="40.049999999999997" customHeight="1" x14ac:dyDescent="0.25">
      <c r="A10154" s="11" t="s">
        <v>20211</v>
      </c>
      <c r="B10154" s="11" t="s">
        <v>20211</v>
      </c>
      <c r="C10154" s="11" t="s">
        <v>101</v>
      </c>
      <c r="D10154" s="11" t="s">
        <v>43</v>
      </c>
      <c r="E10154" s="12" t="s">
        <v>212</v>
      </c>
      <c r="F10154" s="12" t="s">
        <v>213</v>
      </c>
      <c r="G10154" s="12" t="s">
        <v>46</v>
      </c>
      <c r="H10154" s="11" t="s">
        <v>22</v>
      </c>
      <c r="I10154" s="13" t="s">
        <v>20213</v>
      </c>
      <c r="J10154" s="14" t="str">
        <f>HYPERLINK("https://www.boe.es/gazeta/dias/1839/10/03/pdfs/GMD-1839-1789.pdf#page=3","Abrir facsímil")</f>
        <v>Abrir facsímil</v>
      </c>
      <c r="K10154" s="12" t="s">
        <v>24</v>
      </c>
    </row>
    <row r="10155" spans="1:11" ht="40.049999999999997" customHeight="1" x14ac:dyDescent="0.25">
      <c r="A10155" s="11" t="s">
        <v>20211</v>
      </c>
      <c r="B10155" s="11" t="s">
        <v>20211</v>
      </c>
      <c r="C10155" s="11" t="s">
        <v>101</v>
      </c>
      <c r="D10155" s="11" t="s">
        <v>43</v>
      </c>
      <c r="E10155" s="12" t="s">
        <v>157</v>
      </c>
      <c r="F10155" s="12" t="s">
        <v>158</v>
      </c>
      <c r="G10155" s="12" t="s">
        <v>21</v>
      </c>
      <c r="H10155" s="11" t="s">
        <v>22</v>
      </c>
      <c r="I10155" s="13" t="s">
        <v>20214</v>
      </c>
      <c r="J10155" s="14" t="str">
        <f>HYPERLINK("https://www.boe.es/gazeta/dias/1839/02/08/pdfs/GMD-1839-1546.pdf#page=4","Abrir facsímil")</f>
        <v>Abrir facsímil</v>
      </c>
      <c r="K10155" s="12" t="s">
        <v>24</v>
      </c>
    </row>
    <row r="10156" spans="1:11" ht="40.049999999999997" customHeight="1" x14ac:dyDescent="0.25">
      <c r="A10156" s="11" t="s">
        <v>20211</v>
      </c>
      <c r="B10156" s="11" t="s">
        <v>20211</v>
      </c>
      <c r="C10156" s="11" t="s">
        <v>137</v>
      </c>
      <c r="D10156" s="11" t="s">
        <v>18</v>
      </c>
      <c r="E10156" s="12" t="s">
        <v>1100</v>
      </c>
      <c r="F10156" s="12" t="s">
        <v>1101</v>
      </c>
      <c r="G10156" s="12" t="s">
        <v>40</v>
      </c>
      <c r="H10156" s="11" t="s">
        <v>22</v>
      </c>
      <c r="I10156" s="13" t="s">
        <v>20215</v>
      </c>
      <c r="J10156" s="14" t="str">
        <f>HYPERLINK("https://www.boe.es/gazeta/dias/1839/09/13/pdfs/GMD-1839-1766.pdf#page=2","Abrir facsímil")</f>
        <v>Abrir facsímil</v>
      </c>
      <c r="K10156" s="12" t="s">
        <v>24</v>
      </c>
    </row>
    <row r="10157" spans="1:11" ht="40.049999999999997" customHeight="1" x14ac:dyDescent="0.25">
      <c r="A10157" s="11" t="s">
        <v>20211</v>
      </c>
      <c r="B10157" s="11" t="s">
        <v>20211</v>
      </c>
      <c r="C10157" s="11" t="s">
        <v>17</v>
      </c>
      <c r="D10157" s="11" t="s">
        <v>18</v>
      </c>
      <c r="E10157" s="12" t="s">
        <v>1100</v>
      </c>
      <c r="F10157" s="12" t="s">
        <v>1101</v>
      </c>
      <c r="G10157" s="12" t="s">
        <v>46</v>
      </c>
      <c r="H10157" s="11" t="s">
        <v>22</v>
      </c>
      <c r="I10157" s="13" t="s">
        <v>20216</v>
      </c>
      <c r="J10157" s="14" t="str">
        <f>HYPERLINK("https://www.boe.es/gazeta/dias/1839/09/13/pdfs/GMD-1839-1766.pdf#page=3","Abrir facsímil")</f>
        <v>Abrir facsímil</v>
      </c>
      <c r="K10157" s="12" t="s">
        <v>24</v>
      </c>
    </row>
    <row r="10158" spans="1:11" ht="40.049999999999997" customHeight="1" x14ac:dyDescent="0.25">
      <c r="A10158" s="11" t="s">
        <v>20211</v>
      </c>
      <c r="B10158" s="11" t="s">
        <v>20211</v>
      </c>
      <c r="C10158" s="11" t="s">
        <v>137</v>
      </c>
      <c r="D10158" s="11" t="s">
        <v>18</v>
      </c>
      <c r="E10158" s="12" t="s">
        <v>185</v>
      </c>
      <c r="F10158" s="12" t="s">
        <v>186</v>
      </c>
      <c r="G10158" s="12" t="s">
        <v>40</v>
      </c>
      <c r="H10158" s="11" t="s">
        <v>22</v>
      </c>
      <c r="I10158" s="13" t="s">
        <v>20217</v>
      </c>
      <c r="J10158" s="14" t="str">
        <f>HYPERLINK("https://www.boe.es/gazeta/dias/1839/01/15/pdfs/GMD-1839-1522.pdf#page=2","Abrir facsímil")</f>
        <v>Abrir facsímil</v>
      </c>
      <c r="K10158" s="12" t="s">
        <v>24</v>
      </c>
    </row>
    <row r="10159" spans="1:11" ht="40.049999999999997" customHeight="1" x14ac:dyDescent="0.25">
      <c r="A10159" s="11" t="s">
        <v>20211</v>
      </c>
      <c r="B10159" s="11" t="s">
        <v>20211</v>
      </c>
      <c r="C10159" s="11" t="s">
        <v>17</v>
      </c>
      <c r="D10159" s="11" t="s">
        <v>18</v>
      </c>
      <c r="E10159" s="12" t="s">
        <v>2650</v>
      </c>
      <c r="F10159" s="12" t="s">
        <v>2651</v>
      </c>
      <c r="G10159" s="12" t="s">
        <v>46</v>
      </c>
      <c r="H10159" s="11" t="s">
        <v>22</v>
      </c>
      <c r="I10159" s="13" t="s">
        <v>20218</v>
      </c>
      <c r="J10159" s="14" t="str">
        <f>HYPERLINK("https://www.boe.es/gazeta/dias/1839/09/15/pdfs/GMD-1839-1768.pdf#page=3","Abrir facsímil")</f>
        <v>Abrir facsímil</v>
      </c>
      <c r="K10159" s="12" t="s">
        <v>24</v>
      </c>
    </row>
    <row r="10160" spans="1:11" ht="40.049999999999997" customHeight="1" x14ac:dyDescent="0.25">
      <c r="A10160" s="11" t="s">
        <v>20211</v>
      </c>
      <c r="B10160" s="11" t="s">
        <v>20211</v>
      </c>
      <c r="C10160" s="11" t="s">
        <v>17</v>
      </c>
      <c r="D10160" s="11" t="s">
        <v>18</v>
      </c>
      <c r="E10160" s="12" t="s">
        <v>19</v>
      </c>
      <c r="F10160" s="12" t="s">
        <v>20</v>
      </c>
      <c r="G10160" s="12" t="s">
        <v>21</v>
      </c>
      <c r="H10160" s="11" t="s">
        <v>22</v>
      </c>
      <c r="I10160" s="13" t="s">
        <v>20219</v>
      </c>
      <c r="J10160" s="14" t="str">
        <f>HYPERLINK("https://www.boe.es/gazeta/dias/1839/01/19/pdfs/GMD-1839-1526.pdf#page=4","Abrir facsímil")</f>
        <v>Abrir facsímil</v>
      </c>
      <c r="K10160" s="12" t="s">
        <v>24</v>
      </c>
    </row>
    <row r="10161" spans="1:11" ht="40.049999999999997" customHeight="1" x14ac:dyDescent="0.25">
      <c r="A10161" s="11" t="s">
        <v>20211</v>
      </c>
      <c r="B10161" s="11" t="s">
        <v>20211</v>
      </c>
      <c r="C10161" s="11" t="s">
        <v>101</v>
      </c>
      <c r="D10161" s="11" t="s">
        <v>43</v>
      </c>
      <c r="E10161" s="12" t="s">
        <v>2222</v>
      </c>
      <c r="F10161" s="12" t="s">
        <v>2223</v>
      </c>
      <c r="G10161" s="12" t="s">
        <v>46</v>
      </c>
      <c r="H10161" s="11" t="s">
        <v>22</v>
      </c>
      <c r="I10161" s="13" t="s">
        <v>20220</v>
      </c>
      <c r="J10161" s="14" t="str">
        <f>HYPERLINK("https://www.boe.es/gazeta/dias/1839/09/19/pdfs/GMD-1839-1773.pdf#page=3","Abrir facsímil")</f>
        <v>Abrir facsímil</v>
      </c>
      <c r="K10161" s="12" t="s">
        <v>24</v>
      </c>
    </row>
    <row r="10162" spans="1:11" ht="40.049999999999997" customHeight="1" x14ac:dyDescent="0.25">
      <c r="A10162" s="11" t="s">
        <v>20211</v>
      </c>
      <c r="B10162" s="11" t="s">
        <v>20211</v>
      </c>
      <c r="C10162" s="11" t="s">
        <v>17</v>
      </c>
      <c r="D10162" s="11" t="s">
        <v>43</v>
      </c>
      <c r="E10162" s="12" t="s">
        <v>1076</v>
      </c>
      <c r="F10162" s="12" t="s">
        <v>1077</v>
      </c>
      <c r="G10162" s="12" t="s">
        <v>21</v>
      </c>
      <c r="H10162" s="11" t="s">
        <v>22</v>
      </c>
      <c r="I10162" s="13" t="s">
        <v>20221</v>
      </c>
      <c r="J10162" s="14" t="str">
        <f>HYPERLINK("https://www.boe.es/gazeta/dias/1839/10/19/pdfs/GMD-1839-1805.pdf#page=4","Abrir facsímil")</f>
        <v>Abrir facsímil</v>
      </c>
      <c r="K10162" s="12" t="s">
        <v>24</v>
      </c>
    </row>
    <row r="10163" spans="1:11" ht="40.049999999999997" customHeight="1" x14ac:dyDescent="0.25">
      <c r="A10163" s="11" t="s">
        <v>20211</v>
      </c>
      <c r="B10163" s="11" t="s">
        <v>20211</v>
      </c>
      <c r="C10163" s="11" t="s">
        <v>17</v>
      </c>
      <c r="D10163" s="11" t="s">
        <v>18</v>
      </c>
      <c r="E10163" s="12" t="s">
        <v>433</v>
      </c>
      <c r="F10163" s="12" t="s">
        <v>434</v>
      </c>
      <c r="G10163" s="12" t="s">
        <v>46</v>
      </c>
      <c r="H10163" s="11" t="s">
        <v>22</v>
      </c>
      <c r="I10163" s="13" t="s">
        <v>20222</v>
      </c>
      <c r="J10163" s="14" t="str">
        <f>HYPERLINK("https://www.boe.es/gazeta/dias/1839/01/20/pdfs/GMD-1839-1527.pdf#page=3","Abrir facsímil")</f>
        <v>Abrir facsímil</v>
      </c>
      <c r="K10163" s="12" t="s">
        <v>24</v>
      </c>
    </row>
    <row r="10164" spans="1:11" ht="40.049999999999997" customHeight="1" x14ac:dyDescent="0.25">
      <c r="A10164" s="11" t="s">
        <v>20211</v>
      </c>
      <c r="B10164" s="11" t="s">
        <v>20211</v>
      </c>
      <c r="C10164" s="11" t="s">
        <v>17</v>
      </c>
      <c r="D10164" s="11" t="s">
        <v>18</v>
      </c>
      <c r="E10164" s="12" t="s">
        <v>276</v>
      </c>
      <c r="F10164" s="12" t="s">
        <v>277</v>
      </c>
      <c r="G10164" s="12" t="s">
        <v>21</v>
      </c>
      <c r="H10164" s="11" t="s">
        <v>22</v>
      </c>
      <c r="I10164" s="13" t="s">
        <v>20223</v>
      </c>
      <c r="J10164" s="14" t="str">
        <f>HYPERLINK("https://www.boe.es/gazeta/dias/1839/09/24/pdfs/GMD-1839-1780.pdf#page=4","Abrir facsímil")</f>
        <v>Abrir facsímil</v>
      </c>
      <c r="K10164" s="12" t="s">
        <v>24</v>
      </c>
    </row>
    <row r="10165" spans="1:11" ht="40.049999999999997" customHeight="1" x14ac:dyDescent="0.25">
      <c r="A10165" s="11" t="s">
        <v>20211</v>
      </c>
      <c r="B10165" s="11" t="s">
        <v>20211</v>
      </c>
      <c r="C10165" s="11" t="s">
        <v>17</v>
      </c>
      <c r="D10165" s="11" t="s">
        <v>18</v>
      </c>
      <c r="E10165" s="12" t="s">
        <v>650</v>
      </c>
      <c r="F10165" s="12" t="s">
        <v>651</v>
      </c>
      <c r="G10165" s="12" t="s">
        <v>46</v>
      </c>
      <c r="H10165" s="11" t="s">
        <v>22</v>
      </c>
      <c r="I10165" s="13" t="s">
        <v>20224</v>
      </c>
      <c r="J10165" s="14" t="str">
        <f>HYPERLINK("https://www.boe.es/gazeta/dias/1839/10/25/pdfs/GMD-1839-1811.pdf#page=3","Abrir facsímil")</f>
        <v>Abrir facsímil</v>
      </c>
      <c r="K10165" s="12" t="s">
        <v>24</v>
      </c>
    </row>
    <row r="10166" spans="1:11" ht="40.049999999999997" customHeight="1" x14ac:dyDescent="0.25">
      <c r="A10166" s="11" t="s">
        <v>20211</v>
      </c>
      <c r="B10166" s="11" t="s">
        <v>20211</v>
      </c>
      <c r="C10166" s="11" t="s">
        <v>137</v>
      </c>
      <c r="D10166" s="11" t="s">
        <v>18</v>
      </c>
      <c r="E10166" s="12" t="s">
        <v>723</v>
      </c>
      <c r="F10166" s="12" t="s">
        <v>724</v>
      </c>
      <c r="G10166" s="12" t="s">
        <v>46</v>
      </c>
      <c r="H10166" s="11" t="s">
        <v>22</v>
      </c>
      <c r="I10166" s="13" t="s">
        <v>20225</v>
      </c>
      <c r="J10166" s="14" t="str">
        <f>HYPERLINK("https://www.boe.es/gazeta/dias/1839/09/26/pdfs/GMD-1839-1782.pdf#page=3","Abrir facsímil")</f>
        <v>Abrir facsímil</v>
      </c>
      <c r="K10166" s="12" t="s">
        <v>24</v>
      </c>
    </row>
    <row r="10167" spans="1:11" ht="40.049999999999997" customHeight="1" x14ac:dyDescent="0.25">
      <c r="A10167" s="11" t="s">
        <v>20211</v>
      </c>
      <c r="B10167" s="11" t="s">
        <v>20211</v>
      </c>
      <c r="C10167" s="11" t="s">
        <v>137</v>
      </c>
      <c r="D10167" s="11" t="s">
        <v>18</v>
      </c>
      <c r="E10167" s="12" t="s">
        <v>862</v>
      </c>
      <c r="F10167" s="12" t="s">
        <v>863</v>
      </c>
      <c r="G10167" s="12" t="s">
        <v>566</v>
      </c>
      <c r="H10167" s="11" t="s">
        <v>22</v>
      </c>
      <c r="I10167" s="13" t="s">
        <v>20226</v>
      </c>
      <c r="J10167" s="14" t="str">
        <f>HYPERLINK("https://www.boe.es/gazeta/dias/1839/10/28/pdfs/GMD-1839-1814.pdf#page=5","Abrir facsímil")</f>
        <v>Abrir facsímil</v>
      </c>
      <c r="K10167" s="12" t="s">
        <v>24</v>
      </c>
    </row>
    <row r="10168" spans="1:11" ht="40.049999999999997" customHeight="1" x14ac:dyDescent="0.25">
      <c r="A10168" s="11" t="s">
        <v>20211</v>
      </c>
      <c r="B10168" s="11" t="s">
        <v>20211</v>
      </c>
      <c r="C10168" s="11" t="s">
        <v>101</v>
      </c>
      <c r="D10168" s="11" t="s">
        <v>43</v>
      </c>
      <c r="E10168" s="12" t="s">
        <v>1988</v>
      </c>
      <c r="F10168" s="12" t="s">
        <v>1989</v>
      </c>
      <c r="G10168" s="12" t="s">
        <v>21</v>
      </c>
      <c r="H10168" s="11" t="s">
        <v>22</v>
      </c>
      <c r="I10168" s="13" t="s">
        <v>20227</v>
      </c>
      <c r="J10168" s="14" t="str">
        <f>HYPERLINK("https://www.boe.es/gazeta/dias/1839/10/29/pdfs/GMD-1839-1815.pdf#page=4","Abrir facsímil")</f>
        <v>Abrir facsímil</v>
      </c>
      <c r="K10168" s="12" t="s">
        <v>24</v>
      </c>
    </row>
    <row r="10169" spans="1:11" ht="40.049999999999997" customHeight="1" x14ac:dyDescent="0.25">
      <c r="A10169" s="11" t="s">
        <v>20211</v>
      </c>
      <c r="B10169" s="11" t="s">
        <v>20211</v>
      </c>
      <c r="C10169" s="11" t="s">
        <v>137</v>
      </c>
      <c r="D10169" s="11" t="s">
        <v>18</v>
      </c>
      <c r="E10169" s="12" t="s">
        <v>1988</v>
      </c>
      <c r="F10169" s="12" t="s">
        <v>1989</v>
      </c>
      <c r="G10169" s="12" t="s">
        <v>566</v>
      </c>
      <c r="H10169" s="11" t="s">
        <v>22</v>
      </c>
      <c r="I10169" s="13" t="s">
        <v>20228</v>
      </c>
      <c r="J10169" s="14" t="str">
        <f>HYPERLINK("https://www.boe.es/gazeta/dias/1839/10/29/pdfs/GMD-1839-1815.pdf#page=5","Abrir facsímil")</f>
        <v>Abrir facsímil</v>
      </c>
      <c r="K10169" s="12" t="s">
        <v>24</v>
      </c>
    </row>
    <row r="10170" spans="1:11" ht="40.049999999999997" customHeight="1" x14ac:dyDescent="0.25">
      <c r="A10170" s="11" t="s">
        <v>20211</v>
      </c>
      <c r="B10170" s="11" t="s">
        <v>20211</v>
      </c>
      <c r="C10170" s="11" t="s">
        <v>137</v>
      </c>
      <c r="D10170" s="11" t="s">
        <v>18</v>
      </c>
      <c r="E10170" s="12" t="s">
        <v>653</v>
      </c>
      <c r="F10170" s="12" t="s">
        <v>654</v>
      </c>
      <c r="G10170" s="12" t="s">
        <v>46</v>
      </c>
      <c r="H10170" s="11" t="s">
        <v>22</v>
      </c>
      <c r="I10170" s="13" t="s">
        <v>20229</v>
      </c>
      <c r="J10170" s="14" t="str">
        <f>HYPERLINK("https://www.boe.es/gazeta/dias/1839/10/31/pdfs/GMD-1839-1817.pdf#page=3","Abrir facsímil")</f>
        <v>Abrir facsímil</v>
      </c>
      <c r="K10170" s="12" t="s">
        <v>24</v>
      </c>
    </row>
    <row r="10171" spans="1:11" ht="40.049999999999997" customHeight="1" x14ac:dyDescent="0.25">
      <c r="A10171" s="11" t="s">
        <v>20230</v>
      </c>
      <c r="B10171" s="11" t="s">
        <v>20230</v>
      </c>
      <c r="C10171" s="11" t="s">
        <v>17</v>
      </c>
      <c r="D10171" s="11" t="s">
        <v>18</v>
      </c>
      <c r="E10171" s="12" t="s">
        <v>592</v>
      </c>
      <c r="F10171" s="12" t="s">
        <v>593</v>
      </c>
      <c r="G10171" s="12" t="s">
        <v>40</v>
      </c>
      <c r="H10171" s="11" t="s">
        <v>22</v>
      </c>
      <c r="I10171" s="13" t="s">
        <v>20231</v>
      </c>
      <c r="J10171" s="14" t="str">
        <f>HYPERLINK("https://www.boe.es/gazeta/dias/1839/09/14/pdfs/GMD-1839-1767.pdf#page=2","Abrir facsímil")</f>
        <v>Abrir facsímil</v>
      </c>
      <c r="K10171" s="12" t="s">
        <v>24</v>
      </c>
    </row>
    <row r="10172" spans="1:11" ht="40.049999999999997" customHeight="1" x14ac:dyDescent="0.25">
      <c r="A10172" s="11" t="s">
        <v>20232</v>
      </c>
      <c r="B10172" s="11" t="s">
        <v>20232</v>
      </c>
      <c r="C10172" s="11" t="s">
        <v>17</v>
      </c>
      <c r="D10172" s="11" t="s">
        <v>18</v>
      </c>
      <c r="E10172" s="12" t="s">
        <v>266</v>
      </c>
      <c r="F10172" s="12" t="s">
        <v>267</v>
      </c>
      <c r="G10172" s="12" t="s">
        <v>40</v>
      </c>
      <c r="H10172" s="11" t="s">
        <v>22</v>
      </c>
      <c r="I10172" s="13" t="s">
        <v>20233</v>
      </c>
      <c r="J10172" s="14" t="str">
        <f>HYPERLINK("https://www.boe.es/gazeta/dias/1839/01/03/pdfs/GMD-1839-1510.pdf#page=2","Abrir facsímil")</f>
        <v>Abrir facsímil</v>
      </c>
      <c r="K10172" s="12" t="s">
        <v>24</v>
      </c>
    </row>
    <row r="10173" spans="1:11" ht="40.049999999999997" customHeight="1" x14ac:dyDescent="0.25">
      <c r="A10173" s="11" t="s">
        <v>20234</v>
      </c>
      <c r="B10173" s="11" t="s">
        <v>20234</v>
      </c>
      <c r="C10173" s="11" t="s">
        <v>17</v>
      </c>
      <c r="D10173" s="11" t="s">
        <v>18</v>
      </c>
      <c r="E10173" s="12" t="s">
        <v>266</v>
      </c>
      <c r="F10173" s="12" t="s">
        <v>267</v>
      </c>
      <c r="G10173" s="12" t="s">
        <v>40</v>
      </c>
      <c r="H10173" s="11" t="s">
        <v>22</v>
      </c>
      <c r="I10173" s="13" t="s">
        <v>20235</v>
      </c>
      <c r="J10173" s="14" t="str">
        <f>HYPERLINK("https://www.boe.es/gazeta/dias/1839/01/03/pdfs/GMD-1839-1510.pdf#page=2","Abrir facsímil")</f>
        <v>Abrir facsímil</v>
      </c>
      <c r="K10173" s="12" t="s">
        <v>24</v>
      </c>
    </row>
    <row r="10174" spans="1:11" ht="40.049999999999997" customHeight="1" x14ac:dyDescent="0.25">
      <c r="A10174" s="11" t="s">
        <v>20236</v>
      </c>
      <c r="B10174" s="11" t="s">
        <v>20237</v>
      </c>
      <c r="C10174" s="11" t="s">
        <v>101</v>
      </c>
      <c r="D10174" s="11" t="s">
        <v>43</v>
      </c>
      <c r="E10174" s="12" t="s">
        <v>2222</v>
      </c>
      <c r="F10174" s="12" t="s">
        <v>2223</v>
      </c>
      <c r="G10174" s="12" t="s">
        <v>40</v>
      </c>
      <c r="H10174" s="11" t="s">
        <v>63</v>
      </c>
      <c r="I10174" s="13" t="s">
        <v>20238</v>
      </c>
      <c r="J10174" s="14" t="str">
        <f>HYPERLINK("https://www.boe.es/gazeta/dias/1839/09/19/pdfs/GMD-1839-1773.pdf#page=2","Abrir facsímil")</f>
        <v>Abrir facsímil</v>
      </c>
      <c r="K10174" s="12" t="s">
        <v>65</v>
      </c>
    </row>
    <row r="10175" spans="1:11" ht="40.049999999999997" customHeight="1" x14ac:dyDescent="0.25">
      <c r="A10175" s="11" t="s">
        <v>20239</v>
      </c>
      <c r="B10175" s="11" t="s">
        <v>20240</v>
      </c>
      <c r="C10175" s="11" t="s">
        <v>17</v>
      </c>
      <c r="D10175" s="11" t="s">
        <v>18</v>
      </c>
      <c r="E10175" s="12" t="s">
        <v>1310</v>
      </c>
      <c r="F10175" s="12" t="s">
        <v>1311</v>
      </c>
      <c r="G10175" s="12" t="s">
        <v>40</v>
      </c>
      <c r="H10175" s="11" t="s">
        <v>63</v>
      </c>
      <c r="I10175" s="13" t="s">
        <v>20241</v>
      </c>
      <c r="J10175" s="14" t="str">
        <f>HYPERLINK("https://www.boe.es/gazeta/dias/1839/04/23/pdfs/GMD-1839-1620.pdf#page=2","Abrir facsímil")</f>
        <v>Abrir facsímil</v>
      </c>
      <c r="K10175" s="12" t="s">
        <v>65</v>
      </c>
    </row>
    <row r="10176" spans="1:11" ht="40.049999999999997" customHeight="1" x14ac:dyDescent="0.25">
      <c r="A10176" s="11" t="s">
        <v>20242</v>
      </c>
      <c r="B10176" s="11" t="s">
        <v>20243</v>
      </c>
      <c r="C10176" s="11" t="s">
        <v>17</v>
      </c>
      <c r="D10176" s="11" t="s">
        <v>18</v>
      </c>
      <c r="E10176" s="12" t="s">
        <v>1287</v>
      </c>
      <c r="F10176" s="12" t="s">
        <v>1288</v>
      </c>
      <c r="G10176" s="12" t="s">
        <v>46</v>
      </c>
      <c r="H10176" s="11" t="s">
        <v>63</v>
      </c>
      <c r="I10176" s="13" t="s">
        <v>20244</v>
      </c>
      <c r="J10176" s="14" t="str">
        <f>HYPERLINK("https://www.boe.es/gazeta/dias/1839/10/30/pdfs/GMD-1839-1816.pdf#page=3","Abrir facsímil")</f>
        <v>Abrir facsímil</v>
      </c>
      <c r="K10176" s="12" t="s">
        <v>65</v>
      </c>
    </row>
    <row r="10177" spans="1:11" ht="40.049999999999997" customHeight="1" x14ac:dyDescent="0.25">
      <c r="A10177" s="11" t="s">
        <v>20245</v>
      </c>
      <c r="B10177" s="11" t="s">
        <v>20246</v>
      </c>
      <c r="C10177" s="11" t="s">
        <v>80</v>
      </c>
      <c r="D10177" s="11" t="s">
        <v>18</v>
      </c>
      <c r="E10177" s="12" t="s">
        <v>510</v>
      </c>
      <c r="F10177" s="12" t="s">
        <v>511</v>
      </c>
      <c r="G10177" s="12" t="s">
        <v>21</v>
      </c>
      <c r="H10177" s="11" t="s">
        <v>63</v>
      </c>
      <c r="I10177" s="13" t="s">
        <v>20247</v>
      </c>
      <c r="J10177" s="14" t="str">
        <f>HYPERLINK("https://www.boe.es/gazeta/dias/1839/05/13/pdfs/GMD-1839-1640.pdf#page=4","Abrir facsímil")</f>
        <v>Abrir facsímil</v>
      </c>
      <c r="K10177" s="12" t="s">
        <v>65</v>
      </c>
    </row>
    <row r="10178" spans="1:11" ht="40.049999999999997" customHeight="1" x14ac:dyDescent="0.25">
      <c r="A10178" s="11" t="s">
        <v>20248</v>
      </c>
      <c r="B10178" s="11" t="s">
        <v>20248</v>
      </c>
      <c r="C10178" s="11" t="s">
        <v>17</v>
      </c>
      <c r="D10178" s="11" t="s">
        <v>18</v>
      </c>
      <c r="E10178" s="12" t="s">
        <v>276</v>
      </c>
      <c r="F10178" s="12" t="s">
        <v>277</v>
      </c>
      <c r="G10178" s="12" t="s">
        <v>46</v>
      </c>
      <c r="H10178" s="11" t="s">
        <v>63</v>
      </c>
      <c r="I10178" s="13" t="s">
        <v>20249</v>
      </c>
      <c r="J10178" s="14" t="str">
        <f>HYPERLINK("https://www.boe.es/gazeta/dias/1839/09/24/pdfs/GMD-1839-1780.pdf#page=3","Abrir facsímil")</f>
        <v>Abrir facsímil</v>
      </c>
      <c r="K10178" s="12" t="s">
        <v>65</v>
      </c>
    </row>
    <row r="10179" spans="1:11" ht="40.049999999999997" customHeight="1" x14ac:dyDescent="0.25">
      <c r="A10179" s="11" t="s">
        <v>20250</v>
      </c>
      <c r="B10179" s="11" t="s">
        <v>20250</v>
      </c>
      <c r="C10179" s="11" t="s">
        <v>17</v>
      </c>
      <c r="D10179" s="11" t="s">
        <v>18</v>
      </c>
      <c r="E10179" s="12" t="s">
        <v>883</v>
      </c>
      <c r="F10179" s="12" t="s">
        <v>884</v>
      </c>
      <c r="G10179" s="12" t="s">
        <v>46</v>
      </c>
      <c r="H10179" s="11" t="s">
        <v>63</v>
      </c>
      <c r="I10179" s="13" t="s">
        <v>20251</v>
      </c>
      <c r="J10179" s="14" t="str">
        <f>HYPERLINK("https://www.boe.es/gazeta/dias/1839/11/03/pdfs/GMD-1839-1820.pdf#page=3","Abrir facsímil")</f>
        <v>Abrir facsímil</v>
      </c>
      <c r="K10179" s="12" t="s">
        <v>65</v>
      </c>
    </row>
    <row r="10180" spans="1:11" ht="40.049999999999997" customHeight="1" x14ac:dyDescent="0.25">
      <c r="A10180" s="11" t="s">
        <v>20250</v>
      </c>
      <c r="B10180" s="11" t="s">
        <v>20250</v>
      </c>
      <c r="C10180" s="11" t="s">
        <v>137</v>
      </c>
      <c r="D10180" s="11" t="s">
        <v>18</v>
      </c>
      <c r="E10180" s="12" t="s">
        <v>1069</v>
      </c>
      <c r="F10180" s="12" t="s">
        <v>1070</v>
      </c>
      <c r="G10180" s="12" t="s">
        <v>46</v>
      </c>
      <c r="H10180" s="11" t="s">
        <v>63</v>
      </c>
      <c r="I10180" s="13" t="s">
        <v>20252</v>
      </c>
      <c r="J10180" s="14" t="str">
        <f>HYPERLINK("https://www.boe.es/gazeta/dias/1839/10/15/pdfs/GMD-1839-1801.pdf#page=3","Abrir facsímil")</f>
        <v>Abrir facsímil</v>
      </c>
      <c r="K10180" s="12" t="s">
        <v>65</v>
      </c>
    </row>
    <row r="10181" spans="1:11" ht="40.049999999999997" customHeight="1" x14ac:dyDescent="0.25">
      <c r="A10181" s="11" t="s">
        <v>20250</v>
      </c>
      <c r="B10181" s="11" t="s">
        <v>20250</v>
      </c>
      <c r="C10181" s="11" t="s">
        <v>17</v>
      </c>
      <c r="D10181" s="11" t="s">
        <v>18</v>
      </c>
      <c r="E10181" s="12" t="s">
        <v>1179</v>
      </c>
      <c r="F10181" s="12" t="s">
        <v>1180</v>
      </c>
      <c r="G10181" s="12" t="s">
        <v>305</v>
      </c>
      <c r="H10181" s="11" t="s">
        <v>63</v>
      </c>
      <c r="I10181" s="13" t="s">
        <v>20253</v>
      </c>
      <c r="J10181" s="14" t="str">
        <f>HYPERLINK("https://www.boe.es/gazeta/dias/1839/10/18/pdfs/GMD-1839-1804.pdf#page=6","Abrir facsímil")</f>
        <v>Abrir facsímil</v>
      </c>
      <c r="K10181" s="12" t="s">
        <v>65</v>
      </c>
    </row>
    <row r="10182" spans="1:11" ht="40.049999999999997" customHeight="1" x14ac:dyDescent="0.25">
      <c r="A10182" s="11" t="s">
        <v>20250</v>
      </c>
      <c r="B10182" s="11" t="s">
        <v>20250</v>
      </c>
      <c r="C10182" s="11" t="s">
        <v>17</v>
      </c>
      <c r="D10182" s="11" t="s">
        <v>18</v>
      </c>
      <c r="E10182" s="12" t="s">
        <v>3009</v>
      </c>
      <c r="F10182" s="12" t="s">
        <v>3010</v>
      </c>
      <c r="G10182" s="12" t="s">
        <v>21</v>
      </c>
      <c r="H10182" s="11" t="s">
        <v>63</v>
      </c>
      <c r="I10182" s="13" t="s">
        <v>20254</v>
      </c>
      <c r="J10182" s="14" t="str">
        <f>HYPERLINK("https://www.boe.es/gazeta/dias/1839/04/20/pdfs/GMD-1839-1617.pdf#page=4","Abrir facsímil")</f>
        <v>Abrir facsímil</v>
      </c>
      <c r="K10182" s="12" t="s">
        <v>65</v>
      </c>
    </row>
    <row r="10183" spans="1:11" ht="40.049999999999997" customHeight="1" x14ac:dyDescent="0.25">
      <c r="A10183" s="11" t="s">
        <v>20250</v>
      </c>
      <c r="B10183" s="11" t="s">
        <v>20250</v>
      </c>
      <c r="C10183" s="11" t="s">
        <v>137</v>
      </c>
      <c r="D10183" s="11" t="s">
        <v>18</v>
      </c>
      <c r="E10183" s="12" t="s">
        <v>416</v>
      </c>
      <c r="F10183" s="12" t="s">
        <v>417</v>
      </c>
      <c r="G10183" s="12" t="s">
        <v>40</v>
      </c>
      <c r="H10183" s="11" t="s">
        <v>63</v>
      </c>
      <c r="I10183" s="13" t="s">
        <v>20255</v>
      </c>
      <c r="J10183" s="14" t="str">
        <f>HYPERLINK("https://www.boe.es/gazeta/dias/1839/10/24/pdfs/GMD-1839-1810.pdf#page=2","Abrir facsímil")</f>
        <v>Abrir facsímil</v>
      </c>
      <c r="K10183" s="12" t="s">
        <v>65</v>
      </c>
    </row>
    <row r="10184" spans="1:11" ht="40.049999999999997" customHeight="1" x14ac:dyDescent="0.25">
      <c r="A10184" s="11" t="s">
        <v>20250</v>
      </c>
      <c r="B10184" s="11" t="s">
        <v>20250</v>
      </c>
      <c r="C10184" s="11" t="s">
        <v>17</v>
      </c>
      <c r="D10184" s="11" t="s">
        <v>18</v>
      </c>
      <c r="E10184" s="12" t="s">
        <v>716</v>
      </c>
      <c r="F10184" s="12" t="s">
        <v>717</v>
      </c>
      <c r="G10184" s="12" t="s">
        <v>29</v>
      </c>
      <c r="H10184" s="11" t="s">
        <v>63</v>
      </c>
      <c r="I10184" s="13" t="s">
        <v>20256</v>
      </c>
      <c r="J10184" s="14" t="str">
        <f>HYPERLINK("https://www.boe.es/gazeta/dias/1839/07/30/pdfs/GMD-1839-1719.pdf#page=1","Abrir facsímil")</f>
        <v>Abrir facsímil</v>
      </c>
      <c r="K10184" s="12" t="s">
        <v>65</v>
      </c>
    </row>
    <row r="10185" spans="1:11" ht="40.049999999999997" customHeight="1" x14ac:dyDescent="0.25">
      <c r="A10185" s="11" t="s">
        <v>20257</v>
      </c>
      <c r="B10185" s="11" t="s">
        <v>20258</v>
      </c>
      <c r="C10185" s="11" t="s">
        <v>17</v>
      </c>
      <c r="D10185" s="11" t="s">
        <v>43</v>
      </c>
      <c r="E10185" s="12" t="s">
        <v>1725</v>
      </c>
      <c r="F10185" s="12" t="s">
        <v>1726</v>
      </c>
      <c r="G10185" s="12" t="s">
        <v>21</v>
      </c>
      <c r="H10185" s="11" t="s">
        <v>63</v>
      </c>
      <c r="I10185" s="13" t="s">
        <v>20259</v>
      </c>
      <c r="J10185" s="14" t="str">
        <f>HYPERLINK("https://www.boe.es/gazeta/dias/1839/11/17/pdfs/GMD-1839-1834.pdf#page=4","Abrir facsímil")</f>
        <v>Abrir facsímil</v>
      </c>
      <c r="K10185" s="12" t="s">
        <v>65</v>
      </c>
    </row>
    <row r="10186" spans="1:11" ht="40.049999999999997" customHeight="1" x14ac:dyDescent="0.25">
      <c r="A10186" s="11" t="s">
        <v>20260</v>
      </c>
      <c r="B10186" s="11" t="s">
        <v>20261</v>
      </c>
      <c r="C10186" s="11" t="s">
        <v>17</v>
      </c>
      <c r="D10186" s="11" t="s">
        <v>18</v>
      </c>
      <c r="E10186" s="12" t="s">
        <v>716</v>
      </c>
      <c r="F10186" s="12" t="s">
        <v>717</v>
      </c>
      <c r="G10186" s="12" t="s">
        <v>29</v>
      </c>
      <c r="H10186" s="11" t="s">
        <v>63</v>
      </c>
      <c r="I10186" s="13" t="s">
        <v>20262</v>
      </c>
      <c r="J10186" s="14" t="str">
        <f>HYPERLINK("https://www.boe.es/gazeta/dias/1839/07/30/pdfs/GMD-1839-1719.pdf#page=1","Abrir facsímil")</f>
        <v>Abrir facsímil</v>
      </c>
      <c r="K10186" s="12" t="s">
        <v>65</v>
      </c>
    </row>
    <row r="10187" spans="1:11" ht="40.049999999999997" customHeight="1" x14ac:dyDescent="0.25">
      <c r="A10187" s="11" t="s">
        <v>20263</v>
      </c>
      <c r="B10187" s="11" t="s">
        <v>20264</v>
      </c>
      <c r="C10187" s="11" t="s">
        <v>17</v>
      </c>
      <c r="D10187" s="11" t="s">
        <v>18</v>
      </c>
      <c r="E10187" s="12" t="s">
        <v>258</v>
      </c>
      <c r="F10187" s="12" t="s">
        <v>259</v>
      </c>
      <c r="G10187" s="12" t="s">
        <v>46</v>
      </c>
      <c r="H10187" s="11" t="s">
        <v>22</v>
      </c>
      <c r="I10187" s="13" t="s">
        <v>20265</v>
      </c>
      <c r="J10187" s="14" t="str">
        <f>HYPERLINK("https://www.boe.es/gazeta/dias/1839/01/02/pdfs/GMD-1839-1509.pdf#page=3","Abrir facsímil")</f>
        <v>Abrir facsímil</v>
      </c>
      <c r="K10187" s="12" t="s">
        <v>24</v>
      </c>
    </row>
    <row r="10188" spans="1:11" ht="40.049999999999997" customHeight="1" x14ac:dyDescent="0.25">
      <c r="A10188" s="11" t="s">
        <v>20266</v>
      </c>
      <c r="B10188" s="11" t="s">
        <v>20266</v>
      </c>
      <c r="C10188" s="11" t="s">
        <v>137</v>
      </c>
      <c r="D10188" s="11" t="s">
        <v>18</v>
      </c>
      <c r="E10188" s="12" t="s">
        <v>116</v>
      </c>
      <c r="F10188" s="12" t="s">
        <v>117</v>
      </c>
      <c r="G10188" s="12" t="s">
        <v>46</v>
      </c>
      <c r="H10188" s="11" t="s">
        <v>63</v>
      </c>
      <c r="I10188" s="13" t="s">
        <v>20267</v>
      </c>
      <c r="J10188" s="14" t="str">
        <f>HYPERLINK("https://www.boe.es/gazeta/dias/1839/10/10/pdfs/GMD-1839-1796.pdf#page=3","Abrir facsímil")</f>
        <v>Abrir facsímil</v>
      </c>
      <c r="K10188" s="12" t="s">
        <v>65</v>
      </c>
    </row>
    <row r="10189" spans="1:11" ht="40.049999999999997" customHeight="1" x14ac:dyDescent="0.25">
      <c r="A10189" s="11" t="s">
        <v>20268</v>
      </c>
      <c r="B10189" s="11" t="s">
        <v>20269</v>
      </c>
      <c r="C10189" s="11" t="s">
        <v>59</v>
      </c>
      <c r="D10189" s="11" t="s">
        <v>60</v>
      </c>
      <c r="E10189" s="12" t="s">
        <v>2227</v>
      </c>
      <c r="F10189" s="12" t="s">
        <v>2228</v>
      </c>
      <c r="G10189" s="12" t="s">
        <v>29</v>
      </c>
      <c r="H10189" s="11" t="s">
        <v>63</v>
      </c>
      <c r="I10189" s="13" t="s">
        <v>20270</v>
      </c>
      <c r="J10189" s="14" t="str">
        <f>HYPERLINK("https://www.boe.es/gazeta/dias/1839/12/04/pdfs/GMD-1839-1851.pdf#page=1","Abrir facsímil")</f>
        <v>Abrir facsímil</v>
      </c>
      <c r="K10189" s="12" t="s">
        <v>65</v>
      </c>
    </row>
    <row r="10190" spans="1:11" ht="40.049999999999997" customHeight="1" x14ac:dyDescent="0.25">
      <c r="A10190" s="11" t="s">
        <v>20271</v>
      </c>
      <c r="B10190" s="11" t="s">
        <v>20272</v>
      </c>
      <c r="C10190" s="11" t="s">
        <v>59</v>
      </c>
      <c r="D10190" s="11" t="s">
        <v>60</v>
      </c>
      <c r="E10190" s="12" t="s">
        <v>132</v>
      </c>
      <c r="F10190" s="12" t="s">
        <v>133</v>
      </c>
      <c r="G10190" s="12" t="s">
        <v>46</v>
      </c>
      <c r="H10190" s="11" t="s">
        <v>63</v>
      </c>
      <c r="I10190" s="13" t="s">
        <v>20273</v>
      </c>
      <c r="J10190" s="14" t="str">
        <f>HYPERLINK("https://www.boe.es/gazeta/dias/1839/08/02/pdfs/GMD-1839-1722.pdf#page=3","Abrir facsímil")</f>
        <v>Abrir facsímil</v>
      </c>
      <c r="K10190" s="12" t="s">
        <v>65</v>
      </c>
    </row>
    <row r="10191" spans="1:11" ht="40.049999999999997" customHeight="1" x14ac:dyDescent="0.25">
      <c r="A10191" s="11" t="s">
        <v>20274</v>
      </c>
      <c r="B10191" s="11" t="s">
        <v>20275</v>
      </c>
      <c r="C10191" s="11" t="s">
        <v>17</v>
      </c>
      <c r="D10191" s="11" t="s">
        <v>18</v>
      </c>
      <c r="E10191" s="12" t="s">
        <v>1460</v>
      </c>
      <c r="F10191" s="12" t="s">
        <v>1461</v>
      </c>
      <c r="G10191" s="12" t="s">
        <v>46</v>
      </c>
      <c r="H10191" s="11" t="s">
        <v>63</v>
      </c>
      <c r="I10191" s="13" t="s">
        <v>20276</v>
      </c>
      <c r="J10191" s="14" t="str">
        <f>HYPERLINK("https://www.boe.es/gazeta/dias/1839/03/01/pdfs/GMD-1839-1567.pdf#page=3","Abrir facsímil")</f>
        <v>Abrir facsímil</v>
      </c>
      <c r="K10191" s="12" t="s">
        <v>65</v>
      </c>
    </row>
    <row r="10192" spans="1:11" ht="40.049999999999997" customHeight="1" x14ac:dyDescent="0.25">
      <c r="A10192" s="11" t="s">
        <v>20277</v>
      </c>
      <c r="B10192" s="11" t="s">
        <v>20278</v>
      </c>
      <c r="C10192" s="11" t="s">
        <v>17</v>
      </c>
      <c r="D10192" s="11" t="s">
        <v>18</v>
      </c>
      <c r="E10192" s="12" t="s">
        <v>1467</v>
      </c>
      <c r="F10192" s="12" t="s">
        <v>1468</v>
      </c>
      <c r="G10192" s="12" t="s">
        <v>46</v>
      </c>
      <c r="H10192" s="11" t="s">
        <v>63</v>
      </c>
      <c r="I10192" s="13" t="s">
        <v>20279</v>
      </c>
      <c r="J10192" s="14" t="str">
        <f>HYPERLINK("https://www.boe.es/gazeta/dias/1839/03/05/pdfs/GMD-1839-1571.pdf#page=3","Abrir facsímil")</f>
        <v>Abrir facsímil</v>
      </c>
      <c r="K10192" s="12" t="s">
        <v>65</v>
      </c>
    </row>
    <row r="10193" spans="1:11" ht="40.049999999999997" customHeight="1" x14ac:dyDescent="0.25">
      <c r="A10193" s="11" t="s">
        <v>20280</v>
      </c>
      <c r="B10193" s="11" t="s">
        <v>20281</v>
      </c>
      <c r="C10193" s="11" t="s">
        <v>17</v>
      </c>
      <c r="D10193" s="11" t="s">
        <v>18</v>
      </c>
      <c r="E10193" s="12" t="s">
        <v>333</v>
      </c>
      <c r="F10193" s="12" t="s">
        <v>334</v>
      </c>
      <c r="G10193" s="12" t="s">
        <v>21</v>
      </c>
      <c r="H10193" s="11" t="s">
        <v>63</v>
      </c>
      <c r="I10193" s="13" t="s">
        <v>20282</v>
      </c>
      <c r="J10193" s="14" t="str">
        <f>HYPERLINK("https://www.boe.es/gazeta/dias/1839/06/11/pdfs/GMD-1839-1669.pdf#page=4","Abrir facsímil")</f>
        <v>Abrir facsímil</v>
      </c>
      <c r="K10193" s="12" t="s">
        <v>65</v>
      </c>
    </row>
    <row r="10194" spans="1:11" ht="40.049999999999997" customHeight="1" x14ac:dyDescent="0.25">
      <c r="A10194" s="11" t="s">
        <v>20283</v>
      </c>
      <c r="B10194" s="11" t="s">
        <v>20284</v>
      </c>
      <c r="C10194" s="11" t="s">
        <v>17</v>
      </c>
      <c r="D10194" s="11" t="s">
        <v>18</v>
      </c>
      <c r="E10194" s="12" t="s">
        <v>1310</v>
      </c>
      <c r="F10194" s="12" t="s">
        <v>1311</v>
      </c>
      <c r="G10194" s="12" t="s">
        <v>40</v>
      </c>
      <c r="H10194" s="11" t="s">
        <v>22</v>
      </c>
      <c r="I10194" s="13" t="s">
        <v>20285</v>
      </c>
      <c r="J10194" s="14" t="str">
        <f>HYPERLINK("https://www.boe.es/gazeta/dias/1839/04/23/pdfs/GMD-1839-1620.pdf#page=2","Abrir facsímil")</f>
        <v>Abrir facsímil</v>
      </c>
      <c r="K10194" s="12" t="s">
        <v>24</v>
      </c>
    </row>
    <row r="10195" spans="1:11" ht="40.049999999999997" customHeight="1" x14ac:dyDescent="0.25">
      <c r="A10195" s="11" t="s">
        <v>20286</v>
      </c>
      <c r="B10195" s="11" t="s">
        <v>20287</v>
      </c>
      <c r="C10195" s="11" t="s">
        <v>137</v>
      </c>
      <c r="D10195" s="11" t="s">
        <v>18</v>
      </c>
      <c r="E10195" s="12" t="s">
        <v>1867</v>
      </c>
      <c r="F10195" s="12" t="s">
        <v>1868</v>
      </c>
      <c r="G10195" s="12" t="s">
        <v>46</v>
      </c>
      <c r="H10195" s="11" t="s">
        <v>63</v>
      </c>
      <c r="I10195" s="13" t="s">
        <v>20288</v>
      </c>
      <c r="J10195" s="14" t="str">
        <f>HYPERLINK("https://www.boe.es/gazeta/dias/1839/01/30/pdfs/GMD-1839-1537.pdf#page=3","Abrir facsímil")</f>
        <v>Abrir facsímil</v>
      </c>
      <c r="K10195" s="12" t="s">
        <v>65</v>
      </c>
    </row>
    <row r="10196" spans="1:11" ht="40.049999999999997" customHeight="1" x14ac:dyDescent="0.25">
      <c r="A10196" s="11" t="s">
        <v>20289</v>
      </c>
      <c r="B10196" s="11" t="s">
        <v>20290</v>
      </c>
      <c r="C10196" s="11" t="s">
        <v>80</v>
      </c>
      <c r="D10196" s="11" t="s">
        <v>18</v>
      </c>
      <c r="E10196" s="12" t="s">
        <v>230</v>
      </c>
      <c r="F10196" s="12" t="s">
        <v>231</v>
      </c>
      <c r="G10196" s="12" t="s">
        <v>21</v>
      </c>
      <c r="H10196" s="11" t="s">
        <v>63</v>
      </c>
      <c r="I10196" s="13" t="s">
        <v>20291</v>
      </c>
      <c r="J10196" s="14" t="str">
        <f>HYPERLINK("https://www.boe.es/gazeta/dias/1839/09/16/pdfs/GMD-1839-1769.pdf#page=4","Abrir facsímil")</f>
        <v>Abrir facsímil</v>
      </c>
      <c r="K10196" s="12" t="s">
        <v>65</v>
      </c>
    </row>
    <row r="10197" spans="1:11" ht="40.049999999999997" customHeight="1" x14ac:dyDescent="0.25">
      <c r="A10197" s="11" t="s">
        <v>20292</v>
      </c>
      <c r="B10197" s="11" t="s">
        <v>20293</v>
      </c>
      <c r="C10197" s="11" t="s">
        <v>80</v>
      </c>
      <c r="D10197" s="11" t="s">
        <v>18</v>
      </c>
      <c r="E10197" s="12" t="s">
        <v>1644</v>
      </c>
      <c r="F10197" s="12" t="s">
        <v>1645</v>
      </c>
      <c r="G10197" s="12" t="s">
        <v>21</v>
      </c>
      <c r="H10197" s="11" t="s">
        <v>63</v>
      </c>
      <c r="I10197" s="13" t="s">
        <v>20294</v>
      </c>
      <c r="J10197" s="14" t="str">
        <f>HYPERLINK("https://www.boe.es/gazeta/dias/1839/04/16/pdfs/GMD-1839-1613.pdf#page=4","Abrir facsímil")</f>
        <v>Abrir facsímil</v>
      </c>
      <c r="K10197" s="12" t="s">
        <v>65</v>
      </c>
    </row>
    <row r="10198" spans="1:11" ht="40.049999999999997" customHeight="1" x14ac:dyDescent="0.25">
      <c r="A10198" s="11" t="s">
        <v>20295</v>
      </c>
      <c r="B10198" s="11" t="s">
        <v>20296</v>
      </c>
      <c r="C10198" s="11" t="s">
        <v>17</v>
      </c>
      <c r="D10198" s="11" t="s">
        <v>18</v>
      </c>
      <c r="E10198" s="12" t="s">
        <v>385</v>
      </c>
      <c r="F10198" s="12" t="s">
        <v>386</v>
      </c>
      <c r="G10198" s="12" t="s">
        <v>29</v>
      </c>
      <c r="H10198" s="11" t="s">
        <v>63</v>
      </c>
      <c r="I10198" s="13" t="s">
        <v>20297</v>
      </c>
      <c r="J10198" s="14" t="str">
        <f>HYPERLINK("https://www.boe.es/gazeta/dias/1839/08/01/pdfs/GMD-1839-1721.pdf#page=1","Abrir facsímil")</f>
        <v>Abrir facsímil</v>
      </c>
      <c r="K10198" s="12" t="s">
        <v>65</v>
      </c>
    </row>
    <row r="10199" spans="1:11" ht="40.049999999999997" customHeight="1" x14ac:dyDescent="0.25">
      <c r="A10199" s="11" t="s">
        <v>20298</v>
      </c>
      <c r="B10199" s="11" t="s">
        <v>20299</v>
      </c>
      <c r="C10199" s="11" t="s">
        <v>59</v>
      </c>
      <c r="D10199" s="11" t="s">
        <v>60</v>
      </c>
      <c r="E10199" s="12" t="s">
        <v>1284</v>
      </c>
      <c r="F10199" s="12" t="s">
        <v>1285</v>
      </c>
      <c r="G10199" s="12" t="s">
        <v>40</v>
      </c>
      <c r="H10199" s="11" t="s">
        <v>63</v>
      </c>
      <c r="I10199" s="13" t="s">
        <v>20300</v>
      </c>
      <c r="J10199" s="14" t="str">
        <f>HYPERLINK("https://www.boe.es/gazeta/dias/1839/03/27/pdfs/GMD-1839-1593.pdf#page=2","Abrir facsímil")</f>
        <v>Abrir facsímil</v>
      </c>
      <c r="K10199" s="12" t="s">
        <v>65</v>
      </c>
    </row>
    <row r="10200" spans="1:11" ht="40.049999999999997" customHeight="1" x14ac:dyDescent="0.25">
      <c r="A10200" s="11" t="s">
        <v>20301</v>
      </c>
      <c r="B10200" s="11" t="s">
        <v>20302</v>
      </c>
      <c r="C10200" s="11" t="s">
        <v>17</v>
      </c>
      <c r="D10200" s="11" t="s">
        <v>18</v>
      </c>
      <c r="E10200" s="12" t="s">
        <v>1159</v>
      </c>
      <c r="F10200" s="12" t="s">
        <v>1160</v>
      </c>
      <c r="G10200" s="12" t="s">
        <v>29</v>
      </c>
      <c r="H10200" s="11" t="s">
        <v>63</v>
      </c>
      <c r="I10200" s="13" t="s">
        <v>20303</v>
      </c>
      <c r="J10200" s="14" t="str">
        <f>HYPERLINK("https://www.boe.es/gazeta/dias/1839/11/26/pdfs/GMD-1839-1843.pdf#page=1","Abrir facsímil")</f>
        <v>Abrir facsímil</v>
      </c>
      <c r="K10200" s="12" t="s">
        <v>65</v>
      </c>
    </row>
    <row r="10201" spans="1:11" ht="40.049999999999997" customHeight="1" x14ac:dyDescent="0.25">
      <c r="A10201" s="11" t="s">
        <v>20304</v>
      </c>
      <c r="B10201" s="11" t="s">
        <v>20305</v>
      </c>
      <c r="C10201" s="11" t="s">
        <v>80</v>
      </c>
      <c r="D10201" s="11" t="s">
        <v>18</v>
      </c>
      <c r="E10201" s="12" t="s">
        <v>1813</v>
      </c>
      <c r="F10201" s="12" t="s">
        <v>1814</v>
      </c>
      <c r="G10201" s="12" t="s">
        <v>46</v>
      </c>
      <c r="H10201" s="11" t="s">
        <v>63</v>
      </c>
      <c r="I10201" s="13" t="s">
        <v>20306</v>
      </c>
      <c r="J10201" s="14" t="str">
        <f>HYPERLINK("https://www.boe.es/gazeta/dias/1839/09/02/pdfs/GMD-1839-1754.pdf#page=3","Abrir facsímil")</f>
        <v>Abrir facsímil</v>
      </c>
      <c r="K10201" s="12" t="s">
        <v>65</v>
      </c>
    </row>
    <row r="10202" spans="1:11" ht="40.049999999999997" customHeight="1" x14ac:dyDescent="0.25">
      <c r="A10202" s="11" t="s">
        <v>20307</v>
      </c>
      <c r="B10202" s="11" t="s">
        <v>20308</v>
      </c>
      <c r="C10202" s="11" t="s">
        <v>17</v>
      </c>
      <c r="D10202" s="11" t="s">
        <v>18</v>
      </c>
      <c r="E10202" s="12" t="s">
        <v>405</v>
      </c>
      <c r="F10202" s="12" t="s">
        <v>406</v>
      </c>
      <c r="G10202" s="12" t="s">
        <v>29</v>
      </c>
      <c r="H10202" s="11" t="s">
        <v>63</v>
      </c>
      <c r="I10202" s="13" t="s">
        <v>20309</v>
      </c>
      <c r="J10202" s="14" t="str">
        <f>HYPERLINK("https://www.boe.es/gazeta/dias/1839/03/25/pdfs/GMD-1839-1591.pdf#page=1","Abrir facsímil")</f>
        <v>Abrir facsímil</v>
      </c>
      <c r="K10202" s="12" t="s">
        <v>65</v>
      </c>
    </row>
    <row r="10203" spans="1:11" ht="40.049999999999997" customHeight="1" x14ac:dyDescent="0.25">
      <c r="A10203" s="11" t="s">
        <v>20310</v>
      </c>
      <c r="B10203" s="11" t="s">
        <v>20311</v>
      </c>
      <c r="C10203" s="11" t="s">
        <v>80</v>
      </c>
      <c r="D10203" s="11" t="s">
        <v>18</v>
      </c>
      <c r="E10203" s="12" t="s">
        <v>405</v>
      </c>
      <c r="F10203" s="12" t="s">
        <v>406</v>
      </c>
      <c r="G10203" s="12" t="s">
        <v>29</v>
      </c>
      <c r="H10203" s="11" t="s">
        <v>63</v>
      </c>
      <c r="I10203" s="13" t="s">
        <v>20312</v>
      </c>
      <c r="J10203" s="14" t="str">
        <f>HYPERLINK("https://www.boe.es/gazeta/dias/1839/03/25/pdfs/GMD-1839-1591.pdf#page=1","Abrir facsímil")</f>
        <v>Abrir facsímil</v>
      </c>
      <c r="K10203" s="12" t="s">
        <v>65</v>
      </c>
    </row>
    <row r="10204" spans="1:11" ht="40.049999999999997" customHeight="1" x14ac:dyDescent="0.25">
      <c r="A10204" s="11" t="s">
        <v>20313</v>
      </c>
      <c r="B10204" s="11" t="s">
        <v>20314</v>
      </c>
      <c r="C10204" s="11" t="s">
        <v>80</v>
      </c>
      <c r="D10204" s="11" t="s">
        <v>18</v>
      </c>
      <c r="E10204" s="12" t="s">
        <v>522</v>
      </c>
      <c r="F10204" s="12" t="s">
        <v>523</v>
      </c>
      <c r="G10204" s="12" t="s">
        <v>29</v>
      </c>
      <c r="H10204" s="11" t="s">
        <v>63</v>
      </c>
      <c r="I10204" s="13" t="s">
        <v>20315</v>
      </c>
      <c r="J10204" s="14" t="str">
        <f>HYPERLINK("https://www.boe.es/gazeta/dias/1839/08/27/pdfs/GMD-1839-1748.pdf#page=1","Abrir facsímil")</f>
        <v>Abrir facsímil</v>
      </c>
      <c r="K10204" s="12" t="s">
        <v>65</v>
      </c>
    </row>
    <row r="10205" spans="1:11" ht="40.049999999999997" customHeight="1" x14ac:dyDescent="0.25">
      <c r="A10205" s="11" t="s">
        <v>20316</v>
      </c>
      <c r="B10205" s="11" t="s">
        <v>20317</v>
      </c>
      <c r="C10205" s="11" t="s">
        <v>17</v>
      </c>
      <c r="D10205" s="11" t="s">
        <v>18</v>
      </c>
      <c r="E10205" s="12" t="s">
        <v>1685</v>
      </c>
      <c r="F10205" s="12" t="s">
        <v>1686</v>
      </c>
      <c r="G10205" s="12" t="s">
        <v>46</v>
      </c>
      <c r="H10205" s="11" t="s">
        <v>63</v>
      </c>
      <c r="I10205" s="13" t="s">
        <v>20318</v>
      </c>
      <c r="J10205" s="14" t="str">
        <f>HYPERLINK("https://www.boe.es/gazeta/dias/1839/04/27/pdfs/GMD-1839-1624.pdf#page=3","Abrir facsímil")</f>
        <v>Abrir facsímil</v>
      </c>
      <c r="K10205" s="12" t="s">
        <v>65</v>
      </c>
    </row>
    <row r="10206" spans="1:11" ht="40.049999999999997" customHeight="1" x14ac:dyDescent="0.25">
      <c r="A10206" s="11" t="s">
        <v>20319</v>
      </c>
      <c r="B10206" s="11" t="s">
        <v>20320</v>
      </c>
      <c r="C10206" s="11" t="s">
        <v>59</v>
      </c>
      <c r="D10206" s="11" t="s">
        <v>60</v>
      </c>
      <c r="E10206" s="12" t="s">
        <v>2658</v>
      </c>
      <c r="F10206" s="12" t="s">
        <v>2659</v>
      </c>
      <c r="G10206" s="12" t="s">
        <v>40</v>
      </c>
      <c r="H10206" s="11" t="s">
        <v>22</v>
      </c>
      <c r="I10206" s="13" t="s">
        <v>20321</v>
      </c>
      <c r="J10206" s="14" t="str">
        <f>HYPERLINK("https://www.boe.es/gazeta/dias/1839/06/27/pdfs/GMD-1839-1685.pdf#page=2","Abrir facsímil")</f>
        <v>Abrir facsímil</v>
      </c>
      <c r="K10206" s="12" t="s">
        <v>24</v>
      </c>
    </row>
    <row r="10207" spans="1:11" ht="40.049999999999997" customHeight="1" x14ac:dyDescent="0.25">
      <c r="A10207" s="11" t="s">
        <v>20322</v>
      </c>
      <c r="B10207" s="11" t="s">
        <v>20323</v>
      </c>
      <c r="C10207" s="11" t="s">
        <v>17</v>
      </c>
      <c r="D10207" s="11" t="s">
        <v>18</v>
      </c>
      <c r="E10207" s="12" t="s">
        <v>1679</v>
      </c>
      <c r="F10207" s="12" t="s">
        <v>1680</v>
      </c>
      <c r="G10207" s="12" t="s">
        <v>46</v>
      </c>
      <c r="H10207" s="11" t="s">
        <v>63</v>
      </c>
      <c r="I10207" s="13" t="s">
        <v>20324</v>
      </c>
      <c r="J10207" s="14" t="str">
        <f>HYPERLINK("https://www.boe.es/gazeta/dias/1839/01/26/pdfs/GMD-1839-1533.pdf#page=3","Abrir facsímil")</f>
        <v>Abrir facsímil</v>
      </c>
      <c r="K10207" s="12" t="s">
        <v>65</v>
      </c>
    </row>
    <row r="10208" spans="1:11" ht="40.049999999999997" customHeight="1" x14ac:dyDescent="0.25">
      <c r="A10208" s="11" t="s">
        <v>20325</v>
      </c>
      <c r="B10208" s="11" t="s">
        <v>20326</v>
      </c>
      <c r="C10208" s="11" t="s">
        <v>101</v>
      </c>
      <c r="D10208" s="11" t="s">
        <v>43</v>
      </c>
      <c r="E10208" s="12" t="s">
        <v>462</v>
      </c>
      <c r="F10208" s="12" t="s">
        <v>463</v>
      </c>
      <c r="G10208" s="12" t="s">
        <v>46</v>
      </c>
      <c r="H10208" s="11" t="s">
        <v>63</v>
      </c>
      <c r="I10208" s="13" t="s">
        <v>20327</v>
      </c>
      <c r="J10208" s="14" t="str">
        <f>HYPERLINK("https://www.boe.es/gazeta/dias/1839/06/19/pdfs/GMD-1839-1677.pdf#page=3","Abrir facsímil")</f>
        <v>Abrir facsímil</v>
      </c>
      <c r="K10208" s="12" t="s">
        <v>65</v>
      </c>
    </row>
    <row r="10209" spans="1:11" ht="40.049999999999997" customHeight="1" x14ac:dyDescent="0.25">
      <c r="A10209" s="11" t="s">
        <v>20328</v>
      </c>
      <c r="B10209" s="11" t="s">
        <v>20329</v>
      </c>
      <c r="C10209" s="11" t="s">
        <v>137</v>
      </c>
      <c r="D10209" s="11" t="s">
        <v>18</v>
      </c>
      <c r="E10209" s="12" t="s">
        <v>76</v>
      </c>
      <c r="F10209" s="12" t="s">
        <v>77</v>
      </c>
      <c r="G10209" s="12" t="s">
        <v>46</v>
      </c>
      <c r="H10209" s="11" t="s">
        <v>63</v>
      </c>
      <c r="I10209" s="13" t="s">
        <v>20330</v>
      </c>
      <c r="J10209" s="14" t="str">
        <f>HYPERLINK("https://www.boe.es/gazeta/dias/1839/03/13/pdfs/GMD-1839-1579.pdf#page=3","Abrir facsímil")</f>
        <v>Abrir facsímil</v>
      </c>
      <c r="K10209" s="12" t="s">
        <v>65</v>
      </c>
    </row>
    <row r="10210" spans="1:11" ht="40.049999999999997" customHeight="1" x14ac:dyDescent="0.25">
      <c r="A10210" s="11" t="s">
        <v>20331</v>
      </c>
      <c r="B10210" s="11" t="s">
        <v>20332</v>
      </c>
      <c r="C10210" s="11" t="s">
        <v>80</v>
      </c>
      <c r="D10210" s="11" t="s">
        <v>18</v>
      </c>
      <c r="E10210" s="12" t="s">
        <v>84</v>
      </c>
      <c r="F10210" s="12" t="s">
        <v>85</v>
      </c>
      <c r="G10210" s="12" t="s">
        <v>29</v>
      </c>
      <c r="H10210" s="11" t="s">
        <v>63</v>
      </c>
      <c r="I10210" s="13" t="s">
        <v>20333</v>
      </c>
      <c r="J10210" s="14" t="str">
        <f>HYPERLINK("https://www.boe.es/gazeta/dias/1839/03/11/pdfs/GMD-1839-1577.pdf#page=1","Abrir facsímil")</f>
        <v>Abrir facsímil</v>
      </c>
      <c r="K10210" s="12" t="s">
        <v>65</v>
      </c>
    </row>
    <row r="10211" spans="1:11" ht="40.049999999999997" customHeight="1" x14ac:dyDescent="0.25">
      <c r="A10211" s="11" t="s">
        <v>20331</v>
      </c>
      <c r="B10211" s="11" t="s">
        <v>20332</v>
      </c>
      <c r="C10211" s="11" t="s">
        <v>137</v>
      </c>
      <c r="D10211" s="11" t="s">
        <v>18</v>
      </c>
      <c r="E10211" s="12" t="s">
        <v>420</v>
      </c>
      <c r="F10211" s="12" t="s">
        <v>421</v>
      </c>
      <c r="G10211" s="12" t="s">
        <v>40</v>
      </c>
      <c r="H10211" s="11" t="s">
        <v>63</v>
      </c>
      <c r="I10211" s="13" t="s">
        <v>20334</v>
      </c>
      <c r="J10211" s="14" t="str">
        <f>HYPERLINK("https://www.boe.es/gazeta/dias/1839/03/12/pdfs/GMD-1839-1578.pdf#page=2","Abrir facsímil")</f>
        <v>Abrir facsímil</v>
      </c>
      <c r="K10211" s="12" t="s">
        <v>65</v>
      </c>
    </row>
    <row r="10212" spans="1:11" ht="40.049999999999997" customHeight="1" x14ac:dyDescent="0.25">
      <c r="A10212" s="11" t="s">
        <v>20335</v>
      </c>
      <c r="B10212" s="11" t="s">
        <v>20336</v>
      </c>
      <c r="C10212" s="11" t="s">
        <v>101</v>
      </c>
      <c r="D10212" s="11" t="s">
        <v>102</v>
      </c>
      <c r="E10212" s="12" t="s">
        <v>2829</v>
      </c>
      <c r="F10212" s="12" t="s">
        <v>2830</v>
      </c>
      <c r="G10212" s="12" t="s">
        <v>40</v>
      </c>
      <c r="H10212" s="11" t="s">
        <v>63</v>
      </c>
      <c r="I10212" s="13" t="s">
        <v>20337</v>
      </c>
      <c r="J10212" s="14" t="str">
        <f>HYPERLINK("https://www.boe.es/gazeta/dias/1839/07/01/pdfs/GMD-1839-1689.pdf#page=2","Abrir facsímil")</f>
        <v>Abrir facsímil</v>
      </c>
      <c r="K10212" s="12" t="s">
        <v>65</v>
      </c>
    </row>
    <row r="10213" spans="1:11" ht="40.049999999999997" customHeight="1" x14ac:dyDescent="0.25">
      <c r="A10213" s="11" t="s">
        <v>20338</v>
      </c>
      <c r="B10213" s="11" t="s">
        <v>20339</v>
      </c>
      <c r="C10213" s="11" t="s">
        <v>59</v>
      </c>
      <c r="D10213" s="11" t="s">
        <v>60</v>
      </c>
      <c r="E10213" s="12" t="s">
        <v>744</v>
      </c>
      <c r="F10213" s="12" t="s">
        <v>745</v>
      </c>
      <c r="G10213" s="12" t="s">
        <v>29</v>
      </c>
      <c r="H10213" s="11" t="s">
        <v>63</v>
      </c>
      <c r="I10213" s="13" t="s">
        <v>20340</v>
      </c>
      <c r="J10213" s="14" t="str">
        <f>HYPERLINK("https://www.boe.es/gazeta/dias/1839/12/09/pdfs/GMD-1839-1856.pdf#page=1","Abrir facsímil")</f>
        <v>Abrir facsímil</v>
      </c>
      <c r="K10213" s="12" t="s">
        <v>65</v>
      </c>
    </row>
    <row r="10214" spans="1:11" ht="40.049999999999997" customHeight="1" x14ac:dyDescent="0.25">
      <c r="A10214" s="11" t="s">
        <v>20341</v>
      </c>
      <c r="B10214" s="11" t="s">
        <v>20342</v>
      </c>
      <c r="C10214" s="11" t="s">
        <v>137</v>
      </c>
      <c r="D10214" s="11" t="s">
        <v>18</v>
      </c>
      <c r="E10214" s="12" t="s">
        <v>49</v>
      </c>
      <c r="F10214" s="12" t="s">
        <v>50</v>
      </c>
      <c r="G10214" s="12" t="s">
        <v>46</v>
      </c>
      <c r="H10214" s="11" t="s">
        <v>63</v>
      </c>
      <c r="I10214" s="13" t="s">
        <v>20343</v>
      </c>
      <c r="J10214" s="14" t="str">
        <f>HYPERLINK("https://www.boe.es/gazeta/dias/1839/01/05/pdfs/GMD-1839-1512.pdf#page=3","Abrir facsímil")</f>
        <v>Abrir facsímil</v>
      </c>
      <c r="K10214" s="12" t="s">
        <v>65</v>
      </c>
    </row>
    <row r="10215" spans="1:11" ht="40.049999999999997" customHeight="1" x14ac:dyDescent="0.25">
      <c r="A10215" s="11" t="s">
        <v>20344</v>
      </c>
      <c r="B10215" s="11" t="s">
        <v>20345</v>
      </c>
      <c r="C10215" s="11" t="s">
        <v>59</v>
      </c>
      <c r="D10215" s="11" t="s">
        <v>60</v>
      </c>
      <c r="E10215" s="12" t="s">
        <v>1374</v>
      </c>
      <c r="F10215" s="12" t="s">
        <v>1375</v>
      </c>
      <c r="G10215" s="12" t="s">
        <v>40</v>
      </c>
      <c r="H10215" s="11" t="s">
        <v>63</v>
      </c>
      <c r="I10215" s="13" t="s">
        <v>20346</v>
      </c>
      <c r="J10215" s="14" t="str">
        <f>HYPERLINK("https://www.boe.es/gazeta/dias/1839/07/20/pdfs/GMD-1839-1708.pdf#page=2","Abrir facsímil")</f>
        <v>Abrir facsímil</v>
      </c>
      <c r="K10215" s="12" t="s">
        <v>65</v>
      </c>
    </row>
    <row r="10216" spans="1:11" ht="40.049999999999997" customHeight="1" x14ac:dyDescent="0.25">
      <c r="A10216" s="11" t="s">
        <v>20347</v>
      </c>
      <c r="B10216" s="11" t="s">
        <v>20348</v>
      </c>
      <c r="C10216" s="11" t="s">
        <v>17</v>
      </c>
      <c r="D10216" s="11" t="s">
        <v>18</v>
      </c>
      <c r="E10216" s="12" t="s">
        <v>381</v>
      </c>
      <c r="F10216" s="12" t="s">
        <v>382</v>
      </c>
      <c r="G10216" s="12" t="s">
        <v>29</v>
      </c>
      <c r="H10216" s="11" t="s">
        <v>63</v>
      </c>
      <c r="I10216" s="13" t="s">
        <v>20349</v>
      </c>
      <c r="J10216" s="14" t="str">
        <f>HYPERLINK("https://www.boe.es/gazeta/dias/1839/06/02/pdfs/GMD-1839-1660.pdf#page=1","Abrir facsímil")</f>
        <v>Abrir facsímil</v>
      </c>
      <c r="K10216" s="12" t="s">
        <v>65</v>
      </c>
    </row>
    <row r="10217" spans="1:11" ht="40.049999999999997" customHeight="1" x14ac:dyDescent="0.25">
      <c r="A10217" s="11" t="s">
        <v>20350</v>
      </c>
      <c r="B10217" s="11" t="s">
        <v>20351</v>
      </c>
      <c r="C10217" s="11" t="s">
        <v>80</v>
      </c>
      <c r="D10217" s="11" t="s">
        <v>18</v>
      </c>
      <c r="E10217" s="12" t="s">
        <v>4475</v>
      </c>
      <c r="F10217" s="12" t="s">
        <v>4476</v>
      </c>
      <c r="G10217" s="12" t="s">
        <v>21</v>
      </c>
      <c r="H10217" s="11" t="s">
        <v>63</v>
      </c>
      <c r="I10217" s="13" t="s">
        <v>20352</v>
      </c>
      <c r="J10217" s="14" t="str">
        <f>HYPERLINK("https://www.boe.es/gazeta/dias/1839/07/04/pdfs/GMD-1839-1692.pdf#page=4","Abrir facsímil")</f>
        <v>Abrir facsímil</v>
      </c>
      <c r="K10217" s="12" t="s">
        <v>65</v>
      </c>
    </row>
    <row r="10218" spans="1:11" ht="40.049999999999997" customHeight="1" x14ac:dyDescent="0.25">
      <c r="A10218" s="11" t="s">
        <v>20353</v>
      </c>
      <c r="B10218" s="11" t="s">
        <v>20354</v>
      </c>
      <c r="C10218" s="11" t="s">
        <v>17</v>
      </c>
      <c r="D10218" s="11" t="s">
        <v>18</v>
      </c>
      <c r="E10218" s="12" t="s">
        <v>4550</v>
      </c>
      <c r="F10218" s="12" t="s">
        <v>4551</v>
      </c>
      <c r="G10218" s="12" t="s">
        <v>29</v>
      </c>
      <c r="H10218" s="11" t="s">
        <v>63</v>
      </c>
      <c r="I10218" s="13" t="s">
        <v>20355</v>
      </c>
      <c r="J10218" s="14" t="str">
        <f>HYPERLINK("https://www.boe.es/gazeta/dias/1839/04/17/pdfs/GMD-1839-1614.pdf#page=1","Abrir facsímil")</f>
        <v>Abrir facsímil</v>
      </c>
      <c r="K10218" s="12" t="s">
        <v>65</v>
      </c>
    </row>
    <row r="10219" spans="1:11" ht="40.049999999999997" customHeight="1" x14ac:dyDescent="0.25">
      <c r="A10219" s="11" t="s">
        <v>20356</v>
      </c>
      <c r="B10219" s="11" t="s">
        <v>20357</v>
      </c>
      <c r="C10219" s="11" t="s">
        <v>59</v>
      </c>
      <c r="D10219" s="11" t="s">
        <v>60</v>
      </c>
      <c r="E10219" s="12" t="s">
        <v>1588</v>
      </c>
      <c r="F10219" s="12" t="s">
        <v>1589</v>
      </c>
      <c r="G10219" s="12" t="s">
        <v>29</v>
      </c>
      <c r="H10219" s="11" t="s">
        <v>63</v>
      </c>
      <c r="I10219" s="13" t="s">
        <v>20358</v>
      </c>
      <c r="J10219" s="14" t="str">
        <f>HYPERLINK("https://www.boe.es/gazeta/dias/1839/07/27/pdfs/GMD-1839-1716.pdf#page=1","Abrir facsímil")</f>
        <v>Abrir facsímil</v>
      </c>
      <c r="K10219" s="12" t="s">
        <v>65</v>
      </c>
    </row>
    <row r="10220" spans="1:11" ht="40.049999999999997" customHeight="1" x14ac:dyDescent="0.25">
      <c r="A10220" s="11" t="s">
        <v>20359</v>
      </c>
      <c r="B10220" s="11" t="s">
        <v>20360</v>
      </c>
      <c r="C10220" s="11" t="s">
        <v>17</v>
      </c>
      <c r="D10220" s="11" t="s">
        <v>18</v>
      </c>
      <c r="E10220" s="12" t="s">
        <v>76</v>
      </c>
      <c r="F10220" s="12" t="s">
        <v>77</v>
      </c>
      <c r="G10220" s="12" t="s">
        <v>46</v>
      </c>
      <c r="H10220" s="11" t="s">
        <v>63</v>
      </c>
      <c r="I10220" s="13" t="s">
        <v>20361</v>
      </c>
      <c r="J10220" s="14" t="str">
        <f>HYPERLINK("https://www.boe.es/gazeta/dias/1839/03/13/pdfs/GMD-1839-1579.pdf#page=3","Abrir facsímil")</f>
        <v>Abrir facsímil</v>
      </c>
      <c r="K10220" s="12" t="s">
        <v>65</v>
      </c>
    </row>
    <row r="10221" spans="1:11" ht="40.049999999999997" customHeight="1" x14ac:dyDescent="0.25">
      <c r="A10221" s="11" t="s">
        <v>20362</v>
      </c>
      <c r="B10221" s="11" t="s">
        <v>20363</v>
      </c>
      <c r="C10221" s="11" t="s">
        <v>80</v>
      </c>
      <c r="D10221" s="11" t="s">
        <v>18</v>
      </c>
      <c r="E10221" s="12" t="s">
        <v>1310</v>
      </c>
      <c r="F10221" s="12" t="s">
        <v>1311</v>
      </c>
      <c r="G10221" s="12" t="s">
        <v>40</v>
      </c>
      <c r="H10221" s="11" t="s">
        <v>63</v>
      </c>
      <c r="I10221" s="13" t="s">
        <v>20364</v>
      </c>
      <c r="J10221" s="14" t="str">
        <f>HYPERLINK("https://www.boe.es/gazeta/dias/1839/04/23/pdfs/GMD-1839-1620.pdf#page=2","Abrir facsímil")</f>
        <v>Abrir facsímil</v>
      </c>
      <c r="K10221" s="12" t="s">
        <v>65</v>
      </c>
    </row>
    <row r="10222" spans="1:11" ht="40.049999999999997" customHeight="1" x14ac:dyDescent="0.25">
      <c r="A10222" s="11" t="s">
        <v>20365</v>
      </c>
      <c r="B10222" s="11" t="s">
        <v>20366</v>
      </c>
      <c r="C10222" s="11" t="s">
        <v>17</v>
      </c>
      <c r="D10222" s="11" t="s">
        <v>18</v>
      </c>
      <c r="E10222" s="12" t="s">
        <v>3614</v>
      </c>
      <c r="F10222" s="12" t="s">
        <v>3615</v>
      </c>
      <c r="G10222" s="12" t="s">
        <v>29</v>
      </c>
      <c r="H10222" s="11" t="s">
        <v>63</v>
      </c>
      <c r="I10222" s="13" t="s">
        <v>20367</v>
      </c>
      <c r="J10222" s="14" t="str">
        <f>HYPERLINK("https://www.boe.es/gazeta/dias/1839/04/04/pdfs/GMD-1839-1601.pdf#page=1","Abrir facsímil")</f>
        <v>Abrir facsímil</v>
      </c>
      <c r="K10222" s="12" t="s">
        <v>65</v>
      </c>
    </row>
    <row r="10223" spans="1:11" ht="40.049999999999997" customHeight="1" x14ac:dyDescent="0.25">
      <c r="A10223" s="11" t="s">
        <v>20368</v>
      </c>
      <c r="B10223" s="11" t="s">
        <v>20369</v>
      </c>
      <c r="C10223" s="11" t="s">
        <v>17</v>
      </c>
      <c r="D10223" s="11" t="s">
        <v>18</v>
      </c>
      <c r="E10223" s="12" t="s">
        <v>1179</v>
      </c>
      <c r="F10223" s="12" t="s">
        <v>1180</v>
      </c>
      <c r="G10223" s="12" t="s">
        <v>305</v>
      </c>
      <c r="H10223" s="11" t="s">
        <v>63</v>
      </c>
      <c r="I10223" s="13" t="s">
        <v>20370</v>
      </c>
      <c r="J10223" s="14" t="str">
        <f>HYPERLINK("https://www.boe.es/gazeta/dias/1839/10/18/pdfs/GMD-1839-1804.pdf#page=6","Abrir facsímil")</f>
        <v>Abrir facsímil</v>
      </c>
      <c r="K10223" s="12" t="s">
        <v>65</v>
      </c>
    </row>
    <row r="10224" spans="1:11" ht="40.049999999999997" customHeight="1" x14ac:dyDescent="0.25">
      <c r="A10224" s="11" t="s">
        <v>20371</v>
      </c>
      <c r="B10224" s="11" t="s">
        <v>20372</v>
      </c>
      <c r="C10224" s="11" t="s">
        <v>137</v>
      </c>
      <c r="D10224" s="11" t="s">
        <v>18</v>
      </c>
      <c r="E10224" s="12" t="s">
        <v>785</v>
      </c>
      <c r="F10224" s="12" t="s">
        <v>786</v>
      </c>
      <c r="G10224" s="12" t="s">
        <v>40</v>
      </c>
      <c r="H10224" s="11" t="s">
        <v>63</v>
      </c>
      <c r="I10224" s="13" t="s">
        <v>20373</v>
      </c>
      <c r="J10224" s="14" t="str">
        <f>HYPERLINK("https://www.boe.es/gazeta/dias/1839/07/13/pdfs/GMD-1839-1701.pdf#page=2","Abrir facsímil")</f>
        <v>Abrir facsímil</v>
      </c>
      <c r="K10224" s="12" t="s">
        <v>65</v>
      </c>
    </row>
    <row r="10225" spans="1:11" ht="40.049999999999997" customHeight="1" x14ac:dyDescent="0.25">
      <c r="A10225" s="11" t="s">
        <v>20374</v>
      </c>
      <c r="B10225" s="11" t="s">
        <v>20375</v>
      </c>
      <c r="C10225" s="11" t="s">
        <v>80</v>
      </c>
      <c r="D10225" s="11" t="s">
        <v>18</v>
      </c>
      <c r="E10225" s="12" t="s">
        <v>312</v>
      </c>
      <c r="F10225" s="12" t="s">
        <v>313</v>
      </c>
      <c r="G10225" s="12" t="s">
        <v>21</v>
      </c>
      <c r="H10225" s="11" t="s">
        <v>63</v>
      </c>
      <c r="I10225" s="13" t="s">
        <v>20376</v>
      </c>
      <c r="J10225" s="14" t="str">
        <f>HYPERLINK("https://www.boe.es/gazeta/dias/1839/11/30/pdfs/GMD-1839-1847.pdf#page=4","Abrir facsímil")</f>
        <v>Abrir facsímil</v>
      </c>
      <c r="K10225" s="12" t="s">
        <v>65</v>
      </c>
    </row>
    <row r="10226" spans="1:11" ht="40.049999999999997" customHeight="1" x14ac:dyDescent="0.25">
      <c r="A10226" s="11" t="s">
        <v>20377</v>
      </c>
      <c r="B10226" s="11" t="s">
        <v>20378</v>
      </c>
      <c r="C10226" s="11" t="s">
        <v>17</v>
      </c>
      <c r="D10226" s="11" t="s">
        <v>18</v>
      </c>
      <c r="E10226" s="12" t="s">
        <v>1685</v>
      </c>
      <c r="F10226" s="12" t="s">
        <v>1686</v>
      </c>
      <c r="G10226" s="12" t="s">
        <v>40</v>
      </c>
      <c r="H10226" s="11" t="s">
        <v>63</v>
      </c>
      <c r="I10226" s="13" t="s">
        <v>20379</v>
      </c>
      <c r="J10226" s="14" t="str">
        <f>HYPERLINK("https://www.boe.es/gazeta/dias/1839/04/27/pdfs/GMD-1839-1624.pdf#page=2","Abrir facsímil")</f>
        <v>Abrir facsímil</v>
      </c>
      <c r="K10226" s="12" t="s">
        <v>65</v>
      </c>
    </row>
    <row r="10227" spans="1:11" ht="40.049999999999997" customHeight="1" x14ac:dyDescent="0.25">
      <c r="A10227" s="11" t="s">
        <v>20380</v>
      </c>
      <c r="B10227" s="11" t="s">
        <v>20381</v>
      </c>
      <c r="C10227" s="11" t="s">
        <v>17</v>
      </c>
      <c r="D10227" s="11" t="s">
        <v>18</v>
      </c>
      <c r="E10227" s="12" t="s">
        <v>507</v>
      </c>
      <c r="F10227" s="12" t="s">
        <v>508</v>
      </c>
      <c r="G10227" s="12" t="s">
        <v>40</v>
      </c>
      <c r="H10227" s="11" t="s">
        <v>63</v>
      </c>
      <c r="I10227" s="13" t="s">
        <v>20382</v>
      </c>
      <c r="J10227" s="14" t="str">
        <f>HYPERLINK("https://www.boe.es/gazeta/dias/1839/08/12/pdfs/GMD-1839-1732.pdf#page=2","Abrir facsímil")</f>
        <v>Abrir facsímil</v>
      </c>
      <c r="K10227" s="12" t="s">
        <v>65</v>
      </c>
    </row>
    <row r="10228" spans="1:11" ht="40.049999999999997" customHeight="1" x14ac:dyDescent="0.25">
      <c r="A10228" s="11" t="s">
        <v>20383</v>
      </c>
      <c r="B10228" s="11" t="s">
        <v>20384</v>
      </c>
      <c r="C10228" s="11" t="s">
        <v>59</v>
      </c>
      <c r="D10228" s="11" t="s">
        <v>60</v>
      </c>
      <c r="E10228" s="12" t="s">
        <v>650</v>
      </c>
      <c r="F10228" s="12" t="s">
        <v>651</v>
      </c>
      <c r="G10228" s="12" t="s">
        <v>21</v>
      </c>
      <c r="H10228" s="11" t="s">
        <v>63</v>
      </c>
      <c r="I10228" s="13" t="s">
        <v>20385</v>
      </c>
      <c r="J10228" s="14" t="str">
        <f>HYPERLINK("https://www.boe.es/gazeta/dias/1839/10/25/pdfs/GMD-1839-1811.pdf#page=4","Abrir facsímil")</f>
        <v>Abrir facsímil</v>
      </c>
      <c r="K10228" s="12" t="s">
        <v>65</v>
      </c>
    </row>
    <row r="10229" spans="1:11" ht="40.049999999999997" customHeight="1" x14ac:dyDescent="0.25">
      <c r="A10229" s="11" t="s">
        <v>20386</v>
      </c>
      <c r="B10229" s="11" t="s">
        <v>20387</v>
      </c>
      <c r="C10229" s="11" t="s">
        <v>80</v>
      </c>
      <c r="D10229" s="11" t="s">
        <v>18</v>
      </c>
      <c r="E10229" s="12" t="s">
        <v>409</v>
      </c>
      <c r="F10229" s="12" t="s">
        <v>410</v>
      </c>
      <c r="G10229" s="12" t="s">
        <v>29</v>
      </c>
      <c r="H10229" s="11" t="s">
        <v>63</v>
      </c>
      <c r="I10229" s="13" t="s">
        <v>20388</v>
      </c>
      <c r="J10229" s="14" t="str">
        <f>HYPERLINK("https://www.boe.es/gazeta/dias/1839/07/05/pdfs/GMD-1839-1693.pdf#page=1","Abrir facsímil")</f>
        <v>Abrir facsímil</v>
      </c>
      <c r="K10229" s="12" t="s">
        <v>65</v>
      </c>
    </row>
    <row r="10230" spans="1:11" ht="40.049999999999997" customHeight="1" x14ac:dyDescent="0.25">
      <c r="A10230" s="11" t="s">
        <v>20389</v>
      </c>
      <c r="B10230" s="11" t="s">
        <v>20390</v>
      </c>
      <c r="C10230" s="11" t="s">
        <v>80</v>
      </c>
      <c r="D10230" s="11" t="s">
        <v>18</v>
      </c>
      <c r="E10230" s="12" t="s">
        <v>1144</v>
      </c>
      <c r="F10230" s="12" t="s">
        <v>1145</v>
      </c>
      <c r="G10230" s="12" t="s">
        <v>40</v>
      </c>
      <c r="H10230" s="11" t="s">
        <v>63</v>
      </c>
      <c r="I10230" s="13" t="s">
        <v>20391</v>
      </c>
      <c r="J10230" s="14" t="str">
        <f>HYPERLINK("https://www.boe.es/gazeta/dias/1839/08/13/pdfs/GMD-1839-1733.pdf#page=2","Abrir facsímil")</f>
        <v>Abrir facsímil</v>
      </c>
      <c r="K10230" s="12" t="s">
        <v>65</v>
      </c>
    </row>
    <row r="10231" spans="1:11" ht="40.049999999999997" customHeight="1" x14ac:dyDescent="0.25">
      <c r="A10231" s="11" t="s">
        <v>20392</v>
      </c>
      <c r="B10231" s="11" t="s">
        <v>20393</v>
      </c>
      <c r="C10231" s="11" t="s">
        <v>59</v>
      </c>
      <c r="D10231" s="11" t="s">
        <v>60</v>
      </c>
      <c r="E10231" s="12" t="s">
        <v>1301</v>
      </c>
      <c r="F10231" s="12" t="s">
        <v>1302</v>
      </c>
      <c r="G10231" s="12" t="s">
        <v>46</v>
      </c>
      <c r="H10231" s="11" t="s">
        <v>63</v>
      </c>
      <c r="I10231" s="13" t="s">
        <v>20394</v>
      </c>
      <c r="J10231" s="14" t="str">
        <f>HYPERLINK("https://www.boe.es/gazeta/dias/1839/11/16/pdfs/GMD-1839-1833.pdf#page=3","Abrir facsímil")</f>
        <v>Abrir facsímil</v>
      </c>
      <c r="K10231" s="12" t="s">
        <v>65</v>
      </c>
    </row>
    <row r="10232" spans="1:11" ht="40.049999999999997" customHeight="1" x14ac:dyDescent="0.25">
      <c r="A10232" s="11" t="s">
        <v>20395</v>
      </c>
      <c r="B10232" s="11" t="s">
        <v>20396</v>
      </c>
      <c r="C10232" s="11" t="s">
        <v>80</v>
      </c>
      <c r="D10232" s="11" t="s">
        <v>18</v>
      </c>
      <c r="E10232" s="12" t="s">
        <v>668</v>
      </c>
      <c r="F10232" s="12" t="s">
        <v>669</v>
      </c>
      <c r="G10232" s="12" t="s">
        <v>40</v>
      </c>
      <c r="H10232" s="11" t="s">
        <v>63</v>
      </c>
      <c r="I10232" s="13" t="s">
        <v>20397</v>
      </c>
      <c r="J10232" s="14" t="str">
        <f>HYPERLINK("https://www.boe.es/gazeta/dias/1839/03/28/pdfs/GMD-1839-1594.pdf#page=2","Abrir facsímil")</f>
        <v>Abrir facsímil</v>
      </c>
      <c r="K10232" s="12" t="s">
        <v>65</v>
      </c>
    </row>
    <row r="10233" spans="1:11" ht="40.049999999999997" customHeight="1" x14ac:dyDescent="0.25">
      <c r="A10233" s="11" t="s">
        <v>20398</v>
      </c>
      <c r="B10233" s="11" t="s">
        <v>20399</v>
      </c>
      <c r="C10233" s="11" t="s">
        <v>101</v>
      </c>
      <c r="D10233" s="11" t="s">
        <v>43</v>
      </c>
      <c r="E10233" s="12" t="s">
        <v>2349</v>
      </c>
      <c r="F10233" s="12" t="s">
        <v>2350</v>
      </c>
      <c r="G10233" s="12" t="s">
        <v>40</v>
      </c>
      <c r="H10233" s="11" t="s">
        <v>63</v>
      </c>
      <c r="I10233" s="13" t="s">
        <v>20400</v>
      </c>
      <c r="J10233" s="14" t="str">
        <f>HYPERLINK("https://www.boe.es/gazeta/dias/1839/09/29/pdfs/GMD-1839-1785.pdf#page=2","Abrir facsímil")</f>
        <v>Abrir facsímil</v>
      </c>
      <c r="K10233" s="12" t="s">
        <v>65</v>
      </c>
    </row>
    <row r="10234" spans="1:11" ht="40.049999999999997" customHeight="1" x14ac:dyDescent="0.25">
      <c r="A10234" s="11" t="s">
        <v>20401</v>
      </c>
      <c r="B10234" s="11" t="s">
        <v>20402</v>
      </c>
      <c r="C10234" s="11" t="s">
        <v>59</v>
      </c>
      <c r="D10234" s="11" t="s">
        <v>60</v>
      </c>
      <c r="E10234" s="12" t="s">
        <v>1332</v>
      </c>
      <c r="F10234" s="12" t="s">
        <v>1333</v>
      </c>
      <c r="G10234" s="12" t="s">
        <v>40</v>
      </c>
      <c r="H10234" s="11" t="s">
        <v>63</v>
      </c>
      <c r="I10234" s="13" t="s">
        <v>20403</v>
      </c>
      <c r="J10234" s="14" t="str">
        <f>HYPERLINK("https://www.boe.es/gazeta/dias/1839/05/04/pdfs/GMD-1839-1631.pdf#page=2","Abrir facsímil")</f>
        <v>Abrir facsímil</v>
      </c>
      <c r="K10234" s="12" t="s">
        <v>65</v>
      </c>
    </row>
    <row r="10235" spans="1:11" ht="40.049999999999997" customHeight="1" x14ac:dyDescent="0.25">
      <c r="A10235" s="11" t="s">
        <v>20404</v>
      </c>
      <c r="B10235" s="11" t="s">
        <v>20405</v>
      </c>
      <c r="C10235" s="11" t="s">
        <v>101</v>
      </c>
      <c r="D10235" s="11" t="s">
        <v>43</v>
      </c>
      <c r="E10235" s="12" t="s">
        <v>1895</v>
      </c>
      <c r="F10235" s="12" t="s">
        <v>1896</v>
      </c>
      <c r="G10235" s="12" t="s">
        <v>40</v>
      </c>
      <c r="H10235" s="11" t="s">
        <v>63</v>
      </c>
      <c r="I10235" s="13" t="s">
        <v>20406</v>
      </c>
      <c r="J10235" s="14" t="str">
        <f>HYPERLINK("https://www.boe.es/gazeta/dias/1839/12/23/pdfs/GMD-1839-1870.pdf#page=2","Abrir facsímil")</f>
        <v>Abrir facsímil</v>
      </c>
      <c r="K10235" s="12" t="s">
        <v>65</v>
      </c>
    </row>
    <row r="10236" spans="1:11" ht="40.049999999999997" customHeight="1" x14ac:dyDescent="0.25">
      <c r="A10236" s="11" t="s">
        <v>20407</v>
      </c>
      <c r="B10236" s="11" t="s">
        <v>20408</v>
      </c>
      <c r="C10236" s="11" t="s">
        <v>17</v>
      </c>
      <c r="D10236" s="11" t="s">
        <v>18</v>
      </c>
      <c r="E10236" s="12" t="s">
        <v>222</v>
      </c>
      <c r="F10236" s="12" t="s">
        <v>223</v>
      </c>
      <c r="G10236" s="12" t="s">
        <v>21</v>
      </c>
      <c r="H10236" s="11" t="s">
        <v>63</v>
      </c>
      <c r="I10236" s="13" t="s">
        <v>20409</v>
      </c>
      <c r="J10236" s="14" t="str">
        <f>HYPERLINK("https://www.boe.es/gazeta/dias/1839/06/22/pdfs/GMD-1839-1680.pdf#page=4","Abrir facsímil")</f>
        <v>Abrir facsímil</v>
      </c>
      <c r="K10236" s="12" t="s">
        <v>65</v>
      </c>
    </row>
    <row r="10237" spans="1:11" ht="40.049999999999997" customHeight="1" x14ac:dyDescent="0.25">
      <c r="A10237" s="11" t="s">
        <v>20410</v>
      </c>
      <c r="B10237" s="11" t="s">
        <v>20411</v>
      </c>
      <c r="C10237" s="11" t="s">
        <v>80</v>
      </c>
      <c r="D10237" s="11" t="s">
        <v>18</v>
      </c>
      <c r="E10237" s="12" t="s">
        <v>280</v>
      </c>
      <c r="F10237" s="12" t="s">
        <v>281</v>
      </c>
      <c r="G10237" s="12" t="s">
        <v>21</v>
      </c>
      <c r="H10237" s="11" t="s">
        <v>63</v>
      </c>
      <c r="I10237" s="13" t="s">
        <v>20412</v>
      </c>
      <c r="J10237" s="14" t="str">
        <f>HYPERLINK("https://www.boe.es/gazeta/dias/1839/08/21/pdfs/GMD-1839-1742.pdf#page=4","Abrir facsímil")</f>
        <v>Abrir facsímil</v>
      </c>
      <c r="K10237" s="12" t="s">
        <v>65</v>
      </c>
    </row>
    <row r="10238" spans="1:11" ht="40.049999999999997" customHeight="1" x14ac:dyDescent="0.25">
      <c r="A10238" s="11" t="s">
        <v>20413</v>
      </c>
      <c r="B10238" s="11" t="s">
        <v>20414</v>
      </c>
      <c r="C10238" s="11" t="s">
        <v>59</v>
      </c>
      <c r="D10238" s="11" t="s">
        <v>60</v>
      </c>
      <c r="E10238" s="12" t="s">
        <v>2881</v>
      </c>
      <c r="F10238" s="12" t="s">
        <v>2882</v>
      </c>
      <c r="G10238" s="12" t="s">
        <v>46</v>
      </c>
      <c r="H10238" s="11" t="s">
        <v>63</v>
      </c>
      <c r="I10238" s="13" t="s">
        <v>20415</v>
      </c>
      <c r="J10238" s="14" t="str">
        <f>HYPERLINK("https://www.boe.es/gazeta/dias/1839/05/08/pdfs/GMD-1839-1635.pdf#page=3","Abrir facsímil")</f>
        <v>Abrir facsímil</v>
      </c>
      <c r="K10238" s="12" t="s">
        <v>65</v>
      </c>
    </row>
    <row r="10239" spans="1:11" ht="40.049999999999997" customHeight="1" x14ac:dyDescent="0.25">
      <c r="A10239" s="11" t="s">
        <v>20416</v>
      </c>
      <c r="B10239" s="11" t="s">
        <v>20417</v>
      </c>
      <c r="C10239" s="11" t="s">
        <v>59</v>
      </c>
      <c r="D10239" s="11" t="s">
        <v>60</v>
      </c>
      <c r="E10239" s="12" t="s">
        <v>33</v>
      </c>
      <c r="F10239" s="12" t="s">
        <v>34</v>
      </c>
      <c r="G10239" s="12" t="s">
        <v>40</v>
      </c>
      <c r="H10239" s="11" t="s">
        <v>63</v>
      </c>
      <c r="I10239" s="13" t="s">
        <v>20418</v>
      </c>
      <c r="J10239" s="14" t="str">
        <f>HYPERLINK("https://www.boe.es/gazeta/dias/1839/12/13/pdfs/GMD-1839-1860.pdf#page=2","Abrir facsímil")</f>
        <v>Abrir facsímil</v>
      </c>
      <c r="K10239" s="12" t="s">
        <v>65</v>
      </c>
    </row>
    <row r="10240" spans="1:11" ht="40.049999999999997" customHeight="1" x14ac:dyDescent="0.25">
      <c r="A10240" s="11" t="s">
        <v>20419</v>
      </c>
      <c r="B10240" s="11" t="s">
        <v>20420</v>
      </c>
      <c r="C10240" s="11" t="s">
        <v>59</v>
      </c>
      <c r="D10240" s="11" t="s">
        <v>60</v>
      </c>
      <c r="E10240" s="12" t="s">
        <v>564</v>
      </c>
      <c r="F10240" s="12" t="s">
        <v>565</v>
      </c>
      <c r="G10240" s="12" t="s">
        <v>29</v>
      </c>
      <c r="H10240" s="11" t="s">
        <v>63</v>
      </c>
      <c r="I10240" s="13" t="s">
        <v>20421</v>
      </c>
      <c r="J10240" s="14" t="str">
        <f>HYPERLINK("https://www.boe.es/gazeta/dias/1839/10/17/pdfs/GMD-1839-1803.pdf#page=1","Abrir facsímil")</f>
        <v>Abrir facsímil</v>
      </c>
      <c r="K10240" s="12" t="s">
        <v>65</v>
      </c>
    </row>
    <row r="10241" spans="1:11" ht="40.049999999999997" customHeight="1" x14ac:dyDescent="0.25">
      <c r="A10241" s="11" t="s">
        <v>20422</v>
      </c>
      <c r="B10241" s="11" t="s">
        <v>20423</v>
      </c>
      <c r="C10241" s="11" t="s">
        <v>17</v>
      </c>
      <c r="D10241" s="11" t="s">
        <v>18</v>
      </c>
      <c r="E10241" s="12" t="s">
        <v>27</v>
      </c>
      <c r="F10241" s="12" t="s">
        <v>28</v>
      </c>
      <c r="G10241" s="12" t="s">
        <v>29</v>
      </c>
      <c r="H10241" s="11" t="s">
        <v>63</v>
      </c>
      <c r="I10241" s="13" t="s">
        <v>20424</v>
      </c>
      <c r="J10241" s="14" t="str">
        <f>HYPERLINK("https://www.boe.es/gazeta/dias/1839/07/28/pdfs/GMD-1839-1717.pdf#page=1","Abrir facsímil")</f>
        <v>Abrir facsímil</v>
      </c>
      <c r="K10241" s="12" t="s">
        <v>65</v>
      </c>
    </row>
    <row r="10242" spans="1:11" ht="40.049999999999997" customHeight="1" x14ac:dyDescent="0.25">
      <c r="A10242" s="11" t="s">
        <v>20425</v>
      </c>
      <c r="B10242" s="11" t="s">
        <v>20426</v>
      </c>
      <c r="C10242" s="11" t="s">
        <v>17</v>
      </c>
      <c r="D10242" s="11" t="s">
        <v>18</v>
      </c>
      <c r="E10242" s="12" t="s">
        <v>168</v>
      </c>
      <c r="F10242" s="12" t="s">
        <v>169</v>
      </c>
      <c r="G10242" s="12" t="s">
        <v>46</v>
      </c>
      <c r="H10242" s="11" t="s">
        <v>63</v>
      </c>
      <c r="I10242" s="13" t="s">
        <v>20427</v>
      </c>
      <c r="J10242" s="14" t="str">
        <f>HYPERLINK("https://www.boe.es/gazeta/dias/1839/07/12/pdfs/GMD-1839-1700.pdf#page=3","Abrir facsímil")</f>
        <v>Abrir facsímil</v>
      </c>
      <c r="K10242" s="12" t="s">
        <v>65</v>
      </c>
    </row>
    <row r="10243" spans="1:11" ht="40.049999999999997" customHeight="1" x14ac:dyDescent="0.25">
      <c r="A10243" s="11" t="s">
        <v>20428</v>
      </c>
      <c r="B10243" s="11" t="s">
        <v>20428</v>
      </c>
      <c r="C10243" s="11" t="s">
        <v>101</v>
      </c>
      <c r="D10243" s="11" t="s">
        <v>102</v>
      </c>
      <c r="E10243" s="12" t="s">
        <v>1520</v>
      </c>
      <c r="F10243" s="12" t="s">
        <v>1521</v>
      </c>
      <c r="G10243" s="12" t="s">
        <v>29</v>
      </c>
      <c r="H10243" s="11" t="s">
        <v>63</v>
      </c>
      <c r="I10243" s="13" t="s">
        <v>20429</v>
      </c>
      <c r="J10243" s="14" t="str">
        <f>HYPERLINK("https://www.boe.es/gazeta/dias/1839/12/27/pdfs/GMD-1839-1874.pdf#page=1","Abrir facsímil")</f>
        <v>Abrir facsímil</v>
      </c>
      <c r="K10243" s="12" t="s">
        <v>65</v>
      </c>
    </row>
    <row r="10244" spans="1:11" ht="40.049999999999997" customHeight="1" x14ac:dyDescent="0.25">
      <c r="A10244" s="11" t="s">
        <v>20430</v>
      </c>
      <c r="B10244" s="11" t="s">
        <v>20431</v>
      </c>
      <c r="C10244" s="11" t="s">
        <v>17</v>
      </c>
      <c r="D10244" s="11" t="s">
        <v>18</v>
      </c>
      <c r="E10244" s="12" t="s">
        <v>3633</v>
      </c>
      <c r="F10244" s="12" t="s">
        <v>3634</v>
      </c>
      <c r="G10244" s="12" t="s">
        <v>21</v>
      </c>
      <c r="H10244" s="11" t="s">
        <v>63</v>
      </c>
      <c r="I10244" s="13" t="s">
        <v>20432</v>
      </c>
      <c r="J10244" s="14" t="str">
        <f>HYPERLINK("https://www.boe.es/gazeta/dias/1839/04/12/pdfs/GMD-1839-1609.pdf#page=4","Abrir facsímil")</f>
        <v>Abrir facsímil</v>
      </c>
      <c r="K10244" s="12" t="s">
        <v>65</v>
      </c>
    </row>
    <row r="10245" spans="1:11" ht="40.049999999999997" customHeight="1" x14ac:dyDescent="0.25">
      <c r="A10245" s="11" t="s">
        <v>20433</v>
      </c>
      <c r="B10245" s="11" t="s">
        <v>20434</v>
      </c>
      <c r="C10245" s="11" t="s">
        <v>17</v>
      </c>
      <c r="D10245" s="11" t="s">
        <v>18</v>
      </c>
      <c r="E10245" s="12" t="s">
        <v>1057</v>
      </c>
      <c r="F10245" s="12" t="s">
        <v>1058</v>
      </c>
      <c r="G10245" s="12" t="s">
        <v>305</v>
      </c>
      <c r="H10245" s="11" t="s">
        <v>63</v>
      </c>
      <c r="I10245" s="13" t="s">
        <v>20435</v>
      </c>
      <c r="J10245" s="14" t="str">
        <f>HYPERLINK("https://www.boe.es/gazeta/dias/1839/10/01/pdfs/GMD-1839-1787.pdf#page=6","Abrir facsímil")</f>
        <v>Abrir facsímil</v>
      </c>
      <c r="K10245" s="12" t="s">
        <v>65</v>
      </c>
    </row>
    <row r="10246" spans="1:11" ht="40.049999999999997" customHeight="1" x14ac:dyDescent="0.25">
      <c r="A10246" s="11" t="s">
        <v>20436</v>
      </c>
      <c r="B10246" s="11" t="s">
        <v>20436</v>
      </c>
      <c r="C10246" s="11" t="s">
        <v>137</v>
      </c>
      <c r="D10246" s="11" t="s">
        <v>18</v>
      </c>
      <c r="E10246" s="12" t="s">
        <v>779</v>
      </c>
      <c r="F10246" s="12" t="s">
        <v>780</v>
      </c>
      <c r="G10246" s="12" t="s">
        <v>29</v>
      </c>
      <c r="H10246" s="11" t="s">
        <v>63</v>
      </c>
      <c r="I10246" s="13" t="s">
        <v>20437</v>
      </c>
      <c r="J10246" s="14" t="str">
        <f>HYPERLINK("https://www.boe.es/gazeta/dias/1839/02/03/pdfs/GMD-1839-1541.pdf#page=1","Abrir facsímil")</f>
        <v>Abrir facsímil</v>
      </c>
      <c r="K10246" s="12" t="s">
        <v>65</v>
      </c>
    </row>
    <row r="10247" spans="1:11" ht="40.049999999999997" customHeight="1" x14ac:dyDescent="0.25">
      <c r="A10247" s="11" t="s">
        <v>20436</v>
      </c>
      <c r="B10247" s="11" t="s">
        <v>20436</v>
      </c>
      <c r="C10247" s="11" t="s">
        <v>17</v>
      </c>
      <c r="D10247" s="11" t="s">
        <v>18</v>
      </c>
      <c r="E10247" s="12" t="s">
        <v>1512</v>
      </c>
      <c r="F10247" s="12" t="s">
        <v>1513</v>
      </c>
      <c r="G10247" s="12" t="s">
        <v>40</v>
      </c>
      <c r="H10247" s="11" t="s">
        <v>63</v>
      </c>
      <c r="I10247" s="13" t="s">
        <v>20438</v>
      </c>
      <c r="J10247" s="14" t="str">
        <f>HYPERLINK("https://www.boe.es/gazeta/dias/1839/04/13/pdfs/GMD-1839-1610.pdf#page=2","Abrir facsímil")</f>
        <v>Abrir facsímil</v>
      </c>
      <c r="K10247" s="12" t="s">
        <v>65</v>
      </c>
    </row>
    <row r="10248" spans="1:11" ht="40.049999999999997" customHeight="1" x14ac:dyDescent="0.25">
      <c r="A10248" s="11" t="s">
        <v>20436</v>
      </c>
      <c r="B10248" s="11" t="s">
        <v>20436</v>
      </c>
      <c r="C10248" s="11" t="s">
        <v>17</v>
      </c>
      <c r="D10248" s="11" t="s">
        <v>18</v>
      </c>
      <c r="E10248" s="12" t="s">
        <v>2262</v>
      </c>
      <c r="F10248" s="12" t="s">
        <v>2263</v>
      </c>
      <c r="G10248" s="12" t="s">
        <v>29</v>
      </c>
      <c r="H10248" s="11" t="s">
        <v>63</v>
      </c>
      <c r="I10248" s="13" t="s">
        <v>20439</v>
      </c>
      <c r="J10248" s="14" t="str">
        <f>HYPERLINK("https://www.boe.es/gazeta/dias/1839/03/16/pdfs/GMD-1839-1582.pdf#page=1","Abrir facsímil")</f>
        <v>Abrir facsímil</v>
      </c>
      <c r="K10248" s="12" t="s">
        <v>65</v>
      </c>
    </row>
    <row r="10249" spans="1:11" ht="40.049999999999997" customHeight="1" x14ac:dyDescent="0.25">
      <c r="A10249" s="11" t="s">
        <v>20436</v>
      </c>
      <c r="B10249" s="11" t="s">
        <v>20436</v>
      </c>
      <c r="C10249" s="11" t="s">
        <v>17</v>
      </c>
      <c r="D10249" s="11" t="s">
        <v>18</v>
      </c>
      <c r="E10249" s="12" t="s">
        <v>912</v>
      </c>
      <c r="F10249" s="12" t="s">
        <v>913</v>
      </c>
      <c r="G10249" s="12" t="s">
        <v>40</v>
      </c>
      <c r="H10249" s="11" t="s">
        <v>63</v>
      </c>
      <c r="I10249" s="13" t="s">
        <v>20440</v>
      </c>
      <c r="J10249" s="14" t="str">
        <f>HYPERLINK("https://www.boe.es/gazeta/dias/1839/04/30/pdfs/GMD-1839-1627.pdf#page=2","Abrir facsímil")</f>
        <v>Abrir facsímil</v>
      </c>
      <c r="K10249" s="12" t="s">
        <v>65</v>
      </c>
    </row>
    <row r="10250" spans="1:11" ht="40.049999999999997" customHeight="1" x14ac:dyDescent="0.25">
      <c r="A10250" s="11" t="s">
        <v>20441</v>
      </c>
      <c r="B10250" s="11" t="s">
        <v>20441</v>
      </c>
      <c r="C10250" s="11" t="s">
        <v>17</v>
      </c>
      <c r="D10250" s="11" t="s">
        <v>18</v>
      </c>
      <c r="E10250" s="12" t="s">
        <v>992</v>
      </c>
      <c r="F10250" s="12" t="s">
        <v>993</v>
      </c>
      <c r="G10250" s="12" t="s">
        <v>40</v>
      </c>
      <c r="H10250" s="11" t="s">
        <v>63</v>
      </c>
      <c r="I10250" s="13" t="s">
        <v>20442</v>
      </c>
      <c r="J10250" s="14" t="str">
        <f>HYPERLINK("https://www.boe.es/gazeta/dias/1839/02/18/pdfs/GMD-1839-1556.pdf#page=2","Abrir facsímil")</f>
        <v>Abrir facsímil</v>
      </c>
      <c r="K10250" s="12" t="s">
        <v>65</v>
      </c>
    </row>
    <row r="10251" spans="1:11" ht="40.049999999999997" customHeight="1" x14ac:dyDescent="0.25">
      <c r="A10251" s="11" t="s">
        <v>20443</v>
      </c>
      <c r="B10251" s="11" t="s">
        <v>20444</v>
      </c>
      <c r="C10251" s="11" t="s">
        <v>17</v>
      </c>
      <c r="D10251" s="11" t="s">
        <v>18</v>
      </c>
      <c r="E10251" s="12" t="s">
        <v>1703</v>
      </c>
      <c r="F10251" s="12" t="s">
        <v>1704</v>
      </c>
      <c r="G10251" s="12" t="s">
        <v>21</v>
      </c>
      <c r="H10251" s="11" t="s">
        <v>63</v>
      </c>
      <c r="I10251" s="13" t="s">
        <v>20445</v>
      </c>
      <c r="J10251" s="14" t="str">
        <f>HYPERLINK("https://www.boe.es/gazeta/dias/1839/01/21/pdfs/GMD-1839-1528.pdf#page=4","Abrir facsímil")</f>
        <v>Abrir facsímil</v>
      </c>
      <c r="K10251" s="12" t="s">
        <v>65</v>
      </c>
    </row>
    <row r="10252" spans="1:11" ht="40.049999999999997" customHeight="1" x14ac:dyDescent="0.25">
      <c r="A10252" s="11" t="s">
        <v>20446</v>
      </c>
      <c r="B10252" s="11" t="s">
        <v>20446</v>
      </c>
      <c r="C10252" s="11" t="s">
        <v>17</v>
      </c>
      <c r="D10252" s="11" t="s">
        <v>18</v>
      </c>
      <c r="E10252" s="12" t="s">
        <v>258</v>
      </c>
      <c r="F10252" s="12" t="s">
        <v>259</v>
      </c>
      <c r="G10252" s="12" t="s">
        <v>21</v>
      </c>
      <c r="H10252" s="11" t="s">
        <v>63</v>
      </c>
      <c r="I10252" s="13" t="s">
        <v>20447</v>
      </c>
      <c r="J10252" s="14" t="str">
        <f>HYPERLINK("https://www.boe.es/gazeta/dias/1839/01/02/pdfs/GMD-1839-1509.pdf#page=4","Abrir facsímil")</f>
        <v>Abrir facsímil</v>
      </c>
      <c r="K10252" s="12" t="s">
        <v>65</v>
      </c>
    </row>
    <row r="10253" spans="1:11" ht="40.049999999999997" customHeight="1" x14ac:dyDescent="0.25">
      <c r="A10253" s="11" t="s">
        <v>20448</v>
      </c>
      <c r="B10253" s="11" t="s">
        <v>20449</v>
      </c>
      <c r="C10253" s="11" t="s">
        <v>80</v>
      </c>
      <c r="D10253" s="11" t="s">
        <v>18</v>
      </c>
      <c r="E10253" s="12" t="s">
        <v>1666</v>
      </c>
      <c r="F10253" s="12" t="s">
        <v>1667</v>
      </c>
      <c r="G10253" s="12" t="s">
        <v>21</v>
      </c>
      <c r="H10253" s="11" t="s">
        <v>63</v>
      </c>
      <c r="I10253" s="13" t="s">
        <v>20450</v>
      </c>
      <c r="J10253" s="14" t="str">
        <f>HYPERLINK("https://www.boe.es/gazeta/dias/1839/04/22/pdfs/GMD-1839-1619.pdf#page=4","Abrir facsímil")</f>
        <v>Abrir facsímil</v>
      </c>
      <c r="K10253" s="12" t="s">
        <v>65</v>
      </c>
    </row>
    <row r="10254" spans="1:11" ht="40.049999999999997" customHeight="1" x14ac:dyDescent="0.25">
      <c r="A10254" s="11" t="s">
        <v>20451</v>
      </c>
      <c r="B10254" s="11" t="s">
        <v>20452</v>
      </c>
      <c r="C10254" s="11" t="s">
        <v>17</v>
      </c>
      <c r="D10254" s="11" t="s">
        <v>18</v>
      </c>
      <c r="E10254" s="12" t="s">
        <v>303</v>
      </c>
      <c r="F10254" s="12" t="s">
        <v>304</v>
      </c>
      <c r="G10254" s="12" t="s">
        <v>305</v>
      </c>
      <c r="H10254" s="11" t="s">
        <v>63</v>
      </c>
      <c r="I10254" s="13" t="s">
        <v>20453</v>
      </c>
      <c r="J10254" s="14" t="str">
        <f>HYPERLINK("https://www.boe.es/gazeta/dias/1839/10/06/pdfs/GMD-1839-1792.pdf#page=6","Abrir facsímil")</f>
        <v>Abrir facsímil</v>
      </c>
      <c r="K10254" s="12" t="s">
        <v>65</v>
      </c>
    </row>
    <row r="10255" spans="1:11" ht="40.049999999999997" customHeight="1" x14ac:dyDescent="0.25">
      <c r="A10255" s="11" t="s">
        <v>20454</v>
      </c>
      <c r="B10255" s="11" t="s">
        <v>20455</v>
      </c>
      <c r="C10255" s="11" t="s">
        <v>59</v>
      </c>
      <c r="D10255" s="11" t="s">
        <v>60</v>
      </c>
      <c r="E10255" s="12" t="s">
        <v>148</v>
      </c>
      <c r="F10255" s="12" t="s">
        <v>149</v>
      </c>
      <c r="G10255" s="12" t="s">
        <v>40</v>
      </c>
      <c r="H10255" s="11" t="s">
        <v>63</v>
      </c>
      <c r="I10255" s="13" t="s">
        <v>20456</v>
      </c>
      <c r="J10255" s="14" t="str">
        <f>HYPERLINK("https://www.boe.es/gazeta/dias/1839/07/16/pdfs/GMD-1839-1704.pdf#page=2","Abrir facsímil")</f>
        <v>Abrir facsímil</v>
      </c>
      <c r="K10255" s="12" t="s">
        <v>65</v>
      </c>
    </row>
    <row r="10256" spans="1:11" ht="40.049999999999997" customHeight="1" x14ac:dyDescent="0.25">
      <c r="A10256" s="11" t="s">
        <v>20457</v>
      </c>
      <c r="B10256" s="11" t="s">
        <v>20458</v>
      </c>
      <c r="C10256" s="11" t="s">
        <v>17</v>
      </c>
      <c r="D10256" s="11" t="s">
        <v>18</v>
      </c>
      <c r="E10256" s="12" t="s">
        <v>4463</v>
      </c>
      <c r="F10256" s="12" t="s">
        <v>4464</v>
      </c>
      <c r="G10256" s="12" t="s">
        <v>21</v>
      </c>
      <c r="H10256" s="11" t="s">
        <v>63</v>
      </c>
      <c r="I10256" s="13" t="s">
        <v>20459</v>
      </c>
      <c r="J10256" s="14" t="str">
        <f>HYPERLINK("https://www.boe.es/gazeta/dias/1839/08/28/pdfs/GMD-1839-1749.pdf#page=4","Abrir facsímil")</f>
        <v>Abrir facsímil</v>
      </c>
      <c r="K10256" s="12" t="s">
        <v>65</v>
      </c>
    </row>
    <row r="10257" spans="1:11" ht="40.049999999999997" customHeight="1" x14ac:dyDescent="0.25">
      <c r="A10257" s="11" t="s">
        <v>20460</v>
      </c>
      <c r="B10257" s="11" t="s">
        <v>20461</v>
      </c>
      <c r="C10257" s="11" t="s">
        <v>17</v>
      </c>
      <c r="D10257" s="11" t="s">
        <v>18</v>
      </c>
      <c r="E10257" s="12" t="s">
        <v>19</v>
      </c>
      <c r="F10257" s="12" t="s">
        <v>20</v>
      </c>
      <c r="G10257" s="12" t="s">
        <v>21</v>
      </c>
      <c r="H10257" s="11" t="s">
        <v>63</v>
      </c>
      <c r="I10257" s="13" t="s">
        <v>20462</v>
      </c>
      <c r="J10257" s="14" t="str">
        <f>HYPERLINK("https://www.boe.es/gazeta/dias/1839/01/19/pdfs/GMD-1839-1526.pdf#page=4","Abrir facsímil")</f>
        <v>Abrir facsímil</v>
      </c>
      <c r="K10257" s="12" t="s">
        <v>65</v>
      </c>
    </row>
    <row r="10258" spans="1:11" ht="40.049999999999997" customHeight="1" x14ac:dyDescent="0.25">
      <c r="A10258" s="11" t="s">
        <v>20463</v>
      </c>
      <c r="B10258" s="11" t="s">
        <v>20464</v>
      </c>
      <c r="C10258" s="11" t="s">
        <v>17</v>
      </c>
      <c r="D10258" s="11" t="s">
        <v>18</v>
      </c>
      <c r="E10258" s="12" t="s">
        <v>84</v>
      </c>
      <c r="F10258" s="12" t="s">
        <v>85</v>
      </c>
      <c r="G10258" s="12" t="s">
        <v>29</v>
      </c>
      <c r="H10258" s="11" t="s">
        <v>22</v>
      </c>
      <c r="I10258" s="13" t="s">
        <v>20465</v>
      </c>
      <c r="J10258" s="14" t="str">
        <f>HYPERLINK("https://www.boe.es/gazeta/dias/1839/03/11/pdfs/GMD-1839-1577.pdf#page=1","Abrir facsímil")</f>
        <v>Abrir facsímil</v>
      </c>
      <c r="K10258" s="12" t="s">
        <v>24</v>
      </c>
    </row>
    <row r="10259" spans="1:11" ht="40.049999999999997" customHeight="1" x14ac:dyDescent="0.25">
      <c r="A10259" s="11" t="s">
        <v>20463</v>
      </c>
      <c r="B10259" s="11" t="s">
        <v>20464</v>
      </c>
      <c r="C10259" s="11" t="s">
        <v>17</v>
      </c>
      <c r="D10259" s="11" t="s">
        <v>18</v>
      </c>
      <c r="E10259" s="12" t="s">
        <v>239</v>
      </c>
      <c r="F10259" s="12" t="s">
        <v>240</v>
      </c>
      <c r="G10259" s="12" t="s">
        <v>21</v>
      </c>
      <c r="H10259" s="11" t="s">
        <v>22</v>
      </c>
      <c r="I10259" s="13" t="s">
        <v>20466</v>
      </c>
      <c r="J10259" s="14" t="str">
        <f>HYPERLINK("https://www.boe.es/gazeta/dias/1839/09/22/pdfs/GMD-1839-1777.pdf#page=4","Abrir facsímil")</f>
        <v>Abrir facsímil</v>
      </c>
      <c r="K10259" s="12" t="s">
        <v>24</v>
      </c>
    </row>
    <row r="10260" spans="1:11" ht="40.049999999999997" customHeight="1" x14ac:dyDescent="0.25">
      <c r="A10260" s="11" t="s">
        <v>20467</v>
      </c>
      <c r="B10260" s="11" t="s">
        <v>20467</v>
      </c>
      <c r="C10260" s="11" t="s">
        <v>101</v>
      </c>
      <c r="D10260" s="11" t="s">
        <v>43</v>
      </c>
      <c r="E10260" s="12" t="s">
        <v>1136</v>
      </c>
      <c r="F10260" s="12" t="s">
        <v>1137</v>
      </c>
      <c r="G10260" s="12" t="s">
        <v>21</v>
      </c>
      <c r="H10260" s="11" t="s">
        <v>63</v>
      </c>
      <c r="I10260" s="13" t="s">
        <v>20468</v>
      </c>
      <c r="J10260" s="14" t="str">
        <f>HYPERLINK("https://www.boe.es/gazeta/dias/1839/04/03/pdfs/GMD-1839-1600.pdf#page=4","Abrir facsímil")</f>
        <v>Abrir facsímil</v>
      </c>
      <c r="K10260" s="12" t="s">
        <v>65</v>
      </c>
    </row>
    <row r="10261" spans="1:11" ht="40.049999999999997" customHeight="1" x14ac:dyDescent="0.25">
      <c r="A10261" s="11" t="s">
        <v>20469</v>
      </c>
      <c r="B10261" s="11" t="s">
        <v>20469</v>
      </c>
      <c r="C10261" s="11" t="s">
        <v>137</v>
      </c>
      <c r="D10261" s="11" t="s">
        <v>18</v>
      </c>
      <c r="E10261" s="12" t="s">
        <v>212</v>
      </c>
      <c r="F10261" s="12" t="s">
        <v>213</v>
      </c>
      <c r="G10261" s="12" t="s">
        <v>46</v>
      </c>
      <c r="H10261" s="11" t="s">
        <v>63</v>
      </c>
      <c r="I10261" s="13" t="s">
        <v>20470</v>
      </c>
      <c r="J10261" s="14" t="str">
        <f>HYPERLINK("https://www.boe.es/gazeta/dias/1839/10/03/pdfs/GMD-1839-1789.pdf#page=3","Abrir facsímil")</f>
        <v>Abrir facsímil</v>
      </c>
      <c r="K10261" s="12" t="s">
        <v>65</v>
      </c>
    </row>
    <row r="10262" spans="1:11" ht="40.049999999999997" customHeight="1" x14ac:dyDescent="0.25">
      <c r="A10262" s="11" t="s">
        <v>20469</v>
      </c>
      <c r="B10262" s="11" t="s">
        <v>20469</v>
      </c>
      <c r="C10262" s="11" t="s">
        <v>17</v>
      </c>
      <c r="D10262" s="11" t="s">
        <v>18</v>
      </c>
      <c r="E10262" s="12" t="s">
        <v>54</v>
      </c>
      <c r="F10262" s="12" t="s">
        <v>55</v>
      </c>
      <c r="G10262" s="12" t="s">
        <v>566</v>
      </c>
      <c r="H10262" s="11" t="s">
        <v>63</v>
      </c>
      <c r="I10262" s="13" t="s">
        <v>20471</v>
      </c>
      <c r="J10262" s="14" t="str">
        <f>HYPERLINK("https://www.boe.es/gazeta/dias/1839/10/05/pdfs/GMD-1839-1791.pdf#page=5","Abrir facsímil")</f>
        <v>Abrir facsímil</v>
      </c>
      <c r="K10262" s="12" t="s">
        <v>65</v>
      </c>
    </row>
    <row r="10263" spans="1:11" ht="40.049999999999997" customHeight="1" x14ac:dyDescent="0.25">
      <c r="A10263" s="11" t="s">
        <v>20469</v>
      </c>
      <c r="B10263" s="11" t="s">
        <v>20469</v>
      </c>
      <c r="C10263" s="11" t="s">
        <v>80</v>
      </c>
      <c r="D10263" s="11" t="s">
        <v>18</v>
      </c>
      <c r="E10263" s="12" t="s">
        <v>303</v>
      </c>
      <c r="F10263" s="12" t="s">
        <v>304</v>
      </c>
      <c r="G10263" s="12" t="s">
        <v>40</v>
      </c>
      <c r="H10263" s="11" t="s">
        <v>63</v>
      </c>
      <c r="I10263" s="13" t="s">
        <v>20472</v>
      </c>
      <c r="J10263" s="14" t="str">
        <f>HYPERLINK("https://www.boe.es/gazeta/dias/1839/10/06/pdfs/GMD-1839-1792.pdf#page=2","Abrir facsímil")</f>
        <v>Abrir facsímil</v>
      </c>
      <c r="K10263" s="12" t="s">
        <v>65</v>
      </c>
    </row>
    <row r="10264" spans="1:11" ht="40.049999999999997" customHeight="1" x14ac:dyDescent="0.25">
      <c r="A10264" s="11" t="s">
        <v>20469</v>
      </c>
      <c r="B10264" s="11" t="s">
        <v>20469</v>
      </c>
      <c r="C10264" s="11" t="s">
        <v>137</v>
      </c>
      <c r="D10264" s="11" t="s">
        <v>18</v>
      </c>
      <c r="E10264" s="12" t="s">
        <v>647</v>
      </c>
      <c r="F10264" s="12" t="s">
        <v>648</v>
      </c>
      <c r="G10264" s="12" t="s">
        <v>566</v>
      </c>
      <c r="H10264" s="11" t="s">
        <v>63</v>
      </c>
      <c r="I10264" s="13" t="s">
        <v>20473</v>
      </c>
      <c r="J10264" s="14" t="str">
        <f>HYPERLINK("https://www.boe.es/gazeta/dias/1839/10/08/pdfs/GMD-1839-1794.pdf#page=5","Abrir facsímil")</f>
        <v>Abrir facsímil</v>
      </c>
      <c r="K10264" s="12" t="s">
        <v>65</v>
      </c>
    </row>
    <row r="10265" spans="1:11" ht="40.049999999999997" customHeight="1" x14ac:dyDescent="0.25">
      <c r="A10265" s="11" t="s">
        <v>20474</v>
      </c>
      <c r="B10265" s="11" t="s">
        <v>20475</v>
      </c>
      <c r="C10265" s="11" t="s">
        <v>59</v>
      </c>
      <c r="D10265" s="11" t="s">
        <v>60</v>
      </c>
      <c r="E10265" s="12" t="s">
        <v>704</v>
      </c>
      <c r="F10265" s="12" t="s">
        <v>705</v>
      </c>
      <c r="G10265" s="12" t="s">
        <v>29</v>
      </c>
      <c r="H10265" s="11" t="s">
        <v>22</v>
      </c>
      <c r="I10265" s="13" t="s">
        <v>20476</v>
      </c>
      <c r="J10265" s="14" t="str">
        <f>HYPERLINK("https://www.boe.es/gazeta/dias/1839/03/02/pdfs/GMD-1839-1568.pdf#page=1","Abrir facsímil")</f>
        <v>Abrir facsímil</v>
      </c>
      <c r="K10265" s="12" t="s">
        <v>24</v>
      </c>
    </row>
    <row r="10266" spans="1:11" ht="40.049999999999997" customHeight="1" x14ac:dyDescent="0.25">
      <c r="A10266" s="11" t="s">
        <v>20474</v>
      </c>
      <c r="B10266" s="11" t="s">
        <v>20475</v>
      </c>
      <c r="C10266" s="11" t="s">
        <v>137</v>
      </c>
      <c r="D10266" s="11" t="s">
        <v>18</v>
      </c>
      <c r="E10266" s="12" t="s">
        <v>132</v>
      </c>
      <c r="F10266" s="12" t="s">
        <v>133</v>
      </c>
      <c r="G10266" s="12" t="s">
        <v>21</v>
      </c>
      <c r="H10266" s="11" t="s">
        <v>22</v>
      </c>
      <c r="I10266" s="13" t="s">
        <v>20477</v>
      </c>
      <c r="J10266" s="14" t="str">
        <f>HYPERLINK("https://www.boe.es/gazeta/dias/1839/08/02/pdfs/GMD-1839-1722.pdf#page=4","Abrir facsímil")</f>
        <v>Abrir facsímil</v>
      </c>
      <c r="K10266" s="12" t="s">
        <v>24</v>
      </c>
    </row>
    <row r="10267" spans="1:11" ht="40.049999999999997" customHeight="1" x14ac:dyDescent="0.25">
      <c r="A10267" s="11" t="s">
        <v>20474</v>
      </c>
      <c r="B10267" s="11" t="s">
        <v>20475</v>
      </c>
      <c r="C10267" s="11" t="s">
        <v>17</v>
      </c>
      <c r="D10267" s="11" t="s">
        <v>18</v>
      </c>
      <c r="E10267" s="12" t="s">
        <v>291</v>
      </c>
      <c r="F10267" s="12" t="s">
        <v>292</v>
      </c>
      <c r="G10267" s="12" t="s">
        <v>21</v>
      </c>
      <c r="H10267" s="11" t="s">
        <v>22</v>
      </c>
      <c r="I10267" s="13" t="s">
        <v>20478</v>
      </c>
      <c r="J10267" s="14" t="str">
        <f>HYPERLINK("https://www.boe.es/gazeta/dias/1839/09/04/pdfs/GMD-1839-1757.pdf#page=4","Abrir facsímil")</f>
        <v>Abrir facsímil</v>
      </c>
      <c r="K10267" s="12" t="s">
        <v>24</v>
      </c>
    </row>
    <row r="10268" spans="1:11" ht="40.049999999999997" customHeight="1" x14ac:dyDescent="0.25">
      <c r="A10268" s="11" t="s">
        <v>20474</v>
      </c>
      <c r="B10268" s="11" t="s">
        <v>20475</v>
      </c>
      <c r="C10268" s="11" t="s">
        <v>59</v>
      </c>
      <c r="D10268" s="11" t="s">
        <v>60</v>
      </c>
      <c r="E10268" s="12" t="s">
        <v>770</v>
      </c>
      <c r="F10268" s="12" t="s">
        <v>771</v>
      </c>
      <c r="G10268" s="12" t="s">
        <v>21</v>
      </c>
      <c r="H10268" s="11" t="s">
        <v>22</v>
      </c>
      <c r="I10268" s="13" t="s">
        <v>20479</v>
      </c>
      <c r="J10268" s="14" t="str">
        <f>HYPERLINK("https://www.boe.es/gazeta/dias/1839/12/05/pdfs/GMD-1839-1852.pdf#page=4","Abrir facsímil")</f>
        <v>Abrir facsímil</v>
      </c>
      <c r="K10268" s="12" t="s">
        <v>24</v>
      </c>
    </row>
    <row r="10269" spans="1:11" ht="40.049999999999997" customHeight="1" x14ac:dyDescent="0.25">
      <c r="A10269" s="11" t="s">
        <v>20474</v>
      </c>
      <c r="B10269" s="11" t="s">
        <v>20475</v>
      </c>
      <c r="C10269" s="11" t="s">
        <v>17</v>
      </c>
      <c r="D10269" s="11" t="s">
        <v>18</v>
      </c>
      <c r="E10269" s="12" t="s">
        <v>959</v>
      </c>
      <c r="F10269" s="12" t="s">
        <v>960</v>
      </c>
      <c r="G10269" s="12" t="s">
        <v>21</v>
      </c>
      <c r="H10269" s="11" t="s">
        <v>22</v>
      </c>
      <c r="I10269" s="13" t="s">
        <v>20480</v>
      </c>
      <c r="J10269" s="14" t="str">
        <f>HYPERLINK("https://www.boe.es/gazeta/dias/1839/12/06/pdfs/GMD-1839-1853.pdf#page=4","Abrir facsímil")</f>
        <v>Abrir facsímil</v>
      </c>
      <c r="K10269" s="12" t="s">
        <v>24</v>
      </c>
    </row>
    <row r="10270" spans="1:11" ht="40.049999999999997" customHeight="1" x14ac:dyDescent="0.25">
      <c r="A10270" s="11" t="s">
        <v>20474</v>
      </c>
      <c r="B10270" s="11" t="s">
        <v>20475</v>
      </c>
      <c r="C10270" s="11" t="s">
        <v>17</v>
      </c>
      <c r="D10270" s="11" t="s">
        <v>18</v>
      </c>
      <c r="E10270" s="12" t="s">
        <v>2881</v>
      </c>
      <c r="F10270" s="12" t="s">
        <v>2882</v>
      </c>
      <c r="G10270" s="12" t="s">
        <v>21</v>
      </c>
      <c r="H10270" s="11" t="s">
        <v>22</v>
      </c>
      <c r="I10270" s="13" t="s">
        <v>20481</v>
      </c>
      <c r="J10270" s="14" t="str">
        <f>HYPERLINK("https://www.boe.es/gazeta/dias/1839/05/08/pdfs/GMD-1839-1635.pdf#page=4","Abrir facsímil")</f>
        <v>Abrir facsímil</v>
      </c>
      <c r="K10270" s="12" t="s">
        <v>24</v>
      </c>
    </row>
    <row r="10271" spans="1:11" ht="40.049999999999997" customHeight="1" x14ac:dyDescent="0.25">
      <c r="A10271" s="11" t="s">
        <v>20474</v>
      </c>
      <c r="B10271" s="11" t="s">
        <v>20475</v>
      </c>
      <c r="C10271" s="11" t="s">
        <v>80</v>
      </c>
      <c r="D10271" s="11" t="s">
        <v>173</v>
      </c>
      <c r="E10271" s="12" t="s">
        <v>372</v>
      </c>
      <c r="F10271" s="12" t="s">
        <v>373</v>
      </c>
      <c r="G10271" s="12" t="s">
        <v>21</v>
      </c>
      <c r="H10271" s="11" t="s">
        <v>22</v>
      </c>
      <c r="I10271" s="13" t="s">
        <v>20482</v>
      </c>
      <c r="J10271" s="14" t="str">
        <f>HYPERLINK("https://www.boe.es/gazeta/dias/1839/11/08/pdfs/GMD-1839-1825.pdf#page=4","Abrir facsímil")</f>
        <v>Abrir facsímil</v>
      </c>
      <c r="K10271" s="12" t="s">
        <v>24</v>
      </c>
    </row>
    <row r="10272" spans="1:11" ht="40.049999999999997" customHeight="1" x14ac:dyDescent="0.25">
      <c r="A10272" s="11" t="s">
        <v>20474</v>
      </c>
      <c r="B10272" s="11" t="s">
        <v>20475</v>
      </c>
      <c r="C10272" s="11" t="s">
        <v>80</v>
      </c>
      <c r="D10272" s="11" t="s">
        <v>18</v>
      </c>
      <c r="E10272" s="12" t="s">
        <v>782</v>
      </c>
      <c r="F10272" s="12" t="s">
        <v>783</v>
      </c>
      <c r="G10272" s="12" t="s">
        <v>21</v>
      </c>
      <c r="H10272" s="11" t="s">
        <v>22</v>
      </c>
      <c r="I10272" s="13" t="s">
        <v>20483</v>
      </c>
      <c r="J10272" s="14" t="str">
        <f>HYPERLINK("https://www.boe.es/gazeta/dias/1839/05/09/pdfs/GMD-1839-1636.pdf#page=4","Abrir facsímil")</f>
        <v>Abrir facsímil</v>
      </c>
      <c r="K10272" s="12" t="s">
        <v>24</v>
      </c>
    </row>
    <row r="10273" spans="1:11" ht="40.049999999999997" customHeight="1" x14ac:dyDescent="0.25">
      <c r="A10273" s="11" t="s">
        <v>20474</v>
      </c>
      <c r="B10273" s="11" t="s">
        <v>20475</v>
      </c>
      <c r="C10273" s="11" t="s">
        <v>137</v>
      </c>
      <c r="D10273" s="11" t="s">
        <v>18</v>
      </c>
      <c r="E10273" s="12" t="s">
        <v>138</v>
      </c>
      <c r="F10273" s="12" t="s">
        <v>139</v>
      </c>
      <c r="G10273" s="12" t="s">
        <v>21</v>
      </c>
      <c r="H10273" s="11" t="s">
        <v>22</v>
      </c>
      <c r="I10273" s="13" t="s">
        <v>20484</v>
      </c>
      <c r="J10273" s="14" t="str">
        <f>HYPERLINK("https://www.boe.es/gazeta/dias/1839/10/09/pdfs/GMD-1839-1795.pdf#page=4","Abrir facsímil")</f>
        <v>Abrir facsímil</v>
      </c>
      <c r="K10273" s="12" t="s">
        <v>24</v>
      </c>
    </row>
    <row r="10274" spans="1:11" ht="40.049999999999997" customHeight="1" x14ac:dyDescent="0.25">
      <c r="A10274" s="11" t="s">
        <v>20474</v>
      </c>
      <c r="B10274" s="11" t="s">
        <v>20475</v>
      </c>
      <c r="C10274" s="11" t="s">
        <v>137</v>
      </c>
      <c r="D10274" s="11" t="s">
        <v>18</v>
      </c>
      <c r="E10274" s="12" t="s">
        <v>744</v>
      </c>
      <c r="F10274" s="12" t="s">
        <v>745</v>
      </c>
      <c r="G10274" s="12" t="s">
        <v>21</v>
      </c>
      <c r="H10274" s="11" t="s">
        <v>22</v>
      </c>
      <c r="I10274" s="13" t="s">
        <v>20485</v>
      </c>
      <c r="J10274" s="14" t="str">
        <f>HYPERLINK("https://www.boe.es/gazeta/dias/1839/12/09/pdfs/GMD-1839-1856.pdf#page=4","Abrir facsímil")</f>
        <v>Abrir facsímil</v>
      </c>
      <c r="K10274" s="12" t="s">
        <v>24</v>
      </c>
    </row>
    <row r="10275" spans="1:11" ht="40.049999999999997" customHeight="1" x14ac:dyDescent="0.25">
      <c r="A10275" s="11" t="s">
        <v>20474</v>
      </c>
      <c r="B10275" s="11" t="s">
        <v>20475</v>
      </c>
      <c r="C10275" s="11" t="s">
        <v>101</v>
      </c>
      <c r="D10275" s="11" t="s">
        <v>102</v>
      </c>
      <c r="E10275" s="12" t="s">
        <v>984</v>
      </c>
      <c r="F10275" s="12" t="s">
        <v>985</v>
      </c>
      <c r="G10275" s="12" t="s">
        <v>21</v>
      </c>
      <c r="H10275" s="11" t="s">
        <v>22</v>
      </c>
      <c r="I10275" s="13" t="s">
        <v>20486</v>
      </c>
      <c r="J10275" s="14" t="str">
        <f>HYPERLINK("https://www.boe.es/gazeta/dias/1839/04/10/pdfs/GMD-1839-1607.pdf#page=4","Abrir facsímil")</f>
        <v>Abrir facsímil</v>
      </c>
      <c r="K10275" s="12" t="s">
        <v>24</v>
      </c>
    </row>
    <row r="10276" spans="1:11" ht="40.049999999999997" customHeight="1" x14ac:dyDescent="0.25">
      <c r="A10276" s="11" t="s">
        <v>20474</v>
      </c>
      <c r="B10276" s="11" t="s">
        <v>20475</v>
      </c>
      <c r="C10276" s="11" t="s">
        <v>101</v>
      </c>
      <c r="D10276" s="11" t="s">
        <v>102</v>
      </c>
      <c r="E10276" s="12" t="s">
        <v>320</v>
      </c>
      <c r="F10276" s="12" t="s">
        <v>321</v>
      </c>
      <c r="G10276" s="12" t="s">
        <v>21</v>
      </c>
      <c r="H10276" s="11" t="s">
        <v>22</v>
      </c>
      <c r="I10276" s="13" t="s">
        <v>20487</v>
      </c>
      <c r="J10276" s="14" t="str">
        <f>HYPERLINK("https://www.boe.es/gazeta/dias/1839/05/11/pdfs/GMD-1839-1638.pdf#page=4","Abrir facsímil")</f>
        <v>Abrir facsímil</v>
      </c>
      <c r="K10276" s="12" t="s">
        <v>24</v>
      </c>
    </row>
    <row r="10277" spans="1:11" ht="40.049999999999997" customHeight="1" x14ac:dyDescent="0.25">
      <c r="A10277" s="11" t="s">
        <v>20474</v>
      </c>
      <c r="B10277" s="11" t="s">
        <v>20475</v>
      </c>
      <c r="C10277" s="11" t="s">
        <v>17</v>
      </c>
      <c r="D10277" s="11" t="s">
        <v>18</v>
      </c>
      <c r="E10277" s="12" t="s">
        <v>1512</v>
      </c>
      <c r="F10277" s="12" t="s">
        <v>1513</v>
      </c>
      <c r="G10277" s="12" t="s">
        <v>21</v>
      </c>
      <c r="H10277" s="11" t="s">
        <v>22</v>
      </c>
      <c r="I10277" s="13" t="s">
        <v>20488</v>
      </c>
      <c r="J10277" s="14" t="str">
        <f>HYPERLINK("https://www.boe.es/gazeta/dias/1839/04/13/pdfs/GMD-1839-1610.pdf#page=4","Abrir facsímil")</f>
        <v>Abrir facsímil</v>
      </c>
      <c r="K10277" s="12" t="s">
        <v>24</v>
      </c>
    </row>
    <row r="10278" spans="1:11" ht="40.049999999999997" customHeight="1" x14ac:dyDescent="0.25">
      <c r="A10278" s="11" t="s">
        <v>20474</v>
      </c>
      <c r="B10278" s="11" t="s">
        <v>20475</v>
      </c>
      <c r="C10278" s="11" t="s">
        <v>101</v>
      </c>
      <c r="D10278" s="11" t="s">
        <v>43</v>
      </c>
      <c r="E10278" s="12" t="s">
        <v>3114</v>
      </c>
      <c r="F10278" s="12" t="s">
        <v>3115</v>
      </c>
      <c r="G10278" s="12" t="s">
        <v>21</v>
      </c>
      <c r="H10278" s="11" t="s">
        <v>22</v>
      </c>
      <c r="I10278" s="13" t="s">
        <v>20489</v>
      </c>
      <c r="J10278" s="14" t="str">
        <f>HYPERLINK("https://www.boe.es/gazeta/dias/1839/05/15/pdfs/GMD-1839-1642.pdf#page=4","Abrir facsímil")</f>
        <v>Abrir facsímil</v>
      </c>
      <c r="K10278" s="12" t="s">
        <v>24</v>
      </c>
    </row>
    <row r="10279" spans="1:11" ht="40.049999999999997" customHeight="1" x14ac:dyDescent="0.25">
      <c r="A10279" s="11" t="s">
        <v>20474</v>
      </c>
      <c r="B10279" s="11" t="s">
        <v>20475</v>
      </c>
      <c r="C10279" s="11" t="s">
        <v>80</v>
      </c>
      <c r="D10279" s="11" t="s">
        <v>18</v>
      </c>
      <c r="E10279" s="12" t="s">
        <v>1406</v>
      </c>
      <c r="F10279" s="12" t="s">
        <v>1407</v>
      </c>
      <c r="G10279" s="12" t="s">
        <v>21</v>
      </c>
      <c r="H10279" s="11" t="s">
        <v>22</v>
      </c>
      <c r="I10279" s="13" t="s">
        <v>20490</v>
      </c>
      <c r="J10279" s="14" t="str">
        <f>HYPERLINK("https://www.boe.es/gazeta/dias/1839/07/18/pdfs/GMD-1839-1706.pdf#page=4","Abrir facsímil")</f>
        <v>Abrir facsímil</v>
      </c>
      <c r="K10279" s="12" t="s">
        <v>24</v>
      </c>
    </row>
    <row r="10280" spans="1:11" ht="40.049999999999997" customHeight="1" x14ac:dyDescent="0.25">
      <c r="A10280" s="11" t="s">
        <v>20474</v>
      </c>
      <c r="B10280" s="11" t="s">
        <v>20475</v>
      </c>
      <c r="C10280" s="11" t="s">
        <v>80</v>
      </c>
      <c r="D10280" s="11" t="s">
        <v>18</v>
      </c>
      <c r="E10280" s="12" t="s">
        <v>695</v>
      </c>
      <c r="F10280" s="12" t="s">
        <v>696</v>
      </c>
      <c r="G10280" s="12" t="s">
        <v>21</v>
      </c>
      <c r="H10280" s="11" t="s">
        <v>22</v>
      </c>
      <c r="I10280" s="13" t="s">
        <v>20491</v>
      </c>
      <c r="J10280" s="14" t="str">
        <f>HYPERLINK("https://www.boe.es/gazeta/dias/1839/12/19/pdfs/GMD-1839-1866.pdf#page=4","Abrir facsímil")</f>
        <v>Abrir facsímil</v>
      </c>
      <c r="K10280" s="12" t="s">
        <v>24</v>
      </c>
    </row>
    <row r="10281" spans="1:11" ht="40.049999999999997" customHeight="1" x14ac:dyDescent="0.25">
      <c r="A10281" s="11" t="s">
        <v>20474</v>
      </c>
      <c r="B10281" s="11" t="s">
        <v>20475</v>
      </c>
      <c r="C10281" s="11" t="s">
        <v>17</v>
      </c>
      <c r="D10281" s="11" t="s">
        <v>18</v>
      </c>
      <c r="E10281" s="12" t="s">
        <v>222</v>
      </c>
      <c r="F10281" s="12" t="s">
        <v>223</v>
      </c>
      <c r="G10281" s="12" t="s">
        <v>21</v>
      </c>
      <c r="H10281" s="11" t="s">
        <v>22</v>
      </c>
      <c r="I10281" s="13" t="s">
        <v>20492</v>
      </c>
      <c r="J10281" s="14" t="str">
        <f>HYPERLINK("https://www.boe.es/gazeta/dias/1839/06/22/pdfs/GMD-1839-1680.pdf#page=4","Abrir facsímil")</f>
        <v>Abrir facsímil</v>
      </c>
      <c r="K10281" s="12" t="s">
        <v>24</v>
      </c>
    </row>
    <row r="10282" spans="1:11" ht="40.049999999999997" customHeight="1" x14ac:dyDescent="0.25">
      <c r="A10282" s="11" t="s">
        <v>20474</v>
      </c>
      <c r="B10282" s="11" t="s">
        <v>20475</v>
      </c>
      <c r="C10282" s="11" t="s">
        <v>17</v>
      </c>
      <c r="D10282" s="11" t="s">
        <v>18</v>
      </c>
      <c r="E10282" s="12" t="s">
        <v>479</v>
      </c>
      <c r="F10282" s="12" t="s">
        <v>480</v>
      </c>
      <c r="G10282" s="12" t="s">
        <v>21</v>
      </c>
      <c r="H10282" s="11" t="s">
        <v>22</v>
      </c>
      <c r="I10282" s="13" t="s">
        <v>20493</v>
      </c>
      <c r="J10282" s="14" t="str">
        <f>HYPERLINK("https://www.boe.es/gazeta/dias/1839/06/24/pdfs/GMD-1839-1682.pdf#page=4","Abrir facsímil")</f>
        <v>Abrir facsímil</v>
      </c>
      <c r="K10282" s="12" t="s">
        <v>24</v>
      </c>
    </row>
    <row r="10283" spans="1:11" ht="40.049999999999997" customHeight="1" x14ac:dyDescent="0.25">
      <c r="A10283" s="11" t="s">
        <v>20474</v>
      </c>
      <c r="B10283" s="11" t="s">
        <v>20475</v>
      </c>
      <c r="C10283" s="11" t="s">
        <v>17</v>
      </c>
      <c r="D10283" s="11" t="s">
        <v>18</v>
      </c>
      <c r="E10283" s="12" t="s">
        <v>405</v>
      </c>
      <c r="F10283" s="12" t="s">
        <v>406</v>
      </c>
      <c r="G10283" s="12" t="s">
        <v>29</v>
      </c>
      <c r="H10283" s="11" t="s">
        <v>22</v>
      </c>
      <c r="I10283" s="13" t="s">
        <v>20494</v>
      </c>
      <c r="J10283" s="14" t="str">
        <f>HYPERLINK("https://www.boe.es/gazeta/dias/1839/03/25/pdfs/GMD-1839-1591.pdf#page=1","Abrir facsímil")</f>
        <v>Abrir facsímil</v>
      </c>
      <c r="K10283" s="12" t="s">
        <v>24</v>
      </c>
    </row>
    <row r="10284" spans="1:11" ht="40.049999999999997" customHeight="1" x14ac:dyDescent="0.25">
      <c r="A10284" s="11" t="s">
        <v>20474</v>
      </c>
      <c r="B10284" s="11" t="s">
        <v>20475</v>
      </c>
      <c r="C10284" s="11" t="s">
        <v>17</v>
      </c>
      <c r="D10284" s="11" t="s">
        <v>18</v>
      </c>
      <c r="E10284" s="12" t="s">
        <v>2463</v>
      </c>
      <c r="F10284" s="12" t="s">
        <v>2464</v>
      </c>
      <c r="G10284" s="12" t="s">
        <v>21</v>
      </c>
      <c r="H10284" s="11" t="s">
        <v>22</v>
      </c>
      <c r="I10284" s="13" t="s">
        <v>20495</v>
      </c>
      <c r="J10284" s="14" t="str">
        <f>HYPERLINK("https://www.boe.es/gazeta/dias/1839/04/26/pdfs/GMD-1839-1623.pdf#page=4","Abrir facsímil")</f>
        <v>Abrir facsímil</v>
      </c>
      <c r="K10284" s="12" t="s">
        <v>24</v>
      </c>
    </row>
    <row r="10285" spans="1:11" ht="40.049999999999997" customHeight="1" x14ac:dyDescent="0.25">
      <c r="A10285" s="11" t="s">
        <v>20474</v>
      </c>
      <c r="B10285" s="11" t="s">
        <v>20475</v>
      </c>
      <c r="C10285" s="11" t="s">
        <v>80</v>
      </c>
      <c r="D10285" s="11" t="s">
        <v>173</v>
      </c>
      <c r="E10285" s="12" t="s">
        <v>1287</v>
      </c>
      <c r="F10285" s="12" t="s">
        <v>1288</v>
      </c>
      <c r="G10285" s="12" t="s">
        <v>21</v>
      </c>
      <c r="H10285" s="11" t="s">
        <v>22</v>
      </c>
      <c r="I10285" s="13" t="s">
        <v>20496</v>
      </c>
      <c r="J10285" s="14" t="str">
        <f>HYPERLINK("https://www.boe.es/gazeta/dias/1839/10/30/pdfs/GMD-1839-1816.pdf#page=4","Abrir facsímil")</f>
        <v>Abrir facsímil</v>
      </c>
      <c r="K10285" s="12" t="s">
        <v>24</v>
      </c>
    </row>
    <row r="10286" spans="1:11" ht="40.049999999999997" customHeight="1" x14ac:dyDescent="0.25">
      <c r="A10286" s="11" t="s">
        <v>20497</v>
      </c>
      <c r="B10286" s="11" t="s">
        <v>20498</v>
      </c>
      <c r="C10286" s="11" t="s">
        <v>137</v>
      </c>
      <c r="D10286" s="11" t="s">
        <v>18</v>
      </c>
      <c r="E10286" s="12" t="s">
        <v>138</v>
      </c>
      <c r="F10286" s="12" t="s">
        <v>139</v>
      </c>
      <c r="G10286" s="12" t="s">
        <v>21</v>
      </c>
      <c r="H10286" s="11" t="s">
        <v>63</v>
      </c>
      <c r="I10286" s="13" t="s">
        <v>20499</v>
      </c>
      <c r="J10286" s="14" t="str">
        <f>HYPERLINK("https://www.boe.es/gazeta/dias/1839/10/09/pdfs/GMD-1839-1795.pdf#page=4","Abrir facsímil")</f>
        <v>Abrir facsímil</v>
      </c>
      <c r="K10286" s="12" t="s">
        <v>65</v>
      </c>
    </row>
    <row r="10287" spans="1:11" ht="40.049999999999997" customHeight="1" x14ac:dyDescent="0.25">
      <c r="A10287" s="11" t="s">
        <v>20497</v>
      </c>
      <c r="B10287" s="11" t="s">
        <v>20498</v>
      </c>
      <c r="C10287" s="11" t="s">
        <v>17</v>
      </c>
      <c r="D10287" s="11" t="s">
        <v>18</v>
      </c>
      <c r="E10287" s="12" t="s">
        <v>3766</v>
      </c>
      <c r="F10287" s="12" t="s">
        <v>3767</v>
      </c>
      <c r="G10287" s="12" t="s">
        <v>21</v>
      </c>
      <c r="H10287" s="11" t="s">
        <v>63</v>
      </c>
      <c r="I10287" s="13" t="s">
        <v>20500</v>
      </c>
      <c r="J10287" s="14" t="str">
        <f>HYPERLINK("https://www.boe.es/gazeta/dias/1839/06/10/pdfs/GMD-1839-1668.pdf#page=4","Abrir facsímil")</f>
        <v>Abrir facsímil</v>
      </c>
      <c r="K10287" s="12" t="s">
        <v>65</v>
      </c>
    </row>
    <row r="10288" spans="1:11" ht="40.049999999999997" customHeight="1" x14ac:dyDescent="0.25">
      <c r="A10288" s="11" t="s">
        <v>20497</v>
      </c>
      <c r="B10288" s="11" t="s">
        <v>20498</v>
      </c>
      <c r="C10288" s="11" t="s">
        <v>101</v>
      </c>
      <c r="D10288" s="11" t="s">
        <v>43</v>
      </c>
      <c r="E10288" s="12" t="s">
        <v>1657</v>
      </c>
      <c r="F10288" s="12" t="s">
        <v>1658</v>
      </c>
      <c r="G10288" s="12" t="s">
        <v>21</v>
      </c>
      <c r="H10288" s="11" t="s">
        <v>63</v>
      </c>
      <c r="I10288" s="13" t="s">
        <v>20501</v>
      </c>
      <c r="J10288" s="14" t="str">
        <f>HYPERLINK("https://www.boe.es/gazeta/dias/1839/02/21/pdfs/GMD-1839-1559.pdf#page=4","Abrir facsímil")</f>
        <v>Abrir facsímil</v>
      </c>
      <c r="K10288" s="12" t="s">
        <v>65</v>
      </c>
    </row>
    <row r="10289" spans="1:11" ht="40.049999999999997" customHeight="1" x14ac:dyDescent="0.25">
      <c r="A10289" s="11" t="s">
        <v>20497</v>
      </c>
      <c r="B10289" s="11" t="s">
        <v>20498</v>
      </c>
      <c r="C10289" s="11" t="s">
        <v>101</v>
      </c>
      <c r="D10289" s="11" t="s">
        <v>43</v>
      </c>
      <c r="E10289" s="12" t="s">
        <v>355</v>
      </c>
      <c r="F10289" s="12" t="s">
        <v>356</v>
      </c>
      <c r="G10289" s="12" t="s">
        <v>21</v>
      </c>
      <c r="H10289" s="11" t="s">
        <v>63</v>
      </c>
      <c r="I10289" s="13" t="s">
        <v>20502</v>
      </c>
      <c r="J10289" s="14" t="str">
        <f>HYPERLINK("https://www.boe.es/gazeta/dias/1839/05/31/pdfs/GMD-1839-1658.pdf#page=4","Abrir facsímil")</f>
        <v>Abrir facsímil</v>
      </c>
      <c r="K10289" s="12" t="s">
        <v>65</v>
      </c>
    </row>
    <row r="10290" spans="1:11" ht="40.049999999999997" customHeight="1" x14ac:dyDescent="0.25">
      <c r="A10290" s="11" t="s">
        <v>20497</v>
      </c>
      <c r="B10290" s="11" t="s">
        <v>20498</v>
      </c>
      <c r="C10290" s="11" t="s">
        <v>17</v>
      </c>
      <c r="D10290" s="11" t="s">
        <v>43</v>
      </c>
      <c r="E10290" s="12" t="s">
        <v>907</v>
      </c>
      <c r="F10290" s="12" t="s">
        <v>908</v>
      </c>
      <c r="G10290" s="12" t="s">
        <v>21</v>
      </c>
      <c r="H10290" s="11" t="s">
        <v>63</v>
      </c>
      <c r="I10290" s="13" t="s">
        <v>20503</v>
      </c>
      <c r="J10290" s="14" t="str">
        <f>HYPERLINK("https://www.boe.es/gazeta/dias/1839/07/31/pdfs/GMD-1839-1720.pdf#page=4","Abrir facsímil")</f>
        <v>Abrir facsímil</v>
      </c>
      <c r="K10290" s="12" t="s">
        <v>65</v>
      </c>
    </row>
    <row r="10291" spans="1:11" ht="40.049999999999997" customHeight="1" x14ac:dyDescent="0.25">
      <c r="A10291" s="11" t="s">
        <v>20504</v>
      </c>
      <c r="B10291" s="11" t="s">
        <v>20505</v>
      </c>
      <c r="C10291" s="11" t="s">
        <v>137</v>
      </c>
      <c r="D10291" s="11" t="s">
        <v>18</v>
      </c>
      <c r="E10291" s="12" t="s">
        <v>704</v>
      </c>
      <c r="F10291" s="12" t="s">
        <v>705</v>
      </c>
      <c r="G10291" s="12" t="s">
        <v>29</v>
      </c>
      <c r="H10291" s="11" t="s">
        <v>63</v>
      </c>
      <c r="I10291" s="13" t="s">
        <v>20506</v>
      </c>
      <c r="J10291" s="14" t="str">
        <f>HYPERLINK("https://www.boe.es/gazeta/dias/1839/03/02/pdfs/GMD-1839-1568.pdf#page=1","Abrir facsímil")</f>
        <v>Abrir facsímil</v>
      </c>
      <c r="K10291" s="12" t="s">
        <v>65</v>
      </c>
    </row>
    <row r="10292" spans="1:11" ht="40.049999999999997" customHeight="1" x14ac:dyDescent="0.25">
      <c r="A10292" s="11" t="s">
        <v>20507</v>
      </c>
      <c r="B10292" s="11" t="s">
        <v>20507</v>
      </c>
      <c r="C10292" s="11" t="s">
        <v>17</v>
      </c>
      <c r="D10292" s="11" t="s">
        <v>18</v>
      </c>
      <c r="E10292" s="12" t="s">
        <v>128</v>
      </c>
      <c r="F10292" s="12" t="s">
        <v>129</v>
      </c>
      <c r="G10292" s="12" t="s">
        <v>29</v>
      </c>
      <c r="H10292" s="11" t="s">
        <v>63</v>
      </c>
      <c r="I10292" s="13" t="s">
        <v>20508</v>
      </c>
      <c r="J10292" s="14" t="str">
        <f>HYPERLINK("https://www.boe.es/gazeta/dias/1839/05/25/pdfs/GMD-1839-1652.pdf#page=1","Abrir facsímil")</f>
        <v>Abrir facsímil</v>
      </c>
      <c r="K10292" s="12" t="s">
        <v>65</v>
      </c>
    </row>
    <row r="10293" spans="1:11" ht="40.049999999999997" customHeight="1" x14ac:dyDescent="0.25">
      <c r="A10293" s="11" t="s">
        <v>20509</v>
      </c>
      <c r="B10293" s="11" t="s">
        <v>20509</v>
      </c>
      <c r="C10293" s="11" t="s">
        <v>17</v>
      </c>
      <c r="D10293" s="11" t="s">
        <v>18</v>
      </c>
      <c r="E10293" s="12" t="s">
        <v>258</v>
      </c>
      <c r="F10293" s="12" t="s">
        <v>259</v>
      </c>
      <c r="G10293" s="12" t="s">
        <v>40</v>
      </c>
      <c r="H10293" s="11" t="s">
        <v>63</v>
      </c>
      <c r="I10293" s="13" t="s">
        <v>20510</v>
      </c>
      <c r="J10293" s="14" t="str">
        <f>HYPERLINK("https://www.boe.es/gazeta/dias/1839/01/02/pdfs/GMD-1839-1509.pdf#page=2","Abrir facsímil")</f>
        <v>Abrir facsímil</v>
      </c>
      <c r="K10293" s="12" t="s">
        <v>65</v>
      </c>
    </row>
    <row r="10294" spans="1:11" ht="40.049999999999997" customHeight="1" x14ac:dyDescent="0.25">
      <c r="A10294" s="11" t="s">
        <v>20509</v>
      </c>
      <c r="B10294" s="11" t="s">
        <v>20509</v>
      </c>
      <c r="C10294" s="11" t="s">
        <v>101</v>
      </c>
      <c r="D10294" s="11" t="s">
        <v>43</v>
      </c>
      <c r="E10294" s="12" t="s">
        <v>704</v>
      </c>
      <c r="F10294" s="12" t="s">
        <v>705</v>
      </c>
      <c r="G10294" s="12" t="s">
        <v>46</v>
      </c>
      <c r="H10294" s="11" t="s">
        <v>63</v>
      </c>
      <c r="I10294" s="13" t="s">
        <v>20511</v>
      </c>
      <c r="J10294" s="14" t="str">
        <f>HYPERLINK("https://www.boe.es/gazeta/dias/1839/03/02/pdfs/GMD-1839-1568.pdf#page=3","Abrir facsímil")</f>
        <v>Abrir facsímil</v>
      </c>
      <c r="K10294" s="12" t="s">
        <v>65</v>
      </c>
    </row>
    <row r="10295" spans="1:11" ht="40.049999999999997" customHeight="1" x14ac:dyDescent="0.25">
      <c r="A10295" s="11" t="s">
        <v>20509</v>
      </c>
      <c r="B10295" s="11" t="s">
        <v>20509</v>
      </c>
      <c r="C10295" s="11" t="s">
        <v>17</v>
      </c>
      <c r="D10295" s="11" t="s">
        <v>18</v>
      </c>
      <c r="E10295" s="12" t="s">
        <v>81</v>
      </c>
      <c r="F10295" s="12" t="s">
        <v>82</v>
      </c>
      <c r="G10295" s="12" t="s">
        <v>21</v>
      </c>
      <c r="H10295" s="11" t="s">
        <v>63</v>
      </c>
      <c r="I10295" s="13" t="s">
        <v>20512</v>
      </c>
      <c r="J10295" s="14" t="str">
        <f>HYPERLINK("https://www.boe.es/gazeta/dias/1839/03/03/pdfs/GMD-1839-1569.pdf#page=4","Abrir facsímil")</f>
        <v>Abrir facsímil</v>
      </c>
      <c r="K10295" s="12" t="s">
        <v>65</v>
      </c>
    </row>
    <row r="10296" spans="1:11" ht="40.049999999999997" customHeight="1" x14ac:dyDescent="0.25">
      <c r="A10296" s="11" t="s">
        <v>20509</v>
      </c>
      <c r="B10296" s="11" t="s">
        <v>20509</v>
      </c>
      <c r="C10296" s="11" t="s">
        <v>59</v>
      </c>
      <c r="D10296" s="11" t="s">
        <v>60</v>
      </c>
      <c r="E10296" s="12" t="s">
        <v>1623</v>
      </c>
      <c r="F10296" s="12" t="s">
        <v>1624</v>
      </c>
      <c r="G10296" s="12" t="s">
        <v>29</v>
      </c>
      <c r="H10296" s="11" t="s">
        <v>63</v>
      </c>
      <c r="I10296" s="13" t="s">
        <v>20513</v>
      </c>
      <c r="J10296" s="14" t="str">
        <f>HYPERLINK("https://www.boe.es/gazeta/dias/1839/04/07/pdfs/GMD-1839-1604.pdf#page=1","Abrir facsímil")</f>
        <v>Abrir facsímil</v>
      </c>
      <c r="K10296" s="12" t="s">
        <v>65</v>
      </c>
    </row>
    <row r="10297" spans="1:11" ht="40.049999999999997" customHeight="1" x14ac:dyDescent="0.25">
      <c r="A10297" s="11" t="s">
        <v>20509</v>
      </c>
      <c r="B10297" s="11" t="s">
        <v>20509</v>
      </c>
      <c r="C10297" s="11" t="s">
        <v>17</v>
      </c>
      <c r="D10297" s="11" t="s">
        <v>18</v>
      </c>
      <c r="E10297" s="12" t="s">
        <v>2050</v>
      </c>
      <c r="F10297" s="12" t="s">
        <v>2051</v>
      </c>
      <c r="G10297" s="12" t="s">
        <v>21</v>
      </c>
      <c r="H10297" s="11" t="s">
        <v>63</v>
      </c>
      <c r="I10297" s="13" t="s">
        <v>20514</v>
      </c>
      <c r="J10297" s="14" t="str">
        <f>HYPERLINK("https://www.boe.es/gazeta/dias/1839/01/09/pdfs/GMD-1839-1516.pdf#page=4","Abrir facsímil")</f>
        <v>Abrir facsímil</v>
      </c>
      <c r="K10297" s="12" t="s">
        <v>65</v>
      </c>
    </row>
    <row r="10298" spans="1:11" ht="40.049999999999997" customHeight="1" x14ac:dyDescent="0.25">
      <c r="A10298" s="11" t="s">
        <v>20509</v>
      </c>
      <c r="B10298" s="11" t="s">
        <v>20509</v>
      </c>
      <c r="C10298" s="11" t="s">
        <v>17</v>
      </c>
      <c r="D10298" s="11" t="s">
        <v>18</v>
      </c>
      <c r="E10298" s="12" t="s">
        <v>320</v>
      </c>
      <c r="F10298" s="12" t="s">
        <v>321</v>
      </c>
      <c r="G10298" s="12" t="s">
        <v>21</v>
      </c>
      <c r="H10298" s="11" t="s">
        <v>63</v>
      </c>
      <c r="I10298" s="13" t="s">
        <v>20515</v>
      </c>
      <c r="J10298" s="14" t="str">
        <f>HYPERLINK("https://www.boe.es/gazeta/dias/1839/05/11/pdfs/GMD-1839-1638.pdf#page=4","Abrir facsímil")</f>
        <v>Abrir facsímil</v>
      </c>
      <c r="K10298" s="12" t="s">
        <v>65</v>
      </c>
    </row>
    <row r="10299" spans="1:11" ht="40.049999999999997" customHeight="1" x14ac:dyDescent="0.25">
      <c r="A10299" s="11" t="s">
        <v>20509</v>
      </c>
      <c r="B10299" s="11" t="s">
        <v>20509</v>
      </c>
      <c r="C10299" s="11" t="s">
        <v>59</v>
      </c>
      <c r="D10299" s="11" t="s">
        <v>60</v>
      </c>
      <c r="E10299" s="12" t="s">
        <v>2107</v>
      </c>
      <c r="F10299" s="12" t="s">
        <v>2108</v>
      </c>
      <c r="G10299" s="12" t="s">
        <v>46</v>
      </c>
      <c r="H10299" s="11" t="s">
        <v>63</v>
      </c>
      <c r="I10299" s="13" t="s">
        <v>20516</v>
      </c>
      <c r="J10299" s="14" t="str">
        <f>HYPERLINK("https://www.boe.es/gazeta/dias/1839/10/11/pdfs/GMD-1839-1797.pdf#page=3","Abrir facsímil")</f>
        <v>Abrir facsímil</v>
      </c>
      <c r="K10299" s="12" t="s">
        <v>65</v>
      </c>
    </row>
    <row r="10300" spans="1:11" ht="40.049999999999997" customHeight="1" x14ac:dyDescent="0.25">
      <c r="A10300" s="11" t="s">
        <v>20509</v>
      </c>
      <c r="B10300" s="11" t="s">
        <v>20509</v>
      </c>
      <c r="C10300" s="11" t="s">
        <v>17</v>
      </c>
      <c r="D10300" s="11" t="s">
        <v>18</v>
      </c>
      <c r="E10300" s="12" t="s">
        <v>192</v>
      </c>
      <c r="F10300" s="12" t="s">
        <v>193</v>
      </c>
      <c r="G10300" s="12" t="s">
        <v>46</v>
      </c>
      <c r="H10300" s="11" t="s">
        <v>63</v>
      </c>
      <c r="I10300" s="13" t="s">
        <v>20517</v>
      </c>
      <c r="J10300" s="14" t="str">
        <f>HYPERLINK("https://www.boe.es/gazeta/dias/1839/01/12/pdfs/GMD-1839-1519.pdf#page=3","Abrir facsímil")</f>
        <v>Abrir facsímil</v>
      </c>
      <c r="K10300" s="12" t="s">
        <v>65</v>
      </c>
    </row>
    <row r="10301" spans="1:11" ht="40.049999999999997" customHeight="1" x14ac:dyDescent="0.25">
      <c r="A10301" s="11" t="s">
        <v>20509</v>
      </c>
      <c r="B10301" s="11" t="s">
        <v>20509</v>
      </c>
      <c r="C10301" s="11" t="s">
        <v>59</v>
      </c>
      <c r="D10301" s="11" t="s">
        <v>60</v>
      </c>
      <c r="E10301" s="12" t="s">
        <v>1391</v>
      </c>
      <c r="F10301" s="12" t="s">
        <v>1392</v>
      </c>
      <c r="G10301" s="12" t="s">
        <v>29</v>
      </c>
      <c r="H10301" s="11" t="s">
        <v>63</v>
      </c>
      <c r="I10301" s="13" t="s">
        <v>20518</v>
      </c>
      <c r="J10301" s="14" t="str">
        <f>HYPERLINK("https://www.boe.es/gazeta/dias/1839/05/12/pdfs/GMD-1839-1639.pdf#page=1","Abrir facsímil")</f>
        <v>Abrir facsímil</v>
      </c>
      <c r="K10301" s="12" t="s">
        <v>65</v>
      </c>
    </row>
    <row r="10302" spans="1:11" ht="40.049999999999997" customHeight="1" x14ac:dyDescent="0.25">
      <c r="A10302" s="11" t="s">
        <v>20509</v>
      </c>
      <c r="B10302" s="11" t="s">
        <v>20509</v>
      </c>
      <c r="C10302" s="11" t="s">
        <v>17</v>
      </c>
      <c r="D10302" s="11" t="s">
        <v>18</v>
      </c>
      <c r="E10302" s="12" t="s">
        <v>2374</v>
      </c>
      <c r="F10302" s="12" t="s">
        <v>2375</v>
      </c>
      <c r="G10302" s="12" t="s">
        <v>40</v>
      </c>
      <c r="H10302" s="11" t="s">
        <v>63</v>
      </c>
      <c r="I10302" s="13" t="s">
        <v>20519</v>
      </c>
      <c r="J10302" s="14" t="str">
        <f>HYPERLINK("https://www.boe.es/gazeta/dias/1839/06/14/pdfs/GMD-1839-1672.pdf#page=2","Abrir facsímil")</f>
        <v>Abrir facsímil</v>
      </c>
      <c r="K10302" s="12" t="s">
        <v>65</v>
      </c>
    </row>
    <row r="10303" spans="1:11" ht="40.049999999999997" customHeight="1" x14ac:dyDescent="0.25">
      <c r="A10303" s="11" t="s">
        <v>20509</v>
      </c>
      <c r="B10303" s="11" t="s">
        <v>20509</v>
      </c>
      <c r="C10303" s="11" t="s">
        <v>101</v>
      </c>
      <c r="D10303" s="11" t="s">
        <v>43</v>
      </c>
      <c r="E10303" s="12" t="s">
        <v>1779</v>
      </c>
      <c r="F10303" s="12" t="s">
        <v>1780</v>
      </c>
      <c r="G10303" s="12" t="s">
        <v>21</v>
      </c>
      <c r="H10303" s="11" t="s">
        <v>63</v>
      </c>
      <c r="I10303" s="13" t="s">
        <v>20520</v>
      </c>
      <c r="J10303" s="14" t="str">
        <f>HYPERLINK("https://www.boe.es/gazeta/dias/1839/03/18/pdfs/GMD-1839-1584.pdf#page=4","Abrir facsímil")</f>
        <v>Abrir facsímil</v>
      </c>
      <c r="K10303" s="12" t="s">
        <v>65</v>
      </c>
    </row>
    <row r="10304" spans="1:11" ht="40.049999999999997" customHeight="1" x14ac:dyDescent="0.25">
      <c r="A10304" s="11" t="s">
        <v>20509</v>
      </c>
      <c r="B10304" s="11" t="s">
        <v>20509</v>
      </c>
      <c r="C10304" s="11" t="s">
        <v>59</v>
      </c>
      <c r="D10304" s="11" t="s">
        <v>60</v>
      </c>
      <c r="E10304" s="12" t="s">
        <v>19</v>
      </c>
      <c r="F10304" s="12" t="s">
        <v>20</v>
      </c>
      <c r="G10304" s="12" t="s">
        <v>21</v>
      </c>
      <c r="H10304" s="11" t="s">
        <v>63</v>
      </c>
      <c r="I10304" s="13" t="s">
        <v>20521</v>
      </c>
      <c r="J10304" s="14" t="str">
        <f>HYPERLINK("https://www.boe.es/gazeta/dias/1839/01/19/pdfs/GMD-1839-1526.pdf#page=4","Abrir facsímil")</f>
        <v>Abrir facsímil</v>
      </c>
      <c r="K10304" s="12" t="s">
        <v>65</v>
      </c>
    </row>
    <row r="10305" spans="1:11" ht="40.049999999999997" customHeight="1" x14ac:dyDescent="0.25">
      <c r="A10305" s="11" t="s">
        <v>20509</v>
      </c>
      <c r="B10305" s="11" t="s">
        <v>20509</v>
      </c>
      <c r="C10305" s="11" t="s">
        <v>80</v>
      </c>
      <c r="D10305" s="11" t="s">
        <v>18</v>
      </c>
      <c r="E10305" s="12" t="s">
        <v>3668</v>
      </c>
      <c r="F10305" s="12" t="s">
        <v>3669</v>
      </c>
      <c r="G10305" s="12" t="s">
        <v>29</v>
      </c>
      <c r="H10305" s="11" t="s">
        <v>63</v>
      </c>
      <c r="I10305" s="13" t="s">
        <v>20522</v>
      </c>
      <c r="J10305" s="14" t="str">
        <f>HYPERLINK("https://www.boe.es/gazeta/dias/1839/05/19/pdfs/GMD-1839-1646.pdf#page=1","Abrir facsímil")</f>
        <v>Abrir facsímil</v>
      </c>
      <c r="K10305" s="12" t="s">
        <v>65</v>
      </c>
    </row>
    <row r="10306" spans="1:11" ht="40.049999999999997" customHeight="1" x14ac:dyDescent="0.25">
      <c r="A10306" s="11" t="s">
        <v>20509</v>
      </c>
      <c r="B10306" s="11" t="s">
        <v>20509</v>
      </c>
      <c r="C10306" s="11" t="s">
        <v>17</v>
      </c>
      <c r="D10306" s="11" t="s">
        <v>18</v>
      </c>
      <c r="E10306" s="12" t="s">
        <v>643</v>
      </c>
      <c r="F10306" s="12" t="s">
        <v>644</v>
      </c>
      <c r="G10306" s="12" t="s">
        <v>29</v>
      </c>
      <c r="H10306" s="11" t="s">
        <v>63</v>
      </c>
      <c r="I10306" s="13" t="s">
        <v>20523</v>
      </c>
      <c r="J10306" s="14" t="str">
        <f>HYPERLINK("https://www.boe.es/gazeta/dias/1839/03/20/pdfs/GMD-1839-1586.pdf#page=1","Abrir facsímil")</f>
        <v>Abrir facsímil</v>
      </c>
      <c r="K10306" s="12" t="s">
        <v>65</v>
      </c>
    </row>
    <row r="10307" spans="1:11" ht="40.049999999999997" customHeight="1" x14ac:dyDescent="0.25">
      <c r="A10307" s="11" t="s">
        <v>20509</v>
      </c>
      <c r="B10307" s="11" t="s">
        <v>20509</v>
      </c>
      <c r="C10307" s="11" t="s">
        <v>17</v>
      </c>
      <c r="D10307" s="11" t="s">
        <v>18</v>
      </c>
      <c r="E10307" s="12" t="s">
        <v>405</v>
      </c>
      <c r="F10307" s="12" t="s">
        <v>406</v>
      </c>
      <c r="G10307" s="12" t="s">
        <v>21</v>
      </c>
      <c r="H10307" s="11" t="s">
        <v>63</v>
      </c>
      <c r="I10307" s="13" t="s">
        <v>20524</v>
      </c>
      <c r="J10307" s="14" t="str">
        <f>HYPERLINK("https://www.boe.es/gazeta/dias/1839/03/25/pdfs/GMD-1839-1591.pdf#page=4","Abrir facsímil")</f>
        <v>Abrir facsímil</v>
      </c>
      <c r="K10307" s="12" t="s">
        <v>65</v>
      </c>
    </row>
    <row r="10308" spans="1:11" ht="40.049999999999997" customHeight="1" x14ac:dyDescent="0.25">
      <c r="A10308" s="11" t="s">
        <v>20509</v>
      </c>
      <c r="B10308" s="11" t="s">
        <v>20509</v>
      </c>
      <c r="C10308" s="11" t="s">
        <v>17</v>
      </c>
      <c r="D10308" s="11" t="s">
        <v>18</v>
      </c>
      <c r="E10308" s="12" t="s">
        <v>2463</v>
      </c>
      <c r="F10308" s="12" t="s">
        <v>2464</v>
      </c>
      <c r="G10308" s="12" t="s">
        <v>21</v>
      </c>
      <c r="H10308" s="11" t="s">
        <v>63</v>
      </c>
      <c r="I10308" s="13" t="s">
        <v>20525</v>
      </c>
      <c r="J10308" s="14" t="str">
        <f>HYPERLINK("https://www.boe.es/gazeta/dias/1839/04/26/pdfs/GMD-1839-1623.pdf#page=4","Abrir facsímil")</f>
        <v>Abrir facsímil</v>
      </c>
      <c r="K10308" s="12" t="s">
        <v>65</v>
      </c>
    </row>
    <row r="10309" spans="1:11" ht="40.049999999999997" customHeight="1" x14ac:dyDescent="0.25">
      <c r="A10309" s="11" t="s">
        <v>20509</v>
      </c>
      <c r="B10309" s="11" t="s">
        <v>20509</v>
      </c>
      <c r="C10309" s="11" t="s">
        <v>80</v>
      </c>
      <c r="D10309" s="11" t="s">
        <v>173</v>
      </c>
      <c r="E10309" s="12" t="s">
        <v>4787</v>
      </c>
      <c r="F10309" s="12" t="s">
        <v>4788</v>
      </c>
      <c r="G10309" s="12" t="s">
        <v>21</v>
      </c>
      <c r="H10309" s="11" t="s">
        <v>63</v>
      </c>
      <c r="I10309" s="13" t="s">
        <v>20526</v>
      </c>
      <c r="J10309" s="14" t="str">
        <f>HYPERLINK("https://www.boe.es/gazeta/dias/1839/05/26/pdfs/GMD-1839-1653.pdf#page=4","Abrir facsímil")</f>
        <v>Abrir facsímil</v>
      </c>
      <c r="K10309" s="12" t="s">
        <v>65</v>
      </c>
    </row>
    <row r="10310" spans="1:11" ht="40.049999999999997" customHeight="1" x14ac:dyDescent="0.25">
      <c r="A10310" s="11" t="s">
        <v>20509</v>
      </c>
      <c r="B10310" s="11" t="s">
        <v>20509</v>
      </c>
      <c r="C10310" s="11" t="s">
        <v>80</v>
      </c>
      <c r="D10310" s="11" t="s">
        <v>18</v>
      </c>
      <c r="E10310" s="12" t="s">
        <v>1490</v>
      </c>
      <c r="F10310" s="12" t="s">
        <v>1491</v>
      </c>
      <c r="G10310" s="12" t="s">
        <v>46</v>
      </c>
      <c r="H10310" s="11" t="s">
        <v>63</v>
      </c>
      <c r="I10310" s="13" t="s">
        <v>20527</v>
      </c>
      <c r="J10310" s="14" t="str">
        <f>HYPERLINK("https://www.boe.es/gazeta/dias/1839/02/27/pdfs/GMD-1839-1565.pdf#page=3","Abrir facsímil")</f>
        <v>Abrir facsímil</v>
      </c>
      <c r="K10310" s="12" t="s">
        <v>65</v>
      </c>
    </row>
    <row r="10311" spans="1:11" ht="40.049999999999997" customHeight="1" x14ac:dyDescent="0.25">
      <c r="A10311" s="11" t="s">
        <v>20509</v>
      </c>
      <c r="B10311" s="11" t="s">
        <v>20509</v>
      </c>
      <c r="C10311" s="11" t="s">
        <v>17</v>
      </c>
      <c r="D10311" s="11" t="s">
        <v>43</v>
      </c>
      <c r="E10311" s="12" t="s">
        <v>912</v>
      </c>
      <c r="F10311" s="12" t="s">
        <v>913</v>
      </c>
      <c r="G10311" s="12" t="s">
        <v>21</v>
      </c>
      <c r="H10311" s="11" t="s">
        <v>63</v>
      </c>
      <c r="I10311" s="13" t="s">
        <v>20528</v>
      </c>
      <c r="J10311" s="14" t="str">
        <f>HYPERLINK("https://www.boe.es/gazeta/dias/1839/04/30/pdfs/GMD-1839-1627.pdf#page=4","Abrir facsímil")</f>
        <v>Abrir facsímil</v>
      </c>
      <c r="K10311" s="12" t="s">
        <v>65</v>
      </c>
    </row>
    <row r="10312" spans="1:11" ht="40.049999999999997" customHeight="1" x14ac:dyDescent="0.25">
      <c r="A10312" s="11" t="s">
        <v>20529</v>
      </c>
      <c r="B10312" s="11" t="s">
        <v>20530</v>
      </c>
      <c r="C10312" s="11" t="s">
        <v>17</v>
      </c>
      <c r="D10312" s="11" t="s">
        <v>18</v>
      </c>
      <c r="E10312" s="12" t="s">
        <v>1623</v>
      </c>
      <c r="F10312" s="12" t="s">
        <v>1624</v>
      </c>
      <c r="G10312" s="12" t="s">
        <v>46</v>
      </c>
      <c r="H10312" s="11" t="s">
        <v>63</v>
      </c>
      <c r="I10312" s="13" t="s">
        <v>20531</v>
      </c>
      <c r="J10312" s="14" t="str">
        <f>HYPERLINK("https://www.boe.es/gazeta/dias/1839/04/07/pdfs/GMD-1839-1604.pdf#page=3","Abrir facsímil")</f>
        <v>Abrir facsímil</v>
      </c>
      <c r="K10312" s="12" t="s">
        <v>65</v>
      </c>
    </row>
    <row r="10313" spans="1:11" ht="40.049999999999997" customHeight="1" x14ac:dyDescent="0.25">
      <c r="A10313" s="11" t="s">
        <v>20532</v>
      </c>
      <c r="B10313" s="11" t="s">
        <v>20532</v>
      </c>
      <c r="C10313" s="11" t="s">
        <v>80</v>
      </c>
      <c r="D10313" s="11" t="s">
        <v>18</v>
      </c>
      <c r="E10313" s="12" t="s">
        <v>870</v>
      </c>
      <c r="F10313" s="12" t="s">
        <v>871</v>
      </c>
      <c r="G10313" s="12" t="s">
        <v>21</v>
      </c>
      <c r="H10313" s="11" t="s">
        <v>63</v>
      </c>
      <c r="I10313" s="13" t="s">
        <v>20533</v>
      </c>
      <c r="J10313" s="14" t="str">
        <f>HYPERLINK("https://www.boe.es/gazeta/dias/1839/04/18/pdfs/GMD-1839-1615.pdf#page=4","Abrir facsímil")</f>
        <v>Abrir facsímil</v>
      </c>
      <c r="K10313" s="12" t="s">
        <v>65</v>
      </c>
    </row>
    <row r="10314" spans="1:11" ht="40.049999999999997" customHeight="1" x14ac:dyDescent="0.25">
      <c r="A10314" s="11" t="s">
        <v>20534</v>
      </c>
      <c r="B10314" s="11" t="s">
        <v>20534</v>
      </c>
      <c r="C10314" s="11" t="s">
        <v>59</v>
      </c>
      <c r="D10314" s="11" t="s">
        <v>60</v>
      </c>
      <c r="E10314" s="12" t="s">
        <v>1139</v>
      </c>
      <c r="F10314" s="12" t="s">
        <v>1140</v>
      </c>
      <c r="G10314" s="12" t="s">
        <v>21</v>
      </c>
      <c r="H10314" s="11" t="s">
        <v>63</v>
      </c>
      <c r="I10314" s="13" t="s">
        <v>20535</v>
      </c>
      <c r="J10314" s="14" t="str">
        <f>HYPERLINK("https://www.boe.es/gazeta/dias/1839/02/15/pdfs/GMD-1839-1553.pdf#page=4","Abrir facsímil")</f>
        <v>Abrir facsímil</v>
      </c>
      <c r="K10314" s="12" t="s">
        <v>65</v>
      </c>
    </row>
    <row r="10315" spans="1:11" ht="40.049999999999997" customHeight="1" x14ac:dyDescent="0.25">
      <c r="A10315" s="11" t="s">
        <v>20536</v>
      </c>
      <c r="B10315" s="11" t="s">
        <v>20536</v>
      </c>
      <c r="C10315" s="11" t="s">
        <v>17</v>
      </c>
      <c r="D10315" s="11" t="s">
        <v>18</v>
      </c>
      <c r="E10315" s="12" t="s">
        <v>596</v>
      </c>
      <c r="F10315" s="12" t="s">
        <v>597</v>
      </c>
      <c r="G10315" s="12" t="s">
        <v>21</v>
      </c>
      <c r="H10315" s="11" t="s">
        <v>63</v>
      </c>
      <c r="I10315" s="13" t="s">
        <v>20537</v>
      </c>
      <c r="J10315" s="14" t="str">
        <f>HYPERLINK("https://www.boe.es/gazeta/dias/1839/01/23/pdfs/GMD-1839-1530.pdf#page=4","Abrir facsímil")</f>
        <v>Abrir facsímil</v>
      </c>
      <c r="K10315" s="12" t="s">
        <v>65</v>
      </c>
    </row>
    <row r="10316" spans="1:11" ht="40.049999999999997" customHeight="1" x14ac:dyDescent="0.25">
      <c r="A10316" s="11" t="s">
        <v>20538</v>
      </c>
      <c r="B10316" s="11" t="s">
        <v>20538</v>
      </c>
      <c r="C10316" s="11" t="s">
        <v>17</v>
      </c>
      <c r="D10316" s="11" t="s">
        <v>18</v>
      </c>
      <c r="E10316" s="12" t="s">
        <v>38</v>
      </c>
      <c r="F10316" s="12" t="s">
        <v>39</v>
      </c>
      <c r="G10316" s="12" t="s">
        <v>40</v>
      </c>
      <c r="H10316" s="11" t="s">
        <v>63</v>
      </c>
      <c r="I10316" s="13" t="s">
        <v>20539</v>
      </c>
      <c r="J10316" s="14" t="str">
        <f>HYPERLINK("https://www.boe.es/gazeta/dias/1839/08/08/pdfs/GMD-1839-1728.pdf#page=2","Abrir facsímil")</f>
        <v>Abrir facsímil</v>
      </c>
      <c r="K10316" s="12" t="s">
        <v>65</v>
      </c>
    </row>
    <row r="10317" spans="1:11" ht="40.049999999999997" customHeight="1" x14ac:dyDescent="0.25">
      <c r="A10317" s="11" t="s">
        <v>20540</v>
      </c>
      <c r="B10317" s="11" t="s">
        <v>20540</v>
      </c>
      <c r="C10317" s="11" t="s">
        <v>17</v>
      </c>
      <c r="D10317" s="11" t="s">
        <v>18</v>
      </c>
      <c r="E10317" s="12" t="s">
        <v>141</v>
      </c>
      <c r="F10317" s="12" t="s">
        <v>142</v>
      </c>
      <c r="G10317" s="12" t="s">
        <v>46</v>
      </c>
      <c r="H10317" s="11" t="s">
        <v>63</v>
      </c>
      <c r="I10317" s="13" t="s">
        <v>20541</v>
      </c>
      <c r="J10317" s="14" t="str">
        <f>HYPERLINK("https://www.boe.es/gazeta/dias/1839/11/10/pdfs/GMD-1839-1827.pdf#page=3","Abrir facsímil")</f>
        <v>Abrir facsímil</v>
      </c>
      <c r="K10317" s="12" t="s">
        <v>65</v>
      </c>
    </row>
    <row r="10318" spans="1:11" ht="40.049999999999997" customHeight="1" x14ac:dyDescent="0.25">
      <c r="A10318" s="11" t="s">
        <v>20542</v>
      </c>
      <c r="B10318" s="11" t="s">
        <v>20543</v>
      </c>
      <c r="C10318" s="11" t="s">
        <v>17</v>
      </c>
      <c r="D10318" s="11" t="s">
        <v>18</v>
      </c>
      <c r="E10318" s="12" t="s">
        <v>4044</v>
      </c>
      <c r="F10318" s="12" t="s">
        <v>4045</v>
      </c>
      <c r="G10318" s="12" t="s">
        <v>21</v>
      </c>
      <c r="H10318" s="11" t="s">
        <v>63</v>
      </c>
      <c r="I10318" s="13" t="s">
        <v>20544</v>
      </c>
      <c r="J10318" s="14" t="str">
        <f>HYPERLINK("https://www.boe.es/gazeta/dias/1839/01/07/pdfs/GMD-1839-1514.pdf#page=4","Abrir facsímil")</f>
        <v>Abrir facsímil</v>
      </c>
      <c r="K10318" s="12" t="s">
        <v>65</v>
      </c>
    </row>
    <row r="10319" spans="1:11" ht="40.049999999999997" customHeight="1" x14ac:dyDescent="0.25">
      <c r="A10319" s="11" t="s">
        <v>20542</v>
      </c>
      <c r="B10319" s="11" t="s">
        <v>20543</v>
      </c>
      <c r="C10319" s="11" t="s">
        <v>80</v>
      </c>
      <c r="D10319" s="11" t="s">
        <v>18</v>
      </c>
      <c r="E10319" s="12" t="s">
        <v>160</v>
      </c>
      <c r="F10319" s="12" t="s">
        <v>161</v>
      </c>
      <c r="G10319" s="12" t="s">
        <v>21</v>
      </c>
      <c r="H10319" s="11" t="s">
        <v>63</v>
      </c>
      <c r="I10319" s="13" t="s">
        <v>20545</v>
      </c>
      <c r="J10319" s="14" t="str">
        <f>HYPERLINK("https://www.boe.es/gazeta/dias/1839/01/10/pdfs/GMD-1839-1517.pdf#page=4","Abrir facsímil")</f>
        <v>Abrir facsímil</v>
      </c>
      <c r="K10319" s="12" t="s">
        <v>65</v>
      </c>
    </row>
    <row r="10320" spans="1:11" ht="40.049999999999997" customHeight="1" x14ac:dyDescent="0.25">
      <c r="A10320" s="11" t="s">
        <v>20542</v>
      </c>
      <c r="B10320" s="11" t="s">
        <v>20543</v>
      </c>
      <c r="C10320" s="11" t="s">
        <v>17</v>
      </c>
      <c r="D10320" s="11" t="s">
        <v>18</v>
      </c>
      <c r="E10320" s="12" t="s">
        <v>1703</v>
      </c>
      <c r="F10320" s="12" t="s">
        <v>1704</v>
      </c>
      <c r="G10320" s="12" t="s">
        <v>21</v>
      </c>
      <c r="H10320" s="11" t="s">
        <v>63</v>
      </c>
      <c r="I10320" s="13" t="s">
        <v>20546</v>
      </c>
      <c r="J10320" s="14" t="str">
        <f>HYPERLINK("https://www.boe.es/gazeta/dias/1839/01/21/pdfs/GMD-1839-1528.pdf#page=4","Abrir facsímil")</f>
        <v>Abrir facsímil</v>
      </c>
      <c r="K10320" s="12" t="s">
        <v>65</v>
      </c>
    </row>
    <row r="10321" spans="1:11" ht="40.049999999999997" customHeight="1" x14ac:dyDescent="0.25">
      <c r="A10321" s="11" t="s">
        <v>20542</v>
      </c>
      <c r="B10321" s="11" t="s">
        <v>20543</v>
      </c>
      <c r="C10321" s="11" t="s">
        <v>17</v>
      </c>
      <c r="D10321" s="11" t="s">
        <v>18</v>
      </c>
      <c r="E10321" s="12" t="s">
        <v>844</v>
      </c>
      <c r="F10321" s="12" t="s">
        <v>845</v>
      </c>
      <c r="G10321" s="12" t="s">
        <v>21</v>
      </c>
      <c r="H10321" s="11" t="s">
        <v>63</v>
      </c>
      <c r="I10321" s="13" t="s">
        <v>20547</v>
      </c>
      <c r="J10321" s="14" t="str">
        <f>HYPERLINK("https://www.boe.es/gazeta/dias/1839/12/24/pdfs/GMD-1839-1871.pdf#page=4","Abrir facsímil")</f>
        <v>Abrir facsímil</v>
      </c>
      <c r="K10321" s="12" t="s">
        <v>65</v>
      </c>
    </row>
    <row r="10322" spans="1:11" ht="40.049999999999997" customHeight="1" x14ac:dyDescent="0.25">
      <c r="A10322" s="11" t="s">
        <v>20542</v>
      </c>
      <c r="B10322" s="11" t="s">
        <v>20543</v>
      </c>
      <c r="C10322" s="11" t="s">
        <v>101</v>
      </c>
      <c r="D10322" s="11" t="s">
        <v>43</v>
      </c>
      <c r="E10322" s="12" t="s">
        <v>926</v>
      </c>
      <c r="F10322" s="12" t="s">
        <v>927</v>
      </c>
      <c r="G10322" s="12" t="s">
        <v>21</v>
      </c>
      <c r="H10322" s="11" t="s">
        <v>63</v>
      </c>
      <c r="I10322" s="13" t="s">
        <v>20548</v>
      </c>
      <c r="J10322" s="14" t="str">
        <f>HYPERLINK("https://www.boe.es/gazeta/dias/1839/01/25/pdfs/GMD-1839-1532.pdf#page=4","Abrir facsímil")</f>
        <v>Abrir facsímil</v>
      </c>
      <c r="K10322" s="12" t="s">
        <v>65</v>
      </c>
    </row>
    <row r="10323" spans="1:11" ht="40.049999999999997" customHeight="1" x14ac:dyDescent="0.25">
      <c r="A10323" s="11" t="s">
        <v>20542</v>
      </c>
      <c r="B10323" s="11" t="s">
        <v>20543</v>
      </c>
      <c r="C10323" s="11" t="s">
        <v>17</v>
      </c>
      <c r="D10323" s="11" t="s">
        <v>18</v>
      </c>
      <c r="E10323" s="12" t="s">
        <v>2522</v>
      </c>
      <c r="F10323" s="12" t="s">
        <v>2523</v>
      </c>
      <c r="G10323" s="12" t="s">
        <v>21</v>
      </c>
      <c r="H10323" s="11" t="s">
        <v>63</v>
      </c>
      <c r="I10323" s="13" t="s">
        <v>20549</v>
      </c>
      <c r="J10323" s="14" t="str">
        <f>HYPERLINK("https://www.boe.es/gazeta/dias/1839/12/29/pdfs/GMD-1839-1876.pdf#page=4","Abrir facsímil")</f>
        <v>Abrir facsímil</v>
      </c>
      <c r="K10323" s="12" t="s">
        <v>65</v>
      </c>
    </row>
    <row r="10324" spans="1:11" ht="40.049999999999997" customHeight="1" x14ac:dyDescent="0.25">
      <c r="A10324" s="11" t="s">
        <v>20550</v>
      </c>
      <c r="B10324" s="11" t="s">
        <v>20550</v>
      </c>
      <c r="C10324" s="11" t="s">
        <v>17</v>
      </c>
      <c r="D10324" s="11" t="s">
        <v>18</v>
      </c>
      <c r="E10324" s="12" t="s">
        <v>185</v>
      </c>
      <c r="F10324" s="12" t="s">
        <v>186</v>
      </c>
      <c r="G10324" s="12" t="s">
        <v>21</v>
      </c>
      <c r="H10324" s="11" t="s">
        <v>63</v>
      </c>
      <c r="I10324" s="13" t="s">
        <v>20551</v>
      </c>
      <c r="J10324" s="14" t="str">
        <f>HYPERLINK("https://www.boe.es/gazeta/dias/1839/01/15/pdfs/GMD-1839-1522.pdf#page=4","Abrir facsímil")</f>
        <v>Abrir facsímil</v>
      </c>
      <c r="K10324" s="12" t="s">
        <v>65</v>
      </c>
    </row>
    <row r="10325" spans="1:11" ht="40.049999999999997" customHeight="1" x14ac:dyDescent="0.25">
      <c r="A10325" s="11" t="s">
        <v>20552</v>
      </c>
      <c r="B10325" s="11" t="s">
        <v>20553</v>
      </c>
      <c r="C10325" s="11" t="s">
        <v>17</v>
      </c>
      <c r="D10325" s="11" t="s">
        <v>18</v>
      </c>
      <c r="E10325" s="12" t="s">
        <v>1072</v>
      </c>
      <c r="F10325" s="12" t="s">
        <v>1073</v>
      </c>
      <c r="G10325" s="12" t="s">
        <v>21</v>
      </c>
      <c r="H10325" s="11" t="s">
        <v>63</v>
      </c>
      <c r="I10325" s="13" t="s">
        <v>20554</v>
      </c>
      <c r="J10325" s="14" t="str">
        <f>HYPERLINK("https://www.boe.es/gazeta/dias/1839/01/18/pdfs/GMD-1839-1525.pdf#page=4","Abrir facsímil")</f>
        <v>Abrir facsímil</v>
      </c>
      <c r="K10325" s="12" t="s">
        <v>65</v>
      </c>
    </row>
    <row r="10326" spans="1:11" ht="40.049999999999997" customHeight="1" x14ac:dyDescent="0.25">
      <c r="A10326" s="11" t="s">
        <v>20555</v>
      </c>
      <c r="B10326" s="11" t="s">
        <v>20556</v>
      </c>
      <c r="C10326" s="11" t="s">
        <v>101</v>
      </c>
      <c r="D10326" s="11" t="s">
        <v>102</v>
      </c>
      <c r="E10326" s="12" t="s">
        <v>236</v>
      </c>
      <c r="F10326" s="12" t="s">
        <v>237</v>
      </c>
      <c r="G10326" s="12" t="s">
        <v>21</v>
      </c>
      <c r="H10326" s="11" t="s">
        <v>63</v>
      </c>
      <c r="I10326" s="13" t="s">
        <v>20557</v>
      </c>
      <c r="J10326" s="14" t="str">
        <f>HYPERLINK("https://www.boe.es/gazeta/dias/1839/09/18/pdfs/GMD-1839-1771.pdf#page=4","Abrir facsímil")</f>
        <v>Abrir facsímil</v>
      </c>
      <c r="K10326" s="12" t="s">
        <v>65</v>
      </c>
    </row>
    <row r="10327" spans="1:11" ht="40.049999999999997" customHeight="1" x14ac:dyDescent="0.25">
      <c r="A10327" s="11" t="s">
        <v>20558</v>
      </c>
      <c r="B10327" s="11" t="s">
        <v>20558</v>
      </c>
      <c r="C10327" s="11" t="s">
        <v>17</v>
      </c>
      <c r="D10327" s="11" t="s">
        <v>18</v>
      </c>
      <c r="E10327" s="12" t="s">
        <v>690</v>
      </c>
      <c r="F10327" s="12" t="s">
        <v>691</v>
      </c>
      <c r="G10327" s="12" t="s">
        <v>40</v>
      </c>
      <c r="H10327" s="11" t="s">
        <v>63</v>
      </c>
      <c r="I10327" s="13" t="s">
        <v>20559</v>
      </c>
      <c r="J10327" s="14" t="str">
        <f>HYPERLINK("https://www.boe.es/gazeta/dias/1839/12/08/pdfs/GMD-1839-1855.pdf#page=2","Abrir facsímil")</f>
        <v>Abrir facsímil</v>
      </c>
      <c r="K10327" s="12" t="s">
        <v>65</v>
      </c>
    </row>
    <row r="10328" spans="1:11" ht="40.049999999999997" customHeight="1" x14ac:dyDescent="0.25">
      <c r="A10328" s="11" t="s">
        <v>20560</v>
      </c>
      <c r="B10328" s="11" t="s">
        <v>20560</v>
      </c>
      <c r="C10328" s="11" t="s">
        <v>59</v>
      </c>
      <c r="D10328" s="11" t="s">
        <v>60</v>
      </c>
      <c r="E10328" s="12" t="s">
        <v>984</v>
      </c>
      <c r="F10328" s="12" t="s">
        <v>985</v>
      </c>
      <c r="G10328" s="12" t="s">
        <v>46</v>
      </c>
      <c r="H10328" s="11" t="s">
        <v>63</v>
      </c>
      <c r="I10328" s="13" t="s">
        <v>20561</v>
      </c>
      <c r="J10328" s="14" t="str">
        <f>HYPERLINK("https://www.boe.es/gazeta/dias/1839/04/10/pdfs/GMD-1839-1607.pdf#page=3","Abrir facsímil")</f>
        <v>Abrir facsímil</v>
      </c>
      <c r="K10328" s="12" t="s">
        <v>65</v>
      </c>
    </row>
    <row r="10329" spans="1:11" ht="40.049999999999997" customHeight="1" x14ac:dyDescent="0.25">
      <c r="A10329" s="11" t="s">
        <v>20562</v>
      </c>
      <c r="B10329" s="11" t="s">
        <v>20563</v>
      </c>
      <c r="C10329" s="11" t="s">
        <v>80</v>
      </c>
      <c r="D10329" s="11" t="s">
        <v>173</v>
      </c>
      <c r="E10329" s="12" t="s">
        <v>1490</v>
      </c>
      <c r="F10329" s="12" t="s">
        <v>1491</v>
      </c>
      <c r="G10329" s="12" t="s">
        <v>29</v>
      </c>
      <c r="H10329" s="11" t="s">
        <v>63</v>
      </c>
      <c r="I10329" s="13" t="s">
        <v>20564</v>
      </c>
      <c r="J10329" s="14" t="str">
        <f>HYPERLINK("https://www.boe.es/gazeta/dias/1839/02/27/pdfs/GMD-1839-1565.pdf#page=1","Abrir facsímil")</f>
        <v>Abrir facsímil</v>
      </c>
      <c r="K10329" s="12" t="s">
        <v>65</v>
      </c>
    </row>
    <row r="10330" spans="1:11" ht="40.049999999999997" customHeight="1" x14ac:dyDescent="0.25">
      <c r="A10330" s="11" t="s">
        <v>20565</v>
      </c>
      <c r="B10330" s="11" t="s">
        <v>20566</v>
      </c>
      <c r="C10330" s="11" t="s">
        <v>59</v>
      </c>
      <c r="D10330" s="11" t="s">
        <v>60</v>
      </c>
      <c r="E10330" s="12" t="s">
        <v>462</v>
      </c>
      <c r="F10330" s="12" t="s">
        <v>463</v>
      </c>
      <c r="G10330" s="12" t="s">
        <v>21</v>
      </c>
      <c r="H10330" s="11" t="s">
        <v>63</v>
      </c>
      <c r="I10330" s="13" t="s">
        <v>20567</v>
      </c>
      <c r="J10330" s="14" t="str">
        <f>HYPERLINK("https://www.boe.es/gazeta/dias/1839/06/19/pdfs/GMD-1839-1677.pdf#page=4","Abrir facsímil")</f>
        <v>Abrir facsímil</v>
      </c>
      <c r="K10330" s="12" t="s">
        <v>65</v>
      </c>
    </row>
    <row r="10331" spans="1:11" ht="40.049999999999997" customHeight="1" x14ac:dyDescent="0.25">
      <c r="A10331" s="11" t="s">
        <v>20568</v>
      </c>
      <c r="B10331" s="11" t="s">
        <v>20568</v>
      </c>
      <c r="C10331" s="11" t="s">
        <v>17</v>
      </c>
      <c r="D10331" s="11" t="s">
        <v>18</v>
      </c>
      <c r="E10331" s="12" t="s">
        <v>212</v>
      </c>
      <c r="F10331" s="12" t="s">
        <v>213</v>
      </c>
      <c r="G10331" s="12" t="s">
        <v>29</v>
      </c>
      <c r="H10331" s="11" t="s">
        <v>63</v>
      </c>
      <c r="I10331" s="13" t="s">
        <v>20569</v>
      </c>
      <c r="J10331" s="14" t="str">
        <f>HYPERLINK("https://www.boe.es/gazeta/dias/1839/10/03/pdfs/GMD-1839-1789.pdf#page=1","Abrir facsímil")</f>
        <v>Abrir facsímil</v>
      </c>
      <c r="K10331" s="12" t="s">
        <v>65</v>
      </c>
    </row>
    <row r="10332" spans="1:11" ht="40.049999999999997" customHeight="1" x14ac:dyDescent="0.25">
      <c r="A10332" s="11" t="s">
        <v>20568</v>
      </c>
      <c r="B10332" s="11" t="s">
        <v>20568</v>
      </c>
      <c r="C10332" s="11" t="s">
        <v>17</v>
      </c>
      <c r="D10332" s="11" t="s">
        <v>18</v>
      </c>
      <c r="E10332" s="12" t="s">
        <v>1623</v>
      </c>
      <c r="F10332" s="12" t="s">
        <v>1624</v>
      </c>
      <c r="G10332" s="12" t="s">
        <v>40</v>
      </c>
      <c r="H10332" s="11" t="s">
        <v>63</v>
      </c>
      <c r="I10332" s="13" t="s">
        <v>20570</v>
      </c>
      <c r="J10332" s="14" t="str">
        <f>HYPERLINK("https://www.boe.es/gazeta/dias/1839/04/07/pdfs/GMD-1839-1604.pdf#page=2","Abrir facsímil")</f>
        <v>Abrir facsímil</v>
      </c>
      <c r="K10332" s="12" t="s">
        <v>65</v>
      </c>
    </row>
    <row r="10333" spans="1:11" ht="40.049999999999997" customHeight="1" x14ac:dyDescent="0.25">
      <c r="A10333" s="11" t="s">
        <v>20568</v>
      </c>
      <c r="B10333" s="11" t="s">
        <v>20568</v>
      </c>
      <c r="C10333" s="11" t="s">
        <v>80</v>
      </c>
      <c r="D10333" s="11" t="s">
        <v>18</v>
      </c>
      <c r="E10333" s="12" t="s">
        <v>2881</v>
      </c>
      <c r="F10333" s="12" t="s">
        <v>2882</v>
      </c>
      <c r="G10333" s="12" t="s">
        <v>21</v>
      </c>
      <c r="H10333" s="11" t="s">
        <v>63</v>
      </c>
      <c r="I10333" s="13" t="s">
        <v>20571</v>
      </c>
      <c r="J10333" s="14" t="str">
        <f>HYPERLINK("https://www.boe.es/gazeta/dias/1839/05/08/pdfs/GMD-1839-1635.pdf#page=4","Abrir facsímil")</f>
        <v>Abrir facsímil</v>
      </c>
      <c r="K10333" s="12" t="s">
        <v>65</v>
      </c>
    </row>
    <row r="10334" spans="1:11" ht="40.049999999999997" customHeight="1" x14ac:dyDescent="0.25">
      <c r="A10334" s="11" t="s">
        <v>20568</v>
      </c>
      <c r="B10334" s="11" t="s">
        <v>20568</v>
      </c>
      <c r="C10334" s="11" t="s">
        <v>17</v>
      </c>
      <c r="D10334" s="11" t="s">
        <v>18</v>
      </c>
      <c r="E10334" s="12" t="s">
        <v>744</v>
      </c>
      <c r="F10334" s="12" t="s">
        <v>745</v>
      </c>
      <c r="G10334" s="12" t="s">
        <v>21</v>
      </c>
      <c r="H10334" s="11" t="s">
        <v>63</v>
      </c>
      <c r="I10334" s="13" t="s">
        <v>20572</v>
      </c>
      <c r="J10334" s="14" t="str">
        <f>HYPERLINK("https://www.boe.es/gazeta/dias/1839/12/09/pdfs/GMD-1839-1856.pdf#page=4","Abrir facsímil")</f>
        <v>Abrir facsímil</v>
      </c>
      <c r="K10334" s="12" t="s">
        <v>65</v>
      </c>
    </row>
    <row r="10335" spans="1:11" ht="40.049999999999997" customHeight="1" x14ac:dyDescent="0.25">
      <c r="A10335" s="11" t="s">
        <v>20568</v>
      </c>
      <c r="B10335" s="11" t="s">
        <v>20568</v>
      </c>
      <c r="C10335" s="11" t="s">
        <v>80</v>
      </c>
      <c r="D10335" s="11" t="s">
        <v>18</v>
      </c>
      <c r="E10335" s="12" t="s">
        <v>330</v>
      </c>
      <c r="F10335" s="12" t="s">
        <v>331</v>
      </c>
      <c r="G10335" s="12" t="s">
        <v>21</v>
      </c>
      <c r="H10335" s="11" t="s">
        <v>63</v>
      </c>
      <c r="I10335" s="13" t="s">
        <v>20573</v>
      </c>
      <c r="J10335" s="14" t="str">
        <f>HYPERLINK("https://www.boe.es/gazeta/dias/1839/04/11/pdfs/GMD-1839-1608.pdf#page=4","Abrir facsímil")</f>
        <v>Abrir facsímil</v>
      </c>
      <c r="K10335" s="12" t="s">
        <v>65</v>
      </c>
    </row>
    <row r="10336" spans="1:11" ht="40.049999999999997" customHeight="1" x14ac:dyDescent="0.25">
      <c r="A10336" s="11" t="s">
        <v>20568</v>
      </c>
      <c r="B10336" s="11" t="s">
        <v>20568</v>
      </c>
      <c r="C10336" s="11" t="s">
        <v>59</v>
      </c>
      <c r="D10336" s="11" t="s">
        <v>60</v>
      </c>
      <c r="E10336" s="12" t="s">
        <v>870</v>
      </c>
      <c r="F10336" s="12" t="s">
        <v>871</v>
      </c>
      <c r="G10336" s="12" t="s">
        <v>21</v>
      </c>
      <c r="H10336" s="11" t="s">
        <v>63</v>
      </c>
      <c r="I10336" s="13" t="s">
        <v>20574</v>
      </c>
      <c r="J10336" s="14" t="str">
        <f>HYPERLINK("https://www.boe.es/gazeta/dias/1839/04/18/pdfs/GMD-1839-1615.pdf#page=4","Abrir facsímil")</f>
        <v>Abrir facsímil</v>
      </c>
      <c r="K10336" s="12" t="s">
        <v>65</v>
      </c>
    </row>
    <row r="10337" spans="1:11" ht="40.049999999999997" customHeight="1" x14ac:dyDescent="0.25">
      <c r="A10337" s="11" t="s">
        <v>20568</v>
      </c>
      <c r="B10337" s="11" t="s">
        <v>20568</v>
      </c>
      <c r="C10337" s="11" t="s">
        <v>17</v>
      </c>
      <c r="D10337" s="11" t="s">
        <v>18</v>
      </c>
      <c r="E10337" s="12" t="s">
        <v>1183</v>
      </c>
      <c r="F10337" s="12" t="s">
        <v>1184</v>
      </c>
      <c r="G10337" s="12" t="s">
        <v>21</v>
      </c>
      <c r="H10337" s="11" t="s">
        <v>63</v>
      </c>
      <c r="I10337" s="13" t="s">
        <v>20575</v>
      </c>
      <c r="J10337" s="14" t="str">
        <f>HYPERLINK("https://www.boe.es/gazeta/dias/1839/07/26/pdfs/GMD-1839-1715.pdf#page=4","Abrir facsímil")</f>
        <v>Abrir facsímil</v>
      </c>
      <c r="K10337" s="12" t="s">
        <v>65</v>
      </c>
    </row>
    <row r="10338" spans="1:11" ht="40.049999999999997" customHeight="1" x14ac:dyDescent="0.25">
      <c r="A10338" s="11" t="s">
        <v>20568</v>
      </c>
      <c r="B10338" s="11" t="s">
        <v>20568</v>
      </c>
      <c r="C10338" s="11" t="s">
        <v>137</v>
      </c>
      <c r="D10338" s="11" t="s">
        <v>18</v>
      </c>
      <c r="E10338" s="12" t="s">
        <v>1685</v>
      </c>
      <c r="F10338" s="12" t="s">
        <v>1686</v>
      </c>
      <c r="G10338" s="12" t="s">
        <v>21</v>
      </c>
      <c r="H10338" s="11" t="s">
        <v>63</v>
      </c>
      <c r="I10338" s="13" t="s">
        <v>20576</v>
      </c>
      <c r="J10338" s="14" t="str">
        <f>HYPERLINK("https://www.boe.es/gazeta/dias/1839/04/27/pdfs/GMD-1839-1624.pdf#page=4","Abrir facsímil")</f>
        <v>Abrir facsímil</v>
      </c>
      <c r="K10338" s="12" t="s">
        <v>65</v>
      </c>
    </row>
    <row r="10339" spans="1:11" ht="40.049999999999997" customHeight="1" x14ac:dyDescent="0.25">
      <c r="A10339" s="11" t="s">
        <v>20568</v>
      </c>
      <c r="B10339" s="11" t="s">
        <v>20568</v>
      </c>
      <c r="C10339" s="11" t="s">
        <v>17</v>
      </c>
      <c r="D10339" s="11" t="s">
        <v>18</v>
      </c>
      <c r="E10339" s="12" t="s">
        <v>89</v>
      </c>
      <c r="F10339" s="12" t="s">
        <v>90</v>
      </c>
      <c r="G10339" s="12" t="s">
        <v>29</v>
      </c>
      <c r="H10339" s="11" t="s">
        <v>63</v>
      </c>
      <c r="I10339" s="13" t="s">
        <v>20577</v>
      </c>
      <c r="J10339" s="14" t="str">
        <f>HYPERLINK("https://www.boe.es/gazeta/dias/1839/11/28/pdfs/GMD-1839-1845.pdf#page=1","Abrir facsímil")</f>
        <v>Abrir facsímil</v>
      </c>
      <c r="K10339" s="12" t="s">
        <v>65</v>
      </c>
    </row>
    <row r="10340" spans="1:11" ht="40.049999999999997" customHeight="1" x14ac:dyDescent="0.25">
      <c r="A10340" s="11" t="s">
        <v>20568</v>
      </c>
      <c r="B10340" s="11" t="s">
        <v>20568</v>
      </c>
      <c r="C10340" s="11" t="s">
        <v>17</v>
      </c>
      <c r="D10340" s="11" t="s">
        <v>18</v>
      </c>
      <c r="E10340" s="12" t="s">
        <v>1523</v>
      </c>
      <c r="F10340" s="12" t="s">
        <v>1524</v>
      </c>
      <c r="G10340" s="12" t="s">
        <v>29</v>
      </c>
      <c r="H10340" s="11" t="s">
        <v>63</v>
      </c>
      <c r="I10340" s="13" t="s">
        <v>20578</v>
      </c>
      <c r="J10340" s="14" t="str">
        <f>HYPERLINK("https://www.boe.es/gazeta/dias/1839/08/29/pdfs/GMD-1839-1750.pdf#page=1","Abrir facsímil")</f>
        <v>Abrir facsímil</v>
      </c>
      <c r="K10340" s="12" t="s">
        <v>65</v>
      </c>
    </row>
    <row r="10341" spans="1:11" ht="40.049999999999997" customHeight="1" x14ac:dyDescent="0.25">
      <c r="A10341" s="11" t="s">
        <v>20568</v>
      </c>
      <c r="B10341" s="11" t="s">
        <v>20568</v>
      </c>
      <c r="C10341" s="11" t="s">
        <v>17</v>
      </c>
      <c r="D10341" s="11" t="s">
        <v>18</v>
      </c>
      <c r="E10341" s="12" t="s">
        <v>1551</v>
      </c>
      <c r="F10341" s="12" t="s">
        <v>1552</v>
      </c>
      <c r="G10341" s="12" t="s">
        <v>40</v>
      </c>
      <c r="H10341" s="11" t="s">
        <v>63</v>
      </c>
      <c r="I10341" s="13" t="s">
        <v>20579</v>
      </c>
      <c r="J10341" s="14" t="str">
        <f>HYPERLINK("https://www.boe.es/gazeta/dias/1839/06/30/pdfs/GMD-1839-1688.pdf#page=2","Abrir facsímil")</f>
        <v>Abrir facsímil</v>
      </c>
      <c r="K10341" s="12" t="s">
        <v>65</v>
      </c>
    </row>
    <row r="10342" spans="1:11" ht="40.049999999999997" customHeight="1" x14ac:dyDescent="0.25">
      <c r="A10342" s="11" t="s">
        <v>20580</v>
      </c>
      <c r="B10342" s="11" t="s">
        <v>20581</v>
      </c>
      <c r="C10342" s="11" t="s">
        <v>17</v>
      </c>
      <c r="D10342" s="11" t="s">
        <v>18</v>
      </c>
      <c r="E10342" s="12" t="s">
        <v>38</v>
      </c>
      <c r="F10342" s="12" t="s">
        <v>39</v>
      </c>
      <c r="G10342" s="12" t="s">
        <v>21</v>
      </c>
      <c r="H10342" s="11" t="s">
        <v>22</v>
      </c>
      <c r="I10342" s="13" t="s">
        <v>20582</v>
      </c>
      <c r="J10342" s="14" t="str">
        <f>HYPERLINK("https://www.boe.es/gazeta/dias/1839/08/08/pdfs/GMD-1839-1728.pdf#page=4","Abrir facsímil")</f>
        <v>Abrir facsímil</v>
      </c>
      <c r="K10342" s="12" t="s">
        <v>24</v>
      </c>
    </row>
    <row r="10343" spans="1:11" ht="40.049999999999997" customHeight="1" x14ac:dyDescent="0.25">
      <c r="A10343" s="11" t="s">
        <v>20583</v>
      </c>
      <c r="B10343" s="11" t="s">
        <v>20584</v>
      </c>
      <c r="C10343" s="11" t="s">
        <v>101</v>
      </c>
      <c r="D10343" s="11" t="s">
        <v>43</v>
      </c>
      <c r="E10343" s="12" t="s">
        <v>258</v>
      </c>
      <c r="F10343" s="12" t="s">
        <v>259</v>
      </c>
      <c r="G10343" s="12" t="s">
        <v>46</v>
      </c>
      <c r="H10343" s="11" t="s">
        <v>22</v>
      </c>
      <c r="I10343" s="13" t="s">
        <v>20585</v>
      </c>
      <c r="J10343" s="14" t="str">
        <f>HYPERLINK("https://www.boe.es/gazeta/dias/1839/01/02/pdfs/GMD-1839-1509.pdf#page=3","Abrir facsímil")</f>
        <v>Abrir facsímil</v>
      </c>
      <c r="K10343" s="12" t="s">
        <v>24</v>
      </c>
    </row>
    <row r="10344" spans="1:11" ht="40.049999999999997" customHeight="1" x14ac:dyDescent="0.25">
      <c r="A10344" s="11" t="s">
        <v>20586</v>
      </c>
      <c r="B10344" s="11" t="s">
        <v>20586</v>
      </c>
      <c r="C10344" s="11" t="s">
        <v>80</v>
      </c>
      <c r="D10344" s="11" t="s">
        <v>18</v>
      </c>
      <c r="E10344" s="12" t="s">
        <v>303</v>
      </c>
      <c r="F10344" s="12" t="s">
        <v>304</v>
      </c>
      <c r="G10344" s="12" t="s">
        <v>305</v>
      </c>
      <c r="H10344" s="11" t="s">
        <v>63</v>
      </c>
      <c r="I10344" s="13" t="s">
        <v>20587</v>
      </c>
      <c r="J10344" s="14" t="str">
        <f>HYPERLINK("https://www.boe.es/gazeta/dias/1839/10/06/pdfs/GMD-1839-1792.pdf#page=6","Abrir facsímil")</f>
        <v>Abrir facsímil</v>
      </c>
      <c r="K10344" s="12" t="s">
        <v>65</v>
      </c>
    </row>
    <row r="10345" spans="1:11" ht="40.049999999999997" customHeight="1" x14ac:dyDescent="0.25">
      <c r="A10345" s="11" t="s">
        <v>20588</v>
      </c>
      <c r="B10345" s="11" t="s">
        <v>20589</v>
      </c>
      <c r="C10345" s="11" t="s">
        <v>17</v>
      </c>
      <c r="D10345" s="11" t="s">
        <v>18</v>
      </c>
      <c r="E10345" s="12" t="s">
        <v>1460</v>
      </c>
      <c r="F10345" s="12" t="s">
        <v>1461</v>
      </c>
      <c r="G10345" s="12" t="s">
        <v>46</v>
      </c>
      <c r="H10345" s="11" t="s">
        <v>63</v>
      </c>
      <c r="I10345" s="13" t="s">
        <v>20590</v>
      </c>
      <c r="J10345" s="14" t="str">
        <f>HYPERLINK("https://www.boe.es/gazeta/dias/1839/03/01/pdfs/GMD-1839-1567.pdf#page=3","Abrir facsímil")</f>
        <v>Abrir facsímil</v>
      </c>
      <c r="K10345" s="12" t="s">
        <v>65</v>
      </c>
    </row>
    <row r="10346" spans="1:11" ht="40.049999999999997" customHeight="1" x14ac:dyDescent="0.25">
      <c r="A10346" s="11" t="s">
        <v>20591</v>
      </c>
      <c r="B10346" s="11" t="s">
        <v>20592</v>
      </c>
      <c r="C10346" s="11" t="s">
        <v>17</v>
      </c>
      <c r="D10346" s="11" t="s">
        <v>18</v>
      </c>
      <c r="E10346" s="12" t="s">
        <v>2738</v>
      </c>
      <c r="F10346" s="12" t="s">
        <v>2739</v>
      </c>
      <c r="G10346" s="12" t="s">
        <v>29</v>
      </c>
      <c r="H10346" s="11" t="s">
        <v>63</v>
      </c>
      <c r="I10346" s="13" t="s">
        <v>20593</v>
      </c>
      <c r="J10346" s="14" t="str">
        <f>HYPERLINK("https://www.boe.es/gazeta/dias/1839/09/06/pdfs/GMD-1839-1759.pdf#page=1","Abrir facsímil")</f>
        <v>Abrir facsímil</v>
      </c>
      <c r="K10346" s="12" t="s">
        <v>65</v>
      </c>
    </row>
    <row r="10347" spans="1:11" ht="40.049999999999997" customHeight="1" x14ac:dyDescent="0.25">
      <c r="A10347" s="11" t="s">
        <v>20594</v>
      </c>
      <c r="B10347" s="11" t="s">
        <v>20595</v>
      </c>
      <c r="C10347" s="11" t="s">
        <v>101</v>
      </c>
      <c r="D10347" s="11" t="s">
        <v>43</v>
      </c>
      <c r="E10347" s="12" t="s">
        <v>700</v>
      </c>
      <c r="F10347" s="12" t="s">
        <v>701</v>
      </c>
      <c r="G10347" s="12" t="s">
        <v>29</v>
      </c>
      <c r="H10347" s="11" t="s">
        <v>63</v>
      </c>
      <c r="I10347" s="13" t="s">
        <v>20596</v>
      </c>
      <c r="J10347" s="14" t="str">
        <f>HYPERLINK("https://www.boe.es/gazeta/dias/1839/09/01/pdfs/GMD-1839-1753.pdf#page=1","Abrir facsímil")</f>
        <v>Abrir facsímil</v>
      </c>
      <c r="K10347" s="12" t="s">
        <v>65</v>
      </c>
    </row>
    <row r="10348" spans="1:11" ht="40.049999999999997" customHeight="1" x14ac:dyDescent="0.25">
      <c r="A10348" s="11" t="s">
        <v>20594</v>
      </c>
      <c r="B10348" s="11" t="s">
        <v>20595</v>
      </c>
      <c r="C10348" s="11" t="s">
        <v>101</v>
      </c>
      <c r="D10348" s="11" t="s">
        <v>102</v>
      </c>
      <c r="E10348" s="12" t="s">
        <v>883</v>
      </c>
      <c r="F10348" s="12" t="s">
        <v>884</v>
      </c>
      <c r="G10348" s="12" t="s">
        <v>29</v>
      </c>
      <c r="H10348" s="11" t="s">
        <v>63</v>
      </c>
      <c r="I10348" s="13" t="s">
        <v>20597</v>
      </c>
      <c r="J10348" s="14" t="str">
        <f>HYPERLINK("https://www.boe.es/gazeta/dias/1839/11/03/pdfs/GMD-1839-1820.pdf#page=1","Abrir facsímil")</f>
        <v>Abrir facsímil</v>
      </c>
      <c r="K10348" s="12" t="s">
        <v>65</v>
      </c>
    </row>
    <row r="10349" spans="1:11" ht="40.049999999999997" customHeight="1" x14ac:dyDescent="0.25">
      <c r="A10349" s="11" t="s">
        <v>20594</v>
      </c>
      <c r="B10349" s="11" t="s">
        <v>20595</v>
      </c>
      <c r="C10349" s="11" t="s">
        <v>17</v>
      </c>
      <c r="D10349" s="11" t="s">
        <v>18</v>
      </c>
      <c r="E10349" s="12" t="s">
        <v>197</v>
      </c>
      <c r="F10349" s="12" t="s">
        <v>198</v>
      </c>
      <c r="G10349" s="12" t="s">
        <v>29</v>
      </c>
      <c r="H10349" s="11" t="s">
        <v>63</v>
      </c>
      <c r="I10349" s="13" t="s">
        <v>20598</v>
      </c>
      <c r="J10349" s="14" t="str">
        <f>HYPERLINK("https://www.boe.es/gazeta/dias/1839/10/04/pdfs/GMD-1839-1790.pdf#page=1","Abrir facsímil")</f>
        <v>Abrir facsímil</v>
      </c>
      <c r="K10349" s="12" t="s">
        <v>65</v>
      </c>
    </row>
    <row r="10350" spans="1:11" ht="40.049999999999997" customHeight="1" x14ac:dyDescent="0.25">
      <c r="A10350" s="11" t="s">
        <v>20594</v>
      </c>
      <c r="B10350" s="11" t="s">
        <v>20595</v>
      </c>
      <c r="C10350" s="11" t="s">
        <v>59</v>
      </c>
      <c r="D10350" s="11" t="s">
        <v>60</v>
      </c>
      <c r="E10350" s="12" t="s">
        <v>1340</v>
      </c>
      <c r="F10350" s="12" t="s">
        <v>1341</v>
      </c>
      <c r="G10350" s="12" t="s">
        <v>29</v>
      </c>
      <c r="H10350" s="11" t="s">
        <v>63</v>
      </c>
      <c r="I10350" s="13" t="s">
        <v>20599</v>
      </c>
      <c r="J10350" s="14" t="str">
        <f>HYPERLINK("https://www.boe.es/gazeta/dias/1839/05/05/pdfs/GMD-1839-1632.pdf#page=1","Abrir facsímil")</f>
        <v>Abrir facsímil</v>
      </c>
      <c r="K10350" s="12" t="s">
        <v>65</v>
      </c>
    </row>
    <row r="10351" spans="1:11" ht="40.049999999999997" customHeight="1" x14ac:dyDescent="0.25">
      <c r="A10351" s="11" t="s">
        <v>20594</v>
      </c>
      <c r="B10351" s="11" t="s">
        <v>20595</v>
      </c>
      <c r="C10351" s="11" t="s">
        <v>17</v>
      </c>
      <c r="D10351" s="11" t="s">
        <v>18</v>
      </c>
      <c r="E10351" s="12" t="s">
        <v>327</v>
      </c>
      <c r="F10351" s="12" t="s">
        <v>328</v>
      </c>
      <c r="G10351" s="12" t="s">
        <v>29</v>
      </c>
      <c r="H10351" s="11" t="s">
        <v>63</v>
      </c>
      <c r="I10351" s="13" t="s">
        <v>20600</v>
      </c>
      <c r="J10351" s="14" t="str">
        <f>HYPERLINK("https://www.boe.es/gazeta/dias/1839/08/05/pdfs/GMD-1839-1725.pdf#page=1","Abrir facsímil")</f>
        <v>Abrir facsímil</v>
      </c>
      <c r="K10351" s="12" t="s">
        <v>65</v>
      </c>
    </row>
    <row r="10352" spans="1:11" ht="40.049999999999997" customHeight="1" x14ac:dyDescent="0.25">
      <c r="A10352" s="11" t="s">
        <v>20594</v>
      </c>
      <c r="B10352" s="11" t="s">
        <v>20595</v>
      </c>
      <c r="C10352" s="11" t="s">
        <v>17</v>
      </c>
      <c r="D10352" s="11" t="s">
        <v>18</v>
      </c>
      <c r="E10352" s="12" t="s">
        <v>770</v>
      </c>
      <c r="F10352" s="12" t="s">
        <v>771</v>
      </c>
      <c r="G10352" s="12" t="s">
        <v>29</v>
      </c>
      <c r="H10352" s="11" t="s">
        <v>63</v>
      </c>
      <c r="I10352" s="13" t="s">
        <v>20601</v>
      </c>
      <c r="J10352" s="14" t="str">
        <f>HYPERLINK("https://www.boe.es/gazeta/dias/1839/12/05/pdfs/GMD-1839-1852.pdf#page=1","Abrir facsímil")</f>
        <v>Abrir facsímil</v>
      </c>
      <c r="K10352" s="12" t="s">
        <v>65</v>
      </c>
    </row>
    <row r="10353" spans="1:11" ht="40.049999999999997" customHeight="1" x14ac:dyDescent="0.25">
      <c r="A10353" s="11" t="s">
        <v>20594</v>
      </c>
      <c r="B10353" s="11" t="s">
        <v>20595</v>
      </c>
      <c r="C10353" s="11" t="s">
        <v>101</v>
      </c>
      <c r="D10353" s="11" t="s">
        <v>102</v>
      </c>
      <c r="E10353" s="12" t="s">
        <v>632</v>
      </c>
      <c r="F10353" s="12" t="s">
        <v>633</v>
      </c>
      <c r="G10353" s="12" t="s">
        <v>29</v>
      </c>
      <c r="H10353" s="11" t="s">
        <v>63</v>
      </c>
      <c r="I10353" s="13" t="s">
        <v>20602</v>
      </c>
      <c r="J10353" s="14" t="str">
        <f>HYPERLINK("https://www.boe.es/gazeta/dias/1839/04/06/pdfs/GMD-1839-1603.pdf#page=1","Abrir facsímil")</f>
        <v>Abrir facsímil</v>
      </c>
      <c r="K10353" s="12" t="s">
        <v>65</v>
      </c>
    </row>
    <row r="10354" spans="1:11" ht="40.049999999999997" customHeight="1" x14ac:dyDescent="0.25">
      <c r="A10354" s="11" t="s">
        <v>20594</v>
      </c>
      <c r="B10354" s="11" t="s">
        <v>20595</v>
      </c>
      <c r="C10354" s="11" t="s">
        <v>80</v>
      </c>
      <c r="D10354" s="11" t="s">
        <v>18</v>
      </c>
      <c r="E10354" s="12" t="s">
        <v>388</v>
      </c>
      <c r="F10354" s="12" t="s">
        <v>389</v>
      </c>
      <c r="G10354" s="12" t="s">
        <v>29</v>
      </c>
      <c r="H10354" s="11" t="s">
        <v>63</v>
      </c>
      <c r="I10354" s="13" t="s">
        <v>20603</v>
      </c>
      <c r="J10354" s="14" t="str">
        <f>HYPERLINK("https://www.boe.es/gazeta/dias/1839/08/07/pdfs/GMD-1839-1727.pdf#page=1","Abrir facsímil")</f>
        <v>Abrir facsímil</v>
      </c>
      <c r="K10354" s="12" t="s">
        <v>65</v>
      </c>
    </row>
    <row r="10355" spans="1:11" ht="40.049999999999997" customHeight="1" x14ac:dyDescent="0.25">
      <c r="A10355" s="11" t="s">
        <v>20594</v>
      </c>
      <c r="B10355" s="11" t="s">
        <v>20595</v>
      </c>
      <c r="C10355" s="11" t="s">
        <v>17</v>
      </c>
      <c r="D10355" s="11" t="s">
        <v>18</v>
      </c>
      <c r="E10355" s="12" t="s">
        <v>226</v>
      </c>
      <c r="F10355" s="12" t="s">
        <v>227</v>
      </c>
      <c r="G10355" s="12" t="s">
        <v>29</v>
      </c>
      <c r="H10355" s="11" t="s">
        <v>63</v>
      </c>
      <c r="I10355" s="13" t="s">
        <v>20604</v>
      </c>
      <c r="J10355" s="14" t="str">
        <f>HYPERLINK("https://www.boe.es/gazeta/dias/1839/06/09/pdfs/GMD-1839-1667.pdf#page=1","Abrir facsímil")</f>
        <v>Abrir facsímil</v>
      </c>
      <c r="K10355" s="12" t="s">
        <v>65</v>
      </c>
    </row>
    <row r="10356" spans="1:11" ht="40.049999999999997" customHeight="1" x14ac:dyDescent="0.25">
      <c r="A10356" s="11" t="s">
        <v>20594</v>
      </c>
      <c r="B10356" s="11" t="s">
        <v>20595</v>
      </c>
      <c r="C10356" s="11" t="s">
        <v>101</v>
      </c>
      <c r="D10356" s="11" t="s">
        <v>43</v>
      </c>
      <c r="E10356" s="12" t="s">
        <v>984</v>
      </c>
      <c r="F10356" s="12" t="s">
        <v>985</v>
      </c>
      <c r="G10356" s="12" t="s">
        <v>29</v>
      </c>
      <c r="H10356" s="11" t="s">
        <v>63</v>
      </c>
      <c r="I10356" s="13" t="s">
        <v>20605</v>
      </c>
      <c r="J10356" s="14" t="str">
        <f>HYPERLINK("https://www.boe.es/gazeta/dias/1839/04/10/pdfs/GMD-1839-1607.pdf#page=1","Abrir facsímil")</f>
        <v>Abrir facsímil</v>
      </c>
      <c r="K10356" s="12" t="s">
        <v>65</v>
      </c>
    </row>
    <row r="10357" spans="1:11" ht="40.049999999999997" customHeight="1" x14ac:dyDescent="0.25">
      <c r="A10357" s="11" t="s">
        <v>20594</v>
      </c>
      <c r="B10357" s="11" t="s">
        <v>20595</v>
      </c>
      <c r="C10357" s="11" t="s">
        <v>17</v>
      </c>
      <c r="D10357" s="11" t="s">
        <v>18</v>
      </c>
      <c r="E10357" s="12" t="s">
        <v>168</v>
      </c>
      <c r="F10357" s="12" t="s">
        <v>169</v>
      </c>
      <c r="G10357" s="12" t="s">
        <v>29</v>
      </c>
      <c r="H10357" s="11" t="s">
        <v>63</v>
      </c>
      <c r="I10357" s="13" t="s">
        <v>20606</v>
      </c>
      <c r="J10357" s="14" t="str">
        <f>HYPERLINK("https://www.boe.es/gazeta/dias/1839/07/12/pdfs/GMD-1839-1700.pdf#page=1","Abrir facsímil")</f>
        <v>Abrir facsímil</v>
      </c>
      <c r="K10357" s="12" t="s">
        <v>65</v>
      </c>
    </row>
    <row r="10358" spans="1:11" ht="40.049999999999997" customHeight="1" x14ac:dyDescent="0.25">
      <c r="A10358" s="11" t="s">
        <v>20594</v>
      </c>
      <c r="B10358" s="11" t="s">
        <v>20595</v>
      </c>
      <c r="C10358" s="11" t="s">
        <v>17</v>
      </c>
      <c r="D10358" s="11" t="s">
        <v>18</v>
      </c>
      <c r="E10358" s="12" t="s">
        <v>2919</v>
      </c>
      <c r="F10358" s="12" t="s">
        <v>2920</v>
      </c>
      <c r="G10358" s="12" t="s">
        <v>29</v>
      </c>
      <c r="H10358" s="11" t="s">
        <v>63</v>
      </c>
      <c r="I10358" s="13" t="s">
        <v>20607</v>
      </c>
      <c r="J10358" s="14" t="str">
        <f>HYPERLINK("https://www.boe.es/gazeta/dias/1839/11/12/pdfs/GMD-1839-1829.pdf#page=1","Abrir facsímil")</f>
        <v>Abrir facsímil</v>
      </c>
      <c r="K10358" s="12" t="s">
        <v>65</v>
      </c>
    </row>
    <row r="10359" spans="1:11" ht="40.049999999999997" customHeight="1" x14ac:dyDescent="0.25">
      <c r="A10359" s="11" t="s">
        <v>20594</v>
      </c>
      <c r="B10359" s="11" t="s">
        <v>20595</v>
      </c>
      <c r="C10359" s="11" t="s">
        <v>17</v>
      </c>
      <c r="D10359" s="11" t="s">
        <v>18</v>
      </c>
      <c r="E10359" s="12" t="s">
        <v>33</v>
      </c>
      <c r="F10359" s="12" t="s">
        <v>34</v>
      </c>
      <c r="G10359" s="12" t="s">
        <v>29</v>
      </c>
      <c r="H10359" s="11" t="s">
        <v>63</v>
      </c>
      <c r="I10359" s="13" t="s">
        <v>20608</v>
      </c>
      <c r="J10359" s="14" t="str">
        <f>HYPERLINK("https://www.boe.es/gazeta/dias/1839/12/13/pdfs/GMD-1839-1860.pdf#page=1","Abrir facsímil")</f>
        <v>Abrir facsímil</v>
      </c>
      <c r="K10359" s="12" t="s">
        <v>65</v>
      </c>
    </row>
    <row r="10360" spans="1:11" ht="40.049999999999997" customHeight="1" x14ac:dyDescent="0.25">
      <c r="A10360" s="11" t="s">
        <v>20594</v>
      </c>
      <c r="B10360" s="11" t="s">
        <v>20595</v>
      </c>
      <c r="C10360" s="11" t="s">
        <v>17</v>
      </c>
      <c r="D10360" s="11" t="s">
        <v>18</v>
      </c>
      <c r="E10360" s="12" t="s">
        <v>592</v>
      </c>
      <c r="F10360" s="12" t="s">
        <v>593</v>
      </c>
      <c r="G10360" s="12" t="s">
        <v>29</v>
      </c>
      <c r="H10360" s="11" t="s">
        <v>63</v>
      </c>
      <c r="I10360" s="13" t="s">
        <v>20609</v>
      </c>
      <c r="J10360" s="14" t="str">
        <f>HYPERLINK("https://www.boe.es/gazeta/dias/1839/09/14/pdfs/GMD-1839-1767.pdf#page=1","Abrir facsímil")</f>
        <v>Abrir facsímil</v>
      </c>
      <c r="K10360" s="12" t="s">
        <v>65</v>
      </c>
    </row>
    <row r="10361" spans="1:11" ht="40.049999999999997" customHeight="1" x14ac:dyDescent="0.25">
      <c r="A10361" s="11" t="s">
        <v>20594</v>
      </c>
      <c r="B10361" s="11" t="s">
        <v>20595</v>
      </c>
      <c r="C10361" s="11" t="s">
        <v>101</v>
      </c>
      <c r="D10361" s="11" t="s">
        <v>43</v>
      </c>
      <c r="E10361" s="12" t="s">
        <v>1528</v>
      </c>
      <c r="F10361" s="12" t="s">
        <v>1529</v>
      </c>
      <c r="G10361" s="12" t="s">
        <v>29</v>
      </c>
      <c r="H10361" s="11" t="s">
        <v>63</v>
      </c>
      <c r="I10361" s="13" t="s">
        <v>20610</v>
      </c>
      <c r="J10361" s="14" t="str">
        <f>HYPERLINK("https://www.boe.es/gazeta/dias/1839/12/15/pdfs/GMD-1839-1862.pdf#page=1","Abrir facsímil")</f>
        <v>Abrir facsímil</v>
      </c>
      <c r="K10361" s="12" t="s">
        <v>65</v>
      </c>
    </row>
    <row r="10362" spans="1:11" ht="40.049999999999997" customHeight="1" x14ac:dyDescent="0.25">
      <c r="A10362" s="11" t="s">
        <v>20594</v>
      </c>
      <c r="B10362" s="11" t="s">
        <v>20595</v>
      </c>
      <c r="C10362" s="11" t="s">
        <v>17</v>
      </c>
      <c r="D10362" s="11" t="s">
        <v>18</v>
      </c>
      <c r="E10362" s="12" t="s">
        <v>483</v>
      </c>
      <c r="F10362" s="12" t="s">
        <v>484</v>
      </c>
      <c r="G10362" s="12" t="s">
        <v>29</v>
      </c>
      <c r="H10362" s="11" t="s">
        <v>63</v>
      </c>
      <c r="I10362" s="13" t="s">
        <v>20611</v>
      </c>
      <c r="J10362" s="14" t="str">
        <f>HYPERLINK("https://www.boe.es/gazeta/dias/1839/11/18/pdfs/GMD-1839-1835.pdf#page=1","Abrir facsímil")</f>
        <v>Abrir facsímil</v>
      </c>
      <c r="K10362" s="12" t="s">
        <v>65</v>
      </c>
    </row>
    <row r="10363" spans="1:11" ht="40.049999999999997" customHeight="1" x14ac:dyDescent="0.25">
      <c r="A10363" s="11" t="s">
        <v>20594</v>
      </c>
      <c r="B10363" s="11" t="s">
        <v>20595</v>
      </c>
      <c r="C10363" s="11" t="s">
        <v>59</v>
      </c>
      <c r="D10363" s="11" t="s">
        <v>60</v>
      </c>
      <c r="E10363" s="12" t="s">
        <v>1657</v>
      </c>
      <c r="F10363" s="12" t="s">
        <v>1658</v>
      </c>
      <c r="G10363" s="12" t="s">
        <v>29</v>
      </c>
      <c r="H10363" s="11" t="s">
        <v>63</v>
      </c>
      <c r="I10363" s="13" t="s">
        <v>20612</v>
      </c>
      <c r="J10363" s="14" t="str">
        <f>HYPERLINK("https://www.boe.es/gazeta/dias/1839/02/21/pdfs/GMD-1839-1559.pdf#page=1","Abrir facsímil")</f>
        <v>Abrir facsímil</v>
      </c>
      <c r="K10363" s="12" t="s">
        <v>65</v>
      </c>
    </row>
    <row r="10364" spans="1:11" ht="40.049999999999997" customHeight="1" x14ac:dyDescent="0.25">
      <c r="A10364" s="11" t="s">
        <v>20594</v>
      </c>
      <c r="B10364" s="11" t="s">
        <v>20595</v>
      </c>
      <c r="C10364" s="11" t="s">
        <v>17</v>
      </c>
      <c r="D10364" s="11" t="s">
        <v>18</v>
      </c>
      <c r="E10364" s="12" t="s">
        <v>3601</v>
      </c>
      <c r="F10364" s="12" t="s">
        <v>3602</v>
      </c>
      <c r="G10364" s="12" t="s">
        <v>29</v>
      </c>
      <c r="H10364" s="11" t="s">
        <v>63</v>
      </c>
      <c r="I10364" s="13" t="s">
        <v>20613</v>
      </c>
      <c r="J10364" s="14" t="str">
        <f>HYPERLINK("https://www.boe.es/gazeta/dias/1839/03/21/pdfs/GMD-1839-1587.pdf#page=1","Abrir facsímil")</f>
        <v>Abrir facsímil</v>
      </c>
      <c r="K10364" s="12" t="s">
        <v>65</v>
      </c>
    </row>
    <row r="10365" spans="1:11" ht="40.049999999999997" customHeight="1" x14ac:dyDescent="0.25">
      <c r="A10365" s="11" t="s">
        <v>20594</v>
      </c>
      <c r="B10365" s="11" t="s">
        <v>20595</v>
      </c>
      <c r="C10365" s="11" t="s">
        <v>17</v>
      </c>
      <c r="D10365" s="11" t="s">
        <v>18</v>
      </c>
      <c r="E10365" s="12" t="s">
        <v>280</v>
      </c>
      <c r="F10365" s="12" t="s">
        <v>281</v>
      </c>
      <c r="G10365" s="12" t="s">
        <v>29</v>
      </c>
      <c r="H10365" s="11" t="s">
        <v>63</v>
      </c>
      <c r="I10365" s="13" t="s">
        <v>20614</v>
      </c>
      <c r="J10365" s="14" t="str">
        <f>HYPERLINK("https://www.boe.es/gazeta/dias/1839/08/21/pdfs/GMD-1839-1742.pdf#page=1","Abrir facsímil")</f>
        <v>Abrir facsímil</v>
      </c>
      <c r="K10365" s="12" t="s">
        <v>65</v>
      </c>
    </row>
    <row r="10366" spans="1:11" ht="40.049999999999997" customHeight="1" x14ac:dyDescent="0.25">
      <c r="A10366" s="11" t="s">
        <v>20594</v>
      </c>
      <c r="B10366" s="11" t="s">
        <v>20595</v>
      </c>
      <c r="C10366" s="11" t="s">
        <v>17</v>
      </c>
      <c r="D10366" s="11" t="s">
        <v>18</v>
      </c>
      <c r="E10366" s="12" t="s">
        <v>2415</v>
      </c>
      <c r="F10366" s="12" t="s">
        <v>2416</v>
      </c>
      <c r="G10366" s="12" t="s">
        <v>29</v>
      </c>
      <c r="H10366" s="11" t="s">
        <v>63</v>
      </c>
      <c r="I10366" s="13" t="s">
        <v>20615</v>
      </c>
      <c r="J10366" s="14" t="str">
        <f>HYPERLINK("https://www.boe.es/gazeta/dias/1839/12/22/pdfs/GMD-1839-1869.pdf#page=1","Abrir facsímil")</f>
        <v>Abrir facsímil</v>
      </c>
      <c r="K10366" s="12" t="s">
        <v>65</v>
      </c>
    </row>
    <row r="10367" spans="1:11" ht="40.049999999999997" customHeight="1" x14ac:dyDescent="0.25">
      <c r="A10367" s="11" t="s">
        <v>20594</v>
      </c>
      <c r="B10367" s="11" t="s">
        <v>20595</v>
      </c>
      <c r="C10367" s="11" t="s">
        <v>80</v>
      </c>
      <c r="D10367" s="11" t="s">
        <v>18</v>
      </c>
      <c r="E10367" s="12" t="s">
        <v>1497</v>
      </c>
      <c r="F10367" s="12" t="s">
        <v>1498</v>
      </c>
      <c r="G10367" s="12" t="s">
        <v>29</v>
      </c>
      <c r="H10367" s="11" t="s">
        <v>63</v>
      </c>
      <c r="I10367" s="13" t="s">
        <v>20616</v>
      </c>
      <c r="J10367" s="14" t="str">
        <f>HYPERLINK("https://www.boe.es/gazeta/dias/1839/08/23/pdfs/GMD-1839-1744.pdf#page=1","Abrir facsímil")</f>
        <v>Abrir facsímil</v>
      </c>
      <c r="K10367" s="12" t="s">
        <v>65</v>
      </c>
    </row>
    <row r="10368" spans="1:11" ht="40.049999999999997" customHeight="1" x14ac:dyDescent="0.25">
      <c r="A10368" s="11" t="s">
        <v>20594</v>
      </c>
      <c r="B10368" s="11" t="s">
        <v>20595</v>
      </c>
      <c r="C10368" s="11" t="s">
        <v>17</v>
      </c>
      <c r="D10368" s="11" t="s">
        <v>18</v>
      </c>
      <c r="E10368" s="12" t="s">
        <v>2435</v>
      </c>
      <c r="F10368" s="12" t="s">
        <v>2436</v>
      </c>
      <c r="G10368" s="12" t="s">
        <v>29</v>
      </c>
      <c r="H10368" s="11" t="s">
        <v>63</v>
      </c>
      <c r="I10368" s="13" t="s">
        <v>20617</v>
      </c>
      <c r="J10368" s="14" t="str">
        <f>HYPERLINK("https://www.boe.es/gazeta/dias/1839/07/24/pdfs/GMD-1839-1713.pdf#page=1","Abrir facsímil")</f>
        <v>Abrir facsímil</v>
      </c>
      <c r="K10368" s="12" t="s">
        <v>65</v>
      </c>
    </row>
    <row r="10369" spans="1:11" ht="40.049999999999997" customHeight="1" x14ac:dyDescent="0.25">
      <c r="A10369" s="11" t="s">
        <v>20594</v>
      </c>
      <c r="B10369" s="11" t="s">
        <v>20595</v>
      </c>
      <c r="C10369" s="11" t="s">
        <v>137</v>
      </c>
      <c r="D10369" s="11" t="s">
        <v>18</v>
      </c>
      <c r="E10369" s="12" t="s">
        <v>1679</v>
      </c>
      <c r="F10369" s="12" t="s">
        <v>1680</v>
      </c>
      <c r="G10369" s="12" t="s">
        <v>29</v>
      </c>
      <c r="H10369" s="11" t="s">
        <v>63</v>
      </c>
      <c r="I10369" s="13" t="s">
        <v>20618</v>
      </c>
      <c r="J10369" s="14" t="str">
        <f>HYPERLINK("https://www.boe.es/gazeta/dias/1839/01/26/pdfs/GMD-1839-1533.pdf#page=1","Abrir facsímil")</f>
        <v>Abrir facsímil</v>
      </c>
      <c r="K10369" s="12" t="s">
        <v>65</v>
      </c>
    </row>
    <row r="10370" spans="1:11" ht="40.049999999999997" customHeight="1" x14ac:dyDescent="0.25">
      <c r="A10370" s="11" t="s">
        <v>20594</v>
      </c>
      <c r="B10370" s="11" t="s">
        <v>20595</v>
      </c>
      <c r="C10370" s="11" t="s">
        <v>137</v>
      </c>
      <c r="D10370" s="11" t="s">
        <v>18</v>
      </c>
      <c r="E10370" s="12" t="s">
        <v>1490</v>
      </c>
      <c r="F10370" s="12" t="s">
        <v>1491</v>
      </c>
      <c r="G10370" s="12" t="s">
        <v>29</v>
      </c>
      <c r="H10370" s="11" t="s">
        <v>63</v>
      </c>
      <c r="I10370" s="13" t="s">
        <v>20619</v>
      </c>
      <c r="J10370" s="14" t="str">
        <f>HYPERLINK("https://www.boe.es/gazeta/dias/1839/02/27/pdfs/GMD-1839-1565.pdf#page=1","Abrir facsímil")</f>
        <v>Abrir facsímil</v>
      </c>
      <c r="K10370" s="12" t="s">
        <v>65</v>
      </c>
    </row>
    <row r="10371" spans="1:11" ht="40.049999999999997" customHeight="1" x14ac:dyDescent="0.25">
      <c r="A10371" s="11" t="s">
        <v>20594</v>
      </c>
      <c r="B10371" s="11" t="s">
        <v>20595</v>
      </c>
      <c r="C10371" s="11" t="s">
        <v>137</v>
      </c>
      <c r="D10371" s="11" t="s">
        <v>18</v>
      </c>
      <c r="E10371" s="12" t="s">
        <v>716</v>
      </c>
      <c r="F10371" s="12" t="s">
        <v>717</v>
      </c>
      <c r="G10371" s="12" t="s">
        <v>29</v>
      </c>
      <c r="H10371" s="11" t="s">
        <v>63</v>
      </c>
      <c r="I10371" s="13" t="s">
        <v>20620</v>
      </c>
      <c r="J10371" s="14" t="str">
        <f>HYPERLINK("https://www.boe.es/gazeta/dias/1839/07/30/pdfs/GMD-1839-1719.pdf#page=1","Abrir facsímil")</f>
        <v>Abrir facsímil</v>
      </c>
      <c r="K10371" s="12" t="s">
        <v>65</v>
      </c>
    </row>
    <row r="10372" spans="1:11" ht="40.049999999999997" customHeight="1" x14ac:dyDescent="0.25">
      <c r="A10372" s="11" t="s">
        <v>20621</v>
      </c>
      <c r="B10372" s="11" t="s">
        <v>20622</v>
      </c>
      <c r="C10372" s="11" t="s">
        <v>17</v>
      </c>
      <c r="D10372" s="11" t="s">
        <v>18</v>
      </c>
      <c r="E10372" s="12" t="s">
        <v>385</v>
      </c>
      <c r="F10372" s="12" t="s">
        <v>386</v>
      </c>
      <c r="G10372" s="12" t="s">
        <v>29</v>
      </c>
      <c r="H10372" s="11" t="s">
        <v>63</v>
      </c>
      <c r="I10372" s="13" t="s">
        <v>20623</v>
      </c>
      <c r="J10372" s="14" t="str">
        <f>HYPERLINK("https://www.boe.es/gazeta/dias/1839/08/01/pdfs/GMD-1839-1721.pdf#page=1","Abrir facsímil")</f>
        <v>Abrir facsímil</v>
      </c>
      <c r="K10372" s="12" t="s">
        <v>65</v>
      </c>
    </row>
    <row r="10373" spans="1:11" ht="40.049999999999997" customHeight="1" x14ac:dyDescent="0.25">
      <c r="A10373" s="11" t="s">
        <v>20621</v>
      </c>
      <c r="B10373" s="11" t="s">
        <v>20622</v>
      </c>
      <c r="C10373" s="11" t="s">
        <v>17</v>
      </c>
      <c r="D10373" s="11" t="s">
        <v>18</v>
      </c>
      <c r="E10373" s="12" t="s">
        <v>606</v>
      </c>
      <c r="F10373" s="12" t="s">
        <v>607</v>
      </c>
      <c r="G10373" s="12" t="s">
        <v>29</v>
      </c>
      <c r="H10373" s="11" t="s">
        <v>63</v>
      </c>
      <c r="I10373" s="13" t="s">
        <v>20624</v>
      </c>
      <c r="J10373" s="14" t="str">
        <f>HYPERLINK("https://www.boe.es/gazeta/dias/1839/04/02/pdfs/GMD-1839-1599.pdf#page=1","Abrir facsímil")</f>
        <v>Abrir facsímil</v>
      </c>
      <c r="K10373" s="12" t="s">
        <v>65</v>
      </c>
    </row>
    <row r="10374" spans="1:11" ht="40.049999999999997" customHeight="1" x14ac:dyDescent="0.25">
      <c r="A10374" s="11" t="s">
        <v>20621</v>
      </c>
      <c r="B10374" s="11" t="s">
        <v>20622</v>
      </c>
      <c r="C10374" s="11" t="s">
        <v>17</v>
      </c>
      <c r="D10374" s="11" t="s">
        <v>18</v>
      </c>
      <c r="E10374" s="12" t="s">
        <v>38</v>
      </c>
      <c r="F10374" s="12" t="s">
        <v>39</v>
      </c>
      <c r="G10374" s="12" t="s">
        <v>29</v>
      </c>
      <c r="H10374" s="11" t="s">
        <v>63</v>
      </c>
      <c r="I10374" s="13" t="s">
        <v>20625</v>
      </c>
      <c r="J10374" s="14" t="str">
        <f>HYPERLINK("https://www.boe.es/gazeta/dias/1839/08/08/pdfs/GMD-1839-1728.pdf#page=1","Abrir facsímil")</f>
        <v>Abrir facsímil</v>
      </c>
      <c r="K10374" s="12" t="s">
        <v>65</v>
      </c>
    </row>
    <row r="10375" spans="1:11" ht="40.049999999999997" customHeight="1" x14ac:dyDescent="0.25">
      <c r="A10375" s="11" t="s">
        <v>20621</v>
      </c>
      <c r="B10375" s="11" t="s">
        <v>20622</v>
      </c>
      <c r="C10375" s="11" t="s">
        <v>101</v>
      </c>
      <c r="D10375" s="11" t="s">
        <v>43</v>
      </c>
      <c r="E10375" s="12" t="s">
        <v>1069</v>
      </c>
      <c r="F10375" s="12" t="s">
        <v>1070</v>
      </c>
      <c r="G10375" s="12" t="s">
        <v>29</v>
      </c>
      <c r="H10375" s="11" t="s">
        <v>63</v>
      </c>
      <c r="I10375" s="13" t="s">
        <v>20626</v>
      </c>
      <c r="J10375" s="14" t="str">
        <f>HYPERLINK("https://www.boe.es/gazeta/dias/1839/10/15/pdfs/GMD-1839-1801.pdf#page=1","Abrir facsímil")</f>
        <v>Abrir facsímil</v>
      </c>
      <c r="K10375" s="12" t="s">
        <v>65</v>
      </c>
    </row>
    <row r="10376" spans="1:11" ht="40.049999999999997" customHeight="1" x14ac:dyDescent="0.25">
      <c r="A10376" s="11" t="s">
        <v>20621</v>
      </c>
      <c r="B10376" s="11" t="s">
        <v>20622</v>
      </c>
      <c r="C10376" s="11" t="s">
        <v>101</v>
      </c>
      <c r="D10376" s="11" t="s">
        <v>102</v>
      </c>
      <c r="E10376" s="12" t="s">
        <v>27</v>
      </c>
      <c r="F10376" s="12" t="s">
        <v>28</v>
      </c>
      <c r="G10376" s="12" t="s">
        <v>29</v>
      </c>
      <c r="H10376" s="11" t="s">
        <v>63</v>
      </c>
      <c r="I10376" s="13" t="s">
        <v>20627</v>
      </c>
      <c r="J10376" s="14" t="str">
        <f>HYPERLINK("https://www.boe.es/gazeta/dias/1839/07/28/pdfs/GMD-1839-1717.pdf#page=1","Abrir facsímil")</f>
        <v>Abrir facsímil</v>
      </c>
      <c r="K10376" s="12" t="s">
        <v>65</v>
      </c>
    </row>
    <row r="10377" spans="1:11" ht="40.049999999999997" customHeight="1" x14ac:dyDescent="0.25">
      <c r="A10377" s="11" t="s">
        <v>20621</v>
      </c>
      <c r="B10377" s="11" t="s">
        <v>20622</v>
      </c>
      <c r="C10377" s="11" t="s">
        <v>17</v>
      </c>
      <c r="D10377" s="11" t="s">
        <v>18</v>
      </c>
      <c r="E10377" s="12" t="s">
        <v>4463</v>
      </c>
      <c r="F10377" s="12" t="s">
        <v>4464</v>
      </c>
      <c r="G10377" s="12" t="s">
        <v>29</v>
      </c>
      <c r="H10377" s="11" t="s">
        <v>63</v>
      </c>
      <c r="I10377" s="13" t="s">
        <v>20628</v>
      </c>
      <c r="J10377" s="14" t="str">
        <f>HYPERLINK("https://www.boe.es/gazeta/dias/1839/08/28/pdfs/GMD-1839-1749.pdf#page=1","Abrir facsímil")</f>
        <v>Abrir facsímil</v>
      </c>
      <c r="K10377" s="12" t="s">
        <v>65</v>
      </c>
    </row>
    <row r="10378" spans="1:11" ht="40.049999999999997" customHeight="1" x14ac:dyDescent="0.25">
      <c r="A10378" s="11" t="s">
        <v>20621</v>
      </c>
      <c r="B10378" s="11" t="s">
        <v>20622</v>
      </c>
      <c r="C10378" s="11" t="s">
        <v>17</v>
      </c>
      <c r="D10378" s="11" t="s">
        <v>18</v>
      </c>
      <c r="E10378" s="12" t="s">
        <v>912</v>
      </c>
      <c r="F10378" s="12" t="s">
        <v>913</v>
      </c>
      <c r="G10378" s="12" t="s">
        <v>29</v>
      </c>
      <c r="H10378" s="11" t="s">
        <v>63</v>
      </c>
      <c r="I10378" s="13" t="s">
        <v>20629</v>
      </c>
      <c r="J10378" s="14" t="str">
        <f>HYPERLINK("https://www.boe.es/gazeta/dias/1839/04/30/pdfs/GMD-1839-1627.pdf#page=1","Abrir facsímil")</f>
        <v>Abrir facsímil</v>
      </c>
      <c r="K10378" s="12" t="s">
        <v>65</v>
      </c>
    </row>
    <row r="10379" spans="1:11" ht="40.049999999999997" customHeight="1" x14ac:dyDescent="0.25">
      <c r="A10379" s="11" t="s">
        <v>20630</v>
      </c>
      <c r="B10379" s="11" t="s">
        <v>20631</v>
      </c>
      <c r="C10379" s="11" t="s">
        <v>80</v>
      </c>
      <c r="D10379" s="11" t="s">
        <v>18</v>
      </c>
      <c r="E10379" s="12" t="s">
        <v>163</v>
      </c>
      <c r="F10379" s="12" t="s">
        <v>164</v>
      </c>
      <c r="G10379" s="12" t="s">
        <v>29</v>
      </c>
      <c r="H10379" s="11" t="s">
        <v>63</v>
      </c>
      <c r="I10379" s="13" t="s">
        <v>20632</v>
      </c>
      <c r="J10379" s="14" t="str">
        <f>HYPERLINK("https://www.boe.es/gazeta/dias/1839/01/13/pdfs/GMD-1839-1520.pdf#page=1","Abrir facsímil")</f>
        <v>Abrir facsímil</v>
      </c>
      <c r="K10379" s="12" t="s">
        <v>65</v>
      </c>
    </row>
    <row r="10380" spans="1:11" ht="40.049999999999997" customHeight="1" x14ac:dyDescent="0.25">
      <c r="A10380" s="11" t="s">
        <v>20633</v>
      </c>
      <c r="B10380" s="11" t="s">
        <v>20633</v>
      </c>
      <c r="C10380" s="11" t="s">
        <v>17</v>
      </c>
      <c r="D10380" s="11" t="s">
        <v>18</v>
      </c>
      <c r="E10380" s="12" t="s">
        <v>262</v>
      </c>
      <c r="F10380" s="12" t="s">
        <v>263</v>
      </c>
      <c r="G10380" s="12" t="s">
        <v>46</v>
      </c>
      <c r="H10380" s="11" t="s">
        <v>22</v>
      </c>
      <c r="I10380" s="13" t="s">
        <v>20634</v>
      </c>
      <c r="J10380" s="14" t="str">
        <f>HYPERLINK("https://www.boe.es/gazeta/dias/1839/01/01/pdfs/GMD-1839-1508.pdf#page=3","Abrir facsímil")</f>
        <v>Abrir facsímil</v>
      </c>
      <c r="K10380" s="12" t="s">
        <v>24</v>
      </c>
    </row>
    <row r="10381" spans="1:11" ht="40.049999999999997" customHeight="1" x14ac:dyDescent="0.25">
      <c r="A10381" s="11" t="s">
        <v>20633</v>
      </c>
      <c r="B10381" s="11" t="s">
        <v>20633</v>
      </c>
      <c r="C10381" s="11" t="s">
        <v>17</v>
      </c>
      <c r="D10381" s="11" t="s">
        <v>18</v>
      </c>
      <c r="E10381" s="12" t="s">
        <v>154</v>
      </c>
      <c r="F10381" s="12" t="s">
        <v>155</v>
      </c>
      <c r="G10381" s="12" t="s">
        <v>46</v>
      </c>
      <c r="H10381" s="11" t="s">
        <v>22</v>
      </c>
      <c r="I10381" s="13" t="s">
        <v>20635</v>
      </c>
      <c r="J10381" s="14" t="str">
        <f>HYPERLINK("https://www.boe.es/gazeta/dias/1839/02/02/pdfs/GMD-1839-1540.pdf#page=3","Abrir facsímil")</f>
        <v>Abrir facsímil</v>
      </c>
      <c r="K10381" s="12" t="s">
        <v>24</v>
      </c>
    </row>
    <row r="10382" spans="1:11" ht="40.049999999999997" customHeight="1" x14ac:dyDescent="0.25">
      <c r="A10382" s="11" t="s">
        <v>20633</v>
      </c>
      <c r="B10382" s="11" t="s">
        <v>20633</v>
      </c>
      <c r="C10382" s="11" t="s">
        <v>17</v>
      </c>
      <c r="D10382" s="11" t="s">
        <v>18</v>
      </c>
      <c r="E10382" s="12" t="s">
        <v>103</v>
      </c>
      <c r="F10382" s="12" t="s">
        <v>104</v>
      </c>
      <c r="G10382" s="12" t="s">
        <v>46</v>
      </c>
      <c r="H10382" s="11" t="s">
        <v>22</v>
      </c>
      <c r="I10382" s="13" t="s">
        <v>20636</v>
      </c>
      <c r="J10382" s="14" t="str">
        <f>HYPERLINK("https://www.boe.es/gazeta/dias/1839/10/12/pdfs/GMD-1839-1798.pdf#page=3","Abrir facsímil")</f>
        <v>Abrir facsímil</v>
      </c>
      <c r="K10382" s="12" t="s">
        <v>24</v>
      </c>
    </row>
    <row r="10383" spans="1:11" ht="40.049999999999997" customHeight="1" x14ac:dyDescent="0.25">
      <c r="A10383" s="11" t="s">
        <v>20633</v>
      </c>
      <c r="B10383" s="11" t="s">
        <v>20633</v>
      </c>
      <c r="C10383" s="11" t="s">
        <v>17</v>
      </c>
      <c r="D10383" s="11" t="s">
        <v>18</v>
      </c>
      <c r="E10383" s="12" t="s">
        <v>564</v>
      </c>
      <c r="F10383" s="12" t="s">
        <v>565</v>
      </c>
      <c r="G10383" s="12" t="s">
        <v>566</v>
      </c>
      <c r="H10383" s="11" t="s">
        <v>22</v>
      </c>
      <c r="I10383" s="13" t="s">
        <v>20637</v>
      </c>
      <c r="J10383" s="14" t="str">
        <f>HYPERLINK("https://www.boe.es/gazeta/dias/1839/10/17/pdfs/GMD-1839-1803.pdf#page=5","Abrir facsímil")</f>
        <v>Abrir facsímil</v>
      </c>
      <c r="K10383" s="12" t="s">
        <v>24</v>
      </c>
    </row>
    <row r="10384" spans="1:11" ht="40.049999999999997" customHeight="1" x14ac:dyDescent="0.25">
      <c r="A10384" s="11" t="s">
        <v>20633</v>
      </c>
      <c r="B10384" s="11" t="s">
        <v>20633</v>
      </c>
      <c r="C10384" s="11" t="s">
        <v>17</v>
      </c>
      <c r="D10384" s="11" t="s">
        <v>18</v>
      </c>
      <c r="E10384" s="12" t="s">
        <v>571</v>
      </c>
      <c r="F10384" s="12" t="s">
        <v>572</v>
      </c>
      <c r="G10384" s="12" t="s">
        <v>40</v>
      </c>
      <c r="H10384" s="11" t="s">
        <v>22</v>
      </c>
      <c r="I10384" s="13" t="s">
        <v>20638</v>
      </c>
      <c r="J10384" s="14" t="str">
        <f>HYPERLINK("https://www.boe.es/gazeta/dias/1839/09/27/pdfs/GMD-1839-1783.pdf#page=2","Abrir facsímil")</f>
        <v>Abrir facsímil</v>
      </c>
      <c r="K10384" s="12" t="s">
        <v>24</v>
      </c>
    </row>
    <row r="10385" spans="1:11" ht="40.049999999999997" customHeight="1" x14ac:dyDescent="0.25">
      <c r="A10385" s="11" t="s">
        <v>20639</v>
      </c>
      <c r="B10385" s="11" t="s">
        <v>20639</v>
      </c>
      <c r="C10385" s="11" t="s">
        <v>17</v>
      </c>
      <c r="D10385" s="11" t="s">
        <v>18</v>
      </c>
      <c r="E10385" s="12" t="s">
        <v>2107</v>
      </c>
      <c r="F10385" s="12" t="s">
        <v>2108</v>
      </c>
      <c r="G10385" s="12" t="s">
        <v>46</v>
      </c>
      <c r="H10385" s="11" t="s">
        <v>22</v>
      </c>
      <c r="I10385" s="13" t="s">
        <v>20640</v>
      </c>
      <c r="J10385" s="14" t="str">
        <f>HYPERLINK("https://www.boe.es/gazeta/dias/1839/10/11/pdfs/GMD-1839-1797.pdf#page=3","Abrir facsímil")</f>
        <v>Abrir facsímil</v>
      </c>
      <c r="K10385" s="12" t="s">
        <v>24</v>
      </c>
    </row>
    <row r="10386" spans="1:11" ht="40.049999999999997" customHeight="1" x14ac:dyDescent="0.25">
      <c r="A10386" s="11" t="s">
        <v>20639</v>
      </c>
      <c r="B10386" s="11" t="s">
        <v>20639</v>
      </c>
      <c r="C10386" s="11" t="s">
        <v>101</v>
      </c>
      <c r="D10386" s="11" t="s">
        <v>43</v>
      </c>
      <c r="E10386" s="12" t="s">
        <v>592</v>
      </c>
      <c r="F10386" s="12" t="s">
        <v>593</v>
      </c>
      <c r="G10386" s="12" t="s">
        <v>46</v>
      </c>
      <c r="H10386" s="11" t="s">
        <v>22</v>
      </c>
      <c r="I10386" s="13" t="s">
        <v>20641</v>
      </c>
      <c r="J10386" s="14" t="str">
        <f>HYPERLINK("https://www.boe.es/gazeta/dias/1839/09/14/pdfs/GMD-1839-1767.pdf#page=3","Abrir facsímil")</f>
        <v>Abrir facsímil</v>
      </c>
      <c r="K10386" s="12" t="s">
        <v>24</v>
      </c>
    </row>
    <row r="10387" spans="1:11" ht="40.049999999999997" customHeight="1" x14ac:dyDescent="0.25">
      <c r="A10387" s="11" t="s">
        <v>20639</v>
      </c>
      <c r="B10387" s="11" t="s">
        <v>20639</v>
      </c>
      <c r="C10387" s="11" t="s">
        <v>17</v>
      </c>
      <c r="D10387" s="11" t="s">
        <v>18</v>
      </c>
      <c r="E10387" s="12" t="s">
        <v>2650</v>
      </c>
      <c r="F10387" s="12" t="s">
        <v>2651</v>
      </c>
      <c r="G10387" s="12" t="s">
        <v>40</v>
      </c>
      <c r="H10387" s="11" t="s">
        <v>22</v>
      </c>
      <c r="I10387" s="13" t="s">
        <v>20642</v>
      </c>
      <c r="J10387" s="14" t="str">
        <f>HYPERLINK("https://www.boe.es/gazeta/dias/1839/09/15/pdfs/GMD-1839-1768.pdf#page=2","Abrir facsímil")</f>
        <v>Abrir facsímil</v>
      </c>
      <c r="K10387" s="12" t="s">
        <v>24</v>
      </c>
    </row>
    <row r="10388" spans="1:11" ht="40.049999999999997" customHeight="1" x14ac:dyDescent="0.25">
      <c r="A10388" s="11" t="s">
        <v>20639</v>
      </c>
      <c r="B10388" s="11" t="s">
        <v>20639</v>
      </c>
      <c r="C10388" s="11" t="s">
        <v>101</v>
      </c>
      <c r="D10388" s="11" t="s">
        <v>43</v>
      </c>
      <c r="E10388" s="12" t="s">
        <v>1236</v>
      </c>
      <c r="F10388" s="12" t="s">
        <v>1237</v>
      </c>
      <c r="G10388" s="12" t="s">
        <v>21</v>
      </c>
      <c r="H10388" s="11" t="s">
        <v>22</v>
      </c>
      <c r="I10388" s="13" t="s">
        <v>20643</v>
      </c>
      <c r="J10388" s="14" t="str">
        <f>HYPERLINK("https://www.boe.es/gazeta/dias/1839/10/16/pdfs/GMD-1839-1802.pdf#page=4","Abrir facsímil")</f>
        <v>Abrir facsímil</v>
      </c>
      <c r="K10388" s="12" t="s">
        <v>24</v>
      </c>
    </row>
    <row r="10389" spans="1:11" ht="40.049999999999997" customHeight="1" x14ac:dyDescent="0.25">
      <c r="A10389" s="11" t="s">
        <v>20644</v>
      </c>
      <c r="B10389" s="11" t="s">
        <v>20644</v>
      </c>
      <c r="C10389" s="11" t="s">
        <v>80</v>
      </c>
      <c r="D10389" s="11" t="s">
        <v>18</v>
      </c>
      <c r="E10389" s="12" t="s">
        <v>564</v>
      </c>
      <c r="F10389" s="12" t="s">
        <v>565</v>
      </c>
      <c r="G10389" s="12" t="s">
        <v>21</v>
      </c>
      <c r="H10389" s="11" t="s">
        <v>63</v>
      </c>
      <c r="I10389" s="13" t="s">
        <v>20645</v>
      </c>
      <c r="J10389" s="14" t="str">
        <f>HYPERLINK("https://www.boe.es/gazeta/dias/1839/10/17/pdfs/GMD-1839-1803.pdf#page=4","Abrir facsímil")</f>
        <v>Abrir facsímil</v>
      </c>
      <c r="K10389" s="12" t="s">
        <v>65</v>
      </c>
    </row>
    <row r="10390" spans="1:11" ht="40.049999999999997" customHeight="1" x14ac:dyDescent="0.25">
      <c r="A10390" s="11" t="s">
        <v>20644</v>
      </c>
      <c r="B10390" s="11" t="s">
        <v>20644</v>
      </c>
      <c r="C10390" s="11" t="s">
        <v>80</v>
      </c>
      <c r="D10390" s="11" t="s">
        <v>18</v>
      </c>
      <c r="E10390" s="12" t="s">
        <v>564</v>
      </c>
      <c r="F10390" s="12" t="s">
        <v>565</v>
      </c>
      <c r="G10390" s="12" t="s">
        <v>566</v>
      </c>
      <c r="H10390" s="11" t="s">
        <v>63</v>
      </c>
      <c r="I10390" s="13" t="s">
        <v>20646</v>
      </c>
      <c r="J10390" s="14" t="str">
        <f>HYPERLINK("https://www.boe.es/gazeta/dias/1839/10/17/pdfs/GMD-1839-1803.pdf#page=5","Abrir facsímil")</f>
        <v>Abrir facsímil</v>
      </c>
      <c r="K10390" s="12" t="s">
        <v>65</v>
      </c>
    </row>
    <row r="10391" spans="1:11" ht="40.049999999999997" customHeight="1" x14ac:dyDescent="0.25">
      <c r="A10391" s="11" t="s">
        <v>20644</v>
      </c>
      <c r="B10391" s="11" t="s">
        <v>20644</v>
      </c>
      <c r="C10391" s="11" t="s">
        <v>17</v>
      </c>
      <c r="D10391" s="11" t="s">
        <v>18</v>
      </c>
      <c r="E10391" s="12" t="s">
        <v>1072</v>
      </c>
      <c r="F10391" s="12" t="s">
        <v>1073</v>
      </c>
      <c r="G10391" s="12" t="s">
        <v>46</v>
      </c>
      <c r="H10391" s="11" t="s">
        <v>63</v>
      </c>
      <c r="I10391" s="13" t="s">
        <v>20647</v>
      </c>
      <c r="J10391" s="14" t="str">
        <f>HYPERLINK("https://www.boe.es/gazeta/dias/1839/01/18/pdfs/GMD-1839-1525.pdf#page=3","Abrir facsímil")</f>
        <v>Abrir facsímil</v>
      </c>
      <c r="K10391" s="12" t="s">
        <v>65</v>
      </c>
    </row>
    <row r="10392" spans="1:11" ht="40.049999999999997" customHeight="1" x14ac:dyDescent="0.25">
      <c r="A10392" s="11" t="s">
        <v>20639</v>
      </c>
      <c r="B10392" s="11" t="s">
        <v>20639</v>
      </c>
      <c r="C10392" s="11" t="s">
        <v>101</v>
      </c>
      <c r="D10392" s="11" t="s">
        <v>43</v>
      </c>
      <c r="E10392" s="12" t="s">
        <v>19</v>
      </c>
      <c r="F10392" s="12" t="s">
        <v>20</v>
      </c>
      <c r="G10392" s="12" t="s">
        <v>46</v>
      </c>
      <c r="H10392" s="11" t="s">
        <v>22</v>
      </c>
      <c r="I10392" s="13" t="s">
        <v>20648</v>
      </c>
      <c r="J10392" s="14" t="str">
        <f>HYPERLINK("https://www.boe.es/gazeta/dias/1839/01/19/pdfs/GMD-1839-1526.pdf#page=3","Abrir facsímil")</f>
        <v>Abrir facsímil</v>
      </c>
      <c r="K10392" s="12" t="s">
        <v>24</v>
      </c>
    </row>
    <row r="10393" spans="1:11" ht="40.049999999999997" customHeight="1" x14ac:dyDescent="0.25">
      <c r="A10393" s="11" t="s">
        <v>20644</v>
      </c>
      <c r="B10393" s="11" t="s">
        <v>20644</v>
      </c>
      <c r="C10393" s="11" t="s">
        <v>101</v>
      </c>
      <c r="D10393" s="11" t="s">
        <v>43</v>
      </c>
      <c r="E10393" s="12" t="s">
        <v>2222</v>
      </c>
      <c r="F10393" s="12" t="s">
        <v>2223</v>
      </c>
      <c r="G10393" s="12" t="s">
        <v>40</v>
      </c>
      <c r="H10393" s="11" t="s">
        <v>63</v>
      </c>
      <c r="I10393" s="13" t="s">
        <v>20649</v>
      </c>
      <c r="J10393" s="14" t="str">
        <f>HYPERLINK("https://www.boe.es/gazeta/dias/1839/09/19/pdfs/GMD-1839-1773.pdf#page=2","Abrir facsímil")</f>
        <v>Abrir facsímil</v>
      </c>
      <c r="K10393" s="12" t="s">
        <v>65</v>
      </c>
    </row>
    <row r="10394" spans="1:11" ht="40.049999999999997" customHeight="1" x14ac:dyDescent="0.25">
      <c r="A10394" s="11" t="s">
        <v>20639</v>
      </c>
      <c r="B10394" s="11" t="s">
        <v>20639</v>
      </c>
      <c r="C10394" s="11" t="s">
        <v>17</v>
      </c>
      <c r="D10394" s="11" t="s">
        <v>18</v>
      </c>
      <c r="E10394" s="12" t="s">
        <v>2069</v>
      </c>
      <c r="F10394" s="12" t="s">
        <v>2070</v>
      </c>
      <c r="G10394" s="12" t="s">
        <v>566</v>
      </c>
      <c r="H10394" s="11" t="s">
        <v>22</v>
      </c>
      <c r="I10394" s="13" t="s">
        <v>20650</v>
      </c>
      <c r="J10394" s="14" t="str">
        <f>HYPERLINK("https://www.boe.es/gazeta/dias/1839/10/20/pdfs/GMD-1839-1806.pdf#page=5","Abrir facsímil")</f>
        <v>Abrir facsímil</v>
      </c>
      <c r="K10394" s="12" t="s">
        <v>24</v>
      </c>
    </row>
    <row r="10395" spans="1:11" ht="40.049999999999997" customHeight="1" x14ac:dyDescent="0.25">
      <c r="A10395" s="11" t="s">
        <v>20639</v>
      </c>
      <c r="B10395" s="11" t="s">
        <v>20639</v>
      </c>
      <c r="C10395" s="11" t="s">
        <v>17</v>
      </c>
      <c r="D10395" s="11" t="s">
        <v>18</v>
      </c>
      <c r="E10395" s="12" t="s">
        <v>1433</v>
      </c>
      <c r="F10395" s="12" t="s">
        <v>1434</v>
      </c>
      <c r="G10395" s="12" t="s">
        <v>46</v>
      </c>
      <c r="H10395" s="11" t="s">
        <v>22</v>
      </c>
      <c r="I10395" s="13" t="s">
        <v>20651</v>
      </c>
      <c r="J10395" s="14" t="str">
        <f>HYPERLINK("https://www.boe.es/gazeta/dias/1839/10/22/pdfs/GMD-1839-1808.pdf#page=3","Abrir facsímil")</f>
        <v>Abrir facsímil</v>
      </c>
      <c r="K10395" s="12" t="s">
        <v>24</v>
      </c>
    </row>
    <row r="10396" spans="1:11" ht="40.049999999999997" customHeight="1" x14ac:dyDescent="0.25">
      <c r="A10396" s="11" t="s">
        <v>20639</v>
      </c>
      <c r="B10396" s="11" t="s">
        <v>20639</v>
      </c>
      <c r="C10396" s="11" t="s">
        <v>17</v>
      </c>
      <c r="D10396" s="11" t="s">
        <v>18</v>
      </c>
      <c r="E10396" s="12" t="s">
        <v>596</v>
      </c>
      <c r="F10396" s="12" t="s">
        <v>597</v>
      </c>
      <c r="G10396" s="12" t="s">
        <v>21</v>
      </c>
      <c r="H10396" s="11" t="s">
        <v>22</v>
      </c>
      <c r="I10396" s="13" t="s">
        <v>20652</v>
      </c>
      <c r="J10396" s="14" t="str">
        <f>HYPERLINK("https://www.boe.es/gazeta/dias/1839/01/23/pdfs/GMD-1839-1530.pdf#page=4","Abrir facsímil")</f>
        <v>Abrir facsímil</v>
      </c>
      <c r="K10396" s="12" t="s">
        <v>24</v>
      </c>
    </row>
    <row r="10397" spans="1:11" ht="40.049999999999997" customHeight="1" x14ac:dyDescent="0.25">
      <c r="A10397" s="11" t="s">
        <v>20639</v>
      </c>
      <c r="B10397" s="11" t="s">
        <v>20639</v>
      </c>
      <c r="C10397" s="11" t="s">
        <v>101</v>
      </c>
      <c r="D10397" s="11" t="s">
        <v>43</v>
      </c>
      <c r="E10397" s="12" t="s">
        <v>568</v>
      </c>
      <c r="F10397" s="12" t="s">
        <v>569</v>
      </c>
      <c r="G10397" s="12" t="s">
        <v>21</v>
      </c>
      <c r="H10397" s="11" t="s">
        <v>22</v>
      </c>
      <c r="I10397" s="13" t="s">
        <v>20653</v>
      </c>
      <c r="J10397" s="14" t="str">
        <f>HYPERLINK("https://www.boe.es/gazeta/dias/1839/10/23/pdfs/GMD-1839-1809.pdf#page=4","Abrir facsímil")</f>
        <v>Abrir facsímil</v>
      </c>
      <c r="K10397" s="12" t="s">
        <v>24</v>
      </c>
    </row>
    <row r="10398" spans="1:11" ht="40.049999999999997" customHeight="1" x14ac:dyDescent="0.25">
      <c r="A10398" s="11" t="s">
        <v>20639</v>
      </c>
      <c r="B10398" s="11" t="s">
        <v>20639</v>
      </c>
      <c r="C10398" s="11" t="s">
        <v>17</v>
      </c>
      <c r="D10398" s="11" t="s">
        <v>18</v>
      </c>
      <c r="E10398" s="12" t="s">
        <v>416</v>
      </c>
      <c r="F10398" s="12" t="s">
        <v>417</v>
      </c>
      <c r="G10398" s="12" t="s">
        <v>40</v>
      </c>
      <c r="H10398" s="11" t="s">
        <v>22</v>
      </c>
      <c r="I10398" s="13" t="s">
        <v>20654</v>
      </c>
      <c r="J10398" s="14" t="str">
        <f>HYPERLINK("https://www.boe.es/gazeta/dias/1839/10/24/pdfs/GMD-1839-1810.pdf#page=2","Abrir facsímil")</f>
        <v>Abrir facsímil</v>
      </c>
      <c r="K10398" s="12" t="s">
        <v>24</v>
      </c>
    </row>
    <row r="10399" spans="1:11" ht="40.049999999999997" customHeight="1" x14ac:dyDescent="0.25">
      <c r="A10399" s="11" t="s">
        <v>20639</v>
      </c>
      <c r="B10399" s="11" t="s">
        <v>20639</v>
      </c>
      <c r="C10399" s="11" t="s">
        <v>101</v>
      </c>
      <c r="D10399" s="11" t="s">
        <v>43</v>
      </c>
      <c r="E10399" s="12" t="s">
        <v>416</v>
      </c>
      <c r="F10399" s="12" t="s">
        <v>417</v>
      </c>
      <c r="G10399" s="12" t="s">
        <v>21</v>
      </c>
      <c r="H10399" s="11" t="s">
        <v>22</v>
      </c>
      <c r="I10399" s="13" t="s">
        <v>20655</v>
      </c>
      <c r="J10399" s="14" t="str">
        <f>HYPERLINK("https://www.boe.es/gazeta/dias/1839/10/24/pdfs/GMD-1839-1810.pdf#page=4","Abrir facsímil")</f>
        <v>Abrir facsímil</v>
      </c>
      <c r="K10399" s="12" t="s">
        <v>24</v>
      </c>
    </row>
    <row r="10400" spans="1:11" ht="40.049999999999997" customHeight="1" x14ac:dyDescent="0.25">
      <c r="A10400" s="11" t="s">
        <v>20644</v>
      </c>
      <c r="B10400" s="11" t="s">
        <v>20644</v>
      </c>
      <c r="C10400" s="11" t="s">
        <v>17</v>
      </c>
      <c r="D10400" s="11" t="s">
        <v>18</v>
      </c>
      <c r="E10400" s="12" t="s">
        <v>826</v>
      </c>
      <c r="F10400" s="12" t="s">
        <v>827</v>
      </c>
      <c r="G10400" s="12" t="s">
        <v>21</v>
      </c>
      <c r="H10400" s="11" t="s">
        <v>63</v>
      </c>
      <c r="I10400" s="13" t="s">
        <v>20656</v>
      </c>
      <c r="J10400" s="14" t="str">
        <f>HYPERLINK("https://www.boe.es/gazeta/dias/1839/09/25/pdfs/GMD-1839-1781.pdf#page=4","Abrir facsímil")</f>
        <v>Abrir facsímil</v>
      </c>
      <c r="K10400" s="12" t="s">
        <v>65</v>
      </c>
    </row>
    <row r="10401" spans="1:11" ht="40.049999999999997" customHeight="1" x14ac:dyDescent="0.25">
      <c r="A10401" s="11" t="s">
        <v>20639</v>
      </c>
      <c r="B10401" s="11" t="s">
        <v>20639</v>
      </c>
      <c r="C10401" s="11" t="s">
        <v>101</v>
      </c>
      <c r="D10401" s="11" t="s">
        <v>43</v>
      </c>
      <c r="E10401" s="12" t="s">
        <v>284</v>
      </c>
      <c r="F10401" s="12" t="s">
        <v>285</v>
      </c>
      <c r="G10401" s="12" t="s">
        <v>46</v>
      </c>
      <c r="H10401" s="11" t="s">
        <v>22</v>
      </c>
      <c r="I10401" s="13" t="s">
        <v>20657</v>
      </c>
      <c r="J10401" s="14" t="str">
        <f>HYPERLINK("https://www.boe.es/gazeta/dias/1839/01/27/pdfs/GMD-1839-1534.pdf#page=3","Abrir facsímil")</f>
        <v>Abrir facsímil</v>
      </c>
      <c r="K10401" s="12" t="s">
        <v>24</v>
      </c>
    </row>
    <row r="10402" spans="1:11" ht="40.049999999999997" customHeight="1" x14ac:dyDescent="0.25">
      <c r="A10402" s="11" t="s">
        <v>20644</v>
      </c>
      <c r="B10402" s="11" t="s">
        <v>20644</v>
      </c>
      <c r="C10402" s="11" t="s">
        <v>17</v>
      </c>
      <c r="D10402" s="11" t="s">
        <v>18</v>
      </c>
      <c r="E10402" s="12" t="s">
        <v>571</v>
      </c>
      <c r="F10402" s="12" t="s">
        <v>572</v>
      </c>
      <c r="G10402" s="12" t="s">
        <v>46</v>
      </c>
      <c r="H10402" s="11" t="s">
        <v>63</v>
      </c>
      <c r="I10402" s="13" t="s">
        <v>20658</v>
      </c>
      <c r="J10402" s="14" t="str">
        <f>HYPERLINK("https://www.boe.es/gazeta/dias/1839/09/27/pdfs/GMD-1839-1783.pdf#page=3","Abrir facsímil")</f>
        <v>Abrir facsímil</v>
      </c>
      <c r="K10402" s="12" t="s">
        <v>65</v>
      </c>
    </row>
    <row r="10403" spans="1:11" ht="40.049999999999997" customHeight="1" x14ac:dyDescent="0.25">
      <c r="A10403" s="11" t="s">
        <v>20639</v>
      </c>
      <c r="B10403" s="11" t="s">
        <v>20639</v>
      </c>
      <c r="C10403" s="11" t="s">
        <v>101</v>
      </c>
      <c r="D10403" s="11" t="s">
        <v>43</v>
      </c>
      <c r="E10403" s="12" t="s">
        <v>1807</v>
      </c>
      <c r="F10403" s="12" t="s">
        <v>1808</v>
      </c>
      <c r="G10403" s="12" t="s">
        <v>46</v>
      </c>
      <c r="H10403" s="11" t="s">
        <v>22</v>
      </c>
      <c r="I10403" s="13" t="s">
        <v>20659</v>
      </c>
      <c r="J10403" s="14" t="str">
        <f>HYPERLINK("https://www.boe.es/gazeta/dias/1839/01/29/pdfs/GMD-1839-1536.pdf#page=3","Abrir facsímil")</f>
        <v>Abrir facsímil</v>
      </c>
      <c r="K10403" s="12" t="s">
        <v>24</v>
      </c>
    </row>
    <row r="10404" spans="1:11" ht="40.049999999999997" customHeight="1" x14ac:dyDescent="0.25">
      <c r="A10404" s="11" t="s">
        <v>20644</v>
      </c>
      <c r="B10404" s="11" t="s">
        <v>20644</v>
      </c>
      <c r="C10404" s="11" t="s">
        <v>17</v>
      </c>
      <c r="D10404" s="11" t="s">
        <v>18</v>
      </c>
      <c r="E10404" s="12" t="s">
        <v>1867</v>
      </c>
      <c r="F10404" s="12" t="s">
        <v>1868</v>
      </c>
      <c r="G10404" s="12" t="s">
        <v>46</v>
      </c>
      <c r="H10404" s="11" t="s">
        <v>63</v>
      </c>
      <c r="I10404" s="13" t="s">
        <v>20660</v>
      </c>
      <c r="J10404" s="14" t="str">
        <f>HYPERLINK("https://www.boe.es/gazeta/dias/1839/01/30/pdfs/GMD-1839-1537.pdf#page=3","Abrir facsímil")</f>
        <v>Abrir facsímil</v>
      </c>
      <c r="K10404" s="12" t="s">
        <v>65</v>
      </c>
    </row>
    <row r="10405" spans="1:11" ht="40.049999999999997" customHeight="1" x14ac:dyDescent="0.25">
      <c r="A10405" s="11" t="s">
        <v>20639</v>
      </c>
      <c r="B10405" s="11" t="s">
        <v>20639</v>
      </c>
      <c r="C10405" s="11" t="s">
        <v>17</v>
      </c>
      <c r="D10405" s="11" t="s">
        <v>18</v>
      </c>
      <c r="E10405" s="12" t="s">
        <v>1287</v>
      </c>
      <c r="F10405" s="12" t="s">
        <v>1288</v>
      </c>
      <c r="G10405" s="12" t="s">
        <v>40</v>
      </c>
      <c r="H10405" s="11" t="s">
        <v>22</v>
      </c>
      <c r="I10405" s="13" t="s">
        <v>20661</v>
      </c>
      <c r="J10405" s="14" t="str">
        <f>HYPERLINK("https://www.boe.es/gazeta/dias/1839/10/30/pdfs/GMD-1839-1816.pdf#page=2","Abrir facsímil")</f>
        <v>Abrir facsímil</v>
      </c>
      <c r="K10405" s="12" t="s">
        <v>24</v>
      </c>
    </row>
    <row r="10406" spans="1:11" ht="40.049999999999997" customHeight="1" x14ac:dyDescent="0.25">
      <c r="A10406" s="11" t="s">
        <v>20662</v>
      </c>
      <c r="B10406" s="11" t="s">
        <v>20662</v>
      </c>
      <c r="C10406" s="11" t="s">
        <v>80</v>
      </c>
      <c r="D10406" s="11" t="s">
        <v>173</v>
      </c>
      <c r="E10406" s="12" t="s">
        <v>19</v>
      </c>
      <c r="F10406" s="12" t="s">
        <v>20</v>
      </c>
      <c r="G10406" s="12" t="s">
        <v>21</v>
      </c>
      <c r="H10406" s="11" t="s">
        <v>63</v>
      </c>
      <c r="I10406" s="13" t="s">
        <v>20663</v>
      </c>
      <c r="J10406" s="14" t="str">
        <f>HYPERLINK("https://www.boe.es/gazeta/dias/1839/01/19/pdfs/GMD-1839-1526.pdf#page=4","Abrir facsímil")</f>
        <v>Abrir facsímil</v>
      </c>
      <c r="K10406" s="12" t="s">
        <v>65</v>
      </c>
    </row>
    <row r="10407" spans="1:11" ht="40.049999999999997" customHeight="1" x14ac:dyDescent="0.25">
      <c r="A10407" s="11" t="s">
        <v>20664</v>
      </c>
      <c r="B10407" s="11" t="s">
        <v>20664</v>
      </c>
      <c r="C10407" s="11" t="s">
        <v>17</v>
      </c>
      <c r="D10407" s="11" t="s">
        <v>18</v>
      </c>
      <c r="E10407" s="12" t="s">
        <v>4451</v>
      </c>
      <c r="F10407" s="12" t="s">
        <v>4452</v>
      </c>
      <c r="G10407" s="12" t="s">
        <v>40</v>
      </c>
      <c r="H10407" s="11" t="s">
        <v>63</v>
      </c>
      <c r="I10407" s="13" t="s">
        <v>20665</v>
      </c>
      <c r="J10407" s="14" t="str">
        <f>HYPERLINK("https://www.boe.es/gazeta/dias/1839/12/02/pdfs/GMD-1839-1849.pdf#page=2","Abrir facsímil")</f>
        <v>Abrir facsímil</v>
      </c>
      <c r="K10407" s="12" t="s">
        <v>65</v>
      </c>
    </row>
    <row r="10408" spans="1:11" ht="40.049999999999997" customHeight="1" x14ac:dyDescent="0.25">
      <c r="A10408" s="11" t="s">
        <v>20664</v>
      </c>
      <c r="B10408" s="11" t="s">
        <v>20664</v>
      </c>
      <c r="C10408" s="11" t="s">
        <v>17</v>
      </c>
      <c r="D10408" s="11" t="s">
        <v>18</v>
      </c>
      <c r="E10408" s="12" t="s">
        <v>61</v>
      </c>
      <c r="F10408" s="12" t="s">
        <v>62</v>
      </c>
      <c r="G10408" s="12" t="s">
        <v>21</v>
      </c>
      <c r="H10408" s="11" t="s">
        <v>63</v>
      </c>
      <c r="I10408" s="13" t="s">
        <v>20666</v>
      </c>
      <c r="J10408" s="14" t="str">
        <f>HYPERLINK("https://www.boe.es/gazeta/dias/1839/09/10/pdfs/GMD-1839-1763.pdf#page=4","Abrir facsímil")</f>
        <v>Abrir facsímil</v>
      </c>
      <c r="K10408" s="12" t="s">
        <v>65</v>
      </c>
    </row>
    <row r="10409" spans="1:11" ht="40.049999999999997" customHeight="1" x14ac:dyDescent="0.25">
      <c r="A10409" s="11" t="s">
        <v>20664</v>
      </c>
      <c r="B10409" s="11" t="s">
        <v>20664</v>
      </c>
      <c r="C10409" s="11" t="s">
        <v>137</v>
      </c>
      <c r="D10409" s="11" t="s">
        <v>18</v>
      </c>
      <c r="E10409" s="12" t="s">
        <v>116</v>
      </c>
      <c r="F10409" s="12" t="s">
        <v>117</v>
      </c>
      <c r="G10409" s="12" t="s">
        <v>46</v>
      </c>
      <c r="H10409" s="11" t="s">
        <v>63</v>
      </c>
      <c r="I10409" s="13" t="s">
        <v>20667</v>
      </c>
      <c r="J10409" s="14" t="str">
        <f>HYPERLINK("https://www.boe.es/gazeta/dias/1839/10/10/pdfs/GMD-1839-1796.pdf#page=3","Abrir facsímil")</f>
        <v>Abrir facsímil</v>
      </c>
      <c r="K10409" s="12" t="s">
        <v>65</v>
      </c>
    </row>
    <row r="10410" spans="1:11" ht="40.049999999999997" customHeight="1" x14ac:dyDescent="0.25">
      <c r="A10410" s="11" t="s">
        <v>20668</v>
      </c>
      <c r="B10410" s="11" t="s">
        <v>20669</v>
      </c>
      <c r="C10410" s="11" t="s">
        <v>17</v>
      </c>
      <c r="D10410" s="11" t="s">
        <v>18</v>
      </c>
      <c r="E10410" s="12" t="s">
        <v>2491</v>
      </c>
      <c r="F10410" s="12" t="s">
        <v>2492</v>
      </c>
      <c r="G10410" s="12" t="s">
        <v>21</v>
      </c>
      <c r="H10410" s="11" t="s">
        <v>63</v>
      </c>
      <c r="I10410" s="13" t="s">
        <v>20670</v>
      </c>
      <c r="J10410" s="14" t="str">
        <f>HYPERLINK("https://www.boe.es/gazeta/dias/1839/05/01/pdfs/GMD-1839-1628.pdf#page=4","Abrir facsímil")</f>
        <v>Abrir facsímil</v>
      </c>
      <c r="K10410" s="12" t="s">
        <v>65</v>
      </c>
    </row>
    <row r="10411" spans="1:11" ht="40.049999999999997" customHeight="1" x14ac:dyDescent="0.25">
      <c r="A10411" s="11" t="s">
        <v>20668</v>
      </c>
      <c r="B10411" s="11" t="s">
        <v>20669</v>
      </c>
      <c r="C10411" s="11" t="s">
        <v>137</v>
      </c>
      <c r="D10411" s="11" t="s">
        <v>18</v>
      </c>
      <c r="E10411" s="12" t="s">
        <v>381</v>
      </c>
      <c r="F10411" s="12" t="s">
        <v>382</v>
      </c>
      <c r="G10411" s="12" t="s">
        <v>21</v>
      </c>
      <c r="H10411" s="11" t="s">
        <v>63</v>
      </c>
      <c r="I10411" s="13" t="s">
        <v>20671</v>
      </c>
      <c r="J10411" s="14" t="str">
        <f>HYPERLINK("https://www.boe.es/gazeta/dias/1839/06/02/pdfs/GMD-1839-1660.pdf#page=4","Abrir facsímil")</f>
        <v>Abrir facsímil</v>
      </c>
      <c r="K10411" s="12" t="s">
        <v>65</v>
      </c>
    </row>
    <row r="10412" spans="1:11" ht="40.049999999999997" customHeight="1" x14ac:dyDescent="0.25">
      <c r="A10412" s="11" t="s">
        <v>20668</v>
      </c>
      <c r="B10412" s="11" t="s">
        <v>20669</v>
      </c>
      <c r="C10412" s="11" t="s">
        <v>17</v>
      </c>
      <c r="D10412" s="11" t="s">
        <v>43</v>
      </c>
      <c r="E10412" s="12" t="s">
        <v>1623</v>
      </c>
      <c r="F10412" s="12" t="s">
        <v>1624</v>
      </c>
      <c r="G10412" s="12" t="s">
        <v>46</v>
      </c>
      <c r="H10412" s="11" t="s">
        <v>63</v>
      </c>
      <c r="I10412" s="13" t="s">
        <v>20672</v>
      </c>
      <c r="J10412" s="14" t="str">
        <f>HYPERLINK("https://www.boe.es/gazeta/dias/1839/04/07/pdfs/GMD-1839-1604.pdf#page=3","Abrir facsímil")</f>
        <v>Abrir facsímil</v>
      </c>
      <c r="K10412" s="12" t="s">
        <v>65</v>
      </c>
    </row>
    <row r="10413" spans="1:11" ht="40.049999999999997" customHeight="1" x14ac:dyDescent="0.25">
      <c r="A10413" s="11" t="s">
        <v>20668</v>
      </c>
      <c r="B10413" s="11" t="s">
        <v>20669</v>
      </c>
      <c r="C10413" s="11" t="s">
        <v>137</v>
      </c>
      <c r="D10413" s="11" t="s">
        <v>18</v>
      </c>
      <c r="E10413" s="12" t="s">
        <v>513</v>
      </c>
      <c r="F10413" s="12" t="s">
        <v>514</v>
      </c>
      <c r="G10413" s="12" t="s">
        <v>21</v>
      </c>
      <c r="H10413" s="11" t="s">
        <v>63</v>
      </c>
      <c r="I10413" s="13" t="s">
        <v>20673</v>
      </c>
      <c r="J10413" s="14" t="str">
        <f>HYPERLINK("https://www.boe.es/gazeta/dias/1839/03/17/pdfs/GMD-1839-1583.pdf#page=4","Abrir facsímil")</f>
        <v>Abrir facsímil</v>
      </c>
      <c r="K10413" s="12" t="s">
        <v>65</v>
      </c>
    </row>
    <row r="10414" spans="1:11" ht="40.049999999999997" customHeight="1" x14ac:dyDescent="0.25">
      <c r="A10414" s="11" t="s">
        <v>20668</v>
      </c>
      <c r="B10414" s="11" t="s">
        <v>20669</v>
      </c>
      <c r="C10414" s="11" t="s">
        <v>17</v>
      </c>
      <c r="D10414" s="11" t="s">
        <v>18</v>
      </c>
      <c r="E10414" s="12" t="s">
        <v>479</v>
      </c>
      <c r="F10414" s="12" t="s">
        <v>480</v>
      </c>
      <c r="G10414" s="12" t="s">
        <v>21</v>
      </c>
      <c r="H10414" s="11" t="s">
        <v>63</v>
      </c>
      <c r="I10414" s="13" t="s">
        <v>20674</v>
      </c>
      <c r="J10414" s="14" t="str">
        <f>HYPERLINK("https://www.boe.es/gazeta/dias/1839/06/24/pdfs/GMD-1839-1682.pdf#page=4","Abrir facsímil")</f>
        <v>Abrir facsímil</v>
      </c>
      <c r="K10414" s="12" t="s">
        <v>65</v>
      </c>
    </row>
    <row r="10415" spans="1:11" ht="40.049999999999997" customHeight="1" x14ac:dyDescent="0.25">
      <c r="A10415" s="11" t="s">
        <v>20675</v>
      </c>
      <c r="B10415" s="11" t="s">
        <v>20676</v>
      </c>
      <c r="C10415" s="11" t="s">
        <v>17</v>
      </c>
      <c r="D10415" s="11" t="s">
        <v>18</v>
      </c>
      <c r="E10415" s="12" t="s">
        <v>4186</v>
      </c>
      <c r="F10415" s="12" t="s">
        <v>4187</v>
      </c>
      <c r="G10415" s="12" t="s">
        <v>21</v>
      </c>
      <c r="H10415" s="11" t="s">
        <v>63</v>
      </c>
      <c r="I10415" s="13" t="s">
        <v>20677</v>
      </c>
      <c r="J10415" s="14" t="str">
        <f>HYPERLINK("https://www.boe.es/gazeta/dias/1839/12/12/pdfs/GMD-1839-1859.pdf#page=4","Abrir facsímil")</f>
        <v>Abrir facsímil</v>
      </c>
      <c r="K10415" s="12" t="s">
        <v>65</v>
      </c>
    </row>
    <row r="10416" spans="1:11" ht="40.049999999999997" customHeight="1" x14ac:dyDescent="0.25">
      <c r="A10416" s="11" t="s">
        <v>20675</v>
      </c>
      <c r="B10416" s="11" t="s">
        <v>20676</v>
      </c>
      <c r="C10416" s="11" t="s">
        <v>80</v>
      </c>
      <c r="D10416" s="11" t="s">
        <v>18</v>
      </c>
      <c r="E10416" s="12" t="s">
        <v>1891</v>
      </c>
      <c r="F10416" s="12" t="s">
        <v>1892</v>
      </c>
      <c r="G10416" s="12" t="s">
        <v>21</v>
      </c>
      <c r="H10416" s="11" t="s">
        <v>63</v>
      </c>
      <c r="I10416" s="13" t="s">
        <v>20678</v>
      </c>
      <c r="J10416" s="14" t="str">
        <f>HYPERLINK("https://www.boe.es/gazeta/dias/1839/12/14/pdfs/GMD-1839-1861.pdf#page=4","Abrir facsímil")</f>
        <v>Abrir facsímil</v>
      </c>
      <c r="K10416" s="12" t="s">
        <v>65</v>
      </c>
    </row>
    <row r="10417" spans="1:11" ht="40.049999999999997" customHeight="1" x14ac:dyDescent="0.25">
      <c r="A10417" s="11" t="s">
        <v>20675</v>
      </c>
      <c r="B10417" s="11" t="s">
        <v>20676</v>
      </c>
      <c r="C10417" s="11" t="s">
        <v>17</v>
      </c>
      <c r="D10417" s="11" t="s">
        <v>18</v>
      </c>
      <c r="E10417" s="12" t="s">
        <v>1310</v>
      </c>
      <c r="F10417" s="12" t="s">
        <v>1311</v>
      </c>
      <c r="G10417" s="12" t="s">
        <v>40</v>
      </c>
      <c r="H10417" s="11" t="s">
        <v>63</v>
      </c>
      <c r="I10417" s="13" t="s">
        <v>20679</v>
      </c>
      <c r="J10417" s="14" t="str">
        <f>HYPERLINK("https://www.boe.es/gazeta/dias/1839/04/23/pdfs/GMD-1839-1620.pdf#page=2","Abrir facsímil")</f>
        <v>Abrir facsímil</v>
      </c>
      <c r="K10417" s="12" t="s">
        <v>65</v>
      </c>
    </row>
    <row r="10418" spans="1:11" ht="40.049999999999997" customHeight="1" x14ac:dyDescent="0.25">
      <c r="A10418" s="11" t="s">
        <v>20680</v>
      </c>
      <c r="B10418" s="11" t="s">
        <v>20681</v>
      </c>
      <c r="C10418" s="11" t="s">
        <v>17</v>
      </c>
      <c r="D10418" s="11" t="s">
        <v>18</v>
      </c>
      <c r="E10418" s="12" t="s">
        <v>121</v>
      </c>
      <c r="F10418" s="12" t="s">
        <v>122</v>
      </c>
      <c r="G10418" s="12" t="s">
        <v>46</v>
      </c>
      <c r="H10418" s="11" t="s">
        <v>63</v>
      </c>
      <c r="I10418" s="13" t="s">
        <v>20682</v>
      </c>
      <c r="J10418" s="14" t="str">
        <f>HYPERLINK("https://www.boe.es/gazeta/dias/1839/06/08/pdfs/GMD-1839-1666.pdf#page=3","Abrir facsímil")</f>
        <v>Abrir facsímil</v>
      </c>
      <c r="K10418" s="12" t="s">
        <v>65</v>
      </c>
    </row>
    <row r="10419" spans="1:11" ht="40.049999999999997" customHeight="1" x14ac:dyDescent="0.25">
      <c r="A10419" s="11" t="s">
        <v>20683</v>
      </c>
      <c r="B10419" s="11" t="s">
        <v>20683</v>
      </c>
      <c r="C10419" s="11" t="s">
        <v>137</v>
      </c>
      <c r="D10419" s="11" t="s">
        <v>18</v>
      </c>
      <c r="E10419" s="12" t="s">
        <v>848</v>
      </c>
      <c r="F10419" s="12" t="s">
        <v>849</v>
      </c>
      <c r="G10419" s="12" t="s">
        <v>46</v>
      </c>
      <c r="H10419" s="11" t="s">
        <v>63</v>
      </c>
      <c r="I10419" s="13" t="s">
        <v>20684</v>
      </c>
      <c r="J10419" s="14" t="str">
        <f>HYPERLINK("https://www.boe.es/gazeta/dias/1839/08/04/pdfs/GMD-1839-1724.pdf#page=3","Abrir facsímil")</f>
        <v>Abrir facsímil</v>
      </c>
      <c r="K10419" s="12" t="s">
        <v>65</v>
      </c>
    </row>
    <row r="10420" spans="1:11" ht="40.049999999999997" customHeight="1" x14ac:dyDescent="0.25">
      <c r="A10420" s="11" t="s">
        <v>20683</v>
      </c>
      <c r="B10420" s="11" t="s">
        <v>20683</v>
      </c>
      <c r="C10420" s="11" t="s">
        <v>17</v>
      </c>
      <c r="D10420" s="11" t="s">
        <v>18</v>
      </c>
      <c r="E10420" s="12" t="s">
        <v>84</v>
      </c>
      <c r="F10420" s="12" t="s">
        <v>85</v>
      </c>
      <c r="G10420" s="12" t="s">
        <v>21</v>
      </c>
      <c r="H10420" s="11" t="s">
        <v>63</v>
      </c>
      <c r="I10420" s="13" t="s">
        <v>20685</v>
      </c>
      <c r="J10420" s="14" t="str">
        <f>HYPERLINK("https://www.boe.es/gazeta/dias/1839/03/11/pdfs/GMD-1839-1577.pdf#page=4","Abrir facsímil")</f>
        <v>Abrir facsímil</v>
      </c>
      <c r="K10420" s="12" t="s">
        <v>65</v>
      </c>
    </row>
    <row r="10421" spans="1:11" ht="40.049999999999997" customHeight="1" x14ac:dyDescent="0.25">
      <c r="A10421" s="11" t="s">
        <v>20686</v>
      </c>
      <c r="B10421" s="11" t="s">
        <v>20686</v>
      </c>
      <c r="C10421" s="11" t="s">
        <v>17</v>
      </c>
      <c r="D10421" s="11" t="s">
        <v>18</v>
      </c>
      <c r="E10421" s="12" t="s">
        <v>44</v>
      </c>
      <c r="F10421" s="12" t="s">
        <v>45</v>
      </c>
      <c r="G10421" s="12" t="s">
        <v>40</v>
      </c>
      <c r="H10421" s="11" t="s">
        <v>63</v>
      </c>
      <c r="I10421" s="13" t="s">
        <v>20687</v>
      </c>
      <c r="J10421" s="14" t="str">
        <f>HYPERLINK("https://www.boe.es/gazeta/dias/1839/11/15/pdfs/GMD-1839-1832.pdf#page=2","Abrir facsímil")</f>
        <v>Abrir facsímil</v>
      </c>
      <c r="K10421" s="12" t="s">
        <v>65</v>
      </c>
    </row>
    <row r="10422" spans="1:11" ht="40.049999999999997" customHeight="1" x14ac:dyDescent="0.25">
      <c r="A10422" s="11" t="s">
        <v>20688</v>
      </c>
      <c r="B10422" s="11" t="s">
        <v>20688</v>
      </c>
      <c r="C10422" s="11" t="s">
        <v>17</v>
      </c>
      <c r="D10422" s="11" t="s">
        <v>18</v>
      </c>
      <c r="E10422" s="12" t="s">
        <v>1648</v>
      </c>
      <c r="F10422" s="12" t="s">
        <v>1649</v>
      </c>
      <c r="G10422" s="12" t="s">
        <v>29</v>
      </c>
      <c r="H10422" s="11" t="s">
        <v>63</v>
      </c>
      <c r="I10422" s="13" t="s">
        <v>20689</v>
      </c>
      <c r="J10422" s="14" t="str">
        <f>HYPERLINK("https://www.boe.es/gazeta/dias/1839/08/18/pdfs/GMD-1839-1738.pdf#page=1","Abrir facsímil")</f>
        <v>Abrir facsímil</v>
      </c>
      <c r="K10422" s="12" t="s">
        <v>65</v>
      </c>
    </row>
    <row r="10423" spans="1:11" ht="40.049999999999997" customHeight="1" x14ac:dyDescent="0.25">
      <c r="A10423" s="11" t="s">
        <v>20690</v>
      </c>
      <c r="B10423" s="11" t="s">
        <v>20690</v>
      </c>
      <c r="C10423" s="11" t="s">
        <v>17</v>
      </c>
      <c r="D10423" s="11" t="s">
        <v>18</v>
      </c>
      <c r="E10423" s="12" t="s">
        <v>121</v>
      </c>
      <c r="F10423" s="12" t="s">
        <v>122</v>
      </c>
      <c r="G10423" s="12" t="s">
        <v>29</v>
      </c>
      <c r="H10423" s="11" t="s">
        <v>63</v>
      </c>
      <c r="I10423" s="13" t="s">
        <v>20691</v>
      </c>
      <c r="J10423" s="14" t="str">
        <f>HYPERLINK("https://www.boe.es/gazeta/dias/1839/06/08/pdfs/GMD-1839-1666.pdf#page=1","Abrir facsímil")</f>
        <v>Abrir facsímil</v>
      </c>
      <c r="K10423" s="12" t="s">
        <v>65</v>
      </c>
    </row>
    <row r="10424" spans="1:11" ht="40.049999999999997" customHeight="1" x14ac:dyDescent="0.25">
      <c r="A10424" s="11" t="s">
        <v>20690</v>
      </c>
      <c r="B10424" s="11" t="s">
        <v>20690</v>
      </c>
      <c r="C10424" s="11" t="s">
        <v>101</v>
      </c>
      <c r="D10424" s="11" t="s">
        <v>43</v>
      </c>
      <c r="E10424" s="12" t="s">
        <v>222</v>
      </c>
      <c r="F10424" s="12" t="s">
        <v>223</v>
      </c>
      <c r="G10424" s="12" t="s">
        <v>40</v>
      </c>
      <c r="H10424" s="11" t="s">
        <v>63</v>
      </c>
      <c r="I10424" s="13" t="s">
        <v>20692</v>
      </c>
      <c r="J10424" s="14" t="str">
        <f>HYPERLINK("https://www.boe.es/gazeta/dias/1839/06/22/pdfs/GMD-1839-1680.pdf#page=2","Abrir facsímil")</f>
        <v>Abrir facsímil</v>
      </c>
      <c r="K10424" s="12" t="s">
        <v>65</v>
      </c>
    </row>
    <row r="10425" spans="1:11" ht="40.049999999999997" customHeight="1" x14ac:dyDescent="0.25">
      <c r="A10425" s="11" t="s">
        <v>20693</v>
      </c>
      <c r="B10425" s="11" t="s">
        <v>20693</v>
      </c>
      <c r="C10425" s="11" t="s">
        <v>17</v>
      </c>
      <c r="D10425" s="11" t="s">
        <v>18</v>
      </c>
      <c r="E10425" s="12" t="s">
        <v>1340</v>
      </c>
      <c r="F10425" s="12" t="s">
        <v>1341</v>
      </c>
      <c r="G10425" s="12" t="s">
        <v>40</v>
      </c>
      <c r="H10425" s="11" t="s">
        <v>63</v>
      </c>
      <c r="I10425" s="13" t="s">
        <v>20694</v>
      </c>
      <c r="J10425" s="14" t="str">
        <f>HYPERLINK("https://www.boe.es/gazeta/dias/1839/05/05/pdfs/GMD-1839-1632.pdf#page=2","Abrir facsímil")</f>
        <v>Abrir facsímil</v>
      </c>
      <c r="K10425" s="12" t="s">
        <v>65</v>
      </c>
    </row>
    <row r="10426" spans="1:11" ht="40.049999999999997" customHeight="1" x14ac:dyDescent="0.25">
      <c r="A10426" s="11" t="s">
        <v>20695</v>
      </c>
      <c r="B10426" s="11" t="s">
        <v>20695</v>
      </c>
      <c r="C10426" s="11" t="s">
        <v>101</v>
      </c>
      <c r="D10426" s="11" t="s">
        <v>43</v>
      </c>
      <c r="E10426" s="12" t="s">
        <v>2839</v>
      </c>
      <c r="F10426" s="12" t="s">
        <v>2840</v>
      </c>
      <c r="G10426" s="12" t="s">
        <v>46</v>
      </c>
      <c r="H10426" s="11" t="s">
        <v>63</v>
      </c>
      <c r="I10426" s="13" t="s">
        <v>20696</v>
      </c>
      <c r="J10426" s="14" t="str">
        <f>HYPERLINK("https://www.boe.es/gazeta/dias/1839/03/06/pdfs/GMD-1839-1572.pdf#page=3","Abrir facsímil")</f>
        <v>Abrir facsímil</v>
      </c>
      <c r="K10426" s="12" t="s">
        <v>65</v>
      </c>
    </row>
    <row r="10427" spans="1:11" ht="40.049999999999997" customHeight="1" x14ac:dyDescent="0.25">
      <c r="A10427" s="11" t="s">
        <v>20697</v>
      </c>
      <c r="B10427" s="11" t="s">
        <v>20697</v>
      </c>
      <c r="C10427" s="11" t="s">
        <v>101</v>
      </c>
      <c r="D10427" s="11" t="s">
        <v>102</v>
      </c>
      <c r="E10427" s="12" t="s">
        <v>4189</v>
      </c>
      <c r="F10427" s="12" t="s">
        <v>4190</v>
      </c>
      <c r="G10427" s="12" t="s">
        <v>40</v>
      </c>
      <c r="H10427" s="11" t="s">
        <v>63</v>
      </c>
      <c r="I10427" s="13" t="s">
        <v>20698</v>
      </c>
      <c r="J10427" s="14" t="str">
        <f>HYPERLINK("https://www.boe.es/gazeta/dias/1839/02/13/pdfs/GMD-1839-1551.pdf#page=2","Abrir facsímil")</f>
        <v>Abrir facsímil</v>
      </c>
      <c r="K10427" s="12" t="s">
        <v>65</v>
      </c>
    </row>
    <row r="10428" spans="1:11" ht="40.049999999999997" customHeight="1" x14ac:dyDescent="0.25">
      <c r="A10428" s="11" t="s">
        <v>20697</v>
      </c>
      <c r="B10428" s="11" t="s">
        <v>20697</v>
      </c>
      <c r="C10428" s="11" t="s">
        <v>101</v>
      </c>
      <c r="D10428" s="11" t="s">
        <v>102</v>
      </c>
      <c r="E10428" s="12" t="s">
        <v>340</v>
      </c>
      <c r="F10428" s="12" t="s">
        <v>341</v>
      </c>
      <c r="G10428" s="12" t="s">
        <v>29</v>
      </c>
      <c r="H10428" s="11" t="s">
        <v>63</v>
      </c>
      <c r="I10428" s="13" t="s">
        <v>20699</v>
      </c>
      <c r="J10428" s="14" t="str">
        <f>HYPERLINK("https://www.boe.es/gazeta/dias/1839/03/19/pdfs/GMD-1839-1585.pdf#page=1","Abrir facsímil")</f>
        <v>Abrir facsímil</v>
      </c>
      <c r="K10428" s="12" t="s">
        <v>65</v>
      </c>
    </row>
    <row r="10429" spans="1:11" ht="40.049999999999997" customHeight="1" x14ac:dyDescent="0.25">
      <c r="A10429" s="11" t="s">
        <v>20697</v>
      </c>
      <c r="B10429" s="11" t="s">
        <v>20697</v>
      </c>
      <c r="C10429" s="11" t="s">
        <v>80</v>
      </c>
      <c r="D10429" s="11" t="s">
        <v>18</v>
      </c>
      <c r="E10429" s="12" t="s">
        <v>775</v>
      </c>
      <c r="F10429" s="12" t="s">
        <v>776</v>
      </c>
      <c r="G10429" s="12" t="s">
        <v>40</v>
      </c>
      <c r="H10429" s="11" t="s">
        <v>63</v>
      </c>
      <c r="I10429" s="13" t="s">
        <v>20700</v>
      </c>
      <c r="J10429" s="14" t="str">
        <f>HYPERLINK("https://www.boe.es/gazeta/dias/1839/02/25/pdfs/GMD-1839-1563.pdf#page=2","Abrir facsímil")</f>
        <v>Abrir facsímil</v>
      </c>
      <c r="K10429" s="12" t="s">
        <v>65</v>
      </c>
    </row>
    <row r="10430" spans="1:11" ht="40.049999999999997" customHeight="1" x14ac:dyDescent="0.25">
      <c r="A10430" s="11" t="s">
        <v>20697</v>
      </c>
      <c r="B10430" s="11" t="s">
        <v>20697</v>
      </c>
      <c r="C10430" s="11" t="s">
        <v>101</v>
      </c>
      <c r="D10430" s="11" t="s">
        <v>43</v>
      </c>
      <c r="E10430" s="12" t="s">
        <v>4047</v>
      </c>
      <c r="F10430" s="12" t="s">
        <v>4048</v>
      </c>
      <c r="G10430" s="12" t="s">
        <v>46</v>
      </c>
      <c r="H10430" s="11" t="s">
        <v>63</v>
      </c>
      <c r="I10430" s="13" t="s">
        <v>20701</v>
      </c>
      <c r="J10430" s="14" t="str">
        <f>HYPERLINK("https://www.boe.es/gazeta/dias/1839/03/26/pdfs/GMD-1839-1592.pdf#page=3","Abrir facsímil")</f>
        <v>Abrir facsímil</v>
      </c>
      <c r="K10430" s="12" t="s">
        <v>65</v>
      </c>
    </row>
    <row r="10431" spans="1:11" ht="40.049999999999997" customHeight="1" x14ac:dyDescent="0.25">
      <c r="A10431" s="11" t="s">
        <v>20702</v>
      </c>
      <c r="B10431" s="11" t="s">
        <v>20702</v>
      </c>
      <c r="C10431" s="11" t="s">
        <v>101</v>
      </c>
      <c r="D10431" s="11" t="s">
        <v>43</v>
      </c>
      <c r="E10431" s="12" t="s">
        <v>647</v>
      </c>
      <c r="F10431" s="12" t="s">
        <v>648</v>
      </c>
      <c r="G10431" s="12" t="s">
        <v>29</v>
      </c>
      <c r="H10431" s="11" t="s">
        <v>63</v>
      </c>
      <c r="I10431" s="13" t="s">
        <v>20703</v>
      </c>
      <c r="J10431" s="14" t="str">
        <f>HYPERLINK("https://www.boe.es/gazeta/dias/1839/10/08/pdfs/GMD-1839-1794.pdf#page=1","Abrir facsímil")</f>
        <v>Abrir facsímil</v>
      </c>
      <c r="K10431" s="12" t="s">
        <v>65</v>
      </c>
    </row>
    <row r="10432" spans="1:11" ht="40.049999999999997" customHeight="1" x14ac:dyDescent="0.25">
      <c r="A10432" s="11" t="s">
        <v>20704</v>
      </c>
      <c r="B10432" s="11" t="s">
        <v>20704</v>
      </c>
      <c r="C10432" s="11" t="s">
        <v>17</v>
      </c>
      <c r="D10432" s="11" t="s">
        <v>18</v>
      </c>
      <c r="E10432" s="12" t="s">
        <v>303</v>
      </c>
      <c r="F10432" s="12" t="s">
        <v>304</v>
      </c>
      <c r="G10432" s="12" t="s">
        <v>40</v>
      </c>
      <c r="H10432" s="11" t="s">
        <v>63</v>
      </c>
      <c r="I10432" s="13" t="s">
        <v>20705</v>
      </c>
      <c r="J10432" s="14" t="str">
        <f>HYPERLINK("https://www.boe.es/gazeta/dias/1839/10/06/pdfs/GMD-1839-1792.pdf#page=2","Abrir facsímil")</f>
        <v>Abrir facsímil</v>
      </c>
      <c r="K10432" s="12" t="s">
        <v>65</v>
      </c>
    </row>
    <row r="10433" spans="1:11" ht="40.049999999999997" customHeight="1" x14ac:dyDescent="0.25">
      <c r="A10433" s="11" t="s">
        <v>20706</v>
      </c>
      <c r="B10433" s="11" t="s">
        <v>20706</v>
      </c>
      <c r="C10433" s="11" t="s">
        <v>17</v>
      </c>
      <c r="D10433" s="11" t="s">
        <v>18</v>
      </c>
      <c r="E10433" s="12" t="s">
        <v>303</v>
      </c>
      <c r="F10433" s="12" t="s">
        <v>304</v>
      </c>
      <c r="G10433" s="12" t="s">
        <v>21</v>
      </c>
      <c r="H10433" s="11" t="s">
        <v>22</v>
      </c>
      <c r="I10433" s="13" t="s">
        <v>20707</v>
      </c>
      <c r="J10433" s="14" t="str">
        <f>HYPERLINK("https://www.boe.es/gazeta/dias/1839/10/06/pdfs/GMD-1839-1792.pdf#page=4","Abrir facsímil")</f>
        <v>Abrir facsímil</v>
      </c>
      <c r="K10433" s="12" t="s">
        <v>24</v>
      </c>
    </row>
    <row r="10434" spans="1:11" ht="40.049999999999997" customHeight="1" x14ac:dyDescent="0.25">
      <c r="A10434" s="11" t="s">
        <v>20704</v>
      </c>
      <c r="B10434" s="11" t="s">
        <v>20704</v>
      </c>
      <c r="C10434" s="11" t="s">
        <v>17</v>
      </c>
      <c r="D10434" s="11" t="s">
        <v>18</v>
      </c>
      <c r="E10434" s="12" t="s">
        <v>1509</v>
      </c>
      <c r="F10434" s="12" t="s">
        <v>1510</v>
      </c>
      <c r="G10434" s="12" t="s">
        <v>46</v>
      </c>
      <c r="H10434" s="11" t="s">
        <v>63</v>
      </c>
      <c r="I10434" s="13" t="s">
        <v>20708</v>
      </c>
      <c r="J10434" s="14" t="str">
        <f>HYPERLINK("https://www.boe.es/gazeta/dias/1839/10/07/pdfs/GMD-1839-1793.pdf#page=3","Abrir facsímil")</f>
        <v>Abrir facsímil</v>
      </c>
      <c r="K10434" s="12" t="s">
        <v>65</v>
      </c>
    </row>
    <row r="10435" spans="1:11" ht="40.049999999999997" customHeight="1" x14ac:dyDescent="0.25">
      <c r="A10435" s="11" t="s">
        <v>20704</v>
      </c>
      <c r="B10435" s="11" t="s">
        <v>20704</v>
      </c>
      <c r="C10435" s="11" t="s">
        <v>17</v>
      </c>
      <c r="D10435" s="11" t="s">
        <v>18</v>
      </c>
      <c r="E10435" s="12" t="s">
        <v>1100</v>
      </c>
      <c r="F10435" s="12" t="s">
        <v>1101</v>
      </c>
      <c r="G10435" s="12" t="s">
        <v>29</v>
      </c>
      <c r="H10435" s="11" t="s">
        <v>63</v>
      </c>
      <c r="I10435" s="13" t="s">
        <v>20709</v>
      </c>
      <c r="J10435" s="14" t="str">
        <f>HYPERLINK("https://www.boe.es/gazeta/dias/1839/09/13/pdfs/GMD-1839-1766.pdf#page=1","Abrir facsímil")</f>
        <v>Abrir facsímil</v>
      </c>
      <c r="K10435" s="12" t="s">
        <v>65</v>
      </c>
    </row>
    <row r="10436" spans="1:11" ht="40.049999999999997" customHeight="1" x14ac:dyDescent="0.25">
      <c r="A10436" s="11" t="s">
        <v>20710</v>
      </c>
      <c r="B10436" s="11" t="s">
        <v>20711</v>
      </c>
      <c r="C10436" s="11" t="s">
        <v>17</v>
      </c>
      <c r="D10436" s="11" t="s">
        <v>18</v>
      </c>
      <c r="E10436" s="12" t="s">
        <v>756</v>
      </c>
      <c r="F10436" s="12" t="s">
        <v>757</v>
      </c>
      <c r="G10436" s="12" t="s">
        <v>21</v>
      </c>
      <c r="H10436" s="11" t="s">
        <v>63</v>
      </c>
      <c r="I10436" s="13" t="s">
        <v>20712</v>
      </c>
      <c r="J10436" s="14" t="str">
        <f>HYPERLINK("https://www.boe.es/gazeta/dias/1839/12/17/pdfs/GMD-1839-1864.pdf#page=4","Abrir facsímil")</f>
        <v>Abrir facsímil</v>
      </c>
      <c r="K10436" s="12" t="s">
        <v>65</v>
      </c>
    </row>
    <row r="10437" spans="1:11" ht="40.049999999999997" customHeight="1" x14ac:dyDescent="0.25">
      <c r="A10437" s="11" t="s">
        <v>20713</v>
      </c>
      <c r="B10437" s="11" t="s">
        <v>20713</v>
      </c>
      <c r="C10437" s="11" t="s">
        <v>17</v>
      </c>
      <c r="D10437" s="11" t="s">
        <v>18</v>
      </c>
      <c r="E10437" s="12" t="s">
        <v>1654</v>
      </c>
      <c r="F10437" s="12" t="s">
        <v>1655</v>
      </c>
      <c r="G10437" s="12" t="s">
        <v>46</v>
      </c>
      <c r="H10437" s="11" t="s">
        <v>63</v>
      </c>
      <c r="I10437" s="13" t="s">
        <v>20714</v>
      </c>
      <c r="J10437" s="14" t="str">
        <f>HYPERLINK("https://www.boe.es/gazeta/dias/1839/11/19/pdfs/GMD-1839-1836.pdf#page=3","Abrir facsímil")</f>
        <v>Abrir facsímil</v>
      </c>
      <c r="K10437" s="12" t="s">
        <v>65</v>
      </c>
    </row>
    <row r="10438" spans="1:11" ht="40.049999999999997" customHeight="1" x14ac:dyDescent="0.25">
      <c r="A10438" s="11" t="s">
        <v>20715</v>
      </c>
      <c r="B10438" s="11" t="s">
        <v>20716</v>
      </c>
      <c r="C10438" s="11" t="s">
        <v>101</v>
      </c>
      <c r="D10438" s="11" t="s">
        <v>43</v>
      </c>
      <c r="E10438" s="12" t="s">
        <v>2738</v>
      </c>
      <c r="F10438" s="12" t="s">
        <v>2739</v>
      </c>
      <c r="G10438" s="12" t="s">
        <v>40</v>
      </c>
      <c r="H10438" s="11" t="s">
        <v>63</v>
      </c>
      <c r="I10438" s="13" t="s">
        <v>20717</v>
      </c>
      <c r="J10438" s="14" t="str">
        <f>HYPERLINK("https://www.boe.es/gazeta/dias/1839/09/06/pdfs/GMD-1839-1759.pdf#page=2","Abrir facsímil")</f>
        <v>Abrir facsímil</v>
      </c>
      <c r="K10438" s="12" t="s">
        <v>65</v>
      </c>
    </row>
    <row r="10439" spans="1:11" ht="40.049999999999997" customHeight="1" x14ac:dyDescent="0.25">
      <c r="A10439" s="11" t="s">
        <v>20718</v>
      </c>
      <c r="B10439" s="11" t="s">
        <v>20718</v>
      </c>
      <c r="C10439" s="11" t="s">
        <v>17</v>
      </c>
      <c r="D10439" s="11" t="s">
        <v>18</v>
      </c>
      <c r="E10439" s="12" t="s">
        <v>1588</v>
      </c>
      <c r="F10439" s="12" t="s">
        <v>1589</v>
      </c>
      <c r="G10439" s="12" t="s">
        <v>21</v>
      </c>
      <c r="H10439" s="11" t="s">
        <v>63</v>
      </c>
      <c r="I10439" s="13" t="s">
        <v>20719</v>
      </c>
      <c r="J10439" s="14" t="str">
        <f>HYPERLINK("https://www.boe.es/gazeta/dias/1839/07/27/pdfs/GMD-1839-1716.pdf#page=4","Abrir facsímil")</f>
        <v>Abrir facsímil</v>
      </c>
      <c r="K10439" s="12" t="s">
        <v>65</v>
      </c>
    </row>
    <row r="10440" spans="1:11" ht="40.049999999999997" customHeight="1" x14ac:dyDescent="0.25">
      <c r="A10440" s="11" t="s">
        <v>20720</v>
      </c>
      <c r="B10440" s="11" t="s">
        <v>20720</v>
      </c>
      <c r="C10440" s="11" t="s">
        <v>80</v>
      </c>
      <c r="D10440" s="11" t="s">
        <v>173</v>
      </c>
      <c r="E10440" s="12" t="s">
        <v>2262</v>
      </c>
      <c r="F10440" s="12" t="s">
        <v>2263</v>
      </c>
      <c r="G10440" s="12" t="s">
        <v>29</v>
      </c>
      <c r="H10440" s="11" t="s">
        <v>63</v>
      </c>
      <c r="I10440" s="13" t="s">
        <v>20721</v>
      </c>
      <c r="J10440" s="14" t="str">
        <f>HYPERLINK("https://www.boe.es/gazeta/dias/1839/03/16/pdfs/GMD-1839-1582.pdf#page=1","Abrir facsímil")</f>
        <v>Abrir facsímil</v>
      </c>
      <c r="K10440" s="12" t="s">
        <v>65</v>
      </c>
    </row>
    <row r="10441" spans="1:11" ht="40.049999999999997" customHeight="1" x14ac:dyDescent="0.25">
      <c r="A10441" s="11" t="s">
        <v>20722</v>
      </c>
      <c r="B10441" s="11" t="s">
        <v>20723</v>
      </c>
      <c r="C10441" s="11" t="s">
        <v>137</v>
      </c>
      <c r="D10441" s="11" t="s">
        <v>18</v>
      </c>
      <c r="E10441" s="12" t="s">
        <v>1287</v>
      </c>
      <c r="F10441" s="12" t="s">
        <v>1288</v>
      </c>
      <c r="G10441" s="12" t="s">
        <v>21</v>
      </c>
      <c r="H10441" s="11" t="s">
        <v>22</v>
      </c>
      <c r="I10441" s="13" t="s">
        <v>20724</v>
      </c>
      <c r="J10441" s="14" t="str">
        <f>HYPERLINK("https://www.boe.es/gazeta/dias/1839/10/30/pdfs/GMD-1839-1816.pdf#page=4","Abrir facsímil")</f>
        <v>Abrir facsímil</v>
      </c>
      <c r="K10441" s="12" t="s">
        <v>24</v>
      </c>
    </row>
    <row r="10442" spans="1:11" ht="40.049999999999997" customHeight="1" x14ac:dyDescent="0.25">
      <c r="A10442" s="11" t="s">
        <v>20725</v>
      </c>
      <c r="B10442" s="11" t="s">
        <v>20726</v>
      </c>
      <c r="C10442" s="11" t="s">
        <v>59</v>
      </c>
      <c r="D10442" s="11" t="s">
        <v>60</v>
      </c>
      <c r="E10442" s="12" t="s">
        <v>2210</v>
      </c>
      <c r="F10442" s="12" t="s">
        <v>2211</v>
      </c>
      <c r="G10442" s="12" t="s">
        <v>29</v>
      </c>
      <c r="H10442" s="11" t="s">
        <v>63</v>
      </c>
      <c r="I10442" s="13" t="s">
        <v>20727</v>
      </c>
      <c r="J10442" s="14" t="str">
        <f>HYPERLINK("https://www.boe.es/gazeta/dias/1839/09/05/pdfs/GMD-1839-1758.pdf#page=1","Abrir facsímil")</f>
        <v>Abrir facsímil</v>
      </c>
      <c r="K10442" s="12" t="s">
        <v>65</v>
      </c>
    </row>
    <row r="10443" spans="1:11" ht="40.049999999999997" customHeight="1" x14ac:dyDescent="0.25">
      <c r="A10443" s="11" t="s">
        <v>20728</v>
      </c>
      <c r="B10443" s="11" t="s">
        <v>20729</v>
      </c>
      <c r="C10443" s="11" t="s">
        <v>80</v>
      </c>
      <c r="D10443" s="11" t="s">
        <v>173</v>
      </c>
      <c r="E10443" s="12" t="s">
        <v>462</v>
      </c>
      <c r="F10443" s="12" t="s">
        <v>463</v>
      </c>
      <c r="G10443" s="12" t="s">
        <v>21</v>
      </c>
      <c r="H10443" s="11" t="s">
        <v>63</v>
      </c>
      <c r="I10443" s="13" t="s">
        <v>20730</v>
      </c>
      <c r="J10443" s="14" t="str">
        <f>HYPERLINK("https://www.boe.es/gazeta/dias/1839/06/19/pdfs/GMD-1839-1677.pdf#page=4","Abrir facsímil")</f>
        <v>Abrir facsímil</v>
      </c>
      <c r="K10443" s="12" t="s">
        <v>65</v>
      </c>
    </row>
    <row r="10444" spans="1:11" ht="40.049999999999997" customHeight="1" x14ac:dyDescent="0.25">
      <c r="A10444" s="11" t="s">
        <v>20731</v>
      </c>
      <c r="B10444" s="11" t="s">
        <v>20732</v>
      </c>
      <c r="C10444" s="11" t="s">
        <v>101</v>
      </c>
      <c r="D10444" s="11" t="s">
        <v>43</v>
      </c>
      <c r="E10444" s="12" t="s">
        <v>381</v>
      </c>
      <c r="F10444" s="12" t="s">
        <v>382</v>
      </c>
      <c r="G10444" s="12" t="s">
        <v>21</v>
      </c>
      <c r="H10444" s="11" t="s">
        <v>63</v>
      </c>
      <c r="I10444" s="13" t="s">
        <v>20733</v>
      </c>
      <c r="J10444" s="14" t="str">
        <f>HYPERLINK("https://www.boe.es/gazeta/dias/1839/06/02/pdfs/GMD-1839-1660.pdf#page=4","Abrir facsímil")</f>
        <v>Abrir facsímil</v>
      </c>
      <c r="K10444" s="12" t="s">
        <v>65</v>
      </c>
    </row>
    <row r="10445" spans="1:11" ht="40.049999999999997" customHeight="1" x14ac:dyDescent="0.25">
      <c r="A10445" s="11" t="s">
        <v>20734</v>
      </c>
      <c r="B10445" s="11" t="s">
        <v>20735</v>
      </c>
      <c r="C10445" s="11" t="s">
        <v>17</v>
      </c>
      <c r="D10445" s="11" t="s">
        <v>18</v>
      </c>
      <c r="E10445" s="12" t="s">
        <v>4787</v>
      </c>
      <c r="F10445" s="12" t="s">
        <v>4788</v>
      </c>
      <c r="G10445" s="12" t="s">
        <v>46</v>
      </c>
      <c r="H10445" s="11" t="s">
        <v>63</v>
      </c>
      <c r="I10445" s="13" t="s">
        <v>20736</v>
      </c>
      <c r="J10445" s="14" t="str">
        <f>HYPERLINK("https://www.boe.es/gazeta/dias/1839/05/26/pdfs/GMD-1839-1653.pdf#page=3","Abrir facsímil")</f>
        <v>Abrir facsímil</v>
      </c>
      <c r="K10445" s="12" t="s">
        <v>65</v>
      </c>
    </row>
    <row r="10446" spans="1:11" ht="40.049999999999997" customHeight="1" x14ac:dyDescent="0.25">
      <c r="A10446" s="11" t="s">
        <v>20737</v>
      </c>
      <c r="B10446" s="11" t="s">
        <v>20737</v>
      </c>
      <c r="C10446" s="11" t="s">
        <v>101</v>
      </c>
      <c r="D10446" s="11" t="s">
        <v>43</v>
      </c>
      <c r="E10446" s="12" t="s">
        <v>2270</v>
      </c>
      <c r="F10446" s="12" t="s">
        <v>2271</v>
      </c>
      <c r="G10446" s="12" t="s">
        <v>29</v>
      </c>
      <c r="H10446" s="11" t="s">
        <v>63</v>
      </c>
      <c r="I10446" s="13" t="s">
        <v>20738</v>
      </c>
      <c r="J10446" s="14" t="str">
        <f>HYPERLINK("https://www.boe.es/gazeta/dias/1839/06/13/pdfs/GMD-1839-1671.pdf#page=1","Abrir facsímil")</f>
        <v>Abrir facsímil</v>
      </c>
      <c r="K10446" s="12" t="s">
        <v>65</v>
      </c>
    </row>
    <row r="10447" spans="1:11" ht="40.049999999999997" customHeight="1" x14ac:dyDescent="0.25">
      <c r="A10447" s="11" t="s">
        <v>20739</v>
      </c>
      <c r="B10447" s="11" t="s">
        <v>20740</v>
      </c>
      <c r="C10447" s="11" t="s">
        <v>80</v>
      </c>
      <c r="D10447" s="11" t="s">
        <v>18</v>
      </c>
      <c r="E10447" s="12" t="s">
        <v>1446</v>
      </c>
      <c r="F10447" s="12" t="s">
        <v>1447</v>
      </c>
      <c r="G10447" s="12" t="s">
        <v>40</v>
      </c>
      <c r="H10447" s="11" t="s">
        <v>63</v>
      </c>
      <c r="I10447" s="13" t="s">
        <v>20741</v>
      </c>
      <c r="J10447" s="14" t="str">
        <f>HYPERLINK("https://www.boe.es/gazeta/dias/1839/08/25/pdfs/GMD-1839-1746.pdf#page=2","Abrir facsímil")</f>
        <v>Abrir facsímil</v>
      </c>
      <c r="K10447" s="12" t="s">
        <v>65</v>
      </c>
    </row>
    <row r="10448" spans="1:11" ht="40.049999999999997" customHeight="1" x14ac:dyDescent="0.25">
      <c r="A10448" s="11" t="s">
        <v>20742</v>
      </c>
      <c r="B10448" s="11" t="s">
        <v>20742</v>
      </c>
      <c r="C10448" s="11" t="s">
        <v>101</v>
      </c>
      <c r="D10448" s="11" t="s">
        <v>43</v>
      </c>
      <c r="E10448" s="12" t="s">
        <v>1057</v>
      </c>
      <c r="F10448" s="12" t="s">
        <v>1058</v>
      </c>
      <c r="G10448" s="12" t="s">
        <v>46</v>
      </c>
      <c r="H10448" s="11" t="s">
        <v>63</v>
      </c>
      <c r="I10448" s="13" t="s">
        <v>20743</v>
      </c>
      <c r="J10448" s="14" t="str">
        <f>HYPERLINK("https://www.boe.es/gazeta/dias/1839/10/01/pdfs/GMD-1839-1787.pdf#page=3","Abrir facsímil")</f>
        <v>Abrir facsímil</v>
      </c>
      <c r="K10448" s="12" t="s">
        <v>65</v>
      </c>
    </row>
    <row r="10449" spans="1:11" ht="40.049999999999997" customHeight="1" x14ac:dyDescent="0.25">
      <c r="A10449" s="11" t="s">
        <v>20742</v>
      </c>
      <c r="B10449" s="11" t="s">
        <v>20742</v>
      </c>
      <c r="C10449" s="11" t="s">
        <v>137</v>
      </c>
      <c r="D10449" s="11" t="s">
        <v>18</v>
      </c>
      <c r="E10449" s="12" t="s">
        <v>266</v>
      </c>
      <c r="F10449" s="12" t="s">
        <v>267</v>
      </c>
      <c r="G10449" s="12" t="s">
        <v>40</v>
      </c>
      <c r="H10449" s="11" t="s">
        <v>63</v>
      </c>
      <c r="I10449" s="13" t="s">
        <v>20744</v>
      </c>
      <c r="J10449" s="14" t="str">
        <f>HYPERLINK("https://www.boe.es/gazeta/dias/1839/01/03/pdfs/GMD-1839-1510.pdf#page=2","Abrir facsímil")</f>
        <v>Abrir facsímil</v>
      </c>
      <c r="K10449" s="12" t="s">
        <v>65</v>
      </c>
    </row>
    <row r="10450" spans="1:11" ht="40.049999999999997" customHeight="1" x14ac:dyDescent="0.25">
      <c r="A10450" s="11" t="s">
        <v>20742</v>
      </c>
      <c r="B10450" s="11" t="s">
        <v>20742</v>
      </c>
      <c r="C10450" s="11" t="s">
        <v>137</v>
      </c>
      <c r="D10450" s="11" t="s">
        <v>18</v>
      </c>
      <c r="E10450" s="12" t="s">
        <v>798</v>
      </c>
      <c r="F10450" s="12" t="s">
        <v>799</v>
      </c>
      <c r="G10450" s="12" t="s">
        <v>40</v>
      </c>
      <c r="H10450" s="11" t="s">
        <v>63</v>
      </c>
      <c r="I10450" s="13" t="s">
        <v>20745</v>
      </c>
      <c r="J10450" s="14" t="str">
        <f>HYPERLINK("https://www.boe.es/gazeta/dias/1839/09/03/pdfs/GMD-1839-1755.pdf#page=2","Abrir facsímil")</f>
        <v>Abrir facsímil</v>
      </c>
      <c r="K10450" s="12" t="s">
        <v>65</v>
      </c>
    </row>
    <row r="10451" spans="1:11" ht="40.049999999999997" customHeight="1" x14ac:dyDescent="0.25">
      <c r="A10451" s="11" t="s">
        <v>20742</v>
      </c>
      <c r="B10451" s="11" t="s">
        <v>20742</v>
      </c>
      <c r="C10451" s="11" t="s">
        <v>101</v>
      </c>
      <c r="D10451" s="11" t="s">
        <v>43</v>
      </c>
      <c r="E10451" s="12" t="s">
        <v>212</v>
      </c>
      <c r="F10451" s="12" t="s">
        <v>213</v>
      </c>
      <c r="G10451" s="12" t="s">
        <v>46</v>
      </c>
      <c r="H10451" s="11" t="s">
        <v>63</v>
      </c>
      <c r="I10451" s="13" t="s">
        <v>20746</v>
      </c>
      <c r="J10451" s="14" t="str">
        <f>HYPERLINK("https://www.boe.es/gazeta/dias/1839/10/03/pdfs/GMD-1839-1789.pdf#page=3","Abrir facsímil")</f>
        <v>Abrir facsímil</v>
      </c>
      <c r="K10451" s="12" t="s">
        <v>65</v>
      </c>
    </row>
    <row r="10452" spans="1:11" ht="40.049999999999997" customHeight="1" x14ac:dyDescent="0.25">
      <c r="A10452" s="11" t="s">
        <v>20742</v>
      </c>
      <c r="B10452" s="11" t="s">
        <v>20742</v>
      </c>
      <c r="C10452" s="11" t="s">
        <v>17</v>
      </c>
      <c r="D10452" s="11" t="s">
        <v>18</v>
      </c>
      <c r="E10452" s="12" t="s">
        <v>197</v>
      </c>
      <c r="F10452" s="12" t="s">
        <v>198</v>
      </c>
      <c r="G10452" s="12" t="s">
        <v>40</v>
      </c>
      <c r="H10452" s="11" t="s">
        <v>63</v>
      </c>
      <c r="I10452" s="13" t="s">
        <v>20747</v>
      </c>
      <c r="J10452" s="14" t="str">
        <f>HYPERLINK("https://www.boe.es/gazeta/dias/1839/10/04/pdfs/GMD-1839-1790.pdf#page=2","Abrir facsímil")</f>
        <v>Abrir facsímil</v>
      </c>
      <c r="K10452" s="12" t="s">
        <v>65</v>
      </c>
    </row>
    <row r="10453" spans="1:11" ht="40.049999999999997" customHeight="1" x14ac:dyDescent="0.25">
      <c r="A10453" s="11" t="s">
        <v>20742</v>
      </c>
      <c r="B10453" s="11" t="s">
        <v>20742</v>
      </c>
      <c r="C10453" s="11" t="s">
        <v>17</v>
      </c>
      <c r="D10453" s="11" t="s">
        <v>43</v>
      </c>
      <c r="E10453" s="12" t="s">
        <v>1509</v>
      </c>
      <c r="F10453" s="12" t="s">
        <v>1510</v>
      </c>
      <c r="G10453" s="12" t="s">
        <v>566</v>
      </c>
      <c r="H10453" s="11" t="s">
        <v>63</v>
      </c>
      <c r="I10453" s="13" t="s">
        <v>20748</v>
      </c>
      <c r="J10453" s="14" t="str">
        <f>HYPERLINK("https://www.boe.es/gazeta/dias/1839/10/07/pdfs/GMD-1839-1793.pdf#page=5","Abrir facsímil")</f>
        <v>Abrir facsímil</v>
      </c>
      <c r="K10453" s="12" t="s">
        <v>65</v>
      </c>
    </row>
    <row r="10454" spans="1:11" ht="40.049999999999997" customHeight="1" x14ac:dyDescent="0.25">
      <c r="A10454" s="11" t="s">
        <v>20742</v>
      </c>
      <c r="B10454" s="11" t="s">
        <v>20742</v>
      </c>
      <c r="C10454" s="11" t="s">
        <v>17</v>
      </c>
      <c r="D10454" s="11" t="s">
        <v>18</v>
      </c>
      <c r="E10454" s="12" t="s">
        <v>1509</v>
      </c>
      <c r="F10454" s="12" t="s">
        <v>1510</v>
      </c>
      <c r="G10454" s="12" t="s">
        <v>305</v>
      </c>
      <c r="H10454" s="11" t="s">
        <v>63</v>
      </c>
      <c r="I10454" s="13" t="s">
        <v>20749</v>
      </c>
      <c r="J10454" s="14" t="str">
        <f>HYPERLINK("https://www.boe.es/gazeta/dias/1839/10/07/pdfs/GMD-1839-1793.pdf#page=6","Abrir facsímil")</f>
        <v>Abrir facsímil</v>
      </c>
      <c r="K10454" s="12" t="s">
        <v>65</v>
      </c>
    </row>
    <row r="10455" spans="1:11" ht="40.049999999999997" customHeight="1" x14ac:dyDescent="0.25">
      <c r="A10455" s="11" t="s">
        <v>20742</v>
      </c>
      <c r="B10455" s="11" t="s">
        <v>20742</v>
      </c>
      <c r="C10455" s="11" t="s">
        <v>17</v>
      </c>
      <c r="D10455" s="11" t="s">
        <v>18</v>
      </c>
      <c r="E10455" s="12" t="s">
        <v>561</v>
      </c>
      <c r="F10455" s="12" t="s">
        <v>562</v>
      </c>
      <c r="G10455" s="12" t="s">
        <v>46</v>
      </c>
      <c r="H10455" s="11" t="s">
        <v>63</v>
      </c>
      <c r="I10455" s="13" t="s">
        <v>20750</v>
      </c>
      <c r="J10455" s="14" t="str">
        <f>HYPERLINK("https://www.boe.es/gazeta/dias/1839/09/11/pdfs/GMD-1839-1764.pdf#page=3","Abrir facsímil")</f>
        <v>Abrir facsímil</v>
      </c>
      <c r="K10455" s="12" t="s">
        <v>65</v>
      </c>
    </row>
    <row r="10456" spans="1:11" ht="40.049999999999997" customHeight="1" x14ac:dyDescent="0.25">
      <c r="A10456" s="11" t="s">
        <v>20742</v>
      </c>
      <c r="B10456" s="11" t="s">
        <v>20742</v>
      </c>
      <c r="C10456" s="11" t="s">
        <v>137</v>
      </c>
      <c r="D10456" s="11" t="s">
        <v>18</v>
      </c>
      <c r="E10456" s="12" t="s">
        <v>1100</v>
      </c>
      <c r="F10456" s="12" t="s">
        <v>1101</v>
      </c>
      <c r="G10456" s="12" t="s">
        <v>40</v>
      </c>
      <c r="H10456" s="11" t="s">
        <v>63</v>
      </c>
      <c r="I10456" s="13" t="s">
        <v>20751</v>
      </c>
      <c r="J10456" s="14" t="str">
        <f>HYPERLINK("https://www.boe.es/gazeta/dias/1839/09/13/pdfs/GMD-1839-1766.pdf#page=2","Abrir facsímil")</f>
        <v>Abrir facsímil</v>
      </c>
      <c r="K10456" s="12" t="s">
        <v>65</v>
      </c>
    </row>
    <row r="10457" spans="1:11" ht="40.049999999999997" customHeight="1" x14ac:dyDescent="0.25">
      <c r="A10457" s="11" t="s">
        <v>20742</v>
      </c>
      <c r="B10457" s="11" t="s">
        <v>20742</v>
      </c>
      <c r="C10457" s="11" t="s">
        <v>17</v>
      </c>
      <c r="D10457" s="11" t="s">
        <v>18</v>
      </c>
      <c r="E10457" s="12" t="s">
        <v>1100</v>
      </c>
      <c r="F10457" s="12" t="s">
        <v>1101</v>
      </c>
      <c r="G10457" s="12" t="s">
        <v>46</v>
      </c>
      <c r="H10457" s="11" t="s">
        <v>63</v>
      </c>
      <c r="I10457" s="13" t="s">
        <v>20752</v>
      </c>
      <c r="J10457" s="14" t="str">
        <f>HYPERLINK("https://www.boe.es/gazeta/dias/1839/09/13/pdfs/GMD-1839-1766.pdf#page=3","Abrir facsímil")</f>
        <v>Abrir facsímil</v>
      </c>
      <c r="K10457" s="12" t="s">
        <v>65</v>
      </c>
    </row>
    <row r="10458" spans="1:11" ht="40.049999999999997" customHeight="1" x14ac:dyDescent="0.25">
      <c r="A10458" s="11" t="s">
        <v>20742</v>
      </c>
      <c r="B10458" s="11" t="s">
        <v>20742</v>
      </c>
      <c r="C10458" s="11" t="s">
        <v>17</v>
      </c>
      <c r="D10458" s="11" t="s">
        <v>18</v>
      </c>
      <c r="E10458" s="12" t="s">
        <v>185</v>
      </c>
      <c r="F10458" s="12" t="s">
        <v>186</v>
      </c>
      <c r="G10458" s="12" t="s">
        <v>40</v>
      </c>
      <c r="H10458" s="11" t="s">
        <v>63</v>
      </c>
      <c r="I10458" s="13" t="s">
        <v>20753</v>
      </c>
      <c r="J10458" s="14" t="str">
        <f>HYPERLINK("https://www.boe.es/gazeta/dias/1839/01/15/pdfs/GMD-1839-1522.pdf#page=2","Abrir facsímil")</f>
        <v>Abrir facsímil</v>
      </c>
      <c r="K10458" s="12" t="s">
        <v>65</v>
      </c>
    </row>
    <row r="10459" spans="1:11" ht="40.049999999999997" customHeight="1" x14ac:dyDescent="0.25">
      <c r="A10459" s="11" t="s">
        <v>20742</v>
      </c>
      <c r="B10459" s="11" t="s">
        <v>20742</v>
      </c>
      <c r="C10459" s="11" t="s">
        <v>17</v>
      </c>
      <c r="D10459" s="11" t="s">
        <v>18</v>
      </c>
      <c r="E10459" s="12" t="s">
        <v>1076</v>
      </c>
      <c r="F10459" s="12" t="s">
        <v>1077</v>
      </c>
      <c r="G10459" s="12" t="s">
        <v>21</v>
      </c>
      <c r="H10459" s="11" t="s">
        <v>63</v>
      </c>
      <c r="I10459" s="13" t="s">
        <v>20754</v>
      </c>
      <c r="J10459" s="14" t="str">
        <f>HYPERLINK("https://www.boe.es/gazeta/dias/1839/10/19/pdfs/GMD-1839-1805.pdf#page=4","Abrir facsímil")</f>
        <v>Abrir facsímil</v>
      </c>
      <c r="K10459" s="12" t="s">
        <v>65</v>
      </c>
    </row>
    <row r="10460" spans="1:11" ht="40.049999999999997" customHeight="1" x14ac:dyDescent="0.25">
      <c r="A10460" s="11" t="s">
        <v>20742</v>
      </c>
      <c r="B10460" s="11" t="s">
        <v>20742</v>
      </c>
      <c r="C10460" s="11" t="s">
        <v>17</v>
      </c>
      <c r="D10460" s="11" t="s">
        <v>18</v>
      </c>
      <c r="E10460" s="12" t="s">
        <v>433</v>
      </c>
      <c r="F10460" s="12" t="s">
        <v>434</v>
      </c>
      <c r="G10460" s="12" t="s">
        <v>46</v>
      </c>
      <c r="H10460" s="11" t="s">
        <v>63</v>
      </c>
      <c r="I10460" s="13" t="s">
        <v>20755</v>
      </c>
      <c r="J10460" s="14" t="str">
        <f>HYPERLINK("https://www.boe.es/gazeta/dias/1839/01/20/pdfs/GMD-1839-1527.pdf#page=3","Abrir facsímil")</f>
        <v>Abrir facsímil</v>
      </c>
      <c r="K10460" s="12" t="s">
        <v>65</v>
      </c>
    </row>
    <row r="10461" spans="1:11" ht="40.049999999999997" customHeight="1" x14ac:dyDescent="0.25">
      <c r="A10461" s="11" t="s">
        <v>20742</v>
      </c>
      <c r="B10461" s="11" t="s">
        <v>20742</v>
      </c>
      <c r="C10461" s="11" t="s">
        <v>101</v>
      </c>
      <c r="D10461" s="11" t="s">
        <v>43</v>
      </c>
      <c r="E10461" s="12" t="s">
        <v>1703</v>
      </c>
      <c r="F10461" s="12" t="s">
        <v>1704</v>
      </c>
      <c r="G10461" s="12" t="s">
        <v>21</v>
      </c>
      <c r="H10461" s="11" t="s">
        <v>63</v>
      </c>
      <c r="I10461" s="13" t="s">
        <v>20756</v>
      </c>
      <c r="J10461" s="14" t="str">
        <f>HYPERLINK("https://www.boe.es/gazeta/dias/1839/01/21/pdfs/GMD-1839-1528.pdf#page=4","Abrir facsímil")</f>
        <v>Abrir facsímil</v>
      </c>
      <c r="K10461" s="12" t="s">
        <v>65</v>
      </c>
    </row>
    <row r="10462" spans="1:11" ht="40.049999999999997" customHeight="1" x14ac:dyDescent="0.25">
      <c r="A10462" s="11" t="s">
        <v>20742</v>
      </c>
      <c r="B10462" s="11" t="s">
        <v>20742</v>
      </c>
      <c r="C10462" s="11" t="s">
        <v>80</v>
      </c>
      <c r="D10462" s="11" t="s">
        <v>18</v>
      </c>
      <c r="E10462" s="12" t="s">
        <v>650</v>
      </c>
      <c r="F10462" s="12" t="s">
        <v>651</v>
      </c>
      <c r="G10462" s="12" t="s">
        <v>46</v>
      </c>
      <c r="H10462" s="11" t="s">
        <v>63</v>
      </c>
      <c r="I10462" s="13" t="s">
        <v>20757</v>
      </c>
      <c r="J10462" s="14" t="str">
        <f>HYPERLINK("https://www.boe.es/gazeta/dias/1839/10/25/pdfs/GMD-1839-1811.pdf#page=3","Abrir facsímil")</f>
        <v>Abrir facsímil</v>
      </c>
      <c r="K10462" s="12" t="s">
        <v>65</v>
      </c>
    </row>
    <row r="10463" spans="1:11" ht="40.049999999999997" customHeight="1" x14ac:dyDescent="0.25">
      <c r="A10463" s="11" t="s">
        <v>20742</v>
      </c>
      <c r="B10463" s="11" t="s">
        <v>20742</v>
      </c>
      <c r="C10463" s="11" t="s">
        <v>137</v>
      </c>
      <c r="D10463" s="11" t="s">
        <v>18</v>
      </c>
      <c r="E10463" s="12" t="s">
        <v>650</v>
      </c>
      <c r="F10463" s="12" t="s">
        <v>651</v>
      </c>
      <c r="G10463" s="12" t="s">
        <v>21</v>
      </c>
      <c r="H10463" s="11" t="s">
        <v>63</v>
      </c>
      <c r="I10463" s="13" t="s">
        <v>20758</v>
      </c>
      <c r="J10463" s="14" t="str">
        <f>HYPERLINK("https://www.boe.es/gazeta/dias/1839/10/25/pdfs/GMD-1839-1811.pdf#page=4","Abrir facsímil")</f>
        <v>Abrir facsímil</v>
      </c>
      <c r="K10463" s="12" t="s">
        <v>65</v>
      </c>
    </row>
    <row r="10464" spans="1:11" ht="40.049999999999997" customHeight="1" x14ac:dyDescent="0.25">
      <c r="A10464" s="11" t="s">
        <v>20742</v>
      </c>
      <c r="B10464" s="11" t="s">
        <v>20742</v>
      </c>
      <c r="C10464" s="11" t="s">
        <v>17</v>
      </c>
      <c r="D10464" s="11" t="s">
        <v>18</v>
      </c>
      <c r="E10464" s="12" t="s">
        <v>723</v>
      </c>
      <c r="F10464" s="12" t="s">
        <v>724</v>
      </c>
      <c r="G10464" s="12" t="s">
        <v>46</v>
      </c>
      <c r="H10464" s="11" t="s">
        <v>63</v>
      </c>
      <c r="I10464" s="13" t="s">
        <v>20759</v>
      </c>
      <c r="J10464" s="14" t="str">
        <f>HYPERLINK("https://www.boe.es/gazeta/dias/1839/09/26/pdfs/GMD-1839-1782.pdf#page=3","Abrir facsímil")</f>
        <v>Abrir facsímil</v>
      </c>
      <c r="K10464" s="12" t="s">
        <v>65</v>
      </c>
    </row>
    <row r="10465" spans="1:11" ht="40.049999999999997" customHeight="1" x14ac:dyDescent="0.25">
      <c r="A10465" s="11" t="s">
        <v>20742</v>
      </c>
      <c r="B10465" s="11" t="s">
        <v>20742</v>
      </c>
      <c r="C10465" s="11" t="s">
        <v>80</v>
      </c>
      <c r="D10465" s="11" t="s">
        <v>18</v>
      </c>
      <c r="E10465" s="12" t="s">
        <v>1086</v>
      </c>
      <c r="F10465" s="12" t="s">
        <v>1087</v>
      </c>
      <c r="G10465" s="12" t="s">
        <v>40</v>
      </c>
      <c r="H10465" s="11" t="s">
        <v>63</v>
      </c>
      <c r="I10465" s="13" t="s">
        <v>20760</v>
      </c>
      <c r="J10465" s="14" t="str">
        <f>HYPERLINK("https://www.boe.es/gazeta/dias/1839/10/26/pdfs/GMD-1839-1812.pdf#page=2","Abrir facsímil")</f>
        <v>Abrir facsímil</v>
      </c>
      <c r="K10465" s="12" t="s">
        <v>65</v>
      </c>
    </row>
    <row r="10466" spans="1:11" ht="40.049999999999997" customHeight="1" x14ac:dyDescent="0.25">
      <c r="A10466" s="11" t="s">
        <v>20742</v>
      </c>
      <c r="B10466" s="11" t="s">
        <v>20742</v>
      </c>
      <c r="C10466" s="11" t="s">
        <v>137</v>
      </c>
      <c r="D10466" s="11" t="s">
        <v>18</v>
      </c>
      <c r="E10466" s="12" t="s">
        <v>1086</v>
      </c>
      <c r="F10466" s="12" t="s">
        <v>1087</v>
      </c>
      <c r="G10466" s="12" t="s">
        <v>46</v>
      </c>
      <c r="H10466" s="11" t="s">
        <v>63</v>
      </c>
      <c r="I10466" s="13" t="s">
        <v>20761</v>
      </c>
      <c r="J10466" s="14" t="str">
        <f>HYPERLINK("https://www.boe.es/gazeta/dias/1839/10/26/pdfs/GMD-1839-1812.pdf#page=3","Abrir facsímil")</f>
        <v>Abrir facsímil</v>
      </c>
      <c r="K10466" s="12" t="s">
        <v>65</v>
      </c>
    </row>
    <row r="10467" spans="1:11" ht="40.049999999999997" customHeight="1" x14ac:dyDescent="0.25">
      <c r="A10467" s="11" t="s">
        <v>20742</v>
      </c>
      <c r="B10467" s="11" t="s">
        <v>20742</v>
      </c>
      <c r="C10467" s="11" t="s">
        <v>17</v>
      </c>
      <c r="D10467" s="11" t="s">
        <v>18</v>
      </c>
      <c r="E10467" s="12" t="s">
        <v>862</v>
      </c>
      <c r="F10467" s="12" t="s">
        <v>863</v>
      </c>
      <c r="G10467" s="12" t="s">
        <v>40</v>
      </c>
      <c r="H10467" s="11" t="s">
        <v>63</v>
      </c>
      <c r="I10467" s="13" t="s">
        <v>20762</v>
      </c>
      <c r="J10467" s="14" t="str">
        <f>HYPERLINK("https://www.boe.es/gazeta/dias/1839/10/28/pdfs/GMD-1839-1814.pdf#page=2","Abrir facsímil")</f>
        <v>Abrir facsímil</v>
      </c>
      <c r="K10467" s="12" t="s">
        <v>65</v>
      </c>
    </row>
    <row r="10468" spans="1:11" ht="40.049999999999997" customHeight="1" x14ac:dyDescent="0.25">
      <c r="A10468" s="11" t="s">
        <v>20742</v>
      </c>
      <c r="B10468" s="11" t="s">
        <v>20742</v>
      </c>
      <c r="C10468" s="11" t="s">
        <v>101</v>
      </c>
      <c r="D10468" s="11" t="s">
        <v>43</v>
      </c>
      <c r="E10468" s="12" t="s">
        <v>862</v>
      </c>
      <c r="F10468" s="12" t="s">
        <v>863</v>
      </c>
      <c r="G10468" s="12" t="s">
        <v>46</v>
      </c>
      <c r="H10468" s="11" t="s">
        <v>63</v>
      </c>
      <c r="I10468" s="13" t="s">
        <v>20763</v>
      </c>
      <c r="J10468" s="14" t="str">
        <f>HYPERLINK("https://www.boe.es/gazeta/dias/1839/10/28/pdfs/GMD-1839-1814.pdf#page=3","Abrir facsímil")</f>
        <v>Abrir facsímil</v>
      </c>
      <c r="K10468" s="12" t="s">
        <v>65</v>
      </c>
    </row>
    <row r="10469" spans="1:11" ht="40.049999999999997" customHeight="1" x14ac:dyDescent="0.25">
      <c r="A10469" s="11" t="s">
        <v>20742</v>
      </c>
      <c r="B10469" s="11" t="s">
        <v>20742</v>
      </c>
      <c r="C10469" s="11" t="s">
        <v>17</v>
      </c>
      <c r="D10469" s="11" t="s">
        <v>18</v>
      </c>
      <c r="E10469" s="12" t="s">
        <v>862</v>
      </c>
      <c r="F10469" s="12" t="s">
        <v>863</v>
      </c>
      <c r="G10469" s="12" t="s">
        <v>566</v>
      </c>
      <c r="H10469" s="11" t="s">
        <v>63</v>
      </c>
      <c r="I10469" s="13" t="s">
        <v>20764</v>
      </c>
      <c r="J10469" s="14" t="str">
        <f>HYPERLINK("https://www.boe.es/gazeta/dias/1839/10/28/pdfs/GMD-1839-1814.pdf#page=5","Abrir facsímil")</f>
        <v>Abrir facsímil</v>
      </c>
      <c r="K10469" s="12" t="s">
        <v>65</v>
      </c>
    </row>
    <row r="10470" spans="1:11" ht="40.049999999999997" customHeight="1" x14ac:dyDescent="0.25">
      <c r="A10470" s="11" t="s">
        <v>20742</v>
      </c>
      <c r="B10470" s="11" t="s">
        <v>20742</v>
      </c>
      <c r="C10470" s="11" t="s">
        <v>17</v>
      </c>
      <c r="D10470" s="11" t="s">
        <v>18</v>
      </c>
      <c r="E10470" s="12" t="s">
        <v>1988</v>
      </c>
      <c r="F10470" s="12" t="s">
        <v>1989</v>
      </c>
      <c r="G10470" s="12" t="s">
        <v>566</v>
      </c>
      <c r="H10470" s="11" t="s">
        <v>63</v>
      </c>
      <c r="I10470" s="13" t="s">
        <v>20765</v>
      </c>
      <c r="J10470" s="14" t="str">
        <f>HYPERLINK("https://www.boe.es/gazeta/dias/1839/10/29/pdfs/GMD-1839-1815.pdf#page=5","Abrir facsímil")</f>
        <v>Abrir facsímil</v>
      </c>
      <c r="K10470" s="12" t="s">
        <v>65</v>
      </c>
    </row>
    <row r="10471" spans="1:11" ht="40.049999999999997" customHeight="1" x14ac:dyDescent="0.25">
      <c r="A10471" s="11" t="s">
        <v>20742</v>
      </c>
      <c r="B10471" s="11" t="s">
        <v>20742</v>
      </c>
      <c r="C10471" s="11" t="s">
        <v>17</v>
      </c>
      <c r="D10471" s="11" t="s">
        <v>18</v>
      </c>
      <c r="E10471" s="12" t="s">
        <v>1287</v>
      </c>
      <c r="F10471" s="12" t="s">
        <v>1288</v>
      </c>
      <c r="G10471" s="12" t="s">
        <v>40</v>
      </c>
      <c r="H10471" s="11" t="s">
        <v>63</v>
      </c>
      <c r="I10471" s="13" t="s">
        <v>20766</v>
      </c>
      <c r="J10471" s="14" t="str">
        <f>HYPERLINK("https://www.boe.es/gazeta/dias/1839/10/30/pdfs/GMD-1839-1816.pdf#page=2","Abrir facsímil")</f>
        <v>Abrir facsímil</v>
      </c>
      <c r="K10471" s="12" t="s">
        <v>65</v>
      </c>
    </row>
    <row r="10472" spans="1:11" ht="40.049999999999997" customHeight="1" x14ac:dyDescent="0.25">
      <c r="A10472" s="11" t="s">
        <v>20742</v>
      </c>
      <c r="B10472" s="11" t="s">
        <v>20742</v>
      </c>
      <c r="C10472" s="11" t="s">
        <v>17</v>
      </c>
      <c r="D10472" s="11" t="s">
        <v>18</v>
      </c>
      <c r="E10472" s="12" t="s">
        <v>1287</v>
      </c>
      <c r="F10472" s="12" t="s">
        <v>1288</v>
      </c>
      <c r="G10472" s="12" t="s">
        <v>46</v>
      </c>
      <c r="H10472" s="11" t="s">
        <v>63</v>
      </c>
      <c r="I10472" s="13" t="s">
        <v>20767</v>
      </c>
      <c r="J10472" s="14" t="str">
        <f>HYPERLINK("https://www.boe.es/gazeta/dias/1839/10/30/pdfs/GMD-1839-1816.pdf#page=3","Abrir facsímil")</f>
        <v>Abrir facsímil</v>
      </c>
      <c r="K10472" s="12" t="s">
        <v>65</v>
      </c>
    </row>
    <row r="10473" spans="1:11" ht="40.049999999999997" customHeight="1" x14ac:dyDescent="0.25">
      <c r="A10473" s="11" t="s">
        <v>20742</v>
      </c>
      <c r="B10473" s="11" t="s">
        <v>20742</v>
      </c>
      <c r="C10473" s="11" t="s">
        <v>17</v>
      </c>
      <c r="D10473" s="11" t="s">
        <v>18</v>
      </c>
      <c r="E10473" s="12" t="s">
        <v>653</v>
      </c>
      <c r="F10473" s="12" t="s">
        <v>654</v>
      </c>
      <c r="G10473" s="12" t="s">
        <v>40</v>
      </c>
      <c r="H10473" s="11" t="s">
        <v>63</v>
      </c>
      <c r="I10473" s="13" t="s">
        <v>20768</v>
      </c>
      <c r="J10473" s="14" t="str">
        <f>HYPERLINK("https://www.boe.es/gazeta/dias/1839/10/31/pdfs/GMD-1839-1817.pdf#page=2","Abrir facsímil")</f>
        <v>Abrir facsímil</v>
      </c>
      <c r="K10473" s="12" t="s">
        <v>65</v>
      </c>
    </row>
    <row r="10474" spans="1:11" ht="40.049999999999997" customHeight="1" x14ac:dyDescent="0.25">
      <c r="A10474" s="11" t="s">
        <v>20742</v>
      </c>
      <c r="B10474" s="11" t="s">
        <v>20742</v>
      </c>
      <c r="C10474" s="11" t="s">
        <v>59</v>
      </c>
      <c r="D10474" s="11" t="s">
        <v>60</v>
      </c>
      <c r="E10474" s="12" t="s">
        <v>653</v>
      </c>
      <c r="F10474" s="12" t="s">
        <v>654</v>
      </c>
      <c r="G10474" s="12" t="s">
        <v>46</v>
      </c>
      <c r="H10474" s="11" t="s">
        <v>63</v>
      </c>
      <c r="I10474" s="13" t="s">
        <v>20769</v>
      </c>
      <c r="J10474" s="14" t="str">
        <f>HYPERLINK("https://www.boe.es/gazeta/dias/1839/10/31/pdfs/GMD-1839-1817.pdf#page=3","Abrir facsímil")</f>
        <v>Abrir facsímil</v>
      </c>
      <c r="K10474" s="12" t="s">
        <v>65</v>
      </c>
    </row>
    <row r="10475" spans="1:11" ht="40.049999999999997" customHeight="1" x14ac:dyDescent="0.25">
      <c r="A10475" s="11" t="s">
        <v>20770</v>
      </c>
      <c r="B10475" s="11" t="s">
        <v>20771</v>
      </c>
      <c r="C10475" s="11" t="s">
        <v>80</v>
      </c>
      <c r="D10475" s="11" t="s">
        <v>18</v>
      </c>
      <c r="E10475" s="12" t="s">
        <v>844</v>
      </c>
      <c r="F10475" s="12" t="s">
        <v>845</v>
      </c>
      <c r="G10475" s="12" t="s">
        <v>21</v>
      </c>
      <c r="H10475" s="11" t="s">
        <v>63</v>
      </c>
      <c r="I10475" s="13" t="s">
        <v>20772</v>
      </c>
      <c r="J10475" s="14" t="str">
        <f>HYPERLINK("https://www.boe.es/gazeta/dias/1839/12/24/pdfs/GMD-1839-1871.pdf#page=4","Abrir facsímil")</f>
        <v>Abrir facsímil</v>
      </c>
      <c r="K10475" s="12" t="s">
        <v>65</v>
      </c>
    </row>
    <row r="10476" spans="1:11" ht="40.049999999999997" customHeight="1" x14ac:dyDescent="0.25">
      <c r="A10476" s="11" t="s">
        <v>20773</v>
      </c>
      <c r="B10476" s="11" t="s">
        <v>20774</v>
      </c>
      <c r="C10476" s="11" t="s">
        <v>137</v>
      </c>
      <c r="D10476" s="11" t="s">
        <v>18</v>
      </c>
      <c r="E10476" s="12" t="s">
        <v>2449</v>
      </c>
      <c r="F10476" s="12" t="s">
        <v>2450</v>
      </c>
      <c r="G10476" s="12" t="s">
        <v>40</v>
      </c>
      <c r="H10476" s="11" t="s">
        <v>63</v>
      </c>
      <c r="I10476" s="13" t="s">
        <v>20775</v>
      </c>
      <c r="J10476" s="14" t="str">
        <f>HYPERLINK("https://www.boe.es/gazeta/dias/1839/12/11/pdfs/GMD-1839-1858.pdf#page=2","Abrir facsímil")</f>
        <v>Abrir facsímil</v>
      </c>
      <c r="K10476" s="12" t="s">
        <v>65</v>
      </c>
    </row>
    <row r="10477" spans="1:11" ht="40.049999999999997" customHeight="1" x14ac:dyDescent="0.25">
      <c r="A10477" s="11" t="s">
        <v>20776</v>
      </c>
      <c r="B10477" s="11" t="s">
        <v>20777</v>
      </c>
      <c r="C10477" s="11" t="s">
        <v>137</v>
      </c>
      <c r="D10477" s="11" t="s">
        <v>18</v>
      </c>
      <c r="E10477" s="12" t="s">
        <v>577</v>
      </c>
      <c r="F10477" s="12" t="s">
        <v>578</v>
      </c>
      <c r="G10477" s="12" t="s">
        <v>21</v>
      </c>
      <c r="H10477" s="11" t="s">
        <v>63</v>
      </c>
      <c r="I10477" s="13" t="s">
        <v>20778</v>
      </c>
      <c r="J10477" s="14" t="str">
        <f>HYPERLINK("https://www.boe.es/gazeta/dias/1839/09/30/pdfs/GMD-1839-1786.pdf#page=4","Abrir facsímil")</f>
        <v>Abrir facsímil</v>
      </c>
      <c r="K10477" s="12" t="s">
        <v>65</v>
      </c>
    </row>
    <row r="10478" spans="1:11" ht="40.049999999999997" customHeight="1" x14ac:dyDescent="0.25">
      <c r="A10478" s="11" t="s">
        <v>20779</v>
      </c>
      <c r="B10478" s="11" t="s">
        <v>20780</v>
      </c>
      <c r="C10478" s="11" t="s">
        <v>17</v>
      </c>
      <c r="D10478" s="11" t="s">
        <v>18</v>
      </c>
      <c r="E10478" s="12" t="s">
        <v>1310</v>
      </c>
      <c r="F10478" s="12" t="s">
        <v>1311</v>
      </c>
      <c r="G10478" s="12" t="s">
        <v>40</v>
      </c>
      <c r="H10478" s="11" t="s">
        <v>63</v>
      </c>
      <c r="I10478" s="13" t="s">
        <v>20781</v>
      </c>
      <c r="J10478" s="14" t="str">
        <f>HYPERLINK("https://www.boe.es/gazeta/dias/1839/04/23/pdfs/GMD-1839-1620.pdf#page=2","Abrir facsímil")</f>
        <v>Abrir facsímil</v>
      </c>
      <c r="K10478" s="12" t="s">
        <v>65</v>
      </c>
    </row>
    <row r="10479" spans="1:11" ht="40.049999999999997" customHeight="1" x14ac:dyDescent="0.25">
      <c r="A10479" s="11" t="s">
        <v>20782</v>
      </c>
      <c r="B10479" s="11" t="s">
        <v>20783</v>
      </c>
      <c r="C10479" s="11" t="s">
        <v>17</v>
      </c>
      <c r="D10479" s="11" t="s">
        <v>43</v>
      </c>
      <c r="E10479" s="12" t="s">
        <v>116</v>
      </c>
      <c r="F10479" s="12" t="s">
        <v>117</v>
      </c>
      <c r="G10479" s="12" t="s">
        <v>40</v>
      </c>
      <c r="H10479" s="11" t="s">
        <v>63</v>
      </c>
      <c r="I10479" s="13" t="s">
        <v>20784</v>
      </c>
      <c r="J10479" s="14" t="str">
        <f>HYPERLINK("https://www.boe.es/gazeta/dias/1839/10/10/pdfs/GMD-1839-1796.pdf#page=2","Abrir facsímil")</f>
        <v>Abrir facsímil</v>
      </c>
      <c r="K10479" s="12" t="s">
        <v>65</v>
      </c>
    </row>
    <row r="10480" spans="1:11" ht="40.049999999999997" customHeight="1" x14ac:dyDescent="0.25">
      <c r="A10480" s="11" t="s">
        <v>20782</v>
      </c>
      <c r="B10480" s="11" t="s">
        <v>20783</v>
      </c>
      <c r="C10480" s="11" t="s">
        <v>137</v>
      </c>
      <c r="D10480" s="11" t="s">
        <v>18</v>
      </c>
      <c r="E10480" s="12" t="s">
        <v>141</v>
      </c>
      <c r="F10480" s="12" t="s">
        <v>142</v>
      </c>
      <c r="G10480" s="12" t="s">
        <v>21</v>
      </c>
      <c r="H10480" s="11" t="s">
        <v>63</v>
      </c>
      <c r="I10480" s="13" t="s">
        <v>20785</v>
      </c>
      <c r="J10480" s="14" t="str">
        <f>HYPERLINK("https://www.boe.es/gazeta/dias/1839/11/10/pdfs/GMD-1839-1827.pdf#page=4","Abrir facsímil")</f>
        <v>Abrir facsímil</v>
      </c>
      <c r="K10480" s="12" t="s">
        <v>65</v>
      </c>
    </row>
    <row r="10481" spans="1:11" ht="40.049999999999997" customHeight="1" x14ac:dyDescent="0.25">
      <c r="A10481" s="11" t="s">
        <v>20782</v>
      </c>
      <c r="B10481" s="11" t="s">
        <v>20783</v>
      </c>
      <c r="C10481" s="11" t="s">
        <v>137</v>
      </c>
      <c r="D10481" s="11" t="s">
        <v>18</v>
      </c>
      <c r="E10481" s="12" t="s">
        <v>1909</v>
      </c>
      <c r="F10481" s="12" t="s">
        <v>1910</v>
      </c>
      <c r="G10481" s="12" t="s">
        <v>21</v>
      </c>
      <c r="H10481" s="11" t="s">
        <v>63</v>
      </c>
      <c r="I10481" s="13" t="s">
        <v>20786</v>
      </c>
      <c r="J10481" s="14" t="str">
        <f>HYPERLINK("https://www.boe.es/gazeta/dias/1839/10/27/pdfs/GMD-1839-1813.pdf#page=4","Abrir facsímil")</f>
        <v>Abrir facsímil</v>
      </c>
      <c r="K10481" s="12" t="s">
        <v>65</v>
      </c>
    </row>
    <row r="10482" spans="1:11" ht="40.049999999999997" customHeight="1" x14ac:dyDescent="0.25">
      <c r="A10482" s="11" t="s">
        <v>20787</v>
      </c>
      <c r="B10482" s="11" t="s">
        <v>20788</v>
      </c>
      <c r="C10482" s="11" t="s">
        <v>17</v>
      </c>
      <c r="D10482" s="11" t="s">
        <v>18</v>
      </c>
      <c r="E10482" s="12" t="s">
        <v>1623</v>
      </c>
      <c r="F10482" s="12" t="s">
        <v>1624</v>
      </c>
      <c r="G10482" s="12" t="s">
        <v>21</v>
      </c>
      <c r="H10482" s="11" t="s">
        <v>63</v>
      </c>
      <c r="I10482" s="13" t="s">
        <v>20789</v>
      </c>
      <c r="J10482" s="14" t="str">
        <f>HYPERLINK("https://www.boe.es/gazeta/dias/1839/04/07/pdfs/GMD-1839-1604.pdf#page=4","Abrir facsímil")</f>
        <v>Abrir facsímil</v>
      </c>
      <c r="K10482" s="12" t="s">
        <v>65</v>
      </c>
    </row>
    <row r="10483" spans="1:11" ht="40.049999999999997" customHeight="1" x14ac:dyDescent="0.25">
      <c r="A10483" s="11" t="s">
        <v>20790</v>
      </c>
      <c r="B10483" s="11" t="s">
        <v>20791</v>
      </c>
      <c r="C10483" s="11" t="s">
        <v>80</v>
      </c>
      <c r="D10483" s="11" t="s">
        <v>18</v>
      </c>
      <c r="E10483" s="12" t="s">
        <v>643</v>
      </c>
      <c r="F10483" s="12" t="s">
        <v>644</v>
      </c>
      <c r="G10483" s="12" t="s">
        <v>40</v>
      </c>
      <c r="H10483" s="11" t="s">
        <v>22</v>
      </c>
      <c r="I10483" s="13" t="s">
        <v>20792</v>
      </c>
      <c r="J10483" s="14" t="str">
        <f>HYPERLINK("https://www.boe.es/gazeta/dias/1839/03/20/pdfs/GMD-1839-1586.pdf#page=2","Abrir facsímil")</f>
        <v>Abrir facsímil</v>
      </c>
      <c r="K10483" s="12" t="s">
        <v>24</v>
      </c>
    </row>
    <row r="10484" spans="1:11" ht="40.049999999999997" customHeight="1" x14ac:dyDescent="0.25">
      <c r="A10484" s="11" t="s">
        <v>20793</v>
      </c>
      <c r="B10484" s="11" t="s">
        <v>20794</v>
      </c>
      <c r="C10484" s="11" t="s">
        <v>80</v>
      </c>
      <c r="D10484" s="11" t="s">
        <v>18</v>
      </c>
      <c r="E10484" s="12" t="s">
        <v>489</v>
      </c>
      <c r="F10484" s="12" t="s">
        <v>490</v>
      </c>
      <c r="G10484" s="12" t="s">
        <v>21</v>
      </c>
      <c r="H10484" s="11" t="s">
        <v>22</v>
      </c>
      <c r="I10484" s="13" t="s">
        <v>20795</v>
      </c>
      <c r="J10484" s="14" t="str">
        <f>HYPERLINK("https://www.boe.es/gazeta/dias/1839/06/29/pdfs/GMD-1839-1687.pdf#page=4","Abrir facsímil")</f>
        <v>Abrir facsímil</v>
      </c>
      <c r="K10484" s="12" t="s">
        <v>24</v>
      </c>
    </row>
    <row r="10485" spans="1:11" ht="40.049999999999997" customHeight="1" x14ac:dyDescent="0.25">
      <c r="A10485" s="11" t="s">
        <v>20796</v>
      </c>
      <c r="B10485" s="11" t="s">
        <v>20797</v>
      </c>
      <c r="C10485" s="11" t="s">
        <v>17</v>
      </c>
      <c r="D10485" s="11" t="s">
        <v>18</v>
      </c>
      <c r="E10485" s="12" t="s">
        <v>258</v>
      </c>
      <c r="F10485" s="12" t="s">
        <v>259</v>
      </c>
      <c r="G10485" s="12" t="s">
        <v>46</v>
      </c>
      <c r="H10485" s="11" t="s">
        <v>22</v>
      </c>
      <c r="I10485" s="13" t="s">
        <v>20798</v>
      </c>
      <c r="J10485" s="14" t="str">
        <f>HYPERLINK("https://www.boe.es/gazeta/dias/1839/01/02/pdfs/GMD-1839-1509.pdf#page=3","Abrir facsímil")</f>
        <v>Abrir facsímil</v>
      </c>
      <c r="K10485" s="12" t="s">
        <v>24</v>
      </c>
    </row>
    <row r="10486" spans="1:11" ht="40.049999999999997" customHeight="1" x14ac:dyDescent="0.25">
      <c r="A10486" s="11" t="s">
        <v>20799</v>
      </c>
      <c r="B10486" s="11" t="s">
        <v>20800</v>
      </c>
      <c r="C10486" s="11" t="s">
        <v>59</v>
      </c>
      <c r="D10486" s="11" t="s">
        <v>60</v>
      </c>
      <c r="E10486" s="12" t="s">
        <v>111</v>
      </c>
      <c r="F10486" s="12" t="s">
        <v>112</v>
      </c>
      <c r="G10486" s="12" t="s">
        <v>21</v>
      </c>
      <c r="H10486" s="11" t="s">
        <v>22</v>
      </c>
      <c r="I10486" s="13" t="s">
        <v>20801</v>
      </c>
      <c r="J10486" s="14" t="str">
        <f>HYPERLINK("https://www.boe.es/gazeta/dias/1839/07/25/pdfs/GMD-1839-1714.pdf#page=4","Abrir facsímil")</f>
        <v>Abrir facsímil</v>
      </c>
      <c r="K10486" s="12" t="s">
        <v>24</v>
      </c>
    </row>
    <row r="10487" spans="1:11" ht="40.049999999999997" customHeight="1" x14ac:dyDescent="0.25">
      <c r="A10487" s="11" t="s">
        <v>20802</v>
      </c>
      <c r="B10487" s="11" t="s">
        <v>20803</v>
      </c>
      <c r="C10487" s="11" t="s">
        <v>137</v>
      </c>
      <c r="D10487" s="11" t="s">
        <v>18</v>
      </c>
      <c r="E10487" s="12" t="s">
        <v>1069</v>
      </c>
      <c r="F10487" s="12" t="s">
        <v>1070</v>
      </c>
      <c r="G10487" s="12" t="s">
        <v>21</v>
      </c>
      <c r="H10487" s="11" t="s">
        <v>63</v>
      </c>
      <c r="I10487" s="13" t="s">
        <v>20804</v>
      </c>
      <c r="J10487" s="14" t="str">
        <f>HYPERLINK("https://www.boe.es/gazeta/dias/1839/10/15/pdfs/GMD-1839-1801.pdf#page=4","Abrir facsímil")</f>
        <v>Abrir facsímil</v>
      </c>
      <c r="K10487" s="12" t="s">
        <v>65</v>
      </c>
    </row>
    <row r="10488" spans="1:11" ht="40.049999999999997" customHeight="1" x14ac:dyDescent="0.25">
      <c r="A10488" s="11" t="s">
        <v>20802</v>
      </c>
      <c r="B10488" s="11" t="s">
        <v>20803</v>
      </c>
      <c r="C10488" s="11" t="s">
        <v>17</v>
      </c>
      <c r="D10488" s="11" t="s">
        <v>18</v>
      </c>
      <c r="E10488" s="12" t="s">
        <v>992</v>
      </c>
      <c r="F10488" s="12" t="s">
        <v>993</v>
      </c>
      <c r="G10488" s="12" t="s">
        <v>29</v>
      </c>
      <c r="H10488" s="11" t="s">
        <v>63</v>
      </c>
      <c r="I10488" s="13" t="s">
        <v>20805</v>
      </c>
      <c r="J10488" s="14" t="str">
        <f>HYPERLINK("https://www.boe.es/gazeta/dias/1839/02/18/pdfs/GMD-1839-1556.pdf#page=1","Abrir facsímil")</f>
        <v>Abrir facsímil</v>
      </c>
      <c r="K10488" s="12" t="s">
        <v>65</v>
      </c>
    </row>
    <row r="10489" spans="1:11" ht="40.049999999999997" customHeight="1" x14ac:dyDescent="0.25">
      <c r="A10489" s="11" t="s">
        <v>20802</v>
      </c>
      <c r="B10489" s="11" t="s">
        <v>20803</v>
      </c>
      <c r="C10489" s="11" t="s">
        <v>17</v>
      </c>
      <c r="D10489" s="11" t="s">
        <v>18</v>
      </c>
      <c r="E10489" s="12" t="s">
        <v>1179</v>
      </c>
      <c r="F10489" s="12" t="s">
        <v>1180</v>
      </c>
      <c r="G10489" s="12" t="s">
        <v>40</v>
      </c>
      <c r="H10489" s="11" t="s">
        <v>63</v>
      </c>
      <c r="I10489" s="13" t="s">
        <v>20806</v>
      </c>
      <c r="J10489" s="14" t="str">
        <f>HYPERLINK("https://www.boe.es/gazeta/dias/1839/10/18/pdfs/GMD-1839-1804.pdf#page=2","Abrir facsímil")</f>
        <v>Abrir facsímil</v>
      </c>
      <c r="K10489" s="12" t="s">
        <v>65</v>
      </c>
    </row>
    <row r="10490" spans="1:11" ht="40.049999999999997" customHeight="1" x14ac:dyDescent="0.25">
      <c r="A10490" s="11" t="s">
        <v>20802</v>
      </c>
      <c r="B10490" s="11" t="s">
        <v>20803</v>
      </c>
      <c r="C10490" s="11" t="s">
        <v>17</v>
      </c>
      <c r="D10490" s="11" t="s">
        <v>18</v>
      </c>
      <c r="E10490" s="12" t="s">
        <v>19</v>
      </c>
      <c r="F10490" s="12" t="s">
        <v>20</v>
      </c>
      <c r="G10490" s="12" t="s">
        <v>40</v>
      </c>
      <c r="H10490" s="11" t="s">
        <v>63</v>
      </c>
      <c r="I10490" s="13" t="s">
        <v>20807</v>
      </c>
      <c r="J10490" s="14" t="str">
        <f>HYPERLINK("https://www.boe.es/gazeta/dias/1839/01/19/pdfs/GMD-1839-1526.pdf#page=2","Abrir facsímil")</f>
        <v>Abrir facsímil</v>
      </c>
      <c r="K10490" s="12" t="s">
        <v>65</v>
      </c>
    </row>
    <row r="10491" spans="1:11" ht="40.049999999999997" customHeight="1" x14ac:dyDescent="0.25">
      <c r="A10491" s="11" t="s">
        <v>20802</v>
      </c>
      <c r="B10491" s="11" t="s">
        <v>20803</v>
      </c>
      <c r="C10491" s="11" t="s">
        <v>137</v>
      </c>
      <c r="D10491" s="11" t="s">
        <v>18</v>
      </c>
      <c r="E10491" s="12" t="s">
        <v>4292</v>
      </c>
      <c r="F10491" s="12" t="s">
        <v>4293</v>
      </c>
      <c r="G10491" s="12" t="s">
        <v>29</v>
      </c>
      <c r="H10491" s="11" t="s">
        <v>63</v>
      </c>
      <c r="I10491" s="13" t="s">
        <v>20808</v>
      </c>
      <c r="J10491" s="14" t="str">
        <f>HYPERLINK("https://www.boe.es/gazeta/dias/1839/11/29/pdfs/GMD-1839-1846.pdf#page=1","Abrir facsímil")</f>
        <v>Abrir facsímil</v>
      </c>
      <c r="K10491" s="12" t="s">
        <v>65</v>
      </c>
    </row>
    <row r="10492" spans="1:11" ht="40.049999999999997" customHeight="1" x14ac:dyDescent="0.25">
      <c r="A10492" s="11" t="s">
        <v>20809</v>
      </c>
      <c r="B10492" s="11" t="s">
        <v>20810</v>
      </c>
      <c r="C10492" s="11" t="s">
        <v>137</v>
      </c>
      <c r="D10492" s="11" t="s">
        <v>18</v>
      </c>
      <c r="E10492" s="12" t="s">
        <v>1287</v>
      </c>
      <c r="F10492" s="12" t="s">
        <v>1288</v>
      </c>
      <c r="G10492" s="12" t="s">
        <v>21</v>
      </c>
      <c r="H10492" s="11" t="s">
        <v>63</v>
      </c>
      <c r="I10492" s="13" t="s">
        <v>20811</v>
      </c>
      <c r="J10492" s="14" t="str">
        <f>HYPERLINK("https://www.boe.es/gazeta/dias/1839/10/30/pdfs/GMD-1839-1816.pdf#page=4","Abrir facsímil")</f>
        <v>Abrir facsímil</v>
      </c>
      <c r="K10492" s="12" t="s">
        <v>65</v>
      </c>
    </row>
    <row r="10493" spans="1:11" ht="40.049999999999997" customHeight="1" x14ac:dyDescent="0.25">
      <c r="A10493" s="11" t="s">
        <v>20812</v>
      </c>
      <c r="B10493" s="11" t="s">
        <v>20813</v>
      </c>
      <c r="C10493" s="11" t="s">
        <v>17</v>
      </c>
      <c r="D10493" s="11" t="s">
        <v>18</v>
      </c>
      <c r="E10493" s="12" t="s">
        <v>212</v>
      </c>
      <c r="F10493" s="12" t="s">
        <v>213</v>
      </c>
      <c r="G10493" s="12" t="s">
        <v>305</v>
      </c>
      <c r="H10493" s="11" t="s">
        <v>63</v>
      </c>
      <c r="I10493" s="13" t="s">
        <v>20814</v>
      </c>
      <c r="J10493" s="14" t="str">
        <f>HYPERLINK("https://www.boe.es/gazeta/dias/1839/10/03/pdfs/GMD-1839-1789.pdf#page=6","Abrir facsímil")</f>
        <v>Abrir facsímil</v>
      </c>
      <c r="K10493" s="12" t="s">
        <v>65</v>
      </c>
    </row>
    <row r="10494" spans="1:11" ht="40.049999999999997" customHeight="1" x14ac:dyDescent="0.25">
      <c r="A10494" s="11" t="s">
        <v>20815</v>
      </c>
      <c r="B10494" s="11" t="s">
        <v>20816</v>
      </c>
      <c r="C10494" s="11" t="s">
        <v>17</v>
      </c>
      <c r="D10494" s="11" t="s">
        <v>18</v>
      </c>
      <c r="E10494" s="12" t="s">
        <v>834</v>
      </c>
      <c r="F10494" s="12" t="s">
        <v>835</v>
      </c>
      <c r="G10494" s="12" t="s">
        <v>40</v>
      </c>
      <c r="H10494" s="11" t="s">
        <v>63</v>
      </c>
      <c r="I10494" s="13" t="s">
        <v>20817</v>
      </c>
      <c r="J10494" s="14" t="str">
        <f>HYPERLINK("https://www.boe.es/gazeta/dias/1839/08/17/pdfs/GMD-1839-1737.pdf#page=2","Abrir facsímil")</f>
        <v>Abrir facsímil</v>
      </c>
      <c r="K10494" s="12" t="s">
        <v>65</v>
      </c>
    </row>
    <row r="10495" spans="1:11" ht="40.049999999999997" customHeight="1" x14ac:dyDescent="0.25">
      <c r="A10495" s="11" t="s">
        <v>20818</v>
      </c>
      <c r="B10495" s="11" t="s">
        <v>20819</v>
      </c>
      <c r="C10495" s="11" t="s">
        <v>80</v>
      </c>
      <c r="D10495" s="11" t="s">
        <v>173</v>
      </c>
      <c r="E10495" s="12" t="s">
        <v>5845</v>
      </c>
      <c r="F10495" s="12" t="s">
        <v>5846</v>
      </c>
      <c r="G10495" s="12" t="s">
        <v>29</v>
      </c>
      <c r="H10495" s="11" t="s">
        <v>63</v>
      </c>
      <c r="I10495" s="13" t="s">
        <v>20820</v>
      </c>
      <c r="J10495" s="14" t="str">
        <f>HYPERLINK("https://www.boe.es/gazeta/dias/1839/04/01/pdfs/GMD-1839-1598.pdf#page=1","Abrir facsímil")</f>
        <v>Abrir facsímil</v>
      </c>
      <c r="K10495" s="12" t="s">
        <v>65</v>
      </c>
    </row>
    <row r="10496" spans="1:11" ht="40.049999999999997" customHeight="1" x14ac:dyDescent="0.25">
      <c r="A10496" s="11" t="s">
        <v>20818</v>
      </c>
      <c r="B10496" s="11" t="s">
        <v>20819</v>
      </c>
      <c r="C10496" s="11" t="s">
        <v>80</v>
      </c>
      <c r="D10496" s="11" t="s">
        <v>173</v>
      </c>
      <c r="E10496" s="12" t="s">
        <v>1136</v>
      </c>
      <c r="F10496" s="12" t="s">
        <v>1137</v>
      </c>
      <c r="G10496" s="12" t="s">
        <v>46</v>
      </c>
      <c r="H10496" s="11" t="s">
        <v>63</v>
      </c>
      <c r="I10496" s="13" t="s">
        <v>20821</v>
      </c>
      <c r="J10496" s="14" t="str">
        <f>HYPERLINK("https://www.boe.es/gazeta/dias/1839/04/03/pdfs/GMD-1839-1600.pdf#page=3","Abrir facsímil")</f>
        <v>Abrir facsímil</v>
      </c>
      <c r="K10496" s="12" t="s">
        <v>65</v>
      </c>
    </row>
    <row r="10497" spans="1:11" ht="40.049999999999997" customHeight="1" x14ac:dyDescent="0.25">
      <c r="A10497" s="11" t="s">
        <v>20818</v>
      </c>
      <c r="B10497" s="11" t="s">
        <v>20819</v>
      </c>
      <c r="C10497" s="11" t="s">
        <v>137</v>
      </c>
      <c r="D10497" s="11" t="s">
        <v>18</v>
      </c>
      <c r="E10497" s="12" t="s">
        <v>4186</v>
      </c>
      <c r="F10497" s="12" t="s">
        <v>4187</v>
      </c>
      <c r="G10497" s="12" t="s">
        <v>21</v>
      </c>
      <c r="H10497" s="11" t="s">
        <v>63</v>
      </c>
      <c r="I10497" s="13" t="s">
        <v>20822</v>
      </c>
      <c r="J10497" s="14" t="str">
        <f>HYPERLINK("https://www.boe.es/gazeta/dias/1839/12/12/pdfs/GMD-1839-1859.pdf#page=4","Abrir facsímil")</f>
        <v>Abrir facsímil</v>
      </c>
      <c r="K10497" s="12" t="s">
        <v>65</v>
      </c>
    </row>
    <row r="10498" spans="1:11" ht="40.049999999999997" customHeight="1" x14ac:dyDescent="0.25">
      <c r="A10498" s="11" t="s">
        <v>20818</v>
      </c>
      <c r="B10498" s="11" t="s">
        <v>20819</v>
      </c>
      <c r="C10498" s="11" t="s">
        <v>80</v>
      </c>
      <c r="D10498" s="11" t="s">
        <v>173</v>
      </c>
      <c r="E10498" s="12" t="s">
        <v>946</v>
      </c>
      <c r="F10498" s="12" t="s">
        <v>947</v>
      </c>
      <c r="G10498" s="12" t="s">
        <v>21</v>
      </c>
      <c r="H10498" s="11" t="s">
        <v>63</v>
      </c>
      <c r="I10498" s="13" t="s">
        <v>20823</v>
      </c>
      <c r="J10498" s="14" t="str">
        <f>HYPERLINK("https://www.boe.es/gazeta/dias/1839/04/15/pdfs/GMD-1839-1612.pdf#page=4","Abrir facsímil")</f>
        <v>Abrir facsímil</v>
      </c>
      <c r="K10498" s="12" t="s">
        <v>65</v>
      </c>
    </row>
    <row r="10499" spans="1:11" ht="40.049999999999997" customHeight="1" x14ac:dyDescent="0.25">
      <c r="A10499" s="11" t="s">
        <v>20818</v>
      </c>
      <c r="B10499" s="11" t="s">
        <v>20819</v>
      </c>
      <c r="C10499" s="11" t="s">
        <v>80</v>
      </c>
      <c r="D10499" s="11" t="s">
        <v>173</v>
      </c>
      <c r="E10499" s="12" t="s">
        <v>1729</v>
      </c>
      <c r="F10499" s="12" t="s">
        <v>1730</v>
      </c>
      <c r="G10499" s="12" t="s">
        <v>21</v>
      </c>
      <c r="H10499" s="11" t="s">
        <v>63</v>
      </c>
      <c r="I10499" s="13" t="s">
        <v>20824</v>
      </c>
      <c r="J10499" s="14" t="str">
        <f>HYPERLINK("https://www.boe.es/gazeta/dias/1839/04/25/pdfs/GMD-1839-1622.pdf#page=4","Abrir facsímil")</f>
        <v>Abrir facsímil</v>
      </c>
      <c r="K10499" s="12" t="s">
        <v>65</v>
      </c>
    </row>
    <row r="10500" spans="1:11" ht="40.049999999999997" customHeight="1" x14ac:dyDescent="0.25">
      <c r="A10500" s="11" t="s">
        <v>20818</v>
      </c>
      <c r="B10500" s="11" t="s">
        <v>20819</v>
      </c>
      <c r="C10500" s="11" t="s">
        <v>137</v>
      </c>
      <c r="D10500" s="11" t="s">
        <v>18</v>
      </c>
      <c r="E10500" s="12" t="s">
        <v>951</v>
      </c>
      <c r="F10500" s="12" t="s">
        <v>952</v>
      </c>
      <c r="G10500" s="12" t="s">
        <v>21</v>
      </c>
      <c r="H10500" s="11" t="s">
        <v>63</v>
      </c>
      <c r="I10500" s="13" t="s">
        <v>20825</v>
      </c>
      <c r="J10500" s="14" t="str">
        <f>HYPERLINK("https://www.boe.es/gazeta/dias/1839/12/30/pdfs/GMD-1839-1877.pdf#page=4","Abrir facsímil")</f>
        <v>Abrir facsímil</v>
      </c>
      <c r="K10500" s="12" t="s">
        <v>65</v>
      </c>
    </row>
    <row r="10501" spans="1:11" ht="40.049999999999997" customHeight="1" x14ac:dyDescent="0.25">
      <c r="A10501" s="11" t="s">
        <v>20826</v>
      </c>
      <c r="B10501" s="11" t="s">
        <v>20827</v>
      </c>
      <c r="C10501" s="11" t="s">
        <v>80</v>
      </c>
      <c r="D10501" s="11" t="s">
        <v>18</v>
      </c>
      <c r="E10501" s="12" t="s">
        <v>1623</v>
      </c>
      <c r="F10501" s="12" t="s">
        <v>1624</v>
      </c>
      <c r="G10501" s="12" t="s">
        <v>21</v>
      </c>
      <c r="H10501" s="11" t="s">
        <v>63</v>
      </c>
      <c r="I10501" s="13" t="s">
        <v>20828</v>
      </c>
      <c r="J10501" s="14" t="str">
        <f>HYPERLINK("https://www.boe.es/gazeta/dias/1839/04/07/pdfs/GMD-1839-1604.pdf#page=4","Abrir facsímil")</f>
        <v>Abrir facsímil</v>
      </c>
      <c r="K10501" s="12" t="s">
        <v>65</v>
      </c>
    </row>
    <row r="10502" spans="1:11" ht="40.049999999999997" customHeight="1" x14ac:dyDescent="0.25">
      <c r="A10502" s="11" t="s">
        <v>20829</v>
      </c>
      <c r="B10502" s="11" t="s">
        <v>20830</v>
      </c>
      <c r="C10502" s="11" t="s">
        <v>80</v>
      </c>
      <c r="D10502" s="11" t="s">
        <v>18</v>
      </c>
      <c r="E10502" s="12" t="s">
        <v>1628</v>
      </c>
      <c r="F10502" s="12" t="s">
        <v>1629</v>
      </c>
      <c r="G10502" s="12" t="s">
        <v>29</v>
      </c>
      <c r="H10502" s="11" t="s">
        <v>63</v>
      </c>
      <c r="I10502" s="13" t="s">
        <v>20831</v>
      </c>
      <c r="J10502" s="14" t="str">
        <f>HYPERLINK("https://www.boe.es/gazeta/dias/1839/03/10/pdfs/GMD-1839-1576.pdf#page=1","Abrir facsímil")</f>
        <v>Abrir facsímil</v>
      </c>
      <c r="K10502" s="12" t="s">
        <v>65</v>
      </c>
    </row>
    <row r="10503" spans="1:11" ht="40.049999999999997" customHeight="1" x14ac:dyDescent="0.25">
      <c r="A10503" s="11" t="s">
        <v>20829</v>
      </c>
      <c r="B10503" s="11" t="s">
        <v>20830</v>
      </c>
      <c r="C10503" s="11" t="s">
        <v>137</v>
      </c>
      <c r="D10503" s="11" t="s">
        <v>18</v>
      </c>
      <c r="E10503" s="12" t="s">
        <v>1648</v>
      </c>
      <c r="F10503" s="12" t="s">
        <v>1649</v>
      </c>
      <c r="G10503" s="12" t="s">
        <v>21</v>
      </c>
      <c r="H10503" s="11" t="s">
        <v>63</v>
      </c>
      <c r="I10503" s="13" t="s">
        <v>20832</v>
      </c>
      <c r="J10503" s="14" t="str">
        <f>HYPERLINK("https://www.boe.es/gazeta/dias/1839/08/18/pdfs/GMD-1839-1738.pdf#page=4","Abrir facsímil")</f>
        <v>Abrir facsímil</v>
      </c>
      <c r="K10503" s="12" t="s">
        <v>65</v>
      </c>
    </row>
    <row r="10504" spans="1:11" ht="40.049999999999997" customHeight="1" x14ac:dyDescent="0.25">
      <c r="A10504" s="11" t="s">
        <v>20833</v>
      </c>
      <c r="B10504" s="11" t="s">
        <v>20834</v>
      </c>
      <c r="C10504" s="11" t="s">
        <v>17</v>
      </c>
      <c r="D10504" s="11" t="s">
        <v>18</v>
      </c>
      <c r="E10504" s="12" t="s">
        <v>503</v>
      </c>
      <c r="F10504" s="12" t="s">
        <v>504</v>
      </c>
      <c r="G10504" s="12" t="s">
        <v>21</v>
      </c>
      <c r="H10504" s="11" t="s">
        <v>63</v>
      </c>
      <c r="I10504" s="13" t="s">
        <v>20835</v>
      </c>
      <c r="J10504" s="14" t="str">
        <f>HYPERLINK("https://www.boe.es/gazeta/dias/1839/06/07/pdfs/GMD-1839-1665.pdf#page=4","Abrir facsímil")</f>
        <v>Abrir facsímil</v>
      </c>
      <c r="K10504" s="12" t="s">
        <v>65</v>
      </c>
    </row>
    <row r="10505" spans="1:11" ht="40.049999999999997" customHeight="1" x14ac:dyDescent="0.25">
      <c r="A10505" s="11" t="s">
        <v>20833</v>
      </c>
      <c r="B10505" s="11" t="s">
        <v>20834</v>
      </c>
      <c r="C10505" s="11" t="s">
        <v>17</v>
      </c>
      <c r="D10505" s="11" t="s">
        <v>18</v>
      </c>
      <c r="E10505" s="12" t="s">
        <v>1663</v>
      </c>
      <c r="F10505" s="12" t="s">
        <v>1664</v>
      </c>
      <c r="G10505" s="12" t="s">
        <v>21</v>
      </c>
      <c r="H10505" s="11" t="s">
        <v>63</v>
      </c>
      <c r="I10505" s="13" t="s">
        <v>20836</v>
      </c>
      <c r="J10505" s="14" t="str">
        <f>HYPERLINK("https://www.boe.es/gazeta/dias/1839/03/22/pdfs/GMD-1839-1588.pdf#page=4","Abrir facsímil")</f>
        <v>Abrir facsímil</v>
      </c>
      <c r="K10505" s="12" t="s">
        <v>65</v>
      </c>
    </row>
    <row r="10506" spans="1:11" ht="40.049999999999997" customHeight="1" x14ac:dyDescent="0.25">
      <c r="A10506" s="11" t="s">
        <v>20837</v>
      </c>
      <c r="B10506" s="11" t="s">
        <v>20838</v>
      </c>
      <c r="C10506" s="11" t="s">
        <v>17</v>
      </c>
      <c r="D10506" s="11" t="s">
        <v>18</v>
      </c>
      <c r="E10506" s="12" t="s">
        <v>291</v>
      </c>
      <c r="F10506" s="12" t="s">
        <v>292</v>
      </c>
      <c r="G10506" s="12" t="s">
        <v>46</v>
      </c>
      <c r="H10506" s="11" t="s">
        <v>63</v>
      </c>
      <c r="I10506" s="13" t="s">
        <v>20839</v>
      </c>
      <c r="J10506" s="14" t="str">
        <f>HYPERLINK("https://www.boe.es/gazeta/dias/1839/09/04/pdfs/GMD-1839-1757.pdf#page=3","Abrir facsímil")</f>
        <v>Abrir facsímil</v>
      </c>
      <c r="K10506" s="12" t="s">
        <v>65</v>
      </c>
    </row>
    <row r="10507" spans="1:11" ht="40.049999999999997" customHeight="1" x14ac:dyDescent="0.25">
      <c r="A10507" s="11" t="s">
        <v>20840</v>
      </c>
      <c r="B10507" s="11" t="s">
        <v>20841</v>
      </c>
      <c r="C10507" s="11" t="s">
        <v>17</v>
      </c>
      <c r="D10507" s="11" t="s">
        <v>18</v>
      </c>
      <c r="E10507" s="12" t="s">
        <v>168</v>
      </c>
      <c r="F10507" s="12" t="s">
        <v>169</v>
      </c>
      <c r="G10507" s="12" t="s">
        <v>21</v>
      </c>
      <c r="H10507" s="11" t="s">
        <v>63</v>
      </c>
      <c r="I10507" s="13" t="s">
        <v>20842</v>
      </c>
      <c r="J10507" s="14" t="str">
        <f>HYPERLINK("https://www.boe.es/gazeta/dias/1839/07/12/pdfs/GMD-1839-1700.pdf#page=4","Abrir facsímil")</f>
        <v>Abrir facsímil</v>
      </c>
      <c r="K10507" s="12" t="s">
        <v>65</v>
      </c>
    </row>
    <row r="10508" spans="1:11" ht="40.049999999999997" customHeight="1" x14ac:dyDescent="0.25">
      <c r="A10508" s="11" t="s">
        <v>20840</v>
      </c>
      <c r="B10508" s="11" t="s">
        <v>20841</v>
      </c>
      <c r="C10508" s="11" t="s">
        <v>101</v>
      </c>
      <c r="D10508" s="11" t="s">
        <v>43</v>
      </c>
      <c r="E10508" s="12" t="s">
        <v>653</v>
      </c>
      <c r="F10508" s="12" t="s">
        <v>654</v>
      </c>
      <c r="G10508" s="12" t="s">
        <v>21</v>
      </c>
      <c r="H10508" s="11" t="s">
        <v>63</v>
      </c>
      <c r="I10508" s="13" t="s">
        <v>20843</v>
      </c>
      <c r="J10508" s="14" t="str">
        <f>HYPERLINK("https://www.boe.es/gazeta/dias/1839/10/31/pdfs/GMD-1839-1817.pdf#page=4","Abrir facsímil")</f>
        <v>Abrir facsímil</v>
      </c>
      <c r="K10508" s="12" t="s">
        <v>65</v>
      </c>
    </row>
    <row r="10509" spans="1:11" ht="40.049999999999997" customHeight="1" x14ac:dyDescent="0.25">
      <c r="A10509" s="11" t="s">
        <v>20844</v>
      </c>
      <c r="B10509" s="11" t="s">
        <v>20845</v>
      </c>
      <c r="C10509" s="11" t="s">
        <v>17</v>
      </c>
      <c r="D10509" s="11" t="s">
        <v>18</v>
      </c>
      <c r="E10509" s="12" t="s">
        <v>779</v>
      </c>
      <c r="F10509" s="12" t="s">
        <v>780</v>
      </c>
      <c r="G10509" s="12" t="s">
        <v>29</v>
      </c>
      <c r="H10509" s="11" t="s">
        <v>63</v>
      </c>
      <c r="I10509" s="13" t="s">
        <v>20846</v>
      </c>
      <c r="J10509" s="14" t="str">
        <f>HYPERLINK("https://www.boe.es/gazeta/dias/1839/02/03/pdfs/GMD-1839-1541.pdf#page=1","Abrir facsímil")</f>
        <v>Abrir facsímil</v>
      </c>
      <c r="K10509" s="12" t="s">
        <v>65</v>
      </c>
    </row>
    <row r="10510" spans="1:11" ht="40.049999999999997" customHeight="1" x14ac:dyDescent="0.25">
      <c r="A10510" s="11" t="s">
        <v>20847</v>
      </c>
      <c r="B10510" s="11" t="s">
        <v>20848</v>
      </c>
      <c r="C10510" s="11" t="s">
        <v>17</v>
      </c>
      <c r="D10510" s="11" t="s">
        <v>18</v>
      </c>
      <c r="E10510" s="12" t="s">
        <v>1623</v>
      </c>
      <c r="F10510" s="12" t="s">
        <v>1624</v>
      </c>
      <c r="G10510" s="12" t="s">
        <v>21</v>
      </c>
      <c r="H10510" s="11" t="s">
        <v>63</v>
      </c>
      <c r="I10510" s="13" t="s">
        <v>20849</v>
      </c>
      <c r="J10510" s="14" t="str">
        <f>HYPERLINK("https://www.boe.es/gazeta/dias/1839/04/07/pdfs/GMD-1839-1604.pdf#page=4","Abrir facsímil")</f>
        <v>Abrir facsímil</v>
      </c>
      <c r="K10510" s="12" t="s">
        <v>65</v>
      </c>
    </row>
    <row r="10511" spans="1:11" ht="40.049999999999997" customHeight="1" x14ac:dyDescent="0.25">
      <c r="A10511" s="11" t="s">
        <v>20847</v>
      </c>
      <c r="B10511" s="11" t="s">
        <v>20848</v>
      </c>
      <c r="C10511" s="11" t="s">
        <v>137</v>
      </c>
      <c r="D10511" s="11" t="s">
        <v>18</v>
      </c>
      <c r="E10511" s="12" t="s">
        <v>3289</v>
      </c>
      <c r="F10511" s="12" t="s">
        <v>3290</v>
      </c>
      <c r="G10511" s="12" t="s">
        <v>21</v>
      </c>
      <c r="H10511" s="11" t="s">
        <v>63</v>
      </c>
      <c r="I10511" s="13" t="s">
        <v>20850</v>
      </c>
      <c r="J10511" s="14" t="str">
        <f>HYPERLINK("https://www.boe.es/gazeta/dias/1839/12/10/pdfs/GMD-1839-1857.pdf#page=4","Abrir facsímil")</f>
        <v>Abrir facsímil</v>
      </c>
      <c r="K10511" s="12" t="s">
        <v>65</v>
      </c>
    </row>
    <row r="10512" spans="1:11" ht="40.049999999999997" customHeight="1" x14ac:dyDescent="0.25">
      <c r="A10512" s="11" t="s">
        <v>20851</v>
      </c>
      <c r="B10512" s="11" t="s">
        <v>20852</v>
      </c>
      <c r="C10512" s="11" t="s">
        <v>137</v>
      </c>
      <c r="D10512" s="11" t="s">
        <v>18</v>
      </c>
      <c r="E10512" s="12" t="s">
        <v>138</v>
      </c>
      <c r="F10512" s="12" t="s">
        <v>139</v>
      </c>
      <c r="G10512" s="12" t="s">
        <v>21</v>
      </c>
      <c r="H10512" s="11" t="s">
        <v>22</v>
      </c>
      <c r="I10512" s="13" t="s">
        <v>20853</v>
      </c>
      <c r="J10512" s="14" t="str">
        <f>HYPERLINK("https://www.boe.es/gazeta/dias/1839/10/09/pdfs/GMD-1839-1795.pdf#page=4","Abrir facsímil")</f>
        <v>Abrir facsímil</v>
      </c>
      <c r="K10512" s="12" t="s">
        <v>24</v>
      </c>
    </row>
    <row r="10513" spans="1:11" ht="40.049999999999997" customHeight="1" x14ac:dyDescent="0.25">
      <c r="A10513" s="11" t="s">
        <v>20854</v>
      </c>
      <c r="B10513" s="11" t="s">
        <v>20855</v>
      </c>
      <c r="C10513" s="11" t="s">
        <v>137</v>
      </c>
      <c r="D10513" s="11" t="s">
        <v>18</v>
      </c>
      <c r="E10513" s="12" t="s">
        <v>1909</v>
      </c>
      <c r="F10513" s="12" t="s">
        <v>1910</v>
      </c>
      <c r="G10513" s="12" t="s">
        <v>21</v>
      </c>
      <c r="H10513" s="11" t="s">
        <v>63</v>
      </c>
      <c r="I10513" s="13" t="s">
        <v>20856</v>
      </c>
      <c r="J10513" s="14" t="str">
        <f>HYPERLINK("https://www.boe.es/gazeta/dias/1839/10/27/pdfs/GMD-1839-1813.pdf#page=4","Abrir facsímil")</f>
        <v>Abrir facsímil</v>
      </c>
      <c r="K10513" s="12" t="s">
        <v>65</v>
      </c>
    </row>
    <row r="10514" spans="1:11" ht="40.049999999999997" customHeight="1" x14ac:dyDescent="0.25">
      <c r="A10514" s="11" t="s">
        <v>20857</v>
      </c>
      <c r="B10514" s="11" t="s">
        <v>20858</v>
      </c>
      <c r="C10514" s="11" t="s">
        <v>17</v>
      </c>
      <c r="D10514" s="11" t="s">
        <v>18</v>
      </c>
      <c r="E10514" s="12" t="s">
        <v>834</v>
      </c>
      <c r="F10514" s="12" t="s">
        <v>835</v>
      </c>
      <c r="G10514" s="12" t="s">
        <v>40</v>
      </c>
      <c r="H10514" s="11" t="s">
        <v>63</v>
      </c>
      <c r="I10514" s="13" t="s">
        <v>20859</v>
      </c>
      <c r="J10514" s="14" t="str">
        <f>HYPERLINK("https://www.boe.es/gazeta/dias/1839/08/17/pdfs/GMD-1839-1737.pdf#page=2","Abrir facsímil")</f>
        <v>Abrir facsímil</v>
      </c>
      <c r="K10514" s="12" t="s">
        <v>65</v>
      </c>
    </row>
    <row r="10515" spans="1:11" ht="40.049999999999997" customHeight="1" x14ac:dyDescent="0.25">
      <c r="A10515" s="11" t="s">
        <v>20860</v>
      </c>
      <c r="B10515" s="11" t="s">
        <v>20861</v>
      </c>
      <c r="C10515" s="11" t="s">
        <v>59</v>
      </c>
      <c r="D10515" s="11" t="s">
        <v>60</v>
      </c>
      <c r="E10515" s="12" t="s">
        <v>303</v>
      </c>
      <c r="F10515" s="12" t="s">
        <v>304</v>
      </c>
      <c r="G10515" s="12" t="s">
        <v>305</v>
      </c>
      <c r="H10515" s="11" t="s">
        <v>63</v>
      </c>
      <c r="I10515" s="13" t="s">
        <v>20862</v>
      </c>
      <c r="J10515" s="14" t="str">
        <f>HYPERLINK("https://www.boe.es/gazeta/dias/1839/10/06/pdfs/GMD-1839-1792.pdf#page=6","Abrir facsímil")</f>
        <v>Abrir facsímil</v>
      </c>
      <c r="K10515" s="12" t="s">
        <v>65</v>
      </c>
    </row>
    <row r="10516" spans="1:11" ht="40.049999999999997" customHeight="1" x14ac:dyDescent="0.25">
      <c r="A10516" s="11" t="s">
        <v>20863</v>
      </c>
      <c r="B10516" s="11" t="s">
        <v>20864</v>
      </c>
      <c r="C10516" s="11" t="s">
        <v>17</v>
      </c>
      <c r="D10516" s="11" t="s">
        <v>18</v>
      </c>
      <c r="E10516" s="12" t="s">
        <v>510</v>
      </c>
      <c r="F10516" s="12" t="s">
        <v>511</v>
      </c>
      <c r="G10516" s="12" t="s">
        <v>21</v>
      </c>
      <c r="H10516" s="11" t="s">
        <v>63</v>
      </c>
      <c r="I10516" s="13" t="s">
        <v>20865</v>
      </c>
      <c r="J10516" s="14" t="str">
        <f>HYPERLINK("https://www.boe.es/gazeta/dias/1839/05/13/pdfs/GMD-1839-1640.pdf#page=4","Abrir facsímil")</f>
        <v>Abrir facsímil</v>
      </c>
      <c r="K10516" s="12" t="s">
        <v>65</v>
      </c>
    </row>
    <row r="10517" spans="1:11" ht="40.049999999999997" customHeight="1" x14ac:dyDescent="0.25">
      <c r="A10517" s="11" t="s">
        <v>20866</v>
      </c>
      <c r="B10517" s="11" t="s">
        <v>20867</v>
      </c>
      <c r="C10517" s="11" t="s">
        <v>17</v>
      </c>
      <c r="D10517" s="11" t="s">
        <v>18</v>
      </c>
      <c r="E10517" s="12" t="s">
        <v>4055</v>
      </c>
      <c r="F10517" s="12" t="s">
        <v>4056</v>
      </c>
      <c r="G10517" s="12" t="s">
        <v>21</v>
      </c>
      <c r="H10517" s="11" t="s">
        <v>63</v>
      </c>
      <c r="I10517" s="13" t="s">
        <v>20868</v>
      </c>
      <c r="J10517" s="14" t="str">
        <f>HYPERLINK("https://www.boe.es/gazeta/dias/1839/03/07/pdfs/GMD-1839-1573.pdf#page=4","Abrir facsímil")</f>
        <v>Abrir facsímil</v>
      </c>
      <c r="K10517" s="12" t="s">
        <v>65</v>
      </c>
    </row>
    <row r="10518" spans="1:11" ht="40.049999999999997" customHeight="1" x14ac:dyDescent="0.25">
      <c r="A10518" s="11" t="s">
        <v>20869</v>
      </c>
      <c r="B10518" s="11" t="s">
        <v>20870</v>
      </c>
      <c r="C10518" s="11" t="s">
        <v>17</v>
      </c>
      <c r="D10518" s="11" t="s">
        <v>18</v>
      </c>
      <c r="E10518" s="12" t="s">
        <v>5845</v>
      </c>
      <c r="F10518" s="12" t="s">
        <v>5846</v>
      </c>
      <c r="G10518" s="12" t="s">
        <v>29</v>
      </c>
      <c r="H10518" s="11" t="s">
        <v>63</v>
      </c>
      <c r="I10518" s="13" t="s">
        <v>20871</v>
      </c>
      <c r="J10518" s="14" t="str">
        <f>HYPERLINK("https://www.boe.es/gazeta/dias/1839/04/01/pdfs/GMD-1839-1598.pdf#page=1","Abrir facsímil")</f>
        <v>Abrir facsímil</v>
      </c>
      <c r="K10518" s="12" t="s">
        <v>65</v>
      </c>
    </row>
    <row r="10519" spans="1:11" ht="40.049999999999997" customHeight="1" x14ac:dyDescent="0.25">
      <c r="A10519" s="11" t="s">
        <v>20872</v>
      </c>
      <c r="B10519" s="11" t="s">
        <v>20873</v>
      </c>
      <c r="C10519" s="11" t="s">
        <v>59</v>
      </c>
      <c r="D10519" s="11" t="s">
        <v>60</v>
      </c>
      <c r="E10519" s="12" t="s">
        <v>246</v>
      </c>
      <c r="F10519" s="12" t="s">
        <v>247</v>
      </c>
      <c r="G10519" s="12" t="s">
        <v>21</v>
      </c>
      <c r="H10519" s="11" t="s">
        <v>63</v>
      </c>
      <c r="I10519" s="13" t="s">
        <v>20874</v>
      </c>
      <c r="J10519" s="14" t="str">
        <f>HYPERLINK("https://www.boe.es/gazeta/dias/1839/11/24/pdfs/GMD-1839-1841.pdf#page=4","Abrir facsímil")</f>
        <v>Abrir facsímil</v>
      </c>
      <c r="K10519" s="12" t="s">
        <v>65</v>
      </c>
    </row>
    <row r="10520" spans="1:11" ht="40.049999999999997" customHeight="1" x14ac:dyDescent="0.25">
      <c r="A10520" s="11" t="s">
        <v>20875</v>
      </c>
      <c r="B10520" s="11" t="s">
        <v>20876</v>
      </c>
      <c r="C10520" s="11" t="s">
        <v>137</v>
      </c>
      <c r="D10520" s="11" t="s">
        <v>18</v>
      </c>
      <c r="E10520" s="12" t="s">
        <v>266</v>
      </c>
      <c r="F10520" s="12" t="s">
        <v>267</v>
      </c>
      <c r="G10520" s="12" t="s">
        <v>40</v>
      </c>
      <c r="H10520" s="11" t="s">
        <v>63</v>
      </c>
      <c r="I10520" s="13" t="s">
        <v>20877</v>
      </c>
      <c r="J10520" s="14" t="str">
        <f>HYPERLINK("https://www.boe.es/gazeta/dias/1839/01/03/pdfs/GMD-1839-1510.pdf#page=2","Abrir facsímil")</f>
        <v>Abrir facsímil</v>
      </c>
      <c r="K10520" s="12" t="s">
        <v>65</v>
      </c>
    </row>
    <row r="10521" spans="1:11" ht="40.049999999999997" customHeight="1" x14ac:dyDescent="0.25">
      <c r="A10521" s="11" t="s">
        <v>20878</v>
      </c>
      <c r="B10521" s="11" t="s">
        <v>20879</v>
      </c>
      <c r="C10521" s="11" t="s">
        <v>137</v>
      </c>
      <c r="D10521" s="11" t="s">
        <v>18</v>
      </c>
      <c r="E10521" s="12" t="s">
        <v>138</v>
      </c>
      <c r="F10521" s="12" t="s">
        <v>139</v>
      </c>
      <c r="G10521" s="12" t="s">
        <v>21</v>
      </c>
      <c r="H10521" s="11" t="s">
        <v>63</v>
      </c>
      <c r="I10521" s="13" t="s">
        <v>20880</v>
      </c>
      <c r="J10521" s="14" t="str">
        <f>HYPERLINK("https://www.boe.es/gazeta/dias/1839/10/09/pdfs/GMD-1839-1795.pdf#page=4","Abrir facsímil")</f>
        <v>Abrir facsímil</v>
      </c>
      <c r="K10521" s="12" t="s">
        <v>65</v>
      </c>
    </row>
    <row r="10522" spans="1:11" ht="40.049999999999997" customHeight="1" x14ac:dyDescent="0.25">
      <c r="A10522" s="11" t="s">
        <v>20878</v>
      </c>
      <c r="B10522" s="11" t="s">
        <v>20879</v>
      </c>
      <c r="C10522" s="11" t="s">
        <v>80</v>
      </c>
      <c r="D10522" s="11" t="s">
        <v>18</v>
      </c>
      <c r="E10522" s="12" t="s">
        <v>1179</v>
      </c>
      <c r="F10522" s="12" t="s">
        <v>1180</v>
      </c>
      <c r="G10522" s="12" t="s">
        <v>305</v>
      </c>
      <c r="H10522" s="11" t="s">
        <v>63</v>
      </c>
      <c r="I10522" s="13" t="s">
        <v>20881</v>
      </c>
      <c r="J10522" s="14" t="str">
        <f>HYPERLINK("https://www.boe.es/gazeta/dias/1839/10/18/pdfs/GMD-1839-1804.pdf#page=6","Abrir facsímil")</f>
        <v>Abrir facsímil</v>
      </c>
      <c r="K10522" s="12" t="s">
        <v>65</v>
      </c>
    </row>
    <row r="10523" spans="1:11" ht="40.049999999999997" customHeight="1" x14ac:dyDescent="0.25">
      <c r="A10523" s="11" t="s">
        <v>20882</v>
      </c>
      <c r="B10523" s="11" t="s">
        <v>20883</v>
      </c>
      <c r="C10523" s="11" t="s">
        <v>80</v>
      </c>
      <c r="D10523" s="11" t="s">
        <v>18</v>
      </c>
      <c r="E10523" s="12" t="s">
        <v>132</v>
      </c>
      <c r="F10523" s="12" t="s">
        <v>133</v>
      </c>
      <c r="G10523" s="12" t="s">
        <v>21</v>
      </c>
      <c r="H10523" s="11" t="s">
        <v>63</v>
      </c>
      <c r="I10523" s="13" t="s">
        <v>20884</v>
      </c>
      <c r="J10523" s="14" t="str">
        <f>HYPERLINK("https://www.boe.es/gazeta/dias/1839/08/02/pdfs/GMD-1839-1722.pdf#page=4","Abrir facsímil")</f>
        <v>Abrir facsímil</v>
      </c>
      <c r="K10523" s="12" t="s">
        <v>65</v>
      </c>
    </row>
    <row r="10524" spans="1:11" ht="40.049999999999997" customHeight="1" x14ac:dyDescent="0.25">
      <c r="A10524" s="11" t="s">
        <v>20885</v>
      </c>
      <c r="B10524" s="11" t="s">
        <v>20886</v>
      </c>
      <c r="C10524" s="11" t="s">
        <v>80</v>
      </c>
      <c r="D10524" s="11" t="s">
        <v>18</v>
      </c>
      <c r="E10524" s="12" t="s">
        <v>138</v>
      </c>
      <c r="F10524" s="12" t="s">
        <v>139</v>
      </c>
      <c r="G10524" s="12" t="s">
        <v>29</v>
      </c>
      <c r="H10524" s="11" t="s">
        <v>63</v>
      </c>
      <c r="I10524" s="13" t="s">
        <v>20887</v>
      </c>
      <c r="J10524" s="14" t="str">
        <f>HYPERLINK("https://www.boe.es/gazeta/dias/1839/10/09/pdfs/GMD-1839-1795.pdf#page=1","Abrir facsímil")</f>
        <v>Abrir facsímil</v>
      </c>
      <c r="K10524" s="12" t="s">
        <v>65</v>
      </c>
    </row>
    <row r="10525" spans="1:11" ht="40.049999999999997" customHeight="1" x14ac:dyDescent="0.25">
      <c r="A10525" s="11" t="s">
        <v>20888</v>
      </c>
      <c r="B10525" s="11" t="s">
        <v>20889</v>
      </c>
      <c r="C10525" s="11" t="s">
        <v>137</v>
      </c>
      <c r="D10525" s="11" t="s">
        <v>18</v>
      </c>
      <c r="E10525" s="12" t="s">
        <v>369</v>
      </c>
      <c r="F10525" s="12" t="s">
        <v>370</v>
      </c>
      <c r="G10525" s="12" t="s">
        <v>40</v>
      </c>
      <c r="H10525" s="11" t="s">
        <v>22</v>
      </c>
      <c r="I10525" s="13" t="s">
        <v>20890</v>
      </c>
      <c r="J10525" s="14" t="str">
        <f>HYPERLINK("https://www.boe.es/gazeta/dias/1839/11/01/pdfs/GMD-1839-1818.pdf#page=2","Abrir facsímil")</f>
        <v>Abrir facsímil</v>
      </c>
      <c r="K10525" s="12" t="s">
        <v>24</v>
      </c>
    </row>
    <row r="10526" spans="1:11" ht="40.049999999999997" customHeight="1" x14ac:dyDescent="0.25">
      <c r="A10526" s="11" t="s">
        <v>20891</v>
      </c>
      <c r="B10526" s="11" t="s">
        <v>20892</v>
      </c>
      <c r="C10526" s="11" t="s">
        <v>17</v>
      </c>
      <c r="D10526" s="11" t="s">
        <v>18</v>
      </c>
      <c r="E10526" s="12" t="s">
        <v>568</v>
      </c>
      <c r="F10526" s="12" t="s">
        <v>569</v>
      </c>
      <c r="G10526" s="12" t="s">
        <v>46</v>
      </c>
      <c r="H10526" s="11" t="s">
        <v>22</v>
      </c>
      <c r="I10526" s="13" t="s">
        <v>20893</v>
      </c>
      <c r="J10526" s="14" t="str">
        <f>HYPERLINK("https://www.boe.es/gazeta/dias/1839/10/23/pdfs/GMD-1839-1809.pdf#page=3","Abrir facsímil")</f>
        <v>Abrir facsímil</v>
      </c>
      <c r="K10526" s="12" t="s">
        <v>24</v>
      </c>
    </row>
    <row r="10527" spans="1:11" ht="40.049999999999997" customHeight="1" x14ac:dyDescent="0.25">
      <c r="A10527" s="11" t="s">
        <v>20894</v>
      </c>
      <c r="B10527" s="11" t="s">
        <v>20895</v>
      </c>
      <c r="C10527" s="11" t="s">
        <v>80</v>
      </c>
      <c r="D10527" s="11" t="s">
        <v>173</v>
      </c>
      <c r="E10527" s="12" t="s">
        <v>352</v>
      </c>
      <c r="F10527" s="12" t="s">
        <v>353</v>
      </c>
      <c r="G10527" s="12" t="s">
        <v>29</v>
      </c>
      <c r="H10527" s="11" t="s">
        <v>22</v>
      </c>
      <c r="I10527" s="13" t="s">
        <v>20896</v>
      </c>
      <c r="J10527" s="14" t="str">
        <f>HYPERLINK("https://www.boe.es/gazeta/dias/1839/03/30/pdfs/GMD-1839-1596.pdf#page=1","Abrir facsímil")</f>
        <v>Abrir facsímil</v>
      </c>
      <c r="K10527" s="12" t="s">
        <v>24</v>
      </c>
    </row>
    <row r="10528" spans="1:11" ht="40.049999999999997" customHeight="1" x14ac:dyDescent="0.25">
      <c r="A10528" s="11" t="s">
        <v>20897</v>
      </c>
      <c r="B10528" s="11" t="s">
        <v>20898</v>
      </c>
      <c r="C10528" s="11" t="s">
        <v>17</v>
      </c>
      <c r="D10528" s="11" t="s">
        <v>18</v>
      </c>
      <c r="E10528" s="12" t="s">
        <v>230</v>
      </c>
      <c r="F10528" s="12" t="s">
        <v>231</v>
      </c>
      <c r="G10528" s="12" t="s">
        <v>29</v>
      </c>
      <c r="H10528" s="11" t="s">
        <v>22</v>
      </c>
      <c r="I10528" s="13" t="s">
        <v>20899</v>
      </c>
      <c r="J10528" s="14" t="str">
        <f>HYPERLINK("https://www.boe.es/gazeta/dias/1839/09/16/pdfs/GMD-1839-1769.pdf#page=1","Abrir facsímil")</f>
        <v>Abrir facsímil</v>
      </c>
      <c r="K10528" s="12" t="s">
        <v>24</v>
      </c>
    </row>
    <row r="10529" spans="1:11" ht="40.049999999999997" customHeight="1" x14ac:dyDescent="0.25">
      <c r="A10529" s="11" t="s">
        <v>20900</v>
      </c>
      <c r="B10529" s="11" t="s">
        <v>20901</v>
      </c>
      <c r="C10529" s="11" t="s">
        <v>59</v>
      </c>
      <c r="D10529" s="11" t="s">
        <v>60</v>
      </c>
      <c r="E10529" s="12" t="s">
        <v>756</v>
      </c>
      <c r="F10529" s="12" t="s">
        <v>757</v>
      </c>
      <c r="G10529" s="12" t="s">
        <v>29</v>
      </c>
      <c r="H10529" s="11" t="s">
        <v>22</v>
      </c>
      <c r="I10529" s="13" t="s">
        <v>20902</v>
      </c>
      <c r="J10529" s="14" t="str">
        <f>HYPERLINK("https://www.boe.es/gazeta/dias/1839/12/17/pdfs/GMD-1839-1864.pdf#page=1","Abrir facsímil")</f>
        <v>Abrir facsímil</v>
      </c>
      <c r="K10529" s="12" t="s">
        <v>24</v>
      </c>
    </row>
    <row r="10530" spans="1:11" ht="40.049999999999997" customHeight="1" x14ac:dyDescent="0.25">
      <c r="A10530" s="11" t="s">
        <v>20903</v>
      </c>
      <c r="B10530" s="11" t="s">
        <v>20904</v>
      </c>
      <c r="C10530" s="11" t="s">
        <v>17</v>
      </c>
      <c r="D10530" s="11" t="s">
        <v>43</v>
      </c>
      <c r="E10530" s="12" t="s">
        <v>883</v>
      </c>
      <c r="F10530" s="12" t="s">
        <v>884</v>
      </c>
      <c r="G10530" s="12" t="s">
        <v>21</v>
      </c>
      <c r="H10530" s="11" t="s">
        <v>22</v>
      </c>
      <c r="I10530" s="13" t="s">
        <v>20905</v>
      </c>
      <c r="J10530" s="14" t="str">
        <f>HYPERLINK("https://www.boe.es/gazeta/dias/1839/11/03/pdfs/GMD-1839-1820.pdf#page=4","Abrir facsímil")</f>
        <v>Abrir facsímil</v>
      </c>
      <c r="K10530" s="12" t="s">
        <v>24</v>
      </c>
    </row>
    <row r="10531" spans="1:11" ht="40.049999999999997" customHeight="1" x14ac:dyDescent="0.25">
      <c r="A10531" s="11" t="s">
        <v>20903</v>
      </c>
      <c r="B10531" s="11" t="s">
        <v>20904</v>
      </c>
      <c r="C10531" s="11" t="s">
        <v>17</v>
      </c>
      <c r="D10531" s="11" t="s">
        <v>18</v>
      </c>
      <c r="E10531" s="12" t="s">
        <v>462</v>
      </c>
      <c r="F10531" s="12" t="s">
        <v>463</v>
      </c>
      <c r="G10531" s="12" t="s">
        <v>46</v>
      </c>
      <c r="H10531" s="11" t="s">
        <v>22</v>
      </c>
      <c r="I10531" s="13" t="s">
        <v>20906</v>
      </c>
      <c r="J10531" s="14" t="str">
        <f>HYPERLINK("https://www.boe.es/gazeta/dias/1839/06/19/pdfs/GMD-1839-1677.pdf#page=3","Abrir facsímil")</f>
        <v>Abrir facsímil</v>
      </c>
      <c r="K10531" s="12" t="s">
        <v>24</v>
      </c>
    </row>
    <row r="10532" spans="1:11" ht="40.049999999999997" customHeight="1" x14ac:dyDescent="0.25">
      <c r="A10532" s="11" t="s">
        <v>20903</v>
      </c>
      <c r="B10532" s="11" t="s">
        <v>20904</v>
      </c>
      <c r="C10532" s="11" t="s">
        <v>101</v>
      </c>
      <c r="D10532" s="11" t="s">
        <v>43</v>
      </c>
      <c r="E10532" s="12" t="s">
        <v>2069</v>
      </c>
      <c r="F10532" s="12" t="s">
        <v>2070</v>
      </c>
      <c r="G10532" s="12" t="s">
        <v>40</v>
      </c>
      <c r="H10532" s="11" t="s">
        <v>22</v>
      </c>
      <c r="I10532" s="13" t="s">
        <v>20907</v>
      </c>
      <c r="J10532" s="14" t="str">
        <f>HYPERLINK("https://www.boe.es/gazeta/dias/1839/10/20/pdfs/GMD-1839-1806.pdf#page=2","Abrir facsímil")</f>
        <v>Abrir facsímil</v>
      </c>
      <c r="K10532" s="12" t="s">
        <v>24</v>
      </c>
    </row>
    <row r="10533" spans="1:11" ht="40.049999999999997" customHeight="1" x14ac:dyDescent="0.25">
      <c r="A10533" s="11" t="s">
        <v>20908</v>
      </c>
      <c r="B10533" s="11" t="s">
        <v>20909</v>
      </c>
      <c r="C10533" s="11" t="s">
        <v>137</v>
      </c>
      <c r="D10533" s="11" t="s">
        <v>18</v>
      </c>
      <c r="E10533" s="12" t="s">
        <v>76</v>
      </c>
      <c r="F10533" s="12" t="s">
        <v>77</v>
      </c>
      <c r="G10533" s="12" t="s">
        <v>29</v>
      </c>
      <c r="H10533" s="11" t="s">
        <v>63</v>
      </c>
      <c r="I10533" s="13" t="s">
        <v>20910</v>
      </c>
      <c r="J10533" s="14" t="str">
        <f>HYPERLINK("https://www.boe.es/gazeta/dias/1839/03/13/pdfs/GMD-1839-1579.pdf#page=1","Abrir facsímil")</f>
        <v>Abrir facsímil</v>
      </c>
      <c r="K10533" s="12" t="s">
        <v>65</v>
      </c>
    </row>
    <row r="10534" spans="1:11" ht="40.049999999999997" customHeight="1" x14ac:dyDescent="0.25">
      <c r="A10534" s="11" t="s">
        <v>20911</v>
      </c>
      <c r="B10534" s="11" t="s">
        <v>20912</v>
      </c>
      <c r="C10534" s="11" t="s">
        <v>17</v>
      </c>
      <c r="D10534" s="11" t="s">
        <v>18</v>
      </c>
      <c r="E10534" s="12" t="s">
        <v>38</v>
      </c>
      <c r="F10534" s="12" t="s">
        <v>39</v>
      </c>
      <c r="G10534" s="12" t="s">
        <v>46</v>
      </c>
      <c r="H10534" s="11" t="s">
        <v>63</v>
      </c>
      <c r="I10534" s="13" t="s">
        <v>20913</v>
      </c>
      <c r="J10534" s="14" t="str">
        <f>HYPERLINK("https://www.boe.es/gazeta/dias/1839/08/08/pdfs/GMD-1839-1728.pdf#page=3","Abrir facsímil")</f>
        <v>Abrir facsímil</v>
      </c>
      <c r="K10534" s="12" t="s">
        <v>65</v>
      </c>
    </row>
    <row r="10535" spans="1:11" ht="40.049999999999997" customHeight="1" x14ac:dyDescent="0.25">
      <c r="A10535" s="11" t="s">
        <v>20911</v>
      </c>
      <c r="B10535" s="11" t="s">
        <v>20912</v>
      </c>
      <c r="C10535" s="11" t="s">
        <v>17</v>
      </c>
      <c r="D10535" s="11" t="s">
        <v>18</v>
      </c>
      <c r="E10535" s="12" t="s">
        <v>1159</v>
      </c>
      <c r="F10535" s="12" t="s">
        <v>1160</v>
      </c>
      <c r="G10535" s="12" t="s">
        <v>21</v>
      </c>
      <c r="H10535" s="11" t="s">
        <v>63</v>
      </c>
      <c r="I10535" s="13" t="s">
        <v>20914</v>
      </c>
      <c r="J10535" s="14" t="str">
        <f>HYPERLINK("https://www.boe.es/gazeta/dias/1839/11/26/pdfs/GMD-1839-1843.pdf#page=4","Abrir facsímil")</f>
        <v>Abrir facsímil</v>
      </c>
      <c r="K10535" s="12" t="s">
        <v>65</v>
      </c>
    </row>
    <row r="10536" spans="1:11" ht="40.049999999999997" customHeight="1" x14ac:dyDescent="0.25">
      <c r="A10536" s="11" t="s">
        <v>20915</v>
      </c>
      <c r="B10536" s="11" t="s">
        <v>20915</v>
      </c>
      <c r="C10536" s="11" t="s">
        <v>137</v>
      </c>
      <c r="D10536" s="11" t="s">
        <v>18</v>
      </c>
      <c r="E10536" s="12" t="s">
        <v>1144</v>
      </c>
      <c r="F10536" s="12" t="s">
        <v>1145</v>
      </c>
      <c r="G10536" s="12" t="s">
        <v>40</v>
      </c>
      <c r="H10536" s="11" t="s">
        <v>63</v>
      </c>
      <c r="I10536" s="13" t="s">
        <v>20916</v>
      </c>
      <c r="J10536" s="14" t="str">
        <f>HYPERLINK("https://www.boe.es/gazeta/dias/1839/08/13/pdfs/GMD-1839-1733.pdf#page=2","Abrir facsímil")</f>
        <v>Abrir facsímil</v>
      </c>
      <c r="K10536" s="12" t="s">
        <v>65</v>
      </c>
    </row>
    <row r="10537" spans="1:11" ht="40.049999999999997" customHeight="1" x14ac:dyDescent="0.25">
      <c r="A10537" s="11" t="s">
        <v>20917</v>
      </c>
      <c r="B10537" s="11" t="s">
        <v>20917</v>
      </c>
      <c r="C10537" s="11" t="s">
        <v>17</v>
      </c>
      <c r="D10537" s="11" t="s">
        <v>18</v>
      </c>
      <c r="E10537" s="12" t="s">
        <v>5845</v>
      </c>
      <c r="F10537" s="12" t="s">
        <v>5846</v>
      </c>
      <c r="G10537" s="12" t="s">
        <v>29</v>
      </c>
      <c r="H10537" s="11" t="s">
        <v>63</v>
      </c>
      <c r="I10537" s="13" t="s">
        <v>20918</v>
      </c>
      <c r="J10537" s="14" t="str">
        <f>HYPERLINK("https://www.boe.es/gazeta/dias/1839/04/01/pdfs/GMD-1839-1598.pdf#page=1","Abrir facsímil")</f>
        <v>Abrir facsímil</v>
      </c>
      <c r="K10537" s="12" t="s">
        <v>65</v>
      </c>
    </row>
    <row r="10538" spans="1:11" ht="40.049999999999997" customHeight="1" x14ac:dyDescent="0.25">
      <c r="A10538" s="11" t="s">
        <v>20919</v>
      </c>
      <c r="B10538" s="11" t="s">
        <v>20919</v>
      </c>
      <c r="C10538" s="11" t="s">
        <v>59</v>
      </c>
      <c r="D10538" s="11" t="s">
        <v>60</v>
      </c>
      <c r="E10538" s="12" t="s">
        <v>4287</v>
      </c>
      <c r="F10538" s="12" t="s">
        <v>4288</v>
      </c>
      <c r="G10538" s="12" t="s">
        <v>29</v>
      </c>
      <c r="H10538" s="11" t="s">
        <v>63</v>
      </c>
      <c r="I10538" s="13" t="s">
        <v>20920</v>
      </c>
      <c r="J10538" s="14" t="str">
        <f>HYPERLINK("https://www.boe.es/gazeta/dias/1839/06/01/pdfs/GMD-1839-1659.pdf#page=1","Abrir facsímil")</f>
        <v>Abrir facsímil</v>
      </c>
      <c r="K10538" s="12" t="s">
        <v>65</v>
      </c>
    </row>
    <row r="10539" spans="1:11" ht="40.049999999999997" customHeight="1" x14ac:dyDescent="0.25">
      <c r="A10539" s="11" t="s">
        <v>20921</v>
      </c>
      <c r="B10539" s="11" t="s">
        <v>20922</v>
      </c>
      <c r="C10539" s="11" t="s">
        <v>17</v>
      </c>
      <c r="D10539" s="11" t="s">
        <v>18</v>
      </c>
      <c r="E10539" s="12" t="s">
        <v>834</v>
      </c>
      <c r="F10539" s="12" t="s">
        <v>835</v>
      </c>
      <c r="G10539" s="12" t="s">
        <v>21</v>
      </c>
      <c r="H10539" s="11" t="s">
        <v>22</v>
      </c>
      <c r="I10539" s="13" t="s">
        <v>20923</v>
      </c>
      <c r="J10539" s="14" t="str">
        <f>HYPERLINK("https://www.boe.es/gazeta/dias/1839/08/17/pdfs/GMD-1839-1737.pdf#page=4","Abrir facsímil")</f>
        <v>Abrir facsímil</v>
      </c>
      <c r="K10539" s="12" t="s">
        <v>24</v>
      </c>
    </row>
    <row r="10540" spans="1:11" ht="40.049999999999997" customHeight="1" x14ac:dyDescent="0.25">
      <c r="A10540" s="11" t="s">
        <v>20924</v>
      </c>
      <c r="B10540" s="11" t="s">
        <v>20924</v>
      </c>
      <c r="C10540" s="11" t="s">
        <v>17</v>
      </c>
      <c r="D10540" s="11" t="s">
        <v>18</v>
      </c>
      <c r="E10540" s="12" t="s">
        <v>1433</v>
      </c>
      <c r="F10540" s="12" t="s">
        <v>1434</v>
      </c>
      <c r="G10540" s="12" t="s">
        <v>46</v>
      </c>
      <c r="H10540" s="11" t="s">
        <v>22</v>
      </c>
      <c r="I10540" s="13" t="s">
        <v>20925</v>
      </c>
      <c r="J10540" s="14" t="str">
        <f>HYPERLINK("https://www.boe.es/gazeta/dias/1839/10/22/pdfs/GMD-1839-1808.pdf#page=3","Abrir facsímil")</f>
        <v>Abrir facsímil</v>
      </c>
      <c r="K10540" s="12" t="s">
        <v>24</v>
      </c>
    </row>
    <row r="10541" spans="1:11" ht="40.049999999999997" customHeight="1" x14ac:dyDescent="0.25">
      <c r="A10541" s="11" t="s">
        <v>20926</v>
      </c>
      <c r="B10541" s="11" t="s">
        <v>20927</v>
      </c>
      <c r="C10541" s="11" t="s">
        <v>17</v>
      </c>
      <c r="D10541" s="11" t="s">
        <v>18</v>
      </c>
      <c r="E10541" s="12" t="s">
        <v>1144</v>
      </c>
      <c r="F10541" s="12" t="s">
        <v>1145</v>
      </c>
      <c r="G10541" s="12" t="s">
        <v>40</v>
      </c>
      <c r="H10541" s="11" t="s">
        <v>63</v>
      </c>
      <c r="I10541" s="13" t="s">
        <v>20928</v>
      </c>
      <c r="J10541" s="14" t="str">
        <f>HYPERLINK("https://www.boe.es/gazeta/dias/1839/08/13/pdfs/GMD-1839-1733.pdf#page=2","Abrir facsímil")</f>
        <v>Abrir facsímil</v>
      </c>
      <c r="K10541" s="12" t="s">
        <v>65</v>
      </c>
    </row>
    <row r="10542" spans="1:11" ht="40.049999999999997" customHeight="1" x14ac:dyDescent="0.25">
      <c r="A10542" s="11" t="s">
        <v>20929</v>
      </c>
      <c r="B10542" s="11" t="s">
        <v>20930</v>
      </c>
      <c r="C10542" s="11" t="s">
        <v>137</v>
      </c>
      <c r="D10542" s="11" t="s">
        <v>18</v>
      </c>
      <c r="E10542" s="12" t="s">
        <v>4475</v>
      </c>
      <c r="F10542" s="12" t="s">
        <v>4476</v>
      </c>
      <c r="G10542" s="12" t="s">
        <v>21</v>
      </c>
      <c r="H10542" s="11" t="s">
        <v>63</v>
      </c>
      <c r="I10542" s="13" t="s">
        <v>20931</v>
      </c>
      <c r="J10542" s="14" t="str">
        <f>HYPERLINK("https://www.boe.es/gazeta/dias/1839/07/04/pdfs/GMD-1839-1692.pdf#page=4","Abrir facsímil")</f>
        <v>Abrir facsímil</v>
      </c>
      <c r="K10542" s="12" t="s">
        <v>65</v>
      </c>
    </row>
    <row r="10543" spans="1:11" ht="40.049999999999997" customHeight="1" x14ac:dyDescent="0.25">
      <c r="A10543" s="11" t="s">
        <v>20932</v>
      </c>
      <c r="B10543" s="11" t="s">
        <v>20932</v>
      </c>
      <c r="C10543" s="11" t="s">
        <v>17</v>
      </c>
      <c r="D10543" s="11" t="s">
        <v>18</v>
      </c>
      <c r="E10543" s="12" t="s">
        <v>369</v>
      </c>
      <c r="F10543" s="12" t="s">
        <v>370</v>
      </c>
      <c r="G10543" s="12" t="s">
        <v>40</v>
      </c>
      <c r="H10543" s="11" t="s">
        <v>22</v>
      </c>
      <c r="I10543" s="13" t="s">
        <v>20933</v>
      </c>
      <c r="J10543" s="14" t="str">
        <f>HYPERLINK("https://www.boe.es/gazeta/dias/1839/11/01/pdfs/GMD-1839-1818.pdf#page=2","Abrir facsímil")</f>
        <v>Abrir facsímil</v>
      </c>
      <c r="K10543" s="12" t="s">
        <v>24</v>
      </c>
    </row>
    <row r="10544" spans="1:11" ht="40.049999999999997" customHeight="1" x14ac:dyDescent="0.25">
      <c r="A10544" s="11" t="s">
        <v>20934</v>
      </c>
      <c r="B10544" s="11" t="s">
        <v>20934</v>
      </c>
      <c r="C10544" s="11" t="s">
        <v>17</v>
      </c>
      <c r="D10544" s="11" t="s">
        <v>18</v>
      </c>
      <c r="E10544" s="12" t="s">
        <v>779</v>
      </c>
      <c r="F10544" s="12" t="s">
        <v>780</v>
      </c>
      <c r="G10544" s="12" t="s">
        <v>40</v>
      </c>
      <c r="H10544" s="11" t="s">
        <v>63</v>
      </c>
      <c r="I10544" s="13" t="s">
        <v>20935</v>
      </c>
      <c r="J10544" s="14" t="str">
        <f>HYPERLINK("https://www.boe.es/gazeta/dias/1839/02/03/pdfs/GMD-1839-1541.pdf#page=2","Abrir facsímil")</f>
        <v>Abrir facsímil</v>
      </c>
      <c r="K10544" s="12" t="s">
        <v>65</v>
      </c>
    </row>
    <row r="10545" spans="1:11" ht="40.049999999999997" customHeight="1" x14ac:dyDescent="0.25">
      <c r="A10545" s="11" t="s">
        <v>20932</v>
      </c>
      <c r="B10545" s="11" t="s">
        <v>20932</v>
      </c>
      <c r="C10545" s="11" t="s">
        <v>17</v>
      </c>
      <c r="D10545" s="11" t="s">
        <v>18</v>
      </c>
      <c r="E10545" s="12" t="s">
        <v>779</v>
      </c>
      <c r="F10545" s="12" t="s">
        <v>780</v>
      </c>
      <c r="G10545" s="12" t="s">
        <v>46</v>
      </c>
      <c r="H10545" s="11" t="s">
        <v>22</v>
      </c>
      <c r="I10545" s="13" t="s">
        <v>20936</v>
      </c>
      <c r="J10545" s="14" t="str">
        <f>HYPERLINK("https://www.boe.es/gazeta/dias/1839/02/03/pdfs/GMD-1839-1541.pdf#page=3","Abrir facsímil")</f>
        <v>Abrir facsímil</v>
      </c>
      <c r="K10545" s="12" t="s">
        <v>24</v>
      </c>
    </row>
    <row r="10546" spans="1:11" ht="40.049999999999997" customHeight="1" x14ac:dyDescent="0.25">
      <c r="A10546" s="11" t="s">
        <v>20932</v>
      </c>
      <c r="B10546" s="11" t="s">
        <v>20932</v>
      </c>
      <c r="C10546" s="11" t="s">
        <v>101</v>
      </c>
      <c r="D10546" s="11" t="s">
        <v>43</v>
      </c>
      <c r="E10546" s="12" t="s">
        <v>54</v>
      </c>
      <c r="F10546" s="12" t="s">
        <v>55</v>
      </c>
      <c r="G10546" s="12" t="s">
        <v>40</v>
      </c>
      <c r="H10546" s="11" t="s">
        <v>22</v>
      </c>
      <c r="I10546" s="13" t="s">
        <v>20937</v>
      </c>
      <c r="J10546" s="14" t="str">
        <f>HYPERLINK("https://www.boe.es/gazeta/dias/1839/10/05/pdfs/GMD-1839-1791.pdf#page=2","Abrir facsímil")</f>
        <v>Abrir facsímil</v>
      </c>
      <c r="K10546" s="12" t="s">
        <v>24</v>
      </c>
    </row>
    <row r="10547" spans="1:11" ht="40.049999999999997" customHeight="1" x14ac:dyDescent="0.25">
      <c r="A10547" s="11" t="s">
        <v>20932</v>
      </c>
      <c r="B10547" s="11" t="s">
        <v>20932</v>
      </c>
      <c r="C10547" s="11" t="s">
        <v>17</v>
      </c>
      <c r="D10547" s="11" t="s">
        <v>18</v>
      </c>
      <c r="E10547" s="12" t="s">
        <v>54</v>
      </c>
      <c r="F10547" s="12" t="s">
        <v>55</v>
      </c>
      <c r="G10547" s="12" t="s">
        <v>46</v>
      </c>
      <c r="H10547" s="11" t="s">
        <v>22</v>
      </c>
      <c r="I10547" s="13" t="s">
        <v>20938</v>
      </c>
      <c r="J10547" s="14" t="str">
        <f>HYPERLINK("https://www.boe.es/gazeta/dias/1839/10/05/pdfs/GMD-1839-1791.pdf#page=3","Abrir facsímil")</f>
        <v>Abrir facsímil</v>
      </c>
      <c r="K10547" s="12" t="s">
        <v>24</v>
      </c>
    </row>
    <row r="10548" spans="1:11" ht="40.049999999999997" customHeight="1" x14ac:dyDescent="0.25">
      <c r="A10548" s="11" t="s">
        <v>20932</v>
      </c>
      <c r="B10548" s="11" t="s">
        <v>20932</v>
      </c>
      <c r="C10548" s="11" t="s">
        <v>17</v>
      </c>
      <c r="D10548" s="11" t="s">
        <v>18</v>
      </c>
      <c r="E10548" s="12" t="s">
        <v>2165</v>
      </c>
      <c r="F10548" s="12" t="s">
        <v>2166</v>
      </c>
      <c r="G10548" s="12" t="s">
        <v>46</v>
      </c>
      <c r="H10548" s="11" t="s">
        <v>22</v>
      </c>
      <c r="I10548" s="13" t="s">
        <v>20939</v>
      </c>
      <c r="J10548" s="14" t="str">
        <f>HYPERLINK("https://www.boe.es/gazeta/dias/1839/01/06/pdfs/GMD-1839-1513.pdf#page=3","Abrir facsímil")</f>
        <v>Abrir facsímil</v>
      </c>
      <c r="K10548" s="12" t="s">
        <v>24</v>
      </c>
    </row>
    <row r="10549" spans="1:11" ht="40.049999999999997" customHeight="1" x14ac:dyDescent="0.25">
      <c r="A10549" s="11" t="s">
        <v>20934</v>
      </c>
      <c r="B10549" s="11" t="s">
        <v>20934</v>
      </c>
      <c r="C10549" s="11" t="s">
        <v>137</v>
      </c>
      <c r="D10549" s="11" t="s">
        <v>18</v>
      </c>
      <c r="E10549" s="12" t="s">
        <v>303</v>
      </c>
      <c r="F10549" s="12" t="s">
        <v>304</v>
      </c>
      <c r="G10549" s="12" t="s">
        <v>40</v>
      </c>
      <c r="H10549" s="11" t="s">
        <v>63</v>
      </c>
      <c r="I10549" s="13" t="s">
        <v>20940</v>
      </c>
      <c r="J10549" s="14" t="str">
        <f>HYPERLINK("https://www.boe.es/gazeta/dias/1839/10/06/pdfs/GMD-1839-1792.pdf#page=2","Abrir facsímil")</f>
        <v>Abrir facsímil</v>
      </c>
      <c r="K10549" s="12" t="s">
        <v>65</v>
      </c>
    </row>
    <row r="10550" spans="1:11" ht="40.049999999999997" customHeight="1" x14ac:dyDescent="0.25">
      <c r="A10550" s="11" t="s">
        <v>20934</v>
      </c>
      <c r="B10550" s="11" t="s">
        <v>20934</v>
      </c>
      <c r="C10550" s="11" t="s">
        <v>101</v>
      </c>
      <c r="D10550" s="11" t="s">
        <v>43</v>
      </c>
      <c r="E10550" s="12" t="s">
        <v>303</v>
      </c>
      <c r="F10550" s="12" t="s">
        <v>304</v>
      </c>
      <c r="G10550" s="12" t="s">
        <v>21</v>
      </c>
      <c r="H10550" s="11" t="s">
        <v>63</v>
      </c>
      <c r="I10550" s="13" t="s">
        <v>20941</v>
      </c>
      <c r="J10550" s="14" t="str">
        <f>HYPERLINK("https://www.boe.es/gazeta/dias/1839/10/06/pdfs/GMD-1839-1792.pdf#page=4","Abrir facsímil")</f>
        <v>Abrir facsímil</v>
      </c>
      <c r="K10550" s="12" t="s">
        <v>65</v>
      </c>
    </row>
    <row r="10551" spans="1:11" ht="40.049999999999997" customHeight="1" x14ac:dyDescent="0.25">
      <c r="A10551" s="11" t="s">
        <v>20934</v>
      </c>
      <c r="B10551" s="11" t="s">
        <v>20934</v>
      </c>
      <c r="C10551" s="11" t="s">
        <v>137</v>
      </c>
      <c r="D10551" s="11" t="s">
        <v>18</v>
      </c>
      <c r="E10551" s="12" t="s">
        <v>1509</v>
      </c>
      <c r="F10551" s="12" t="s">
        <v>1510</v>
      </c>
      <c r="G10551" s="12" t="s">
        <v>46</v>
      </c>
      <c r="H10551" s="11" t="s">
        <v>63</v>
      </c>
      <c r="I10551" s="13" t="s">
        <v>20942</v>
      </c>
      <c r="J10551" s="14" t="str">
        <f>HYPERLINK("https://www.boe.es/gazeta/dias/1839/10/07/pdfs/GMD-1839-1793.pdf#page=3","Abrir facsímil")</f>
        <v>Abrir facsímil</v>
      </c>
      <c r="K10551" s="12" t="s">
        <v>65</v>
      </c>
    </row>
    <row r="10552" spans="1:11" ht="40.049999999999997" customHeight="1" x14ac:dyDescent="0.25">
      <c r="A10552" s="11" t="s">
        <v>20934</v>
      </c>
      <c r="B10552" s="11" t="s">
        <v>20934</v>
      </c>
      <c r="C10552" s="11" t="s">
        <v>17</v>
      </c>
      <c r="D10552" s="11" t="s">
        <v>18</v>
      </c>
      <c r="E10552" s="12" t="s">
        <v>804</v>
      </c>
      <c r="F10552" s="12" t="s">
        <v>805</v>
      </c>
      <c r="G10552" s="12" t="s">
        <v>46</v>
      </c>
      <c r="H10552" s="11" t="s">
        <v>63</v>
      </c>
      <c r="I10552" s="13" t="s">
        <v>20943</v>
      </c>
      <c r="J10552" s="14" t="str">
        <f>HYPERLINK("https://www.boe.es/gazeta/dias/1839/01/08/pdfs/GMD-1839-1515.pdf#page=3","Abrir facsímil")</f>
        <v>Abrir facsímil</v>
      </c>
      <c r="K10552" s="12" t="s">
        <v>65</v>
      </c>
    </row>
    <row r="10553" spans="1:11" ht="40.049999999999997" customHeight="1" x14ac:dyDescent="0.25">
      <c r="A10553" s="11" t="s">
        <v>20932</v>
      </c>
      <c r="B10553" s="11" t="s">
        <v>20932</v>
      </c>
      <c r="C10553" s="11" t="s">
        <v>17</v>
      </c>
      <c r="D10553" s="11" t="s">
        <v>18</v>
      </c>
      <c r="E10553" s="12" t="s">
        <v>647</v>
      </c>
      <c r="F10553" s="12" t="s">
        <v>648</v>
      </c>
      <c r="G10553" s="12" t="s">
        <v>46</v>
      </c>
      <c r="H10553" s="11" t="s">
        <v>22</v>
      </c>
      <c r="I10553" s="13" t="s">
        <v>20944</v>
      </c>
      <c r="J10553" s="14" t="str">
        <f>HYPERLINK("https://www.boe.es/gazeta/dias/1839/10/08/pdfs/GMD-1839-1794.pdf#page=3","Abrir facsímil")</f>
        <v>Abrir facsímil</v>
      </c>
      <c r="K10553" s="12" t="s">
        <v>24</v>
      </c>
    </row>
    <row r="10554" spans="1:11" ht="40.049999999999997" customHeight="1" x14ac:dyDescent="0.25">
      <c r="A10554" s="11" t="s">
        <v>20934</v>
      </c>
      <c r="B10554" s="11" t="s">
        <v>20934</v>
      </c>
      <c r="C10554" s="11" t="s">
        <v>17</v>
      </c>
      <c r="D10554" s="11" t="s">
        <v>18</v>
      </c>
      <c r="E10554" s="12" t="s">
        <v>68</v>
      </c>
      <c r="F10554" s="12" t="s">
        <v>69</v>
      </c>
      <c r="G10554" s="12" t="s">
        <v>40</v>
      </c>
      <c r="H10554" s="11" t="s">
        <v>63</v>
      </c>
      <c r="I10554" s="13" t="s">
        <v>20945</v>
      </c>
      <c r="J10554" s="14" t="str">
        <f>HYPERLINK("https://www.boe.es/gazeta/dias/1839/02/09/pdfs/GMD-1839-1547.pdf#page=2","Abrir facsímil")</f>
        <v>Abrir facsímil</v>
      </c>
      <c r="K10554" s="12" t="s">
        <v>65</v>
      </c>
    </row>
    <row r="10555" spans="1:11" ht="40.049999999999997" customHeight="1" x14ac:dyDescent="0.25">
      <c r="A10555" s="11" t="s">
        <v>20934</v>
      </c>
      <c r="B10555" s="11" t="s">
        <v>20934</v>
      </c>
      <c r="C10555" s="11" t="s">
        <v>17</v>
      </c>
      <c r="D10555" s="11" t="s">
        <v>18</v>
      </c>
      <c r="E10555" s="12" t="s">
        <v>1366</v>
      </c>
      <c r="F10555" s="12" t="s">
        <v>1367</v>
      </c>
      <c r="G10555" s="12" t="s">
        <v>40</v>
      </c>
      <c r="H10555" s="11" t="s">
        <v>63</v>
      </c>
      <c r="I10555" s="13" t="s">
        <v>20946</v>
      </c>
      <c r="J10555" s="14" t="str">
        <f>HYPERLINK("https://www.boe.es/gazeta/dias/1839/09/09/pdfs/GMD-1839-1762.pdf#page=2","Abrir facsímil")</f>
        <v>Abrir facsímil</v>
      </c>
      <c r="K10555" s="12" t="s">
        <v>65</v>
      </c>
    </row>
    <row r="10556" spans="1:11" ht="40.049999999999997" customHeight="1" x14ac:dyDescent="0.25">
      <c r="A10556" s="11" t="s">
        <v>20934</v>
      </c>
      <c r="B10556" s="11" t="s">
        <v>20934</v>
      </c>
      <c r="C10556" s="11" t="s">
        <v>137</v>
      </c>
      <c r="D10556" s="11" t="s">
        <v>18</v>
      </c>
      <c r="E10556" s="12" t="s">
        <v>1366</v>
      </c>
      <c r="F10556" s="12" t="s">
        <v>1367</v>
      </c>
      <c r="G10556" s="12" t="s">
        <v>46</v>
      </c>
      <c r="H10556" s="11" t="s">
        <v>63</v>
      </c>
      <c r="I10556" s="13" t="s">
        <v>20947</v>
      </c>
      <c r="J10556" s="14" t="str">
        <f>HYPERLINK("https://www.boe.es/gazeta/dias/1839/09/09/pdfs/GMD-1839-1762.pdf#page=3","Abrir facsímil")</f>
        <v>Abrir facsímil</v>
      </c>
      <c r="K10556" s="12" t="s">
        <v>65</v>
      </c>
    </row>
    <row r="10557" spans="1:11" ht="40.049999999999997" customHeight="1" x14ac:dyDescent="0.25">
      <c r="A10557" s="11" t="s">
        <v>20932</v>
      </c>
      <c r="B10557" s="11" t="s">
        <v>20932</v>
      </c>
      <c r="C10557" s="11" t="s">
        <v>17</v>
      </c>
      <c r="D10557" s="11" t="s">
        <v>18</v>
      </c>
      <c r="E10557" s="12" t="s">
        <v>160</v>
      </c>
      <c r="F10557" s="12" t="s">
        <v>161</v>
      </c>
      <c r="G10557" s="12" t="s">
        <v>40</v>
      </c>
      <c r="H10557" s="11" t="s">
        <v>22</v>
      </c>
      <c r="I10557" s="13" t="s">
        <v>20948</v>
      </c>
      <c r="J10557" s="14" t="str">
        <f>HYPERLINK("https://www.boe.es/gazeta/dias/1839/01/10/pdfs/GMD-1839-1517.pdf#page=2","Abrir facsímil")</f>
        <v>Abrir facsímil</v>
      </c>
      <c r="K10557" s="12" t="s">
        <v>24</v>
      </c>
    </row>
    <row r="10558" spans="1:11" ht="40.049999999999997" customHeight="1" x14ac:dyDescent="0.25">
      <c r="A10558" s="11" t="s">
        <v>20934</v>
      </c>
      <c r="B10558" s="11" t="s">
        <v>20934</v>
      </c>
      <c r="C10558" s="11" t="s">
        <v>101</v>
      </c>
      <c r="D10558" s="11" t="s">
        <v>102</v>
      </c>
      <c r="E10558" s="12" t="s">
        <v>1123</v>
      </c>
      <c r="F10558" s="12" t="s">
        <v>1124</v>
      </c>
      <c r="G10558" s="12" t="s">
        <v>46</v>
      </c>
      <c r="H10558" s="11" t="s">
        <v>63</v>
      </c>
      <c r="I10558" s="13" t="s">
        <v>20949</v>
      </c>
      <c r="J10558" s="14" t="str">
        <f>HYPERLINK("https://www.boe.es/gazeta/dias/1839/08/10/pdfs/GMD-1839-1730.pdf#page=3","Abrir facsímil")</f>
        <v>Abrir facsímil</v>
      </c>
      <c r="K10558" s="12" t="s">
        <v>65</v>
      </c>
    </row>
    <row r="10559" spans="1:11" ht="40.049999999999997" customHeight="1" x14ac:dyDescent="0.25">
      <c r="A10559" s="11" t="s">
        <v>20932</v>
      </c>
      <c r="B10559" s="11" t="s">
        <v>20932</v>
      </c>
      <c r="C10559" s="11" t="s">
        <v>17</v>
      </c>
      <c r="D10559" s="11" t="s">
        <v>18</v>
      </c>
      <c r="E10559" s="12" t="s">
        <v>61</v>
      </c>
      <c r="F10559" s="12" t="s">
        <v>62</v>
      </c>
      <c r="G10559" s="12" t="s">
        <v>29</v>
      </c>
      <c r="H10559" s="11" t="s">
        <v>22</v>
      </c>
      <c r="I10559" s="13" t="s">
        <v>20950</v>
      </c>
      <c r="J10559" s="14" t="str">
        <f>HYPERLINK("https://www.boe.es/gazeta/dias/1839/09/10/pdfs/GMD-1839-1763.pdf#page=1","Abrir facsímil")</f>
        <v>Abrir facsímil</v>
      </c>
      <c r="K10559" s="12" t="s">
        <v>24</v>
      </c>
    </row>
    <row r="10560" spans="1:11" ht="40.049999999999997" customHeight="1" x14ac:dyDescent="0.25">
      <c r="A10560" s="11" t="s">
        <v>20934</v>
      </c>
      <c r="B10560" s="11" t="s">
        <v>20934</v>
      </c>
      <c r="C10560" s="11" t="s">
        <v>17</v>
      </c>
      <c r="D10560" s="11" t="s">
        <v>18</v>
      </c>
      <c r="E10560" s="12" t="s">
        <v>61</v>
      </c>
      <c r="F10560" s="12" t="s">
        <v>62</v>
      </c>
      <c r="G10560" s="12" t="s">
        <v>46</v>
      </c>
      <c r="H10560" s="11" t="s">
        <v>63</v>
      </c>
      <c r="I10560" s="13" t="s">
        <v>20951</v>
      </c>
      <c r="J10560" s="14" t="str">
        <f>HYPERLINK("https://www.boe.es/gazeta/dias/1839/09/10/pdfs/GMD-1839-1763.pdf#page=3","Abrir facsímil")</f>
        <v>Abrir facsímil</v>
      </c>
      <c r="K10560" s="12" t="s">
        <v>65</v>
      </c>
    </row>
    <row r="10561" spans="1:11" ht="40.049999999999997" customHeight="1" x14ac:dyDescent="0.25">
      <c r="A10561" s="11" t="s">
        <v>20934</v>
      </c>
      <c r="B10561" s="11" t="s">
        <v>20934</v>
      </c>
      <c r="C10561" s="11" t="s">
        <v>101</v>
      </c>
      <c r="D10561" s="11" t="s">
        <v>43</v>
      </c>
      <c r="E10561" s="12" t="s">
        <v>561</v>
      </c>
      <c r="F10561" s="12" t="s">
        <v>562</v>
      </c>
      <c r="G10561" s="12" t="s">
        <v>40</v>
      </c>
      <c r="H10561" s="11" t="s">
        <v>63</v>
      </c>
      <c r="I10561" s="13" t="s">
        <v>20952</v>
      </c>
      <c r="J10561" s="14" t="str">
        <f>HYPERLINK("https://www.boe.es/gazeta/dias/1839/09/11/pdfs/GMD-1839-1764.pdf#page=2","Abrir facsímil")</f>
        <v>Abrir facsímil</v>
      </c>
      <c r="K10561" s="12" t="s">
        <v>65</v>
      </c>
    </row>
    <row r="10562" spans="1:11" ht="40.049999999999997" customHeight="1" x14ac:dyDescent="0.25">
      <c r="A10562" s="11" t="s">
        <v>20934</v>
      </c>
      <c r="B10562" s="11" t="s">
        <v>20934</v>
      </c>
      <c r="C10562" s="11" t="s">
        <v>17</v>
      </c>
      <c r="D10562" s="11" t="s">
        <v>18</v>
      </c>
      <c r="E10562" s="12" t="s">
        <v>561</v>
      </c>
      <c r="F10562" s="12" t="s">
        <v>562</v>
      </c>
      <c r="G10562" s="12" t="s">
        <v>46</v>
      </c>
      <c r="H10562" s="11" t="s">
        <v>63</v>
      </c>
      <c r="I10562" s="13" t="s">
        <v>20953</v>
      </c>
      <c r="J10562" s="14" t="str">
        <f>HYPERLINK("https://www.boe.es/gazeta/dias/1839/09/11/pdfs/GMD-1839-1764.pdf#page=3","Abrir facsímil")</f>
        <v>Abrir facsímil</v>
      </c>
      <c r="K10562" s="12" t="s">
        <v>65</v>
      </c>
    </row>
    <row r="10563" spans="1:11" ht="40.049999999999997" customHeight="1" x14ac:dyDescent="0.25">
      <c r="A10563" s="11" t="s">
        <v>20932</v>
      </c>
      <c r="B10563" s="11" t="s">
        <v>20932</v>
      </c>
      <c r="C10563" s="11" t="s">
        <v>80</v>
      </c>
      <c r="D10563" s="11" t="s">
        <v>173</v>
      </c>
      <c r="E10563" s="12" t="s">
        <v>19</v>
      </c>
      <c r="F10563" s="12" t="s">
        <v>20</v>
      </c>
      <c r="G10563" s="12" t="s">
        <v>21</v>
      </c>
      <c r="H10563" s="11" t="s">
        <v>22</v>
      </c>
      <c r="I10563" s="13" t="s">
        <v>20954</v>
      </c>
      <c r="J10563" s="14" t="str">
        <f>HYPERLINK("https://www.boe.es/gazeta/dias/1839/01/19/pdfs/GMD-1839-1526.pdf#page=4","Abrir facsímil")</f>
        <v>Abrir facsímil</v>
      </c>
      <c r="K10563" s="12" t="s">
        <v>24</v>
      </c>
    </row>
    <row r="10564" spans="1:11" ht="40.049999999999997" customHeight="1" x14ac:dyDescent="0.25">
      <c r="A10564" s="11" t="s">
        <v>20932</v>
      </c>
      <c r="B10564" s="11" t="s">
        <v>20932</v>
      </c>
      <c r="C10564" s="11" t="s">
        <v>101</v>
      </c>
      <c r="D10564" s="11" t="s">
        <v>43</v>
      </c>
      <c r="E10564" s="12" t="s">
        <v>2222</v>
      </c>
      <c r="F10564" s="12" t="s">
        <v>2223</v>
      </c>
      <c r="G10564" s="12" t="s">
        <v>46</v>
      </c>
      <c r="H10564" s="11" t="s">
        <v>22</v>
      </c>
      <c r="I10564" s="13" t="s">
        <v>20955</v>
      </c>
      <c r="J10564" s="14" t="str">
        <f>HYPERLINK("https://www.boe.es/gazeta/dias/1839/09/19/pdfs/GMD-1839-1773.pdf#page=3","Abrir facsímil")</f>
        <v>Abrir facsímil</v>
      </c>
      <c r="K10564" s="12" t="s">
        <v>24</v>
      </c>
    </row>
    <row r="10565" spans="1:11" ht="40.049999999999997" customHeight="1" x14ac:dyDescent="0.25">
      <c r="A10565" s="11" t="s">
        <v>20934</v>
      </c>
      <c r="B10565" s="11" t="s">
        <v>20934</v>
      </c>
      <c r="C10565" s="11" t="s">
        <v>17</v>
      </c>
      <c r="D10565" s="11" t="s">
        <v>18</v>
      </c>
      <c r="E10565" s="12" t="s">
        <v>433</v>
      </c>
      <c r="F10565" s="12" t="s">
        <v>434</v>
      </c>
      <c r="G10565" s="12" t="s">
        <v>46</v>
      </c>
      <c r="H10565" s="11" t="s">
        <v>63</v>
      </c>
      <c r="I10565" s="13" t="s">
        <v>20956</v>
      </c>
      <c r="J10565" s="14" t="str">
        <f>HYPERLINK("https://www.boe.es/gazeta/dias/1839/01/20/pdfs/GMD-1839-1527.pdf#page=3","Abrir facsímil")</f>
        <v>Abrir facsímil</v>
      </c>
      <c r="K10565" s="12" t="s">
        <v>65</v>
      </c>
    </row>
    <row r="10566" spans="1:11" ht="40.049999999999997" customHeight="1" x14ac:dyDescent="0.25">
      <c r="A10566" s="11" t="s">
        <v>20932</v>
      </c>
      <c r="B10566" s="11" t="s">
        <v>20932</v>
      </c>
      <c r="C10566" s="11" t="s">
        <v>17</v>
      </c>
      <c r="D10566" s="11" t="s">
        <v>18</v>
      </c>
      <c r="E10566" s="12" t="s">
        <v>2069</v>
      </c>
      <c r="F10566" s="12" t="s">
        <v>2070</v>
      </c>
      <c r="G10566" s="12" t="s">
        <v>566</v>
      </c>
      <c r="H10566" s="11" t="s">
        <v>22</v>
      </c>
      <c r="I10566" s="13" t="s">
        <v>20957</v>
      </c>
      <c r="J10566" s="14" t="str">
        <f>HYPERLINK("https://www.boe.es/gazeta/dias/1839/10/20/pdfs/GMD-1839-1806.pdf#page=5","Abrir facsímil")</f>
        <v>Abrir facsímil</v>
      </c>
      <c r="K10566" s="12" t="s">
        <v>24</v>
      </c>
    </row>
    <row r="10567" spans="1:11" ht="40.049999999999997" customHeight="1" x14ac:dyDescent="0.25">
      <c r="A10567" s="11" t="s">
        <v>20932</v>
      </c>
      <c r="B10567" s="11" t="s">
        <v>20932</v>
      </c>
      <c r="C10567" s="11" t="s">
        <v>80</v>
      </c>
      <c r="D10567" s="11" t="s">
        <v>18</v>
      </c>
      <c r="E10567" s="12" t="s">
        <v>794</v>
      </c>
      <c r="F10567" s="12" t="s">
        <v>795</v>
      </c>
      <c r="G10567" s="12" t="s">
        <v>21</v>
      </c>
      <c r="H10567" s="11" t="s">
        <v>22</v>
      </c>
      <c r="I10567" s="13" t="s">
        <v>20958</v>
      </c>
      <c r="J10567" s="14" t="str">
        <f>HYPERLINK("https://www.boe.es/gazeta/dias/1839/01/22/pdfs/GMD-1839-1529.pdf#page=4","Abrir facsímil")</f>
        <v>Abrir facsímil</v>
      </c>
      <c r="K10567" s="12" t="s">
        <v>24</v>
      </c>
    </row>
    <row r="10568" spans="1:11" ht="40.049999999999997" customHeight="1" x14ac:dyDescent="0.25">
      <c r="A10568" s="11" t="s">
        <v>20934</v>
      </c>
      <c r="B10568" s="11" t="s">
        <v>20934</v>
      </c>
      <c r="C10568" s="11" t="s">
        <v>17</v>
      </c>
      <c r="D10568" s="11" t="s">
        <v>18</v>
      </c>
      <c r="E10568" s="12" t="s">
        <v>1433</v>
      </c>
      <c r="F10568" s="12" t="s">
        <v>1434</v>
      </c>
      <c r="G10568" s="12" t="s">
        <v>21</v>
      </c>
      <c r="H10568" s="11" t="s">
        <v>63</v>
      </c>
      <c r="I10568" s="13" t="s">
        <v>20959</v>
      </c>
      <c r="J10568" s="14" t="str">
        <f>HYPERLINK("https://www.boe.es/gazeta/dias/1839/10/22/pdfs/GMD-1839-1808.pdf#page=4","Abrir facsímil")</f>
        <v>Abrir facsímil</v>
      </c>
      <c r="K10568" s="12" t="s">
        <v>65</v>
      </c>
    </row>
    <row r="10569" spans="1:11" ht="40.049999999999997" customHeight="1" x14ac:dyDescent="0.25">
      <c r="A10569" s="11" t="s">
        <v>20934</v>
      </c>
      <c r="B10569" s="11" t="s">
        <v>20934</v>
      </c>
      <c r="C10569" s="11" t="s">
        <v>17</v>
      </c>
      <c r="D10569" s="11" t="s">
        <v>18</v>
      </c>
      <c r="E10569" s="12" t="s">
        <v>926</v>
      </c>
      <c r="F10569" s="12" t="s">
        <v>927</v>
      </c>
      <c r="G10569" s="12" t="s">
        <v>21</v>
      </c>
      <c r="H10569" s="11" t="s">
        <v>63</v>
      </c>
      <c r="I10569" s="13" t="s">
        <v>20960</v>
      </c>
      <c r="J10569" s="14" t="str">
        <f>HYPERLINK("https://www.boe.es/gazeta/dias/1839/01/25/pdfs/GMD-1839-1532.pdf#page=4","Abrir facsímil")</f>
        <v>Abrir facsímil</v>
      </c>
      <c r="K10569" s="12" t="s">
        <v>65</v>
      </c>
    </row>
    <row r="10570" spans="1:11" ht="40.049999999999997" customHeight="1" x14ac:dyDescent="0.25">
      <c r="A10570" s="11" t="s">
        <v>20934</v>
      </c>
      <c r="B10570" s="11" t="s">
        <v>20934</v>
      </c>
      <c r="C10570" s="11" t="s">
        <v>59</v>
      </c>
      <c r="D10570" s="11" t="s">
        <v>60</v>
      </c>
      <c r="E10570" s="12" t="s">
        <v>826</v>
      </c>
      <c r="F10570" s="12" t="s">
        <v>827</v>
      </c>
      <c r="G10570" s="12" t="s">
        <v>21</v>
      </c>
      <c r="H10570" s="11" t="s">
        <v>63</v>
      </c>
      <c r="I10570" s="13" t="s">
        <v>20961</v>
      </c>
      <c r="J10570" s="14" t="str">
        <f>HYPERLINK("https://www.boe.es/gazeta/dias/1839/09/25/pdfs/GMD-1839-1781.pdf#page=4","Abrir facsímil")</f>
        <v>Abrir facsímil</v>
      </c>
      <c r="K10570" s="12" t="s">
        <v>65</v>
      </c>
    </row>
    <row r="10571" spans="1:11" ht="40.049999999999997" customHeight="1" x14ac:dyDescent="0.25">
      <c r="A10571" s="11" t="s">
        <v>20934</v>
      </c>
      <c r="B10571" s="11" t="s">
        <v>20934</v>
      </c>
      <c r="C10571" s="11" t="s">
        <v>17</v>
      </c>
      <c r="D10571" s="11" t="s">
        <v>18</v>
      </c>
      <c r="E10571" s="12" t="s">
        <v>723</v>
      </c>
      <c r="F10571" s="12" t="s">
        <v>724</v>
      </c>
      <c r="G10571" s="12" t="s">
        <v>46</v>
      </c>
      <c r="H10571" s="11" t="s">
        <v>63</v>
      </c>
      <c r="I10571" s="13" t="s">
        <v>20962</v>
      </c>
      <c r="J10571" s="14" t="str">
        <f>HYPERLINK("https://www.boe.es/gazeta/dias/1839/09/26/pdfs/GMD-1839-1782.pdf#page=3","Abrir facsímil")</f>
        <v>Abrir facsímil</v>
      </c>
      <c r="K10571" s="12" t="s">
        <v>65</v>
      </c>
    </row>
    <row r="10572" spans="1:11" ht="40.049999999999997" customHeight="1" x14ac:dyDescent="0.25">
      <c r="A10572" s="11" t="s">
        <v>20932</v>
      </c>
      <c r="B10572" s="11" t="s">
        <v>20932</v>
      </c>
      <c r="C10572" s="11" t="s">
        <v>17</v>
      </c>
      <c r="D10572" s="11" t="s">
        <v>18</v>
      </c>
      <c r="E10572" s="12" t="s">
        <v>571</v>
      </c>
      <c r="F10572" s="12" t="s">
        <v>572</v>
      </c>
      <c r="G10572" s="12" t="s">
        <v>46</v>
      </c>
      <c r="H10572" s="11" t="s">
        <v>22</v>
      </c>
      <c r="I10572" s="13" t="s">
        <v>20963</v>
      </c>
      <c r="J10572" s="14" t="str">
        <f>HYPERLINK("https://www.boe.es/gazeta/dias/1839/09/27/pdfs/GMD-1839-1783.pdf#page=3","Abrir facsímil")</f>
        <v>Abrir facsímil</v>
      </c>
      <c r="K10572" s="12" t="s">
        <v>24</v>
      </c>
    </row>
    <row r="10573" spans="1:11" ht="40.049999999999997" customHeight="1" x14ac:dyDescent="0.25">
      <c r="A10573" s="11" t="s">
        <v>20934</v>
      </c>
      <c r="B10573" s="11" t="s">
        <v>20934</v>
      </c>
      <c r="C10573" s="11" t="s">
        <v>59</v>
      </c>
      <c r="D10573" s="11" t="s">
        <v>60</v>
      </c>
      <c r="E10573" s="12" t="s">
        <v>1807</v>
      </c>
      <c r="F10573" s="12" t="s">
        <v>1808</v>
      </c>
      <c r="G10573" s="12" t="s">
        <v>46</v>
      </c>
      <c r="H10573" s="11" t="s">
        <v>63</v>
      </c>
      <c r="I10573" s="13" t="s">
        <v>20964</v>
      </c>
      <c r="J10573" s="14" t="str">
        <f>HYPERLINK("https://www.boe.es/gazeta/dias/1839/01/29/pdfs/GMD-1839-1536.pdf#page=3","Abrir facsímil")</f>
        <v>Abrir facsímil</v>
      </c>
      <c r="K10573" s="12" t="s">
        <v>65</v>
      </c>
    </row>
    <row r="10574" spans="1:11" ht="40.049999999999997" customHeight="1" x14ac:dyDescent="0.25">
      <c r="A10574" s="11" t="s">
        <v>20965</v>
      </c>
      <c r="B10574" s="11" t="s">
        <v>20966</v>
      </c>
      <c r="C10574" s="11" t="s">
        <v>80</v>
      </c>
      <c r="D10574" s="11" t="s">
        <v>18</v>
      </c>
      <c r="E10574" s="12" t="s">
        <v>1123</v>
      </c>
      <c r="F10574" s="12" t="s">
        <v>1124</v>
      </c>
      <c r="G10574" s="12" t="s">
        <v>46</v>
      </c>
      <c r="H10574" s="11" t="s">
        <v>63</v>
      </c>
      <c r="I10574" s="13" t="s">
        <v>20967</v>
      </c>
      <c r="J10574" s="14" t="str">
        <f>HYPERLINK("https://www.boe.es/gazeta/dias/1839/08/10/pdfs/GMD-1839-1730.pdf#page=3","Abrir facsímil")</f>
        <v>Abrir facsímil</v>
      </c>
      <c r="K10574" s="12" t="s">
        <v>65</v>
      </c>
    </row>
    <row r="10575" spans="1:11" ht="40.049999999999997" customHeight="1" x14ac:dyDescent="0.25">
      <c r="A10575" s="11" t="s">
        <v>20965</v>
      </c>
      <c r="B10575" s="11" t="s">
        <v>20966</v>
      </c>
      <c r="C10575" s="11" t="s">
        <v>17</v>
      </c>
      <c r="D10575" s="11" t="s">
        <v>18</v>
      </c>
      <c r="E10575" s="12" t="s">
        <v>474</v>
      </c>
      <c r="F10575" s="12" t="s">
        <v>475</v>
      </c>
      <c r="G10575" s="12" t="s">
        <v>21</v>
      </c>
      <c r="H10575" s="11" t="s">
        <v>63</v>
      </c>
      <c r="I10575" s="13" t="s">
        <v>20968</v>
      </c>
      <c r="J10575" s="14" t="str">
        <f>HYPERLINK("https://www.boe.es/gazeta/dias/1839/03/31/pdfs/GMD-1839-1597.pdf#page=4","Abrir facsímil")</f>
        <v>Abrir facsímil</v>
      </c>
      <c r="K10575" s="12" t="s">
        <v>65</v>
      </c>
    </row>
    <row r="10576" spans="1:11" ht="40.049999999999997" customHeight="1" x14ac:dyDescent="0.25">
      <c r="A10576" s="11" t="s">
        <v>20969</v>
      </c>
      <c r="B10576" s="11" t="s">
        <v>20969</v>
      </c>
      <c r="C10576" s="11" t="s">
        <v>17</v>
      </c>
      <c r="D10576" s="11" t="s">
        <v>18</v>
      </c>
      <c r="E10576" s="12" t="s">
        <v>61</v>
      </c>
      <c r="F10576" s="12" t="s">
        <v>62</v>
      </c>
      <c r="G10576" s="12" t="s">
        <v>46</v>
      </c>
      <c r="H10576" s="11" t="s">
        <v>22</v>
      </c>
      <c r="I10576" s="13" t="s">
        <v>20970</v>
      </c>
      <c r="J10576" s="14" t="str">
        <f>HYPERLINK("https://www.boe.es/gazeta/dias/1839/09/10/pdfs/GMD-1839-1763.pdf#page=3","Abrir facsímil")</f>
        <v>Abrir facsímil</v>
      </c>
      <c r="K10576" s="12" t="s">
        <v>24</v>
      </c>
    </row>
    <row r="10577" spans="1:11" ht="40.049999999999997" customHeight="1" x14ac:dyDescent="0.25">
      <c r="A10577" s="11" t="s">
        <v>20971</v>
      </c>
      <c r="B10577" s="11" t="s">
        <v>20971</v>
      </c>
      <c r="C10577" s="11" t="s">
        <v>17</v>
      </c>
      <c r="D10577" s="11" t="s">
        <v>18</v>
      </c>
      <c r="E10577" s="12" t="s">
        <v>385</v>
      </c>
      <c r="F10577" s="12" t="s">
        <v>386</v>
      </c>
      <c r="G10577" s="12" t="s">
        <v>40</v>
      </c>
      <c r="H10577" s="11" t="s">
        <v>63</v>
      </c>
      <c r="I10577" s="13" t="s">
        <v>20972</v>
      </c>
      <c r="J10577" s="14" t="str">
        <f>HYPERLINK("https://www.boe.es/gazeta/dias/1839/08/01/pdfs/GMD-1839-1721.pdf#page=2","Abrir facsímil")</f>
        <v>Abrir facsímil</v>
      </c>
      <c r="K10577" s="12" t="s">
        <v>65</v>
      </c>
    </row>
    <row r="10578" spans="1:11" ht="40.049999999999997" customHeight="1" x14ac:dyDescent="0.25">
      <c r="A10578" s="11" t="s">
        <v>20971</v>
      </c>
      <c r="B10578" s="11" t="s">
        <v>20971</v>
      </c>
      <c r="C10578" s="11" t="s">
        <v>17</v>
      </c>
      <c r="D10578" s="11" t="s">
        <v>18</v>
      </c>
      <c r="E10578" s="12" t="s">
        <v>587</v>
      </c>
      <c r="F10578" s="12" t="s">
        <v>588</v>
      </c>
      <c r="G10578" s="12" t="s">
        <v>46</v>
      </c>
      <c r="H10578" s="11" t="s">
        <v>63</v>
      </c>
      <c r="I10578" s="13" t="s">
        <v>20973</v>
      </c>
      <c r="J10578" s="14" t="str">
        <f>HYPERLINK("https://www.boe.es/gazeta/dias/1839/05/02/pdfs/GMD-1839-1629.pdf#page=3","Abrir facsímil")</f>
        <v>Abrir facsímil</v>
      </c>
      <c r="K10578" s="12" t="s">
        <v>65</v>
      </c>
    </row>
    <row r="10579" spans="1:11" ht="40.049999999999997" customHeight="1" x14ac:dyDescent="0.25">
      <c r="A10579" s="11" t="s">
        <v>20971</v>
      </c>
      <c r="B10579" s="11" t="s">
        <v>20971</v>
      </c>
      <c r="C10579" s="11" t="s">
        <v>17</v>
      </c>
      <c r="D10579" s="11" t="s">
        <v>18</v>
      </c>
      <c r="E10579" s="12" t="s">
        <v>1509</v>
      </c>
      <c r="F10579" s="12" t="s">
        <v>1510</v>
      </c>
      <c r="G10579" s="12" t="s">
        <v>305</v>
      </c>
      <c r="H10579" s="11" t="s">
        <v>63</v>
      </c>
      <c r="I10579" s="13" t="s">
        <v>20974</v>
      </c>
      <c r="J10579" s="14" t="str">
        <f>HYPERLINK("https://www.boe.es/gazeta/dias/1839/10/07/pdfs/GMD-1839-1793.pdf#page=6","Abrir facsímil")</f>
        <v>Abrir facsímil</v>
      </c>
      <c r="K10579" s="12" t="s">
        <v>65</v>
      </c>
    </row>
    <row r="10580" spans="1:11" ht="40.049999999999997" customHeight="1" x14ac:dyDescent="0.25">
      <c r="A10580" s="11" t="s">
        <v>20971</v>
      </c>
      <c r="B10580" s="11" t="s">
        <v>20971</v>
      </c>
      <c r="C10580" s="11" t="s">
        <v>80</v>
      </c>
      <c r="D10580" s="11" t="s">
        <v>18</v>
      </c>
      <c r="E10580" s="12" t="s">
        <v>360</v>
      </c>
      <c r="F10580" s="12" t="s">
        <v>361</v>
      </c>
      <c r="G10580" s="12" t="s">
        <v>21</v>
      </c>
      <c r="H10580" s="11" t="s">
        <v>63</v>
      </c>
      <c r="I10580" s="13" t="s">
        <v>20975</v>
      </c>
      <c r="J10580" s="14" t="str">
        <f>HYPERLINK("https://www.boe.es/gazeta/dias/1839/08/22/pdfs/GMD-1839-1743.pdf#page=4","Abrir facsímil")</f>
        <v>Abrir facsímil</v>
      </c>
      <c r="K10580" s="12" t="s">
        <v>65</v>
      </c>
    </row>
    <row r="10581" spans="1:11" ht="40.049999999999997" customHeight="1" x14ac:dyDescent="0.25">
      <c r="A10581" s="11" t="s">
        <v>20976</v>
      </c>
      <c r="B10581" s="11" t="s">
        <v>20977</v>
      </c>
      <c r="C10581" s="11" t="s">
        <v>17</v>
      </c>
      <c r="D10581" s="11" t="s">
        <v>18</v>
      </c>
      <c r="E10581" s="12" t="s">
        <v>2658</v>
      </c>
      <c r="F10581" s="12" t="s">
        <v>2659</v>
      </c>
      <c r="G10581" s="12" t="s">
        <v>46</v>
      </c>
      <c r="H10581" s="11" t="s">
        <v>63</v>
      </c>
      <c r="I10581" s="13" t="s">
        <v>20978</v>
      </c>
      <c r="J10581" s="14" t="str">
        <f>HYPERLINK("https://www.boe.es/gazeta/dias/1839/06/27/pdfs/GMD-1839-1685.pdf#page=3","Abrir facsímil")</f>
        <v>Abrir facsímil</v>
      </c>
      <c r="K10581" s="12" t="s">
        <v>65</v>
      </c>
    </row>
    <row r="10582" spans="1:11" ht="40.049999999999997" customHeight="1" x14ac:dyDescent="0.25">
      <c r="A10582" s="11" t="s">
        <v>20979</v>
      </c>
      <c r="B10582" s="11" t="s">
        <v>20980</v>
      </c>
      <c r="C10582" s="11" t="s">
        <v>17</v>
      </c>
      <c r="D10582" s="11" t="s">
        <v>18</v>
      </c>
      <c r="E10582" s="12" t="s">
        <v>496</v>
      </c>
      <c r="F10582" s="12" t="s">
        <v>497</v>
      </c>
      <c r="G10582" s="12" t="s">
        <v>21</v>
      </c>
      <c r="H10582" s="11" t="s">
        <v>63</v>
      </c>
      <c r="I10582" s="13" t="s">
        <v>20981</v>
      </c>
      <c r="J10582" s="14" t="str">
        <f>HYPERLINK("https://www.boe.es/gazeta/dias/1839/11/23/pdfs/GMD-1839-1840.pdf#page=4","Abrir facsímil")</f>
        <v>Abrir facsímil</v>
      </c>
      <c r="K10582" s="12" t="s">
        <v>65</v>
      </c>
    </row>
    <row r="10583" spans="1:11" ht="40.049999999999997" customHeight="1" x14ac:dyDescent="0.25">
      <c r="A10583" s="11" t="s">
        <v>20982</v>
      </c>
      <c r="B10583" s="11" t="s">
        <v>20983</v>
      </c>
      <c r="C10583" s="11" t="s">
        <v>17</v>
      </c>
      <c r="D10583" s="11" t="s">
        <v>18</v>
      </c>
      <c r="E10583" s="12" t="s">
        <v>4451</v>
      </c>
      <c r="F10583" s="12" t="s">
        <v>4452</v>
      </c>
      <c r="G10583" s="12" t="s">
        <v>21</v>
      </c>
      <c r="H10583" s="11" t="s">
        <v>63</v>
      </c>
      <c r="I10583" s="13" t="s">
        <v>20984</v>
      </c>
      <c r="J10583" s="14" t="str">
        <f>HYPERLINK("https://www.boe.es/gazeta/dias/1839/12/02/pdfs/GMD-1839-1849.pdf#page=4","Abrir facsímil")</f>
        <v>Abrir facsímil</v>
      </c>
      <c r="K10583" s="12" t="s">
        <v>65</v>
      </c>
    </row>
    <row r="10584" spans="1:11" ht="40.049999999999997" customHeight="1" x14ac:dyDescent="0.25">
      <c r="A10584" s="11" t="s">
        <v>20985</v>
      </c>
      <c r="B10584" s="11" t="s">
        <v>20985</v>
      </c>
      <c r="C10584" s="11" t="s">
        <v>17</v>
      </c>
      <c r="D10584" s="11" t="s">
        <v>18</v>
      </c>
      <c r="E10584" s="12" t="s">
        <v>1772</v>
      </c>
      <c r="F10584" s="12" t="s">
        <v>1773</v>
      </c>
      <c r="G10584" s="12" t="s">
        <v>46</v>
      </c>
      <c r="H10584" s="11" t="s">
        <v>22</v>
      </c>
      <c r="I10584" s="13" t="s">
        <v>20986</v>
      </c>
      <c r="J10584" s="14" t="str">
        <f>HYPERLINK("https://www.boe.es/gazeta/dias/1839/05/07/pdfs/GMD-1839-1634.pdf#page=3","Abrir facsímil")</f>
        <v>Abrir facsímil</v>
      </c>
      <c r="K10584" s="12" t="s">
        <v>24</v>
      </c>
    </row>
    <row r="10585" spans="1:11" ht="40.049999999999997" customHeight="1" x14ac:dyDescent="0.25">
      <c r="A10585" s="11" t="s">
        <v>20985</v>
      </c>
      <c r="B10585" s="11" t="s">
        <v>20985</v>
      </c>
      <c r="C10585" s="11" t="s">
        <v>17</v>
      </c>
      <c r="D10585" s="11" t="s">
        <v>18</v>
      </c>
      <c r="E10585" s="12" t="s">
        <v>522</v>
      </c>
      <c r="F10585" s="12" t="s">
        <v>523</v>
      </c>
      <c r="G10585" s="12" t="s">
        <v>40</v>
      </c>
      <c r="H10585" s="11" t="s">
        <v>22</v>
      </c>
      <c r="I10585" s="13" t="s">
        <v>20987</v>
      </c>
      <c r="J10585" s="14" t="str">
        <f>HYPERLINK("https://www.boe.es/gazeta/dias/1839/08/27/pdfs/GMD-1839-1748.pdf#page=2","Abrir facsímil")</f>
        <v>Abrir facsímil</v>
      </c>
      <c r="K10585" s="12" t="s">
        <v>24</v>
      </c>
    </row>
    <row r="10586" spans="1:11" ht="40.049999999999997" customHeight="1" x14ac:dyDescent="0.25">
      <c r="A10586" s="11" t="s">
        <v>20988</v>
      </c>
      <c r="B10586" s="11" t="s">
        <v>20989</v>
      </c>
      <c r="C10586" s="11" t="s">
        <v>17</v>
      </c>
      <c r="D10586" s="11" t="s">
        <v>18</v>
      </c>
      <c r="E10586" s="12" t="s">
        <v>236</v>
      </c>
      <c r="F10586" s="12" t="s">
        <v>237</v>
      </c>
      <c r="G10586" s="12" t="s">
        <v>46</v>
      </c>
      <c r="H10586" s="11" t="s">
        <v>22</v>
      </c>
      <c r="I10586" s="13" t="s">
        <v>20990</v>
      </c>
      <c r="J10586" s="14" t="str">
        <f>HYPERLINK("https://www.boe.es/gazeta/dias/1839/09/18/pdfs/GMD-1839-1771.pdf#page=3","Abrir facsímil")</f>
        <v>Abrir facsímil</v>
      </c>
      <c r="K10586" s="12" t="s">
        <v>24</v>
      </c>
    </row>
    <row r="10587" spans="1:11" ht="40.049999999999997" customHeight="1" x14ac:dyDescent="0.25">
      <c r="A10587" s="11" t="s">
        <v>20991</v>
      </c>
      <c r="B10587" s="11" t="s">
        <v>20992</v>
      </c>
      <c r="C10587" s="11" t="s">
        <v>80</v>
      </c>
      <c r="D10587" s="11" t="s">
        <v>18</v>
      </c>
      <c r="E10587" s="12" t="s">
        <v>677</v>
      </c>
      <c r="F10587" s="12" t="s">
        <v>678</v>
      </c>
      <c r="G10587" s="12" t="s">
        <v>21</v>
      </c>
      <c r="H10587" s="11" t="s">
        <v>63</v>
      </c>
      <c r="I10587" s="13" t="s">
        <v>20993</v>
      </c>
      <c r="J10587" s="14" t="str">
        <f>HYPERLINK("https://www.boe.es/gazeta/dias/1839/04/28/pdfs/GMD-1839-1625.pdf#page=4","Abrir facsímil")</f>
        <v>Abrir facsímil</v>
      </c>
      <c r="K10587" s="12" t="s">
        <v>65</v>
      </c>
    </row>
    <row r="10588" spans="1:11" ht="40.049999999999997" customHeight="1" x14ac:dyDescent="0.25">
      <c r="A10588" s="11" t="s">
        <v>20994</v>
      </c>
      <c r="B10588" s="11" t="s">
        <v>20995</v>
      </c>
      <c r="C10588" s="11" t="s">
        <v>80</v>
      </c>
      <c r="D10588" s="11" t="s">
        <v>18</v>
      </c>
      <c r="E10588" s="12" t="s">
        <v>1623</v>
      </c>
      <c r="F10588" s="12" t="s">
        <v>1624</v>
      </c>
      <c r="G10588" s="12" t="s">
        <v>40</v>
      </c>
      <c r="H10588" s="11" t="s">
        <v>63</v>
      </c>
      <c r="I10588" s="13" t="s">
        <v>20996</v>
      </c>
      <c r="J10588" s="14" t="str">
        <f>HYPERLINK("https://www.boe.es/gazeta/dias/1839/04/07/pdfs/GMD-1839-1604.pdf#page=2","Abrir facsímil")</f>
        <v>Abrir facsímil</v>
      </c>
      <c r="K10588" s="12" t="s">
        <v>65</v>
      </c>
    </row>
    <row r="10589" spans="1:11" ht="40.049999999999997" customHeight="1" x14ac:dyDescent="0.25">
      <c r="A10589" s="11" t="s">
        <v>20997</v>
      </c>
      <c r="B10589" s="11" t="s">
        <v>20998</v>
      </c>
      <c r="C10589" s="11" t="s">
        <v>17</v>
      </c>
      <c r="D10589" s="11" t="s">
        <v>18</v>
      </c>
      <c r="E10589" s="12" t="s">
        <v>103</v>
      </c>
      <c r="F10589" s="12" t="s">
        <v>104</v>
      </c>
      <c r="G10589" s="12" t="s">
        <v>21</v>
      </c>
      <c r="H10589" s="11" t="s">
        <v>63</v>
      </c>
      <c r="I10589" s="13" t="s">
        <v>20999</v>
      </c>
      <c r="J10589" s="14" t="str">
        <f>HYPERLINK("https://www.boe.es/gazeta/dias/1839/10/12/pdfs/GMD-1839-1798.pdf#page=4","Abrir facsímil")</f>
        <v>Abrir facsímil</v>
      </c>
      <c r="K10589" s="12" t="s">
        <v>65</v>
      </c>
    </row>
    <row r="10590" spans="1:11" ht="40.049999999999997" customHeight="1" x14ac:dyDescent="0.25">
      <c r="A10590" s="11" t="s">
        <v>21000</v>
      </c>
      <c r="B10590" s="11" t="s">
        <v>21001</v>
      </c>
      <c r="C10590" s="11" t="s">
        <v>17</v>
      </c>
      <c r="D10590" s="11" t="s">
        <v>18</v>
      </c>
      <c r="E10590" s="12" t="s">
        <v>756</v>
      </c>
      <c r="F10590" s="12" t="s">
        <v>757</v>
      </c>
      <c r="G10590" s="12" t="s">
        <v>21</v>
      </c>
      <c r="H10590" s="11" t="s">
        <v>63</v>
      </c>
      <c r="I10590" s="13" t="s">
        <v>21002</v>
      </c>
      <c r="J10590" s="14" t="str">
        <f>HYPERLINK("https://www.boe.es/gazeta/dias/1839/12/17/pdfs/GMD-1839-1864.pdf#page=4","Abrir facsímil")</f>
        <v>Abrir facsímil</v>
      </c>
      <c r="K10590" s="12" t="s">
        <v>65</v>
      </c>
    </row>
    <row r="10591" spans="1:11" ht="40.049999999999997" customHeight="1" x14ac:dyDescent="0.25">
      <c r="A10591" s="11" t="s">
        <v>21003</v>
      </c>
      <c r="B10591" s="11" t="s">
        <v>21004</v>
      </c>
      <c r="C10591" s="11" t="s">
        <v>17</v>
      </c>
      <c r="D10591" s="11" t="s">
        <v>18</v>
      </c>
      <c r="E10591" s="12" t="s">
        <v>462</v>
      </c>
      <c r="F10591" s="12" t="s">
        <v>463</v>
      </c>
      <c r="G10591" s="12" t="s">
        <v>46</v>
      </c>
      <c r="H10591" s="11" t="s">
        <v>22</v>
      </c>
      <c r="I10591" s="13" t="s">
        <v>21005</v>
      </c>
      <c r="J10591" s="14" t="str">
        <f>HYPERLINK("https://www.boe.es/gazeta/dias/1839/06/19/pdfs/GMD-1839-1677.pdf#page=3","Abrir facsímil")</f>
        <v>Abrir facsímil</v>
      </c>
      <c r="K10591" s="12" t="s">
        <v>24</v>
      </c>
    </row>
    <row r="10592" spans="1:11" ht="40.049999999999997" customHeight="1" x14ac:dyDescent="0.25">
      <c r="A10592" s="11" t="s">
        <v>21006</v>
      </c>
      <c r="B10592" s="11" t="s">
        <v>21007</v>
      </c>
      <c r="C10592" s="11" t="s">
        <v>17</v>
      </c>
      <c r="D10592" s="11" t="s">
        <v>18</v>
      </c>
      <c r="E10592" s="12" t="s">
        <v>168</v>
      </c>
      <c r="F10592" s="12" t="s">
        <v>169</v>
      </c>
      <c r="G10592" s="12" t="s">
        <v>21</v>
      </c>
      <c r="H10592" s="11" t="s">
        <v>63</v>
      </c>
      <c r="I10592" s="13" t="s">
        <v>21008</v>
      </c>
      <c r="J10592" s="14" t="str">
        <f>HYPERLINK("https://www.boe.es/gazeta/dias/1839/07/12/pdfs/GMD-1839-1700.pdf#page=4","Abrir facsímil")</f>
        <v>Abrir facsímil</v>
      </c>
      <c r="K10592" s="12" t="s">
        <v>65</v>
      </c>
    </row>
    <row r="10593" spans="1:11" ht="40.049999999999997" customHeight="1" x14ac:dyDescent="0.25">
      <c r="A10593" s="11" t="s">
        <v>21009</v>
      </c>
      <c r="B10593" s="11" t="s">
        <v>21010</v>
      </c>
      <c r="C10593" s="11" t="s">
        <v>59</v>
      </c>
      <c r="D10593" s="11" t="s">
        <v>60</v>
      </c>
      <c r="E10593" s="12" t="s">
        <v>1374</v>
      </c>
      <c r="F10593" s="12" t="s">
        <v>1375</v>
      </c>
      <c r="G10593" s="12" t="s">
        <v>29</v>
      </c>
      <c r="H10593" s="11" t="s">
        <v>63</v>
      </c>
      <c r="I10593" s="13" t="s">
        <v>21011</v>
      </c>
      <c r="J10593" s="14" t="str">
        <f>HYPERLINK("https://www.boe.es/gazeta/dias/1839/07/20/pdfs/GMD-1839-1708.pdf#page=1","Abrir facsímil")</f>
        <v>Abrir facsímil</v>
      </c>
      <c r="K10593" s="12" t="s">
        <v>65</v>
      </c>
    </row>
    <row r="10594" spans="1:11" ht="40.049999999999997" customHeight="1" x14ac:dyDescent="0.25">
      <c r="A10594" s="11" t="s">
        <v>21012</v>
      </c>
      <c r="B10594" s="11" t="s">
        <v>21012</v>
      </c>
      <c r="C10594" s="11" t="s">
        <v>101</v>
      </c>
      <c r="D10594" s="11" t="s">
        <v>102</v>
      </c>
      <c r="E10594" s="12" t="s">
        <v>320</v>
      </c>
      <c r="F10594" s="12" t="s">
        <v>321</v>
      </c>
      <c r="G10594" s="12" t="s">
        <v>21</v>
      </c>
      <c r="H10594" s="11" t="s">
        <v>63</v>
      </c>
      <c r="I10594" s="13" t="s">
        <v>21013</v>
      </c>
      <c r="J10594" s="14" t="str">
        <f>HYPERLINK("https://www.boe.es/gazeta/dias/1839/05/11/pdfs/GMD-1839-1638.pdf#page=4","Abrir facsímil")</f>
        <v>Abrir facsímil</v>
      </c>
      <c r="K10594" s="12" t="s">
        <v>65</v>
      </c>
    </row>
    <row r="10595" spans="1:11" ht="40.049999999999997" customHeight="1" x14ac:dyDescent="0.25">
      <c r="A10595" s="11" t="s">
        <v>21014</v>
      </c>
      <c r="B10595" s="11" t="s">
        <v>21014</v>
      </c>
      <c r="C10595" s="11" t="s">
        <v>59</v>
      </c>
      <c r="D10595" s="11" t="s">
        <v>60</v>
      </c>
      <c r="E10595" s="12" t="s">
        <v>4550</v>
      </c>
      <c r="F10595" s="12" t="s">
        <v>4551</v>
      </c>
      <c r="G10595" s="12" t="s">
        <v>29</v>
      </c>
      <c r="H10595" s="11" t="s">
        <v>63</v>
      </c>
      <c r="I10595" s="13" t="s">
        <v>21015</v>
      </c>
      <c r="J10595" s="14" t="str">
        <f>HYPERLINK("https://www.boe.es/gazeta/dias/1839/04/17/pdfs/GMD-1839-1614.pdf#page=1","Abrir facsímil")</f>
        <v>Abrir facsímil</v>
      </c>
      <c r="K10595" s="12" t="s">
        <v>65</v>
      </c>
    </row>
    <row r="10596" spans="1:11" ht="40.049999999999997" customHeight="1" x14ac:dyDescent="0.25">
      <c r="A10596" s="11" t="s">
        <v>21016</v>
      </c>
      <c r="B10596" s="11" t="s">
        <v>21017</v>
      </c>
      <c r="C10596" s="11" t="s">
        <v>17</v>
      </c>
      <c r="D10596" s="11" t="s">
        <v>18</v>
      </c>
      <c r="E10596" s="12" t="s">
        <v>503</v>
      </c>
      <c r="F10596" s="12" t="s">
        <v>504</v>
      </c>
      <c r="G10596" s="12" t="s">
        <v>21</v>
      </c>
      <c r="H10596" s="11" t="s">
        <v>63</v>
      </c>
      <c r="I10596" s="13" t="s">
        <v>21018</v>
      </c>
      <c r="J10596" s="14" t="str">
        <f>HYPERLINK("https://www.boe.es/gazeta/dias/1839/06/07/pdfs/GMD-1839-1665.pdf#page=4","Abrir facsímil")</f>
        <v>Abrir facsímil</v>
      </c>
      <c r="K10596" s="12" t="s">
        <v>65</v>
      </c>
    </row>
    <row r="10597" spans="1:11" ht="40.049999999999997" customHeight="1" x14ac:dyDescent="0.25">
      <c r="A10597" s="11" t="s">
        <v>21019</v>
      </c>
      <c r="B10597" s="11" t="s">
        <v>21019</v>
      </c>
      <c r="C10597" s="11" t="s">
        <v>80</v>
      </c>
      <c r="D10597" s="11" t="s">
        <v>18</v>
      </c>
      <c r="E10597" s="12" t="s">
        <v>336</v>
      </c>
      <c r="F10597" s="12" t="s">
        <v>337</v>
      </c>
      <c r="G10597" s="12" t="s">
        <v>40</v>
      </c>
      <c r="H10597" s="11" t="s">
        <v>63</v>
      </c>
      <c r="I10597" s="13" t="s">
        <v>21020</v>
      </c>
      <c r="J10597" s="14" t="str">
        <f>HYPERLINK("https://www.boe.es/gazeta/dias/1839/07/14/pdfs/GMD-1839-1702.pdf#page=2","Abrir facsímil")</f>
        <v>Abrir facsímil</v>
      </c>
      <c r="K10597" s="12" t="s">
        <v>65</v>
      </c>
    </row>
    <row r="10598" spans="1:11" ht="40.049999999999997" customHeight="1" x14ac:dyDescent="0.25">
      <c r="A10598" s="11" t="s">
        <v>21021</v>
      </c>
      <c r="B10598" s="11" t="s">
        <v>21021</v>
      </c>
      <c r="C10598" s="11" t="s">
        <v>101</v>
      </c>
      <c r="D10598" s="11" t="s">
        <v>43</v>
      </c>
      <c r="E10598" s="12" t="s">
        <v>303</v>
      </c>
      <c r="F10598" s="12" t="s">
        <v>304</v>
      </c>
      <c r="G10598" s="12" t="s">
        <v>40</v>
      </c>
      <c r="H10598" s="11" t="s">
        <v>63</v>
      </c>
      <c r="I10598" s="13" t="s">
        <v>21022</v>
      </c>
      <c r="J10598" s="14" t="str">
        <f>HYPERLINK("https://www.boe.es/gazeta/dias/1839/10/06/pdfs/GMD-1839-1792.pdf#page=2","Abrir facsímil")</f>
        <v>Abrir facsímil</v>
      </c>
      <c r="K10598" s="12" t="s">
        <v>65</v>
      </c>
    </row>
    <row r="10599" spans="1:11" ht="40.049999999999997" customHeight="1" x14ac:dyDescent="0.25">
      <c r="A10599" s="11" t="s">
        <v>21023</v>
      </c>
      <c r="B10599" s="11" t="s">
        <v>21023</v>
      </c>
      <c r="C10599" s="11" t="s">
        <v>17</v>
      </c>
      <c r="D10599" s="11" t="s">
        <v>18</v>
      </c>
      <c r="E10599" s="12" t="s">
        <v>3614</v>
      </c>
      <c r="F10599" s="12" t="s">
        <v>3615</v>
      </c>
      <c r="G10599" s="12" t="s">
        <v>40</v>
      </c>
      <c r="H10599" s="11" t="s">
        <v>63</v>
      </c>
      <c r="I10599" s="13" t="s">
        <v>21024</v>
      </c>
      <c r="J10599" s="14" t="str">
        <f>HYPERLINK("https://www.boe.es/gazeta/dias/1839/04/04/pdfs/GMD-1839-1601.pdf#page=2","Abrir facsímil")</f>
        <v>Abrir facsímil</v>
      </c>
      <c r="K10599" s="12" t="s">
        <v>65</v>
      </c>
    </row>
    <row r="10600" spans="1:11" ht="40.049999999999997" customHeight="1" x14ac:dyDescent="0.25">
      <c r="A10600" s="11" t="s">
        <v>21025</v>
      </c>
      <c r="B10600" s="11" t="s">
        <v>21025</v>
      </c>
      <c r="C10600" s="11" t="s">
        <v>80</v>
      </c>
      <c r="D10600" s="11" t="s">
        <v>18</v>
      </c>
      <c r="E10600" s="12" t="s">
        <v>510</v>
      </c>
      <c r="F10600" s="12" t="s">
        <v>511</v>
      </c>
      <c r="G10600" s="12" t="s">
        <v>29</v>
      </c>
      <c r="H10600" s="11" t="s">
        <v>63</v>
      </c>
      <c r="I10600" s="13" t="s">
        <v>21026</v>
      </c>
      <c r="J10600" s="14" t="str">
        <f>HYPERLINK("https://www.boe.es/gazeta/dias/1839/05/13/pdfs/GMD-1839-1640.pdf#page=1","Abrir facsímil")</f>
        <v>Abrir facsímil</v>
      </c>
      <c r="K10600" s="12" t="s">
        <v>65</v>
      </c>
    </row>
    <row r="10601" spans="1:11" ht="40.049999999999997" customHeight="1" x14ac:dyDescent="0.25">
      <c r="A10601" s="11" t="s">
        <v>21025</v>
      </c>
      <c r="B10601" s="11" t="s">
        <v>21025</v>
      </c>
      <c r="C10601" s="11" t="s">
        <v>101</v>
      </c>
      <c r="D10601" s="11" t="s">
        <v>102</v>
      </c>
      <c r="E10601" s="12" t="s">
        <v>510</v>
      </c>
      <c r="F10601" s="12" t="s">
        <v>511</v>
      </c>
      <c r="G10601" s="12" t="s">
        <v>40</v>
      </c>
      <c r="H10601" s="11" t="s">
        <v>63</v>
      </c>
      <c r="I10601" s="13" t="s">
        <v>21027</v>
      </c>
      <c r="J10601" s="14" t="str">
        <f>HYPERLINK("https://www.boe.es/gazeta/dias/1839/05/13/pdfs/GMD-1839-1640.pdf#page=2","Abrir facsímil")</f>
        <v>Abrir facsímil</v>
      </c>
      <c r="K10601" s="12" t="s">
        <v>65</v>
      </c>
    </row>
    <row r="10602" spans="1:11" ht="40.049999999999997" customHeight="1" x14ac:dyDescent="0.25">
      <c r="A10602" s="11" t="s">
        <v>21028</v>
      </c>
      <c r="B10602" s="11" t="s">
        <v>21028</v>
      </c>
      <c r="C10602" s="11" t="s">
        <v>17</v>
      </c>
      <c r="D10602" s="11" t="s">
        <v>18</v>
      </c>
      <c r="E10602" s="12" t="s">
        <v>3009</v>
      </c>
      <c r="F10602" s="12" t="s">
        <v>3010</v>
      </c>
      <c r="G10602" s="12" t="s">
        <v>21</v>
      </c>
      <c r="H10602" s="11" t="s">
        <v>63</v>
      </c>
      <c r="I10602" s="13" t="s">
        <v>21029</v>
      </c>
      <c r="J10602" s="14" t="str">
        <f>HYPERLINK("https://www.boe.es/gazeta/dias/1839/04/20/pdfs/GMD-1839-1617.pdf#page=4","Abrir facsímil")</f>
        <v>Abrir facsímil</v>
      </c>
      <c r="K10602" s="12" t="s">
        <v>65</v>
      </c>
    </row>
    <row r="10603" spans="1:11" ht="40.049999999999997" customHeight="1" x14ac:dyDescent="0.25">
      <c r="A10603" s="11" t="s">
        <v>21030</v>
      </c>
      <c r="B10603" s="11" t="s">
        <v>21030</v>
      </c>
      <c r="C10603" s="11" t="s">
        <v>59</v>
      </c>
      <c r="D10603" s="11" t="s">
        <v>60</v>
      </c>
      <c r="E10603" s="12" t="s">
        <v>664</v>
      </c>
      <c r="F10603" s="12" t="s">
        <v>665</v>
      </c>
      <c r="G10603" s="12" t="s">
        <v>46</v>
      </c>
      <c r="H10603" s="11" t="s">
        <v>63</v>
      </c>
      <c r="I10603" s="13" t="s">
        <v>21031</v>
      </c>
      <c r="J10603" s="14" t="str">
        <f>HYPERLINK("https://www.boe.es/gazeta/dias/1839/01/24/pdfs/GMD-1839-1531.pdf#page=3","Abrir facsímil")</f>
        <v>Abrir facsímil</v>
      </c>
      <c r="K10603" s="12" t="s">
        <v>65</v>
      </c>
    </row>
    <row r="10604" spans="1:11" ht="40.049999999999997" customHeight="1" x14ac:dyDescent="0.25">
      <c r="A10604" s="11" t="s">
        <v>21032</v>
      </c>
      <c r="B10604" s="11" t="s">
        <v>21032</v>
      </c>
      <c r="C10604" s="11" t="s">
        <v>17</v>
      </c>
      <c r="D10604" s="11" t="s">
        <v>18</v>
      </c>
      <c r="E10604" s="12" t="s">
        <v>1301</v>
      </c>
      <c r="F10604" s="12" t="s">
        <v>1302</v>
      </c>
      <c r="G10604" s="12" t="s">
        <v>40</v>
      </c>
      <c r="H10604" s="11" t="s">
        <v>63</v>
      </c>
      <c r="I10604" s="13" t="s">
        <v>21033</v>
      </c>
      <c r="J10604" s="14" t="str">
        <f>HYPERLINK("https://www.boe.es/gazeta/dias/1839/11/16/pdfs/GMD-1839-1833.pdf#page=2","Abrir facsímil")</f>
        <v>Abrir facsímil</v>
      </c>
      <c r="K10604" s="12" t="s">
        <v>65</v>
      </c>
    </row>
    <row r="10605" spans="1:11" ht="40.049999999999997" customHeight="1" x14ac:dyDescent="0.25">
      <c r="A10605" s="11" t="s">
        <v>21034</v>
      </c>
      <c r="B10605" s="11" t="s">
        <v>21034</v>
      </c>
      <c r="C10605" s="11" t="s">
        <v>17</v>
      </c>
      <c r="D10605" s="11" t="s">
        <v>18</v>
      </c>
      <c r="E10605" s="12" t="s">
        <v>303</v>
      </c>
      <c r="F10605" s="12" t="s">
        <v>304</v>
      </c>
      <c r="G10605" s="12" t="s">
        <v>40</v>
      </c>
      <c r="H10605" s="11" t="s">
        <v>22</v>
      </c>
      <c r="I10605" s="13" t="s">
        <v>21035</v>
      </c>
      <c r="J10605" s="14" t="str">
        <f>HYPERLINK("https://www.boe.es/gazeta/dias/1839/10/06/pdfs/GMD-1839-1792.pdf#page=2","Abrir facsímil")</f>
        <v>Abrir facsímil</v>
      </c>
      <c r="K10605" s="12" t="s">
        <v>24</v>
      </c>
    </row>
    <row r="10606" spans="1:11" ht="40.049999999999997" customHeight="1" x14ac:dyDescent="0.25">
      <c r="A10606" s="11" t="s">
        <v>21036</v>
      </c>
      <c r="B10606" s="11" t="s">
        <v>21036</v>
      </c>
      <c r="C10606" s="11" t="s">
        <v>137</v>
      </c>
      <c r="D10606" s="11" t="s">
        <v>18</v>
      </c>
      <c r="E10606" s="12" t="s">
        <v>185</v>
      </c>
      <c r="F10606" s="12" t="s">
        <v>186</v>
      </c>
      <c r="G10606" s="12" t="s">
        <v>40</v>
      </c>
      <c r="H10606" s="11" t="s">
        <v>63</v>
      </c>
      <c r="I10606" s="13" t="s">
        <v>21037</v>
      </c>
      <c r="J10606" s="14" t="str">
        <f>HYPERLINK("https://www.boe.es/gazeta/dias/1839/01/15/pdfs/GMD-1839-1522.pdf#page=2","Abrir facsímil")</f>
        <v>Abrir facsímil</v>
      </c>
      <c r="K10606" s="12" t="s">
        <v>65</v>
      </c>
    </row>
    <row r="10607" spans="1:11" ht="40.049999999999997" customHeight="1" x14ac:dyDescent="0.25">
      <c r="A10607" s="11" t="s">
        <v>21036</v>
      </c>
      <c r="B10607" s="11" t="s">
        <v>21036</v>
      </c>
      <c r="C10607" s="11" t="s">
        <v>101</v>
      </c>
      <c r="D10607" s="11" t="s">
        <v>43</v>
      </c>
      <c r="E10607" s="12" t="s">
        <v>433</v>
      </c>
      <c r="F10607" s="12" t="s">
        <v>434</v>
      </c>
      <c r="G10607" s="12" t="s">
        <v>46</v>
      </c>
      <c r="H10607" s="11" t="s">
        <v>63</v>
      </c>
      <c r="I10607" s="13" t="s">
        <v>21038</v>
      </c>
      <c r="J10607" s="14" t="str">
        <f>HYPERLINK("https://www.boe.es/gazeta/dias/1839/01/20/pdfs/GMD-1839-1527.pdf#page=3","Abrir facsímil")</f>
        <v>Abrir facsímil</v>
      </c>
      <c r="K10607" s="12" t="s">
        <v>65</v>
      </c>
    </row>
    <row r="10608" spans="1:11" ht="40.049999999999997" customHeight="1" x14ac:dyDescent="0.25">
      <c r="A10608" s="11" t="s">
        <v>21036</v>
      </c>
      <c r="B10608" s="11" t="s">
        <v>21036</v>
      </c>
      <c r="C10608" s="11" t="s">
        <v>17</v>
      </c>
      <c r="D10608" s="11" t="s">
        <v>18</v>
      </c>
      <c r="E10608" s="12" t="s">
        <v>4292</v>
      </c>
      <c r="F10608" s="12" t="s">
        <v>4293</v>
      </c>
      <c r="G10608" s="12" t="s">
        <v>29</v>
      </c>
      <c r="H10608" s="11" t="s">
        <v>63</v>
      </c>
      <c r="I10608" s="13" t="s">
        <v>21039</v>
      </c>
      <c r="J10608" s="14" t="str">
        <f>HYPERLINK("https://www.boe.es/gazeta/dias/1839/11/29/pdfs/GMD-1839-1846.pdf#page=1","Abrir facsímil")</f>
        <v>Abrir facsímil</v>
      </c>
      <c r="K10608" s="12" t="s">
        <v>65</v>
      </c>
    </row>
    <row r="10609" spans="1:11" ht="40.049999999999997" customHeight="1" x14ac:dyDescent="0.25">
      <c r="A10609" s="11" t="s">
        <v>21040</v>
      </c>
      <c r="B10609" s="11" t="s">
        <v>21041</v>
      </c>
      <c r="C10609" s="11" t="s">
        <v>17</v>
      </c>
      <c r="D10609" s="11" t="s">
        <v>18</v>
      </c>
      <c r="E10609" s="12" t="s">
        <v>756</v>
      </c>
      <c r="F10609" s="12" t="s">
        <v>757</v>
      </c>
      <c r="G10609" s="12" t="s">
        <v>21</v>
      </c>
      <c r="H10609" s="11" t="s">
        <v>63</v>
      </c>
      <c r="I10609" s="13" t="s">
        <v>21042</v>
      </c>
      <c r="J10609" s="14" t="str">
        <f>HYPERLINK("https://www.boe.es/gazeta/dias/1839/12/17/pdfs/GMD-1839-1864.pdf#page=4","Abrir facsímil")</f>
        <v>Abrir facsímil</v>
      </c>
      <c r="K10609" s="12" t="s">
        <v>65</v>
      </c>
    </row>
    <row r="10610" spans="1:11" ht="40.049999999999997" customHeight="1" x14ac:dyDescent="0.25">
      <c r="A10610" s="11" t="s">
        <v>21043</v>
      </c>
      <c r="B10610" s="11" t="s">
        <v>21044</v>
      </c>
      <c r="C10610" s="11" t="s">
        <v>59</v>
      </c>
      <c r="D10610" s="11" t="s">
        <v>60</v>
      </c>
      <c r="E10610" s="12" t="s">
        <v>192</v>
      </c>
      <c r="F10610" s="12" t="s">
        <v>193</v>
      </c>
      <c r="G10610" s="12" t="s">
        <v>40</v>
      </c>
      <c r="H10610" s="11" t="s">
        <v>63</v>
      </c>
      <c r="I10610" s="13" t="s">
        <v>21045</v>
      </c>
      <c r="J10610" s="14" t="str">
        <f>HYPERLINK("https://www.boe.es/gazeta/dias/1839/01/12/pdfs/GMD-1839-1519.pdf#page=2","Abrir facsímil")</f>
        <v>Abrir facsímil</v>
      </c>
      <c r="K10610" s="12" t="s">
        <v>65</v>
      </c>
    </row>
    <row r="10611" spans="1:11" ht="40.049999999999997" customHeight="1" x14ac:dyDescent="0.25">
      <c r="A10611" s="11" t="s">
        <v>21046</v>
      </c>
      <c r="B10611" s="11" t="s">
        <v>21047</v>
      </c>
      <c r="C10611" s="11" t="s">
        <v>59</v>
      </c>
      <c r="D10611" s="11" t="s">
        <v>60</v>
      </c>
      <c r="E10611" s="12" t="s">
        <v>197</v>
      </c>
      <c r="F10611" s="12" t="s">
        <v>198</v>
      </c>
      <c r="G10611" s="12" t="s">
        <v>46</v>
      </c>
      <c r="H10611" s="11" t="s">
        <v>63</v>
      </c>
      <c r="I10611" s="13" t="s">
        <v>21048</v>
      </c>
      <c r="J10611" s="14" t="str">
        <f>HYPERLINK("https://www.boe.es/gazeta/dias/1839/10/04/pdfs/GMD-1839-1790.pdf#page=3","Abrir facsímil")</f>
        <v>Abrir facsímil</v>
      </c>
      <c r="K10611" s="12" t="s">
        <v>65</v>
      </c>
    </row>
    <row r="10612" spans="1:11" ht="40.049999999999997" customHeight="1" x14ac:dyDescent="0.25">
      <c r="A10612" s="11" t="s">
        <v>21049</v>
      </c>
      <c r="B10612" s="11" t="s">
        <v>21050</v>
      </c>
      <c r="C10612" s="11" t="s">
        <v>101</v>
      </c>
      <c r="D10612" s="11" t="s">
        <v>43</v>
      </c>
      <c r="E10612" s="12" t="s">
        <v>185</v>
      </c>
      <c r="F10612" s="12" t="s">
        <v>186</v>
      </c>
      <c r="G10612" s="12" t="s">
        <v>40</v>
      </c>
      <c r="H10612" s="11" t="s">
        <v>22</v>
      </c>
      <c r="I10612" s="13" t="s">
        <v>21051</v>
      </c>
      <c r="J10612" s="14" t="str">
        <f>HYPERLINK("https://www.boe.es/gazeta/dias/1839/01/15/pdfs/GMD-1839-1522.pdf#page=2","Abrir facsímil")</f>
        <v>Abrir facsímil</v>
      </c>
      <c r="K10612" s="12" t="s">
        <v>24</v>
      </c>
    </row>
    <row r="10613" spans="1:11" ht="40.049999999999997" customHeight="1" x14ac:dyDescent="0.25">
      <c r="A10613" s="11" t="s">
        <v>21046</v>
      </c>
      <c r="B10613" s="11" t="s">
        <v>21047</v>
      </c>
      <c r="C10613" s="11" t="s">
        <v>80</v>
      </c>
      <c r="D10613" s="11" t="s">
        <v>18</v>
      </c>
      <c r="E10613" s="12" t="s">
        <v>1679</v>
      </c>
      <c r="F10613" s="12" t="s">
        <v>1680</v>
      </c>
      <c r="G10613" s="12" t="s">
        <v>46</v>
      </c>
      <c r="H10613" s="11" t="s">
        <v>63</v>
      </c>
      <c r="I10613" s="13" t="s">
        <v>21052</v>
      </c>
      <c r="J10613" s="14" t="str">
        <f>HYPERLINK("https://www.boe.es/gazeta/dias/1839/01/26/pdfs/GMD-1839-1533.pdf#page=3","Abrir facsímil")</f>
        <v>Abrir facsímil</v>
      </c>
      <c r="K10613" s="12" t="s">
        <v>65</v>
      </c>
    </row>
    <row r="10614" spans="1:11" ht="40.049999999999997" customHeight="1" x14ac:dyDescent="0.25">
      <c r="A10614" s="11" t="s">
        <v>21053</v>
      </c>
      <c r="B10614" s="11" t="s">
        <v>21053</v>
      </c>
      <c r="C10614" s="11" t="s">
        <v>101</v>
      </c>
      <c r="D10614" s="11" t="s">
        <v>43</v>
      </c>
      <c r="E10614" s="12" t="s">
        <v>1139</v>
      </c>
      <c r="F10614" s="12" t="s">
        <v>1140</v>
      </c>
      <c r="G10614" s="12" t="s">
        <v>40</v>
      </c>
      <c r="H10614" s="11" t="s">
        <v>63</v>
      </c>
      <c r="I10614" s="13" t="s">
        <v>21054</v>
      </c>
      <c r="J10614" s="14" t="str">
        <f>HYPERLINK("https://www.boe.es/gazeta/dias/1839/02/15/pdfs/GMD-1839-1553.pdf#page=2","Abrir facsímil")</f>
        <v>Abrir facsímil</v>
      </c>
      <c r="K10614" s="12" t="s">
        <v>65</v>
      </c>
    </row>
    <row r="10615" spans="1:11" ht="40.049999999999997" customHeight="1" x14ac:dyDescent="0.25">
      <c r="A10615" s="11" t="s">
        <v>21055</v>
      </c>
      <c r="B10615" s="11" t="s">
        <v>21055</v>
      </c>
      <c r="C10615" s="11" t="s">
        <v>59</v>
      </c>
      <c r="D10615" s="11" t="s">
        <v>60</v>
      </c>
      <c r="E10615" s="12" t="s">
        <v>89</v>
      </c>
      <c r="F10615" s="12" t="s">
        <v>90</v>
      </c>
      <c r="G10615" s="12" t="s">
        <v>46</v>
      </c>
      <c r="H10615" s="11" t="s">
        <v>63</v>
      </c>
      <c r="I10615" s="13" t="s">
        <v>21056</v>
      </c>
      <c r="J10615" s="14" t="str">
        <f>HYPERLINK("https://www.boe.es/gazeta/dias/1839/11/28/pdfs/GMD-1839-1845.pdf#page=3","Abrir facsímil")</f>
        <v>Abrir facsímil</v>
      </c>
      <c r="K10615" s="12" t="s">
        <v>65</v>
      </c>
    </row>
    <row r="10616" spans="1:11" ht="40.049999999999997" customHeight="1" x14ac:dyDescent="0.25">
      <c r="A10616" s="11" t="s">
        <v>21057</v>
      </c>
      <c r="B10616" s="11" t="s">
        <v>21057</v>
      </c>
      <c r="C10616" s="11" t="s">
        <v>59</v>
      </c>
      <c r="D10616" s="11" t="s">
        <v>60</v>
      </c>
      <c r="E10616" s="12" t="s">
        <v>507</v>
      </c>
      <c r="F10616" s="12" t="s">
        <v>508</v>
      </c>
      <c r="G10616" s="12" t="s">
        <v>40</v>
      </c>
      <c r="H10616" s="11" t="s">
        <v>63</v>
      </c>
      <c r="I10616" s="13" t="s">
        <v>21058</v>
      </c>
      <c r="J10616" s="14" t="str">
        <f>HYPERLINK("https://www.boe.es/gazeta/dias/1839/08/12/pdfs/GMD-1839-1732.pdf#page=2","Abrir facsímil")</f>
        <v>Abrir facsímil</v>
      </c>
      <c r="K10616" s="12" t="s">
        <v>65</v>
      </c>
    </row>
    <row r="10617" spans="1:11" ht="40.049999999999997" customHeight="1" x14ac:dyDescent="0.25">
      <c r="A10617" s="11" t="s">
        <v>21059</v>
      </c>
      <c r="B10617" s="11" t="s">
        <v>21059</v>
      </c>
      <c r="C10617" s="11" t="s">
        <v>17</v>
      </c>
      <c r="D10617" s="11" t="s">
        <v>18</v>
      </c>
      <c r="E10617" s="12" t="s">
        <v>946</v>
      </c>
      <c r="F10617" s="12" t="s">
        <v>947</v>
      </c>
      <c r="G10617" s="12" t="s">
        <v>46</v>
      </c>
      <c r="H10617" s="11" t="s">
        <v>63</v>
      </c>
      <c r="I10617" s="13" t="s">
        <v>21060</v>
      </c>
      <c r="J10617" s="14" t="str">
        <f>HYPERLINK("https://www.boe.es/gazeta/dias/1839/04/15/pdfs/GMD-1839-1612.pdf#page=3","Abrir facsímil")</f>
        <v>Abrir facsímil</v>
      </c>
      <c r="K10617" s="12" t="s">
        <v>65</v>
      </c>
    </row>
    <row r="10618" spans="1:11" ht="40.049999999999997" customHeight="1" x14ac:dyDescent="0.25">
      <c r="A10618" s="11" t="s">
        <v>21061</v>
      </c>
      <c r="B10618" s="11" t="s">
        <v>21061</v>
      </c>
      <c r="C10618" s="11" t="s">
        <v>137</v>
      </c>
      <c r="D10618" s="11" t="s">
        <v>18</v>
      </c>
      <c r="E10618" s="12" t="s">
        <v>3114</v>
      </c>
      <c r="F10618" s="12" t="s">
        <v>3115</v>
      </c>
      <c r="G10618" s="12" t="s">
        <v>21</v>
      </c>
      <c r="H10618" s="11" t="s">
        <v>63</v>
      </c>
      <c r="I10618" s="13" t="s">
        <v>21062</v>
      </c>
      <c r="J10618" s="14" t="str">
        <f>HYPERLINK("https://www.boe.es/gazeta/dias/1839/05/15/pdfs/GMD-1839-1642.pdf#page=4","Abrir facsímil")</f>
        <v>Abrir facsímil</v>
      </c>
      <c r="K10618" s="12" t="s">
        <v>65</v>
      </c>
    </row>
    <row r="10619" spans="1:11" ht="40.049999999999997" customHeight="1" x14ac:dyDescent="0.25">
      <c r="A10619" s="11" t="s">
        <v>21063</v>
      </c>
      <c r="B10619" s="11" t="s">
        <v>21063</v>
      </c>
      <c r="C10619" s="11" t="s">
        <v>17</v>
      </c>
      <c r="D10619" s="11" t="s">
        <v>18</v>
      </c>
      <c r="E10619" s="12" t="s">
        <v>1008</v>
      </c>
      <c r="F10619" s="12" t="s">
        <v>1009</v>
      </c>
      <c r="G10619" s="12" t="s">
        <v>40</v>
      </c>
      <c r="H10619" s="11" t="s">
        <v>63</v>
      </c>
      <c r="I10619" s="13" t="s">
        <v>21064</v>
      </c>
      <c r="J10619" s="14" t="str">
        <f>HYPERLINK("https://www.boe.es/gazeta/dias/1839/09/07/pdfs/GMD-1839-1760.pdf#page=2","Abrir facsímil")</f>
        <v>Abrir facsímil</v>
      </c>
      <c r="K10619" s="12" t="s">
        <v>65</v>
      </c>
    </row>
    <row r="10620" spans="1:11" ht="40.049999999999997" customHeight="1" x14ac:dyDescent="0.25">
      <c r="A10620" s="11" t="s">
        <v>21063</v>
      </c>
      <c r="B10620" s="11" t="s">
        <v>21063</v>
      </c>
      <c r="C10620" s="11" t="s">
        <v>59</v>
      </c>
      <c r="D10620" s="11" t="s">
        <v>60</v>
      </c>
      <c r="E10620" s="12" t="s">
        <v>365</v>
      </c>
      <c r="F10620" s="12" t="s">
        <v>366</v>
      </c>
      <c r="G10620" s="12" t="s">
        <v>29</v>
      </c>
      <c r="H10620" s="11" t="s">
        <v>63</v>
      </c>
      <c r="I10620" s="13" t="s">
        <v>21065</v>
      </c>
      <c r="J10620" s="14" t="str">
        <f>HYPERLINK("https://www.boe.es/gazeta/dias/1839/08/14/pdfs/GMD-1839-1734.pdf#page=1","Abrir facsímil")</f>
        <v>Abrir facsímil</v>
      </c>
      <c r="K10620" s="12" t="s">
        <v>65</v>
      </c>
    </row>
    <row r="10621" spans="1:11" ht="40.049999999999997" customHeight="1" x14ac:dyDescent="0.25">
      <c r="A10621" s="11" t="s">
        <v>21063</v>
      </c>
      <c r="B10621" s="11" t="s">
        <v>21063</v>
      </c>
      <c r="C10621" s="11" t="s">
        <v>59</v>
      </c>
      <c r="D10621" s="11" t="s">
        <v>60</v>
      </c>
      <c r="E10621" s="12" t="s">
        <v>2069</v>
      </c>
      <c r="F10621" s="12" t="s">
        <v>2070</v>
      </c>
      <c r="G10621" s="12" t="s">
        <v>29</v>
      </c>
      <c r="H10621" s="11" t="s">
        <v>63</v>
      </c>
      <c r="I10621" s="13" t="s">
        <v>21066</v>
      </c>
      <c r="J10621" s="14" t="str">
        <f>HYPERLINK("https://www.boe.es/gazeta/dias/1839/10/20/pdfs/GMD-1839-1806.pdf#page=1","Abrir facsímil")</f>
        <v>Abrir facsímil</v>
      </c>
      <c r="K10621" s="12" t="s">
        <v>65</v>
      </c>
    </row>
    <row r="10622" spans="1:11" ht="40.049999999999997" customHeight="1" x14ac:dyDescent="0.25">
      <c r="A10622" s="11" t="s">
        <v>21067</v>
      </c>
      <c r="B10622" s="11" t="s">
        <v>21068</v>
      </c>
      <c r="C10622" s="11" t="s">
        <v>80</v>
      </c>
      <c r="D10622" s="11" t="s">
        <v>18</v>
      </c>
      <c r="E10622" s="12" t="s">
        <v>1588</v>
      </c>
      <c r="F10622" s="12" t="s">
        <v>1589</v>
      </c>
      <c r="G10622" s="12" t="s">
        <v>40</v>
      </c>
      <c r="H10622" s="11" t="s">
        <v>63</v>
      </c>
      <c r="I10622" s="13" t="s">
        <v>21069</v>
      </c>
      <c r="J10622" s="14" t="str">
        <f>HYPERLINK("https://www.boe.es/gazeta/dias/1839/07/27/pdfs/GMD-1839-1716.pdf#page=2","Abrir facsímil")</f>
        <v>Abrir facsímil</v>
      </c>
      <c r="K10622" s="12" t="s">
        <v>65</v>
      </c>
    </row>
    <row r="10623" spans="1:11" ht="40.049999999999997" customHeight="1" x14ac:dyDescent="0.25">
      <c r="A10623" s="11" t="s">
        <v>21070</v>
      </c>
      <c r="B10623" s="11" t="s">
        <v>21071</v>
      </c>
      <c r="C10623" s="11" t="s">
        <v>80</v>
      </c>
      <c r="D10623" s="11" t="s">
        <v>18</v>
      </c>
      <c r="E10623" s="12" t="s">
        <v>1019</v>
      </c>
      <c r="F10623" s="12" t="s">
        <v>1020</v>
      </c>
      <c r="G10623" s="12" t="s">
        <v>21</v>
      </c>
      <c r="H10623" s="11" t="s">
        <v>63</v>
      </c>
      <c r="I10623" s="13" t="s">
        <v>21072</v>
      </c>
      <c r="J10623" s="14" t="str">
        <f>HYPERLINK("https://www.boe.es/gazeta/dias/1839/07/15/pdfs/GMD-1839-1703.pdf#page=4","Abrir facsímil")</f>
        <v>Abrir facsímil</v>
      </c>
      <c r="K10623" s="12" t="s">
        <v>65</v>
      </c>
    </row>
    <row r="10624" spans="1:11" ht="40.049999999999997" customHeight="1" x14ac:dyDescent="0.25">
      <c r="A10624" s="11" t="s">
        <v>21070</v>
      </c>
      <c r="B10624" s="11" t="s">
        <v>21071</v>
      </c>
      <c r="C10624" s="11" t="s">
        <v>80</v>
      </c>
      <c r="D10624" s="11" t="s">
        <v>18</v>
      </c>
      <c r="E10624" s="12" t="s">
        <v>479</v>
      </c>
      <c r="F10624" s="12" t="s">
        <v>480</v>
      </c>
      <c r="G10624" s="12" t="s">
        <v>21</v>
      </c>
      <c r="H10624" s="11" t="s">
        <v>63</v>
      </c>
      <c r="I10624" s="13" t="s">
        <v>21073</v>
      </c>
      <c r="J10624" s="14" t="str">
        <f>HYPERLINK("https://www.boe.es/gazeta/dias/1839/06/24/pdfs/GMD-1839-1682.pdf#page=4","Abrir facsímil")</f>
        <v>Abrir facsímil</v>
      </c>
      <c r="K10624" s="12" t="s">
        <v>65</v>
      </c>
    </row>
    <row r="10625" spans="1:11" ht="40.049999999999997" customHeight="1" x14ac:dyDescent="0.25">
      <c r="A10625" s="11" t="s">
        <v>21070</v>
      </c>
      <c r="B10625" s="11" t="s">
        <v>21071</v>
      </c>
      <c r="C10625" s="11" t="s">
        <v>80</v>
      </c>
      <c r="D10625" s="11" t="s">
        <v>18</v>
      </c>
      <c r="E10625" s="12" t="s">
        <v>2463</v>
      </c>
      <c r="F10625" s="12" t="s">
        <v>2464</v>
      </c>
      <c r="G10625" s="12" t="s">
        <v>21</v>
      </c>
      <c r="H10625" s="11" t="s">
        <v>63</v>
      </c>
      <c r="I10625" s="13" t="s">
        <v>21074</v>
      </c>
      <c r="J10625" s="14" t="str">
        <f>HYPERLINK("https://www.boe.es/gazeta/dias/1839/04/26/pdfs/GMD-1839-1623.pdf#page=4","Abrir facsímil")</f>
        <v>Abrir facsímil</v>
      </c>
      <c r="K10625" s="12" t="s">
        <v>65</v>
      </c>
    </row>
    <row r="10626" spans="1:11" ht="40.049999999999997" customHeight="1" x14ac:dyDescent="0.25">
      <c r="A10626" s="11" t="s">
        <v>21075</v>
      </c>
      <c r="B10626" s="11" t="s">
        <v>21075</v>
      </c>
      <c r="C10626" s="11" t="s">
        <v>17</v>
      </c>
      <c r="D10626" s="11" t="s">
        <v>18</v>
      </c>
      <c r="E10626" s="12" t="s">
        <v>4287</v>
      </c>
      <c r="F10626" s="12" t="s">
        <v>4288</v>
      </c>
      <c r="G10626" s="12" t="s">
        <v>21</v>
      </c>
      <c r="H10626" s="11" t="s">
        <v>63</v>
      </c>
      <c r="I10626" s="13" t="s">
        <v>21076</v>
      </c>
      <c r="J10626" s="14" t="str">
        <f>HYPERLINK("https://www.boe.es/gazeta/dias/1839/06/01/pdfs/GMD-1839-1659.pdf#page=4","Abrir facsímil")</f>
        <v>Abrir facsímil</v>
      </c>
      <c r="K10626" s="12" t="s">
        <v>65</v>
      </c>
    </row>
    <row r="10627" spans="1:11" ht="40.049999999999997" customHeight="1" x14ac:dyDescent="0.25">
      <c r="A10627" s="11" t="s">
        <v>21075</v>
      </c>
      <c r="B10627" s="11" t="s">
        <v>21075</v>
      </c>
      <c r="C10627" s="11" t="s">
        <v>17</v>
      </c>
      <c r="D10627" s="11" t="s">
        <v>18</v>
      </c>
      <c r="E10627" s="12" t="s">
        <v>700</v>
      </c>
      <c r="F10627" s="12" t="s">
        <v>701</v>
      </c>
      <c r="G10627" s="12" t="s">
        <v>21</v>
      </c>
      <c r="H10627" s="11" t="s">
        <v>63</v>
      </c>
      <c r="I10627" s="13" t="s">
        <v>21077</v>
      </c>
      <c r="J10627" s="14" t="str">
        <f>HYPERLINK("https://www.boe.es/gazeta/dias/1839/09/01/pdfs/GMD-1839-1753.pdf#page=4","Abrir facsímil")</f>
        <v>Abrir facsímil</v>
      </c>
      <c r="K10627" s="12" t="s">
        <v>65</v>
      </c>
    </row>
    <row r="10628" spans="1:11" ht="40.049999999999997" customHeight="1" x14ac:dyDescent="0.25">
      <c r="A10628" s="11" t="s">
        <v>21075</v>
      </c>
      <c r="B10628" s="11" t="s">
        <v>21075</v>
      </c>
      <c r="C10628" s="11" t="s">
        <v>17</v>
      </c>
      <c r="D10628" s="11" t="s">
        <v>18</v>
      </c>
      <c r="E10628" s="12" t="s">
        <v>779</v>
      </c>
      <c r="F10628" s="12" t="s">
        <v>780</v>
      </c>
      <c r="G10628" s="12" t="s">
        <v>29</v>
      </c>
      <c r="H10628" s="11" t="s">
        <v>63</v>
      </c>
      <c r="I10628" s="13" t="s">
        <v>21078</v>
      </c>
      <c r="J10628" s="14" t="str">
        <f>HYPERLINK("https://www.boe.es/gazeta/dias/1839/02/03/pdfs/GMD-1839-1541.pdf#page=1","Abrir facsímil")</f>
        <v>Abrir facsímil</v>
      </c>
      <c r="K10628" s="12" t="s">
        <v>65</v>
      </c>
    </row>
    <row r="10629" spans="1:11" ht="40.049999999999997" customHeight="1" x14ac:dyDescent="0.25">
      <c r="A10629" s="11" t="s">
        <v>21075</v>
      </c>
      <c r="B10629" s="11" t="s">
        <v>21075</v>
      </c>
      <c r="C10629" s="11" t="s">
        <v>137</v>
      </c>
      <c r="D10629" s="11" t="s">
        <v>18</v>
      </c>
      <c r="E10629" s="12" t="s">
        <v>108</v>
      </c>
      <c r="F10629" s="12" t="s">
        <v>109</v>
      </c>
      <c r="G10629" s="12" t="s">
        <v>29</v>
      </c>
      <c r="H10629" s="11" t="s">
        <v>63</v>
      </c>
      <c r="I10629" s="13" t="s">
        <v>21079</v>
      </c>
      <c r="J10629" s="14" t="str">
        <f>HYPERLINK("https://www.boe.es/gazeta/dias/1839/01/04/pdfs/GMD-1839-1511.pdf#page=1","Abrir facsímil")</f>
        <v>Abrir facsímil</v>
      </c>
      <c r="K10629" s="12" t="s">
        <v>65</v>
      </c>
    </row>
    <row r="10630" spans="1:11" ht="40.049999999999997" customHeight="1" x14ac:dyDescent="0.25">
      <c r="A10630" s="11" t="s">
        <v>21075</v>
      </c>
      <c r="B10630" s="11" t="s">
        <v>21075</v>
      </c>
      <c r="C10630" s="11" t="s">
        <v>137</v>
      </c>
      <c r="D10630" s="11" t="s">
        <v>18</v>
      </c>
      <c r="E10630" s="12" t="s">
        <v>3614</v>
      </c>
      <c r="F10630" s="12" t="s">
        <v>3615</v>
      </c>
      <c r="G10630" s="12" t="s">
        <v>46</v>
      </c>
      <c r="H10630" s="11" t="s">
        <v>63</v>
      </c>
      <c r="I10630" s="13" t="s">
        <v>21080</v>
      </c>
      <c r="J10630" s="14" t="str">
        <f>HYPERLINK("https://www.boe.es/gazeta/dias/1839/04/04/pdfs/GMD-1839-1601.pdf#page=3","Abrir facsímil")</f>
        <v>Abrir facsímil</v>
      </c>
      <c r="K10630" s="12" t="s">
        <v>65</v>
      </c>
    </row>
    <row r="10631" spans="1:11" ht="40.049999999999997" customHeight="1" x14ac:dyDescent="0.25">
      <c r="A10631" s="11" t="s">
        <v>21075</v>
      </c>
      <c r="B10631" s="11" t="s">
        <v>21075</v>
      </c>
      <c r="C10631" s="11" t="s">
        <v>137</v>
      </c>
      <c r="D10631" s="11" t="s">
        <v>18</v>
      </c>
      <c r="E10631" s="12" t="s">
        <v>1388</v>
      </c>
      <c r="F10631" s="12" t="s">
        <v>1389</v>
      </c>
      <c r="G10631" s="12" t="s">
        <v>21</v>
      </c>
      <c r="H10631" s="11" t="s">
        <v>63</v>
      </c>
      <c r="I10631" s="13" t="s">
        <v>21081</v>
      </c>
      <c r="J10631" s="14" t="str">
        <f>HYPERLINK("https://www.boe.es/gazeta/dias/1839/06/04/pdfs/GMD-1839-1662.pdf#page=4","Abrir facsímil")</f>
        <v>Abrir facsímil</v>
      </c>
      <c r="K10631" s="12" t="s">
        <v>65</v>
      </c>
    </row>
    <row r="10632" spans="1:11" ht="40.049999999999997" customHeight="1" x14ac:dyDescent="0.25">
      <c r="A10632" s="11" t="s">
        <v>21075</v>
      </c>
      <c r="B10632" s="11" t="s">
        <v>21075</v>
      </c>
      <c r="C10632" s="11" t="s">
        <v>80</v>
      </c>
      <c r="D10632" s="11" t="s">
        <v>18</v>
      </c>
      <c r="E10632" s="12" t="s">
        <v>3566</v>
      </c>
      <c r="F10632" s="12" t="s">
        <v>3567</v>
      </c>
      <c r="G10632" s="12" t="s">
        <v>29</v>
      </c>
      <c r="H10632" s="11" t="s">
        <v>63</v>
      </c>
      <c r="I10632" s="13" t="s">
        <v>21082</v>
      </c>
      <c r="J10632" s="14" t="str">
        <f>HYPERLINK("https://www.boe.es/gazeta/dias/1839/07/06/pdfs/GMD-1839-1694.pdf#page=1","Abrir facsímil")</f>
        <v>Abrir facsímil</v>
      </c>
      <c r="K10632" s="12" t="s">
        <v>65</v>
      </c>
    </row>
    <row r="10633" spans="1:11" ht="40.049999999999997" customHeight="1" x14ac:dyDescent="0.25">
      <c r="A10633" s="11" t="s">
        <v>21075</v>
      </c>
      <c r="B10633" s="11" t="s">
        <v>21075</v>
      </c>
      <c r="C10633" s="11" t="s">
        <v>101</v>
      </c>
      <c r="D10633" s="11" t="s">
        <v>43</v>
      </c>
      <c r="E10633" s="12" t="s">
        <v>2482</v>
      </c>
      <c r="F10633" s="12" t="s">
        <v>2483</v>
      </c>
      <c r="G10633" s="12" t="s">
        <v>46</v>
      </c>
      <c r="H10633" s="11" t="s">
        <v>63</v>
      </c>
      <c r="I10633" s="13" t="s">
        <v>21083</v>
      </c>
      <c r="J10633" s="14" t="str">
        <f>HYPERLINK("https://www.boe.es/gazeta/dias/1839/07/07/pdfs/GMD-1839-1695.pdf#page=3","Abrir facsímil")</f>
        <v>Abrir facsímil</v>
      </c>
      <c r="K10633" s="12" t="s">
        <v>65</v>
      </c>
    </row>
    <row r="10634" spans="1:11" ht="40.049999999999997" customHeight="1" x14ac:dyDescent="0.25">
      <c r="A10634" s="11" t="s">
        <v>21075</v>
      </c>
      <c r="B10634" s="11" t="s">
        <v>21075</v>
      </c>
      <c r="C10634" s="11" t="s">
        <v>17</v>
      </c>
      <c r="D10634" s="11" t="s">
        <v>18</v>
      </c>
      <c r="E10634" s="12" t="s">
        <v>918</v>
      </c>
      <c r="F10634" s="12" t="s">
        <v>919</v>
      </c>
      <c r="G10634" s="12" t="s">
        <v>21</v>
      </c>
      <c r="H10634" s="11" t="s">
        <v>63</v>
      </c>
      <c r="I10634" s="13" t="s">
        <v>21084</v>
      </c>
      <c r="J10634" s="14" t="str">
        <f>HYPERLINK("https://www.boe.es/gazeta/dias/1839/12/07/pdfs/GMD-1839-1854.pdf#page=4","Abrir facsímil")</f>
        <v>Abrir facsímil</v>
      </c>
      <c r="K10634" s="12" t="s">
        <v>65</v>
      </c>
    </row>
    <row r="10635" spans="1:11" ht="40.049999999999997" customHeight="1" x14ac:dyDescent="0.25">
      <c r="A10635" s="11" t="s">
        <v>21075</v>
      </c>
      <c r="B10635" s="11" t="s">
        <v>21075</v>
      </c>
      <c r="C10635" s="11" t="s">
        <v>101</v>
      </c>
      <c r="D10635" s="11" t="s">
        <v>102</v>
      </c>
      <c r="E10635" s="12" t="s">
        <v>121</v>
      </c>
      <c r="F10635" s="12" t="s">
        <v>122</v>
      </c>
      <c r="G10635" s="12" t="s">
        <v>29</v>
      </c>
      <c r="H10635" s="11" t="s">
        <v>63</v>
      </c>
      <c r="I10635" s="13" t="s">
        <v>21085</v>
      </c>
      <c r="J10635" s="14" t="str">
        <f>HYPERLINK("https://www.boe.es/gazeta/dias/1839/06/08/pdfs/GMD-1839-1666.pdf#page=1","Abrir facsímil")</f>
        <v>Abrir facsímil</v>
      </c>
      <c r="K10635" s="12" t="s">
        <v>65</v>
      </c>
    </row>
    <row r="10636" spans="1:11" ht="40.049999999999997" customHeight="1" x14ac:dyDescent="0.25">
      <c r="A10636" s="11" t="s">
        <v>21075</v>
      </c>
      <c r="B10636" s="11" t="s">
        <v>21075</v>
      </c>
      <c r="C10636" s="11" t="s">
        <v>137</v>
      </c>
      <c r="D10636" s="11" t="s">
        <v>18</v>
      </c>
      <c r="E10636" s="12" t="s">
        <v>38</v>
      </c>
      <c r="F10636" s="12" t="s">
        <v>39</v>
      </c>
      <c r="G10636" s="12" t="s">
        <v>21</v>
      </c>
      <c r="H10636" s="11" t="s">
        <v>63</v>
      </c>
      <c r="I10636" s="13" t="s">
        <v>21086</v>
      </c>
      <c r="J10636" s="14" t="str">
        <f>HYPERLINK("https://www.boe.es/gazeta/dias/1839/08/08/pdfs/GMD-1839-1728.pdf#page=4","Abrir facsímil")</f>
        <v>Abrir facsímil</v>
      </c>
      <c r="K10636" s="12" t="s">
        <v>65</v>
      </c>
    </row>
    <row r="10637" spans="1:11" ht="40.049999999999997" customHeight="1" x14ac:dyDescent="0.25">
      <c r="A10637" s="11" t="s">
        <v>21075</v>
      </c>
      <c r="B10637" s="11" t="s">
        <v>21075</v>
      </c>
      <c r="C10637" s="11" t="s">
        <v>80</v>
      </c>
      <c r="D10637" s="11" t="s">
        <v>18</v>
      </c>
      <c r="E10637" s="12" t="s">
        <v>2449</v>
      </c>
      <c r="F10637" s="12" t="s">
        <v>2450</v>
      </c>
      <c r="G10637" s="12" t="s">
        <v>21</v>
      </c>
      <c r="H10637" s="11" t="s">
        <v>63</v>
      </c>
      <c r="I10637" s="13" t="s">
        <v>21087</v>
      </c>
      <c r="J10637" s="14" t="str">
        <f>HYPERLINK("https://www.boe.es/gazeta/dias/1839/12/11/pdfs/GMD-1839-1858.pdf#page=4","Abrir facsímil")</f>
        <v>Abrir facsímil</v>
      </c>
      <c r="K10637" s="12" t="s">
        <v>65</v>
      </c>
    </row>
    <row r="10638" spans="1:11" ht="40.049999999999997" customHeight="1" x14ac:dyDescent="0.25">
      <c r="A10638" s="11" t="s">
        <v>21075</v>
      </c>
      <c r="B10638" s="11" t="s">
        <v>21075</v>
      </c>
      <c r="C10638" s="11" t="s">
        <v>137</v>
      </c>
      <c r="D10638" s="11" t="s">
        <v>18</v>
      </c>
      <c r="E10638" s="12" t="s">
        <v>272</v>
      </c>
      <c r="F10638" s="12" t="s">
        <v>273</v>
      </c>
      <c r="G10638" s="12" t="s">
        <v>29</v>
      </c>
      <c r="H10638" s="11" t="s">
        <v>63</v>
      </c>
      <c r="I10638" s="13" t="s">
        <v>21088</v>
      </c>
      <c r="J10638" s="14" t="str">
        <f>HYPERLINK("https://www.boe.es/gazeta/dias/1839/02/12/pdfs/GMD-1839-1550.pdf#page=1","Abrir facsímil")</f>
        <v>Abrir facsímil</v>
      </c>
      <c r="K10638" s="12" t="s">
        <v>65</v>
      </c>
    </row>
    <row r="10639" spans="1:11" ht="40.049999999999997" customHeight="1" x14ac:dyDescent="0.25">
      <c r="A10639" s="11" t="s">
        <v>21075</v>
      </c>
      <c r="B10639" s="11" t="s">
        <v>21075</v>
      </c>
      <c r="C10639" s="11" t="s">
        <v>17</v>
      </c>
      <c r="D10639" s="11" t="s">
        <v>18</v>
      </c>
      <c r="E10639" s="12" t="s">
        <v>4186</v>
      </c>
      <c r="F10639" s="12" t="s">
        <v>4187</v>
      </c>
      <c r="G10639" s="12" t="s">
        <v>21</v>
      </c>
      <c r="H10639" s="11" t="s">
        <v>63</v>
      </c>
      <c r="I10639" s="13" t="s">
        <v>21089</v>
      </c>
      <c r="J10639" s="14" t="str">
        <f>HYPERLINK("https://www.boe.es/gazeta/dias/1839/12/12/pdfs/GMD-1839-1859.pdf#page=4","Abrir facsímil")</f>
        <v>Abrir facsímil</v>
      </c>
      <c r="K10639" s="12" t="s">
        <v>65</v>
      </c>
    </row>
    <row r="10640" spans="1:11" ht="40.049999999999997" customHeight="1" x14ac:dyDescent="0.25">
      <c r="A10640" s="11" t="s">
        <v>21075</v>
      </c>
      <c r="B10640" s="11" t="s">
        <v>21075</v>
      </c>
      <c r="C10640" s="11" t="s">
        <v>80</v>
      </c>
      <c r="D10640" s="11" t="s">
        <v>18</v>
      </c>
      <c r="E10640" s="12" t="s">
        <v>1139</v>
      </c>
      <c r="F10640" s="12" t="s">
        <v>1140</v>
      </c>
      <c r="G10640" s="12" t="s">
        <v>29</v>
      </c>
      <c r="H10640" s="11" t="s">
        <v>63</v>
      </c>
      <c r="I10640" s="13" t="s">
        <v>21090</v>
      </c>
      <c r="J10640" s="14" t="str">
        <f>HYPERLINK("https://www.boe.es/gazeta/dias/1839/02/15/pdfs/GMD-1839-1553.pdf#page=1","Abrir facsímil")</f>
        <v>Abrir facsímil</v>
      </c>
      <c r="K10640" s="12" t="s">
        <v>65</v>
      </c>
    </row>
    <row r="10641" spans="1:11" ht="40.049999999999997" customHeight="1" x14ac:dyDescent="0.25">
      <c r="A10641" s="11" t="s">
        <v>21075</v>
      </c>
      <c r="B10641" s="11" t="s">
        <v>21075</v>
      </c>
      <c r="C10641" s="11" t="s">
        <v>80</v>
      </c>
      <c r="D10641" s="11" t="s">
        <v>18</v>
      </c>
      <c r="E10641" s="12" t="s">
        <v>44</v>
      </c>
      <c r="F10641" s="12" t="s">
        <v>45</v>
      </c>
      <c r="G10641" s="12" t="s">
        <v>46</v>
      </c>
      <c r="H10641" s="11" t="s">
        <v>63</v>
      </c>
      <c r="I10641" s="13" t="s">
        <v>21091</v>
      </c>
      <c r="J10641" s="14" t="str">
        <f>HYPERLINK("https://www.boe.es/gazeta/dias/1839/11/15/pdfs/GMD-1839-1832.pdf#page=3","Abrir facsímil")</f>
        <v>Abrir facsímil</v>
      </c>
      <c r="K10641" s="12" t="s">
        <v>65</v>
      </c>
    </row>
    <row r="10642" spans="1:11" ht="40.049999999999997" customHeight="1" x14ac:dyDescent="0.25">
      <c r="A10642" s="11" t="s">
        <v>21075</v>
      </c>
      <c r="B10642" s="11" t="s">
        <v>21075</v>
      </c>
      <c r="C10642" s="11" t="s">
        <v>17</v>
      </c>
      <c r="D10642" s="11" t="s">
        <v>18</v>
      </c>
      <c r="E10642" s="12" t="s">
        <v>1027</v>
      </c>
      <c r="F10642" s="12" t="s">
        <v>1028</v>
      </c>
      <c r="G10642" s="12" t="s">
        <v>21</v>
      </c>
      <c r="H10642" s="11" t="s">
        <v>63</v>
      </c>
      <c r="I10642" s="13" t="s">
        <v>21092</v>
      </c>
      <c r="J10642" s="14" t="str">
        <f>HYPERLINK("https://www.boe.es/gazeta/dias/1839/08/16/pdfs/GMD-1839-1736.pdf#page=4","Abrir facsímil")</f>
        <v>Abrir facsímil</v>
      </c>
      <c r="K10642" s="12" t="s">
        <v>65</v>
      </c>
    </row>
    <row r="10643" spans="1:11" ht="40.049999999999997" customHeight="1" x14ac:dyDescent="0.25">
      <c r="A10643" s="11" t="s">
        <v>21075</v>
      </c>
      <c r="B10643" s="11" t="s">
        <v>21075</v>
      </c>
      <c r="C10643" s="11" t="s">
        <v>17</v>
      </c>
      <c r="D10643" s="11" t="s">
        <v>18</v>
      </c>
      <c r="E10643" s="12" t="s">
        <v>564</v>
      </c>
      <c r="F10643" s="12" t="s">
        <v>565</v>
      </c>
      <c r="G10643" s="12" t="s">
        <v>29</v>
      </c>
      <c r="H10643" s="11" t="s">
        <v>63</v>
      </c>
      <c r="I10643" s="13" t="s">
        <v>21093</v>
      </c>
      <c r="J10643" s="14" t="str">
        <f>HYPERLINK("https://www.boe.es/gazeta/dias/1839/10/17/pdfs/GMD-1839-1803.pdf#page=1","Abrir facsímil")</f>
        <v>Abrir facsímil</v>
      </c>
      <c r="K10643" s="12" t="s">
        <v>65</v>
      </c>
    </row>
    <row r="10644" spans="1:11" ht="40.049999999999997" customHeight="1" x14ac:dyDescent="0.25">
      <c r="A10644" s="11" t="s">
        <v>21075</v>
      </c>
      <c r="B10644" s="11" t="s">
        <v>21075</v>
      </c>
      <c r="C10644" s="11" t="s">
        <v>17</v>
      </c>
      <c r="D10644" s="11" t="s">
        <v>18</v>
      </c>
      <c r="E10644" s="12" t="s">
        <v>756</v>
      </c>
      <c r="F10644" s="12" t="s">
        <v>757</v>
      </c>
      <c r="G10644" s="12" t="s">
        <v>21</v>
      </c>
      <c r="H10644" s="11" t="s">
        <v>63</v>
      </c>
      <c r="I10644" s="13" t="s">
        <v>21094</v>
      </c>
      <c r="J10644" s="14" t="str">
        <f>HYPERLINK("https://www.boe.es/gazeta/dias/1839/12/17/pdfs/GMD-1839-1864.pdf#page=4","Abrir facsímil")</f>
        <v>Abrir facsímil</v>
      </c>
      <c r="K10644" s="12" t="s">
        <v>65</v>
      </c>
    </row>
    <row r="10645" spans="1:11" ht="40.049999999999997" customHeight="1" x14ac:dyDescent="0.25">
      <c r="A10645" s="11" t="s">
        <v>21075</v>
      </c>
      <c r="B10645" s="11" t="s">
        <v>21075</v>
      </c>
      <c r="C10645" s="11" t="s">
        <v>80</v>
      </c>
      <c r="D10645" s="11" t="s">
        <v>18</v>
      </c>
      <c r="E10645" s="12" t="s">
        <v>1663</v>
      </c>
      <c r="F10645" s="12" t="s">
        <v>1664</v>
      </c>
      <c r="G10645" s="12" t="s">
        <v>46</v>
      </c>
      <c r="H10645" s="11" t="s">
        <v>63</v>
      </c>
      <c r="I10645" s="13" t="s">
        <v>21095</v>
      </c>
      <c r="J10645" s="14" t="str">
        <f>HYPERLINK("https://www.boe.es/gazeta/dias/1839/03/22/pdfs/GMD-1839-1588.pdf#page=3","Abrir facsímil")</f>
        <v>Abrir facsímil</v>
      </c>
      <c r="K10645" s="12" t="s">
        <v>65</v>
      </c>
    </row>
    <row r="10646" spans="1:11" ht="40.049999999999997" customHeight="1" x14ac:dyDescent="0.25">
      <c r="A10646" s="11" t="s">
        <v>21075</v>
      </c>
      <c r="B10646" s="11" t="s">
        <v>21075</v>
      </c>
      <c r="C10646" s="11" t="s">
        <v>17</v>
      </c>
      <c r="D10646" s="11" t="s">
        <v>18</v>
      </c>
      <c r="E10646" s="12" t="s">
        <v>239</v>
      </c>
      <c r="F10646" s="12" t="s">
        <v>240</v>
      </c>
      <c r="G10646" s="12" t="s">
        <v>21</v>
      </c>
      <c r="H10646" s="11" t="s">
        <v>63</v>
      </c>
      <c r="I10646" s="13" t="s">
        <v>21096</v>
      </c>
      <c r="J10646" s="14" t="str">
        <f>HYPERLINK("https://www.boe.es/gazeta/dias/1839/09/22/pdfs/GMD-1839-1777.pdf#page=4","Abrir facsímil")</f>
        <v>Abrir facsímil</v>
      </c>
      <c r="K10646" s="12" t="s">
        <v>65</v>
      </c>
    </row>
    <row r="10647" spans="1:11" ht="40.049999999999997" customHeight="1" x14ac:dyDescent="0.25">
      <c r="A10647" s="11" t="s">
        <v>21075</v>
      </c>
      <c r="B10647" s="11" t="s">
        <v>21075</v>
      </c>
      <c r="C10647" s="11" t="s">
        <v>17</v>
      </c>
      <c r="D10647" s="11" t="s">
        <v>18</v>
      </c>
      <c r="E10647" s="12" t="s">
        <v>4108</v>
      </c>
      <c r="F10647" s="12" t="s">
        <v>4109</v>
      </c>
      <c r="G10647" s="12" t="s">
        <v>29</v>
      </c>
      <c r="H10647" s="11" t="s">
        <v>63</v>
      </c>
      <c r="I10647" s="13" t="s">
        <v>21097</v>
      </c>
      <c r="J10647" s="14" t="str">
        <f>HYPERLINK("https://www.boe.es/gazeta/dias/1839/03/23/pdfs/GMD-1839-1589.pdf#page=1","Abrir facsímil")</f>
        <v>Abrir facsímil</v>
      </c>
      <c r="K10647" s="12" t="s">
        <v>65</v>
      </c>
    </row>
    <row r="10648" spans="1:11" ht="40.049999999999997" customHeight="1" x14ac:dyDescent="0.25">
      <c r="A10648" s="11" t="s">
        <v>21075</v>
      </c>
      <c r="B10648" s="11" t="s">
        <v>21075</v>
      </c>
      <c r="C10648" s="11" t="s">
        <v>101</v>
      </c>
      <c r="D10648" s="11" t="s">
        <v>43</v>
      </c>
      <c r="E10648" s="12" t="s">
        <v>1079</v>
      </c>
      <c r="F10648" s="12" t="s">
        <v>1080</v>
      </c>
      <c r="G10648" s="12" t="s">
        <v>46</v>
      </c>
      <c r="H10648" s="11" t="s">
        <v>63</v>
      </c>
      <c r="I10648" s="13" t="s">
        <v>21098</v>
      </c>
      <c r="J10648" s="14" t="str">
        <f>HYPERLINK("https://www.boe.es/gazeta/dias/1839/05/24/pdfs/GMD-1839-1651.pdf#page=3","Abrir facsímil")</f>
        <v>Abrir facsímil</v>
      </c>
      <c r="K10648" s="12" t="s">
        <v>65</v>
      </c>
    </row>
    <row r="10649" spans="1:11" ht="40.049999999999997" customHeight="1" x14ac:dyDescent="0.25">
      <c r="A10649" s="11" t="s">
        <v>21075</v>
      </c>
      <c r="B10649" s="11" t="s">
        <v>21075</v>
      </c>
      <c r="C10649" s="11" t="s">
        <v>101</v>
      </c>
      <c r="D10649" s="11" t="s">
        <v>43</v>
      </c>
      <c r="E10649" s="12" t="s">
        <v>1079</v>
      </c>
      <c r="F10649" s="12" t="s">
        <v>1080</v>
      </c>
      <c r="G10649" s="12" t="s">
        <v>21</v>
      </c>
      <c r="H10649" s="11" t="s">
        <v>63</v>
      </c>
      <c r="I10649" s="13" t="s">
        <v>21099</v>
      </c>
      <c r="J10649" s="14" t="str">
        <f>HYPERLINK("https://www.boe.es/gazeta/dias/1839/05/24/pdfs/GMD-1839-1651.pdf#page=4","Abrir facsímil")</f>
        <v>Abrir facsímil</v>
      </c>
      <c r="K10649" s="12" t="s">
        <v>65</v>
      </c>
    </row>
    <row r="10650" spans="1:11" ht="40.049999999999997" customHeight="1" x14ac:dyDescent="0.25">
      <c r="A10650" s="11" t="s">
        <v>21075</v>
      </c>
      <c r="B10650" s="11" t="s">
        <v>21075</v>
      </c>
      <c r="C10650" s="11" t="s">
        <v>137</v>
      </c>
      <c r="D10650" s="11" t="s">
        <v>18</v>
      </c>
      <c r="E10650" s="12" t="s">
        <v>1672</v>
      </c>
      <c r="F10650" s="12" t="s">
        <v>1673</v>
      </c>
      <c r="G10650" s="12" t="s">
        <v>40</v>
      </c>
      <c r="H10650" s="11" t="s">
        <v>63</v>
      </c>
      <c r="I10650" s="13" t="s">
        <v>21100</v>
      </c>
      <c r="J10650" s="14" t="str">
        <f>HYPERLINK("https://www.boe.es/gazeta/dias/1839/08/24/pdfs/GMD-1839-1745.pdf#page=2","Abrir facsímil")</f>
        <v>Abrir facsímil</v>
      </c>
      <c r="K10650" s="12" t="s">
        <v>65</v>
      </c>
    </row>
    <row r="10651" spans="1:11" ht="40.049999999999997" customHeight="1" x14ac:dyDescent="0.25">
      <c r="A10651" s="11" t="s">
        <v>21075</v>
      </c>
      <c r="B10651" s="11" t="s">
        <v>21075</v>
      </c>
      <c r="C10651" s="11" t="s">
        <v>17</v>
      </c>
      <c r="D10651" s="11" t="s">
        <v>18</v>
      </c>
      <c r="E10651" s="12" t="s">
        <v>284</v>
      </c>
      <c r="F10651" s="12" t="s">
        <v>285</v>
      </c>
      <c r="G10651" s="12" t="s">
        <v>21</v>
      </c>
      <c r="H10651" s="11" t="s">
        <v>63</v>
      </c>
      <c r="I10651" s="13" t="s">
        <v>21101</v>
      </c>
      <c r="J10651" s="14" t="str">
        <f>HYPERLINK("https://www.boe.es/gazeta/dias/1839/01/27/pdfs/GMD-1839-1534.pdf#page=4","Abrir facsímil")</f>
        <v>Abrir facsímil</v>
      </c>
      <c r="K10651" s="12" t="s">
        <v>65</v>
      </c>
    </row>
    <row r="10652" spans="1:11" ht="40.049999999999997" customHeight="1" x14ac:dyDescent="0.25">
      <c r="A10652" s="11" t="s">
        <v>21075</v>
      </c>
      <c r="B10652" s="11" t="s">
        <v>21075</v>
      </c>
      <c r="C10652" s="11" t="s">
        <v>17</v>
      </c>
      <c r="D10652" s="11" t="s">
        <v>18</v>
      </c>
      <c r="E10652" s="12" t="s">
        <v>1490</v>
      </c>
      <c r="F10652" s="12" t="s">
        <v>1491</v>
      </c>
      <c r="G10652" s="12" t="s">
        <v>29</v>
      </c>
      <c r="H10652" s="11" t="s">
        <v>63</v>
      </c>
      <c r="I10652" s="13" t="s">
        <v>21102</v>
      </c>
      <c r="J10652" s="14" t="str">
        <f>HYPERLINK("https://www.boe.es/gazeta/dias/1839/02/27/pdfs/GMD-1839-1565.pdf#page=1","Abrir facsímil")</f>
        <v>Abrir facsímil</v>
      </c>
      <c r="K10652" s="12" t="s">
        <v>65</v>
      </c>
    </row>
    <row r="10653" spans="1:11" ht="40.049999999999997" customHeight="1" x14ac:dyDescent="0.25">
      <c r="A10653" s="11" t="s">
        <v>21075</v>
      </c>
      <c r="B10653" s="11" t="s">
        <v>21075</v>
      </c>
      <c r="C10653" s="11" t="s">
        <v>17</v>
      </c>
      <c r="D10653" s="11" t="s">
        <v>18</v>
      </c>
      <c r="E10653" s="12" t="s">
        <v>571</v>
      </c>
      <c r="F10653" s="12" t="s">
        <v>572</v>
      </c>
      <c r="G10653" s="12" t="s">
        <v>46</v>
      </c>
      <c r="H10653" s="11" t="s">
        <v>63</v>
      </c>
      <c r="I10653" s="13" t="s">
        <v>21103</v>
      </c>
      <c r="J10653" s="14" t="str">
        <f>HYPERLINK("https://www.boe.es/gazeta/dias/1839/09/27/pdfs/GMD-1839-1783.pdf#page=3","Abrir facsímil")</f>
        <v>Abrir facsímil</v>
      </c>
      <c r="K10653" s="12" t="s">
        <v>65</v>
      </c>
    </row>
    <row r="10654" spans="1:11" ht="40.049999999999997" customHeight="1" x14ac:dyDescent="0.25">
      <c r="A10654" s="11" t="s">
        <v>21075</v>
      </c>
      <c r="B10654" s="11" t="s">
        <v>21075</v>
      </c>
      <c r="C10654" s="11" t="s">
        <v>137</v>
      </c>
      <c r="D10654" s="11" t="s">
        <v>18</v>
      </c>
      <c r="E10654" s="12" t="s">
        <v>1909</v>
      </c>
      <c r="F10654" s="12" t="s">
        <v>1910</v>
      </c>
      <c r="G10654" s="12" t="s">
        <v>21</v>
      </c>
      <c r="H10654" s="11" t="s">
        <v>63</v>
      </c>
      <c r="I10654" s="13" t="s">
        <v>21104</v>
      </c>
      <c r="J10654" s="14" t="str">
        <f>HYPERLINK("https://www.boe.es/gazeta/dias/1839/10/27/pdfs/GMD-1839-1813.pdf#page=4","Abrir facsímil")</f>
        <v>Abrir facsímil</v>
      </c>
      <c r="K10654" s="12" t="s">
        <v>65</v>
      </c>
    </row>
    <row r="10655" spans="1:11" ht="40.049999999999997" customHeight="1" x14ac:dyDescent="0.25">
      <c r="A10655" s="11" t="s">
        <v>21075</v>
      </c>
      <c r="B10655" s="11" t="s">
        <v>21075</v>
      </c>
      <c r="C10655" s="11" t="s">
        <v>59</v>
      </c>
      <c r="D10655" s="11" t="s">
        <v>60</v>
      </c>
      <c r="E10655" s="12" t="s">
        <v>1749</v>
      </c>
      <c r="F10655" s="12" t="s">
        <v>1750</v>
      </c>
      <c r="G10655" s="12" t="s">
        <v>29</v>
      </c>
      <c r="H10655" s="11" t="s">
        <v>63</v>
      </c>
      <c r="I10655" s="13" t="s">
        <v>21105</v>
      </c>
      <c r="J10655" s="14" t="str">
        <f>HYPERLINK("https://www.boe.es/gazeta/dias/1839/06/28/pdfs/GMD-1839-1686.pdf#page=1","Abrir facsímil")</f>
        <v>Abrir facsímil</v>
      </c>
      <c r="K10655" s="12" t="s">
        <v>65</v>
      </c>
    </row>
    <row r="10656" spans="1:11" ht="40.049999999999997" customHeight="1" x14ac:dyDescent="0.25">
      <c r="A10656" s="11" t="s">
        <v>21075</v>
      </c>
      <c r="B10656" s="11" t="s">
        <v>21075</v>
      </c>
      <c r="C10656" s="11" t="s">
        <v>17</v>
      </c>
      <c r="D10656" s="11" t="s">
        <v>18</v>
      </c>
      <c r="E10656" s="12" t="s">
        <v>1749</v>
      </c>
      <c r="F10656" s="12" t="s">
        <v>1750</v>
      </c>
      <c r="G10656" s="12" t="s">
        <v>46</v>
      </c>
      <c r="H10656" s="11" t="s">
        <v>63</v>
      </c>
      <c r="I10656" s="13" t="s">
        <v>21106</v>
      </c>
      <c r="J10656" s="14" t="str">
        <f>HYPERLINK("https://www.boe.es/gazeta/dias/1839/06/28/pdfs/GMD-1839-1686.pdf#page=3","Abrir facsímil")</f>
        <v>Abrir facsímil</v>
      </c>
      <c r="K10656" s="12" t="s">
        <v>65</v>
      </c>
    </row>
    <row r="10657" spans="1:11" ht="40.049999999999997" customHeight="1" x14ac:dyDescent="0.25">
      <c r="A10657" s="11" t="s">
        <v>21075</v>
      </c>
      <c r="B10657" s="11" t="s">
        <v>21075</v>
      </c>
      <c r="C10657" s="11" t="s">
        <v>137</v>
      </c>
      <c r="D10657" s="11" t="s">
        <v>18</v>
      </c>
      <c r="E10657" s="12" t="s">
        <v>489</v>
      </c>
      <c r="F10657" s="12" t="s">
        <v>490</v>
      </c>
      <c r="G10657" s="12" t="s">
        <v>21</v>
      </c>
      <c r="H10657" s="11" t="s">
        <v>63</v>
      </c>
      <c r="I10657" s="13" t="s">
        <v>21107</v>
      </c>
      <c r="J10657" s="14" t="str">
        <f>HYPERLINK("https://www.boe.es/gazeta/dias/1839/06/29/pdfs/GMD-1839-1687.pdf#page=4","Abrir facsímil")</f>
        <v>Abrir facsímil</v>
      </c>
      <c r="K10657" s="12" t="s">
        <v>65</v>
      </c>
    </row>
    <row r="10658" spans="1:11" ht="40.049999999999997" customHeight="1" x14ac:dyDescent="0.25">
      <c r="A10658" s="11" t="s">
        <v>21075</v>
      </c>
      <c r="B10658" s="11" t="s">
        <v>21075</v>
      </c>
      <c r="C10658" s="11" t="s">
        <v>17</v>
      </c>
      <c r="D10658" s="11" t="s">
        <v>18</v>
      </c>
      <c r="E10658" s="12" t="s">
        <v>474</v>
      </c>
      <c r="F10658" s="12" t="s">
        <v>475</v>
      </c>
      <c r="G10658" s="12" t="s">
        <v>46</v>
      </c>
      <c r="H10658" s="11" t="s">
        <v>63</v>
      </c>
      <c r="I10658" s="13" t="s">
        <v>21108</v>
      </c>
      <c r="J10658" s="14" t="str">
        <f>HYPERLINK("https://www.boe.es/gazeta/dias/1839/03/31/pdfs/GMD-1839-1597.pdf#page=3","Abrir facsímil")</f>
        <v>Abrir facsímil</v>
      </c>
      <c r="K10658" s="12" t="s">
        <v>65</v>
      </c>
    </row>
    <row r="10659" spans="1:11" ht="40.049999999999997" customHeight="1" x14ac:dyDescent="0.25">
      <c r="A10659" s="11" t="s">
        <v>21109</v>
      </c>
      <c r="B10659" s="11" t="s">
        <v>21110</v>
      </c>
      <c r="C10659" s="11" t="s">
        <v>17</v>
      </c>
      <c r="D10659" s="11" t="s">
        <v>43</v>
      </c>
      <c r="E10659" s="12" t="s">
        <v>1179</v>
      </c>
      <c r="F10659" s="12" t="s">
        <v>1180</v>
      </c>
      <c r="G10659" s="12" t="s">
        <v>305</v>
      </c>
      <c r="H10659" s="11" t="s">
        <v>22</v>
      </c>
      <c r="I10659" s="13" t="s">
        <v>21111</v>
      </c>
      <c r="J10659" s="14" t="str">
        <f>HYPERLINK("https://www.boe.es/gazeta/dias/1839/10/18/pdfs/GMD-1839-1804.pdf#page=6","Abrir facsímil")</f>
        <v>Abrir facsímil</v>
      </c>
      <c r="K10659" s="12" t="s">
        <v>24</v>
      </c>
    </row>
    <row r="10660" spans="1:11" ht="40.049999999999997" customHeight="1" x14ac:dyDescent="0.25">
      <c r="A10660" s="11" t="s">
        <v>21112</v>
      </c>
      <c r="B10660" s="11" t="s">
        <v>21113</v>
      </c>
      <c r="C10660" s="11" t="s">
        <v>17</v>
      </c>
      <c r="D10660" s="11" t="s">
        <v>18</v>
      </c>
      <c r="E10660" s="12" t="s">
        <v>1460</v>
      </c>
      <c r="F10660" s="12" t="s">
        <v>1461</v>
      </c>
      <c r="G10660" s="12" t="s">
        <v>46</v>
      </c>
      <c r="H10660" s="11" t="s">
        <v>22</v>
      </c>
      <c r="I10660" s="13" t="s">
        <v>21114</v>
      </c>
      <c r="J10660" s="14" t="str">
        <f>HYPERLINK("https://www.boe.es/gazeta/dias/1839/03/01/pdfs/GMD-1839-1567.pdf#page=3","Abrir facsímil")</f>
        <v>Abrir facsímil</v>
      </c>
      <c r="K10660" s="12" t="s">
        <v>24</v>
      </c>
    </row>
    <row r="10661" spans="1:11" ht="40.049999999999997" customHeight="1" x14ac:dyDescent="0.25">
      <c r="A10661" s="11" t="s">
        <v>21115</v>
      </c>
      <c r="B10661" s="11" t="s">
        <v>21116</v>
      </c>
      <c r="C10661" s="11" t="s">
        <v>137</v>
      </c>
      <c r="D10661" s="11" t="s">
        <v>18</v>
      </c>
      <c r="E10661" s="12" t="s">
        <v>2881</v>
      </c>
      <c r="F10661" s="12" t="s">
        <v>2882</v>
      </c>
      <c r="G10661" s="12" t="s">
        <v>21</v>
      </c>
      <c r="H10661" s="11" t="s">
        <v>22</v>
      </c>
      <c r="I10661" s="13" t="s">
        <v>21117</v>
      </c>
      <c r="J10661" s="14" t="str">
        <f>HYPERLINK("https://www.boe.es/gazeta/dias/1839/05/08/pdfs/GMD-1839-1635.pdf#page=4","Abrir facsímil")</f>
        <v>Abrir facsímil</v>
      </c>
      <c r="K10661" s="12" t="s">
        <v>24</v>
      </c>
    </row>
    <row r="10662" spans="1:11" ht="40.049999999999997" customHeight="1" x14ac:dyDescent="0.25">
      <c r="A10662" s="11" t="s">
        <v>21115</v>
      </c>
      <c r="B10662" s="11" t="s">
        <v>21116</v>
      </c>
      <c r="C10662" s="11" t="s">
        <v>17</v>
      </c>
      <c r="D10662" s="11" t="s">
        <v>18</v>
      </c>
      <c r="E10662" s="12" t="s">
        <v>1100</v>
      </c>
      <c r="F10662" s="12" t="s">
        <v>1101</v>
      </c>
      <c r="G10662" s="12" t="s">
        <v>21</v>
      </c>
      <c r="H10662" s="11" t="s">
        <v>22</v>
      </c>
      <c r="I10662" s="13" t="s">
        <v>21118</v>
      </c>
      <c r="J10662" s="14" t="str">
        <f>HYPERLINK("https://www.boe.es/gazeta/dias/1839/09/13/pdfs/GMD-1839-1766.pdf#page=4","Abrir facsímil")</f>
        <v>Abrir facsímil</v>
      </c>
      <c r="K10662" s="12" t="s">
        <v>24</v>
      </c>
    </row>
    <row r="10663" spans="1:11" ht="40.049999999999997" customHeight="1" x14ac:dyDescent="0.25">
      <c r="A10663" s="11" t="s">
        <v>21115</v>
      </c>
      <c r="B10663" s="11" t="s">
        <v>21116</v>
      </c>
      <c r="C10663" s="11" t="s">
        <v>80</v>
      </c>
      <c r="D10663" s="11" t="s">
        <v>18</v>
      </c>
      <c r="E10663" s="12" t="s">
        <v>2320</v>
      </c>
      <c r="F10663" s="12" t="s">
        <v>2321</v>
      </c>
      <c r="G10663" s="12" t="s">
        <v>21</v>
      </c>
      <c r="H10663" s="11" t="s">
        <v>22</v>
      </c>
      <c r="I10663" s="13" t="s">
        <v>21119</v>
      </c>
      <c r="J10663" s="14" t="str">
        <f>HYPERLINK("https://www.boe.es/gazeta/dias/1839/11/13/pdfs/GMD-1839-1830.pdf#page=4","Abrir facsímil")</f>
        <v>Abrir facsímil</v>
      </c>
      <c r="K10663" s="12" t="s">
        <v>24</v>
      </c>
    </row>
    <row r="10664" spans="1:11" ht="40.049999999999997" customHeight="1" x14ac:dyDescent="0.25">
      <c r="A10664" s="11" t="s">
        <v>21115</v>
      </c>
      <c r="B10664" s="11" t="s">
        <v>21116</v>
      </c>
      <c r="C10664" s="11" t="s">
        <v>17</v>
      </c>
      <c r="D10664" s="11" t="s">
        <v>18</v>
      </c>
      <c r="E10664" s="12" t="s">
        <v>695</v>
      </c>
      <c r="F10664" s="12" t="s">
        <v>696</v>
      </c>
      <c r="G10664" s="12" t="s">
        <v>21</v>
      </c>
      <c r="H10664" s="11" t="s">
        <v>22</v>
      </c>
      <c r="I10664" s="13" t="s">
        <v>21120</v>
      </c>
      <c r="J10664" s="14" t="str">
        <f>HYPERLINK("https://www.boe.es/gazeta/dias/1839/12/19/pdfs/GMD-1839-1866.pdf#page=4","Abrir facsímil")</f>
        <v>Abrir facsímil</v>
      </c>
      <c r="K10664" s="12" t="s">
        <v>24</v>
      </c>
    </row>
    <row r="10665" spans="1:11" ht="40.049999999999997" customHeight="1" x14ac:dyDescent="0.25">
      <c r="A10665" s="11" t="s">
        <v>21115</v>
      </c>
      <c r="B10665" s="11" t="s">
        <v>21116</v>
      </c>
      <c r="C10665" s="11" t="s">
        <v>80</v>
      </c>
      <c r="D10665" s="11" t="s">
        <v>18</v>
      </c>
      <c r="E10665" s="12" t="s">
        <v>4108</v>
      </c>
      <c r="F10665" s="12" t="s">
        <v>4109</v>
      </c>
      <c r="G10665" s="12" t="s">
        <v>29</v>
      </c>
      <c r="H10665" s="11" t="s">
        <v>22</v>
      </c>
      <c r="I10665" s="13" t="s">
        <v>21121</v>
      </c>
      <c r="J10665" s="14" t="str">
        <f>HYPERLINK("https://www.boe.es/gazeta/dias/1839/03/23/pdfs/GMD-1839-1589.pdf#page=1","Abrir facsímil")</f>
        <v>Abrir facsímil</v>
      </c>
      <c r="K10665" s="12" t="s">
        <v>24</v>
      </c>
    </row>
    <row r="10666" spans="1:11" ht="40.049999999999997" customHeight="1" x14ac:dyDescent="0.25">
      <c r="A10666" s="11" t="s">
        <v>21115</v>
      </c>
      <c r="B10666" s="11" t="s">
        <v>21116</v>
      </c>
      <c r="C10666" s="11" t="s">
        <v>17</v>
      </c>
      <c r="D10666" s="11" t="s">
        <v>18</v>
      </c>
      <c r="E10666" s="12" t="s">
        <v>479</v>
      </c>
      <c r="F10666" s="12" t="s">
        <v>480</v>
      </c>
      <c r="G10666" s="12" t="s">
        <v>21</v>
      </c>
      <c r="H10666" s="11" t="s">
        <v>22</v>
      </c>
      <c r="I10666" s="13" t="s">
        <v>21122</v>
      </c>
      <c r="J10666" s="14" t="str">
        <f>HYPERLINK("https://www.boe.es/gazeta/dias/1839/06/24/pdfs/GMD-1839-1682.pdf#page=4","Abrir facsímil")</f>
        <v>Abrir facsímil</v>
      </c>
      <c r="K10666" s="12" t="s">
        <v>24</v>
      </c>
    </row>
    <row r="10667" spans="1:11" ht="40.049999999999997" customHeight="1" x14ac:dyDescent="0.25">
      <c r="A10667" s="11" t="s">
        <v>21123</v>
      </c>
      <c r="B10667" s="11" t="s">
        <v>21124</v>
      </c>
      <c r="C10667" s="11" t="s">
        <v>17</v>
      </c>
      <c r="D10667" s="11" t="s">
        <v>18</v>
      </c>
      <c r="E10667" s="12" t="s">
        <v>258</v>
      </c>
      <c r="F10667" s="12" t="s">
        <v>259</v>
      </c>
      <c r="G10667" s="12" t="s">
        <v>46</v>
      </c>
      <c r="H10667" s="11" t="s">
        <v>22</v>
      </c>
      <c r="I10667" s="13" t="s">
        <v>21125</v>
      </c>
      <c r="J10667" s="14" t="str">
        <f>HYPERLINK("https://www.boe.es/gazeta/dias/1839/01/02/pdfs/GMD-1839-1509.pdf#page=3","Abrir facsímil")</f>
        <v>Abrir facsímil</v>
      </c>
      <c r="K10667" s="12" t="s">
        <v>24</v>
      </c>
    </row>
    <row r="10668" spans="1:11" ht="40.049999999999997" customHeight="1" x14ac:dyDescent="0.25">
      <c r="A10668" s="11" t="s">
        <v>21126</v>
      </c>
      <c r="B10668" s="11" t="s">
        <v>21127</v>
      </c>
      <c r="C10668" s="11" t="s">
        <v>17</v>
      </c>
      <c r="D10668" s="11" t="s">
        <v>18</v>
      </c>
      <c r="E10668" s="12" t="s">
        <v>258</v>
      </c>
      <c r="F10668" s="12" t="s">
        <v>259</v>
      </c>
      <c r="G10668" s="12" t="s">
        <v>46</v>
      </c>
      <c r="H10668" s="11" t="s">
        <v>22</v>
      </c>
      <c r="I10668" s="13" t="s">
        <v>21128</v>
      </c>
      <c r="J10668" s="14" t="str">
        <f>HYPERLINK("https://www.boe.es/gazeta/dias/1839/01/02/pdfs/GMD-1839-1509.pdf#page=3","Abrir facsímil")</f>
        <v>Abrir facsímil</v>
      </c>
      <c r="K10668" s="12" t="s">
        <v>24</v>
      </c>
    </row>
    <row r="10669" spans="1:11" ht="40.049999999999997" customHeight="1" x14ac:dyDescent="0.25">
      <c r="A10669" s="11" t="s">
        <v>21129</v>
      </c>
      <c r="B10669" s="11" t="s">
        <v>21130</v>
      </c>
      <c r="C10669" s="11" t="s">
        <v>17</v>
      </c>
      <c r="D10669" s="11" t="s">
        <v>18</v>
      </c>
      <c r="E10669" s="12" t="s">
        <v>258</v>
      </c>
      <c r="F10669" s="12" t="s">
        <v>259</v>
      </c>
      <c r="G10669" s="12" t="s">
        <v>46</v>
      </c>
      <c r="H10669" s="11" t="s">
        <v>22</v>
      </c>
      <c r="I10669" s="13" t="s">
        <v>21131</v>
      </c>
      <c r="J10669" s="14" t="str">
        <f>HYPERLINK("https://www.boe.es/gazeta/dias/1839/01/02/pdfs/GMD-1839-1509.pdf#page=3","Abrir facsímil")</f>
        <v>Abrir facsímil</v>
      </c>
      <c r="K10669" s="12" t="s">
        <v>24</v>
      </c>
    </row>
    <row r="10670" spans="1:11" ht="40.049999999999997" customHeight="1" x14ac:dyDescent="0.25">
      <c r="A10670" s="11" t="s">
        <v>21132</v>
      </c>
      <c r="B10670" s="11" t="s">
        <v>21133</v>
      </c>
      <c r="C10670" s="11" t="s">
        <v>17</v>
      </c>
      <c r="D10670" s="11" t="s">
        <v>18</v>
      </c>
      <c r="E10670" s="12" t="s">
        <v>1623</v>
      </c>
      <c r="F10670" s="12" t="s">
        <v>1624</v>
      </c>
      <c r="G10670" s="12" t="s">
        <v>21</v>
      </c>
      <c r="H10670" s="11" t="s">
        <v>63</v>
      </c>
      <c r="I10670" s="13" t="s">
        <v>21134</v>
      </c>
      <c r="J10670" s="14" t="str">
        <f>HYPERLINK("https://www.boe.es/gazeta/dias/1839/04/07/pdfs/GMD-1839-1604.pdf#page=4","Abrir facsímil")</f>
        <v>Abrir facsímil</v>
      </c>
      <c r="K10670" s="12" t="s">
        <v>65</v>
      </c>
    </row>
    <row r="10671" spans="1:11" ht="40.049999999999997" customHeight="1" x14ac:dyDescent="0.25">
      <c r="A10671" s="11" t="s">
        <v>21135</v>
      </c>
      <c r="B10671" s="11" t="s">
        <v>21136</v>
      </c>
      <c r="C10671" s="11" t="s">
        <v>80</v>
      </c>
      <c r="D10671" s="11" t="s">
        <v>173</v>
      </c>
      <c r="E10671" s="12" t="s">
        <v>1512</v>
      </c>
      <c r="F10671" s="12" t="s">
        <v>1513</v>
      </c>
      <c r="G10671" s="12" t="s">
        <v>21</v>
      </c>
      <c r="H10671" s="11" t="s">
        <v>63</v>
      </c>
      <c r="I10671" s="13" t="s">
        <v>21137</v>
      </c>
      <c r="J10671" s="14" t="str">
        <f>HYPERLINK("https://www.boe.es/gazeta/dias/1839/04/13/pdfs/GMD-1839-1610.pdf#page=4","Abrir facsímil")</f>
        <v>Abrir facsímil</v>
      </c>
      <c r="K10671" s="12" t="s">
        <v>65</v>
      </c>
    </row>
    <row r="10672" spans="1:11" ht="40.049999999999997" customHeight="1" x14ac:dyDescent="0.25">
      <c r="A10672" s="11" t="s">
        <v>21135</v>
      </c>
      <c r="B10672" s="11" t="s">
        <v>21136</v>
      </c>
      <c r="C10672" s="11" t="s">
        <v>80</v>
      </c>
      <c r="D10672" s="11" t="s">
        <v>18</v>
      </c>
      <c r="E10672" s="12" t="s">
        <v>2320</v>
      </c>
      <c r="F10672" s="12" t="s">
        <v>2321</v>
      </c>
      <c r="G10672" s="12" t="s">
        <v>21</v>
      </c>
      <c r="H10672" s="11" t="s">
        <v>63</v>
      </c>
      <c r="I10672" s="13" t="s">
        <v>21138</v>
      </c>
      <c r="J10672" s="14" t="str">
        <f>HYPERLINK("https://www.boe.es/gazeta/dias/1839/11/13/pdfs/GMD-1839-1830.pdf#page=4","Abrir facsímil")</f>
        <v>Abrir facsímil</v>
      </c>
      <c r="K10672" s="12" t="s">
        <v>65</v>
      </c>
    </row>
    <row r="10673" spans="1:11" ht="40.049999999999997" customHeight="1" x14ac:dyDescent="0.25">
      <c r="A10673" s="11" t="s">
        <v>21135</v>
      </c>
      <c r="B10673" s="11" t="s">
        <v>21136</v>
      </c>
      <c r="C10673" s="11" t="s">
        <v>17</v>
      </c>
      <c r="D10673" s="11" t="s">
        <v>18</v>
      </c>
      <c r="E10673" s="12" t="s">
        <v>1301</v>
      </c>
      <c r="F10673" s="12" t="s">
        <v>1302</v>
      </c>
      <c r="G10673" s="12" t="s">
        <v>46</v>
      </c>
      <c r="H10673" s="11" t="s">
        <v>63</v>
      </c>
      <c r="I10673" s="13" t="s">
        <v>21139</v>
      </c>
      <c r="J10673" s="14" t="str">
        <f>HYPERLINK("https://www.boe.es/gazeta/dias/1839/11/16/pdfs/GMD-1839-1833.pdf#page=3","Abrir facsímil")</f>
        <v>Abrir facsímil</v>
      </c>
      <c r="K10673" s="12" t="s">
        <v>65</v>
      </c>
    </row>
    <row r="10674" spans="1:11" ht="40.049999999999997" customHeight="1" x14ac:dyDescent="0.25">
      <c r="A10674" s="11" t="s">
        <v>21135</v>
      </c>
      <c r="B10674" s="11" t="s">
        <v>21136</v>
      </c>
      <c r="C10674" s="11" t="s">
        <v>17</v>
      </c>
      <c r="D10674" s="11" t="s">
        <v>18</v>
      </c>
      <c r="E10674" s="12" t="s">
        <v>1584</v>
      </c>
      <c r="F10674" s="12" t="s">
        <v>1585</v>
      </c>
      <c r="G10674" s="12" t="s">
        <v>46</v>
      </c>
      <c r="H10674" s="11" t="s">
        <v>63</v>
      </c>
      <c r="I10674" s="13" t="s">
        <v>21140</v>
      </c>
      <c r="J10674" s="14" t="str">
        <f>HYPERLINK("https://www.boe.es/gazeta/dias/1839/11/20/pdfs/GMD-1839-1837.pdf#page=3","Abrir facsímil")</f>
        <v>Abrir facsímil</v>
      </c>
      <c r="K10674" s="12" t="s">
        <v>65</v>
      </c>
    </row>
    <row r="10675" spans="1:11" ht="40.049999999999997" customHeight="1" x14ac:dyDescent="0.25">
      <c r="A10675" s="11" t="s">
        <v>21135</v>
      </c>
      <c r="B10675" s="11" t="s">
        <v>21136</v>
      </c>
      <c r="C10675" s="11" t="s">
        <v>17</v>
      </c>
      <c r="D10675" s="11" t="s">
        <v>18</v>
      </c>
      <c r="E10675" s="12" t="s">
        <v>94</v>
      </c>
      <c r="F10675" s="12" t="s">
        <v>95</v>
      </c>
      <c r="G10675" s="12" t="s">
        <v>40</v>
      </c>
      <c r="H10675" s="11" t="s">
        <v>63</v>
      </c>
      <c r="I10675" s="13" t="s">
        <v>21141</v>
      </c>
      <c r="J10675" s="14" t="str">
        <f>HYPERLINK("https://www.boe.es/gazeta/dias/1839/02/24/pdfs/GMD-1839-1562.pdf#page=2","Abrir facsímil")</f>
        <v>Abrir facsímil</v>
      </c>
      <c r="K10675" s="12" t="s">
        <v>65</v>
      </c>
    </row>
    <row r="10676" spans="1:11" ht="40.049999999999997" customHeight="1" x14ac:dyDescent="0.25">
      <c r="A10676" s="11" t="s">
        <v>21135</v>
      </c>
      <c r="B10676" s="11" t="s">
        <v>21136</v>
      </c>
      <c r="C10676" s="11" t="s">
        <v>17</v>
      </c>
      <c r="D10676" s="11" t="s">
        <v>18</v>
      </c>
      <c r="E10676" s="12" t="s">
        <v>479</v>
      </c>
      <c r="F10676" s="12" t="s">
        <v>480</v>
      </c>
      <c r="G10676" s="12" t="s">
        <v>21</v>
      </c>
      <c r="H10676" s="11" t="s">
        <v>63</v>
      </c>
      <c r="I10676" s="13" t="s">
        <v>21142</v>
      </c>
      <c r="J10676" s="14" t="str">
        <f>HYPERLINK("https://www.boe.es/gazeta/dias/1839/06/24/pdfs/GMD-1839-1682.pdf#page=4","Abrir facsímil")</f>
        <v>Abrir facsímil</v>
      </c>
      <c r="K10676" s="12" t="s">
        <v>65</v>
      </c>
    </row>
    <row r="10677" spans="1:11" ht="40.049999999999997" customHeight="1" x14ac:dyDescent="0.25">
      <c r="A10677" s="11" t="s">
        <v>21143</v>
      </c>
      <c r="B10677" s="11" t="s">
        <v>21144</v>
      </c>
      <c r="C10677" s="11" t="s">
        <v>80</v>
      </c>
      <c r="D10677" s="11" t="s">
        <v>18</v>
      </c>
      <c r="E10677" s="12" t="s">
        <v>355</v>
      </c>
      <c r="F10677" s="12" t="s">
        <v>356</v>
      </c>
      <c r="G10677" s="12" t="s">
        <v>21</v>
      </c>
      <c r="H10677" s="11" t="s">
        <v>22</v>
      </c>
      <c r="I10677" s="13" t="s">
        <v>21145</v>
      </c>
      <c r="J10677" s="14" t="str">
        <f>HYPERLINK("https://www.boe.es/gazeta/dias/1839/05/31/pdfs/GMD-1839-1658.pdf#page=4","Abrir facsímil")</f>
        <v>Abrir facsímil</v>
      </c>
      <c r="K10677" s="12" t="s">
        <v>24</v>
      </c>
    </row>
    <row r="10678" spans="1:11" ht="40.049999999999997" customHeight="1" x14ac:dyDescent="0.25">
      <c r="A10678" s="11" t="s">
        <v>21146</v>
      </c>
      <c r="B10678" s="11" t="s">
        <v>21147</v>
      </c>
      <c r="C10678" s="11" t="s">
        <v>59</v>
      </c>
      <c r="D10678" s="11" t="s">
        <v>60</v>
      </c>
      <c r="E10678" s="12" t="s">
        <v>433</v>
      </c>
      <c r="F10678" s="12" t="s">
        <v>434</v>
      </c>
      <c r="G10678" s="12" t="s">
        <v>46</v>
      </c>
      <c r="H10678" s="11" t="s">
        <v>63</v>
      </c>
      <c r="I10678" s="13" t="s">
        <v>21148</v>
      </c>
      <c r="J10678" s="14" t="str">
        <f>HYPERLINK("https://www.boe.es/gazeta/dias/1839/01/20/pdfs/GMD-1839-1527.pdf#page=3","Abrir facsímil")</f>
        <v>Abrir facsímil</v>
      </c>
      <c r="K10678" s="12" t="s">
        <v>65</v>
      </c>
    </row>
    <row r="10679" spans="1:11" ht="40.049999999999997" customHeight="1" x14ac:dyDescent="0.25">
      <c r="A10679" s="11" t="s">
        <v>21149</v>
      </c>
      <c r="B10679" s="11" t="s">
        <v>21150</v>
      </c>
      <c r="C10679" s="11" t="s">
        <v>59</v>
      </c>
      <c r="D10679" s="11" t="s">
        <v>60</v>
      </c>
      <c r="E10679" s="12" t="s">
        <v>68</v>
      </c>
      <c r="F10679" s="12" t="s">
        <v>69</v>
      </c>
      <c r="G10679" s="12" t="s">
        <v>29</v>
      </c>
      <c r="H10679" s="11" t="s">
        <v>22</v>
      </c>
      <c r="I10679" s="13" t="s">
        <v>21151</v>
      </c>
      <c r="J10679" s="14" t="str">
        <f>HYPERLINK("https://www.boe.es/gazeta/dias/1839/02/09/pdfs/GMD-1839-1547.pdf#page=1","Abrir facsímil")</f>
        <v>Abrir facsímil</v>
      </c>
      <c r="K10679" s="12" t="s">
        <v>24</v>
      </c>
    </row>
    <row r="10680" spans="1:11" ht="40.049999999999997" customHeight="1" x14ac:dyDescent="0.25">
      <c r="A10680" s="11" t="s">
        <v>21152</v>
      </c>
      <c r="B10680" s="11" t="s">
        <v>21152</v>
      </c>
      <c r="C10680" s="11" t="s">
        <v>137</v>
      </c>
      <c r="D10680" s="11" t="s">
        <v>18</v>
      </c>
      <c r="E10680" s="12" t="s">
        <v>138</v>
      </c>
      <c r="F10680" s="12" t="s">
        <v>139</v>
      </c>
      <c r="G10680" s="12" t="s">
        <v>21</v>
      </c>
      <c r="H10680" s="11" t="s">
        <v>63</v>
      </c>
      <c r="I10680" s="13" t="s">
        <v>21153</v>
      </c>
      <c r="J10680" s="14" t="str">
        <f>HYPERLINK("https://www.boe.es/gazeta/dias/1839/10/09/pdfs/GMD-1839-1795.pdf#page=4","Abrir facsímil")</f>
        <v>Abrir facsímil</v>
      </c>
      <c r="K10680" s="12" t="s">
        <v>65</v>
      </c>
    </row>
    <row r="10681" spans="1:11" ht="40.049999999999997" customHeight="1" x14ac:dyDescent="0.25">
      <c r="A10681" s="11" t="s">
        <v>21152</v>
      </c>
      <c r="B10681" s="11" t="s">
        <v>21152</v>
      </c>
      <c r="C10681" s="11" t="s">
        <v>17</v>
      </c>
      <c r="D10681" s="11" t="s">
        <v>18</v>
      </c>
      <c r="E10681" s="12" t="s">
        <v>395</v>
      </c>
      <c r="F10681" s="12" t="s">
        <v>396</v>
      </c>
      <c r="G10681" s="12" t="s">
        <v>46</v>
      </c>
      <c r="H10681" s="11" t="s">
        <v>63</v>
      </c>
      <c r="I10681" s="13" t="s">
        <v>21154</v>
      </c>
      <c r="J10681" s="14" t="str">
        <f>HYPERLINK("https://www.boe.es/gazeta/dias/1839/03/15/pdfs/GMD-1839-1581.pdf#page=3","Abrir facsímil")</f>
        <v>Abrir facsímil</v>
      </c>
      <c r="K10681" s="12" t="s">
        <v>65</v>
      </c>
    </row>
    <row r="10682" spans="1:11" ht="40.049999999999997" customHeight="1" x14ac:dyDescent="0.25">
      <c r="A10682" s="11" t="s">
        <v>21155</v>
      </c>
      <c r="B10682" s="11" t="s">
        <v>21155</v>
      </c>
      <c r="C10682" s="11" t="s">
        <v>80</v>
      </c>
      <c r="D10682" s="11" t="s">
        <v>18</v>
      </c>
      <c r="E10682" s="12" t="s">
        <v>369</v>
      </c>
      <c r="F10682" s="12" t="s">
        <v>370</v>
      </c>
      <c r="G10682" s="12" t="s">
        <v>21</v>
      </c>
      <c r="H10682" s="11" t="s">
        <v>22</v>
      </c>
      <c r="I10682" s="13" t="s">
        <v>21156</v>
      </c>
      <c r="J10682" s="14" t="str">
        <f>HYPERLINK("https://www.boe.es/gazeta/dias/1839/11/01/pdfs/GMD-1839-1818.pdf#page=4","Abrir facsímil")</f>
        <v>Abrir facsímil</v>
      </c>
      <c r="K10682" s="12" t="s">
        <v>24</v>
      </c>
    </row>
    <row r="10683" spans="1:11" ht="40.049999999999997" customHeight="1" x14ac:dyDescent="0.25">
      <c r="A10683" s="11" t="s">
        <v>21157</v>
      </c>
      <c r="B10683" s="11" t="s">
        <v>21158</v>
      </c>
      <c r="C10683" s="11" t="s">
        <v>17</v>
      </c>
      <c r="D10683" s="11" t="s">
        <v>18</v>
      </c>
      <c r="E10683" s="12" t="s">
        <v>690</v>
      </c>
      <c r="F10683" s="12" t="s">
        <v>691</v>
      </c>
      <c r="G10683" s="12" t="s">
        <v>46</v>
      </c>
      <c r="H10683" s="11" t="s">
        <v>63</v>
      </c>
      <c r="I10683" s="13" t="s">
        <v>21159</v>
      </c>
      <c r="J10683" s="14" t="str">
        <f>HYPERLINK("https://www.boe.es/gazeta/dias/1839/12/08/pdfs/GMD-1839-1855.pdf#page=3","Abrir facsímil")</f>
        <v>Abrir facsímil</v>
      </c>
      <c r="K10683" s="12" t="s">
        <v>65</v>
      </c>
    </row>
    <row r="10684" spans="1:11" ht="40.049999999999997" customHeight="1" x14ac:dyDescent="0.25">
      <c r="A10684" s="11" t="s">
        <v>21160</v>
      </c>
      <c r="B10684" s="11" t="s">
        <v>21161</v>
      </c>
      <c r="C10684" s="11" t="s">
        <v>17</v>
      </c>
      <c r="D10684" s="11" t="s">
        <v>18</v>
      </c>
      <c r="E10684" s="12" t="s">
        <v>287</v>
      </c>
      <c r="F10684" s="12" t="s">
        <v>288</v>
      </c>
      <c r="G10684" s="12" t="s">
        <v>46</v>
      </c>
      <c r="H10684" s="11" t="s">
        <v>63</v>
      </c>
      <c r="I10684" s="13" t="s">
        <v>21162</v>
      </c>
      <c r="J10684" s="14" t="str">
        <f>HYPERLINK("https://www.boe.es/gazeta/dias/1839/11/27/pdfs/GMD-1839-1844.pdf#page=3","Abrir facsímil")</f>
        <v>Abrir facsímil</v>
      </c>
      <c r="K10684" s="12" t="s">
        <v>65</v>
      </c>
    </row>
    <row r="10685" spans="1:11" ht="40.049999999999997" customHeight="1" x14ac:dyDescent="0.25">
      <c r="A10685" s="11" t="s">
        <v>21163</v>
      </c>
      <c r="B10685" s="11" t="s">
        <v>21163</v>
      </c>
      <c r="C10685" s="11" t="s">
        <v>101</v>
      </c>
      <c r="D10685" s="11" t="s">
        <v>102</v>
      </c>
      <c r="E10685" s="12" t="s">
        <v>848</v>
      </c>
      <c r="F10685" s="12" t="s">
        <v>849</v>
      </c>
      <c r="G10685" s="12" t="s">
        <v>40</v>
      </c>
      <c r="H10685" s="11" t="s">
        <v>63</v>
      </c>
      <c r="I10685" s="13" t="s">
        <v>21164</v>
      </c>
      <c r="J10685" s="14" t="str">
        <f>HYPERLINK("https://www.boe.es/gazeta/dias/1839/08/04/pdfs/GMD-1839-1724.pdf#page=2","Abrir facsímil")</f>
        <v>Abrir facsímil</v>
      </c>
      <c r="K10685" s="12" t="s">
        <v>65</v>
      </c>
    </row>
    <row r="10686" spans="1:11" ht="40.049999999999997" customHeight="1" x14ac:dyDescent="0.25">
      <c r="A10686" s="11" t="s">
        <v>21165</v>
      </c>
      <c r="B10686" s="11" t="s">
        <v>21165</v>
      </c>
      <c r="C10686" s="11" t="s">
        <v>17</v>
      </c>
      <c r="D10686" s="11" t="s">
        <v>18</v>
      </c>
      <c r="E10686" s="12" t="s">
        <v>163</v>
      </c>
      <c r="F10686" s="12" t="s">
        <v>164</v>
      </c>
      <c r="G10686" s="12" t="s">
        <v>46</v>
      </c>
      <c r="H10686" s="11" t="s">
        <v>22</v>
      </c>
      <c r="I10686" s="13" t="s">
        <v>21166</v>
      </c>
      <c r="J10686" s="14" t="str">
        <f>HYPERLINK("https://www.boe.es/gazeta/dias/1839/01/13/pdfs/GMD-1839-1520.pdf#page=3","Abrir facsímil")</f>
        <v>Abrir facsímil</v>
      </c>
      <c r="K10686" s="12" t="s">
        <v>24</v>
      </c>
    </row>
    <row r="10687" spans="1:11" ht="40.049999999999997" customHeight="1" x14ac:dyDescent="0.25">
      <c r="A10687" s="11" t="s">
        <v>21167</v>
      </c>
      <c r="B10687" s="11" t="s">
        <v>21168</v>
      </c>
      <c r="C10687" s="11" t="s">
        <v>17</v>
      </c>
      <c r="D10687" s="11" t="s">
        <v>18</v>
      </c>
      <c r="E10687" s="12" t="s">
        <v>168</v>
      </c>
      <c r="F10687" s="12" t="s">
        <v>169</v>
      </c>
      <c r="G10687" s="12" t="s">
        <v>21</v>
      </c>
      <c r="H10687" s="11" t="s">
        <v>63</v>
      </c>
      <c r="I10687" s="13" t="s">
        <v>21169</v>
      </c>
      <c r="J10687" s="14" t="str">
        <f>HYPERLINK("https://www.boe.es/gazeta/dias/1839/07/12/pdfs/GMD-1839-1700.pdf#page=4","Abrir facsímil")</f>
        <v>Abrir facsímil</v>
      </c>
      <c r="K10687" s="12" t="s">
        <v>65</v>
      </c>
    </row>
    <row r="10688" spans="1:11" ht="40.049999999999997" customHeight="1" x14ac:dyDescent="0.25">
      <c r="A10688" s="11" t="s">
        <v>21170</v>
      </c>
      <c r="B10688" s="11" t="s">
        <v>21171</v>
      </c>
      <c r="C10688" s="11" t="s">
        <v>80</v>
      </c>
      <c r="D10688" s="11" t="s">
        <v>18</v>
      </c>
      <c r="E10688" s="12" t="s">
        <v>320</v>
      </c>
      <c r="F10688" s="12" t="s">
        <v>321</v>
      </c>
      <c r="G10688" s="12" t="s">
        <v>21</v>
      </c>
      <c r="H10688" s="11" t="s">
        <v>63</v>
      </c>
      <c r="I10688" s="13" t="s">
        <v>21172</v>
      </c>
      <c r="J10688" s="14" t="str">
        <f>HYPERLINK("https://www.boe.es/gazeta/dias/1839/05/11/pdfs/GMD-1839-1638.pdf#page=4","Abrir facsímil")</f>
        <v>Abrir facsímil</v>
      </c>
      <c r="K10688" s="12" t="s">
        <v>65</v>
      </c>
    </row>
    <row r="10689" spans="1:11" ht="40.049999999999997" customHeight="1" x14ac:dyDescent="0.25">
      <c r="A10689" s="11" t="s">
        <v>21173</v>
      </c>
      <c r="B10689" s="11" t="s">
        <v>21174</v>
      </c>
      <c r="C10689" s="11" t="s">
        <v>101</v>
      </c>
      <c r="D10689" s="11" t="s">
        <v>43</v>
      </c>
      <c r="E10689" s="12" t="s">
        <v>568</v>
      </c>
      <c r="F10689" s="12" t="s">
        <v>569</v>
      </c>
      <c r="G10689" s="12" t="s">
        <v>29</v>
      </c>
      <c r="H10689" s="11" t="s">
        <v>63</v>
      </c>
      <c r="I10689" s="13" t="s">
        <v>21175</v>
      </c>
      <c r="J10689" s="14" t="str">
        <f>HYPERLINK("https://www.boe.es/gazeta/dias/1839/10/23/pdfs/GMD-1839-1809.pdf#page=1","Abrir facsímil")</f>
        <v>Abrir facsímil</v>
      </c>
      <c r="K10689" s="12" t="s">
        <v>65</v>
      </c>
    </row>
    <row r="10690" spans="1:11" ht="40.049999999999997" customHeight="1" x14ac:dyDescent="0.25">
      <c r="A10690" s="11" t="s">
        <v>21176</v>
      </c>
      <c r="B10690" s="11" t="s">
        <v>21177</v>
      </c>
      <c r="C10690" s="11" t="s">
        <v>17</v>
      </c>
      <c r="D10690" s="11" t="s">
        <v>18</v>
      </c>
      <c r="E10690" s="12" t="s">
        <v>2658</v>
      </c>
      <c r="F10690" s="12" t="s">
        <v>2659</v>
      </c>
      <c r="G10690" s="12" t="s">
        <v>46</v>
      </c>
      <c r="H10690" s="11" t="s">
        <v>63</v>
      </c>
      <c r="I10690" s="13" t="s">
        <v>21178</v>
      </c>
      <c r="J10690" s="14" t="str">
        <f>HYPERLINK("https://www.boe.es/gazeta/dias/1839/06/27/pdfs/GMD-1839-1685.pdf#page=3","Abrir facsímil")</f>
        <v>Abrir facsímil</v>
      </c>
      <c r="K10690" s="12" t="s">
        <v>65</v>
      </c>
    </row>
    <row r="10691" spans="1:11" ht="40.049999999999997" customHeight="1" x14ac:dyDescent="0.25">
      <c r="A10691" s="11" t="s">
        <v>21179</v>
      </c>
      <c r="B10691" s="11" t="s">
        <v>21180</v>
      </c>
      <c r="C10691" s="11" t="s">
        <v>17</v>
      </c>
      <c r="D10691" s="11" t="s">
        <v>18</v>
      </c>
      <c r="E10691" s="12" t="s">
        <v>1144</v>
      </c>
      <c r="F10691" s="12" t="s">
        <v>1145</v>
      </c>
      <c r="G10691" s="12" t="s">
        <v>40</v>
      </c>
      <c r="H10691" s="11" t="s">
        <v>22</v>
      </c>
      <c r="I10691" s="13" t="s">
        <v>21181</v>
      </c>
      <c r="J10691" s="14" t="str">
        <f>HYPERLINK("https://www.boe.es/gazeta/dias/1839/08/13/pdfs/GMD-1839-1733.pdf#page=2","Abrir facsímil")</f>
        <v>Abrir facsímil</v>
      </c>
      <c r="K10691" s="12" t="s">
        <v>24</v>
      </c>
    </row>
    <row r="10692" spans="1:11" ht="40.049999999999997" customHeight="1" x14ac:dyDescent="0.25">
      <c r="A10692" s="11" t="s">
        <v>21182</v>
      </c>
      <c r="B10692" s="11" t="s">
        <v>21182</v>
      </c>
      <c r="C10692" s="11" t="s">
        <v>101</v>
      </c>
      <c r="D10692" s="11" t="s">
        <v>43</v>
      </c>
      <c r="E10692" s="12" t="s">
        <v>751</v>
      </c>
      <c r="F10692" s="12" t="s">
        <v>752</v>
      </c>
      <c r="G10692" s="12" t="s">
        <v>40</v>
      </c>
      <c r="H10692" s="11" t="s">
        <v>63</v>
      </c>
      <c r="I10692" s="13" t="s">
        <v>21183</v>
      </c>
      <c r="J10692" s="14" t="str">
        <f>HYPERLINK("https://www.boe.es/gazeta/dias/1839/02/05/pdfs/GMD-1839-1543.pdf#page=2","Abrir facsímil")</f>
        <v>Abrir facsímil</v>
      </c>
      <c r="K10692" s="12" t="s">
        <v>65</v>
      </c>
    </row>
    <row r="10693" spans="1:11" ht="40.049999999999997" customHeight="1" x14ac:dyDescent="0.25">
      <c r="A10693" s="11" t="s">
        <v>21184</v>
      </c>
      <c r="B10693" s="11" t="s">
        <v>21184</v>
      </c>
      <c r="C10693" s="11" t="s">
        <v>137</v>
      </c>
      <c r="D10693" s="11" t="s">
        <v>18</v>
      </c>
      <c r="E10693" s="12" t="s">
        <v>38</v>
      </c>
      <c r="F10693" s="12" t="s">
        <v>39</v>
      </c>
      <c r="G10693" s="12" t="s">
        <v>21</v>
      </c>
      <c r="H10693" s="11" t="s">
        <v>63</v>
      </c>
      <c r="I10693" s="13" t="s">
        <v>21185</v>
      </c>
      <c r="J10693" s="14" t="str">
        <f>HYPERLINK("https://www.boe.es/gazeta/dias/1839/08/08/pdfs/GMD-1839-1728.pdf#page=4","Abrir facsímil")</f>
        <v>Abrir facsímil</v>
      </c>
      <c r="K10693" s="12" t="s">
        <v>65</v>
      </c>
    </row>
    <row r="10694" spans="1:11" ht="40.049999999999997" customHeight="1" x14ac:dyDescent="0.25">
      <c r="A10694" s="11" t="s">
        <v>21186</v>
      </c>
      <c r="B10694" s="11" t="s">
        <v>21187</v>
      </c>
      <c r="C10694" s="11" t="s">
        <v>80</v>
      </c>
      <c r="D10694" s="11" t="s">
        <v>18</v>
      </c>
      <c r="E10694" s="12" t="s">
        <v>892</v>
      </c>
      <c r="F10694" s="12" t="s">
        <v>893</v>
      </c>
      <c r="G10694" s="12" t="s">
        <v>21</v>
      </c>
      <c r="H10694" s="11" t="s">
        <v>63</v>
      </c>
      <c r="I10694" s="13" t="s">
        <v>21188</v>
      </c>
      <c r="J10694" s="14" t="str">
        <f>HYPERLINK("https://www.boe.es/gazeta/dias/1839/12/28/pdfs/GMD-1839-1875.pdf#page=4","Abrir facsímil")</f>
        <v>Abrir facsímil</v>
      </c>
      <c r="K10694" s="12" t="s">
        <v>65</v>
      </c>
    </row>
    <row r="10695" spans="1:11" ht="40.049999999999997" customHeight="1" x14ac:dyDescent="0.25">
      <c r="A10695" s="11" t="s">
        <v>21189</v>
      </c>
      <c r="B10695" s="11" t="s">
        <v>21189</v>
      </c>
      <c r="C10695" s="11" t="s">
        <v>17</v>
      </c>
      <c r="D10695" s="11" t="s">
        <v>18</v>
      </c>
      <c r="E10695" s="12" t="s">
        <v>272</v>
      </c>
      <c r="F10695" s="12" t="s">
        <v>273</v>
      </c>
      <c r="G10695" s="12" t="s">
        <v>21</v>
      </c>
      <c r="H10695" s="11" t="s">
        <v>63</v>
      </c>
      <c r="I10695" s="13" t="s">
        <v>21190</v>
      </c>
      <c r="J10695" s="14" t="str">
        <f>HYPERLINK("https://www.boe.es/gazeta/dias/1839/02/12/pdfs/GMD-1839-1550.pdf#page=4","Abrir facsímil")</f>
        <v>Abrir facsímil</v>
      </c>
      <c r="K10695" s="12" t="s">
        <v>65</v>
      </c>
    </row>
    <row r="10696" spans="1:11" ht="40.049999999999997" customHeight="1" x14ac:dyDescent="0.25">
      <c r="A10696" s="11" t="s">
        <v>21191</v>
      </c>
      <c r="B10696" s="11" t="s">
        <v>21191</v>
      </c>
      <c r="C10696" s="11" t="s">
        <v>17</v>
      </c>
      <c r="D10696" s="11" t="s">
        <v>18</v>
      </c>
      <c r="E10696" s="12" t="s">
        <v>1623</v>
      </c>
      <c r="F10696" s="12" t="s">
        <v>1624</v>
      </c>
      <c r="G10696" s="12" t="s">
        <v>21</v>
      </c>
      <c r="H10696" s="11" t="s">
        <v>63</v>
      </c>
      <c r="I10696" s="13" t="s">
        <v>21192</v>
      </c>
      <c r="J10696" s="14" t="str">
        <f>HYPERLINK("https://www.boe.es/gazeta/dias/1839/04/07/pdfs/GMD-1839-1604.pdf#page=4","Abrir facsímil")</f>
        <v>Abrir facsímil</v>
      </c>
      <c r="K10696" s="12" t="s">
        <v>65</v>
      </c>
    </row>
    <row r="10697" spans="1:11" ht="40.049999999999997" customHeight="1" x14ac:dyDescent="0.25">
      <c r="A10697" s="11" t="s">
        <v>21193</v>
      </c>
      <c r="B10697" s="11" t="s">
        <v>21193</v>
      </c>
      <c r="C10697" s="11" t="s">
        <v>80</v>
      </c>
      <c r="D10697" s="11" t="s">
        <v>18</v>
      </c>
      <c r="E10697" s="12" t="s">
        <v>3705</v>
      </c>
      <c r="F10697" s="12" t="s">
        <v>3706</v>
      </c>
      <c r="G10697" s="12" t="s">
        <v>46</v>
      </c>
      <c r="H10697" s="11" t="s">
        <v>63</v>
      </c>
      <c r="I10697" s="13" t="s">
        <v>21194</v>
      </c>
      <c r="J10697" s="14" t="str">
        <f>HYPERLINK("https://www.boe.es/gazeta/dias/1839/03/09/pdfs/GMD-1839-1575.pdf#page=3","Abrir facsímil")</f>
        <v>Abrir facsímil</v>
      </c>
      <c r="K10697" s="12" t="s">
        <v>65</v>
      </c>
    </row>
    <row r="10698" spans="1:11" ht="40.049999999999997" customHeight="1" x14ac:dyDescent="0.25">
      <c r="A10698" s="11" t="s">
        <v>21195</v>
      </c>
      <c r="B10698" s="11" t="s">
        <v>21196</v>
      </c>
      <c r="C10698" s="11" t="s">
        <v>17</v>
      </c>
      <c r="D10698" s="11" t="s">
        <v>18</v>
      </c>
      <c r="E10698" s="12" t="s">
        <v>959</v>
      </c>
      <c r="F10698" s="12" t="s">
        <v>960</v>
      </c>
      <c r="G10698" s="12" t="s">
        <v>21</v>
      </c>
      <c r="H10698" s="11" t="s">
        <v>63</v>
      </c>
      <c r="I10698" s="13" t="s">
        <v>21197</v>
      </c>
      <c r="J10698" s="14" t="str">
        <f>HYPERLINK("https://www.boe.es/gazeta/dias/1839/12/06/pdfs/GMD-1839-1853.pdf#page=4","Abrir facsímil")</f>
        <v>Abrir facsímil</v>
      </c>
      <c r="K10698" s="12" t="s">
        <v>65</v>
      </c>
    </row>
    <row r="10699" spans="1:11" ht="40.049999999999997" customHeight="1" x14ac:dyDescent="0.25">
      <c r="A10699" s="11" t="s">
        <v>21195</v>
      </c>
      <c r="B10699" s="11" t="s">
        <v>21196</v>
      </c>
      <c r="C10699" s="11" t="s">
        <v>17</v>
      </c>
      <c r="D10699" s="11" t="s">
        <v>18</v>
      </c>
      <c r="E10699" s="12" t="s">
        <v>1497</v>
      </c>
      <c r="F10699" s="12" t="s">
        <v>1498</v>
      </c>
      <c r="G10699" s="12" t="s">
        <v>21</v>
      </c>
      <c r="H10699" s="11" t="s">
        <v>63</v>
      </c>
      <c r="I10699" s="13" t="s">
        <v>21198</v>
      </c>
      <c r="J10699" s="14" t="str">
        <f>HYPERLINK("https://www.boe.es/gazeta/dias/1839/08/23/pdfs/GMD-1839-1744.pdf#page=4","Abrir facsímil")</f>
        <v>Abrir facsímil</v>
      </c>
      <c r="K10699" s="12" t="s">
        <v>65</v>
      </c>
    </row>
    <row r="10700" spans="1:11" ht="40.049999999999997" customHeight="1" x14ac:dyDescent="0.25">
      <c r="A10700" s="11" t="s">
        <v>21199</v>
      </c>
      <c r="B10700" s="11" t="s">
        <v>21199</v>
      </c>
      <c r="C10700" s="11" t="s">
        <v>17</v>
      </c>
      <c r="D10700" s="11" t="s">
        <v>18</v>
      </c>
      <c r="E10700" s="12" t="s">
        <v>744</v>
      </c>
      <c r="F10700" s="12" t="s">
        <v>745</v>
      </c>
      <c r="G10700" s="12" t="s">
        <v>29</v>
      </c>
      <c r="H10700" s="11" t="s">
        <v>63</v>
      </c>
      <c r="I10700" s="13" t="s">
        <v>21200</v>
      </c>
      <c r="J10700" s="14" t="str">
        <f>HYPERLINK("https://www.boe.es/gazeta/dias/1839/12/09/pdfs/GMD-1839-1856.pdf#page=1","Abrir facsímil")</f>
        <v>Abrir facsímil</v>
      </c>
      <c r="K10700" s="12" t="s">
        <v>65</v>
      </c>
    </row>
    <row r="10701" spans="1:11" ht="40.049999999999997" customHeight="1" x14ac:dyDescent="0.25">
      <c r="A10701" s="11" t="s">
        <v>21199</v>
      </c>
      <c r="B10701" s="11" t="s">
        <v>21199</v>
      </c>
      <c r="C10701" s="11" t="s">
        <v>17</v>
      </c>
      <c r="D10701" s="11" t="s">
        <v>18</v>
      </c>
      <c r="E10701" s="12" t="s">
        <v>2449</v>
      </c>
      <c r="F10701" s="12" t="s">
        <v>2450</v>
      </c>
      <c r="G10701" s="12" t="s">
        <v>40</v>
      </c>
      <c r="H10701" s="11" t="s">
        <v>63</v>
      </c>
      <c r="I10701" s="13" t="s">
        <v>21201</v>
      </c>
      <c r="J10701" s="14" t="str">
        <f>HYPERLINK("https://www.boe.es/gazeta/dias/1839/12/11/pdfs/GMD-1839-1858.pdf#page=2","Abrir facsímil")</f>
        <v>Abrir facsímil</v>
      </c>
      <c r="K10701" s="12" t="s">
        <v>65</v>
      </c>
    </row>
    <row r="10702" spans="1:11" ht="40.049999999999997" customHeight="1" x14ac:dyDescent="0.25">
      <c r="A10702" s="11" t="s">
        <v>21199</v>
      </c>
      <c r="B10702" s="11" t="s">
        <v>21199</v>
      </c>
      <c r="C10702" s="11" t="s">
        <v>17</v>
      </c>
      <c r="D10702" s="11" t="s">
        <v>18</v>
      </c>
      <c r="E10702" s="12" t="s">
        <v>1072</v>
      </c>
      <c r="F10702" s="12" t="s">
        <v>1073</v>
      </c>
      <c r="G10702" s="12" t="s">
        <v>29</v>
      </c>
      <c r="H10702" s="11" t="s">
        <v>63</v>
      </c>
      <c r="I10702" s="13" t="s">
        <v>21202</v>
      </c>
      <c r="J10702" s="14" t="str">
        <f>HYPERLINK("https://www.boe.es/gazeta/dias/1839/01/18/pdfs/GMD-1839-1525.pdf#page=1","Abrir facsímil")</f>
        <v>Abrir facsímil</v>
      </c>
      <c r="K10702" s="12" t="s">
        <v>65</v>
      </c>
    </row>
    <row r="10703" spans="1:11" ht="40.049999999999997" customHeight="1" x14ac:dyDescent="0.25">
      <c r="A10703" s="11" t="s">
        <v>21199</v>
      </c>
      <c r="B10703" s="11" t="s">
        <v>21199</v>
      </c>
      <c r="C10703" s="11" t="s">
        <v>17</v>
      </c>
      <c r="D10703" s="11" t="s">
        <v>18</v>
      </c>
      <c r="E10703" s="12" t="s">
        <v>643</v>
      </c>
      <c r="F10703" s="12" t="s">
        <v>644</v>
      </c>
      <c r="G10703" s="12" t="s">
        <v>21</v>
      </c>
      <c r="H10703" s="11" t="s">
        <v>63</v>
      </c>
      <c r="I10703" s="13" t="s">
        <v>21203</v>
      </c>
      <c r="J10703" s="14" t="str">
        <f>HYPERLINK("https://www.boe.es/gazeta/dias/1839/03/20/pdfs/GMD-1839-1586.pdf#page=4","Abrir facsímil")</f>
        <v>Abrir facsímil</v>
      </c>
      <c r="K10703" s="12" t="s">
        <v>65</v>
      </c>
    </row>
    <row r="10704" spans="1:11" ht="40.049999999999997" customHeight="1" x14ac:dyDescent="0.25">
      <c r="A10704" s="11" t="s">
        <v>21204</v>
      </c>
      <c r="B10704" s="11" t="s">
        <v>21205</v>
      </c>
      <c r="C10704" s="11" t="s">
        <v>59</v>
      </c>
      <c r="D10704" s="11" t="s">
        <v>60</v>
      </c>
      <c r="E10704" s="12" t="s">
        <v>49</v>
      </c>
      <c r="F10704" s="12" t="s">
        <v>50</v>
      </c>
      <c r="G10704" s="12" t="s">
        <v>40</v>
      </c>
      <c r="H10704" s="11" t="s">
        <v>63</v>
      </c>
      <c r="I10704" s="13" t="s">
        <v>21206</v>
      </c>
      <c r="J10704" s="14" t="str">
        <f>HYPERLINK("https://www.boe.es/gazeta/dias/1839/01/05/pdfs/GMD-1839-1512.pdf#page=2","Abrir facsímil")</f>
        <v>Abrir facsímil</v>
      </c>
      <c r="K10704" s="12" t="s">
        <v>65</v>
      </c>
    </row>
    <row r="10705" spans="1:11" ht="40.049999999999997" customHeight="1" x14ac:dyDescent="0.25">
      <c r="A10705" s="11" t="s">
        <v>21207</v>
      </c>
      <c r="B10705" s="11" t="s">
        <v>21208</v>
      </c>
      <c r="C10705" s="11" t="s">
        <v>17</v>
      </c>
      <c r="D10705" s="11" t="s">
        <v>18</v>
      </c>
      <c r="E10705" s="12" t="s">
        <v>2270</v>
      </c>
      <c r="F10705" s="12" t="s">
        <v>2271</v>
      </c>
      <c r="G10705" s="12" t="s">
        <v>40</v>
      </c>
      <c r="H10705" s="11" t="s">
        <v>63</v>
      </c>
      <c r="I10705" s="13" t="s">
        <v>21209</v>
      </c>
      <c r="J10705" s="14" t="str">
        <f>HYPERLINK("https://www.boe.es/gazeta/dias/1839/06/13/pdfs/GMD-1839-1671.pdf#page=2","Abrir facsímil")</f>
        <v>Abrir facsímil</v>
      </c>
      <c r="K10705" s="12" t="s">
        <v>65</v>
      </c>
    </row>
    <row r="10706" spans="1:11" ht="40.049999999999997" customHeight="1" x14ac:dyDescent="0.25">
      <c r="A10706" s="11" t="s">
        <v>21210</v>
      </c>
      <c r="B10706" s="11" t="s">
        <v>21210</v>
      </c>
      <c r="C10706" s="11" t="s">
        <v>101</v>
      </c>
      <c r="D10706" s="11" t="s">
        <v>43</v>
      </c>
      <c r="E10706" s="12" t="s">
        <v>230</v>
      </c>
      <c r="F10706" s="12" t="s">
        <v>231</v>
      </c>
      <c r="G10706" s="12" t="s">
        <v>29</v>
      </c>
      <c r="H10706" s="11" t="s">
        <v>63</v>
      </c>
      <c r="I10706" s="13" t="s">
        <v>21211</v>
      </c>
      <c r="J10706" s="14" t="str">
        <f>HYPERLINK("https://www.boe.es/gazeta/dias/1839/09/16/pdfs/GMD-1839-1769.pdf#page=1","Abrir facsímil")</f>
        <v>Abrir facsímil</v>
      </c>
      <c r="K10706" s="12" t="s">
        <v>65</v>
      </c>
    </row>
    <row r="10707" spans="1:11" ht="40.049999999999997" customHeight="1" x14ac:dyDescent="0.25">
      <c r="A10707" s="11" t="s">
        <v>21212</v>
      </c>
      <c r="B10707" s="11" t="s">
        <v>21212</v>
      </c>
      <c r="C10707" s="11" t="s">
        <v>17</v>
      </c>
      <c r="D10707" s="11" t="s">
        <v>18</v>
      </c>
      <c r="E10707" s="12" t="s">
        <v>212</v>
      </c>
      <c r="F10707" s="12" t="s">
        <v>213</v>
      </c>
      <c r="G10707" s="12" t="s">
        <v>29</v>
      </c>
      <c r="H10707" s="11" t="s">
        <v>63</v>
      </c>
      <c r="I10707" s="13" t="s">
        <v>21213</v>
      </c>
      <c r="J10707" s="14" t="str">
        <f>HYPERLINK("https://www.boe.es/gazeta/dias/1839/10/03/pdfs/GMD-1839-1789.pdf#page=1","Abrir facsímil")</f>
        <v>Abrir facsímil</v>
      </c>
      <c r="K10707" s="12" t="s">
        <v>65</v>
      </c>
    </row>
    <row r="10708" spans="1:11" ht="40.049999999999997" customHeight="1" x14ac:dyDescent="0.25">
      <c r="A10708" s="11" t="s">
        <v>21212</v>
      </c>
      <c r="B10708" s="11" t="s">
        <v>21212</v>
      </c>
      <c r="C10708" s="11" t="s">
        <v>59</v>
      </c>
      <c r="D10708" s="11" t="s">
        <v>60</v>
      </c>
      <c r="E10708" s="12" t="s">
        <v>202</v>
      </c>
      <c r="F10708" s="12" t="s">
        <v>203</v>
      </c>
      <c r="G10708" s="12" t="s">
        <v>46</v>
      </c>
      <c r="H10708" s="11" t="s">
        <v>63</v>
      </c>
      <c r="I10708" s="13" t="s">
        <v>21214</v>
      </c>
      <c r="J10708" s="14" t="str">
        <f>HYPERLINK("https://www.boe.es/gazeta/dias/1839/04/05/pdfs/GMD-1839-1602.pdf#page=3","Abrir facsímil")</f>
        <v>Abrir facsímil</v>
      </c>
      <c r="K10708" s="12" t="s">
        <v>65</v>
      </c>
    </row>
    <row r="10709" spans="1:11" ht="40.049999999999997" customHeight="1" x14ac:dyDescent="0.25">
      <c r="A10709" s="11" t="s">
        <v>21212</v>
      </c>
      <c r="B10709" s="11" t="s">
        <v>21212</v>
      </c>
      <c r="C10709" s="11" t="s">
        <v>17</v>
      </c>
      <c r="D10709" s="11" t="s">
        <v>18</v>
      </c>
      <c r="E10709" s="12" t="s">
        <v>555</v>
      </c>
      <c r="F10709" s="12" t="s">
        <v>556</v>
      </c>
      <c r="G10709" s="12" t="s">
        <v>21</v>
      </c>
      <c r="H10709" s="11" t="s">
        <v>63</v>
      </c>
      <c r="I10709" s="13" t="s">
        <v>21215</v>
      </c>
      <c r="J10709" s="14" t="str">
        <f>HYPERLINK("https://www.boe.es/gazeta/dias/1839/07/19/pdfs/GMD-1839-1707.pdf#page=4","Abrir facsímil")</f>
        <v>Abrir facsímil</v>
      </c>
      <c r="K10709" s="12" t="s">
        <v>65</v>
      </c>
    </row>
    <row r="10710" spans="1:11" ht="40.049999999999997" customHeight="1" x14ac:dyDescent="0.25">
      <c r="A10710" s="11" t="s">
        <v>21212</v>
      </c>
      <c r="B10710" s="11" t="s">
        <v>21212</v>
      </c>
      <c r="C10710" s="11" t="s">
        <v>17</v>
      </c>
      <c r="D10710" s="11" t="s">
        <v>18</v>
      </c>
      <c r="E10710" s="12" t="s">
        <v>1284</v>
      </c>
      <c r="F10710" s="12" t="s">
        <v>1285</v>
      </c>
      <c r="G10710" s="12" t="s">
        <v>21</v>
      </c>
      <c r="H10710" s="11" t="s">
        <v>63</v>
      </c>
      <c r="I10710" s="13" t="s">
        <v>21216</v>
      </c>
      <c r="J10710" s="14" t="str">
        <f>HYPERLINK("https://www.boe.es/gazeta/dias/1839/03/27/pdfs/GMD-1839-1593.pdf#page=4","Abrir facsímil")</f>
        <v>Abrir facsímil</v>
      </c>
      <c r="K10710" s="12" t="s">
        <v>65</v>
      </c>
    </row>
    <row r="10711" spans="1:11" ht="40.049999999999997" customHeight="1" x14ac:dyDescent="0.25">
      <c r="A10711" s="11" t="s">
        <v>21217</v>
      </c>
      <c r="B10711" s="11" t="s">
        <v>21218</v>
      </c>
      <c r="C10711" s="11" t="s">
        <v>17</v>
      </c>
      <c r="D10711" s="11" t="s">
        <v>18</v>
      </c>
      <c r="E10711" s="12" t="s">
        <v>303</v>
      </c>
      <c r="F10711" s="12" t="s">
        <v>304</v>
      </c>
      <c r="G10711" s="12" t="s">
        <v>305</v>
      </c>
      <c r="H10711" s="11" t="s">
        <v>22</v>
      </c>
      <c r="I10711" s="13" t="s">
        <v>21219</v>
      </c>
      <c r="J10711" s="14" t="str">
        <f>HYPERLINK("https://www.boe.es/gazeta/dias/1839/10/06/pdfs/GMD-1839-1792.pdf#page=6","Abrir facsímil")</f>
        <v>Abrir facsímil</v>
      </c>
      <c r="K10711" s="12" t="s">
        <v>24</v>
      </c>
    </row>
    <row r="10712" spans="1:11" ht="40.049999999999997" customHeight="1" x14ac:dyDescent="0.25">
      <c r="A10712" s="11" t="s">
        <v>21217</v>
      </c>
      <c r="B10712" s="11" t="s">
        <v>21218</v>
      </c>
      <c r="C10712" s="11" t="s">
        <v>17</v>
      </c>
      <c r="D10712" s="11" t="s">
        <v>18</v>
      </c>
      <c r="E10712" s="12" t="s">
        <v>527</v>
      </c>
      <c r="F10712" s="12" t="s">
        <v>528</v>
      </c>
      <c r="G10712" s="12" t="s">
        <v>29</v>
      </c>
      <c r="H10712" s="11" t="s">
        <v>22</v>
      </c>
      <c r="I10712" s="13" t="s">
        <v>21220</v>
      </c>
      <c r="J10712" s="14" t="str">
        <f>HYPERLINK("https://www.boe.es/gazeta/dias/1839/07/10/pdfs/GMD-1839-1698.pdf#page=1","Abrir facsímil")</f>
        <v>Abrir facsímil</v>
      </c>
      <c r="K10712" s="12" t="s">
        <v>24</v>
      </c>
    </row>
    <row r="10713" spans="1:11" ht="40.049999999999997" customHeight="1" x14ac:dyDescent="0.25">
      <c r="A10713" s="11" t="s">
        <v>21217</v>
      </c>
      <c r="B10713" s="11" t="s">
        <v>21218</v>
      </c>
      <c r="C10713" s="11" t="s">
        <v>101</v>
      </c>
      <c r="D10713" s="11" t="s">
        <v>43</v>
      </c>
      <c r="E10713" s="12" t="s">
        <v>561</v>
      </c>
      <c r="F10713" s="12" t="s">
        <v>562</v>
      </c>
      <c r="G10713" s="12" t="s">
        <v>46</v>
      </c>
      <c r="H10713" s="11" t="s">
        <v>22</v>
      </c>
      <c r="I10713" s="13" t="s">
        <v>21221</v>
      </c>
      <c r="J10713" s="14" t="str">
        <f>HYPERLINK("https://www.boe.es/gazeta/dias/1839/09/11/pdfs/GMD-1839-1764.pdf#page=3","Abrir facsímil")</f>
        <v>Abrir facsímil</v>
      </c>
      <c r="K10713" s="12" t="s">
        <v>24</v>
      </c>
    </row>
    <row r="10714" spans="1:11" ht="40.049999999999997" customHeight="1" x14ac:dyDescent="0.25">
      <c r="A10714" s="11" t="s">
        <v>21222</v>
      </c>
      <c r="B10714" s="11" t="s">
        <v>21223</v>
      </c>
      <c r="C10714" s="11" t="s">
        <v>17</v>
      </c>
      <c r="D10714" s="11" t="s">
        <v>18</v>
      </c>
      <c r="E10714" s="12" t="s">
        <v>744</v>
      </c>
      <c r="F10714" s="12" t="s">
        <v>745</v>
      </c>
      <c r="G10714" s="12" t="s">
        <v>21</v>
      </c>
      <c r="H10714" s="11" t="s">
        <v>22</v>
      </c>
      <c r="I10714" s="13" t="s">
        <v>21224</v>
      </c>
      <c r="J10714" s="14" t="str">
        <f>HYPERLINK("https://www.boe.es/gazeta/dias/1839/12/09/pdfs/GMD-1839-1856.pdf#page=4","Abrir facsímil")</f>
        <v>Abrir facsímil</v>
      </c>
      <c r="K10714" s="12" t="s">
        <v>24</v>
      </c>
    </row>
    <row r="10715" spans="1:11" ht="40.049999999999997" customHeight="1" x14ac:dyDescent="0.25">
      <c r="A10715" s="11" t="s">
        <v>21225</v>
      </c>
      <c r="B10715" s="11" t="s">
        <v>21226</v>
      </c>
      <c r="C10715" s="11" t="s">
        <v>17</v>
      </c>
      <c r="D10715" s="11" t="s">
        <v>18</v>
      </c>
      <c r="E10715" s="12" t="s">
        <v>564</v>
      </c>
      <c r="F10715" s="12" t="s">
        <v>565</v>
      </c>
      <c r="G10715" s="12" t="s">
        <v>29</v>
      </c>
      <c r="H10715" s="11" t="s">
        <v>63</v>
      </c>
      <c r="I10715" s="13" t="s">
        <v>21227</v>
      </c>
      <c r="J10715" s="14" t="str">
        <f>HYPERLINK("https://www.boe.es/gazeta/dias/1839/10/17/pdfs/GMD-1839-1803.pdf#page=1","Abrir facsímil")</f>
        <v>Abrir facsímil</v>
      </c>
      <c r="K10715" s="12" t="s">
        <v>65</v>
      </c>
    </row>
    <row r="10716" spans="1:11" ht="40.049999999999997" customHeight="1" x14ac:dyDescent="0.25">
      <c r="A10716" s="11" t="s">
        <v>21228</v>
      </c>
      <c r="B10716" s="11" t="s">
        <v>21228</v>
      </c>
      <c r="C10716" s="11" t="s">
        <v>17</v>
      </c>
      <c r="D10716" s="11" t="s">
        <v>18</v>
      </c>
      <c r="E10716" s="12" t="s">
        <v>700</v>
      </c>
      <c r="F10716" s="12" t="s">
        <v>701</v>
      </c>
      <c r="G10716" s="12" t="s">
        <v>21</v>
      </c>
      <c r="H10716" s="11" t="s">
        <v>63</v>
      </c>
      <c r="I10716" s="13" t="s">
        <v>21229</v>
      </c>
      <c r="J10716" s="14" t="str">
        <f>HYPERLINK("https://www.boe.es/gazeta/dias/1839/09/01/pdfs/GMD-1839-1753.pdf#page=4","Abrir facsímil")</f>
        <v>Abrir facsímil</v>
      </c>
      <c r="K10716" s="12" t="s">
        <v>65</v>
      </c>
    </row>
    <row r="10717" spans="1:11" ht="40.049999999999997" customHeight="1" x14ac:dyDescent="0.25">
      <c r="A10717" s="11" t="s">
        <v>21228</v>
      </c>
      <c r="B10717" s="11" t="s">
        <v>21228</v>
      </c>
      <c r="C10717" s="11" t="s">
        <v>80</v>
      </c>
      <c r="D10717" s="11" t="s">
        <v>18</v>
      </c>
      <c r="E10717" s="12" t="s">
        <v>4957</v>
      </c>
      <c r="F10717" s="12" t="s">
        <v>4958</v>
      </c>
      <c r="G10717" s="12" t="s">
        <v>40</v>
      </c>
      <c r="H10717" s="11" t="s">
        <v>63</v>
      </c>
      <c r="I10717" s="13" t="s">
        <v>21230</v>
      </c>
      <c r="J10717" s="14" t="str">
        <f>HYPERLINK("https://www.boe.es/gazeta/dias/1839/11/04/pdfs/GMD-1839-1821.pdf#page=2","Abrir facsímil")</f>
        <v>Abrir facsímil</v>
      </c>
      <c r="K10717" s="12" t="s">
        <v>65</v>
      </c>
    </row>
    <row r="10718" spans="1:11" ht="40.049999999999997" customHeight="1" x14ac:dyDescent="0.25">
      <c r="A10718" s="11" t="s">
        <v>21228</v>
      </c>
      <c r="B10718" s="11" t="s">
        <v>21228</v>
      </c>
      <c r="C10718" s="11" t="s">
        <v>17</v>
      </c>
      <c r="D10718" s="11" t="s">
        <v>18</v>
      </c>
      <c r="E10718" s="12" t="s">
        <v>1001</v>
      </c>
      <c r="F10718" s="12" t="s">
        <v>1002</v>
      </c>
      <c r="G10718" s="12" t="s">
        <v>29</v>
      </c>
      <c r="H10718" s="11" t="s">
        <v>63</v>
      </c>
      <c r="I10718" s="13" t="s">
        <v>21231</v>
      </c>
      <c r="J10718" s="14" t="str">
        <f>HYPERLINK("https://www.boe.es/gazeta/dias/1839/07/09/pdfs/GMD-1839-1697.pdf#page=1","Abrir facsímil")</f>
        <v>Abrir facsímil</v>
      </c>
      <c r="K10718" s="12" t="s">
        <v>65</v>
      </c>
    </row>
    <row r="10719" spans="1:11" ht="40.049999999999997" customHeight="1" x14ac:dyDescent="0.25">
      <c r="A10719" s="11" t="s">
        <v>21228</v>
      </c>
      <c r="B10719" s="11" t="s">
        <v>21228</v>
      </c>
      <c r="C10719" s="11" t="s">
        <v>101</v>
      </c>
      <c r="D10719" s="11" t="s">
        <v>43</v>
      </c>
      <c r="E10719" s="12" t="s">
        <v>1565</v>
      </c>
      <c r="F10719" s="12" t="s">
        <v>1566</v>
      </c>
      <c r="G10719" s="12" t="s">
        <v>29</v>
      </c>
      <c r="H10719" s="11" t="s">
        <v>63</v>
      </c>
      <c r="I10719" s="13" t="s">
        <v>21232</v>
      </c>
      <c r="J10719" s="14" t="str">
        <f>HYPERLINK("https://www.boe.es/gazeta/dias/1839/06/17/pdfs/GMD-1839-1675.pdf#page=1","Abrir facsímil")</f>
        <v>Abrir facsímil</v>
      </c>
      <c r="K10719" s="12" t="s">
        <v>65</v>
      </c>
    </row>
    <row r="10720" spans="1:11" ht="40.049999999999997" customHeight="1" x14ac:dyDescent="0.25">
      <c r="A10720" s="11" t="s">
        <v>21228</v>
      </c>
      <c r="B10720" s="11" t="s">
        <v>21228</v>
      </c>
      <c r="C10720" s="11" t="s">
        <v>17</v>
      </c>
      <c r="D10720" s="11" t="s">
        <v>18</v>
      </c>
      <c r="E10720" s="12" t="s">
        <v>892</v>
      </c>
      <c r="F10720" s="12" t="s">
        <v>893</v>
      </c>
      <c r="G10720" s="12" t="s">
        <v>40</v>
      </c>
      <c r="H10720" s="11" t="s">
        <v>63</v>
      </c>
      <c r="I10720" s="13" t="s">
        <v>21233</v>
      </c>
      <c r="J10720" s="14" t="str">
        <f>HYPERLINK("https://www.boe.es/gazeta/dias/1839/12/28/pdfs/GMD-1839-1875.pdf#page=2","Abrir facsímil")</f>
        <v>Abrir facsímil</v>
      </c>
      <c r="K10720" s="12" t="s">
        <v>65</v>
      </c>
    </row>
    <row r="10721" spans="1:11" ht="40.049999999999997" customHeight="1" x14ac:dyDescent="0.25">
      <c r="A10721" s="11" t="s">
        <v>21228</v>
      </c>
      <c r="B10721" s="11" t="s">
        <v>21228</v>
      </c>
      <c r="C10721" s="11" t="s">
        <v>59</v>
      </c>
      <c r="D10721" s="11" t="s">
        <v>60</v>
      </c>
      <c r="E10721" s="12" t="s">
        <v>716</v>
      </c>
      <c r="F10721" s="12" t="s">
        <v>717</v>
      </c>
      <c r="G10721" s="12" t="s">
        <v>40</v>
      </c>
      <c r="H10721" s="11" t="s">
        <v>63</v>
      </c>
      <c r="I10721" s="13" t="s">
        <v>21234</v>
      </c>
      <c r="J10721" s="14" t="str">
        <f>HYPERLINK("https://www.boe.es/gazeta/dias/1839/07/30/pdfs/GMD-1839-1719.pdf#page=2","Abrir facsímil")</f>
        <v>Abrir facsímil</v>
      </c>
      <c r="K10721" s="12" t="s">
        <v>65</v>
      </c>
    </row>
    <row r="10722" spans="1:11" ht="40.049999999999997" customHeight="1" x14ac:dyDescent="0.25">
      <c r="A10722" s="11" t="s">
        <v>21228</v>
      </c>
      <c r="B10722" s="11" t="s">
        <v>21228</v>
      </c>
      <c r="C10722" s="11" t="s">
        <v>137</v>
      </c>
      <c r="D10722" s="11" t="s">
        <v>18</v>
      </c>
      <c r="E10722" s="12" t="s">
        <v>312</v>
      </c>
      <c r="F10722" s="12" t="s">
        <v>313</v>
      </c>
      <c r="G10722" s="12" t="s">
        <v>29</v>
      </c>
      <c r="H10722" s="11" t="s">
        <v>63</v>
      </c>
      <c r="I10722" s="13" t="s">
        <v>21235</v>
      </c>
      <c r="J10722" s="14" t="str">
        <f>HYPERLINK("https://www.boe.es/gazeta/dias/1839/11/30/pdfs/GMD-1839-1847.pdf#page=1","Abrir facsímil")</f>
        <v>Abrir facsímil</v>
      </c>
      <c r="K10722" s="12" t="s">
        <v>65</v>
      </c>
    </row>
    <row r="10723" spans="1:11" ht="40.049999999999997" customHeight="1" x14ac:dyDescent="0.25">
      <c r="A10723" s="11" t="s">
        <v>21236</v>
      </c>
      <c r="B10723" s="11" t="s">
        <v>21236</v>
      </c>
      <c r="C10723" s="11" t="s">
        <v>59</v>
      </c>
      <c r="D10723" s="11" t="s">
        <v>60</v>
      </c>
      <c r="E10723" s="12" t="s">
        <v>798</v>
      </c>
      <c r="F10723" s="12" t="s">
        <v>21237</v>
      </c>
      <c r="G10723" s="12" t="s">
        <v>29</v>
      </c>
      <c r="H10723" s="11" t="s">
        <v>63</v>
      </c>
      <c r="I10723" s="13" t="s">
        <v>21238</v>
      </c>
      <c r="J10723" s="14" t="str">
        <f>HYPERLINK("https://www.boe.es/datos/pdfs/BOE//1839/1756/E00001-00001.pdf#page=1","Abrir facsímil")</f>
        <v>Abrir facsímil</v>
      </c>
      <c r="K10723" s="12" t="s">
        <v>65</v>
      </c>
    </row>
    <row r="10724" spans="1:11" ht="40.049999999999997" customHeight="1" x14ac:dyDescent="0.25">
      <c r="A10724" s="11" t="s">
        <v>21236</v>
      </c>
      <c r="B10724" s="11" t="s">
        <v>21236</v>
      </c>
      <c r="C10724" s="11" t="s">
        <v>17</v>
      </c>
      <c r="D10724" s="11" t="s">
        <v>18</v>
      </c>
      <c r="E10724" s="12" t="s">
        <v>848</v>
      </c>
      <c r="F10724" s="12" t="s">
        <v>849</v>
      </c>
      <c r="G10724" s="12" t="s">
        <v>29</v>
      </c>
      <c r="H10724" s="11" t="s">
        <v>63</v>
      </c>
      <c r="I10724" s="13" t="s">
        <v>21239</v>
      </c>
      <c r="J10724" s="14" t="str">
        <f>HYPERLINK("https://www.boe.es/gazeta/dias/1839/08/04/pdfs/GMD-1839-1724.pdf#page=1","Abrir facsímil")</f>
        <v>Abrir facsímil</v>
      </c>
      <c r="K10724" s="12" t="s">
        <v>65</v>
      </c>
    </row>
    <row r="10725" spans="1:11" ht="40.049999999999997" customHeight="1" x14ac:dyDescent="0.25">
      <c r="A10725" s="11" t="s">
        <v>21236</v>
      </c>
      <c r="B10725" s="11" t="s">
        <v>21236</v>
      </c>
      <c r="C10725" s="11" t="s">
        <v>17</v>
      </c>
      <c r="D10725" s="11" t="s">
        <v>18</v>
      </c>
      <c r="E10725" s="12" t="s">
        <v>291</v>
      </c>
      <c r="F10725" s="12" t="s">
        <v>292</v>
      </c>
      <c r="G10725" s="12" t="s">
        <v>29</v>
      </c>
      <c r="H10725" s="11" t="s">
        <v>63</v>
      </c>
      <c r="I10725" s="13" t="s">
        <v>21240</v>
      </c>
      <c r="J10725" s="14" t="str">
        <f>HYPERLINK("https://www.boe.es/gazeta/dias/1839/09/04/pdfs/GMD-1839-1757.pdf#page=1","Abrir facsímil")</f>
        <v>Abrir facsímil</v>
      </c>
      <c r="K10725" s="12" t="s">
        <v>65</v>
      </c>
    </row>
    <row r="10726" spans="1:11" ht="40.049999999999997" customHeight="1" x14ac:dyDescent="0.25">
      <c r="A10726" s="11" t="s">
        <v>21236</v>
      </c>
      <c r="B10726" s="11" t="s">
        <v>21236</v>
      </c>
      <c r="C10726" s="11" t="s">
        <v>80</v>
      </c>
      <c r="D10726" s="11" t="s">
        <v>18</v>
      </c>
      <c r="E10726" s="12" t="s">
        <v>61</v>
      </c>
      <c r="F10726" s="12" t="s">
        <v>62</v>
      </c>
      <c r="G10726" s="12" t="s">
        <v>21</v>
      </c>
      <c r="H10726" s="11" t="s">
        <v>63</v>
      </c>
      <c r="I10726" s="13" t="s">
        <v>21241</v>
      </c>
      <c r="J10726" s="14" t="str">
        <f>HYPERLINK("https://www.boe.es/gazeta/dias/1839/09/10/pdfs/GMD-1839-1763.pdf#page=4","Abrir facsímil")</f>
        <v>Abrir facsímil</v>
      </c>
      <c r="K10726" s="12" t="s">
        <v>65</v>
      </c>
    </row>
    <row r="10727" spans="1:11" ht="40.049999999999997" customHeight="1" x14ac:dyDescent="0.25">
      <c r="A10727" s="11" t="s">
        <v>21236</v>
      </c>
      <c r="B10727" s="11" t="s">
        <v>21236</v>
      </c>
      <c r="C10727" s="11" t="s">
        <v>17</v>
      </c>
      <c r="D10727" s="11" t="s">
        <v>18</v>
      </c>
      <c r="E10727" s="12" t="s">
        <v>821</v>
      </c>
      <c r="F10727" s="12" t="s">
        <v>822</v>
      </c>
      <c r="G10727" s="12" t="s">
        <v>21</v>
      </c>
      <c r="H10727" s="11" t="s">
        <v>63</v>
      </c>
      <c r="I10727" s="13" t="s">
        <v>21242</v>
      </c>
      <c r="J10727" s="14" t="str">
        <f>HYPERLINK("https://www.boe.es/gazeta/dias/1839/09/20/pdfs/GMD-1839-1775.pdf#page=4","Abrir facsímil")</f>
        <v>Abrir facsímil</v>
      </c>
      <c r="K10727" s="12" t="s">
        <v>65</v>
      </c>
    </row>
    <row r="10728" spans="1:11" ht="40.049999999999997" customHeight="1" x14ac:dyDescent="0.25">
      <c r="A10728" s="11" t="s">
        <v>21236</v>
      </c>
      <c r="B10728" s="11" t="s">
        <v>21236</v>
      </c>
      <c r="C10728" s="11" t="s">
        <v>17</v>
      </c>
      <c r="D10728" s="11" t="s">
        <v>18</v>
      </c>
      <c r="E10728" s="12" t="s">
        <v>1433</v>
      </c>
      <c r="F10728" s="12" t="s">
        <v>1434</v>
      </c>
      <c r="G10728" s="12" t="s">
        <v>40</v>
      </c>
      <c r="H10728" s="11" t="s">
        <v>63</v>
      </c>
      <c r="I10728" s="13" t="s">
        <v>21243</v>
      </c>
      <c r="J10728" s="14" t="str">
        <f>HYPERLINK("https://www.boe.es/gazeta/dias/1839/10/22/pdfs/GMD-1839-1808.pdf#page=2","Abrir facsímil")</f>
        <v>Abrir facsímil</v>
      </c>
      <c r="K10728" s="12" t="s">
        <v>65</v>
      </c>
    </row>
    <row r="10729" spans="1:11" ht="40.049999999999997" customHeight="1" x14ac:dyDescent="0.25">
      <c r="A10729" s="11" t="s">
        <v>21236</v>
      </c>
      <c r="B10729" s="11" t="s">
        <v>21236</v>
      </c>
      <c r="C10729" s="11" t="s">
        <v>17</v>
      </c>
      <c r="D10729" s="11" t="s">
        <v>18</v>
      </c>
      <c r="E10729" s="12" t="s">
        <v>479</v>
      </c>
      <c r="F10729" s="12" t="s">
        <v>480</v>
      </c>
      <c r="G10729" s="12" t="s">
        <v>46</v>
      </c>
      <c r="H10729" s="11" t="s">
        <v>63</v>
      </c>
      <c r="I10729" s="13" t="s">
        <v>21244</v>
      </c>
      <c r="J10729" s="14" t="str">
        <f>HYPERLINK("https://www.boe.es/gazeta/dias/1839/06/24/pdfs/GMD-1839-1682.pdf#page=3","Abrir facsímil")</f>
        <v>Abrir facsímil</v>
      </c>
      <c r="K10729" s="12" t="s">
        <v>65</v>
      </c>
    </row>
    <row r="10730" spans="1:11" ht="40.049999999999997" customHeight="1" x14ac:dyDescent="0.25">
      <c r="A10730" s="11" t="s">
        <v>21236</v>
      </c>
      <c r="B10730" s="11" t="s">
        <v>21236</v>
      </c>
      <c r="C10730" s="11" t="s">
        <v>59</v>
      </c>
      <c r="D10730" s="11" t="s">
        <v>60</v>
      </c>
      <c r="E10730" s="12" t="s">
        <v>826</v>
      </c>
      <c r="F10730" s="12" t="s">
        <v>827</v>
      </c>
      <c r="G10730" s="12" t="s">
        <v>21</v>
      </c>
      <c r="H10730" s="11" t="s">
        <v>63</v>
      </c>
      <c r="I10730" s="13" t="s">
        <v>21245</v>
      </c>
      <c r="J10730" s="14" t="str">
        <f>HYPERLINK("https://www.boe.es/gazeta/dias/1839/09/25/pdfs/GMD-1839-1781.pdf#page=4","Abrir facsímil")</f>
        <v>Abrir facsímil</v>
      </c>
      <c r="K10730" s="12" t="s">
        <v>65</v>
      </c>
    </row>
    <row r="10731" spans="1:11" ht="40.049999999999997" customHeight="1" x14ac:dyDescent="0.25">
      <c r="A10731" s="11" t="s">
        <v>21236</v>
      </c>
      <c r="B10731" s="11" t="s">
        <v>21236</v>
      </c>
      <c r="C10731" s="11" t="s">
        <v>17</v>
      </c>
      <c r="D10731" s="11" t="s">
        <v>18</v>
      </c>
      <c r="E10731" s="12" t="s">
        <v>1395</v>
      </c>
      <c r="F10731" s="12" t="s">
        <v>1396</v>
      </c>
      <c r="G10731" s="12" t="s">
        <v>21</v>
      </c>
      <c r="H10731" s="11" t="s">
        <v>63</v>
      </c>
      <c r="I10731" s="13" t="s">
        <v>21246</v>
      </c>
      <c r="J10731" s="14" t="str">
        <f>HYPERLINK("https://www.boe.es/gazeta/dias/1839/06/26/pdfs/GMD-1839-1684.pdf#page=4","Abrir facsímil")</f>
        <v>Abrir facsímil</v>
      </c>
      <c r="K10731" s="12" t="s">
        <v>65</v>
      </c>
    </row>
    <row r="10732" spans="1:11" ht="40.049999999999997" customHeight="1" x14ac:dyDescent="0.25">
      <c r="A10732" s="11" t="s">
        <v>21236</v>
      </c>
      <c r="B10732" s="11" t="s">
        <v>21236</v>
      </c>
      <c r="C10732" s="11" t="s">
        <v>17</v>
      </c>
      <c r="D10732" s="11" t="s">
        <v>18</v>
      </c>
      <c r="E10732" s="12" t="s">
        <v>723</v>
      </c>
      <c r="F10732" s="12" t="s">
        <v>724</v>
      </c>
      <c r="G10732" s="12" t="s">
        <v>21</v>
      </c>
      <c r="H10732" s="11" t="s">
        <v>63</v>
      </c>
      <c r="I10732" s="13" t="s">
        <v>21247</v>
      </c>
      <c r="J10732" s="14" t="str">
        <f>HYPERLINK("https://www.boe.es/gazeta/dias/1839/09/26/pdfs/GMD-1839-1782.pdf#page=4","Abrir facsímil")</f>
        <v>Abrir facsímil</v>
      </c>
      <c r="K10732" s="12" t="s">
        <v>65</v>
      </c>
    </row>
    <row r="10733" spans="1:11" ht="40.049999999999997" customHeight="1" x14ac:dyDescent="0.25">
      <c r="A10733" s="11" t="s">
        <v>21248</v>
      </c>
      <c r="B10733" s="11" t="s">
        <v>21249</v>
      </c>
      <c r="C10733" s="11" t="s">
        <v>59</v>
      </c>
      <c r="D10733" s="11" t="s">
        <v>60</v>
      </c>
      <c r="E10733" s="12" t="s">
        <v>848</v>
      </c>
      <c r="F10733" s="12" t="s">
        <v>849</v>
      </c>
      <c r="G10733" s="12" t="s">
        <v>29</v>
      </c>
      <c r="H10733" s="11" t="s">
        <v>63</v>
      </c>
      <c r="I10733" s="13" t="s">
        <v>21250</v>
      </c>
      <c r="J10733" s="14" t="str">
        <f>HYPERLINK("https://www.boe.es/gazeta/dias/1839/08/04/pdfs/GMD-1839-1724.pdf#page=1","Abrir facsímil")</f>
        <v>Abrir facsímil</v>
      </c>
      <c r="K10733" s="12" t="s">
        <v>65</v>
      </c>
    </row>
    <row r="10734" spans="1:11" ht="40.049999999999997" customHeight="1" x14ac:dyDescent="0.25">
      <c r="A10734" s="11" t="s">
        <v>21251</v>
      </c>
      <c r="B10734" s="11" t="s">
        <v>21252</v>
      </c>
      <c r="C10734" s="11" t="s">
        <v>59</v>
      </c>
      <c r="D10734" s="11" t="s">
        <v>60</v>
      </c>
      <c r="E10734" s="12" t="s">
        <v>798</v>
      </c>
      <c r="F10734" s="12" t="s">
        <v>21237</v>
      </c>
      <c r="G10734" s="12" t="s">
        <v>29</v>
      </c>
      <c r="H10734" s="11" t="s">
        <v>63</v>
      </c>
      <c r="I10734" s="13" t="s">
        <v>21253</v>
      </c>
      <c r="J10734" s="14" t="str">
        <f>HYPERLINK("https://www.boe.es/datos/pdfs/BOE//1839/1756/E00001-00001.pdf#page=1","Abrir facsímil")</f>
        <v>Abrir facsímil</v>
      </c>
      <c r="K10734" s="12" t="s">
        <v>65</v>
      </c>
    </row>
    <row r="10735" spans="1:11" ht="40.049999999999997" customHeight="1" x14ac:dyDescent="0.25">
      <c r="A10735" s="11" t="s">
        <v>21251</v>
      </c>
      <c r="B10735" s="11" t="s">
        <v>21252</v>
      </c>
      <c r="C10735" s="11" t="s">
        <v>59</v>
      </c>
      <c r="D10735" s="11" t="s">
        <v>60</v>
      </c>
      <c r="E10735" s="12" t="s">
        <v>61</v>
      </c>
      <c r="F10735" s="12" t="s">
        <v>62</v>
      </c>
      <c r="G10735" s="12" t="s">
        <v>29</v>
      </c>
      <c r="H10735" s="11" t="s">
        <v>63</v>
      </c>
      <c r="I10735" s="13" t="s">
        <v>21254</v>
      </c>
      <c r="J10735" s="14" t="str">
        <f>HYPERLINK("https://www.boe.es/gazeta/dias/1839/09/10/pdfs/GMD-1839-1763.pdf#page=1","Abrir facsímil")</f>
        <v>Abrir facsímil</v>
      </c>
      <c r="K10735" s="12" t="s">
        <v>65</v>
      </c>
    </row>
    <row r="10736" spans="1:11" ht="40.049999999999997" customHeight="1" x14ac:dyDescent="0.25">
      <c r="A10736" s="11" t="s">
        <v>21251</v>
      </c>
      <c r="B10736" s="11" t="s">
        <v>21252</v>
      </c>
      <c r="C10736" s="11" t="s">
        <v>137</v>
      </c>
      <c r="D10736" s="11" t="s">
        <v>18</v>
      </c>
      <c r="E10736" s="12" t="s">
        <v>561</v>
      </c>
      <c r="F10736" s="12" t="s">
        <v>562</v>
      </c>
      <c r="G10736" s="12" t="s">
        <v>21</v>
      </c>
      <c r="H10736" s="11" t="s">
        <v>63</v>
      </c>
      <c r="I10736" s="13" t="s">
        <v>21255</v>
      </c>
      <c r="J10736" s="14" t="str">
        <f>HYPERLINK("https://www.boe.es/gazeta/dias/1839/09/11/pdfs/GMD-1839-1764.pdf#page=4","Abrir facsímil")</f>
        <v>Abrir facsímil</v>
      </c>
      <c r="K10736" s="12" t="s">
        <v>65</v>
      </c>
    </row>
    <row r="10737" spans="1:11" ht="40.049999999999997" customHeight="1" x14ac:dyDescent="0.25">
      <c r="A10737" s="11" t="s">
        <v>21251</v>
      </c>
      <c r="B10737" s="11" t="s">
        <v>21252</v>
      </c>
      <c r="C10737" s="11" t="s">
        <v>137</v>
      </c>
      <c r="D10737" s="11" t="s">
        <v>18</v>
      </c>
      <c r="E10737" s="12" t="s">
        <v>254</v>
      </c>
      <c r="F10737" s="12" t="s">
        <v>255</v>
      </c>
      <c r="G10737" s="12" t="s">
        <v>40</v>
      </c>
      <c r="H10737" s="11" t="s">
        <v>63</v>
      </c>
      <c r="I10737" s="13" t="s">
        <v>21256</v>
      </c>
      <c r="J10737" s="14" t="str">
        <f>HYPERLINK("https://www.boe.es/gazeta/dias/1839/09/12/pdfs/GMD-1839-1765.pdf#page=2","Abrir facsímil")</f>
        <v>Abrir facsímil</v>
      </c>
      <c r="K10737" s="12" t="s">
        <v>65</v>
      </c>
    </row>
    <row r="10738" spans="1:11" ht="40.049999999999997" customHeight="1" x14ac:dyDescent="0.25">
      <c r="A10738" s="11" t="s">
        <v>21251</v>
      </c>
      <c r="B10738" s="11" t="s">
        <v>21252</v>
      </c>
      <c r="C10738" s="11" t="s">
        <v>17</v>
      </c>
      <c r="D10738" s="11" t="s">
        <v>18</v>
      </c>
      <c r="E10738" s="12" t="s">
        <v>592</v>
      </c>
      <c r="F10738" s="12" t="s">
        <v>593</v>
      </c>
      <c r="G10738" s="12" t="s">
        <v>40</v>
      </c>
      <c r="H10738" s="11" t="s">
        <v>63</v>
      </c>
      <c r="I10738" s="13" t="s">
        <v>21257</v>
      </c>
      <c r="J10738" s="14" t="str">
        <f>HYPERLINK("https://www.boe.es/gazeta/dias/1839/09/14/pdfs/GMD-1839-1767.pdf#page=2","Abrir facsímil")</f>
        <v>Abrir facsímil</v>
      </c>
      <c r="K10738" s="12" t="s">
        <v>65</v>
      </c>
    </row>
    <row r="10739" spans="1:11" ht="40.049999999999997" customHeight="1" x14ac:dyDescent="0.25">
      <c r="A10739" s="11" t="s">
        <v>21251</v>
      </c>
      <c r="B10739" s="11" t="s">
        <v>21252</v>
      </c>
      <c r="C10739" s="11" t="s">
        <v>80</v>
      </c>
      <c r="D10739" s="11" t="s">
        <v>18</v>
      </c>
      <c r="E10739" s="12" t="s">
        <v>230</v>
      </c>
      <c r="F10739" s="12" t="s">
        <v>231</v>
      </c>
      <c r="G10739" s="12" t="s">
        <v>29</v>
      </c>
      <c r="H10739" s="11" t="s">
        <v>63</v>
      </c>
      <c r="I10739" s="13" t="s">
        <v>21258</v>
      </c>
      <c r="J10739" s="14" t="str">
        <f>HYPERLINK("https://www.boe.es/gazeta/dias/1839/09/16/pdfs/GMD-1839-1769.pdf#page=1","Abrir facsímil")</f>
        <v>Abrir facsímil</v>
      </c>
      <c r="K10739" s="12" t="s">
        <v>65</v>
      </c>
    </row>
    <row r="10740" spans="1:11" ht="40.049999999999997" customHeight="1" x14ac:dyDescent="0.25">
      <c r="A10740" s="11" t="s">
        <v>21251</v>
      </c>
      <c r="B10740" s="11" t="s">
        <v>21252</v>
      </c>
      <c r="C10740" s="11" t="s">
        <v>17</v>
      </c>
      <c r="D10740" s="11" t="s">
        <v>18</v>
      </c>
      <c r="E10740" s="12" t="s">
        <v>650</v>
      </c>
      <c r="F10740" s="12" t="s">
        <v>651</v>
      </c>
      <c r="G10740" s="12" t="s">
        <v>29</v>
      </c>
      <c r="H10740" s="11" t="s">
        <v>63</v>
      </c>
      <c r="I10740" s="13" t="s">
        <v>21259</v>
      </c>
      <c r="J10740" s="14" t="str">
        <f>HYPERLINK("https://www.boe.es/gazeta/dias/1839/10/25/pdfs/GMD-1839-1811.pdf#page=1","Abrir facsímil")</f>
        <v>Abrir facsímil</v>
      </c>
      <c r="K10740" s="12" t="s">
        <v>65</v>
      </c>
    </row>
    <row r="10741" spans="1:11" ht="40.049999999999997" customHeight="1" x14ac:dyDescent="0.25">
      <c r="A10741" s="11" t="s">
        <v>21251</v>
      </c>
      <c r="B10741" s="11" t="s">
        <v>21252</v>
      </c>
      <c r="C10741" s="11" t="s">
        <v>17</v>
      </c>
      <c r="D10741" s="11" t="s">
        <v>18</v>
      </c>
      <c r="E10741" s="12" t="s">
        <v>723</v>
      </c>
      <c r="F10741" s="12" t="s">
        <v>724</v>
      </c>
      <c r="G10741" s="12" t="s">
        <v>46</v>
      </c>
      <c r="H10741" s="11" t="s">
        <v>63</v>
      </c>
      <c r="I10741" s="13" t="s">
        <v>21260</v>
      </c>
      <c r="J10741" s="14" t="str">
        <f>HYPERLINK("https://www.boe.es/gazeta/dias/1839/09/26/pdfs/GMD-1839-1782.pdf#page=3","Abrir facsímil")</f>
        <v>Abrir facsímil</v>
      </c>
      <c r="K10741" s="12" t="s">
        <v>65</v>
      </c>
    </row>
    <row r="10742" spans="1:11" ht="40.049999999999997" customHeight="1" x14ac:dyDescent="0.25">
      <c r="A10742" s="11" t="s">
        <v>21261</v>
      </c>
      <c r="B10742" s="11" t="s">
        <v>21262</v>
      </c>
      <c r="C10742" s="11" t="s">
        <v>17</v>
      </c>
      <c r="D10742" s="11" t="s">
        <v>18</v>
      </c>
      <c r="E10742" s="12" t="s">
        <v>168</v>
      </c>
      <c r="F10742" s="12" t="s">
        <v>169</v>
      </c>
      <c r="G10742" s="12" t="s">
        <v>21</v>
      </c>
      <c r="H10742" s="11" t="s">
        <v>63</v>
      </c>
      <c r="I10742" s="13" t="s">
        <v>21263</v>
      </c>
      <c r="J10742" s="14" t="str">
        <f>HYPERLINK("https://www.boe.es/gazeta/dias/1839/07/12/pdfs/GMD-1839-1700.pdf#page=4","Abrir facsímil")</f>
        <v>Abrir facsímil</v>
      </c>
      <c r="K10742" s="12" t="s">
        <v>65</v>
      </c>
    </row>
    <row r="10743" spans="1:11" ht="40.049999999999997" customHeight="1" x14ac:dyDescent="0.25">
      <c r="A10743" s="11" t="s">
        <v>21264</v>
      </c>
      <c r="B10743" s="11" t="s">
        <v>21265</v>
      </c>
      <c r="C10743" s="11" t="s">
        <v>59</v>
      </c>
      <c r="D10743" s="11" t="s">
        <v>60</v>
      </c>
      <c r="E10743" s="12" t="s">
        <v>1012</v>
      </c>
      <c r="F10743" s="12" t="s">
        <v>1013</v>
      </c>
      <c r="G10743" s="12" t="s">
        <v>46</v>
      </c>
      <c r="H10743" s="11" t="s">
        <v>63</v>
      </c>
      <c r="I10743" s="13" t="s">
        <v>21266</v>
      </c>
      <c r="J10743" s="14" t="str">
        <f>HYPERLINK("https://www.boe.es/gazeta/dias/1839/11/22/pdfs/GMD-1839-1839.pdf#page=3","Abrir facsímil")</f>
        <v>Abrir facsímil</v>
      </c>
      <c r="K10743" s="12" t="s">
        <v>65</v>
      </c>
    </row>
    <row r="10744" spans="1:11" ht="40.049999999999997" customHeight="1" x14ac:dyDescent="0.25">
      <c r="A10744" s="11" t="s">
        <v>21267</v>
      </c>
      <c r="B10744" s="11" t="s">
        <v>21268</v>
      </c>
      <c r="C10744" s="11" t="s">
        <v>80</v>
      </c>
      <c r="D10744" s="11" t="s">
        <v>18</v>
      </c>
      <c r="E10744" s="12" t="s">
        <v>1648</v>
      </c>
      <c r="F10744" s="12" t="s">
        <v>1649</v>
      </c>
      <c r="G10744" s="12" t="s">
        <v>21</v>
      </c>
      <c r="H10744" s="11" t="s">
        <v>63</v>
      </c>
      <c r="I10744" s="13" t="s">
        <v>21269</v>
      </c>
      <c r="J10744" s="14" t="str">
        <f>HYPERLINK("https://www.boe.es/gazeta/dias/1839/08/18/pdfs/GMD-1839-1738.pdf#page=4","Abrir facsímil")</f>
        <v>Abrir facsímil</v>
      </c>
      <c r="K10744" s="12" t="s">
        <v>65</v>
      </c>
    </row>
    <row r="10745" spans="1:11" ht="40.049999999999997" customHeight="1" x14ac:dyDescent="0.25">
      <c r="A10745" s="11" t="s">
        <v>21270</v>
      </c>
      <c r="B10745" s="11" t="s">
        <v>21271</v>
      </c>
      <c r="C10745" s="11" t="s">
        <v>80</v>
      </c>
      <c r="D10745" s="11" t="s">
        <v>18</v>
      </c>
      <c r="E10745" s="12" t="s">
        <v>785</v>
      </c>
      <c r="F10745" s="12" t="s">
        <v>786</v>
      </c>
      <c r="G10745" s="12" t="s">
        <v>40</v>
      </c>
      <c r="H10745" s="11" t="s">
        <v>63</v>
      </c>
      <c r="I10745" s="13" t="s">
        <v>21272</v>
      </c>
      <c r="J10745" s="14" t="str">
        <f>HYPERLINK("https://www.boe.es/gazeta/dias/1839/07/13/pdfs/GMD-1839-1701.pdf#page=2","Abrir facsímil")</f>
        <v>Abrir facsímil</v>
      </c>
      <c r="K10745" s="12" t="s">
        <v>65</v>
      </c>
    </row>
    <row r="10746" spans="1:11" ht="40.049999999999997" customHeight="1" x14ac:dyDescent="0.25">
      <c r="A10746" s="11" t="s">
        <v>21273</v>
      </c>
      <c r="B10746" s="11" t="s">
        <v>21274</v>
      </c>
      <c r="C10746" s="11" t="s">
        <v>80</v>
      </c>
      <c r="D10746" s="11" t="s">
        <v>18</v>
      </c>
      <c r="E10746" s="12" t="s">
        <v>355</v>
      </c>
      <c r="F10746" s="12" t="s">
        <v>356</v>
      </c>
      <c r="G10746" s="12" t="s">
        <v>21</v>
      </c>
      <c r="H10746" s="11" t="s">
        <v>63</v>
      </c>
      <c r="I10746" s="13" t="s">
        <v>21275</v>
      </c>
      <c r="J10746" s="14" t="str">
        <f>HYPERLINK("https://www.boe.es/gazeta/dias/1839/05/31/pdfs/GMD-1839-1658.pdf#page=4","Abrir facsímil")</f>
        <v>Abrir facsímil</v>
      </c>
      <c r="K10746" s="12" t="s">
        <v>65</v>
      </c>
    </row>
    <row r="10747" spans="1:11" ht="40.049999999999997" customHeight="1" x14ac:dyDescent="0.25">
      <c r="A10747" s="11" t="s">
        <v>21276</v>
      </c>
      <c r="B10747" s="11" t="s">
        <v>21277</v>
      </c>
      <c r="C10747" s="11" t="s">
        <v>59</v>
      </c>
      <c r="D10747" s="11" t="s">
        <v>60</v>
      </c>
      <c r="E10747" s="12" t="s">
        <v>798</v>
      </c>
      <c r="F10747" s="12" t="s">
        <v>21237</v>
      </c>
      <c r="G10747" s="12" t="s">
        <v>29</v>
      </c>
      <c r="H10747" s="11" t="s">
        <v>22</v>
      </c>
      <c r="I10747" s="13" t="s">
        <v>21278</v>
      </c>
      <c r="J10747" s="14" t="str">
        <f>HYPERLINK("https://www.boe.es/datos/pdfs/BOE//1839/1756/E00001-00001.pdf#page=1","Abrir facsímil")</f>
        <v>Abrir facsímil</v>
      </c>
      <c r="K10747" s="12" t="s">
        <v>24</v>
      </c>
    </row>
    <row r="10748" spans="1:11" ht="40.049999999999997" customHeight="1" x14ac:dyDescent="0.25">
      <c r="A10748" s="11" t="s">
        <v>21279</v>
      </c>
      <c r="B10748" s="11" t="s">
        <v>21279</v>
      </c>
      <c r="C10748" s="11" t="s">
        <v>17</v>
      </c>
      <c r="D10748" s="11" t="s">
        <v>18</v>
      </c>
      <c r="E10748" s="12" t="s">
        <v>1929</v>
      </c>
      <c r="F10748" s="12" t="s">
        <v>1930</v>
      </c>
      <c r="G10748" s="12" t="s">
        <v>46</v>
      </c>
      <c r="H10748" s="11" t="s">
        <v>22</v>
      </c>
      <c r="I10748" s="13" t="s">
        <v>21280</v>
      </c>
      <c r="J10748" s="14" t="str">
        <f>HYPERLINK("https://www.boe.es/gazeta/dias/1839/02/01/pdfs/GMD-1839-1539.pdf#page=3","Abrir facsímil")</f>
        <v>Abrir facsímil</v>
      </c>
      <c r="K10748" s="12" t="s">
        <v>24</v>
      </c>
    </row>
    <row r="10749" spans="1:11" ht="40.049999999999997" customHeight="1" x14ac:dyDescent="0.25">
      <c r="A10749" s="11" t="s">
        <v>21279</v>
      </c>
      <c r="B10749" s="11" t="s">
        <v>21279</v>
      </c>
      <c r="C10749" s="11" t="s">
        <v>17</v>
      </c>
      <c r="D10749" s="11" t="s">
        <v>18</v>
      </c>
      <c r="E10749" s="12" t="s">
        <v>1929</v>
      </c>
      <c r="F10749" s="12" t="s">
        <v>1930</v>
      </c>
      <c r="G10749" s="12" t="s">
        <v>21</v>
      </c>
      <c r="H10749" s="11" t="s">
        <v>22</v>
      </c>
      <c r="I10749" s="13" t="s">
        <v>21281</v>
      </c>
      <c r="J10749" s="14" t="str">
        <f>HYPERLINK("https://www.boe.es/gazeta/dias/1839/02/01/pdfs/GMD-1839-1539.pdf#page=4","Abrir facsímil")</f>
        <v>Abrir facsímil</v>
      </c>
      <c r="K10749" s="12" t="s">
        <v>24</v>
      </c>
    </row>
    <row r="10750" spans="1:11" ht="40.049999999999997" customHeight="1" x14ac:dyDescent="0.25">
      <c r="A10750" s="11" t="s">
        <v>21279</v>
      </c>
      <c r="B10750" s="11" t="s">
        <v>21279</v>
      </c>
      <c r="C10750" s="11" t="s">
        <v>137</v>
      </c>
      <c r="D10750" s="11" t="s">
        <v>18</v>
      </c>
      <c r="E10750" s="12" t="s">
        <v>181</v>
      </c>
      <c r="F10750" s="12" t="s">
        <v>182</v>
      </c>
      <c r="G10750" s="12" t="s">
        <v>29</v>
      </c>
      <c r="H10750" s="11" t="s">
        <v>22</v>
      </c>
      <c r="I10750" s="13" t="s">
        <v>21282</v>
      </c>
      <c r="J10750" s="14" t="str">
        <f>HYPERLINK("https://www.boe.es/gazeta/dias/1839/01/11/pdfs/GMD-1839-1518.pdf#page=1","Abrir facsímil")</f>
        <v>Abrir facsímil</v>
      </c>
      <c r="K10750" s="12" t="s">
        <v>24</v>
      </c>
    </row>
    <row r="10751" spans="1:11" ht="40.049999999999997" customHeight="1" x14ac:dyDescent="0.25">
      <c r="A10751" s="11" t="s">
        <v>21279</v>
      </c>
      <c r="B10751" s="11" t="s">
        <v>21279</v>
      </c>
      <c r="C10751" s="11" t="s">
        <v>17</v>
      </c>
      <c r="D10751" s="11" t="s">
        <v>18</v>
      </c>
      <c r="E10751" s="12" t="s">
        <v>1807</v>
      </c>
      <c r="F10751" s="12" t="s">
        <v>1808</v>
      </c>
      <c r="G10751" s="12" t="s">
        <v>46</v>
      </c>
      <c r="H10751" s="11" t="s">
        <v>22</v>
      </c>
      <c r="I10751" s="13" t="s">
        <v>21283</v>
      </c>
      <c r="J10751" s="14" t="str">
        <f>HYPERLINK("https://www.boe.es/gazeta/dias/1839/01/29/pdfs/GMD-1839-1536.pdf#page=3","Abrir facsímil")</f>
        <v>Abrir facsímil</v>
      </c>
      <c r="K10751" s="12" t="s">
        <v>24</v>
      </c>
    </row>
    <row r="10752" spans="1:11" ht="40.049999999999997" customHeight="1" x14ac:dyDescent="0.25">
      <c r="A10752" s="11" t="s">
        <v>21279</v>
      </c>
      <c r="B10752" s="11" t="s">
        <v>21279</v>
      </c>
      <c r="C10752" s="11" t="s">
        <v>80</v>
      </c>
      <c r="D10752" s="11" t="s">
        <v>18</v>
      </c>
      <c r="E10752" s="12" t="s">
        <v>1867</v>
      </c>
      <c r="F10752" s="12" t="s">
        <v>1868</v>
      </c>
      <c r="G10752" s="12" t="s">
        <v>46</v>
      </c>
      <c r="H10752" s="11" t="s">
        <v>22</v>
      </c>
      <c r="I10752" s="13" t="s">
        <v>21284</v>
      </c>
      <c r="J10752" s="14" t="str">
        <f>HYPERLINK("https://www.boe.es/gazeta/dias/1839/01/30/pdfs/GMD-1839-1537.pdf#page=3","Abrir facsímil")</f>
        <v>Abrir facsímil</v>
      </c>
      <c r="K10752" s="12" t="s">
        <v>24</v>
      </c>
    </row>
    <row r="10753" spans="1:11" ht="40.049999999999997" customHeight="1" x14ac:dyDescent="0.25">
      <c r="A10753" s="11" t="s">
        <v>21285</v>
      </c>
      <c r="B10753" s="11" t="s">
        <v>21285</v>
      </c>
      <c r="C10753" s="11" t="s">
        <v>17</v>
      </c>
      <c r="D10753" s="11" t="s">
        <v>18</v>
      </c>
      <c r="E10753" s="12" t="s">
        <v>929</v>
      </c>
      <c r="F10753" s="12" t="s">
        <v>930</v>
      </c>
      <c r="G10753" s="12" t="s">
        <v>40</v>
      </c>
      <c r="H10753" s="11" t="s">
        <v>63</v>
      </c>
      <c r="I10753" s="13" t="s">
        <v>21286</v>
      </c>
      <c r="J10753" s="14" t="str">
        <f>HYPERLINK("https://www.boe.es/gazeta/dias/1839/01/31/pdfs/GMD-1839-1538.pdf#page=2","Abrir facsímil")</f>
        <v>Abrir facsímil</v>
      </c>
      <c r="K10753" s="12" t="s">
        <v>65</v>
      </c>
    </row>
    <row r="10754" spans="1:11" ht="40.049999999999997" customHeight="1" x14ac:dyDescent="0.25">
      <c r="A10754" s="11" t="s">
        <v>21287</v>
      </c>
      <c r="B10754" s="11" t="s">
        <v>21287</v>
      </c>
      <c r="C10754" s="11" t="s">
        <v>137</v>
      </c>
      <c r="D10754" s="11" t="s">
        <v>18</v>
      </c>
      <c r="E10754" s="12" t="s">
        <v>157</v>
      </c>
      <c r="F10754" s="12" t="s">
        <v>158</v>
      </c>
      <c r="G10754" s="12" t="s">
        <v>46</v>
      </c>
      <c r="H10754" s="11" t="s">
        <v>22</v>
      </c>
      <c r="I10754" s="13" t="s">
        <v>21288</v>
      </c>
      <c r="J10754" s="14" t="str">
        <f>HYPERLINK("https://www.boe.es/gazeta/dias/1839/02/08/pdfs/GMD-1839-1546.pdf#page=3","Abrir facsímil")</f>
        <v>Abrir facsímil</v>
      </c>
      <c r="K10754" s="12" t="s">
        <v>24</v>
      </c>
    </row>
    <row r="10755" spans="1:11" ht="40.049999999999997" customHeight="1" x14ac:dyDescent="0.25">
      <c r="A10755" s="11" t="s">
        <v>21289</v>
      </c>
      <c r="B10755" s="11" t="s">
        <v>21289</v>
      </c>
      <c r="C10755" s="11" t="s">
        <v>17</v>
      </c>
      <c r="D10755" s="11" t="s">
        <v>18</v>
      </c>
      <c r="E10755" s="12" t="s">
        <v>168</v>
      </c>
      <c r="F10755" s="12" t="s">
        <v>169</v>
      </c>
      <c r="G10755" s="12" t="s">
        <v>21</v>
      </c>
      <c r="H10755" s="11" t="s">
        <v>63</v>
      </c>
      <c r="I10755" s="13" t="s">
        <v>21290</v>
      </c>
      <c r="J10755" s="14" t="str">
        <f>HYPERLINK("https://www.boe.es/gazeta/dias/1839/07/12/pdfs/GMD-1839-1700.pdf#page=4","Abrir facsímil")</f>
        <v>Abrir facsímil</v>
      </c>
      <c r="K10755" s="12" t="s">
        <v>65</v>
      </c>
    </row>
    <row r="10756" spans="1:11" ht="40.049999999999997" customHeight="1" x14ac:dyDescent="0.25">
      <c r="A10756" s="11" t="s">
        <v>21289</v>
      </c>
      <c r="B10756" s="11" t="s">
        <v>21289</v>
      </c>
      <c r="C10756" s="11" t="s">
        <v>80</v>
      </c>
      <c r="D10756" s="11" t="s">
        <v>18</v>
      </c>
      <c r="E10756" s="12" t="s">
        <v>185</v>
      </c>
      <c r="F10756" s="12" t="s">
        <v>186</v>
      </c>
      <c r="G10756" s="12" t="s">
        <v>40</v>
      </c>
      <c r="H10756" s="11" t="s">
        <v>63</v>
      </c>
      <c r="I10756" s="13" t="s">
        <v>21291</v>
      </c>
      <c r="J10756" s="14" t="str">
        <f>HYPERLINK("https://www.boe.es/gazeta/dias/1839/01/15/pdfs/GMD-1839-1522.pdf#page=2","Abrir facsímil")</f>
        <v>Abrir facsímil</v>
      </c>
      <c r="K10756" s="12" t="s">
        <v>65</v>
      </c>
    </row>
    <row r="10757" spans="1:11" ht="40.049999999999997" customHeight="1" x14ac:dyDescent="0.25">
      <c r="A10757" s="11" t="s">
        <v>21289</v>
      </c>
      <c r="B10757" s="11" t="s">
        <v>21289</v>
      </c>
      <c r="C10757" s="11" t="s">
        <v>17</v>
      </c>
      <c r="D10757" s="11" t="s">
        <v>18</v>
      </c>
      <c r="E10757" s="12" t="s">
        <v>929</v>
      </c>
      <c r="F10757" s="12" t="s">
        <v>930</v>
      </c>
      <c r="G10757" s="12" t="s">
        <v>40</v>
      </c>
      <c r="H10757" s="11" t="s">
        <v>63</v>
      </c>
      <c r="I10757" s="13" t="s">
        <v>21292</v>
      </c>
      <c r="J10757" s="14" t="str">
        <f>HYPERLINK("https://www.boe.es/gazeta/dias/1839/01/31/pdfs/GMD-1839-1538.pdf#page=2","Abrir facsímil")</f>
        <v>Abrir facsímil</v>
      </c>
      <c r="K10757" s="12" t="s">
        <v>65</v>
      </c>
    </row>
    <row r="10758" spans="1:11" ht="40.049999999999997" customHeight="1" x14ac:dyDescent="0.25">
      <c r="A10758" s="11" t="s">
        <v>21293</v>
      </c>
      <c r="B10758" s="11" t="s">
        <v>21293</v>
      </c>
      <c r="C10758" s="11" t="s">
        <v>17</v>
      </c>
      <c r="D10758" s="11" t="s">
        <v>18</v>
      </c>
      <c r="E10758" s="12" t="s">
        <v>121</v>
      </c>
      <c r="F10758" s="12" t="s">
        <v>122</v>
      </c>
      <c r="G10758" s="12" t="s">
        <v>29</v>
      </c>
      <c r="H10758" s="11" t="s">
        <v>63</v>
      </c>
      <c r="I10758" s="13" t="s">
        <v>21294</v>
      </c>
      <c r="J10758" s="14" t="str">
        <f>HYPERLINK("https://www.boe.es/gazeta/dias/1839/06/08/pdfs/GMD-1839-1666.pdf#page=1","Abrir facsímil")</f>
        <v>Abrir facsímil</v>
      </c>
      <c r="K10758" s="12" t="s">
        <v>65</v>
      </c>
    </row>
    <row r="10759" spans="1:11" ht="40.049999999999997" customHeight="1" x14ac:dyDescent="0.25">
      <c r="A10759" s="11" t="s">
        <v>21295</v>
      </c>
      <c r="B10759" s="11" t="s">
        <v>21295</v>
      </c>
      <c r="C10759" s="11" t="s">
        <v>17</v>
      </c>
      <c r="D10759" s="11" t="s">
        <v>18</v>
      </c>
      <c r="E10759" s="12" t="s">
        <v>1807</v>
      </c>
      <c r="F10759" s="12" t="s">
        <v>1808</v>
      </c>
      <c r="G10759" s="12" t="s">
        <v>46</v>
      </c>
      <c r="H10759" s="11" t="s">
        <v>22</v>
      </c>
      <c r="I10759" s="13" t="s">
        <v>21296</v>
      </c>
      <c r="J10759" s="14" t="str">
        <f>HYPERLINK("https://www.boe.es/gazeta/dias/1839/01/29/pdfs/GMD-1839-1536.pdf#page=3","Abrir facsímil")</f>
        <v>Abrir facsímil</v>
      </c>
      <c r="K10759" s="12" t="s">
        <v>24</v>
      </c>
    </row>
    <row r="10760" spans="1:11" ht="40.049999999999997" customHeight="1" x14ac:dyDescent="0.25">
      <c r="A10760" s="11" t="s">
        <v>21297</v>
      </c>
      <c r="B10760" s="11" t="s">
        <v>21297</v>
      </c>
      <c r="C10760" s="11" t="s">
        <v>17</v>
      </c>
      <c r="D10760" s="11" t="s">
        <v>18</v>
      </c>
      <c r="E10760" s="12" t="s">
        <v>360</v>
      </c>
      <c r="F10760" s="12" t="s">
        <v>361</v>
      </c>
      <c r="G10760" s="12" t="s">
        <v>21</v>
      </c>
      <c r="H10760" s="11" t="s">
        <v>63</v>
      </c>
      <c r="I10760" s="13" t="s">
        <v>21298</v>
      </c>
      <c r="J10760" s="14" t="str">
        <f>HYPERLINK("https://www.boe.es/gazeta/dias/1839/08/22/pdfs/GMD-1839-1743.pdf#page=4","Abrir facsímil")</f>
        <v>Abrir facsímil</v>
      </c>
      <c r="K10760" s="12" t="s">
        <v>65</v>
      </c>
    </row>
    <row r="10761" spans="1:11" ht="40.049999999999997" customHeight="1" x14ac:dyDescent="0.25">
      <c r="A10761" s="11" t="s">
        <v>21297</v>
      </c>
      <c r="B10761" s="11" t="s">
        <v>21297</v>
      </c>
      <c r="C10761" s="11" t="s">
        <v>101</v>
      </c>
      <c r="D10761" s="11" t="s">
        <v>43</v>
      </c>
      <c r="E10761" s="12" t="s">
        <v>929</v>
      </c>
      <c r="F10761" s="12" t="s">
        <v>930</v>
      </c>
      <c r="G10761" s="12" t="s">
        <v>40</v>
      </c>
      <c r="H10761" s="11" t="s">
        <v>63</v>
      </c>
      <c r="I10761" s="13" t="s">
        <v>21299</v>
      </c>
      <c r="J10761" s="14" t="str">
        <f>HYPERLINK("https://www.boe.es/gazeta/dias/1839/01/31/pdfs/GMD-1839-1538.pdf#page=2","Abrir facsímil")</f>
        <v>Abrir facsímil</v>
      </c>
      <c r="K10761" s="12" t="s">
        <v>65</v>
      </c>
    </row>
    <row r="10762" spans="1:11" ht="40.049999999999997" customHeight="1" x14ac:dyDescent="0.25">
      <c r="A10762" s="11" t="s">
        <v>21300</v>
      </c>
      <c r="B10762" s="11" t="s">
        <v>21301</v>
      </c>
      <c r="C10762" s="11" t="s">
        <v>17</v>
      </c>
      <c r="D10762" s="11" t="s">
        <v>18</v>
      </c>
      <c r="E10762" s="12" t="s">
        <v>716</v>
      </c>
      <c r="F10762" s="12" t="s">
        <v>717</v>
      </c>
      <c r="G10762" s="12" t="s">
        <v>29</v>
      </c>
      <c r="H10762" s="11" t="s">
        <v>63</v>
      </c>
      <c r="I10762" s="13" t="s">
        <v>21302</v>
      </c>
      <c r="J10762" s="14" t="str">
        <f>HYPERLINK("https://www.boe.es/gazeta/dias/1839/07/30/pdfs/GMD-1839-1719.pdf#page=1","Abrir facsímil")</f>
        <v>Abrir facsímil</v>
      </c>
      <c r="K10762" s="12" t="s">
        <v>65</v>
      </c>
    </row>
    <row r="10763" spans="1:11" ht="40.049999999999997" customHeight="1" x14ac:dyDescent="0.25">
      <c r="A10763" s="11" t="s">
        <v>21303</v>
      </c>
      <c r="B10763" s="11" t="s">
        <v>21303</v>
      </c>
      <c r="C10763" s="11" t="s">
        <v>17</v>
      </c>
      <c r="D10763" s="11" t="s">
        <v>18</v>
      </c>
      <c r="E10763" s="12" t="s">
        <v>1479</v>
      </c>
      <c r="F10763" s="12" t="s">
        <v>1480</v>
      </c>
      <c r="G10763" s="12" t="s">
        <v>46</v>
      </c>
      <c r="H10763" s="11" t="s">
        <v>63</v>
      </c>
      <c r="I10763" s="13" t="s">
        <v>21304</v>
      </c>
      <c r="J10763" s="14" t="str">
        <f>HYPERLINK("https://www.boe.es/gazeta/dias/1839/04/09/pdfs/GMD-1839-1606.pdf#page=3","Abrir facsímil")</f>
        <v>Abrir facsímil</v>
      </c>
      <c r="K10763" s="12" t="s">
        <v>65</v>
      </c>
    </row>
    <row r="10764" spans="1:11" ht="40.049999999999997" customHeight="1" x14ac:dyDescent="0.25">
      <c r="A10764" s="11" t="s">
        <v>21303</v>
      </c>
      <c r="B10764" s="11" t="s">
        <v>21303</v>
      </c>
      <c r="C10764" s="11" t="s">
        <v>17</v>
      </c>
      <c r="D10764" s="11" t="s">
        <v>18</v>
      </c>
      <c r="E10764" s="12" t="s">
        <v>185</v>
      </c>
      <c r="F10764" s="12" t="s">
        <v>186</v>
      </c>
      <c r="G10764" s="12" t="s">
        <v>40</v>
      </c>
      <c r="H10764" s="11" t="s">
        <v>63</v>
      </c>
      <c r="I10764" s="13" t="s">
        <v>21305</v>
      </c>
      <c r="J10764" s="14" t="str">
        <f>HYPERLINK("https://www.boe.es/gazeta/dias/1839/01/15/pdfs/GMD-1839-1522.pdf#page=2","Abrir facsímil")</f>
        <v>Abrir facsímil</v>
      </c>
      <c r="K10764" s="12" t="s">
        <v>65</v>
      </c>
    </row>
    <row r="10765" spans="1:11" ht="40.049999999999997" customHeight="1" x14ac:dyDescent="0.25">
      <c r="A10765" s="11" t="s">
        <v>21303</v>
      </c>
      <c r="B10765" s="11" t="s">
        <v>21303</v>
      </c>
      <c r="C10765" s="11" t="s">
        <v>137</v>
      </c>
      <c r="D10765" s="11" t="s">
        <v>18</v>
      </c>
      <c r="E10765" s="12" t="s">
        <v>479</v>
      </c>
      <c r="F10765" s="12" t="s">
        <v>480</v>
      </c>
      <c r="G10765" s="12" t="s">
        <v>29</v>
      </c>
      <c r="H10765" s="11" t="s">
        <v>63</v>
      </c>
      <c r="I10765" s="13" t="s">
        <v>21306</v>
      </c>
      <c r="J10765" s="14" t="str">
        <f>HYPERLINK("https://www.boe.es/gazeta/dias/1839/06/24/pdfs/GMD-1839-1682.pdf#page=1","Abrir facsímil")</f>
        <v>Abrir facsímil</v>
      </c>
      <c r="K10765" s="12" t="s">
        <v>65</v>
      </c>
    </row>
    <row r="10766" spans="1:11" ht="40.049999999999997" customHeight="1" x14ac:dyDescent="0.25">
      <c r="A10766" s="11" t="s">
        <v>21303</v>
      </c>
      <c r="B10766" s="11" t="s">
        <v>21303</v>
      </c>
      <c r="C10766" s="11" t="s">
        <v>59</v>
      </c>
      <c r="D10766" s="11" t="s">
        <v>60</v>
      </c>
      <c r="E10766" s="12" t="s">
        <v>907</v>
      </c>
      <c r="F10766" s="12" t="s">
        <v>908</v>
      </c>
      <c r="G10766" s="12" t="s">
        <v>29</v>
      </c>
      <c r="H10766" s="11" t="s">
        <v>63</v>
      </c>
      <c r="I10766" s="13" t="s">
        <v>21307</v>
      </c>
      <c r="J10766" s="14" t="str">
        <f>HYPERLINK("https://www.boe.es/gazeta/dias/1839/07/31/pdfs/GMD-1839-1720.pdf#page=1","Abrir facsímil")</f>
        <v>Abrir facsímil</v>
      </c>
      <c r="K10766" s="12" t="s">
        <v>65</v>
      </c>
    </row>
    <row r="10767" spans="1:11" ht="40.049999999999997" customHeight="1" x14ac:dyDescent="0.25">
      <c r="A10767" s="11" t="s">
        <v>21308</v>
      </c>
      <c r="B10767" s="11" t="s">
        <v>21309</v>
      </c>
      <c r="C10767" s="11" t="s">
        <v>59</v>
      </c>
      <c r="D10767" s="11" t="s">
        <v>60</v>
      </c>
      <c r="E10767" s="12" t="s">
        <v>202</v>
      </c>
      <c r="F10767" s="12" t="s">
        <v>203</v>
      </c>
      <c r="G10767" s="12" t="s">
        <v>46</v>
      </c>
      <c r="H10767" s="11" t="s">
        <v>63</v>
      </c>
      <c r="I10767" s="13" t="s">
        <v>21310</v>
      </c>
      <c r="J10767" s="14" t="str">
        <f>HYPERLINK("https://www.boe.es/gazeta/dias/1839/04/05/pdfs/GMD-1839-1602.pdf#page=3","Abrir facsímil")</f>
        <v>Abrir facsímil</v>
      </c>
      <c r="K10767" s="12" t="s">
        <v>65</v>
      </c>
    </row>
    <row r="10768" spans="1:11" ht="40.049999999999997" customHeight="1" x14ac:dyDescent="0.25">
      <c r="A10768" s="11" t="s">
        <v>21308</v>
      </c>
      <c r="B10768" s="11" t="s">
        <v>21309</v>
      </c>
      <c r="C10768" s="11" t="s">
        <v>17</v>
      </c>
      <c r="D10768" s="11" t="s">
        <v>18</v>
      </c>
      <c r="E10768" s="12" t="s">
        <v>1356</v>
      </c>
      <c r="F10768" s="12" t="s">
        <v>1357</v>
      </c>
      <c r="G10768" s="12" t="s">
        <v>46</v>
      </c>
      <c r="H10768" s="11" t="s">
        <v>63</v>
      </c>
      <c r="I10768" s="13" t="s">
        <v>21311</v>
      </c>
      <c r="J10768" s="14" t="str">
        <f>HYPERLINK("https://www.boe.es/gazeta/dias/1839/06/05/pdfs/GMD-1839-1663.pdf#page=3","Abrir facsímil")</f>
        <v>Abrir facsímil</v>
      </c>
      <c r="K10768" s="12" t="s">
        <v>65</v>
      </c>
    </row>
    <row r="10769" spans="1:11" ht="40.049999999999997" customHeight="1" x14ac:dyDescent="0.25">
      <c r="A10769" s="11" t="s">
        <v>21312</v>
      </c>
      <c r="B10769" s="11" t="s">
        <v>21313</v>
      </c>
      <c r="C10769" s="11" t="s">
        <v>17</v>
      </c>
      <c r="D10769" s="11" t="s">
        <v>18</v>
      </c>
      <c r="E10769" s="12" t="s">
        <v>168</v>
      </c>
      <c r="F10769" s="12" t="s">
        <v>169</v>
      </c>
      <c r="G10769" s="12" t="s">
        <v>21</v>
      </c>
      <c r="H10769" s="11" t="s">
        <v>63</v>
      </c>
      <c r="I10769" s="13" t="s">
        <v>21314</v>
      </c>
      <c r="J10769" s="14" t="str">
        <f>HYPERLINK("https://www.boe.es/gazeta/dias/1839/07/12/pdfs/GMD-1839-1700.pdf#page=4","Abrir facsímil")</f>
        <v>Abrir facsímil</v>
      </c>
      <c r="K10769" s="12" t="s">
        <v>65</v>
      </c>
    </row>
    <row r="10770" spans="1:11" ht="40.049999999999997" customHeight="1" x14ac:dyDescent="0.25">
      <c r="A10770" s="11" t="s">
        <v>21315</v>
      </c>
      <c r="B10770" s="11" t="s">
        <v>21316</v>
      </c>
      <c r="C10770" s="11" t="s">
        <v>80</v>
      </c>
      <c r="D10770" s="11" t="s">
        <v>18</v>
      </c>
      <c r="E10770" s="12" t="s">
        <v>690</v>
      </c>
      <c r="F10770" s="12" t="s">
        <v>691</v>
      </c>
      <c r="G10770" s="12" t="s">
        <v>21</v>
      </c>
      <c r="H10770" s="11" t="s">
        <v>63</v>
      </c>
      <c r="I10770" s="13" t="s">
        <v>21317</v>
      </c>
      <c r="J10770" s="14" t="str">
        <f>HYPERLINK("https://www.boe.es/gazeta/dias/1839/12/08/pdfs/GMD-1839-1855.pdf#page=4","Abrir facsímil")</f>
        <v>Abrir facsímil</v>
      </c>
      <c r="K10770" s="12" t="s">
        <v>65</v>
      </c>
    </row>
    <row r="10771" spans="1:11" ht="40.049999999999997" customHeight="1" x14ac:dyDescent="0.25">
      <c r="A10771" s="11" t="s">
        <v>21315</v>
      </c>
      <c r="B10771" s="11" t="s">
        <v>21316</v>
      </c>
      <c r="C10771" s="11" t="s">
        <v>59</v>
      </c>
      <c r="D10771" s="11" t="s">
        <v>60</v>
      </c>
      <c r="E10771" s="12" t="s">
        <v>857</v>
      </c>
      <c r="F10771" s="12" t="s">
        <v>858</v>
      </c>
      <c r="G10771" s="12" t="s">
        <v>40</v>
      </c>
      <c r="H10771" s="11" t="s">
        <v>63</v>
      </c>
      <c r="I10771" s="13" t="s">
        <v>21318</v>
      </c>
      <c r="J10771" s="14" t="str">
        <f>HYPERLINK("https://www.boe.es/gazeta/dias/1839/11/21/pdfs/GMD-1839-1838.pdf#page=2","Abrir facsímil")</f>
        <v>Abrir facsímil</v>
      </c>
      <c r="K10771" s="12" t="s">
        <v>65</v>
      </c>
    </row>
    <row r="10772" spans="1:11" ht="40.049999999999997" customHeight="1" x14ac:dyDescent="0.25">
      <c r="A10772" s="11" t="s">
        <v>21319</v>
      </c>
      <c r="B10772" s="11" t="s">
        <v>21320</v>
      </c>
      <c r="C10772" s="11" t="s">
        <v>17</v>
      </c>
      <c r="D10772" s="11" t="s">
        <v>18</v>
      </c>
      <c r="E10772" s="12" t="s">
        <v>4292</v>
      </c>
      <c r="F10772" s="12" t="s">
        <v>4293</v>
      </c>
      <c r="G10772" s="12" t="s">
        <v>29</v>
      </c>
      <c r="H10772" s="11" t="s">
        <v>63</v>
      </c>
      <c r="I10772" s="13" t="s">
        <v>21321</v>
      </c>
      <c r="J10772" s="14" t="str">
        <f>HYPERLINK("https://www.boe.es/gazeta/dias/1839/11/29/pdfs/GMD-1839-1846.pdf#page=1","Abrir facsímil")</f>
        <v>Abrir facsímil</v>
      </c>
      <c r="K10772" s="12" t="s">
        <v>65</v>
      </c>
    </row>
    <row r="10773" spans="1:11" ht="40.049999999999997" customHeight="1" x14ac:dyDescent="0.25">
      <c r="A10773" s="11" t="s">
        <v>21322</v>
      </c>
      <c r="B10773" s="11" t="s">
        <v>21323</v>
      </c>
      <c r="C10773" s="11" t="s">
        <v>80</v>
      </c>
      <c r="D10773" s="11" t="s">
        <v>18</v>
      </c>
      <c r="E10773" s="12" t="s">
        <v>1588</v>
      </c>
      <c r="F10773" s="12" t="s">
        <v>1589</v>
      </c>
      <c r="G10773" s="12" t="s">
        <v>29</v>
      </c>
      <c r="H10773" s="11" t="s">
        <v>63</v>
      </c>
      <c r="I10773" s="13" t="s">
        <v>21324</v>
      </c>
      <c r="J10773" s="14" t="str">
        <f>HYPERLINK("https://www.boe.es/gazeta/dias/1839/07/27/pdfs/GMD-1839-1716.pdf#page=1","Abrir facsímil")</f>
        <v>Abrir facsímil</v>
      </c>
      <c r="K10773" s="12" t="s">
        <v>65</v>
      </c>
    </row>
    <row r="10774" spans="1:11" ht="40.049999999999997" customHeight="1" x14ac:dyDescent="0.25">
      <c r="A10774" s="11" t="s">
        <v>21325</v>
      </c>
      <c r="B10774" s="11" t="s">
        <v>21326</v>
      </c>
      <c r="C10774" s="11" t="s">
        <v>137</v>
      </c>
      <c r="D10774" s="11" t="s">
        <v>18</v>
      </c>
      <c r="E10774" s="12" t="s">
        <v>94</v>
      </c>
      <c r="F10774" s="12" t="s">
        <v>95</v>
      </c>
      <c r="G10774" s="12" t="s">
        <v>29</v>
      </c>
      <c r="H10774" s="11" t="s">
        <v>63</v>
      </c>
      <c r="I10774" s="13" t="s">
        <v>21327</v>
      </c>
      <c r="J10774" s="14" t="str">
        <f>HYPERLINK("https://www.boe.es/gazeta/dias/1839/02/24/pdfs/GMD-1839-1562.pdf#page=1","Abrir facsímil")</f>
        <v>Abrir facsímil</v>
      </c>
      <c r="K10774" s="12" t="s">
        <v>65</v>
      </c>
    </row>
    <row r="10775" spans="1:11" ht="40.049999999999997" customHeight="1" x14ac:dyDescent="0.25">
      <c r="A10775" s="11" t="s">
        <v>21328</v>
      </c>
      <c r="B10775" s="11" t="s">
        <v>21329</v>
      </c>
      <c r="C10775" s="11" t="s">
        <v>80</v>
      </c>
      <c r="D10775" s="11" t="s">
        <v>18</v>
      </c>
      <c r="E10775" s="12" t="s">
        <v>272</v>
      </c>
      <c r="F10775" s="12" t="s">
        <v>273</v>
      </c>
      <c r="G10775" s="12" t="s">
        <v>29</v>
      </c>
      <c r="H10775" s="11" t="s">
        <v>63</v>
      </c>
      <c r="I10775" s="13" t="s">
        <v>21330</v>
      </c>
      <c r="J10775" s="14" t="str">
        <f>HYPERLINK("https://www.boe.es/gazeta/dias/1839/02/12/pdfs/GMD-1839-1550.pdf#page=1","Abrir facsímil")</f>
        <v>Abrir facsímil</v>
      </c>
      <c r="K10775" s="12" t="s">
        <v>65</v>
      </c>
    </row>
    <row r="10776" spans="1:11" ht="40.049999999999997" customHeight="1" x14ac:dyDescent="0.25">
      <c r="A10776" s="11" t="s">
        <v>21331</v>
      </c>
      <c r="B10776" s="11" t="s">
        <v>21332</v>
      </c>
      <c r="C10776" s="11" t="s">
        <v>17</v>
      </c>
      <c r="D10776" s="11" t="s">
        <v>18</v>
      </c>
      <c r="E10776" s="12" t="s">
        <v>1356</v>
      </c>
      <c r="F10776" s="12" t="s">
        <v>1357</v>
      </c>
      <c r="G10776" s="12" t="s">
        <v>46</v>
      </c>
      <c r="H10776" s="11" t="s">
        <v>22</v>
      </c>
      <c r="I10776" s="13" t="s">
        <v>21333</v>
      </c>
      <c r="J10776" s="14" t="str">
        <f>HYPERLINK("https://www.boe.es/gazeta/dias/1839/06/05/pdfs/GMD-1839-1663.pdf#page=3","Abrir facsímil")</f>
        <v>Abrir facsímil</v>
      </c>
      <c r="K10776" s="12" t="s">
        <v>24</v>
      </c>
    </row>
    <row r="10777" spans="1:11" ht="40.049999999999997" customHeight="1" x14ac:dyDescent="0.25">
      <c r="A10777" s="11" t="s">
        <v>21334</v>
      </c>
      <c r="B10777" s="11" t="s">
        <v>21335</v>
      </c>
      <c r="C10777" s="11" t="s">
        <v>17</v>
      </c>
      <c r="D10777" s="11" t="s">
        <v>18</v>
      </c>
      <c r="E10777" s="12" t="s">
        <v>1340</v>
      </c>
      <c r="F10777" s="12" t="s">
        <v>1341</v>
      </c>
      <c r="G10777" s="12" t="s">
        <v>40</v>
      </c>
      <c r="H10777" s="11" t="s">
        <v>22</v>
      </c>
      <c r="I10777" s="13" t="s">
        <v>21336</v>
      </c>
      <c r="J10777" s="14" t="str">
        <f>HYPERLINK("https://www.boe.es/gazeta/dias/1839/05/05/pdfs/GMD-1839-1632.pdf#page=2","Abrir facsímil")</f>
        <v>Abrir facsímil</v>
      </c>
      <c r="K10777" s="12" t="s">
        <v>24</v>
      </c>
    </row>
    <row r="10778" spans="1:11" ht="40.049999999999997" customHeight="1" x14ac:dyDescent="0.25">
      <c r="A10778" s="11" t="s">
        <v>21337</v>
      </c>
      <c r="B10778" s="11" t="s">
        <v>21338</v>
      </c>
      <c r="C10778" s="11" t="s">
        <v>80</v>
      </c>
      <c r="D10778" s="11" t="s">
        <v>18</v>
      </c>
      <c r="E10778" s="12" t="s">
        <v>1644</v>
      </c>
      <c r="F10778" s="12" t="s">
        <v>1645</v>
      </c>
      <c r="G10778" s="12" t="s">
        <v>29</v>
      </c>
      <c r="H10778" s="11" t="s">
        <v>63</v>
      </c>
      <c r="I10778" s="13" t="s">
        <v>21339</v>
      </c>
      <c r="J10778" s="14" t="str">
        <f>HYPERLINK("https://www.boe.es/gazeta/dias/1839/04/16/pdfs/GMD-1839-1613.pdf#page=1","Abrir facsímil")</f>
        <v>Abrir facsímil</v>
      </c>
      <c r="K10778" s="12" t="s">
        <v>65</v>
      </c>
    </row>
    <row r="10779" spans="1:11" ht="40.049999999999997" customHeight="1" x14ac:dyDescent="0.25">
      <c r="A10779" s="11" t="s">
        <v>21340</v>
      </c>
      <c r="B10779" s="11" t="s">
        <v>21341</v>
      </c>
      <c r="C10779" s="11" t="s">
        <v>17</v>
      </c>
      <c r="D10779" s="11" t="s">
        <v>18</v>
      </c>
      <c r="E10779" s="12" t="s">
        <v>1356</v>
      </c>
      <c r="F10779" s="12" t="s">
        <v>1357</v>
      </c>
      <c r="G10779" s="12" t="s">
        <v>46</v>
      </c>
      <c r="H10779" s="11" t="s">
        <v>63</v>
      </c>
      <c r="I10779" s="13" t="s">
        <v>21342</v>
      </c>
      <c r="J10779" s="14" t="str">
        <f>HYPERLINK("https://www.boe.es/gazeta/dias/1839/06/05/pdfs/GMD-1839-1663.pdf#page=3","Abrir facsímil")</f>
        <v>Abrir facsímil</v>
      </c>
      <c r="K10779" s="12" t="s">
        <v>65</v>
      </c>
    </row>
    <row r="10780" spans="1:11" ht="40.049999999999997" customHeight="1" x14ac:dyDescent="0.25">
      <c r="A10780" s="11" t="s">
        <v>21343</v>
      </c>
      <c r="B10780" s="11" t="s">
        <v>21344</v>
      </c>
      <c r="C10780" s="11" t="s">
        <v>137</v>
      </c>
      <c r="D10780" s="11" t="s">
        <v>18</v>
      </c>
      <c r="E10780" s="12" t="s">
        <v>513</v>
      </c>
      <c r="F10780" s="12" t="s">
        <v>514</v>
      </c>
      <c r="G10780" s="12" t="s">
        <v>29</v>
      </c>
      <c r="H10780" s="11" t="s">
        <v>63</v>
      </c>
      <c r="I10780" s="13" t="s">
        <v>21345</v>
      </c>
      <c r="J10780" s="14" t="str">
        <f>HYPERLINK("https://www.boe.es/gazeta/dias/1839/03/17/pdfs/GMD-1839-1583.pdf#page=1","Abrir facsímil")</f>
        <v>Abrir facsímil</v>
      </c>
      <c r="K10780" s="12" t="s">
        <v>65</v>
      </c>
    </row>
    <row r="10781" spans="1:11" ht="40.049999999999997" customHeight="1" x14ac:dyDescent="0.25">
      <c r="A10781" s="11" t="s">
        <v>21346</v>
      </c>
      <c r="B10781" s="11" t="s">
        <v>21347</v>
      </c>
      <c r="C10781" s="11" t="s">
        <v>17</v>
      </c>
      <c r="D10781" s="11" t="s">
        <v>18</v>
      </c>
      <c r="E10781" s="12" t="s">
        <v>834</v>
      </c>
      <c r="F10781" s="12" t="s">
        <v>835</v>
      </c>
      <c r="G10781" s="12" t="s">
        <v>40</v>
      </c>
      <c r="H10781" s="11" t="s">
        <v>63</v>
      </c>
      <c r="I10781" s="13" t="s">
        <v>21348</v>
      </c>
      <c r="J10781" s="14" t="str">
        <f>HYPERLINK("https://www.boe.es/gazeta/dias/1839/08/17/pdfs/GMD-1839-1737.pdf#page=2","Abrir facsímil")</f>
        <v>Abrir facsímil</v>
      </c>
      <c r="K10781" s="12" t="s">
        <v>65</v>
      </c>
    </row>
    <row r="10782" spans="1:11" ht="40.049999999999997" customHeight="1" x14ac:dyDescent="0.25">
      <c r="A10782" s="11" t="s">
        <v>21349</v>
      </c>
      <c r="B10782" s="11" t="s">
        <v>21349</v>
      </c>
      <c r="C10782" s="11" t="s">
        <v>80</v>
      </c>
      <c r="D10782" s="11" t="s">
        <v>18</v>
      </c>
      <c r="E10782" s="12" t="s">
        <v>3236</v>
      </c>
      <c r="F10782" s="12" t="s">
        <v>3237</v>
      </c>
      <c r="G10782" s="12" t="s">
        <v>46</v>
      </c>
      <c r="H10782" s="11" t="s">
        <v>63</v>
      </c>
      <c r="I10782" s="13" t="s">
        <v>21350</v>
      </c>
      <c r="J10782" s="14" t="str">
        <f>HYPERLINK("https://www.boe.es/gazeta/dias/1839/12/03/pdfs/GMD-1839-1850.pdf#page=3","Abrir facsímil")</f>
        <v>Abrir facsímil</v>
      </c>
      <c r="K10782" s="12" t="s">
        <v>65</v>
      </c>
    </row>
    <row r="10783" spans="1:11" ht="40.049999999999997" customHeight="1" x14ac:dyDescent="0.25">
      <c r="A10783" s="11" t="s">
        <v>21349</v>
      </c>
      <c r="B10783" s="11" t="s">
        <v>21349</v>
      </c>
      <c r="C10783" s="11" t="s">
        <v>101</v>
      </c>
      <c r="D10783" s="11" t="s">
        <v>102</v>
      </c>
      <c r="E10783" s="12" t="s">
        <v>4475</v>
      </c>
      <c r="F10783" s="12" t="s">
        <v>4476</v>
      </c>
      <c r="G10783" s="12" t="s">
        <v>21</v>
      </c>
      <c r="H10783" s="11" t="s">
        <v>63</v>
      </c>
      <c r="I10783" s="13" t="s">
        <v>21351</v>
      </c>
      <c r="J10783" s="14" t="str">
        <f>HYPERLINK("https://www.boe.es/gazeta/dias/1839/07/04/pdfs/GMD-1839-1692.pdf#page=4","Abrir facsímil")</f>
        <v>Abrir facsímil</v>
      </c>
      <c r="K10783" s="12" t="s">
        <v>65</v>
      </c>
    </row>
    <row r="10784" spans="1:11" ht="40.049999999999997" customHeight="1" x14ac:dyDescent="0.25">
      <c r="A10784" s="11" t="s">
        <v>21349</v>
      </c>
      <c r="B10784" s="11" t="s">
        <v>21349</v>
      </c>
      <c r="C10784" s="11" t="s">
        <v>17</v>
      </c>
      <c r="D10784" s="11" t="s">
        <v>18</v>
      </c>
      <c r="E10784" s="12" t="s">
        <v>1366</v>
      </c>
      <c r="F10784" s="12" t="s">
        <v>1367</v>
      </c>
      <c r="G10784" s="12" t="s">
        <v>46</v>
      </c>
      <c r="H10784" s="11" t="s">
        <v>63</v>
      </c>
      <c r="I10784" s="13" t="s">
        <v>21352</v>
      </c>
      <c r="J10784" s="14" t="str">
        <f>HYPERLINK("https://www.boe.es/gazeta/dias/1839/09/09/pdfs/GMD-1839-1762.pdf#page=3","Abrir facsímil")</f>
        <v>Abrir facsímil</v>
      </c>
      <c r="K10784" s="12" t="s">
        <v>65</v>
      </c>
    </row>
    <row r="10785" spans="1:11" ht="40.049999999999997" customHeight="1" x14ac:dyDescent="0.25">
      <c r="A10785" s="11" t="s">
        <v>21349</v>
      </c>
      <c r="B10785" s="11" t="s">
        <v>21349</v>
      </c>
      <c r="C10785" s="11" t="s">
        <v>17</v>
      </c>
      <c r="D10785" s="11" t="s">
        <v>18</v>
      </c>
      <c r="E10785" s="12" t="s">
        <v>1123</v>
      </c>
      <c r="F10785" s="12" t="s">
        <v>1124</v>
      </c>
      <c r="G10785" s="12" t="s">
        <v>21</v>
      </c>
      <c r="H10785" s="11" t="s">
        <v>63</v>
      </c>
      <c r="I10785" s="13" t="s">
        <v>21353</v>
      </c>
      <c r="J10785" s="14" t="str">
        <f>HYPERLINK("https://www.boe.es/gazeta/dias/1839/08/10/pdfs/GMD-1839-1730.pdf#page=4","Abrir facsímil")</f>
        <v>Abrir facsímil</v>
      </c>
      <c r="K10785" s="12" t="s">
        <v>65</v>
      </c>
    </row>
    <row r="10786" spans="1:11" ht="40.049999999999997" customHeight="1" x14ac:dyDescent="0.25">
      <c r="A10786" s="11" t="s">
        <v>21349</v>
      </c>
      <c r="B10786" s="11" t="s">
        <v>21349</v>
      </c>
      <c r="C10786" s="11" t="s">
        <v>137</v>
      </c>
      <c r="D10786" s="11" t="s">
        <v>18</v>
      </c>
      <c r="E10786" s="12" t="s">
        <v>809</v>
      </c>
      <c r="F10786" s="12" t="s">
        <v>810</v>
      </c>
      <c r="G10786" s="12" t="s">
        <v>40</v>
      </c>
      <c r="H10786" s="11" t="s">
        <v>63</v>
      </c>
      <c r="I10786" s="13" t="s">
        <v>21354</v>
      </c>
      <c r="J10786" s="14" t="str">
        <f>HYPERLINK("https://www.boe.es/gazeta/dias/1839/02/11/pdfs/GMD-1839-1549.pdf#page=2","Abrir facsímil")</f>
        <v>Abrir facsímil</v>
      </c>
      <c r="K10786" s="12" t="s">
        <v>65</v>
      </c>
    </row>
    <row r="10787" spans="1:11" ht="40.049999999999997" customHeight="1" x14ac:dyDescent="0.25">
      <c r="A10787" s="11" t="s">
        <v>21349</v>
      </c>
      <c r="B10787" s="11" t="s">
        <v>21349</v>
      </c>
      <c r="C10787" s="11" t="s">
        <v>59</v>
      </c>
      <c r="D10787" s="11" t="s">
        <v>60</v>
      </c>
      <c r="E10787" s="12" t="s">
        <v>2919</v>
      </c>
      <c r="F10787" s="12" t="s">
        <v>2920</v>
      </c>
      <c r="G10787" s="12" t="s">
        <v>21</v>
      </c>
      <c r="H10787" s="11" t="s">
        <v>63</v>
      </c>
      <c r="I10787" s="13" t="s">
        <v>21355</v>
      </c>
      <c r="J10787" s="14" t="str">
        <f>HYPERLINK("https://www.boe.es/gazeta/dias/1839/11/12/pdfs/GMD-1839-1829.pdf#page=4","Abrir facsímil")</f>
        <v>Abrir facsímil</v>
      </c>
      <c r="K10787" s="12" t="s">
        <v>65</v>
      </c>
    </row>
    <row r="10788" spans="1:11" ht="40.049999999999997" customHeight="1" x14ac:dyDescent="0.25">
      <c r="A10788" s="11" t="s">
        <v>21349</v>
      </c>
      <c r="B10788" s="11" t="s">
        <v>21349</v>
      </c>
      <c r="C10788" s="11" t="s">
        <v>17</v>
      </c>
      <c r="D10788" s="11" t="s">
        <v>18</v>
      </c>
      <c r="E10788" s="12" t="s">
        <v>76</v>
      </c>
      <c r="F10788" s="12" t="s">
        <v>77</v>
      </c>
      <c r="G10788" s="12" t="s">
        <v>40</v>
      </c>
      <c r="H10788" s="11" t="s">
        <v>63</v>
      </c>
      <c r="I10788" s="13" t="s">
        <v>21356</v>
      </c>
      <c r="J10788" s="14" t="str">
        <f>HYPERLINK("https://www.boe.es/gazeta/dias/1839/03/13/pdfs/GMD-1839-1579.pdf#page=2","Abrir facsímil")</f>
        <v>Abrir facsímil</v>
      </c>
      <c r="K10788" s="12" t="s">
        <v>65</v>
      </c>
    </row>
    <row r="10789" spans="1:11" ht="40.049999999999997" customHeight="1" x14ac:dyDescent="0.25">
      <c r="A10789" s="11" t="s">
        <v>21349</v>
      </c>
      <c r="B10789" s="11" t="s">
        <v>21349</v>
      </c>
      <c r="C10789" s="11" t="s">
        <v>137</v>
      </c>
      <c r="D10789" s="11" t="s">
        <v>18</v>
      </c>
      <c r="E10789" s="12" t="s">
        <v>486</v>
      </c>
      <c r="F10789" s="12" t="s">
        <v>487</v>
      </c>
      <c r="G10789" s="12" t="s">
        <v>29</v>
      </c>
      <c r="H10789" s="11" t="s">
        <v>63</v>
      </c>
      <c r="I10789" s="13" t="s">
        <v>21357</v>
      </c>
      <c r="J10789" s="14" t="str">
        <f>HYPERLINK("https://www.boe.es/gazeta/dias/1839/04/19/pdfs/GMD-1839-1616.pdf#page=1","Abrir facsímil")</f>
        <v>Abrir facsímil</v>
      </c>
      <c r="K10789" s="12" t="s">
        <v>65</v>
      </c>
    </row>
    <row r="10790" spans="1:11" ht="40.049999999999997" customHeight="1" x14ac:dyDescent="0.25">
      <c r="A10790" s="11" t="s">
        <v>21358</v>
      </c>
      <c r="B10790" s="11" t="s">
        <v>21359</v>
      </c>
      <c r="C10790" s="11" t="s">
        <v>17</v>
      </c>
      <c r="D10790" s="11" t="s">
        <v>18</v>
      </c>
      <c r="E10790" s="12" t="s">
        <v>756</v>
      </c>
      <c r="F10790" s="12" t="s">
        <v>757</v>
      </c>
      <c r="G10790" s="12" t="s">
        <v>21</v>
      </c>
      <c r="H10790" s="11" t="s">
        <v>63</v>
      </c>
      <c r="I10790" s="13" t="s">
        <v>21360</v>
      </c>
      <c r="J10790" s="14" t="str">
        <f>HYPERLINK("https://www.boe.es/gazeta/dias/1839/12/17/pdfs/GMD-1839-1864.pdf#page=4","Abrir facsímil")</f>
        <v>Abrir facsímil</v>
      </c>
      <c r="K10790" s="12" t="s">
        <v>65</v>
      </c>
    </row>
    <row r="10791" spans="1:11" ht="40.049999999999997" customHeight="1" x14ac:dyDescent="0.25">
      <c r="A10791" s="11" t="s">
        <v>21361</v>
      </c>
      <c r="B10791" s="11" t="s">
        <v>21362</v>
      </c>
      <c r="C10791" s="11" t="s">
        <v>17</v>
      </c>
      <c r="D10791" s="11" t="s">
        <v>18</v>
      </c>
      <c r="E10791" s="12" t="s">
        <v>258</v>
      </c>
      <c r="F10791" s="12" t="s">
        <v>259</v>
      </c>
      <c r="G10791" s="12" t="s">
        <v>46</v>
      </c>
      <c r="H10791" s="11" t="s">
        <v>22</v>
      </c>
      <c r="I10791" s="13" t="s">
        <v>21363</v>
      </c>
      <c r="J10791" s="14" t="str">
        <f>HYPERLINK("https://www.boe.es/gazeta/dias/1839/01/02/pdfs/GMD-1839-1509.pdf#page=3","Abrir facsímil")</f>
        <v>Abrir facsímil</v>
      </c>
      <c r="K10791" s="12" t="s">
        <v>24</v>
      </c>
    </row>
    <row r="10792" spans="1:11" ht="40.049999999999997" customHeight="1" x14ac:dyDescent="0.25">
      <c r="A10792" s="11" t="s">
        <v>21364</v>
      </c>
      <c r="B10792" s="11" t="s">
        <v>21365</v>
      </c>
      <c r="C10792" s="11" t="s">
        <v>17</v>
      </c>
      <c r="D10792" s="11" t="s">
        <v>18</v>
      </c>
      <c r="E10792" s="12" t="s">
        <v>258</v>
      </c>
      <c r="F10792" s="12" t="s">
        <v>259</v>
      </c>
      <c r="G10792" s="12" t="s">
        <v>46</v>
      </c>
      <c r="H10792" s="11" t="s">
        <v>22</v>
      </c>
      <c r="I10792" s="13" t="s">
        <v>21366</v>
      </c>
      <c r="J10792" s="14" t="str">
        <f>HYPERLINK("https://www.boe.es/gazeta/dias/1839/01/02/pdfs/GMD-1839-1509.pdf#page=3","Abrir facsímil")</f>
        <v>Abrir facsímil</v>
      </c>
      <c r="K10792" s="12" t="s">
        <v>24</v>
      </c>
    </row>
    <row r="10793" spans="1:11" ht="40.049999999999997" customHeight="1" x14ac:dyDescent="0.25">
      <c r="A10793" s="11" t="s">
        <v>21367</v>
      </c>
      <c r="B10793" s="11" t="s">
        <v>21368</v>
      </c>
      <c r="C10793" s="11" t="s">
        <v>59</v>
      </c>
      <c r="D10793" s="11" t="s">
        <v>60</v>
      </c>
      <c r="E10793" s="12" t="s">
        <v>243</v>
      </c>
      <c r="F10793" s="12" t="s">
        <v>244</v>
      </c>
      <c r="G10793" s="12" t="s">
        <v>46</v>
      </c>
      <c r="H10793" s="11" t="s">
        <v>22</v>
      </c>
      <c r="I10793" s="13" t="s">
        <v>21369</v>
      </c>
      <c r="J10793" s="14" t="str">
        <f>HYPERLINK("https://www.boe.es/gazeta/dias/1839/09/23/pdfs/GMD-1839-1779.pdf#page=3","Abrir facsímil")</f>
        <v>Abrir facsímil</v>
      </c>
      <c r="K10793" s="12" t="s">
        <v>24</v>
      </c>
    </row>
    <row r="10794" spans="1:11" ht="40.049999999999997" customHeight="1" x14ac:dyDescent="0.25">
      <c r="A10794" s="11" t="s">
        <v>21370</v>
      </c>
      <c r="B10794" s="11" t="s">
        <v>21371</v>
      </c>
      <c r="C10794" s="11" t="s">
        <v>17</v>
      </c>
      <c r="D10794" s="11" t="s">
        <v>18</v>
      </c>
      <c r="E10794" s="12" t="s">
        <v>258</v>
      </c>
      <c r="F10794" s="12" t="s">
        <v>259</v>
      </c>
      <c r="G10794" s="12" t="s">
        <v>46</v>
      </c>
      <c r="H10794" s="11" t="s">
        <v>22</v>
      </c>
      <c r="I10794" s="13" t="s">
        <v>21372</v>
      </c>
      <c r="J10794" s="14" t="str">
        <f>HYPERLINK("https://www.boe.es/gazeta/dias/1839/01/02/pdfs/GMD-1839-1509.pdf#page=3","Abrir facsímil")</f>
        <v>Abrir facsímil</v>
      </c>
      <c r="K10794" s="12" t="s">
        <v>24</v>
      </c>
    </row>
    <row r="10795" spans="1:11" ht="40.049999999999997" customHeight="1" x14ac:dyDescent="0.25">
      <c r="A10795" s="11" t="s">
        <v>21370</v>
      </c>
      <c r="B10795" s="11" t="s">
        <v>21371</v>
      </c>
      <c r="C10795" s="11" t="s">
        <v>17</v>
      </c>
      <c r="D10795" s="11" t="s">
        <v>18</v>
      </c>
      <c r="E10795" s="12" t="s">
        <v>222</v>
      </c>
      <c r="F10795" s="12" t="s">
        <v>223</v>
      </c>
      <c r="G10795" s="12" t="s">
        <v>21</v>
      </c>
      <c r="H10795" s="11" t="s">
        <v>22</v>
      </c>
      <c r="I10795" s="13" t="s">
        <v>21373</v>
      </c>
      <c r="J10795" s="14" t="str">
        <f>HYPERLINK("https://www.boe.es/gazeta/dias/1839/06/22/pdfs/GMD-1839-1680.pdf#page=4","Abrir facsímil")</f>
        <v>Abrir facsímil</v>
      </c>
      <c r="K10795" s="12" t="s">
        <v>24</v>
      </c>
    </row>
    <row r="10796" spans="1:11" ht="40.049999999999997" customHeight="1" x14ac:dyDescent="0.25">
      <c r="A10796" s="11" t="s">
        <v>21374</v>
      </c>
      <c r="B10796" s="11" t="s">
        <v>21375</v>
      </c>
      <c r="C10796" s="11" t="s">
        <v>17</v>
      </c>
      <c r="D10796" s="11" t="s">
        <v>18</v>
      </c>
      <c r="E10796" s="12" t="s">
        <v>258</v>
      </c>
      <c r="F10796" s="12" t="s">
        <v>259</v>
      </c>
      <c r="G10796" s="12" t="s">
        <v>46</v>
      </c>
      <c r="H10796" s="11" t="s">
        <v>22</v>
      </c>
      <c r="I10796" s="13" t="s">
        <v>21376</v>
      </c>
      <c r="J10796" s="14" t="str">
        <f>HYPERLINK("https://www.boe.es/gazeta/dias/1839/01/02/pdfs/GMD-1839-1509.pdf#page=3","Abrir facsímil")</f>
        <v>Abrir facsímil</v>
      </c>
      <c r="K10796" s="12" t="s">
        <v>24</v>
      </c>
    </row>
    <row r="10797" spans="1:11" ht="40.049999999999997" customHeight="1" x14ac:dyDescent="0.25">
      <c r="A10797" s="11" t="s">
        <v>21377</v>
      </c>
      <c r="B10797" s="11" t="s">
        <v>21378</v>
      </c>
      <c r="C10797" s="11" t="s">
        <v>137</v>
      </c>
      <c r="D10797" s="11" t="s">
        <v>18</v>
      </c>
      <c r="E10797" s="12" t="s">
        <v>1136</v>
      </c>
      <c r="F10797" s="12" t="s">
        <v>1137</v>
      </c>
      <c r="G10797" s="12" t="s">
        <v>46</v>
      </c>
      <c r="H10797" s="11" t="s">
        <v>22</v>
      </c>
      <c r="I10797" s="13" t="s">
        <v>21379</v>
      </c>
      <c r="J10797" s="14" t="str">
        <f>HYPERLINK("https://www.boe.es/gazeta/dias/1839/04/03/pdfs/GMD-1839-1600.pdf#page=3","Abrir facsímil")</f>
        <v>Abrir facsímil</v>
      </c>
      <c r="K10797" s="12" t="s">
        <v>24</v>
      </c>
    </row>
    <row r="10798" spans="1:11" ht="40.049999999999997" customHeight="1" x14ac:dyDescent="0.25">
      <c r="A10798" s="11" t="s">
        <v>21377</v>
      </c>
      <c r="B10798" s="11" t="s">
        <v>21378</v>
      </c>
      <c r="C10798" s="11" t="s">
        <v>59</v>
      </c>
      <c r="D10798" s="11" t="s">
        <v>60</v>
      </c>
      <c r="E10798" s="12" t="s">
        <v>291</v>
      </c>
      <c r="F10798" s="12" t="s">
        <v>292</v>
      </c>
      <c r="G10798" s="12" t="s">
        <v>21</v>
      </c>
      <c r="H10798" s="11" t="s">
        <v>22</v>
      </c>
      <c r="I10798" s="13" t="s">
        <v>21380</v>
      </c>
      <c r="J10798" s="14" t="str">
        <f>HYPERLINK("https://www.boe.es/gazeta/dias/1839/09/04/pdfs/GMD-1839-1757.pdf#page=4","Abrir facsímil")</f>
        <v>Abrir facsímil</v>
      </c>
      <c r="K10798" s="12" t="s">
        <v>24</v>
      </c>
    </row>
    <row r="10799" spans="1:11" ht="40.049999999999997" customHeight="1" x14ac:dyDescent="0.25">
      <c r="A10799" s="11" t="s">
        <v>21377</v>
      </c>
      <c r="B10799" s="11" t="s">
        <v>21378</v>
      </c>
      <c r="C10799" s="11" t="s">
        <v>101</v>
      </c>
      <c r="D10799" s="11" t="s">
        <v>102</v>
      </c>
      <c r="E10799" s="12" t="s">
        <v>272</v>
      </c>
      <c r="F10799" s="12" t="s">
        <v>273</v>
      </c>
      <c r="G10799" s="12" t="s">
        <v>29</v>
      </c>
      <c r="H10799" s="11" t="s">
        <v>22</v>
      </c>
      <c r="I10799" s="13" t="s">
        <v>21381</v>
      </c>
      <c r="J10799" s="14" t="str">
        <f>HYPERLINK("https://www.boe.es/gazeta/dias/1839/02/12/pdfs/GMD-1839-1550.pdf#page=1","Abrir facsímil")</f>
        <v>Abrir facsímil</v>
      </c>
      <c r="K10799" s="12" t="s">
        <v>24</v>
      </c>
    </row>
    <row r="10800" spans="1:11" ht="40.049999999999997" customHeight="1" x14ac:dyDescent="0.25">
      <c r="A10800" s="11" t="s">
        <v>21377</v>
      </c>
      <c r="B10800" s="11" t="s">
        <v>21378</v>
      </c>
      <c r="C10800" s="11" t="s">
        <v>17</v>
      </c>
      <c r="D10800" s="11" t="s">
        <v>18</v>
      </c>
      <c r="E10800" s="12" t="s">
        <v>946</v>
      </c>
      <c r="F10800" s="12" t="s">
        <v>947</v>
      </c>
      <c r="G10800" s="12" t="s">
        <v>21</v>
      </c>
      <c r="H10800" s="11" t="s">
        <v>22</v>
      </c>
      <c r="I10800" s="13" t="s">
        <v>21382</v>
      </c>
      <c r="J10800" s="14" t="str">
        <f>HYPERLINK("https://www.boe.es/gazeta/dias/1839/04/15/pdfs/GMD-1839-1612.pdf#page=4","Abrir facsímil")</f>
        <v>Abrir facsímil</v>
      </c>
      <c r="K10800" s="12" t="s">
        <v>24</v>
      </c>
    </row>
    <row r="10801" spans="1:11" ht="40.049999999999997" customHeight="1" x14ac:dyDescent="0.25">
      <c r="A10801" s="11" t="s">
        <v>21377</v>
      </c>
      <c r="B10801" s="11" t="s">
        <v>21378</v>
      </c>
      <c r="C10801" s="11" t="s">
        <v>17</v>
      </c>
      <c r="D10801" s="11" t="s">
        <v>18</v>
      </c>
      <c r="E10801" s="12" t="s">
        <v>1378</v>
      </c>
      <c r="F10801" s="12" t="s">
        <v>1379</v>
      </c>
      <c r="G10801" s="12" t="s">
        <v>21</v>
      </c>
      <c r="H10801" s="11" t="s">
        <v>22</v>
      </c>
      <c r="I10801" s="13" t="s">
        <v>21383</v>
      </c>
      <c r="J10801" s="14" t="str">
        <f>HYPERLINK("https://www.boe.es/gazeta/dias/1839/05/18/pdfs/GMD-1839-1645.pdf#page=4","Abrir facsímil")</f>
        <v>Abrir facsímil</v>
      </c>
      <c r="K10801" s="12" t="s">
        <v>24</v>
      </c>
    </row>
    <row r="10802" spans="1:11" ht="40.049999999999997" customHeight="1" x14ac:dyDescent="0.25">
      <c r="A10802" s="11" t="s">
        <v>21377</v>
      </c>
      <c r="B10802" s="11" t="s">
        <v>21378</v>
      </c>
      <c r="C10802" s="11" t="s">
        <v>17</v>
      </c>
      <c r="D10802" s="11" t="s">
        <v>18</v>
      </c>
      <c r="E10802" s="12" t="s">
        <v>1406</v>
      </c>
      <c r="F10802" s="12" t="s">
        <v>1407</v>
      </c>
      <c r="G10802" s="12" t="s">
        <v>21</v>
      </c>
      <c r="H10802" s="11" t="s">
        <v>22</v>
      </c>
      <c r="I10802" s="13" t="s">
        <v>21384</v>
      </c>
      <c r="J10802" s="14" t="str">
        <f>HYPERLINK("https://www.boe.es/gazeta/dias/1839/07/18/pdfs/GMD-1839-1706.pdf#page=4","Abrir facsímil")</f>
        <v>Abrir facsímil</v>
      </c>
      <c r="K10802" s="12" t="s">
        <v>24</v>
      </c>
    </row>
    <row r="10803" spans="1:11" ht="40.049999999999997" customHeight="1" x14ac:dyDescent="0.25">
      <c r="A10803" s="11" t="s">
        <v>21377</v>
      </c>
      <c r="B10803" s="11" t="s">
        <v>21378</v>
      </c>
      <c r="C10803" s="11" t="s">
        <v>137</v>
      </c>
      <c r="D10803" s="11" t="s">
        <v>18</v>
      </c>
      <c r="E10803" s="12" t="s">
        <v>340</v>
      </c>
      <c r="F10803" s="12" t="s">
        <v>341</v>
      </c>
      <c r="G10803" s="12" t="s">
        <v>29</v>
      </c>
      <c r="H10803" s="11" t="s">
        <v>22</v>
      </c>
      <c r="I10803" s="13" t="s">
        <v>21385</v>
      </c>
      <c r="J10803" s="14" t="str">
        <f>HYPERLINK("https://www.boe.es/gazeta/dias/1839/03/19/pdfs/GMD-1839-1585.pdf#page=1","Abrir facsímil")</f>
        <v>Abrir facsímil</v>
      </c>
      <c r="K10803" s="12" t="s">
        <v>24</v>
      </c>
    </row>
    <row r="10804" spans="1:11" ht="40.049999999999997" customHeight="1" x14ac:dyDescent="0.25">
      <c r="A10804" s="11" t="s">
        <v>21377</v>
      </c>
      <c r="B10804" s="11" t="s">
        <v>21378</v>
      </c>
      <c r="C10804" s="11" t="s">
        <v>17</v>
      </c>
      <c r="D10804" s="11" t="s">
        <v>18</v>
      </c>
      <c r="E10804" s="12" t="s">
        <v>1079</v>
      </c>
      <c r="F10804" s="12" t="s">
        <v>1080</v>
      </c>
      <c r="G10804" s="12" t="s">
        <v>21</v>
      </c>
      <c r="H10804" s="11" t="s">
        <v>22</v>
      </c>
      <c r="I10804" s="13" t="s">
        <v>21386</v>
      </c>
      <c r="J10804" s="14" t="str">
        <f>HYPERLINK("https://www.boe.es/gazeta/dias/1839/05/24/pdfs/GMD-1839-1651.pdf#page=4","Abrir facsímil")</f>
        <v>Abrir facsímil</v>
      </c>
      <c r="K10804" s="12" t="s">
        <v>24</v>
      </c>
    </row>
    <row r="10805" spans="1:11" ht="40.049999999999997" customHeight="1" x14ac:dyDescent="0.25">
      <c r="A10805" s="11" t="s">
        <v>21377</v>
      </c>
      <c r="B10805" s="11" t="s">
        <v>21378</v>
      </c>
      <c r="C10805" s="11" t="s">
        <v>17</v>
      </c>
      <c r="D10805" s="11" t="s">
        <v>18</v>
      </c>
      <c r="E10805" s="12" t="s">
        <v>89</v>
      </c>
      <c r="F10805" s="12" t="s">
        <v>90</v>
      </c>
      <c r="G10805" s="12" t="s">
        <v>21</v>
      </c>
      <c r="H10805" s="11" t="s">
        <v>22</v>
      </c>
      <c r="I10805" s="13" t="s">
        <v>21387</v>
      </c>
      <c r="J10805" s="14" t="str">
        <f>HYPERLINK("https://www.boe.es/gazeta/dias/1839/11/28/pdfs/GMD-1839-1845.pdf#page=4","Abrir facsímil")</f>
        <v>Abrir facsímil</v>
      </c>
      <c r="K10805" s="12" t="s">
        <v>24</v>
      </c>
    </row>
    <row r="10806" spans="1:11" ht="40.049999999999997" customHeight="1" x14ac:dyDescent="0.25">
      <c r="A10806" s="11" t="s">
        <v>21388</v>
      </c>
      <c r="B10806" s="11" t="s">
        <v>21389</v>
      </c>
      <c r="C10806" s="11" t="s">
        <v>17</v>
      </c>
      <c r="D10806" s="11" t="s">
        <v>18</v>
      </c>
      <c r="E10806" s="12" t="s">
        <v>258</v>
      </c>
      <c r="F10806" s="12" t="s">
        <v>259</v>
      </c>
      <c r="G10806" s="12" t="s">
        <v>46</v>
      </c>
      <c r="H10806" s="11" t="s">
        <v>22</v>
      </c>
      <c r="I10806" s="13" t="s">
        <v>21390</v>
      </c>
      <c r="J10806" s="14" t="str">
        <f>HYPERLINK("https://www.boe.es/gazeta/dias/1839/01/02/pdfs/GMD-1839-1509.pdf#page=3","Abrir facsímil")</f>
        <v>Abrir facsímil</v>
      </c>
      <c r="K10806" s="12" t="s">
        <v>24</v>
      </c>
    </row>
    <row r="10807" spans="1:11" ht="40.049999999999997" customHeight="1" x14ac:dyDescent="0.25">
      <c r="A10807" s="11" t="s">
        <v>21391</v>
      </c>
      <c r="B10807" s="11" t="s">
        <v>21392</v>
      </c>
      <c r="C10807" s="11" t="s">
        <v>17</v>
      </c>
      <c r="D10807" s="11" t="s">
        <v>18</v>
      </c>
      <c r="E10807" s="12" t="s">
        <v>918</v>
      </c>
      <c r="F10807" s="12" t="s">
        <v>919</v>
      </c>
      <c r="G10807" s="12" t="s">
        <v>29</v>
      </c>
      <c r="H10807" s="11" t="s">
        <v>63</v>
      </c>
      <c r="I10807" s="13" t="s">
        <v>21393</v>
      </c>
      <c r="J10807" s="14" t="str">
        <f>HYPERLINK("https://www.boe.es/gazeta/dias/1839/12/07/pdfs/GMD-1839-1854.pdf#page=1","Abrir facsímil")</f>
        <v>Abrir facsímil</v>
      </c>
      <c r="K10807" s="12" t="s">
        <v>65</v>
      </c>
    </row>
    <row r="10808" spans="1:11" ht="40.049999999999997" customHeight="1" x14ac:dyDescent="0.25">
      <c r="A10808" s="11" t="s">
        <v>21394</v>
      </c>
      <c r="B10808" s="11" t="s">
        <v>21395</v>
      </c>
      <c r="C10808" s="11" t="s">
        <v>17</v>
      </c>
      <c r="D10808" s="11" t="s">
        <v>18</v>
      </c>
      <c r="E10808" s="12" t="s">
        <v>474</v>
      </c>
      <c r="F10808" s="12" t="s">
        <v>475</v>
      </c>
      <c r="G10808" s="12" t="s">
        <v>46</v>
      </c>
      <c r="H10808" s="11" t="s">
        <v>63</v>
      </c>
      <c r="I10808" s="13" t="s">
        <v>21396</v>
      </c>
      <c r="J10808" s="14" t="str">
        <f>HYPERLINK("https://www.boe.es/gazeta/dias/1839/03/31/pdfs/GMD-1839-1597.pdf#page=3","Abrir facsímil")</f>
        <v>Abrir facsímil</v>
      </c>
      <c r="K10808" s="12" t="s">
        <v>65</v>
      </c>
    </row>
    <row r="10809" spans="1:11" ht="40.049999999999997" customHeight="1" x14ac:dyDescent="0.25">
      <c r="A10809" s="11" t="s">
        <v>21397</v>
      </c>
      <c r="B10809" s="11" t="s">
        <v>21398</v>
      </c>
      <c r="C10809" s="11" t="s">
        <v>59</v>
      </c>
      <c r="D10809" s="11" t="s">
        <v>60</v>
      </c>
      <c r="E10809" s="12" t="s">
        <v>138</v>
      </c>
      <c r="F10809" s="12" t="s">
        <v>139</v>
      </c>
      <c r="G10809" s="12" t="s">
        <v>40</v>
      </c>
      <c r="H10809" s="11" t="s">
        <v>63</v>
      </c>
      <c r="I10809" s="13" t="s">
        <v>21399</v>
      </c>
      <c r="J10809" s="14" t="str">
        <f>HYPERLINK("https://www.boe.es/gazeta/dias/1839/10/09/pdfs/GMD-1839-1795.pdf#page=2","Abrir facsímil")</f>
        <v>Abrir facsímil</v>
      </c>
      <c r="K10809" s="12" t="s">
        <v>65</v>
      </c>
    </row>
    <row r="10810" spans="1:11" ht="40.049999999999997" customHeight="1" x14ac:dyDescent="0.25">
      <c r="A10810" s="11" t="s">
        <v>21397</v>
      </c>
      <c r="B10810" s="11" t="s">
        <v>21398</v>
      </c>
      <c r="C10810" s="11" t="s">
        <v>80</v>
      </c>
      <c r="D10810" s="11" t="s">
        <v>18</v>
      </c>
      <c r="E10810" s="12" t="s">
        <v>222</v>
      </c>
      <c r="F10810" s="12" t="s">
        <v>223</v>
      </c>
      <c r="G10810" s="12" t="s">
        <v>21</v>
      </c>
      <c r="H10810" s="11" t="s">
        <v>63</v>
      </c>
      <c r="I10810" s="13" t="s">
        <v>21400</v>
      </c>
      <c r="J10810" s="14" t="str">
        <f>HYPERLINK("https://www.boe.es/gazeta/dias/1839/06/22/pdfs/GMD-1839-1680.pdf#page=4","Abrir facsímil")</f>
        <v>Abrir facsímil</v>
      </c>
      <c r="K10810" s="12" t="s">
        <v>65</v>
      </c>
    </row>
    <row r="10811" spans="1:11" ht="40.049999999999997" customHeight="1" x14ac:dyDescent="0.25">
      <c r="A10811" s="11" t="s">
        <v>21401</v>
      </c>
      <c r="B10811" s="11" t="s">
        <v>21402</v>
      </c>
      <c r="C10811" s="11" t="s">
        <v>17</v>
      </c>
      <c r="D10811" s="11" t="s">
        <v>18</v>
      </c>
      <c r="E10811" s="12" t="s">
        <v>212</v>
      </c>
      <c r="F10811" s="12" t="s">
        <v>213</v>
      </c>
      <c r="G10811" s="12" t="s">
        <v>29</v>
      </c>
      <c r="H10811" s="11" t="s">
        <v>63</v>
      </c>
      <c r="I10811" s="13" t="s">
        <v>21403</v>
      </c>
      <c r="J10811" s="14" t="str">
        <f>HYPERLINK("https://www.boe.es/gazeta/dias/1839/10/03/pdfs/GMD-1839-1789.pdf#page=1","Abrir facsímil")</f>
        <v>Abrir facsímil</v>
      </c>
      <c r="K10811" s="12" t="s">
        <v>65</v>
      </c>
    </row>
    <row r="10812" spans="1:11" ht="40.049999999999997" customHeight="1" x14ac:dyDescent="0.25">
      <c r="A10812" s="11" t="s">
        <v>21401</v>
      </c>
      <c r="B10812" s="11" t="s">
        <v>21402</v>
      </c>
      <c r="C10812" s="11" t="s">
        <v>17</v>
      </c>
      <c r="D10812" s="11" t="s">
        <v>18</v>
      </c>
      <c r="E10812" s="12" t="s">
        <v>291</v>
      </c>
      <c r="F10812" s="12" t="s">
        <v>292</v>
      </c>
      <c r="G10812" s="12" t="s">
        <v>21</v>
      </c>
      <c r="H10812" s="11" t="s">
        <v>63</v>
      </c>
      <c r="I10812" s="13" t="s">
        <v>21404</v>
      </c>
      <c r="J10812" s="14" t="str">
        <f>HYPERLINK("https://www.boe.es/gazeta/dias/1839/09/04/pdfs/GMD-1839-1757.pdf#page=4","Abrir facsímil")</f>
        <v>Abrir facsímil</v>
      </c>
      <c r="K10812" s="12" t="s">
        <v>65</v>
      </c>
    </row>
    <row r="10813" spans="1:11" ht="40.049999999999997" customHeight="1" x14ac:dyDescent="0.25">
      <c r="A10813" s="11" t="s">
        <v>21401</v>
      </c>
      <c r="B10813" s="11" t="s">
        <v>21402</v>
      </c>
      <c r="C10813" s="11" t="s">
        <v>59</v>
      </c>
      <c r="D10813" s="11" t="s">
        <v>60</v>
      </c>
      <c r="E10813" s="12" t="s">
        <v>202</v>
      </c>
      <c r="F10813" s="12" t="s">
        <v>203</v>
      </c>
      <c r="G10813" s="12" t="s">
        <v>46</v>
      </c>
      <c r="H10813" s="11" t="s">
        <v>63</v>
      </c>
      <c r="I10813" s="13" t="s">
        <v>21405</v>
      </c>
      <c r="J10813" s="14" t="str">
        <f>HYPERLINK("https://www.boe.es/gazeta/dias/1839/04/05/pdfs/GMD-1839-1602.pdf#page=3","Abrir facsímil")</f>
        <v>Abrir facsímil</v>
      </c>
      <c r="K10813" s="12" t="s">
        <v>65</v>
      </c>
    </row>
    <row r="10814" spans="1:11" ht="40.049999999999997" customHeight="1" x14ac:dyDescent="0.25">
      <c r="A10814" s="11" t="s">
        <v>21401</v>
      </c>
      <c r="B10814" s="11" t="s">
        <v>21402</v>
      </c>
      <c r="C10814" s="11" t="s">
        <v>59</v>
      </c>
      <c r="D10814" s="11" t="s">
        <v>60</v>
      </c>
      <c r="E10814" s="12" t="s">
        <v>327</v>
      </c>
      <c r="F10814" s="12" t="s">
        <v>328</v>
      </c>
      <c r="G10814" s="12" t="s">
        <v>21</v>
      </c>
      <c r="H10814" s="11" t="s">
        <v>63</v>
      </c>
      <c r="I10814" s="13" t="s">
        <v>21406</v>
      </c>
      <c r="J10814" s="14" t="str">
        <f>HYPERLINK("https://www.boe.es/gazeta/dias/1839/08/05/pdfs/GMD-1839-1725.pdf#page=4","Abrir facsímil")</f>
        <v>Abrir facsímil</v>
      </c>
      <c r="K10814" s="12" t="s">
        <v>65</v>
      </c>
    </row>
    <row r="10815" spans="1:11" ht="40.049999999999997" customHeight="1" x14ac:dyDescent="0.25">
      <c r="A10815" s="11" t="s">
        <v>21401</v>
      </c>
      <c r="B10815" s="11" t="s">
        <v>21402</v>
      </c>
      <c r="C10815" s="11" t="s">
        <v>17</v>
      </c>
      <c r="D10815" s="11" t="s">
        <v>18</v>
      </c>
      <c r="E10815" s="12" t="s">
        <v>2165</v>
      </c>
      <c r="F10815" s="12" t="s">
        <v>2166</v>
      </c>
      <c r="G10815" s="12" t="s">
        <v>40</v>
      </c>
      <c r="H10815" s="11" t="s">
        <v>63</v>
      </c>
      <c r="I10815" s="13" t="s">
        <v>21407</v>
      </c>
      <c r="J10815" s="14" t="str">
        <f>HYPERLINK("https://www.boe.es/gazeta/dias/1839/01/06/pdfs/GMD-1839-1513.pdf#page=2","Abrir facsímil")</f>
        <v>Abrir facsímil</v>
      </c>
      <c r="K10815" s="12" t="s">
        <v>65</v>
      </c>
    </row>
    <row r="10816" spans="1:11" ht="40.049999999999997" customHeight="1" x14ac:dyDescent="0.25">
      <c r="A10816" s="11" t="s">
        <v>21401</v>
      </c>
      <c r="B10816" s="11" t="s">
        <v>21402</v>
      </c>
      <c r="C10816" s="11" t="s">
        <v>17</v>
      </c>
      <c r="D10816" s="11" t="s">
        <v>18</v>
      </c>
      <c r="E10816" s="12" t="s">
        <v>3134</v>
      </c>
      <c r="F10816" s="12" t="s">
        <v>3135</v>
      </c>
      <c r="G10816" s="12" t="s">
        <v>40</v>
      </c>
      <c r="H10816" s="11" t="s">
        <v>63</v>
      </c>
      <c r="I10816" s="13" t="s">
        <v>21408</v>
      </c>
      <c r="J10816" s="14" t="str">
        <f>HYPERLINK("https://www.boe.es/gazeta/dias/1839/08/09/pdfs/GMD-1839-1729.pdf#page=2","Abrir facsímil")</f>
        <v>Abrir facsímil</v>
      </c>
      <c r="K10816" s="12" t="s">
        <v>65</v>
      </c>
    </row>
    <row r="10817" spans="1:11" ht="40.049999999999997" customHeight="1" x14ac:dyDescent="0.25">
      <c r="A10817" s="11" t="s">
        <v>21401</v>
      </c>
      <c r="B10817" s="11" t="s">
        <v>21402</v>
      </c>
      <c r="C10817" s="11" t="s">
        <v>80</v>
      </c>
      <c r="D10817" s="11" t="s">
        <v>18</v>
      </c>
      <c r="E10817" s="12" t="s">
        <v>3134</v>
      </c>
      <c r="F10817" s="12" t="s">
        <v>3135</v>
      </c>
      <c r="G10817" s="12" t="s">
        <v>21</v>
      </c>
      <c r="H10817" s="11" t="s">
        <v>63</v>
      </c>
      <c r="I10817" s="13" t="s">
        <v>21409</v>
      </c>
      <c r="J10817" s="14" t="str">
        <f>HYPERLINK("https://www.boe.es/gazeta/dias/1839/08/09/pdfs/GMD-1839-1729.pdf#page=4","Abrir facsímil")</f>
        <v>Abrir facsímil</v>
      </c>
      <c r="K10817" s="12" t="s">
        <v>65</v>
      </c>
    </row>
    <row r="10818" spans="1:11" ht="40.049999999999997" customHeight="1" x14ac:dyDescent="0.25">
      <c r="A10818" s="11" t="s">
        <v>21401</v>
      </c>
      <c r="B10818" s="11" t="s">
        <v>21402</v>
      </c>
      <c r="C10818" s="11" t="s">
        <v>17</v>
      </c>
      <c r="D10818" s="11" t="s">
        <v>18</v>
      </c>
      <c r="E10818" s="12" t="s">
        <v>84</v>
      </c>
      <c r="F10818" s="12" t="s">
        <v>85</v>
      </c>
      <c r="G10818" s="12" t="s">
        <v>29</v>
      </c>
      <c r="H10818" s="11" t="s">
        <v>63</v>
      </c>
      <c r="I10818" s="13" t="s">
        <v>21410</v>
      </c>
      <c r="J10818" s="14" t="str">
        <f>HYPERLINK("https://www.boe.es/gazeta/dias/1839/03/11/pdfs/GMD-1839-1577.pdf#page=1","Abrir facsímil")</f>
        <v>Abrir facsímil</v>
      </c>
      <c r="K10818" s="12" t="s">
        <v>65</v>
      </c>
    </row>
    <row r="10819" spans="1:11" ht="40.049999999999997" customHeight="1" x14ac:dyDescent="0.25">
      <c r="A10819" s="11" t="s">
        <v>21401</v>
      </c>
      <c r="B10819" s="11" t="s">
        <v>21402</v>
      </c>
      <c r="C10819" s="11" t="s">
        <v>17</v>
      </c>
      <c r="D10819" s="11" t="s">
        <v>18</v>
      </c>
      <c r="E10819" s="12" t="s">
        <v>320</v>
      </c>
      <c r="F10819" s="12" t="s">
        <v>321</v>
      </c>
      <c r="G10819" s="12" t="s">
        <v>29</v>
      </c>
      <c r="H10819" s="11" t="s">
        <v>63</v>
      </c>
      <c r="I10819" s="13" t="s">
        <v>21411</v>
      </c>
      <c r="J10819" s="14" t="str">
        <f>HYPERLINK("https://www.boe.es/gazeta/dias/1839/05/11/pdfs/GMD-1839-1638.pdf#page=1","Abrir facsímil")</f>
        <v>Abrir facsímil</v>
      </c>
      <c r="K10819" s="12" t="s">
        <v>65</v>
      </c>
    </row>
    <row r="10820" spans="1:11" ht="40.049999999999997" customHeight="1" x14ac:dyDescent="0.25">
      <c r="A10820" s="11" t="s">
        <v>21401</v>
      </c>
      <c r="B10820" s="11" t="s">
        <v>21402</v>
      </c>
      <c r="C10820" s="11" t="s">
        <v>17</v>
      </c>
      <c r="D10820" s="11" t="s">
        <v>18</v>
      </c>
      <c r="E10820" s="12" t="s">
        <v>1414</v>
      </c>
      <c r="F10820" s="12" t="s">
        <v>1415</v>
      </c>
      <c r="G10820" s="12" t="s">
        <v>21</v>
      </c>
      <c r="H10820" s="11" t="s">
        <v>63</v>
      </c>
      <c r="I10820" s="13" t="s">
        <v>21412</v>
      </c>
      <c r="J10820" s="14" t="str">
        <f>HYPERLINK("https://www.boe.es/gazeta/dias/1839/06/12/pdfs/GMD-1839-1670.pdf#page=4","Abrir facsímil")</f>
        <v>Abrir facsímil</v>
      </c>
      <c r="K10820" s="12" t="s">
        <v>65</v>
      </c>
    </row>
    <row r="10821" spans="1:11" ht="40.049999999999997" customHeight="1" x14ac:dyDescent="0.25">
      <c r="A10821" s="11" t="s">
        <v>21401</v>
      </c>
      <c r="B10821" s="11" t="s">
        <v>21402</v>
      </c>
      <c r="C10821" s="11" t="s">
        <v>59</v>
      </c>
      <c r="D10821" s="11" t="s">
        <v>60</v>
      </c>
      <c r="E10821" s="12" t="s">
        <v>1252</v>
      </c>
      <c r="F10821" s="12" t="s">
        <v>1253</v>
      </c>
      <c r="G10821" s="12" t="s">
        <v>21</v>
      </c>
      <c r="H10821" s="11" t="s">
        <v>63</v>
      </c>
      <c r="I10821" s="13" t="s">
        <v>21413</v>
      </c>
      <c r="J10821" s="14" t="str">
        <f>HYPERLINK("https://www.boe.es/gazeta/dias/1839/06/15/pdfs/GMD-1839-1673.pdf#page=4","Abrir facsímil")</f>
        <v>Abrir facsímil</v>
      </c>
      <c r="K10821" s="12" t="s">
        <v>65</v>
      </c>
    </row>
    <row r="10822" spans="1:11" ht="40.049999999999997" customHeight="1" x14ac:dyDescent="0.25">
      <c r="A10822" s="11" t="s">
        <v>21401</v>
      </c>
      <c r="B10822" s="11" t="s">
        <v>21402</v>
      </c>
      <c r="C10822" s="11" t="s">
        <v>17</v>
      </c>
      <c r="D10822" s="11" t="s">
        <v>18</v>
      </c>
      <c r="E10822" s="12" t="s">
        <v>1528</v>
      </c>
      <c r="F10822" s="12" t="s">
        <v>1529</v>
      </c>
      <c r="G10822" s="12" t="s">
        <v>21</v>
      </c>
      <c r="H10822" s="11" t="s">
        <v>63</v>
      </c>
      <c r="I10822" s="13" t="s">
        <v>21414</v>
      </c>
      <c r="J10822" s="14" t="str">
        <f>HYPERLINK("https://www.boe.es/gazeta/dias/1839/12/15/pdfs/GMD-1839-1862.pdf#page=4","Abrir facsímil")</f>
        <v>Abrir facsímil</v>
      </c>
      <c r="K10822" s="12" t="s">
        <v>65</v>
      </c>
    </row>
    <row r="10823" spans="1:11" ht="40.049999999999997" customHeight="1" x14ac:dyDescent="0.25">
      <c r="A10823" s="11" t="s">
        <v>21401</v>
      </c>
      <c r="B10823" s="11" t="s">
        <v>21402</v>
      </c>
      <c r="C10823" s="11" t="s">
        <v>137</v>
      </c>
      <c r="D10823" s="11" t="s">
        <v>18</v>
      </c>
      <c r="E10823" s="12" t="s">
        <v>2851</v>
      </c>
      <c r="F10823" s="12" t="s">
        <v>2852</v>
      </c>
      <c r="G10823" s="12" t="s">
        <v>29</v>
      </c>
      <c r="H10823" s="11" t="s">
        <v>63</v>
      </c>
      <c r="I10823" s="13" t="s">
        <v>21415</v>
      </c>
      <c r="J10823" s="14" t="str">
        <f>HYPERLINK("https://www.boe.es/gazeta/dias/1839/05/16/pdfs/GMD-1839-1643.pdf#page=1","Abrir facsímil")</f>
        <v>Abrir facsímil</v>
      </c>
      <c r="K10823" s="12" t="s">
        <v>65</v>
      </c>
    </row>
    <row r="10824" spans="1:11" ht="40.049999999999997" customHeight="1" x14ac:dyDescent="0.25">
      <c r="A10824" s="11" t="s">
        <v>21401</v>
      </c>
      <c r="B10824" s="11" t="s">
        <v>21402</v>
      </c>
      <c r="C10824" s="11" t="s">
        <v>137</v>
      </c>
      <c r="D10824" s="11" t="s">
        <v>18</v>
      </c>
      <c r="E10824" s="12" t="s">
        <v>1648</v>
      </c>
      <c r="F10824" s="12" t="s">
        <v>1649</v>
      </c>
      <c r="G10824" s="12" t="s">
        <v>21</v>
      </c>
      <c r="H10824" s="11" t="s">
        <v>63</v>
      </c>
      <c r="I10824" s="13" t="s">
        <v>21416</v>
      </c>
      <c r="J10824" s="14" t="str">
        <f>HYPERLINK("https://www.boe.es/gazeta/dias/1839/08/18/pdfs/GMD-1839-1738.pdf#page=4","Abrir facsímil")</f>
        <v>Abrir facsímil</v>
      </c>
      <c r="K10824" s="12" t="s">
        <v>65</v>
      </c>
    </row>
    <row r="10825" spans="1:11" ht="40.049999999999997" customHeight="1" x14ac:dyDescent="0.25">
      <c r="A10825" s="11" t="s">
        <v>21401</v>
      </c>
      <c r="B10825" s="11" t="s">
        <v>21402</v>
      </c>
      <c r="C10825" s="11" t="s">
        <v>59</v>
      </c>
      <c r="D10825" s="11" t="s">
        <v>60</v>
      </c>
      <c r="E10825" s="12" t="s">
        <v>479</v>
      </c>
      <c r="F10825" s="12" t="s">
        <v>480</v>
      </c>
      <c r="G10825" s="12" t="s">
        <v>40</v>
      </c>
      <c r="H10825" s="11" t="s">
        <v>63</v>
      </c>
      <c r="I10825" s="13" t="s">
        <v>21417</v>
      </c>
      <c r="J10825" s="14" t="str">
        <f>HYPERLINK("https://www.boe.es/gazeta/dias/1839/06/24/pdfs/GMD-1839-1682.pdf#page=2","Abrir facsímil")</f>
        <v>Abrir facsímil</v>
      </c>
      <c r="K10825" s="12" t="s">
        <v>65</v>
      </c>
    </row>
    <row r="10826" spans="1:11" ht="40.049999999999997" customHeight="1" x14ac:dyDescent="0.25">
      <c r="A10826" s="11" t="s">
        <v>21401</v>
      </c>
      <c r="B10826" s="11" t="s">
        <v>21402</v>
      </c>
      <c r="C10826" s="11" t="s">
        <v>17</v>
      </c>
      <c r="D10826" s="11" t="s">
        <v>18</v>
      </c>
      <c r="E10826" s="12" t="s">
        <v>716</v>
      </c>
      <c r="F10826" s="12" t="s">
        <v>717</v>
      </c>
      <c r="G10826" s="12" t="s">
        <v>29</v>
      </c>
      <c r="H10826" s="11" t="s">
        <v>63</v>
      </c>
      <c r="I10826" s="13" t="s">
        <v>21418</v>
      </c>
      <c r="J10826" s="14" t="str">
        <f>HYPERLINK("https://www.boe.es/gazeta/dias/1839/07/30/pdfs/GMD-1839-1719.pdf#page=1","Abrir facsímil")</f>
        <v>Abrir facsímil</v>
      </c>
      <c r="K10826" s="12" t="s">
        <v>65</v>
      </c>
    </row>
    <row r="10827" spans="1:11" ht="40.049999999999997" customHeight="1" x14ac:dyDescent="0.25">
      <c r="A10827" s="11" t="s">
        <v>21401</v>
      </c>
      <c r="B10827" s="11" t="s">
        <v>21402</v>
      </c>
      <c r="C10827" s="11" t="s">
        <v>17</v>
      </c>
      <c r="D10827" s="11" t="s">
        <v>18</v>
      </c>
      <c r="E10827" s="12" t="s">
        <v>1118</v>
      </c>
      <c r="F10827" s="12" t="s">
        <v>1119</v>
      </c>
      <c r="G10827" s="12" t="s">
        <v>21</v>
      </c>
      <c r="H10827" s="11" t="s">
        <v>63</v>
      </c>
      <c r="I10827" s="13" t="s">
        <v>21419</v>
      </c>
      <c r="J10827" s="14" t="str">
        <f>HYPERLINK("https://www.boe.es/gazeta/dias/1839/08/30/pdfs/GMD-1839-1751.pdf#page=4","Abrir facsímil")</f>
        <v>Abrir facsímil</v>
      </c>
      <c r="K10827" s="12" t="s">
        <v>65</v>
      </c>
    </row>
    <row r="10828" spans="1:11" ht="40.049999999999997" customHeight="1" x14ac:dyDescent="0.25">
      <c r="A10828" s="11" t="s">
        <v>21420</v>
      </c>
      <c r="B10828" s="11" t="s">
        <v>21421</v>
      </c>
      <c r="C10828" s="11" t="s">
        <v>17</v>
      </c>
      <c r="D10828" s="11" t="s">
        <v>18</v>
      </c>
      <c r="E10828" s="12" t="s">
        <v>756</v>
      </c>
      <c r="F10828" s="12" t="s">
        <v>757</v>
      </c>
      <c r="G10828" s="12" t="s">
        <v>29</v>
      </c>
      <c r="H10828" s="11" t="s">
        <v>63</v>
      </c>
      <c r="I10828" s="13" t="s">
        <v>21422</v>
      </c>
      <c r="J10828" s="14" t="str">
        <f>HYPERLINK("https://www.boe.es/gazeta/dias/1839/12/17/pdfs/GMD-1839-1864.pdf#page=1","Abrir facsímil")</f>
        <v>Abrir facsímil</v>
      </c>
      <c r="K10828" s="12" t="s">
        <v>65</v>
      </c>
    </row>
    <row r="10829" spans="1:11" ht="40.049999999999997" customHeight="1" x14ac:dyDescent="0.25">
      <c r="A10829" s="11" t="s">
        <v>21423</v>
      </c>
      <c r="B10829" s="11" t="s">
        <v>21424</v>
      </c>
      <c r="C10829" s="11" t="s">
        <v>137</v>
      </c>
      <c r="D10829" s="11" t="s">
        <v>18</v>
      </c>
      <c r="E10829" s="12" t="s">
        <v>175</v>
      </c>
      <c r="F10829" s="12" t="s">
        <v>176</v>
      </c>
      <c r="G10829" s="12" t="s">
        <v>40</v>
      </c>
      <c r="H10829" s="11" t="s">
        <v>63</v>
      </c>
      <c r="I10829" s="13" t="s">
        <v>21425</v>
      </c>
      <c r="J10829" s="14" t="str">
        <f>HYPERLINK("https://www.boe.es/gazeta/dias/1839/01/16/pdfs/GMD-1839-1523.pdf#page=2","Abrir facsímil")</f>
        <v>Abrir facsímil</v>
      </c>
      <c r="K10829" s="12" t="s">
        <v>65</v>
      </c>
    </row>
    <row r="10830" spans="1:11" ht="40.049999999999997" customHeight="1" x14ac:dyDescent="0.25">
      <c r="A10830" s="11" t="s">
        <v>21426</v>
      </c>
      <c r="B10830" s="11" t="s">
        <v>21427</v>
      </c>
      <c r="C10830" s="11" t="s">
        <v>17</v>
      </c>
      <c r="D10830" s="11" t="s">
        <v>18</v>
      </c>
      <c r="E10830" s="12" t="s">
        <v>1490</v>
      </c>
      <c r="F10830" s="12" t="s">
        <v>1491</v>
      </c>
      <c r="G10830" s="12" t="s">
        <v>29</v>
      </c>
      <c r="H10830" s="11" t="s">
        <v>63</v>
      </c>
      <c r="I10830" s="13" t="s">
        <v>21428</v>
      </c>
      <c r="J10830" s="14" t="str">
        <f>HYPERLINK("https://www.boe.es/gazeta/dias/1839/02/27/pdfs/GMD-1839-1565.pdf#page=1","Abrir facsímil")</f>
        <v>Abrir facsímil</v>
      </c>
      <c r="K10830" s="12" t="s">
        <v>65</v>
      </c>
    </row>
    <row r="10831" spans="1:11" ht="40.049999999999997" customHeight="1" x14ac:dyDescent="0.25">
      <c r="A10831" s="11" t="s">
        <v>21426</v>
      </c>
      <c r="B10831" s="11" t="s">
        <v>21427</v>
      </c>
      <c r="C10831" s="11" t="s">
        <v>137</v>
      </c>
      <c r="D10831" s="11" t="s">
        <v>18</v>
      </c>
      <c r="E10831" s="12" t="s">
        <v>355</v>
      </c>
      <c r="F10831" s="12" t="s">
        <v>356</v>
      </c>
      <c r="G10831" s="12" t="s">
        <v>21</v>
      </c>
      <c r="H10831" s="11" t="s">
        <v>63</v>
      </c>
      <c r="I10831" s="13" t="s">
        <v>21429</v>
      </c>
      <c r="J10831" s="14" t="str">
        <f>HYPERLINK("https://www.boe.es/gazeta/dias/1839/05/31/pdfs/GMD-1839-1658.pdf#page=4","Abrir facsímil")</f>
        <v>Abrir facsímil</v>
      </c>
      <c r="K10831" s="12" t="s">
        <v>65</v>
      </c>
    </row>
    <row r="10832" spans="1:11" ht="40.049999999999997" customHeight="1" x14ac:dyDescent="0.25">
      <c r="A10832" s="11" t="s">
        <v>21430</v>
      </c>
      <c r="B10832" s="11" t="s">
        <v>21431</v>
      </c>
      <c r="C10832" s="11" t="s">
        <v>17</v>
      </c>
      <c r="D10832" s="11" t="s">
        <v>18</v>
      </c>
      <c r="E10832" s="12" t="s">
        <v>756</v>
      </c>
      <c r="F10832" s="12" t="s">
        <v>757</v>
      </c>
      <c r="G10832" s="12" t="s">
        <v>21</v>
      </c>
      <c r="H10832" s="11" t="s">
        <v>63</v>
      </c>
      <c r="I10832" s="13" t="s">
        <v>21432</v>
      </c>
      <c r="J10832" s="14" t="str">
        <f>HYPERLINK("https://www.boe.es/gazeta/dias/1839/12/17/pdfs/GMD-1839-1864.pdf#page=4","Abrir facsímil")</f>
        <v>Abrir facsímil</v>
      </c>
      <c r="K10832" s="12" t="s">
        <v>65</v>
      </c>
    </row>
    <row r="10833" spans="1:11" ht="40.049999999999997" customHeight="1" x14ac:dyDescent="0.25">
      <c r="A10833" s="11" t="s">
        <v>21433</v>
      </c>
      <c r="B10833" s="11" t="s">
        <v>21434</v>
      </c>
      <c r="C10833" s="11" t="s">
        <v>80</v>
      </c>
      <c r="D10833" s="11" t="s">
        <v>18</v>
      </c>
      <c r="E10833" s="12" t="s">
        <v>3114</v>
      </c>
      <c r="F10833" s="12" t="s">
        <v>3115</v>
      </c>
      <c r="G10833" s="12" t="s">
        <v>40</v>
      </c>
      <c r="H10833" s="11" t="s">
        <v>63</v>
      </c>
      <c r="I10833" s="13" t="s">
        <v>21435</v>
      </c>
      <c r="J10833" s="14" t="str">
        <f>HYPERLINK("https://www.boe.es/gazeta/dias/1839/05/15/pdfs/GMD-1839-1642.pdf#page=2","Abrir facsímil")</f>
        <v>Abrir facsímil</v>
      </c>
      <c r="K10833" s="12" t="s">
        <v>65</v>
      </c>
    </row>
    <row r="10834" spans="1:11" ht="40.049999999999997" customHeight="1" x14ac:dyDescent="0.25">
      <c r="A10834" s="11" t="s">
        <v>21436</v>
      </c>
      <c r="B10834" s="11" t="s">
        <v>21437</v>
      </c>
      <c r="C10834" s="11" t="s">
        <v>17</v>
      </c>
      <c r="D10834" s="11" t="s">
        <v>18</v>
      </c>
      <c r="E10834" s="12" t="s">
        <v>870</v>
      </c>
      <c r="F10834" s="12" t="s">
        <v>871</v>
      </c>
      <c r="G10834" s="12" t="s">
        <v>21</v>
      </c>
      <c r="H10834" s="11" t="s">
        <v>63</v>
      </c>
      <c r="I10834" s="13" t="s">
        <v>21438</v>
      </c>
      <c r="J10834" s="14" t="str">
        <f>HYPERLINK("https://www.boe.es/gazeta/dias/1839/04/18/pdfs/GMD-1839-1615.pdf#page=4","Abrir facsímil")</f>
        <v>Abrir facsímil</v>
      </c>
      <c r="K10834" s="12" t="s">
        <v>65</v>
      </c>
    </row>
    <row r="10835" spans="1:11" ht="40.049999999999997" customHeight="1" x14ac:dyDescent="0.25">
      <c r="A10835" s="11" t="s">
        <v>21439</v>
      </c>
      <c r="B10835" s="11" t="s">
        <v>21440</v>
      </c>
      <c r="C10835" s="11" t="s">
        <v>80</v>
      </c>
      <c r="D10835" s="11" t="s">
        <v>18</v>
      </c>
      <c r="E10835" s="12" t="s">
        <v>3766</v>
      </c>
      <c r="F10835" s="12" t="s">
        <v>3767</v>
      </c>
      <c r="G10835" s="12" t="s">
        <v>21</v>
      </c>
      <c r="H10835" s="11" t="s">
        <v>63</v>
      </c>
      <c r="I10835" s="13" t="s">
        <v>21441</v>
      </c>
      <c r="J10835" s="14" t="str">
        <f>HYPERLINK("https://www.boe.es/gazeta/dias/1839/06/10/pdfs/GMD-1839-1668.pdf#page=4","Abrir facsímil")</f>
        <v>Abrir facsímil</v>
      </c>
      <c r="K10835" s="12" t="s">
        <v>65</v>
      </c>
    </row>
    <row r="10836" spans="1:11" ht="40.049999999999997" customHeight="1" x14ac:dyDescent="0.25">
      <c r="A10836" s="11" t="s">
        <v>21442</v>
      </c>
      <c r="B10836" s="11" t="s">
        <v>21443</v>
      </c>
      <c r="C10836" s="11" t="s">
        <v>59</v>
      </c>
      <c r="D10836" s="11" t="s">
        <v>60</v>
      </c>
      <c r="E10836" s="12" t="s">
        <v>202</v>
      </c>
      <c r="F10836" s="12" t="s">
        <v>203</v>
      </c>
      <c r="G10836" s="12" t="s">
        <v>46</v>
      </c>
      <c r="H10836" s="11" t="s">
        <v>22</v>
      </c>
      <c r="I10836" s="13" t="s">
        <v>21444</v>
      </c>
      <c r="J10836" s="14" t="str">
        <f>HYPERLINK("https://www.boe.es/gazeta/dias/1839/04/05/pdfs/GMD-1839-1602.pdf#page=3","Abrir facsímil")</f>
        <v>Abrir facsímil</v>
      </c>
      <c r="K10836" s="12" t="s">
        <v>24</v>
      </c>
    </row>
    <row r="10837" spans="1:11" ht="40.049999999999997" customHeight="1" x14ac:dyDescent="0.25">
      <c r="A10837" s="11" t="s">
        <v>21445</v>
      </c>
      <c r="B10837" s="11" t="s">
        <v>21445</v>
      </c>
      <c r="C10837" s="11" t="s">
        <v>17</v>
      </c>
      <c r="D10837" s="11" t="s">
        <v>43</v>
      </c>
      <c r="E10837" s="12" t="s">
        <v>287</v>
      </c>
      <c r="F10837" s="12" t="s">
        <v>288</v>
      </c>
      <c r="G10837" s="12" t="s">
        <v>46</v>
      </c>
      <c r="H10837" s="11" t="s">
        <v>63</v>
      </c>
      <c r="I10837" s="13" t="s">
        <v>21446</v>
      </c>
      <c r="J10837" s="14" t="str">
        <f>HYPERLINK("https://www.boe.es/gazeta/dias/1839/11/27/pdfs/GMD-1839-1844.pdf#page=3","Abrir facsímil")</f>
        <v>Abrir facsímil</v>
      </c>
      <c r="K10837" s="12" t="s">
        <v>65</v>
      </c>
    </row>
    <row r="10838" spans="1:11" ht="40.049999999999997" customHeight="1" x14ac:dyDescent="0.25">
      <c r="A10838" s="11" t="s">
        <v>21447</v>
      </c>
      <c r="B10838" s="11" t="s">
        <v>21448</v>
      </c>
      <c r="C10838" s="11" t="s">
        <v>101</v>
      </c>
      <c r="D10838" s="11" t="s">
        <v>43</v>
      </c>
      <c r="E10838" s="12" t="s">
        <v>862</v>
      </c>
      <c r="F10838" s="12" t="s">
        <v>863</v>
      </c>
      <c r="G10838" s="12" t="s">
        <v>21</v>
      </c>
      <c r="H10838" s="11" t="s">
        <v>63</v>
      </c>
      <c r="I10838" s="13" t="s">
        <v>21449</v>
      </c>
      <c r="J10838" s="14" t="str">
        <f>HYPERLINK("https://www.boe.es/gazeta/dias/1839/10/28/pdfs/GMD-1839-1814.pdf#page=4","Abrir facsímil")</f>
        <v>Abrir facsímil</v>
      </c>
      <c r="K10838" s="12" t="s">
        <v>65</v>
      </c>
    </row>
    <row r="10839" spans="1:11" ht="40.049999999999997" customHeight="1" x14ac:dyDescent="0.25">
      <c r="A10839" s="11" t="s">
        <v>21450</v>
      </c>
      <c r="B10839" s="11" t="s">
        <v>21451</v>
      </c>
      <c r="C10839" s="11" t="s">
        <v>17</v>
      </c>
      <c r="D10839" s="11" t="s">
        <v>18</v>
      </c>
      <c r="E10839" s="12" t="s">
        <v>3224</v>
      </c>
      <c r="F10839" s="12" t="s">
        <v>3225</v>
      </c>
      <c r="G10839" s="12" t="s">
        <v>46</v>
      </c>
      <c r="H10839" s="11" t="s">
        <v>63</v>
      </c>
      <c r="I10839" s="13" t="s">
        <v>21452</v>
      </c>
      <c r="J10839" s="14" t="str">
        <f>HYPERLINK("https://www.boe.es/gazeta/dias/1839/06/03/pdfs/GMD-1839-1661.pdf#page=3","Abrir facsímil")</f>
        <v>Abrir facsímil</v>
      </c>
      <c r="K10839" s="12" t="s">
        <v>65</v>
      </c>
    </row>
    <row r="10840" spans="1:11" ht="40.049999999999997" customHeight="1" x14ac:dyDescent="0.25">
      <c r="A10840" s="11" t="s">
        <v>21453</v>
      </c>
      <c r="B10840" s="11" t="s">
        <v>21454</v>
      </c>
      <c r="C10840" s="11" t="s">
        <v>101</v>
      </c>
      <c r="D10840" s="11" t="s">
        <v>102</v>
      </c>
      <c r="E10840" s="12" t="s">
        <v>3705</v>
      </c>
      <c r="F10840" s="12" t="s">
        <v>3706</v>
      </c>
      <c r="G10840" s="12" t="s">
        <v>21</v>
      </c>
      <c r="H10840" s="11" t="s">
        <v>63</v>
      </c>
      <c r="I10840" s="13" t="s">
        <v>21455</v>
      </c>
      <c r="J10840" s="14" t="str">
        <f>HYPERLINK("https://www.boe.es/gazeta/dias/1839/03/09/pdfs/GMD-1839-1575.pdf#page=4","Abrir facsímil")</f>
        <v>Abrir facsímil</v>
      </c>
      <c r="K10840" s="12" t="s">
        <v>65</v>
      </c>
    </row>
    <row r="10841" spans="1:11" ht="40.049999999999997" customHeight="1" x14ac:dyDescent="0.25">
      <c r="A10841" s="11" t="s">
        <v>21456</v>
      </c>
      <c r="B10841" s="11" t="s">
        <v>21456</v>
      </c>
      <c r="C10841" s="11" t="s">
        <v>80</v>
      </c>
      <c r="D10841" s="11" t="s">
        <v>18</v>
      </c>
      <c r="E10841" s="12" t="s">
        <v>798</v>
      </c>
      <c r="F10841" s="12" t="s">
        <v>799</v>
      </c>
      <c r="G10841" s="12" t="s">
        <v>40</v>
      </c>
      <c r="H10841" s="11" t="s">
        <v>63</v>
      </c>
      <c r="I10841" s="13" t="s">
        <v>21457</v>
      </c>
      <c r="J10841" s="14" t="str">
        <f>HYPERLINK("https://www.boe.es/gazeta/dias/1839/09/03/pdfs/GMD-1839-1755.pdf#page=2","Abrir facsímil")</f>
        <v>Abrir facsímil</v>
      </c>
      <c r="K10841" s="12" t="s">
        <v>65</v>
      </c>
    </row>
    <row r="10842" spans="1:11" ht="40.049999999999997" customHeight="1" x14ac:dyDescent="0.25">
      <c r="A10842" s="11" t="s">
        <v>21458</v>
      </c>
      <c r="B10842" s="11" t="s">
        <v>21459</v>
      </c>
      <c r="C10842" s="11" t="s">
        <v>80</v>
      </c>
      <c r="D10842" s="11" t="s">
        <v>18</v>
      </c>
      <c r="E10842" s="12" t="s">
        <v>236</v>
      </c>
      <c r="F10842" s="12" t="s">
        <v>237</v>
      </c>
      <c r="G10842" s="12" t="s">
        <v>21</v>
      </c>
      <c r="H10842" s="11" t="s">
        <v>63</v>
      </c>
      <c r="I10842" s="13" t="s">
        <v>21460</v>
      </c>
      <c r="J10842" s="14" t="str">
        <f>HYPERLINK("https://www.boe.es/gazeta/dias/1839/09/18/pdfs/GMD-1839-1771.pdf#page=4","Abrir facsímil")</f>
        <v>Abrir facsímil</v>
      </c>
      <c r="K10842" s="12" t="s">
        <v>65</v>
      </c>
    </row>
    <row r="10843" spans="1:11" ht="40.049999999999997" customHeight="1" x14ac:dyDescent="0.25">
      <c r="A10843" s="11" t="s">
        <v>21461</v>
      </c>
      <c r="B10843" s="11" t="s">
        <v>21462</v>
      </c>
      <c r="C10843" s="11" t="s">
        <v>17</v>
      </c>
      <c r="D10843" s="11" t="s">
        <v>18</v>
      </c>
      <c r="E10843" s="12" t="s">
        <v>946</v>
      </c>
      <c r="F10843" s="12" t="s">
        <v>947</v>
      </c>
      <c r="G10843" s="12" t="s">
        <v>46</v>
      </c>
      <c r="H10843" s="11" t="s">
        <v>63</v>
      </c>
      <c r="I10843" s="13" t="s">
        <v>21463</v>
      </c>
      <c r="J10843" s="14" t="str">
        <f>HYPERLINK("https://www.boe.es/gazeta/dias/1839/04/15/pdfs/GMD-1839-1612.pdf#page=3","Abrir facsímil")</f>
        <v>Abrir facsímil</v>
      </c>
      <c r="K10843" s="12" t="s">
        <v>65</v>
      </c>
    </row>
    <row r="10844" spans="1:11" ht="40.049999999999997" customHeight="1" x14ac:dyDescent="0.25">
      <c r="A10844" s="11" t="s">
        <v>21464</v>
      </c>
      <c r="B10844" s="11" t="s">
        <v>21465</v>
      </c>
      <c r="C10844" s="11" t="s">
        <v>80</v>
      </c>
      <c r="D10844" s="11" t="s">
        <v>173</v>
      </c>
      <c r="E10844" s="12" t="s">
        <v>621</v>
      </c>
      <c r="F10844" s="12" t="s">
        <v>622</v>
      </c>
      <c r="G10844" s="12" t="s">
        <v>21</v>
      </c>
      <c r="H10844" s="11" t="s">
        <v>63</v>
      </c>
      <c r="I10844" s="13" t="s">
        <v>21466</v>
      </c>
      <c r="J10844" s="14" t="str">
        <f>HYPERLINK("https://www.boe.es/gazeta/dias/1839/04/14/pdfs/GMD-1839-1611.pdf#page=4","Abrir facsímil")</f>
        <v>Abrir facsímil</v>
      </c>
      <c r="K10844" s="12" t="s">
        <v>65</v>
      </c>
    </row>
    <row r="10845" spans="1:11" ht="40.049999999999997" customHeight="1" x14ac:dyDescent="0.25">
      <c r="A10845" s="11" t="s">
        <v>21467</v>
      </c>
      <c r="B10845" s="11" t="s">
        <v>21467</v>
      </c>
      <c r="C10845" s="11" t="s">
        <v>17</v>
      </c>
      <c r="D10845" s="11" t="s">
        <v>18</v>
      </c>
      <c r="E10845" s="12" t="s">
        <v>1891</v>
      </c>
      <c r="F10845" s="12" t="s">
        <v>1892</v>
      </c>
      <c r="G10845" s="12" t="s">
        <v>40</v>
      </c>
      <c r="H10845" s="11" t="s">
        <v>63</v>
      </c>
      <c r="I10845" s="13" t="s">
        <v>21468</v>
      </c>
      <c r="J10845" s="14" t="str">
        <f>HYPERLINK("https://www.boe.es/gazeta/dias/1839/12/14/pdfs/GMD-1839-1861.pdf#page=2","Abrir facsímil")</f>
        <v>Abrir facsímil</v>
      </c>
      <c r="K10845" s="12" t="s">
        <v>65</v>
      </c>
    </row>
    <row r="10846" spans="1:11" ht="40.049999999999997" customHeight="1" x14ac:dyDescent="0.25">
      <c r="A10846" s="11" t="s">
        <v>21469</v>
      </c>
      <c r="B10846" s="11" t="s">
        <v>21470</v>
      </c>
      <c r="C10846" s="11" t="s">
        <v>59</v>
      </c>
      <c r="D10846" s="11" t="s">
        <v>60</v>
      </c>
      <c r="E10846" s="12" t="s">
        <v>1528</v>
      </c>
      <c r="F10846" s="12" t="s">
        <v>1529</v>
      </c>
      <c r="G10846" s="12" t="s">
        <v>40</v>
      </c>
      <c r="H10846" s="11" t="s">
        <v>63</v>
      </c>
      <c r="I10846" s="13" t="s">
        <v>21471</v>
      </c>
      <c r="J10846" s="14" t="str">
        <f>HYPERLINK("https://www.boe.es/gazeta/dias/1839/12/15/pdfs/GMD-1839-1862.pdf#page=2","Abrir facsímil")</f>
        <v>Abrir facsímil</v>
      </c>
      <c r="K10846" s="12" t="s">
        <v>65</v>
      </c>
    </row>
    <row r="10847" spans="1:11" ht="40.049999999999997" customHeight="1" x14ac:dyDescent="0.25">
      <c r="A10847" s="11" t="s">
        <v>21472</v>
      </c>
      <c r="B10847" s="11" t="s">
        <v>21472</v>
      </c>
      <c r="C10847" s="11" t="s">
        <v>17</v>
      </c>
      <c r="D10847" s="11" t="s">
        <v>18</v>
      </c>
      <c r="E10847" s="12" t="s">
        <v>1528</v>
      </c>
      <c r="F10847" s="12" t="s">
        <v>1529</v>
      </c>
      <c r="G10847" s="12" t="s">
        <v>21</v>
      </c>
      <c r="H10847" s="11" t="s">
        <v>63</v>
      </c>
      <c r="I10847" s="13" t="s">
        <v>21473</v>
      </c>
      <c r="J10847" s="14" t="str">
        <f>HYPERLINK("https://www.boe.es/gazeta/dias/1839/12/15/pdfs/GMD-1839-1862.pdf#page=4","Abrir facsímil")</f>
        <v>Abrir facsímil</v>
      </c>
      <c r="K10847" s="12" t="s">
        <v>65</v>
      </c>
    </row>
    <row r="10848" spans="1:11" ht="40.049999999999997" customHeight="1" x14ac:dyDescent="0.25">
      <c r="A10848" s="11" t="s">
        <v>21472</v>
      </c>
      <c r="B10848" s="11" t="s">
        <v>21472</v>
      </c>
      <c r="C10848" s="11" t="s">
        <v>17</v>
      </c>
      <c r="D10848" s="11" t="s">
        <v>18</v>
      </c>
      <c r="E10848" s="12" t="s">
        <v>1027</v>
      </c>
      <c r="F10848" s="12" t="s">
        <v>1028</v>
      </c>
      <c r="G10848" s="12" t="s">
        <v>21</v>
      </c>
      <c r="H10848" s="11" t="s">
        <v>63</v>
      </c>
      <c r="I10848" s="13" t="s">
        <v>21474</v>
      </c>
      <c r="J10848" s="14" t="str">
        <f>HYPERLINK("https://www.boe.es/gazeta/dias/1839/08/16/pdfs/GMD-1839-1736.pdf#page=4","Abrir facsímil")</f>
        <v>Abrir facsímil</v>
      </c>
      <c r="K10848" s="12" t="s">
        <v>65</v>
      </c>
    </row>
    <row r="10849" spans="1:11" ht="40.049999999999997" customHeight="1" x14ac:dyDescent="0.25">
      <c r="A10849" s="11" t="s">
        <v>21475</v>
      </c>
      <c r="B10849" s="11" t="s">
        <v>21475</v>
      </c>
      <c r="C10849" s="11" t="s">
        <v>137</v>
      </c>
      <c r="D10849" s="11" t="s">
        <v>18</v>
      </c>
      <c r="E10849" s="12" t="s">
        <v>1183</v>
      </c>
      <c r="F10849" s="12" t="s">
        <v>1184</v>
      </c>
      <c r="G10849" s="12" t="s">
        <v>46</v>
      </c>
      <c r="H10849" s="11" t="s">
        <v>63</v>
      </c>
      <c r="I10849" s="13" t="s">
        <v>21476</v>
      </c>
      <c r="J10849" s="14" t="str">
        <f>HYPERLINK("https://www.boe.es/gazeta/dias/1839/07/26/pdfs/GMD-1839-1715.pdf#page=3","Abrir facsímil")</f>
        <v>Abrir facsímil</v>
      </c>
      <c r="K10849" s="12" t="s">
        <v>65</v>
      </c>
    </row>
    <row r="10850" spans="1:11" ht="40.049999999999997" customHeight="1" x14ac:dyDescent="0.25">
      <c r="A10850" s="11" t="s">
        <v>21477</v>
      </c>
      <c r="B10850" s="11" t="s">
        <v>21478</v>
      </c>
      <c r="C10850" s="11" t="s">
        <v>17</v>
      </c>
      <c r="D10850" s="11" t="s">
        <v>18</v>
      </c>
      <c r="E10850" s="12" t="s">
        <v>690</v>
      </c>
      <c r="F10850" s="12" t="s">
        <v>691</v>
      </c>
      <c r="G10850" s="12" t="s">
        <v>21</v>
      </c>
      <c r="H10850" s="11" t="s">
        <v>63</v>
      </c>
      <c r="I10850" s="13" t="s">
        <v>21479</v>
      </c>
      <c r="J10850" s="14" t="str">
        <f>HYPERLINK("https://www.boe.es/gazeta/dias/1839/12/08/pdfs/GMD-1839-1855.pdf#page=4","Abrir facsímil")</f>
        <v>Abrir facsímil</v>
      </c>
      <c r="K10850" s="12" t="s">
        <v>65</v>
      </c>
    </row>
    <row r="10851" spans="1:11" ht="40.049999999999997" customHeight="1" x14ac:dyDescent="0.25">
      <c r="A10851" s="11" t="s">
        <v>21477</v>
      </c>
      <c r="B10851" s="11" t="s">
        <v>21478</v>
      </c>
      <c r="C10851" s="11" t="s">
        <v>17</v>
      </c>
      <c r="D10851" s="11" t="s">
        <v>18</v>
      </c>
      <c r="E10851" s="12" t="s">
        <v>564</v>
      </c>
      <c r="F10851" s="12" t="s">
        <v>565</v>
      </c>
      <c r="G10851" s="12" t="s">
        <v>305</v>
      </c>
      <c r="H10851" s="11" t="s">
        <v>63</v>
      </c>
      <c r="I10851" s="13" t="s">
        <v>21480</v>
      </c>
      <c r="J10851" s="14" t="str">
        <f>HYPERLINK("https://www.boe.es/gazeta/dias/1839/10/17/pdfs/GMD-1839-1803.pdf#page=6","Abrir facsímil")</f>
        <v>Abrir facsímil</v>
      </c>
      <c r="K10851" s="12" t="s">
        <v>65</v>
      </c>
    </row>
    <row r="10852" spans="1:11" ht="40.049999999999997" customHeight="1" x14ac:dyDescent="0.25">
      <c r="A10852" s="11" t="s">
        <v>21477</v>
      </c>
      <c r="B10852" s="11" t="s">
        <v>21478</v>
      </c>
      <c r="C10852" s="11" t="s">
        <v>17</v>
      </c>
      <c r="D10852" s="11" t="s">
        <v>18</v>
      </c>
      <c r="E10852" s="12" t="s">
        <v>1657</v>
      </c>
      <c r="F10852" s="12" t="s">
        <v>1658</v>
      </c>
      <c r="G10852" s="12" t="s">
        <v>29</v>
      </c>
      <c r="H10852" s="11" t="s">
        <v>63</v>
      </c>
      <c r="I10852" s="13" t="s">
        <v>21481</v>
      </c>
      <c r="J10852" s="14" t="str">
        <f>HYPERLINK("https://www.boe.es/gazeta/dias/1839/02/21/pdfs/GMD-1839-1559.pdf#page=1","Abrir facsímil")</f>
        <v>Abrir facsímil</v>
      </c>
      <c r="K10852" s="12" t="s">
        <v>65</v>
      </c>
    </row>
    <row r="10853" spans="1:11" ht="40.049999999999997" customHeight="1" x14ac:dyDescent="0.25">
      <c r="A10853" s="11" t="s">
        <v>21482</v>
      </c>
      <c r="B10853" s="11" t="s">
        <v>21482</v>
      </c>
      <c r="C10853" s="11" t="s">
        <v>17</v>
      </c>
      <c r="D10853" s="11" t="s">
        <v>18</v>
      </c>
      <c r="E10853" s="12" t="s">
        <v>103</v>
      </c>
      <c r="F10853" s="12" t="s">
        <v>104</v>
      </c>
      <c r="G10853" s="12" t="s">
        <v>21</v>
      </c>
      <c r="H10853" s="11" t="s">
        <v>63</v>
      </c>
      <c r="I10853" s="13" t="s">
        <v>21483</v>
      </c>
      <c r="J10853" s="14" t="str">
        <f>HYPERLINK("https://www.boe.es/gazeta/dias/1839/10/12/pdfs/GMD-1839-1798.pdf#page=4","Abrir facsímil")</f>
        <v>Abrir facsímil</v>
      </c>
      <c r="K10853" s="12" t="s">
        <v>65</v>
      </c>
    </row>
    <row r="10854" spans="1:11" ht="40.049999999999997" customHeight="1" x14ac:dyDescent="0.25">
      <c r="A10854" s="11" t="s">
        <v>21484</v>
      </c>
      <c r="B10854" s="11" t="s">
        <v>21484</v>
      </c>
      <c r="C10854" s="11" t="s">
        <v>17</v>
      </c>
      <c r="D10854" s="11" t="s">
        <v>18</v>
      </c>
      <c r="E10854" s="12" t="s">
        <v>116</v>
      </c>
      <c r="F10854" s="12" t="s">
        <v>117</v>
      </c>
      <c r="G10854" s="12" t="s">
        <v>40</v>
      </c>
      <c r="H10854" s="11" t="s">
        <v>63</v>
      </c>
      <c r="I10854" s="13" t="s">
        <v>21485</v>
      </c>
      <c r="J10854" s="14" t="str">
        <f>HYPERLINK("https://www.boe.es/gazeta/dias/1839/10/10/pdfs/GMD-1839-1796.pdf#page=2","Abrir facsímil")</f>
        <v>Abrir facsímil</v>
      </c>
      <c r="K10854" s="12" t="s">
        <v>65</v>
      </c>
    </row>
    <row r="10855" spans="1:11" ht="40.049999999999997" customHeight="1" x14ac:dyDescent="0.25">
      <c r="A10855" s="11" t="s">
        <v>21486</v>
      </c>
      <c r="B10855" s="11" t="s">
        <v>21486</v>
      </c>
      <c r="C10855" s="11" t="s">
        <v>17</v>
      </c>
      <c r="D10855" s="11" t="s">
        <v>18</v>
      </c>
      <c r="E10855" s="12" t="s">
        <v>1183</v>
      </c>
      <c r="F10855" s="12" t="s">
        <v>1184</v>
      </c>
      <c r="G10855" s="12" t="s">
        <v>46</v>
      </c>
      <c r="H10855" s="11" t="s">
        <v>63</v>
      </c>
      <c r="I10855" s="13" t="s">
        <v>21487</v>
      </c>
      <c r="J10855" s="14" t="str">
        <f>HYPERLINK("https://www.boe.es/gazeta/dias/1839/07/26/pdfs/GMD-1839-1715.pdf#page=3","Abrir facsímil")</f>
        <v>Abrir facsímil</v>
      </c>
      <c r="K10855" s="12" t="s">
        <v>65</v>
      </c>
    </row>
    <row r="10856" spans="1:11" ht="40.049999999999997" customHeight="1" x14ac:dyDescent="0.25">
      <c r="A10856" s="11" t="s">
        <v>21488</v>
      </c>
      <c r="B10856" s="11" t="s">
        <v>21489</v>
      </c>
      <c r="C10856" s="11" t="s">
        <v>101</v>
      </c>
      <c r="D10856" s="11" t="s">
        <v>102</v>
      </c>
      <c r="E10856" s="12" t="s">
        <v>998</v>
      </c>
      <c r="F10856" s="12" t="s">
        <v>999</v>
      </c>
      <c r="G10856" s="12" t="s">
        <v>21</v>
      </c>
      <c r="H10856" s="11" t="s">
        <v>63</v>
      </c>
      <c r="I10856" s="13" t="s">
        <v>21490</v>
      </c>
      <c r="J10856" s="14" t="str">
        <f>HYPERLINK("https://www.boe.es/gazeta/dias/1839/05/06/pdfs/GMD-1839-1633.pdf#page=4","Abrir facsímil")</f>
        <v>Abrir facsímil</v>
      </c>
      <c r="K10856" s="12" t="s">
        <v>65</v>
      </c>
    </row>
    <row r="10857" spans="1:11" ht="40.049999999999997" customHeight="1" x14ac:dyDescent="0.25">
      <c r="A10857" s="11" t="s">
        <v>21491</v>
      </c>
      <c r="B10857" s="11" t="s">
        <v>21491</v>
      </c>
      <c r="C10857" s="11" t="s">
        <v>17</v>
      </c>
      <c r="D10857" s="11" t="s">
        <v>18</v>
      </c>
      <c r="E10857" s="12" t="s">
        <v>1057</v>
      </c>
      <c r="F10857" s="12" t="s">
        <v>1058</v>
      </c>
      <c r="G10857" s="12" t="s">
        <v>40</v>
      </c>
      <c r="H10857" s="11" t="s">
        <v>63</v>
      </c>
      <c r="I10857" s="13" t="s">
        <v>21492</v>
      </c>
      <c r="J10857" s="14" t="str">
        <f>HYPERLINK("https://www.boe.es/gazeta/dias/1839/10/01/pdfs/GMD-1839-1787.pdf#page=2","Abrir facsímil")</f>
        <v>Abrir facsímil</v>
      </c>
      <c r="K10857" s="12" t="s">
        <v>65</v>
      </c>
    </row>
    <row r="10858" spans="1:11" ht="40.049999999999997" customHeight="1" x14ac:dyDescent="0.25">
      <c r="A10858" s="11" t="s">
        <v>21491</v>
      </c>
      <c r="B10858" s="11" t="s">
        <v>21491</v>
      </c>
      <c r="C10858" s="11" t="s">
        <v>17</v>
      </c>
      <c r="D10858" s="11" t="s">
        <v>18</v>
      </c>
      <c r="E10858" s="12" t="s">
        <v>513</v>
      </c>
      <c r="F10858" s="12" t="s">
        <v>514</v>
      </c>
      <c r="G10858" s="12" t="s">
        <v>29</v>
      </c>
      <c r="H10858" s="11" t="s">
        <v>63</v>
      </c>
      <c r="I10858" s="13" t="s">
        <v>21493</v>
      </c>
      <c r="J10858" s="14" t="str">
        <f>HYPERLINK("https://www.boe.es/gazeta/dias/1839/03/17/pdfs/GMD-1839-1583.pdf#page=1","Abrir facsímil")</f>
        <v>Abrir facsímil</v>
      </c>
      <c r="K10858" s="12" t="s">
        <v>65</v>
      </c>
    </row>
    <row r="10859" spans="1:11" ht="40.049999999999997" customHeight="1" x14ac:dyDescent="0.25">
      <c r="A10859" s="11" t="s">
        <v>21494</v>
      </c>
      <c r="B10859" s="11" t="s">
        <v>21495</v>
      </c>
      <c r="C10859" s="11" t="s">
        <v>101</v>
      </c>
      <c r="D10859" s="11" t="s">
        <v>102</v>
      </c>
      <c r="E10859" s="12" t="s">
        <v>892</v>
      </c>
      <c r="F10859" s="12" t="s">
        <v>893</v>
      </c>
      <c r="G10859" s="12" t="s">
        <v>40</v>
      </c>
      <c r="H10859" s="11" t="s">
        <v>63</v>
      </c>
      <c r="I10859" s="13" t="s">
        <v>21496</v>
      </c>
      <c r="J10859" s="14" t="str">
        <f>HYPERLINK("https://www.boe.es/gazeta/dias/1839/12/28/pdfs/GMD-1839-1875.pdf#page=2","Abrir facsímil")</f>
        <v>Abrir facsímil</v>
      </c>
      <c r="K10859" s="12" t="s">
        <v>65</v>
      </c>
    </row>
    <row r="10860" spans="1:11" ht="40.049999999999997" customHeight="1" x14ac:dyDescent="0.25">
      <c r="A10860" s="11" t="s">
        <v>21497</v>
      </c>
      <c r="B10860" s="11" t="s">
        <v>21497</v>
      </c>
      <c r="C10860" s="11" t="s">
        <v>17</v>
      </c>
      <c r="D10860" s="11" t="s">
        <v>18</v>
      </c>
      <c r="E10860" s="12" t="s">
        <v>606</v>
      </c>
      <c r="F10860" s="12" t="s">
        <v>607</v>
      </c>
      <c r="G10860" s="12" t="s">
        <v>40</v>
      </c>
      <c r="H10860" s="11" t="s">
        <v>63</v>
      </c>
      <c r="I10860" s="13" t="s">
        <v>21498</v>
      </c>
      <c r="J10860" s="14" t="str">
        <f>HYPERLINK("https://www.boe.es/gazeta/dias/1839/04/02/pdfs/GMD-1839-1599.pdf#page=2","Abrir facsímil")</f>
        <v>Abrir facsímil</v>
      </c>
      <c r="K10860" s="12" t="s">
        <v>65</v>
      </c>
    </row>
    <row r="10861" spans="1:11" ht="40.049999999999997" customHeight="1" x14ac:dyDescent="0.25">
      <c r="A10861" s="11" t="s">
        <v>21499</v>
      </c>
      <c r="B10861" s="11" t="s">
        <v>21499</v>
      </c>
      <c r="C10861" s="11" t="s">
        <v>101</v>
      </c>
      <c r="D10861" s="11" t="s">
        <v>102</v>
      </c>
      <c r="E10861" s="12" t="s">
        <v>1813</v>
      </c>
      <c r="F10861" s="12" t="s">
        <v>1814</v>
      </c>
      <c r="G10861" s="12" t="s">
        <v>40</v>
      </c>
      <c r="H10861" s="11" t="s">
        <v>63</v>
      </c>
      <c r="I10861" s="13" t="s">
        <v>21500</v>
      </c>
      <c r="J10861" s="14" t="str">
        <f>HYPERLINK("https://www.boe.es/gazeta/dias/1839/09/02/pdfs/GMD-1839-1754.pdf#page=2","Abrir facsímil")</f>
        <v>Abrir facsímil</v>
      </c>
      <c r="K10861" s="12" t="s">
        <v>65</v>
      </c>
    </row>
    <row r="10862" spans="1:11" ht="40.049999999999997" customHeight="1" x14ac:dyDescent="0.25">
      <c r="A10862" s="11" t="s">
        <v>21501</v>
      </c>
      <c r="B10862" s="11" t="s">
        <v>21502</v>
      </c>
      <c r="C10862" s="11" t="s">
        <v>17</v>
      </c>
      <c r="D10862" s="11" t="s">
        <v>18</v>
      </c>
      <c r="E10862" s="12" t="s">
        <v>1588</v>
      </c>
      <c r="F10862" s="12" t="s">
        <v>1589</v>
      </c>
      <c r="G10862" s="12" t="s">
        <v>21</v>
      </c>
      <c r="H10862" s="11" t="s">
        <v>63</v>
      </c>
      <c r="I10862" s="13" t="s">
        <v>21503</v>
      </c>
      <c r="J10862" s="14" t="str">
        <f>HYPERLINK("https://www.boe.es/gazeta/dias/1839/07/27/pdfs/GMD-1839-1716.pdf#page=4","Abrir facsímil")</f>
        <v>Abrir facsímil</v>
      </c>
      <c r="K10862" s="12" t="s">
        <v>65</v>
      </c>
    </row>
    <row r="10863" spans="1:11" ht="40.049999999999997" customHeight="1" x14ac:dyDescent="0.25">
      <c r="A10863" s="11" t="s">
        <v>21504</v>
      </c>
      <c r="B10863" s="11" t="s">
        <v>21504</v>
      </c>
      <c r="C10863" s="11" t="s">
        <v>17</v>
      </c>
      <c r="D10863" s="11" t="s">
        <v>18</v>
      </c>
      <c r="E10863" s="12" t="s">
        <v>736</v>
      </c>
      <c r="F10863" s="12" t="s">
        <v>737</v>
      </c>
      <c r="G10863" s="12" t="s">
        <v>21</v>
      </c>
      <c r="H10863" s="11" t="s">
        <v>63</v>
      </c>
      <c r="I10863" s="13" t="s">
        <v>21505</v>
      </c>
      <c r="J10863" s="14" t="str">
        <f>HYPERLINK("https://www.boe.es/gazeta/dias/1839/10/13/pdfs/GMD-1839-1799.pdf#page=4","Abrir facsímil")</f>
        <v>Abrir facsímil</v>
      </c>
      <c r="K10863" s="12" t="s">
        <v>65</v>
      </c>
    </row>
    <row r="10864" spans="1:11" ht="40.049999999999997" customHeight="1" x14ac:dyDescent="0.25">
      <c r="A10864" s="11" t="s">
        <v>21506</v>
      </c>
      <c r="B10864" s="11" t="s">
        <v>21507</v>
      </c>
      <c r="C10864" s="11" t="s">
        <v>101</v>
      </c>
      <c r="D10864" s="11" t="s">
        <v>43</v>
      </c>
      <c r="E10864" s="12" t="s">
        <v>736</v>
      </c>
      <c r="F10864" s="12" t="s">
        <v>737</v>
      </c>
      <c r="G10864" s="12" t="s">
        <v>21</v>
      </c>
      <c r="H10864" s="11" t="s">
        <v>63</v>
      </c>
      <c r="I10864" s="13" t="s">
        <v>21508</v>
      </c>
      <c r="J10864" s="14" t="str">
        <f>HYPERLINK("https://www.boe.es/gazeta/dias/1839/10/13/pdfs/GMD-1839-1799.pdf#page=4","Abrir facsímil")</f>
        <v>Abrir facsímil</v>
      </c>
      <c r="K10864" s="12" t="s">
        <v>65</v>
      </c>
    </row>
    <row r="10865" spans="1:11" ht="40.049999999999997" customHeight="1" x14ac:dyDescent="0.25">
      <c r="A10865" s="11" t="s">
        <v>21509</v>
      </c>
      <c r="B10865" s="11" t="s">
        <v>21510</v>
      </c>
      <c r="C10865" s="11" t="s">
        <v>59</v>
      </c>
      <c r="D10865" s="11" t="s">
        <v>60</v>
      </c>
      <c r="E10865" s="12" t="s">
        <v>555</v>
      </c>
      <c r="F10865" s="12" t="s">
        <v>556</v>
      </c>
      <c r="G10865" s="12" t="s">
        <v>29</v>
      </c>
      <c r="H10865" s="11" t="s">
        <v>63</v>
      </c>
      <c r="I10865" s="13" t="s">
        <v>21511</v>
      </c>
      <c r="J10865" s="14" t="str">
        <f>HYPERLINK("https://www.boe.es/gazeta/dias/1839/07/19/pdfs/GMD-1839-1707.pdf#page=1","Abrir facsímil")</f>
        <v>Abrir facsímil</v>
      </c>
      <c r="K10865" s="12" t="s">
        <v>65</v>
      </c>
    </row>
    <row r="10866" spans="1:11" ht="40.049999999999997" customHeight="1" x14ac:dyDescent="0.25">
      <c r="A10866" s="11" t="s">
        <v>21512</v>
      </c>
      <c r="B10866" s="11" t="s">
        <v>21512</v>
      </c>
      <c r="C10866" s="11" t="s">
        <v>17</v>
      </c>
      <c r="D10866" s="11" t="s">
        <v>18</v>
      </c>
      <c r="E10866" s="12" t="s">
        <v>4287</v>
      </c>
      <c r="F10866" s="12" t="s">
        <v>4288</v>
      </c>
      <c r="G10866" s="12" t="s">
        <v>21</v>
      </c>
      <c r="H10866" s="11" t="s">
        <v>63</v>
      </c>
      <c r="I10866" s="13" t="s">
        <v>21513</v>
      </c>
      <c r="J10866" s="14" t="str">
        <f>HYPERLINK("https://www.boe.es/gazeta/dias/1839/06/01/pdfs/GMD-1839-1659.pdf#page=4","Abrir facsímil")</f>
        <v>Abrir facsímil</v>
      </c>
      <c r="K10866" s="12" t="s">
        <v>65</v>
      </c>
    </row>
    <row r="10867" spans="1:11" ht="40.049999999999997" customHeight="1" x14ac:dyDescent="0.25">
      <c r="A10867" s="11" t="s">
        <v>21512</v>
      </c>
      <c r="B10867" s="11" t="s">
        <v>21512</v>
      </c>
      <c r="C10867" s="11" t="s">
        <v>80</v>
      </c>
      <c r="D10867" s="11" t="s">
        <v>18</v>
      </c>
      <c r="E10867" s="12" t="s">
        <v>1378</v>
      </c>
      <c r="F10867" s="12" t="s">
        <v>1379</v>
      </c>
      <c r="G10867" s="12" t="s">
        <v>21</v>
      </c>
      <c r="H10867" s="11" t="s">
        <v>63</v>
      </c>
      <c r="I10867" s="13" t="s">
        <v>21514</v>
      </c>
      <c r="J10867" s="14" t="str">
        <f>HYPERLINK("https://www.boe.es/gazeta/dias/1839/05/18/pdfs/GMD-1839-1645.pdf#page=4","Abrir facsímil")</f>
        <v>Abrir facsímil</v>
      </c>
      <c r="K10867" s="12" t="s">
        <v>65</v>
      </c>
    </row>
    <row r="10868" spans="1:11" ht="40.049999999999997" customHeight="1" x14ac:dyDescent="0.25">
      <c r="A10868" s="11" t="s">
        <v>21515</v>
      </c>
      <c r="B10868" s="11" t="s">
        <v>21515</v>
      </c>
      <c r="C10868" s="11" t="s">
        <v>17</v>
      </c>
      <c r="D10868" s="11" t="s">
        <v>18</v>
      </c>
      <c r="E10868" s="12" t="s">
        <v>262</v>
      </c>
      <c r="F10868" s="12" t="s">
        <v>263</v>
      </c>
      <c r="G10868" s="12" t="s">
        <v>29</v>
      </c>
      <c r="H10868" s="11" t="s">
        <v>63</v>
      </c>
      <c r="I10868" s="13" t="s">
        <v>21516</v>
      </c>
      <c r="J10868" s="14" t="str">
        <f>HYPERLINK("https://www.boe.es/gazeta/dias/1839/01/01/pdfs/GMD-1839-1508.pdf#page=1","Abrir facsímil")</f>
        <v>Abrir facsímil</v>
      </c>
      <c r="K10868" s="12" t="s">
        <v>65</v>
      </c>
    </row>
    <row r="10869" spans="1:11" ht="40.049999999999997" customHeight="1" x14ac:dyDescent="0.25">
      <c r="A10869" s="11" t="s">
        <v>21517</v>
      </c>
      <c r="B10869" s="11" t="s">
        <v>21517</v>
      </c>
      <c r="C10869" s="11" t="s">
        <v>137</v>
      </c>
      <c r="D10869" s="11" t="s">
        <v>18</v>
      </c>
      <c r="E10869" s="12" t="s">
        <v>779</v>
      </c>
      <c r="F10869" s="12" t="s">
        <v>780</v>
      </c>
      <c r="G10869" s="12" t="s">
        <v>40</v>
      </c>
      <c r="H10869" s="11" t="s">
        <v>22</v>
      </c>
      <c r="I10869" s="13" t="s">
        <v>21518</v>
      </c>
      <c r="J10869" s="14" t="str">
        <f>HYPERLINK("https://www.boe.es/gazeta/dias/1839/02/03/pdfs/GMD-1839-1541.pdf#page=2","Abrir facsímil")</f>
        <v>Abrir facsímil</v>
      </c>
      <c r="K10869" s="12" t="s">
        <v>24</v>
      </c>
    </row>
    <row r="10870" spans="1:11" ht="40.049999999999997" customHeight="1" x14ac:dyDescent="0.25">
      <c r="A10870" s="11" t="s">
        <v>21517</v>
      </c>
      <c r="B10870" s="11" t="s">
        <v>21517</v>
      </c>
      <c r="C10870" s="11" t="s">
        <v>80</v>
      </c>
      <c r="D10870" s="11" t="s">
        <v>18</v>
      </c>
      <c r="E10870" s="12" t="s">
        <v>192</v>
      </c>
      <c r="F10870" s="12" t="s">
        <v>193</v>
      </c>
      <c r="G10870" s="12" t="s">
        <v>46</v>
      </c>
      <c r="H10870" s="11" t="s">
        <v>22</v>
      </c>
      <c r="I10870" s="13" t="s">
        <v>21519</v>
      </c>
      <c r="J10870" s="14" t="str">
        <f>HYPERLINK("https://www.boe.es/gazeta/dias/1839/01/12/pdfs/GMD-1839-1519.pdf#page=3","Abrir facsímil")</f>
        <v>Abrir facsímil</v>
      </c>
      <c r="K10870" s="12" t="s">
        <v>24</v>
      </c>
    </row>
    <row r="10871" spans="1:11" ht="40.049999999999997" customHeight="1" x14ac:dyDescent="0.25">
      <c r="A10871" s="11" t="s">
        <v>21517</v>
      </c>
      <c r="B10871" s="11" t="s">
        <v>21517</v>
      </c>
      <c r="C10871" s="11" t="s">
        <v>80</v>
      </c>
      <c r="D10871" s="11" t="s">
        <v>18</v>
      </c>
      <c r="E10871" s="12" t="s">
        <v>2155</v>
      </c>
      <c r="F10871" s="12" t="s">
        <v>2156</v>
      </c>
      <c r="G10871" s="12" t="s">
        <v>21</v>
      </c>
      <c r="H10871" s="11" t="s">
        <v>22</v>
      </c>
      <c r="I10871" s="13" t="s">
        <v>21520</v>
      </c>
      <c r="J10871" s="14" t="str">
        <f>HYPERLINK("https://www.boe.es/gazeta/dias/1839/01/17/pdfs/GMD-1839-1524.pdf#page=4","Abrir facsímil")</f>
        <v>Abrir facsímil</v>
      </c>
      <c r="K10871" s="12" t="s">
        <v>24</v>
      </c>
    </row>
    <row r="10872" spans="1:11" ht="40.049999999999997" customHeight="1" x14ac:dyDescent="0.25">
      <c r="A10872" s="11" t="s">
        <v>21521</v>
      </c>
      <c r="B10872" s="11" t="s">
        <v>21522</v>
      </c>
      <c r="C10872" s="11" t="s">
        <v>17</v>
      </c>
      <c r="D10872" s="11" t="s">
        <v>18</v>
      </c>
      <c r="E10872" s="12" t="s">
        <v>262</v>
      </c>
      <c r="F10872" s="12" t="s">
        <v>263</v>
      </c>
      <c r="G10872" s="12" t="s">
        <v>29</v>
      </c>
      <c r="H10872" s="11" t="s">
        <v>63</v>
      </c>
      <c r="I10872" s="13" t="s">
        <v>21523</v>
      </c>
      <c r="J10872" s="14" t="str">
        <f>HYPERLINK("https://www.boe.es/gazeta/dias/1839/01/01/pdfs/GMD-1839-1508.pdf#page=1","Abrir facsímil")</f>
        <v>Abrir facsímil</v>
      </c>
      <c r="K10872" s="12" t="s">
        <v>65</v>
      </c>
    </row>
    <row r="10873" spans="1:11" ht="40.049999999999997" customHeight="1" x14ac:dyDescent="0.25">
      <c r="A10873" s="11" t="s">
        <v>21524</v>
      </c>
      <c r="B10873" s="11" t="s">
        <v>21525</v>
      </c>
      <c r="C10873" s="11" t="s">
        <v>80</v>
      </c>
      <c r="D10873" s="11" t="s">
        <v>18</v>
      </c>
      <c r="E10873" s="12" t="s">
        <v>798</v>
      </c>
      <c r="F10873" s="12" t="s">
        <v>799</v>
      </c>
      <c r="G10873" s="12" t="s">
        <v>21</v>
      </c>
      <c r="H10873" s="11" t="s">
        <v>63</v>
      </c>
      <c r="I10873" s="13" t="s">
        <v>21526</v>
      </c>
      <c r="J10873" s="14" t="str">
        <f>HYPERLINK("https://www.boe.es/gazeta/dias/1839/09/03/pdfs/GMD-1839-1755.pdf#page=4","Abrir facsímil")</f>
        <v>Abrir facsímil</v>
      </c>
      <c r="K10873" s="12" t="s">
        <v>65</v>
      </c>
    </row>
    <row r="10874" spans="1:11" ht="40.049999999999997" customHeight="1" x14ac:dyDescent="0.25">
      <c r="A10874" s="11" t="s">
        <v>21527</v>
      </c>
      <c r="B10874" s="11" t="s">
        <v>21528</v>
      </c>
      <c r="C10874" s="11" t="s">
        <v>17</v>
      </c>
      <c r="D10874" s="11" t="s">
        <v>18</v>
      </c>
      <c r="E10874" s="12" t="s">
        <v>690</v>
      </c>
      <c r="F10874" s="12" t="s">
        <v>691</v>
      </c>
      <c r="G10874" s="12" t="s">
        <v>46</v>
      </c>
      <c r="H10874" s="11" t="s">
        <v>63</v>
      </c>
      <c r="I10874" s="13" t="s">
        <v>21529</v>
      </c>
      <c r="J10874" s="14" t="str">
        <f>HYPERLINK("https://www.boe.es/gazeta/dias/1839/12/08/pdfs/GMD-1839-1855.pdf#page=3","Abrir facsímil")</f>
        <v>Abrir facsímil</v>
      </c>
      <c r="K10874" s="12" t="s">
        <v>65</v>
      </c>
    </row>
    <row r="10875" spans="1:11" ht="40.049999999999997" customHeight="1" x14ac:dyDescent="0.25">
      <c r="A10875" s="11" t="s">
        <v>21530</v>
      </c>
      <c r="B10875" s="11" t="s">
        <v>21530</v>
      </c>
      <c r="C10875" s="11" t="s">
        <v>17</v>
      </c>
      <c r="D10875" s="11" t="s">
        <v>18</v>
      </c>
      <c r="E10875" s="12" t="s">
        <v>2349</v>
      </c>
      <c r="F10875" s="12" t="s">
        <v>2350</v>
      </c>
      <c r="G10875" s="12" t="s">
        <v>40</v>
      </c>
      <c r="H10875" s="11" t="s">
        <v>63</v>
      </c>
      <c r="I10875" s="13" t="s">
        <v>21531</v>
      </c>
      <c r="J10875" s="14" t="str">
        <f>HYPERLINK("https://www.boe.es/gazeta/dias/1839/09/29/pdfs/GMD-1839-1785.pdf#page=2","Abrir facsímil")</f>
        <v>Abrir facsímil</v>
      </c>
      <c r="K10875" s="12" t="s">
        <v>65</v>
      </c>
    </row>
    <row r="10876" spans="1:11" ht="40.049999999999997" customHeight="1" x14ac:dyDescent="0.25">
      <c r="A10876" s="11" t="s">
        <v>21532</v>
      </c>
      <c r="B10876" s="11" t="s">
        <v>21532</v>
      </c>
      <c r="C10876" s="11" t="s">
        <v>137</v>
      </c>
      <c r="D10876" s="11" t="s">
        <v>18</v>
      </c>
      <c r="E10876" s="12" t="s">
        <v>809</v>
      </c>
      <c r="F10876" s="12" t="s">
        <v>810</v>
      </c>
      <c r="G10876" s="12" t="s">
        <v>21</v>
      </c>
      <c r="H10876" s="11" t="s">
        <v>63</v>
      </c>
      <c r="I10876" s="13" t="s">
        <v>21533</v>
      </c>
      <c r="J10876" s="14" t="str">
        <f>HYPERLINK("https://www.boe.es/gazeta/dias/1839/02/11/pdfs/GMD-1839-1549.pdf#page=4","Abrir facsímil")</f>
        <v>Abrir facsímil</v>
      </c>
      <c r="K10876" s="12" t="s">
        <v>65</v>
      </c>
    </row>
    <row r="10877" spans="1:11" ht="40.049999999999997" customHeight="1" x14ac:dyDescent="0.25">
      <c r="A10877" s="11" t="s">
        <v>21534</v>
      </c>
      <c r="B10877" s="11" t="s">
        <v>21535</v>
      </c>
      <c r="C10877" s="11" t="s">
        <v>17</v>
      </c>
      <c r="D10877" s="11" t="s">
        <v>18</v>
      </c>
      <c r="E10877" s="12" t="s">
        <v>998</v>
      </c>
      <c r="F10877" s="12" t="s">
        <v>999</v>
      </c>
      <c r="G10877" s="12" t="s">
        <v>29</v>
      </c>
      <c r="H10877" s="11" t="s">
        <v>63</v>
      </c>
      <c r="I10877" s="13" t="s">
        <v>21536</v>
      </c>
      <c r="J10877" s="14" t="str">
        <f>HYPERLINK("https://www.boe.es/gazeta/dias/1839/05/06/pdfs/GMD-1839-1633.pdf#page=1","Abrir facsímil")</f>
        <v>Abrir facsímil</v>
      </c>
      <c r="K10877" s="12" t="s">
        <v>65</v>
      </c>
    </row>
    <row r="10878" spans="1:11" ht="40.049999999999997" customHeight="1" x14ac:dyDescent="0.25">
      <c r="A10878" s="11" t="s">
        <v>21537</v>
      </c>
      <c r="B10878" s="11" t="s">
        <v>21538</v>
      </c>
      <c r="C10878" s="11" t="s">
        <v>137</v>
      </c>
      <c r="D10878" s="11" t="s">
        <v>18</v>
      </c>
      <c r="E10878" s="12" t="s">
        <v>132</v>
      </c>
      <c r="F10878" s="12" t="s">
        <v>133</v>
      </c>
      <c r="G10878" s="12" t="s">
        <v>21</v>
      </c>
      <c r="H10878" s="11" t="s">
        <v>63</v>
      </c>
      <c r="I10878" s="13" t="s">
        <v>21539</v>
      </c>
      <c r="J10878" s="14" t="str">
        <f>HYPERLINK("https://www.boe.es/gazeta/dias/1839/08/02/pdfs/GMD-1839-1722.pdf#page=4","Abrir facsímil")</f>
        <v>Abrir facsímil</v>
      </c>
      <c r="K10878" s="12" t="s">
        <v>65</v>
      </c>
    </row>
    <row r="10879" spans="1:11" ht="40.049999999999997" customHeight="1" x14ac:dyDescent="0.25">
      <c r="A10879" s="11" t="s">
        <v>21540</v>
      </c>
      <c r="B10879" s="11" t="s">
        <v>21541</v>
      </c>
      <c r="C10879" s="11" t="s">
        <v>80</v>
      </c>
      <c r="D10879" s="11" t="s">
        <v>18</v>
      </c>
      <c r="E10879" s="12" t="s">
        <v>2138</v>
      </c>
      <c r="F10879" s="12" t="s">
        <v>2139</v>
      </c>
      <c r="G10879" s="12" t="s">
        <v>305</v>
      </c>
      <c r="H10879" s="11" t="s">
        <v>63</v>
      </c>
      <c r="I10879" s="13" t="s">
        <v>21542</v>
      </c>
      <c r="J10879" s="14" t="str">
        <f>HYPERLINK("https://www.boe.es/gazeta/dias/1839/10/02/pdfs/GMD-1839-1788.pdf#page=6","Abrir facsímil")</f>
        <v>Abrir facsímil</v>
      </c>
      <c r="K10879" s="12" t="s">
        <v>65</v>
      </c>
    </row>
    <row r="10880" spans="1:11" ht="40.049999999999997" customHeight="1" x14ac:dyDescent="0.25">
      <c r="A10880" s="11" t="s">
        <v>21540</v>
      </c>
      <c r="B10880" s="11" t="s">
        <v>21541</v>
      </c>
      <c r="C10880" s="11" t="s">
        <v>17</v>
      </c>
      <c r="D10880" s="11" t="s">
        <v>18</v>
      </c>
      <c r="E10880" s="12" t="s">
        <v>507</v>
      </c>
      <c r="F10880" s="12" t="s">
        <v>508</v>
      </c>
      <c r="G10880" s="12" t="s">
        <v>21</v>
      </c>
      <c r="H10880" s="11" t="s">
        <v>63</v>
      </c>
      <c r="I10880" s="13" t="s">
        <v>21543</v>
      </c>
      <c r="J10880" s="14" t="str">
        <f>HYPERLINK("https://www.boe.es/gazeta/dias/1839/08/12/pdfs/GMD-1839-1732.pdf#page=4","Abrir facsímil")</f>
        <v>Abrir facsímil</v>
      </c>
      <c r="K10880" s="12" t="s">
        <v>65</v>
      </c>
    </row>
    <row r="10881" spans="1:11" ht="40.049999999999997" customHeight="1" x14ac:dyDescent="0.25">
      <c r="A10881" s="11" t="s">
        <v>21540</v>
      </c>
      <c r="B10881" s="11" t="s">
        <v>21541</v>
      </c>
      <c r="C10881" s="11" t="s">
        <v>101</v>
      </c>
      <c r="D10881" s="11" t="s">
        <v>102</v>
      </c>
      <c r="E10881" s="12" t="s">
        <v>756</v>
      </c>
      <c r="F10881" s="12" t="s">
        <v>757</v>
      </c>
      <c r="G10881" s="12" t="s">
        <v>21</v>
      </c>
      <c r="H10881" s="11" t="s">
        <v>63</v>
      </c>
      <c r="I10881" s="13" t="s">
        <v>21544</v>
      </c>
      <c r="J10881" s="14" t="str">
        <f>HYPERLINK("https://www.boe.es/gazeta/dias/1839/12/17/pdfs/GMD-1839-1864.pdf#page=4","Abrir facsímil")</f>
        <v>Abrir facsímil</v>
      </c>
      <c r="K10881" s="12" t="s">
        <v>65</v>
      </c>
    </row>
    <row r="10882" spans="1:11" ht="40.049999999999997" customHeight="1" x14ac:dyDescent="0.25">
      <c r="A10882" s="11" t="s">
        <v>21540</v>
      </c>
      <c r="B10882" s="11" t="s">
        <v>21541</v>
      </c>
      <c r="C10882" s="11" t="s">
        <v>17</v>
      </c>
      <c r="D10882" s="11" t="s">
        <v>18</v>
      </c>
      <c r="E10882" s="12" t="s">
        <v>844</v>
      </c>
      <c r="F10882" s="12" t="s">
        <v>845</v>
      </c>
      <c r="G10882" s="12" t="s">
        <v>21</v>
      </c>
      <c r="H10882" s="11" t="s">
        <v>63</v>
      </c>
      <c r="I10882" s="13" t="s">
        <v>21545</v>
      </c>
      <c r="J10882" s="14" t="str">
        <f>HYPERLINK("https://www.boe.es/gazeta/dias/1839/12/24/pdfs/GMD-1839-1871.pdf#page=4","Abrir facsímil")</f>
        <v>Abrir facsímil</v>
      </c>
      <c r="K10882" s="12" t="s">
        <v>65</v>
      </c>
    </row>
    <row r="10883" spans="1:11" ht="40.049999999999997" customHeight="1" x14ac:dyDescent="0.25">
      <c r="A10883" s="11" t="s">
        <v>21546</v>
      </c>
      <c r="B10883" s="11" t="s">
        <v>21546</v>
      </c>
      <c r="C10883" s="11" t="s">
        <v>17</v>
      </c>
      <c r="D10883" s="11" t="s">
        <v>18</v>
      </c>
      <c r="E10883" s="12" t="s">
        <v>2349</v>
      </c>
      <c r="F10883" s="12" t="s">
        <v>2350</v>
      </c>
      <c r="G10883" s="12" t="s">
        <v>40</v>
      </c>
      <c r="H10883" s="11" t="s">
        <v>63</v>
      </c>
      <c r="I10883" s="13" t="s">
        <v>21547</v>
      </c>
      <c r="J10883" s="14" t="str">
        <f>HYPERLINK("https://www.boe.es/gazeta/dias/1839/09/29/pdfs/GMD-1839-1785.pdf#page=2","Abrir facsímil")</f>
        <v>Abrir facsímil</v>
      </c>
      <c r="K10883" s="12" t="s">
        <v>65</v>
      </c>
    </row>
    <row r="10884" spans="1:11" ht="40.049999999999997" customHeight="1" x14ac:dyDescent="0.25">
      <c r="A10884" s="11" t="s">
        <v>21548</v>
      </c>
      <c r="B10884" s="11" t="s">
        <v>21549</v>
      </c>
      <c r="C10884" s="11" t="s">
        <v>101</v>
      </c>
      <c r="D10884" s="11" t="s">
        <v>43</v>
      </c>
      <c r="E10884" s="12" t="s">
        <v>1520</v>
      </c>
      <c r="F10884" s="12" t="s">
        <v>1521</v>
      </c>
      <c r="G10884" s="12" t="s">
        <v>29</v>
      </c>
      <c r="H10884" s="11" t="s">
        <v>63</v>
      </c>
      <c r="I10884" s="13" t="s">
        <v>21550</v>
      </c>
      <c r="J10884" s="14" t="str">
        <f>HYPERLINK("https://www.boe.es/gazeta/dias/1839/12/27/pdfs/GMD-1839-1874.pdf#page=1","Abrir facsímil")</f>
        <v>Abrir facsímil</v>
      </c>
      <c r="K10884" s="12" t="s">
        <v>65</v>
      </c>
    </row>
    <row r="10885" spans="1:11" ht="40.049999999999997" customHeight="1" x14ac:dyDescent="0.25">
      <c r="A10885" s="11" t="s">
        <v>21551</v>
      </c>
      <c r="B10885" s="11" t="s">
        <v>21552</v>
      </c>
      <c r="C10885" s="11" t="s">
        <v>17</v>
      </c>
      <c r="D10885" s="11" t="s">
        <v>18</v>
      </c>
      <c r="E10885" s="12" t="s">
        <v>1366</v>
      </c>
      <c r="F10885" s="12" t="s">
        <v>1367</v>
      </c>
      <c r="G10885" s="12" t="s">
        <v>46</v>
      </c>
      <c r="H10885" s="11" t="s">
        <v>63</v>
      </c>
      <c r="I10885" s="13" t="s">
        <v>21553</v>
      </c>
      <c r="J10885" s="14" t="str">
        <f>HYPERLINK("https://www.boe.es/gazeta/dias/1839/09/09/pdfs/GMD-1839-1762.pdf#page=3","Abrir facsímil")</f>
        <v>Abrir facsímil</v>
      </c>
      <c r="K10885" s="12" t="s">
        <v>65</v>
      </c>
    </row>
    <row r="10886" spans="1:11" ht="40.049999999999997" customHeight="1" x14ac:dyDescent="0.25">
      <c r="A10886" s="11" t="s">
        <v>21554</v>
      </c>
      <c r="B10886" s="11" t="s">
        <v>21555</v>
      </c>
      <c r="C10886" s="11" t="s">
        <v>17</v>
      </c>
      <c r="D10886" s="11" t="s">
        <v>18</v>
      </c>
      <c r="E10886" s="12" t="s">
        <v>1183</v>
      </c>
      <c r="F10886" s="12" t="s">
        <v>1184</v>
      </c>
      <c r="G10886" s="12" t="s">
        <v>21</v>
      </c>
      <c r="H10886" s="11" t="s">
        <v>63</v>
      </c>
      <c r="I10886" s="13" t="s">
        <v>21556</v>
      </c>
      <c r="J10886" s="14" t="str">
        <f>HYPERLINK("https://www.boe.es/gazeta/dias/1839/07/26/pdfs/GMD-1839-1715.pdf#page=4","Abrir facsímil")</f>
        <v>Abrir facsímil</v>
      </c>
      <c r="K10886" s="12" t="s">
        <v>65</v>
      </c>
    </row>
    <row r="10887" spans="1:11" ht="40.049999999999997" customHeight="1" x14ac:dyDescent="0.25">
      <c r="A10887" s="11" t="s">
        <v>21557</v>
      </c>
      <c r="B10887" s="11" t="s">
        <v>21558</v>
      </c>
      <c r="C10887" s="11" t="s">
        <v>59</v>
      </c>
      <c r="D10887" s="11" t="s">
        <v>60</v>
      </c>
      <c r="E10887" s="12" t="s">
        <v>870</v>
      </c>
      <c r="F10887" s="12" t="s">
        <v>871</v>
      </c>
      <c r="G10887" s="12" t="s">
        <v>21</v>
      </c>
      <c r="H10887" s="11" t="s">
        <v>63</v>
      </c>
      <c r="I10887" s="13" t="s">
        <v>21559</v>
      </c>
      <c r="J10887" s="14" t="str">
        <f>HYPERLINK("https://www.boe.es/gazeta/dias/1839/04/18/pdfs/GMD-1839-1615.pdf#page=4","Abrir facsímil")</f>
        <v>Abrir facsímil</v>
      </c>
      <c r="K10887" s="12" t="s">
        <v>65</v>
      </c>
    </row>
    <row r="10888" spans="1:11" ht="40.049999999999997" customHeight="1" x14ac:dyDescent="0.25">
      <c r="A10888" s="11" t="s">
        <v>21560</v>
      </c>
      <c r="B10888" s="11" t="s">
        <v>21561</v>
      </c>
      <c r="C10888" s="11" t="s">
        <v>17</v>
      </c>
      <c r="D10888" s="11" t="s">
        <v>18</v>
      </c>
      <c r="E10888" s="12" t="s">
        <v>2435</v>
      </c>
      <c r="F10888" s="12" t="s">
        <v>2436</v>
      </c>
      <c r="G10888" s="12" t="s">
        <v>21</v>
      </c>
      <c r="H10888" s="11" t="s">
        <v>22</v>
      </c>
      <c r="I10888" s="13" t="s">
        <v>21562</v>
      </c>
      <c r="J10888" s="14" t="str">
        <f>HYPERLINK("https://www.boe.es/gazeta/dias/1839/07/24/pdfs/GMD-1839-1713.pdf#page=4","Abrir facsímil")</f>
        <v>Abrir facsímil</v>
      </c>
      <c r="K10888" s="12" t="s">
        <v>24</v>
      </c>
    </row>
    <row r="10889" spans="1:11" ht="40.049999999999997" customHeight="1" x14ac:dyDescent="0.25">
      <c r="A10889" s="11" t="s">
        <v>21563</v>
      </c>
      <c r="B10889" s="11" t="s">
        <v>21563</v>
      </c>
      <c r="C10889" s="11" t="s">
        <v>17</v>
      </c>
      <c r="D10889" s="11" t="s">
        <v>18</v>
      </c>
      <c r="E10889" s="12" t="s">
        <v>500</v>
      </c>
      <c r="F10889" s="12" t="s">
        <v>501</v>
      </c>
      <c r="G10889" s="12" t="s">
        <v>21</v>
      </c>
      <c r="H10889" s="11" t="s">
        <v>63</v>
      </c>
      <c r="I10889" s="13" t="s">
        <v>21564</v>
      </c>
      <c r="J10889" s="14" t="str">
        <f>HYPERLINK("https://www.boe.es/gazeta/dias/1839/11/06/pdfs/GMD-1839-1823.pdf#page=4","Abrir facsímil")</f>
        <v>Abrir facsímil</v>
      </c>
      <c r="K10889" s="12" t="s">
        <v>65</v>
      </c>
    </row>
    <row r="10890" spans="1:11" ht="40.049999999999997" customHeight="1" x14ac:dyDescent="0.25">
      <c r="A10890" s="11" t="s">
        <v>21565</v>
      </c>
      <c r="B10890" s="11" t="s">
        <v>21565</v>
      </c>
      <c r="C10890" s="11" t="s">
        <v>137</v>
      </c>
      <c r="D10890" s="11" t="s">
        <v>18</v>
      </c>
      <c r="E10890" s="12" t="s">
        <v>448</v>
      </c>
      <c r="F10890" s="12" t="s">
        <v>449</v>
      </c>
      <c r="G10890" s="12" t="s">
        <v>46</v>
      </c>
      <c r="H10890" s="11" t="s">
        <v>63</v>
      </c>
      <c r="I10890" s="13" t="s">
        <v>21566</v>
      </c>
      <c r="J10890" s="14" t="str">
        <f>HYPERLINK("https://www.boe.es/gazeta/dias/1839/02/06/pdfs/GMD-1839-1544.pdf#page=3","Abrir facsímil")</f>
        <v>Abrir facsímil</v>
      </c>
      <c r="K10890" s="12" t="s">
        <v>65</v>
      </c>
    </row>
    <row r="10891" spans="1:11" ht="40.049999999999997" customHeight="1" x14ac:dyDescent="0.25">
      <c r="A10891" s="11" t="s">
        <v>21567</v>
      </c>
      <c r="B10891" s="11" t="s">
        <v>21567</v>
      </c>
      <c r="C10891" s="11" t="s">
        <v>101</v>
      </c>
      <c r="D10891" s="11" t="s">
        <v>102</v>
      </c>
      <c r="E10891" s="12" t="s">
        <v>3236</v>
      </c>
      <c r="F10891" s="12" t="s">
        <v>3237</v>
      </c>
      <c r="G10891" s="12" t="s">
        <v>29</v>
      </c>
      <c r="H10891" s="11" t="s">
        <v>63</v>
      </c>
      <c r="I10891" s="13" t="s">
        <v>21568</v>
      </c>
      <c r="J10891" s="14" t="str">
        <f>HYPERLINK("https://www.boe.es/gazeta/dias/1839/12/03/pdfs/GMD-1839-1850.pdf#page=1","Abrir facsímil")</f>
        <v>Abrir facsímil</v>
      </c>
      <c r="K10891" s="12" t="s">
        <v>65</v>
      </c>
    </row>
    <row r="10892" spans="1:11" ht="40.049999999999997" customHeight="1" x14ac:dyDescent="0.25">
      <c r="A10892" s="11" t="s">
        <v>21567</v>
      </c>
      <c r="B10892" s="11" t="s">
        <v>21567</v>
      </c>
      <c r="C10892" s="11" t="s">
        <v>59</v>
      </c>
      <c r="D10892" s="11" t="s">
        <v>60</v>
      </c>
      <c r="E10892" s="12" t="s">
        <v>291</v>
      </c>
      <c r="F10892" s="12" t="s">
        <v>292</v>
      </c>
      <c r="G10892" s="12" t="s">
        <v>29</v>
      </c>
      <c r="H10892" s="11" t="s">
        <v>63</v>
      </c>
      <c r="I10892" s="13" t="s">
        <v>21569</v>
      </c>
      <c r="J10892" s="14" t="str">
        <f>HYPERLINK("https://www.boe.es/gazeta/dias/1839/09/04/pdfs/GMD-1839-1757.pdf#page=1","Abrir facsímil")</f>
        <v>Abrir facsímil</v>
      </c>
      <c r="K10892" s="12" t="s">
        <v>65</v>
      </c>
    </row>
    <row r="10893" spans="1:11" ht="40.049999999999997" customHeight="1" x14ac:dyDescent="0.25">
      <c r="A10893" s="11" t="s">
        <v>21567</v>
      </c>
      <c r="B10893" s="11" t="s">
        <v>21567</v>
      </c>
      <c r="C10893" s="11" t="s">
        <v>59</v>
      </c>
      <c r="D10893" s="11" t="s">
        <v>60</v>
      </c>
      <c r="E10893" s="12" t="s">
        <v>2374</v>
      </c>
      <c r="F10893" s="12" t="s">
        <v>2375</v>
      </c>
      <c r="G10893" s="12" t="s">
        <v>40</v>
      </c>
      <c r="H10893" s="11" t="s">
        <v>63</v>
      </c>
      <c r="I10893" s="13" t="s">
        <v>21570</v>
      </c>
      <c r="J10893" s="14" t="str">
        <f>HYPERLINK("https://www.boe.es/gazeta/dias/1839/06/14/pdfs/GMD-1839-1672.pdf#page=2","Abrir facsímil")</f>
        <v>Abrir facsímil</v>
      </c>
      <c r="K10893" s="12" t="s">
        <v>65</v>
      </c>
    </row>
    <row r="10894" spans="1:11" ht="40.049999999999997" customHeight="1" x14ac:dyDescent="0.25">
      <c r="A10894" s="11" t="s">
        <v>21571</v>
      </c>
      <c r="B10894" s="11" t="s">
        <v>21571</v>
      </c>
      <c r="C10894" s="11" t="s">
        <v>59</v>
      </c>
      <c r="D10894" s="11" t="s">
        <v>60</v>
      </c>
      <c r="E10894" s="12" t="s">
        <v>2738</v>
      </c>
      <c r="F10894" s="12" t="s">
        <v>2739</v>
      </c>
      <c r="G10894" s="12" t="s">
        <v>29</v>
      </c>
      <c r="H10894" s="11" t="s">
        <v>63</v>
      </c>
      <c r="I10894" s="13" t="s">
        <v>21572</v>
      </c>
      <c r="J10894" s="14" t="str">
        <f>HYPERLINK("https://www.boe.es/gazeta/dias/1839/09/06/pdfs/GMD-1839-1759.pdf#page=1","Abrir facsímil")</f>
        <v>Abrir facsímil</v>
      </c>
      <c r="K10894" s="12" t="s">
        <v>65</v>
      </c>
    </row>
    <row r="10895" spans="1:11" ht="40.049999999999997" customHeight="1" x14ac:dyDescent="0.25">
      <c r="A10895" s="11" t="s">
        <v>21573</v>
      </c>
      <c r="B10895" s="11" t="s">
        <v>21574</v>
      </c>
      <c r="C10895" s="11" t="s">
        <v>17</v>
      </c>
      <c r="D10895" s="11" t="s">
        <v>18</v>
      </c>
      <c r="E10895" s="12" t="s">
        <v>736</v>
      </c>
      <c r="F10895" s="12" t="s">
        <v>737</v>
      </c>
      <c r="G10895" s="12" t="s">
        <v>21</v>
      </c>
      <c r="H10895" s="11" t="s">
        <v>63</v>
      </c>
      <c r="I10895" s="13" t="s">
        <v>21575</v>
      </c>
      <c r="J10895" s="14" t="str">
        <f>HYPERLINK("https://www.boe.es/gazeta/dias/1839/10/13/pdfs/GMD-1839-1799.pdf#page=4","Abrir facsímil")</f>
        <v>Abrir facsímil</v>
      </c>
      <c r="K10895" s="12" t="s">
        <v>65</v>
      </c>
    </row>
    <row r="10896" spans="1:11" ht="40.049999999999997" customHeight="1" x14ac:dyDescent="0.25">
      <c r="A10896" s="11" t="s">
        <v>21576</v>
      </c>
      <c r="B10896" s="11" t="s">
        <v>21577</v>
      </c>
      <c r="C10896" s="11" t="s">
        <v>101</v>
      </c>
      <c r="D10896" s="11" t="s">
        <v>102</v>
      </c>
      <c r="E10896" s="12" t="s">
        <v>582</v>
      </c>
      <c r="F10896" s="12" t="s">
        <v>583</v>
      </c>
      <c r="G10896" s="12" t="s">
        <v>40</v>
      </c>
      <c r="H10896" s="11" t="s">
        <v>22</v>
      </c>
      <c r="I10896" s="13" t="s">
        <v>21578</v>
      </c>
      <c r="J10896" s="14" t="str">
        <f>HYPERLINK("https://www.boe.es/gazeta/dias/1839/11/09/pdfs/GMD-1839-1826.pdf#page=2","Abrir facsímil")</f>
        <v>Abrir facsímil</v>
      </c>
      <c r="K10896" s="12" t="s">
        <v>24</v>
      </c>
    </row>
    <row r="10897" spans="1:11" ht="40.049999999999997" customHeight="1" x14ac:dyDescent="0.25">
      <c r="A10897" s="11" t="s">
        <v>21579</v>
      </c>
      <c r="B10897" s="11" t="s">
        <v>21580</v>
      </c>
      <c r="C10897" s="11" t="s">
        <v>17</v>
      </c>
      <c r="D10897" s="11" t="s">
        <v>18</v>
      </c>
      <c r="E10897" s="12" t="s">
        <v>834</v>
      </c>
      <c r="F10897" s="12" t="s">
        <v>835</v>
      </c>
      <c r="G10897" s="12" t="s">
        <v>40</v>
      </c>
      <c r="H10897" s="11" t="s">
        <v>63</v>
      </c>
      <c r="I10897" s="13" t="s">
        <v>21581</v>
      </c>
      <c r="J10897" s="14" t="str">
        <f>HYPERLINK("https://www.boe.es/gazeta/dias/1839/08/17/pdfs/GMD-1839-1737.pdf#page=2","Abrir facsímil")</f>
        <v>Abrir facsímil</v>
      </c>
      <c r="K10897" s="12" t="s">
        <v>65</v>
      </c>
    </row>
    <row r="10898" spans="1:11" ht="40.049999999999997" customHeight="1" x14ac:dyDescent="0.25">
      <c r="A10898" s="11" t="s">
        <v>21582</v>
      </c>
      <c r="B10898" s="11" t="s">
        <v>21583</v>
      </c>
      <c r="C10898" s="11" t="s">
        <v>17</v>
      </c>
      <c r="D10898" s="11" t="s">
        <v>18</v>
      </c>
      <c r="E10898" s="12" t="s">
        <v>1057</v>
      </c>
      <c r="F10898" s="12" t="s">
        <v>1058</v>
      </c>
      <c r="G10898" s="12" t="s">
        <v>566</v>
      </c>
      <c r="H10898" s="11" t="s">
        <v>63</v>
      </c>
      <c r="I10898" s="13" t="s">
        <v>21584</v>
      </c>
      <c r="J10898" s="14" t="str">
        <f>HYPERLINK("https://www.boe.es/gazeta/dias/1839/10/01/pdfs/GMD-1839-1787.pdf#page=5","Abrir facsímil")</f>
        <v>Abrir facsímil</v>
      </c>
      <c r="K10898" s="12" t="s">
        <v>65</v>
      </c>
    </row>
    <row r="10899" spans="1:11" ht="40.049999999999997" customHeight="1" x14ac:dyDescent="0.25">
      <c r="A10899" s="11" t="s">
        <v>21585</v>
      </c>
      <c r="B10899" s="11" t="s">
        <v>21585</v>
      </c>
      <c r="C10899" s="11" t="s">
        <v>137</v>
      </c>
      <c r="D10899" s="11" t="s">
        <v>18</v>
      </c>
      <c r="E10899" s="12" t="s">
        <v>1057</v>
      </c>
      <c r="F10899" s="12" t="s">
        <v>1058</v>
      </c>
      <c r="G10899" s="12" t="s">
        <v>40</v>
      </c>
      <c r="H10899" s="11" t="s">
        <v>63</v>
      </c>
      <c r="I10899" s="13" t="s">
        <v>21586</v>
      </c>
      <c r="J10899" s="14" t="str">
        <f>HYPERLINK("https://www.boe.es/gazeta/dias/1839/10/01/pdfs/GMD-1839-1787.pdf#page=2","Abrir facsímil")</f>
        <v>Abrir facsímil</v>
      </c>
      <c r="K10899" s="12" t="s">
        <v>65</v>
      </c>
    </row>
    <row r="10900" spans="1:11" ht="40.049999999999997" customHeight="1" x14ac:dyDescent="0.25">
      <c r="A10900" s="11" t="s">
        <v>21585</v>
      </c>
      <c r="B10900" s="11" t="s">
        <v>21585</v>
      </c>
      <c r="C10900" s="11" t="s">
        <v>137</v>
      </c>
      <c r="D10900" s="11" t="s">
        <v>18</v>
      </c>
      <c r="E10900" s="12" t="s">
        <v>798</v>
      </c>
      <c r="F10900" s="12" t="s">
        <v>799</v>
      </c>
      <c r="G10900" s="12" t="s">
        <v>29</v>
      </c>
      <c r="H10900" s="11" t="s">
        <v>63</v>
      </c>
      <c r="I10900" s="13" t="s">
        <v>21587</v>
      </c>
      <c r="J10900" s="14" t="str">
        <f>HYPERLINK("https://www.boe.es/gazeta/dias/1839/09/03/pdfs/GMD-1839-1755.pdf#page=1","Abrir facsímil")</f>
        <v>Abrir facsímil</v>
      </c>
      <c r="K10900" s="12" t="s">
        <v>65</v>
      </c>
    </row>
    <row r="10901" spans="1:11" ht="40.049999999999997" customHeight="1" x14ac:dyDescent="0.25">
      <c r="A10901" s="11" t="s">
        <v>21588</v>
      </c>
      <c r="B10901" s="11" t="s">
        <v>21588</v>
      </c>
      <c r="C10901" s="11" t="s">
        <v>80</v>
      </c>
      <c r="D10901" s="11" t="s">
        <v>173</v>
      </c>
      <c r="E10901" s="12" t="s">
        <v>453</v>
      </c>
      <c r="F10901" s="12" t="s">
        <v>454</v>
      </c>
      <c r="G10901" s="12" t="s">
        <v>29</v>
      </c>
      <c r="H10901" s="11" t="s">
        <v>22</v>
      </c>
      <c r="I10901" s="13" t="s">
        <v>21589</v>
      </c>
      <c r="J10901" s="14" t="str">
        <f>HYPERLINK("https://www.boe.es/gazeta/dias/1839/02/07/pdfs/GMD-1839-1545.pdf#page=1","Abrir facsímil")</f>
        <v>Abrir facsímil</v>
      </c>
      <c r="K10901" s="12" t="s">
        <v>24</v>
      </c>
    </row>
    <row r="10902" spans="1:11" ht="40.049999999999997" customHeight="1" x14ac:dyDescent="0.25">
      <c r="A10902" s="11" t="s">
        <v>21585</v>
      </c>
      <c r="B10902" s="11" t="s">
        <v>21585</v>
      </c>
      <c r="C10902" s="11" t="s">
        <v>17</v>
      </c>
      <c r="D10902" s="11" t="s">
        <v>18</v>
      </c>
      <c r="E10902" s="12" t="s">
        <v>2222</v>
      </c>
      <c r="F10902" s="12" t="s">
        <v>2223</v>
      </c>
      <c r="G10902" s="12" t="s">
        <v>40</v>
      </c>
      <c r="H10902" s="11" t="s">
        <v>63</v>
      </c>
      <c r="I10902" s="13" t="s">
        <v>21590</v>
      </c>
      <c r="J10902" s="14" t="str">
        <f>HYPERLINK("https://www.boe.es/gazeta/dias/1839/09/19/pdfs/GMD-1839-1773.pdf#page=2","Abrir facsímil")</f>
        <v>Abrir facsímil</v>
      </c>
      <c r="K10902" s="12" t="s">
        <v>65</v>
      </c>
    </row>
    <row r="10903" spans="1:11" ht="40.049999999999997" customHeight="1" x14ac:dyDescent="0.25">
      <c r="A10903" s="11" t="s">
        <v>21588</v>
      </c>
      <c r="B10903" s="11" t="s">
        <v>21588</v>
      </c>
      <c r="C10903" s="11" t="s">
        <v>17</v>
      </c>
      <c r="D10903" s="11" t="s">
        <v>18</v>
      </c>
      <c r="E10903" s="12" t="s">
        <v>1076</v>
      </c>
      <c r="F10903" s="12" t="s">
        <v>1077</v>
      </c>
      <c r="G10903" s="12" t="s">
        <v>40</v>
      </c>
      <c r="H10903" s="11" t="s">
        <v>22</v>
      </c>
      <c r="I10903" s="13" t="s">
        <v>21591</v>
      </c>
      <c r="J10903" s="14" t="str">
        <f>HYPERLINK("https://www.boe.es/gazeta/dias/1839/10/19/pdfs/GMD-1839-1805.pdf#page=2","Abrir facsímil")</f>
        <v>Abrir facsímil</v>
      </c>
      <c r="K10903" s="12" t="s">
        <v>24</v>
      </c>
    </row>
    <row r="10904" spans="1:11" ht="40.049999999999997" customHeight="1" x14ac:dyDescent="0.25">
      <c r="A10904" s="11" t="s">
        <v>21588</v>
      </c>
      <c r="B10904" s="11" t="s">
        <v>21588</v>
      </c>
      <c r="C10904" s="11" t="s">
        <v>59</v>
      </c>
      <c r="D10904" s="11" t="s">
        <v>60</v>
      </c>
      <c r="E10904" s="12" t="s">
        <v>1108</v>
      </c>
      <c r="F10904" s="12" t="s">
        <v>1109</v>
      </c>
      <c r="G10904" s="12" t="s">
        <v>40</v>
      </c>
      <c r="H10904" s="11" t="s">
        <v>22</v>
      </c>
      <c r="I10904" s="13" t="s">
        <v>21592</v>
      </c>
      <c r="J10904" s="14" t="str">
        <f>HYPERLINK("https://www.boe.es/gazeta/dias/1839/09/21/pdfs/GMD-1839-1776.pdf#page=2","Abrir facsímil")</f>
        <v>Abrir facsímil</v>
      </c>
      <c r="K10904" s="12" t="s">
        <v>24</v>
      </c>
    </row>
    <row r="10905" spans="1:11" ht="40.049999999999997" customHeight="1" x14ac:dyDescent="0.25">
      <c r="A10905" s="11" t="s">
        <v>21593</v>
      </c>
      <c r="B10905" s="11" t="s">
        <v>21594</v>
      </c>
      <c r="C10905" s="11" t="s">
        <v>17</v>
      </c>
      <c r="D10905" s="11" t="s">
        <v>18</v>
      </c>
      <c r="E10905" s="12" t="s">
        <v>163</v>
      </c>
      <c r="F10905" s="12" t="s">
        <v>164</v>
      </c>
      <c r="G10905" s="12" t="s">
        <v>40</v>
      </c>
      <c r="H10905" s="11" t="s">
        <v>63</v>
      </c>
      <c r="I10905" s="13" t="s">
        <v>21595</v>
      </c>
      <c r="J10905" s="14" t="str">
        <f>HYPERLINK("https://www.boe.es/gazeta/dias/1839/01/13/pdfs/GMD-1839-1520.pdf#page=2","Abrir facsímil")</f>
        <v>Abrir facsímil</v>
      </c>
      <c r="K10905" s="12" t="s">
        <v>65</v>
      </c>
    </row>
    <row r="10906" spans="1:11" ht="40.049999999999997" customHeight="1" x14ac:dyDescent="0.25">
      <c r="A10906" s="11" t="s">
        <v>21596</v>
      </c>
      <c r="B10906" s="11" t="s">
        <v>21597</v>
      </c>
      <c r="C10906" s="11" t="s">
        <v>17</v>
      </c>
      <c r="D10906" s="11" t="s">
        <v>18</v>
      </c>
      <c r="E10906" s="12" t="s">
        <v>1012</v>
      </c>
      <c r="F10906" s="12" t="s">
        <v>1013</v>
      </c>
      <c r="G10906" s="12" t="s">
        <v>46</v>
      </c>
      <c r="H10906" s="11" t="s">
        <v>63</v>
      </c>
      <c r="I10906" s="13" t="s">
        <v>21598</v>
      </c>
      <c r="J10906" s="14" t="str">
        <f>HYPERLINK("https://www.boe.es/gazeta/dias/1839/11/22/pdfs/GMD-1839-1839.pdf#page=3","Abrir facsímil")</f>
        <v>Abrir facsímil</v>
      </c>
      <c r="K10906" s="12" t="s">
        <v>65</v>
      </c>
    </row>
    <row r="10907" spans="1:11" ht="40.049999999999997" customHeight="1" x14ac:dyDescent="0.25">
      <c r="A10907" s="11" t="s">
        <v>21599</v>
      </c>
      <c r="B10907" s="11" t="s">
        <v>21599</v>
      </c>
      <c r="C10907" s="11" t="s">
        <v>80</v>
      </c>
      <c r="D10907" s="11" t="s">
        <v>18</v>
      </c>
      <c r="E10907" s="12" t="s">
        <v>1108</v>
      </c>
      <c r="F10907" s="12" t="s">
        <v>1109</v>
      </c>
      <c r="G10907" s="12" t="s">
        <v>40</v>
      </c>
      <c r="H10907" s="11" t="s">
        <v>63</v>
      </c>
      <c r="I10907" s="13" t="s">
        <v>21600</v>
      </c>
      <c r="J10907" s="14" t="str">
        <f>HYPERLINK("https://www.boe.es/gazeta/dias/1839/09/21/pdfs/GMD-1839-1776.pdf#page=2","Abrir facsímil")</f>
        <v>Abrir facsímil</v>
      </c>
      <c r="K10907" s="12" t="s">
        <v>65</v>
      </c>
    </row>
    <row r="10908" spans="1:11" ht="40.049999999999997" customHeight="1" x14ac:dyDescent="0.25">
      <c r="A10908" s="11" t="s">
        <v>21601</v>
      </c>
      <c r="B10908" s="11" t="s">
        <v>21601</v>
      </c>
      <c r="C10908" s="11" t="s">
        <v>17</v>
      </c>
      <c r="D10908" s="11" t="s">
        <v>18</v>
      </c>
      <c r="E10908" s="12" t="s">
        <v>3614</v>
      </c>
      <c r="F10908" s="12" t="s">
        <v>3615</v>
      </c>
      <c r="G10908" s="12" t="s">
        <v>21</v>
      </c>
      <c r="H10908" s="11" t="s">
        <v>63</v>
      </c>
      <c r="I10908" s="13" t="s">
        <v>21602</v>
      </c>
      <c r="J10908" s="14" t="str">
        <f>HYPERLINK("https://www.boe.es/gazeta/dias/1839/04/04/pdfs/GMD-1839-1601.pdf#page=4","Abrir facsímil")</f>
        <v>Abrir facsímil</v>
      </c>
      <c r="K10908" s="12" t="s">
        <v>65</v>
      </c>
    </row>
    <row r="10909" spans="1:11" ht="40.049999999999997" customHeight="1" x14ac:dyDescent="0.25">
      <c r="A10909" s="11" t="s">
        <v>21601</v>
      </c>
      <c r="B10909" s="11" t="s">
        <v>21601</v>
      </c>
      <c r="C10909" s="11" t="s">
        <v>80</v>
      </c>
      <c r="D10909" s="11" t="s">
        <v>18</v>
      </c>
      <c r="E10909" s="12" t="s">
        <v>2507</v>
      </c>
      <c r="F10909" s="12" t="s">
        <v>2508</v>
      </c>
      <c r="G10909" s="12" t="s">
        <v>21</v>
      </c>
      <c r="H10909" s="11" t="s">
        <v>63</v>
      </c>
      <c r="I10909" s="13" t="s">
        <v>21603</v>
      </c>
      <c r="J10909" s="14" t="str">
        <f>HYPERLINK("https://www.boe.es/gazeta/dias/1839/03/08/pdfs/GMD-1839-1574.pdf#page=4","Abrir facsímil")</f>
        <v>Abrir facsímil</v>
      </c>
      <c r="K10909" s="12" t="s">
        <v>65</v>
      </c>
    </row>
    <row r="10910" spans="1:11" ht="40.049999999999997" customHeight="1" x14ac:dyDescent="0.25">
      <c r="A10910" s="11" t="s">
        <v>21601</v>
      </c>
      <c r="B10910" s="11" t="s">
        <v>21601</v>
      </c>
      <c r="C10910" s="11" t="s">
        <v>17</v>
      </c>
      <c r="D10910" s="11" t="s">
        <v>18</v>
      </c>
      <c r="E10910" s="12" t="s">
        <v>68</v>
      </c>
      <c r="F10910" s="12" t="s">
        <v>69</v>
      </c>
      <c r="G10910" s="12" t="s">
        <v>46</v>
      </c>
      <c r="H10910" s="11" t="s">
        <v>63</v>
      </c>
      <c r="I10910" s="13" t="s">
        <v>21604</v>
      </c>
      <c r="J10910" s="14" t="str">
        <f>HYPERLINK("https://www.boe.es/gazeta/dias/1839/02/09/pdfs/GMD-1839-1547.pdf#page=3","Abrir facsímil")</f>
        <v>Abrir facsímil</v>
      </c>
      <c r="K10910" s="12" t="s">
        <v>65</v>
      </c>
    </row>
    <row r="10911" spans="1:11" ht="40.049999999999997" customHeight="1" x14ac:dyDescent="0.25">
      <c r="A10911" s="11" t="s">
        <v>21601</v>
      </c>
      <c r="B10911" s="11" t="s">
        <v>21601</v>
      </c>
      <c r="C10911" s="11" t="s">
        <v>80</v>
      </c>
      <c r="D10911" s="11" t="s">
        <v>18</v>
      </c>
      <c r="E10911" s="12" t="s">
        <v>3668</v>
      </c>
      <c r="F10911" s="12" t="s">
        <v>3669</v>
      </c>
      <c r="G10911" s="12" t="s">
        <v>21</v>
      </c>
      <c r="H10911" s="11" t="s">
        <v>63</v>
      </c>
      <c r="I10911" s="13" t="s">
        <v>21605</v>
      </c>
      <c r="J10911" s="14" t="str">
        <f>HYPERLINK("https://www.boe.es/gazeta/dias/1839/05/19/pdfs/GMD-1839-1646.pdf#page=4","Abrir facsímil")</f>
        <v>Abrir facsímil</v>
      </c>
      <c r="K10911" s="12" t="s">
        <v>65</v>
      </c>
    </row>
    <row r="10912" spans="1:11" ht="40.049999999999997" customHeight="1" x14ac:dyDescent="0.25">
      <c r="A10912" s="11" t="s">
        <v>21601</v>
      </c>
      <c r="B10912" s="11" t="s">
        <v>21601</v>
      </c>
      <c r="C10912" s="11" t="s">
        <v>101</v>
      </c>
      <c r="D10912" s="11" t="s">
        <v>43</v>
      </c>
      <c r="E10912" s="12" t="s">
        <v>433</v>
      </c>
      <c r="F10912" s="12" t="s">
        <v>434</v>
      </c>
      <c r="G10912" s="12" t="s">
        <v>46</v>
      </c>
      <c r="H10912" s="11" t="s">
        <v>63</v>
      </c>
      <c r="I10912" s="13" t="s">
        <v>21606</v>
      </c>
      <c r="J10912" s="14" t="str">
        <f>HYPERLINK("https://www.boe.es/gazeta/dias/1839/01/20/pdfs/GMD-1839-1527.pdf#page=3","Abrir facsímil")</f>
        <v>Abrir facsímil</v>
      </c>
      <c r="K10912" s="12" t="s">
        <v>65</v>
      </c>
    </row>
    <row r="10913" spans="1:11" ht="40.049999999999997" customHeight="1" x14ac:dyDescent="0.25">
      <c r="A10913" s="11" t="s">
        <v>21601</v>
      </c>
      <c r="B10913" s="11" t="s">
        <v>21601</v>
      </c>
      <c r="C10913" s="11" t="s">
        <v>17</v>
      </c>
      <c r="D10913" s="11" t="s">
        <v>18</v>
      </c>
      <c r="E10913" s="12" t="s">
        <v>571</v>
      </c>
      <c r="F10913" s="12" t="s">
        <v>572</v>
      </c>
      <c r="G10913" s="12" t="s">
        <v>46</v>
      </c>
      <c r="H10913" s="11" t="s">
        <v>63</v>
      </c>
      <c r="I10913" s="13" t="s">
        <v>21607</v>
      </c>
      <c r="J10913" s="14" t="str">
        <f>HYPERLINK("https://www.boe.es/gazeta/dias/1839/09/27/pdfs/GMD-1839-1783.pdf#page=3","Abrir facsímil")</f>
        <v>Abrir facsímil</v>
      </c>
      <c r="K10913" s="12" t="s">
        <v>65</v>
      </c>
    </row>
    <row r="10914" spans="1:11" ht="40.049999999999997" customHeight="1" x14ac:dyDescent="0.25">
      <c r="A10914" s="11" t="s">
        <v>21601</v>
      </c>
      <c r="B10914" s="11" t="s">
        <v>21601</v>
      </c>
      <c r="C10914" s="11" t="s">
        <v>17</v>
      </c>
      <c r="D10914" s="11" t="s">
        <v>18</v>
      </c>
      <c r="E10914" s="12" t="s">
        <v>571</v>
      </c>
      <c r="F10914" s="12" t="s">
        <v>572</v>
      </c>
      <c r="G10914" s="12" t="s">
        <v>21</v>
      </c>
      <c r="H10914" s="11" t="s">
        <v>63</v>
      </c>
      <c r="I10914" s="13" t="s">
        <v>21608</v>
      </c>
      <c r="J10914" s="14" t="str">
        <f>HYPERLINK("https://www.boe.es/gazeta/dias/1839/09/27/pdfs/GMD-1839-1783.pdf#page=4","Abrir facsímil")</f>
        <v>Abrir facsímil</v>
      </c>
      <c r="K10914" s="12" t="s">
        <v>65</v>
      </c>
    </row>
    <row r="10915" spans="1:11" ht="40.049999999999997" customHeight="1" x14ac:dyDescent="0.25">
      <c r="A10915" s="11" t="s">
        <v>21601</v>
      </c>
      <c r="B10915" s="11" t="s">
        <v>21601</v>
      </c>
      <c r="C10915" s="11" t="s">
        <v>17</v>
      </c>
      <c r="D10915" s="11" t="s">
        <v>18</v>
      </c>
      <c r="E10915" s="12" t="s">
        <v>862</v>
      </c>
      <c r="F10915" s="12" t="s">
        <v>863</v>
      </c>
      <c r="G10915" s="12" t="s">
        <v>566</v>
      </c>
      <c r="H10915" s="11" t="s">
        <v>63</v>
      </c>
      <c r="I10915" s="13" t="s">
        <v>21609</v>
      </c>
      <c r="J10915" s="14" t="str">
        <f>HYPERLINK("https://www.boe.es/gazeta/dias/1839/10/28/pdfs/GMD-1839-1814.pdf#page=5","Abrir facsímil")</f>
        <v>Abrir facsímil</v>
      </c>
      <c r="K10915" s="12" t="s">
        <v>65</v>
      </c>
    </row>
    <row r="10916" spans="1:11" ht="40.049999999999997" customHeight="1" x14ac:dyDescent="0.25">
      <c r="A10916" s="11" t="s">
        <v>21610</v>
      </c>
      <c r="B10916" s="11" t="s">
        <v>21610</v>
      </c>
      <c r="C10916" s="11" t="s">
        <v>101</v>
      </c>
      <c r="D10916" s="11" t="s">
        <v>102</v>
      </c>
      <c r="E10916" s="12" t="s">
        <v>1614</v>
      </c>
      <c r="F10916" s="12" t="s">
        <v>1615</v>
      </c>
      <c r="G10916" s="12" t="s">
        <v>29</v>
      </c>
      <c r="H10916" s="11" t="s">
        <v>63</v>
      </c>
      <c r="I10916" s="13" t="s">
        <v>21611</v>
      </c>
      <c r="J10916" s="14" t="str">
        <f>HYPERLINK("https://www.boe.es/gazeta/dias/1839/07/03/pdfs/GMD-1839-1691.pdf#page=1","Abrir facsímil")</f>
        <v>Abrir facsímil</v>
      </c>
      <c r="K10916" s="12" t="s">
        <v>65</v>
      </c>
    </row>
    <row r="10917" spans="1:11" ht="40.049999999999997" customHeight="1" x14ac:dyDescent="0.25">
      <c r="A10917" s="11" t="s">
        <v>21610</v>
      </c>
      <c r="B10917" s="11" t="s">
        <v>21610</v>
      </c>
      <c r="C10917" s="11" t="s">
        <v>59</v>
      </c>
      <c r="D10917" s="11" t="s">
        <v>60</v>
      </c>
      <c r="E10917" s="12" t="s">
        <v>2482</v>
      </c>
      <c r="F10917" s="12" t="s">
        <v>2483</v>
      </c>
      <c r="G10917" s="12" t="s">
        <v>40</v>
      </c>
      <c r="H10917" s="11" t="s">
        <v>63</v>
      </c>
      <c r="I10917" s="13" t="s">
        <v>21612</v>
      </c>
      <c r="J10917" s="14" t="str">
        <f>HYPERLINK("https://www.boe.es/gazeta/dias/1839/07/07/pdfs/GMD-1839-1695.pdf#page=2","Abrir facsímil")</f>
        <v>Abrir facsímil</v>
      </c>
      <c r="K10917" s="12" t="s">
        <v>65</v>
      </c>
    </row>
    <row r="10918" spans="1:11" ht="40.049999999999997" customHeight="1" x14ac:dyDescent="0.25">
      <c r="A10918" s="11" t="s">
        <v>21613</v>
      </c>
      <c r="B10918" s="11" t="s">
        <v>21614</v>
      </c>
      <c r="C10918" s="11" t="s">
        <v>17</v>
      </c>
      <c r="D10918" s="11" t="s">
        <v>18</v>
      </c>
      <c r="E10918" s="12" t="s">
        <v>1019</v>
      </c>
      <c r="F10918" s="12" t="s">
        <v>1020</v>
      </c>
      <c r="G10918" s="12" t="s">
        <v>40</v>
      </c>
      <c r="H10918" s="11" t="s">
        <v>63</v>
      </c>
      <c r="I10918" s="13" t="s">
        <v>21615</v>
      </c>
      <c r="J10918" s="14" t="str">
        <f>HYPERLINK("https://www.boe.es/gazeta/dias/1839/07/15/pdfs/GMD-1839-1703.pdf#page=2","Abrir facsímil")</f>
        <v>Abrir facsímil</v>
      </c>
      <c r="K10918" s="12" t="s">
        <v>65</v>
      </c>
    </row>
    <row r="10919" spans="1:11" ht="40.049999999999997" customHeight="1" x14ac:dyDescent="0.25">
      <c r="A10919" s="11" t="s">
        <v>21616</v>
      </c>
      <c r="B10919" s="11" t="s">
        <v>21616</v>
      </c>
      <c r="C10919" s="11" t="s">
        <v>80</v>
      </c>
      <c r="D10919" s="11" t="s">
        <v>18</v>
      </c>
      <c r="E10919" s="12" t="s">
        <v>2449</v>
      </c>
      <c r="F10919" s="12" t="s">
        <v>2450</v>
      </c>
      <c r="G10919" s="12" t="s">
        <v>40</v>
      </c>
      <c r="H10919" s="11" t="s">
        <v>63</v>
      </c>
      <c r="I10919" s="13" t="s">
        <v>21617</v>
      </c>
      <c r="J10919" s="14" t="str">
        <f>HYPERLINK("https://www.boe.es/gazeta/dias/1839/12/11/pdfs/GMD-1839-1858.pdf#page=2","Abrir facsímil")</f>
        <v>Abrir facsímil</v>
      </c>
      <c r="K10919" s="12" t="s">
        <v>65</v>
      </c>
    </row>
    <row r="10920" spans="1:11" ht="40.049999999999997" customHeight="1" x14ac:dyDescent="0.25">
      <c r="A10920" s="11" t="s">
        <v>21616</v>
      </c>
      <c r="B10920" s="11" t="s">
        <v>21616</v>
      </c>
      <c r="C10920" s="11" t="s">
        <v>80</v>
      </c>
      <c r="D10920" s="11" t="s">
        <v>18</v>
      </c>
      <c r="E10920" s="12" t="s">
        <v>1086</v>
      </c>
      <c r="F10920" s="12" t="s">
        <v>1087</v>
      </c>
      <c r="G10920" s="12" t="s">
        <v>40</v>
      </c>
      <c r="H10920" s="11" t="s">
        <v>63</v>
      </c>
      <c r="I10920" s="13" t="s">
        <v>21618</v>
      </c>
      <c r="J10920" s="14" t="str">
        <f>HYPERLINK("https://www.boe.es/gazeta/dias/1839/10/26/pdfs/GMD-1839-1812.pdf#page=2","Abrir facsímil")</f>
        <v>Abrir facsímil</v>
      </c>
      <c r="K10920" s="12" t="s">
        <v>65</v>
      </c>
    </row>
    <row r="10921" spans="1:11" ht="40.049999999999997" customHeight="1" x14ac:dyDescent="0.25">
      <c r="A10921" s="11" t="s">
        <v>21619</v>
      </c>
      <c r="B10921" s="11" t="s">
        <v>21619</v>
      </c>
      <c r="C10921" s="11" t="s">
        <v>17</v>
      </c>
      <c r="D10921" s="11" t="s">
        <v>18</v>
      </c>
      <c r="E10921" s="12" t="s">
        <v>1537</v>
      </c>
      <c r="F10921" s="12" t="s">
        <v>1538</v>
      </c>
      <c r="G10921" s="12" t="s">
        <v>40</v>
      </c>
      <c r="H10921" s="11" t="s">
        <v>63</v>
      </c>
      <c r="I10921" s="13" t="s">
        <v>21620</v>
      </c>
      <c r="J10921" s="14" t="str">
        <f>HYPERLINK("https://www.boe.es/gazeta/dias/1839/12/16/pdfs/GMD-1839-1863.pdf#page=2","Abrir facsímil")</f>
        <v>Abrir facsímil</v>
      </c>
      <c r="K10921" s="12" t="s">
        <v>65</v>
      </c>
    </row>
    <row r="10922" spans="1:11" ht="40.049999999999997" customHeight="1" x14ac:dyDescent="0.25">
      <c r="A10922" s="11" t="s">
        <v>21621</v>
      </c>
      <c r="B10922" s="11" t="s">
        <v>21622</v>
      </c>
      <c r="C10922" s="11" t="s">
        <v>17</v>
      </c>
      <c r="D10922" s="11" t="s">
        <v>18</v>
      </c>
      <c r="E10922" s="12" t="s">
        <v>1356</v>
      </c>
      <c r="F10922" s="12" t="s">
        <v>1357</v>
      </c>
      <c r="G10922" s="12" t="s">
        <v>46</v>
      </c>
      <c r="H10922" s="11" t="s">
        <v>63</v>
      </c>
      <c r="I10922" s="13" t="s">
        <v>21623</v>
      </c>
      <c r="J10922" s="14" t="str">
        <f>HYPERLINK("https://www.boe.es/gazeta/dias/1839/06/05/pdfs/GMD-1839-1663.pdf#page=3","Abrir facsímil")</f>
        <v>Abrir facsímil</v>
      </c>
      <c r="K10922" s="12" t="s">
        <v>65</v>
      </c>
    </row>
    <row r="10923" spans="1:11" ht="40.049999999999997" customHeight="1" x14ac:dyDescent="0.25">
      <c r="A10923" s="11" t="s">
        <v>21624</v>
      </c>
      <c r="B10923" s="11" t="s">
        <v>21624</v>
      </c>
      <c r="C10923" s="11" t="s">
        <v>17</v>
      </c>
      <c r="D10923" s="11" t="s">
        <v>18</v>
      </c>
      <c r="E10923" s="12" t="s">
        <v>312</v>
      </c>
      <c r="F10923" s="12" t="s">
        <v>313</v>
      </c>
      <c r="G10923" s="12" t="s">
        <v>21</v>
      </c>
      <c r="H10923" s="11" t="s">
        <v>63</v>
      </c>
      <c r="I10923" s="13" t="s">
        <v>21625</v>
      </c>
      <c r="J10923" s="14" t="str">
        <f>HYPERLINK("https://www.boe.es/gazeta/dias/1839/11/30/pdfs/GMD-1839-1847.pdf#page=4","Abrir facsímil")</f>
        <v>Abrir facsímil</v>
      </c>
      <c r="K10923" s="12" t="s">
        <v>65</v>
      </c>
    </row>
    <row r="10924" spans="1:11" ht="40.049999999999997" customHeight="1" x14ac:dyDescent="0.25">
      <c r="A10924" s="11" t="s">
        <v>21626</v>
      </c>
      <c r="B10924" s="11" t="s">
        <v>21627</v>
      </c>
      <c r="C10924" s="11" t="s">
        <v>80</v>
      </c>
      <c r="D10924" s="11" t="s">
        <v>18</v>
      </c>
      <c r="E10924" s="12" t="s">
        <v>89</v>
      </c>
      <c r="F10924" s="12" t="s">
        <v>90</v>
      </c>
      <c r="G10924" s="12" t="s">
        <v>21</v>
      </c>
      <c r="H10924" s="11" t="s">
        <v>22</v>
      </c>
      <c r="I10924" s="13" t="s">
        <v>21628</v>
      </c>
      <c r="J10924" s="14" t="str">
        <f>HYPERLINK("https://www.boe.es/gazeta/dias/1839/11/28/pdfs/GMD-1839-1845.pdf#page=4","Abrir facsímil")</f>
        <v>Abrir facsímil</v>
      </c>
      <c r="K10924" s="12" t="s">
        <v>24</v>
      </c>
    </row>
    <row r="10925" spans="1:11" ht="40.049999999999997" customHeight="1" x14ac:dyDescent="0.25">
      <c r="A10925" s="11" t="s">
        <v>21629</v>
      </c>
      <c r="B10925" s="11" t="s">
        <v>21630</v>
      </c>
      <c r="C10925" s="11" t="s">
        <v>17</v>
      </c>
      <c r="D10925" s="11" t="s">
        <v>18</v>
      </c>
      <c r="E10925" s="12" t="s">
        <v>1584</v>
      </c>
      <c r="F10925" s="12" t="s">
        <v>1585</v>
      </c>
      <c r="G10925" s="12" t="s">
        <v>46</v>
      </c>
      <c r="H10925" s="11" t="s">
        <v>63</v>
      </c>
      <c r="I10925" s="13" t="s">
        <v>21631</v>
      </c>
      <c r="J10925" s="14" t="str">
        <f>HYPERLINK("https://www.boe.es/gazeta/dias/1839/11/20/pdfs/GMD-1839-1837.pdf#page=3","Abrir facsímil")</f>
        <v>Abrir facsímil</v>
      </c>
      <c r="K10925" s="12" t="s">
        <v>65</v>
      </c>
    </row>
    <row r="10926" spans="1:11" ht="40.049999999999997" customHeight="1" x14ac:dyDescent="0.25">
      <c r="A10926" s="11" t="s">
        <v>21632</v>
      </c>
      <c r="B10926" s="11" t="s">
        <v>21632</v>
      </c>
      <c r="C10926" s="11" t="s">
        <v>17</v>
      </c>
      <c r="D10926" s="11" t="s">
        <v>18</v>
      </c>
      <c r="E10926" s="12" t="s">
        <v>1909</v>
      </c>
      <c r="F10926" s="12" t="s">
        <v>1910</v>
      </c>
      <c r="G10926" s="12" t="s">
        <v>40</v>
      </c>
      <c r="H10926" s="11" t="s">
        <v>22</v>
      </c>
      <c r="I10926" s="13" t="s">
        <v>21633</v>
      </c>
      <c r="J10926" s="14" t="str">
        <f>HYPERLINK("https://www.boe.es/gazeta/dias/1839/10/27/pdfs/GMD-1839-1813.pdf#page=2","Abrir facsímil")</f>
        <v>Abrir facsímil</v>
      </c>
      <c r="K10926" s="12" t="s">
        <v>24</v>
      </c>
    </row>
    <row r="10927" spans="1:11" ht="40.049999999999997" customHeight="1" x14ac:dyDescent="0.25">
      <c r="A10927" s="11" t="s">
        <v>21634</v>
      </c>
      <c r="B10927" s="11" t="s">
        <v>21634</v>
      </c>
      <c r="C10927" s="11" t="s">
        <v>17</v>
      </c>
      <c r="D10927" s="11" t="s">
        <v>18</v>
      </c>
      <c r="E10927" s="12" t="s">
        <v>254</v>
      </c>
      <c r="F10927" s="12" t="s">
        <v>255</v>
      </c>
      <c r="G10927" s="12" t="s">
        <v>40</v>
      </c>
      <c r="H10927" s="11" t="s">
        <v>63</v>
      </c>
      <c r="I10927" s="13" t="s">
        <v>21635</v>
      </c>
      <c r="J10927" s="14" t="str">
        <f>HYPERLINK("https://www.boe.es/gazeta/dias/1839/09/12/pdfs/GMD-1839-1765.pdf#page=2","Abrir facsímil")</f>
        <v>Abrir facsímil</v>
      </c>
      <c r="K10927" s="12" t="s">
        <v>65</v>
      </c>
    </row>
    <row r="10928" spans="1:11" ht="40.049999999999997" customHeight="1" x14ac:dyDescent="0.25">
      <c r="A10928" s="11" t="s">
        <v>21634</v>
      </c>
      <c r="B10928" s="11" t="s">
        <v>21634</v>
      </c>
      <c r="C10928" s="11" t="s">
        <v>17</v>
      </c>
      <c r="D10928" s="11" t="s">
        <v>18</v>
      </c>
      <c r="E10928" s="12" t="s">
        <v>1909</v>
      </c>
      <c r="F10928" s="12" t="s">
        <v>1910</v>
      </c>
      <c r="G10928" s="12" t="s">
        <v>40</v>
      </c>
      <c r="H10928" s="11" t="s">
        <v>63</v>
      </c>
      <c r="I10928" s="13" t="s">
        <v>21636</v>
      </c>
      <c r="J10928" s="14" t="str">
        <f>HYPERLINK("https://www.boe.es/gazeta/dias/1839/10/27/pdfs/GMD-1839-1813.pdf#page=2","Abrir facsímil")</f>
        <v>Abrir facsímil</v>
      </c>
      <c r="K10928" s="12" t="s">
        <v>65</v>
      </c>
    </row>
    <row r="10929" spans="1:11" ht="40.049999999999997" customHeight="1" x14ac:dyDescent="0.25">
      <c r="A10929" s="11" t="s">
        <v>21637</v>
      </c>
      <c r="B10929" s="11" t="s">
        <v>21638</v>
      </c>
      <c r="C10929" s="11" t="s">
        <v>17</v>
      </c>
      <c r="D10929" s="11" t="s">
        <v>18</v>
      </c>
      <c r="E10929" s="12" t="s">
        <v>834</v>
      </c>
      <c r="F10929" s="12" t="s">
        <v>835</v>
      </c>
      <c r="G10929" s="12" t="s">
        <v>40</v>
      </c>
      <c r="H10929" s="11" t="s">
        <v>63</v>
      </c>
      <c r="I10929" s="13" t="s">
        <v>21639</v>
      </c>
      <c r="J10929" s="14" t="str">
        <f>HYPERLINK("https://www.boe.es/gazeta/dias/1839/08/17/pdfs/GMD-1839-1737.pdf#page=2","Abrir facsímil")</f>
        <v>Abrir facsímil</v>
      </c>
      <c r="K10929" s="12" t="s">
        <v>65</v>
      </c>
    </row>
    <row r="10930" spans="1:11" ht="40.049999999999997" customHeight="1" x14ac:dyDescent="0.25">
      <c r="A10930" s="11" t="s">
        <v>21640</v>
      </c>
      <c r="B10930" s="11" t="s">
        <v>21641</v>
      </c>
      <c r="C10930" s="11" t="s">
        <v>137</v>
      </c>
      <c r="D10930" s="11" t="s">
        <v>18</v>
      </c>
      <c r="E10930" s="12" t="s">
        <v>375</v>
      </c>
      <c r="F10930" s="12" t="s">
        <v>376</v>
      </c>
      <c r="G10930" s="12" t="s">
        <v>21</v>
      </c>
      <c r="H10930" s="11" t="s">
        <v>22</v>
      </c>
      <c r="I10930" s="13" t="s">
        <v>21642</v>
      </c>
      <c r="J10930" s="14" t="str">
        <f>HYPERLINK("https://www.boe.es/gazeta/dias/1839/11/25/pdfs/GMD-1839-1842.pdf#page=4","Abrir facsímil")</f>
        <v>Abrir facsímil</v>
      </c>
      <c r="K10930" s="12" t="s">
        <v>24</v>
      </c>
    </row>
    <row r="10931" spans="1:11" ht="40.049999999999997" customHeight="1" x14ac:dyDescent="0.25">
      <c r="A10931" s="11" t="s">
        <v>21643</v>
      </c>
      <c r="B10931" s="11" t="s">
        <v>21644</v>
      </c>
      <c r="C10931" s="11" t="s">
        <v>17</v>
      </c>
      <c r="D10931" s="11" t="s">
        <v>18</v>
      </c>
      <c r="E10931" s="12" t="s">
        <v>695</v>
      </c>
      <c r="F10931" s="12" t="s">
        <v>696</v>
      </c>
      <c r="G10931" s="12" t="s">
        <v>21</v>
      </c>
      <c r="H10931" s="11" t="s">
        <v>63</v>
      </c>
      <c r="I10931" s="13" t="s">
        <v>21645</v>
      </c>
      <c r="J10931" s="14" t="str">
        <f>HYPERLINK("https://www.boe.es/gazeta/dias/1839/12/19/pdfs/GMD-1839-1866.pdf#page=4","Abrir facsímil")</f>
        <v>Abrir facsímil</v>
      </c>
      <c r="K10931" s="12" t="s">
        <v>65</v>
      </c>
    </row>
    <row r="10932" spans="1:11" ht="40.049999999999997" customHeight="1" x14ac:dyDescent="0.25">
      <c r="A10932" s="11" t="s">
        <v>21643</v>
      </c>
      <c r="B10932" s="11" t="s">
        <v>21644</v>
      </c>
      <c r="C10932" s="11" t="s">
        <v>17</v>
      </c>
      <c r="D10932" s="11" t="s">
        <v>18</v>
      </c>
      <c r="E10932" s="12" t="s">
        <v>2415</v>
      </c>
      <c r="F10932" s="12" t="s">
        <v>2416</v>
      </c>
      <c r="G10932" s="12" t="s">
        <v>21</v>
      </c>
      <c r="H10932" s="11" t="s">
        <v>63</v>
      </c>
      <c r="I10932" s="13" t="s">
        <v>21646</v>
      </c>
      <c r="J10932" s="14" t="str">
        <f>HYPERLINK("https://www.boe.es/gazeta/dias/1839/12/22/pdfs/GMD-1839-1869.pdf#page=4","Abrir facsímil")</f>
        <v>Abrir facsímil</v>
      </c>
      <c r="K10932" s="12" t="s">
        <v>65</v>
      </c>
    </row>
    <row r="10933" spans="1:11" ht="40.049999999999997" customHeight="1" x14ac:dyDescent="0.25">
      <c r="A10933" s="11" t="s">
        <v>21647</v>
      </c>
      <c r="B10933" s="11" t="s">
        <v>21647</v>
      </c>
      <c r="C10933" s="11" t="s">
        <v>59</v>
      </c>
      <c r="D10933" s="11" t="s">
        <v>60</v>
      </c>
      <c r="E10933" s="12" t="s">
        <v>1895</v>
      </c>
      <c r="F10933" s="12" t="s">
        <v>1896</v>
      </c>
      <c r="G10933" s="12" t="s">
        <v>29</v>
      </c>
      <c r="H10933" s="11" t="s">
        <v>63</v>
      </c>
      <c r="I10933" s="13" t="s">
        <v>21648</v>
      </c>
      <c r="J10933" s="14" t="str">
        <f>HYPERLINK("https://www.boe.es/gazeta/dias/1839/12/23/pdfs/GMD-1839-1870.pdf#page=1","Abrir facsímil")</f>
        <v>Abrir facsímil</v>
      </c>
      <c r="K10933" s="12" t="s">
        <v>65</v>
      </c>
    </row>
    <row r="10934" spans="1:11" ht="40.049999999999997" customHeight="1" x14ac:dyDescent="0.25">
      <c r="A10934" s="11" t="s">
        <v>21649</v>
      </c>
      <c r="B10934" s="11" t="s">
        <v>21650</v>
      </c>
      <c r="C10934" s="11" t="s">
        <v>17</v>
      </c>
      <c r="D10934" s="11" t="s">
        <v>18</v>
      </c>
      <c r="E10934" s="12" t="s">
        <v>385</v>
      </c>
      <c r="F10934" s="12" t="s">
        <v>386</v>
      </c>
      <c r="G10934" s="12" t="s">
        <v>46</v>
      </c>
      <c r="H10934" s="11" t="s">
        <v>63</v>
      </c>
      <c r="I10934" s="13" t="s">
        <v>21651</v>
      </c>
      <c r="J10934" s="14" t="str">
        <f>HYPERLINK("https://www.boe.es/gazeta/dias/1839/08/01/pdfs/GMD-1839-1721.pdf#page=3","Abrir facsímil")</f>
        <v>Abrir facsímil</v>
      </c>
      <c r="K10934" s="12" t="s">
        <v>65</v>
      </c>
    </row>
    <row r="10935" spans="1:11" ht="40.049999999999997" customHeight="1" x14ac:dyDescent="0.25">
      <c r="A10935" s="11" t="s">
        <v>21652</v>
      </c>
      <c r="B10935" s="11" t="s">
        <v>21652</v>
      </c>
      <c r="C10935" s="11" t="s">
        <v>101</v>
      </c>
      <c r="D10935" s="11" t="s">
        <v>102</v>
      </c>
      <c r="E10935" s="12" t="s">
        <v>222</v>
      </c>
      <c r="F10935" s="12" t="s">
        <v>223</v>
      </c>
      <c r="G10935" s="12" t="s">
        <v>29</v>
      </c>
      <c r="H10935" s="11" t="s">
        <v>63</v>
      </c>
      <c r="I10935" s="13" t="s">
        <v>21653</v>
      </c>
      <c r="J10935" s="14" t="str">
        <f>HYPERLINK("https://www.boe.es/gazeta/dias/1839/06/22/pdfs/GMD-1839-1680.pdf#page=1","Abrir facsímil")</f>
        <v>Abrir facsímil</v>
      </c>
      <c r="K10935" s="12" t="s">
        <v>65</v>
      </c>
    </row>
    <row r="10936" spans="1:11" ht="40.049999999999997" customHeight="1" x14ac:dyDescent="0.25">
      <c r="A10936" s="11" t="s">
        <v>21654</v>
      </c>
      <c r="B10936" s="11" t="s">
        <v>21654</v>
      </c>
      <c r="C10936" s="11" t="s">
        <v>101</v>
      </c>
      <c r="D10936" s="11" t="s">
        <v>43</v>
      </c>
      <c r="E10936" s="12" t="s">
        <v>185</v>
      </c>
      <c r="F10936" s="12" t="s">
        <v>186</v>
      </c>
      <c r="G10936" s="12" t="s">
        <v>46</v>
      </c>
      <c r="H10936" s="11" t="s">
        <v>63</v>
      </c>
      <c r="I10936" s="13" t="s">
        <v>21655</v>
      </c>
      <c r="J10936" s="14" t="str">
        <f>HYPERLINK("https://www.boe.es/gazeta/dias/1839/01/15/pdfs/GMD-1839-1522.pdf#page=3","Abrir facsímil")</f>
        <v>Abrir facsímil</v>
      </c>
      <c r="K10936" s="12" t="s">
        <v>65</v>
      </c>
    </row>
    <row r="10937" spans="1:11" ht="40.049999999999997" customHeight="1" x14ac:dyDescent="0.25">
      <c r="A10937" s="11" t="s">
        <v>21654</v>
      </c>
      <c r="B10937" s="11" t="s">
        <v>21654</v>
      </c>
      <c r="C10937" s="11" t="s">
        <v>17</v>
      </c>
      <c r="D10937" s="11" t="s">
        <v>18</v>
      </c>
      <c r="E10937" s="12" t="s">
        <v>4550</v>
      </c>
      <c r="F10937" s="12" t="s">
        <v>4551</v>
      </c>
      <c r="G10937" s="12" t="s">
        <v>46</v>
      </c>
      <c r="H10937" s="11" t="s">
        <v>63</v>
      </c>
      <c r="I10937" s="13" t="s">
        <v>21656</v>
      </c>
      <c r="J10937" s="14" t="str">
        <f>HYPERLINK("https://www.boe.es/gazeta/dias/1839/04/17/pdfs/GMD-1839-1614.pdf#page=3","Abrir facsímil")</f>
        <v>Abrir facsímil</v>
      </c>
      <c r="K10937" s="12" t="s">
        <v>65</v>
      </c>
    </row>
    <row r="10938" spans="1:11" ht="40.049999999999997" customHeight="1" x14ac:dyDescent="0.25">
      <c r="A10938" s="11" t="s">
        <v>21657</v>
      </c>
      <c r="B10938" s="11" t="s">
        <v>21658</v>
      </c>
      <c r="C10938" s="11" t="s">
        <v>59</v>
      </c>
      <c r="D10938" s="11" t="s">
        <v>60</v>
      </c>
      <c r="E10938" s="12" t="s">
        <v>299</v>
      </c>
      <c r="F10938" s="12" t="s">
        <v>300</v>
      </c>
      <c r="G10938" s="12" t="s">
        <v>29</v>
      </c>
      <c r="H10938" s="11" t="s">
        <v>63</v>
      </c>
      <c r="I10938" s="13" t="s">
        <v>21659</v>
      </c>
      <c r="J10938" s="14" t="str">
        <f>HYPERLINK("https://www.boe.es/gazeta/dias/1839/02/14/pdfs/GMD-1839-1552.pdf#page=1","Abrir facsímil")</f>
        <v>Abrir facsímil</v>
      </c>
      <c r="K10938" s="12" t="s">
        <v>65</v>
      </c>
    </row>
    <row r="10939" spans="1:11" ht="40.049999999999997" customHeight="1" x14ac:dyDescent="0.25">
      <c r="A10939" s="11" t="s">
        <v>21660</v>
      </c>
      <c r="B10939" s="11" t="s">
        <v>21661</v>
      </c>
      <c r="C10939" s="11" t="s">
        <v>17</v>
      </c>
      <c r="D10939" s="11" t="s">
        <v>18</v>
      </c>
      <c r="E10939" s="12" t="s">
        <v>233</v>
      </c>
      <c r="F10939" s="12" t="s">
        <v>234</v>
      </c>
      <c r="G10939" s="12" t="s">
        <v>29</v>
      </c>
      <c r="H10939" s="11" t="s">
        <v>63</v>
      </c>
      <c r="I10939" s="13" t="s">
        <v>21662</v>
      </c>
      <c r="J10939" s="14" t="str">
        <f>HYPERLINK("https://www.boe.es/gazeta/dias/1839/09/17/pdfs/GMD-1839-1770.pdf#page=1","Abrir facsímil")</f>
        <v>Abrir facsímil</v>
      </c>
      <c r="K10939" s="12" t="s">
        <v>65</v>
      </c>
    </row>
    <row r="10940" spans="1:11" ht="40.049999999999997" customHeight="1" x14ac:dyDescent="0.25">
      <c r="A10940" s="11" t="s">
        <v>21663</v>
      </c>
      <c r="B10940" s="11" t="s">
        <v>21664</v>
      </c>
      <c r="C10940" s="11" t="s">
        <v>101</v>
      </c>
      <c r="D10940" s="11" t="s">
        <v>43</v>
      </c>
      <c r="E10940" s="12" t="s">
        <v>369</v>
      </c>
      <c r="F10940" s="12" t="s">
        <v>370</v>
      </c>
      <c r="G10940" s="12" t="s">
        <v>21</v>
      </c>
      <c r="H10940" s="11" t="s">
        <v>63</v>
      </c>
      <c r="I10940" s="13" t="s">
        <v>21665</v>
      </c>
      <c r="J10940" s="14" t="str">
        <f>HYPERLINK("https://www.boe.es/gazeta/dias/1839/11/01/pdfs/GMD-1839-1818.pdf#page=4","Abrir facsímil")</f>
        <v>Abrir facsímil</v>
      </c>
      <c r="K10940" s="12" t="s">
        <v>65</v>
      </c>
    </row>
    <row r="10941" spans="1:11" ht="40.049999999999997" customHeight="1" x14ac:dyDescent="0.25">
      <c r="A10941" s="11" t="s">
        <v>21666</v>
      </c>
      <c r="B10941" s="11" t="s">
        <v>21667</v>
      </c>
      <c r="C10941" s="11" t="s">
        <v>59</v>
      </c>
      <c r="D10941" s="11" t="s">
        <v>60</v>
      </c>
      <c r="E10941" s="12" t="s">
        <v>713</v>
      </c>
      <c r="F10941" s="12" t="s">
        <v>714</v>
      </c>
      <c r="G10941" s="12" t="s">
        <v>40</v>
      </c>
      <c r="H10941" s="11" t="s">
        <v>63</v>
      </c>
      <c r="I10941" s="13" t="s">
        <v>21668</v>
      </c>
      <c r="J10941" s="14" t="str">
        <f>HYPERLINK("https://www.boe.es/gazeta/dias/1839/12/18/pdfs/GMD-1839-1865.pdf#page=2","Abrir facsímil")</f>
        <v>Abrir facsímil</v>
      </c>
      <c r="K10941" s="12" t="s">
        <v>65</v>
      </c>
    </row>
    <row r="10942" spans="1:11" ht="40.049999999999997" customHeight="1" x14ac:dyDescent="0.25">
      <c r="A10942" s="11" t="s">
        <v>21669</v>
      </c>
      <c r="B10942" s="11" t="s">
        <v>21670</v>
      </c>
      <c r="C10942" s="11" t="s">
        <v>17</v>
      </c>
      <c r="D10942" s="11" t="s">
        <v>18</v>
      </c>
      <c r="E10942" s="12" t="s">
        <v>1079</v>
      </c>
      <c r="F10942" s="12" t="s">
        <v>1080</v>
      </c>
      <c r="G10942" s="12" t="s">
        <v>46</v>
      </c>
      <c r="H10942" s="11" t="s">
        <v>63</v>
      </c>
      <c r="I10942" s="13" t="s">
        <v>21671</v>
      </c>
      <c r="J10942" s="14" t="str">
        <f>HYPERLINK("https://www.boe.es/gazeta/dias/1839/05/24/pdfs/GMD-1839-1651.pdf#page=3","Abrir facsímil")</f>
        <v>Abrir facsímil</v>
      </c>
      <c r="K10942" s="12" t="s">
        <v>65</v>
      </c>
    </row>
    <row r="10943" spans="1:11" ht="40.049999999999997" customHeight="1" x14ac:dyDescent="0.25">
      <c r="A10943" s="11" t="s">
        <v>21672</v>
      </c>
      <c r="B10943" s="11" t="s">
        <v>21672</v>
      </c>
      <c r="C10943" s="11" t="s">
        <v>17</v>
      </c>
      <c r="D10943" s="11" t="s">
        <v>18</v>
      </c>
      <c r="E10943" s="12" t="s">
        <v>4550</v>
      </c>
      <c r="F10943" s="12" t="s">
        <v>4551</v>
      </c>
      <c r="G10943" s="12" t="s">
        <v>46</v>
      </c>
      <c r="H10943" s="11" t="s">
        <v>63</v>
      </c>
      <c r="I10943" s="13" t="s">
        <v>21673</v>
      </c>
      <c r="J10943" s="14" t="str">
        <f>HYPERLINK("https://www.boe.es/gazeta/dias/1839/04/17/pdfs/GMD-1839-1614.pdf#page=3","Abrir facsímil")</f>
        <v>Abrir facsímil</v>
      </c>
      <c r="K10943" s="12" t="s">
        <v>65</v>
      </c>
    </row>
    <row r="10944" spans="1:11" ht="40.049999999999997" customHeight="1" x14ac:dyDescent="0.25">
      <c r="A10944" s="11" t="s">
        <v>21674</v>
      </c>
      <c r="B10944" s="11" t="s">
        <v>21675</v>
      </c>
      <c r="C10944" s="11" t="s">
        <v>59</v>
      </c>
      <c r="D10944" s="11" t="s">
        <v>60</v>
      </c>
      <c r="E10944" s="12" t="s">
        <v>1144</v>
      </c>
      <c r="F10944" s="12" t="s">
        <v>1145</v>
      </c>
      <c r="G10944" s="12" t="s">
        <v>40</v>
      </c>
      <c r="H10944" s="11" t="s">
        <v>63</v>
      </c>
      <c r="I10944" s="13" t="s">
        <v>21676</v>
      </c>
      <c r="J10944" s="14" t="str">
        <f>HYPERLINK("https://www.boe.es/gazeta/dias/1839/08/13/pdfs/GMD-1839-1733.pdf#page=2","Abrir facsímil")</f>
        <v>Abrir facsímil</v>
      </c>
      <c r="K10944" s="12" t="s">
        <v>65</v>
      </c>
    </row>
    <row r="10945" spans="1:11" ht="40.049999999999997" customHeight="1" x14ac:dyDescent="0.25">
      <c r="A10945" s="11" t="s">
        <v>21677</v>
      </c>
      <c r="B10945" s="11" t="s">
        <v>21677</v>
      </c>
      <c r="C10945" s="11" t="s">
        <v>17</v>
      </c>
      <c r="D10945" s="11" t="s">
        <v>18</v>
      </c>
      <c r="E10945" s="12" t="s">
        <v>4550</v>
      </c>
      <c r="F10945" s="12" t="s">
        <v>4551</v>
      </c>
      <c r="G10945" s="12" t="s">
        <v>46</v>
      </c>
      <c r="H10945" s="11" t="s">
        <v>63</v>
      </c>
      <c r="I10945" s="13" t="s">
        <v>21678</v>
      </c>
      <c r="J10945" s="14" t="str">
        <f>HYPERLINK("https://www.boe.es/gazeta/dias/1839/04/17/pdfs/GMD-1839-1614.pdf#page=3","Abrir facsímil")</f>
        <v>Abrir facsímil</v>
      </c>
      <c r="K10945" s="12" t="s">
        <v>65</v>
      </c>
    </row>
    <row r="10946" spans="1:11" ht="40.049999999999997" customHeight="1" x14ac:dyDescent="0.25">
      <c r="A10946" s="11" t="s">
        <v>21677</v>
      </c>
      <c r="B10946" s="11" t="s">
        <v>21677</v>
      </c>
      <c r="C10946" s="11" t="s">
        <v>17</v>
      </c>
      <c r="D10946" s="11" t="s">
        <v>18</v>
      </c>
      <c r="E10946" s="12" t="s">
        <v>1794</v>
      </c>
      <c r="F10946" s="12" t="s">
        <v>1795</v>
      </c>
      <c r="G10946" s="12" t="s">
        <v>21</v>
      </c>
      <c r="H10946" s="11" t="s">
        <v>63</v>
      </c>
      <c r="I10946" s="13" t="s">
        <v>21679</v>
      </c>
      <c r="J10946" s="14" t="str">
        <f>HYPERLINK("https://www.boe.es/gazeta/dias/1839/02/22/pdfs/GMD-1839-1560.pdf#page=4","Abrir facsímil")</f>
        <v>Abrir facsímil</v>
      </c>
      <c r="K10946" s="12" t="s">
        <v>65</v>
      </c>
    </row>
    <row r="10947" spans="1:11" ht="40.049999999999997" customHeight="1" x14ac:dyDescent="0.25">
      <c r="A10947" s="11" t="s">
        <v>21680</v>
      </c>
      <c r="B10947" s="11" t="s">
        <v>21680</v>
      </c>
      <c r="C10947" s="11" t="s">
        <v>59</v>
      </c>
      <c r="D10947" s="11" t="s">
        <v>60</v>
      </c>
      <c r="E10947" s="12" t="s">
        <v>1236</v>
      </c>
      <c r="F10947" s="12" t="s">
        <v>1237</v>
      </c>
      <c r="G10947" s="12" t="s">
        <v>21</v>
      </c>
      <c r="H10947" s="11" t="s">
        <v>22</v>
      </c>
      <c r="I10947" s="13" t="s">
        <v>21681</v>
      </c>
      <c r="J10947" s="14" t="str">
        <f>HYPERLINK("https://www.boe.es/gazeta/dias/1839/10/16/pdfs/GMD-1839-1802.pdf#page=4","Abrir facsímil")</f>
        <v>Abrir facsímil</v>
      </c>
      <c r="K10947" s="12" t="s">
        <v>24</v>
      </c>
    </row>
    <row r="10948" spans="1:11" ht="40.049999999999997" customHeight="1" x14ac:dyDescent="0.25">
      <c r="A10948" s="11" t="s">
        <v>21682</v>
      </c>
      <c r="B10948" s="11" t="s">
        <v>21682</v>
      </c>
      <c r="C10948" s="11" t="s">
        <v>17</v>
      </c>
      <c r="D10948" s="11" t="s">
        <v>18</v>
      </c>
      <c r="E10948" s="12" t="s">
        <v>233</v>
      </c>
      <c r="F10948" s="12" t="s">
        <v>234</v>
      </c>
      <c r="G10948" s="12" t="s">
        <v>21</v>
      </c>
      <c r="H10948" s="11" t="s">
        <v>63</v>
      </c>
      <c r="I10948" s="13" t="s">
        <v>21683</v>
      </c>
      <c r="J10948" s="14" t="str">
        <f>HYPERLINK("https://www.boe.es/gazeta/dias/1839/09/17/pdfs/GMD-1839-1770.pdf#page=4","Abrir facsímil")</f>
        <v>Abrir facsímil</v>
      </c>
      <c r="K10948" s="12" t="s">
        <v>65</v>
      </c>
    </row>
    <row r="10949" spans="1:11" ht="40.049999999999997" customHeight="1" x14ac:dyDescent="0.25">
      <c r="A10949" s="11" t="s">
        <v>21684</v>
      </c>
      <c r="B10949" s="11" t="s">
        <v>21684</v>
      </c>
      <c r="C10949" s="11" t="s">
        <v>17</v>
      </c>
      <c r="D10949" s="11" t="s">
        <v>18</v>
      </c>
      <c r="E10949" s="12" t="s">
        <v>448</v>
      </c>
      <c r="F10949" s="12" t="s">
        <v>449</v>
      </c>
      <c r="G10949" s="12" t="s">
        <v>40</v>
      </c>
      <c r="H10949" s="11" t="s">
        <v>63</v>
      </c>
      <c r="I10949" s="13" t="s">
        <v>21685</v>
      </c>
      <c r="J10949" s="14" t="str">
        <f>HYPERLINK("https://www.boe.es/gazeta/dias/1839/02/06/pdfs/GMD-1839-1544.pdf#page=2","Abrir facsímil")</f>
        <v>Abrir facsímil</v>
      </c>
      <c r="K10949" s="12" t="s">
        <v>65</v>
      </c>
    </row>
    <row r="10950" spans="1:11" ht="40.049999999999997" customHeight="1" x14ac:dyDescent="0.25">
      <c r="A10950" s="11" t="s">
        <v>21686</v>
      </c>
      <c r="B10950" s="11" t="s">
        <v>21686</v>
      </c>
      <c r="C10950" s="11" t="s">
        <v>137</v>
      </c>
      <c r="D10950" s="11" t="s">
        <v>18</v>
      </c>
      <c r="E10950" s="12" t="s">
        <v>68</v>
      </c>
      <c r="F10950" s="12" t="s">
        <v>69</v>
      </c>
      <c r="G10950" s="12" t="s">
        <v>29</v>
      </c>
      <c r="H10950" s="11" t="s">
        <v>63</v>
      </c>
      <c r="I10950" s="13" t="s">
        <v>21687</v>
      </c>
      <c r="J10950" s="14" t="str">
        <f>HYPERLINK("https://www.boe.es/gazeta/dias/1839/02/09/pdfs/GMD-1839-1547.pdf#page=1","Abrir facsímil")</f>
        <v>Abrir facsímil</v>
      </c>
      <c r="K10950" s="12" t="s">
        <v>65</v>
      </c>
    </row>
    <row r="10951" spans="1:11" ht="40.049999999999997" customHeight="1" x14ac:dyDescent="0.25">
      <c r="A10951" s="11" t="s">
        <v>21686</v>
      </c>
      <c r="B10951" s="11" t="s">
        <v>21686</v>
      </c>
      <c r="C10951" s="11" t="s">
        <v>101</v>
      </c>
      <c r="D10951" s="11" t="s">
        <v>43</v>
      </c>
      <c r="E10951" s="12" t="s">
        <v>254</v>
      </c>
      <c r="F10951" s="12" t="s">
        <v>255</v>
      </c>
      <c r="G10951" s="12" t="s">
        <v>40</v>
      </c>
      <c r="H10951" s="11" t="s">
        <v>63</v>
      </c>
      <c r="I10951" s="13" t="s">
        <v>21688</v>
      </c>
      <c r="J10951" s="14" t="str">
        <f>HYPERLINK("https://www.boe.es/gazeta/dias/1839/09/12/pdfs/GMD-1839-1765.pdf#page=2","Abrir facsímil")</f>
        <v>Abrir facsímil</v>
      </c>
      <c r="K10951" s="12" t="s">
        <v>65</v>
      </c>
    </row>
    <row r="10952" spans="1:11" ht="40.049999999999997" customHeight="1" x14ac:dyDescent="0.25">
      <c r="A10952" s="11" t="s">
        <v>21686</v>
      </c>
      <c r="B10952" s="11" t="s">
        <v>21686</v>
      </c>
      <c r="C10952" s="11" t="s">
        <v>17</v>
      </c>
      <c r="D10952" s="11" t="s">
        <v>18</v>
      </c>
      <c r="E10952" s="12" t="s">
        <v>2650</v>
      </c>
      <c r="F10952" s="12" t="s">
        <v>2651</v>
      </c>
      <c r="G10952" s="12" t="s">
        <v>40</v>
      </c>
      <c r="H10952" s="11" t="s">
        <v>63</v>
      </c>
      <c r="I10952" s="13" t="s">
        <v>21689</v>
      </c>
      <c r="J10952" s="14" t="str">
        <f>HYPERLINK("https://www.boe.es/gazeta/dias/1839/09/15/pdfs/GMD-1839-1768.pdf#page=2","Abrir facsímil")</f>
        <v>Abrir facsímil</v>
      </c>
      <c r="K10952" s="12" t="s">
        <v>65</v>
      </c>
    </row>
    <row r="10953" spans="1:11" ht="40.049999999999997" customHeight="1" x14ac:dyDescent="0.25">
      <c r="A10953" s="11" t="s">
        <v>21686</v>
      </c>
      <c r="B10953" s="11" t="s">
        <v>21686</v>
      </c>
      <c r="C10953" s="11" t="s">
        <v>17</v>
      </c>
      <c r="D10953" s="11" t="s">
        <v>18</v>
      </c>
      <c r="E10953" s="12" t="s">
        <v>2222</v>
      </c>
      <c r="F10953" s="12" t="s">
        <v>2223</v>
      </c>
      <c r="G10953" s="12" t="s">
        <v>46</v>
      </c>
      <c r="H10953" s="11" t="s">
        <v>63</v>
      </c>
      <c r="I10953" s="13" t="s">
        <v>21690</v>
      </c>
      <c r="J10953" s="14" t="str">
        <f>HYPERLINK("https://www.boe.es/gazeta/dias/1839/09/19/pdfs/GMD-1839-1773.pdf#page=3","Abrir facsímil")</f>
        <v>Abrir facsímil</v>
      </c>
      <c r="K10953" s="12" t="s">
        <v>65</v>
      </c>
    </row>
    <row r="10954" spans="1:11" ht="40.049999999999997" customHeight="1" x14ac:dyDescent="0.25">
      <c r="A10954" s="11" t="s">
        <v>21686</v>
      </c>
      <c r="B10954" s="11" t="s">
        <v>21686</v>
      </c>
      <c r="C10954" s="11" t="s">
        <v>59</v>
      </c>
      <c r="D10954" s="11" t="s">
        <v>60</v>
      </c>
      <c r="E10954" s="12" t="s">
        <v>596</v>
      </c>
      <c r="F10954" s="12" t="s">
        <v>597</v>
      </c>
      <c r="G10954" s="12" t="s">
        <v>46</v>
      </c>
      <c r="H10954" s="11" t="s">
        <v>63</v>
      </c>
      <c r="I10954" s="13" t="s">
        <v>21691</v>
      </c>
      <c r="J10954" s="14" t="str">
        <f>HYPERLINK("https://www.boe.es/gazeta/dias/1839/01/23/pdfs/GMD-1839-1530.pdf#page=3","Abrir facsímil")</f>
        <v>Abrir facsímil</v>
      </c>
      <c r="K10954" s="12" t="s">
        <v>65</v>
      </c>
    </row>
    <row r="10955" spans="1:11" ht="40.049999999999997" customHeight="1" x14ac:dyDescent="0.25">
      <c r="A10955" s="11" t="s">
        <v>21686</v>
      </c>
      <c r="B10955" s="11" t="s">
        <v>21686</v>
      </c>
      <c r="C10955" s="11" t="s">
        <v>137</v>
      </c>
      <c r="D10955" s="11" t="s">
        <v>18</v>
      </c>
      <c r="E10955" s="12" t="s">
        <v>1086</v>
      </c>
      <c r="F10955" s="12" t="s">
        <v>1087</v>
      </c>
      <c r="G10955" s="12" t="s">
        <v>21</v>
      </c>
      <c r="H10955" s="11" t="s">
        <v>63</v>
      </c>
      <c r="I10955" s="13" t="s">
        <v>21692</v>
      </c>
      <c r="J10955" s="14" t="str">
        <f>HYPERLINK("https://www.boe.es/gazeta/dias/1839/10/26/pdfs/GMD-1839-1812.pdf#page=4","Abrir facsímil")</f>
        <v>Abrir facsímil</v>
      </c>
      <c r="K10955" s="12" t="s">
        <v>65</v>
      </c>
    </row>
    <row r="10956" spans="1:11" ht="40.049999999999997" customHeight="1" x14ac:dyDescent="0.25">
      <c r="A10956" s="11" t="s">
        <v>21693</v>
      </c>
      <c r="B10956" s="11" t="s">
        <v>21694</v>
      </c>
      <c r="C10956" s="11" t="s">
        <v>80</v>
      </c>
      <c r="D10956" s="11" t="s">
        <v>18</v>
      </c>
      <c r="E10956" s="12" t="s">
        <v>438</v>
      </c>
      <c r="F10956" s="12" t="s">
        <v>439</v>
      </c>
      <c r="G10956" s="12" t="s">
        <v>21</v>
      </c>
      <c r="H10956" s="11" t="s">
        <v>63</v>
      </c>
      <c r="I10956" s="13" t="s">
        <v>21695</v>
      </c>
      <c r="J10956" s="14" t="str">
        <f>HYPERLINK("https://www.boe.es/gazeta/dias/1839/07/17/pdfs/GMD-1839-1705.pdf#page=4","Abrir facsímil")</f>
        <v>Abrir facsímil</v>
      </c>
      <c r="K10956" s="12" t="s">
        <v>65</v>
      </c>
    </row>
    <row r="10957" spans="1:11" ht="40.049999999999997" customHeight="1" x14ac:dyDescent="0.25">
      <c r="A10957" s="11" t="s">
        <v>21696</v>
      </c>
      <c r="B10957" s="11" t="s">
        <v>21697</v>
      </c>
      <c r="C10957" s="11" t="s">
        <v>137</v>
      </c>
      <c r="D10957" s="11" t="s">
        <v>18</v>
      </c>
      <c r="E10957" s="12" t="s">
        <v>1929</v>
      </c>
      <c r="F10957" s="12" t="s">
        <v>1930</v>
      </c>
      <c r="G10957" s="12" t="s">
        <v>21</v>
      </c>
      <c r="H10957" s="11" t="s">
        <v>63</v>
      </c>
      <c r="I10957" s="13" t="s">
        <v>21698</v>
      </c>
      <c r="J10957" s="14" t="str">
        <f>HYPERLINK("https://www.boe.es/gazeta/dias/1839/02/01/pdfs/GMD-1839-1539.pdf#page=4","Abrir facsímil")</f>
        <v>Abrir facsímil</v>
      </c>
      <c r="K10957" s="12" t="s">
        <v>65</v>
      </c>
    </row>
    <row r="10958" spans="1:11" ht="40.049999999999997" customHeight="1" x14ac:dyDescent="0.25">
      <c r="A10958" s="11" t="s">
        <v>21696</v>
      </c>
      <c r="B10958" s="11" t="s">
        <v>21697</v>
      </c>
      <c r="C10958" s="11" t="s">
        <v>17</v>
      </c>
      <c r="D10958" s="11" t="s">
        <v>18</v>
      </c>
      <c r="E10958" s="12" t="s">
        <v>1069</v>
      </c>
      <c r="F10958" s="12" t="s">
        <v>1070</v>
      </c>
      <c r="G10958" s="12" t="s">
        <v>46</v>
      </c>
      <c r="H10958" s="11" t="s">
        <v>63</v>
      </c>
      <c r="I10958" s="13" t="s">
        <v>21699</v>
      </c>
      <c r="J10958" s="14" t="str">
        <f>HYPERLINK("https://www.boe.es/gazeta/dias/1839/10/15/pdfs/GMD-1839-1801.pdf#page=3","Abrir facsímil")</f>
        <v>Abrir facsímil</v>
      </c>
      <c r="K10958" s="12" t="s">
        <v>65</v>
      </c>
    </row>
    <row r="10959" spans="1:11" ht="40.049999999999997" customHeight="1" x14ac:dyDescent="0.25">
      <c r="A10959" s="11" t="s">
        <v>21696</v>
      </c>
      <c r="B10959" s="11" t="s">
        <v>21697</v>
      </c>
      <c r="C10959" s="11" t="s">
        <v>17</v>
      </c>
      <c r="D10959" s="11" t="s">
        <v>18</v>
      </c>
      <c r="E10959" s="12" t="s">
        <v>1867</v>
      </c>
      <c r="F10959" s="12" t="s">
        <v>1868</v>
      </c>
      <c r="G10959" s="12" t="s">
        <v>40</v>
      </c>
      <c r="H10959" s="11" t="s">
        <v>63</v>
      </c>
      <c r="I10959" s="13" t="s">
        <v>21700</v>
      </c>
      <c r="J10959" s="14" t="str">
        <f>HYPERLINK("https://www.boe.es/gazeta/dias/1839/01/30/pdfs/GMD-1839-1537.pdf#page=2","Abrir facsímil")</f>
        <v>Abrir facsímil</v>
      </c>
      <c r="K10959" s="12" t="s">
        <v>65</v>
      </c>
    </row>
    <row r="10960" spans="1:11" ht="40.049999999999997" customHeight="1" x14ac:dyDescent="0.25">
      <c r="A10960" s="11" t="s">
        <v>21701</v>
      </c>
      <c r="B10960" s="11" t="s">
        <v>21701</v>
      </c>
      <c r="C10960" s="11" t="s">
        <v>80</v>
      </c>
      <c r="D10960" s="11" t="s">
        <v>18</v>
      </c>
      <c r="E10960" s="12" t="s">
        <v>154</v>
      </c>
      <c r="F10960" s="12" t="s">
        <v>155</v>
      </c>
      <c r="G10960" s="12" t="s">
        <v>40</v>
      </c>
      <c r="H10960" s="11" t="s">
        <v>22</v>
      </c>
      <c r="I10960" s="13" t="s">
        <v>21702</v>
      </c>
      <c r="J10960" s="14" t="str">
        <f>HYPERLINK("https://www.boe.es/gazeta/dias/1839/02/02/pdfs/GMD-1839-1540.pdf#page=2","Abrir facsímil")</f>
        <v>Abrir facsímil</v>
      </c>
      <c r="K10960" s="12" t="s">
        <v>24</v>
      </c>
    </row>
    <row r="10961" spans="1:11" ht="40.049999999999997" customHeight="1" x14ac:dyDescent="0.25">
      <c r="A10961" s="11" t="s">
        <v>21701</v>
      </c>
      <c r="B10961" s="11" t="s">
        <v>21701</v>
      </c>
      <c r="C10961" s="11" t="s">
        <v>17</v>
      </c>
      <c r="D10961" s="11" t="s">
        <v>18</v>
      </c>
      <c r="E10961" s="12" t="s">
        <v>54</v>
      </c>
      <c r="F10961" s="12" t="s">
        <v>55</v>
      </c>
      <c r="G10961" s="12" t="s">
        <v>46</v>
      </c>
      <c r="H10961" s="11" t="s">
        <v>22</v>
      </c>
      <c r="I10961" s="13" t="s">
        <v>21703</v>
      </c>
      <c r="J10961" s="14" t="str">
        <f>HYPERLINK("https://www.boe.es/gazeta/dias/1839/10/05/pdfs/GMD-1839-1791.pdf#page=3","Abrir facsímil")</f>
        <v>Abrir facsímil</v>
      </c>
      <c r="K10961" s="12" t="s">
        <v>24</v>
      </c>
    </row>
    <row r="10962" spans="1:11" ht="40.049999999999997" customHeight="1" x14ac:dyDescent="0.25">
      <c r="A10962" s="11" t="s">
        <v>21701</v>
      </c>
      <c r="B10962" s="11" t="s">
        <v>21701</v>
      </c>
      <c r="C10962" s="11" t="s">
        <v>17</v>
      </c>
      <c r="D10962" s="11" t="s">
        <v>18</v>
      </c>
      <c r="E10962" s="12" t="s">
        <v>54</v>
      </c>
      <c r="F10962" s="12" t="s">
        <v>55</v>
      </c>
      <c r="G10962" s="12" t="s">
        <v>21</v>
      </c>
      <c r="H10962" s="11" t="s">
        <v>22</v>
      </c>
      <c r="I10962" s="13" t="s">
        <v>21704</v>
      </c>
      <c r="J10962" s="14" t="str">
        <f>HYPERLINK("https://www.boe.es/gazeta/dias/1839/10/05/pdfs/GMD-1839-1791.pdf#page=4","Abrir facsímil")</f>
        <v>Abrir facsímil</v>
      </c>
      <c r="K10962" s="12" t="s">
        <v>24</v>
      </c>
    </row>
    <row r="10963" spans="1:11" ht="40.049999999999997" customHeight="1" x14ac:dyDescent="0.25">
      <c r="A10963" s="11" t="s">
        <v>21701</v>
      </c>
      <c r="B10963" s="11" t="s">
        <v>21701</v>
      </c>
      <c r="C10963" s="11" t="s">
        <v>137</v>
      </c>
      <c r="D10963" s="11" t="s">
        <v>18</v>
      </c>
      <c r="E10963" s="12" t="s">
        <v>647</v>
      </c>
      <c r="F10963" s="12" t="s">
        <v>648</v>
      </c>
      <c r="G10963" s="12" t="s">
        <v>46</v>
      </c>
      <c r="H10963" s="11" t="s">
        <v>22</v>
      </c>
      <c r="I10963" s="13" t="s">
        <v>21705</v>
      </c>
      <c r="J10963" s="14" t="str">
        <f>HYPERLINK("https://www.boe.es/gazeta/dias/1839/10/08/pdfs/GMD-1839-1794.pdf#page=3","Abrir facsímil")</f>
        <v>Abrir facsímil</v>
      </c>
      <c r="K10963" s="12" t="s">
        <v>24</v>
      </c>
    </row>
    <row r="10964" spans="1:11" ht="40.049999999999997" customHeight="1" x14ac:dyDescent="0.25">
      <c r="A10964" s="11" t="s">
        <v>21701</v>
      </c>
      <c r="B10964" s="11" t="s">
        <v>21701</v>
      </c>
      <c r="C10964" s="11" t="s">
        <v>17</v>
      </c>
      <c r="D10964" s="11" t="s">
        <v>18</v>
      </c>
      <c r="E10964" s="12" t="s">
        <v>175</v>
      </c>
      <c r="F10964" s="12" t="s">
        <v>176</v>
      </c>
      <c r="G10964" s="12" t="s">
        <v>40</v>
      </c>
      <c r="H10964" s="11" t="s">
        <v>22</v>
      </c>
      <c r="I10964" s="13" t="s">
        <v>21706</v>
      </c>
      <c r="J10964" s="14" t="str">
        <f>HYPERLINK("https://www.boe.es/gazeta/dias/1839/01/16/pdfs/GMD-1839-1523.pdf#page=2","Abrir facsímil")</f>
        <v>Abrir facsímil</v>
      </c>
      <c r="K10964" s="12" t="s">
        <v>24</v>
      </c>
    </row>
    <row r="10965" spans="1:11" ht="40.049999999999997" customHeight="1" x14ac:dyDescent="0.25">
      <c r="A10965" s="11" t="s">
        <v>21701</v>
      </c>
      <c r="B10965" s="11" t="s">
        <v>21701</v>
      </c>
      <c r="C10965" s="11" t="s">
        <v>80</v>
      </c>
      <c r="D10965" s="11" t="s">
        <v>18</v>
      </c>
      <c r="E10965" s="12" t="s">
        <v>230</v>
      </c>
      <c r="F10965" s="12" t="s">
        <v>231</v>
      </c>
      <c r="G10965" s="12" t="s">
        <v>46</v>
      </c>
      <c r="H10965" s="11" t="s">
        <v>22</v>
      </c>
      <c r="I10965" s="13" t="s">
        <v>21707</v>
      </c>
      <c r="J10965" s="14" t="str">
        <f>HYPERLINK("https://www.boe.es/gazeta/dias/1839/09/16/pdfs/GMD-1839-1769.pdf#page=3","Abrir facsímil")</f>
        <v>Abrir facsímil</v>
      </c>
      <c r="K10965" s="12" t="s">
        <v>24</v>
      </c>
    </row>
    <row r="10966" spans="1:11" ht="40.049999999999997" customHeight="1" x14ac:dyDescent="0.25">
      <c r="A10966" s="11" t="s">
        <v>21701</v>
      </c>
      <c r="B10966" s="11" t="s">
        <v>21701</v>
      </c>
      <c r="C10966" s="11" t="s">
        <v>17</v>
      </c>
      <c r="D10966" s="11" t="s">
        <v>18</v>
      </c>
      <c r="E10966" s="12" t="s">
        <v>564</v>
      </c>
      <c r="F10966" s="12" t="s">
        <v>565</v>
      </c>
      <c r="G10966" s="12" t="s">
        <v>46</v>
      </c>
      <c r="H10966" s="11" t="s">
        <v>22</v>
      </c>
      <c r="I10966" s="13" t="s">
        <v>21708</v>
      </c>
      <c r="J10966" s="14" t="str">
        <f>HYPERLINK("https://www.boe.es/gazeta/dias/1839/10/17/pdfs/GMD-1839-1803.pdf#page=3","Abrir facsímil")</f>
        <v>Abrir facsímil</v>
      </c>
      <c r="K10966" s="12" t="s">
        <v>24</v>
      </c>
    </row>
    <row r="10967" spans="1:11" ht="40.049999999999997" customHeight="1" x14ac:dyDescent="0.25">
      <c r="A10967" s="11" t="s">
        <v>21701</v>
      </c>
      <c r="B10967" s="11" t="s">
        <v>21701</v>
      </c>
      <c r="C10967" s="11" t="s">
        <v>101</v>
      </c>
      <c r="D10967" s="11" t="s">
        <v>43</v>
      </c>
      <c r="E10967" s="12" t="s">
        <v>571</v>
      </c>
      <c r="F10967" s="12" t="s">
        <v>572</v>
      </c>
      <c r="G10967" s="12" t="s">
        <v>40</v>
      </c>
      <c r="H10967" s="11" t="s">
        <v>22</v>
      </c>
      <c r="I10967" s="13" t="s">
        <v>21709</v>
      </c>
      <c r="J10967" s="14" t="str">
        <f>HYPERLINK("https://www.boe.es/gazeta/dias/1839/09/27/pdfs/GMD-1839-1783.pdf#page=2","Abrir facsímil")</f>
        <v>Abrir facsímil</v>
      </c>
      <c r="K10967" s="12" t="s">
        <v>24</v>
      </c>
    </row>
    <row r="10968" spans="1:11" ht="40.049999999999997" customHeight="1" x14ac:dyDescent="0.25">
      <c r="A10968" s="11" t="s">
        <v>21701</v>
      </c>
      <c r="B10968" s="11" t="s">
        <v>21701</v>
      </c>
      <c r="C10968" s="11" t="s">
        <v>137</v>
      </c>
      <c r="D10968" s="11" t="s">
        <v>18</v>
      </c>
      <c r="E10968" s="12" t="s">
        <v>1988</v>
      </c>
      <c r="F10968" s="12" t="s">
        <v>1989</v>
      </c>
      <c r="G10968" s="12" t="s">
        <v>566</v>
      </c>
      <c r="H10968" s="11" t="s">
        <v>22</v>
      </c>
      <c r="I10968" s="13" t="s">
        <v>21710</v>
      </c>
      <c r="J10968" s="14" t="str">
        <f>HYPERLINK("https://www.boe.es/gazeta/dias/1839/10/29/pdfs/GMD-1839-1815.pdf#page=5","Abrir facsímil")</f>
        <v>Abrir facsímil</v>
      </c>
      <c r="K10968" s="12" t="s">
        <v>24</v>
      </c>
    </row>
    <row r="10969" spans="1:11" ht="40.049999999999997" customHeight="1" x14ac:dyDescent="0.25">
      <c r="A10969" s="11" t="s">
        <v>21711</v>
      </c>
      <c r="B10969" s="11" t="s">
        <v>21711</v>
      </c>
      <c r="C10969" s="11" t="s">
        <v>101</v>
      </c>
      <c r="D10969" s="11" t="s">
        <v>43</v>
      </c>
      <c r="E10969" s="12" t="s">
        <v>175</v>
      </c>
      <c r="F10969" s="12" t="s">
        <v>176</v>
      </c>
      <c r="G10969" s="12" t="s">
        <v>21</v>
      </c>
      <c r="H10969" s="11" t="s">
        <v>63</v>
      </c>
      <c r="I10969" s="13" t="s">
        <v>21712</v>
      </c>
      <c r="J10969" s="14" t="str">
        <f>HYPERLINK("https://www.boe.es/gazeta/dias/1839/01/16/pdfs/GMD-1839-1523.pdf#page=4","Abrir facsímil")</f>
        <v>Abrir facsímil</v>
      </c>
      <c r="K10969" s="12" t="s">
        <v>65</v>
      </c>
    </row>
    <row r="10970" spans="1:11" ht="40.049999999999997" customHeight="1" x14ac:dyDescent="0.25">
      <c r="A10970" s="11" t="s">
        <v>21713</v>
      </c>
      <c r="B10970" s="11" t="s">
        <v>21713</v>
      </c>
      <c r="C10970" s="11" t="s">
        <v>17</v>
      </c>
      <c r="D10970" s="11" t="s">
        <v>18</v>
      </c>
      <c r="E10970" s="12" t="s">
        <v>2650</v>
      </c>
      <c r="F10970" s="12" t="s">
        <v>2651</v>
      </c>
      <c r="G10970" s="12" t="s">
        <v>46</v>
      </c>
      <c r="H10970" s="11" t="s">
        <v>22</v>
      </c>
      <c r="I10970" s="13" t="s">
        <v>21714</v>
      </c>
      <c r="J10970" s="14" t="str">
        <f>HYPERLINK("https://www.boe.es/gazeta/dias/1839/09/15/pdfs/GMD-1839-1768.pdf#page=3","Abrir facsímil")</f>
        <v>Abrir facsímil</v>
      </c>
      <c r="K10970" s="12" t="s">
        <v>24</v>
      </c>
    </row>
    <row r="10971" spans="1:11" ht="40.049999999999997" customHeight="1" x14ac:dyDescent="0.25">
      <c r="A10971" s="11" t="s">
        <v>21715</v>
      </c>
      <c r="B10971" s="11" t="s">
        <v>21715</v>
      </c>
      <c r="C10971" s="11" t="s">
        <v>137</v>
      </c>
      <c r="D10971" s="11" t="s">
        <v>18</v>
      </c>
      <c r="E10971" s="12" t="s">
        <v>1236</v>
      </c>
      <c r="F10971" s="12" t="s">
        <v>1237</v>
      </c>
      <c r="G10971" s="12" t="s">
        <v>40</v>
      </c>
      <c r="H10971" s="11" t="s">
        <v>63</v>
      </c>
      <c r="I10971" s="13" t="s">
        <v>21716</v>
      </c>
      <c r="J10971" s="14" t="str">
        <f>HYPERLINK("https://www.boe.es/gazeta/dias/1839/10/16/pdfs/GMD-1839-1802.pdf#page=2","Abrir facsímil")</f>
        <v>Abrir facsímil</v>
      </c>
      <c r="K10971" s="12" t="s">
        <v>65</v>
      </c>
    </row>
    <row r="10972" spans="1:11" ht="40.049999999999997" customHeight="1" x14ac:dyDescent="0.25">
      <c r="A10972" s="11" t="s">
        <v>21717</v>
      </c>
      <c r="B10972" s="11" t="s">
        <v>21717</v>
      </c>
      <c r="C10972" s="11" t="s">
        <v>101</v>
      </c>
      <c r="D10972" s="11" t="s">
        <v>43</v>
      </c>
      <c r="E10972" s="12" t="s">
        <v>2138</v>
      </c>
      <c r="F10972" s="12" t="s">
        <v>2139</v>
      </c>
      <c r="G10972" s="12" t="s">
        <v>21</v>
      </c>
      <c r="H10972" s="11" t="s">
        <v>63</v>
      </c>
      <c r="I10972" s="13" t="s">
        <v>21718</v>
      </c>
      <c r="J10972" s="14" t="str">
        <f>HYPERLINK("https://www.boe.es/gazeta/dias/1839/10/02/pdfs/GMD-1839-1788.pdf#page=4","Abrir facsímil")</f>
        <v>Abrir facsímil</v>
      </c>
      <c r="K10972" s="12" t="s">
        <v>65</v>
      </c>
    </row>
    <row r="10973" spans="1:11" ht="40.049999999999997" customHeight="1" x14ac:dyDescent="0.25">
      <c r="A10973" s="11" t="s">
        <v>21717</v>
      </c>
      <c r="B10973" s="11" t="s">
        <v>21717</v>
      </c>
      <c r="C10973" s="11" t="s">
        <v>101</v>
      </c>
      <c r="D10973" s="11" t="s">
        <v>43</v>
      </c>
      <c r="E10973" s="12" t="s">
        <v>212</v>
      </c>
      <c r="F10973" s="12" t="s">
        <v>213</v>
      </c>
      <c r="G10973" s="12" t="s">
        <v>21</v>
      </c>
      <c r="H10973" s="11" t="s">
        <v>63</v>
      </c>
      <c r="I10973" s="13" t="s">
        <v>21719</v>
      </c>
      <c r="J10973" s="14" t="str">
        <f>HYPERLINK("https://www.boe.es/gazeta/dias/1839/10/03/pdfs/GMD-1839-1789.pdf#page=4","Abrir facsímil")</f>
        <v>Abrir facsímil</v>
      </c>
      <c r="K10973" s="12" t="s">
        <v>65</v>
      </c>
    </row>
    <row r="10974" spans="1:11" ht="40.049999999999997" customHeight="1" x14ac:dyDescent="0.25">
      <c r="A10974" s="11" t="s">
        <v>21717</v>
      </c>
      <c r="B10974" s="11" t="s">
        <v>21717</v>
      </c>
      <c r="C10974" s="11" t="s">
        <v>17</v>
      </c>
      <c r="D10974" s="11" t="s">
        <v>18</v>
      </c>
      <c r="E10974" s="12" t="s">
        <v>54</v>
      </c>
      <c r="F10974" s="12" t="s">
        <v>55</v>
      </c>
      <c r="G10974" s="12" t="s">
        <v>40</v>
      </c>
      <c r="H10974" s="11" t="s">
        <v>63</v>
      </c>
      <c r="I10974" s="13" t="s">
        <v>21720</v>
      </c>
      <c r="J10974" s="14" t="str">
        <f>HYPERLINK("https://www.boe.es/gazeta/dias/1839/10/05/pdfs/GMD-1839-1791.pdf#page=2","Abrir facsímil")</f>
        <v>Abrir facsímil</v>
      </c>
      <c r="K10974" s="12" t="s">
        <v>65</v>
      </c>
    </row>
    <row r="10975" spans="1:11" ht="40.049999999999997" customHeight="1" x14ac:dyDescent="0.25">
      <c r="A10975" s="11" t="s">
        <v>21717</v>
      </c>
      <c r="B10975" s="11" t="s">
        <v>21717</v>
      </c>
      <c r="C10975" s="11" t="s">
        <v>17</v>
      </c>
      <c r="D10975" s="11" t="s">
        <v>18</v>
      </c>
      <c r="E10975" s="12" t="s">
        <v>54</v>
      </c>
      <c r="F10975" s="12" t="s">
        <v>55</v>
      </c>
      <c r="G10975" s="12" t="s">
        <v>46</v>
      </c>
      <c r="H10975" s="11" t="s">
        <v>63</v>
      </c>
      <c r="I10975" s="13" t="s">
        <v>21721</v>
      </c>
      <c r="J10975" s="14" t="str">
        <f>HYPERLINK("https://www.boe.es/gazeta/dias/1839/10/05/pdfs/GMD-1839-1791.pdf#page=3","Abrir facsímil")</f>
        <v>Abrir facsímil</v>
      </c>
      <c r="K10975" s="12" t="s">
        <v>65</v>
      </c>
    </row>
    <row r="10976" spans="1:11" ht="40.049999999999997" customHeight="1" x14ac:dyDescent="0.25">
      <c r="A10976" s="11" t="s">
        <v>21717</v>
      </c>
      <c r="B10976" s="11" t="s">
        <v>21717</v>
      </c>
      <c r="C10976" s="11" t="s">
        <v>101</v>
      </c>
      <c r="D10976" s="11" t="s">
        <v>43</v>
      </c>
      <c r="E10976" s="12" t="s">
        <v>54</v>
      </c>
      <c r="F10976" s="12" t="s">
        <v>55</v>
      </c>
      <c r="G10976" s="12" t="s">
        <v>21</v>
      </c>
      <c r="H10976" s="11" t="s">
        <v>63</v>
      </c>
      <c r="I10976" s="13" t="s">
        <v>21722</v>
      </c>
      <c r="J10976" s="14" t="str">
        <f>HYPERLINK("https://www.boe.es/gazeta/dias/1839/10/05/pdfs/GMD-1839-1791.pdf#page=4","Abrir facsímil")</f>
        <v>Abrir facsímil</v>
      </c>
      <c r="K10976" s="12" t="s">
        <v>65</v>
      </c>
    </row>
    <row r="10977" spans="1:11" ht="40.049999999999997" customHeight="1" x14ac:dyDescent="0.25">
      <c r="A10977" s="11" t="s">
        <v>21717</v>
      </c>
      <c r="B10977" s="11" t="s">
        <v>21717</v>
      </c>
      <c r="C10977" s="11" t="s">
        <v>101</v>
      </c>
      <c r="D10977" s="11" t="s">
        <v>43</v>
      </c>
      <c r="E10977" s="12" t="s">
        <v>157</v>
      </c>
      <c r="F10977" s="12" t="s">
        <v>158</v>
      </c>
      <c r="G10977" s="12" t="s">
        <v>21</v>
      </c>
      <c r="H10977" s="11" t="s">
        <v>63</v>
      </c>
      <c r="I10977" s="13" t="s">
        <v>21723</v>
      </c>
      <c r="J10977" s="14" t="str">
        <f>HYPERLINK("https://www.boe.es/gazeta/dias/1839/02/08/pdfs/GMD-1839-1546.pdf#page=4","Abrir facsímil")</f>
        <v>Abrir facsímil</v>
      </c>
      <c r="K10977" s="12" t="s">
        <v>65</v>
      </c>
    </row>
    <row r="10978" spans="1:11" ht="40.049999999999997" customHeight="1" x14ac:dyDescent="0.25">
      <c r="A10978" s="11" t="s">
        <v>21717</v>
      </c>
      <c r="B10978" s="11" t="s">
        <v>21717</v>
      </c>
      <c r="C10978" s="11" t="s">
        <v>17</v>
      </c>
      <c r="D10978" s="11" t="s">
        <v>18</v>
      </c>
      <c r="E10978" s="12" t="s">
        <v>647</v>
      </c>
      <c r="F10978" s="12" t="s">
        <v>648</v>
      </c>
      <c r="G10978" s="12" t="s">
        <v>29</v>
      </c>
      <c r="H10978" s="11" t="s">
        <v>63</v>
      </c>
      <c r="I10978" s="13" t="s">
        <v>21724</v>
      </c>
      <c r="J10978" s="14" t="str">
        <f>HYPERLINK("https://www.boe.es/gazeta/dias/1839/10/08/pdfs/GMD-1839-1794.pdf#page=1","Abrir facsímil")</f>
        <v>Abrir facsímil</v>
      </c>
      <c r="K10978" s="12" t="s">
        <v>65</v>
      </c>
    </row>
    <row r="10979" spans="1:11" ht="40.049999999999997" customHeight="1" x14ac:dyDescent="0.25">
      <c r="A10979" s="11" t="s">
        <v>21717</v>
      </c>
      <c r="B10979" s="11" t="s">
        <v>21717</v>
      </c>
      <c r="C10979" s="11" t="s">
        <v>101</v>
      </c>
      <c r="D10979" s="11" t="s">
        <v>43</v>
      </c>
      <c r="E10979" s="12" t="s">
        <v>647</v>
      </c>
      <c r="F10979" s="12" t="s">
        <v>648</v>
      </c>
      <c r="G10979" s="12" t="s">
        <v>305</v>
      </c>
      <c r="H10979" s="11" t="s">
        <v>63</v>
      </c>
      <c r="I10979" s="13" t="s">
        <v>21725</v>
      </c>
      <c r="J10979" s="14" t="str">
        <f>HYPERLINK("https://www.boe.es/gazeta/dias/1839/10/08/pdfs/GMD-1839-1794.pdf#page=6","Abrir facsímil")</f>
        <v>Abrir facsímil</v>
      </c>
      <c r="K10979" s="12" t="s">
        <v>65</v>
      </c>
    </row>
    <row r="10980" spans="1:11" ht="40.049999999999997" customHeight="1" x14ac:dyDescent="0.25">
      <c r="A10980" s="11" t="s">
        <v>21717</v>
      </c>
      <c r="B10980" s="11" t="s">
        <v>21717</v>
      </c>
      <c r="C10980" s="11" t="s">
        <v>17</v>
      </c>
      <c r="D10980" s="11" t="s">
        <v>18</v>
      </c>
      <c r="E10980" s="12" t="s">
        <v>68</v>
      </c>
      <c r="F10980" s="12" t="s">
        <v>69</v>
      </c>
      <c r="G10980" s="12" t="s">
        <v>46</v>
      </c>
      <c r="H10980" s="11" t="s">
        <v>63</v>
      </c>
      <c r="I10980" s="13" t="s">
        <v>21726</v>
      </c>
      <c r="J10980" s="14" t="str">
        <f>HYPERLINK("https://www.boe.es/gazeta/dias/1839/02/09/pdfs/GMD-1839-1547.pdf#page=3","Abrir facsímil")</f>
        <v>Abrir facsímil</v>
      </c>
      <c r="K10980" s="12" t="s">
        <v>65</v>
      </c>
    </row>
    <row r="10981" spans="1:11" ht="40.049999999999997" customHeight="1" x14ac:dyDescent="0.25">
      <c r="A10981" s="11" t="s">
        <v>21727</v>
      </c>
      <c r="B10981" s="11" t="s">
        <v>21727</v>
      </c>
      <c r="C10981" s="11" t="s">
        <v>137</v>
      </c>
      <c r="D10981" s="11" t="s">
        <v>18</v>
      </c>
      <c r="E10981" s="12" t="s">
        <v>181</v>
      </c>
      <c r="F10981" s="12" t="s">
        <v>182</v>
      </c>
      <c r="G10981" s="12" t="s">
        <v>40</v>
      </c>
      <c r="H10981" s="11" t="s">
        <v>22</v>
      </c>
      <c r="I10981" s="13" t="s">
        <v>21728</v>
      </c>
      <c r="J10981" s="14" t="str">
        <f>HYPERLINK("https://www.boe.es/gazeta/dias/1839/01/11/pdfs/GMD-1839-1518.pdf#page=2","Abrir facsímil")</f>
        <v>Abrir facsímil</v>
      </c>
      <c r="K10981" s="12" t="s">
        <v>24</v>
      </c>
    </row>
    <row r="10982" spans="1:11" ht="40.049999999999997" customHeight="1" x14ac:dyDescent="0.25">
      <c r="A10982" s="11" t="s">
        <v>21717</v>
      </c>
      <c r="B10982" s="11" t="s">
        <v>21717</v>
      </c>
      <c r="C10982" s="11" t="s">
        <v>17</v>
      </c>
      <c r="D10982" s="11" t="s">
        <v>18</v>
      </c>
      <c r="E10982" s="12" t="s">
        <v>181</v>
      </c>
      <c r="F10982" s="12" t="s">
        <v>182</v>
      </c>
      <c r="G10982" s="12" t="s">
        <v>46</v>
      </c>
      <c r="H10982" s="11" t="s">
        <v>63</v>
      </c>
      <c r="I10982" s="13" t="s">
        <v>21729</v>
      </c>
      <c r="J10982" s="14" t="str">
        <f>HYPERLINK("https://www.boe.es/gazeta/dias/1839/01/11/pdfs/GMD-1839-1518.pdf#page=3","Abrir facsímil")</f>
        <v>Abrir facsímil</v>
      </c>
      <c r="K10982" s="12" t="s">
        <v>65</v>
      </c>
    </row>
    <row r="10983" spans="1:11" ht="40.049999999999997" customHeight="1" x14ac:dyDescent="0.25">
      <c r="A10983" s="11" t="s">
        <v>21717</v>
      </c>
      <c r="B10983" s="11" t="s">
        <v>21717</v>
      </c>
      <c r="C10983" s="11" t="s">
        <v>17</v>
      </c>
      <c r="D10983" s="11" t="s">
        <v>18</v>
      </c>
      <c r="E10983" s="12" t="s">
        <v>163</v>
      </c>
      <c r="F10983" s="12" t="s">
        <v>164</v>
      </c>
      <c r="G10983" s="12" t="s">
        <v>46</v>
      </c>
      <c r="H10983" s="11" t="s">
        <v>63</v>
      </c>
      <c r="I10983" s="13" t="s">
        <v>21730</v>
      </c>
      <c r="J10983" s="14" t="str">
        <f>HYPERLINK("https://www.boe.es/gazeta/dias/1839/01/13/pdfs/GMD-1839-1520.pdf#page=3","Abrir facsímil")</f>
        <v>Abrir facsímil</v>
      </c>
      <c r="K10983" s="12" t="s">
        <v>65</v>
      </c>
    </row>
    <row r="10984" spans="1:11" ht="40.049999999999997" customHeight="1" x14ac:dyDescent="0.25">
      <c r="A10984" s="11" t="s">
        <v>21727</v>
      </c>
      <c r="B10984" s="11" t="s">
        <v>21727</v>
      </c>
      <c r="C10984" s="11" t="s">
        <v>17</v>
      </c>
      <c r="D10984" s="11" t="s">
        <v>18</v>
      </c>
      <c r="E10984" s="12" t="s">
        <v>736</v>
      </c>
      <c r="F10984" s="12" t="s">
        <v>737</v>
      </c>
      <c r="G10984" s="12" t="s">
        <v>46</v>
      </c>
      <c r="H10984" s="11" t="s">
        <v>22</v>
      </c>
      <c r="I10984" s="13" t="s">
        <v>21731</v>
      </c>
      <c r="J10984" s="14" t="str">
        <f>HYPERLINK("https://www.boe.es/gazeta/dias/1839/10/13/pdfs/GMD-1839-1799.pdf#page=3","Abrir facsímil")</f>
        <v>Abrir facsímil</v>
      </c>
      <c r="K10984" s="12" t="s">
        <v>24</v>
      </c>
    </row>
    <row r="10985" spans="1:11" ht="40.049999999999997" customHeight="1" x14ac:dyDescent="0.25">
      <c r="A10985" s="11" t="s">
        <v>21727</v>
      </c>
      <c r="B10985" s="11" t="s">
        <v>21727</v>
      </c>
      <c r="C10985" s="11" t="s">
        <v>17</v>
      </c>
      <c r="D10985" s="11" t="s">
        <v>18</v>
      </c>
      <c r="E10985" s="12" t="s">
        <v>185</v>
      </c>
      <c r="F10985" s="12" t="s">
        <v>186</v>
      </c>
      <c r="G10985" s="12" t="s">
        <v>40</v>
      </c>
      <c r="H10985" s="11" t="s">
        <v>22</v>
      </c>
      <c r="I10985" s="13" t="s">
        <v>21732</v>
      </c>
      <c r="J10985" s="14" t="str">
        <f>HYPERLINK("https://www.boe.es/gazeta/dias/1839/01/15/pdfs/GMD-1839-1522.pdf#page=2","Abrir facsímil")</f>
        <v>Abrir facsímil</v>
      </c>
      <c r="K10985" s="12" t="s">
        <v>24</v>
      </c>
    </row>
    <row r="10986" spans="1:11" ht="40.049999999999997" customHeight="1" x14ac:dyDescent="0.25">
      <c r="A10986" s="11" t="s">
        <v>21717</v>
      </c>
      <c r="B10986" s="11" t="s">
        <v>21717</v>
      </c>
      <c r="C10986" s="11" t="s">
        <v>137</v>
      </c>
      <c r="D10986" s="11" t="s">
        <v>18</v>
      </c>
      <c r="E10986" s="12" t="s">
        <v>185</v>
      </c>
      <c r="F10986" s="12" t="s">
        <v>186</v>
      </c>
      <c r="G10986" s="12" t="s">
        <v>46</v>
      </c>
      <c r="H10986" s="11" t="s">
        <v>63</v>
      </c>
      <c r="I10986" s="13" t="s">
        <v>21733</v>
      </c>
      <c r="J10986" s="14" t="str">
        <f>HYPERLINK("https://www.boe.es/gazeta/dias/1839/01/15/pdfs/GMD-1839-1522.pdf#page=3","Abrir facsímil")</f>
        <v>Abrir facsímil</v>
      </c>
      <c r="K10986" s="12" t="s">
        <v>65</v>
      </c>
    </row>
    <row r="10987" spans="1:11" ht="40.049999999999997" customHeight="1" x14ac:dyDescent="0.25">
      <c r="A10987" s="11" t="s">
        <v>21727</v>
      </c>
      <c r="B10987" s="11" t="s">
        <v>21727</v>
      </c>
      <c r="C10987" s="11" t="s">
        <v>17</v>
      </c>
      <c r="D10987" s="11" t="s">
        <v>18</v>
      </c>
      <c r="E10987" s="12" t="s">
        <v>1069</v>
      </c>
      <c r="F10987" s="12" t="s">
        <v>1070</v>
      </c>
      <c r="G10987" s="12" t="s">
        <v>21</v>
      </c>
      <c r="H10987" s="11" t="s">
        <v>22</v>
      </c>
      <c r="I10987" s="13" t="s">
        <v>21734</v>
      </c>
      <c r="J10987" s="14" t="str">
        <f>HYPERLINK("https://www.boe.es/gazeta/dias/1839/10/15/pdfs/GMD-1839-1801.pdf#page=4","Abrir facsímil")</f>
        <v>Abrir facsímil</v>
      </c>
      <c r="K10987" s="12" t="s">
        <v>24</v>
      </c>
    </row>
    <row r="10988" spans="1:11" ht="40.049999999999997" customHeight="1" x14ac:dyDescent="0.25">
      <c r="A10988" s="11" t="s">
        <v>21717</v>
      </c>
      <c r="B10988" s="11" t="s">
        <v>21717</v>
      </c>
      <c r="C10988" s="11" t="s">
        <v>17</v>
      </c>
      <c r="D10988" s="11" t="s">
        <v>18</v>
      </c>
      <c r="E10988" s="12" t="s">
        <v>175</v>
      </c>
      <c r="F10988" s="12" t="s">
        <v>176</v>
      </c>
      <c r="G10988" s="12" t="s">
        <v>46</v>
      </c>
      <c r="H10988" s="11" t="s">
        <v>63</v>
      </c>
      <c r="I10988" s="13" t="s">
        <v>21735</v>
      </c>
      <c r="J10988" s="14" t="str">
        <f>HYPERLINK("https://www.boe.es/gazeta/dias/1839/01/16/pdfs/GMD-1839-1523.pdf#page=3","Abrir facsímil")</f>
        <v>Abrir facsímil</v>
      </c>
      <c r="K10988" s="12" t="s">
        <v>65</v>
      </c>
    </row>
    <row r="10989" spans="1:11" ht="40.049999999999997" customHeight="1" x14ac:dyDescent="0.25">
      <c r="A10989" s="11" t="s">
        <v>21717</v>
      </c>
      <c r="B10989" s="11" t="s">
        <v>21717</v>
      </c>
      <c r="C10989" s="11" t="s">
        <v>101</v>
      </c>
      <c r="D10989" s="11" t="s">
        <v>43</v>
      </c>
      <c r="E10989" s="12" t="s">
        <v>1236</v>
      </c>
      <c r="F10989" s="12" t="s">
        <v>1237</v>
      </c>
      <c r="G10989" s="12" t="s">
        <v>40</v>
      </c>
      <c r="H10989" s="11" t="s">
        <v>63</v>
      </c>
      <c r="I10989" s="13" t="s">
        <v>21736</v>
      </c>
      <c r="J10989" s="14" t="str">
        <f>HYPERLINK("https://www.boe.es/gazeta/dias/1839/10/16/pdfs/GMD-1839-1802.pdf#page=2","Abrir facsímil")</f>
        <v>Abrir facsímil</v>
      </c>
      <c r="K10989" s="12" t="s">
        <v>65</v>
      </c>
    </row>
    <row r="10990" spans="1:11" ht="40.049999999999997" customHeight="1" x14ac:dyDescent="0.25">
      <c r="A10990" s="11" t="s">
        <v>21727</v>
      </c>
      <c r="B10990" s="11" t="s">
        <v>21727</v>
      </c>
      <c r="C10990" s="11" t="s">
        <v>101</v>
      </c>
      <c r="D10990" s="11" t="s">
        <v>43</v>
      </c>
      <c r="E10990" s="12" t="s">
        <v>1236</v>
      </c>
      <c r="F10990" s="12" t="s">
        <v>1237</v>
      </c>
      <c r="G10990" s="12" t="s">
        <v>46</v>
      </c>
      <c r="H10990" s="11" t="s">
        <v>22</v>
      </c>
      <c r="I10990" s="13" t="s">
        <v>21737</v>
      </c>
      <c r="J10990" s="14" t="str">
        <f>HYPERLINK("https://www.boe.es/gazeta/dias/1839/10/16/pdfs/GMD-1839-1802.pdf#page=3","Abrir facsímil")</f>
        <v>Abrir facsímil</v>
      </c>
      <c r="K10990" s="12" t="s">
        <v>24</v>
      </c>
    </row>
    <row r="10991" spans="1:11" ht="40.049999999999997" customHeight="1" x14ac:dyDescent="0.25">
      <c r="A10991" s="11" t="s">
        <v>21717</v>
      </c>
      <c r="B10991" s="11" t="s">
        <v>21717</v>
      </c>
      <c r="C10991" s="11" t="s">
        <v>17</v>
      </c>
      <c r="D10991" s="11" t="s">
        <v>18</v>
      </c>
      <c r="E10991" s="12" t="s">
        <v>233</v>
      </c>
      <c r="F10991" s="12" t="s">
        <v>234</v>
      </c>
      <c r="G10991" s="12" t="s">
        <v>21</v>
      </c>
      <c r="H10991" s="11" t="s">
        <v>63</v>
      </c>
      <c r="I10991" s="13" t="s">
        <v>21738</v>
      </c>
      <c r="J10991" s="14" t="str">
        <f>HYPERLINK("https://www.boe.es/gazeta/dias/1839/09/17/pdfs/GMD-1839-1770.pdf#page=4","Abrir facsímil")</f>
        <v>Abrir facsímil</v>
      </c>
      <c r="K10991" s="12" t="s">
        <v>65</v>
      </c>
    </row>
    <row r="10992" spans="1:11" ht="40.049999999999997" customHeight="1" x14ac:dyDescent="0.25">
      <c r="A10992" s="11" t="s">
        <v>21717</v>
      </c>
      <c r="B10992" s="11" t="s">
        <v>21717</v>
      </c>
      <c r="C10992" s="11" t="s">
        <v>101</v>
      </c>
      <c r="D10992" s="11" t="s">
        <v>43</v>
      </c>
      <c r="E10992" s="12" t="s">
        <v>564</v>
      </c>
      <c r="F10992" s="12" t="s">
        <v>565</v>
      </c>
      <c r="G10992" s="12" t="s">
        <v>46</v>
      </c>
      <c r="H10992" s="11" t="s">
        <v>63</v>
      </c>
      <c r="I10992" s="13" t="s">
        <v>21739</v>
      </c>
      <c r="J10992" s="14" t="str">
        <f>HYPERLINK("https://www.boe.es/gazeta/dias/1839/10/17/pdfs/GMD-1839-1803.pdf#page=3","Abrir facsímil")</f>
        <v>Abrir facsímil</v>
      </c>
      <c r="K10992" s="12" t="s">
        <v>65</v>
      </c>
    </row>
    <row r="10993" spans="1:11" ht="40.049999999999997" customHeight="1" x14ac:dyDescent="0.25">
      <c r="A10993" s="11" t="s">
        <v>21717</v>
      </c>
      <c r="B10993" s="11" t="s">
        <v>21717</v>
      </c>
      <c r="C10993" s="11" t="s">
        <v>17</v>
      </c>
      <c r="D10993" s="11" t="s">
        <v>18</v>
      </c>
      <c r="E10993" s="12" t="s">
        <v>564</v>
      </c>
      <c r="F10993" s="12" t="s">
        <v>565</v>
      </c>
      <c r="G10993" s="12" t="s">
        <v>21</v>
      </c>
      <c r="H10993" s="11" t="s">
        <v>63</v>
      </c>
      <c r="I10993" s="13" t="s">
        <v>21740</v>
      </c>
      <c r="J10993" s="14" t="str">
        <f>HYPERLINK("https://www.boe.es/gazeta/dias/1839/10/17/pdfs/GMD-1839-1803.pdf#page=4","Abrir facsímil")</f>
        <v>Abrir facsímil</v>
      </c>
      <c r="K10993" s="12" t="s">
        <v>65</v>
      </c>
    </row>
    <row r="10994" spans="1:11" ht="40.049999999999997" customHeight="1" x14ac:dyDescent="0.25">
      <c r="A10994" s="11" t="s">
        <v>21727</v>
      </c>
      <c r="B10994" s="11" t="s">
        <v>21727</v>
      </c>
      <c r="C10994" s="11" t="s">
        <v>17</v>
      </c>
      <c r="D10994" s="11" t="s">
        <v>18</v>
      </c>
      <c r="E10994" s="12" t="s">
        <v>1108</v>
      </c>
      <c r="F10994" s="12" t="s">
        <v>1109</v>
      </c>
      <c r="G10994" s="12" t="s">
        <v>46</v>
      </c>
      <c r="H10994" s="11" t="s">
        <v>22</v>
      </c>
      <c r="I10994" s="13" t="s">
        <v>21741</v>
      </c>
      <c r="J10994" s="14" t="str">
        <f>HYPERLINK("https://www.boe.es/gazeta/dias/1839/09/21/pdfs/GMD-1839-1776.pdf#page=3","Abrir facsímil")</f>
        <v>Abrir facsímil</v>
      </c>
      <c r="K10994" s="12" t="s">
        <v>24</v>
      </c>
    </row>
    <row r="10995" spans="1:11" ht="40.049999999999997" customHeight="1" x14ac:dyDescent="0.25">
      <c r="A10995" s="11" t="s">
        <v>21717</v>
      </c>
      <c r="B10995" s="11" t="s">
        <v>21717</v>
      </c>
      <c r="C10995" s="11" t="s">
        <v>17</v>
      </c>
      <c r="D10995" s="11" t="s">
        <v>18</v>
      </c>
      <c r="E10995" s="12" t="s">
        <v>568</v>
      </c>
      <c r="F10995" s="12" t="s">
        <v>569</v>
      </c>
      <c r="G10995" s="12" t="s">
        <v>21</v>
      </c>
      <c r="H10995" s="11" t="s">
        <v>63</v>
      </c>
      <c r="I10995" s="13" t="s">
        <v>21742</v>
      </c>
      <c r="J10995" s="14" t="str">
        <f>HYPERLINK("https://www.boe.es/gazeta/dias/1839/10/23/pdfs/GMD-1839-1809.pdf#page=4","Abrir facsímil")</f>
        <v>Abrir facsímil</v>
      </c>
      <c r="K10995" s="12" t="s">
        <v>65</v>
      </c>
    </row>
    <row r="10996" spans="1:11" ht="40.049999999999997" customHeight="1" x14ac:dyDescent="0.25">
      <c r="A10996" s="11" t="s">
        <v>21717</v>
      </c>
      <c r="B10996" s="11" t="s">
        <v>21717</v>
      </c>
      <c r="C10996" s="11" t="s">
        <v>59</v>
      </c>
      <c r="D10996" s="11" t="s">
        <v>60</v>
      </c>
      <c r="E10996" s="12" t="s">
        <v>1679</v>
      </c>
      <c r="F10996" s="12" t="s">
        <v>1680</v>
      </c>
      <c r="G10996" s="12" t="s">
        <v>46</v>
      </c>
      <c r="H10996" s="11" t="s">
        <v>63</v>
      </c>
      <c r="I10996" s="13" t="s">
        <v>21743</v>
      </c>
      <c r="J10996" s="14" t="str">
        <f>HYPERLINK("https://www.boe.es/gazeta/dias/1839/01/26/pdfs/GMD-1839-1533.pdf#page=3","Abrir facsímil")</f>
        <v>Abrir facsímil</v>
      </c>
      <c r="K10996" s="12" t="s">
        <v>65</v>
      </c>
    </row>
    <row r="10997" spans="1:11" ht="40.049999999999997" customHeight="1" x14ac:dyDescent="0.25">
      <c r="A10997" s="11" t="s">
        <v>21717</v>
      </c>
      <c r="B10997" s="11" t="s">
        <v>21717</v>
      </c>
      <c r="C10997" s="11" t="s">
        <v>101</v>
      </c>
      <c r="D10997" s="11" t="s">
        <v>43</v>
      </c>
      <c r="E10997" s="12" t="s">
        <v>571</v>
      </c>
      <c r="F10997" s="12" t="s">
        <v>572</v>
      </c>
      <c r="G10997" s="12" t="s">
        <v>40</v>
      </c>
      <c r="H10997" s="11" t="s">
        <v>63</v>
      </c>
      <c r="I10997" s="13" t="s">
        <v>21744</v>
      </c>
      <c r="J10997" s="14" t="str">
        <f>HYPERLINK("https://www.boe.es/gazeta/dias/1839/09/27/pdfs/GMD-1839-1783.pdf#page=2","Abrir facsímil")</f>
        <v>Abrir facsímil</v>
      </c>
      <c r="K10997" s="12" t="s">
        <v>65</v>
      </c>
    </row>
    <row r="10998" spans="1:11" ht="40.049999999999997" customHeight="1" x14ac:dyDescent="0.25">
      <c r="A10998" s="11" t="s">
        <v>21745</v>
      </c>
      <c r="B10998" s="11" t="s">
        <v>21746</v>
      </c>
      <c r="C10998" s="11" t="s">
        <v>17</v>
      </c>
      <c r="D10998" s="11" t="s">
        <v>18</v>
      </c>
      <c r="E10998" s="12" t="s">
        <v>207</v>
      </c>
      <c r="F10998" s="12" t="s">
        <v>208</v>
      </c>
      <c r="G10998" s="12" t="s">
        <v>40</v>
      </c>
      <c r="H10998" s="11" t="s">
        <v>63</v>
      </c>
      <c r="I10998" s="13" t="s">
        <v>21747</v>
      </c>
      <c r="J10998" s="14" t="str">
        <f>HYPERLINK("https://www.boe.es/gazeta/dias/1839/02/19/pdfs/GMD-1839-1557.pdf#page=2","Abrir facsímil")</f>
        <v>Abrir facsímil</v>
      </c>
      <c r="K10998" s="12" t="s">
        <v>65</v>
      </c>
    </row>
    <row r="10999" spans="1:11" ht="40.049999999999997" customHeight="1" x14ac:dyDescent="0.25">
      <c r="A10999" s="11" t="s">
        <v>21748</v>
      </c>
      <c r="B10999" s="11" t="s">
        <v>21748</v>
      </c>
      <c r="C10999" s="11" t="s">
        <v>101</v>
      </c>
      <c r="D10999" s="11" t="s">
        <v>43</v>
      </c>
      <c r="E10999" s="12" t="s">
        <v>2650</v>
      </c>
      <c r="F10999" s="12" t="s">
        <v>2651</v>
      </c>
      <c r="G10999" s="12" t="s">
        <v>46</v>
      </c>
      <c r="H10999" s="11" t="s">
        <v>22</v>
      </c>
      <c r="I10999" s="13" t="s">
        <v>21749</v>
      </c>
      <c r="J10999" s="14" t="str">
        <f>HYPERLINK("https://www.boe.es/gazeta/dias/1839/09/15/pdfs/GMD-1839-1768.pdf#page=3","Abrir facsímil")</f>
        <v>Abrir facsímil</v>
      </c>
      <c r="K10999" s="12" t="s">
        <v>24</v>
      </c>
    </row>
    <row r="11000" spans="1:11" ht="40.049999999999997" customHeight="1" x14ac:dyDescent="0.25">
      <c r="A11000" s="11" t="s">
        <v>21748</v>
      </c>
      <c r="B11000" s="11" t="s">
        <v>21748</v>
      </c>
      <c r="C11000" s="11" t="s">
        <v>17</v>
      </c>
      <c r="D11000" s="11" t="s">
        <v>43</v>
      </c>
      <c r="E11000" s="12" t="s">
        <v>926</v>
      </c>
      <c r="F11000" s="12" t="s">
        <v>927</v>
      </c>
      <c r="G11000" s="12" t="s">
        <v>21</v>
      </c>
      <c r="H11000" s="11" t="s">
        <v>22</v>
      </c>
      <c r="I11000" s="13" t="s">
        <v>21750</v>
      </c>
      <c r="J11000" s="14" t="str">
        <f>HYPERLINK("https://www.boe.es/gazeta/dias/1839/01/25/pdfs/GMD-1839-1532.pdf#page=4","Abrir facsímil")</f>
        <v>Abrir facsímil</v>
      </c>
      <c r="K11000" s="12" t="s">
        <v>24</v>
      </c>
    </row>
    <row r="11001" spans="1:11" ht="40.049999999999997" customHeight="1" x14ac:dyDescent="0.25">
      <c r="A11001" s="11" t="s">
        <v>21751</v>
      </c>
      <c r="B11001" s="11" t="s">
        <v>21752</v>
      </c>
      <c r="C11001" s="11" t="s">
        <v>137</v>
      </c>
      <c r="D11001" s="11" t="s">
        <v>18</v>
      </c>
      <c r="E11001" s="12" t="s">
        <v>49</v>
      </c>
      <c r="F11001" s="12" t="s">
        <v>50</v>
      </c>
      <c r="G11001" s="12" t="s">
        <v>40</v>
      </c>
      <c r="H11001" s="11" t="s">
        <v>63</v>
      </c>
      <c r="I11001" s="13" t="s">
        <v>21753</v>
      </c>
      <c r="J11001" s="14" t="str">
        <f>HYPERLINK("https://www.boe.es/gazeta/dias/1839/01/05/pdfs/GMD-1839-1512.pdf#page=2","Abrir facsímil")</f>
        <v>Abrir facsímil</v>
      </c>
      <c r="K11001" s="12" t="s">
        <v>65</v>
      </c>
    </row>
    <row r="11002" spans="1:11" ht="40.049999999999997" customHeight="1" x14ac:dyDescent="0.25">
      <c r="A11002" s="11" t="s">
        <v>21754</v>
      </c>
      <c r="B11002" s="11" t="s">
        <v>21755</v>
      </c>
      <c r="C11002" s="11" t="s">
        <v>17</v>
      </c>
      <c r="D11002" s="11" t="s">
        <v>18</v>
      </c>
      <c r="E11002" s="12" t="s">
        <v>1614</v>
      </c>
      <c r="F11002" s="12" t="s">
        <v>1615</v>
      </c>
      <c r="G11002" s="12" t="s">
        <v>21</v>
      </c>
      <c r="H11002" s="11" t="s">
        <v>63</v>
      </c>
      <c r="I11002" s="13" t="s">
        <v>21756</v>
      </c>
      <c r="J11002" s="14" t="str">
        <f>HYPERLINK("https://www.boe.es/gazeta/dias/1839/07/03/pdfs/GMD-1839-1691.pdf#page=4","Abrir facsímil")</f>
        <v>Abrir facsímil</v>
      </c>
      <c r="K11002" s="12" t="s">
        <v>65</v>
      </c>
    </row>
    <row r="11003" spans="1:11" ht="40.049999999999997" customHeight="1" x14ac:dyDescent="0.25">
      <c r="A11003" s="11" t="s">
        <v>21754</v>
      </c>
      <c r="B11003" s="11" t="s">
        <v>21755</v>
      </c>
      <c r="C11003" s="11" t="s">
        <v>17</v>
      </c>
      <c r="D11003" s="11" t="s">
        <v>43</v>
      </c>
      <c r="E11003" s="12" t="s">
        <v>2165</v>
      </c>
      <c r="F11003" s="12" t="s">
        <v>2166</v>
      </c>
      <c r="G11003" s="12" t="s">
        <v>40</v>
      </c>
      <c r="H11003" s="11" t="s">
        <v>63</v>
      </c>
      <c r="I11003" s="13" t="s">
        <v>21757</v>
      </c>
      <c r="J11003" s="14" t="str">
        <f>HYPERLINK("https://www.boe.es/gazeta/dias/1839/01/06/pdfs/GMD-1839-1513.pdf#page=2","Abrir facsímil")</f>
        <v>Abrir facsímil</v>
      </c>
      <c r="K11003" s="12" t="s">
        <v>65</v>
      </c>
    </row>
    <row r="11004" spans="1:11" ht="40.049999999999997" customHeight="1" x14ac:dyDescent="0.25">
      <c r="A11004" s="11" t="s">
        <v>21758</v>
      </c>
      <c r="B11004" s="11" t="s">
        <v>21759</v>
      </c>
      <c r="C11004" s="11" t="s">
        <v>101</v>
      </c>
      <c r="D11004" s="11" t="s">
        <v>43</v>
      </c>
      <c r="E11004" s="12" t="s">
        <v>433</v>
      </c>
      <c r="F11004" s="12" t="s">
        <v>434</v>
      </c>
      <c r="G11004" s="12" t="s">
        <v>46</v>
      </c>
      <c r="H11004" s="11" t="s">
        <v>63</v>
      </c>
      <c r="I11004" s="13" t="s">
        <v>21760</v>
      </c>
      <c r="J11004" s="14" t="str">
        <f>HYPERLINK("https://www.boe.es/gazeta/dias/1839/01/20/pdfs/GMD-1839-1527.pdf#page=3","Abrir facsímil")</f>
        <v>Abrir facsímil</v>
      </c>
      <c r="K11004" s="12" t="s">
        <v>65</v>
      </c>
    </row>
    <row r="11005" spans="1:11" ht="40.049999999999997" customHeight="1" x14ac:dyDescent="0.25">
      <c r="A11005" s="11" t="s">
        <v>21761</v>
      </c>
      <c r="B11005" s="11" t="s">
        <v>21762</v>
      </c>
      <c r="C11005" s="11" t="s">
        <v>101</v>
      </c>
      <c r="D11005" s="11" t="s">
        <v>43</v>
      </c>
      <c r="E11005" s="12" t="s">
        <v>197</v>
      </c>
      <c r="F11005" s="12" t="s">
        <v>198</v>
      </c>
      <c r="G11005" s="12" t="s">
        <v>46</v>
      </c>
      <c r="H11005" s="11" t="s">
        <v>63</v>
      </c>
      <c r="I11005" s="13" t="s">
        <v>21763</v>
      </c>
      <c r="J11005" s="14" t="str">
        <f>HYPERLINK("https://www.boe.es/gazeta/dias/1839/10/04/pdfs/GMD-1839-1790.pdf#page=3","Abrir facsímil")</f>
        <v>Abrir facsímil</v>
      </c>
      <c r="K11005" s="12" t="s">
        <v>65</v>
      </c>
    </row>
    <row r="11006" spans="1:11" ht="40.049999999999997" customHeight="1" x14ac:dyDescent="0.25">
      <c r="A11006" s="11" t="s">
        <v>21764</v>
      </c>
      <c r="B11006" s="11" t="s">
        <v>21764</v>
      </c>
      <c r="C11006" s="11" t="s">
        <v>17</v>
      </c>
      <c r="D11006" s="11" t="s">
        <v>18</v>
      </c>
      <c r="E11006" s="12" t="s">
        <v>54</v>
      </c>
      <c r="F11006" s="12" t="s">
        <v>55</v>
      </c>
      <c r="G11006" s="12" t="s">
        <v>46</v>
      </c>
      <c r="H11006" s="11" t="s">
        <v>63</v>
      </c>
      <c r="I11006" s="13" t="s">
        <v>21765</v>
      </c>
      <c r="J11006" s="14" t="str">
        <f>HYPERLINK("https://www.boe.es/gazeta/dias/1839/10/05/pdfs/GMD-1839-1791.pdf#page=3","Abrir facsímil")</f>
        <v>Abrir facsímil</v>
      </c>
      <c r="K11006" s="12" t="s">
        <v>65</v>
      </c>
    </row>
    <row r="11007" spans="1:11" ht="40.049999999999997" customHeight="1" x14ac:dyDescent="0.25">
      <c r="A11007" s="11" t="s">
        <v>21766</v>
      </c>
      <c r="B11007" s="11" t="s">
        <v>21767</v>
      </c>
      <c r="C11007" s="11" t="s">
        <v>17</v>
      </c>
      <c r="D11007" s="11" t="s">
        <v>18</v>
      </c>
      <c r="E11007" s="12" t="s">
        <v>2522</v>
      </c>
      <c r="F11007" s="12" t="s">
        <v>2523</v>
      </c>
      <c r="G11007" s="12" t="s">
        <v>21</v>
      </c>
      <c r="H11007" s="11" t="s">
        <v>63</v>
      </c>
      <c r="I11007" s="13" t="s">
        <v>21768</v>
      </c>
      <c r="J11007" s="14" t="str">
        <f>HYPERLINK("https://www.boe.es/gazeta/dias/1839/12/29/pdfs/GMD-1839-1876.pdf#page=4","Abrir facsímil")</f>
        <v>Abrir facsímil</v>
      </c>
      <c r="K11007" s="12" t="s">
        <v>65</v>
      </c>
    </row>
    <row r="11008" spans="1:11" ht="40.049999999999997" customHeight="1" x14ac:dyDescent="0.25">
      <c r="A11008" s="11" t="s">
        <v>21769</v>
      </c>
      <c r="B11008" s="11" t="s">
        <v>21769</v>
      </c>
      <c r="C11008" s="11" t="s">
        <v>17</v>
      </c>
      <c r="D11008" s="11" t="s">
        <v>18</v>
      </c>
      <c r="E11008" s="12" t="s">
        <v>1008</v>
      </c>
      <c r="F11008" s="12" t="s">
        <v>1009</v>
      </c>
      <c r="G11008" s="12" t="s">
        <v>40</v>
      </c>
      <c r="H11008" s="11" t="s">
        <v>63</v>
      </c>
      <c r="I11008" s="13" t="s">
        <v>21770</v>
      </c>
      <c r="J11008" s="14" t="str">
        <f>HYPERLINK("https://www.boe.es/gazeta/dias/1839/09/07/pdfs/GMD-1839-1760.pdf#page=2","Abrir facsímil")</f>
        <v>Abrir facsímil</v>
      </c>
      <c r="K11008" s="12" t="s">
        <v>65</v>
      </c>
    </row>
    <row r="11009" spans="1:11" ht="40.049999999999997" customHeight="1" x14ac:dyDescent="0.25">
      <c r="A11009" s="11" t="s">
        <v>21771</v>
      </c>
      <c r="B11009" s="11" t="s">
        <v>21771</v>
      </c>
      <c r="C11009" s="11" t="s">
        <v>17</v>
      </c>
      <c r="D11009" s="11" t="s">
        <v>18</v>
      </c>
      <c r="E11009" s="12" t="s">
        <v>2069</v>
      </c>
      <c r="F11009" s="12" t="s">
        <v>2070</v>
      </c>
      <c r="G11009" s="12" t="s">
        <v>305</v>
      </c>
      <c r="H11009" s="11" t="s">
        <v>63</v>
      </c>
      <c r="I11009" s="13" t="s">
        <v>21772</v>
      </c>
      <c r="J11009" s="14" t="str">
        <f>HYPERLINK("https://www.boe.es/gazeta/dias/1839/10/20/pdfs/GMD-1839-1806.pdf#page=6","Abrir facsímil")</f>
        <v>Abrir facsímil</v>
      </c>
      <c r="K11009" s="12" t="s">
        <v>65</v>
      </c>
    </row>
    <row r="11010" spans="1:11" ht="40.049999999999997" customHeight="1" x14ac:dyDescent="0.25">
      <c r="A11010" s="11" t="s">
        <v>21771</v>
      </c>
      <c r="B11010" s="11" t="s">
        <v>21771</v>
      </c>
      <c r="C11010" s="11" t="s">
        <v>17</v>
      </c>
      <c r="D11010" s="11" t="s">
        <v>43</v>
      </c>
      <c r="E11010" s="12" t="s">
        <v>3391</v>
      </c>
      <c r="F11010" s="12" t="s">
        <v>3392</v>
      </c>
      <c r="G11010" s="12" t="s">
        <v>21</v>
      </c>
      <c r="H11010" s="11" t="s">
        <v>63</v>
      </c>
      <c r="I11010" s="13" t="s">
        <v>21773</v>
      </c>
      <c r="J11010" s="14" t="str">
        <f>HYPERLINK("https://www.boe.es/gazeta/dias/1839/12/31/pdfs/GMD-1839-1878.pdf#page=4","Abrir facsímil")</f>
        <v>Abrir facsímil</v>
      </c>
      <c r="K11010" s="12" t="s">
        <v>65</v>
      </c>
    </row>
    <row r="11011" spans="1:11" ht="40.049999999999997" customHeight="1" x14ac:dyDescent="0.25">
      <c r="A11011" s="11" t="s">
        <v>21774</v>
      </c>
      <c r="B11011" s="11" t="s">
        <v>21774</v>
      </c>
      <c r="C11011" s="11" t="s">
        <v>101</v>
      </c>
      <c r="D11011" s="11" t="s">
        <v>43</v>
      </c>
      <c r="E11011" s="12" t="s">
        <v>903</v>
      </c>
      <c r="F11011" s="12" t="s">
        <v>904</v>
      </c>
      <c r="G11011" s="12" t="s">
        <v>46</v>
      </c>
      <c r="H11011" s="11" t="s">
        <v>63</v>
      </c>
      <c r="I11011" s="13" t="s">
        <v>21775</v>
      </c>
      <c r="J11011" s="14" t="str">
        <f>HYPERLINK("https://www.boe.es/gazeta/dias/1839/03/14/pdfs/GMD-1839-1580.pdf#page=3","Abrir facsímil")</f>
        <v>Abrir facsímil</v>
      </c>
      <c r="K11011" s="12" t="s">
        <v>65</v>
      </c>
    </row>
    <row r="11012" spans="1:11" ht="40.049999999999997" customHeight="1" x14ac:dyDescent="0.25">
      <c r="A11012" s="11" t="s">
        <v>21774</v>
      </c>
      <c r="B11012" s="11" t="s">
        <v>21774</v>
      </c>
      <c r="C11012" s="11" t="s">
        <v>17</v>
      </c>
      <c r="D11012" s="11" t="s">
        <v>18</v>
      </c>
      <c r="E11012" s="12" t="s">
        <v>2262</v>
      </c>
      <c r="F11012" s="12" t="s">
        <v>2263</v>
      </c>
      <c r="G11012" s="12" t="s">
        <v>40</v>
      </c>
      <c r="H11012" s="11" t="s">
        <v>63</v>
      </c>
      <c r="I11012" s="13" t="s">
        <v>21776</v>
      </c>
      <c r="J11012" s="14" t="str">
        <f>HYPERLINK("https://www.boe.es/gazeta/dias/1839/03/16/pdfs/GMD-1839-1582.pdf#page=2","Abrir facsímil")</f>
        <v>Abrir facsímil</v>
      </c>
      <c r="K11012" s="12" t="s">
        <v>65</v>
      </c>
    </row>
    <row r="11013" spans="1:11" ht="40.049999999999997" customHeight="1" x14ac:dyDescent="0.25">
      <c r="A11013" s="11" t="s">
        <v>21777</v>
      </c>
      <c r="B11013" s="11" t="s">
        <v>21777</v>
      </c>
      <c r="C11013" s="11" t="s">
        <v>101</v>
      </c>
      <c r="D11013" s="11" t="s">
        <v>43</v>
      </c>
      <c r="E11013" s="12" t="s">
        <v>751</v>
      </c>
      <c r="F11013" s="12" t="s">
        <v>752</v>
      </c>
      <c r="G11013" s="12" t="s">
        <v>40</v>
      </c>
      <c r="H11013" s="11" t="s">
        <v>22</v>
      </c>
      <c r="I11013" s="13" t="s">
        <v>21778</v>
      </c>
      <c r="J11013" s="14" t="str">
        <f>HYPERLINK("https://www.boe.es/gazeta/dias/1839/02/05/pdfs/GMD-1839-1543.pdf#page=2","Abrir facsímil")</f>
        <v>Abrir facsímil</v>
      </c>
      <c r="K11013" s="12" t="s">
        <v>24</v>
      </c>
    </row>
    <row r="11014" spans="1:11" ht="40.049999999999997" customHeight="1" x14ac:dyDescent="0.25">
      <c r="A11014" s="11" t="s">
        <v>21779</v>
      </c>
      <c r="B11014" s="11" t="s">
        <v>21779</v>
      </c>
      <c r="C11014" s="11" t="s">
        <v>137</v>
      </c>
      <c r="D11014" s="11" t="s">
        <v>18</v>
      </c>
      <c r="E11014" s="12" t="s">
        <v>284</v>
      </c>
      <c r="F11014" s="12" t="s">
        <v>285</v>
      </c>
      <c r="G11014" s="12" t="s">
        <v>40</v>
      </c>
      <c r="H11014" s="11" t="s">
        <v>63</v>
      </c>
      <c r="I11014" s="13" t="s">
        <v>21780</v>
      </c>
      <c r="J11014" s="14" t="str">
        <f>HYPERLINK("https://www.boe.es/gazeta/dias/1839/01/27/pdfs/GMD-1839-1534.pdf#page=2","Abrir facsímil")</f>
        <v>Abrir facsímil</v>
      </c>
      <c r="K11014" s="12" t="s">
        <v>65</v>
      </c>
    </row>
    <row r="11015" spans="1:11" ht="40.049999999999997" customHeight="1" x14ac:dyDescent="0.25">
      <c r="A11015" s="11" t="s">
        <v>21781</v>
      </c>
      <c r="B11015" s="11" t="s">
        <v>21782</v>
      </c>
      <c r="C11015" s="11" t="s">
        <v>17</v>
      </c>
      <c r="D11015" s="11" t="s">
        <v>18</v>
      </c>
      <c r="E11015" s="12" t="s">
        <v>138</v>
      </c>
      <c r="F11015" s="12" t="s">
        <v>139</v>
      </c>
      <c r="G11015" s="12" t="s">
        <v>29</v>
      </c>
      <c r="H11015" s="11" t="s">
        <v>63</v>
      </c>
      <c r="I11015" s="13" t="s">
        <v>21783</v>
      </c>
      <c r="J11015" s="14" t="str">
        <f>HYPERLINK("https://www.boe.es/gazeta/dias/1839/10/09/pdfs/GMD-1839-1795.pdf#page=1","Abrir facsímil")</f>
        <v>Abrir facsímil</v>
      </c>
      <c r="K11015" s="12" t="s">
        <v>65</v>
      </c>
    </row>
    <row r="11016" spans="1:11" ht="40.049999999999997" customHeight="1" x14ac:dyDescent="0.25">
      <c r="A11016" s="11" t="s">
        <v>21784</v>
      </c>
      <c r="B11016" s="11" t="s">
        <v>21784</v>
      </c>
      <c r="C11016" s="11" t="s">
        <v>17</v>
      </c>
      <c r="D11016" s="11" t="s">
        <v>43</v>
      </c>
      <c r="E11016" s="12" t="s">
        <v>258</v>
      </c>
      <c r="F11016" s="12" t="s">
        <v>259</v>
      </c>
      <c r="G11016" s="12" t="s">
        <v>21</v>
      </c>
      <c r="H11016" s="11" t="s">
        <v>63</v>
      </c>
      <c r="I11016" s="13" t="s">
        <v>21785</v>
      </c>
      <c r="J11016" s="14" t="str">
        <f>HYPERLINK("https://www.boe.es/gazeta/dias/1839/01/02/pdfs/GMD-1839-1509.pdf#page=4","Abrir facsímil")</f>
        <v>Abrir facsímil</v>
      </c>
      <c r="K11016" s="12" t="s">
        <v>65</v>
      </c>
    </row>
    <row r="11017" spans="1:11" ht="40.049999999999997" customHeight="1" x14ac:dyDescent="0.25">
      <c r="A11017" s="11" t="s">
        <v>21786</v>
      </c>
      <c r="B11017" s="11" t="s">
        <v>21787</v>
      </c>
      <c r="C11017" s="11" t="s">
        <v>17</v>
      </c>
      <c r="D11017" s="11" t="s">
        <v>18</v>
      </c>
      <c r="E11017" s="12" t="s">
        <v>138</v>
      </c>
      <c r="F11017" s="12" t="s">
        <v>139</v>
      </c>
      <c r="G11017" s="12" t="s">
        <v>40</v>
      </c>
      <c r="H11017" s="11" t="s">
        <v>63</v>
      </c>
      <c r="I11017" s="13" t="s">
        <v>21788</v>
      </c>
      <c r="J11017" s="14" t="str">
        <f>HYPERLINK("https://www.boe.es/gazeta/dias/1839/10/09/pdfs/GMD-1839-1795.pdf#page=2","Abrir facsímil")</f>
        <v>Abrir facsímil</v>
      </c>
      <c r="K11017" s="12" t="s">
        <v>65</v>
      </c>
    </row>
    <row r="11018" spans="1:11" ht="40.049999999999997" customHeight="1" x14ac:dyDescent="0.25">
      <c r="A11018" s="11" t="s">
        <v>21789</v>
      </c>
      <c r="B11018" s="11" t="s">
        <v>21789</v>
      </c>
      <c r="C11018" s="11" t="s">
        <v>59</v>
      </c>
      <c r="D11018" s="11" t="s">
        <v>60</v>
      </c>
      <c r="E11018" s="12" t="s">
        <v>516</v>
      </c>
      <c r="F11018" s="12" t="s">
        <v>517</v>
      </c>
      <c r="G11018" s="12" t="s">
        <v>29</v>
      </c>
      <c r="H11018" s="11" t="s">
        <v>63</v>
      </c>
      <c r="I11018" s="13" t="s">
        <v>21790</v>
      </c>
      <c r="J11018" s="14" t="str">
        <f>HYPERLINK("https://www.boe.es/gazeta/dias/1839/06/21/pdfs/GMD-1839-1679.pdf#page=1","Abrir facsímil")</f>
        <v>Abrir facsímil</v>
      </c>
      <c r="K11018" s="12" t="s">
        <v>65</v>
      </c>
    </row>
    <row r="11019" spans="1:11" ht="40.049999999999997" customHeight="1" x14ac:dyDescent="0.25">
      <c r="A11019" s="11" t="s">
        <v>21791</v>
      </c>
      <c r="B11019" s="11" t="s">
        <v>21791</v>
      </c>
      <c r="C11019" s="11" t="s">
        <v>101</v>
      </c>
      <c r="D11019" s="11" t="s">
        <v>43</v>
      </c>
      <c r="E11019" s="12" t="s">
        <v>175</v>
      </c>
      <c r="F11019" s="12" t="s">
        <v>176</v>
      </c>
      <c r="G11019" s="12" t="s">
        <v>40</v>
      </c>
      <c r="H11019" s="11" t="s">
        <v>63</v>
      </c>
      <c r="I11019" s="13" t="s">
        <v>21792</v>
      </c>
      <c r="J11019" s="14" t="str">
        <f>HYPERLINK("https://www.boe.es/gazeta/dias/1839/01/16/pdfs/GMD-1839-1523.pdf#page=2","Abrir facsímil")</f>
        <v>Abrir facsímil</v>
      </c>
      <c r="K11019" s="12" t="s">
        <v>65</v>
      </c>
    </row>
    <row r="11020" spans="1:11" ht="40.049999999999997" customHeight="1" x14ac:dyDescent="0.25">
      <c r="A11020" s="11" t="s">
        <v>21793</v>
      </c>
      <c r="B11020" s="11" t="s">
        <v>21793</v>
      </c>
      <c r="C11020" s="11" t="s">
        <v>101</v>
      </c>
      <c r="D11020" s="11" t="s">
        <v>102</v>
      </c>
      <c r="E11020" s="12" t="s">
        <v>1929</v>
      </c>
      <c r="F11020" s="12" t="s">
        <v>1930</v>
      </c>
      <c r="G11020" s="12" t="s">
        <v>40</v>
      </c>
      <c r="H11020" s="11" t="s">
        <v>63</v>
      </c>
      <c r="I11020" s="13" t="s">
        <v>21794</v>
      </c>
      <c r="J11020" s="14" t="str">
        <f>HYPERLINK("https://www.boe.es/gazeta/dias/1839/02/01/pdfs/GMD-1839-1539.pdf#page=2","Abrir facsímil")</f>
        <v>Abrir facsímil</v>
      </c>
      <c r="K11020" s="12" t="s">
        <v>65</v>
      </c>
    </row>
    <row r="11021" spans="1:11" ht="40.049999999999997" customHeight="1" x14ac:dyDescent="0.25">
      <c r="A11021" s="11" t="s">
        <v>21793</v>
      </c>
      <c r="B11021" s="11" t="s">
        <v>21793</v>
      </c>
      <c r="C11021" s="11" t="s">
        <v>137</v>
      </c>
      <c r="D11021" s="11" t="s">
        <v>18</v>
      </c>
      <c r="E11021" s="12" t="s">
        <v>175</v>
      </c>
      <c r="F11021" s="12" t="s">
        <v>176</v>
      </c>
      <c r="G11021" s="12" t="s">
        <v>40</v>
      </c>
      <c r="H11021" s="11" t="s">
        <v>63</v>
      </c>
      <c r="I11021" s="13" t="s">
        <v>21795</v>
      </c>
      <c r="J11021" s="14" t="str">
        <f>HYPERLINK("https://www.boe.es/gazeta/dias/1839/01/16/pdfs/GMD-1839-1523.pdf#page=2","Abrir facsímil")</f>
        <v>Abrir facsímil</v>
      </c>
      <c r="K11021" s="12" t="s">
        <v>65</v>
      </c>
    </row>
    <row r="11022" spans="1:11" ht="40.049999999999997" customHeight="1" x14ac:dyDescent="0.25">
      <c r="A11022" s="11" t="s">
        <v>21796</v>
      </c>
      <c r="B11022" s="11" t="s">
        <v>21797</v>
      </c>
      <c r="C11022" s="11" t="s">
        <v>17</v>
      </c>
      <c r="D11022" s="11" t="s">
        <v>43</v>
      </c>
      <c r="E11022" s="12" t="s">
        <v>507</v>
      </c>
      <c r="F11022" s="12" t="s">
        <v>508</v>
      </c>
      <c r="G11022" s="12" t="s">
        <v>21</v>
      </c>
      <c r="H11022" s="11" t="s">
        <v>63</v>
      </c>
      <c r="I11022" s="13" t="s">
        <v>21798</v>
      </c>
      <c r="J11022" s="14" t="str">
        <f>HYPERLINK("https://www.boe.es/gazeta/dias/1839/08/12/pdfs/GMD-1839-1732.pdf#page=4","Abrir facsímil")</f>
        <v>Abrir facsímil</v>
      </c>
      <c r="K11022" s="12" t="s">
        <v>65</v>
      </c>
    </row>
    <row r="11023" spans="1:11" ht="40.049999999999997" customHeight="1" x14ac:dyDescent="0.25">
      <c r="A11023" s="11" t="s">
        <v>21799</v>
      </c>
      <c r="B11023" s="11" t="s">
        <v>21800</v>
      </c>
      <c r="C11023" s="11" t="s">
        <v>137</v>
      </c>
      <c r="D11023" s="11" t="s">
        <v>18</v>
      </c>
      <c r="E11023" s="12" t="s">
        <v>2851</v>
      </c>
      <c r="F11023" s="12" t="s">
        <v>2852</v>
      </c>
      <c r="G11023" s="12" t="s">
        <v>29</v>
      </c>
      <c r="H11023" s="11" t="s">
        <v>63</v>
      </c>
      <c r="I11023" s="13" t="s">
        <v>21801</v>
      </c>
      <c r="J11023" s="14" t="str">
        <f>HYPERLINK("https://www.boe.es/gazeta/dias/1839/05/16/pdfs/GMD-1839-1643.pdf#page=1","Abrir facsímil")</f>
        <v>Abrir facsímil</v>
      </c>
      <c r="K11023" s="12" t="s">
        <v>65</v>
      </c>
    </row>
    <row r="11024" spans="1:11" ht="40.049999999999997" customHeight="1" x14ac:dyDescent="0.25">
      <c r="A11024" s="11" t="s">
        <v>21802</v>
      </c>
      <c r="B11024" s="11" t="s">
        <v>21803</v>
      </c>
      <c r="C11024" s="11" t="s">
        <v>17</v>
      </c>
      <c r="D11024" s="11" t="s">
        <v>18</v>
      </c>
      <c r="E11024" s="12" t="s">
        <v>716</v>
      </c>
      <c r="F11024" s="12" t="s">
        <v>717</v>
      </c>
      <c r="G11024" s="12" t="s">
        <v>29</v>
      </c>
      <c r="H11024" s="11" t="s">
        <v>63</v>
      </c>
      <c r="I11024" s="13" t="s">
        <v>21804</v>
      </c>
      <c r="J11024" s="14" t="str">
        <f>HYPERLINK("https://www.boe.es/gazeta/dias/1839/07/30/pdfs/GMD-1839-1719.pdf#page=1","Abrir facsímil")</f>
        <v>Abrir facsímil</v>
      </c>
      <c r="K11024" s="12" t="s">
        <v>65</v>
      </c>
    </row>
    <row r="11025" spans="1:11" ht="40.049999999999997" customHeight="1" x14ac:dyDescent="0.25">
      <c r="A11025" s="11" t="s">
        <v>21805</v>
      </c>
      <c r="B11025" s="11" t="s">
        <v>21806</v>
      </c>
      <c r="C11025" s="11" t="s">
        <v>101</v>
      </c>
      <c r="D11025" s="11" t="s">
        <v>102</v>
      </c>
      <c r="E11025" s="12" t="s">
        <v>222</v>
      </c>
      <c r="F11025" s="12" t="s">
        <v>223</v>
      </c>
      <c r="G11025" s="12" t="s">
        <v>29</v>
      </c>
      <c r="H11025" s="11" t="s">
        <v>63</v>
      </c>
      <c r="I11025" s="13" t="s">
        <v>21807</v>
      </c>
      <c r="J11025" s="14" t="str">
        <f>HYPERLINK("https://www.boe.es/gazeta/dias/1839/06/22/pdfs/GMD-1839-1680.pdf#page=1","Abrir facsímil")</f>
        <v>Abrir facsímil</v>
      </c>
      <c r="K11025" s="12" t="s">
        <v>65</v>
      </c>
    </row>
    <row r="11026" spans="1:11" ht="40.049999999999997" customHeight="1" x14ac:dyDescent="0.25">
      <c r="A11026" s="11" t="s">
        <v>21808</v>
      </c>
      <c r="B11026" s="11" t="s">
        <v>21809</v>
      </c>
      <c r="C11026" s="11" t="s">
        <v>80</v>
      </c>
      <c r="D11026" s="11" t="s">
        <v>18</v>
      </c>
      <c r="E11026" s="12" t="s">
        <v>303</v>
      </c>
      <c r="F11026" s="12" t="s">
        <v>304</v>
      </c>
      <c r="G11026" s="12" t="s">
        <v>305</v>
      </c>
      <c r="H11026" s="11" t="s">
        <v>63</v>
      </c>
      <c r="I11026" s="13" t="s">
        <v>21810</v>
      </c>
      <c r="J11026" s="14" t="str">
        <f>HYPERLINK("https://www.boe.es/gazeta/dias/1839/10/06/pdfs/GMD-1839-1792.pdf#page=6","Abrir facsímil")</f>
        <v>Abrir facsímil</v>
      </c>
      <c r="K11026" s="12" t="s">
        <v>65</v>
      </c>
    </row>
    <row r="11027" spans="1:11" ht="40.049999999999997" customHeight="1" x14ac:dyDescent="0.25">
      <c r="A11027" s="11" t="s">
        <v>21811</v>
      </c>
      <c r="B11027" s="11" t="s">
        <v>21812</v>
      </c>
      <c r="C11027" s="11" t="s">
        <v>17</v>
      </c>
      <c r="D11027" s="11" t="s">
        <v>18</v>
      </c>
      <c r="E11027" s="12" t="s">
        <v>3224</v>
      </c>
      <c r="F11027" s="12" t="s">
        <v>3225</v>
      </c>
      <c r="G11027" s="12" t="s">
        <v>46</v>
      </c>
      <c r="H11027" s="11" t="s">
        <v>63</v>
      </c>
      <c r="I11027" s="13" t="s">
        <v>21813</v>
      </c>
      <c r="J11027" s="14" t="str">
        <f>HYPERLINK("https://www.boe.es/gazeta/dias/1839/06/03/pdfs/GMD-1839-1661.pdf#page=3","Abrir facsímil")</f>
        <v>Abrir facsímil</v>
      </c>
      <c r="K11027" s="12" t="s">
        <v>65</v>
      </c>
    </row>
    <row r="11028" spans="1:11" ht="40.049999999999997" customHeight="1" x14ac:dyDescent="0.25">
      <c r="A11028" s="11" t="s">
        <v>21814</v>
      </c>
      <c r="B11028" s="11" t="s">
        <v>21815</v>
      </c>
      <c r="C11028" s="11" t="s">
        <v>17</v>
      </c>
      <c r="D11028" s="11" t="s">
        <v>43</v>
      </c>
      <c r="E11028" s="12" t="s">
        <v>1666</v>
      </c>
      <c r="F11028" s="12" t="s">
        <v>1667</v>
      </c>
      <c r="G11028" s="12" t="s">
        <v>21</v>
      </c>
      <c r="H11028" s="11" t="s">
        <v>63</v>
      </c>
      <c r="I11028" s="13" t="s">
        <v>21816</v>
      </c>
      <c r="J11028" s="14" t="str">
        <f>HYPERLINK("https://www.boe.es/gazeta/dias/1839/04/22/pdfs/GMD-1839-1619.pdf#page=4","Abrir facsímil")</f>
        <v>Abrir facsímil</v>
      </c>
      <c r="K11028" s="12" t="s">
        <v>65</v>
      </c>
    </row>
    <row r="11029" spans="1:11" ht="40.049999999999997" customHeight="1" x14ac:dyDescent="0.25">
      <c r="A11029" s="11" t="s">
        <v>21817</v>
      </c>
      <c r="B11029" s="11" t="s">
        <v>21817</v>
      </c>
      <c r="C11029" s="11" t="s">
        <v>101</v>
      </c>
      <c r="D11029" s="11" t="s">
        <v>102</v>
      </c>
      <c r="E11029" s="12" t="s">
        <v>3236</v>
      </c>
      <c r="F11029" s="12" t="s">
        <v>3237</v>
      </c>
      <c r="G11029" s="12" t="s">
        <v>46</v>
      </c>
      <c r="H11029" s="11" t="s">
        <v>63</v>
      </c>
      <c r="I11029" s="13" t="s">
        <v>21818</v>
      </c>
      <c r="J11029" s="14" t="str">
        <f>HYPERLINK("https://www.boe.es/gazeta/dias/1839/12/03/pdfs/GMD-1839-1850.pdf#page=3","Abrir facsímil")</f>
        <v>Abrir facsímil</v>
      </c>
      <c r="K11029" s="12" t="s">
        <v>65</v>
      </c>
    </row>
    <row r="11030" spans="1:11" ht="40.049999999999997" customHeight="1" x14ac:dyDescent="0.25">
      <c r="A11030" s="11" t="s">
        <v>21817</v>
      </c>
      <c r="B11030" s="11" t="s">
        <v>21817</v>
      </c>
      <c r="C11030" s="11" t="s">
        <v>59</v>
      </c>
      <c r="D11030" s="11" t="s">
        <v>60</v>
      </c>
      <c r="E11030" s="12" t="s">
        <v>202</v>
      </c>
      <c r="F11030" s="12" t="s">
        <v>203</v>
      </c>
      <c r="G11030" s="12" t="s">
        <v>40</v>
      </c>
      <c r="H11030" s="11" t="s">
        <v>63</v>
      </c>
      <c r="I11030" s="13" t="s">
        <v>21819</v>
      </c>
      <c r="J11030" s="14" t="str">
        <f>HYPERLINK("https://www.boe.es/gazeta/dias/1839/04/05/pdfs/GMD-1839-1602.pdf#page=2","Abrir facsímil")</f>
        <v>Abrir facsímil</v>
      </c>
      <c r="K11030" s="12" t="s">
        <v>65</v>
      </c>
    </row>
    <row r="11031" spans="1:11" ht="40.049999999999997" customHeight="1" x14ac:dyDescent="0.25">
      <c r="A11031" s="11" t="s">
        <v>21817</v>
      </c>
      <c r="B11031" s="11" t="s">
        <v>21817</v>
      </c>
      <c r="C11031" s="11" t="s">
        <v>137</v>
      </c>
      <c r="D11031" s="11" t="s">
        <v>18</v>
      </c>
      <c r="E11031" s="12" t="s">
        <v>4044</v>
      </c>
      <c r="F11031" s="12" t="s">
        <v>4045</v>
      </c>
      <c r="G11031" s="12" t="s">
        <v>29</v>
      </c>
      <c r="H11031" s="11" t="s">
        <v>63</v>
      </c>
      <c r="I11031" s="13" t="s">
        <v>21820</v>
      </c>
      <c r="J11031" s="14" t="str">
        <f>HYPERLINK("https://www.boe.es/gazeta/dias/1839/01/07/pdfs/GMD-1839-1514.pdf#page=1","Abrir facsímil")</f>
        <v>Abrir facsímil</v>
      </c>
      <c r="K11031" s="12" t="s">
        <v>65</v>
      </c>
    </row>
    <row r="11032" spans="1:11" ht="40.049999999999997" customHeight="1" x14ac:dyDescent="0.25">
      <c r="A11032" s="11" t="s">
        <v>21817</v>
      </c>
      <c r="B11032" s="11" t="s">
        <v>21817</v>
      </c>
      <c r="C11032" s="11" t="s">
        <v>17</v>
      </c>
      <c r="D11032" s="11" t="s">
        <v>18</v>
      </c>
      <c r="E11032" s="12" t="s">
        <v>138</v>
      </c>
      <c r="F11032" s="12" t="s">
        <v>139</v>
      </c>
      <c r="G11032" s="12" t="s">
        <v>21</v>
      </c>
      <c r="H11032" s="11" t="s">
        <v>63</v>
      </c>
      <c r="I11032" s="13" t="s">
        <v>21821</v>
      </c>
      <c r="J11032" s="14" t="str">
        <f>HYPERLINK("https://www.boe.es/gazeta/dias/1839/10/09/pdfs/GMD-1839-1795.pdf#page=4","Abrir facsímil")</f>
        <v>Abrir facsímil</v>
      </c>
      <c r="K11032" s="12" t="s">
        <v>65</v>
      </c>
    </row>
    <row r="11033" spans="1:11" ht="40.049999999999997" customHeight="1" x14ac:dyDescent="0.25">
      <c r="A11033" s="11" t="s">
        <v>21817</v>
      </c>
      <c r="B11033" s="11" t="s">
        <v>21817</v>
      </c>
      <c r="C11033" s="11" t="s">
        <v>137</v>
      </c>
      <c r="D11033" s="11" t="s">
        <v>18</v>
      </c>
      <c r="E11033" s="12" t="s">
        <v>160</v>
      </c>
      <c r="F11033" s="12" t="s">
        <v>161</v>
      </c>
      <c r="G11033" s="12" t="s">
        <v>29</v>
      </c>
      <c r="H11033" s="11" t="s">
        <v>63</v>
      </c>
      <c r="I11033" s="13" t="s">
        <v>21822</v>
      </c>
      <c r="J11033" s="14" t="str">
        <f>HYPERLINK("https://www.boe.es/gazeta/dias/1839/01/10/pdfs/GMD-1839-1517.pdf#page=1","Abrir facsímil")</f>
        <v>Abrir facsímil</v>
      </c>
      <c r="K11033" s="12" t="s">
        <v>65</v>
      </c>
    </row>
    <row r="11034" spans="1:11" ht="40.049999999999997" customHeight="1" x14ac:dyDescent="0.25">
      <c r="A11034" s="11" t="s">
        <v>21817</v>
      </c>
      <c r="B11034" s="11" t="s">
        <v>21817</v>
      </c>
      <c r="C11034" s="11" t="s">
        <v>17</v>
      </c>
      <c r="D11034" s="11" t="s">
        <v>18</v>
      </c>
      <c r="E11034" s="12" t="s">
        <v>507</v>
      </c>
      <c r="F11034" s="12" t="s">
        <v>508</v>
      </c>
      <c r="G11034" s="12" t="s">
        <v>40</v>
      </c>
      <c r="H11034" s="11" t="s">
        <v>63</v>
      </c>
      <c r="I11034" s="13" t="s">
        <v>21823</v>
      </c>
      <c r="J11034" s="14" t="str">
        <f>HYPERLINK("https://www.boe.es/gazeta/dias/1839/08/12/pdfs/GMD-1839-1732.pdf#page=2","Abrir facsímil")</f>
        <v>Abrir facsímil</v>
      </c>
      <c r="K11034" s="12" t="s">
        <v>65</v>
      </c>
    </row>
    <row r="11035" spans="1:11" ht="40.049999999999997" customHeight="1" x14ac:dyDescent="0.25">
      <c r="A11035" s="11" t="s">
        <v>21817</v>
      </c>
      <c r="B11035" s="11" t="s">
        <v>21817</v>
      </c>
      <c r="C11035" s="11" t="s">
        <v>101</v>
      </c>
      <c r="D11035" s="11" t="s">
        <v>43</v>
      </c>
      <c r="E11035" s="12" t="s">
        <v>834</v>
      </c>
      <c r="F11035" s="12" t="s">
        <v>835</v>
      </c>
      <c r="G11035" s="12" t="s">
        <v>40</v>
      </c>
      <c r="H11035" s="11" t="s">
        <v>63</v>
      </c>
      <c r="I11035" s="13" t="s">
        <v>21824</v>
      </c>
      <c r="J11035" s="14" t="str">
        <f>HYPERLINK("https://www.boe.es/gazeta/dias/1839/08/17/pdfs/GMD-1839-1737.pdf#page=2","Abrir facsímil")</f>
        <v>Abrir facsímil</v>
      </c>
      <c r="K11035" s="12" t="s">
        <v>65</v>
      </c>
    </row>
    <row r="11036" spans="1:11" ht="40.049999999999997" customHeight="1" x14ac:dyDescent="0.25">
      <c r="A11036" s="11" t="s">
        <v>21817</v>
      </c>
      <c r="B11036" s="11" t="s">
        <v>21817</v>
      </c>
      <c r="C11036" s="11" t="s">
        <v>17</v>
      </c>
      <c r="D11036" s="11" t="s">
        <v>18</v>
      </c>
      <c r="E11036" s="12" t="s">
        <v>486</v>
      </c>
      <c r="F11036" s="12" t="s">
        <v>487</v>
      </c>
      <c r="G11036" s="12" t="s">
        <v>40</v>
      </c>
      <c r="H11036" s="11" t="s">
        <v>63</v>
      </c>
      <c r="I11036" s="13" t="s">
        <v>21825</v>
      </c>
      <c r="J11036" s="14" t="str">
        <f>HYPERLINK("https://www.boe.es/gazeta/dias/1839/04/19/pdfs/GMD-1839-1616.pdf#page=2","Abrir facsímil")</f>
        <v>Abrir facsímil</v>
      </c>
      <c r="K11036" s="12" t="s">
        <v>65</v>
      </c>
    </row>
    <row r="11037" spans="1:11" ht="40.049999999999997" customHeight="1" x14ac:dyDescent="0.25">
      <c r="A11037" s="11" t="s">
        <v>21817</v>
      </c>
      <c r="B11037" s="11" t="s">
        <v>21817</v>
      </c>
      <c r="C11037" s="11" t="s">
        <v>17</v>
      </c>
      <c r="D11037" s="11" t="s">
        <v>18</v>
      </c>
      <c r="E11037" s="12" t="s">
        <v>1584</v>
      </c>
      <c r="F11037" s="12" t="s">
        <v>1585</v>
      </c>
      <c r="G11037" s="12" t="s">
        <v>21</v>
      </c>
      <c r="H11037" s="11" t="s">
        <v>63</v>
      </c>
      <c r="I11037" s="13" t="s">
        <v>21826</v>
      </c>
      <c r="J11037" s="14" t="str">
        <f>HYPERLINK("https://www.boe.es/gazeta/dias/1839/11/20/pdfs/GMD-1839-1837.pdf#page=4","Abrir facsímil")</f>
        <v>Abrir facsímil</v>
      </c>
      <c r="K11037" s="12" t="s">
        <v>65</v>
      </c>
    </row>
    <row r="11038" spans="1:11" ht="40.049999999999997" customHeight="1" x14ac:dyDescent="0.25">
      <c r="A11038" s="11" t="s">
        <v>21817</v>
      </c>
      <c r="B11038" s="11" t="s">
        <v>21817</v>
      </c>
      <c r="C11038" s="11" t="s">
        <v>137</v>
      </c>
      <c r="D11038" s="11" t="s">
        <v>18</v>
      </c>
      <c r="E11038" s="12" t="s">
        <v>516</v>
      </c>
      <c r="F11038" s="12" t="s">
        <v>517</v>
      </c>
      <c r="G11038" s="12" t="s">
        <v>40</v>
      </c>
      <c r="H11038" s="11" t="s">
        <v>63</v>
      </c>
      <c r="I11038" s="13" t="s">
        <v>21827</v>
      </c>
      <c r="J11038" s="14" t="str">
        <f>HYPERLINK("https://www.boe.es/gazeta/dias/1839/06/21/pdfs/GMD-1839-1679.pdf#page=2","Abrir facsímil")</f>
        <v>Abrir facsímil</v>
      </c>
      <c r="K11038" s="12" t="s">
        <v>65</v>
      </c>
    </row>
    <row r="11039" spans="1:11" ht="40.049999999999997" customHeight="1" x14ac:dyDescent="0.25">
      <c r="A11039" s="11" t="s">
        <v>21817</v>
      </c>
      <c r="B11039" s="11" t="s">
        <v>21817</v>
      </c>
      <c r="C11039" s="11" t="s">
        <v>80</v>
      </c>
      <c r="D11039" s="11" t="s">
        <v>18</v>
      </c>
      <c r="E11039" s="12" t="s">
        <v>479</v>
      </c>
      <c r="F11039" s="12" t="s">
        <v>480</v>
      </c>
      <c r="G11039" s="12" t="s">
        <v>29</v>
      </c>
      <c r="H11039" s="11" t="s">
        <v>63</v>
      </c>
      <c r="I11039" s="13" t="s">
        <v>21828</v>
      </c>
      <c r="J11039" s="14" t="str">
        <f>HYPERLINK("https://www.boe.es/gazeta/dias/1839/06/24/pdfs/GMD-1839-1682.pdf#page=1","Abrir facsímil")</f>
        <v>Abrir facsímil</v>
      </c>
      <c r="K11039" s="12" t="s">
        <v>65</v>
      </c>
    </row>
    <row r="11040" spans="1:11" ht="40.049999999999997" customHeight="1" x14ac:dyDescent="0.25">
      <c r="A11040" s="11" t="s">
        <v>21817</v>
      </c>
      <c r="B11040" s="11" t="s">
        <v>21817</v>
      </c>
      <c r="C11040" s="11" t="s">
        <v>137</v>
      </c>
      <c r="D11040" s="11" t="s">
        <v>18</v>
      </c>
      <c r="E11040" s="12" t="s">
        <v>1086</v>
      </c>
      <c r="F11040" s="12" t="s">
        <v>1087</v>
      </c>
      <c r="G11040" s="12" t="s">
        <v>40</v>
      </c>
      <c r="H11040" s="11" t="s">
        <v>63</v>
      </c>
      <c r="I11040" s="13" t="s">
        <v>21829</v>
      </c>
      <c r="J11040" s="14" t="str">
        <f>HYPERLINK("https://www.boe.es/gazeta/dias/1839/10/26/pdfs/GMD-1839-1812.pdf#page=2","Abrir facsímil")</f>
        <v>Abrir facsímil</v>
      </c>
      <c r="K11040" s="12" t="s">
        <v>65</v>
      </c>
    </row>
    <row r="11041" spans="1:11" ht="40.049999999999997" customHeight="1" x14ac:dyDescent="0.25">
      <c r="A11041" s="11" t="s">
        <v>21817</v>
      </c>
      <c r="B11041" s="11" t="s">
        <v>21817</v>
      </c>
      <c r="C11041" s="11" t="s">
        <v>17</v>
      </c>
      <c r="D11041" s="11" t="s">
        <v>18</v>
      </c>
      <c r="E11041" s="12" t="s">
        <v>1988</v>
      </c>
      <c r="F11041" s="12" t="s">
        <v>1989</v>
      </c>
      <c r="G11041" s="12" t="s">
        <v>40</v>
      </c>
      <c r="H11041" s="11" t="s">
        <v>63</v>
      </c>
      <c r="I11041" s="13" t="s">
        <v>21830</v>
      </c>
      <c r="J11041" s="14" t="str">
        <f>HYPERLINK("https://www.boe.es/gazeta/dias/1839/10/29/pdfs/GMD-1839-1815.pdf#page=2","Abrir facsímil")</f>
        <v>Abrir facsímil</v>
      </c>
      <c r="K11041" s="12" t="s">
        <v>65</v>
      </c>
    </row>
    <row r="11042" spans="1:11" ht="40.049999999999997" customHeight="1" x14ac:dyDescent="0.25">
      <c r="A11042" s="11" t="s">
        <v>21817</v>
      </c>
      <c r="B11042" s="11" t="s">
        <v>21817</v>
      </c>
      <c r="C11042" s="11" t="s">
        <v>17</v>
      </c>
      <c r="D11042" s="11" t="s">
        <v>18</v>
      </c>
      <c r="E11042" s="12" t="s">
        <v>4292</v>
      </c>
      <c r="F11042" s="12" t="s">
        <v>4293</v>
      </c>
      <c r="G11042" s="12" t="s">
        <v>40</v>
      </c>
      <c r="H11042" s="11" t="s">
        <v>63</v>
      </c>
      <c r="I11042" s="13" t="s">
        <v>21831</v>
      </c>
      <c r="J11042" s="14" t="str">
        <f>HYPERLINK("https://www.boe.es/gazeta/dias/1839/11/29/pdfs/GMD-1839-1846.pdf#page=2","Abrir facsímil")</f>
        <v>Abrir facsímil</v>
      </c>
      <c r="K11042" s="12" t="s">
        <v>65</v>
      </c>
    </row>
    <row r="11043" spans="1:11" ht="40.049999999999997" customHeight="1" x14ac:dyDescent="0.25">
      <c r="A11043" s="11" t="s">
        <v>21832</v>
      </c>
      <c r="B11043" s="11" t="s">
        <v>21833</v>
      </c>
      <c r="C11043" s="11" t="s">
        <v>17</v>
      </c>
      <c r="D11043" s="11" t="s">
        <v>18</v>
      </c>
      <c r="E11043" s="12" t="s">
        <v>2440</v>
      </c>
      <c r="F11043" s="12" t="s">
        <v>2441</v>
      </c>
      <c r="G11043" s="12" t="s">
        <v>21</v>
      </c>
      <c r="H11043" s="11" t="s">
        <v>22</v>
      </c>
      <c r="I11043" s="13" t="s">
        <v>21834</v>
      </c>
      <c r="J11043" s="14" t="str">
        <f>HYPERLINK("https://www.boe.es/gazeta/dias/1839/12/01/pdfs/GMD-1839-1848.pdf#page=4","Abrir facsímil")</f>
        <v>Abrir facsímil</v>
      </c>
      <c r="K11043" s="12" t="s">
        <v>24</v>
      </c>
    </row>
    <row r="11044" spans="1:11" ht="40.049999999999997" customHeight="1" x14ac:dyDescent="0.25">
      <c r="A11044" s="11" t="s">
        <v>21832</v>
      </c>
      <c r="B11044" s="11" t="s">
        <v>21833</v>
      </c>
      <c r="C11044" s="11" t="s">
        <v>17</v>
      </c>
      <c r="D11044" s="11" t="s">
        <v>18</v>
      </c>
      <c r="E11044" s="12" t="s">
        <v>141</v>
      </c>
      <c r="F11044" s="12" t="s">
        <v>142</v>
      </c>
      <c r="G11044" s="12" t="s">
        <v>21</v>
      </c>
      <c r="H11044" s="11" t="s">
        <v>22</v>
      </c>
      <c r="I11044" s="13" t="s">
        <v>21835</v>
      </c>
      <c r="J11044" s="14" t="str">
        <f>HYPERLINK("https://www.boe.es/gazeta/dias/1839/11/10/pdfs/GMD-1839-1827.pdf#page=4","Abrir facsímil")</f>
        <v>Abrir facsímil</v>
      </c>
      <c r="K11044" s="12" t="s">
        <v>24</v>
      </c>
    </row>
    <row r="11045" spans="1:11" ht="40.049999999999997" customHeight="1" x14ac:dyDescent="0.25">
      <c r="A11045" s="11" t="s">
        <v>21832</v>
      </c>
      <c r="B11045" s="11" t="s">
        <v>21833</v>
      </c>
      <c r="C11045" s="11" t="s">
        <v>17</v>
      </c>
      <c r="D11045" s="11" t="s">
        <v>18</v>
      </c>
      <c r="E11045" s="12" t="s">
        <v>946</v>
      </c>
      <c r="F11045" s="12" t="s">
        <v>947</v>
      </c>
      <c r="G11045" s="12" t="s">
        <v>21</v>
      </c>
      <c r="H11045" s="11" t="s">
        <v>22</v>
      </c>
      <c r="I11045" s="13" t="s">
        <v>21836</v>
      </c>
      <c r="J11045" s="14" t="str">
        <f>HYPERLINK("https://www.boe.es/gazeta/dias/1839/04/15/pdfs/GMD-1839-1612.pdf#page=4","Abrir facsímil")</f>
        <v>Abrir facsímil</v>
      </c>
      <c r="K11045" s="12" t="s">
        <v>24</v>
      </c>
    </row>
    <row r="11046" spans="1:11" ht="40.049999999999997" customHeight="1" x14ac:dyDescent="0.25">
      <c r="A11046" s="11" t="s">
        <v>21832</v>
      </c>
      <c r="B11046" s="11" t="s">
        <v>21833</v>
      </c>
      <c r="C11046" s="11" t="s">
        <v>17</v>
      </c>
      <c r="D11046" s="11" t="s">
        <v>18</v>
      </c>
      <c r="E11046" s="12" t="s">
        <v>462</v>
      </c>
      <c r="F11046" s="12" t="s">
        <v>463</v>
      </c>
      <c r="G11046" s="12" t="s">
        <v>46</v>
      </c>
      <c r="H11046" s="11" t="s">
        <v>22</v>
      </c>
      <c r="I11046" s="13" t="s">
        <v>21837</v>
      </c>
      <c r="J11046" s="14" t="str">
        <f>HYPERLINK("https://www.boe.es/gazeta/dias/1839/06/19/pdfs/GMD-1839-1677.pdf#page=3","Abrir facsímil")</f>
        <v>Abrir facsímil</v>
      </c>
      <c r="K11046" s="12" t="s">
        <v>24</v>
      </c>
    </row>
    <row r="11047" spans="1:11" ht="40.049999999999997" customHeight="1" x14ac:dyDescent="0.25">
      <c r="A11047" s="11" t="s">
        <v>21832</v>
      </c>
      <c r="B11047" s="11" t="s">
        <v>21833</v>
      </c>
      <c r="C11047" s="11" t="s">
        <v>80</v>
      </c>
      <c r="D11047" s="11" t="s">
        <v>18</v>
      </c>
      <c r="E11047" s="12" t="s">
        <v>1729</v>
      </c>
      <c r="F11047" s="12" t="s">
        <v>1730</v>
      </c>
      <c r="G11047" s="12" t="s">
        <v>21</v>
      </c>
      <c r="H11047" s="11" t="s">
        <v>22</v>
      </c>
      <c r="I11047" s="13" t="s">
        <v>21838</v>
      </c>
      <c r="J11047" s="14" t="str">
        <f>HYPERLINK("https://www.boe.es/gazeta/dias/1839/04/25/pdfs/GMD-1839-1622.pdf#page=4","Abrir facsímil")</f>
        <v>Abrir facsímil</v>
      </c>
      <c r="K11047" s="12" t="s">
        <v>24</v>
      </c>
    </row>
    <row r="11048" spans="1:11" ht="40.049999999999997" customHeight="1" x14ac:dyDescent="0.25">
      <c r="A11048" s="11" t="s">
        <v>21832</v>
      </c>
      <c r="B11048" s="11" t="s">
        <v>21833</v>
      </c>
      <c r="C11048" s="11" t="s">
        <v>17</v>
      </c>
      <c r="D11048" s="11" t="s">
        <v>18</v>
      </c>
      <c r="E11048" s="12" t="s">
        <v>862</v>
      </c>
      <c r="F11048" s="12" t="s">
        <v>863</v>
      </c>
      <c r="G11048" s="12" t="s">
        <v>305</v>
      </c>
      <c r="H11048" s="11" t="s">
        <v>22</v>
      </c>
      <c r="I11048" s="13" t="s">
        <v>21839</v>
      </c>
      <c r="J11048" s="14" t="str">
        <f>HYPERLINK("https://www.boe.es/gazeta/dias/1839/10/28/pdfs/GMD-1839-1814.pdf#page=6","Abrir facsímil")</f>
        <v>Abrir facsímil</v>
      </c>
      <c r="K11048" s="12" t="s">
        <v>24</v>
      </c>
    </row>
    <row r="11049" spans="1:11" ht="40.049999999999997" customHeight="1" x14ac:dyDescent="0.25">
      <c r="A11049" s="11" t="s">
        <v>21840</v>
      </c>
      <c r="B11049" s="11" t="s">
        <v>21841</v>
      </c>
      <c r="C11049" s="11" t="s">
        <v>80</v>
      </c>
      <c r="D11049" s="11" t="s">
        <v>18</v>
      </c>
      <c r="E11049" s="12" t="s">
        <v>258</v>
      </c>
      <c r="F11049" s="12" t="s">
        <v>259</v>
      </c>
      <c r="G11049" s="12" t="s">
        <v>21</v>
      </c>
      <c r="H11049" s="11" t="s">
        <v>22</v>
      </c>
      <c r="I11049" s="13" t="s">
        <v>21842</v>
      </c>
      <c r="J11049" s="14" t="str">
        <f>HYPERLINK("https://www.boe.es/gazeta/dias/1839/01/02/pdfs/GMD-1839-1509.pdf#page=4","Abrir facsímil")</f>
        <v>Abrir facsímil</v>
      </c>
      <c r="K11049" s="12" t="s">
        <v>24</v>
      </c>
    </row>
    <row r="11050" spans="1:11" ht="40.049999999999997" customHeight="1" x14ac:dyDescent="0.25">
      <c r="A11050" s="11" t="s">
        <v>21843</v>
      </c>
      <c r="B11050" s="11" t="s">
        <v>21844</v>
      </c>
      <c r="C11050" s="11" t="s">
        <v>17</v>
      </c>
      <c r="D11050" s="11" t="s">
        <v>18</v>
      </c>
      <c r="E11050" s="12" t="s">
        <v>258</v>
      </c>
      <c r="F11050" s="12" t="s">
        <v>259</v>
      </c>
      <c r="G11050" s="12" t="s">
        <v>46</v>
      </c>
      <c r="H11050" s="11" t="s">
        <v>22</v>
      </c>
      <c r="I11050" s="13" t="s">
        <v>21845</v>
      </c>
      <c r="J11050" s="14" t="str">
        <f>HYPERLINK("https://www.boe.es/gazeta/dias/1839/01/02/pdfs/GMD-1839-1509.pdf#page=3","Abrir facsímil")</f>
        <v>Abrir facsímil</v>
      </c>
      <c r="K11050" s="12" t="s">
        <v>24</v>
      </c>
    </row>
    <row r="11051" spans="1:11" ht="40.049999999999997" customHeight="1" x14ac:dyDescent="0.25">
      <c r="A11051" s="11" t="s">
        <v>21846</v>
      </c>
      <c r="B11051" s="11" t="s">
        <v>21847</v>
      </c>
      <c r="C11051" s="11" t="s">
        <v>17</v>
      </c>
      <c r="D11051" s="11" t="s">
        <v>18</v>
      </c>
      <c r="E11051" s="12" t="s">
        <v>258</v>
      </c>
      <c r="F11051" s="12" t="s">
        <v>259</v>
      </c>
      <c r="G11051" s="12" t="s">
        <v>46</v>
      </c>
      <c r="H11051" s="11" t="s">
        <v>22</v>
      </c>
      <c r="I11051" s="13" t="s">
        <v>21848</v>
      </c>
      <c r="J11051" s="14" t="str">
        <f>HYPERLINK("https://www.boe.es/gazeta/dias/1839/01/02/pdfs/GMD-1839-1509.pdf#page=3","Abrir facsímil")</f>
        <v>Abrir facsímil</v>
      </c>
      <c r="K11051" s="12" t="s">
        <v>24</v>
      </c>
    </row>
    <row r="11052" spans="1:11" ht="40.049999999999997" customHeight="1" x14ac:dyDescent="0.25">
      <c r="A11052" s="11" t="s">
        <v>21849</v>
      </c>
      <c r="B11052" s="11" t="s">
        <v>21850</v>
      </c>
      <c r="C11052" s="11" t="s">
        <v>59</v>
      </c>
      <c r="D11052" s="11" t="s">
        <v>60</v>
      </c>
      <c r="E11052" s="12" t="s">
        <v>426</v>
      </c>
      <c r="F11052" s="12" t="s">
        <v>427</v>
      </c>
      <c r="G11052" s="12" t="s">
        <v>21</v>
      </c>
      <c r="H11052" s="11" t="s">
        <v>63</v>
      </c>
      <c r="I11052" s="13" t="s">
        <v>21851</v>
      </c>
      <c r="J11052" s="14" t="str">
        <f>HYPERLINK("https://www.boe.es/gazeta/dias/1839/08/11/pdfs/GMD-1839-1731.pdf#page=4","Abrir facsímil")</f>
        <v>Abrir facsímil</v>
      </c>
      <c r="K11052" s="12" t="s">
        <v>65</v>
      </c>
    </row>
    <row r="11053" spans="1:11" ht="40.049999999999997" customHeight="1" x14ac:dyDescent="0.25">
      <c r="A11053" s="11" t="s">
        <v>21849</v>
      </c>
      <c r="B11053" s="11" t="s">
        <v>21850</v>
      </c>
      <c r="C11053" s="11" t="s">
        <v>17</v>
      </c>
      <c r="D11053" s="11" t="s">
        <v>18</v>
      </c>
      <c r="E11053" s="12" t="s">
        <v>420</v>
      </c>
      <c r="F11053" s="12" t="s">
        <v>421</v>
      </c>
      <c r="G11053" s="12" t="s">
        <v>21</v>
      </c>
      <c r="H11053" s="11" t="s">
        <v>63</v>
      </c>
      <c r="I11053" s="13" t="s">
        <v>21852</v>
      </c>
      <c r="J11053" s="14" t="str">
        <f>HYPERLINK("https://www.boe.es/gazeta/dias/1839/03/12/pdfs/GMD-1839-1578.pdf#page=4","Abrir facsímil")</f>
        <v>Abrir facsímil</v>
      </c>
      <c r="K11053" s="12" t="s">
        <v>65</v>
      </c>
    </row>
    <row r="11054" spans="1:11" ht="40.049999999999997" customHeight="1" x14ac:dyDescent="0.25">
      <c r="A11054" s="11" t="s">
        <v>21849</v>
      </c>
      <c r="B11054" s="11" t="s">
        <v>21850</v>
      </c>
      <c r="C11054" s="11" t="s">
        <v>80</v>
      </c>
      <c r="D11054" s="11" t="s">
        <v>18</v>
      </c>
      <c r="E11054" s="12" t="s">
        <v>736</v>
      </c>
      <c r="F11054" s="12" t="s">
        <v>737</v>
      </c>
      <c r="G11054" s="12" t="s">
        <v>21</v>
      </c>
      <c r="H11054" s="11" t="s">
        <v>63</v>
      </c>
      <c r="I11054" s="13" t="s">
        <v>21853</v>
      </c>
      <c r="J11054" s="14" t="str">
        <f>HYPERLINK("https://www.boe.es/gazeta/dias/1839/10/13/pdfs/GMD-1839-1799.pdf#page=4","Abrir facsímil")</f>
        <v>Abrir facsímil</v>
      </c>
      <c r="K11054" s="12" t="s">
        <v>65</v>
      </c>
    </row>
    <row r="11055" spans="1:11" ht="40.049999999999997" customHeight="1" x14ac:dyDescent="0.25">
      <c r="A11055" s="11" t="s">
        <v>21849</v>
      </c>
      <c r="B11055" s="11" t="s">
        <v>21850</v>
      </c>
      <c r="C11055" s="11" t="s">
        <v>80</v>
      </c>
      <c r="D11055" s="11" t="s">
        <v>18</v>
      </c>
      <c r="E11055" s="12" t="s">
        <v>2650</v>
      </c>
      <c r="F11055" s="12" t="s">
        <v>2651</v>
      </c>
      <c r="G11055" s="12" t="s">
        <v>21</v>
      </c>
      <c r="H11055" s="11" t="s">
        <v>63</v>
      </c>
      <c r="I11055" s="13" t="s">
        <v>21854</v>
      </c>
      <c r="J11055" s="14" t="str">
        <f>HYPERLINK("https://www.boe.es/gazeta/dias/1839/09/15/pdfs/GMD-1839-1768.pdf#page=4","Abrir facsímil")</f>
        <v>Abrir facsímil</v>
      </c>
      <c r="K11055" s="12" t="s">
        <v>65</v>
      </c>
    </row>
    <row r="11056" spans="1:11" ht="40.049999999999997" customHeight="1" x14ac:dyDescent="0.25">
      <c r="A11056" s="11" t="s">
        <v>21855</v>
      </c>
      <c r="B11056" s="11" t="s">
        <v>21856</v>
      </c>
      <c r="C11056" s="11" t="s">
        <v>80</v>
      </c>
      <c r="D11056" s="11" t="s">
        <v>18</v>
      </c>
      <c r="E11056" s="12" t="s">
        <v>266</v>
      </c>
      <c r="F11056" s="12" t="s">
        <v>267</v>
      </c>
      <c r="G11056" s="12" t="s">
        <v>40</v>
      </c>
      <c r="H11056" s="11" t="s">
        <v>63</v>
      </c>
      <c r="I11056" s="13" t="s">
        <v>21857</v>
      </c>
      <c r="J11056" s="14" t="str">
        <f>HYPERLINK("https://www.boe.es/gazeta/dias/1839/01/03/pdfs/GMD-1839-1510.pdf#page=2","Abrir facsímil")</f>
        <v>Abrir facsímil</v>
      </c>
      <c r="K11056" s="12" t="s">
        <v>65</v>
      </c>
    </row>
    <row r="11057" spans="1:11" ht="40.049999999999997" customHeight="1" x14ac:dyDescent="0.25">
      <c r="A11057" s="11" t="s">
        <v>21855</v>
      </c>
      <c r="B11057" s="11" t="s">
        <v>21856</v>
      </c>
      <c r="C11057" s="11" t="s">
        <v>17</v>
      </c>
      <c r="D11057" s="11" t="s">
        <v>43</v>
      </c>
      <c r="E11057" s="12" t="s">
        <v>1208</v>
      </c>
      <c r="F11057" s="12" t="s">
        <v>1209</v>
      </c>
      <c r="G11057" s="12" t="s">
        <v>21</v>
      </c>
      <c r="H11057" s="11" t="s">
        <v>63</v>
      </c>
      <c r="I11057" s="13" t="s">
        <v>21858</v>
      </c>
      <c r="J11057" s="14" t="str">
        <f>HYPERLINK("https://www.boe.es/gazeta/dias/1839/04/24/pdfs/GMD-1839-1621.pdf#page=4","Abrir facsímil")</f>
        <v>Abrir facsímil</v>
      </c>
      <c r="K11057" s="12" t="s">
        <v>65</v>
      </c>
    </row>
    <row r="11058" spans="1:11" ht="40.049999999999997" customHeight="1" x14ac:dyDescent="0.25">
      <c r="A11058" s="11" t="s">
        <v>21859</v>
      </c>
      <c r="B11058" s="11" t="s">
        <v>21860</v>
      </c>
      <c r="C11058" s="11" t="s">
        <v>17</v>
      </c>
      <c r="D11058" s="11" t="s">
        <v>18</v>
      </c>
      <c r="E11058" s="12" t="s">
        <v>770</v>
      </c>
      <c r="F11058" s="12" t="s">
        <v>771</v>
      </c>
      <c r="G11058" s="12" t="s">
        <v>46</v>
      </c>
      <c r="H11058" s="11" t="s">
        <v>22</v>
      </c>
      <c r="I11058" s="13" t="s">
        <v>21861</v>
      </c>
      <c r="J11058" s="14" t="str">
        <f>HYPERLINK("https://www.boe.es/gazeta/dias/1839/12/05/pdfs/GMD-1839-1852.pdf#page=3","Abrir facsímil")</f>
        <v>Abrir facsímil</v>
      </c>
      <c r="K11058" s="12" t="s">
        <v>24</v>
      </c>
    </row>
    <row r="11059" spans="1:11" ht="40.049999999999997" customHeight="1" x14ac:dyDescent="0.25">
      <c r="A11059" s="11" t="s">
        <v>21862</v>
      </c>
      <c r="B11059" s="11" t="s">
        <v>21863</v>
      </c>
      <c r="C11059" s="11" t="s">
        <v>17</v>
      </c>
      <c r="D11059" s="11" t="s">
        <v>18</v>
      </c>
      <c r="E11059" s="12" t="s">
        <v>160</v>
      </c>
      <c r="F11059" s="12" t="s">
        <v>161</v>
      </c>
      <c r="G11059" s="12" t="s">
        <v>29</v>
      </c>
      <c r="H11059" s="11" t="s">
        <v>22</v>
      </c>
      <c r="I11059" s="13" t="s">
        <v>21864</v>
      </c>
      <c r="J11059" s="14" t="str">
        <f>HYPERLINK("https://www.boe.es/gazeta/dias/1839/01/10/pdfs/GMD-1839-1517.pdf#page=1","Abrir facsímil")</f>
        <v>Abrir facsímil</v>
      </c>
      <c r="K11059" s="12" t="s">
        <v>24</v>
      </c>
    </row>
    <row r="11060" spans="1:11" ht="40.049999999999997" customHeight="1" x14ac:dyDescent="0.25">
      <c r="A11060" s="11" t="s">
        <v>21865</v>
      </c>
      <c r="B11060" s="11" t="s">
        <v>21866</v>
      </c>
      <c r="C11060" s="11" t="s">
        <v>137</v>
      </c>
      <c r="D11060" s="11" t="s">
        <v>18</v>
      </c>
      <c r="E11060" s="12" t="s">
        <v>160</v>
      </c>
      <c r="F11060" s="12" t="s">
        <v>161</v>
      </c>
      <c r="G11060" s="12" t="s">
        <v>40</v>
      </c>
      <c r="H11060" s="11" t="s">
        <v>63</v>
      </c>
      <c r="I11060" s="13" t="s">
        <v>21867</v>
      </c>
      <c r="J11060" s="14" t="str">
        <f>HYPERLINK("https://www.boe.es/gazeta/dias/1839/01/10/pdfs/GMD-1839-1517.pdf#page=2","Abrir facsímil")</f>
        <v>Abrir facsímil</v>
      </c>
      <c r="K11060" s="12" t="s">
        <v>65</v>
      </c>
    </row>
    <row r="11061" spans="1:11" ht="40.049999999999997" customHeight="1" x14ac:dyDescent="0.25">
      <c r="A11061" s="11" t="s">
        <v>21862</v>
      </c>
      <c r="B11061" s="11" t="s">
        <v>21863</v>
      </c>
      <c r="C11061" s="11" t="s">
        <v>59</v>
      </c>
      <c r="D11061" s="11" t="s">
        <v>60</v>
      </c>
      <c r="E11061" s="12" t="s">
        <v>1988</v>
      </c>
      <c r="F11061" s="12" t="s">
        <v>1989</v>
      </c>
      <c r="G11061" s="12" t="s">
        <v>40</v>
      </c>
      <c r="H11061" s="11" t="s">
        <v>22</v>
      </c>
      <c r="I11061" s="13" t="s">
        <v>21868</v>
      </c>
      <c r="J11061" s="14" t="str">
        <f>HYPERLINK("https://www.boe.es/gazeta/dias/1839/10/29/pdfs/GMD-1839-1815.pdf#page=2","Abrir facsímil")</f>
        <v>Abrir facsímil</v>
      </c>
      <c r="K11061" s="12" t="s">
        <v>24</v>
      </c>
    </row>
    <row r="11062" spans="1:11" ht="40.049999999999997" customHeight="1" x14ac:dyDescent="0.25">
      <c r="A11062" s="11" t="s">
        <v>21869</v>
      </c>
      <c r="B11062" s="11" t="s">
        <v>21870</v>
      </c>
      <c r="C11062" s="11" t="s">
        <v>137</v>
      </c>
      <c r="D11062" s="11" t="s">
        <v>18</v>
      </c>
      <c r="E11062" s="12" t="s">
        <v>160</v>
      </c>
      <c r="F11062" s="12" t="s">
        <v>161</v>
      </c>
      <c r="G11062" s="12" t="s">
        <v>29</v>
      </c>
      <c r="H11062" s="11" t="s">
        <v>22</v>
      </c>
      <c r="I11062" s="13" t="s">
        <v>21871</v>
      </c>
      <c r="J11062" s="14" t="str">
        <f>HYPERLINK("https://www.boe.es/gazeta/dias/1839/01/10/pdfs/GMD-1839-1517.pdf#page=1","Abrir facsímil")</f>
        <v>Abrir facsímil</v>
      </c>
      <c r="K11062" s="12" t="s">
        <v>24</v>
      </c>
    </row>
    <row r="11063" spans="1:11" ht="40.049999999999997" customHeight="1" x14ac:dyDescent="0.25">
      <c r="A11063" s="11" t="s">
        <v>21872</v>
      </c>
      <c r="B11063" s="11" t="s">
        <v>21872</v>
      </c>
      <c r="C11063" s="11" t="s">
        <v>17</v>
      </c>
      <c r="D11063" s="11" t="s">
        <v>18</v>
      </c>
      <c r="E11063" s="12" t="s">
        <v>870</v>
      </c>
      <c r="F11063" s="12" t="s">
        <v>871</v>
      </c>
      <c r="G11063" s="12" t="s">
        <v>21</v>
      </c>
      <c r="H11063" s="11" t="s">
        <v>63</v>
      </c>
      <c r="I11063" s="13" t="s">
        <v>21873</v>
      </c>
      <c r="J11063" s="14" t="str">
        <f>HYPERLINK("https://www.boe.es/gazeta/dias/1839/04/18/pdfs/GMD-1839-1615.pdf#page=4","Abrir facsímil")</f>
        <v>Abrir facsímil</v>
      </c>
      <c r="K11063" s="12" t="s">
        <v>65</v>
      </c>
    </row>
    <row r="11064" spans="1:11" ht="40.049999999999997" customHeight="1" x14ac:dyDescent="0.25">
      <c r="A11064" s="11" t="s">
        <v>21874</v>
      </c>
      <c r="B11064" s="11" t="s">
        <v>21874</v>
      </c>
      <c r="C11064" s="11" t="s">
        <v>101</v>
      </c>
      <c r="D11064" s="11" t="s">
        <v>102</v>
      </c>
      <c r="E11064" s="12" t="s">
        <v>1467</v>
      </c>
      <c r="F11064" s="12" t="s">
        <v>1468</v>
      </c>
      <c r="G11064" s="12" t="s">
        <v>29</v>
      </c>
      <c r="H11064" s="11" t="s">
        <v>22</v>
      </c>
      <c r="I11064" s="13" t="s">
        <v>21875</v>
      </c>
      <c r="J11064" s="14" t="str">
        <f>HYPERLINK("https://www.boe.es/gazeta/dias/1839/03/05/pdfs/GMD-1839-1571.pdf#page=1","Abrir facsímil")</f>
        <v>Abrir facsímil</v>
      </c>
      <c r="K11064" s="12" t="s">
        <v>24</v>
      </c>
    </row>
    <row r="11065" spans="1:11" ht="40.049999999999997" customHeight="1" x14ac:dyDescent="0.25">
      <c r="A11065" s="11" t="s">
        <v>21876</v>
      </c>
      <c r="B11065" s="11" t="s">
        <v>21877</v>
      </c>
      <c r="C11065" s="11" t="s">
        <v>17</v>
      </c>
      <c r="D11065" s="11" t="s">
        <v>18</v>
      </c>
      <c r="E11065" s="12" t="s">
        <v>592</v>
      </c>
      <c r="F11065" s="12" t="s">
        <v>593</v>
      </c>
      <c r="G11065" s="12" t="s">
        <v>29</v>
      </c>
      <c r="H11065" s="11" t="s">
        <v>63</v>
      </c>
      <c r="I11065" s="13" t="s">
        <v>21878</v>
      </c>
      <c r="J11065" s="14" t="str">
        <f>HYPERLINK("https://www.boe.es/gazeta/dias/1839/09/14/pdfs/GMD-1839-1767.pdf#page=1","Abrir facsímil")</f>
        <v>Abrir facsímil</v>
      </c>
      <c r="K11065" s="12" t="s">
        <v>65</v>
      </c>
    </row>
    <row r="11066" spans="1:11" ht="40.049999999999997" customHeight="1" x14ac:dyDescent="0.25">
      <c r="A11066" s="11" t="s">
        <v>21876</v>
      </c>
      <c r="B11066" s="11" t="s">
        <v>21877</v>
      </c>
      <c r="C11066" s="11" t="s">
        <v>59</v>
      </c>
      <c r="D11066" s="11" t="s">
        <v>60</v>
      </c>
      <c r="E11066" s="12" t="s">
        <v>1909</v>
      </c>
      <c r="F11066" s="12" t="s">
        <v>1910</v>
      </c>
      <c r="G11066" s="12" t="s">
        <v>29</v>
      </c>
      <c r="H11066" s="11" t="s">
        <v>63</v>
      </c>
      <c r="I11066" s="13" t="s">
        <v>21879</v>
      </c>
      <c r="J11066" s="14" t="str">
        <f>HYPERLINK("https://www.boe.es/gazeta/dias/1839/10/27/pdfs/GMD-1839-1813.pdf#page=1","Abrir facsímil")</f>
        <v>Abrir facsímil</v>
      </c>
      <c r="K11066" s="12" t="s">
        <v>65</v>
      </c>
    </row>
    <row r="11067" spans="1:11" ht="40.049999999999997" customHeight="1" x14ac:dyDescent="0.25">
      <c r="A11067" s="11" t="s">
        <v>21880</v>
      </c>
      <c r="B11067" s="11" t="s">
        <v>21881</v>
      </c>
      <c r="C11067" s="11" t="s">
        <v>59</v>
      </c>
      <c r="D11067" s="11" t="s">
        <v>60</v>
      </c>
      <c r="E11067" s="12" t="s">
        <v>291</v>
      </c>
      <c r="F11067" s="12" t="s">
        <v>292</v>
      </c>
      <c r="G11067" s="12" t="s">
        <v>29</v>
      </c>
      <c r="H11067" s="11" t="s">
        <v>63</v>
      </c>
      <c r="I11067" s="13" t="s">
        <v>21882</v>
      </c>
      <c r="J11067" s="14" t="str">
        <f>HYPERLINK("https://www.boe.es/gazeta/dias/1839/09/04/pdfs/GMD-1839-1757.pdf#page=1","Abrir facsímil")</f>
        <v>Abrir facsímil</v>
      </c>
      <c r="K11067" s="12" t="s">
        <v>65</v>
      </c>
    </row>
    <row r="11068" spans="1:11" ht="40.049999999999997" customHeight="1" x14ac:dyDescent="0.25">
      <c r="A11068" s="11" t="s">
        <v>21883</v>
      </c>
      <c r="B11068" s="11" t="s">
        <v>21884</v>
      </c>
      <c r="C11068" s="11" t="s">
        <v>80</v>
      </c>
      <c r="D11068" s="11" t="s">
        <v>18</v>
      </c>
      <c r="E11068" s="12" t="s">
        <v>343</v>
      </c>
      <c r="F11068" s="12" t="s">
        <v>344</v>
      </c>
      <c r="G11068" s="12" t="s">
        <v>21</v>
      </c>
      <c r="H11068" s="11" t="s">
        <v>63</v>
      </c>
      <c r="I11068" s="13" t="s">
        <v>21885</v>
      </c>
      <c r="J11068" s="14" t="str">
        <f>HYPERLINK("https://www.boe.es/gazeta/dias/1839/05/20/pdfs/GMD-1839-1647.pdf#page=4","Abrir facsímil")</f>
        <v>Abrir facsímil</v>
      </c>
      <c r="K11068" s="12" t="s">
        <v>65</v>
      </c>
    </row>
    <row r="11069" spans="1:11" ht="40.049999999999997" customHeight="1" x14ac:dyDescent="0.25">
      <c r="A11069" s="11" t="s">
        <v>21886</v>
      </c>
      <c r="B11069" s="11" t="s">
        <v>21886</v>
      </c>
      <c r="C11069" s="11" t="s">
        <v>17</v>
      </c>
      <c r="D11069" s="11" t="s">
        <v>18</v>
      </c>
      <c r="E11069" s="12" t="s">
        <v>284</v>
      </c>
      <c r="F11069" s="12" t="s">
        <v>285</v>
      </c>
      <c r="G11069" s="12" t="s">
        <v>46</v>
      </c>
      <c r="H11069" s="11" t="s">
        <v>63</v>
      </c>
      <c r="I11069" s="13" t="s">
        <v>21887</v>
      </c>
      <c r="J11069" s="14" t="str">
        <f>HYPERLINK("https://www.boe.es/gazeta/dias/1839/01/27/pdfs/GMD-1839-1534.pdf#page=3","Abrir facsímil")</f>
        <v>Abrir facsímil</v>
      </c>
      <c r="K11069" s="12" t="s">
        <v>65</v>
      </c>
    </row>
    <row r="11070" spans="1:11" ht="40.049999999999997" customHeight="1" x14ac:dyDescent="0.25">
      <c r="A11070" s="11" t="s">
        <v>21888</v>
      </c>
      <c r="B11070" s="11" t="s">
        <v>21888</v>
      </c>
      <c r="C11070" s="11" t="s">
        <v>59</v>
      </c>
      <c r="D11070" s="11" t="s">
        <v>60</v>
      </c>
      <c r="E11070" s="12" t="s">
        <v>519</v>
      </c>
      <c r="F11070" s="12" t="s">
        <v>520</v>
      </c>
      <c r="G11070" s="12" t="s">
        <v>29</v>
      </c>
      <c r="H11070" s="11" t="s">
        <v>63</v>
      </c>
      <c r="I11070" s="13" t="s">
        <v>21889</v>
      </c>
      <c r="J11070" s="14" t="str">
        <f>HYPERLINK("https://www.boe.es/gazeta/dias/1839/02/23/pdfs/GMD-1839-1561.pdf#page=1","Abrir facsímil")</f>
        <v>Abrir facsímil</v>
      </c>
      <c r="K11070" s="12" t="s">
        <v>65</v>
      </c>
    </row>
    <row r="11071" spans="1:11" ht="40.049999999999997" customHeight="1" x14ac:dyDescent="0.25">
      <c r="A11071" s="11" t="s">
        <v>21890</v>
      </c>
      <c r="B11071" s="11" t="s">
        <v>21890</v>
      </c>
      <c r="C11071" s="11" t="s">
        <v>17</v>
      </c>
      <c r="D11071" s="11" t="s">
        <v>18</v>
      </c>
      <c r="E11071" s="12" t="s">
        <v>1123</v>
      </c>
      <c r="F11071" s="12" t="s">
        <v>1124</v>
      </c>
      <c r="G11071" s="12" t="s">
        <v>46</v>
      </c>
      <c r="H11071" s="11" t="s">
        <v>63</v>
      </c>
      <c r="I11071" s="13" t="s">
        <v>21891</v>
      </c>
      <c r="J11071" s="14" t="str">
        <f>HYPERLINK("https://www.boe.es/gazeta/dias/1839/08/10/pdfs/GMD-1839-1730.pdf#page=3","Abrir facsímil")</f>
        <v>Abrir facsímil</v>
      </c>
      <c r="K11071" s="12" t="s">
        <v>65</v>
      </c>
    </row>
    <row r="11072" spans="1:11" ht="40.049999999999997" customHeight="1" x14ac:dyDescent="0.25">
      <c r="A11072" s="11" t="s">
        <v>21892</v>
      </c>
      <c r="B11072" s="11" t="s">
        <v>21892</v>
      </c>
      <c r="C11072" s="11" t="s">
        <v>59</v>
      </c>
      <c r="D11072" s="11" t="s">
        <v>60</v>
      </c>
      <c r="E11072" s="12" t="s">
        <v>202</v>
      </c>
      <c r="F11072" s="12" t="s">
        <v>203</v>
      </c>
      <c r="G11072" s="12" t="s">
        <v>29</v>
      </c>
      <c r="H11072" s="11" t="s">
        <v>63</v>
      </c>
      <c r="I11072" s="13" t="s">
        <v>21893</v>
      </c>
      <c r="J11072" s="14" t="str">
        <f>HYPERLINK("https://www.boe.es/gazeta/dias/1839/04/05/pdfs/GMD-1839-1602.pdf#page=1","Abrir facsímil")</f>
        <v>Abrir facsímil</v>
      </c>
      <c r="K11072" s="12" t="s">
        <v>65</v>
      </c>
    </row>
    <row r="11073" spans="1:11" ht="40.049999999999997" customHeight="1" x14ac:dyDescent="0.25">
      <c r="A11073" s="11" t="s">
        <v>21892</v>
      </c>
      <c r="B11073" s="11" t="s">
        <v>21892</v>
      </c>
      <c r="C11073" s="11" t="s">
        <v>17</v>
      </c>
      <c r="D11073" s="11" t="s">
        <v>18</v>
      </c>
      <c r="E11073" s="12" t="s">
        <v>1509</v>
      </c>
      <c r="F11073" s="12" t="s">
        <v>1510</v>
      </c>
      <c r="G11073" s="12" t="s">
        <v>29</v>
      </c>
      <c r="H11073" s="11" t="s">
        <v>63</v>
      </c>
      <c r="I11073" s="13" t="s">
        <v>21894</v>
      </c>
      <c r="J11073" s="14" t="str">
        <f>HYPERLINK("https://www.boe.es/gazeta/dias/1839/10/07/pdfs/GMD-1839-1793.pdf#page=1","Abrir facsímil")</f>
        <v>Abrir facsímil</v>
      </c>
      <c r="K11073" s="12" t="s">
        <v>65</v>
      </c>
    </row>
    <row r="11074" spans="1:11" ht="40.049999999999997" customHeight="1" x14ac:dyDescent="0.25">
      <c r="A11074" s="11" t="s">
        <v>21892</v>
      </c>
      <c r="B11074" s="11" t="s">
        <v>21892</v>
      </c>
      <c r="C11074" s="11" t="s">
        <v>17</v>
      </c>
      <c r="D11074" s="11" t="s">
        <v>18</v>
      </c>
      <c r="E11074" s="12" t="s">
        <v>157</v>
      </c>
      <c r="F11074" s="12" t="s">
        <v>158</v>
      </c>
      <c r="G11074" s="12" t="s">
        <v>21</v>
      </c>
      <c r="H11074" s="11" t="s">
        <v>63</v>
      </c>
      <c r="I11074" s="13" t="s">
        <v>21895</v>
      </c>
      <c r="J11074" s="14" t="str">
        <f>HYPERLINK("https://www.boe.es/gazeta/dias/1839/02/08/pdfs/GMD-1839-1546.pdf#page=4","Abrir facsímil")</f>
        <v>Abrir facsímil</v>
      </c>
      <c r="K11074" s="12" t="s">
        <v>65</v>
      </c>
    </row>
    <row r="11075" spans="1:11" ht="40.049999999999997" customHeight="1" x14ac:dyDescent="0.25">
      <c r="A11075" s="11" t="s">
        <v>21892</v>
      </c>
      <c r="B11075" s="11" t="s">
        <v>21892</v>
      </c>
      <c r="C11075" s="11" t="s">
        <v>17</v>
      </c>
      <c r="D11075" s="11" t="s">
        <v>18</v>
      </c>
      <c r="E11075" s="12" t="s">
        <v>1252</v>
      </c>
      <c r="F11075" s="12" t="s">
        <v>1253</v>
      </c>
      <c r="G11075" s="12" t="s">
        <v>29</v>
      </c>
      <c r="H11075" s="11" t="s">
        <v>63</v>
      </c>
      <c r="I11075" s="13" t="s">
        <v>21896</v>
      </c>
      <c r="J11075" s="14" t="str">
        <f>HYPERLINK("https://www.boe.es/gazeta/dias/1839/06/15/pdfs/GMD-1839-1673.pdf#page=1","Abrir facsímil")</f>
        <v>Abrir facsímil</v>
      </c>
      <c r="K11075" s="12" t="s">
        <v>65</v>
      </c>
    </row>
    <row r="11076" spans="1:11" ht="40.049999999999997" customHeight="1" x14ac:dyDescent="0.25">
      <c r="A11076" s="11" t="s">
        <v>21892</v>
      </c>
      <c r="B11076" s="11" t="s">
        <v>21892</v>
      </c>
      <c r="C11076" s="11" t="s">
        <v>17</v>
      </c>
      <c r="D11076" s="11" t="s">
        <v>18</v>
      </c>
      <c r="E11076" s="12" t="s">
        <v>1027</v>
      </c>
      <c r="F11076" s="12" t="s">
        <v>1028</v>
      </c>
      <c r="G11076" s="12" t="s">
        <v>29</v>
      </c>
      <c r="H11076" s="11" t="s">
        <v>63</v>
      </c>
      <c r="I11076" s="13" t="s">
        <v>21897</v>
      </c>
      <c r="J11076" s="14" t="str">
        <f>HYPERLINK("https://www.boe.es/gazeta/dias/1839/08/16/pdfs/GMD-1839-1736.pdf#page=1","Abrir facsímil")</f>
        <v>Abrir facsímil</v>
      </c>
      <c r="K11076" s="12" t="s">
        <v>65</v>
      </c>
    </row>
    <row r="11077" spans="1:11" ht="40.049999999999997" customHeight="1" x14ac:dyDescent="0.25">
      <c r="A11077" s="11" t="s">
        <v>21892</v>
      </c>
      <c r="B11077" s="11" t="s">
        <v>21892</v>
      </c>
      <c r="C11077" s="11" t="s">
        <v>17</v>
      </c>
      <c r="D11077" s="11" t="s">
        <v>18</v>
      </c>
      <c r="E11077" s="12" t="s">
        <v>462</v>
      </c>
      <c r="F11077" s="12" t="s">
        <v>463</v>
      </c>
      <c r="G11077" s="12" t="s">
        <v>46</v>
      </c>
      <c r="H11077" s="11" t="s">
        <v>63</v>
      </c>
      <c r="I11077" s="13" t="s">
        <v>21898</v>
      </c>
      <c r="J11077" s="14" t="str">
        <f>HYPERLINK("https://www.boe.es/gazeta/dias/1839/06/19/pdfs/GMD-1839-1677.pdf#page=3","Abrir facsímil")</f>
        <v>Abrir facsímil</v>
      </c>
      <c r="K11077" s="12" t="s">
        <v>65</v>
      </c>
    </row>
    <row r="11078" spans="1:11" ht="40.049999999999997" customHeight="1" x14ac:dyDescent="0.25">
      <c r="A11078" s="11" t="s">
        <v>21892</v>
      </c>
      <c r="B11078" s="11" t="s">
        <v>21892</v>
      </c>
      <c r="C11078" s="11" t="s">
        <v>59</v>
      </c>
      <c r="D11078" s="11" t="s">
        <v>60</v>
      </c>
      <c r="E11078" s="12" t="s">
        <v>643</v>
      </c>
      <c r="F11078" s="12" t="s">
        <v>644</v>
      </c>
      <c r="G11078" s="12" t="s">
        <v>29</v>
      </c>
      <c r="H11078" s="11" t="s">
        <v>63</v>
      </c>
      <c r="I11078" s="13" t="s">
        <v>21899</v>
      </c>
      <c r="J11078" s="14" t="str">
        <f>HYPERLINK("https://www.boe.es/gazeta/dias/1839/03/20/pdfs/GMD-1839-1586.pdf#page=1","Abrir facsímil")</f>
        <v>Abrir facsímil</v>
      </c>
      <c r="K11078" s="12" t="s">
        <v>65</v>
      </c>
    </row>
    <row r="11079" spans="1:11" ht="40.049999999999997" customHeight="1" x14ac:dyDescent="0.25">
      <c r="A11079" s="11" t="s">
        <v>21892</v>
      </c>
      <c r="B11079" s="11" t="s">
        <v>21892</v>
      </c>
      <c r="C11079" s="11" t="s">
        <v>17</v>
      </c>
      <c r="D11079" s="11" t="s">
        <v>18</v>
      </c>
      <c r="E11079" s="12" t="s">
        <v>826</v>
      </c>
      <c r="F11079" s="12" t="s">
        <v>827</v>
      </c>
      <c r="G11079" s="12" t="s">
        <v>21</v>
      </c>
      <c r="H11079" s="11" t="s">
        <v>63</v>
      </c>
      <c r="I11079" s="13" t="s">
        <v>21900</v>
      </c>
      <c r="J11079" s="14" t="str">
        <f>HYPERLINK("https://www.boe.es/gazeta/dias/1839/09/25/pdfs/GMD-1839-1781.pdf#page=4","Abrir facsímil")</f>
        <v>Abrir facsímil</v>
      </c>
      <c r="K11079" s="12" t="s">
        <v>65</v>
      </c>
    </row>
    <row r="11080" spans="1:11" ht="40.049999999999997" customHeight="1" x14ac:dyDescent="0.25">
      <c r="A11080" s="11" t="s">
        <v>21901</v>
      </c>
      <c r="B11080" s="11" t="s">
        <v>21901</v>
      </c>
      <c r="C11080" s="11" t="s">
        <v>137</v>
      </c>
      <c r="D11080" s="11" t="s">
        <v>18</v>
      </c>
      <c r="E11080" s="12" t="s">
        <v>266</v>
      </c>
      <c r="F11080" s="12" t="s">
        <v>267</v>
      </c>
      <c r="G11080" s="12" t="s">
        <v>40</v>
      </c>
      <c r="H11080" s="11" t="s">
        <v>63</v>
      </c>
      <c r="I11080" s="13" t="s">
        <v>21902</v>
      </c>
      <c r="J11080" s="14" t="str">
        <f>HYPERLINK("https://www.boe.es/gazeta/dias/1839/01/03/pdfs/GMD-1839-1510.pdf#page=2","Abrir facsímil")</f>
        <v>Abrir facsímil</v>
      </c>
      <c r="K11080" s="12" t="s">
        <v>65</v>
      </c>
    </row>
    <row r="11081" spans="1:11" ht="40.049999999999997" customHeight="1" x14ac:dyDescent="0.25">
      <c r="A11081" s="11" t="s">
        <v>21903</v>
      </c>
      <c r="B11081" s="11" t="s">
        <v>21903</v>
      </c>
      <c r="C11081" s="11" t="s">
        <v>17</v>
      </c>
      <c r="D11081" s="11" t="s">
        <v>18</v>
      </c>
      <c r="E11081" s="12" t="s">
        <v>4055</v>
      </c>
      <c r="F11081" s="12" t="s">
        <v>4056</v>
      </c>
      <c r="G11081" s="12" t="s">
        <v>29</v>
      </c>
      <c r="H11081" s="11" t="s">
        <v>63</v>
      </c>
      <c r="I11081" s="13" t="s">
        <v>21904</v>
      </c>
      <c r="J11081" s="14" t="str">
        <f>HYPERLINK("https://www.boe.es/gazeta/dias/1839/03/07/pdfs/GMD-1839-1573.pdf#page=1","Abrir facsímil")</f>
        <v>Abrir facsímil</v>
      </c>
      <c r="K11081" s="12" t="s">
        <v>65</v>
      </c>
    </row>
    <row r="11082" spans="1:11" ht="40.049999999999997" customHeight="1" x14ac:dyDescent="0.25">
      <c r="A11082" s="11" t="s">
        <v>21905</v>
      </c>
      <c r="B11082" s="11" t="s">
        <v>21905</v>
      </c>
      <c r="C11082" s="11" t="s">
        <v>17</v>
      </c>
      <c r="D11082" s="11" t="s">
        <v>18</v>
      </c>
      <c r="E11082" s="12" t="s">
        <v>44</v>
      </c>
      <c r="F11082" s="12" t="s">
        <v>45</v>
      </c>
      <c r="G11082" s="12" t="s">
        <v>21</v>
      </c>
      <c r="H11082" s="11" t="s">
        <v>22</v>
      </c>
      <c r="I11082" s="13" t="s">
        <v>21906</v>
      </c>
      <c r="J11082" s="14" t="str">
        <f>HYPERLINK("https://www.boe.es/gazeta/dias/1839/11/15/pdfs/GMD-1839-1832.pdf#page=4","Abrir facsímil")</f>
        <v>Abrir facsímil</v>
      </c>
      <c r="K11082" s="12" t="s">
        <v>24</v>
      </c>
    </row>
    <row r="11083" spans="1:11" ht="40.049999999999997" customHeight="1" x14ac:dyDescent="0.25">
      <c r="A11083" s="11" t="s">
        <v>21905</v>
      </c>
      <c r="B11083" s="11" t="s">
        <v>21905</v>
      </c>
      <c r="C11083" s="11" t="s">
        <v>80</v>
      </c>
      <c r="D11083" s="11" t="s">
        <v>18</v>
      </c>
      <c r="E11083" s="12" t="s">
        <v>1725</v>
      </c>
      <c r="F11083" s="12" t="s">
        <v>1726</v>
      </c>
      <c r="G11083" s="12" t="s">
        <v>21</v>
      </c>
      <c r="H11083" s="11" t="s">
        <v>22</v>
      </c>
      <c r="I11083" s="13" t="s">
        <v>21907</v>
      </c>
      <c r="J11083" s="14" t="str">
        <f>HYPERLINK("https://www.boe.es/gazeta/dias/1839/11/17/pdfs/GMD-1839-1834.pdf#page=4","Abrir facsímil")</f>
        <v>Abrir facsímil</v>
      </c>
      <c r="K11083" s="12" t="s">
        <v>24</v>
      </c>
    </row>
    <row r="11084" spans="1:11" ht="40.049999999999997" customHeight="1" x14ac:dyDescent="0.25">
      <c r="A11084" s="11" t="s">
        <v>21908</v>
      </c>
      <c r="B11084" s="11" t="s">
        <v>21908</v>
      </c>
      <c r="C11084" s="11" t="s">
        <v>101</v>
      </c>
      <c r="D11084" s="11" t="s">
        <v>43</v>
      </c>
      <c r="E11084" s="12" t="s">
        <v>262</v>
      </c>
      <c r="F11084" s="12" t="s">
        <v>263</v>
      </c>
      <c r="G11084" s="12" t="s">
        <v>29</v>
      </c>
      <c r="H11084" s="11" t="s">
        <v>63</v>
      </c>
      <c r="I11084" s="13" t="s">
        <v>21909</v>
      </c>
      <c r="J11084" s="14" t="str">
        <f>HYPERLINK("https://www.boe.es/gazeta/dias/1839/01/01/pdfs/GMD-1839-1508.pdf#page=1","Abrir facsímil")</f>
        <v>Abrir facsímil</v>
      </c>
      <c r="K11084" s="12" t="s">
        <v>65</v>
      </c>
    </row>
    <row r="11085" spans="1:11" ht="40.049999999999997" customHeight="1" x14ac:dyDescent="0.25">
      <c r="A11085" s="11" t="s">
        <v>21908</v>
      </c>
      <c r="B11085" s="11" t="s">
        <v>21908</v>
      </c>
      <c r="C11085" s="11" t="s">
        <v>101</v>
      </c>
      <c r="D11085" s="11" t="s">
        <v>43</v>
      </c>
      <c r="E11085" s="12" t="s">
        <v>262</v>
      </c>
      <c r="F11085" s="12" t="s">
        <v>263</v>
      </c>
      <c r="G11085" s="12" t="s">
        <v>46</v>
      </c>
      <c r="H11085" s="11" t="s">
        <v>63</v>
      </c>
      <c r="I11085" s="13" t="s">
        <v>21910</v>
      </c>
      <c r="J11085" s="14" t="str">
        <f>HYPERLINK("https://www.boe.es/gazeta/dias/1839/01/01/pdfs/GMD-1839-1508.pdf#page=3","Abrir facsímil")</f>
        <v>Abrir facsímil</v>
      </c>
      <c r="K11085" s="12" t="s">
        <v>65</v>
      </c>
    </row>
    <row r="11086" spans="1:11" ht="40.049999999999997" customHeight="1" x14ac:dyDescent="0.25">
      <c r="A11086" s="11" t="s">
        <v>21908</v>
      </c>
      <c r="B11086" s="11" t="s">
        <v>21908</v>
      </c>
      <c r="C11086" s="11" t="s">
        <v>17</v>
      </c>
      <c r="D11086" s="11" t="s">
        <v>18</v>
      </c>
      <c r="E11086" s="12" t="s">
        <v>1057</v>
      </c>
      <c r="F11086" s="12" t="s">
        <v>1058</v>
      </c>
      <c r="G11086" s="12" t="s">
        <v>46</v>
      </c>
      <c r="H11086" s="11" t="s">
        <v>63</v>
      </c>
      <c r="I11086" s="13" t="s">
        <v>21911</v>
      </c>
      <c r="J11086" s="14" t="str">
        <f>HYPERLINK("https://www.boe.es/gazeta/dias/1839/10/01/pdfs/GMD-1839-1787.pdf#page=3","Abrir facsímil")</f>
        <v>Abrir facsímil</v>
      </c>
      <c r="K11086" s="12" t="s">
        <v>65</v>
      </c>
    </row>
    <row r="11087" spans="1:11" ht="40.049999999999997" customHeight="1" x14ac:dyDescent="0.25">
      <c r="A11087" s="11" t="s">
        <v>21908</v>
      </c>
      <c r="B11087" s="11" t="s">
        <v>21908</v>
      </c>
      <c r="C11087" s="11" t="s">
        <v>137</v>
      </c>
      <c r="D11087" s="11" t="s">
        <v>18</v>
      </c>
      <c r="E11087" s="12" t="s">
        <v>49</v>
      </c>
      <c r="F11087" s="12" t="s">
        <v>50</v>
      </c>
      <c r="G11087" s="12" t="s">
        <v>21</v>
      </c>
      <c r="H11087" s="11" t="s">
        <v>63</v>
      </c>
      <c r="I11087" s="13" t="s">
        <v>21912</v>
      </c>
      <c r="J11087" s="14" t="str">
        <f>HYPERLINK("https://www.boe.es/gazeta/dias/1839/01/05/pdfs/GMD-1839-1512.pdf#page=4","Abrir facsímil")</f>
        <v>Abrir facsímil</v>
      </c>
      <c r="K11087" s="12" t="s">
        <v>65</v>
      </c>
    </row>
    <row r="11088" spans="1:11" ht="40.049999999999997" customHeight="1" x14ac:dyDescent="0.25">
      <c r="A11088" s="11" t="s">
        <v>21908</v>
      </c>
      <c r="B11088" s="11" t="s">
        <v>21908</v>
      </c>
      <c r="C11088" s="11" t="s">
        <v>17</v>
      </c>
      <c r="D11088" s="11" t="s">
        <v>18</v>
      </c>
      <c r="E11088" s="12" t="s">
        <v>54</v>
      </c>
      <c r="F11088" s="12" t="s">
        <v>55</v>
      </c>
      <c r="G11088" s="12" t="s">
        <v>566</v>
      </c>
      <c r="H11088" s="11" t="s">
        <v>63</v>
      </c>
      <c r="I11088" s="13" t="s">
        <v>21913</v>
      </c>
      <c r="J11088" s="14" t="str">
        <f>HYPERLINK("https://www.boe.es/gazeta/dias/1839/10/05/pdfs/GMD-1839-1791.pdf#page=5","Abrir facsímil")</f>
        <v>Abrir facsímil</v>
      </c>
      <c r="K11088" s="12" t="s">
        <v>65</v>
      </c>
    </row>
    <row r="11089" spans="1:11" ht="40.049999999999997" customHeight="1" x14ac:dyDescent="0.25">
      <c r="A11089" s="11" t="s">
        <v>21908</v>
      </c>
      <c r="B11089" s="11" t="s">
        <v>21908</v>
      </c>
      <c r="C11089" s="11" t="s">
        <v>137</v>
      </c>
      <c r="D11089" s="11" t="s">
        <v>18</v>
      </c>
      <c r="E11089" s="12" t="s">
        <v>448</v>
      </c>
      <c r="F11089" s="12" t="s">
        <v>449</v>
      </c>
      <c r="G11089" s="12" t="s">
        <v>46</v>
      </c>
      <c r="H11089" s="11" t="s">
        <v>63</v>
      </c>
      <c r="I11089" s="13" t="s">
        <v>21914</v>
      </c>
      <c r="J11089" s="14" t="str">
        <f>HYPERLINK("https://www.boe.es/gazeta/dias/1839/02/06/pdfs/GMD-1839-1544.pdf#page=3","Abrir facsímil")</f>
        <v>Abrir facsímil</v>
      </c>
      <c r="K11089" s="12" t="s">
        <v>65</v>
      </c>
    </row>
    <row r="11090" spans="1:11" ht="40.049999999999997" customHeight="1" x14ac:dyDescent="0.25">
      <c r="A11090" s="11" t="s">
        <v>21908</v>
      </c>
      <c r="B11090" s="11" t="s">
        <v>21908</v>
      </c>
      <c r="C11090" s="11" t="s">
        <v>101</v>
      </c>
      <c r="D11090" s="11" t="s">
        <v>43</v>
      </c>
      <c r="E11090" s="12" t="s">
        <v>1008</v>
      </c>
      <c r="F11090" s="12" t="s">
        <v>1009</v>
      </c>
      <c r="G11090" s="12" t="s">
        <v>21</v>
      </c>
      <c r="H11090" s="11" t="s">
        <v>63</v>
      </c>
      <c r="I11090" s="13" t="s">
        <v>21915</v>
      </c>
      <c r="J11090" s="14" t="str">
        <f>HYPERLINK("https://www.boe.es/gazeta/dias/1839/09/07/pdfs/GMD-1839-1760.pdf#page=4","Abrir facsímil")</f>
        <v>Abrir facsímil</v>
      </c>
      <c r="K11090" s="12" t="s">
        <v>65</v>
      </c>
    </row>
    <row r="11091" spans="1:11" ht="40.049999999999997" customHeight="1" x14ac:dyDescent="0.25">
      <c r="A11091" s="11" t="s">
        <v>21908</v>
      </c>
      <c r="B11091" s="11" t="s">
        <v>21908</v>
      </c>
      <c r="C11091" s="11" t="s">
        <v>101</v>
      </c>
      <c r="D11091" s="11" t="s">
        <v>43</v>
      </c>
      <c r="E11091" s="12" t="s">
        <v>1509</v>
      </c>
      <c r="F11091" s="12" t="s">
        <v>1510</v>
      </c>
      <c r="G11091" s="12" t="s">
        <v>29</v>
      </c>
      <c r="H11091" s="11" t="s">
        <v>63</v>
      </c>
      <c r="I11091" s="13" t="s">
        <v>21916</v>
      </c>
      <c r="J11091" s="14" t="str">
        <f>HYPERLINK("https://www.boe.es/gazeta/dias/1839/10/07/pdfs/GMD-1839-1793.pdf#page=1","Abrir facsímil")</f>
        <v>Abrir facsímil</v>
      </c>
      <c r="K11091" s="12" t="s">
        <v>65</v>
      </c>
    </row>
    <row r="11092" spans="1:11" ht="40.049999999999997" customHeight="1" x14ac:dyDescent="0.25">
      <c r="A11092" s="11" t="s">
        <v>21908</v>
      </c>
      <c r="B11092" s="11" t="s">
        <v>21908</v>
      </c>
      <c r="C11092" s="11" t="s">
        <v>137</v>
      </c>
      <c r="D11092" s="11" t="s">
        <v>18</v>
      </c>
      <c r="E11092" s="12" t="s">
        <v>804</v>
      </c>
      <c r="F11092" s="12" t="s">
        <v>805</v>
      </c>
      <c r="G11092" s="12" t="s">
        <v>29</v>
      </c>
      <c r="H11092" s="11" t="s">
        <v>63</v>
      </c>
      <c r="I11092" s="13" t="s">
        <v>21917</v>
      </c>
      <c r="J11092" s="14" t="str">
        <f>HYPERLINK("https://www.boe.es/gazeta/dias/1839/01/08/pdfs/GMD-1839-1515.pdf#page=1","Abrir facsímil")</f>
        <v>Abrir facsímil</v>
      </c>
      <c r="K11092" s="12" t="s">
        <v>65</v>
      </c>
    </row>
    <row r="11093" spans="1:11" ht="40.049999999999997" customHeight="1" x14ac:dyDescent="0.25">
      <c r="A11093" s="11" t="s">
        <v>21908</v>
      </c>
      <c r="B11093" s="11" t="s">
        <v>21908</v>
      </c>
      <c r="C11093" s="11" t="s">
        <v>80</v>
      </c>
      <c r="D11093" s="11" t="s">
        <v>18</v>
      </c>
      <c r="E11093" s="12" t="s">
        <v>157</v>
      </c>
      <c r="F11093" s="12" t="s">
        <v>158</v>
      </c>
      <c r="G11093" s="12" t="s">
        <v>46</v>
      </c>
      <c r="H11093" s="11" t="s">
        <v>63</v>
      </c>
      <c r="I11093" s="13" t="s">
        <v>21918</v>
      </c>
      <c r="J11093" s="14" t="str">
        <f>HYPERLINK("https://www.boe.es/gazeta/dias/1839/02/08/pdfs/GMD-1839-1546.pdf#page=3","Abrir facsímil")</f>
        <v>Abrir facsímil</v>
      </c>
      <c r="K11093" s="12" t="s">
        <v>65</v>
      </c>
    </row>
    <row r="11094" spans="1:11" ht="40.049999999999997" customHeight="1" x14ac:dyDescent="0.25">
      <c r="A11094" s="11" t="s">
        <v>21908</v>
      </c>
      <c r="B11094" s="11" t="s">
        <v>21908</v>
      </c>
      <c r="C11094" s="11" t="s">
        <v>101</v>
      </c>
      <c r="D11094" s="11" t="s">
        <v>43</v>
      </c>
      <c r="E11094" s="12" t="s">
        <v>157</v>
      </c>
      <c r="F11094" s="12" t="s">
        <v>158</v>
      </c>
      <c r="G11094" s="12" t="s">
        <v>21</v>
      </c>
      <c r="H11094" s="11" t="s">
        <v>63</v>
      </c>
      <c r="I11094" s="13" t="s">
        <v>21919</v>
      </c>
      <c r="J11094" s="14" t="str">
        <f>HYPERLINK("https://www.boe.es/gazeta/dias/1839/02/08/pdfs/GMD-1839-1546.pdf#page=4","Abrir facsímil")</f>
        <v>Abrir facsímil</v>
      </c>
      <c r="K11094" s="12" t="s">
        <v>65</v>
      </c>
    </row>
    <row r="11095" spans="1:11" ht="40.049999999999997" customHeight="1" x14ac:dyDescent="0.25">
      <c r="A11095" s="11" t="s">
        <v>21908</v>
      </c>
      <c r="B11095" s="11" t="s">
        <v>21908</v>
      </c>
      <c r="C11095" s="11" t="s">
        <v>17</v>
      </c>
      <c r="D11095" s="11" t="s">
        <v>18</v>
      </c>
      <c r="E11095" s="12" t="s">
        <v>647</v>
      </c>
      <c r="F11095" s="12" t="s">
        <v>648</v>
      </c>
      <c r="G11095" s="12" t="s">
        <v>46</v>
      </c>
      <c r="H11095" s="11" t="s">
        <v>63</v>
      </c>
      <c r="I11095" s="13" t="s">
        <v>21920</v>
      </c>
      <c r="J11095" s="14" t="str">
        <f>HYPERLINK("https://www.boe.es/gazeta/dias/1839/10/08/pdfs/GMD-1839-1794.pdf#page=3","Abrir facsímil")</f>
        <v>Abrir facsímil</v>
      </c>
      <c r="K11095" s="12" t="s">
        <v>65</v>
      </c>
    </row>
    <row r="11096" spans="1:11" ht="40.049999999999997" customHeight="1" x14ac:dyDescent="0.25">
      <c r="A11096" s="11" t="s">
        <v>21908</v>
      </c>
      <c r="B11096" s="11" t="s">
        <v>21908</v>
      </c>
      <c r="C11096" s="11" t="s">
        <v>17</v>
      </c>
      <c r="D11096" s="11" t="s">
        <v>18</v>
      </c>
      <c r="E11096" s="12" t="s">
        <v>647</v>
      </c>
      <c r="F11096" s="12" t="s">
        <v>648</v>
      </c>
      <c r="G11096" s="12" t="s">
        <v>21</v>
      </c>
      <c r="H11096" s="11" t="s">
        <v>63</v>
      </c>
      <c r="I11096" s="13" t="s">
        <v>21921</v>
      </c>
      <c r="J11096" s="14" t="str">
        <f>HYPERLINK("https://www.boe.es/gazeta/dias/1839/10/08/pdfs/GMD-1839-1794.pdf#page=4","Abrir facsímil")</f>
        <v>Abrir facsímil</v>
      </c>
      <c r="K11096" s="12" t="s">
        <v>65</v>
      </c>
    </row>
    <row r="11097" spans="1:11" ht="40.049999999999997" customHeight="1" x14ac:dyDescent="0.25">
      <c r="A11097" s="11" t="s">
        <v>21908</v>
      </c>
      <c r="B11097" s="11" t="s">
        <v>21908</v>
      </c>
      <c r="C11097" s="11" t="s">
        <v>80</v>
      </c>
      <c r="D11097" s="11" t="s">
        <v>18</v>
      </c>
      <c r="E11097" s="12" t="s">
        <v>68</v>
      </c>
      <c r="F11097" s="12" t="s">
        <v>69</v>
      </c>
      <c r="G11097" s="12" t="s">
        <v>40</v>
      </c>
      <c r="H11097" s="11" t="s">
        <v>63</v>
      </c>
      <c r="I11097" s="13" t="s">
        <v>21922</v>
      </c>
      <c r="J11097" s="14" t="str">
        <f>HYPERLINK("https://www.boe.es/gazeta/dias/1839/02/09/pdfs/GMD-1839-1547.pdf#page=2","Abrir facsímil")</f>
        <v>Abrir facsímil</v>
      </c>
      <c r="K11097" s="12" t="s">
        <v>65</v>
      </c>
    </row>
    <row r="11098" spans="1:11" ht="40.049999999999997" customHeight="1" x14ac:dyDescent="0.25">
      <c r="A11098" s="11" t="s">
        <v>21908</v>
      </c>
      <c r="B11098" s="11" t="s">
        <v>21908</v>
      </c>
      <c r="C11098" s="11" t="s">
        <v>101</v>
      </c>
      <c r="D11098" s="11" t="s">
        <v>43</v>
      </c>
      <c r="E11098" s="12" t="s">
        <v>269</v>
      </c>
      <c r="F11098" s="12" t="s">
        <v>270</v>
      </c>
      <c r="G11098" s="12" t="s">
        <v>46</v>
      </c>
      <c r="H11098" s="11" t="s">
        <v>63</v>
      </c>
      <c r="I11098" s="13" t="s">
        <v>21923</v>
      </c>
      <c r="J11098" s="14" t="str">
        <f>HYPERLINK("https://www.boe.es/gazeta/dias/1839/02/10/pdfs/GMD-1839-1548.pdf#page=3","Abrir facsímil")</f>
        <v>Abrir facsímil</v>
      </c>
      <c r="K11098" s="12" t="s">
        <v>65</v>
      </c>
    </row>
    <row r="11099" spans="1:11" ht="40.049999999999997" customHeight="1" x14ac:dyDescent="0.25">
      <c r="A11099" s="11" t="s">
        <v>21908</v>
      </c>
      <c r="B11099" s="11" t="s">
        <v>21908</v>
      </c>
      <c r="C11099" s="11" t="s">
        <v>17</v>
      </c>
      <c r="D11099" s="11" t="s">
        <v>18</v>
      </c>
      <c r="E11099" s="12" t="s">
        <v>116</v>
      </c>
      <c r="F11099" s="12" t="s">
        <v>117</v>
      </c>
      <c r="G11099" s="12" t="s">
        <v>40</v>
      </c>
      <c r="H11099" s="11" t="s">
        <v>63</v>
      </c>
      <c r="I11099" s="13" t="s">
        <v>21924</v>
      </c>
      <c r="J11099" s="14" t="str">
        <f>HYPERLINK("https://www.boe.es/gazeta/dias/1839/10/10/pdfs/GMD-1839-1796.pdf#page=2","Abrir facsímil")</f>
        <v>Abrir facsímil</v>
      </c>
      <c r="K11099" s="12" t="s">
        <v>65</v>
      </c>
    </row>
    <row r="11100" spans="1:11" ht="40.049999999999997" customHeight="1" x14ac:dyDescent="0.25">
      <c r="A11100" s="11" t="s">
        <v>21908</v>
      </c>
      <c r="B11100" s="11" t="s">
        <v>21908</v>
      </c>
      <c r="C11100" s="11" t="s">
        <v>17</v>
      </c>
      <c r="D11100" s="11" t="s">
        <v>18</v>
      </c>
      <c r="E11100" s="12" t="s">
        <v>2449</v>
      </c>
      <c r="F11100" s="12" t="s">
        <v>2450</v>
      </c>
      <c r="G11100" s="12" t="s">
        <v>29</v>
      </c>
      <c r="H11100" s="11" t="s">
        <v>63</v>
      </c>
      <c r="I11100" s="13" t="s">
        <v>21925</v>
      </c>
      <c r="J11100" s="14" t="str">
        <f>HYPERLINK("https://www.boe.es/gazeta/dias/1839/12/11/pdfs/GMD-1839-1858.pdf#page=1","Abrir facsímil")</f>
        <v>Abrir facsímil</v>
      </c>
      <c r="K11100" s="12" t="s">
        <v>65</v>
      </c>
    </row>
    <row r="11101" spans="1:11" ht="40.049999999999997" customHeight="1" x14ac:dyDescent="0.25">
      <c r="A11101" s="11" t="s">
        <v>21908</v>
      </c>
      <c r="B11101" s="11" t="s">
        <v>21908</v>
      </c>
      <c r="C11101" s="11" t="s">
        <v>17</v>
      </c>
      <c r="D11101" s="11" t="s">
        <v>18</v>
      </c>
      <c r="E11101" s="12" t="s">
        <v>192</v>
      </c>
      <c r="F11101" s="12" t="s">
        <v>193</v>
      </c>
      <c r="G11101" s="12" t="s">
        <v>46</v>
      </c>
      <c r="H11101" s="11" t="s">
        <v>63</v>
      </c>
      <c r="I11101" s="13" t="s">
        <v>21926</v>
      </c>
      <c r="J11101" s="14" t="str">
        <f>HYPERLINK("https://www.boe.es/gazeta/dias/1839/01/12/pdfs/GMD-1839-1519.pdf#page=3","Abrir facsímil")</f>
        <v>Abrir facsímil</v>
      </c>
      <c r="K11101" s="12" t="s">
        <v>65</v>
      </c>
    </row>
    <row r="11102" spans="1:11" ht="40.049999999999997" customHeight="1" x14ac:dyDescent="0.25">
      <c r="A11102" s="11" t="s">
        <v>21908</v>
      </c>
      <c r="B11102" s="11" t="s">
        <v>21908</v>
      </c>
      <c r="C11102" s="11" t="s">
        <v>17</v>
      </c>
      <c r="D11102" s="11" t="s">
        <v>18</v>
      </c>
      <c r="E11102" s="12" t="s">
        <v>103</v>
      </c>
      <c r="F11102" s="12" t="s">
        <v>104</v>
      </c>
      <c r="G11102" s="12" t="s">
        <v>46</v>
      </c>
      <c r="H11102" s="11" t="s">
        <v>63</v>
      </c>
      <c r="I11102" s="13" t="s">
        <v>21927</v>
      </c>
      <c r="J11102" s="14" t="str">
        <f>HYPERLINK("https://www.boe.es/gazeta/dias/1839/10/12/pdfs/GMD-1839-1798.pdf#page=3","Abrir facsímil")</f>
        <v>Abrir facsímil</v>
      </c>
      <c r="K11102" s="12" t="s">
        <v>65</v>
      </c>
    </row>
    <row r="11103" spans="1:11" ht="40.049999999999997" customHeight="1" x14ac:dyDescent="0.25">
      <c r="A11103" s="11" t="s">
        <v>21908</v>
      </c>
      <c r="B11103" s="11" t="s">
        <v>21908</v>
      </c>
      <c r="C11103" s="11" t="s">
        <v>137</v>
      </c>
      <c r="D11103" s="11" t="s">
        <v>18</v>
      </c>
      <c r="E11103" s="12" t="s">
        <v>1100</v>
      </c>
      <c r="F11103" s="12" t="s">
        <v>1101</v>
      </c>
      <c r="G11103" s="12" t="s">
        <v>40</v>
      </c>
      <c r="H11103" s="11" t="s">
        <v>63</v>
      </c>
      <c r="I11103" s="13" t="s">
        <v>21928</v>
      </c>
      <c r="J11103" s="14" t="str">
        <f>HYPERLINK("https://www.boe.es/gazeta/dias/1839/09/13/pdfs/GMD-1839-1766.pdf#page=2","Abrir facsímil")</f>
        <v>Abrir facsímil</v>
      </c>
      <c r="K11103" s="12" t="s">
        <v>65</v>
      </c>
    </row>
    <row r="11104" spans="1:11" ht="40.049999999999997" customHeight="1" x14ac:dyDescent="0.25">
      <c r="A11104" s="11" t="s">
        <v>21908</v>
      </c>
      <c r="B11104" s="11" t="s">
        <v>21908</v>
      </c>
      <c r="C11104" s="11" t="s">
        <v>17</v>
      </c>
      <c r="D11104" s="11" t="s">
        <v>18</v>
      </c>
      <c r="E11104" s="12" t="s">
        <v>736</v>
      </c>
      <c r="F11104" s="12" t="s">
        <v>737</v>
      </c>
      <c r="G11104" s="12" t="s">
        <v>46</v>
      </c>
      <c r="H11104" s="11" t="s">
        <v>63</v>
      </c>
      <c r="I11104" s="13" t="s">
        <v>21929</v>
      </c>
      <c r="J11104" s="14" t="str">
        <f>HYPERLINK("https://www.boe.es/gazeta/dias/1839/10/13/pdfs/GMD-1839-1799.pdf#page=3","Abrir facsímil")</f>
        <v>Abrir facsímil</v>
      </c>
      <c r="K11104" s="12" t="s">
        <v>65</v>
      </c>
    </row>
    <row r="11105" spans="1:11" ht="40.049999999999997" customHeight="1" x14ac:dyDescent="0.25">
      <c r="A11105" s="11" t="s">
        <v>21908</v>
      </c>
      <c r="B11105" s="11" t="s">
        <v>21908</v>
      </c>
      <c r="C11105" s="11" t="s">
        <v>101</v>
      </c>
      <c r="D11105" s="11" t="s">
        <v>43</v>
      </c>
      <c r="E11105" s="12" t="s">
        <v>299</v>
      </c>
      <c r="F11105" s="12" t="s">
        <v>300</v>
      </c>
      <c r="G11105" s="12" t="s">
        <v>40</v>
      </c>
      <c r="H11105" s="11" t="s">
        <v>63</v>
      </c>
      <c r="I11105" s="13" t="s">
        <v>21930</v>
      </c>
      <c r="J11105" s="14" t="str">
        <f>HYPERLINK("https://www.boe.es/gazeta/dias/1839/02/14/pdfs/GMD-1839-1552.pdf#page=2","Abrir facsímil")</f>
        <v>Abrir facsímil</v>
      </c>
      <c r="K11105" s="12" t="s">
        <v>65</v>
      </c>
    </row>
    <row r="11106" spans="1:11" ht="40.049999999999997" customHeight="1" x14ac:dyDescent="0.25">
      <c r="A11106" s="11" t="s">
        <v>21908</v>
      </c>
      <c r="B11106" s="11" t="s">
        <v>21908</v>
      </c>
      <c r="C11106" s="11" t="s">
        <v>17</v>
      </c>
      <c r="D11106" s="11" t="s">
        <v>18</v>
      </c>
      <c r="E11106" s="12" t="s">
        <v>365</v>
      </c>
      <c r="F11106" s="12" t="s">
        <v>366</v>
      </c>
      <c r="G11106" s="12" t="s">
        <v>29</v>
      </c>
      <c r="H11106" s="11" t="s">
        <v>63</v>
      </c>
      <c r="I11106" s="13" t="s">
        <v>21931</v>
      </c>
      <c r="J11106" s="14" t="str">
        <f>HYPERLINK("https://www.boe.es/gazeta/dias/1839/08/14/pdfs/GMD-1839-1734.pdf#page=1","Abrir facsímil")</f>
        <v>Abrir facsímil</v>
      </c>
      <c r="K11106" s="12" t="s">
        <v>65</v>
      </c>
    </row>
    <row r="11107" spans="1:11" ht="40.049999999999997" customHeight="1" x14ac:dyDescent="0.25">
      <c r="A11107" s="11" t="s">
        <v>21908</v>
      </c>
      <c r="B11107" s="11" t="s">
        <v>21908</v>
      </c>
      <c r="C11107" s="11" t="s">
        <v>137</v>
      </c>
      <c r="D11107" s="11" t="s">
        <v>18</v>
      </c>
      <c r="E11107" s="12" t="s">
        <v>185</v>
      </c>
      <c r="F11107" s="12" t="s">
        <v>186</v>
      </c>
      <c r="G11107" s="12" t="s">
        <v>40</v>
      </c>
      <c r="H11107" s="11" t="s">
        <v>63</v>
      </c>
      <c r="I11107" s="13" t="s">
        <v>21932</v>
      </c>
      <c r="J11107" s="14" t="str">
        <f>HYPERLINK("https://www.boe.es/gazeta/dias/1839/01/15/pdfs/GMD-1839-1522.pdf#page=2","Abrir facsímil")</f>
        <v>Abrir facsímil</v>
      </c>
      <c r="K11107" s="12" t="s">
        <v>65</v>
      </c>
    </row>
    <row r="11108" spans="1:11" ht="40.049999999999997" customHeight="1" x14ac:dyDescent="0.25">
      <c r="A11108" s="11" t="s">
        <v>21908</v>
      </c>
      <c r="B11108" s="11" t="s">
        <v>21908</v>
      </c>
      <c r="C11108" s="11" t="s">
        <v>17</v>
      </c>
      <c r="D11108" s="11" t="s">
        <v>18</v>
      </c>
      <c r="E11108" s="12" t="s">
        <v>185</v>
      </c>
      <c r="F11108" s="12" t="s">
        <v>186</v>
      </c>
      <c r="G11108" s="12" t="s">
        <v>46</v>
      </c>
      <c r="H11108" s="11" t="s">
        <v>63</v>
      </c>
      <c r="I11108" s="13" t="s">
        <v>21933</v>
      </c>
      <c r="J11108" s="14" t="str">
        <f>HYPERLINK("https://www.boe.es/gazeta/dias/1839/01/15/pdfs/GMD-1839-1522.pdf#page=3","Abrir facsímil")</f>
        <v>Abrir facsímil</v>
      </c>
      <c r="K11108" s="12" t="s">
        <v>65</v>
      </c>
    </row>
    <row r="11109" spans="1:11" ht="40.049999999999997" customHeight="1" x14ac:dyDescent="0.25">
      <c r="A11109" s="11" t="s">
        <v>21908</v>
      </c>
      <c r="B11109" s="11" t="s">
        <v>21908</v>
      </c>
      <c r="C11109" s="11" t="s">
        <v>80</v>
      </c>
      <c r="D11109" s="11" t="s">
        <v>173</v>
      </c>
      <c r="E11109" s="12" t="s">
        <v>175</v>
      </c>
      <c r="F11109" s="12" t="s">
        <v>176</v>
      </c>
      <c r="G11109" s="12" t="s">
        <v>40</v>
      </c>
      <c r="H11109" s="11" t="s">
        <v>63</v>
      </c>
      <c r="I11109" s="13" t="s">
        <v>21934</v>
      </c>
      <c r="J11109" s="14" t="str">
        <f>HYPERLINK("https://www.boe.es/gazeta/dias/1839/01/16/pdfs/GMD-1839-1523.pdf#page=2","Abrir facsímil")</f>
        <v>Abrir facsímil</v>
      </c>
      <c r="K11109" s="12" t="s">
        <v>65</v>
      </c>
    </row>
    <row r="11110" spans="1:11" ht="40.049999999999997" customHeight="1" x14ac:dyDescent="0.25">
      <c r="A11110" s="11" t="s">
        <v>21908</v>
      </c>
      <c r="B11110" s="11" t="s">
        <v>21908</v>
      </c>
      <c r="C11110" s="11" t="s">
        <v>17</v>
      </c>
      <c r="D11110" s="11" t="s">
        <v>18</v>
      </c>
      <c r="E11110" s="12" t="s">
        <v>175</v>
      </c>
      <c r="F11110" s="12" t="s">
        <v>176</v>
      </c>
      <c r="G11110" s="12" t="s">
        <v>46</v>
      </c>
      <c r="H11110" s="11" t="s">
        <v>63</v>
      </c>
      <c r="I11110" s="13" t="s">
        <v>21935</v>
      </c>
      <c r="J11110" s="14" t="str">
        <f>HYPERLINK("https://www.boe.es/gazeta/dias/1839/01/16/pdfs/GMD-1839-1523.pdf#page=3","Abrir facsímil")</f>
        <v>Abrir facsímil</v>
      </c>
      <c r="K11110" s="12" t="s">
        <v>65</v>
      </c>
    </row>
    <row r="11111" spans="1:11" ht="40.049999999999997" customHeight="1" x14ac:dyDescent="0.25">
      <c r="A11111" s="11" t="s">
        <v>21908</v>
      </c>
      <c r="B11111" s="11" t="s">
        <v>21908</v>
      </c>
      <c r="C11111" s="11" t="s">
        <v>17</v>
      </c>
      <c r="D11111" s="11" t="s">
        <v>18</v>
      </c>
      <c r="E11111" s="12" t="s">
        <v>1236</v>
      </c>
      <c r="F11111" s="12" t="s">
        <v>1237</v>
      </c>
      <c r="G11111" s="12" t="s">
        <v>40</v>
      </c>
      <c r="H11111" s="11" t="s">
        <v>63</v>
      </c>
      <c r="I11111" s="13" t="s">
        <v>21936</v>
      </c>
      <c r="J11111" s="14" t="str">
        <f>HYPERLINK("https://www.boe.es/gazeta/dias/1839/10/16/pdfs/GMD-1839-1802.pdf#page=2","Abrir facsímil")</f>
        <v>Abrir facsímil</v>
      </c>
      <c r="K11111" s="12" t="s">
        <v>65</v>
      </c>
    </row>
    <row r="11112" spans="1:11" ht="40.049999999999997" customHeight="1" x14ac:dyDescent="0.25">
      <c r="A11112" s="11" t="s">
        <v>21908</v>
      </c>
      <c r="B11112" s="11" t="s">
        <v>21908</v>
      </c>
      <c r="C11112" s="11" t="s">
        <v>137</v>
      </c>
      <c r="D11112" s="11" t="s">
        <v>18</v>
      </c>
      <c r="E11112" s="12" t="s">
        <v>2155</v>
      </c>
      <c r="F11112" s="12" t="s">
        <v>2156</v>
      </c>
      <c r="G11112" s="12" t="s">
        <v>40</v>
      </c>
      <c r="H11112" s="11" t="s">
        <v>63</v>
      </c>
      <c r="I11112" s="13" t="s">
        <v>21937</v>
      </c>
      <c r="J11112" s="14" t="str">
        <f>HYPERLINK("https://www.boe.es/gazeta/dias/1839/01/17/pdfs/GMD-1839-1524.pdf#page=2","Abrir facsímil")</f>
        <v>Abrir facsímil</v>
      </c>
      <c r="K11112" s="12" t="s">
        <v>65</v>
      </c>
    </row>
    <row r="11113" spans="1:11" ht="40.049999999999997" customHeight="1" x14ac:dyDescent="0.25">
      <c r="A11113" s="11" t="s">
        <v>21908</v>
      </c>
      <c r="B11113" s="11" t="s">
        <v>21908</v>
      </c>
      <c r="C11113" s="11" t="s">
        <v>59</v>
      </c>
      <c r="D11113" s="11" t="s">
        <v>60</v>
      </c>
      <c r="E11113" s="12" t="s">
        <v>564</v>
      </c>
      <c r="F11113" s="12" t="s">
        <v>565</v>
      </c>
      <c r="G11113" s="12" t="s">
        <v>21</v>
      </c>
      <c r="H11113" s="11" t="s">
        <v>63</v>
      </c>
      <c r="I11113" s="13" t="s">
        <v>21938</v>
      </c>
      <c r="J11113" s="14" t="str">
        <f>HYPERLINK("https://www.boe.es/gazeta/dias/1839/10/17/pdfs/GMD-1839-1803.pdf#page=4","Abrir facsímil")</f>
        <v>Abrir facsímil</v>
      </c>
      <c r="K11113" s="12" t="s">
        <v>65</v>
      </c>
    </row>
    <row r="11114" spans="1:11" ht="40.049999999999997" customHeight="1" x14ac:dyDescent="0.25">
      <c r="A11114" s="11" t="s">
        <v>21908</v>
      </c>
      <c r="B11114" s="11" t="s">
        <v>21908</v>
      </c>
      <c r="C11114" s="11" t="s">
        <v>17</v>
      </c>
      <c r="D11114" s="11" t="s">
        <v>18</v>
      </c>
      <c r="E11114" s="12" t="s">
        <v>564</v>
      </c>
      <c r="F11114" s="12" t="s">
        <v>565</v>
      </c>
      <c r="G11114" s="12" t="s">
        <v>566</v>
      </c>
      <c r="H11114" s="11" t="s">
        <v>63</v>
      </c>
      <c r="I11114" s="13" t="s">
        <v>21939</v>
      </c>
      <c r="J11114" s="14" t="str">
        <f>HYPERLINK("https://www.boe.es/gazeta/dias/1839/10/17/pdfs/GMD-1839-1803.pdf#page=5","Abrir facsímil")</f>
        <v>Abrir facsímil</v>
      </c>
      <c r="K11114" s="12" t="s">
        <v>65</v>
      </c>
    </row>
    <row r="11115" spans="1:11" ht="40.049999999999997" customHeight="1" x14ac:dyDescent="0.25">
      <c r="A11115" s="11" t="s">
        <v>21908</v>
      </c>
      <c r="B11115" s="11" t="s">
        <v>21908</v>
      </c>
      <c r="C11115" s="11" t="s">
        <v>137</v>
      </c>
      <c r="D11115" s="11" t="s">
        <v>18</v>
      </c>
      <c r="E11115" s="12" t="s">
        <v>1072</v>
      </c>
      <c r="F11115" s="12" t="s">
        <v>1073</v>
      </c>
      <c r="G11115" s="12" t="s">
        <v>40</v>
      </c>
      <c r="H11115" s="11" t="s">
        <v>63</v>
      </c>
      <c r="I11115" s="13" t="s">
        <v>21940</v>
      </c>
      <c r="J11115" s="14" t="str">
        <f>HYPERLINK("https://www.boe.es/gazeta/dias/1839/01/18/pdfs/GMD-1839-1525.pdf#page=2","Abrir facsímil")</f>
        <v>Abrir facsímil</v>
      </c>
      <c r="K11115" s="12" t="s">
        <v>65</v>
      </c>
    </row>
    <row r="11116" spans="1:11" ht="40.049999999999997" customHeight="1" x14ac:dyDescent="0.25">
      <c r="A11116" s="11" t="s">
        <v>21908</v>
      </c>
      <c r="B11116" s="11" t="s">
        <v>21908</v>
      </c>
      <c r="C11116" s="11" t="s">
        <v>17</v>
      </c>
      <c r="D11116" s="11" t="s">
        <v>18</v>
      </c>
      <c r="E11116" s="12" t="s">
        <v>685</v>
      </c>
      <c r="F11116" s="12" t="s">
        <v>686</v>
      </c>
      <c r="G11116" s="12" t="s">
        <v>46</v>
      </c>
      <c r="H11116" s="11" t="s">
        <v>63</v>
      </c>
      <c r="I11116" s="13" t="s">
        <v>21941</v>
      </c>
      <c r="J11116" s="14" t="str">
        <f>HYPERLINK("https://www.boe.es/gazeta/dias/1839/06/18/pdfs/GMD-1839-1676.pdf#page=3","Abrir facsímil")</f>
        <v>Abrir facsímil</v>
      </c>
      <c r="K11116" s="12" t="s">
        <v>65</v>
      </c>
    </row>
    <row r="11117" spans="1:11" ht="40.049999999999997" customHeight="1" x14ac:dyDescent="0.25">
      <c r="A11117" s="11" t="s">
        <v>21908</v>
      </c>
      <c r="B11117" s="11" t="s">
        <v>21908</v>
      </c>
      <c r="C11117" s="11" t="s">
        <v>17</v>
      </c>
      <c r="D11117" s="11" t="s">
        <v>18</v>
      </c>
      <c r="E11117" s="12" t="s">
        <v>433</v>
      </c>
      <c r="F11117" s="12" t="s">
        <v>434</v>
      </c>
      <c r="G11117" s="12" t="s">
        <v>21</v>
      </c>
      <c r="H11117" s="11" t="s">
        <v>63</v>
      </c>
      <c r="I11117" s="13" t="s">
        <v>21942</v>
      </c>
      <c r="J11117" s="14" t="str">
        <f>HYPERLINK("https://www.boe.es/gazeta/dias/1839/01/20/pdfs/GMD-1839-1527.pdf#page=4","Abrir facsímil")</f>
        <v>Abrir facsímil</v>
      </c>
      <c r="K11117" s="12" t="s">
        <v>65</v>
      </c>
    </row>
    <row r="11118" spans="1:11" ht="40.049999999999997" customHeight="1" x14ac:dyDescent="0.25">
      <c r="A11118" s="11" t="s">
        <v>21908</v>
      </c>
      <c r="B11118" s="11" t="s">
        <v>21908</v>
      </c>
      <c r="C11118" s="11" t="s">
        <v>17</v>
      </c>
      <c r="D11118" s="11" t="s">
        <v>18</v>
      </c>
      <c r="E11118" s="12" t="s">
        <v>2069</v>
      </c>
      <c r="F11118" s="12" t="s">
        <v>2070</v>
      </c>
      <c r="G11118" s="12" t="s">
        <v>21</v>
      </c>
      <c r="H11118" s="11" t="s">
        <v>63</v>
      </c>
      <c r="I11118" s="13" t="s">
        <v>21943</v>
      </c>
      <c r="J11118" s="14" t="str">
        <f>HYPERLINK("https://www.boe.es/gazeta/dias/1839/10/20/pdfs/GMD-1839-1806.pdf#page=4","Abrir facsímil")</f>
        <v>Abrir facsímil</v>
      </c>
      <c r="K11118" s="12" t="s">
        <v>65</v>
      </c>
    </row>
    <row r="11119" spans="1:11" ht="40.049999999999997" customHeight="1" x14ac:dyDescent="0.25">
      <c r="A11119" s="11" t="s">
        <v>21908</v>
      </c>
      <c r="B11119" s="11" t="s">
        <v>21908</v>
      </c>
      <c r="C11119" s="11" t="s">
        <v>101</v>
      </c>
      <c r="D11119" s="11" t="s">
        <v>43</v>
      </c>
      <c r="E11119" s="12" t="s">
        <v>1433</v>
      </c>
      <c r="F11119" s="12" t="s">
        <v>1434</v>
      </c>
      <c r="G11119" s="12" t="s">
        <v>21</v>
      </c>
      <c r="H11119" s="11" t="s">
        <v>63</v>
      </c>
      <c r="I11119" s="13" t="s">
        <v>21944</v>
      </c>
      <c r="J11119" s="14" t="str">
        <f>HYPERLINK("https://www.boe.es/gazeta/dias/1839/10/22/pdfs/GMD-1839-1808.pdf#page=4","Abrir facsímil")</f>
        <v>Abrir facsímil</v>
      </c>
      <c r="K11119" s="12" t="s">
        <v>65</v>
      </c>
    </row>
    <row r="11120" spans="1:11" ht="40.049999999999997" customHeight="1" x14ac:dyDescent="0.25">
      <c r="A11120" s="11" t="s">
        <v>21908</v>
      </c>
      <c r="B11120" s="11" t="s">
        <v>21908</v>
      </c>
      <c r="C11120" s="11" t="s">
        <v>17</v>
      </c>
      <c r="D11120" s="11" t="s">
        <v>18</v>
      </c>
      <c r="E11120" s="12" t="s">
        <v>568</v>
      </c>
      <c r="F11120" s="12" t="s">
        <v>569</v>
      </c>
      <c r="G11120" s="12" t="s">
        <v>40</v>
      </c>
      <c r="H11120" s="11" t="s">
        <v>63</v>
      </c>
      <c r="I11120" s="13" t="s">
        <v>21945</v>
      </c>
      <c r="J11120" s="14" t="str">
        <f>HYPERLINK("https://www.boe.es/gazeta/dias/1839/10/23/pdfs/GMD-1839-1809.pdf#page=2","Abrir facsímil")</f>
        <v>Abrir facsímil</v>
      </c>
      <c r="K11120" s="12" t="s">
        <v>65</v>
      </c>
    </row>
    <row r="11121" spans="1:11" ht="40.049999999999997" customHeight="1" x14ac:dyDescent="0.25">
      <c r="A11121" s="11" t="s">
        <v>21908</v>
      </c>
      <c r="B11121" s="11" t="s">
        <v>21908</v>
      </c>
      <c r="C11121" s="11" t="s">
        <v>17</v>
      </c>
      <c r="D11121" s="11" t="s">
        <v>18</v>
      </c>
      <c r="E11121" s="12" t="s">
        <v>276</v>
      </c>
      <c r="F11121" s="12" t="s">
        <v>277</v>
      </c>
      <c r="G11121" s="12" t="s">
        <v>46</v>
      </c>
      <c r="H11121" s="11" t="s">
        <v>63</v>
      </c>
      <c r="I11121" s="13" t="s">
        <v>21946</v>
      </c>
      <c r="J11121" s="14" t="str">
        <f>HYPERLINK("https://www.boe.es/gazeta/dias/1839/09/24/pdfs/GMD-1839-1780.pdf#page=3","Abrir facsímil")</f>
        <v>Abrir facsímil</v>
      </c>
      <c r="K11121" s="12" t="s">
        <v>65</v>
      </c>
    </row>
    <row r="11122" spans="1:11" ht="40.049999999999997" customHeight="1" x14ac:dyDescent="0.25">
      <c r="A11122" s="11" t="s">
        <v>21908</v>
      </c>
      <c r="B11122" s="11" t="s">
        <v>21908</v>
      </c>
      <c r="C11122" s="11" t="s">
        <v>17</v>
      </c>
      <c r="D11122" s="11" t="s">
        <v>18</v>
      </c>
      <c r="E11122" s="12" t="s">
        <v>416</v>
      </c>
      <c r="F11122" s="12" t="s">
        <v>417</v>
      </c>
      <c r="G11122" s="12" t="s">
        <v>46</v>
      </c>
      <c r="H11122" s="11" t="s">
        <v>63</v>
      </c>
      <c r="I11122" s="13" t="s">
        <v>21947</v>
      </c>
      <c r="J11122" s="14" t="str">
        <f>HYPERLINK("https://www.boe.es/gazeta/dias/1839/10/24/pdfs/GMD-1839-1810.pdf#page=3","Abrir facsímil")</f>
        <v>Abrir facsímil</v>
      </c>
      <c r="K11122" s="12" t="s">
        <v>65</v>
      </c>
    </row>
    <row r="11123" spans="1:11" ht="40.049999999999997" customHeight="1" x14ac:dyDescent="0.25">
      <c r="A11123" s="11" t="s">
        <v>21908</v>
      </c>
      <c r="B11123" s="11" t="s">
        <v>21908</v>
      </c>
      <c r="C11123" s="11" t="s">
        <v>59</v>
      </c>
      <c r="D11123" s="11" t="s">
        <v>60</v>
      </c>
      <c r="E11123" s="12" t="s">
        <v>826</v>
      </c>
      <c r="F11123" s="12" t="s">
        <v>827</v>
      </c>
      <c r="G11123" s="12" t="s">
        <v>21</v>
      </c>
      <c r="H11123" s="11" t="s">
        <v>63</v>
      </c>
      <c r="I11123" s="13" t="s">
        <v>21948</v>
      </c>
      <c r="J11123" s="14" t="str">
        <f>HYPERLINK("https://www.boe.es/gazeta/dias/1839/09/25/pdfs/GMD-1839-1781.pdf#page=4","Abrir facsímil")</f>
        <v>Abrir facsímil</v>
      </c>
      <c r="K11123" s="12" t="s">
        <v>65</v>
      </c>
    </row>
    <row r="11124" spans="1:11" ht="40.049999999999997" customHeight="1" x14ac:dyDescent="0.25">
      <c r="A11124" s="11" t="s">
        <v>21908</v>
      </c>
      <c r="B11124" s="11" t="s">
        <v>21908</v>
      </c>
      <c r="C11124" s="11" t="s">
        <v>17</v>
      </c>
      <c r="D11124" s="11" t="s">
        <v>18</v>
      </c>
      <c r="E11124" s="12" t="s">
        <v>650</v>
      </c>
      <c r="F11124" s="12" t="s">
        <v>651</v>
      </c>
      <c r="G11124" s="12" t="s">
        <v>40</v>
      </c>
      <c r="H11124" s="11" t="s">
        <v>63</v>
      </c>
      <c r="I11124" s="13" t="s">
        <v>21949</v>
      </c>
      <c r="J11124" s="14" t="str">
        <f>HYPERLINK("https://www.boe.es/gazeta/dias/1839/10/25/pdfs/GMD-1839-1811.pdf#page=2","Abrir facsímil")</f>
        <v>Abrir facsímil</v>
      </c>
      <c r="K11124" s="12" t="s">
        <v>65</v>
      </c>
    </row>
    <row r="11125" spans="1:11" ht="40.049999999999997" customHeight="1" x14ac:dyDescent="0.25">
      <c r="A11125" s="11" t="s">
        <v>21908</v>
      </c>
      <c r="B11125" s="11" t="s">
        <v>21908</v>
      </c>
      <c r="C11125" s="11" t="s">
        <v>17</v>
      </c>
      <c r="D11125" s="11" t="s">
        <v>18</v>
      </c>
      <c r="E11125" s="12" t="s">
        <v>1679</v>
      </c>
      <c r="F11125" s="12" t="s">
        <v>1680</v>
      </c>
      <c r="G11125" s="12" t="s">
        <v>40</v>
      </c>
      <c r="H11125" s="11" t="s">
        <v>63</v>
      </c>
      <c r="I11125" s="13" t="s">
        <v>21950</v>
      </c>
      <c r="J11125" s="14" t="str">
        <f>HYPERLINK("https://www.boe.es/gazeta/dias/1839/01/26/pdfs/GMD-1839-1533.pdf#page=2","Abrir facsímil")</f>
        <v>Abrir facsímil</v>
      </c>
      <c r="K11125" s="12" t="s">
        <v>65</v>
      </c>
    </row>
    <row r="11126" spans="1:11" ht="40.049999999999997" customHeight="1" x14ac:dyDescent="0.25">
      <c r="A11126" s="11" t="s">
        <v>21908</v>
      </c>
      <c r="B11126" s="11" t="s">
        <v>21908</v>
      </c>
      <c r="C11126" s="11" t="s">
        <v>17</v>
      </c>
      <c r="D11126" s="11" t="s">
        <v>18</v>
      </c>
      <c r="E11126" s="12" t="s">
        <v>4787</v>
      </c>
      <c r="F11126" s="12" t="s">
        <v>4788</v>
      </c>
      <c r="G11126" s="12" t="s">
        <v>40</v>
      </c>
      <c r="H11126" s="11" t="s">
        <v>63</v>
      </c>
      <c r="I11126" s="13" t="s">
        <v>21951</v>
      </c>
      <c r="J11126" s="14" t="str">
        <f>HYPERLINK("https://www.boe.es/gazeta/dias/1839/05/26/pdfs/GMD-1839-1653.pdf#page=2","Abrir facsímil")</f>
        <v>Abrir facsímil</v>
      </c>
      <c r="K11126" s="12" t="s">
        <v>65</v>
      </c>
    </row>
    <row r="11127" spans="1:11" ht="40.049999999999997" customHeight="1" x14ac:dyDescent="0.25">
      <c r="A11127" s="11" t="s">
        <v>21908</v>
      </c>
      <c r="B11127" s="11" t="s">
        <v>21908</v>
      </c>
      <c r="C11127" s="11" t="s">
        <v>137</v>
      </c>
      <c r="D11127" s="11" t="s">
        <v>18</v>
      </c>
      <c r="E11127" s="12" t="s">
        <v>1086</v>
      </c>
      <c r="F11127" s="12" t="s">
        <v>1087</v>
      </c>
      <c r="G11127" s="12" t="s">
        <v>40</v>
      </c>
      <c r="H11127" s="11" t="s">
        <v>63</v>
      </c>
      <c r="I11127" s="13" t="s">
        <v>21952</v>
      </c>
      <c r="J11127" s="14" t="str">
        <f>HYPERLINK("https://www.boe.es/gazeta/dias/1839/10/26/pdfs/GMD-1839-1812.pdf#page=2","Abrir facsímil")</f>
        <v>Abrir facsímil</v>
      </c>
      <c r="K11127" s="12" t="s">
        <v>65</v>
      </c>
    </row>
    <row r="11128" spans="1:11" ht="40.049999999999997" customHeight="1" x14ac:dyDescent="0.25">
      <c r="A11128" s="11" t="s">
        <v>21908</v>
      </c>
      <c r="B11128" s="11" t="s">
        <v>21908</v>
      </c>
      <c r="C11128" s="11" t="s">
        <v>17</v>
      </c>
      <c r="D11128" s="11" t="s">
        <v>18</v>
      </c>
      <c r="E11128" s="12" t="s">
        <v>1086</v>
      </c>
      <c r="F11128" s="12" t="s">
        <v>1087</v>
      </c>
      <c r="G11128" s="12" t="s">
        <v>46</v>
      </c>
      <c r="H11128" s="11" t="s">
        <v>63</v>
      </c>
      <c r="I11128" s="13" t="s">
        <v>21953</v>
      </c>
      <c r="J11128" s="14" t="str">
        <f>HYPERLINK("https://www.boe.es/gazeta/dias/1839/10/26/pdfs/GMD-1839-1812.pdf#page=3","Abrir facsímil")</f>
        <v>Abrir facsímil</v>
      </c>
      <c r="K11128" s="12" t="s">
        <v>65</v>
      </c>
    </row>
    <row r="11129" spans="1:11" ht="40.049999999999997" customHeight="1" x14ac:dyDescent="0.25">
      <c r="A11129" s="11" t="s">
        <v>21908</v>
      </c>
      <c r="B11129" s="11" t="s">
        <v>21908</v>
      </c>
      <c r="C11129" s="11" t="s">
        <v>17</v>
      </c>
      <c r="D11129" s="11" t="s">
        <v>18</v>
      </c>
      <c r="E11129" s="12" t="s">
        <v>571</v>
      </c>
      <c r="F11129" s="12" t="s">
        <v>572</v>
      </c>
      <c r="G11129" s="12" t="s">
        <v>46</v>
      </c>
      <c r="H11129" s="11" t="s">
        <v>63</v>
      </c>
      <c r="I11129" s="13" t="s">
        <v>21954</v>
      </c>
      <c r="J11129" s="14" t="str">
        <f>HYPERLINK("https://www.boe.es/gazeta/dias/1839/09/27/pdfs/GMD-1839-1783.pdf#page=3","Abrir facsímil")</f>
        <v>Abrir facsímil</v>
      </c>
      <c r="K11129" s="12" t="s">
        <v>65</v>
      </c>
    </row>
    <row r="11130" spans="1:11" ht="40.049999999999997" customHeight="1" x14ac:dyDescent="0.25">
      <c r="A11130" s="11" t="s">
        <v>21908</v>
      </c>
      <c r="B11130" s="11" t="s">
        <v>21908</v>
      </c>
      <c r="C11130" s="11" t="s">
        <v>101</v>
      </c>
      <c r="D11130" s="11" t="s">
        <v>102</v>
      </c>
      <c r="E11130" s="12" t="s">
        <v>1909</v>
      </c>
      <c r="F11130" s="12" t="s">
        <v>1910</v>
      </c>
      <c r="G11130" s="12" t="s">
        <v>46</v>
      </c>
      <c r="H11130" s="11" t="s">
        <v>63</v>
      </c>
      <c r="I11130" s="13" t="s">
        <v>21955</v>
      </c>
      <c r="J11130" s="14" t="str">
        <f>HYPERLINK("https://www.boe.es/gazeta/dias/1839/10/27/pdfs/GMD-1839-1813.pdf#page=3","Abrir facsímil")</f>
        <v>Abrir facsímil</v>
      </c>
      <c r="K11130" s="12" t="s">
        <v>65</v>
      </c>
    </row>
    <row r="11131" spans="1:11" ht="40.049999999999997" customHeight="1" x14ac:dyDescent="0.25">
      <c r="A11131" s="11" t="s">
        <v>21908</v>
      </c>
      <c r="B11131" s="11" t="s">
        <v>21908</v>
      </c>
      <c r="C11131" s="11" t="s">
        <v>59</v>
      </c>
      <c r="D11131" s="11" t="s">
        <v>60</v>
      </c>
      <c r="E11131" s="12" t="s">
        <v>677</v>
      </c>
      <c r="F11131" s="12" t="s">
        <v>678</v>
      </c>
      <c r="G11131" s="12" t="s">
        <v>29</v>
      </c>
      <c r="H11131" s="11" t="s">
        <v>63</v>
      </c>
      <c r="I11131" s="13" t="s">
        <v>21956</v>
      </c>
      <c r="J11131" s="14" t="str">
        <f>HYPERLINK("https://www.boe.es/gazeta/dias/1839/04/28/pdfs/GMD-1839-1625.pdf#page=1","Abrir facsímil")</f>
        <v>Abrir facsímil</v>
      </c>
      <c r="K11131" s="12" t="s">
        <v>65</v>
      </c>
    </row>
    <row r="11132" spans="1:11" ht="40.049999999999997" customHeight="1" x14ac:dyDescent="0.25">
      <c r="A11132" s="11" t="s">
        <v>21908</v>
      </c>
      <c r="B11132" s="11" t="s">
        <v>21908</v>
      </c>
      <c r="C11132" s="11" t="s">
        <v>101</v>
      </c>
      <c r="D11132" s="11" t="s">
        <v>43</v>
      </c>
      <c r="E11132" s="12" t="s">
        <v>862</v>
      </c>
      <c r="F11132" s="12" t="s">
        <v>863</v>
      </c>
      <c r="G11132" s="12" t="s">
        <v>566</v>
      </c>
      <c r="H11132" s="11" t="s">
        <v>63</v>
      </c>
      <c r="I11132" s="13" t="s">
        <v>21957</v>
      </c>
      <c r="J11132" s="14" t="str">
        <f>HYPERLINK("https://www.boe.es/gazeta/dias/1839/10/28/pdfs/GMD-1839-1814.pdf#page=5","Abrir facsímil")</f>
        <v>Abrir facsímil</v>
      </c>
      <c r="K11132" s="12" t="s">
        <v>65</v>
      </c>
    </row>
    <row r="11133" spans="1:11" ht="40.049999999999997" customHeight="1" x14ac:dyDescent="0.25">
      <c r="A11133" s="11" t="s">
        <v>21908</v>
      </c>
      <c r="B11133" s="11" t="s">
        <v>21908</v>
      </c>
      <c r="C11133" s="11" t="s">
        <v>137</v>
      </c>
      <c r="D11133" s="11" t="s">
        <v>18</v>
      </c>
      <c r="E11133" s="12" t="s">
        <v>862</v>
      </c>
      <c r="F11133" s="12" t="s">
        <v>863</v>
      </c>
      <c r="G11133" s="12" t="s">
        <v>305</v>
      </c>
      <c r="H11133" s="11" t="s">
        <v>63</v>
      </c>
      <c r="I11133" s="13" t="s">
        <v>21958</v>
      </c>
      <c r="J11133" s="14" t="str">
        <f>HYPERLINK("https://www.boe.es/gazeta/dias/1839/10/28/pdfs/GMD-1839-1814.pdf#page=6","Abrir facsímil")</f>
        <v>Abrir facsímil</v>
      </c>
      <c r="K11133" s="12" t="s">
        <v>65</v>
      </c>
    </row>
    <row r="11134" spans="1:11" ht="40.049999999999997" customHeight="1" x14ac:dyDescent="0.25">
      <c r="A11134" s="11" t="s">
        <v>21908</v>
      </c>
      <c r="B11134" s="11" t="s">
        <v>21908</v>
      </c>
      <c r="C11134" s="11" t="s">
        <v>137</v>
      </c>
      <c r="D11134" s="11" t="s">
        <v>18</v>
      </c>
      <c r="E11134" s="12" t="s">
        <v>1988</v>
      </c>
      <c r="F11134" s="12" t="s">
        <v>1989</v>
      </c>
      <c r="G11134" s="12" t="s">
        <v>46</v>
      </c>
      <c r="H11134" s="11" t="s">
        <v>63</v>
      </c>
      <c r="I11134" s="13" t="s">
        <v>21959</v>
      </c>
      <c r="J11134" s="14" t="str">
        <f>HYPERLINK("https://www.boe.es/gazeta/dias/1839/10/29/pdfs/GMD-1839-1815.pdf#page=3","Abrir facsímil")</f>
        <v>Abrir facsímil</v>
      </c>
      <c r="K11134" s="12" t="s">
        <v>65</v>
      </c>
    </row>
    <row r="11135" spans="1:11" ht="40.049999999999997" customHeight="1" x14ac:dyDescent="0.25">
      <c r="A11135" s="11" t="s">
        <v>21908</v>
      </c>
      <c r="B11135" s="11" t="s">
        <v>21908</v>
      </c>
      <c r="C11135" s="11" t="s">
        <v>17</v>
      </c>
      <c r="D11135" s="11" t="s">
        <v>18</v>
      </c>
      <c r="E11135" s="12" t="s">
        <v>1988</v>
      </c>
      <c r="F11135" s="12" t="s">
        <v>1989</v>
      </c>
      <c r="G11135" s="12" t="s">
        <v>21</v>
      </c>
      <c r="H11135" s="11" t="s">
        <v>63</v>
      </c>
      <c r="I11135" s="13" t="s">
        <v>21960</v>
      </c>
      <c r="J11135" s="14" t="str">
        <f>HYPERLINK("https://www.boe.es/gazeta/dias/1839/10/29/pdfs/GMD-1839-1815.pdf#page=4","Abrir facsímil")</f>
        <v>Abrir facsímil</v>
      </c>
      <c r="K11135" s="12" t="s">
        <v>65</v>
      </c>
    </row>
    <row r="11136" spans="1:11" ht="40.049999999999997" customHeight="1" x14ac:dyDescent="0.25">
      <c r="A11136" s="11" t="s">
        <v>21908</v>
      </c>
      <c r="B11136" s="11" t="s">
        <v>21908</v>
      </c>
      <c r="C11136" s="11" t="s">
        <v>17</v>
      </c>
      <c r="D11136" s="11" t="s">
        <v>18</v>
      </c>
      <c r="E11136" s="12" t="s">
        <v>653</v>
      </c>
      <c r="F11136" s="12" t="s">
        <v>654</v>
      </c>
      <c r="G11136" s="12" t="s">
        <v>29</v>
      </c>
      <c r="H11136" s="11" t="s">
        <v>63</v>
      </c>
      <c r="I11136" s="13" t="s">
        <v>21961</v>
      </c>
      <c r="J11136" s="14" t="str">
        <f>HYPERLINK("https://www.boe.es/gazeta/dias/1839/10/31/pdfs/GMD-1839-1817.pdf#page=1","Abrir facsímil")</f>
        <v>Abrir facsímil</v>
      </c>
      <c r="K11136" s="12" t="s">
        <v>65</v>
      </c>
    </row>
    <row r="11137" spans="1:11" ht="40.049999999999997" customHeight="1" x14ac:dyDescent="0.25">
      <c r="A11137" s="11" t="s">
        <v>21908</v>
      </c>
      <c r="B11137" s="11" t="s">
        <v>21908</v>
      </c>
      <c r="C11137" s="11" t="s">
        <v>17</v>
      </c>
      <c r="D11137" s="11" t="s">
        <v>18</v>
      </c>
      <c r="E11137" s="12" t="s">
        <v>653</v>
      </c>
      <c r="F11137" s="12" t="s">
        <v>654</v>
      </c>
      <c r="G11137" s="12" t="s">
        <v>46</v>
      </c>
      <c r="H11137" s="11" t="s">
        <v>63</v>
      </c>
      <c r="I11137" s="13" t="s">
        <v>21962</v>
      </c>
      <c r="J11137" s="14" t="str">
        <f>HYPERLINK("https://www.boe.es/gazeta/dias/1839/10/31/pdfs/GMD-1839-1817.pdf#page=3","Abrir facsímil")</f>
        <v>Abrir facsímil</v>
      </c>
      <c r="K11137" s="12" t="s">
        <v>65</v>
      </c>
    </row>
    <row r="11138" spans="1:11" ht="40.049999999999997" customHeight="1" x14ac:dyDescent="0.25">
      <c r="A11138" s="11" t="s">
        <v>21908</v>
      </c>
      <c r="B11138" s="11" t="s">
        <v>21908</v>
      </c>
      <c r="C11138" s="11" t="s">
        <v>17</v>
      </c>
      <c r="D11138" s="11" t="s">
        <v>18</v>
      </c>
      <c r="E11138" s="12" t="s">
        <v>653</v>
      </c>
      <c r="F11138" s="12" t="s">
        <v>654</v>
      </c>
      <c r="G11138" s="12" t="s">
        <v>21</v>
      </c>
      <c r="H11138" s="11" t="s">
        <v>63</v>
      </c>
      <c r="I11138" s="13" t="s">
        <v>21963</v>
      </c>
      <c r="J11138" s="14" t="str">
        <f>HYPERLINK("https://www.boe.es/gazeta/dias/1839/10/31/pdfs/GMD-1839-1817.pdf#page=4","Abrir facsímil")</f>
        <v>Abrir facsímil</v>
      </c>
      <c r="K11138" s="12" t="s">
        <v>65</v>
      </c>
    </row>
    <row r="11139" spans="1:11" ht="40.049999999999997" customHeight="1" x14ac:dyDescent="0.25">
      <c r="A11139" s="11" t="s">
        <v>21964</v>
      </c>
      <c r="B11139" s="11" t="s">
        <v>21964</v>
      </c>
      <c r="C11139" s="11" t="s">
        <v>17</v>
      </c>
      <c r="D11139" s="11" t="s">
        <v>18</v>
      </c>
      <c r="E11139" s="12" t="s">
        <v>1336</v>
      </c>
      <c r="F11139" s="12" t="s">
        <v>1337</v>
      </c>
      <c r="G11139" s="12" t="s">
        <v>29</v>
      </c>
      <c r="H11139" s="11" t="s">
        <v>63</v>
      </c>
      <c r="I11139" s="13" t="s">
        <v>21965</v>
      </c>
      <c r="J11139" s="14" t="str">
        <f>HYPERLINK("https://www.boe.es/gazeta/dias/1839/02/26/pdfs/GMD-1839-1564.pdf#page=1","Abrir facsímil")</f>
        <v>Abrir facsímil</v>
      </c>
      <c r="K11139" s="12" t="s">
        <v>65</v>
      </c>
    </row>
    <row r="11140" spans="1:11" ht="40.049999999999997" customHeight="1" x14ac:dyDescent="0.25">
      <c r="A11140" s="11" t="s">
        <v>21966</v>
      </c>
      <c r="B11140" s="11" t="s">
        <v>21966</v>
      </c>
      <c r="C11140" s="11" t="s">
        <v>17</v>
      </c>
      <c r="D11140" s="11" t="s">
        <v>18</v>
      </c>
      <c r="E11140" s="12" t="s">
        <v>125</v>
      </c>
      <c r="F11140" s="12" t="s">
        <v>126</v>
      </c>
      <c r="G11140" s="12" t="s">
        <v>29</v>
      </c>
      <c r="H11140" s="11" t="s">
        <v>63</v>
      </c>
      <c r="I11140" s="13" t="s">
        <v>21967</v>
      </c>
      <c r="J11140" s="14" t="str">
        <f>HYPERLINK("https://www.boe.es/gazeta/dias/1839/05/23/pdfs/GMD-1839-1650.pdf#page=1","Abrir facsímil")</f>
        <v>Abrir facsímil</v>
      </c>
      <c r="K11140" s="12" t="s">
        <v>65</v>
      </c>
    </row>
    <row r="11141" spans="1:11" ht="40.049999999999997" customHeight="1" x14ac:dyDescent="0.25">
      <c r="A11141" s="11" t="s">
        <v>21968</v>
      </c>
      <c r="B11141" s="11" t="s">
        <v>21968</v>
      </c>
      <c r="C11141" s="11" t="s">
        <v>17</v>
      </c>
      <c r="D11141" s="11" t="s">
        <v>18</v>
      </c>
      <c r="E11141" s="12" t="s">
        <v>2839</v>
      </c>
      <c r="F11141" s="12" t="s">
        <v>2840</v>
      </c>
      <c r="G11141" s="12" t="s">
        <v>46</v>
      </c>
      <c r="H11141" s="11" t="s">
        <v>63</v>
      </c>
      <c r="I11141" s="13" t="s">
        <v>21969</v>
      </c>
      <c r="J11141" s="14" t="str">
        <f>HYPERLINK("https://www.boe.es/gazeta/dias/1839/03/06/pdfs/GMD-1839-1572.pdf#page=3","Abrir facsímil")</f>
        <v>Abrir facsímil</v>
      </c>
      <c r="K11141" s="12" t="s">
        <v>65</v>
      </c>
    </row>
    <row r="11142" spans="1:11" ht="40.049999999999997" customHeight="1" x14ac:dyDescent="0.25">
      <c r="A11142" s="11" t="s">
        <v>21970</v>
      </c>
      <c r="B11142" s="11" t="s">
        <v>21970</v>
      </c>
      <c r="C11142" s="11" t="s">
        <v>80</v>
      </c>
      <c r="D11142" s="11" t="s">
        <v>18</v>
      </c>
      <c r="E11142" s="12" t="s">
        <v>992</v>
      </c>
      <c r="F11142" s="12" t="s">
        <v>993</v>
      </c>
      <c r="G11142" s="12" t="s">
        <v>40</v>
      </c>
      <c r="H11142" s="11" t="s">
        <v>63</v>
      </c>
      <c r="I11142" s="13" t="s">
        <v>21971</v>
      </c>
      <c r="J11142" s="14" t="str">
        <f>HYPERLINK("https://www.boe.es/gazeta/dias/1839/02/18/pdfs/GMD-1839-1556.pdf#page=2","Abrir facsímil")</f>
        <v>Abrir facsímil</v>
      </c>
      <c r="K11142" s="12" t="s">
        <v>65</v>
      </c>
    </row>
    <row r="11143" spans="1:11" ht="40.049999999999997" customHeight="1" x14ac:dyDescent="0.25">
      <c r="A11143" s="11" t="s">
        <v>21972</v>
      </c>
      <c r="B11143" s="11" t="s">
        <v>21972</v>
      </c>
      <c r="C11143" s="11" t="s">
        <v>101</v>
      </c>
      <c r="D11143" s="11" t="s">
        <v>43</v>
      </c>
      <c r="E11143" s="12" t="s">
        <v>157</v>
      </c>
      <c r="F11143" s="12" t="s">
        <v>158</v>
      </c>
      <c r="G11143" s="12" t="s">
        <v>21</v>
      </c>
      <c r="H11143" s="11" t="s">
        <v>63</v>
      </c>
      <c r="I11143" s="13" t="s">
        <v>21973</v>
      </c>
      <c r="J11143" s="14" t="str">
        <f>HYPERLINK("https://www.boe.es/gazeta/dias/1839/02/08/pdfs/GMD-1839-1546.pdf#page=4","Abrir facsímil")</f>
        <v>Abrir facsímil</v>
      </c>
      <c r="K11143" s="12" t="s">
        <v>65</v>
      </c>
    </row>
    <row r="11144" spans="1:11" ht="40.049999999999997" customHeight="1" x14ac:dyDescent="0.25">
      <c r="A11144" s="11" t="s">
        <v>21974</v>
      </c>
      <c r="B11144" s="11" t="s">
        <v>21974</v>
      </c>
      <c r="C11144" s="11" t="s">
        <v>17</v>
      </c>
      <c r="D11144" s="11" t="s">
        <v>18</v>
      </c>
      <c r="E11144" s="12" t="s">
        <v>756</v>
      </c>
      <c r="F11144" s="12" t="s">
        <v>757</v>
      </c>
      <c r="G11144" s="12" t="s">
        <v>46</v>
      </c>
      <c r="H11144" s="11" t="s">
        <v>63</v>
      </c>
      <c r="I11144" s="13" t="s">
        <v>21975</v>
      </c>
      <c r="J11144" s="14" t="str">
        <f>HYPERLINK("https://www.boe.es/gazeta/dias/1839/12/17/pdfs/GMD-1839-1864.pdf#page=3","Abrir facsímil")</f>
        <v>Abrir facsímil</v>
      </c>
      <c r="K11144" s="12" t="s">
        <v>65</v>
      </c>
    </row>
    <row r="11145" spans="1:11" ht="40.049999999999997" customHeight="1" x14ac:dyDescent="0.25">
      <c r="A11145" s="11" t="s">
        <v>21976</v>
      </c>
      <c r="B11145" s="11" t="s">
        <v>21976</v>
      </c>
      <c r="C11145" s="11" t="s">
        <v>101</v>
      </c>
      <c r="D11145" s="11" t="s">
        <v>102</v>
      </c>
      <c r="E11145" s="12" t="s">
        <v>1123</v>
      </c>
      <c r="F11145" s="12" t="s">
        <v>1124</v>
      </c>
      <c r="G11145" s="12" t="s">
        <v>46</v>
      </c>
      <c r="H11145" s="11" t="s">
        <v>63</v>
      </c>
      <c r="I11145" s="13" t="s">
        <v>21977</v>
      </c>
      <c r="J11145" s="14" t="str">
        <f>HYPERLINK("https://www.boe.es/gazeta/dias/1839/08/10/pdfs/GMD-1839-1730.pdf#page=3","Abrir facsímil")</f>
        <v>Abrir facsímil</v>
      </c>
      <c r="K11145" s="12" t="s">
        <v>65</v>
      </c>
    </row>
    <row r="11146" spans="1:11" ht="40.049999999999997" customHeight="1" x14ac:dyDescent="0.25">
      <c r="A11146" s="11" t="s">
        <v>21978</v>
      </c>
      <c r="B11146" s="11" t="s">
        <v>21978</v>
      </c>
      <c r="C11146" s="11" t="s">
        <v>17</v>
      </c>
      <c r="D11146" s="11" t="s">
        <v>18</v>
      </c>
      <c r="E11146" s="12" t="s">
        <v>1988</v>
      </c>
      <c r="F11146" s="12" t="s">
        <v>1989</v>
      </c>
      <c r="G11146" s="12" t="s">
        <v>46</v>
      </c>
      <c r="H11146" s="11" t="s">
        <v>63</v>
      </c>
      <c r="I11146" s="13" t="s">
        <v>21979</v>
      </c>
      <c r="J11146" s="14" t="str">
        <f>HYPERLINK("https://www.boe.es/gazeta/dias/1839/10/29/pdfs/GMD-1839-1815.pdf#page=3","Abrir facsímil")</f>
        <v>Abrir facsímil</v>
      </c>
      <c r="K11146" s="12" t="s">
        <v>65</v>
      </c>
    </row>
    <row r="11147" spans="1:11" ht="40.049999999999997" customHeight="1" x14ac:dyDescent="0.25">
      <c r="A11147" s="11" t="s">
        <v>21980</v>
      </c>
      <c r="B11147" s="11" t="s">
        <v>21981</v>
      </c>
      <c r="C11147" s="11" t="s">
        <v>59</v>
      </c>
      <c r="D11147" s="11" t="s">
        <v>60</v>
      </c>
      <c r="E11147" s="12" t="s">
        <v>668</v>
      </c>
      <c r="F11147" s="12" t="s">
        <v>669</v>
      </c>
      <c r="G11147" s="12" t="s">
        <v>29</v>
      </c>
      <c r="H11147" s="11" t="s">
        <v>63</v>
      </c>
      <c r="I11147" s="13" t="s">
        <v>21982</v>
      </c>
      <c r="J11147" s="14" t="str">
        <f>HYPERLINK("https://www.boe.es/gazeta/dias/1839/03/28/pdfs/GMD-1839-1594.pdf#page=1","Abrir facsímil")</f>
        <v>Abrir facsímil</v>
      </c>
      <c r="K11147" s="12" t="s">
        <v>65</v>
      </c>
    </row>
    <row r="11148" spans="1:11" ht="40.049999999999997" customHeight="1" x14ac:dyDescent="0.25">
      <c r="A11148" s="11" t="s">
        <v>21983</v>
      </c>
      <c r="B11148" s="11" t="s">
        <v>21984</v>
      </c>
      <c r="C11148" s="11" t="s">
        <v>17</v>
      </c>
      <c r="D11148" s="11" t="s">
        <v>18</v>
      </c>
      <c r="E11148" s="12" t="s">
        <v>3114</v>
      </c>
      <c r="F11148" s="12" t="s">
        <v>3115</v>
      </c>
      <c r="G11148" s="12" t="s">
        <v>21</v>
      </c>
      <c r="H11148" s="11" t="s">
        <v>63</v>
      </c>
      <c r="I11148" s="13" t="s">
        <v>21985</v>
      </c>
      <c r="J11148" s="14" t="str">
        <f>HYPERLINK("https://www.boe.es/gazeta/dias/1839/05/15/pdfs/GMD-1839-1642.pdf#page=4","Abrir facsímil")</f>
        <v>Abrir facsímil</v>
      </c>
      <c r="K11148" s="12" t="s">
        <v>65</v>
      </c>
    </row>
    <row r="11149" spans="1:11" ht="40.049999999999997" customHeight="1" x14ac:dyDescent="0.25">
      <c r="A11149" s="11" t="s">
        <v>21986</v>
      </c>
      <c r="B11149" s="11" t="s">
        <v>21987</v>
      </c>
      <c r="C11149" s="11" t="s">
        <v>137</v>
      </c>
      <c r="D11149" s="11" t="s">
        <v>18</v>
      </c>
      <c r="E11149" s="12" t="s">
        <v>716</v>
      </c>
      <c r="F11149" s="12" t="s">
        <v>717</v>
      </c>
      <c r="G11149" s="12" t="s">
        <v>29</v>
      </c>
      <c r="H11149" s="11" t="s">
        <v>63</v>
      </c>
      <c r="I11149" s="13" t="s">
        <v>21988</v>
      </c>
      <c r="J11149" s="14" t="str">
        <f>HYPERLINK("https://www.boe.es/gazeta/dias/1839/07/30/pdfs/GMD-1839-1719.pdf#page=1","Abrir facsímil")</f>
        <v>Abrir facsímil</v>
      </c>
      <c r="K11149" s="12" t="s">
        <v>65</v>
      </c>
    </row>
    <row r="11150" spans="1:11" ht="40.049999999999997" customHeight="1" x14ac:dyDescent="0.25">
      <c r="A11150" s="11" t="s">
        <v>21989</v>
      </c>
      <c r="B11150" s="11" t="s">
        <v>21990</v>
      </c>
      <c r="C11150" s="11" t="s">
        <v>17</v>
      </c>
      <c r="D11150" s="11" t="s">
        <v>18</v>
      </c>
      <c r="E11150" s="12" t="s">
        <v>716</v>
      </c>
      <c r="F11150" s="12" t="s">
        <v>717</v>
      </c>
      <c r="G11150" s="12" t="s">
        <v>29</v>
      </c>
      <c r="H11150" s="11" t="s">
        <v>63</v>
      </c>
      <c r="I11150" s="13" t="s">
        <v>21991</v>
      </c>
      <c r="J11150" s="14" t="str">
        <f>HYPERLINK("https://www.boe.es/gazeta/dias/1839/07/30/pdfs/GMD-1839-1719.pdf#page=1","Abrir facsímil")</f>
        <v>Abrir facsímil</v>
      </c>
      <c r="K11150" s="12" t="s">
        <v>65</v>
      </c>
    </row>
    <row r="11151" spans="1:11" ht="40.049999999999997" customHeight="1" x14ac:dyDescent="0.25">
      <c r="A11151" s="11" t="s">
        <v>21992</v>
      </c>
      <c r="B11151" s="11" t="s">
        <v>21992</v>
      </c>
      <c r="C11151" s="11" t="s">
        <v>17</v>
      </c>
      <c r="D11151" s="11" t="s">
        <v>43</v>
      </c>
      <c r="E11151" s="12" t="s">
        <v>548</v>
      </c>
      <c r="F11151" s="12" t="s">
        <v>549</v>
      </c>
      <c r="G11151" s="12" t="s">
        <v>40</v>
      </c>
      <c r="H11151" s="11" t="s">
        <v>63</v>
      </c>
      <c r="I11151" s="13" t="s">
        <v>21993</v>
      </c>
      <c r="J11151" s="14" t="str">
        <f>HYPERLINK("https://www.boe.es/gazeta/dias/1839/06/06/pdfs/GMD-1839-1664.pdf#page=2","Abrir facsímil")</f>
        <v>Abrir facsímil</v>
      </c>
      <c r="K11151" s="12" t="s">
        <v>65</v>
      </c>
    </row>
    <row r="11152" spans="1:11" ht="40.049999999999997" customHeight="1" x14ac:dyDescent="0.25">
      <c r="A11152" s="11" t="s">
        <v>21994</v>
      </c>
      <c r="B11152" s="11" t="s">
        <v>21995</v>
      </c>
      <c r="C11152" s="11" t="s">
        <v>17</v>
      </c>
      <c r="D11152" s="11" t="s">
        <v>18</v>
      </c>
      <c r="E11152" s="12" t="s">
        <v>2138</v>
      </c>
      <c r="F11152" s="12" t="s">
        <v>2139</v>
      </c>
      <c r="G11152" s="12" t="s">
        <v>305</v>
      </c>
      <c r="H11152" s="11" t="s">
        <v>63</v>
      </c>
      <c r="I11152" s="13" t="s">
        <v>21996</v>
      </c>
      <c r="J11152" s="14" t="str">
        <f>HYPERLINK("https://www.boe.es/gazeta/dias/1839/10/02/pdfs/GMD-1839-1788.pdf#page=6","Abrir facsímil")</f>
        <v>Abrir facsímil</v>
      </c>
      <c r="K11152" s="12" t="s">
        <v>65</v>
      </c>
    </row>
    <row r="11153" spans="1:11" ht="40.049999999999997" customHeight="1" x14ac:dyDescent="0.25">
      <c r="A11153" s="11" t="s">
        <v>21997</v>
      </c>
      <c r="B11153" s="11" t="s">
        <v>21997</v>
      </c>
      <c r="C11153" s="11" t="s">
        <v>137</v>
      </c>
      <c r="D11153" s="11" t="s">
        <v>18</v>
      </c>
      <c r="E11153" s="12" t="s">
        <v>462</v>
      </c>
      <c r="F11153" s="12" t="s">
        <v>463</v>
      </c>
      <c r="G11153" s="12" t="s">
        <v>46</v>
      </c>
      <c r="H11153" s="11" t="s">
        <v>63</v>
      </c>
      <c r="I11153" s="13" t="s">
        <v>21998</v>
      </c>
      <c r="J11153" s="14" t="str">
        <f>HYPERLINK("https://www.boe.es/gazeta/dias/1839/06/19/pdfs/GMD-1839-1677.pdf#page=3","Abrir facsímil")</f>
        <v>Abrir facsímil</v>
      </c>
      <c r="K11153" s="12" t="s">
        <v>65</v>
      </c>
    </row>
    <row r="11154" spans="1:11" ht="40.049999999999997" customHeight="1" x14ac:dyDescent="0.25">
      <c r="A11154" s="11" t="s">
        <v>21999</v>
      </c>
      <c r="B11154" s="11" t="s">
        <v>22000</v>
      </c>
      <c r="C11154" s="11" t="s">
        <v>137</v>
      </c>
      <c r="D11154" s="11" t="s">
        <v>18</v>
      </c>
      <c r="E11154" s="12" t="s">
        <v>2440</v>
      </c>
      <c r="F11154" s="12" t="s">
        <v>2441</v>
      </c>
      <c r="G11154" s="12" t="s">
        <v>21</v>
      </c>
      <c r="H11154" s="11" t="s">
        <v>63</v>
      </c>
      <c r="I11154" s="13" t="s">
        <v>22001</v>
      </c>
      <c r="J11154" s="14" t="str">
        <f>HYPERLINK("https://www.boe.es/gazeta/dias/1839/12/01/pdfs/GMD-1839-1848.pdf#page=4","Abrir facsímil")</f>
        <v>Abrir facsímil</v>
      </c>
      <c r="K11154" s="12" t="s">
        <v>65</v>
      </c>
    </row>
    <row r="11155" spans="1:11" ht="40.049999999999997" customHeight="1" x14ac:dyDescent="0.25">
      <c r="A11155" s="11" t="s">
        <v>22002</v>
      </c>
      <c r="B11155" s="11" t="s">
        <v>22003</v>
      </c>
      <c r="C11155" s="11" t="s">
        <v>17</v>
      </c>
      <c r="D11155" s="11" t="s">
        <v>18</v>
      </c>
      <c r="E11155" s="12" t="s">
        <v>785</v>
      </c>
      <c r="F11155" s="12" t="s">
        <v>786</v>
      </c>
      <c r="G11155" s="12" t="s">
        <v>21</v>
      </c>
      <c r="H11155" s="11" t="s">
        <v>63</v>
      </c>
      <c r="I11155" s="13" t="s">
        <v>22004</v>
      </c>
      <c r="J11155" s="14" t="str">
        <f>HYPERLINK("https://www.boe.es/gazeta/dias/1839/07/13/pdfs/GMD-1839-1701.pdf#page=4","Abrir facsímil")</f>
        <v>Abrir facsímil</v>
      </c>
      <c r="K11155" s="12" t="s">
        <v>65</v>
      </c>
    </row>
    <row r="11156" spans="1:11" ht="40.049999999999997" customHeight="1" x14ac:dyDescent="0.25">
      <c r="A11156" s="11" t="s">
        <v>22005</v>
      </c>
      <c r="B11156" s="11" t="s">
        <v>22005</v>
      </c>
      <c r="C11156" s="11" t="s">
        <v>101</v>
      </c>
      <c r="D11156" s="11" t="s">
        <v>43</v>
      </c>
      <c r="E11156" s="12" t="s">
        <v>401</v>
      </c>
      <c r="F11156" s="12" t="s">
        <v>402</v>
      </c>
      <c r="G11156" s="12" t="s">
        <v>29</v>
      </c>
      <c r="H11156" s="11" t="s">
        <v>63</v>
      </c>
      <c r="I11156" s="13" t="s">
        <v>22006</v>
      </c>
      <c r="J11156" s="14" t="str">
        <f>HYPERLINK("https://www.boe.es/gazeta/dias/1839/03/29/pdfs/GMD-1839-1595.pdf#page=1","Abrir facsímil")</f>
        <v>Abrir facsímil</v>
      </c>
      <c r="K11156" s="12" t="s">
        <v>65</v>
      </c>
    </row>
    <row r="11157" spans="1:11" ht="40.049999999999997" customHeight="1" x14ac:dyDescent="0.25">
      <c r="A11157" s="11" t="s">
        <v>22007</v>
      </c>
      <c r="B11157" s="11" t="s">
        <v>22007</v>
      </c>
      <c r="C11157" s="11" t="s">
        <v>101</v>
      </c>
      <c r="D11157" s="11" t="s">
        <v>43</v>
      </c>
      <c r="E11157" s="12" t="s">
        <v>1072</v>
      </c>
      <c r="F11157" s="12" t="s">
        <v>1073</v>
      </c>
      <c r="G11157" s="12" t="s">
        <v>29</v>
      </c>
      <c r="H11157" s="11" t="s">
        <v>22</v>
      </c>
      <c r="I11157" s="13" t="s">
        <v>22008</v>
      </c>
      <c r="J11157" s="14" t="str">
        <f>HYPERLINK("https://www.boe.es/gazeta/dias/1839/01/18/pdfs/GMD-1839-1525.pdf#page=1","Abrir facsímil")</f>
        <v>Abrir facsímil</v>
      </c>
      <c r="K11157" s="12" t="s">
        <v>24</v>
      </c>
    </row>
    <row r="11158" spans="1:11" ht="40.049999999999997" customHeight="1" x14ac:dyDescent="0.25">
      <c r="A11158" s="11" t="s">
        <v>22009</v>
      </c>
      <c r="B11158" s="11" t="s">
        <v>22009</v>
      </c>
      <c r="C11158" s="11" t="s">
        <v>17</v>
      </c>
      <c r="D11158" s="11" t="s">
        <v>18</v>
      </c>
      <c r="E11158" s="12" t="s">
        <v>262</v>
      </c>
      <c r="F11158" s="12" t="s">
        <v>263</v>
      </c>
      <c r="G11158" s="12" t="s">
        <v>40</v>
      </c>
      <c r="H11158" s="11" t="s">
        <v>22</v>
      </c>
      <c r="I11158" s="13" t="s">
        <v>22010</v>
      </c>
      <c r="J11158" s="14" t="str">
        <f>HYPERLINK("https://www.boe.es/gazeta/dias/1839/01/01/pdfs/GMD-1839-1508.pdf#page=2","Abrir facsímil")</f>
        <v>Abrir facsímil</v>
      </c>
      <c r="K11158" s="12" t="s">
        <v>24</v>
      </c>
    </row>
    <row r="11159" spans="1:11" ht="40.049999999999997" customHeight="1" x14ac:dyDescent="0.25">
      <c r="A11159" s="11" t="s">
        <v>22011</v>
      </c>
      <c r="B11159" s="11" t="s">
        <v>22012</v>
      </c>
      <c r="C11159" s="11" t="s">
        <v>17</v>
      </c>
      <c r="D11159" s="11" t="s">
        <v>18</v>
      </c>
      <c r="E11159" s="12" t="s">
        <v>474</v>
      </c>
      <c r="F11159" s="12" t="s">
        <v>475</v>
      </c>
      <c r="G11159" s="12" t="s">
        <v>21</v>
      </c>
      <c r="H11159" s="11" t="s">
        <v>63</v>
      </c>
      <c r="I11159" s="13" t="s">
        <v>22013</v>
      </c>
      <c r="J11159" s="14" t="str">
        <f>HYPERLINK("https://www.boe.es/gazeta/dias/1839/03/31/pdfs/GMD-1839-1597.pdf#page=4","Abrir facsímil")</f>
        <v>Abrir facsímil</v>
      </c>
      <c r="K11159" s="12" t="s">
        <v>65</v>
      </c>
    </row>
    <row r="11160" spans="1:11" ht="40.049999999999997" customHeight="1" x14ac:dyDescent="0.25">
      <c r="A11160" s="11" t="s">
        <v>22014</v>
      </c>
      <c r="B11160" s="11" t="s">
        <v>22014</v>
      </c>
      <c r="C11160" s="11" t="s">
        <v>17</v>
      </c>
      <c r="D11160" s="11" t="s">
        <v>18</v>
      </c>
      <c r="E11160" s="12" t="s">
        <v>3236</v>
      </c>
      <c r="F11160" s="12" t="s">
        <v>3237</v>
      </c>
      <c r="G11160" s="12" t="s">
        <v>29</v>
      </c>
      <c r="H11160" s="11" t="s">
        <v>63</v>
      </c>
      <c r="I11160" s="13" t="s">
        <v>22015</v>
      </c>
      <c r="J11160" s="14" t="str">
        <f>HYPERLINK("https://www.boe.es/gazeta/dias/1839/12/03/pdfs/GMD-1839-1850.pdf#page=1","Abrir facsímil")</f>
        <v>Abrir facsímil</v>
      </c>
      <c r="K11160" s="12" t="s">
        <v>65</v>
      </c>
    </row>
    <row r="11161" spans="1:11" ht="40.049999999999997" customHeight="1" x14ac:dyDescent="0.25">
      <c r="A11161" s="11" t="s">
        <v>22014</v>
      </c>
      <c r="B11161" s="11" t="s">
        <v>22014</v>
      </c>
      <c r="C11161" s="11" t="s">
        <v>17</v>
      </c>
      <c r="D11161" s="11" t="s">
        <v>18</v>
      </c>
      <c r="E11161" s="12" t="s">
        <v>1479</v>
      </c>
      <c r="F11161" s="12" t="s">
        <v>1480</v>
      </c>
      <c r="G11161" s="12" t="s">
        <v>40</v>
      </c>
      <c r="H11161" s="11" t="s">
        <v>63</v>
      </c>
      <c r="I11161" s="13" t="s">
        <v>22016</v>
      </c>
      <c r="J11161" s="14" t="str">
        <f>HYPERLINK("https://www.boe.es/gazeta/dias/1839/04/09/pdfs/GMD-1839-1606.pdf#page=2","Abrir facsímil")</f>
        <v>Abrir facsímil</v>
      </c>
      <c r="K11161" s="12" t="s">
        <v>65</v>
      </c>
    </row>
    <row r="11162" spans="1:11" ht="40.049999999999997" customHeight="1" x14ac:dyDescent="0.25">
      <c r="A11162" s="11" t="s">
        <v>22014</v>
      </c>
      <c r="B11162" s="11" t="s">
        <v>22014</v>
      </c>
      <c r="C11162" s="11" t="s">
        <v>17</v>
      </c>
      <c r="D11162" s="11" t="s">
        <v>18</v>
      </c>
      <c r="E11162" s="12" t="s">
        <v>44</v>
      </c>
      <c r="F11162" s="12" t="s">
        <v>45</v>
      </c>
      <c r="G11162" s="12" t="s">
        <v>40</v>
      </c>
      <c r="H11162" s="11" t="s">
        <v>63</v>
      </c>
      <c r="I11162" s="13" t="s">
        <v>22017</v>
      </c>
      <c r="J11162" s="14" t="str">
        <f>HYPERLINK("https://www.boe.es/gazeta/dias/1839/11/15/pdfs/GMD-1839-1832.pdf#page=2","Abrir facsímil")</f>
        <v>Abrir facsímil</v>
      </c>
      <c r="K11162" s="12" t="s">
        <v>65</v>
      </c>
    </row>
    <row r="11163" spans="1:11" ht="40.049999999999997" customHeight="1" x14ac:dyDescent="0.25">
      <c r="A11163" s="11" t="s">
        <v>22014</v>
      </c>
      <c r="B11163" s="11" t="s">
        <v>22014</v>
      </c>
      <c r="C11163" s="11" t="s">
        <v>101</v>
      </c>
      <c r="D11163" s="11" t="s">
        <v>43</v>
      </c>
      <c r="E11163" s="12" t="s">
        <v>2117</v>
      </c>
      <c r="F11163" s="12" t="s">
        <v>2118</v>
      </c>
      <c r="G11163" s="12" t="s">
        <v>40</v>
      </c>
      <c r="H11163" s="11" t="s">
        <v>63</v>
      </c>
      <c r="I11163" s="13" t="s">
        <v>22018</v>
      </c>
      <c r="J11163" s="14" t="str">
        <f>HYPERLINK("https://www.boe.es/gazeta/dias/1839/06/23/pdfs/GMD-1839-1681.pdf#page=2","Abrir facsímil")</f>
        <v>Abrir facsímil</v>
      </c>
      <c r="K11163" s="12" t="s">
        <v>65</v>
      </c>
    </row>
    <row r="11164" spans="1:11" ht="40.049999999999997" customHeight="1" x14ac:dyDescent="0.25">
      <c r="A11164" s="11" t="s">
        <v>22019</v>
      </c>
      <c r="B11164" s="11" t="s">
        <v>22020</v>
      </c>
      <c r="C11164" s="11" t="s">
        <v>137</v>
      </c>
      <c r="D11164" s="11" t="s">
        <v>18</v>
      </c>
      <c r="E11164" s="12" t="s">
        <v>94</v>
      </c>
      <c r="F11164" s="12" t="s">
        <v>95</v>
      </c>
      <c r="G11164" s="12" t="s">
        <v>29</v>
      </c>
      <c r="H11164" s="11" t="s">
        <v>63</v>
      </c>
      <c r="I11164" s="13" t="s">
        <v>22021</v>
      </c>
      <c r="J11164" s="14" t="str">
        <f>HYPERLINK("https://www.boe.es/gazeta/dias/1839/02/24/pdfs/GMD-1839-1562.pdf#page=1","Abrir facsímil")</f>
        <v>Abrir facsímil</v>
      </c>
      <c r="K11164" s="12" t="s">
        <v>65</v>
      </c>
    </row>
    <row r="11165" spans="1:11" ht="40.049999999999997" customHeight="1" x14ac:dyDescent="0.25">
      <c r="A11165" s="11" t="s">
        <v>22022</v>
      </c>
      <c r="B11165" s="11" t="s">
        <v>22023</v>
      </c>
      <c r="C11165" s="11" t="s">
        <v>17</v>
      </c>
      <c r="D11165" s="11" t="s">
        <v>18</v>
      </c>
      <c r="E11165" s="12" t="s">
        <v>84</v>
      </c>
      <c r="F11165" s="12" t="s">
        <v>85</v>
      </c>
      <c r="G11165" s="12" t="s">
        <v>29</v>
      </c>
      <c r="H11165" s="11" t="s">
        <v>63</v>
      </c>
      <c r="I11165" s="13" t="s">
        <v>22024</v>
      </c>
      <c r="J11165" s="14" t="str">
        <f>HYPERLINK("https://www.boe.es/gazeta/dias/1839/03/11/pdfs/GMD-1839-1577.pdf#page=1","Abrir facsímil")</f>
        <v>Abrir facsímil</v>
      </c>
      <c r="K11165" s="12" t="s">
        <v>65</v>
      </c>
    </row>
    <row r="11166" spans="1:11" ht="40.049999999999997" customHeight="1" x14ac:dyDescent="0.25">
      <c r="A11166" s="11" t="s">
        <v>22025</v>
      </c>
      <c r="B11166" s="11" t="s">
        <v>22026</v>
      </c>
      <c r="C11166" s="11" t="s">
        <v>17</v>
      </c>
      <c r="D11166" s="11" t="s">
        <v>18</v>
      </c>
      <c r="E11166" s="12" t="s">
        <v>108</v>
      </c>
      <c r="F11166" s="12" t="s">
        <v>109</v>
      </c>
      <c r="G11166" s="12" t="s">
        <v>29</v>
      </c>
      <c r="H11166" s="11" t="s">
        <v>63</v>
      </c>
      <c r="I11166" s="13" t="s">
        <v>22027</v>
      </c>
      <c r="J11166" s="14" t="str">
        <f>HYPERLINK("https://www.boe.es/gazeta/dias/1839/01/04/pdfs/GMD-1839-1511.pdf#page=1","Abrir facsímil")</f>
        <v>Abrir facsímil</v>
      </c>
      <c r="K11166" s="12" t="s">
        <v>65</v>
      </c>
    </row>
    <row r="11167" spans="1:11" ht="40.049999999999997" customHeight="1" x14ac:dyDescent="0.25">
      <c r="A11167" s="11" t="s">
        <v>22028</v>
      </c>
      <c r="B11167" s="11" t="s">
        <v>22029</v>
      </c>
      <c r="C11167" s="11" t="s">
        <v>17</v>
      </c>
      <c r="D11167" s="11" t="s">
        <v>18</v>
      </c>
      <c r="E11167" s="12" t="s">
        <v>89</v>
      </c>
      <c r="F11167" s="12" t="s">
        <v>90</v>
      </c>
      <c r="G11167" s="12" t="s">
        <v>21</v>
      </c>
      <c r="H11167" s="11" t="s">
        <v>63</v>
      </c>
      <c r="I11167" s="13" t="s">
        <v>22030</v>
      </c>
      <c r="J11167" s="14" t="str">
        <f>HYPERLINK("https://www.boe.es/gazeta/dias/1839/11/28/pdfs/GMD-1839-1845.pdf#page=4","Abrir facsímil")</f>
        <v>Abrir facsímil</v>
      </c>
      <c r="K11167" s="12" t="s">
        <v>65</v>
      </c>
    </row>
    <row r="11168" spans="1:11" ht="40.049999999999997" customHeight="1" x14ac:dyDescent="0.25">
      <c r="A11168" s="11" t="s">
        <v>22031</v>
      </c>
      <c r="B11168" s="11" t="s">
        <v>22031</v>
      </c>
      <c r="C11168" s="11" t="s">
        <v>17</v>
      </c>
      <c r="D11168" s="11" t="s">
        <v>18</v>
      </c>
      <c r="E11168" s="12" t="s">
        <v>44</v>
      </c>
      <c r="F11168" s="12" t="s">
        <v>45</v>
      </c>
      <c r="G11168" s="12" t="s">
        <v>40</v>
      </c>
      <c r="H11168" s="11" t="s">
        <v>63</v>
      </c>
      <c r="I11168" s="13" t="s">
        <v>22032</v>
      </c>
      <c r="J11168" s="14" t="str">
        <f>HYPERLINK("https://www.boe.es/gazeta/dias/1839/11/15/pdfs/GMD-1839-1832.pdf#page=2","Abrir facsímil")</f>
        <v>Abrir facsímil</v>
      </c>
      <c r="K11168" s="12" t="s">
        <v>65</v>
      </c>
    </row>
    <row r="11169" spans="1:11" ht="40.049999999999997" customHeight="1" x14ac:dyDescent="0.25">
      <c r="A11169" s="11" t="s">
        <v>22033</v>
      </c>
      <c r="B11169" s="11" t="s">
        <v>22033</v>
      </c>
      <c r="C11169" s="11" t="s">
        <v>137</v>
      </c>
      <c r="D11169" s="11" t="s">
        <v>18</v>
      </c>
      <c r="E11169" s="12" t="s">
        <v>632</v>
      </c>
      <c r="F11169" s="12" t="s">
        <v>633</v>
      </c>
      <c r="G11169" s="12" t="s">
        <v>40</v>
      </c>
      <c r="H11169" s="11" t="s">
        <v>63</v>
      </c>
      <c r="I11169" s="13" t="s">
        <v>22034</v>
      </c>
      <c r="J11169" s="14" t="str">
        <f>HYPERLINK("https://www.boe.es/gazeta/dias/1839/04/06/pdfs/GMD-1839-1603.pdf#page=2","Abrir facsímil")</f>
        <v>Abrir facsímil</v>
      </c>
      <c r="K11169" s="12" t="s">
        <v>65</v>
      </c>
    </row>
    <row r="11170" spans="1:11" ht="40.049999999999997" customHeight="1" x14ac:dyDescent="0.25">
      <c r="A11170" s="11" t="s">
        <v>22033</v>
      </c>
      <c r="B11170" s="11" t="s">
        <v>22033</v>
      </c>
      <c r="C11170" s="11" t="s">
        <v>80</v>
      </c>
      <c r="D11170" s="11" t="s">
        <v>18</v>
      </c>
      <c r="E11170" s="12" t="s">
        <v>4108</v>
      </c>
      <c r="F11170" s="12" t="s">
        <v>4109</v>
      </c>
      <c r="G11170" s="12" t="s">
        <v>40</v>
      </c>
      <c r="H11170" s="11" t="s">
        <v>63</v>
      </c>
      <c r="I11170" s="13" t="s">
        <v>22035</v>
      </c>
      <c r="J11170" s="14" t="str">
        <f>HYPERLINK("https://www.boe.es/gazeta/dias/1839/03/23/pdfs/GMD-1839-1589.pdf#page=2","Abrir facsímil")</f>
        <v>Abrir facsímil</v>
      </c>
      <c r="K11170" s="12" t="s">
        <v>65</v>
      </c>
    </row>
    <row r="11171" spans="1:11" ht="40.049999999999997" customHeight="1" x14ac:dyDescent="0.25">
      <c r="A11171" s="11" t="s">
        <v>22036</v>
      </c>
      <c r="B11171" s="11" t="s">
        <v>22036</v>
      </c>
      <c r="C11171" s="11" t="s">
        <v>101</v>
      </c>
      <c r="D11171" s="11" t="s">
        <v>43</v>
      </c>
      <c r="E11171" s="12" t="s">
        <v>779</v>
      </c>
      <c r="F11171" s="12" t="s">
        <v>780</v>
      </c>
      <c r="G11171" s="12" t="s">
        <v>40</v>
      </c>
      <c r="H11171" s="11" t="s">
        <v>22</v>
      </c>
      <c r="I11171" s="13" t="s">
        <v>22037</v>
      </c>
      <c r="J11171" s="14" t="str">
        <f>HYPERLINK("https://www.boe.es/gazeta/dias/1839/02/03/pdfs/GMD-1839-1541.pdf#page=2","Abrir facsímil")</f>
        <v>Abrir facsímil</v>
      </c>
      <c r="K11171" s="12" t="s">
        <v>24</v>
      </c>
    </row>
    <row r="11172" spans="1:11" ht="40.049999999999997" customHeight="1" x14ac:dyDescent="0.25">
      <c r="A11172" s="11" t="s">
        <v>22038</v>
      </c>
      <c r="B11172" s="11" t="s">
        <v>22038</v>
      </c>
      <c r="C11172" s="11" t="s">
        <v>137</v>
      </c>
      <c r="D11172" s="11" t="s">
        <v>18</v>
      </c>
      <c r="E11172" s="12" t="s">
        <v>157</v>
      </c>
      <c r="F11172" s="12" t="s">
        <v>158</v>
      </c>
      <c r="G11172" s="12" t="s">
        <v>46</v>
      </c>
      <c r="H11172" s="11" t="s">
        <v>63</v>
      </c>
      <c r="I11172" s="13" t="s">
        <v>22039</v>
      </c>
      <c r="J11172" s="14" t="str">
        <f>HYPERLINK("https://www.boe.es/gazeta/dias/1839/02/08/pdfs/GMD-1839-1546.pdf#page=3","Abrir facsímil")</f>
        <v>Abrir facsímil</v>
      </c>
      <c r="K11172" s="12" t="s">
        <v>65</v>
      </c>
    </row>
    <row r="11173" spans="1:11" ht="40.049999999999997" customHeight="1" x14ac:dyDescent="0.25">
      <c r="A11173" s="11" t="s">
        <v>22038</v>
      </c>
      <c r="B11173" s="11" t="s">
        <v>22038</v>
      </c>
      <c r="C11173" s="11" t="s">
        <v>17</v>
      </c>
      <c r="D11173" s="11" t="s">
        <v>18</v>
      </c>
      <c r="E11173" s="12" t="s">
        <v>157</v>
      </c>
      <c r="F11173" s="12" t="s">
        <v>158</v>
      </c>
      <c r="G11173" s="12" t="s">
        <v>21</v>
      </c>
      <c r="H11173" s="11" t="s">
        <v>63</v>
      </c>
      <c r="I11173" s="13" t="s">
        <v>22040</v>
      </c>
      <c r="J11173" s="14" t="str">
        <f>HYPERLINK("https://www.boe.es/gazeta/dias/1839/02/08/pdfs/GMD-1839-1546.pdf#page=4","Abrir facsímil")</f>
        <v>Abrir facsímil</v>
      </c>
      <c r="K11173" s="12" t="s">
        <v>65</v>
      </c>
    </row>
    <row r="11174" spans="1:11" ht="40.049999999999997" customHeight="1" x14ac:dyDescent="0.25">
      <c r="A11174" s="11" t="s">
        <v>22036</v>
      </c>
      <c r="B11174" s="11" t="s">
        <v>22036</v>
      </c>
      <c r="C11174" s="11" t="s">
        <v>17</v>
      </c>
      <c r="D11174" s="11" t="s">
        <v>18</v>
      </c>
      <c r="E11174" s="12" t="s">
        <v>160</v>
      </c>
      <c r="F11174" s="12" t="s">
        <v>161</v>
      </c>
      <c r="G11174" s="12" t="s">
        <v>46</v>
      </c>
      <c r="H11174" s="11" t="s">
        <v>22</v>
      </c>
      <c r="I11174" s="13" t="s">
        <v>22041</v>
      </c>
      <c r="J11174" s="14" t="str">
        <f>HYPERLINK("https://www.boe.es/gazeta/dias/1839/01/10/pdfs/GMD-1839-1517.pdf#page=3","Abrir facsímil")</f>
        <v>Abrir facsímil</v>
      </c>
      <c r="K11174" s="12" t="s">
        <v>24</v>
      </c>
    </row>
    <row r="11175" spans="1:11" ht="40.049999999999997" customHeight="1" x14ac:dyDescent="0.25">
      <c r="A11175" s="11" t="s">
        <v>22036</v>
      </c>
      <c r="B11175" s="11" t="s">
        <v>22036</v>
      </c>
      <c r="C11175" s="11" t="s">
        <v>17</v>
      </c>
      <c r="D11175" s="11" t="s">
        <v>18</v>
      </c>
      <c r="E11175" s="12" t="s">
        <v>736</v>
      </c>
      <c r="F11175" s="12" t="s">
        <v>737</v>
      </c>
      <c r="G11175" s="12" t="s">
        <v>40</v>
      </c>
      <c r="H11175" s="11" t="s">
        <v>22</v>
      </c>
      <c r="I11175" s="13" t="s">
        <v>22042</v>
      </c>
      <c r="J11175" s="14" t="str">
        <f>HYPERLINK("https://www.boe.es/gazeta/dias/1839/10/13/pdfs/GMD-1839-1799.pdf#page=2","Abrir facsímil")</f>
        <v>Abrir facsímil</v>
      </c>
      <c r="K11175" s="12" t="s">
        <v>24</v>
      </c>
    </row>
    <row r="11176" spans="1:11" ht="40.049999999999997" customHeight="1" x14ac:dyDescent="0.25">
      <c r="A11176" s="11" t="s">
        <v>22038</v>
      </c>
      <c r="B11176" s="11" t="s">
        <v>22038</v>
      </c>
      <c r="C11176" s="11" t="s">
        <v>137</v>
      </c>
      <c r="D11176" s="11" t="s">
        <v>18</v>
      </c>
      <c r="E11176" s="12" t="s">
        <v>185</v>
      </c>
      <c r="F11176" s="12" t="s">
        <v>186</v>
      </c>
      <c r="G11176" s="12" t="s">
        <v>40</v>
      </c>
      <c r="H11176" s="11" t="s">
        <v>63</v>
      </c>
      <c r="I11176" s="13" t="s">
        <v>22043</v>
      </c>
      <c r="J11176" s="14" t="str">
        <f>HYPERLINK("https://www.boe.es/gazeta/dias/1839/01/15/pdfs/GMD-1839-1522.pdf#page=2","Abrir facsímil")</f>
        <v>Abrir facsímil</v>
      </c>
      <c r="K11176" s="12" t="s">
        <v>65</v>
      </c>
    </row>
    <row r="11177" spans="1:11" ht="40.049999999999997" customHeight="1" x14ac:dyDescent="0.25">
      <c r="A11177" s="11" t="s">
        <v>22044</v>
      </c>
      <c r="B11177" s="11" t="s">
        <v>22045</v>
      </c>
      <c r="C11177" s="11" t="s">
        <v>17</v>
      </c>
      <c r="D11177" s="11" t="s">
        <v>18</v>
      </c>
      <c r="E11177" s="12" t="s">
        <v>775</v>
      </c>
      <c r="F11177" s="12" t="s">
        <v>776</v>
      </c>
      <c r="G11177" s="12" t="s">
        <v>29</v>
      </c>
      <c r="H11177" s="11" t="s">
        <v>63</v>
      </c>
      <c r="I11177" s="13" t="s">
        <v>22046</v>
      </c>
      <c r="J11177" s="14" t="str">
        <f>HYPERLINK("https://www.boe.es/gazeta/dias/1839/02/25/pdfs/GMD-1839-1563.pdf#page=1","Abrir facsímil")</f>
        <v>Abrir facsímil</v>
      </c>
      <c r="K11177" s="12" t="s">
        <v>65</v>
      </c>
    </row>
    <row r="11178" spans="1:11" ht="40.049999999999997" customHeight="1" x14ac:dyDescent="0.25">
      <c r="A11178" s="11" t="s">
        <v>22047</v>
      </c>
      <c r="B11178" s="11" t="s">
        <v>22048</v>
      </c>
      <c r="C11178" s="11" t="s">
        <v>17</v>
      </c>
      <c r="D11178" s="11" t="s">
        <v>18</v>
      </c>
      <c r="E11178" s="12" t="s">
        <v>564</v>
      </c>
      <c r="F11178" s="12" t="s">
        <v>565</v>
      </c>
      <c r="G11178" s="12" t="s">
        <v>29</v>
      </c>
      <c r="H11178" s="11" t="s">
        <v>63</v>
      </c>
      <c r="I11178" s="13" t="s">
        <v>22049</v>
      </c>
      <c r="J11178" s="14" t="str">
        <f>HYPERLINK("https://www.boe.es/gazeta/dias/1839/10/17/pdfs/GMD-1839-1803.pdf#page=1","Abrir facsímil")</f>
        <v>Abrir facsímil</v>
      </c>
      <c r="K11178" s="12" t="s">
        <v>65</v>
      </c>
    </row>
    <row r="11179" spans="1:11" ht="40.049999999999997" customHeight="1" x14ac:dyDescent="0.25">
      <c r="A11179" s="11" t="s">
        <v>22050</v>
      </c>
      <c r="B11179" s="11" t="s">
        <v>22051</v>
      </c>
      <c r="C11179" s="11" t="s">
        <v>80</v>
      </c>
      <c r="D11179" s="11" t="s">
        <v>18</v>
      </c>
      <c r="E11179" s="12" t="s">
        <v>1395</v>
      </c>
      <c r="F11179" s="12" t="s">
        <v>1396</v>
      </c>
      <c r="G11179" s="12" t="s">
        <v>46</v>
      </c>
      <c r="H11179" s="11" t="s">
        <v>63</v>
      </c>
      <c r="I11179" s="13" t="s">
        <v>22052</v>
      </c>
      <c r="J11179" s="14" t="str">
        <f>HYPERLINK("https://www.boe.es/gazeta/dias/1839/06/26/pdfs/GMD-1839-1684.pdf#page=3","Abrir facsímil")</f>
        <v>Abrir facsímil</v>
      </c>
      <c r="K11179" s="12" t="s">
        <v>65</v>
      </c>
    </row>
    <row r="11180" spans="1:11" ht="40.049999999999997" customHeight="1" x14ac:dyDescent="0.25">
      <c r="A11180" s="11" t="s">
        <v>22053</v>
      </c>
      <c r="B11180" s="11" t="s">
        <v>22053</v>
      </c>
      <c r="C11180" s="11" t="s">
        <v>17</v>
      </c>
      <c r="D11180" s="11" t="s">
        <v>18</v>
      </c>
      <c r="E11180" s="12" t="s">
        <v>84</v>
      </c>
      <c r="F11180" s="12" t="s">
        <v>85</v>
      </c>
      <c r="G11180" s="12" t="s">
        <v>46</v>
      </c>
      <c r="H11180" s="11" t="s">
        <v>63</v>
      </c>
      <c r="I11180" s="13" t="s">
        <v>22054</v>
      </c>
      <c r="J11180" s="14" t="str">
        <f>HYPERLINK("https://www.boe.es/gazeta/dias/1839/03/11/pdfs/GMD-1839-1577.pdf#page=3","Abrir facsímil")</f>
        <v>Abrir facsímil</v>
      </c>
      <c r="K11180" s="12" t="s">
        <v>65</v>
      </c>
    </row>
    <row r="11181" spans="1:11" ht="40.049999999999997" customHeight="1" x14ac:dyDescent="0.25">
      <c r="A11181" s="11" t="s">
        <v>22055</v>
      </c>
      <c r="B11181" s="11" t="s">
        <v>22055</v>
      </c>
      <c r="C11181" s="11" t="s">
        <v>17</v>
      </c>
      <c r="D11181" s="11" t="s">
        <v>18</v>
      </c>
      <c r="E11181" s="12" t="s">
        <v>3566</v>
      </c>
      <c r="F11181" s="12" t="s">
        <v>3567</v>
      </c>
      <c r="G11181" s="12" t="s">
        <v>21</v>
      </c>
      <c r="H11181" s="11" t="s">
        <v>63</v>
      </c>
      <c r="I11181" s="13" t="s">
        <v>22056</v>
      </c>
      <c r="J11181" s="14" t="str">
        <f>HYPERLINK("https://www.boe.es/gazeta/dias/1839/07/06/pdfs/GMD-1839-1694.pdf#page=4","Abrir facsímil")</f>
        <v>Abrir facsímil</v>
      </c>
      <c r="K11181" s="12" t="s">
        <v>65</v>
      </c>
    </row>
    <row r="11182" spans="1:11" ht="40.049999999999997" customHeight="1" x14ac:dyDescent="0.25">
      <c r="A11182" s="11" t="s">
        <v>22057</v>
      </c>
      <c r="B11182" s="11" t="s">
        <v>22058</v>
      </c>
      <c r="C11182" s="11" t="s">
        <v>17</v>
      </c>
      <c r="D11182" s="11" t="s">
        <v>18</v>
      </c>
      <c r="E11182" s="12" t="s">
        <v>632</v>
      </c>
      <c r="F11182" s="12" t="s">
        <v>633</v>
      </c>
      <c r="G11182" s="12" t="s">
        <v>29</v>
      </c>
      <c r="H11182" s="11" t="s">
        <v>63</v>
      </c>
      <c r="I11182" s="13" t="s">
        <v>22059</v>
      </c>
      <c r="J11182" s="14" t="str">
        <f>HYPERLINK("https://www.boe.es/gazeta/dias/1839/04/06/pdfs/GMD-1839-1603.pdf#page=1","Abrir facsímil")</f>
        <v>Abrir facsímil</v>
      </c>
      <c r="K11182" s="12" t="s">
        <v>65</v>
      </c>
    </row>
    <row r="11183" spans="1:11" ht="40.049999999999997" customHeight="1" x14ac:dyDescent="0.25">
      <c r="A11183" s="11" t="s">
        <v>22057</v>
      </c>
      <c r="B11183" s="11" t="s">
        <v>22058</v>
      </c>
      <c r="C11183" s="11" t="s">
        <v>17</v>
      </c>
      <c r="D11183" s="11" t="s">
        <v>18</v>
      </c>
      <c r="E11183" s="12" t="s">
        <v>76</v>
      </c>
      <c r="F11183" s="12" t="s">
        <v>77</v>
      </c>
      <c r="G11183" s="12" t="s">
        <v>40</v>
      </c>
      <c r="H11183" s="11" t="s">
        <v>63</v>
      </c>
      <c r="I11183" s="13" t="s">
        <v>22060</v>
      </c>
      <c r="J11183" s="14" t="str">
        <f>HYPERLINK("https://www.boe.es/gazeta/dias/1839/03/13/pdfs/GMD-1839-1579.pdf#page=2","Abrir facsímil")</f>
        <v>Abrir facsímil</v>
      </c>
      <c r="K11183" s="12" t="s">
        <v>65</v>
      </c>
    </row>
    <row r="11184" spans="1:11" ht="40.049999999999997" customHeight="1" x14ac:dyDescent="0.25">
      <c r="A11184" s="11" t="s">
        <v>22061</v>
      </c>
      <c r="B11184" s="11" t="s">
        <v>22062</v>
      </c>
      <c r="C11184" s="11" t="s">
        <v>80</v>
      </c>
      <c r="D11184" s="11" t="s">
        <v>18</v>
      </c>
      <c r="E11184" s="12" t="s">
        <v>2881</v>
      </c>
      <c r="F11184" s="12" t="s">
        <v>2882</v>
      </c>
      <c r="G11184" s="12" t="s">
        <v>21</v>
      </c>
      <c r="H11184" s="11" t="s">
        <v>63</v>
      </c>
      <c r="I11184" s="13" t="s">
        <v>22063</v>
      </c>
      <c r="J11184" s="14" t="str">
        <f>HYPERLINK("https://www.boe.es/gazeta/dias/1839/05/08/pdfs/GMD-1839-1635.pdf#page=4","Abrir facsímil")</f>
        <v>Abrir facsímil</v>
      </c>
      <c r="K11184" s="12" t="s">
        <v>65</v>
      </c>
    </row>
    <row r="11185" spans="1:11" ht="40.049999999999997" customHeight="1" x14ac:dyDescent="0.25">
      <c r="A11185" s="11" t="s">
        <v>22064</v>
      </c>
      <c r="B11185" s="11" t="s">
        <v>22065</v>
      </c>
      <c r="C11185" s="11" t="s">
        <v>17</v>
      </c>
      <c r="D11185" s="11" t="s">
        <v>18</v>
      </c>
      <c r="E11185" s="12" t="s">
        <v>798</v>
      </c>
      <c r="F11185" s="12" t="s">
        <v>799</v>
      </c>
      <c r="G11185" s="12" t="s">
        <v>21</v>
      </c>
      <c r="H11185" s="11" t="s">
        <v>63</v>
      </c>
      <c r="I11185" s="13" t="s">
        <v>22066</v>
      </c>
      <c r="J11185" s="14" t="str">
        <f>HYPERLINK("https://www.boe.es/gazeta/dias/1839/09/03/pdfs/GMD-1839-1755.pdf#page=4","Abrir facsímil")</f>
        <v>Abrir facsímil</v>
      </c>
      <c r="K11185" s="12" t="s">
        <v>65</v>
      </c>
    </row>
    <row r="11186" spans="1:11" ht="40.049999999999997" customHeight="1" x14ac:dyDescent="0.25">
      <c r="A11186" s="11" t="s">
        <v>22067</v>
      </c>
      <c r="B11186" s="11" t="s">
        <v>22067</v>
      </c>
      <c r="C11186" s="11" t="s">
        <v>137</v>
      </c>
      <c r="D11186" s="11" t="s">
        <v>18</v>
      </c>
      <c r="E11186" s="12" t="s">
        <v>349</v>
      </c>
      <c r="F11186" s="12" t="s">
        <v>350</v>
      </c>
      <c r="G11186" s="12" t="s">
        <v>46</v>
      </c>
      <c r="H11186" s="11" t="s">
        <v>63</v>
      </c>
      <c r="I11186" s="13" t="s">
        <v>22068</v>
      </c>
      <c r="J11186" s="14" t="str">
        <f>HYPERLINK("https://www.boe.es/gazeta/dias/1839/12/25/pdfs/GMD-1839-1872.pdf#page=3","Abrir facsímil")</f>
        <v>Abrir facsímil</v>
      </c>
      <c r="K11186" s="12" t="s">
        <v>65</v>
      </c>
    </row>
    <row r="11187" spans="1:11" ht="40.049999999999997" customHeight="1" x14ac:dyDescent="0.25">
      <c r="A11187" s="11" t="s">
        <v>22069</v>
      </c>
      <c r="B11187" s="11" t="s">
        <v>22070</v>
      </c>
      <c r="C11187" s="11" t="s">
        <v>17</v>
      </c>
      <c r="D11187" s="11" t="s">
        <v>18</v>
      </c>
      <c r="E11187" s="12" t="s">
        <v>522</v>
      </c>
      <c r="F11187" s="12" t="s">
        <v>523</v>
      </c>
      <c r="G11187" s="12" t="s">
        <v>40</v>
      </c>
      <c r="H11187" s="11" t="s">
        <v>63</v>
      </c>
      <c r="I11187" s="13" t="s">
        <v>22071</v>
      </c>
      <c r="J11187" s="14" t="str">
        <f>HYPERLINK("https://www.boe.es/gazeta/dias/1839/08/27/pdfs/GMD-1839-1748.pdf#page=2","Abrir facsímil")</f>
        <v>Abrir facsímil</v>
      </c>
      <c r="K11187" s="12" t="s">
        <v>65</v>
      </c>
    </row>
    <row r="11188" spans="1:11" ht="40.049999999999997" customHeight="1" x14ac:dyDescent="0.25">
      <c r="A11188" s="11" t="s">
        <v>22072</v>
      </c>
      <c r="B11188" s="11" t="s">
        <v>22073</v>
      </c>
      <c r="C11188" s="11" t="s">
        <v>17</v>
      </c>
      <c r="D11188" s="11" t="s">
        <v>18</v>
      </c>
      <c r="E11188" s="12" t="s">
        <v>1332</v>
      </c>
      <c r="F11188" s="12" t="s">
        <v>1333</v>
      </c>
      <c r="G11188" s="12" t="s">
        <v>21</v>
      </c>
      <c r="H11188" s="11" t="s">
        <v>63</v>
      </c>
      <c r="I11188" s="13" t="s">
        <v>22074</v>
      </c>
      <c r="J11188" s="14" t="str">
        <f>HYPERLINK("https://www.boe.es/gazeta/dias/1839/05/04/pdfs/GMD-1839-1631.pdf#page=4","Abrir facsímil")</f>
        <v>Abrir facsímil</v>
      </c>
      <c r="K11188" s="12" t="s">
        <v>65</v>
      </c>
    </row>
    <row r="11189" spans="1:11" ht="40.049999999999997" customHeight="1" x14ac:dyDescent="0.25">
      <c r="A11189" s="11" t="s">
        <v>22075</v>
      </c>
      <c r="B11189" s="11" t="s">
        <v>22076</v>
      </c>
      <c r="C11189" s="11" t="s">
        <v>80</v>
      </c>
      <c r="D11189" s="11" t="s">
        <v>18</v>
      </c>
      <c r="E11189" s="12" t="s">
        <v>138</v>
      </c>
      <c r="F11189" s="12" t="s">
        <v>139</v>
      </c>
      <c r="G11189" s="12" t="s">
        <v>29</v>
      </c>
      <c r="H11189" s="11" t="s">
        <v>63</v>
      </c>
      <c r="I11189" s="13" t="s">
        <v>22077</v>
      </c>
      <c r="J11189" s="14" t="str">
        <f>HYPERLINK("https://www.boe.es/gazeta/dias/1839/10/09/pdfs/GMD-1839-1795.pdf#page=1","Abrir facsímil")</f>
        <v>Abrir facsímil</v>
      </c>
      <c r="K11189" s="12" t="s">
        <v>65</v>
      </c>
    </row>
    <row r="11190" spans="1:11" ht="40.049999999999997" customHeight="1" x14ac:dyDescent="0.25">
      <c r="A11190" s="11" t="s">
        <v>22078</v>
      </c>
      <c r="B11190" s="11" t="s">
        <v>22078</v>
      </c>
      <c r="C11190" s="11" t="s">
        <v>17</v>
      </c>
      <c r="D11190" s="11" t="s">
        <v>18</v>
      </c>
      <c r="E11190" s="12" t="s">
        <v>736</v>
      </c>
      <c r="F11190" s="12" t="s">
        <v>737</v>
      </c>
      <c r="G11190" s="12" t="s">
        <v>40</v>
      </c>
      <c r="H11190" s="11" t="s">
        <v>22</v>
      </c>
      <c r="I11190" s="13" t="s">
        <v>22079</v>
      </c>
      <c r="J11190" s="14" t="str">
        <f>HYPERLINK("https://www.boe.es/gazeta/dias/1839/10/13/pdfs/GMD-1839-1799.pdf#page=2","Abrir facsímil")</f>
        <v>Abrir facsímil</v>
      </c>
      <c r="K11190" s="12" t="s">
        <v>24</v>
      </c>
    </row>
    <row r="11191" spans="1:11" ht="40.049999999999997" customHeight="1" x14ac:dyDescent="0.25">
      <c r="A11191" s="11" t="s">
        <v>22080</v>
      </c>
      <c r="B11191" s="11" t="s">
        <v>22080</v>
      </c>
      <c r="C11191" s="11" t="s">
        <v>17</v>
      </c>
      <c r="D11191" s="11" t="s">
        <v>18</v>
      </c>
      <c r="E11191" s="12" t="s">
        <v>1623</v>
      </c>
      <c r="F11191" s="12" t="s">
        <v>1624</v>
      </c>
      <c r="G11191" s="12" t="s">
        <v>40</v>
      </c>
      <c r="H11191" s="11" t="s">
        <v>63</v>
      </c>
      <c r="I11191" s="13" t="s">
        <v>22081</v>
      </c>
      <c r="J11191" s="14" t="str">
        <f>HYPERLINK("https://www.boe.es/gazeta/dias/1839/04/07/pdfs/GMD-1839-1604.pdf#page=2","Abrir facsímil")</f>
        <v>Abrir facsímil</v>
      </c>
      <c r="K11191" s="12" t="s">
        <v>65</v>
      </c>
    </row>
    <row r="11192" spans="1:11" ht="40.049999999999997" customHeight="1" x14ac:dyDescent="0.25">
      <c r="A11192" s="11" t="s">
        <v>22082</v>
      </c>
      <c r="B11192" s="11" t="s">
        <v>22083</v>
      </c>
      <c r="C11192" s="11" t="s">
        <v>59</v>
      </c>
      <c r="D11192" s="11" t="s">
        <v>60</v>
      </c>
      <c r="E11192" s="12" t="s">
        <v>1388</v>
      </c>
      <c r="F11192" s="12" t="s">
        <v>1389</v>
      </c>
      <c r="G11192" s="12" t="s">
        <v>29</v>
      </c>
      <c r="H11192" s="11" t="s">
        <v>22</v>
      </c>
      <c r="I11192" s="13" t="s">
        <v>22084</v>
      </c>
      <c r="J11192" s="14" t="str">
        <f>HYPERLINK("https://www.boe.es/gazeta/dias/1839/06/04/pdfs/GMD-1839-1662.pdf#page=1","Abrir facsímil")</f>
        <v>Abrir facsímil</v>
      </c>
      <c r="K11192" s="12" t="s">
        <v>24</v>
      </c>
    </row>
    <row r="11193" spans="1:11" ht="40.049999999999997" customHeight="1" x14ac:dyDescent="0.25">
      <c r="A11193" s="11" t="s">
        <v>22085</v>
      </c>
      <c r="B11193" s="11" t="s">
        <v>22085</v>
      </c>
      <c r="C11193" s="11" t="s">
        <v>101</v>
      </c>
      <c r="D11193" s="11" t="s">
        <v>102</v>
      </c>
      <c r="E11193" s="12" t="s">
        <v>1909</v>
      </c>
      <c r="F11193" s="12" t="s">
        <v>1910</v>
      </c>
      <c r="G11193" s="12" t="s">
        <v>29</v>
      </c>
      <c r="H11193" s="11" t="s">
        <v>63</v>
      </c>
      <c r="I11193" s="13" t="s">
        <v>22086</v>
      </c>
      <c r="J11193" s="14" t="str">
        <f>HYPERLINK("https://www.boe.es/gazeta/dias/1839/10/27/pdfs/GMD-1839-1813.pdf#page=1","Abrir facsímil")</f>
        <v>Abrir facsímil</v>
      </c>
      <c r="K11193" s="12" t="s">
        <v>65</v>
      </c>
    </row>
    <row r="11194" spans="1:11" ht="40.049999999999997" customHeight="1" x14ac:dyDescent="0.25">
      <c r="A11194" s="11" t="s">
        <v>22087</v>
      </c>
      <c r="B11194" s="11" t="s">
        <v>22088</v>
      </c>
      <c r="C11194" s="11" t="s">
        <v>17</v>
      </c>
      <c r="D11194" s="11" t="s">
        <v>18</v>
      </c>
      <c r="E11194" s="12" t="s">
        <v>918</v>
      </c>
      <c r="F11194" s="12" t="s">
        <v>919</v>
      </c>
      <c r="G11194" s="12" t="s">
        <v>40</v>
      </c>
      <c r="H11194" s="11" t="s">
        <v>63</v>
      </c>
      <c r="I11194" s="13" t="s">
        <v>22089</v>
      </c>
      <c r="J11194" s="14" t="str">
        <f>HYPERLINK("https://www.boe.es/gazeta/dias/1839/12/07/pdfs/GMD-1839-1854.pdf#page=2","Abrir facsímil")</f>
        <v>Abrir facsímil</v>
      </c>
      <c r="K11194" s="12" t="s">
        <v>65</v>
      </c>
    </row>
    <row r="11195" spans="1:11" ht="40.049999999999997" customHeight="1" x14ac:dyDescent="0.25">
      <c r="A11195" s="11" t="s">
        <v>22090</v>
      </c>
      <c r="B11195" s="11" t="s">
        <v>22091</v>
      </c>
      <c r="C11195" s="11" t="s">
        <v>17</v>
      </c>
      <c r="D11195" s="11" t="s">
        <v>18</v>
      </c>
      <c r="E11195" s="12" t="s">
        <v>474</v>
      </c>
      <c r="F11195" s="12" t="s">
        <v>475</v>
      </c>
      <c r="G11195" s="12" t="s">
        <v>21</v>
      </c>
      <c r="H11195" s="11" t="s">
        <v>63</v>
      </c>
      <c r="I11195" s="13" t="s">
        <v>22092</v>
      </c>
      <c r="J11195" s="14" t="str">
        <f>HYPERLINK("https://www.boe.es/gazeta/dias/1839/03/31/pdfs/GMD-1839-1597.pdf#page=4","Abrir facsímil")</f>
        <v>Abrir facsímil</v>
      </c>
      <c r="K11195" s="12" t="s">
        <v>65</v>
      </c>
    </row>
    <row r="11196" spans="1:11" ht="40.049999999999997" customHeight="1" x14ac:dyDescent="0.25">
      <c r="A11196" s="11" t="s">
        <v>22093</v>
      </c>
      <c r="B11196" s="11" t="s">
        <v>22093</v>
      </c>
      <c r="C11196" s="11" t="s">
        <v>17</v>
      </c>
      <c r="D11196" s="11" t="s">
        <v>18</v>
      </c>
      <c r="E11196" s="12" t="s">
        <v>1537</v>
      </c>
      <c r="F11196" s="12" t="s">
        <v>1538</v>
      </c>
      <c r="G11196" s="12" t="s">
        <v>29</v>
      </c>
      <c r="H11196" s="11" t="s">
        <v>63</v>
      </c>
      <c r="I11196" s="13" t="s">
        <v>22094</v>
      </c>
      <c r="J11196" s="14" t="str">
        <f>HYPERLINK("https://www.boe.es/gazeta/dias/1839/12/16/pdfs/GMD-1839-1863.pdf#page=1","Abrir facsímil")</f>
        <v>Abrir facsímil</v>
      </c>
      <c r="K11196" s="12" t="s">
        <v>65</v>
      </c>
    </row>
    <row r="11197" spans="1:11" ht="40.049999999999997" customHeight="1" x14ac:dyDescent="0.25">
      <c r="A11197" s="11" t="s">
        <v>22095</v>
      </c>
      <c r="B11197" s="11" t="s">
        <v>22095</v>
      </c>
      <c r="C11197" s="11" t="s">
        <v>101</v>
      </c>
      <c r="D11197" s="11" t="s">
        <v>102</v>
      </c>
      <c r="E11197" s="12" t="s">
        <v>1479</v>
      </c>
      <c r="F11197" s="12" t="s">
        <v>1480</v>
      </c>
      <c r="G11197" s="12" t="s">
        <v>40</v>
      </c>
      <c r="H11197" s="11" t="s">
        <v>63</v>
      </c>
      <c r="I11197" s="13" t="s">
        <v>22096</v>
      </c>
      <c r="J11197" s="14" t="str">
        <f>HYPERLINK("https://www.boe.es/gazeta/dias/1839/04/09/pdfs/GMD-1839-1606.pdf#page=2","Abrir facsímil")</f>
        <v>Abrir facsímil</v>
      </c>
      <c r="K11197" s="12" t="s">
        <v>65</v>
      </c>
    </row>
    <row r="11198" spans="1:11" ht="40.049999999999997" customHeight="1" x14ac:dyDescent="0.25">
      <c r="A11198" s="11" t="s">
        <v>22095</v>
      </c>
      <c r="B11198" s="11" t="s">
        <v>22095</v>
      </c>
      <c r="C11198" s="11" t="s">
        <v>17</v>
      </c>
      <c r="D11198" s="11" t="s">
        <v>18</v>
      </c>
      <c r="E11198" s="12" t="s">
        <v>343</v>
      </c>
      <c r="F11198" s="12" t="s">
        <v>344</v>
      </c>
      <c r="G11198" s="12" t="s">
        <v>40</v>
      </c>
      <c r="H11198" s="11" t="s">
        <v>63</v>
      </c>
      <c r="I11198" s="13" t="s">
        <v>22097</v>
      </c>
      <c r="J11198" s="14" t="str">
        <f>HYPERLINK("https://www.boe.es/gazeta/dias/1839/05/20/pdfs/GMD-1839-1647.pdf#page=2","Abrir facsímil")</f>
        <v>Abrir facsímil</v>
      </c>
      <c r="K11198" s="12" t="s">
        <v>65</v>
      </c>
    </row>
    <row r="11199" spans="1:11" ht="40.049999999999997" customHeight="1" x14ac:dyDescent="0.25">
      <c r="A11199" s="11" t="s">
        <v>22098</v>
      </c>
      <c r="B11199" s="11" t="s">
        <v>22098</v>
      </c>
      <c r="C11199" s="11" t="s">
        <v>17</v>
      </c>
      <c r="D11199" s="11" t="s">
        <v>18</v>
      </c>
      <c r="E11199" s="12" t="s">
        <v>577</v>
      </c>
      <c r="F11199" s="12" t="s">
        <v>578</v>
      </c>
      <c r="G11199" s="12" t="s">
        <v>40</v>
      </c>
      <c r="H11199" s="11" t="s">
        <v>63</v>
      </c>
      <c r="I11199" s="13" t="s">
        <v>22099</v>
      </c>
      <c r="J11199" s="14" t="str">
        <f>HYPERLINK("https://www.boe.es/gazeta/dias/1839/09/30/pdfs/GMD-1839-1786.pdf#page=2","Abrir facsímil")</f>
        <v>Abrir facsímil</v>
      </c>
      <c r="K11199" s="12" t="s">
        <v>65</v>
      </c>
    </row>
    <row r="11200" spans="1:11" ht="40.049999999999997" customHeight="1" x14ac:dyDescent="0.25">
      <c r="A11200" s="11" t="s">
        <v>22100</v>
      </c>
      <c r="B11200" s="11" t="s">
        <v>22101</v>
      </c>
      <c r="C11200" s="11" t="s">
        <v>17</v>
      </c>
      <c r="D11200" s="11" t="s">
        <v>18</v>
      </c>
      <c r="E11200" s="12" t="s">
        <v>1079</v>
      </c>
      <c r="F11200" s="12" t="s">
        <v>1080</v>
      </c>
      <c r="G11200" s="12" t="s">
        <v>29</v>
      </c>
      <c r="H11200" s="11" t="s">
        <v>63</v>
      </c>
      <c r="I11200" s="13" t="s">
        <v>22102</v>
      </c>
      <c r="J11200" s="14" t="str">
        <f>HYPERLINK("https://www.boe.es/gazeta/dias/1839/05/24/pdfs/GMD-1839-1651.pdf#page=1","Abrir facsímil")</f>
        <v>Abrir facsímil</v>
      </c>
      <c r="K11200" s="12" t="s">
        <v>65</v>
      </c>
    </row>
    <row r="11201" spans="1:11" ht="40.049999999999997" customHeight="1" x14ac:dyDescent="0.25">
      <c r="A11201" s="11" t="s">
        <v>22103</v>
      </c>
      <c r="B11201" s="11" t="s">
        <v>22103</v>
      </c>
      <c r="C11201" s="11" t="s">
        <v>101</v>
      </c>
      <c r="D11201" s="11" t="s">
        <v>102</v>
      </c>
      <c r="E11201" s="12" t="s">
        <v>272</v>
      </c>
      <c r="F11201" s="12" t="s">
        <v>273</v>
      </c>
      <c r="G11201" s="12" t="s">
        <v>29</v>
      </c>
      <c r="H11201" s="11" t="s">
        <v>63</v>
      </c>
      <c r="I11201" s="13" t="s">
        <v>22104</v>
      </c>
      <c r="J11201" s="14" t="str">
        <f>HYPERLINK("https://www.boe.es/gazeta/dias/1839/02/12/pdfs/GMD-1839-1550.pdf#page=1","Abrir facsímil")</f>
        <v>Abrir facsímil</v>
      </c>
      <c r="K11201" s="12" t="s">
        <v>65</v>
      </c>
    </row>
    <row r="11202" spans="1:11" ht="40.049999999999997" customHeight="1" x14ac:dyDescent="0.25">
      <c r="A11202" s="11" t="s">
        <v>22103</v>
      </c>
      <c r="B11202" s="11" t="s">
        <v>22103</v>
      </c>
      <c r="C11202" s="11" t="s">
        <v>17</v>
      </c>
      <c r="D11202" s="11" t="s">
        <v>18</v>
      </c>
      <c r="E11202" s="12" t="s">
        <v>230</v>
      </c>
      <c r="F11202" s="12" t="s">
        <v>231</v>
      </c>
      <c r="G11202" s="12" t="s">
        <v>21</v>
      </c>
      <c r="H11202" s="11" t="s">
        <v>63</v>
      </c>
      <c r="I11202" s="13" t="s">
        <v>22105</v>
      </c>
      <c r="J11202" s="14" t="str">
        <f>HYPERLINK("https://www.boe.es/gazeta/dias/1839/09/16/pdfs/GMD-1839-1769.pdf#page=4","Abrir facsímil")</f>
        <v>Abrir facsímil</v>
      </c>
      <c r="K11202" s="12" t="s">
        <v>65</v>
      </c>
    </row>
    <row r="11203" spans="1:11" ht="40.049999999999997" customHeight="1" x14ac:dyDescent="0.25">
      <c r="A11203" s="11" t="s">
        <v>22103</v>
      </c>
      <c r="B11203" s="11" t="s">
        <v>22103</v>
      </c>
      <c r="C11203" s="11" t="s">
        <v>17</v>
      </c>
      <c r="D11203" s="11" t="s">
        <v>18</v>
      </c>
      <c r="E11203" s="12" t="s">
        <v>287</v>
      </c>
      <c r="F11203" s="12" t="s">
        <v>288</v>
      </c>
      <c r="G11203" s="12" t="s">
        <v>46</v>
      </c>
      <c r="H11203" s="11" t="s">
        <v>63</v>
      </c>
      <c r="I11203" s="13" t="s">
        <v>22106</v>
      </c>
      <c r="J11203" s="14" t="str">
        <f>HYPERLINK("https://www.boe.es/gazeta/dias/1839/11/27/pdfs/GMD-1839-1844.pdf#page=3","Abrir facsímil")</f>
        <v>Abrir facsímil</v>
      </c>
      <c r="K11203" s="12" t="s">
        <v>65</v>
      </c>
    </row>
    <row r="11204" spans="1:11" ht="40.049999999999997" customHeight="1" x14ac:dyDescent="0.25">
      <c r="A11204" s="11" t="s">
        <v>22107</v>
      </c>
      <c r="B11204" s="11" t="s">
        <v>22108</v>
      </c>
      <c r="C11204" s="11" t="s">
        <v>17</v>
      </c>
      <c r="D11204" s="11" t="s">
        <v>18</v>
      </c>
      <c r="E11204" s="12" t="s">
        <v>756</v>
      </c>
      <c r="F11204" s="12" t="s">
        <v>757</v>
      </c>
      <c r="G11204" s="12" t="s">
        <v>21</v>
      </c>
      <c r="H11204" s="11" t="s">
        <v>63</v>
      </c>
      <c r="I11204" s="13" t="s">
        <v>22109</v>
      </c>
      <c r="J11204" s="14" t="str">
        <f>HYPERLINK("https://www.boe.es/gazeta/dias/1839/12/17/pdfs/GMD-1839-1864.pdf#page=4","Abrir facsímil")</f>
        <v>Abrir facsímil</v>
      </c>
      <c r="K11204" s="12" t="s">
        <v>65</v>
      </c>
    </row>
    <row r="11205" spans="1:11" ht="40.049999999999997" customHeight="1" x14ac:dyDescent="0.25">
      <c r="A11205" s="11" t="s">
        <v>22110</v>
      </c>
      <c r="B11205" s="11" t="s">
        <v>22111</v>
      </c>
      <c r="C11205" s="11" t="s">
        <v>17</v>
      </c>
      <c r="D11205" s="11" t="s">
        <v>18</v>
      </c>
      <c r="E11205" s="12" t="s">
        <v>185</v>
      </c>
      <c r="F11205" s="12" t="s">
        <v>186</v>
      </c>
      <c r="G11205" s="12" t="s">
        <v>40</v>
      </c>
      <c r="H11205" s="11" t="s">
        <v>22</v>
      </c>
      <c r="I11205" s="13" t="s">
        <v>22112</v>
      </c>
      <c r="J11205" s="14" t="str">
        <f>HYPERLINK("https://www.boe.es/gazeta/dias/1839/01/15/pdfs/GMD-1839-1522.pdf#page=2","Abrir facsímil")</f>
        <v>Abrir facsímil</v>
      </c>
      <c r="K11205" s="12" t="s">
        <v>24</v>
      </c>
    </row>
    <row r="11206" spans="1:11" ht="40.049999999999997" customHeight="1" x14ac:dyDescent="0.25">
      <c r="A11206" s="11" t="s">
        <v>22113</v>
      </c>
      <c r="B11206" s="11" t="s">
        <v>22114</v>
      </c>
      <c r="C11206" s="11" t="s">
        <v>17</v>
      </c>
      <c r="D11206" s="11" t="s">
        <v>18</v>
      </c>
      <c r="E11206" s="12" t="s">
        <v>168</v>
      </c>
      <c r="F11206" s="12" t="s">
        <v>169</v>
      </c>
      <c r="G11206" s="12" t="s">
        <v>21</v>
      </c>
      <c r="H11206" s="11" t="s">
        <v>63</v>
      </c>
      <c r="I11206" s="13" t="s">
        <v>22115</v>
      </c>
      <c r="J11206" s="14" t="str">
        <f>HYPERLINK("https://www.boe.es/gazeta/dias/1839/07/12/pdfs/GMD-1839-1700.pdf#page=4","Abrir facsímil")</f>
        <v>Abrir facsímil</v>
      </c>
      <c r="K11206" s="12" t="s">
        <v>65</v>
      </c>
    </row>
    <row r="11207" spans="1:11" ht="40.049999999999997" customHeight="1" x14ac:dyDescent="0.25">
      <c r="A11207" s="11" t="s">
        <v>22116</v>
      </c>
      <c r="B11207" s="11" t="s">
        <v>22116</v>
      </c>
      <c r="C11207" s="11" t="s">
        <v>17</v>
      </c>
      <c r="D11207" s="11" t="s">
        <v>18</v>
      </c>
      <c r="E11207" s="12" t="s">
        <v>713</v>
      </c>
      <c r="F11207" s="12" t="s">
        <v>714</v>
      </c>
      <c r="G11207" s="12" t="s">
        <v>40</v>
      </c>
      <c r="H11207" s="11" t="s">
        <v>63</v>
      </c>
      <c r="I11207" s="13" t="s">
        <v>22117</v>
      </c>
      <c r="J11207" s="14" t="str">
        <f>HYPERLINK("https://www.boe.es/gazeta/dias/1839/12/18/pdfs/GMD-1839-1865.pdf#page=2","Abrir facsímil")</f>
        <v>Abrir facsímil</v>
      </c>
      <c r="K11207" s="12" t="s">
        <v>65</v>
      </c>
    </row>
    <row r="11208" spans="1:11" ht="40.049999999999997" customHeight="1" x14ac:dyDescent="0.25">
      <c r="A11208" s="11" t="s">
        <v>22118</v>
      </c>
      <c r="B11208" s="11" t="s">
        <v>22118</v>
      </c>
      <c r="C11208" s="11" t="s">
        <v>101</v>
      </c>
      <c r="D11208" s="11" t="s">
        <v>43</v>
      </c>
      <c r="E11208" s="12" t="s">
        <v>262</v>
      </c>
      <c r="F11208" s="12" t="s">
        <v>263</v>
      </c>
      <c r="G11208" s="12" t="s">
        <v>46</v>
      </c>
      <c r="H11208" s="11" t="s">
        <v>63</v>
      </c>
      <c r="I11208" s="13" t="s">
        <v>22119</v>
      </c>
      <c r="J11208" s="14" t="str">
        <f>HYPERLINK("https://www.boe.es/gazeta/dias/1839/01/01/pdfs/GMD-1839-1508.pdf#page=3","Abrir facsímil")</f>
        <v>Abrir facsímil</v>
      </c>
      <c r="K11208" s="12" t="s">
        <v>65</v>
      </c>
    </row>
    <row r="11209" spans="1:11" ht="40.049999999999997" customHeight="1" x14ac:dyDescent="0.25">
      <c r="A11209" s="11" t="s">
        <v>22118</v>
      </c>
      <c r="B11209" s="11" t="s">
        <v>22118</v>
      </c>
      <c r="C11209" s="11" t="s">
        <v>80</v>
      </c>
      <c r="D11209" s="11" t="s">
        <v>18</v>
      </c>
      <c r="E11209" s="12" t="s">
        <v>76</v>
      </c>
      <c r="F11209" s="12" t="s">
        <v>77</v>
      </c>
      <c r="G11209" s="12" t="s">
        <v>29</v>
      </c>
      <c r="H11209" s="11" t="s">
        <v>63</v>
      </c>
      <c r="I11209" s="13" t="s">
        <v>22120</v>
      </c>
      <c r="J11209" s="14" t="str">
        <f>HYPERLINK("https://www.boe.es/gazeta/dias/1839/03/13/pdfs/GMD-1839-1579.pdf#page=1","Abrir facsímil")</f>
        <v>Abrir facsímil</v>
      </c>
      <c r="K11209" s="12" t="s">
        <v>65</v>
      </c>
    </row>
    <row r="11210" spans="1:11" ht="40.049999999999997" customHeight="1" x14ac:dyDescent="0.25">
      <c r="A11210" s="11" t="s">
        <v>22118</v>
      </c>
      <c r="B11210" s="11" t="s">
        <v>22118</v>
      </c>
      <c r="C11210" s="11" t="s">
        <v>17</v>
      </c>
      <c r="D11210" s="11" t="s">
        <v>18</v>
      </c>
      <c r="E11210" s="12" t="s">
        <v>2349</v>
      </c>
      <c r="F11210" s="12" t="s">
        <v>2350</v>
      </c>
      <c r="G11210" s="12" t="s">
        <v>29</v>
      </c>
      <c r="H11210" s="11" t="s">
        <v>63</v>
      </c>
      <c r="I11210" s="13" t="s">
        <v>22121</v>
      </c>
      <c r="J11210" s="14" t="str">
        <f>HYPERLINK("https://www.boe.es/gazeta/dias/1839/09/29/pdfs/GMD-1839-1785.pdf#page=1","Abrir facsímil")</f>
        <v>Abrir facsímil</v>
      </c>
      <c r="K11210" s="12" t="s">
        <v>65</v>
      </c>
    </row>
    <row r="11211" spans="1:11" ht="40.049999999999997" customHeight="1" x14ac:dyDescent="0.25">
      <c r="A11211" s="11" t="s">
        <v>22122</v>
      </c>
      <c r="B11211" s="11" t="s">
        <v>22123</v>
      </c>
      <c r="C11211" s="11" t="s">
        <v>101</v>
      </c>
      <c r="D11211" s="11" t="s">
        <v>102</v>
      </c>
      <c r="E11211" s="12" t="s">
        <v>486</v>
      </c>
      <c r="F11211" s="12" t="s">
        <v>487</v>
      </c>
      <c r="G11211" s="12" t="s">
        <v>29</v>
      </c>
      <c r="H11211" s="11" t="s">
        <v>63</v>
      </c>
      <c r="I11211" s="13" t="s">
        <v>22124</v>
      </c>
      <c r="J11211" s="14" t="str">
        <f>HYPERLINK("https://www.boe.es/gazeta/dias/1839/04/19/pdfs/GMD-1839-1616.pdf#page=1","Abrir facsímil")</f>
        <v>Abrir facsímil</v>
      </c>
      <c r="K11211" s="12" t="s">
        <v>65</v>
      </c>
    </row>
    <row r="11212" spans="1:11" ht="40.049999999999997" customHeight="1" x14ac:dyDescent="0.25">
      <c r="A11212" s="11" t="s">
        <v>22125</v>
      </c>
      <c r="B11212" s="11" t="s">
        <v>22126</v>
      </c>
      <c r="C11212" s="11" t="s">
        <v>17</v>
      </c>
      <c r="D11212" s="11" t="s">
        <v>18</v>
      </c>
      <c r="E11212" s="12" t="s">
        <v>258</v>
      </c>
      <c r="F11212" s="12" t="s">
        <v>259</v>
      </c>
      <c r="G11212" s="12" t="s">
        <v>46</v>
      </c>
      <c r="H11212" s="11" t="s">
        <v>22</v>
      </c>
      <c r="I11212" s="13" t="s">
        <v>22127</v>
      </c>
      <c r="J11212" s="14" t="str">
        <f>HYPERLINK("https://www.boe.es/gazeta/dias/1839/01/02/pdfs/GMD-1839-1509.pdf#page=3","Abrir facsímil")</f>
        <v>Abrir facsímil</v>
      </c>
      <c r="K11212" s="12" t="s">
        <v>24</v>
      </c>
    </row>
    <row r="11213" spans="1:11" ht="40.049999999999997" customHeight="1" x14ac:dyDescent="0.25">
      <c r="A11213" s="11" t="s">
        <v>22128</v>
      </c>
      <c r="B11213" s="11" t="s">
        <v>22128</v>
      </c>
      <c r="C11213" s="11" t="s">
        <v>17</v>
      </c>
      <c r="D11213" s="11" t="s">
        <v>18</v>
      </c>
      <c r="E11213" s="12" t="s">
        <v>2349</v>
      </c>
      <c r="F11213" s="12" t="s">
        <v>2350</v>
      </c>
      <c r="G11213" s="12" t="s">
        <v>29</v>
      </c>
      <c r="H11213" s="11" t="s">
        <v>63</v>
      </c>
      <c r="I11213" s="13" t="s">
        <v>22129</v>
      </c>
      <c r="J11213" s="14" t="str">
        <f>HYPERLINK("https://www.boe.es/gazeta/dias/1839/09/29/pdfs/GMD-1839-1785.pdf#page=1","Abrir facsímil")</f>
        <v>Abrir facsímil</v>
      </c>
      <c r="K11213" s="12" t="s">
        <v>65</v>
      </c>
    </row>
    <row r="11214" spans="1:11" ht="40.049999999999997" customHeight="1" x14ac:dyDescent="0.25">
      <c r="A11214" s="11" t="s">
        <v>22130</v>
      </c>
      <c r="B11214" s="11" t="s">
        <v>22130</v>
      </c>
      <c r="C11214" s="11" t="s">
        <v>17</v>
      </c>
      <c r="D11214" s="11" t="s">
        <v>18</v>
      </c>
      <c r="E11214" s="12" t="s">
        <v>262</v>
      </c>
      <c r="F11214" s="12" t="s">
        <v>263</v>
      </c>
      <c r="G11214" s="12" t="s">
        <v>40</v>
      </c>
      <c r="H11214" s="11" t="s">
        <v>22</v>
      </c>
      <c r="I11214" s="13" t="s">
        <v>22131</v>
      </c>
      <c r="J11214" s="14" t="str">
        <f>HYPERLINK("https://www.boe.es/gazeta/dias/1839/01/01/pdfs/GMD-1839-1508.pdf#page=2","Abrir facsímil")</f>
        <v>Abrir facsímil</v>
      </c>
      <c r="K11214" s="12" t="s">
        <v>24</v>
      </c>
    </row>
    <row r="11215" spans="1:11" ht="40.049999999999997" customHeight="1" x14ac:dyDescent="0.25">
      <c r="A11215" s="11" t="s">
        <v>22132</v>
      </c>
      <c r="B11215" s="11" t="s">
        <v>22132</v>
      </c>
      <c r="C11215" s="11" t="s">
        <v>17</v>
      </c>
      <c r="D11215" s="11" t="s">
        <v>18</v>
      </c>
      <c r="E11215" s="12" t="s">
        <v>217</v>
      </c>
      <c r="F11215" s="12" t="s">
        <v>218</v>
      </c>
      <c r="G11215" s="12" t="s">
        <v>46</v>
      </c>
      <c r="H11215" s="11" t="s">
        <v>63</v>
      </c>
      <c r="I11215" s="13" t="s">
        <v>22133</v>
      </c>
      <c r="J11215" s="14" t="str">
        <f>HYPERLINK("https://www.boe.es/gazeta/dias/1839/08/06/pdfs/GMD-1839-1726.pdf#page=3","Abrir facsímil")</f>
        <v>Abrir facsímil</v>
      </c>
      <c r="K11215" s="12" t="s">
        <v>65</v>
      </c>
    </row>
    <row r="11216" spans="1:11" ht="40.049999999999997" customHeight="1" x14ac:dyDescent="0.25">
      <c r="A11216" s="11" t="s">
        <v>22132</v>
      </c>
      <c r="B11216" s="11" t="s">
        <v>22132</v>
      </c>
      <c r="C11216" s="11" t="s">
        <v>17</v>
      </c>
      <c r="D11216" s="11" t="s">
        <v>18</v>
      </c>
      <c r="E11216" s="12" t="s">
        <v>1100</v>
      </c>
      <c r="F11216" s="12" t="s">
        <v>1101</v>
      </c>
      <c r="G11216" s="12" t="s">
        <v>29</v>
      </c>
      <c r="H11216" s="11" t="s">
        <v>63</v>
      </c>
      <c r="I11216" s="13" t="s">
        <v>22134</v>
      </c>
      <c r="J11216" s="14" t="str">
        <f>HYPERLINK("https://www.boe.es/gazeta/dias/1839/09/13/pdfs/GMD-1839-1766.pdf#page=1","Abrir facsímil")</f>
        <v>Abrir facsímil</v>
      </c>
      <c r="K11216" s="12" t="s">
        <v>65</v>
      </c>
    </row>
    <row r="11217" spans="1:11" ht="40.049999999999997" customHeight="1" x14ac:dyDescent="0.25">
      <c r="A11217" s="11" t="s">
        <v>22135</v>
      </c>
      <c r="B11217" s="11" t="s">
        <v>22136</v>
      </c>
      <c r="C11217" s="11" t="s">
        <v>80</v>
      </c>
      <c r="D11217" s="11" t="s">
        <v>18</v>
      </c>
      <c r="E11217" s="12" t="s">
        <v>217</v>
      </c>
      <c r="F11217" s="12" t="s">
        <v>218</v>
      </c>
      <c r="G11217" s="12" t="s">
        <v>46</v>
      </c>
      <c r="H11217" s="11" t="s">
        <v>22</v>
      </c>
      <c r="I11217" s="13" t="s">
        <v>22137</v>
      </c>
      <c r="J11217" s="14" t="str">
        <f>HYPERLINK("https://www.boe.es/gazeta/dias/1839/08/06/pdfs/GMD-1839-1726.pdf#page=3","Abrir facsímil")</f>
        <v>Abrir facsímil</v>
      </c>
      <c r="K11217" s="12" t="s">
        <v>24</v>
      </c>
    </row>
    <row r="11218" spans="1:11" ht="40.049999999999997" customHeight="1" x14ac:dyDescent="0.25">
      <c r="A11218" s="11" t="s">
        <v>22138</v>
      </c>
      <c r="B11218" s="11" t="s">
        <v>22139</v>
      </c>
      <c r="C11218" s="11" t="s">
        <v>137</v>
      </c>
      <c r="D11218" s="11" t="s">
        <v>18</v>
      </c>
      <c r="E11218" s="12" t="s">
        <v>606</v>
      </c>
      <c r="F11218" s="12" t="s">
        <v>607</v>
      </c>
      <c r="G11218" s="12" t="s">
        <v>29</v>
      </c>
      <c r="H11218" s="11" t="s">
        <v>63</v>
      </c>
      <c r="I11218" s="13" t="s">
        <v>22140</v>
      </c>
      <c r="J11218" s="14" t="str">
        <f>HYPERLINK("https://www.boe.es/gazeta/dias/1839/04/02/pdfs/GMD-1839-1599.pdf#page=1","Abrir facsímil")</f>
        <v>Abrir facsímil</v>
      </c>
      <c r="K11218" s="12" t="s">
        <v>65</v>
      </c>
    </row>
    <row r="11219" spans="1:11" ht="40.049999999999997" customHeight="1" x14ac:dyDescent="0.25">
      <c r="A11219" s="11" t="s">
        <v>22138</v>
      </c>
      <c r="B11219" s="11" t="s">
        <v>22139</v>
      </c>
      <c r="C11219" s="11" t="s">
        <v>17</v>
      </c>
      <c r="D11219" s="11" t="s">
        <v>18</v>
      </c>
      <c r="E11219" s="12" t="s">
        <v>998</v>
      </c>
      <c r="F11219" s="12" t="s">
        <v>999</v>
      </c>
      <c r="G11219" s="12" t="s">
        <v>29</v>
      </c>
      <c r="H11219" s="11" t="s">
        <v>63</v>
      </c>
      <c r="I11219" s="13" t="s">
        <v>22141</v>
      </c>
      <c r="J11219" s="14" t="str">
        <f>HYPERLINK("https://www.boe.es/gazeta/dias/1839/05/06/pdfs/GMD-1839-1633.pdf#page=1","Abrir facsímil")</f>
        <v>Abrir facsímil</v>
      </c>
      <c r="K11219" s="12" t="s">
        <v>65</v>
      </c>
    </row>
    <row r="11220" spans="1:11" ht="40.049999999999997" customHeight="1" x14ac:dyDescent="0.25">
      <c r="A11220" s="11" t="s">
        <v>22138</v>
      </c>
      <c r="B11220" s="11" t="s">
        <v>22139</v>
      </c>
      <c r="C11220" s="11" t="s">
        <v>17</v>
      </c>
      <c r="D11220" s="11" t="s">
        <v>18</v>
      </c>
      <c r="E11220" s="12" t="s">
        <v>84</v>
      </c>
      <c r="F11220" s="12" t="s">
        <v>85</v>
      </c>
      <c r="G11220" s="12" t="s">
        <v>29</v>
      </c>
      <c r="H11220" s="11" t="s">
        <v>63</v>
      </c>
      <c r="I11220" s="13" t="s">
        <v>22142</v>
      </c>
      <c r="J11220" s="14" t="str">
        <f>HYPERLINK("https://www.boe.es/gazeta/dias/1839/03/11/pdfs/GMD-1839-1577.pdf#page=1","Abrir facsímil")</f>
        <v>Abrir facsímil</v>
      </c>
      <c r="K11220" s="12" t="s">
        <v>65</v>
      </c>
    </row>
    <row r="11221" spans="1:11" ht="40.049999999999997" customHeight="1" x14ac:dyDescent="0.25">
      <c r="A11221" s="11" t="s">
        <v>22138</v>
      </c>
      <c r="B11221" s="11" t="s">
        <v>22139</v>
      </c>
      <c r="C11221" s="11" t="s">
        <v>17</v>
      </c>
      <c r="D11221" s="11" t="s">
        <v>18</v>
      </c>
      <c r="E11221" s="12" t="s">
        <v>486</v>
      </c>
      <c r="F11221" s="12" t="s">
        <v>487</v>
      </c>
      <c r="G11221" s="12" t="s">
        <v>29</v>
      </c>
      <c r="H11221" s="11" t="s">
        <v>63</v>
      </c>
      <c r="I11221" s="13" t="s">
        <v>22143</v>
      </c>
      <c r="J11221" s="14" t="str">
        <f>HYPERLINK("https://www.boe.es/gazeta/dias/1839/04/19/pdfs/GMD-1839-1616.pdf#page=1","Abrir facsímil")</f>
        <v>Abrir facsímil</v>
      </c>
      <c r="K11221" s="12" t="s">
        <v>65</v>
      </c>
    </row>
    <row r="11222" spans="1:11" ht="40.049999999999997" customHeight="1" x14ac:dyDescent="0.25">
      <c r="A11222" s="11" t="s">
        <v>22138</v>
      </c>
      <c r="B11222" s="11" t="s">
        <v>22139</v>
      </c>
      <c r="C11222" s="11" t="s">
        <v>17</v>
      </c>
      <c r="D11222" s="11" t="s">
        <v>18</v>
      </c>
      <c r="E11222" s="12" t="s">
        <v>405</v>
      </c>
      <c r="F11222" s="12" t="s">
        <v>406</v>
      </c>
      <c r="G11222" s="12" t="s">
        <v>29</v>
      </c>
      <c r="H11222" s="11" t="s">
        <v>63</v>
      </c>
      <c r="I11222" s="13" t="s">
        <v>22144</v>
      </c>
      <c r="J11222" s="14" t="str">
        <f>HYPERLINK("https://www.boe.es/gazeta/dias/1839/03/25/pdfs/GMD-1839-1591.pdf#page=1","Abrir facsímil")</f>
        <v>Abrir facsímil</v>
      </c>
      <c r="K11222" s="12" t="s">
        <v>65</v>
      </c>
    </row>
    <row r="11223" spans="1:11" ht="40.049999999999997" customHeight="1" x14ac:dyDescent="0.25">
      <c r="A11223" s="11" t="s">
        <v>22138</v>
      </c>
      <c r="B11223" s="11" t="s">
        <v>22139</v>
      </c>
      <c r="C11223" s="11" t="s">
        <v>17</v>
      </c>
      <c r="D11223" s="11" t="s">
        <v>18</v>
      </c>
      <c r="E11223" s="12" t="s">
        <v>1474</v>
      </c>
      <c r="F11223" s="12" t="s">
        <v>1475</v>
      </c>
      <c r="G11223" s="12" t="s">
        <v>29</v>
      </c>
      <c r="H11223" s="11" t="s">
        <v>63</v>
      </c>
      <c r="I11223" s="13" t="s">
        <v>22145</v>
      </c>
      <c r="J11223" s="14" t="str">
        <f>HYPERLINK("https://www.boe.es/gazeta/dias/1839/02/28/pdfs/GMD-1839-1566.pdf#page=1","Abrir facsímil")</f>
        <v>Abrir facsímil</v>
      </c>
      <c r="K11223" s="12" t="s">
        <v>65</v>
      </c>
    </row>
    <row r="11224" spans="1:11" ht="40.049999999999997" customHeight="1" x14ac:dyDescent="0.25">
      <c r="A11224" s="11" t="s">
        <v>22138</v>
      </c>
      <c r="B11224" s="11" t="s">
        <v>22139</v>
      </c>
      <c r="C11224" s="11" t="s">
        <v>17</v>
      </c>
      <c r="D11224" s="11" t="s">
        <v>18</v>
      </c>
      <c r="E11224" s="12" t="s">
        <v>677</v>
      </c>
      <c r="F11224" s="12" t="s">
        <v>678</v>
      </c>
      <c r="G11224" s="12" t="s">
        <v>40</v>
      </c>
      <c r="H11224" s="11" t="s">
        <v>63</v>
      </c>
      <c r="I11224" s="13" t="s">
        <v>22146</v>
      </c>
      <c r="J11224" s="14" t="str">
        <f>HYPERLINK("https://www.boe.es/gazeta/dias/1839/04/28/pdfs/GMD-1839-1625.pdf#page=2","Abrir facsímil")</f>
        <v>Abrir facsímil</v>
      </c>
      <c r="K11224" s="12" t="s">
        <v>65</v>
      </c>
    </row>
    <row r="11225" spans="1:11" ht="40.049999999999997" customHeight="1" x14ac:dyDescent="0.25">
      <c r="A11225" s="11" t="s">
        <v>22147</v>
      </c>
      <c r="B11225" s="11" t="s">
        <v>22148</v>
      </c>
      <c r="C11225" s="11" t="s">
        <v>17</v>
      </c>
      <c r="D11225" s="11" t="s">
        <v>18</v>
      </c>
      <c r="E11225" s="12" t="s">
        <v>330</v>
      </c>
      <c r="F11225" s="12" t="s">
        <v>331</v>
      </c>
      <c r="G11225" s="12" t="s">
        <v>21</v>
      </c>
      <c r="H11225" s="11" t="s">
        <v>63</v>
      </c>
      <c r="I11225" s="13" t="s">
        <v>22149</v>
      </c>
      <c r="J11225" s="14" t="str">
        <f>HYPERLINK("https://www.boe.es/gazeta/dias/1839/04/11/pdfs/GMD-1839-1608.pdf#page=4","Abrir facsímil")</f>
        <v>Abrir facsímil</v>
      </c>
      <c r="K11225" s="12" t="s">
        <v>65</v>
      </c>
    </row>
    <row r="11226" spans="1:11" ht="40.049999999999997" customHeight="1" x14ac:dyDescent="0.25">
      <c r="A11226" s="11" t="s">
        <v>22150</v>
      </c>
      <c r="B11226" s="11" t="s">
        <v>22150</v>
      </c>
      <c r="C11226" s="11" t="s">
        <v>101</v>
      </c>
      <c r="D11226" s="11" t="s">
        <v>102</v>
      </c>
      <c r="E11226" s="12" t="s">
        <v>258</v>
      </c>
      <c r="F11226" s="12" t="s">
        <v>259</v>
      </c>
      <c r="G11226" s="12" t="s">
        <v>40</v>
      </c>
      <c r="H11226" s="11" t="s">
        <v>63</v>
      </c>
      <c r="I11226" s="13" t="s">
        <v>22151</v>
      </c>
      <c r="J11226" s="14" t="str">
        <f>HYPERLINK("https://www.boe.es/gazeta/dias/1839/01/02/pdfs/GMD-1839-1509.pdf#page=2","Abrir facsímil")</f>
        <v>Abrir facsímil</v>
      </c>
      <c r="K11226" s="12" t="s">
        <v>65</v>
      </c>
    </row>
    <row r="11227" spans="1:11" ht="40.049999999999997" customHeight="1" x14ac:dyDescent="0.25">
      <c r="A11227" s="11" t="s">
        <v>22150</v>
      </c>
      <c r="B11227" s="11" t="s">
        <v>22150</v>
      </c>
      <c r="C11227" s="11" t="s">
        <v>137</v>
      </c>
      <c r="D11227" s="11" t="s">
        <v>18</v>
      </c>
      <c r="E11227" s="12" t="s">
        <v>2378</v>
      </c>
      <c r="F11227" s="12" t="s">
        <v>2379</v>
      </c>
      <c r="G11227" s="12" t="s">
        <v>21</v>
      </c>
      <c r="H11227" s="11" t="s">
        <v>63</v>
      </c>
      <c r="I11227" s="13" t="s">
        <v>22152</v>
      </c>
      <c r="J11227" s="14" t="str">
        <f>HYPERLINK("https://www.boe.es/gazeta/dias/1839/06/20/pdfs/GMD-1839-1678.pdf#page=4","Abrir facsímil")</f>
        <v>Abrir facsímil</v>
      </c>
      <c r="K11227" s="12" t="s">
        <v>65</v>
      </c>
    </row>
    <row r="11228" spans="1:11" ht="40.049999999999997" customHeight="1" x14ac:dyDescent="0.25">
      <c r="A11228" s="11" t="s">
        <v>22153</v>
      </c>
      <c r="B11228" s="11" t="s">
        <v>22153</v>
      </c>
      <c r="C11228" s="11" t="s">
        <v>80</v>
      </c>
      <c r="D11228" s="11" t="s">
        <v>18</v>
      </c>
      <c r="E11228" s="12" t="s">
        <v>49</v>
      </c>
      <c r="F11228" s="12" t="s">
        <v>50</v>
      </c>
      <c r="G11228" s="12" t="s">
        <v>46</v>
      </c>
      <c r="H11228" s="11" t="s">
        <v>63</v>
      </c>
      <c r="I11228" s="13" t="s">
        <v>22154</v>
      </c>
      <c r="J11228" s="14" t="str">
        <f>HYPERLINK("https://www.boe.es/gazeta/dias/1839/01/05/pdfs/GMD-1839-1512.pdf#page=3","Abrir facsímil")</f>
        <v>Abrir facsímil</v>
      </c>
      <c r="K11228" s="12" t="s">
        <v>65</v>
      </c>
    </row>
    <row r="11229" spans="1:11" ht="40.049999999999997" customHeight="1" x14ac:dyDescent="0.25">
      <c r="A11229" s="11" t="s">
        <v>22155</v>
      </c>
      <c r="B11229" s="11" t="s">
        <v>22155</v>
      </c>
      <c r="C11229" s="11" t="s">
        <v>17</v>
      </c>
      <c r="D11229" s="11" t="s">
        <v>18</v>
      </c>
      <c r="E11229" s="12" t="s">
        <v>804</v>
      </c>
      <c r="F11229" s="12" t="s">
        <v>805</v>
      </c>
      <c r="G11229" s="12" t="s">
        <v>40</v>
      </c>
      <c r="H11229" s="11" t="s">
        <v>22</v>
      </c>
      <c r="I11229" s="13" t="s">
        <v>22156</v>
      </c>
      <c r="J11229" s="14" t="str">
        <f>HYPERLINK("https://www.boe.es/gazeta/dias/1839/01/08/pdfs/GMD-1839-1515.pdf#page=2","Abrir facsímil")</f>
        <v>Abrir facsímil</v>
      </c>
      <c r="K11229" s="12" t="s">
        <v>24</v>
      </c>
    </row>
    <row r="11230" spans="1:11" ht="40.049999999999997" customHeight="1" x14ac:dyDescent="0.25">
      <c r="A11230" s="11" t="s">
        <v>22155</v>
      </c>
      <c r="B11230" s="11" t="s">
        <v>22155</v>
      </c>
      <c r="C11230" s="11" t="s">
        <v>17</v>
      </c>
      <c r="D11230" s="11" t="s">
        <v>18</v>
      </c>
      <c r="E11230" s="12" t="s">
        <v>185</v>
      </c>
      <c r="F11230" s="12" t="s">
        <v>186</v>
      </c>
      <c r="G11230" s="12" t="s">
        <v>40</v>
      </c>
      <c r="H11230" s="11" t="s">
        <v>22</v>
      </c>
      <c r="I11230" s="13" t="s">
        <v>22157</v>
      </c>
      <c r="J11230" s="14" t="str">
        <f>HYPERLINK("https://www.boe.es/gazeta/dias/1839/01/15/pdfs/GMD-1839-1522.pdf#page=2","Abrir facsímil")</f>
        <v>Abrir facsímil</v>
      </c>
      <c r="K11230" s="12" t="s">
        <v>24</v>
      </c>
    </row>
    <row r="11231" spans="1:11" ht="40.049999999999997" customHeight="1" x14ac:dyDescent="0.25">
      <c r="A11231" s="11" t="s">
        <v>22153</v>
      </c>
      <c r="B11231" s="11" t="s">
        <v>22153</v>
      </c>
      <c r="C11231" s="11" t="s">
        <v>17</v>
      </c>
      <c r="D11231" s="11" t="s">
        <v>18</v>
      </c>
      <c r="E11231" s="12" t="s">
        <v>175</v>
      </c>
      <c r="F11231" s="12" t="s">
        <v>176</v>
      </c>
      <c r="G11231" s="12" t="s">
        <v>40</v>
      </c>
      <c r="H11231" s="11" t="s">
        <v>63</v>
      </c>
      <c r="I11231" s="13" t="s">
        <v>22158</v>
      </c>
      <c r="J11231" s="14" t="str">
        <f>HYPERLINK("https://www.boe.es/gazeta/dias/1839/01/16/pdfs/GMD-1839-1523.pdf#page=2","Abrir facsímil")</f>
        <v>Abrir facsímil</v>
      </c>
      <c r="K11231" s="12" t="s">
        <v>65</v>
      </c>
    </row>
    <row r="11232" spans="1:11" ht="40.049999999999997" customHeight="1" x14ac:dyDescent="0.25">
      <c r="A11232" s="11" t="s">
        <v>22153</v>
      </c>
      <c r="B11232" s="11" t="s">
        <v>22153</v>
      </c>
      <c r="C11232" s="11" t="s">
        <v>17</v>
      </c>
      <c r="D11232" s="11" t="s">
        <v>18</v>
      </c>
      <c r="E11232" s="12" t="s">
        <v>2069</v>
      </c>
      <c r="F11232" s="12" t="s">
        <v>2070</v>
      </c>
      <c r="G11232" s="12" t="s">
        <v>566</v>
      </c>
      <c r="H11232" s="11" t="s">
        <v>63</v>
      </c>
      <c r="I11232" s="13" t="s">
        <v>22159</v>
      </c>
      <c r="J11232" s="14" t="str">
        <f>HYPERLINK("https://www.boe.es/gazeta/dias/1839/10/20/pdfs/GMD-1839-1806.pdf#page=5","Abrir facsímil")</f>
        <v>Abrir facsímil</v>
      </c>
      <c r="K11232" s="12" t="s">
        <v>65</v>
      </c>
    </row>
    <row r="11233" spans="1:11" ht="40.049999999999997" customHeight="1" x14ac:dyDescent="0.25">
      <c r="A11233" s="11" t="s">
        <v>22153</v>
      </c>
      <c r="B11233" s="11" t="s">
        <v>22153</v>
      </c>
      <c r="C11233" s="11" t="s">
        <v>17</v>
      </c>
      <c r="D11233" s="11" t="s">
        <v>18</v>
      </c>
      <c r="E11233" s="12" t="s">
        <v>862</v>
      </c>
      <c r="F11233" s="12" t="s">
        <v>863</v>
      </c>
      <c r="G11233" s="12" t="s">
        <v>40</v>
      </c>
      <c r="H11233" s="11" t="s">
        <v>63</v>
      </c>
      <c r="I11233" s="13" t="s">
        <v>22160</v>
      </c>
      <c r="J11233" s="14" t="str">
        <f>HYPERLINK("https://www.boe.es/gazeta/dias/1839/10/28/pdfs/GMD-1839-1814.pdf#page=2","Abrir facsímil")</f>
        <v>Abrir facsímil</v>
      </c>
      <c r="K11233" s="12" t="s">
        <v>65</v>
      </c>
    </row>
    <row r="11234" spans="1:11" ht="40.049999999999997" customHeight="1" x14ac:dyDescent="0.25">
      <c r="A11234" s="11" t="s">
        <v>22161</v>
      </c>
      <c r="B11234" s="11" t="s">
        <v>22162</v>
      </c>
      <c r="C11234" s="11" t="s">
        <v>17</v>
      </c>
      <c r="D11234" s="11" t="s">
        <v>18</v>
      </c>
      <c r="E11234" s="12" t="s">
        <v>258</v>
      </c>
      <c r="F11234" s="12" t="s">
        <v>259</v>
      </c>
      <c r="G11234" s="12" t="s">
        <v>46</v>
      </c>
      <c r="H11234" s="11" t="s">
        <v>22</v>
      </c>
      <c r="I11234" s="13" t="s">
        <v>22163</v>
      </c>
      <c r="J11234" s="14" t="str">
        <f>HYPERLINK("https://www.boe.es/gazeta/dias/1839/01/02/pdfs/GMD-1839-1509.pdf#page=3","Abrir facsímil")</f>
        <v>Abrir facsímil</v>
      </c>
      <c r="K11234" s="12" t="s">
        <v>24</v>
      </c>
    </row>
    <row r="11235" spans="1:11" ht="40.049999999999997" customHeight="1" x14ac:dyDescent="0.25">
      <c r="A11235" s="11" t="s">
        <v>22164</v>
      </c>
      <c r="B11235" s="11" t="s">
        <v>22165</v>
      </c>
      <c r="C11235" s="11" t="s">
        <v>80</v>
      </c>
      <c r="D11235" s="11" t="s">
        <v>18</v>
      </c>
      <c r="E11235" s="12" t="s">
        <v>4108</v>
      </c>
      <c r="F11235" s="12" t="s">
        <v>4109</v>
      </c>
      <c r="G11235" s="12" t="s">
        <v>29</v>
      </c>
      <c r="H11235" s="11" t="s">
        <v>63</v>
      </c>
      <c r="I11235" s="13" t="s">
        <v>22166</v>
      </c>
      <c r="J11235" s="14" t="str">
        <f>HYPERLINK("https://www.boe.es/gazeta/dias/1839/03/23/pdfs/GMD-1839-1589.pdf#page=1","Abrir facsímil")</f>
        <v>Abrir facsímil</v>
      </c>
      <c r="K11235" s="12" t="s">
        <v>65</v>
      </c>
    </row>
    <row r="11236" spans="1:11" ht="40.049999999999997" customHeight="1" x14ac:dyDescent="0.25">
      <c r="A11236" s="11" t="s">
        <v>22167</v>
      </c>
      <c r="B11236" s="11" t="s">
        <v>22167</v>
      </c>
      <c r="C11236" s="11" t="s">
        <v>17</v>
      </c>
      <c r="D11236" s="11" t="s">
        <v>18</v>
      </c>
      <c r="E11236" s="12" t="s">
        <v>1012</v>
      </c>
      <c r="F11236" s="12" t="s">
        <v>1013</v>
      </c>
      <c r="G11236" s="12" t="s">
        <v>21</v>
      </c>
      <c r="H11236" s="11" t="s">
        <v>63</v>
      </c>
      <c r="I11236" s="13" t="s">
        <v>22168</v>
      </c>
      <c r="J11236" s="14" t="str">
        <f>HYPERLINK("https://www.boe.es/gazeta/dias/1839/11/22/pdfs/GMD-1839-1839.pdf#page=4","Abrir facsímil")</f>
        <v>Abrir facsímil</v>
      </c>
      <c r="K11236" s="12" t="s">
        <v>65</v>
      </c>
    </row>
    <row r="11237" spans="1:11" ht="40.049999999999997" customHeight="1" x14ac:dyDescent="0.25">
      <c r="A11237" s="11" t="s">
        <v>22169</v>
      </c>
      <c r="B11237" s="11" t="s">
        <v>22169</v>
      </c>
      <c r="C11237" s="11" t="s">
        <v>17</v>
      </c>
      <c r="D11237" s="11" t="s">
        <v>18</v>
      </c>
      <c r="E11237" s="12" t="s">
        <v>5399</v>
      </c>
      <c r="F11237" s="12" t="s">
        <v>5400</v>
      </c>
      <c r="G11237" s="12" t="s">
        <v>40</v>
      </c>
      <c r="H11237" s="11" t="s">
        <v>63</v>
      </c>
      <c r="I11237" s="13" t="s">
        <v>22170</v>
      </c>
      <c r="J11237" s="14" t="str">
        <f>HYPERLINK("https://www.boe.es/gazeta/dias/1839/10/14/pdfs/GMD-1839-1800.pdf#page=2","Abrir facsímil")</f>
        <v>Abrir facsímil</v>
      </c>
      <c r="K11237" s="12" t="s">
        <v>65</v>
      </c>
    </row>
    <row r="11238" spans="1:11" ht="40.049999999999997" customHeight="1" x14ac:dyDescent="0.25">
      <c r="A11238" s="11" t="s">
        <v>22171</v>
      </c>
      <c r="B11238" s="11" t="s">
        <v>22172</v>
      </c>
      <c r="C11238" s="11" t="s">
        <v>80</v>
      </c>
      <c r="D11238" s="11" t="s">
        <v>18</v>
      </c>
      <c r="E11238" s="12" t="s">
        <v>1772</v>
      </c>
      <c r="F11238" s="12" t="s">
        <v>1773</v>
      </c>
      <c r="G11238" s="12" t="s">
        <v>21</v>
      </c>
      <c r="H11238" s="11" t="s">
        <v>63</v>
      </c>
      <c r="I11238" s="13" t="s">
        <v>22173</v>
      </c>
      <c r="J11238" s="14" t="str">
        <f>HYPERLINK("https://www.boe.es/gazeta/dias/1839/05/07/pdfs/GMD-1839-1634.pdf#page=4","Abrir facsímil")</f>
        <v>Abrir facsímil</v>
      </c>
      <c r="K11238" s="12" t="s">
        <v>65</v>
      </c>
    </row>
    <row r="11239" spans="1:11" ht="40.049999999999997" customHeight="1" x14ac:dyDescent="0.25">
      <c r="A11239" s="11" t="s">
        <v>22174</v>
      </c>
      <c r="B11239" s="11" t="s">
        <v>22175</v>
      </c>
      <c r="C11239" s="11" t="s">
        <v>17</v>
      </c>
      <c r="D11239" s="11" t="s">
        <v>18</v>
      </c>
      <c r="E11239" s="12" t="s">
        <v>519</v>
      </c>
      <c r="F11239" s="12" t="s">
        <v>520</v>
      </c>
      <c r="G11239" s="12" t="s">
        <v>29</v>
      </c>
      <c r="H11239" s="11" t="s">
        <v>63</v>
      </c>
      <c r="I11239" s="13" t="s">
        <v>22176</v>
      </c>
      <c r="J11239" s="14" t="str">
        <f>HYPERLINK("https://www.boe.es/gazeta/dias/1839/02/23/pdfs/GMD-1839-1561.pdf#page=1","Abrir facsímil")</f>
        <v>Abrir facsímil</v>
      </c>
      <c r="K11239" s="12" t="s">
        <v>65</v>
      </c>
    </row>
    <row r="11240" spans="1:11" ht="40.049999999999997" customHeight="1" x14ac:dyDescent="0.25">
      <c r="A11240" s="11" t="s">
        <v>22177</v>
      </c>
      <c r="B11240" s="11" t="s">
        <v>22178</v>
      </c>
      <c r="C11240" s="11" t="s">
        <v>17</v>
      </c>
      <c r="D11240" s="11" t="s">
        <v>18</v>
      </c>
      <c r="E11240" s="12" t="s">
        <v>946</v>
      </c>
      <c r="F11240" s="12" t="s">
        <v>947</v>
      </c>
      <c r="G11240" s="12" t="s">
        <v>21</v>
      </c>
      <c r="H11240" s="11" t="s">
        <v>63</v>
      </c>
      <c r="I11240" s="13" t="s">
        <v>22179</v>
      </c>
      <c r="J11240" s="14" t="str">
        <f>HYPERLINK("https://www.boe.es/gazeta/dias/1839/04/15/pdfs/GMD-1839-1612.pdf#page=4","Abrir facsímil")</f>
        <v>Abrir facsímil</v>
      </c>
      <c r="K11240" s="12" t="s">
        <v>65</v>
      </c>
    </row>
    <row r="11241" spans="1:11" ht="40.049999999999997" customHeight="1" x14ac:dyDescent="0.25">
      <c r="A11241" s="11" t="s">
        <v>22180</v>
      </c>
      <c r="B11241" s="11" t="s">
        <v>22181</v>
      </c>
      <c r="C11241" s="11" t="s">
        <v>80</v>
      </c>
      <c r="D11241" s="11" t="s">
        <v>18</v>
      </c>
      <c r="E11241" s="12" t="s">
        <v>1909</v>
      </c>
      <c r="F11241" s="12" t="s">
        <v>1910</v>
      </c>
      <c r="G11241" s="12" t="s">
        <v>21</v>
      </c>
      <c r="H11241" s="11" t="s">
        <v>63</v>
      </c>
      <c r="I11241" s="13" t="s">
        <v>22182</v>
      </c>
      <c r="J11241" s="14" t="str">
        <f>HYPERLINK("https://www.boe.es/gazeta/dias/1839/10/27/pdfs/GMD-1839-1813.pdf#page=4","Abrir facsímil")</f>
        <v>Abrir facsímil</v>
      </c>
      <c r="K11241" s="12" t="s">
        <v>65</v>
      </c>
    </row>
    <row r="11242" spans="1:11" ht="40.049999999999997" customHeight="1" x14ac:dyDescent="0.25">
      <c r="A11242" s="11" t="s">
        <v>22183</v>
      </c>
      <c r="B11242" s="11" t="s">
        <v>22184</v>
      </c>
      <c r="C11242" s="11" t="s">
        <v>80</v>
      </c>
      <c r="D11242" s="11" t="s">
        <v>18</v>
      </c>
      <c r="E11242" s="12" t="s">
        <v>1891</v>
      </c>
      <c r="F11242" s="12" t="s">
        <v>1892</v>
      </c>
      <c r="G11242" s="12" t="s">
        <v>21</v>
      </c>
      <c r="H11242" s="11" t="s">
        <v>22</v>
      </c>
      <c r="I11242" s="13" t="s">
        <v>22185</v>
      </c>
      <c r="J11242" s="14" t="str">
        <f>HYPERLINK("https://www.boe.es/gazeta/dias/1839/12/14/pdfs/GMD-1839-1861.pdf#page=4","Abrir facsímil")</f>
        <v>Abrir facsímil</v>
      </c>
      <c r="K11242" s="12" t="s">
        <v>24</v>
      </c>
    </row>
    <row r="11243" spans="1:11" ht="40.049999999999997" customHeight="1" x14ac:dyDescent="0.25">
      <c r="A11243" s="11" t="s">
        <v>22186</v>
      </c>
      <c r="B11243" s="11" t="s">
        <v>22187</v>
      </c>
      <c r="C11243" s="11" t="s">
        <v>59</v>
      </c>
      <c r="D11243" s="11" t="s">
        <v>60</v>
      </c>
      <c r="E11243" s="12" t="s">
        <v>555</v>
      </c>
      <c r="F11243" s="12" t="s">
        <v>556</v>
      </c>
      <c r="G11243" s="12" t="s">
        <v>29</v>
      </c>
      <c r="H11243" s="11" t="s">
        <v>63</v>
      </c>
      <c r="I11243" s="13" t="s">
        <v>22188</v>
      </c>
      <c r="J11243" s="14" t="str">
        <f>HYPERLINK("https://www.boe.es/gazeta/dias/1839/07/19/pdfs/GMD-1839-1707.pdf#page=1","Abrir facsímil")</f>
        <v>Abrir facsímil</v>
      </c>
      <c r="K11243" s="12" t="s">
        <v>65</v>
      </c>
    </row>
    <row r="11244" spans="1:11" ht="40.049999999999997" customHeight="1" x14ac:dyDescent="0.25">
      <c r="A11244" s="11" t="s">
        <v>22189</v>
      </c>
      <c r="B11244" s="11" t="s">
        <v>22189</v>
      </c>
      <c r="C11244" s="11" t="s">
        <v>59</v>
      </c>
      <c r="D11244" s="11" t="s">
        <v>60</v>
      </c>
      <c r="E11244" s="12" t="s">
        <v>1446</v>
      </c>
      <c r="F11244" s="12" t="s">
        <v>1447</v>
      </c>
      <c r="G11244" s="12" t="s">
        <v>29</v>
      </c>
      <c r="H11244" s="11" t="s">
        <v>63</v>
      </c>
      <c r="I11244" s="13" t="s">
        <v>22190</v>
      </c>
      <c r="J11244" s="14" t="str">
        <f>HYPERLINK("https://www.boe.es/gazeta/dias/1839/08/25/pdfs/GMD-1839-1746.pdf#page=1","Abrir facsímil")</f>
        <v>Abrir facsímil</v>
      </c>
      <c r="K11244" s="12" t="s">
        <v>65</v>
      </c>
    </row>
    <row r="11245" spans="1:11" ht="40.049999999999997" customHeight="1" x14ac:dyDescent="0.25">
      <c r="A11245" s="11" t="s">
        <v>22191</v>
      </c>
      <c r="B11245" s="11" t="s">
        <v>22192</v>
      </c>
      <c r="C11245" s="11" t="s">
        <v>17</v>
      </c>
      <c r="D11245" s="11" t="s">
        <v>18</v>
      </c>
      <c r="E11245" s="12" t="s">
        <v>280</v>
      </c>
      <c r="F11245" s="12" t="s">
        <v>281</v>
      </c>
      <c r="G11245" s="12" t="s">
        <v>29</v>
      </c>
      <c r="H11245" s="11" t="s">
        <v>63</v>
      </c>
      <c r="I11245" s="13" t="s">
        <v>22193</v>
      </c>
      <c r="J11245" s="14" t="str">
        <f>HYPERLINK("https://www.boe.es/gazeta/dias/1839/08/21/pdfs/GMD-1839-1742.pdf#page=1","Abrir facsímil")</f>
        <v>Abrir facsímil</v>
      </c>
      <c r="K11245" s="12" t="s">
        <v>65</v>
      </c>
    </row>
    <row r="11246" spans="1:11" ht="40.049999999999997" customHeight="1" x14ac:dyDescent="0.25">
      <c r="A11246" s="11" t="s">
        <v>22194</v>
      </c>
      <c r="B11246" s="11" t="s">
        <v>22195</v>
      </c>
      <c r="C11246" s="11" t="s">
        <v>17</v>
      </c>
      <c r="D11246" s="11" t="s">
        <v>18</v>
      </c>
      <c r="E11246" s="12" t="s">
        <v>1079</v>
      </c>
      <c r="F11246" s="12" t="s">
        <v>1080</v>
      </c>
      <c r="G11246" s="12" t="s">
        <v>21</v>
      </c>
      <c r="H11246" s="11" t="s">
        <v>63</v>
      </c>
      <c r="I11246" s="13" t="s">
        <v>22196</v>
      </c>
      <c r="J11246" s="14" t="str">
        <f>HYPERLINK("https://www.boe.es/gazeta/dias/1839/05/24/pdfs/GMD-1839-1651.pdf#page=4","Abrir facsímil")</f>
        <v>Abrir facsímil</v>
      </c>
      <c r="K11246" s="12" t="s">
        <v>65</v>
      </c>
    </row>
    <row r="11247" spans="1:11" ht="40.049999999999997" customHeight="1" x14ac:dyDescent="0.25">
      <c r="A11247" s="11" t="s">
        <v>22197</v>
      </c>
      <c r="B11247" s="11" t="s">
        <v>22197</v>
      </c>
      <c r="C11247" s="11" t="s">
        <v>17</v>
      </c>
      <c r="D11247" s="11" t="s">
        <v>18</v>
      </c>
      <c r="E11247" s="12" t="s">
        <v>2320</v>
      </c>
      <c r="F11247" s="12" t="s">
        <v>2321</v>
      </c>
      <c r="G11247" s="12" t="s">
        <v>46</v>
      </c>
      <c r="H11247" s="11" t="s">
        <v>63</v>
      </c>
      <c r="I11247" s="13" t="s">
        <v>22198</v>
      </c>
      <c r="J11247" s="14" t="str">
        <f>HYPERLINK("https://www.boe.es/gazeta/dias/1839/11/13/pdfs/GMD-1839-1830.pdf#page=3","Abrir facsímil")</f>
        <v>Abrir facsímil</v>
      </c>
      <c r="K11247" s="12" t="s">
        <v>65</v>
      </c>
    </row>
    <row r="11248" spans="1:11" ht="40.049999999999997" customHeight="1" x14ac:dyDescent="0.25">
      <c r="A11248" s="11" t="s">
        <v>22199</v>
      </c>
      <c r="B11248" s="11" t="s">
        <v>22199</v>
      </c>
      <c r="C11248" s="11" t="s">
        <v>17</v>
      </c>
      <c r="D11248" s="11" t="s">
        <v>18</v>
      </c>
      <c r="E11248" s="12" t="s">
        <v>3566</v>
      </c>
      <c r="F11248" s="12" t="s">
        <v>3567</v>
      </c>
      <c r="G11248" s="12" t="s">
        <v>46</v>
      </c>
      <c r="H11248" s="11" t="s">
        <v>63</v>
      </c>
      <c r="I11248" s="13" t="s">
        <v>22200</v>
      </c>
      <c r="J11248" s="14" t="str">
        <f>HYPERLINK("https://www.boe.es/gazeta/dias/1839/07/06/pdfs/GMD-1839-1694.pdf#page=3","Abrir facsímil")</f>
        <v>Abrir facsímil</v>
      </c>
      <c r="K11248" s="12" t="s">
        <v>65</v>
      </c>
    </row>
    <row r="11249" spans="1:11" ht="40.049999999999997" customHeight="1" x14ac:dyDescent="0.25">
      <c r="A11249" s="11" t="s">
        <v>22201</v>
      </c>
      <c r="B11249" s="11" t="s">
        <v>22201</v>
      </c>
      <c r="C11249" s="11" t="s">
        <v>17</v>
      </c>
      <c r="D11249" s="11" t="s">
        <v>18</v>
      </c>
      <c r="E11249" s="12" t="s">
        <v>794</v>
      </c>
      <c r="F11249" s="12" t="s">
        <v>795</v>
      </c>
      <c r="G11249" s="12" t="s">
        <v>40</v>
      </c>
      <c r="H11249" s="11" t="s">
        <v>63</v>
      </c>
      <c r="I11249" s="13" t="s">
        <v>22202</v>
      </c>
      <c r="J11249" s="14" t="str">
        <f>HYPERLINK("https://www.boe.es/gazeta/dias/1839/01/22/pdfs/GMD-1839-1529.pdf#page=2","Abrir facsímil")</f>
        <v>Abrir facsímil</v>
      </c>
      <c r="K11249" s="12" t="s">
        <v>65</v>
      </c>
    </row>
    <row r="11250" spans="1:11" ht="40.049999999999997" customHeight="1" x14ac:dyDescent="0.25">
      <c r="A11250" s="11" t="s">
        <v>22203</v>
      </c>
      <c r="B11250" s="11" t="s">
        <v>22203</v>
      </c>
      <c r="C11250" s="11" t="s">
        <v>17</v>
      </c>
      <c r="D11250" s="11" t="s">
        <v>18</v>
      </c>
      <c r="E11250" s="12" t="s">
        <v>2210</v>
      </c>
      <c r="F11250" s="12" t="s">
        <v>2211</v>
      </c>
      <c r="G11250" s="12" t="s">
        <v>21</v>
      </c>
      <c r="H11250" s="11" t="s">
        <v>63</v>
      </c>
      <c r="I11250" s="13" t="s">
        <v>22204</v>
      </c>
      <c r="J11250" s="14" t="str">
        <f>HYPERLINK("https://www.boe.es/gazeta/dias/1839/09/05/pdfs/GMD-1839-1758.pdf#page=4","Abrir facsímil")</f>
        <v>Abrir facsímil</v>
      </c>
      <c r="K11250" s="12" t="s">
        <v>65</v>
      </c>
    </row>
    <row r="11251" spans="1:11" ht="40.049999999999997" customHeight="1" x14ac:dyDescent="0.25">
      <c r="A11251" s="11" t="s">
        <v>22203</v>
      </c>
      <c r="B11251" s="11" t="s">
        <v>22203</v>
      </c>
      <c r="C11251" s="11" t="s">
        <v>80</v>
      </c>
      <c r="D11251" s="11" t="s">
        <v>18</v>
      </c>
      <c r="E11251" s="12" t="s">
        <v>230</v>
      </c>
      <c r="F11251" s="12" t="s">
        <v>231</v>
      </c>
      <c r="G11251" s="12" t="s">
        <v>21</v>
      </c>
      <c r="H11251" s="11" t="s">
        <v>63</v>
      </c>
      <c r="I11251" s="13" t="s">
        <v>22205</v>
      </c>
      <c r="J11251" s="14" t="str">
        <f>HYPERLINK("https://www.boe.es/gazeta/dias/1839/09/16/pdfs/GMD-1839-1769.pdf#page=4","Abrir facsímil")</f>
        <v>Abrir facsímil</v>
      </c>
      <c r="K11251" s="12" t="s">
        <v>65</v>
      </c>
    </row>
    <row r="11252" spans="1:11" ht="40.049999999999997" customHeight="1" x14ac:dyDescent="0.25">
      <c r="A11252" s="11" t="s">
        <v>22203</v>
      </c>
      <c r="B11252" s="11" t="s">
        <v>22203</v>
      </c>
      <c r="C11252" s="11" t="s">
        <v>17</v>
      </c>
      <c r="D11252" s="11" t="s">
        <v>18</v>
      </c>
      <c r="E11252" s="12" t="s">
        <v>643</v>
      </c>
      <c r="F11252" s="12" t="s">
        <v>644</v>
      </c>
      <c r="G11252" s="12" t="s">
        <v>21</v>
      </c>
      <c r="H11252" s="11" t="s">
        <v>63</v>
      </c>
      <c r="I11252" s="13" t="s">
        <v>22206</v>
      </c>
      <c r="J11252" s="14" t="str">
        <f>HYPERLINK("https://www.boe.es/gazeta/dias/1839/03/20/pdfs/GMD-1839-1586.pdf#page=4","Abrir facsímil")</f>
        <v>Abrir facsímil</v>
      </c>
      <c r="K11252" s="12" t="s">
        <v>65</v>
      </c>
    </row>
    <row r="11253" spans="1:11" ht="40.049999999999997" customHeight="1" x14ac:dyDescent="0.25">
      <c r="A11253" s="11" t="s">
        <v>22207</v>
      </c>
      <c r="B11253" s="11" t="s">
        <v>22208</v>
      </c>
      <c r="C11253" s="11" t="s">
        <v>137</v>
      </c>
      <c r="D11253" s="11" t="s">
        <v>18</v>
      </c>
      <c r="E11253" s="12" t="s">
        <v>1813</v>
      </c>
      <c r="F11253" s="12" t="s">
        <v>1814</v>
      </c>
      <c r="G11253" s="12" t="s">
        <v>21</v>
      </c>
      <c r="H11253" s="11" t="s">
        <v>63</v>
      </c>
      <c r="I11253" s="13" t="s">
        <v>22209</v>
      </c>
      <c r="J11253" s="14" t="str">
        <f>HYPERLINK("https://www.boe.es/gazeta/dias/1839/09/02/pdfs/GMD-1839-1754.pdf#page=4","Abrir facsímil")</f>
        <v>Abrir facsímil</v>
      </c>
      <c r="K11253" s="12" t="s">
        <v>65</v>
      </c>
    </row>
    <row r="11254" spans="1:11" ht="40.049999999999997" customHeight="1" x14ac:dyDescent="0.25">
      <c r="A11254" s="11" t="s">
        <v>22210</v>
      </c>
      <c r="B11254" s="11" t="s">
        <v>22211</v>
      </c>
      <c r="C11254" s="11" t="s">
        <v>80</v>
      </c>
      <c r="D11254" s="11" t="s">
        <v>18</v>
      </c>
      <c r="E11254" s="12" t="s">
        <v>782</v>
      </c>
      <c r="F11254" s="12" t="s">
        <v>783</v>
      </c>
      <c r="G11254" s="12" t="s">
        <v>21</v>
      </c>
      <c r="H11254" s="11" t="s">
        <v>63</v>
      </c>
      <c r="I11254" s="13" t="s">
        <v>22212</v>
      </c>
      <c r="J11254" s="14" t="str">
        <f>HYPERLINK("https://www.boe.es/gazeta/dias/1839/05/09/pdfs/GMD-1839-1636.pdf#page=4","Abrir facsímil")</f>
        <v>Abrir facsímil</v>
      </c>
      <c r="K11254" s="12" t="s">
        <v>65</v>
      </c>
    </row>
    <row r="11255" spans="1:11" ht="40.049999999999997" customHeight="1" x14ac:dyDescent="0.25">
      <c r="A11255" s="11" t="s">
        <v>22210</v>
      </c>
      <c r="B11255" s="11" t="s">
        <v>22211</v>
      </c>
      <c r="C11255" s="11" t="s">
        <v>17</v>
      </c>
      <c r="D11255" s="11" t="s">
        <v>18</v>
      </c>
      <c r="E11255" s="12" t="s">
        <v>320</v>
      </c>
      <c r="F11255" s="12" t="s">
        <v>321</v>
      </c>
      <c r="G11255" s="12" t="s">
        <v>21</v>
      </c>
      <c r="H11255" s="11" t="s">
        <v>63</v>
      </c>
      <c r="I11255" s="13" t="s">
        <v>22213</v>
      </c>
      <c r="J11255" s="14" t="str">
        <f>HYPERLINK("https://www.boe.es/gazeta/dias/1839/05/11/pdfs/GMD-1839-1638.pdf#page=4","Abrir facsímil")</f>
        <v>Abrir facsímil</v>
      </c>
      <c r="K11255" s="12" t="s">
        <v>65</v>
      </c>
    </row>
    <row r="11256" spans="1:11" ht="40.049999999999997" customHeight="1" x14ac:dyDescent="0.25">
      <c r="A11256" s="11" t="s">
        <v>22214</v>
      </c>
      <c r="B11256" s="11" t="s">
        <v>22215</v>
      </c>
      <c r="C11256" s="11" t="s">
        <v>80</v>
      </c>
      <c r="D11256" s="11" t="s">
        <v>18</v>
      </c>
      <c r="E11256" s="12" t="s">
        <v>621</v>
      </c>
      <c r="F11256" s="12" t="s">
        <v>622</v>
      </c>
      <c r="G11256" s="12" t="s">
        <v>29</v>
      </c>
      <c r="H11256" s="11" t="s">
        <v>63</v>
      </c>
      <c r="I11256" s="13" t="s">
        <v>22216</v>
      </c>
      <c r="J11256" s="14" t="str">
        <f>HYPERLINK("https://www.boe.es/gazeta/dias/1839/04/14/pdfs/GMD-1839-1611.pdf#page=1","Abrir facsímil")</f>
        <v>Abrir facsímil</v>
      </c>
      <c r="K11256" s="12" t="s">
        <v>65</v>
      </c>
    </row>
    <row r="11257" spans="1:11" ht="40.049999999999997" customHeight="1" x14ac:dyDescent="0.25">
      <c r="A11257" s="11" t="s">
        <v>22217</v>
      </c>
      <c r="B11257" s="11" t="s">
        <v>22218</v>
      </c>
      <c r="C11257" s="11" t="s">
        <v>17</v>
      </c>
      <c r="D11257" s="11" t="s">
        <v>18</v>
      </c>
      <c r="E11257" s="12" t="s">
        <v>258</v>
      </c>
      <c r="F11257" s="12" t="s">
        <v>259</v>
      </c>
      <c r="G11257" s="12" t="s">
        <v>46</v>
      </c>
      <c r="H11257" s="11" t="s">
        <v>22</v>
      </c>
      <c r="I11257" s="13" t="s">
        <v>22219</v>
      </c>
      <c r="J11257" s="14" t="str">
        <f>HYPERLINK("https://www.boe.es/gazeta/dias/1839/01/02/pdfs/GMD-1839-1509.pdf#page=3","Abrir facsímil")</f>
        <v>Abrir facsímil</v>
      </c>
      <c r="K11257" s="12" t="s">
        <v>24</v>
      </c>
    </row>
    <row r="11258" spans="1:11" ht="40.049999999999997" customHeight="1" x14ac:dyDescent="0.25">
      <c r="A11258" s="11" t="s">
        <v>22220</v>
      </c>
      <c r="B11258" s="11" t="s">
        <v>22221</v>
      </c>
      <c r="C11258" s="11" t="s">
        <v>17</v>
      </c>
      <c r="D11258" s="11" t="s">
        <v>18</v>
      </c>
      <c r="E11258" s="12" t="s">
        <v>643</v>
      </c>
      <c r="F11258" s="12" t="s">
        <v>644</v>
      </c>
      <c r="G11258" s="12" t="s">
        <v>21</v>
      </c>
      <c r="H11258" s="11" t="s">
        <v>63</v>
      </c>
      <c r="I11258" s="13" t="s">
        <v>22222</v>
      </c>
      <c r="J11258" s="14" t="str">
        <f>HYPERLINK("https://www.boe.es/gazeta/dias/1839/03/20/pdfs/GMD-1839-1586.pdf#page=4","Abrir facsímil")</f>
        <v>Abrir facsímil</v>
      </c>
      <c r="K11258" s="12" t="s">
        <v>65</v>
      </c>
    </row>
    <row r="11259" spans="1:11" ht="40.049999999999997" customHeight="1" x14ac:dyDescent="0.25">
      <c r="A11259" s="11" t="s">
        <v>22223</v>
      </c>
      <c r="B11259" s="11" t="s">
        <v>22224</v>
      </c>
      <c r="C11259" s="11" t="s">
        <v>17</v>
      </c>
      <c r="D11259" s="11" t="s">
        <v>18</v>
      </c>
      <c r="E11259" s="12" t="s">
        <v>4787</v>
      </c>
      <c r="F11259" s="12" t="s">
        <v>4788</v>
      </c>
      <c r="G11259" s="12" t="s">
        <v>46</v>
      </c>
      <c r="H11259" s="11" t="s">
        <v>63</v>
      </c>
      <c r="I11259" s="13" t="s">
        <v>22225</v>
      </c>
      <c r="J11259" s="14" t="str">
        <f>HYPERLINK("https://www.boe.es/gazeta/dias/1839/05/26/pdfs/GMD-1839-1653.pdf#page=3","Abrir facsímil")</f>
        <v>Abrir facsímil</v>
      </c>
      <c r="K11259" s="12" t="s">
        <v>65</v>
      </c>
    </row>
    <row r="11260" spans="1:11" ht="40.049999999999997" customHeight="1" x14ac:dyDescent="0.25">
      <c r="A11260" s="11" t="s">
        <v>22226</v>
      </c>
      <c r="B11260" s="11" t="s">
        <v>22227</v>
      </c>
      <c r="C11260" s="11" t="s">
        <v>17</v>
      </c>
      <c r="D11260" s="11" t="s">
        <v>18</v>
      </c>
      <c r="E11260" s="12" t="s">
        <v>685</v>
      </c>
      <c r="F11260" s="12" t="s">
        <v>686</v>
      </c>
      <c r="G11260" s="12" t="s">
        <v>29</v>
      </c>
      <c r="H11260" s="11" t="s">
        <v>63</v>
      </c>
      <c r="I11260" s="13" t="s">
        <v>22228</v>
      </c>
      <c r="J11260" s="14" t="str">
        <f>HYPERLINK("https://www.boe.es/gazeta/dias/1839/06/18/pdfs/GMD-1839-1676.pdf#page=1","Abrir facsímil")</f>
        <v>Abrir facsímil</v>
      </c>
      <c r="K11260" s="12" t="s">
        <v>65</v>
      </c>
    </row>
    <row r="11261" spans="1:11" ht="40.049999999999997" customHeight="1" x14ac:dyDescent="0.25">
      <c r="A11261" s="11" t="s">
        <v>22229</v>
      </c>
      <c r="B11261" s="11" t="s">
        <v>22230</v>
      </c>
      <c r="C11261" s="11" t="s">
        <v>137</v>
      </c>
      <c r="D11261" s="11" t="s">
        <v>18</v>
      </c>
      <c r="E11261" s="12" t="s">
        <v>510</v>
      </c>
      <c r="F11261" s="12" t="s">
        <v>511</v>
      </c>
      <c r="G11261" s="12" t="s">
        <v>21</v>
      </c>
      <c r="H11261" s="11" t="s">
        <v>63</v>
      </c>
      <c r="I11261" s="13" t="s">
        <v>22231</v>
      </c>
      <c r="J11261" s="14" t="str">
        <f>HYPERLINK("https://www.boe.es/gazeta/dias/1839/05/13/pdfs/GMD-1839-1640.pdf#page=4","Abrir facsímil")</f>
        <v>Abrir facsímil</v>
      </c>
      <c r="K11261" s="12" t="s">
        <v>65</v>
      </c>
    </row>
    <row r="11262" spans="1:11" ht="40.049999999999997" customHeight="1" x14ac:dyDescent="0.25">
      <c r="A11262" s="11" t="s">
        <v>22232</v>
      </c>
      <c r="B11262" s="11" t="s">
        <v>22233</v>
      </c>
      <c r="C11262" s="11" t="s">
        <v>17</v>
      </c>
      <c r="D11262" s="11" t="s">
        <v>18</v>
      </c>
      <c r="E11262" s="12" t="s">
        <v>239</v>
      </c>
      <c r="F11262" s="12" t="s">
        <v>240</v>
      </c>
      <c r="G11262" s="12" t="s">
        <v>46</v>
      </c>
      <c r="H11262" s="11" t="s">
        <v>63</v>
      </c>
      <c r="I11262" s="13" t="s">
        <v>22234</v>
      </c>
      <c r="J11262" s="14" t="str">
        <f>HYPERLINK("https://www.boe.es/gazeta/dias/1839/09/22/pdfs/GMD-1839-1777.pdf#page=3","Abrir facsímil")</f>
        <v>Abrir facsímil</v>
      </c>
      <c r="K11262" s="12" t="s">
        <v>65</v>
      </c>
    </row>
    <row r="11263" spans="1:11" ht="40.049999999999997" customHeight="1" x14ac:dyDescent="0.25">
      <c r="A11263" s="11" t="s">
        <v>22235</v>
      </c>
      <c r="B11263" s="11" t="s">
        <v>22236</v>
      </c>
      <c r="C11263" s="11" t="s">
        <v>17</v>
      </c>
      <c r="D11263" s="11" t="s">
        <v>18</v>
      </c>
      <c r="E11263" s="12" t="s">
        <v>621</v>
      </c>
      <c r="F11263" s="12" t="s">
        <v>622</v>
      </c>
      <c r="G11263" s="12" t="s">
        <v>21</v>
      </c>
      <c r="H11263" s="11" t="s">
        <v>63</v>
      </c>
      <c r="I11263" s="13" t="s">
        <v>22237</v>
      </c>
      <c r="J11263" s="14" t="str">
        <f>HYPERLINK("https://www.boe.es/gazeta/dias/1839/04/14/pdfs/GMD-1839-1611.pdf#page=4","Abrir facsímil")</f>
        <v>Abrir facsímil</v>
      </c>
      <c r="K11263" s="12" t="s">
        <v>65</v>
      </c>
    </row>
    <row r="11264" spans="1:11" ht="40.049999999999997" customHeight="1" x14ac:dyDescent="0.25">
      <c r="A11264" s="11" t="s">
        <v>22238</v>
      </c>
      <c r="B11264" s="11" t="s">
        <v>22239</v>
      </c>
      <c r="C11264" s="11" t="s">
        <v>59</v>
      </c>
      <c r="D11264" s="11" t="s">
        <v>60</v>
      </c>
      <c r="E11264" s="12" t="s">
        <v>668</v>
      </c>
      <c r="F11264" s="12" t="s">
        <v>669</v>
      </c>
      <c r="G11264" s="12" t="s">
        <v>29</v>
      </c>
      <c r="H11264" s="11" t="s">
        <v>63</v>
      </c>
      <c r="I11264" s="13" t="s">
        <v>22240</v>
      </c>
      <c r="J11264" s="14" t="str">
        <f>HYPERLINK("https://www.boe.es/gazeta/dias/1839/03/28/pdfs/GMD-1839-1594.pdf#page=1","Abrir facsímil")</f>
        <v>Abrir facsímil</v>
      </c>
      <c r="K11264" s="12" t="s">
        <v>65</v>
      </c>
    </row>
    <row r="11265" spans="1:11" ht="40.049999999999997" customHeight="1" x14ac:dyDescent="0.25">
      <c r="A11265" s="11" t="s">
        <v>22241</v>
      </c>
      <c r="B11265" s="11" t="s">
        <v>22242</v>
      </c>
      <c r="C11265" s="11" t="s">
        <v>80</v>
      </c>
      <c r="D11265" s="11" t="s">
        <v>18</v>
      </c>
      <c r="E11265" s="12" t="s">
        <v>548</v>
      </c>
      <c r="F11265" s="12" t="s">
        <v>549</v>
      </c>
      <c r="G11265" s="12" t="s">
        <v>29</v>
      </c>
      <c r="H11265" s="11" t="s">
        <v>63</v>
      </c>
      <c r="I11265" s="13" t="s">
        <v>22243</v>
      </c>
      <c r="J11265" s="14" t="str">
        <f>HYPERLINK("https://www.boe.es/gazeta/dias/1839/06/06/pdfs/GMD-1839-1664.pdf#page=1","Abrir facsímil")</f>
        <v>Abrir facsímil</v>
      </c>
      <c r="K11265" s="12" t="s">
        <v>65</v>
      </c>
    </row>
    <row r="11266" spans="1:11" ht="40.049999999999997" customHeight="1" x14ac:dyDescent="0.25">
      <c r="A11266" s="11" t="s">
        <v>22244</v>
      </c>
      <c r="B11266" s="11" t="s">
        <v>22245</v>
      </c>
      <c r="C11266" s="11" t="s">
        <v>17</v>
      </c>
      <c r="D11266" s="11" t="s">
        <v>18</v>
      </c>
      <c r="E11266" s="12" t="s">
        <v>258</v>
      </c>
      <c r="F11266" s="12" t="s">
        <v>259</v>
      </c>
      <c r="G11266" s="12" t="s">
        <v>46</v>
      </c>
      <c r="H11266" s="11" t="s">
        <v>22</v>
      </c>
      <c r="I11266" s="13" t="s">
        <v>22246</v>
      </c>
      <c r="J11266" s="14" t="str">
        <f>HYPERLINK("https://www.boe.es/gazeta/dias/1839/01/02/pdfs/GMD-1839-1509.pdf#page=3","Abrir facsímil")</f>
        <v>Abrir facsímil</v>
      </c>
      <c r="K11266" s="12" t="s">
        <v>24</v>
      </c>
    </row>
    <row r="11267" spans="1:11" ht="40.049999999999997" customHeight="1" x14ac:dyDescent="0.25">
      <c r="A11267" s="11" t="s">
        <v>22247</v>
      </c>
      <c r="B11267" s="11" t="s">
        <v>22248</v>
      </c>
      <c r="C11267" s="11" t="s">
        <v>17</v>
      </c>
      <c r="D11267" s="11" t="s">
        <v>18</v>
      </c>
      <c r="E11267" s="12" t="s">
        <v>385</v>
      </c>
      <c r="F11267" s="12" t="s">
        <v>386</v>
      </c>
      <c r="G11267" s="12" t="s">
        <v>21</v>
      </c>
      <c r="H11267" s="11" t="s">
        <v>63</v>
      </c>
      <c r="I11267" s="13" t="s">
        <v>22249</v>
      </c>
      <c r="J11267" s="14" t="str">
        <f>HYPERLINK("https://www.boe.es/gazeta/dias/1839/08/01/pdfs/GMD-1839-1721.pdf#page=4","Abrir facsímil")</f>
        <v>Abrir facsímil</v>
      </c>
      <c r="K11267" s="12" t="s">
        <v>65</v>
      </c>
    </row>
    <row r="11268" spans="1:11" ht="40.049999999999997" customHeight="1" x14ac:dyDescent="0.25">
      <c r="A11268" s="11" t="s">
        <v>22250</v>
      </c>
      <c r="B11268" s="11" t="s">
        <v>22251</v>
      </c>
      <c r="C11268" s="11" t="s">
        <v>80</v>
      </c>
      <c r="D11268" s="11" t="s">
        <v>18</v>
      </c>
      <c r="E11268" s="12" t="s">
        <v>312</v>
      </c>
      <c r="F11268" s="12" t="s">
        <v>313</v>
      </c>
      <c r="G11268" s="12" t="s">
        <v>21</v>
      </c>
      <c r="H11268" s="11" t="s">
        <v>63</v>
      </c>
      <c r="I11268" s="13" t="s">
        <v>22252</v>
      </c>
      <c r="J11268" s="14" t="str">
        <f>HYPERLINK("https://www.boe.es/gazeta/dias/1839/11/30/pdfs/GMD-1839-1847.pdf#page=4","Abrir facsímil")</f>
        <v>Abrir facsímil</v>
      </c>
      <c r="K11268" s="12" t="s">
        <v>65</v>
      </c>
    </row>
    <row r="11269" spans="1:11" ht="40.049999999999997" customHeight="1" x14ac:dyDescent="0.25">
      <c r="A11269" s="11" t="s">
        <v>22253</v>
      </c>
      <c r="B11269" s="11" t="s">
        <v>22254</v>
      </c>
      <c r="C11269" s="11" t="s">
        <v>17</v>
      </c>
      <c r="D11269" s="11" t="s">
        <v>18</v>
      </c>
      <c r="E11269" s="12" t="s">
        <v>38</v>
      </c>
      <c r="F11269" s="12" t="s">
        <v>39</v>
      </c>
      <c r="G11269" s="12" t="s">
        <v>21</v>
      </c>
      <c r="H11269" s="11" t="s">
        <v>63</v>
      </c>
      <c r="I11269" s="13" t="s">
        <v>22255</v>
      </c>
      <c r="J11269" s="14" t="str">
        <f>HYPERLINK("https://www.boe.es/gazeta/dias/1839/08/08/pdfs/GMD-1839-1728.pdf#page=4","Abrir facsímil")</f>
        <v>Abrir facsímil</v>
      </c>
      <c r="K11269" s="12" t="s">
        <v>65</v>
      </c>
    </row>
    <row r="11270" spans="1:11" ht="40.049999999999997" customHeight="1" x14ac:dyDescent="0.25">
      <c r="A11270" s="11" t="s">
        <v>22253</v>
      </c>
      <c r="B11270" s="11" t="s">
        <v>22254</v>
      </c>
      <c r="C11270" s="11" t="s">
        <v>59</v>
      </c>
      <c r="D11270" s="11" t="s">
        <v>60</v>
      </c>
      <c r="E11270" s="12" t="s">
        <v>1406</v>
      </c>
      <c r="F11270" s="12" t="s">
        <v>1407</v>
      </c>
      <c r="G11270" s="12" t="s">
        <v>21</v>
      </c>
      <c r="H11270" s="11" t="s">
        <v>63</v>
      </c>
      <c r="I11270" s="13" t="s">
        <v>22256</v>
      </c>
      <c r="J11270" s="14" t="str">
        <f>HYPERLINK("https://www.boe.es/gazeta/dias/1839/07/18/pdfs/GMD-1839-1706.pdf#page=4","Abrir facsímil")</f>
        <v>Abrir facsímil</v>
      </c>
      <c r="K11270" s="12" t="s">
        <v>65</v>
      </c>
    </row>
    <row r="11271" spans="1:11" ht="40.049999999999997" customHeight="1" x14ac:dyDescent="0.25">
      <c r="A11271" s="11" t="s">
        <v>22257</v>
      </c>
      <c r="B11271" s="11" t="s">
        <v>22258</v>
      </c>
      <c r="C11271" s="11" t="s">
        <v>137</v>
      </c>
      <c r="D11271" s="11" t="s">
        <v>18</v>
      </c>
      <c r="E11271" s="12" t="s">
        <v>1509</v>
      </c>
      <c r="F11271" s="12" t="s">
        <v>1510</v>
      </c>
      <c r="G11271" s="12" t="s">
        <v>305</v>
      </c>
      <c r="H11271" s="11" t="s">
        <v>63</v>
      </c>
      <c r="I11271" s="13" t="s">
        <v>22259</v>
      </c>
      <c r="J11271" s="14" t="str">
        <f>HYPERLINK("https://www.boe.es/gazeta/dias/1839/10/07/pdfs/GMD-1839-1793.pdf#page=6","Abrir facsímil")</f>
        <v>Abrir facsímil</v>
      </c>
      <c r="K11271" s="12" t="s">
        <v>65</v>
      </c>
    </row>
    <row r="11272" spans="1:11" ht="40.049999999999997" customHeight="1" x14ac:dyDescent="0.25">
      <c r="A11272" s="11" t="s">
        <v>22260</v>
      </c>
      <c r="B11272" s="11" t="s">
        <v>22260</v>
      </c>
      <c r="C11272" s="11" t="s">
        <v>59</v>
      </c>
      <c r="D11272" s="11" t="s">
        <v>60</v>
      </c>
      <c r="E11272" s="12" t="s">
        <v>1551</v>
      </c>
      <c r="F11272" s="12" t="s">
        <v>1552</v>
      </c>
      <c r="G11272" s="12" t="s">
        <v>46</v>
      </c>
      <c r="H11272" s="11" t="s">
        <v>63</v>
      </c>
      <c r="I11272" s="13" t="s">
        <v>22261</v>
      </c>
      <c r="J11272" s="14" t="str">
        <f>HYPERLINK("https://www.boe.es/gazeta/dias/1839/06/30/pdfs/GMD-1839-1688.pdf#page=3","Abrir facsímil")</f>
        <v>Abrir facsímil</v>
      </c>
      <c r="K11272" s="12" t="s">
        <v>65</v>
      </c>
    </row>
    <row r="11273" spans="1:11" ht="40.049999999999997" customHeight="1" x14ac:dyDescent="0.25">
      <c r="A11273" s="11" t="s">
        <v>22262</v>
      </c>
      <c r="B11273" s="11" t="s">
        <v>22262</v>
      </c>
      <c r="C11273" s="11" t="s">
        <v>80</v>
      </c>
      <c r="D11273" s="11" t="s">
        <v>18</v>
      </c>
      <c r="E11273" s="12" t="s">
        <v>716</v>
      </c>
      <c r="F11273" s="12" t="s">
        <v>717</v>
      </c>
      <c r="G11273" s="12" t="s">
        <v>40</v>
      </c>
      <c r="H11273" s="11" t="s">
        <v>63</v>
      </c>
      <c r="I11273" s="13" t="s">
        <v>22263</v>
      </c>
      <c r="J11273" s="14" t="str">
        <f>HYPERLINK("https://www.boe.es/gazeta/dias/1839/07/30/pdfs/GMD-1839-1719.pdf#page=2","Abrir facsímil")</f>
        <v>Abrir facsímil</v>
      </c>
      <c r="K11273" s="12" t="s">
        <v>65</v>
      </c>
    </row>
    <row r="11274" spans="1:11" ht="40.049999999999997" customHeight="1" x14ac:dyDescent="0.25">
      <c r="A11274" s="11" t="s">
        <v>22264</v>
      </c>
      <c r="B11274" s="11" t="s">
        <v>22264</v>
      </c>
      <c r="C11274" s="11" t="s">
        <v>17</v>
      </c>
      <c r="D11274" s="11" t="s">
        <v>18</v>
      </c>
      <c r="E11274" s="12" t="s">
        <v>3114</v>
      </c>
      <c r="F11274" s="12" t="s">
        <v>3115</v>
      </c>
      <c r="G11274" s="12" t="s">
        <v>40</v>
      </c>
      <c r="H11274" s="11" t="s">
        <v>63</v>
      </c>
      <c r="I11274" s="13" t="s">
        <v>22265</v>
      </c>
      <c r="J11274" s="14" t="str">
        <f>HYPERLINK("https://www.boe.es/gazeta/dias/1839/05/15/pdfs/GMD-1839-1642.pdf#page=2","Abrir facsímil")</f>
        <v>Abrir facsímil</v>
      </c>
      <c r="K11274" s="12" t="s">
        <v>65</v>
      </c>
    </row>
    <row r="11275" spans="1:11" ht="40.049999999999997" customHeight="1" x14ac:dyDescent="0.25">
      <c r="A11275" s="11" t="s">
        <v>22266</v>
      </c>
      <c r="B11275" s="11" t="s">
        <v>22266</v>
      </c>
      <c r="C11275" s="11" t="s">
        <v>137</v>
      </c>
      <c r="D11275" s="11" t="s">
        <v>18</v>
      </c>
      <c r="E11275" s="12" t="s">
        <v>81</v>
      </c>
      <c r="F11275" s="12" t="s">
        <v>82</v>
      </c>
      <c r="G11275" s="12" t="s">
        <v>40</v>
      </c>
      <c r="H11275" s="11" t="s">
        <v>63</v>
      </c>
      <c r="I11275" s="13" t="s">
        <v>22267</v>
      </c>
      <c r="J11275" s="14" t="str">
        <f>HYPERLINK("https://www.boe.es/gazeta/dias/1839/03/03/pdfs/GMD-1839-1569.pdf#page=2","Abrir facsímil")</f>
        <v>Abrir facsímil</v>
      </c>
      <c r="K11275" s="12" t="s">
        <v>65</v>
      </c>
    </row>
    <row r="11276" spans="1:11" ht="40.049999999999997" customHeight="1" x14ac:dyDescent="0.25">
      <c r="A11276" s="11" t="s">
        <v>22268</v>
      </c>
      <c r="B11276" s="11" t="s">
        <v>22269</v>
      </c>
      <c r="C11276" s="11" t="s">
        <v>17</v>
      </c>
      <c r="D11276" s="11" t="s">
        <v>18</v>
      </c>
      <c r="E11276" s="12" t="s">
        <v>246</v>
      </c>
      <c r="F11276" s="12" t="s">
        <v>247</v>
      </c>
      <c r="G11276" s="12" t="s">
        <v>21</v>
      </c>
      <c r="H11276" s="11" t="s">
        <v>63</v>
      </c>
      <c r="I11276" s="13" t="s">
        <v>22270</v>
      </c>
      <c r="J11276" s="14" t="str">
        <f>HYPERLINK("https://www.boe.es/gazeta/dias/1839/11/24/pdfs/GMD-1839-1841.pdf#page=4","Abrir facsímil")</f>
        <v>Abrir facsímil</v>
      </c>
      <c r="K11276" s="12" t="s">
        <v>65</v>
      </c>
    </row>
    <row r="11277" spans="1:11" ht="40.049999999999997" customHeight="1" x14ac:dyDescent="0.25">
      <c r="A11277" s="11" t="s">
        <v>22271</v>
      </c>
      <c r="B11277" s="11" t="s">
        <v>22271</v>
      </c>
      <c r="C11277" s="11" t="s">
        <v>137</v>
      </c>
      <c r="D11277" s="11" t="s">
        <v>18</v>
      </c>
      <c r="E11277" s="12" t="s">
        <v>448</v>
      </c>
      <c r="F11277" s="12" t="s">
        <v>449</v>
      </c>
      <c r="G11277" s="12" t="s">
        <v>40</v>
      </c>
      <c r="H11277" s="11" t="s">
        <v>63</v>
      </c>
      <c r="I11277" s="13" t="s">
        <v>22272</v>
      </c>
      <c r="J11277" s="14" t="str">
        <f>HYPERLINK("https://www.boe.es/gazeta/dias/1839/02/06/pdfs/GMD-1839-1544.pdf#page=2","Abrir facsímil")</f>
        <v>Abrir facsímil</v>
      </c>
      <c r="K11277" s="12" t="s">
        <v>65</v>
      </c>
    </row>
    <row r="11278" spans="1:11" ht="40.049999999999997" customHeight="1" x14ac:dyDescent="0.25">
      <c r="A11278" s="11" t="s">
        <v>22273</v>
      </c>
      <c r="B11278" s="11" t="s">
        <v>22273</v>
      </c>
      <c r="C11278" s="11" t="s">
        <v>101</v>
      </c>
      <c r="D11278" s="11" t="s">
        <v>43</v>
      </c>
      <c r="E11278" s="12" t="s">
        <v>448</v>
      </c>
      <c r="F11278" s="12" t="s">
        <v>449</v>
      </c>
      <c r="G11278" s="12" t="s">
        <v>40</v>
      </c>
      <c r="H11278" s="11" t="s">
        <v>63</v>
      </c>
      <c r="I11278" s="13" t="s">
        <v>22274</v>
      </c>
      <c r="J11278" s="14" t="str">
        <f>HYPERLINK("https://www.boe.es/gazeta/dias/1839/02/06/pdfs/GMD-1839-1544.pdf#page=2","Abrir facsímil")</f>
        <v>Abrir facsímil</v>
      </c>
      <c r="K11278" s="12" t="s">
        <v>65</v>
      </c>
    </row>
    <row r="11279" spans="1:11" ht="40.049999999999997" customHeight="1" x14ac:dyDescent="0.25">
      <c r="A11279" s="11" t="s">
        <v>22275</v>
      </c>
      <c r="B11279" s="11" t="s">
        <v>22276</v>
      </c>
      <c r="C11279" s="11" t="s">
        <v>101</v>
      </c>
      <c r="D11279" s="11" t="s">
        <v>43</v>
      </c>
      <c r="E11279" s="12" t="s">
        <v>154</v>
      </c>
      <c r="F11279" s="12" t="s">
        <v>155</v>
      </c>
      <c r="G11279" s="12" t="s">
        <v>40</v>
      </c>
      <c r="H11279" s="11" t="s">
        <v>63</v>
      </c>
      <c r="I11279" s="13" t="s">
        <v>22277</v>
      </c>
      <c r="J11279" s="14" t="str">
        <f>HYPERLINK("https://www.boe.es/gazeta/dias/1839/02/02/pdfs/GMD-1839-1540.pdf#page=2","Abrir facsímil")</f>
        <v>Abrir facsímil</v>
      </c>
      <c r="K11279" s="12" t="s">
        <v>65</v>
      </c>
    </row>
    <row r="11280" spans="1:11" ht="40.049999999999997" customHeight="1" x14ac:dyDescent="0.25">
      <c r="A11280" s="11" t="s">
        <v>22278</v>
      </c>
      <c r="B11280" s="11" t="s">
        <v>22279</v>
      </c>
      <c r="C11280" s="11" t="s">
        <v>17</v>
      </c>
      <c r="D11280" s="11" t="s">
        <v>18</v>
      </c>
      <c r="E11280" s="12" t="s">
        <v>103</v>
      </c>
      <c r="F11280" s="12" t="s">
        <v>104</v>
      </c>
      <c r="G11280" s="12" t="s">
        <v>21</v>
      </c>
      <c r="H11280" s="11" t="s">
        <v>63</v>
      </c>
      <c r="I11280" s="13" t="s">
        <v>22280</v>
      </c>
      <c r="J11280" s="14" t="str">
        <f>HYPERLINK("https://www.boe.es/gazeta/dias/1839/10/12/pdfs/GMD-1839-1798.pdf#page=4","Abrir facsímil")</f>
        <v>Abrir facsímil</v>
      </c>
      <c r="K11280" s="12" t="s">
        <v>65</v>
      </c>
    </row>
    <row r="11281" spans="1:11" ht="40.049999999999997" customHeight="1" x14ac:dyDescent="0.25">
      <c r="A11281" s="11" t="s">
        <v>22281</v>
      </c>
      <c r="B11281" s="11" t="s">
        <v>22282</v>
      </c>
      <c r="C11281" s="11" t="s">
        <v>17</v>
      </c>
      <c r="D11281" s="11" t="s">
        <v>43</v>
      </c>
      <c r="E11281" s="12" t="s">
        <v>496</v>
      </c>
      <c r="F11281" s="12" t="s">
        <v>497</v>
      </c>
      <c r="G11281" s="12" t="s">
        <v>46</v>
      </c>
      <c r="H11281" s="11" t="s">
        <v>63</v>
      </c>
      <c r="I11281" s="13" t="s">
        <v>22283</v>
      </c>
      <c r="J11281" s="14" t="str">
        <f>HYPERLINK("https://www.boe.es/gazeta/dias/1839/11/23/pdfs/GMD-1839-1840.pdf#page=3","Abrir facsímil")</f>
        <v>Abrir facsímil</v>
      </c>
      <c r="K11281" s="12" t="s">
        <v>65</v>
      </c>
    </row>
    <row r="11282" spans="1:11" ht="40.049999999999997" customHeight="1" x14ac:dyDescent="0.25">
      <c r="A11282" s="11" t="s">
        <v>22284</v>
      </c>
      <c r="B11282" s="11" t="s">
        <v>22285</v>
      </c>
      <c r="C11282" s="11" t="s">
        <v>80</v>
      </c>
      <c r="D11282" s="11" t="s">
        <v>18</v>
      </c>
      <c r="E11282" s="12" t="s">
        <v>544</v>
      </c>
      <c r="F11282" s="12" t="s">
        <v>545</v>
      </c>
      <c r="G11282" s="12" t="s">
        <v>21</v>
      </c>
      <c r="H11282" s="11" t="s">
        <v>63</v>
      </c>
      <c r="I11282" s="13" t="s">
        <v>22286</v>
      </c>
      <c r="J11282" s="14" t="str">
        <f>HYPERLINK("https://www.boe.es/gazeta/dias/1839/11/11/pdfs/GMD-1839-1828.pdf#page=4","Abrir facsímil")</f>
        <v>Abrir facsímil</v>
      </c>
      <c r="K11282" s="12" t="s">
        <v>65</v>
      </c>
    </row>
    <row r="11283" spans="1:11" ht="40.049999999999997" customHeight="1" x14ac:dyDescent="0.25">
      <c r="A11283" s="11" t="s">
        <v>22284</v>
      </c>
      <c r="B11283" s="11" t="s">
        <v>22285</v>
      </c>
      <c r="C11283" s="11" t="s">
        <v>17</v>
      </c>
      <c r="D11283" s="11" t="s">
        <v>18</v>
      </c>
      <c r="E11283" s="12" t="s">
        <v>1528</v>
      </c>
      <c r="F11283" s="12" t="s">
        <v>1529</v>
      </c>
      <c r="G11283" s="12" t="s">
        <v>21</v>
      </c>
      <c r="H11283" s="11" t="s">
        <v>63</v>
      </c>
      <c r="I11283" s="13" t="s">
        <v>22287</v>
      </c>
      <c r="J11283" s="14" t="str">
        <f>HYPERLINK("https://www.boe.es/gazeta/dias/1839/12/15/pdfs/GMD-1839-1862.pdf#page=4","Abrir facsímil")</f>
        <v>Abrir facsímil</v>
      </c>
      <c r="K11283" s="12" t="s">
        <v>65</v>
      </c>
    </row>
    <row r="11284" spans="1:11" ht="40.049999999999997" customHeight="1" x14ac:dyDescent="0.25">
      <c r="A11284" s="11" t="s">
        <v>22284</v>
      </c>
      <c r="B11284" s="11" t="s">
        <v>22285</v>
      </c>
      <c r="C11284" s="11" t="s">
        <v>137</v>
      </c>
      <c r="D11284" s="11" t="s">
        <v>18</v>
      </c>
      <c r="E11284" s="12" t="s">
        <v>1537</v>
      </c>
      <c r="F11284" s="12" t="s">
        <v>1538</v>
      </c>
      <c r="G11284" s="12" t="s">
        <v>21</v>
      </c>
      <c r="H11284" s="11" t="s">
        <v>63</v>
      </c>
      <c r="I11284" s="13" t="s">
        <v>22288</v>
      </c>
      <c r="J11284" s="14" t="str">
        <f>HYPERLINK("https://www.boe.es/gazeta/dias/1839/12/16/pdfs/GMD-1839-1863.pdf#page=4","Abrir facsímil")</f>
        <v>Abrir facsímil</v>
      </c>
      <c r="K11284" s="12" t="s">
        <v>65</v>
      </c>
    </row>
    <row r="11285" spans="1:11" ht="40.049999999999997" customHeight="1" x14ac:dyDescent="0.25">
      <c r="A11285" s="11" t="s">
        <v>22289</v>
      </c>
      <c r="B11285" s="11" t="s">
        <v>22290</v>
      </c>
      <c r="C11285" s="11" t="s">
        <v>137</v>
      </c>
      <c r="D11285" s="11" t="s">
        <v>18</v>
      </c>
      <c r="E11285" s="12" t="s">
        <v>94</v>
      </c>
      <c r="F11285" s="12" t="s">
        <v>95</v>
      </c>
      <c r="G11285" s="12" t="s">
        <v>29</v>
      </c>
      <c r="H11285" s="11" t="s">
        <v>63</v>
      </c>
      <c r="I11285" s="13" t="s">
        <v>22291</v>
      </c>
      <c r="J11285" s="14" t="str">
        <f>HYPERLINK("https://www.boe.es/gazeta/dias/1839/02/24/pdfs/GMD-1839-1562.pdf#page=1","Abrir facsímil")</f>
        <v>Abrir facsímil</v>
      </c>
      <c r="K11285" s="12" t="s">
        <v>65</v>
      </c>
    </row>
    <row r="11286" spans="1:11" ht="40.049999999999997" customHeight="1" x14ac:dyDescent="0.25">
      <c r="A11286" s="11" t="s">
        <v>22292</v>
      </c>
      <c r="B11286" s="11" t="s">
        <v>22293</v>
      </c>
      <c r="C11286" s="11" t="s">
        <v>17</v>
      </c>
      <c r="D11286" s="11" t="s">
        <v>18</v>
      </c>
      <c r="E11286" s="12" t="s">
        <v>1725</v>
      </c>
      <c r="F11286" s="12" t="s">
        <v>1726</v>
      </c>
      <c r="G11286" s="12" t="s">
        <v>29</v>
      </c>
      <c r="H11286" s="11" t="s">
        <v>63</v>
      </c>
      <c r="I11286" s="13" t="s">
        <v>22294</v>
      </c>
      <c r="J11286" s="14" t="str">
        <f>HYPERLINK("https://www.boe.es/gazeta/dias/1839/11/17/pdfs/GMD-1839-1834.pdf#page=1","Abrir facsímil")</f>
        <v>Abrir facsímil</v>
      </c>
      <c r="K11286" s="12" t="s">
        <v>65</v>
      </c>
    </row>
    <row r="11287" spans="1:11" ht="40.049999999999997" customHeight="1" x14ac:dyDescent="0.25">
      <c r="A11287" s="11" t="s">
        <v>22295</v>
      </c>
      <c r="B11287" s="11" t="s">
        <v>22296</v>
      </c>
      <c r="C11287" s="11" t="s">
        <v>101</v>
      </c>
      <c r="D11287" s="11" t="s">
        <v>102</v>
      </c>
      <c r="E11287" s="12" t="s">
        <v>1725</v>
      </c>
      <c r="F11287" s="12" t="s">
        <v>1726</v>
      </c>
      <c r="G11287" s="12" t="s">
        <v>29</v>
      </c>
      <c r="H11287" s="11" t="s">
        <v>63</v>
      </c>
      <c r="I11287" s="13" t="s">
        <v>22297</v>
      </c>
      <c r="J11287" s="14" t="str">
        <f>HYPERLINK("https://www.boe.es/gazeta/dias/1839/11/17/pdfs/GMD-1839-1834.pdf#page=1","Abrir facsímil")</f>
        <v>Abrir facsímil</v>
      </c>
      <c r="K11287" s="12" t="s">
        <v>65</v>
      </c>
    </row>
    <row r="11288" spans="1:11" ht="40.049999999999997" customHeight="1" x14ac:dyDescent="0.25">
      <c r="A11288" s="11" t="s">
        <v>22298</v>
      </c>
      <c r="B11288" s="11" t="s">
        <v>22298</v>
      </c>
      <c r="C11288" s="11" t="s">
        <v>80</v>
      </c>
      <c r="D11288" s="11" t="s">
        <v>18</v>
      </c>
      <c r="E11288" s="12" t="s">
        <v>3668</v>
      </c>
      <c r="F11288" s="12" t="s">
        <v>3669</v>
      </c>
      <c r="G11288" s="12" t="s">
        <v>46</v>
      </c>
      <c r="H11288" s="11" t="s">
        <v>63</v>
      </c>
      <c r="I11288" s="13" t="s">
        <v>22299</v>
      </c>
      <c r="J11288" s="14" t="str">
        <f>HYPERLINK("https://www.boe.es/gazeta/dias/1839/05/19/pdfs/GMD-1839-1646.pdf#page=3","Abrir facsímil")</f>
        <v>Abrir facsímil</v>
      </c>
      <c r="K11288" s="12" t="s">
        <v>65</v>
      </c>
    </row>
    <row r="11289" spans="1:11" ht="40.049999999999997" customHeight="1" x14ac:dyDescent="0.25">
      <c r="A11289" s="11" t="s">
        <v>22300</v>
      </c>
      <c r="B11289" s="11" t="s">
        <v>22300</v>
      </c>
      <c r="C11289" s="11" t="s">
        <v>80</v>
      </c>
      <c r="D11289" s="11" t="s">
        <v>18</v>
      </c>
      <c r="E11289" s="12" t="s">
        <v>4451</v>
      </c>
      <c r="F11289" s="12" t="s">
        <v>4452</v>
      </c>
      <c r="G11289" s="12" t="s">
        <v>46</v>
      </c>
      <c r="H11289" s="11" t="s">
        <v>63</v>
      </c>
      <c r="I11289" s="13" t="s">
        <v>22301</v>
      </c>
      <c r="J11289" s="14" t="str">
        <f>HYPERLINK("https://www.boe.es/gazeta/dias/1839/12/02/pdfs/GMD-1839-1849.pdf#page=3","Abrir facsímil")</f>
        <v>Abrir facsímil</v>
      </c>
      <c r="K11289" s="12" t="s">
        <v>65</v>
      </c>
    </row>
    <row r="11290" spans="1:11" ht="40.049999999999997" customHeight="1" x14ac:dyDescent="0.25">
      <c r="A11290" s="11" t="s">
        <v>22302</v>
      </c>
      <c r="B11290" s="11" t="s">
        <v>22302</v>
      </c>
      <c r="C11290" s="11" t="s">
        <v>80</v>
      </c>
      <c r="D11290" s="11" t="s">
        <v>18</v>
      </c>
      <c r="E11290" s="12" t="s">
        <v>175</v>
      </c>
      <c r="F11290" s="12" t="s">
        <v>176</v>
      </c>
      <c r="G11290" s="12" t="s">
        <v>40</v>
      </c>
      <c r="H11290" s="11" t="s">
        <v>22</v>
      </c>
      <c r="I11290" s="13" t="s">
        <v>22303</v>
      </c>
      <c r="J11290" s="14" t="str">
        <f>HYPERLINK("https://www.boe.es/gazeta/dias/1839/01/16/pdfs/GMD-1839-1523.pdf#page=2","Abrir facsímil")</f>
        <v>Abrir facsímil</v>
      </c>
      <c r="K11290" s="12" t="s">
        <v>24</v>
      </c>
    </row>
    <row r="11291" spans="1:11" ht="40.049999999999997" customHeight="1" x14ac:dyDescent="0.25">
      <c r="A11291" s="11" t="s">
        <v>22300</v>
      </c>
      <c r="B11291" s="11" t="s">
        <v>22300</v>
      </c>
      <c r="C11291" s="11" t="s">
        <v>80</v>
      </c>
      <c r="D11291" s="11" t="s">
        <v>18</v>
      </c>
      <c r="E11291" s="12" t="s">
        <v>246</v>
      </c>
      <c r="F11291" s="12" t="s">
        <v>247</v>
      </c>
      <c r="G11291" s="12" t="s">
        <v>21</v>
      </c>
      <c r="H11291" s="11" t="s">
        <v>63</v>
      </c>
      <c r="I11291" s="13" t="s">
        <v>22304</v>
      </c>
      <c r="J11291" s="14" t="str">
        <f>HYPERLINK("https://www.boe.es/gazeta/dias/1839/11/24/pdfs/GMD-1839-1841.pdf#page=4","Abrir facsímil")</f>
        <v>Abrir facsímil</v>
      </c>
      <c r="K11291" s="12" t="s">
        <v>65</v>
      </c>
    </row>
    <row r="11292" spans="1:11" ht="40.049999999999997" customHeight="1" x14ac:dyDescent="0.25">
      <c r="A11292" s="11" t="s">
        <v>22305</v>
      </c>
      <c r="B11292" s="11" t="s">
        <v>22306</v>
      </c>
      <c r="C11292" s="11" t="s">
        <v>17</v>
      </c>
      <c r="D11292" s="11" t="s">
        <v>18</v>
      </c>
      <c r="E11292" s="12" t="s">
        <v>1685</v>
      </c>
      <c r="F11292" s="12" t="s">
        <v>1686</v>
      </c>
      <c r="G11292" s="12" t="s">
        <v>29</v>
      </c>
      <c r="H11292" s="11" t="s">
        <v>63</v>
      </c>
      <c r="I11292" s="13" t="s">
        <v>22307</v>
      </c>
      <c r="J11292" s="14" t="str">
        <f>HYPERLINK("https://www.boe.es/gazeta/dias/1839/04/27/pdfs/GMD-1839-1624.pdf#page=1","Abrir facsímil")</f>
        <v>Abrir facsímil</v>
      </c>
      <c r="K11292" s="12" t="s">
        <v>65</v>
      </c>
    </row>
    <row r="11293" spans="1:11" ht="40.049999999999997" customHeight="1" x14ac:dyDescent="0.25">
      <c r="A11293" s="11" t="s">
        <v>22308</v>
      </c>
      <c r="B11293" s="11" t="s">
        <v>22309</v>
      </c>
      <c r="C11293" s="11" t="s">
        <v>80</v>
      </c>
      <c r="D11293" s="11" t="s">
        <v>18</v>
      </c>
      <c r="E11293" s="12" t="s">
        <v>246</v>
      </c>
      <c r="F11293" s="12" t="s">
        <v>247</v>
      </c>
      <c r="G11293" s="12" t="s">
        <v>46</v>
      </c>
      <c r="H11293" s="11" t="s">
        <v>63</v>
      </c>
      <c r="I11293" s="13" t="s">
        <v>22310</v>
      </c>
      <c r="J11293" s="14" t="str">
        <f>HYPERLINK("https://www.boe.es/gazeta/dias/1839/11/24/pdfs/GMD-1839-1841.pdf#page=3","Abrir facsímil")</f>
        <v>Abrir facsímil</v>
      </c>
      <c r="K11293" s="12" t="s">
        <v>65</v>
      </c>
    </row>
    <row r="11294" spans="1:11" ht="40.049999999999997" customHeight="1" x14ac:dyDescent="0.25">
      <c r="A11294" s="11" t="s">
        <v>22311</v>
      </c>
      <c r="B11294" s="11" t="s">
        <v>22311</v>
      </c>
      <c r="C11294" s="11" t="s">
        <v>101</v>
      </c>
      <c r="D11294" s="11" t="s">
        <v>102</v>
      </c>
      <c r="E11294" s="12" t="s">
        <v>3601</v>
      </c>
      <c r="F11294" s="12" t="s">
        <v>3602</v>
      </c>
      <c r="G11294" s="12" t="s">
        <v>40</v>
      </c>
      <c r="H11294" s="11" t="s">
        <v>63</v>
      </c>
      <c r="I11294" s="13" t="s">
        <v>22312</v>
      </c>
      <c r="J11294" s="14" t="str">
        <f>HYPERLINK("https://www.boe.es/gazeta/dias/1839/03/21/pdfs/GMD-1839-1587.pdf#page=2","Abrir facsímil")</f>
        <v>Abrir facsímil</v>
      </c>
      <c r="K11294" s="12" t="s">
        <v>65</v>
      </c>
    </row>
    <row r="11295" spans="1:11" ht="40.049999999999997" customHeight="1" x14ac:dyDescent="0.25">
      <c r="A11295" s="11" t="s">
        <v>22313</v>
      </c>
      <c r="B11295" s="11" t="s">
        <v>22313</v>
      </c>
      <c r="C11295" s="11" t="s">
        <v>80</v>
      </c>
      <c r="D11295" s="11" t="s">
        <v>173</v>
      </c>
      <c r="E11295" s="12" t="s">
        <v>5806</v>
      </c>
      <c r="F11295" s="12" t="s">
        <v>5807</v>
      </c>
      <c r="G11295" s="12" t="s">
        <v>21</v>
      </c>
      <c r="H11295" s="11" t="s">
        <v>63</v>
      </c>
      <c r="I11295" s="13" t="s">
        <v>22314</v>
      </c>
      <c r="J11295" s="14" t="str">
        <f>HYPERLINK("https://www.boe.es/gazeta/dias/1839/02/16/pdfs/GMD-1839-1554.pdf#page=4","Abrir facsímil")</f>
        <v>Abrir facsímil</v>
      </c>
      <c r="K11295" s="12" t="s">
        <v>65</v>
      </c>
    </row>
    <row r="11296" spans="1:11" ht="40.049999999999997" customHeight="1" x14ac:dyDescent="0.25">
      <c r="A11296" s="11" t="s">
        <v>22315</v>
      </c>
      <c r="B11296" s="11" t="s">
        <v>22316</v>
      </c>
      <c r="C11296" s="11" t="s">
        <v>80</v>
      </c>
      <c r="D11296" s="11" t="s">
        <v>18</v>
      </c>
      <c r="E11296" s="12" t="s">
        <v>951</v>
      </c>
      <c r="F11296" s="12" t="s">
        <v>952</v>
      </c>
      <c r="G11296" s="12" t="s">
        <v>21</v>
      </c>
      <c r="H11296" s="11" t="s">
        <v>63</v>
      </c>
      <c r="I11296" s="13" t="s">
        <v>22317</v>
      </c>
      <c r="J11296" s="14" t="str">
        <f>HYPERLINK("https://www.boe.es/gazeta/dias/1839/12/30/pdfs/GMD-1839-1877.pdf#page=4","Abrir facsímil")</f>
        <v>Abrir facsímil</v>
      </c>
      <c r="K11296" s="12" t="s">
        <v>65</v>
      </c>
    </row>
    <row r="11297" spans="1:11" ht="40.049999999999997" customHeight="1" x14ac:dyDescent="0.25">
      <c r="A11297" s="11" t="s">
        <v>22318</v>
      </c>
      <c r="B11297" s="11" t="s">
        <v>22318</v>
      </c>
      <c r="C11297" s="11" t="s">
        <v>17</v>
      </c>
      <c r="D11297" s="11" t="s">
        <v>18</v>
      </c>
      <c r="E11297" s="12" t="s">
        <v>1008</v>
      </c>
      <c r="F11297" s="12" t="s">
        <v>1009</v>
      </c>
      <c r="G11297" s="12" t="s">
        <v>46</v>
      </c>
      <c r="H11297" s="11" t="s">
        <v>22</v>
      </c>
      <c r="I11297" s="13" t="s">
        <v>22319</v>
      </c>
      <c r="J11297" s="14" t="str">
        <f>HYPERLINK("https://www.boe.es/gazeta/dias/1839/09/07/pdfs/GMD-1839-1760.pdf#page=3","Abrir facsímil")</f>
        <v>Abrir facsímil</v>
      </c>
      <c r="K11297" s="12" t="s">
        <v>24</v>
      </c>
    </row>
    <row r="11298" spans="1:11" ht="40.049999999999997" customHeight="1" x14ac:dyDescent="0.25">
      <c r="A11298" s="11" t="s">
        <v>22320</v>
      </c>
      <c r="B11298" s="11" t="s">
        <v>22320</v>
      </c>
      <c r="C11298" s="11" t="s">
        <v>59</v>
      </c>
      <c r="D11298" s="11" t="s">
        <v>60</v>
      </c>
      <c r="E11298" s="12" t="s">
        <v>723</v>
      </c>
      <c r="F11298" s="12" t="s">
        <v>724</v>
      </c>
      <c r="G11298" s="12" t="s">
        <v>29</v>
      </c>
      <c r="H11298" s="11" t="s">
        <v>63</v>
      </c>
      <c r="I11298" s="13" t="s">
        <v>22321</v>
      </c>
      <c r="J11298" s="14" t="str">
        <f>HYPERLINK("https://www.boe.es/gazeta/dias/1839/09/26/pdfs/GMD-1839-1782.pdf#page=1","Abrir facsímil")</f>
        <v>Abrir facsímil</v>
      </c>
      <c r="K11298" s="12" t="s">
        <v>65</v>
      </c>
    </row>
    <row r="11299" spans="1:11" ht="40.049999999999997" customHeight="1" x14ac:dyDescent="0.25">
      <c r="A11299" s="11" t="s">
        <v>22322</v>
      </c>
      <c r="B11299" s="11" t="s">
        <v>22323</v>
      </c>
      <c r="C11299" s="11" t="s">
        <v>59</v>
      </c>
      <c r="D11299" s="11" t="s">
        <v>60</v>
      </c>
      <c r="E11299" s="12" t="s">
        <v>4047</v>
      </c>
      <c r="F11299" s="12" t="s">
        <v>4048</v>
      </c>
      <c r="G11299" s="12" t="s">
        <v>29</v>
      </c>
      <c r="H11299" s="11" t="s">
        <v>63</v>
      </c>
      <c r="I11299" s="13" t="s">
        <v>22324</v>
      </c>
      <c r="J11299" s="14" t="str">
        <f>HYPERLINK("https://www.boe.es/gazeta/dias/1839/03/26/pdfs/GMD-1839-1592.pdf#page=1","Abrir facsímil")</f>
        <v>Abrir facsímil</v>
      </c>
      <c r="K11299" s="12" t="s">
        <v>65</v>
      </c>
    </row>
    <row r="11300" spans="1:11" ht="40.049999999999997" customHeight="1" x14ac:dyDescent="0.25">
      <c r="A11300" s="11" t="s">
        <v>22325</v>
      </c>
      <c r="B11300" s="11" t="s">
        <v>22326</v>
      </c>
      <c r="C11300" s="11" t="s">
        <v>17</v>
      </c>
      <c r="D11300" s="11" t="s">
        <v>18</v>
      </c>
      <c r="E11300" s="12" t="s">
        <v>1685</v>
      </c>
      <c r="F11300" s="12" t="s">
        <v>1686</v>
      </c>
      <c r="G11300" s="12" t="s">
        <v>40</v>
      </c>
      <c r="H11300" s="11" t="s">
        <v>63</v>
      </c>
      <c r="I11300" s="13" t="s">
        <v>22327</v>
      </c>
      <c r="J11300" s="14" t="str">
        <f>HYPERLINK("https://www.boe.es/gazeta/dias/1839/04/27/pdfs/GMD-1839-1624.pdf#page=2","Abrir facsímil")</f>
        <v>Abrir facsímil</v>
      </c>
      <c r="K11300" s="12" t="s">
        <v>65</v>
      </c>
    </row>
    <row r="11301" spans="1:11" ht="40.049999999999997" customHeight="1" x14ac:dyDescent="0.25">
      <c r="A11301" s="11" t="s">
        <v>22328</v>
      </c>
      <c r="B11301" s="11" t="s">
        <v>22328</v>
      </c>
      <c r="C11301" s="11" t="s">
        <v>17</v>
      </c>
      <c r="D11301" s="11" t="s">
        <v>18</v>
      </c>
      <c r="E11301" s="12" t="s">
        <v>462</v>
      </c>
      <c r="F11301" s="12" t="s">
        <v>463</v>
      </c>
      <c r="G11301" s="12" t="s">
        <v>46</v>
      </c>
      <c r="H11301" s="11" t="s">
        <v>63</v>
      </c>
      <c r="I11301" s="13" t="s">
        <v>22329</v>
      </c>
      <c r="J11301" s="14" t="str">
        <f>HYPERLINK("https://www.boe.es/gazeta/dias/1839/06/19/pdfs/GMD-1839-1677.pdf#page=3","Abrir facsímil")</f>
        <v>Abrir facsímil</v>
      </c>
      <c r="K11301" s="12" t="s">
        <v>65</v>
      </c>
    </row>
    <row r="11302" spans="1:11" ht="40.049999999999997" customHeight="1" x14ac:dyDescent="0.25">
      <c r="A11302" s="11" t="s">
        <v>22330</v>
      </c>
      <c r="B11302" s="11" t="s">
        <v>22331</v>
      </c>
      <c r="C11302" s="11" t="s">
        <v>59</v>
      </c>
      <c r="D11302" s="11" t="s">
        <v>60</v>
      </c>
      <c r="E11302" s="12" t="s">
        <v>2210</v>
      </c>
      <c r="F11302" s="12" t="s">
        <v>2211</v>
      </c>
      <c r="G11302" s="12" t="s">
        <v>40</v>
      </c>
      <c r="H11302" s="11" t="s">
        <v>63</v>
      </c>
      <c r="I11302" s="13" t="s">
        <v>22332</v>
      </c>
      <c r="J11302" s="14" t="str">
        <f>HYPERLINK("https://www.boe.es/gazeta/dias/1839/09/05/pdfs/GMD-1839-1758.pdf#page=2","Abrir facsímil")</f>
        <v>Abrir facsímil</v>
      </c>
      <c r="K11302" s="12" t="s">
        <v>65</v>
      </c>
    </row>
    <row r="11303" spans="1:11" ht="40.049999999999997" customHeight="1" x14ac:dyDescent="0.25">
      <c r="A11303" s="11" t="s">
        <v>22333</v>
      </c>
      <c r="B11303" s="11" t="s">
        <v>22334</v>
      </c>
      <c r="C11303" s="11" t="s">
        <v>17</v>
      </c>
      <c r="D11303" s="11" t="s">
        <v>18</v>
      </c>
      <c r="E11303" s="12" t="s">
        <v>433</v>
      </c>
      <c r="F11303" s="12" t="s">
        <v>434</v>
      </c>
      <c r="G11303" s="12" t="s">
        <v>46</v>
      </c>
      <c r="H11303" s="11" t="s">
        <v>63</v>
      </c>
      <c r="I11303" s="13" t="s">
        <v>22335</v>
      </c>
      <c r="J11303" s="14" t="str">
        <f>HYPERLINK("https://www.boe.es/gazeta/dias/1839/01/20/pdfs/GMD-1839-1527.pdf#page=3","Abrir facsímil")</f>
        <v>Abrir facsímil</v>
      </c>
      <c r="K11303" s="12" t="s">
        <v>65</v>
      </c>
    </row>
    <row r="11304" spans="1:11" ht="40.049999999999997" customHeight="1" x14ac:dyDescent="0.25">
      <c r="A11304" s="11" t="s">
        <v>22336</v>
      </c>
      <c r="B11304" s="11" t="s">
        <v>22336</v>
      </c>
      <c r="C11304" s="11" t="s">
        <v>17</v>
      </c>
      <c r="D11304" s="11" t="s">
        <v>18</v>
      </c>
      <c r="E11304" s="12" t="s">
        <v>132</v>
      </c>
      <c r="F11304" s="12" t="s">
        <v>133</v>
      </c>
      <c r="G11304" s="12" t="s">
        <v>46</v>
      </c>
      <c r="H11304" s="11" t="s">
        <v>63</v>
      </c>
      <c r="I11304" s="13" t="s">
        <v>22337</v>
      </c>
      <c r="J11304" s="14" t="str">
        <f>HYPERLINK("https://www.boe.es/gazeta/dias/1839/08/02/pdfs/GMD-1839-1722.pdf#page=3","Abrir facsímil")</f>
        <v>Abrir facsímil</v>
      </c>
      <c r="K11304" s="12" t="s">
        <v>65</v>
      </c>
    </row>
    <row r="11305" spans="1:11" ht="40.049999999999997" customHeight="1" x14ac:dyDescent="0.25">
      <c r="A11305" s="11" t="s">
        <v>22338</v>
      </c>
      <c r="B11305" s="11" t="s">
        <v>22339</v>
      </c>
      <c r="C11305" s="11" t="s">
        <v>80</v>
      </c>
      <c r="D11305" s="11" t="s">
        <v>18</v>
      </c>
      <c r="E11305" s="12" t="s">
        <v>197</v>
      </c>
      <c r="F11305" s="12" t="s">
        <v>198</v>
      </c>
      <c r="G11305" s="12" t="s">
        <v>46</v>
      </c>
      <c r="H11305" s="11" t="s">
        <v>63</v>
      </c>
      <c r="I11305" s="13" t="s">
        <v>22340</v>
      </c>
      <c r="J11305" s="14" t="str">
        <f>HYPERLINK("https://www.boe.es/gazeta/dias/1839/10/04/pdfs/GMD-1839-1790.pdf#page=3","Abrir facsímil")</f>
        <v>Abrir facsímil</v>
      </c>
      <c r="K11305" s="12" t="s">
        <v>65</v>
      </c>
    </row>
    <row r="11306" spans="1:11" ht="40.049999999999997" customHeight="1" x14ac:dyDescent="0.25">
      <c r="A11306" s="11" t="s">
        <v>22341</v>
      </c>
      <c r="B11306" s="11" t="s">
        <v>22342</v>
      </c>
      <c r="C11306" s="11" t="s">
        <v>137</v>
      </c>
      <c r="D11306" s="11" t="s">
        <v>18</v>
      </c>
      <c r="E11306" s="12" t="s">
        <v>262</v>
      </c>
      <c r="F11306" s="12" t="s">
        <v>263</v>
      </c>
      <c r="G11306" s="12" t="s">
        <v>46</v>
      </c>
      <c r="H11306" s="11" t="s">
        <v>63</v>
      </c>
      <c r="I11306" s="13" t="s">
        <v>22343</v>
      </c>
      <c r="J11306" s="14" t="str">
        <f>HYPERLINK("https://www.boe.es/gazeta/dias/1839/01/01/pdfs/GMD-1839-1508.pdf#page=3","Abrir facsímil")</f>
        <v>Abrir facsímil</v>
      </c>
      <c r="K11306" s="12" t="s">
        <v>65</v>
      </c>
    </row>
    <row r="11307" spans="1:11" ht="40.049999999999997" customHeight="1" x14ac:dyDescent="0.25">
      <c r="A11307" s="11" t="s">
        <v>22344</v>
      </c>
      <c r="B11307" s="11" t="s">
        <v>22344</v>
      </c>
      <c r="C11307" s="11" t="s">
        <v>137</v>
      </c>
      <c r="D11307" s="11" t="s">
        <v>18</v>
      </c>
      <c r="E11307" s="12" t="s">
        <v>266</v>
      </c>
      <c r="F11307" s="12" t="s">
        <v>267</v>
      </c>
      <c r="G11307" s="12" t="s">
        <v>40</v>
      </c>
      <c r="H11307" s="11" t="s">
        <v>63</v>
      </c>
      <c r="I11307" s="13" t="s">
        <v>22345</v>
      </c>
      <c r="J11307" s="14" t="str">
        <f>HYPERLINK("https://www.boe.es/gazeta/dias/1839/01/03/pdfs/GMD-1839-1510.pdf#page=2","Abrir facsímil")</f>
        <v>Abrir facsímil</v>
      </c>
      <c r="K11307" s="12" t="s">
        <v>65</v>
      </c>
    </row>
    <row r="11308" spans="1:11" ht="40.049999999999997" customHeight="1" x14ac:dyDescent="0.25">
      <c r="A11308" s="11" t="s">
        <v>22346</v>
      </c>
      <c r="B11308" s="11" t="s">
        <v>22346</v>
      </c>
      <c r="C11308" s="11" t="s">
        <v>101</v>
      </c>
      <c r="D11308" s="11" t="s">
        <v>43</v>
      </c>
      <c r="E11308" s="12" t="s">
        <v>49</v>
      </c>
      <c r="F11308" s="12" t="s">
        <v>50</v>
      </c>
      <c r="G11308" s="12" t="s">
        <v>21</v>
      </c>
      <c r="H11308" s="11" t="s">
        <v>22</v>
      </c>
      <c r="I11308" s="13" t="s">
        <v>22347</v>
      </c>
      <c r="J11308" s="14" t="str">
        <f>HYPERLINK("https://www.boe.es/gazeta/dias/1839/01/05/pdfs/GMD-1839-1512.pdf#page=4","Abrir facsímil")</f>
        <v>Abrir facsímil</v>
      </c>
      <c r="K11308" s="12" t="s">
        <v>24</v>
      </c>
    </row>
    <row r="11309" spans="1:11" ht="40.049999999999997" customHeight="1" x14ac:dyDescent="0.25">
      <c r="A11309" s="11" t="s">
        <v>22346</v>
      </c>
      <c r="B11309" s="11" t="s">
        <v>22346</v>
      </c>
      <c r="C11309" s="11" t="s">
        <v>17</v>
      </c>
      <c r="D11309" s="11" t="s">
        <v>18</v>
      </c>
      <c r="E11309" s="12" t="s">
        <v>1072</v>
      </c>
      <c r="F11309" s="12" t="s">
        <v>1073</v>
      </c>
      <c r="G11309" s="12" t="s">
        <v>29</v>
      </c>
      <c r="H11309" s="11" t="s">
        <v>22</v>
      </c>
      <c r="I11309" s="13" t="s">
        <v>22348</v>
      </c>
      <c r="J11309" s="14" t="str">
        <f>HYPERLINK("https://www.boe.es/gazeta/dias/1839/01/18/pdfs/GMD-1839-1525.pdf#page=1","Abrir facsímil")</f>
        <v>Abrir facsímil</v>
      </c>
      <c r="K11309" s="12" t="s">
        <v>24</v>
      </c>
    </row>
    <row r="11310" spans="1:11" ht="40.049999999999997" customHeight="1" x14ac:dyDescent="0.25">
      <c r="A11310" s="11" t="s">
        <v>22344</v>
      </c>
      <c r="B11310" s="11" t="s">
        <v>22344</v>
      </c>
      <c r="C11310" s="11" t="s">
        <v>80</v>
      </c>
      <c r="D11310" s="11" t="s">
        <v>18</v>
      </c>
      <c r="E11310" s="12" t="s">
        <v>926</v>
      </c>
      <c r="F11310" s="12" t="s">
        <v>927</v>
      </c>
      <c r="G11310" s="12" t="s">
        <v>21</v>
      </c>
      <c r="H11310" s="11" t="s">
        <v>63</v>
      </c>
      <c r="I11310" s="13" t="s">
        <v>22349</v>
      </c>
      <c r="J11310" s="14" t="str">
        <f>HYPERLINK("https://www.boe.es/gazeta/dias/1839/01/25/pdfs/GMD-1839-1532.pdf#page=4","Abrir facsímil")</f>
        <v>Abrir facsímil</v>
      </c>
      <c r="K11310" s="12" t="s">
        <v>65</v>
      </c>
    </row>
    <row r="11311" spans="1:11" ht="40.049999999999997" customHeight="1" x14ac:dyDescent="0.25">
      <c r="A11311" s="11" t="s">
        <v>22344</v>
      </c>
      <c r="B11311" s="11" t="s">
        <v>22344</v>
      </c>
      <c r="C11311" s="11" t="s">
        <v>17</v>
      </c>
      <c r="D11311" s="11" t="s">
        <v>18</v>
      </c>
      <c r="E11311" s="12" t="s">
        <v>1867</v>
      </c>
      <c r="F11311" s="12" t="s">
        <v>1868</v>
      </c>
      <c r="G11311" s="12" t="s">
        <v>46</v>
      </c>
      <c r="H11311" s="11" t="s">
        <v>63</v>
      </c>
      <c r="I11311" s="13" t="s">
        <v>22350</v>
      </c>
      <c r="J11311" s="14" t="str">
        <f>HYPERLINK("https://www.boe.es/gazeta/dias/1839/01/30/pdfs/GMD-1839-1537.pdf#page=3","Abrir facsímil")</f>
        <v>Abrir facsímil</v>
      </c>
      <c r="K11311" s="12" t="s">
        <v>65</v>
      </c>
    </row>
    <row r="11312" spans="1:11" ht="40.049999999999997" customHeight="1" x14ac:dyDescent="0.25">
      <c r="A11312" s="11" t="s">
        <v>22344</v>
      </c>
      <c r="B11312" s="11" t="s">
        <v>22344</v>
      </c>
      <c r="C11312" s="11" t="s">
        <v>17</v>
      </c>
      <c r="D11312" s="11" t="s">
        <v>18</v>
      </c>
      <c r="E11312" s="12" t="s">
        <v>1867</v>
      </c>
      <c r="F11312" s="12" t="s">
        <v>1868</v>
      </c>
      <c r="G11312" s="12" t="s">
        <v>21</v>
      </c>
      <c r="H11312" s="11" t="s">
        <v>63</v>
      </c>
      <c r="I11312" s="13" t="s">
        <v>22351</v>
      </c>
      <c r="J11312" s="14" t="str">
        <f>HYPERLINK("https://www.boe.es/gazeta/dias/1839/01/30/pdfs/GMD-1839-1537.pdf#page=4","Abrir facsímil")</f>
        <v>Abrir facsímil</v>
      </c>
      <c r="K11312" s="12" t="s">
        <v>65</v>
      </c>
    </row>
    <row r="11313" spans="1:11" ht="40.049999999999997" customHeight="1" x14ac:dyDescent="0.25">
      <c r="A11313" s="11" t="s">
        <v>22352</v>
      </c>
      <c r="B11313" s="11" t="s">
        <v>22353</v>
      </c>
      <c r="C11313" s="11" t="s">
        <v>17</v>
      </c>
      <c r="D11313" s="11" t="s">
        <v>18</v>
      </c>
      <c r="E11313" s="12" t="s">
        <v>239</v>
      </c>
      <c r="F11313" s="12" t="s">
        <v>240</v>
      </c>
      <c r="G11313" s="12" t="s">
        <v>29</v>
      </c>
      <c r="H11313" s="11" t="s">
        <v>63</v>
      </c>
      <c r="I11313" s="13" t="s">
        <v>22354</v>
      </c>
      <c r="J11313" s="14" t="str">
        <f>HYPERLINK("https://www.boe.es/gazeta/dias/1839/09/22/pdfs/GMD-1839-1777.pdf#page=1","Abrir facsímil")</f>
        <v>Abrir facsímil</v>
      </c>
      <c r="K11313" s="12" t="s">
        <v>65</v>
      </c>
    </row>
    <row r="11314" spans="1:11" ht="40.049999999999997" customHeight="1" x14ac:dyDescent="0.25">
      <c r="A11314" s="11" t="s">
        <v>22355</v>
      </c>
      <c r="B11314" s="11" t="s">
        <v>22356</v>
      </c>
      <c r="C11314" s="11" t="s">
        <v>80</v>
      </c>
      <c r="D11314" s="11" t="s">
        <v>18</v>
      </c>
      <c r="E11314" s="12" t="s">
        <v>926</v>
      </c>
      <c r="F11314" s="12" t="s">
        <v>927</v>
      </c>
      <c r="G11314" s="12" t="s">
        <v>21</v>
      </c>
      <c r="H11314" s="11" t="s">
        <v>63</v>
      </c>
      <c r="I11314" s="13" t="s">
        <v>22357</v>
      </c>
      <c r="J11314" s="14" t="str">
        <f>HYPERLINK("https://www.boe.es/gazeta/dias/1839/01/25/pdfs/GMD-1839-1532.pdf#page=4","Abrir facsímil")</f>
        <v>Abrir facsímil</v>
      </c>
      <c r="K11314" s="12" t="s">
        <v>65</v>
      </c>
    </row>
    <row r="11315" spans="1:11" ht="40.049999999999997" customHeight="1" x14ac:dyDescent="0.25">
      <c r="A11315" s="11" t="s">
        <v>22358</v>
      </c>
      <c r="B11315" s="11" t="s">
        <v>22359</v>
      </c>
      <c r="C11315" s="11" t="s">
        <v>80</v>
      </c>
      <c r="D11315" s="11" t="s">
        <v>18</v>
      </c>
      <c r="E11315" s="12" t="s">
        <v>330</v>
      </c>
      <c r="F11315" s="12" t="s">
        <v>331</v>
      </c>
      <c r="G11315" s="12" t="s">
        <v>21</v>
      </c>
      <c r="H11315" s="11" t="s">
        <v>63</v>
      </c>
      <c r="I11315" s="13" t="s">
        <v>22360</v>
      </c>
      <c r="J11315" s="14" t="str">
        <f>HYPERLINK("https://www.boe.es/gazeta/dias/1839/04/11/pdfs/GMD-1839-1608.pdf#page=4","Abrir facsímil")</f>
        <v>Abrir facsímil</v>
      </c>
      <c r="K11315" s="12" t="s">
        <v>65</v>
      </c>
    </row>
    <row r="11316" spans="1:11" ht="40.049999999999997" customHeight="1" x14ac:dyDescent="0.25">
      <c r="A11316" s="11" t="s">
        <v>22361</v>
      </c>
      <c r="B11316" s="11" t="s">
        <v>22361</v>
      </c>
      <c r="C11316" s="11" t="s">
        <v>101</v>
      </c>
      <c r="D11316" s="11" t="s">
        <v>102</v>
      </c>
      <c r="E11316" s="12" t="s">
        <v>1378</v>
      </c>
      <c r="F11316" s="12" t="s">
        <v>1379</v>
      </c>
      <c r="G11316" s="12" t="s">
        <v>21</v>
      </c>
      <c r="H11316" s="11" t="s">
        <v>63</v>
      </c>
      <c r="I11316" s="13" t="s">
        <v>22362</v>
      </c>
      <c r="J11316" s="14" t="str">
        <f>HYPERLINK("https://www.boe.es/gazeta/dias/1839/05/18/pdfs/GMD-1839-1645.pdf#page=4","Abrir facsímil")</f>
        <v>Abrir facsímil</v>
      </c>
      <c r="K11316" s="12" t="s">
        <v>65</v>
      </c>
    </row>
    <row r="11317" spans="1:11" ht="40.049999999999997" customHeight="1" x14ac:dyDescent="0.25">
      <c r="A11317" s="11" t="s">
        <v>22363</v>
      </c>
      <c r="B11317" s="11" t="s">
        <v>22364</v>
      </c>
      <c r="C11317" s="11" t="s">
        <v>59</v>
      </c>
      <c r="D11317" s="11" t="s">
        <v>60</v>
      </c>
      <c r="E11317" s="12" t="s">
        <v>291</v>
      </c>
      <c r="F11317" s="12" t="s">
        <v>292</v>
      </c>
      <c r="G11317" s="12" t="s">
        <v>29</v>
      </c>
      <c r="H11317" s="11" t="s">
        <v>63</v>
      </c>
      <c r="I11317" s="13" t="s">
        <v>22365</v>
      </c>
      <c r="J11317" s="14" t="str">
        <f>HYPERLINK("https://www.boe.es/gazeta/dias/1839/09/04/pdfs/GMD-1839-1757.pdf#page=1","Abrir facsímil")</f>
        <v>Abrir facsímil</v>
      </c>
      <c r="K11317" s="12" t="s">
        <v>65</v>
      </c>
    </row>
    <row r="11318" spans="1:11" ht="40.049999999999997" customHeight="1" x14ac:dyDescent="0.25">
      <c r="A11318" s="11" t="s">
        <v>22366</v>
      </c>
      <c r="B11318" s="11" t="s">
        <v>22367</v>
      </c>
      <c r="C11318" s="11" t="s">
        <v>17</v>
      </c>
      <c r="D11318" s="11" t="s">
        <v>18</v>
      </c>
      <c r="E11318" s="12" t="s">
        <v>690</v>
      </c>
      <c r="F11318" s="12" t="s">
        <v>691</v>
      </c>
      <c r="G11318" s="12" t="s">
        <v>46</v>
      </c>
      <c r="H11318" s="11" t="s">
        <v>63</v>
      </c>
      <c r="I11318" s="13" t="s">
        <v>22368</v>
      </c>
      <c r="J11318" s="14" t="str">
        <f>HYPERLINK("https://www.boe.es/gazeta/dias/1839/12/08/pdfs/GMD-1839-1855.pdf#page=3","Abrir facsímil")</f>
        <v>Abrir facsímil</v>
      </c>
      <c r="K11318" s="12" t="s">
        <v>65</v>
      </c>
    </row>
    <row r="11319" spans="1:11" ht="40.049999999999997" customHeight="1" x14ac:dyDescent="0.25">
      <c r="A11319" s="11" t="s">
        <v>22369</v>
      </c>
      <c r="B11319" s="11" t="s">
        <v>22369</v>
      </c>
      <c r="C11319" s="11" t="s">
        <v>17</v>
      </c>
      <c r="D11319" s="11" t="s">
        <v>18</v>
      </c>
      <c r="E11319" s="12" t="s">
        <v>185</v>
      </c>
      <c r="F11319" s="12" t="s">
        <v>186</v>
      </c>
      <c r="G11319" s="12" t="s">
        <v>29</v>
      </c>
      <c r="H11319" s="11" t="s">
        <v>22</v>
      </c>
      <c r="I11319" s="13" t="s">
        <v>22370</v>
      </c>
      <c r="J11319" s="14" t="str">
        <f>HYPERLINK("https://www.boe.es/gazeta/dias/1839/01/15/pdfs/GMD-1839-1522.pdf#page=1","Abrir facsímil")</f>
        <v>Abrir facsímil</v>
      </c>
      <c r="K11319" s="12" t="s">
        <v>24</v>
      </c>
    </row>
    <row r="11320" spans="1:11" ht="40.049999999999997" customHeight="1" x14ac:dyDescent="0.25">
      <c r="A11320" s="11" t="s">
        <v>22371</v>
      </c>
      <c r="B11320" s="11" t="s">
        <v>22371</v>
      </c>
      <c r="C11320" s="11" t="s">
        <v>17</v>
      </c>
      <c r="D11320" s="11" t="s">
        <v>18</v>
      </c>
      <c r="E11320" s="12" t="s">
        <v>175</v>
      </c>
      <c r="F11320" s="12" t="s">
        <v>176</v>
      </c>
      <c r="G11320" s="12" t="s">
        <v>40</v>
      </c>
      <c r="H11320" s="11" t="s">
        <v>63</v>
      </c>
      <c r="I11320" s="13" t="s">
        <v>22372</v>
      </c>
      <c r="J11320" s="14" t="str">
        <f>HYPERLINK("https://www.boe.es/gazeta/dias/1839/01/16/pdfs/GMD-1839-1523.pdf#page=2","Abrir facsímil")</f>
        <v>Abrir facsímil</v>
      </c>
      <c r="K11320" s="12" t="s">
        <v>65</v>
      </c>
    </row>
    <row r="11321" spans="1:11" ht="40.049999999999997" customHeight="1" x14ac:dyDescent="0.25">
      <c r="A11321" s="11" t="s">
        <v>22373</v>
      </c>
      <c r="B11321" s="11" t="s">
        <v>22374</v>
      </c>
      <c r="C11321" s="11" t="s">
        <v>59</v>
      </c>
      <c r="D11321" s="11" t="s">
        <v>60</v>
      </c>
      <c r="E11321" s="12" t="s">
        <v>202</v>
      </c>
      <c r="F11321" s="12" t="s">
        <v>203</v>
      </c>
      <c r="G11321" s="12" t="s">
        <v>46</v>
      </c>
      <c r="H11321" s="11" t="s">
        <v>22</v>
      </c>
      <c r="I11321" s="13" t="s">
        <v>22375</v>
      </c>
      <c r="J11321" s="14" t="str">
        <f>HYPERLINK("https://www.boe.es/gazeta/dias/1839/04/05/pdfs/GMD-1839-1602.pdf#page=3","Abrir facsímil")</f>
        <v>Abrir facsímil</v>
      </c>
      <c r="K11321" s="12" t="s">
        <v>24</v>
      </c>
    </row>
    <row r="11322" spans="1:11" ht="40.049999999999997" customHeight="1" x14ac:dyDescent="0.25">
      <c r="A11322" s="11" t="s">
        <v>22376</v>
      </c>
      <c r="B11322" s="11" t="s">
        <v>22377</v>
      </c>
      <c r="C11322" s="11" t="s">
        <v>17</v>
      </c>
      <c r="D11322" s="11" t="s">
        <v>18</v>
      </c>
      <c r="E11322" s="12" t="s">
        <v>258</v>
      </c>
      <c r="F11322" s="12" t="s">
        <v>259</v>
      </c>
      <c r="G11322" s="12" t="s">
        <v>46</v>
      </c>
      <c r="H11322" s="11" t="s">
        <v>22</v>
      </c>
      <c r="I11322" s="13" t="s">
        <v>22378</v>
      </c>
      <c r="J11322" s="14" t="str">
        <f>HYPERLINK("https://www.boe.es/gazeta/dias/1839/01/02/pdfs/GMD-1839-1509.pdf#page=3","Abrir facsímil")</f>
        <v>Abrir facsímil</v>
      </c>
      <c r="K11322" s="12" t="s">
        <v>24</v>
      </c>
    </row>
    <row r="11323" spans="1:11" ht="40.049999999999997" customHeight="1" x14ac:dyDescent="0.25">
      <c r="A11323" s="11" t="s">
        <v>22379</v>
      </c>
      <c r="B11323" s="11" t="s">
        <v>22380</v>
      </c>
      <c r="C11323" s="11" t="s">
        <v>80</v>
      </c>
      <c r="D11323" s="11" t="s">
        <v>18</v>
      </c>
      <c r="E11323" s="12" t="s">
        <v>168</v>
      </c>
      <c r="F11323" s="12" t="s">
        <v>169</v>
      </c>
      <c r="G11323" s="12" t="s">
        <v>21</v>
      </c>
      <c r="H11323" s="11" t="s">
        <v>63</v>
      </c>
      <c r="I11323" s="13" t="s">
        <v>22381</v>
      </c>
      <c r="J11323" s="14" t="str">
        <f>HYPERLINK("https://www.boe.es/gazeta/dias/1839/07/12/pdfs/GMD-1839-1700.pdf#page=4","Abrir facsímil")</f>
        <v>Abrir facsímil</v>
      </c>
      <c r="K11323" s="12" t="s">
        <v>65</v>
      </c>
    </row>
    <row r="11324" spans="1:11" ht="40.049999999999997" customHeight="1" x14ac:dyDescent="0.25">
      <c r="A11324" s="11" t="s">
        <v>22382</v>
      </c>
      <c r="B11324" s="11" t="s">
        <v>22383</v>
      </c>
      <c r="C11324" s="11" t="s">
        <v>137</v>
      </c>
      <c r="D11324" s="11" t="s">
        <v>18</v>
      </c>
      <c r="E11324" s="12" t="s">
        <v>1672</v>
      </c>
      <c r="F11324" s="12" t="s">
        <v>1673</v>
      </c>
      <c r="G11324" s="12" t="s">
        <v>21</v>
      </c>
      <c r="H11324" s="11" t="s">
        <v>63</v>
      </c>
      <c r="I11324" s="13" t="s">
        <v>22384</v>
      </c>
      <c r="J11324" s="14" t="str">
        <f>HYPERLINK("https://www.boe.es/gazeta/dias/1839/08/24/pdfs/GMD-1839-1745.pdf#page=4","Abrir facsímil")</f>
        <v>Abrir facsímil</v>
      </c>
      <c r="K11324" s="12" t="s">
        <v>65</v>
      </c>
    </row>
    <row r="11325" spans="1:11" ht="40.049999999999997" customHeight="1" x14ac:dyDescent="0.25">
      <c r="A11325" s="11" t="s">
        <v>22385</v>
      </c>
      <c r="B11325" s="11" t="s">
        <v>22386</v>
      </c>
      <c r="C11325" s="11" t="s">
        <v>137</v>
      </c>
      <c r="D11325" s="11" t="s">
        <v>18</v>
      </c>
      <c r="E11325" s="12" t="s">
        <v>89</v>
      </c>
      <c r="F11325" s="12" t="s">
        <v>90</v>
      </c>
      <c r="G11325" s="12" t="s">
        <v>21</v>
      </c>
      <c r="H11325" s="11" t="s">
        <v>63</v>
      </c>
      <c r="I11325" s="13" t="s">
        <v>22387</v>
      </c>
      <c r="J11325" s="14" t="str">
        <f>HYPERLINK("https://www.boe.es/gazeta/dias/1839/11/28/pdfs/GMD-1839-1845.pdf#page=4","Abrir facsímil")</f>
        <v>Abrir facsímil</v>
      </c>
      <c r="K11325" s="12" t="s">
        <v>65</v>
      </c>
    </row>
    <row r="11326" spans="1:11" ht="40.049999999999997" customHeight="1" x14ac:dyDescent="0.25">
      <c r="A11326" s="11" t="s">
        <v>22388</v>
      </c>
      <c r="B11326" s="11" t="s">
        <v>22388</v>
      </c>
      <c r="C11326" s="11" t="s">
        <v>17</v>
      </c>
      <c r="D11326" s="11" t="s">
        <v>18</v>
      </c>
      <c r="E11326" s="12" t="s">
        <v>54</v>
      </c>
      <c r="F11326" s="12" t="s">
        <v>55</v>
      </c>
      <c r="G11326" s="12" t="s">
        <v>21</v>
      </c>
      <c r="H11326" s="11" t="s">
        <v>22</v>
      </c>
      <c r="I11326" s="13" t="s">
        <v>22389</v>
      </c>
      <c r="J11326" s="14" t="str">
        <f>HYPERLINK("https://www.boe.es/gazeta/dias/1839/10/05/pdfs/GMD-1839-1791.pdf#page=4","Abrir facsímil")</f>
        <v>Abrir facsímil</v>
      </c>
      <c r="K11326" s="12" t="s">
        <v>24</v>
      </c>
    </row>
    <row r="11327" spans="1:11" ht="40.049999999999997" customHeight="1" x14ac:dyDescent="0.25">
      <c r="A11327" s="11" t="s">
        <v>22388</v>
      </c>
      <c r="B11327" s="11" t="s">
        <v>22388</v>
      </c>
      <c r="C11327" s="11" t="s">
        <v>101</v>
      </c>
      <c r="D11327" s="11" t="s">
        <v>43</v>
      </c>
      <c r="E11327" s="12" t="s">
        <v>1807</v>
      </c>
      <c r="F11327" s="12" t="s">
        <v>1808</v>
      </c>
      <c r="G11327" s="12" t="s">
        <v>46</v>
      </c>
      <c r="H11327" s="11" t="s">
        <v>22</v>
      </c>
      <c r="I11327" s="13" t="s">
        <v>22390</v>
      </c>
      <c r="J11327" s="14" t="str">
        <f>HYPERLINK("https://www.boe.es/gazeta/dias/1839/01/29/pdfs/GMD-1839-1536.pdf#page=3","Abrir facsímil")</f>
        <v>Abrir facsímil</v>
      </c>
      <c r="K11327" s="12" t="s">
        <v>24</v>
      </c>
    </row>
    <row r="11328" spans="1:11" ht="40.049999999999997" customHeight="1" x14ac:dyDescent="0.25">
      <c r="A11328" s="11" t="s">
        <v>22388</v>
      </c>
      <c r="B11328" s="11" t="s">
        <v>22388</v>
      </c>
      <c r="C11328" s="11" t="s">
        <v>17</v>
      </c>
      <c r="D11328" s="11" t="s">
        <v>18</v>
      </c>
      <c r="E11328" s="12" t="s">
        <v>1287</v>
      </c>
      <c r="F11328" s="12" t="s">
        <v>1288</v>
      </c>
      <c r="G11328" s="12" t="s">
        <v>40</v>
      </c>
      <c r="H11328" s="11" t="s">
        <v>22</v>
      </c>
      <c r="I11328" s="13" t="s">
        <v>22391</v>
      </c>
      <c r="J11328" s="14" t="str">
        <f>HYPERLINK("https://www.boe.es/gazeta/dias/1839/10/30/pdfs/GMD-1839-1816.pdf#page=2","Abrir facsímil")</f>
        <v>Abrir facsímil</v>
      </c>
      <c r="K11328" s="12" t="s">
        <v>24</v>
      </c>
    </row>
    <row r="11329" spans="1:11" ht="40.049999999999997" customHeight="1" x14ac:dyDescent="0.25">
      <c r="A11329" s="11" t="s">
        <v>22392</v>
      </c>
      <c r="B11329" s="11" t="s">
        <v>22393</v>
      </c>
      <c r="C11329" s="11" t="s">
        <v>17</v>
      </c>
      <c r="D11329" s="11" t="s">
        <v>18</v>
      </c>
      <c r="E11329" s="12" t="s">
        <v>128</v>
      </c>
      <c r="F11329" s="12" t="s">
        <v>129</v>
      </c>
      <c r="G11329" s="12" t="s">
        <v>21</v>
      </c>
      <c r="H11329" s="11" t="s">
        <v>63</v>
      </c>
      <c r="I11329" s="13" t="s">
        <v>22394</v>
      </c>
      <c r="J11329" s="14" t="str">
        <f>HYPERLINK("https://www.boe.es/gazeta/dias/1839/05/25/pdfs/GMD-1839-1652.pdf#page=4","Abrir facsímil")</f>
        <v>Abrir facsímil</v>
      </c>
      <c r="K11329" s="12" t="s">
        <v>65</v>
      </c>
    </row>
    <row r="11330" spans="1:11" ht="40.049999999999997" customHeight="1" x14ac:dyDescent="0.25">
      <c r="A11330" s="11" t="s">
        <v>22395</v>
      </c>
      <c r="B11330" s="11" t="s">
        <v>22395</v>
      </c>
      <c r="C11330" s="11" t="s">
        <v>17</v>
      </c>
      <c r="D11330" s="11" t="s">
        <v>18</v>
      </c>
      <c r="E11330" s="12" t="s">
        <v>713</v>
      </c>
      <c r="F11330" s="12" t="s">
        <v>714</v>
      </c>
      <c r="G11330" s="12" t="s">
        <v>40</v>
      </c>
      <c r="H11330" s="11" t="s">
        <v>63</v>
      </c>
      <c r="I11330" s="13" t="s">
        <v>22396</v>
      </c>
      <c r="J11330" s="14" t="str">
        <f>HYPERLINK("https://www.boe.es/gazeta/dias/1839/12/18/pdfs/GMD-1839-1865.pdf#page=2","Abrir facsímil")</f>
        <v>Abrir facsímil</v>
      </c>
      <c r="K11330" s="12" t="s">
        <v>65</v>
      </c>
    </row>
    <row r="11331" spans="1:11" ht="40.049999999999997" customHeight="1" x14ac:dyDescent="0.25">
      <c r="A11331" s="11" t="s">
        <v>22397</v>
      </c>
      <c r="B11331" s="11" t="s">
        <v>22398</v>
      </c>
      <c r="C11331" s="11" t="s">
        <v>17</v>
      </c>
      <c r="D11331" s="11" t="s">
        <v>18</v>
      </c>
      <c r="E11331" s="12" t="s">
        <v>998</v>
      </c>
      <c r="F11331" s="12" t="s">
        <v>999</v>
      </c>
      <c r="G11331" s="12" t="s">
        <v>21</v>
      </c>
      <c r="H11331" s="11" t="s">
        <v>63</v>
      </c>
      <c r="I11331" s="13" t="s">
        <v>22399</v>
      </c>
      <c r="J11331" s="14" t="str">
        <f>HYPERLINK("https://www.boe.es/gazeta/dias/1839/05/06/pdfs/GMD-1839-1633.pdf#page=4","Abrir facsímil")</f>
        <v>Abrir facsímil</v>
      </c>
      <c r="K11331" s="12" t="s">
        <v>65</v>
      </c>
    </row>
    <row r="11332" spans="1:11" ht="40.049999999999997" customHeight="1" x14ac:dyDescent="0.25">
      <c r="A11332" s="11" t="s">
        <v>22400</v>
      </c>
      <c r="B11332" s="11" t="s">
        <v>22400</v>
      </c>
      <c r="C11332" s="11" t="s">
        <v>17</v>
      </c>
      <c r="D11332" s="11" t="s">
        <v>18</v>
      </c>
      <c r="E11332" s="12" t="s">
        <v>185</v>
      </c>
      <c r="F11332" s="12" t="s">
        <v>186</v>
      </c>
      <c r="G11332" s="12" t="s">
        <v>21</v>
      </c>
      <c r="H11332" s="11" t="s">
        <v>63</v>
      </c>
      <c r="I11332" s="13" t="s">
        <v>22401</v>
      </c>
      <c r="J11332" s="14" t="str">
        <f>HYPERLINK("https://www.boe.es/gazeta/dias/1839/01/15/pdfs/GMD-1839-1522.pdf#page=4","Abrir facsímil")</f>
        <v>Abrir facsímil</v>
      </c>
      <c r="K11332" s="12" t="s">
        <v>65</v>
      </c>
    </row>
    <row r="11333" spans="1:11" ht="40.049999999999997" customHeight="1" x14ac:dyDescent="0.25">
      <c r="A11333" s="11" t="s">
        <v>22402</v>
      </c>
      <c r="B11333" s="11" t="s">
        <v>22402</v>
      </c>
      <c r="C11333" s="11" t="s">
        <v>80</v>
      </c>
      <c r="D11333" s="11" t="s">
        <v>18</v>
      </c>
      <c r="E11333" s="12" t="s">
        <v>695</v>
      </c>
      <c r="F11333" s="12" t="s">
        <v>696</v>
      </c>
      <c r="G11333" s="12" t="s">
        <v>46</v>
      </c>
      <c r="H11333" s="11" t="s">
        <v>63</v>
      </c>
      <c r="I11333" s="13" t="s">
        <v>22403</v>
      </c>
      <c r="J11333" s="14" t="str">
        <f>HYPERLINK("https://www.boe.es/gazeta/dias/1839/12/19/pdfs/GMD-1839-1866.pdf#page=3","Abrir facsímil")</f>
        <v>Abrir facsímil</v>
      </c>
      <c r="K11333" s="12" t="s">
        <v>65</v>
      </c>
    </row>
    <row r="11334" spans="1:11" ht="40.049999999999997" customHeight="1" x14ac:dyDescent="0.25">
      <c r="A11334" s="11" t="s">
        <v>22404</v>
      </c>
      <c r="B11334" s="11" t="s">
        <v>22405</v>
      </c>
      <c r="C11334" s="11" t="s">
        <v>17</v>
      </c>
      <c r="D11334" s="11" t="s">
        <v>18</v>
      </c>
      <c r="E11334" s="12" t="s">
        <v>1356</v>
      </c>
      <c r="F11334" s="12" t="s">
        <v>1357</v>
      </c>
      <c r="G11334" s="12" t="s">
        <v>21</v>
      </c>
      <c r="H11334" s="11" t="s">
        <v>63</v>
      </c>
      <c r="I11334" s="13" t="s">
        <v>22406</v>
      </c>
      <c r="J11334" s="14" t="str">
        <f>HYPERLINK("https://www.boe.es/gazeta/dias/1839/06/05/pdfs/GMD-1839-1663.pdf#page=4","Abrir facsímil")</f>
        <v>Abrir facsímil</v>
      </c>
      <c r="K11334" s="12" t="s">
        <v>65</v>
      </c>
    </row>
    <row r="11335" spans="1:11" ht="40.049999999999997" customHeight="1" x14ac:dyDescent="0.25">
      <c r="A11335" s="11" t="s">
        <v>22407</v>
      </c>
      <c r="B11335" s="11" t="s">
        <v>22408</v>
      </c>
      <c r="C11335" s="11" t="s">
        <v>80</v>
      </c>
      <c r="D11335" s="11" t="s">
        <v>18</v>
      </c>
      <c r="E11335" s="12" t="s">
        <v>4186</v>
      </c>
      <c r="F11335" s="12" t="s">
        <v>4187</v>
      </c>
      <c r="G11335" s="12" t="s">
        <v>21</v>
      </c>
      <c r="H11335" s="11" t="s">
        <v>63</v>
      </c>
      <c r="I11335" s="13" t="s">
        <v>22409</v>
      </c>
      <c r="J11335" s="14" t="str">
        <f>HYPERLINK("https://www.boe.es/gazeta/dias/1839/12/12/pdfs/GMD-1839-1859.pdf#page=4","Abrir facsímil")</f>
        <v>Abrir facsímil</v>
      </c>
      <c r="K11335" s="12" t="s">
        <v>65</v>
      </c>
    </row>
    <row r="11336" spans="1:11" ht="40.049999999999997" customHeight="1" x14ac:dyDescent="0.25">
      <c r="A11336" s="11" t="s">
        <v>22410</v>
      </c>
      <c r="B11336" s="11" t="s">
        <v>22411</v>
      </c>
      <c r="C11336" s="11" t="s">
        <v>80</v>
      </c>
      <c r="D11336" s="11" t="s">
        <v>18</v>
      </c>
      <c r="E11336" s="12" t="s">
        <v>2155</v>
      </c>
      <c r="F11336" s="12" t="s">
        <v>2156</v>
      </c>
      <c r="G11336" s="12" t="s">
        <v>46</v>
      </c>
      <c r="H11336" s="11" t="s">
        <v>22</v>
      </c>
      <c r="I11336" s="13" t="s">
        <v>22412</v>
      </c>
      <c r="J11336" s="14" t="str">
        <f>HYPERLINK("https://www.boe.es/gazeta/dias/1839/01/17/pdfs/GMD-1839-1524.pdf#page=3","Abrir facsímil")</f>
        <v>Abrir facsímil</v>
      </c>
      <c r="K11336" s="12" t="s">
        <v>24</v>
      </c>
    </row>
    <row r="11337" spans="1:11" ht="40.049999999999997" customHeight="1" x14ac:dyDescent="0.25">
      <c r="A11337" s="11" t="s">
        <v>22413</v>
      </c>
      <c r="B11337" s="11" t="s">
        <v>22413</v>
      </c>
      <c r="C11337" s="11" t="s">
        <v>59</v>
      </c>
      <c r="D11337" s="11" t="s">
        <v>60</v>
      </c>
      <c r="E11337" s="12" t="s">
        <v>3566</v>
      </c>
      <c r="F11337" s="12" t="s">
        <v>3567</v>
      </c>
      <c r="G11337" s="12" t="s">
        <v>29</v>
      </c>
      <c r="H11337" s="11" t="s">
        <v>63</v>
      </c>
      <c r="I11337" s="13" t="s">
        <v>22414</v>
      </c>
      <c r="J11337" s="14" t="str">
        <f>HYPERLINK("https://www.boe.es/gazeta/dias/1839/07/06/pdfs/GMD-1839-1694.pdf#page=1","Abrir facsímil")</f>
        <v>Abrir facsímil</v>
      </c>
      <c r="K11337" s="12" t="s">
        <v>65</v>
      </c>
    </row>
    <row r="11338" spans="1:11" ht="40.049999999999997" customHeight="1" x14ac:dyDescent="0.25">
      <c r="A11338" s="11" t="s">
        <v>22413</v>
      </c>
      <c r="B11338" s="11" t="s">
        <v>22413</v>
      </c>
      <c r="C11338" s="11" t="s">
        <v>17</v>
      </c>
      <c r="D11338" s="11" t="s">
        <v>18</v>
      </c>
      <c r="E11338" s="12" t="s">
        <v>1378</v>
      </c>
      <c r="F11338" s="12" t="s">
        <v>1379</v>
      </c>
      <c r="G11338" s="12" t="s">
        <v>21</v>
      </c>
      <c r="H11338" s="11" t="s">
        <v>63</v>
      </c>
      <c r="I11338" s="13" t="s">
        <v>22415</v>
      </c>
      <c r="J11338" s="14" t="str">
        <f>HYPERLINK("https://www.boe.es/gazeta/dias/1839/05/18/pdfs/GMD-1839-1645.pdf#page=4","Abrir facsímil")</f>
        <v>Abrir facsímil</v>
      </c>
      <c r="K11338" s="12" t="s">
        <v>65</v>
      </c>
    </row>
    <row r="11339" spans="1:11" ht="40.049999999999997" customHeight="1" x14ac:dyDescent="0.25">
      <c r="A11339" s="11" t="s">
        <v>22416</v>
      </c>
      <c r="B11339" s="11" t="s">
        <v>22417</v>
      </c>
      <c r="C11339" s="11" t="s">
        <v>101</v>
      </c>
      <c r="D11339" s="11" t="s">
        <v>43</v>
      </c>
      <c r="E11339" s="12" t="s">
        <v>577</v>
      </c>
      <c r="F11339" s="12" t="s">
        <v>578</v>
      </c>
      <c r="G11339" s="12" t="s">
        <v>40</v>
      </c>
      <c r="H11339" s="11" t="s">
        <v>22</v>
      </c>
      <c r="I11339" s="13" t="s">
        <v>22418</v>
      </c>
      <c r="J11339" s="14" t="str">
        <f>HYPERLINK("https://www.boe.es/gazeta/dias/1839/09/30/pdfs/GMD-1839-1786.pdf#page=2","Abrir facsímil")</f>
        <v>Abrir facsímil</v>
      </c>
      <c r="K11339" s="12" t="s">
        <v>24</v>
      </c>
    </row>
    <row r="11340" spans="1:11" ht="40.049999999999997" customHeight="1" x14ac:dyDescent="0.25">
      <c r="A11340" s="11" t="s">
        <v>22419</v>
      </c>
      <c r="B11340" s="11" t="s">
        <v>22419</v>
      </c>
      <c r="C11340" s="11" t="s">
        <v>17</v>
      </c>
      <c r="D11340" s="11" t="s">
        <v>18</v>
      </c>
      <c r="E11340" s="12" t="s">
        <v>2440</v>
      </c>
      <c r="F11340" s="12" t="s">
        <v>2441</v>
      </c>
      <c r="G11340" s="12" t="s">
        <v>29</v>
      </c>
      <c r="H11340" s="11" t="s">
        <v>63</v>
      </c>
      <c r="I11340" s="13" t="s">
        <v>22420</v>
      </c>
      <c r="J11340" s="14" t="str">
        <f>HYPERLINK("https://www.boe.es/gazeta/dias/1839/12/01/pdfs/GMD-1839-1848.pdf#page=1","Abrir facsímil")</f>
        <v>Abrir facsímil</v>
      </c>
      <c r="K11340" s="12" t="s">
        <v>65</v>
      </c>
    </row>
    <row r="11341" spans="1:11" ht="40.049999999999997" customHeight="1" x14ac:dyDescent="0.25">
      <c r="A11341" s="11" t="s">
        <v>22421</v>
      </c>
      <c r="B11341" s="11" t="s">
        <v>22422</v>
      </c>
      <c r="C11341" s="11" t="s">
        <v>59</v>
      </c>
      <c r="D11341" s="11" t="s">
        <v>60</v>
      </c>
      <c r="E11341" s="12" t="s">
        <v>1391</v>
      </c>
      <c r="F11341" s="12" t="s">
        <v>1392</v>
      </c>
      <c r="G11341" s="12" t="s">
        <v>21</v>
      </c>
      <c r="H11341" s="11" t="s">
        <v>22</v>
      </c>
      <c r="I11341" s="13" t="s">
        <v>22423</v>
      </c>
      <c r="J11341" s="14" t="str">
        <f>HYPERLINK("https://www.boe.es/gazeta/dias/1839/05/12/pdfs/GMD-1839-1639.pdf#page=4","Abrir facsímil")</f>
        <v>Abrir facsímil</v>
      </c>
      <c r="K11341" s="12" t="s">
        <v>24</v>
      </c>
    </row>
    <row r="11342" spans="1:11" ht="40.049999999999997" customHeight="1" x14ac:dyDescent="0.25">
      <c r="A11342" s="11" t="s">
        <v>22424</v>
      </c>
      <c r="B11342" s="11" t="s">
        <v>22425</v>
      </c>
      <c r="C11342" s="11" t="s">
        <v>17</v>
      </c>
      <c r="D11342" s="11" t="s">
        <v>18</v>
      </c>
      <c r="E11342" s="12" t="s">
        <v>154</v>
      </c>
      <c r="F11342" s="12" t="s">
        <v>155</v>
      </c>
      <c r="G11342" s="12" t="s">
        <v>21</v>
      </c>
      <c r="H11342" s="11" t="s">
        <v>22</v>
      </c>
      <c r="I11342" s="13" t="s">
        <v>22426</v>
      </c>
      <c r="J11342" s="14" t="str">
        <f>HYPERLINK("https://www.boe.es/gazeta/dias/1839/02/02/pdfs/GMD-1839-1540.pdf#page=4","Abrir facsímil")</f>
        <v>Abrir facsímil</v>
      </c>
      <c r="K11342" s="12" t="s">
        <v>24</v>
      </c>
    </row>
    <row r="11343" spans="1:11" ht="40.049999999999997" customHeight="1" x14ac:dyDescent="0.25">
      <c r="A11343" s="11" t="s">
        <v>22424</v>
      </c>
      <c r="B11343" s="11" t="s">
        <v>22425</v>
      </c>
      <c r="C11343" s="11" t="s">
        <v>17</v>
      </c>
      <c r="D11343" s="11" t="s">
        <v>18</v>
      </c>
      <c r="E11343" s="12" t="s">
        <v>621</v>
      </c>
      <c r="F11343" s="12" t="s">
        <v>622</v>
      </c>
      <c r="G11343" s="12" t="s">
        <v>21</v>
      </c>
      <c r="H11343" s="11" t="s">
        <v>22</v>
      </c>
      <c r="I11343" s="13" t="s">
        <v>22427</v>
      </c>
      <c r="J11343" s="14" t="str">
        <f>HYPERLINK("https://www.boe.es/gazeta/dias/1839/04/14/pdfs/GMD-1839-1611.pdf#page=4","Abrir facsímil")</f>
        <v>Abrir facsímil</v>
      </c>
      <c r="K11343" s="12" t="s">
        <v>24</v>
      </c>
    </row>
    <row r="11344" spans="1:11" ht="40.049999999999997" customHeight="1" x14ac:dyDescent="0.25">
      <c r="A11344" s="11" t="s">
        <v>22424</v>
      </c>
      <c r="B11344" s="11" t="s">
        <v>22425</v>
      </c>
      <c r="C11344" s="11" t="s">
        <v>17</v>
      </c>
      <c r="D11344" s="11" t="s">
        <v>18</v>
      </c>
      <c r="E11344" s="12" t="s">
        <v>1749</v>
      </c>
      <c r="F11344" s="12" t="s">
        <v>1750</v>
      </c>
      <c r="G11344" s="12" t="s">
        <v>46</v>
      </c>
      <c r="H11344" s="11" t="s">
        <v>22</v>
      </c>
      <c r="I11344" s="13" t="s">
        <v>22428</v>
      </c>
      <c r="J11344" s="14" t="str">
        <f>HYPERLINK("https://www.boe.es/gazeta/dias/1839/06/28/pdfs/GMD-1839-1686.pdf#page=3","Abrir facsímil")</f>
        <v>Abrir facsímil</v>
      </c>
      <c r="K11344" s="12" t="s">
        <v>24</v>
      </c>
    </row>
    <row r="11345" spans="1:11" ht="40.049999999999997" customHeight="1" x14ac:dyDescent="0.25">
      <c r="A11345" s="11" t="s">
        <v>22429</v>
      </c>
      <c r="B11345" s="11" t="s">
        <v>22430</v>
      </c>
      <c r="C11345" s="11" t="s">
        <v>80</v>
      </c>
      <c r="D11345" s="11" t="s">
        <v>18</v>
      </c>
      <c r="E11345" s="12" t="s">
        <v>1460</v>
      </c>
      <c r="F11345" s="12" t="s">
        <v>1461</v>
      </c>
      <c r="G11345" s="12" t="s">
        <v>21</v>
      </c>
      <c r="H11345" s="11" t="s">
        <v>22</v>
      </c>
      <c r="I11345" s="13" t="s">
        <v>22431</v>
      </c>
      <c r="J11345" s="14" t="str">
        <f>HYPERLINK("https://www.boe.es/gazeta/dias/1839/03/01/pdfs/GMD-1839-1567.pdf#page=4","Abrir facsímil")</f>
        <v>Abrir facsímil</v>
      </c>
      <c r="K11345" s="12" t="s">
        <v>24</v>
      </c>
    </row>
    <row r="11346" spans="1:11" ht="40.049999999999997" customHeight="1" x14ac:dyDescent="0.25">
      <c r="A11346" s="11" t="s">
        <v>22429</v>
      </c>
      <c r="B11346" s="11" t="s">
        <v>22430</v>
      </c>
      <c r="C11346" s="11" t="s">
        <v>80</v>
      </c>
      <c r="D11346" s="11" t="s">
        <v>18</v>
      </c>
      <c r="E11346" s="12" t="s">
        <v>704</v>
      </c>
      <c r="F11346" s="12" t="s">
        <v>705</v>
      </c>
      <c r="G11346" s="12" t="s">
        <v>29</v>
      </c>
      <c r="H11346" s="11" t="s">
        <v>22</v>
      </c>
      <c r="I11346" s="13" t="s">
        <v>22432</v>
      </c>
      <c r="J11346" s="14" t="str">
        <f>HYPERLINK("https://www.boe.es/gazeta/dias/1839/03/02/pdfs/GMD-1839-1568.pdf#page=1","Abrir facsímil")</f>
        <v>Abrir facsímil</v>
      </c>
      <c r="K11346" s="12" t="s">
        <v>24</v>
      </c>
    </row>
    <row r="11347" spans="1:11" ht="40.049999999999997" customHeight="1" x14ac:dyDescent="0.25">
      <c r="A11347" s="11" t="s">
        <v>22429</v>
      </c>
      <c r="B11347" s="11" t="s">
        <v>22430</v>
      </c>
      <c r="C11347" s="11" t="s">
        <v>17</v>
      </c>
      <c r="D11347" s="11" t="s">
        <v>18</v>
      </c>
      <c r="E11347" s="12" t="s">
        <v>2205</v>
      </c>
      <c r="F11347" s="12" t="s">
        <v>2206</v>
      </c>
      <c r="G11347" s="12" t="s">
        <v>46</v>
      </c>
      <c r="H11347" s="11" t="s">
        <v>22</v>
      </c>
      <c r="I11347" s="13" t="s">
        <v>22433</v>
      </c>
      <c r="J11347" s="14" t="str">
        <f>HYPERLINK("https://www.boe.es/gazeta/dias/1839/07/11/pdfs/GMD-1839-1699.pdf#page=3","Abrir facsímil")</f>
        <v>Abrir facsímil</v>
      </c>
      <c r="K11347" s="12" t="s">
        <v>24</v>
      </c>
    </row>
    <row r="11348" spans="1:11" ht="40.049999999999997" customHeight="1" x14ac:dyDescent="0.25">
      <c r="A11348" s="11" t="s">
        <v>22429</v>
      </c>
      <c r="B11348" s="11" t="s">
        <v>22430</v>
      </c>
      <c r="C11348" s="11" t="s">
        <v>17</v>
      </c>
      <c r="D11348" s="11" t="s">
        <v>18</v>
      </c>
      <c r="E11348" s="12" t="s">
        <v>340</v>
      </c>
      <c r="F11348" s="12" t="s">
        <v>341</v>
      </c>
      <c r="G11348" s="12" t="s">
        <v>46</v>
      </c>
      <c r="H11348" s="11" t="s">
        <v>22</v>
      </c>
      <c r="I11348" s="13" t="s">
        <v>22434</v>
      </c>
      <c r="J11348" s="14" t="str">
        <f>HYPERLINK("https://www.boe.es/gazeta/dias/1839/03/19/pdfs/GMD-1839-1585.pdf#page=3","Abrir facsímil")</f>
        <v>Abrir facsímil</v>
      </c>
      <c r="K11348" s="12" t="s">
        <v>24</v>
      </c>
    </row>
    <row r="11349" spans="1:11" ht="40.049999999999997" customHeight="1" x14ac:dyDescent="0.25">
      <c r="A11349" s="11" t="s">
        <v>22429</v>
      </c>
      <c r="B11349" s="11" t="s">
        <v>22430</v>
      </c>
      <c r="C11349" s="11" t="s">
        <v>80</v>
      </c>
      <c r="D11349" s="11" t="s">
        <v>18</v>
      </c>
      <c r="E11349" s="12" t="s">
        <v>817</v>
      </c>
      <c r="F11349" s="12" t="s">
        <v>818</v>
      </c>
      <c r="G11349" s="12" t="s">
        <v>21</v>
      </c>
      <c r="H11349" s="11" t="s">
        <v>22</v>
      </c>
      <c r="I11349" s="13" t="s">
        <v>22435</v>
      </c>
      <c r="J11349" s="14" t="str">
        <f>HYPERLINK("https://www.boe.es/gazeta/dias/1839/05/28/pdfs/GMD-1839-1655.pdf#page=4","Abrir facsímil")</f>
        <v>Abrir facsímil</v>
      </c>
      <c r="K11349" s="12" t="s">
        <v>24</v>
      </c>
    </row>
    <row r="11350" spans="1:11" ht="40.049999999999997" customHeight="1" x14ac:dyDescent="0.25">
      <c r="A11350" s="11" t="s">
        <v>22436</v>
      </c>
      <c r="B11350" s="11" t="s">
        <v>22437</v>
      </c>
      <c r="C11350" s="11" t="s">
        <v>17</v>
      </c>
      <c r="D11350" s="11" t="s">
        <v>18</v>
      </c>
      <c r="E11350" s="12" t="s">
        <v>333</v>
      </c>
      <c r="F11350" s="12" t="s">
        <v>334</v>
      </c>
      <c r="G11350" s="12" t="s">
        <v>21</v>
      </c>
      <c r="H11350" s="11" t="s">
        <v>22</v>
      </c>
      <c r="I11350" s="13" t="s">
        <v>22438</v>
      </c>
      <c r="J11350" s="14" t="str">
        <f>HYPERLINK("https://www.boe.es/gazeta/dias/1839/06/11/pdfs/GMD-1839-1669.pdf#page=4","Abrir facsímil")</f>
        <v>Abrir facsímil</v>
      </c>
      <c r="K11350" s="12" t="s">
        <v>24</v>
      </c>
    </row>
    <row r="11351" spans="1:11" ht="40.049999999999997" customHeight="1" x14ac:dyDescent="0.25">
      <c r="A11351" s="11" t="s">
        <v>22439</v>
      </c>
      <c r="B11351" s="11" t="s">
        <v>22439</v>
      </c>
      <c r="C11351" s="11" t="s">
        <v>17</v>
      </c>
      <c r="D11351" s="11" t="s">
        <v>18</v>
      </c>
      <c r="E11351" s="12" t="s">
        <v>1179</v>
      </c>
      <c r="F11351" s="12" t="s">
        <v>1180</v>
      </c>
      <c r="G11351" s="12" t="s">
        <v>29</v>
      </c>
      <c r="H11351" s="11" t="s">
        <v>63</v>
      </c>
      <c r="I11351" s="13" t="s">
        <v>22440</v>
      </c>
      <c r="J11351" s="14" t="str">
        <f>HYPERLINK("https://www.boe.es/gazeta/dias/1839/10/18/pdfs/GMD-1839-1804.pdf#page=1","Abrir facsímil")</f>
        <v>Abrir facsímil</v>
      </c>
      <c r="K11351" s="12" t="s">
        <v>65</v>
      </c>
    </row>
    <row r="11352" spans="1:11" ht="40.049999999999997" customHeight="1" x14ac:dyDescent="0.25">
      <c r="A11352" s="11" t="s">
        <v>22441</v>
      </c>
      <c r="B11352" s="11" t="s">
        <v>22442</v>
      </c>
      <c r="C11352" s="11" t="s">
        <v>101</v>
      </c>
      <c r="D11352" s="11" t="s">
        <v>102</v>
      </c>
      <c r="E11352" s="12" t="s">
        <v>3614</v>
      </c>
      <c r="F11352" s="12" t="s">
        <v>3615</v>
      </c>
      <c r="G11352" s="12" t="s">
        <v>40</v>
      </c>
      <c r="H11352" s="11" t="s">
        <v>63</v>
      </c>
      <c r="I11352" s="13" t="s">
        <v>22443</v>
      </c>
      <c r="J11352" s="14" t="str">
        <f>HYPERLINK("https://www.boe.es/gazeta/dias/1839/04/04/pdfs/GMD-1839-1601.pdf#page=2","Abrir facsímil")</f>
        <v>Abrir facsímil</v>
      </c>
      <c r="K11352" s="12" t="s">
        <v>65</v>
      </c>
    </row>
    <row r="11353" spans="1:11" ht="40.049999999999997" customHeight="1" x14ac:dyDescent="0.25">
      <c r="A11353" s="11" t="s">
        <v>22444</v>
      </c>
      <c r="B11353" s="11" t="s">
        <v>22445</v>
      </c>
      <c r="C11353" s="11" t="s">
        <v>17</v>
      </c>
      <c r="D11353" s="11" t="s">
        <v>18</v>
      </c>
      <c r="E11353" s="12" t="s">
        <v>385</v>
      </c>
      <c r="F11353" s="12" t="s">
        <v>386</v>
      </c>
      <c r="G11353" s="12" t="s">
        <v>21</v>
      </c>
      <c r="H11353" s="11" t="s">
        <v>63</v>
      </c>
      <c r="I11353" s="13" t="s">
        <v>22446</v>
      </c>
      <c r="J11353" s="14" t="str">
        <f>HYPERLINK("https://www.boe.es/gazeta/dias/1839/08/01/pdfs/GMD-1839-1721.pdf#page=4","Abrir facsímil")</f>
        <v>Abrir facsímil</v>
      </c>
      <c r="K11353" s="12" t="s">
        <v>65</v>
      </c>
    </row>
    <row r="11354" spans="1:11" ht="40.049999999999997" customHeight="1" x14ac:dyDescent="0.25">
      <c r="A11354" s="11" t="s">
        <v>22447</v>
      </c>
      <c r="B11354" s="11" t="s">
        <v>22448</v>
      </c>
      <c r="C11354" s="11" t="s">
        <v>80</v>
      </c>
      <c r="D11354" s="11" t="s">
        <v>18</v>
      </c>
      <c r="E11354" s="12" t="s">
        <v>1301</v>
      </c>
      <c r="F11354" s="12" t="s">
        <v>1302</v>
      </c>
      <c r="G11354" s="12" t="s">
        <v>46</v>
      </c>
      <c r="H11354" s="11" t="s">
        <v>63</v>
      </c>
      <c r="I11354" s="13" t="s">
        <v>22449</v>
      </c>
      <c r="J11354" s="14" t="str">
        <f>HYPERLINK("https://www.boe.es/gazeta/dias/1839/11/16/pdfs/GMD-1839-1833.pdf#page=3","Abrir facsímil")</f>
        <v>Abrir facsímil</v>
      </c>
      <c r="K11354" s="12" t="s">
        <v>65</v>
      </c>
    </row>
    <row r="11355" spans="1:11" ht="40.049999999999997" customHeight="1" x14ac:dyDescent="0.25">
      <c r="A11355" s="11" t="s">
        <v>22450</v>
      </c>
      <c r="B11355" s="11" t="s">
        <v>22451</v>
      </c>
      <c r="C11355" s="11" t="s">
        <v>17</v>
      </c>
      <c r="D11355" s="11" t="s">
        <v>18</v>
      </c>
      <c r="E11355" s="12" t="s">
        <v>723</v>
      </c>
      <c r="F11355" s="12" t="s">
        <v>724</v>
      </c>
      <c r="G11355" s="12" t="s">
        <v>46</v>
      </c>
      <c r="H11355" s="11" t="s">
        <v>63</v>
      </c>
      <c r="I11355" s="13" t="s">
        <v>22452</v>
      </c>
      <c r="J11355" s="14" t="str">
        <f>HYPERLINK("https://www.boe.es/gazeta/dias/1839/09/26/pdfs/GMD-1839-1782.pdf#page=3","Abrir facsímil")</f>
        <v>Abrir facsímil</v>
      </c>
      <c r="K11355" s="12" t="s">
        <v>65</v>
      </c>
    </row>
    <row r="11356" spans="1:11" ht="40.049999999999997" customHeight="1" x14ac:dyDescent="0.25">
      <c r="A11356" s="11" t="s">
        <v>22453</v>
      </c>
      <c r="B11356" s="11" t="s">
        <v>22454</v>
      </c>
      <c r="C11356" s="11" t="s">
        <v>101</v>
      </c>
      <c r="D11356" s="11" t="s">
        <v>43</v>
      </c>
      <c r="E11356" s="12" t="s">
        <v>2851</v>
      </c>
      <c r="F11356" s="12" t="s">
        <v>2852</v>
      </c>
      <c r="G11356" s="12" t="s">
        <v>29</v>
      </c>
      <c r="H11356" s="11" t="s">
        <v>63</v>
      </c>
      <c r="I11356" s="13" t="s">
        <v>22455</v>
      </c>
      <c r="J11356" s="14" t="str">
        <f>HYPERLINK("https://www.boe.es/gazeta/dias/1839/05/16/pdfs/GMD-1839-1643.pdf#page=1","Abrir facsímil")</f>
        <v>Abrir facsímil</v>
      </c>
      <c r="K11356" s="12" t="s">
        <v>65</v>
      </c>
    </row>
    <row r="11357" spans="1:11" ht="40.049999999999997" customHeight="1" x14ac:dyDescent="0.25">
      <c r="A11357" s="11" t="s">
        <v>22456</v>
      </c>
      <c r="B11357" s="11" t="s">
        <v>22456</v>
      </c>
      <c r="C11357" s="11" t="s">
        <v>80</v>
      </c>
      <c r="D11357" s="11" t="s">
        <v>18</v>
      </c>
      <c r="E11357" s="12" t="s">
        <v>291</v>
      </c>
      <c r="F11357" s="12" t="s">
        <v>292</v>
      </c>
      <c r="G11357" s="12" t="s">
        <v>46</v>
      </c>
      <c r="H11357" s="11" t="s">
        <v>63</v>
      </c>
      <c r="I11357" s="13" t="s">
        <v>22457</v>
      </c>
      <c r="J11357" s="14" t="str">
        <f>HYPERLINK("https://www.boe.es/gazeta/dias/1839/09/04/pdfs/GMD-1839-1757.pdf#page=3","Abrir facsímil")</f>
        <v>Abrir facsímil</v>
      </c>
      <c r="K11357" s="12" t="s">
        <v>65</v>
      </c>
    </row>
    <row r="11358" spans="1:11" ht="40.049999999999997" customHeight="1" x14ac:dyDescent="0.25">
      <c r="A11358" s="11" t="s">
        <v>22458</v>
      </c>
      <c r="B11358" s="11" t="s">
        <v>22458</v>
      </c>
      <c r="C11358" s="11" t="s">
        <v>80</v>
      </c>
      <c r="D11358" s="11" t="s">
        <v>18</v>
      </c>
      <c r="E11358" s="12" t="s">
        <v>848</v>
      </c>
      <c r="F11358" s="12" t="s">
        <v>849</v>
      </c>
      <c r="G11358" s="12" t="s">
        <v>21</v>
      </c>
      <c r="H11358" s="11" t="s">
        <v>63</v>
      </c>
      <c r="I11358" s="13" t="s">
        <v>22459</v>
      </c>
      <c r="J11358" s="14" t="str">
        <f>HYPERLINK("https://www.boe.es/gazeta/dias/1839/08/04/pdfs/GMD-1839-1724.pdf#page=4","Abrir facsímil")</f>
        <v>Abrir facsímil</v>
      </c>
      <c r="K11358" s="12" t="s">
        <v>65</v>
      </c>
    </row>
    <row r="11359" spans="1:11" ht="40.049999999999997" customHeight="1" x14ac:dyDescent="0.25">
      <c r="A11359" s="11" t="s">
        <v>22460</v>
      </c>
      <c r="B11359" s="11" t="s">
        <v>22461</v>
      </c>
      <c r="C11359" s="11" t="s">
        <v>80</v>
      </c>
      <c r="D11359" s="11" t="s">
        <v>18</v>
      </c>
      <c r="E11359" s="12" t="s">
        <v>1623</v>
      </c>
      <c r="F11359" s="12" t="s">
        <v>1624</v>
      </c>
      <c r="G11359" s="12" t="s">
        <v>40</v>
      </c>
      <c r="H11359" s="11" t="s">
        <v>63</v>
      </c>
      <c r="I11359" s="13" t="s">
        <v>22462</v>
      </c>
      <c r="J11359" s="14" t="str">
        <f>HYPERLINK("https://www.boe.es/gazeta/dias/1839/04/07/pdfs/GMD-1839-1604.pdf#page=2","Abrir facsímil")</f>
        <v>Abrir facsímil</v>
      </c>
      <c r="K11359" s="12" t="s">
        <v>65</v>
      </c>
    </row>
    <row r="11360" spans="1:11" ht="40.049999999999997" customHeight="1" x14ac:dyDescent="0.25">
      <c r="A11360" s="11" t="s">
        <v>22463</v>
      </c>
      <c r="B11360" s="11" t="s">
        <v>22463</v>
      </c>
      <c r="C11360" s="11" t="s">
        <v>59</v>
      </c>
      <c r="D11360" s="11" t="s">
        <v>60</v>
      </c>
      <c r="E11360" s="12" t="s">
        <v>503</v>
      </c>
      <c r="F11360" s="12" t="s">
        <v>504</v>
      </c>
      <c r="G11360" s="12" t="s">
        <v>46</v>
      </c>
      <c r="H11360" s="11" t="s">
        <v>63</v>
      </c>
      <c r="I11360" s="13" t="s">
        <v>22464</v>
      </c>
      <c r="J11360" s="14" t="str">
        <f>HYPERLINK("https://www.boe.es/gazeta/dias/1839/06/07/pdfs/GMD-1839-1665.pdf#page=3","Abrir facsímil")</f>
        <v>Abrir facsímil</v>
      </c>
      <c r="K11360" s="12" t="s">
        <v>65</v>
      </c>
    </row>
    <row r="11361" spans="1:11" ht="40.049999999999997" customHeight="1" x14ac:dyDescent="0.25">
      <c r="A11361" s="11" t="s">
        <v>22465</v>
      </c>
      <c r="B11361" s="11" t="s">
        <v>22466</v>
      </c>
      <c r="C11361" s="11" t="s">
        <v>101</v>
      </c>
      <c r="D11361" s="11" t="s">
        <v>43</v>
      </c>
      <c r="E11361" s="12" t="s">
        <v>883</v>
      </c>
      <c r="F11361" s="12" t="s">
        <v>884</v>
      </c>
      <c r="G11361" s="12" t="s">
        <v>29</v>
      </c>
      <c r="H11361" s="11" t="s">
        <v>63</v>
      </c>
      <c r="I11361" s="13" t="s">
        <v>22467</v>
      </c>
      <c r="J11361" s="14" t="str">
        <f>HYPERLINK("https://www.boe.es/gazeta/dias/1839/11/03/pdfs/GMD-1839-1820.pdf#page=1","Abrir facsímil")</f>
        <v>Abrir facsímil</v>
      </c>
      <c r="K11361" s="12" t="s">
        <v>65</v>
      </c>
    </row>
    <row r="11362" spans="1:11" ht="40.049999999999997" customHeight="1" x14ac:dyDescent="0.25">
      <c r="A11362" s="11" t="s">
        <v>22465</v>
      </c>
      <c r="B11362" s="11" t="s">
        <v>22466</v>
      </c>
      <c r="C11362" s="11" t="s">
        <v>17</v>
      </c>
      <c r="D11362" s="11" t="s">
        <v>18</v>
      </c>
      <c r="E11362" s="12" t="s">
        <v>89</v>
      </c>
      <c r="F11362" s="12" t="s">
        <v>90</v>
      </c>
      <c r="G11362" s="12" t="s">
        <v>29</v>
      </c>
      <c r="H11362" s="11" t="s">
        <v>63</v>
      </c>
      <c r="I11362" s="13" t="s">
        <v>22468</v>
      </c>
      <c r="J11362" s="14" t="str">
        <f>HYPERLINK("https://www.boe.es/gazeta/dias/1839/11/28/pdfs/GMD-1839-1845.pdf#page=1","Abrir facsímil")</f>
        <v>Abrir facsímil</v>
      </c>
      <c r="K11362" s="12" t="s">
        <v>65</v>
      </c>
    </row>
    <row r="11363" spans="1:11" ht="40.049999999999997" customHeight="1" x14ac:dyDescent="0.25">
      <c r="A11363" s="11" t="s">
        <v>22469</v>
      </c>
      <c r="B11363" s="11" t="s">
        <v>22470</v>
      </c>
      <c r="C11363" s="11" t="s">
        <v>137</v>
      </c>
      <c r="D11363" s="11" t="s">
        <v>18</v>
      </c>
      <c r="E11363" s="12" t="s">
        <v>94</v>
      </c>
      <c r="F11363" s="12" t="s">
        <v>95</v>
      </c>
      <c r="G11363" s="12" t="s">
        <v>29</v>
      </c>
      <c r="H11363" s="11" t="s">
        <v>63</v>
      </c>
      <c r="I11363" s="13" t="s">
        <v>22471</v>
      </c>
      <c r="J11363" s="14" t="str">
        <f>HYPERLINK("https://www.boe.es/gazeta/dias/1839/02/24/pdfs/GMD-1839-1562.pdf#page=1","Abrir facsímil")</f>
        <v>Abrir facsímil</v>
      </c>
      <c r="K11363" s="12" t="s">
        <v>65</v>
      </c>
    </row>
    <row r="11364" spans="1:11" ht="40.049999999999997" customHeight="1" x14ac:dyDescent="0.25">
      <c r="A11364" s="11" t="s">
        <v>22472</v>
      </c>
      <c r="B11364" s="11" t="s">
        <v>22472</v>
      </c>
      <c r="C11364" s="11" t="s">
        <v>17</v>
      </c>
      <c r="D11364" s="11" t="s">
        <v>18</v>
      </c>
      <c r="E11364" s="12" t="s">
        <v>3224</v>
      </c>
      <c r="F11364" s="12" t="s">
        <v>3225</v>
      </c>
      <c r="G11364" s="12" t="s">
        <v>40</v>
      </c>
      <c r="H11364" s="11" t="s">
        <v>63</v>
      </c>
      <c r="I11364" s="13" t="s">
        <v>22473</v>
      </c>
      <c r="J11364" s="14" t="str">
        <f>HYPERLINK("https://www.boe.es/gazeta/dias/1839/06/03/pdfs/GMD-1839-1661.pdf#page=2","Abrir facsímil")</f>
        <v>Abrir facsímil</v>
      </c>
      <c r="K11364" s="12" t="s">
        <v>65</v>
      </c>
    </row>
    <row r="11365" spans="1:11" ht="40.049999999999997" customHeight="1" x14ac:dyDescent="0.25">
      <c r="A11365" s="11" t="s">
        <v>22472</v>
      </c>
      <c r="B11365" s="11" t="s">
        <v>22472</v>
      </c>
      <c r="C11365" s="11" t="s">
        <v>137</v>
      </c>
      <c r="D11365" s="11" t="s">
        <v>18</v>
      </c>
      <c r="E11365" s="12" t="s">
        <v>49</v>
      </c>
      <c r="F11365" s="12" t="s">
        <v>50</v>
      </c>
      <c r="G11365" s="12" t="s">
        <v>40</v>
      </c>
      <c r="H11365" s="11" t="s">
        <v>63</v>
      </c>
      <c r="I11365" s="13" t="s">
        <v>22474</v>
      </c>
      <c r="J11365" s="14" t="str">
        <f>HYPERLINK("https://www.boe.es/gazeta/dias/1839/01/05/pdfs/GMD-1839-1512.pdf#page=2","Abrir facsímil")</f>
        <v>Abrir facsímil</v>
      </c>
      <c r="K11365" s="12" t="s">
        <v>65</v>
      </c>
    </row>
    <row r="11366" spans="1:11" ht="40.049999999999997" customHeight="1" x14ac:dyDescent="0.25">
      <c r="A11366" s="11" t="s">
        <v>22472</v>
      </c>
      <c r="B11366" s="11" t="s">
        <v>22472</v>
      </c>
      <c r="C11366" s="11" t="s">
        <v>17</v>
      </c>
      <c r="D11366" s="11" t="s">
        <v>18</v>
      </c>
      <c r="E11366" s="12" t="s">
        <v>287</v>
      </c>
      <c r="F11366" s="12" t="s">
        <v>288</v>
      </c>
      <c r="G11366" s="12" t="s">
        <v>40</v>
      </c>
      <c r="H11366" s="11" t="s">
        <v>63</v>
      </c>
      <c r="I11366" s="13" t="s">
        <v>22475</v>
      </c>
      <c r="J11366" s="14" t="str">
        <f>HYPERLINK("https://www.boe.es/gazeta/dias/1839/11/27/pdfs/GMD-1839-1844.pdf#page=2","Abrir facsímil")</f>
        <v>Abrir facsímil</v>
      </c>
      <c r="K11366" s="12" t="s">
        <v>65</v>
      </c>
    </row>
    <row r="11367" spans="1:11" ht="40.049999999999997" customHeight="1" x14ac:dyDescent="0.25">
      <c r="A11367" s="11" t="s">
        <v>22476</v>
      </c>
      <c r="B11367" s="11" t="s">
        <v>22477</v>
      </c>
      <c r="C11367" s="11" t="s">
        <v>137</v>
      </c>
      <c r="D11367" s="11" t="s">
        <v>18</v>
      </c>
      <c r="E11367" s="12" t="s">
        <v>1301</v>
      </c>
      <c r="F11367" s="12" t="s">
        <v>1302</v>
      </c>
      <c r="G11367" s="12" t="s">
        <v>46</v>
      </c>
      <c r="H11367" s="11" t="s">
        <v>63</v>
      </c>
      <c r="I11367" s="13" t="s">
        <v>22478</v>
      </c>
      <c r="J11367" s="14" t="str">
        <f>HYPERLINK("https://www.boe.es/gazeta/dias/1839/11/16/pdfs/GMD-1839-1833.pdf#page=3","Abrir facsímil")</f>
        <v>Abrir facsímil</v>
      </c>
      <c r="K11367" s="12" t="s">
        <v>65</v>
      </c>
    </row>
    <row r="11368" spans="1:11" ht="40.049999999999997" customHeight="1" x14ac:dyDescent="0.25">
      <c r="A11368" s="11" t="s">
        <v>22479</v>
      </c>
      <c r="B11368" s="11" t="s">
        <v>22479</v>
      </c>
      <c r="C11368" s="11" t="s">
        <v>59</v>
      </c>
      <c r="D11368" s="11" t="s">
        <v>60</v>
      </c>
      <c r="E11368" s="12" t="s">
        <v>108</v>
      </c>
      <c r="F11368" s="12" t="s">
        <v>109</v>
      </c>
      <c r="G11368" s="12" t="s">
        <v>40</v>
      </c>
      <c r="H11368" s="11" t="s">
        <v>63</v>
      </c>
      <c r="I11368" s="13" t="s">
        <v>22480</v>
      </c>
      <c r="J11368" s="14" t="str">
        <f>HYPERLINK("https://www.boe.es/gazeta/dias/1839/01/04/pdfs/GMD-1839-1511.pdf#page=2","Abrir facsímil")</f>
        <v>Abrir facsímil</v>
      </c>
      <c r="K11368" s="12" t="s">
        <v>65</v>
      </c>
    </row>
    <row r="11369" spans="1:11" ht="40.049999999999997" customHeight="1" x14ac:dyDescent="0.25">
      <c r="A11369" s="11" t="s">
        <v>22479</v>
      </c>
      <c r="B11369" s="11" t="s">
        <v>22479</v>
      </c>
      <c r="C11369" s="11" t="s">
        <v>17</v>
      </c>
      <c r="D11369" s="11" t="s">
        <v>18</v>
      </c>
      <c r="E11369" s="12" t="s">
        <v>49</v>
      </c>
      <c r="F11369" s="12" t="s">
        <v>50</v>
      </c>
      <c r="G11369" s="12" t="s">
        <v>29</v>
      </c>
      <c r="H11369" s="11" t="s">
        <v>63</v>
      </c>
      <c r="I11369" s="13" t="s">
        <v>22481</v>
      </c>
      <c r="J11369" s="14" t="str">
        <f>HYPERLINK("https://www.boe.es/gazeta/dias/1839/01/05/pdfs/GMD-1839-1512.pdf#page=1","Abrir facsímil")</f>
        <v>Abrir facsímil</v>
      </c>
      <c r="K11369" s="12" t="s">
        <v>65</v>
      </c>
    </row>
    <row r="11370" spans="1:11" ht="40.049999999999997" customHeight="1" x14ac:dyDescent="0.25">
      <c r="A11370" s="11" t="s">
        <v>22479</v>
      </c>
      <c r="B11370" s="11" t="s">
        <v>22479</v>
      </c>
      <c r="C11370" s="11" t="s">
        <v>80</v>
      </c>
      <c r="D11370" s="11" t="s">
        <v>173</v>
      </c>
      <c r="E11370" s="12" t="s">
        <v>49</v>
      </c>
      <c r="F11370" s="12" t="s">
        <v>50</v>
      </c>
      <c r="G11370" s="12" t="s">
        <v>40</v>
      </c>
      <c r="H11370" s="11" t="s">
        <v>63</v>
      </c>
      <c r="I11370" s="13" t="s">
        <v>22482</v>
      </c>
      <c r="J11370" s="14" t="str">
        <f>HYPERLINK("https://www.boe.es/gazeta/dias/1839/01/05/pdfs/GMD-1839-1512.pdf#page=2","Abrir facsímil")</f>
        <v>Abrir facsímil</v>
      </c>
      <c r="K11370" s="12" t="s">
        <v>65</v>
      </c>
    </row>
    <row r="11371" spans="1:11" ht="40.049999999999997" customHeight="1" x14ac:dyDescent="0.25">
      <c r="A11371" s="11" t="s">
        <v>22479</v>
      </c>
      <c r="B11371" s="11" t="s">
        <v>22479</v>
      </c>
      <c r="C11371" s="11" t="s">
        <v>80</v>
      </c>
      <c r="D11371" s="11" t="s">
        <v>18</v>
      </c>
      <c r="E11371" s="12" t="s">
        <v>770</v>
      </c>
      <c r="F11371" s="12" t="s">
        <v>771</v>
      </c>
      <c r="G11371" s="12" t="s">
        <v>40</v>
      </c>
      <c r="H11371" s="11" t="s">
        <v>63</v>
      </c>
      <c r="I11371" s="13" t="s">
        <v>22483</v>
      </c>
      <c r="J11371" s="14" t="str">
        <f>HYPERLINK("https://www.boe.es/gazeta/dias/1839/12/05/pdfs/GMD-1839-1852.pdf#page=2","Abrir facsímil")</f>
        <v>Abrir facsímil</v>
      </c>
      <c r="K11371" s="12" t="s">
        <v>65</v>
      </c>
    </row>
    <row r="11372" spans="1:11" ht="40.049999999999997" customHeight="1" x14ac:dyDescent="0.25">
      <c r="A11372" s="11" t="s">
        <v>22479</v>
      </c>
      <c r="B11372" s="11" t="s">
        <v>22479</v>
      </c>
      <c r="C11372" s="11" t="s">
        <v>137</v>
      </c>
      <c r="D11372" s="11" t="s">
        <v>18</v>
      </c>
      <c r="E11372" s="12" t="s">
        <v>794</v>
      </c>
      <c r="F11372" s="12" t="s">
        <v>795</v>
      </c>
      <c r="G11372" s="12" t="s">
        <v>29</v>
      </c>
      <c r="H11372" s="11" t="s">
        <v>63</v>
      </c>
      <c r="I11372" s="13" t="s">
        <v>22484</v>
      </c>
      <c r="J11372" s="14" t="str">
        <f>HYPERLINK("https://www.boe.es/gazeta/dias/1839/01/22/pdfs/GMD-1839-1529.pdf#page=1","Abrir facsímil")</f>
        <v>Abrir facsímil</v>
      </c>
      <c r="K11372" s="12" t="s">
        <v>65</v>
      </c>
    </row>
    <row r="11373" spans="1:11" ht="40.049999999999997" customHeight="1" x14ac:dyDescent="0.25">
      <c r="A11373" s="11" t="s">
        <v>22485</v>
      </c>
      <c r="B11373" s="11" t="s">
        <v>22486</v>
      </c>
      <c r="C11373" s="11" t="s">
        <v>137</v>
      </c>
      <c r="D11373" s="11" t="s">
        <v>18</v>
      </c>
      <c r="E11373" s="12" t="s">
        <v>1606</v>
      </c>
      <c r="F11373" s="12" t="s">
        <v>1607</v>
      </c>
      <c r="G11373" s="12" t="s">
        <v>21</v>
      </c>
      <c r="H11373" s="11" t="s">
        <v>63</v>
      </c>
      <c r="I11373" s="13" t="s">
        <v>22487</v>
      </c>
      <c r="J11373" s="14" t="str">
        <f>HYPERLINK("https://www.boe.es/gazeta/dias/1839/07/02/pdfs/GMD-1839-1690.pdf#page=4","Abrir facsímil")</f>
        <v>Abrir facsímil</v>
      </c>
      <c r="K11373" s="12" t="s">
        <v>65</v>
      </c>
    </row>
    <row r="11374" spans="1:11" ht="40.049999999999997" customHeight="1" x14ac:dyDescent="0.25">
      <c r="A11374" s="11" t="s">
        <v>22485</v>
      </c>
      <c r="B11374" s="11" t="s">
        <v>22486</v>
      </c>
      <c r="C11374" s="11" t="s">
        <v>101</v>
      </c>
      <c r="D11374" s="11" t="s">
        <v>43</v>
      </c>
      <c r="E11374" s="12" t="s">
        <v>695</v>
      </c>
      <c r="F11374" s="12" t="s">
        <v>696</v>
      </c>
      <c r="G11374" s="12" t="s">
        <v>46</v>
      </c>
      <c r="H11374" s="11" t="s">
        <v>63</v>
      </c>
      <c r="I11374" s="13" t="s">
        <v>22488</v>
      </c>
      <c r="J11374" s="14" t="str">
        <f>HYPERLINK("https://www.boe.es/gazeta/dias/1839/12/19/pdfs/GMD-1839-1866.pdf#page=3","Abrir facsímil")</f>
        <v>Abrir facsímil</v>
      </c>
      <c r="K11374" s="12" t="s">
        <v>65</v>
      </c>
    </row>
    <row r="11375" spans="1:11" ht="40.049999999999997" customHeight="1" x14ac:dyDescent="0.25">
      <c r="A11375" s="11" t="s">
        <v>22485</v>
      </c>
      <c r="B11375" s="11" t="s">
        <v>22486</v>
      </c>
      <c r="C11375" s="11" t="s">
        <v>17</v>
      </c>
      <c r="D11375" s="11" t="s">
        <v>18</v>
      </c>
      <c r="E11375" s="12" t="s">
        <v>857</v>
      </c>
      <c r="F11375" s="12" t="s">
        <v>858</v>
      </c>
      <c r="G11375" s="12" t="s">
        <v>29</v>
      </c>
      <c r="H11375" s="11" t="s">
        <v>63</v>
      </c>
      <c r="I11375" s="13" t="s">
        <v>22489</v>
      </c>
      <c r="J11375" s="14" t="str">
        <f>HYPERLINK("https://www.boe.es/gazeta/dias/1839/11/21/pdfs/GMD-1839-1838.pdf#page=1","Abrir facsímil")</f>
        <v>Abrir facsímil</v>
      </c>
      <c r="K11375" s="12" t="s">
        <v>65</v>
      </c>
    </row>
    <row r="11376" spans="1:11" ht="40.049999999999997" customHeight="1" x14ac:dyDescent="0.25">
      <c r="A11376" s="11" t="s">
        <v>22485</v>
      </c>
      <c r="B11376" s="11" t="s">
        <v>22486</v>
      </c>
      <c r="C11376" s="11" t="s">
        <v>137</v>
      </c>
      <c r="D11376" s="11" t="s">
        <v>18</v>
      </c>
      <c r="E11376" s="12" t="s">
        <v>496</v>
      </c>
      <c r="F11376" s="12" t="s">
        <v>497</v>
      </c>
      <c r="G11376" s="12" t="s">
        <v>29</v>
      </c>
      <c r="H11376" s="11" t="s">
        <v>63</v>
      </c>
      <c r="I11376" s="13" t="s">
        <v>22490</v>
      </c>
      <c r="J11376" s="14" t="str">
        <f>HYPERLINK("https://www.boe.es/gazeta/dias/1839/11/23/pdfs/GMD-1839-1840.pdf#page=1","Abrir facsímil")</f>
        <v>Abrir facsímil</v>
      </c>
      <c r="K11376" s="12" t="s">
        <v>65</v>
      </c>
    </row>
    <row r="11377" spans="1:11" ht="40.049999999999997" customHeight="1" x14ac:dyDescent="0.25">
      <c r="A11377" s="11" t="s">
        <v>22485</v>
      </c>
      <c r="B11377" s="11" t="s">
        <v>22486</v>
      </c>
      <c r="C11377" s="11" t="s">
        <v>17</v>
      </c>
      <c r="D11377" s="11" t="s">
        <v>18</v>
      </c>
      <c r="E11377" s="12" t="s">
        <v>89</v>
      </c>
      <c r="F11377" s="12" t="s">
        <v>90</v>
      </c>
      <c r="G11377" s="12" t="s">
        <v>29</v>
      </c>
      <c r="H11377" s="11" t="s">
        <v>63</v>
      </c>
      <c r="I11377" s="13" t="s">
        <v>22491</v>
      </c>
      <c r="J11377" s="14" t="str">
        <f>HYPERLINK("https://www.boe.es/gazeta/dias/1839/11/28/pdfs/GMD-1839-1845.pdf#page=1","Abrir facsímil")</f>
        <v>Abrir facsímil</v>
      </c>
      <c r="K11377" s="12" t="s">
        <v>65</v>
      </c>
    </row>
    <row r="11378" spans="1:11" ht="40.049999999999997" customHeight="1" x14ac:dyDescent="0.25">
      <c r="A11378" s="11" t="s">
        <v>22485</v>
      </c>
      <c r="B11378" s="11" t="s">
        <v>22486</v>
      </c>
      <c r="C11378" s="11" t="s">
        <v>101</v>
      </c>
      <c r="D11378" s="11" t="s">
        <v>43</v>
      </c>
      <c r="E11378" s="12" t="s">
        <v>653</v>
      </c>
      <c r="F11378" s="12" t="s">
        <v>654</v>
      </c>
      <c r="G11378" s="12" t="s">
        <v>29</v>
      </c>
      <c r="H11378" s="11" t="s">
        <v>63</v>
      </c>
      <c r="I11378" s="13" t="s">
        <v>22492</v>
      </c>
      <c r="J11378" s="14" t="str">
        <f>HYPERLINK("https://www.boe.es/gazeta/dias/1839/10/31/pdfs/GMD-1839-1817.pdf#page=1","Abrir facsímil")</f>
        <v>Abrir facsímil</v>
      </c>
      <c r="K11378" s="12" t="s">
        <v>65</v>
      </c>
    </row>
    <row r="11379" spans="1:11" ht="40.049999999999997" customHeight="1" x14ac:dyDescent="0.25">
      <c r="A11379" s="11" t="s">
        <v>22493</v>
      </c>
      <c r="B11379" s="11" t="s">
        <v>22494</v>
      </c>
      <c r="C11379" s="11" t="s">
        <v>137</v>
      </c>
      <c r="D11379" s="11" t="s">
        <v>18</v>
      </c>
      <c r="E11379" s="12" t="s">
        <v>49</v>
      </c>
      <c r="F11379" s="12" t="s">
        <v>50</v>
      </c>
      <c r="G11379" s="12" t="s">
        <v>40</v>
      </c>
      <c r="H11379" s="11" t="s">
        <v>63</v>
      </c>
      <c r="I11379" s="13" t="s">
        <v>22495</v>
      </c>
      <c r="J11379" s="14" t="str">
        <f>HYPERLINK("https://www.boe.es/gazeta/dias/1839/01/05/pdfs/GMD-1839-1512.pdf#page=2","Abrir facsímil")</f>
        <v>Abrir facsímil</v>
      </c>
      <c r="K11379" s="12" t="s">
        <v>65</v>
      </c>
    </row>
    <row r="11380" spans="1:11" ht="40.049999999999997" customHeight="1" x14ac:dyDescent="0.25">
      <c r="A11380" s="11" t="s">
        <v>22496</v>
      </c>
      <c r="B11380" s="11" t="s">
        <v>22497</v>
      </c>
      <c r="C11380" s="11" t="s">
        <v>17</v>
      </c>
      <c r="D11380" s="11" t="s">
        <v>18</v>
      </c>
      <c r="E11380" s="12" t="s">
        <v>108</v>
      </c>
      <c r="F11380" s="12" t="s">
        <v>109</v>
      </c>
      <c r="G11380" s="12" t="s">
        <v>40</v>
      </c>
      <c r="H11380" s="11" t="s">
        <v>63</v>
      </c>
      <c r="I11380" s="13" t="s">
        <v>22498</v>
      </c>
      <c r="J11380" s="14" t="str">
        <f>HYPERLINK("https://www.boe.es/gazeta/dias/1839/01/04/pdfs/GMD-1839-1511.pdf#page=2","Abrir facsímil")</f>
        <v>Abrir facsímil</v>
      </c>
      <c r="K11380" s="12" t="s">
        <v>65</v>
      </c>
    </row>
    <row r="11381" spans="1:11" ht="40.049999999999997" customHeight="1" x14ac:dyDescent="0.25">
      <c r="A11381" s="11" t="s">
        <v>22496</v>
      </c>
      <c r="B11381" s="11" t="s">
        <v>22497</v>
      </c>
      <c r="C11381" s="11" t="s">
        <v>80</v>
      </c>
      <c r="D11381" s="11" t="s">
        <v>18</v>
      </c>
      <c r="E11381" s="12" t="s">
        <v>49</v>
      </c>
      <c r="F11381" s="12" t="s">
        <v>50</v>
      </c>
      <c r="G11381" s="12" t="s">
        <v>40</v>
      </c>
      <c r="H11381" s="11" t="s">
        <v>63</v>
      </c>
      <c r="I11381" s="13" t="s">
        <v>22499</v>
      </c>
      <c r="J11381" s="14" t="str">
        <f>HYPERLINK("https://www.boe.es/gazeta/dias/1839/01/05/pdfs/GMD-1839-1512.pdf#page=2","Abrir facsímil")</f>
        <v>Abrir facsímil</v>
      </c>
      <c r="K11381" s="12" t="s">
        <v>65</v>
      </c>
    </row>
    <row r="11382" spans="1:11" ht="40.049999999999997" customHeight="1" x14ac:dyDescent="0.25">
      <c r="A11382" s="11" t="s">
        <v>22500</v>
      </c>
      <c r="B11382" s="11" t="s">
        <v>22500</v>
      </c>
      <c r="C11382" s="11" t="s">
        <v>17</v>
      </c>
      <c r="D11382" s="11" t="s">
        <v>18</v>
      </c>
      <c r="E11382" s="12" t="s">
        <v>496</v>
      </c>
      <c r="F11382" s="12" t="s">
        <v>497</v>
      </c>
      <c r="G11382" s="12" t="s">
        <v>40</v>
      </c>
      <c r="H11382" s="11" t="s">
        <v>63</v>
      </c>
      <c r="I11382" s="13" t="s">
        <v>22501</v>
      </c>
      <c r="J11382" s="14" t="str">
        <f>HYPERLINK("https://www.boe.es/gazeta/dias/1839/11/23/pdfs/GMD-1839-1840.pdf#page=2","Abrir facsímil")</f>
        <v>Abrir facsímil</v>
      </c>
      <c r="K11382" s="12" t="s">
        <v>65</v>
      </c>
    </row>
    <row r="11383" spans="1:11" ht="40.049999999999997" customHeight="1" x14ac:dyDescent="0.25">
      <c r="A11383" s="11" t="s">
        <v>22502</v>
      </c>
      <c r="B11383" s="11" t="s">
        <v>22503</v>
      </c>
      <c r="C11383" s="11" t="s">
        <v>80</v>
      </c>
      <c r="D11383" s="11" t="s">
        <v>18</v>
      </c>
      <c r="E11383" s="12" t="s">
        <v>834</v>
      </c>
      <c r="F11383" s="12" t="s">
        <v>835</v>
      </c>
      <c r="G11383" s="12" t="s">
        <v>21</v>
      </c>
      <c r="H11383" s="11" t="s">
        <v>63</v>
      </c>
      <c r="I11383" s="13" t="s">
        <v>22504</v>
      </c>
      <c r="J11383" s="14" t="str">
        <f>HYPERLINK("https://www.boe.es/gazeta/dias/1839/08/17/pdfs/GMD-1839-1737.pdf#page=4","Abrir facsímil")</f>
        <v>Abrir facsímil</v>
      </c>
      <c r="K11383" s="12" t="s">
        <v>65</v>
      </c>
    </row>
    <row r="11384" spans="1:11" ht="40.049999999999997" customHeight="1" x14ac:dyDescent="0.25">
      <c r="A11384" s="11" t="s">
        <v>22505</v>
      </c>
      <c r="B11384" s="11" t="s">
        <v>22506</v>
      </c>
      <c r="C11384" s="11" t="s">
        <v>17</v>
      </c>
      <c r="D11384" s="11" t="s">
        <v>18</v>
      </c>
      <c r="E11384" s="12" t="s">
        <v>258</v>
      </c>
      <c r="F11384" s="12" t="s">
        <v>259</v>
      </c>
      <c r="G11384" s="12" t="s">
        <v>46</v>
      </c>
      <c r="H11384" s="11" t="s">
        <v>63</v>
      </c>
      <c r="I11384" s="13" t="s">
        <v>22507</v>
      </c>
      <c r="J11384" s="14" t="str">
        <f>HYPERLINK("https://www.boe.es/gazeta/dias/1839/01/02/pdfs/GMD-1839-1509.pdf#page=3","Abrir facsímil")</f>
        <v>Abrir facsímil</v>
      </c>
      <c r="K11384" s="12" t="s">
        <v>65</v>
      </c>
    </row>
    <row r="11385" spans="1:11" ht="40.049999999999997" customHeight="1" x14ac:dyDescent="0.25">
      <c r="A11385" s="11" t="s">
        <v>22508</v>
      </c>
      <c r="B11385" s="11" t="s">
        <v>22509</v>
      </c>
      <c r="C11385" s="11" t="s">
        <v>59</v>
      </c>
      <c r="D11385" s="11" t="s">
        <v>60</v>
      </c>
      <c r="E11385" s="12" t="s">
        <v>1252</v>
      </c>
      <c r="F11385" s="12" t="s">
        <v>1253</v>
      </c>
      <c r="G11385" s="12" t="s">
        <v>29</v>
      </c>
      <c r="H11385" s="11" t="s">
        <v>63</v>
      </c>
      <c r="I11385" s="13" t="s">
        <v>22510</v>
      </c>
      <c r="J11385" s="14" t="str">
        <f>HYPERLINK("https://www.boe.es/gazeta/dias/1839/06/15/pdfs/GMD-1839-1673.pdf#page=1","Abrir facsímil")</f>
        <v>Abrir facsímil</v>
      </c>
      <c r="K11385" s="12" t="s">
        <v>65</v>
      </c>
    </row>
    <row r="11386" spans="1:11" ht="40.049999999999997" customHeight="1" x14ac:dyDescent="0.25">
      <c r="A11386" s="11" t="s">
        <v>22511</v>
      </c>
      <c r="B11386" s="11" t="s">
        <v>22511</v>
      </c>
      <c r="C11386" s="11" t="s">
        <v>17</v>
      </c>
      <c r="D11386" s="11" t="s">
        <v>18</v>
      </c>
      <c r="E11386" s="12" t="s">
        <v>89</v>
      </c>
      <c r="F11386" s="12" t="s">
        <v>90</v>
      </c>
      <c r="G11386" s="12" t="s">
        <v>40</v>
      </c>
      <c r="H11386" s="11" t="s">
        <v>63</v>
      </c>
      <c r="I11386" s="13" t="s">
        <v>22512</v>
      </c>
      <c r="J11386" s="14" t="str">
        <f>HYPERLINK("https://www.boe.es/gazeta/dias/1839/11/28/pdfs/GMD-1839-1845.pdf#page=2","Abrir facsímil")</f>
        <v>Abrir facsímil</v>
      </c>
      <c r="K11386" s="12" t="s">
        <v>65</v>
      </c>
    </row>
    <row r="11387" spans="1:11" ht="40.049999999999997" customHeight="1" x14ac:dyDescent="0.25">
      <c r="A11387" s="11" t="s">
        <v>22513</v>
      </c>
      <c r="B11387" s="11" t="s">
        <v>22514</v>
      </c>
      <c r="C11387" s="11" t="s">
        <v>80</v>
      </c>
      <c r="D11387" s="11" t="s">
        <v>18</v>
      </c>
      <c r="E11387" s="12" t="s">
        <v>1588</v>
      </c>
      <c r="F11387" s="12" t="s">
        <v>1589</v>
      </c>
      <c r="G11387" s="12" t="s">
        <v>29</v>
      </c>
      <c r="H11387" s="11" t="s">
        <v>63</v>
      </c>
      <c r="I11387" s="13" t="s">
        <v>22515</v>
      </c>
      <c r="J11387" s="14" t="str">
        <f>HYPERLINK("https://www.boe.es/gazeta/dias/1839/07/27/pdfs/GMD-1839-1716.pdf#page=1","Abrir facsímil")</f>
        <v>Abrir facsímil</v>
      </c>
      <c r="K11387" s="12" t="s">
        <v>65</v>
      </c>
    </row>
    <row r="11388" spans="1:11" ht="40.049999999999997" customHeight="1" x14ac:dyDescent="0.25">
      <c r="A11388" s="11" t="s">
        <v>22516</v>
      </c>
      <c r="B11388" s="11" t="s">
        <v>22517</v>
      </c>
      <c r="C11388" s="11" t="s">
        <v>17</v>
      </c>
      <c r="D11388" s="11" t="s">
        <v>18</v>
      </c>
      <c r="E11388" s="12" t="s">
        <v>168</v>
      </c>
      <c r="F11388" s="12" t="s">
        <v>169</v>
      </c>
      <c r="G11388" s="12" t="s">
        <v>21</v>
      </c>
      <c r="H11388" s="11" t="s">
        <v>63</v>
      </c>
      <c r="I11388" s="13" t="s">
        <v>22518</v>
      </c>
      <c r="J11388" s="14" t="str">
        <f>HYPERLINK("https://www.boe.es/gazeta/dias/1839/07/12/pdfs/GMD-1839-1700.pdf#page=4","Abrir facsímil")</f>
        <v>Abrir facsímil</v>
      </c>
      <c r="K11388" s="12" t="s">
        <v>65</v>
      </c>
    </row>
    <row r="11389" spans="1:11" ht="40.049999999999997" customHeight="1" x14ac:dyDescent="0.25">
      <c r="A11389" s="11" t="s">
        <v>22519</v>
      </c>
      <c r="B11389" s="11" t="s">
        <v>22520</v>
      </c>
      <c r="C11389" s="11" t="s">
        <v>59</v>
      </c>
      <c r="D11389" s="11" t="s">
        <v>60</v>
      </c>
      <c r="E11389" s="12" t="s">
        <v>2919</v>
      </c>
      <c r="F11389" s="12" t="s">
        <v>2920</v>
      </c>
      <c r="G11389" s="12" t="s">
        <v>21</v>
      </c>
      <c r="H11389" s="11" t="s">
        <v>22</v>
      </c>
      <c r="I11389" s="13" t="s">
        <v>22521</v>
      </c>
      <c r="J11389" s="14" t="str">
        <f>HYPERLINK("https://www.boe.es/gazeta/dias/1839/11/12/pdfs/GMD-1839-1829.pdf#page=4","Abrir facsímil")</f>
        <v>Abrir facsímil</v>
      </c>
      <c r="K11389" s="12" t="s">
        <v>24</v>
      </c>
    </row>
    <row r="11390" spans="1:11" ht="40.049999999999997" customHeight="1" x14ac:dyDescent="0.25">
      <c r="A11390" s="11" t="s">
        <v>22522</v>
      </c>
      <c r="B11390" s="11" t="s">
        <v>22523</v>
      </c>
      <c r="C11390" s="11" t="s">
        <v>17</v>
      </c>
      <c r="D11390" s="11" t="s">
        <v>18</v>
      </c>
      <c r="E11390" s="12" t="s">
        <v>197</v>
      </c>
      <c r="F11390" s="12" t="s">
        <v>198</v>
      </c>
      <c r="G11390" s="12" t="s">
        <v>29</v>
      </c>
      <c r="H11390" s="11" t="s">
        <v>63</v>
      </c>
      <c r="I11390" s="13" t="s">
        <v>22524</v>
      </c>
      <c r="J11390" s="14" t="str">
        <f>HYPERLINK("https://www.boe.es/gazeta/dias/1839/10/04/pdfs/GMD-1839-1790.pdf#page=1","Abrir facsímil")</f>
        <v>Abrir facsímil</v>
      </c>
      <c r="K11390" s="12" t="s">
        <v>65</v>
      </c>
    </row>
    <row r="11391" spans="1:11" ht="40.049999999999997" customHeight="1" x14ac:dyDescent="0.25">
      <c r="A11391" s="11" t="s">
        <v>22525</v>
      </c>
      <c r="B11391" s="11" t="s">
        <v>22526</v>
      </c>
      <c r="C11391" s="11" t="s">
        <v>17</v>
      </c>
      <c r="D11391" s="11" t="s">
        <v>18</v>
      </c>
      <c r="E11391" s="12" t="s">
        <v>168</v>
      </c>
      <c r="F11391" s="12" t="s">
        <v>169</v>
      </c>
      <c r="G11391" s="12" t="s">
        <v>21</v>
      </c>
      <c r="H11391" s="11" t="s">
        <v>63</v>
      </c>
      <c r="I11391" s="13" t="s">
        <v>22527</v>
      </c>
      <c r="J11391" s="14" t="str">
        <f>HYPERLINK("https://www.boe.es/gazeta/dias/1839/07/12/pdfs/GMD-1839-1700.pdf#page=4","Abrir facsímil")</f>
        <v>Abrir facsímil</v>
      </c>
      <c r="K11391" s="12" t="s">
        <v>65</v>
      </c>
    </row>
    <row r="11392" spans="1:11" ht="40.049999999999997" customHeight="1" x14ac:dyDescent="0.25">
      <c r="A11392" s="11" t="s">
        <v>22528</v>
      </c>
      <c r="B11392" s="11" t="s">
        <v>22528</v>
      </c>
      <c r="C11392" s="11" t="s">
        <v>17</v>
      </c>
      <c r="D11392" s="11" t="s">
        <v>18</v>
      </c>
      <c r="E11392" s="12" t="s">
        <v>2738</v>
      </c>
      <c r="F11392" s="12" t="s">
        <v>2739</v>
      </c>
      <c r="G11392" s="12" t="s">
        <v>21</v>
      </c>
      <c r="H11392" s="11" t="s">
        <v>63</v>
      </c>
      <c r="I11392" s="13" t="s">
        <v>22529</v>
      </c>
      <c r="J11392" s="14" t="str">
        <f>HYPERLINK("https://www.boe.es/gazeta/dias/1839/09/06/pdfs/GMD-1839-1759.pdf#page=4","Abrir facsímil")</f>
        <v>Abrir facsímil</v>
      </c>
      <c r="K11392" s="12" t="s">
        <v>65</v>
      </c>
    </row>
    <row r="11393" spans="1:11" ht="40.049999999999997" customHeight="1" x14ac:dyDescent="0.25">
      <c r="A11393" s="11" t="s">
        <v>22530</v>
      </c>
      <c r="B11393" s="11" t="s">
        <v>22531</v>
      </c>
      <c r="C11393" s="11" t="s">
        <v>17</v>
      </c>
      <c r="D11393" s="11" t="s">
        <v>18</v>
      </c>
      <c r="E11393" s="12" t="s">
        <v>262</v>
      </c>
      <c r="F11393" s="12" t="s">
        <v>263</v>
      </c>
      <c r="G11393" s="12" t="s">
        <v>46</v>
      </c>
      <c r="H11393" s="11" t="s">
        <v>22</v>
      </c>
      <c r="I11393" s="13" t="s">
        <v>22532</v>
      </c>
      <c r="J11393" s="14" t="str">
        <f>HYPERLINK("https://www.boe.es/gazeta/dias/1839/01/01/pdfs/GMD-1839-1508.pdf#page=3","Abrir facsímil")</f>
        <v>Abrir facsímil</v>
      </c>
      <c r="K11393" s="12" t="s">
        <v>24</v>
      </c>
    </row>
    <row r="11394" spans="1:11" ht="40.049999999999997" customHeight="1" x14ac:dyDescent="0.25">
      <c r="A11394" s="11" t="s">
        <v>22530</v>
      </c>
      <c r="B11394" s="11" t="s">
        <v>22531</v>
      </c>
      <c r="C11394" s="11" t="s">
        <v>137</v>
      </c>
      <c r="D11394" s="11" t="s">
        <v>18</v>
      </c>
      <c r="E11394" s="12" t="s">
        <v>1008</v>
      </c>
      <c r="F11394" s="12" t="s">
        <v>1009</v>
      </c>
      <c r="G11394" s="12" t="s">
        <v>21</v>
      </c>
      <c r="H11394" s="11" t="s">
        <v>22</v>
      </c>
      <c r="I11394" s="13" t="s">
        <v>22533</v>
      </c>
      <c r="J11394" s="14" t="str">
        <f>HYPERLINK("https://www.boe.es/gazeta/dias/1839/09/07/pdfs/GMD-1839-1760.pdf#page=4","Abrir facsímil")</f>
        <v>Abrir facsímil</v>
      </c>
      <c r="K11394" s="12" t="s">
        <v>24</v>
      </c>
    </row>
    <row r="11395" spans="1:11" ht="40.049999999999997" customHeight="1" x14ac:dyDescent="0.25">
      <c r="A11395" s="11" t="s">
        <v>22534</v>
      </c>
      <c r="B11395" s="11" t="s">
        <v>22534</v>
      </c>
      <c r="C11395" s="11" t="s">
        <v>101</v>
      </c>
      <c r="D11395" s="11" t="s">
        <v>102</v>
      </c>
      <c r="E11395" s="12" t="s">
        <v>2829</v>
      </c>
      <c r="F11395" s="12" t="s">
        <v>2830</v>
      </c>
      <c r="G11395" s="12" t="s">
        <v>46</v>
      </c>
      <c r="H11395" s="11" t="s">
        <v>63</v>
      </c>
      <c r="I11395" s="13" t="s">
        <v>22535</v>
      </c>
      <c r="J11395" s="14" t="str">
        <f>HYPERLINK("https://www.boe.es/gazeta/dias/1839/07/01/pdfs/GMD-1839-1689.pdf#page=3","Abrir facsímil")</f>
        <v>Abrir facsímil</v>
      </c>
      <c r="K11395" s="12" t="s">
        <v>65</v>
      </c>
    </row>
    <row r="11396" spans="1:11" ht="40.049999999999997" customHeight="1" x14ac:dyDescent="0.25">
      <c r="A11396" s="11" t="s">
        <v>22536</v>
      </c>
      <c r="B11396" s="11" t="s">
        <v>22536</v>
      </c>
      <c r="C11396" s="11" t="s">
        <v>101</v>
      </c>
      <c r="D11396" s="11" t="s">
        <v>102</v>
      </c>
      <c r="E11396" s="12" t="s">
        <v>1749</v>
      </c>
      <c r="F11396" s="12" t="s">
        <v>1750</v>
      </c>
      <c r="G11396" s="12" t="s">
        <v>29</v>
      </c>
      <c r="H11396" s="11" t="s">
        <v>63</v>
      </c>
      <c r="I11396" s="13" t="s">
        <v>22537</v>
      </c>
      <c r="J11396" s="14" t="str">
        <f>HYPERLINK("https://www.boe.es/gazeta/dias/1839/06/28/pdfs/GMD-1839-1686.pdf#page=1","Abrir facsímil")</f>
        <v>Abrir facsímil</v>
      </c>
      <c r="K11396" s="12" t="s">
        <v>65</v>
      </c>
    </row>
    <row r="11397" spans="1:11" ht="40.049999999999997" customHeight="1" x14ac:dyDescent="0.25">
      <c r="A11397" s="11" t="s">
        <v>22538</v>
      </c>
      <c r="B11397" s="11" t="s">
        <v>22538</v>
      </c>
      <c r="C11397" s="11" t="s">
        <v>101</v>
      </c>
      <c r="D11397" s="11" t="s">
        <v>102</v>
      </c>
      <c r="E11397" s="12" t="s">
        <v>4189</v>
      </c>
      <c r="F11397" s="12" t="s">
        <v>4190</v>
      </c>
      <c r="G11397" s="12" t="s">
        <v>40</v>
      </c>
      <c r="H11397" s="11" t="s">
        <v>63</v>
      </c>
      <c r="I11397" s="13" t="s">
        <v>22539</v>
      </c>
      <c r="J11397" s="14" t="str">
        <f>HYPERLINK("https://www.boe.es/gazeta/dias/1839/02/13/pdfs/GMD-1839-1551.pdf#page=2","Abrir facsímil")</f>
        <v>Abrir facsímil</v>
      </c>
      <c r="K11397" s="12" t="s">
        <v>65</v>
      </c>
    </row>
    <row r="11398" spans="1:11" ht="40.049999999999997" customHeight="1" x14ac:dyDescent="0.25">
      <c r="A11398" s="11" t="s">
        <v>22540</v>
      </c>
      <c r="B11398" s="11" t="s">
        <v>22540</v>
      </c>
      <c r="C11398" s="11" t="s">
        <v>17</v>
      </c>
      <c r="D11398" s="11" t="s">
        <v>18</v>
      </c>
      <c r="E11398" s="12" t="s">
        <v>236</v>
      </c>
      <c r="F11398" s="12" t="s">
        <v>8961</v>
      </c>
      <c r="G11398" s="12" t="s">
        <v>29</v>
      </c>
      <c r="H11398" s="11" t="s">
        <v>63</v>
      </c>
      <c r="I11398" s="13" t="s">
        <v>22541</v>
      </c>
      <c r="J11398" s="14" t="str">
        <f>HYPERLINK("https://www.boe.es/datos/pdfs/BOE//1839/1772/E00001-00001.pdf#page=1","Abrir facsímil")</f>
        <v>Abrir facsímil</v>
      </c>
      <c r="K11398" s="12" t="s">
        <v>65</v>
      </c>
    </row>
    <row r="11399" spans="1:11" ht="40.049999999999997" customHeight="1" x14ac:dyDescent="0.25">
      <c r="A11399" s="11" t="s">
        <v>22542</v>
      </c>
      <c r="B11399" s="11" t="s">
        <v>22543</v>
      </c>
      <c r="C11399" s="11" t="s">
        <v>17</v>
      </c>
      <c r="D11399" s="11" t="s">
        <v>18</v>
      </c>
      <c r="E11399" s="12" t="s">
        <v>522</v>
      </c>
      <c r="F11399" s="12" t="s">
        <v>523</v>
      </c>
      <c r="G11399" s="12" t="s">
        <v>40</v>
      </c>
      <c r="H11399" s="11" t="s">
        <v>63</v>
      </c>
      <c r="I11399" s="13" t="s">
        <v>22544</v>
      </c>
      <c r="J11399" s="14" t="str">
        <f>HYPERLINK("https://www.boe.es/gazeta/dias/1839/08/27/pdfs/GMD-1839-1748.pdf#page=2","Abrir facsímil")</f>
        <v>Abrir facsímil</v>
      </c>
      <c r="K11399" s="12" t="s">
        <v>65</v>
      </c>
    </row>
    <row r="11400" spans="1:11" ht="40.049999999999997" customHeight="1" x14ac:dyDescent="0.25">
      <c r="A11400" s="11" t="s">
        <v>22545</v>
      </c>
      <c r="B11400" s="11" t="s">
        <v>22545</v>
      </c>
      <c r="C11400" s="11" t="s">
        <v>101</v>
      </c>
      <c r="D11400" s="11" t="s">
        <v>102</v>
      </c>
      <c r="E11400" s="12" t="s">
        <v>4292</v>
      </c>
      <c r="F11400" s="12" t="s">
        <v>4293</v>
      </c>
      <c r="G11400" s="12" t="s">
        <v>40</v>
      </c>
      <c r="H11400" s="11" t="s">
        <v>63</v>
      </c>
      <c r="I11400" s="13" t="s">
        <v>22546</v>
      </c>
      <c r="J11400" s="14" t="str">
        <f>HYPERLINK("https://www.boe.es/gazeta/dias/1839/11/29/pdfs/GMD-1839-1846.pdf#page=2","Abrir facsímil")</f>
        <v>Abrir facsímil</v>
      </c>
      <c r="K11400" s="12" t="s">
        <v>65</v>
      </c>
    </row>
    <row r="11401" spans="1:11" ht="40.049999999999997" customHeight="1" x14ac:dyDescent="0.25">
      <c r="A11401" s="11" t="s">
        <v>22547</v>
      </c>
      <c r="B11401" s="11" t="s">
        <v>22547</v>
      </c>
      <c r="C11401" s="11" t="s">
        <v>17</v>
      </c>
      <c r="D11401" s="11" t="s">
        <v>18</v>
      </c>
      <c r="E11401" s="12" t="s">
        <v>128</v>
      </c>
      <c r="F11401" s="12" t="s">
        <v>129</v>
      </c>
      <c r="G11401" s="12" t="s">
        <v>46</v>
      </c>
      <c r="H11401" s="11" t="s">
        <v>63</v>
      </c>
      <c r="I11401" s="13" t="s">
        <v>22548</v>
      </c>
      <c r="J11401" s="14" t="str">
        <f>HYPERLINK("https://www.boe.es/gazeta/dias/1839/05/25/pdfs/GMD-1839-1652.pdf#page=3","Abrir facsímil")</f>
        <v>Abrir facsímil</v>
      </c>
      <c r="K11401" s="12" t="s">
        <v>65</v>
      </c>
    </row>
    <row r="11402" spans="1:11" ht="40.049999999999997" customHeight="1" x14ac:dyDescent="0.25">
      <c r="A11402" s="11" t="s">
        <v>22549</v>
      </c>
      <c r="B11402" s="11" t="s">
        <v>22549</v>
      </c>
      <c r="C11402" s="11" t="s">
        <v>59</v>
      </c>
      <c r="D11402" s="11" t="s">
        <v>60</v>
      </c>
      <c r="E11402" s="12" t="s">
        <v>327</v>
      </c>
      <c r="F11402" s="12" t="s">
        <v>328</v>
      </c>
      <c r="G11402" s="12" t="s">
        <v>29</v>
      </c>
      <c r="H11402" s="11" t="s">
        <v>63</v>
      </c>
      <c r="I11402" s="13" t="s">
        <v>22550</v>
      </c>
      <c r="J11402" s="14" t="str">
        <f>HYPERLINK("https://www.boe.es/gazeta/dias/1839/08/05/pdfs/GMD-1839-1725.pdf#page=1","Abrir facsímil")</f>
        <v>Abrir facsímil</v>
      </c>
      <c r="K11402" s="12" t="s">
        <v>65</v>
      </c>
    </row>
    <row r="11403" spans="1:11" ht="40.049999999999997" customHeight="1" x14ac:dyDescent="0.25">
      <c r="A11403" s="11" t="s">
        <v>22549</v>
      </c>
      <c r="B11403" s="11" t="s">
        <v>22549</v>
      </c>
      <c r="C11403" s="11" t="s">
        <v>101</v>
      </c>
      <c r="D11403" s="11" t="s">
        <v>102</v>
      </c>
      <c r="E11403" s="12" t="s">
        <v>2482</v>
      </c>
      <c r="F11403" s="12" t="s">
        <v>2483</v>
      </c>
      <c r="G11403" s="12" t="s">
        <v>46</v>
      </c>
      <c r="H11403" s="11" t="s">
        <v>63</v>
      </c>
      <c r="I11403" s="13" t="s">
        <v>22551</v>
      </c>
      <c r="J11403" s="14" t="str">
        <f>HYPERLINK("https://www.boe.es/gazeta/dias/1839/07/07/pdfs/GMD-1839-1695.pdf#page=3","Abrir facsímil")</f>
        <v>Abrir facsímil</v>
      </c>
      <c r="K11403" s="12" t="s">
        <v>65</v>
      </c>
    </row>
    <row r="11404" spans="1:11" ht="40.049999999999997" customHeight="1" x14ac:dyDescent="0.25">
      <c r="A11404" s="11" t="s">
        <v>22549</v>
      </c>
      <c r="B11404" s="11" t="s">
        <v>22549</v>
      </c>
      <c r="C11404" s="11" t="s">
        <v>101</v>
      </c>
      <c r="D11404" s="11" t="s">
        <v>102</v>
      </c>
      <c r="E11404" s="12" t="s">
        <v>2205</v>
      </c>
      <c r="F11404" s="12" t="s">
        <v>2206</v>
      </c>
      <c r="G11404" s="12" t="s">
        <v>40</v>
      </c>
      <c r="H11404" s="11" t="s">
        <v>63</v>
      </c>
      <c r="I11404" s="13" t="s">
        <v>22552</v>
      </c>
      <c r="J11404" s="14" t="str">
        <f>HYPERLINK("https://www.boe.es/gazeta/dias/1839/07/11/pdfs/GMD-1839-1699.pdf#page=2","Abrir facsímil")</f>
        <v>Abrir facsímil</v>
      </c>
      <c r="K11404" s="12" t="s">
        <v>65</v>
      </c>
    </row>
    <row r="11405" spans="1:11" ht="40.049999999999997" customHeight="1" x14ac:dyDescent="0.25">
      <c r="A11405" s="11" t="s">
        <v>22549</v>
      </c>
      <c r="B11405" s="11" t="s">
        <v>22549</v>
      </c>
      <c r="C11405" s="11" t="s">
        <v>101</v>
      </c>
      <c r="D11405" s="11" t="s">
        <v>102</v>
      </c>
      <c r="E11405" s="12" t="s">
        <v>33</v>
      </c>
      <c r="F11405" s="12" t="s">
        <v>34</v>
      </c>
      <c r="G11405" s="12" t="s">
        <v>40</v>
      </c>
      <c r="H11405" s="11" t="s">
        <v>63</v>
      </c>
      <c r="I11405" s="13" t="s">
        <v>22553</v>
      </c>
      <c r="J11405" s="14" t="str">
        <f>HYPERLINK("https://www.boe.es/gazeta/dias/1839/12/13/pdfs/GMD-1839-1860.pdf#page=2","Abrir facsímil")</f>
        <v>Abrir facsímil</v>
      </c>
      <c r="K11405" s="12" t="s">
        <v>65</v>
      </c>
    </row>
    <row r="11406" spans="1:11" ht="40.049999999999997" customHeight="1" x14ac:dyDescent="0.25">
      <c r="A11406" s="11" t="s">
        <v>22549</v>
      </c>
      <c r="B11406" s="11" t="s">
        <v>22549</v>
      </c>
      <c r="C11406" s="11" t="s">
        <v>59</v>
      </c>
      <c r="D11406" s="11" t="s">
        <v>60</v>
      </c>
      <c r="E11406" s="12" t="s">
        <v>2374</v>
      </c>
      <c r="F11406" s="12" t="s">
        <v>2375</v>
      </c>
      <c r="G11406" s="12" t="s">
        <v>40</v>
      </c>
      <c r="H11406" s="11" t="s">
        <v>63</v>
      </c>
      <c r="I11406" s="13" t="s">
        <v>22554</v>
      </c>
      <c r="J11406" s="14" t="str">
        <f>HYPERLINK("https://www.boe.es/gazeta/dias/1839/06/14/pdfs/GMD-1839-1672.pdf#page=2","Abrir facsímil")</f>
        <v>Abrir facsímil</v>
      </c>
      <c r="K11406" s="12" t="s">
        <v>65</v>
      </c>
    </row>
    <row r="11407" spans="1:11" ht="40.049999999999997" customHeight="1" x14ac:dyDescent="0.25">
      <c r="A11407" s="11" t="s">
        <v>22549</v>
      </c>
      <c r="B11407" s="11" t="s">
        <v>22549</v>
      </c>
      <c r="C11407" s="11" t="s">
        <v>59</v>
      </c>
      <c r="D11407" s="11" t="s">
        <v>60</v>
      </c>
      <c r="E11407" s="12" t="s">
        <v>336</v>
      </c>
      <c r="F11407" s="12" t="s">
        <v>337</v>
      </c>
      <c r="G11407" s="12" t="s">
        <v>29</v>
      </c>
      <c r="H11407" s="11" t="s">
        <v>63</v>
      </c>
      <c r="I11407" s="13" t="s">
        <v>22555</v>
      </c>
      <c r="J11407" s="14" t="str">
        <f>HYPERLINK("https://www.boe.es/gazeta/dias/1839/07/14/pdfs/GMD-1839-1702.pdf#page=1","Abrir facsímil")</f>
        <v>Abrir facsímil</v>
      </c>
      <c r="K11407" s="12" t="s">
        <v>65</v>
      </c>
    </row>
    <row r="11408" spans="1:11" ht="40.049999999999997" customHeight="1" x14ac:dyDescent="0.25">
      <c r="A11408" s="11" t="s">
        <v>22549</v>
      </c>
      <c r="B11408" s="11" t="s">
        <v>22549</v>
      </c>
      <c r="C11408" s="11" t="s">
        <v>17</v>
      </c>
      <c r="D11408" s="11" t="s">
        <v>18</v>
      </c>
      <c r="E11408" s="12" t="s">
        <v>5399</v>
      </c>
      <c r="F11408" s="12" t="s">
        <v>5400</v>
      </c>
      <c r="G11408" s="12" t="s">
        <v>29</v>
      </c>
      <c r="H11408" s="11" t="s">
        <v>63</v>
      </c>
      <c r="I11408" s="13" t="s">
        <v>22556</v>
      </c>
      <c r="J11408" s="14" t="str">
        <f>HYPERLINK("https://www.boe.es/gazeta/dias/1839/10/14/pdfs/GMD-1839-1800.pdf#page=1","Abrir facsímil")</f>
        <v>Abrir facsímil</v>
      </c>
      <c r="K11408" s="12" t="s">
        <v>65</v>
      </c>
    </row>
    <row r="11409" spans="1:11" ht="40.049999999999997" customHeight="1" x14ac:dyDescent="0.25">
      <c r="A11409" s="11" t="s">
        <v>22549</v>
      </c>
      <c r="B11409" s="11" t="s">
        <v>22549</v>
      </c>
      <c r="C11409" s="11" t="s">
        <v>17</v>
      </c>
      <c r="D11409" s="11" t="s">
        <v>18</v>
      </c>
      <c r="E11409" s="12" t="s">
        <v>1891</v>
      </c>
      <c r="F11409" s="12" t="s">
        <v>1892</v>
      </c>
      <c r="G11409" s="12" t="s">
        <v>40</v>
      </c>
      <c r="H11409" s="11" t="s">
        <v>63</v>
      </c>
      <c r="I11409" s="13" t="s">
        <v>22557</v>
      </c>
      <c r="J11409" s="14" t="str">
        <f>HYPERLINK("https://www.boe.es/gazeta/dias/1839/12/14/pdfs/GMD-1839-1861.pdf#page=2","Abrir facsímil")</f>
        <v>Abrir facsímil</v>
      </c>
      <c r="K11409" s="12" t="s">
        <v>65</v>
      </c>
    </row>
    <row r="11410" spans="1:11" ht="40.049999999999997" customHeight="1" x14ac:dyDescent="0.25">
      <c r="A11410" s="11" t="s">
        <v>22549</v>
      </c>
      <c r="B11410" s="11" t="s">
        <v>22549</v>
      </c>
      <c r="C11410" s="11" t="s">
        <v>17</v>
      </c>
      <c r="D11410" s="11" t="s">
        <v>18</v>
      </c>
      <c r="E11410" s="12" t="s">
        <v>1252</v>
      </c>
      <c r="F11410" s="12" t="s">
        <v>1253</v>
      </c>
      <c r="G11410" s="12" t="s">
        <v>46</v>
      </c>
      <c r="H11410" s="11" t="s">
        <v>63</v>
      </c>
      <c r="I11410" s="13" t="s">
        <v>22558</v>
      </c>
      <c r="J11410" s="14" t="str">
        <f>HYPERLINK("https://www.boe.es/gazeta/dias/1839/06/15/pdfs/GMD-1839-1673.pdf#page=3","Abrir facsímil")</f>
        <v>Abrir facsímil</v>
      </c>
      <c r="K11410" s="12" t="s">
        <v>65</v>
      </c>
    </row>
    <row r="11411" spans="1:11" ht="40.049999999999997" customHeight="1" x14ac:dyDescent="0.25">
      <c r="A11411" s="11" t="s">
        <v>22549</v>
      </c>
      <c r="B11411" s="11" t="s">
        <v>22549</v>
      </c>
      <c r="C11411" s="11" t="s">
        <v>59</v>
      </c>
      <c r="D11411" s="11" t="s">
        <v>60</v>
      </c>
      <c r="E11411" s="12" t="s">
        <v>5806</v>
      </c>
      <c r="F11411" s="12" t="s">
        <v>5807</v>
      </c>
      <c r="G11411" s="12" t="s">
        <v>40</v>
      </c>
      <c r="H11411" s="11" t="s">
        <v>63</v>
      </c>
      <c r="I11411" s="13" t="s">
        <v>22559</v>
      </c>
      <c r="J11411" s="14" t="str">
        <f>HYPERLINK("https://www.boe.es/gazeta/dias/1839/02/16/pdfs/GMD-1839-1554.pdf#page=2","Abrir facsímil")</f>
        <v>Abrir facsímil</v>
      </c>
      <c r="K11411" s="12" t="s">
        <v>65</v>
      </c>
    </row>
    <row r="11412" spans="1:11" ht="40.049999999999997" customHeight="1" x14ac:dyDescent="0.25">
      <c r="A11412" s="11" t="s">
        <v>22549</v>
      </c>
      <c r="B11412" s="11" t="s">
        <v>22549</v>
      </c>
      <c r="C11412" s="11" t="s">
        <v>59</v>
      </c>
      <c r="D11412" s="11" t="s">
        <v>60</v>
      </c>
      <c r="E11412" s="12" t="s">
        <v>1565</v>
      </c>
      <c r="F11412" s="12" t="s">
        <v>1566</v>
      </c>
      <c r="G11412" s="12" t="s">
        <v>46</v>
      </c>
      <c r="H11412" s="11" t="s">
        <v>63</v>
      </c>
      <c r="I11412" s="13" t="s">
        <v>22560</v>
      </c>
      <c r="J11412" s="14" t="str">
        <f>HYPERLINK("https://www.boe.es/gazeta/dias/1839/06/17/pdfs/GMD-1839-1675.pdf#page=3","Abrir facsímil")</f>
        <v>Abrir facsímil</v>
      </c>
      <c r="K11412" s="12" t="s">
        <v>65</v>
      </c>
    </row>
    <row r="11413" spans="1:11" ht="40.049999999999997" customHeight="1" x14ac:dyDescent="0.25">
      <c r="A11413" s="11" t="s">
        <v>22549</v>
      </c>
      <c r="B11413" s="11" t="s">
        <v>22549</v>
      </c>
      <c r="C11413" s="11" t="s">
        <v>59</v>
      </c>
      <c r="D11413" s="11" t="s">
        <v>60</v>
      </c>
      <c r="E11413" s="12" t="s">
        <v>438</v>
      </c>
      <c r="F11413" s="12" t="s">
        <v>439</v>
      </c>
      <c r="G11413" s="12" t="s">
        <v>29</v>
      </c>
      <c r="H11413" s="11" t="s">
        <v>63</v>
      </c>
      <c r="I11413" s="13" t="s">
        <v>22561</v>
      </c>
      <c r="J11413" s="14" t="str">
        <f>HYPERLINK("https://www.boe.es/gazeta/dias/1839/07/17/pdfs/GMD-1839-1705.pdf#page=1","Abrir facsímil")</f>
        <v>Abrir facsímil</v>
      </c>
      <c r="K11413" s="12" t="s">
        <v>65</v>
      </c>
    </row>
    <row r="11414" spans="1:11" ht="40.049999999999997" customHeight="1" x14ac:dyDescent="0.25">
      <c r="A11414" s="11" t="s">
        <v>22549</v>
      </c>
      <c r="B11414" s="11" t="s">
        <v>22549</v>
      </c>
      <c r="C11414" s="11" t="s">
        <v>17</v>
      </c>
      <c r="D11414" s="11" t="s">
        <v>18</v>
      </c>
      <c r="E11414" s="12" t="s">
        <v>1406</v>
      </c>
      <c r="F11414" s="12" t="s">
        <v>1407</v>
      </c>
      <c r="G11414" s="12" t="s">
        <v>29</v>
      </c>
      <c r="H11414" s="11" t="s">
        <v>63</v>
      </c>
      <c r="I11414" s="13" t="s">
        <v>22562</v>
      </c>
      <c r="J11414" s="14" t="str">
        <f>HYPERLINK("https://www.boe.es/gazeta/dias/1839/07/18/pdfs/GMD-1839-1706.pdf#page=1","Abrir facsímil")</f>
        <v>Abrir facsímil</v>
      </c>
      <c r="K11414" s="12" t="s">
        <v>65</v>
      </c>
    </row>
    <row r="11415" spans="1:11" ht="40.049999999999997" customHeight="1" x14ac:dyDescent="0.25">
      <c r="A11415" s="11" t="s">
        <v>22549</v>
      </c>
      <c r="B11415" s="11" t="s">
        <v>22549</v>
      </c>
      <c r="C11415" s="11" t="s">
        <v>17</v>
      </c>
      <c r="D11415" s="11" t="s">
        <v>18</v>
      </c>
      <c r="E11415" s="12" t="s">
        <v>611</v>
      </c>
      <c r="F11415" s="12" t="s">
        <v>612</v>
      </c>
      <c r="G11415" s="12" t="s">
        <v>29</v>
      </c>
      <c r="H11415" s="11" t="s">
        <v>63</v>
      </c>
      <c r="I11415" s="13" t="s">
        <v>22563</v>
      </c>
      <c r="J11415" s="14" t="str">
        <f>HYPERLINK("https://www.boe.es/gazeta/dias/1839/07/22/pdfs/GMD-1839-1710.pdf#page=1","Abrir facsímil")</f>
        <v>Abrir facsímil</v>
      </c>
      <c r="K11415" s="12" t="s">
        <v>65</v>
      </c>
    </row>
    <row r="11416" spans="1:11" ht="40.049999999999997" customHeight="1" x14ac:dyDescent="0.25">
      <c r="A11416" s="11" t="s">
        <v>22549</v>
      </c>
      <c r="B11416" s="11" t="s">
        <v>22549</v>
      </c>
      <c r="C11416" s="11" t="s">
        <v>17</v>
      </c>
      <c r="D11416" s="11" t="s">
        <v>18</v>
      </c>
      <c r="E11416" s="12" t="s">
        <v>862</v>
      </c>
      <c r="F11416" s="12" t="s">
        <v>863</v>
      </c>
      <c r="G11416" s="12" t="s">
        <v>29</v>
      </c>
      <c r="H11416" s="11" t="s">
        <v>63</v>
      </c>
      <c r="I11416" s="13" t="s">
        <v>22564</v>
      </c>
      <c r="J11416" s="14" t="str">
        <f>HYPERLINK("https://www.boe.es/gazeta/dias/1839/10/28/pdfs/GMD-1839-1814.pdf#page=1","Abrir facsímil")</f>
        <v>Abrir facsímil</v>
      </c>
      <c r="K11416" s="12" t="s">
        <v>65</v>
      </c>
    </row>
    <row r="11417" spans="1:11" ht="40.049999999999997" customHeight="1" x14ac:dyDescent="0.25">
      <c r="A11417" s="11" t="s">
        <v>22549</v>
      </c>
      <c r="B11417" s="11" t="s">
        <v>22549</v>
      </c>
      <c r="C11417" s="11" t="s">
        <v>80</v>
      </c>
      <c r="D11417" s="11" t="s">
        <v>173</v>
      </c>
      <c r="E11417" s="12" t="s">
        <v>474</v>
      </c>
      <c r="F11417" s="12" t="s">
        <v>475</v>
      </c>
      <c r="G11417" s="12" t="s">
        <v>29</v>
      </c>
      <c r="H11417" s="11" t="s">
        <v>63</v>
      </c>
      <c r="I11417" s="13" t="s">
        <v>22565</v>
      </c>
      <c r="J11417" s="14" t="str">
        <f>HYPERLINK("https://www.boe.es/gazeta/dias/1839/03/31/pdfs/GMD-1839-1597.pdf#page=1","Abrir facsímil")</f>
        <v>Abrir facsímil</v>
      </c>
      <c r="K11417" s="12" t="s">
        <v>65</v>
      </c>
    </row>
    <row r="11418" spans="1:11" ht="40.049999999999997" customHeight="1" x14ac:dyDescent="0.25">
      <c r="A11418" s="11" t="s">
        <v>22549</v>
      </c>
      <c r="B11418" s="11" t="s">
        <v>22549</v>
      </c>
      <c r="C11418" s="11" t="s">
        <v>59</v>
      </c>
      <c r="D11418" s="11" t="s">
        <v>60</v>
      </c>
      <c r="E11418" s="12" t="s">
        <v>1696</v>
      </c>
      <c r="F11418" s="12" t="s">
        <v>1697</v>
      </c>
      <c r="G11418" s="12" t="s">
        <v>29</v>
      </c>
      <c r="H11418" s="11" t="s">
        <v>63</v>
      </c>
      <c r="I11418" s="13" t="s">
        <v>22566</v>
      </c>
      <c r="J11418" s="14" t="str">
        <f>HYPERLINK("https://www.boe.es/gazeta/dias/1839/08/31/pdfs/GMD-1839-1752.pdf#page=1","Abrir facsímil")</f>
        <v>Abrir facsímil</v>
      </c>
      <c r="K11418" s="12" t="s">
        <v>65</v>
      </c>
    </row>
    <row r="11419" spans="1:11" ht="40.049999999999997" customHeight="1" x14ac:dyDescent="0.25">
      <c r="A11419" s="11" t="s">
        <v>22567</v>
      </c>
      <c r="B11419" s="11" t="s">
        <v>22568</v>
      </c>
      <c r="C11419" s="11" t="s">
        <v>17</v>
      </c>
      <c r="D11419" s="11" t="s">
        <v>18</v>
      </c>
      <c r="E11419" s="12" t="s">
        <v>785</v>
      </c>
      <c r="F11419" s="12" t="s">
        <v>786</v>
      </c>
      <c r="G11419" s="12" t="s">
        <v>40</v>
      </c>
      <c r="H11419" s="11" t="s">
        <v>63</v>
      </c>
      <c r="I11419" s="13" t="s">
        <v>22569</v>
      </c>
      <c r="J11419" s="14" t="str">
        <f>HYPERLINK("https://www.boe.es/gazeta/dias/1839/07/13/pdfs/GMD-1839-1701.pdf#page=2","Abrir facsímil")</f>
        <v>Abrir facsímil</v>
      </c>
      <c r="K11419" s="12" t="s">
        <v>65</v>
      </c>
    </row>
    <row r="11420" spans="1:11" ht="40.049999999999997" customHeight="1" x14ac:dyDescent="0.25">
      <c r="A11420" s="11" t="s">
        <v>22570</v>
      </c>
      <c r="B11420" s="11" t="s">
        <v>22570</v>
      </c>
      <c r="C11420" s="11" t="s">
        <v>59</v>
      </c>
      <c r="D11420" s="11" t="s">
        <v>60</v>
      </c>
      <c r="E11420" s="12" t="s">
        <v>848</v>
      </c>
      <c r="F11420" s="12" t="s">
        <v>849</v>
      </c>
      <c r="G11420" s="12" t="s">
        <v>46</v>
      </c>
      <c r="H11420" s="11" t="s">
        <v>63</v>
      </c>
      <c r="I11420" s="13" t="s">
        <v>22571</v>
      </c>
      <c r="J11420" s="14" t="str">
        <f>HYPERLINK("https://www.boe.es/gazeta/dias/1839/08/04/pdfs/GMD-1839-1724.pdf#page=3","Abrir facsímil")</f>
        <v>Abrir facsímil</v>
      </c>
      <c r="K11420" s="12" t="s">
        <v>65</v>
      </c>
    </row>
    <row r="11421" spans="1:11" ht="40.049999999999997" customHeight="1" x14ac:dyDescent="0.25">
      <c r="A11421" s="11" t="s">
        <v>22572</v>
      </c>
      <c r="B11421" s="11" t="s">
        <v>22572</v>
      </c>
      <c r="C11421" s="11" t="s">
        <v>101</v>
      </c>
      <c r="D11421" s="11" t="s">
        <v>102</v>
      </c>
      <c r="E11421" s="12" t="s">
        <v>3391</v>
      </c>
      <c r="F11421" s="12" t="s">
        <v>3392</v>
      </c>
      <c r="G11421" s="12" t="s">
        <v>29</v>
      </c>
      <c r="H11421" s="11" t="s">
        <v>63</v>
      </c>
      <c r="I11421" s="13" t="s">
        <v>22573</v>
      </c>
      <c r="J11421" s="14" t="str">
        <f>HYPERLINK("https://www.boe.es/gazeta/dias/1839/12/31/pdfs/GMD-1839-1878.pdf#page=1","Abrir facsímil")</f>
        <v>Abrir facsímil</v>
      </c>
      <c r="K11421" s="12" t="s">
        <v>65</v>
      </c>
    </row>
    <row r="11422" spans="1:11" ht="40.049999999999997" customHeight="1" x14ac:dyDescent="0.25">
      <c r="A11422" s="11" t="s">
        <v>22574</v>
      </c>
      <c r="B11422" s="11" t="s">
        <v>22574</v>
      </c>
      <c r="C11422" s="11" t="s">
        <v>17</v>
      </c>
      <c r="D11422" s="11" t="s">
        <v>18</v>
      </c>
      <c r="E11422" s="12" t="s">
        <v>848</v>
      </c>
      <c r="F11422" s="12" t="s">
        <v>849</v>
      </c>
      <c r="G11422" s="12" t="s">
        <v>29</v>
      </c>
      <c r="H11422" s="11" t="s">
        <v>63</v>
      </c>
      <c r="I11422" s="13" t="s">
        <v>22575</v>
      </c>
      <c r="J11422" s="14" t="str">
        <f>HYPERLINK("https://www.boe.es/gazeta/dias/1839/08/04/pdfs/GMD-1839-1724.pdf#page=1","Abrir facsímil")</f>
        <v>Abrir facsímil</v>
      </c>
      <c r="K11422" s="12" t="s">
        <v>65</v>
      </c>
    </row>
    <row r="11423" spans="1:11" ht="40.049999999999997" customHeight="1" x14ac:dyDescent="0.25">
      <c r="A11423" s="11" t="s">
        <v>22574</v>
      </c>
      <c r="B11423" s="11" t="s">
        <v>22574</v>
      </c>
      <c r="C11423" s="11" t="s">
        <v>17</v>
      </c>
      <c r="D11423" s="11" t="s">
        <v>43</v>
      </c>
      <c r="E11423" s="12" t="s">
        <v>1433</v>
      </c>
      <c r="F11423" s="12" t="s">
        <v>1434</v>
      </c>
      <c r="G11423" s="12" t="s">
        <v>29</v>
      </c>
      <c r="H11423" s="11" t="s">
        <v>63</v>
      </c>
      <c r="I11423" s="13" t="s">
        <v>22576</v>
      </c>
      <c r="J11423" s="14" t="str">
        <f>HYPERLINK("https://www.boe.es/gazeta/dias/1839/10/22/pdfs/GMD-1839-1808.pdf#page=1","Abrir facsímil")</f>
        <v>Abrir facsímil</v>
      </c>
      <c r="K11423" s="12" t="s">
        <v>65</v>
      </c>
    </row>
    <row r="11424" spans="1:11" ht="40.049999999999997" customHeight="1" x14ac:dyDescent="0.25">
      <c r="A11424" s="11" t="s">
        <v>22574</v>
      </c>
      <c r="B11424" s="11" t="s">
        <v>22574</v>
      </c>
      <c r="C11424" s="11" t="s">
        <v>101</v>
      </c>
      <c r="D11424" s="11" t="s">
        <v>102</v>
      </c>
      <c r="E11424" s="12" t="s">
        <v>1729</v>
      </c>
      <c r="F11424" s="12" t="s">
        <v>1730</v>
      </c>
      <c r="G11424" s="12" t="s">
        <v>40</v>
      </c>
      <c r="H11424" s="11" t="s">
        <v>63</v>
      </c>
      <c r="I11424" s="13" t="s">
        <v>22577</v>
      </c>
      <c r="J11424" s="14" t="str">
        <f>HYPERLINK("https://www.boe.es/gazeta/dias/1839/04/25/pdfs/GMD-1839-1622.pdf#page=2","Abrir facsímil")</f>
        <v>Abrir facsímil</v>
      </c>
      <c r="K11424" s="12" t="s">
        <v>65</v>
      </c>
    </row>
    <row r="11425" spans="1:11" ht="40.049999999999997" customHeight="1" x14ac:dyDescent="0.25">
      <c r="A11425" s="11" t="s">
        <v>22574</v>
      </c>
      <c r="B11425" s="11" t="s">
        <v>22574</v>
      </c>
      <c r="C11425" s="11" t="s">
        <v>101</v>
      </c>
      <c r="D11425" s="11" t="s">
        <v>43</v>
      </c>
      <c r="E11425" s="12" t="s">
        <v>3391</v>
      </c>
      <c r="F11425" s="12" t="s">
        <v>3392</v>
      </c>
      <c r="G11425" s="12" t="s">
        <v>29</v>
      </c>
      <c r="H11425" s="11" t="s">
        <v>63</v>
      </c>
      <c r="I11425" s="13" t="s">
        <v>22578</v>
      </c>
      <c r="J11425" s="14" t="str">
        <f>HYPERLINK("https://www.boe.es/gazeta/dias/1839/12/31/pdfs/GMD-1839-1878.pdf#page=1","Abrir facsímil")</f>
        <v>Abrir facsímil</v>
      </c>
      <c r="K11425" s="12" t="s">
        <v>65</v>
      </c>
    </row>
    <row r="11426" spans="1:11" ht="40.049999999999997" customHeight="1" x14ac:dyDescent="0.25">
      <c r="A11426" s="11" t="s">
        <v>22579</v>
      </c>
      <c r="B11426" s="11" t="s">
        <v>22579</v>
      </c>
      <c r="C11426" s="11" t="s">
        <v>17</v>
      </c>
      <c r="D11426" s="11" t="s">
        <v>18</v>
      </c>
      <c r="E11426" s="12" t="s">
        <v>1123</v>
      </c>
      <c r="F11426" s="12" t="s">
        <v>1124</v>
      </c>
      <c r="G11426" s="12" t="s">
        <v>46</v>
      </c>
      <c r="H11426" s="11" t="s">
        <v>63</v>
      </c>
      <c r="I11426" s="13" t="s">
        <v>22580</v>
      </c>
      <c r="J11426" s="14" t="str">
        <f>HYPERLINK("https://www.boe.es/gazeta/dias/1839/08/10/pdfs/GMD-1839-1730.pdf#page=3","Abrir facsímil")</f>
        <v>Abrir facsímil</v>
      </c>
      <c r="K11426" s="12" t="s">
        <v>65</v>
      </c>
    </row>
    <row r="11427" spans="1:11" ht="40.049999999999997" customHeight="1" x14ac:dyDescent="0.25">
      <c r="A11427" s="11" t="s">
        <v>22581</v>
      </c>
      <c r="B11427" s="11" t="s">
        <v>22581</v>
      </c>
      <c r="C11427" s="11" t="s">
        <v>80</v>
      </c>
      <c r="D11427" s="11" t="s">
        <v>18</v>
      </c>
      <c r="E11427" s="12" t="s">
        <v>1749</v>
      </c>
      <c r="F11427" s="12" t="s">
        <v>1750</v>
      </c>
      <c r="G11427" s="12" t="s">
        <v>29</v>
      </c>
      <c r="H11427" s="11" t="s">
        <v>63</v>
      </c>
      <c r="I11427" s="13" t="s">
        <v>22582</v>
      </c>
      <c r="J11427" s="14" t="str">
        <f>HYPERLINK("https://www.boe.es/gazeta/dias/1839/06/28/pdfs/GMD-1839-1686.pdf#page=1","Abrir facsímil")</f>
        <v>Abrir facsímil</v>
      </c>
      <c r="K11427" s="12" t="s">
        <v>65</v>
      </c>
    </row>
    <row r="11428" spans="1:11" ht="40.049999999999997" customHeight="1" x14ac:dyDescent="0.25">
      <c r="A11428" s="11" t="s">
        <v>22583</v>
      </c>
      <c r="B11428" s="11" t="s">
        <v>22583</v>
      </c>
      <c r="C11428" s="11" t="s">
        <v>17</v>
      </c>
      <c r="D11428" s="11" t="s">
        <v>18</v>
      </c>
      <c r="E11428" s="12" t="s">
        <v>1497</v>
      </c>
      <c r="F11428" s="12" t="s">
        <v>1498</v>
      </c>
      <c r="G11428" s="12" t="s">
        <v>21</v>
      </c>
      <c r="H11428" s="11" t="s">
        <v>63</v>
      </c>
      <c r="I11428" s="13" t="s">
        <v>22584</v>
      </c>
      <c r="J11428" s="14" t="str">
        <f>HYPERLINK("https://www.boe.es/gazeta/dias/1839/08/23/pdfs/GMD-1839-1744.pdf#page=4","Abrir facsímil")</f>
        <v>Abrir facsímil</v>
      </c>
      <c r="K11428" s="12" t="s">
        <v>65</v>
      </c>
    </row>
    <row r="11429" spans="1:11" ht="40.049999999999997" customHeight="1" x14ac:dyDescent="0.25">
      <c r="A11429" s="11" t="s">
        <v>22585</v>
      </c>
      <c r="B11429" s="11" t="s">
        <v>22585</v>
      </c>
      <c r="C11429" s="11" t="s">
        <v>17</v>
      </c>
      <c r="D11429" s="11" t="s">
        <v>18</v>
      </c>
      <c r="E11429" s="12" t="s">
        <v>1685</v>
      </c>
      <c r="F11429" s="12" t="s">
        <v>1686</v>
      </c>
      <c r="G11429" s="12" t="s">
        <v>29</v>
      </c>
      <c r="H11429" s="11" t="s">
        <v>63</v>
      </c>
      <c r="I11429" s="13" t="s">
        <v>22586</v>
      </c>
      <c r="J11429" s="14" t="str">
        <f>HYPERLINK("https://www.boe.es/gazeta/dias/1839/04/27/pdfs/GMD-1839-1624.pdf#page=1","Abrir facsímil")</f>
        <v>Abrir facsímil</v>
      </c>
      <c r="K11429" s="12" t="s">
        <v>65</v>
      </c>
    </row>
    <row r="11430" spans="1:11" ht="40.049999999999997" customHeight="1" x14ac:dyDescent="0.25">
      <c r="A11430" s="11" t="s">
        <v>22587</v>
      </c>
      <c r="B11430" s="11" t="s">
        <v>22588</v>
      </c>
      <c r="C11430" s="11" t="s">
        <v>137</v>
      </c>
      <c r="D11430" s="11" t="s">
        <v>18</v>
      </c>
      <c r="E11430" s="12" t="s">
        <v>5806</v>
      </c>
      <c r="F11430" s="12" t="s">
        <v>5807</v>
      </c>
      <c r="G11430" s="12" t="s">
        <v>40</v>
      </c>
      <c r="H11430" s="11" t="s">
        <v>63</v>
      </c>
      <c r="I11430" s="13" t="s">
        <v>22589</v>
      </c>
      <c r="J11430" s="14" t="str">
        <f>HYPERLINK("https://www.boe.es/gazeta/dias/1839/02/16/pdfs/GMD-1839-1554.pdf#page=2","Abrir facsímil")</f>
        <v>Abrir facsímil</v>
      </c>
      <c r="K11430" s="12" t="s">
        <v>65</v>
      </c>
    </row>
    <row r="11431" spans="1:11" ht="40.049999999999997" customHeight="1" x14ac:dyDescent="0.25">
      <c r="A11431" s="11" t="s">
        <v>22590</v>
      </c>
      <c r="B11431" s="11" t="s">
        <v>22590</v>
      </c>
      <c r="C11431" s="11" t="s">
        <v>17</v>
      </c>
      <c r="D11431" s="11" t="s">
        <v>18</v>
      </c>
      <c r="E11431" s="12" t="s">
        <v>163</v>
      </c>
      <c r="F11431" s="12" t="s">
        <v>164</v>
      </c>
      <c r="G11431" s="12" t="s">
        <v>29</v>
      </c>
      <c r="H11431" s="11" t="s">
        <v>63</v>
      </c>
      <c r="I11431" s="13" t="s">
        <v>22591</v>
      </c>
      <c r="J11431" s="14" t="str">
        <f>HYPERLINK("https://www.boe.es/gazeta/dias/1839/01/13/pdfs/GMD-1839-1520.pdf#page=1","Abrir facsímil")</f>
        <v>Abrir facsímil</v>
      </c>
      <c r="K11431" s="12" t="s">
        <v>65</v>
      </c>
    </row>
    <row r="11432" spans="1:11" ht="40.049999999999997" customHeight="1" x14ac:dyDescent="0.25">
      <c r="A11432" s="11" t="s">
        <v>22592</v>
      </c>
      <c r="B11432" s="11" t="s">
        <v>22592</v>
      </c>
      <c r="C11432" s="11" t="s">
        <v>17</v>
      </c>
      <c r="D11432" s="11" t="s">
        <v>18</v>
      </c>
      <c r="E11432" s="12" t="s">
        <v>141</v>
      </c>
      <c r="F11432" s="12" t="s">
        <v>142</v>
      </c>
      <c r="G11432" s="12" t="s">
        <v>29</v>
      </c>
      <c r="H11432" s="11" t="s">
        <v>63</v>
      </c>
      <c r="I11432" s="13" t="s">
        <v>22593</v>
      </c>
      <c r="J11432" s="14" t="str">
        <f>HYPERLINK("https://www.boe.es/gazeta/dias/1839/11/10/pdfs/GMD-1839-1827.pdf#page=1","Abrir facsímil")</f>
        <v>Abrir facsímil</v>
      </c>
      <c r="K11432" s="12" t="s">
        <v>65</v>
      </c>
    </row>
    <row r="11433" spans="1:11" ht="40.049999999999997" customHeight="1" x14ac:dyDescent="0.25">
      <c r="A11433" s="11" t="s">
        <v>22594</v>
      </c>
      <c r="B11433" s="11" t="s">
        <v>22594</v>
      </c>
      <c r="C11433" s="11" t="s">
        <v>17</v>
      </c>
      <c r="D11433" s="11" t="s">
        <v>18</v>
      </c>
      <c r="E11433" s="12" t="s">
        <v>108</v>
      </c>
      <c r="F11433" s="12" t="s">
        <v>109</v>
      </c>
      <c r="G11433" s="12" t="s">
        <v>29</v>
      </c>
      <c r="H11433" s="11" t="s">
        <v>63</v>
      </c>
      <c r="I11433" s="13" t="s">
        <v>22595</v>
      </c>
      <c r="J11433" s="14" t="str">
        <f>HYPERLINK("https://www.boe.es/gazeta/dias/1839/01/04/pdfs/GMD-1839-1511.pdf#page=1","Abrir facsímil")</f>
        <v>Abrir facsímil</v>
      </c>
      <c r="K11433" s="12" t="s">
        <v>65</v>
      </c>
    </row>
    <row r="11434" spans="1:11" ht="40.049999999999997" customHeight="1" x14ac:dyDescent="0.25">
      <c r="A11434" s="11" t="s">
        <v>22594</v>
      </c>
      <c r="B11434" s="11" t="s">
        <v>22594</v>
      </c>
      <c r="C11434" s="11" t="s">
        <v>59</v>
      </c>
      <c r="D11434" s="11" t="s">
        <v>60</v>
      </c>
      <c r="E11434" s="12" t="s">
        <v>2482</v>
      </c>
      <c r="F11434" s="12" t="s">
        <v>2483</v>
      </c>
      <c r="G11434" s="12" t="s">
        <v>21</v>
      </c>
      <c r="H11434" s="11" t="s">
        <v>63</v>
      </c>
      <c r="I11434" s="13" t="s">
        <v>22596</v>
      </c>
      <c r="J11434" s="14" t="str">
        <f>HYPERLINK("https://www.boe.es/gazeta/dias/1839/07/07/pdfs/GMD-1839-1695.pdf#page=4","Abrir facsímil")</f>
        <v>Abrir facsímil</v>
      </c>
      <c r="K11434" s="12" t="s">
        <v>65</v>
      </c>
    </row>
    <row r="11435" spans="1:11" ht="40.049999999999997" customHeight="1" x14ac:dyDescent="0.25">
      <c r="A11435" s="11" t="s">
        <v>22594</v>
      </c>
      <c r="B11435" s="11" t="s">
        <v>22594</v>
      </c>
      <c r="C11435" s="11" t="s">
        <v>17</v>
      </c>
      <c r="D11435" s="11" t="s">
        <v>18</v>
      </c>
      <c r="E11435" s="12" t="s">
        <v>38</v>
      </c>
      <c r="F11435" s="12" t="s">
        <v>39</v>
      </c>
      <c r="G11435" s="12" t="s">
        <v>40</v>
      </c>
      <c r="H11435" s="11" t="s">
        <v>63</v>
      </c>
      <c r="I11435" s="13" t="s">
        <v>22597</v>
      </c>
      <c r="J11435" s="14" t="str">
        <f>HYPERLINK("https://www.boe.es/gazeta/dias/1839/08/08/pdfs/GMD-1839-1728.pdf#page=2","Abrir facsímil")</f>
        <v>Abrir facsímil</v>
      </c>
      <c r="K11435" s="12" t="s">
        <v>65</v>
      </c>
    </row>
    <row r="11436" spans="1:11" ht="40.049999999999997" customHeight="1" x14ac:dyDescent="0.25">
      <c r="A11436" s="11" t="s">
        <v>22594</v>
      </c>
      <c r="B11436" s="11" t="s">
        <v>22594</v>
      </c>
      <c r="C11436" s="11" t="s">
        <v>17</v>
      </c>
      <c r="D11436" s="11" t="s">
        <v>18</v>
      </c>
      <c r="E11436" s="12" t="s">
        <v>510</v>
      </c>
      <c r="F11436" s="12" t="s">
        <v>511</v>
      </c>
      <c r="G11436" s="12" t="s">
        <v>21</v>
      </c>
      <c r="H11436" s="11" t="s">
        <v>63</v>
      </c>
      <c r="I11436" s="13" t="s">
        <v>22598</v>
      </c>
      <c r="J11436" s="14" t="str">
        <f>HYPERLINK("https://www.boe.es/gazeta/dias/1839/05/13/pdfs/GMD-1839-1640.pdf#page=4","Abrir facsímil")</f>
        <v>Abrir facsímil</v>
      </c>
      <c r="K11436" s="12" t="s">
        <v>65</v>
      </c>
    </row>
    <row r="11437" spans="1:11" ht="40.049999999999997" customHeight="1" x14ac:dyDescent="0.25">
      <c r="A11437" s="11" t="s">
        <v>22594</v>
      </c>
      <c r="B11437" s="11" t="s">
        <v>22594</v>
      </c>
      <c r="C11437" s="11" t="s">
        <v>101</v>
      </c>
      <c r="D11437" s="11" t="s">
        <v>102</v>
      </c>
      <c r="E11437" s="12" t="s">
        <v>1672</v>
      </c>
      <c r="F11437" s="12" t="s">
        <v>1673</v>
      </c>
      <c r="G11437" s="12" t="s">
        <v>21</v>
      </c>
      <c r="H11437" s="11" t="s">
        <v>63</v>
      </c>
      <c r="I11437" s="13" t="s">
        <v>22599</v>
      </c>
      <c r="J11437" s="14" t="str">
        <f>HYPERLINK("https://www.boe.es/gazeta/dias/1839/08/24/pdfs/GMD-1839-1745.pdf#page=4","Abrir facsímil")</f>
        <v>Abrir facsímil</v>
      </c>
      <c r="K11437" s="12" t="s">
        <v>65</v>
      </c>
    </row>
    <row r="11438" spans="1:11" ht="40.049999999999997" customHeight="1" x14ac:dyDescent="0.25">
      <c r="A11438" s="11" t="s">
        <v>22594</v>
      </c>
      <c r="B11438" s="11" t="s">
        <v>22594</v>
      </c>
      <c r="C11438" s="11" t="s">
        <v>17</v>
      </c>
      <c r="D11438" s="11" t="s">
        <v>18</v>
      </c>
      <c r="E11438" s="12" t="s">
        <v>1446</v>
      </c>
      <c r="F11438" s="12" t="s">
        <v>1447</v>
      </c>
      <c r="G11438" s="12" t="s">
        <v>21</v>
      </c>
      <c r="H11438" s="11" t="s">
        <v>63</v>
      </c>
      <c r="I11438" s="13" t="s">
        <v>22600</v>
      </c>
      <c r="J11438" s="14" t="str">
        <f>HYPERLINK("https://www.boe.es/gazeta/dias/1839/08/25/pdfs/GMD-1839-1746.pdf#page=4","Abrir facsímil")</f>
        <v>Abrir facsímil</v>
      </c>
      <c r="K11438" s="12" t="s">
        <v>65</v>
      </c>
    </row>
    <row r="11439" spans="1:11" ht="40.049999999999997" customHeight="1" x14ac:dyDescent="0.25">
      <c r="A11439" s="11" t="s">
        <v>22601</v>
      </c>
      <c r="B11439" s="11" t="s">
        <v>22601</v>
      </c>
      <c r="C11439" s="11" t="s">
        <v>101</v>
      </c>
      <c r="D11439" s="11" t="s">
        <v>102</v>
      </c>
      <c r="E11439" s="12" t="s">
        <v>544</v>
      </c>
      <c r="F11439" s="12" t="s">
        <v>545</v>
      </c>
      <c r="G11439" s="12" t="s">
        <v>40</v>
      </c>
      <c r="H11439" s="11" t="s">
        <v>63</v>
      </c>
      <c r="I11439" s="13" t="s">
        <v>22602</v>
      </c>
      <c r="J11439" s="14" t="str">
        <f>HYPERLINK("https://www.boe.es/gazeta/dias/1839/11/11/pdfs/GMD-1839-1828.pdf#page=2","Abrir facsímil")</f>
        <v>Abrir facsímil</v>
      </c>
      <c r="K11439" s="12" t="s">
        <v>65</v>
      </c>
    </row>
    <row r="11440" spans="1:11" ht="40.049999999999997" customHeight="1" x14ac:dyDescent="0.25">
      <c r="A11440" s="11" t="s">
        <v>22603</v>
      </c>
      <c r="B11440" s="11" t="s">
        <v>22603</v>
      </c>
      <c r="C11440" s="11" t="s">
        <v>80</v>
      </c>
      <c r="D11440" s="11" t="s">
        <v>18</v>
      </c>
      <c r="E11440" s="12" t="s">
        <v>4108</v>
      </c>
      <c r="F11440" s="12" t="s">
        <v>4109</v>
      </c>
      <c r="G11440" s="12" t="s">
        <v>46</v>
      </c>
      <c r="H11440" s="11" t="s">
        <v>63</v>
      </c>
      <c r="I11440" s="13" t="s">
        <v>22604</v>
      </c>
      <c r="J11440" s="14" t="str">
        <f>HYPERLINK("https://www.boe.es/gazeta/dias/1839/03/23/pdfs/GMD-1839-1589.pdf#page=3","Abrir facsímil")</f>
        <v>Abrir facsímil</v>
      </c>
      <c r="K11440" s="12" t="s">
        <v>65</v>
      </c>
    </row>
    <row r="11441" spans="1:11" ht="40.049999999999997" customHeight="1" x14ac:dyDescent="0.25">
      <c r="A11441" s="11" t="s">
        <v>22605</v>
      </c>
      <c r="B11441" s="11" t="s">
        <v>22606</v>
      </c>
      <c r="C11441" s="11" t="s">
        <v>17</v>
      </c>
      <c r="D11441" s="11" t="s">
        <v>18</v>
      </c>
      <c r="E11441" s="12" t="s">
        <v>513</v>
      </c>
      <c r="F11441" s="12" t="s">
        <v>514</v>
      </c>
      <c r="G11441" s="12" t="s">
        <v>21</v>
      </c>
      <c r="H11441" s="11" t="s">
        <v>63</v>
      </c>
      <c r="I11441" s="13" t="s">
        <v>22607</v>
      </c>
      <c r="J11441" s="14" t="str">
        <f>HYPERLINK("https://www.boe.es/gazeta/dias/1839/03/17/pdfs/GMD-1839-1583.pdf#page=4","Abrir facsímil")</f>
        <v>Abrir facsímil</v>
      </c>
      <c r="K11441" s="12" t="s">
        <v>65</v>
      </c>
    </row>
    <row r="11442" spans="1:11" ht="40.049999999999997" customHeight="1" x14ac:dyDescent="0.25">
      <c r="A11442" s="11" t="s">
        <v>22608</v>
      </c>
      <c r="B11442" s="11" t="s">
        <v>22609</v>
      </c>
      <c r="C11442" s="11" t="s">
        <v>80</v>
      </c>
      <c r="D11442" s="11" t="s">
        <v>18</v>
      </c>
      <c r="E11442" s="12" t="s">
        <v>160</v>
      </c>
      <c r="F11442" s="12" t="s">
        <v>161</v>
      </c>
      <c r="G11442" s="12" t="s">
        <v>21</v>
      </c>
      <c r="H11442" s="11" t="s">
        <v>22</v>
      </c>
      <c r="I11442" s="13" t="s">
        <v>22610</v>
      </c>
      <c r="J11442" s="14" t="str">
        <f>HYPERLINK("https://www.boe.es/gazeta/dias/1839/01/10/pdfs/GMD-1839-1517.pdf#page=4","Abrir facsímil")</f>
        <v>Abrir facsímil</v>
      </c>
      <c r="K11442" s="12" t="s">
        <v>24</v>
      </c>
    </row>
    <row r="11443" spans="1:11" ht="40.049999999999997" customHeight="1" x14ac:dyDescent="0.25">
      <c r="A11443" s="11" t="s">
        <v>22611</v>
      </c>
      <c r="B11443" s="11" t="s">
        <v>22612</v>
      </c>
      <c r="C11443" s="11" t="s">
        <v>17</v>
      </c>
      <c r="D11443" s="11" t="s">
        <v>18</v>
      </c>
      <c r="E11443" s="12" t="s">
        <v>19</v>
      </c>
      <c r="F11443" s="12" t="s">
        <v>20</v>
      </c>
      <c r="G11443" s="12" t="s">
        <v>46</v>
      </c>
      <c r="H11443" s="11" t="s">
        <v>63</v>
      </c>
      <c r="I11443" s="13" t="s">
        <v>22613</v>
      </c>
      <c r="J11443" s="14" t="str">
        <f>HYPERLINK("https://www.boe.es/gazeta/dias/1839/01/19/pdfs/GMD-1839-1526.pdf#page=3","Abrir facsímil")</f>
        <v>Abrir facsímil</v>
      </c>
      <c r="K11443" s="12" t="s">
        <v>65</v>
      </c>
    </row>
    <row r="11444" spans="1:11" ht="40.049999999999997" customHeight="1" x14ac:dyDescent="0.25">
      <c r="A11444" s="11" t="s">
        <v>22614</v>
      </c>
      <c r="B11444" s="11" t="s">
        <v>22615</v>
      </c>
      <c r="C11444" s="11" t="s">
        <v>17</v>
      </c>
      <c r="D11444" s="11" t="s">
        <v>18</v>
      </c>
      <c r="E11444" s="12" t="s">
        <v>516</v>
      </c>
      <c r="F11444" s="12" t="s">
        <v>517</v>
      </c>
      <c r="G11444" s="12" t="s">
        <v>46</v>
      </c>
      <c r="H11444" s="11" t="s">
        <v>63</v>
      </c>
      <c r="I11444" s="13" t="s">
        <v>22616</v>
      </c>
      <c r="J11444" s="14" t="str">
        <f>HYPERLINK("https://www.boe.es/gazeta/dias/1839/06/21/pdfs/GMD-1839-1679.pdf#page=3","Abrir facsímil")</f>
        <v>Abrir facsímil</v>
      </c>
      <c r="K11444" s="12" t="s">
        <v>65</v>
      </c>
    </row>
    <row r="11445" spans="1:11" ht="40.049999999999997" customHeight="1" x14ac:dyDescent="0.25">
      <c r="A11445" s="11" t="s">
        <v>22617</v>
      </c>
      <c r="B11445" s="11" t="s">
        <v>22617</v>
      </c>
      <c r="C11445" s="11" t="s">
        <v>17</v>
      </c>
      <c r="D11445" s="11" t="s">
        <v>18</v>
      </c>
      <c r="E11445" s="12" t="s">
        <v>1520</v>
      </c>
      <c r="F11445" s="12" t="s">
        <v>1521</v>
      </c>
      <c r="G11445" s="12" t="s">
        <v>46</v>
      </c>
      <c r="H11445" s="11" t="s">
        <v>63</v>
      </c>
      <c r="I11445" s="13" t="s">
        <v>22618</v>
      </c>
      <c r="J11445" s="14" t="str">
        <f>HYPERLINK("https://www.boe.es/gazeta/dias/1839/12/27/pdfs/GMD-1839-1874.pdf#page=3","Abrir facsímil")</f>
        <v>Abrir facsímil</v>
      </c>
      <c r="K11445" s="12" t="s">
        <v>65</v>
      </c>
    </row>
    <row r="11446" spans="1:11" ht="40.049999999999997" customHeight="1" x14ac:dyDescent="0.25">
      <c r="A11446" s="11" t="s">
        <v>22619</v>
      </c>
      <c r="B11446" s="11" t="s">
        <v>22620</v>
      </c>
      <c r="C11446" s="11" t="s">
        <v>80</v>
      </c>
      <c r="D11446" s="11" t="s">
        <v>18</v>
      </c>
      <c r="E11446" s="12" t="s">
        <v>496</v>
      </c>
      <c r="F11446" s="12" t="s">
        <v>497</v>
      </c>
      <c r="G11446" s="12" t="s">
        <v>46</v>
      </c>
      <c r="H11446" s="11" t="s">
        <v>63</v>
      </c>
      <c r="I11446" s="13" t="s">
        <v>22621</v>
      </c>
      <c r="J11446" s="14" t="str">
        <f>HYPERLINK("https://www.boe.es/gazeta/dias/1839/11/23/pdfs/GMD-1839-1840.pdf#page=3","Abrir facsímil")</f>
        <v>Abrir facsímil</v>
      </c>
      <c r="K11446" s="12" t="s">
        <v>65</v>
      </c>
    </row>
    <row r="11447" spans="1:11" ht="40.049999999999997" customHeight="1" x14ac:dyDescent="0.25">
      <c r="A11447" s="11" t="s">
        <v>22622</v>
      </c>
      <c r="B11447" s="11" t="s">
        <v>22623</v>
      </c>
      <c r="C11447" s="11" t="s">
        <v>137</v>
      </c>
      <c r="D11447" s="11" t="s">
        <v>18</v>
      </c>
      <c r="E11447" s="12" t="s">
        <v>1012</v>
      </c>
      <c r="F11447" s="12" t="s">
        <v>1013</v>
      </c>
      <c r="G11447" s="12" t="s">
        <v>46</v>
      </c>
      <c r="H11447" s="11" t="s">
        <v>63</v>
      </c>
      <c r="I11447" s="13" t="s">
        <v>22624</v>
      </c>
      <c r="J11447" s="14" t="str">
        <f>HYPERLINK("https://www.boe.es/gazeta/dias/1839/11/22/pdfs/GMD-1839-1839.pdf#page=3","Abrir facsímil")</f>
        <v>Abrir facsímil</v>
      </c>
      <c r="K11447" s="12" t="s">
        <v>65</v>
      </c>
    </row>
    <row r="11448" spans="1:11" ht="40.049999999999997" customHeight="1" x14ac:dyDescent="0.25">
      <c r="A11448" s="11" t="s">
        <v>22625</v>
      </c>
      <c r="B11448" s="11" t="s">
        <v>22626</v>
      </c>
      <c r="C11448" s="11" t="s">
        <v>17</v>
      </c>
      <c r="D11448" s="11" t="s">
        <v>18</v>
      </c>
      <c r="E11448" s="12" t="s">
        <v>1069</v>
      </c>
      <c r="F11448" s="12" t="s">
        <v>1070</v>
      </c>
      <c r="G11448" s="12" t="s">
        <v>46</v>
      </c>
      <c r="H11448" s="11" t="s">
        <v>63</v>
      </c>
      <c r="I11448" s="13" t="s">
        <v>22627</v>
      </c>
      <c r="J11448" s="14" t="str">
        <f>HYPERLINK("https://www.boe.es/gazeta/dias/1839/10/15/pdfs/GMD-1839-1801.pdf#page=3","Abrir facsímil")</f>
        <v>Abrir facsímil</v>
      </c>
      <c r="K11448" s="12" t="s">
        <v>65</v>
      </c>
    </row>
    <row r="11449" spans="1:11" ht="40.049999999999997" customHeight="1" x14ac:dyDescent="0.25">
      <c r="A11449" s="11" t="s">
        <v>22628</v>
      </c>
      <c r="B11449" s="11" t="s">
        <v>22629</v>
      </c>
      <c r="C11449" s="11" t="s">
        <v>17</v>
      </c>
      <c r="D11449" s="11" t="s">
        <v>18</v>
      </c>
      <c r="E11449" s="12" t="s">
        <v>448</v>
      </c>
      <c r="F11449" s="12" t="s">
        <v>449</v>
      </c>
      <c r="G11449" s="12" t="s">
        <v>40</v>
      </c>
      <c r="H11449" s="11" t="s">
        <v>63</v>
      </c>
      <c r="I11449" s="13" t="s">
        <v>22630</v>
      </c>
      <c r="J11449" s="14" t="str">
        <f>HYPERLINK("https://www.boe.es/gazeta/dias/1839/02/06/pdfs/GMD-1839-1544.pdf#page=2","Abrir facsímil")</f>
        <v>Abrir facsímil</v>
      </c>
      <c r="K11449" s="12" t="s">
        <v>65</v>
      </c>
    </row>
    <row r="11450" spans="1:11" ht="40.049999999999997" customHeight="1" x14ac:dyDescent="0.25">
      <c r="A11450" s="11" t="s">
        <v>22631</v>
      </c>
      <c r="B11450" s="11" t="s">
        <v>22632</v>
      </c>
      <c r="C11450" s="11" t="s">
        <v>17</v>
      </c>
      <c r="D11450" s="11" t="s">
        <v>18</v>
      </c>
      <c r="E11450" s="12" t="s">
        <v>2962</v>
      </c>
      <c r="F11450" s="12" t="s">
        <v>2963</v>
      </c>
      <c r="G11450" s="12" t="s">
        <v>40</v>
      </c>
      <c r="H11450" s="11" t="s">
        <v>63</v>
      </c>
      <c r="I11450" s="13" t="s">
        <v>22633</v>
      </c>
      <c r="J11450" s="14" t="str">
        <f>HYPERLINK("https://www.boe.es/gazeta/dias/1839/12/21/pdfs/GMD-1839-1868.pdf#page=2","Abrir facsímil")</f>
        <v>Abrir facsímil</v>
      </c>
      <c r="K11450" s="12" t="s">
        <v>65</v>
      </c>
    </row>
    <row r="11451" spans="1:11" ht="40.049999999999997" customHeight="1" x14ac:dyDescent="0.25">
      <c r="A11451" s="11" t="s">
        <v>22634</v>
      </c>
      <c r="B11451" s="11" t="s">
        <v>22635</v>
      </c>
      <c r="C11451" s="11" t="s">
        <v>137</v>
      </c>
      <c r="D11451" s="11" t="s">
        <v>18</v>
      </c>
      <c r="E11451" s="12" t="s">
        <v>817</v>
      </c>
      <c r="F11451" s="12" t="s">
        <v>818</v>
      </c>
      <c r="G11451" s="12" t="s">
        <v>21</v>
      </c>
      <c r="H11451" s="11" t="s">
        <v>63</v>
      </c>
      <c r="I11451" s="13" t="s">
        <v>22636</v>
      </c>
      <c r="J11451" s="14" t="str">
        <f>HYPERLINK("https://www.boe.es/gazeta/dias/1839/05/28/pdfs/GMD-1839-1655.pdf#page=4","Abrir facsímil")</f>
        <v>Abrir facsímil</v>
      </c>
      <c r="K11451" s="12" t="s">
        <v>65</v>
      </c>
    </row>
    <row r="11452" spans="1:11" ht="40.049999999999997" customHeight="1" x14ac:dyDescent="0.25">
      <c r="A11452" s="11" t="s">
        <v>22637</v>
      </c>
      <c r="B11452" s="11" t="s">
        <v>22638</v>
      </c>
      <c r="C11452" s="11" t="s">
        <v>17</v>
      </c>
      <c r="D11452" s="11" t="s">
        <v>18</v>
      </c>
      <c r="E11452" s="12" t="s">
        <v>1310</v>
      </c>
      <c r="F11452" s="12" t="s">
        <v>1311</v>
      </c>
      <c r="G11452" s="12" t="s">
        <v>40</v>
      </c>
      <c r="H11452" s="11" t="s">
        <v>63</v>
      </c>
      <c r="I11452" s="13" t="s">
        <v>22639</v>
      </c>
      <c r="J11452" s="14" t="str">
        <f>HYPERLINK("https://www.boe.es/gazeta/dias/1839/04/23/pdfs/GMD-1839-1620.pdf#page=2","Abrir facsímil")</f>
        <v>Abrir facsímil</v>
      </c>
      <c r="K11452" s="12" t="s">
        <v>65</v>
      </c>
    </row>
    <row r="11453" spans="1:11" ht="40.049999999999997" customHeight="1" x14ac:dyDescent="0.25">
      <c r="A11453" s="11" t="s">
        <v>22640</v>
      </c>
      <c r="B11453" s="11" t="s">
        <v>22641</v>
      </c>
      <c r="C11453" s="11" t="s">
        <v>101</v>
      </c>
      <c r="D11453" s="11" t="s">
        <v>43</v>
      </c>
      <c r="E11453" s="12" t="s">
        <v>1019</v>
      </c>
      <c r="F11453" s="12" t="s">
        <v>1020</v>
      </c>
      <c r="G11453" s="12" t="s">
        <v>29</v>
      </c>
      <c r="H11453" s="11" t="s">
        <v>63</v>
      </c>
      <c r="I11453" s="13" t="s">
        <v>22642</v>
      </c>
      <c r="J11453" s="14" t="str">
        <f>HYPERLINK("https://www.boe.es/gazeta/dias/1839/07/15/pdfs/GMD-1839-1703.pdf#page=1","Abrir facsímil")</f>
        <v>Abrir facsímil</v>
      </c>
      <c r="K11453" s="12" t="s">
        <v>65</v>
      </c>
    </row>
    <row r="11454" spans="1:11" ht="40.049999999999997" customHeight="1" x14ac:dyDescent="0.25">
      <c r="A11454" s="11" t="s">
        <v>22643</v>
      </c>
      <c r="B11454" s="11" t="s">
        <v>22644</v>
      </c>
      <c r="C11454" s="11" t="s">
        <v>17</v>
      </c>
      <c r="D11454" s="11" t="s">
        <v>43</v>
      </c>
      <c r="E11454" s="12" t="s">
        <v>138</v>
      </c>
      <c r="F11454" s="12" t="s">
        <v>139</v>
      </c>
      <c r="G11454" s="12" t="s">
        <v>29</v>
      </c>
      <c r="H11454" s="11" t="s">
        <v>63</v>
      </c>
      <c r="I11454" s="13" t="s">
        <v>22645</v>
      </c>
      <c r="J11454" s="14" t="str">
        <f>HYPERLINK("https://www.boe.es/gazeta/dias/1839/10/09/pdfs/GMD-1839-1795.pdf#page=1","Abrir facsímil")</f>
        <v>Abrir facsímil</v>
      </c>
      <c r="K11454" s="12" t="s">
        <v>65</v>
      </c>
    </row>
    <row r="11455" spans="1:11" ht="40.049999999999997" customHeight="1" x14ac:dyDescent="0.25">
      <c r="A11455" s="11" t="s">
        <v>22646</v>
      </c>
      <c r="B11455" s="11" t="s">
        <v>22647</v>
      </c>
      <c r="C11455" s="11" t="s">
        <v>80</v>
      </c>
      <c r="D11455" s="11" t="s">
        <v>173</v>
      </c>
      <c r="E11455" s="12" t="s">
        <v>809</v>
      </c>
      <c r="F11455" s="12" t="s">
        <v>810</v>
      </c>
      <c r="G11455" s="12" t="s">
        <v>46</v>
      </c>
      <c r="H11455" s="11" t="s">
        <v>63</v>
      </c>
      <c r="I11455" s="13" t="s">
        <v>22648</v>
      </c>
      <c r="J11455" s="14" t="str">
        <f>HYPERLINK("https://www.boe.es/gazeta/dias/1839/02/11/pdfs/GMD-1839-1549.pdf#page=3","Abrir facsímil")</f>
        <v>Abrir facsímil</v>
      </c>
      <c r="K11455" s="12" t="s">
        <v>65</v>
      </c>
    </row>
    <row r="11456" spans="1:11" ht="40.049999999999997" customHeight="1" x14ac:dyDescent="0.25">
      <c r="A11456" s="11" t="s">
        <v>22649</v>
      </c>
      <c r="B11456" s="11" t="s">
        <v>22650</v>
      </c>
      <c r="C11456" s="11" t="s">
        <v>17</v>
      </c>
      <c r="D11456" s="11" t="s">
        <v>18</v>
      </c>
      <c r="E11456" s="12" t="s">
        <v>4292</v>
      </c>
      <c r="F11456" s="12" t="s">
        <v>4293</v>
      </c>
      <c r="G11456" s="12" t="s">
        <v>29</v>
      </c>
      <c r="H11456" s="11" t="s">
        <v>63</v>
      </c>
      <c r="I11456" s="13" t="s">
        <v>22651</v>
      </c>
      <c r="J11456" s="14" t="str">
        <f>HYPERLINK("https://www.boe.es/gazeta/dias/1839/11/29/pdfs/GMD-1839-1846.pdf#page=1","Abrir facsímil")</f>
        <v>Abrir facsímil</v>
      </c>
      <c r="K11456" s="12" t="s">
        <v>65</v>
      </c>
    </row>
    <row r="11457" spans="1:11" ht="40.049999999999997" customHeight="1" x14ac:dyDescent="0.25">
      <c r="A11457" s="11" t="s">
        <v>22652</v>
      </c>
      <c r="B11457" s="11" t="s">
        <v>22653</v>
      </c>
      <c r="C11457" s="11" t="s">
        <v>59</v>
      </c>
      <c r="D11457" s="11" t="s">
        <v>60</v>
      </c>
      <c r="E11457" s="12" t="s">
        <v>474</v>
      </c>
      <c r="F11457" s="12" t="s">
        <v>475</v>
      </c>
      <c r="G11457" s="12" t="s">
        <v>21</v>
      </c>
      <c r="H11457" s="11" t="s">
        <v>22</v>
      </c>
      <c r="I11457" s="13" t="s">
        <v>22654</v>
      </c>
      <c r="J11457" s="14" t="str">
        <f>HYPERLINK("https://www.boe.es/gazeta/dias/1839/03/31/pdfs/GMD-1839-1597.pdf#page=4","Abrir facsímil")</f>
        <v>Abrir facsímil</v>
      </c>
      <c r="K11457" s="12" t="s">
        <v>24</v>
      </c>
    </row>
    <row r="11458" spans="1:11" ht="40.049999999999997" customHeight="1" x14ac:dyDescent="0.25">
      <c r="A11458" s="11" t="s">
        <v>22655</v>
      </c>
      <c r="B11458" s="11" t="s">
        <v>22656</v>
      </c>
      <c r="C11458" s="11" t="s">
        <v>59</v>
      </c>
      <c r="D11458" s="11" t="s">
        <v>60</v>
      </c>
      <c r="E11458" s="12" t="s">
        <v>474</v>
      </c>
      <c r="F11458" s="12" t="s">
        <v>475</v>
      </c>
      <c r="G11458" s="12" t="s">
        <v>21</v>
      </c>
      <c r="H11458" s="11" t="s">
        <v>63</v>
      </c>
      <c r="I11458" s="13" t="s">
        <v>22657</v>
      </c>
      <c r="J11458" s="14" t="str">
        <f>HYPERLINK("https://www.boe.es/gazeta/dias/1839/03/31/pdfs/GMD-1839-1597.pdf#page=4","Abrir facsímil")</f>
        <v>Abrir facsímil</v>
      </c>
      <c r="K11458" s="12" t="s">
        <v>65</v>
      </c>
    </row>
    <row r="11459" spans="1:11" ht="40.049999999999997" customHeight="1" x14ac:dyDescent="0.25">
      <c r="A11459" s="11" t="s">
        <v>22658</v>
      </c>
      <c r="B11459" s="11" t="s">
        <v>22659</v>
      </c>
      <c r="C11459" s="11" t="s">
        <v>101</v>
      </c>
      <c r="D11459" s="11" t="s">
        <v>102</v>
      </c>
      <c r="E11459" s="12" t="s">
        <v>756</v>
      </c>
      <c r="F11459" s="12" t="s">
        <v>757</v>
      </c>
      <c r="G11459" s="12" t="s">
        <v>21</v>
      </c>
      <c r="H11459" s="11" t="s">
        <v>63</v>
      </c>
      <c r="I11459" s="13" t="s">
        <v>22660</v>
      </c>
      <c r="J11459" s="14" t="str">
        <f>HYPERLINK("https://www.boe.es/gazeta/dias/1839/12/17/pdfs/GMD-1839-1864.pdf#page=4","Abrir facsímil")</f>
        <v>Abrir facsímil</v>
      </c>
      <c r="K11459" s="12" t="s">
        <v>65</v>
      </c>
    </row>
    <row r="11460" spans="1:11" ht="40.049999999999997" customHeight="1" x14ac:dyDescent="0.25">
      <c r="A11460" s="11" t="s">
        <v>22661</v>
      </c>
      <c r="B11460" s="11" t="s">
        <v>22662</v>
      </c>
      <c r="C11460" s="11" t="s">
        <v>59</v>
      </c>
      <c r="D11460" s="11" t="s">
        <v>60</v>
      </c>
      <c r="E11460" s="12" t="s">
        <v>592</v>
      </c>
      <c r="F11460" s="12" t="s">
        <v>593</v>
      </c>
      <c r="G11460" s="12" t="s">
        <v>29</v>
      </c>
      <c r="H11460" s="11" t="s">
        <v>63</v>
      </c>
      <c r="I11460" s="13" t="s">
        <v>22663</v>
      </c>
      <c r="J11460" s="14" t="str">
        <f>HYPERLINK("https://www.boe.es/gazeta/dias/1839/09/14/pdfs/GMD-1839-1767.pdf#page=1","Abrir facsímil")</f>
        <v>Abrir facsímil</v>
      </c>
      <c r="K11460" s="12" t="s">
        <v>65</v>
      </c>
    </row>
    <row r="11461" spans="1:11" ht="40.049999999999997" customHeight="1" x14ac:dyDescent="0.25">
      <c r="A11461" s="11" t="s">
        <v>22664</v>
      </c>
      <c r="B11461" s="11" t="s">
        <v>22665</v>
      </c>
      <c r="C11461" s="11" t="s">
        <v>137</v>
      </c>
      <c r="D11461" s="11" t="s">
        <v>18</v>
      </c>
      <c r="E11461" s="12" t="s">
        <v>239</v>
      </c>
      <c r="F11461" s="12" t="s">
        <v>240</v>
      </c>
      <c r="G11461" s="12" t="s">
        <v>40</v>
      </c>
      <c r="H11461" s="11" t="s">
        <v>22</v>
      </c>
      <c r="I11461" s="13" t="s">
        <v>22666</v>
      </c>
      <c r="J11461" s="14" t="str">
        <f>HYPERLINK("https://www.boe.es/gazeta/dias/1839/09/22/pdfs/GMD-1839-1777.pdf#page=2","Abrir facsímil")</f>
        <v>Abrir facsímil</v>
      </c>
      <c r="K11461" s="12" t="s">
        <v>24</v>
      </c>
    </row>
    <row r="11462" spans="1:11" ht="40.049999999999997" customHeight="1" x14ac:dyDescent="0.25">
      <c r="A11462" s="11" t="s">
        <v>22667</v>
      </c>
      <c r="B11462" s="11" t="s">
        <v>22668</v>
      </c>
      <c r="C11462" s="11" t="s">
        <v>17</v>
      </c>
      <c r="D11462" s="11" t="s">
        <v>18</v>
      </c>
      <c r="E11462" s="12" t="s">
        <v>1725</v>
      </c>
      <c r="F11462" s="12" t="s">
        <v>1726</v>
      </c>
      <c r="G11462" s="12" t="s">
        <v>29</v>
      </c>
      <c r="H11462" s="11" t="s">
        <v>63</v>
      </c>
      <c r="I11462" s="13" t="s">
        <v>22669</v>
      </c>
      <c r="J11462" s="14" t="str">
        <f>HYPERLINK("https://www.boe.es/gazeta/dias/1839/11/17/pdfs/GMD-1839-1834.pdf#page=1","Abrir facsímil")</f>
        <v>Abrir facsímil</v>
      </c>
      <c r="K11462" s="12" t="s">
        <v>65</v>
      </c>
    </row>
    <row r="11463" spans="1:11" ht="40.049999999999997" customHeight="1" x14ac:dyDescent="0.25">
      <c r="A11463" s="11" t="s">
        <v>22670</v>
      </c>
      <c r="B11463" s="11" t="s">
        <v>22671</v>
      </c>
      <c r="C11463" s="11" t="s">
        <v>17</v>
      </c>
      <c r="D11463" s="11" t="s">
        <v>18</v>
      </c>
      <c r="E11463" s="12" t="s">
        <v>1008</v>
      </c>
      <c r="F11463" s="12" t="s">
        <v>1009</v>
      </c>
      <c r="G11463" s="12" t="s">
        <v>40</v>
      </c>
      <c r="H11463" s="11" t="s">
        <v>22</v>
      </c>
      <c r="I11463" s="13" t="s">
        <v>22672</v>
      </c>
      <c r="J11463" s="14" t="str">
        <f>HYPERLINK("https://www.boe.es/gazeta/dias/1839/09/07/pdfs/GMD-1839-1760.pdf#page=2","Abrir facsímil")</f>
        <v>Abrir facsímil</v>
      </c>
      <c r="K11463" s="12" t="s">
        <v>24</v>
      </c>
    </row>
    <row r="11464" spans="1:11" ht="40.049999999999997" customHeight="1" x14ac:dyDescent="0.25">
      <c r="A11464" s="11" t="s">
        <v>22673</v>
      </c>
      <c r="B11464" s="11" t="s">
        <v>22673</v>
      </c>
      <c r="C11464" s="11" t="s">
        <v>59</v>
      </c>
      <c r="D11464" s="11" t="s">
        <v>60</v>
      </c>
      <c r="E11464" s="12" t="s">
        <v>744</v>
      </c>
      <c r="F11464" s="12" t="s">
        <v>745</v>
      </c>
      <c r="G11464" s="12" t="s">
        <v>40</v>
      </c>
      <c r="H11464" s="11" t="s">
        <v>22</v>
      </c>
      <c r="I11464" s="13" t="s">
        <v>22674</v>
      </c>
      <c r="J11464" s="14" t="str">
        <f>HYPERLINK("https://www.boe.es/gazeta/dias/1839/12/09/pdfs/GMD-1839-1856.pdf#page=2","Abrir facsímil")</f>
        <v>Abrir facsímil</v>
      </c>
      <c r="K11464" s="12" t="s">
        <v>24</v>
      </c>
    </row>
    <row r="11465" spans="1:11" ht="40.049999999999997" customHeight="1" x14ac:dyDescent="0.25">
      <c r="A11465" s="11" t="s">
        <v>22673</v>
      </c>
      <c r="B11465" s="11" t="s">
        <v>22673</v>
      </c>
      <c r="C11465" s="11" t="s">
        <v>59</v>
      </c>
      <c r="D11465" s="11" t="s">
        <v>60</v>
      </c>
      <c r="E11465" s="12" t="s">
        <v>365</v>
      </c>
      <c r="F11465" s="12" t="s">
        <v>366</v>
      </c>
      <c r="G11465" s="12" t="s">
        <v>40</v>
      </c>
      <c r="H11465" s="11" t="s">
        <v>22</v>
      </c>
      <c r="I11465" s="13" t="s">
        <v>22675</v>
      </c>
      <c r="J11465" s="14" t="str">
        <f>HYPERLINK("https://www.boe.es/gazeta/dias/1839/08/14/pdfs/GMD-1839-1734.pdf#page=2","Abrir facsímil")</f>
        <v>Abrir facsímil</v>
      </c>
      <c r="K11465" s="12" t="s">
        <v>24</v>
      </c>
    </row>
    <row r="11466" spans="1:11" ht="40.049999999999997" customHeight="1" x14ac:dyDescent="0.25">
      <c r="A11466" s="11" t="s">
        <v>22676</v>
      </c>
      <c r="B11466" s="11" t="s">
        <v>22677</v>
      </c>
      <c r="C11466" s="11" t="s">
        <v>59</v>
      </c>
      <c r="D11466" s="11" t="s">
        <v>60</v>
      </c>
      <c r="E11466" s="12" t="s">
        <v>1672</v>
      </c>
      <c r="F11466" s="12" t="s">
        <v>1673</v>
      </c>
      <c r="G11466" s="12" t="s">
        <v>40</v>
      </c>
      <c r="H11466" s="11" t="s">
        <v>22</v>
      </c>
      <c r="I11466" s="13" t="s">
        <v>22678</v>
      </c>
      <c r="J11466" s="14" t="str">
        <f>HYPERLINK("https://www.boe.es/gazeta/dias/1839/08/24/pdfs/GMD-1839-1745.pdf#page=2","Abrir facsímil")</f>
        <v>Abrir facsímil</v>
      </c>
      <c r="K11466" s="12" t="s">
        <v>24</v>
      </c>
    </row>
    <row r="11467" spans="1:11" ht="40.049999999999997" customHeight="1" x14ac:dyDescent="0.25">
      <c r="A11467" s="11" t="s">
        <v>22679</v>
      </c>
      <c r="B11467" s="11" t="s">
        <v>22679</v>
      </c>
      <c r="C11467" s="11" t="s">
        <v>17</v>
      </c>
      <c r="D11467" s="11" t="s">
        <v>18</v>
      </c>
      <c r="E11467" s="12" t="s">
        <v>817</v>
      </c>
      <c r="F11467" s="12" t="s">
        <v>818</v>
      </c>
      <c r="G11467" s="12" t="s">
        <v>21</v>
      </c>
      <c r="H11467" s="11" t="s">
        <v>22</v>
      </c>
      <c r="I11467" s="13" t="s">
        <v>22680</v>
      </c>
      <c r="J11467" s="14" t="str">
        <f>HYPERLINK("https://www.boe.es/gazeta/dias/1839/05/28/pdfs/GMD-1839-1655.pdf#page=4","Abrir facsímil")</f>
        <v>Abrir facsímil</v>
      </c>
      <c r="K11467" s="12" t="s">
        <v>24</v>
      </c>
    </row>
    <row r="11468" spans="1:11" ht="40.049999999999997" customHeight="1" x14ac:dyDescent="0.25">
      <c r="A11468" s="11" t="s">
        <v>22681</v>
      </c>
      <c r="B11468" s="11" t="s">
        <v>22681</v>
      </c>
      <c r="C11468" s="11" t="s">
        <v>17</v>
      </c>
      <c r="D11468" s="11" t="s">
        <v>18</v>
      </c>
      <c r="E11468" s="12" t="s">
        <v>1682</v>
      </c>
      <c r="F11468" s="12" t="s">
        <v>1683</v>
      </c>
      <c r="G11468" s="12" t="s">
        <v>46</v>
      </c>
      <c r="H11468" s="11" t="s">
        <v>22</v>
      </c>
      <c r="I11468" s="13" t="s">
        <v>22682</v>
      </c>
      <c r="J11468" s="14" t="str">
        <f>HYPERLINK("https://www.boe.es/gazeta/dias/1839/12/26/pdfs/GMD-1839-1873.pdf#page=3","Abrir facsímil")</f>
        <v>Abrir facsímil</v>
      </c>
      <c r="K11468" s="12" t="s">
        <v>24</v>
      </c>
    </row>
    <row r="11469" spans="1:11" ht="40.049999999999997" customHeight="1" x14ac:dyDescent="0.25">
      <c r="A11469" s="11" t="s">
        <v>22683</v>
      </c>
      <c r="B11469" s="11" t="s">
        <v>22683</v>
      </c>
      <c r="C11469" s="11" t="s">
        <v>137</v>
      </c>
      <c r="D11469" s="11" t="s">
        <v>18</v>
      </c>
      <c r="E11469" s="12" t="s">
        <v>1685</v>
      </c>
      <c r="F11469" s="12" t="s">
        <v>1686</v>
      </c>
      <c r="G11469" s="12" t="s">
        <v>21</v>
      </c>
      <c r="H11469" s="11" t="s">
        <v>63</v>
      </c>
      <c r="I11469" s="13" t="s">
        <v>22684</v>
      </c>
      <c r="J11469" s="14" t="str">
        <f>HYPERLINK("https://www.boe.es/gazeta/dias/1839/04/27/pdfs/GMD-1839-1624.pdf#page=4","Abrir facsímil")</f>
        <v>Abrir facsímil</v>
      </c>
      <c r="K11469" s="12" t="s">
        <v>65</v>
      </c>
    </row>
    <row r="11470" spans="1:11" ht="40.049999999999997" customHeight="1" x14ac:dyDescent="0.25">
      <c r="A11470" s="11" t="s">
        <v>22685</v>
      </c>
      <c r="B11470" s="11" t="s">
        <v>22685</v>
      </c>
      <c r="C11470" s="11" t="s">
        <v>101</v>
      </c>
      <c r="D11470" s="11" t="s">
        <v>102</v>
      </c>
      <c r="E11470" s="12" t="s">
        <v>870</v>
      </c>
      <c r="F11470" s="12" t="s">
        <v>871</v>
      </c>
      <c r="G11470" s="12" t="s">
        <v>46</v>
      </c>
      <c r="H11470" s="11" t="s">
        <v>63</v>
      </c>
      <c r="I11470" s="13" t="s">
        <v>22686</v>
      </c>
      <c r="J11470" s="14" t="str">
        <f>HYPERLINK("https://www.boe.es/gazeta/dias/1839/04/18/pdfs/GMD-1839-1615.pdf#page=3","Abrir facsímil")</f>
        <v>Abrir facsímil</v>
      </c>
      <c r="K11470" s="12" t="s">
        <v>65</v>
      </c>
    </row>
    <row r="11471" spans="1:11" ht="40.049999999999997" customHeight="1" x14ac:dyDescent="0.25">
      <c r="A11471" s="11" t="s">
        <v>22685</v>
      </c>
      <c r="B11471" s="11" t="s">
        <v>22685</v>
      </c>
      <c r="C11471" s="11" t="s">
        <v>17</v>
      </c>
      <c r="D11471" s="11" t="s">
        <v>18</v>
      </c>
      <c r="E11471" s="12" t="s">
        <v>1692</v>
      </c>
      <c r="F11471" s="12" t="s">
        <v>1693</v>
      </c>
      <c r="G11471" s="12" t="s">
        <v>29</v>
      </c>
      <c r="H11471" s="11" t="s">
        <v>63</v>
      </c>
      <c r="I11471" s="13" t="s">
        <v>22687</v>
      </c>
      <c r="J11471" s="14" t="str">
        <f>HYPERLINK("https://www.boe.es/gazeta/dias/1839/05/30/pdfs/GMD-1839-1657.pdf#page=1","Abrir facsímil")</f>
        <v>Abrir facsímil</v>
      </c>
      <c r="K11471" s="12" t="s">
        <v>65</v>
      </c>
    </row>
    <row r="11472" spans="1:11" ht="40.049999999999997" customHeight="1" x14ac:dyDescent="0.25">
      <c r="A11472" s="11" t="s">
        <v>22688</v>
      </c>
      <c r="B11472" s="11" t="s">
        <v>22688</v>
      </c>
      <c r="C11472" s="11" t="s">
        <v>17</v>
      </c>
      <c r="D11472" s="11" t="s">
        <v>18</v>
      </c>
      <c r="E11472" s="12" t="s">
        <v>1474</v>
      </c>
      <c r="F11472" s="12" t="s">
        <v>1475</v>
      </c>
      <c r="G11472" s="12" t="s">
        <v>46</v>
      </c>
      <c r="H11472" s="11" t="s">
        <v>63</v>
      </c>
      <c r="I11472" s="13" t="s">
        <v>22689</v>
      </c>
      <c r="J11472" s="14" t="str">
        <f>HYPERLINK("https://www.boe.es/gazeta/dias/1839/02/28/pdfs/GMD-1839-1566.pdf#page=3","Abrir facsímil")</f>
        <v>Abrir facsímil</v>
      </c>
      <c r="K11472" s="12" t="s">
        <v>65</v>
      </c>
    </row>
    <row r="11473" spans="1:11" ht="40.049999999999997" customHeight="1" x14ac:dyDescent="0.25">
      <c r="A11473" s="11" t="s">
        <v>22690</v>
      </c>
      <c r="B11473" s="11" t="s">
        <v>22691</v>
      </c>
      <c r="C11473" s="11" t="s">
        <v>101</v>
      </c>
      <c r="D11473" s="11" t="s">
        <v>102</v>
      </c>
      <c r="E11473" s="12" t="s">
        <v>1584</v>
      </c>
      <c r="F11473" s="12" t="s">
        <v>1585</v>
      </c>
      <c r="G11473" s="12" t="s">
        <v>46</v>
      </c>
      <c r="H11473" s="11" t="s">
        <v>63</v>
      </c>
      <c r="I11473" s="13" t="s">
        <v>22692</v>
      </c>
      <c r="J11473" s="14" t="str">
        <f>HYPERLINK("https://www.boe.es/gazeta/dias/1839/11/20/pdfs/GMD-1839-1837.pdf#page=3","Abrir facsímil")</f>
        <v>Abrir facsímil</v>
      </c>
      <c r="K11473" s="12" t="s">
        <v>65</v>
      </c>
    </row>
    <row r="11474" spans="1:11" ht="40.049999999999997" customHeight="1" x14ac:dyDescent="0.25">
      <c r="A11474" s="11" t="s">
        <v>22693</v>
      </c>
      <c r="B11474" s="11" t="s">
        <v>22693</v>
      </c>
      <c r="C11474" s="11" t="s">
        <v>137</v>
      </c>
      <c r="D11474" s="11" t="s">
        <v>18</v>
      </c>
      <c r="E11474" s="12" t="s">
        <v>3705</v>
      </c>
      <c r="F11474" s="12" t="s">
        <v>3706</v>
      </c>
      <c r="G11474" s="12" t="s">
        <v>29</v>
      </c>
      <c r="H11474" s="11" t="s">
        <v>63</v>
      </c>
      <c r="I11474" s="13" t="s">
        <v>22694</v>
      </c>
      <c r="J11474" s="14" t="str">
        <f>HYPERLINK("https://www.boe.es/gazeta/dias/1839/03/09/pdfs/GMD-1839-1575.pdf#page=1","Abrir facsímil")</f>
        <v>Abrir facsímil</v>
      </c>
      <c r="K11474" s="12" t="s">
        <v>65</v>
      </c>
    </row>
    <row r="11475" spans="1:11" ht="40.049999999999997" customHeight="1" x14ac:dyDescent="0.25">
      <c r="A11475" s="11" t="s">
        <v>22693</v>
      </c>
      <c r="B11475" s="11" t="s">
        <v>22693</v>
      </c>
      <c r="C11475" s="11" t="s">
        <v>17</v>
      </c>
      <c r="D11475" s="11" t="s">
        <v>18</v>
      </c>
      <c r="E11475" s="12" t="s">
        <v>138</v>
      </c>
      <c r="F11475" s="12" t="s">
        <v>139</v>
      </c>
      <c r="G11475" s="12" t="s">
        <v>46</v>
      </c>
      <c r="H11475" s="11" t="s">
        <v>63</v>
      </c>
      <c r="I11475" s="13" t="s">
        <v>22695</v>
      </c>
      <c r="J11475" s="14" t="str">
        <f>HYPERLINK("https://www.boe.es/gazeta/dias/1839/10/09/pdfs/GMD-1839-1795.pdf#page=3","Abrir facsímil")</f>
        <v>Abrir facsímil</v>
      </c>
      <c r="K11475" s="12" t="s">
        <v>65</v>
      </c>
    </row>
    <row r="11476" spans="1:11" ht="40.049999999999997" customHeight="1" x14ac:dyDescent="0.25">
      <c r="A11476" s="11" t="s">
        <v>22696</v>
      </c>
      <c r="B11476" s="11" t="s">
        <v>22697</v>
      </c>
      <c r="C11476" s="11" t="s">
        <v>137</v>
      </c>
      <c r="D11476" s="11" t="s">
        <v>18</v>
      </c>
      <c r="E11476" s="12" t="s">
        <v>138</v>
      </c>
      <c r="F11476" s="12" t="s">
        <v>139</v>
      </c>
      <c r="G11476" s="12" t="s">
        <v>46</v>
      </c>
      <c r="H11476" s="11" t="s">
        <v>63</v>
      </c>
      <c r="I11476" s="13" t="s">
        <v>22698</v>
      </c>
      <c r="J11476" s="14" t="str">
        <f>HYPERLINK("https://www.boe.es/gazeta/dias/1839/10/09/pdfs/GMD-1839-1795.pdf#page=3","Abrir facsímil")</f>
        <v>Abrir facsímil</v>
      </c>
      <c r="K11476" s="12" t="s">
        <v>65</v>
      </c>
    </row>
    <row r="11477" spans="1:11" ht="40.049999999999997" customHeight="1" x14ac:dyDescent="0.25">
      <c r="A11477" s="11" t="s">
        <v>22699</v>
      </c>
      <c r="B11477" s="11" t="s">
        <v>22700</v>
      </c>
      <c r="C11477" s="11" t="s">
        <v>17</v>
      </c>
      <c r="D11477" s="11" t="s">
        <v>18</v>
      </c>
      <c r="E11477" s="12" t="s">
        <v>138</v>
      </c>
      <c r="F11477" s="12" t="s">
        <v>139</v>
      </c>
      <c r="G11477" s="12" t="s">
        <v>46</v>
      </c>
      <c r="H11477" s="11" t="s">
        <v>63</v>
      </c>
      <c r="I11477" s="13" t="s">
        <v>22701</v>
      </c>
      <c r="J11477" s="14" t="str">
        <f>HYPERLINK("https://www.boe.es/gazeta/dias/1839/10/09/pdfs/GMD-1839-1795.pdf#page=3","Abrir facsímil")</f>
        <v>Abrir facsímil</v>
      </c>
      <c r="K11477" s="12" t="s">
        <v>65</v>
      </c>
    </row>
    <row r="11478" spans="1:11" ht="40.049999999999997" customHeight="1" x14ac:dyDescent="0.25">
      <c r="A11478" s="11" t="s">
        <v>22702</v>
      </c>
      <c r="B11478" s="11" t="s">
        <v>22702</v>
      </c>
      <c r="C11478" s="11" t="s">
        <v>17</v>
      </c>
      <c r="D11478" s="11" t="s">
        <v>18</v>
      </c>
      <c r="E11478" s="12" t="s">
        <v>236</v>
      </c>
      <c r="F11478" s="12" t="s">
        <v>237</v>
      </c>
      <c r="G11478" s="12" t="s">
        <v>40</v>
      </c>
      <c r="H11478" s="11" t="s">
        <v>22</v>
      </c>
      <c r="I11478" s="13" t="s">
        <v>22703</v>
      </c>
      <c r="J11478" s="14" t="str">
        <f>HYPERLINK("https://www.boe.es/gazeta/dias/1839/09/18/pdfs/GMD-1839-1771.pdf#page=2","Abrir facsímil")</f>
        <v>Abrir facsímil</v>
      </c>
      <c r="K11478" s="12" t="s">
        <v>24</v>
      </c>
    </row>
    <row r="11479" spans="1:11" ht="40.049999999999997" customHeight="1" x14ac:dyDescent="0.25">
      <c r="A11479" s="11" t="s">
        <v>22702</v>
      </c>
      <c r="B11479" s="11" t="s">
        <v>22702</v>
      </c>
      <c r="C11479" s="11" t="s">
        <v>59</v>
      </c>
      <c r="D11479" s="11" t="s">
        <v>60</v>
      </c>
      <c r="E11479" s="12" t="s">
        <v>650</v>
      </c>
      <c r="F11479" s="12" t="s">
        <v>651</v>
      </c>
      <c r="G11479" s="12" t="s">
        <v>40</v>
      </c>
      <c r="H11479" s="11" t="s">
        <v>22</v>
      </c>
      <c r="I11479" s="13" t="s">
        <v>22704</v>
      </c>
      <c r="J11479" s="14" t="str">
        <f>HYPERLINK("https://www.boe.es/gazeta/dias/1839/10/25/pdfs/GMD-1839-1811.pdf#page=2","Abrir facsímil")</f>
        <v>Abrir facsímil</v>
      </c>
      <c r="K11479" s="12" t="s">
        <v>24</v>
      </c>
    </row>
    <row r="11480" spans="1:11" ht="40.049999999999997" customHeight="1" x14ac:dyDescent="0.25">
      <c r="A11480" s="11" t="s">
        <v>22702</v>
      </c>
      <c r="B11480" s="11" t="s">
        <v>22702</v>
      </c>
      <c r="C11480" s="11" t="s">
        <v>17</v>
      </c>
      <c r="D11480" s="11" t="s">
        <v>18</v>
      </c>
      <c r="E11480" s="12" t="s">
        <v>1679</v>
      </c>
      <c r="F11480" s="12" t="s">
        <v>1680</v>
      </c>
      <c r="G11480" s="12" t="s">
        <v>40</v>
      </c>
      <c r="H11480" s="11" t="s">
        <v>22</v>
      </c>
      <c r="I11480" s="13" t="s">
        <v>22705</v>
      </c>
      <c r="J11480" s="14" t="str">
        <f>HYPERLINK("https://www.boe.es/gazeta/dias/1839/01/26/pdfs/GMD-1839-1533.pdf#page=2","Abrir facsímil")</f>
        <v>Abrir facsímil</v>
      </c>
      <c r="K11480" s="12" t="s">
        <v>24</v>
      </c>
    </row>
    <row r="11481" spans="1:11" ht="40.049999999999997" customHeight="1" x14ac:dyDescent="0.25">
      <c r="A11481" s="11" t="s">
        <v>22706</v>
      </c>
      <c r="B11481" s="11" t="s">
        <v>22706</v>
      </c>
      <c r="C11481" s="11" t="s">
        <v>101</v>
      </c>
      <c r="D11481" s="11" t="s">
        <v>102</v>
      </c>
      <c r="E11481" s="12" t="s">
        <v>804</v>
      </c>
      <c r="F11481" s="12" t="s">
        <v>805</v>
      </c>
      <c r="G11481" s="12" t="s">
        <v>29</v>
      </c>
      <c r="H11481" s="11" t="s">
        <v>22</v>
      </c>
      <c r="I11481" s="13" t="s">
        <v>22707</v>
      </c>
      <c r="J11481" s="14" t="str">
        <f>HYPERLINK("https://www.boe.es/gazeta/dias/1839/01/08/pdfs/GMD-1839-1515.pdf#page=1","Abrir facsímil")</f>
        <v>Abrir facsímil</v>
      </c>
      <c r="K11481" s="12" t="s">
        <v>24</v>
      </c>
    </row>
    <row r="11482" spans="1:11" ht="40.049999999999997" customHeight="1" x14ac:dyDescent="0.25">
      <c r="A11482" s="11" t="s">
        <v>22706</v>
      </c>
      <c r="B11482" s="11" t="s">
        <v>22706</v>
      </c>
      <c r="C11482" s="11" t="s">
        <v>17</v>
      </c>
      <c r="D11482" s="11" t="s">
        <v>18</v>
      </c>
      <c r="E11482" s="12" t="s">
        <v>157</v>
      </c>
      <c r="F11482" s="12" t="s">
        <v>158</v>
      </c>
      <c r="G11482" s="12" t="s">
        <v>40</v>
      </c>
      <c r="H11482" s="11" t="s">
        <v>22</v>
      </c>
      <c r="I11482" s="13" t="s">
        <v>22708</v>
      </c>
      <c r="J11482" s="14" t="str">
        <f>HYPERLINK("https://www.boe.es/gazeta/dias/1839/02/08/pdfs/GMD-1839-1546.pdf#page=2","Abrir facsímil")</f>
        <v>Abrir facsímil</v>
      </c>
      <c r="K11482" s="12" t="s">
        <v>24</v>
      </c>
    </row>
    <row r="11483" spans="1:11" ht="40.049999999999997" customHeight="1" x14ac:dyDescent="0.25">
      <c r="A11483" s="11" t="s">
        <v>22709</v>
      </c>
      <c r="B11483" s="11" t="s">
        <v>22709</v>
      </c>
      <c r="C11483" s="11" t="s">
        <v>17</v>
      </c>
      <c r="D11483" s="11" t="s">
        <v>18</v>
      </c>
      <c r="E11483" s="12" t="s">
        <v>236</v>
      </c>
      <c r="F11483" s="12" t="s">
        <v>237</v>
      </c>
      <c r="G11483" s="12" t="s">
        <v>40</v>
      </c>
      <c r="H11483" s="11" t="s">
        <v>63</v>
      </c>
      <c r="I11483" s="13" t="s">
        <v>22710</v>
      </c>
      <c r="J11483" s="14" t="str">
        <f>HYPERLINK("https://www.boe.es/gazeta/dias/1839/09/18/pdfs/GMD-1839-1771.pdf#page=2","Abrir facsímil")</f>
        <v>Abrir facsímil</v>
      </c>
      <c r="K11483" s="12" t="s">
        <v>65</v>
      </c>
    </row>
    <row r="11484" spans="1:11" ht="40.049999999999997" customHeight="1" x14ac:dyDescent="0.25">
      <c r="A11484" s="11" t="s">
        <v>22709</v>
      </c>
      <c r="B11484" s="11" t="s">
        <v>22709</v>
      </c>
      <c r="C11484" s="11" t="s">
        <v>17</v>
      </c>
      <c r="D11484" s="11" t="s">
        <v>18</v>
      </c>
      <c r="E11484" s="12" t="s">
        <v>2222</v>
      </c>
      <c r="F11484" s="12" t="s">
        <v>2223</v>
      </c>
      <c r="G11484" s="12" t="s">
        <v>21</v>
      </c>
      <c r="H11484" s="11" t="s">
        <v>63</v>
      </c>
      <c r="I11484" s="13" t="s">
        <v>22711</v>
      </c>
      <c r="J11484" s="14" t="str">
        <f>HYPERLINK("https://www.boe.es/gazeta/dias/1839/09/19/pdfs/GMD-1839-1773.pdf#page=4","Abrir facsímil")</f>
        <v>Abrir facsímil</v>
      </c>
      <c r="K11484" s="12" t="s">
        <v>65</v>
      </c>
    </row>
    <row r="11485" spans="1:11" ht="40.049999999999997" customHeight="1" x14ac:dyDescent="0.25">
      <c r="A11485" s="11" t="s">
        <v>22712</v>
      </c>
      <c r="B11485" s="11" t="s">
        <v>22713</v>
      </c>
      <c r="C11485" s="11" t="s">
        <v>59</v>
      </c>
      <c r="D11485" s="11" t="s">
        <v>60</v>
      </c>
      <c r="E11485" s="12" t="s">
        <v>1252</v>
      </c>
      <c r="F11485" s="12" t="s">
        <v>1253</v>
      </c>
      <c r="G11485" s="12" t="s">
        <v>21</v>
      </c>
      <c r="H11485" s="11" t="s">
        <v>63</v>
      </c>
      <c r="I11485" s="13" t="s">
        <v>22714</v>
      </c>
      <c r="J11485" s="14" t="str">
        <f>HYPERLINK("https://www.boe.es/gazeta/dias/1839/06/15/pdfs/GMD-1839-1673.pdf#page=4","Abrir facsímil")</f>
        <v>Abrir facsímil</v>
      </c>
      <c r="K11485" s="12" t="s">
        <v>65</v>
      </c>
    </row>
    <row r="11486" spans="1:11" ht="40.049999999999997" customHeight="1" x14ac:dyDescent="0.25">
      <c r="A11486" s="11" t="s">
        <v>22715</v>
      </c>
      <c r="B11486" s="11" t="s">
        <v>22716</v>
      </c>
      <c r="C11486" s="11" t="s">
        <v>80</v>
      </c>
      <c r="D11486" s="11" t="s">
        <v>18</v>
      </c>
      <c r="E11486" s="12" t="s">
        <v>1287</v>
      </c>
      <c r="F11486" s="12" t="s">
        <v>1288</v>
      </c>
      <c r="G11486" s="12" t="s">
        <v>21</v>
      </c>
      <c r="H11486" s="11" t="s">
        <v>63</v>
      </c>
      <c r="I11486" s="13" t="s">
        <v>22717</v>
      </c>
      <c r="J11486" s="14" t="str">
        <f>HYPERLINK("https://www.boe.es/gazeta/dias/1839/10/30/pdfs/GMD-1839-1816.pdf#page=4","Abrir facsímil")</f>
        <v>Abrir facsímil</v>
      </c>
      <c r="K11486" s="12" t="s">
        <v>65</v>
      </c>
    </row>
    <row r="11487" spans="1:11" ht="40.049999999999997" customHeight="1" x14ac:dyDescent="0.25">
      <c r="A11487" s="11" t="s">
        <v>22718</v>
      </c>
      <c r="B11487" s="11" t="s">
        <v>22719</v>
      </c>
      <c r="C11487" s="11" t="s">
        <v>101</v>
      </c>
      <c r="D11487" s="11" t="s">
        <v>102</v>
      </c>
      <c r="E11487" s="12" t="s">
        <v>1012</v>
      </c>
      <c r="F11487" s="12" t="s">
        <v>1013</v>
      </c>
      <c r="G11487" s="12" t="s">
        <v>21</v>
      </c>
      <c r="H11487" s="11" t="s">
        <v>63</v>
      </c>
      <c r="I11487" s="13" t="s">
        <v>22720</v>
      </c>
      <c r="J11487" s="14" t="str">
        <f>HYPERLINK("https://www.boe.es/gazeta/dias/1839/11/22/pdfs/GMD-1839-1839.pdf#page=4","Abrir facsímil")</f>
        <v>Abrir facsímil</v>
      </c>
      <c r="K11487" s="12" t="s">
        <v>65</v>
      </c>
    </row>
    <row r="11488" spans="1:11" ht="40.049999999999997" customHeight="1" x14ac:dyDescent="0.25">
      <c r="A11488" s="11" t="s">
        <v>22721</v>
      </c>
      <c r="B11488" s="11" t="s">
        <v>22721</v>
      </c>
      <c r="C11488" s="11" t="s">
        <v>101</v>
      </c>
      <c r="D11488" s="11" t="s">
        <v>43</v>
      </c>
      <c r="E11488" s="12" t="s">
        <v>7860</v>
      </c>
      <c r="F11488" s="12" t="s">
        <v>7861</v>
      </c>
      <c r="G11488" s="12" t="s">
        <v>46</v>
      </c>
      <c r="H11488" s="11" t="s">
        <v>22</v>
      </c>
      <c r="I11488" s="13" t="s">
        <v>22722</v>
      </c>
      <c r="J11488" s="14" t="str">
        <f>HYPERLINK("https://www.boe.es/gazeta/dias/1839/03/04/pdfs/GMD-1839-1570.pdf#page=3","Abrir facsímil")</f>
        <v>Abrir facsímil</v>
      </c>
      <c r="K11488" s="12" t="s">
        <v>24</v>
      </c>
    </row>
    <row r="11489" spans="1:11" ht="40.049999999999997" customHeight="1" x14ac:dyDescent="0.25">
      <c r="A11489" s="11" t="s">
        <v>22723</v>
      </c>
      <c r="B11489" s="11" t="s">
        <v>22723</v>
      </c>
      <c r="C11489" s="11" t="s">
        <v>80</v>
      </c>
      <c r="D11489" s="11" t="s">
        <v>18</v>
      </c>
      <c r="E11489" s="12" t="s">
        <v>7860</v>
      </c>
      <c r="F11489" s="12" t="s">
        <v>7861</v>
      </c>
      <c r="G11489" s="12" t="s">
        <v>46</v>
      </c>
      <c r="H11489" s="11" t="s">
        <v>22</v>
      </c>
      <c r="I11489" s="13" t="s">
        <v>22724</v>
      </c>
      <c r="J11489" s="14" t="str">
        <f>HYPERLINK("https://www.boe.es/gazeta/dias/1839/03/04/pdfs/GMD-1839-1570.pdf#page=3","Abrir facsímil")</f>
        <v>Abrir facsímil</v>
      </c>
      <c r="K11489" s="12" t="s">
        <v>24</v>
      </c>
    </row>
    <row r="11490" spans="1:11" ht="40.049999999999997" customHeight="1" x14ac:dyDescent="0.25">
      <c r="A11490" s="11" t="s">
        <v>22725</v>
      </c>
      <c r="B11490" s="11" t="s">
        <v>22725</v>
      </c>
      <c r="C11490" s="11" t="s">
        <v>101</v>
      </c>
      <c r="D11490" s="11" t="s">
        <v>102</v>
      </c>
      <c r="E11490" s="12" t="s">
        <v>7860</v>
      </c>
      <c r="F11490" s="12" t="s">
        <v>7861</v>
      </c>
      <c r="G11490" s="12" t="s">
        <v>46</v>
      </c>
      <c r="H11490" s="11" t="s">
        <v>22</v>
      </c>
      <c r="I11490" s="13" t="s">
        <v>22726</v>
      </c>
      <c r="J11490" s="14" t="str">
        <f>HYPERLINK("https://www.boe.es/gazeta/dias/1839/03/04/pdfs/GMD-1839-1570.pdf#page=3","Abrir facsímil")</f>
        <v>Abrir facsímil</v>
      </c>
      <c r="K11490" s="12" t="s">
        <v>24</v>
      </c>
    </row>
    <row r="11491" spans="1:11" ht="40.049999999999997" customHeight="1" x14ac:dyDescent="0.25">
      <c r="A11491" s="11" t="s">
        <v>22727</v>
      </c>
      <c r="B11491" s="11" t="s">
        <v>22727</v>
      </c>
      <c r="C11491" s="11" t="s">
        <v>17</v>
      </c>
      <c r="D11491" s="11" t="s">
        <v>18</v>
      </c>
      <c r="E11491" s="12" t="s">
        <v>4957</v>
      </c>
      <c r="F11491" s="12" t="s">
        <v>4958</v>
      </c>
      <c r="G11491" s="12" t="s">
        <v>46</v>
      </c>
      <c r="H11491" s="11" t="s">
        <v>22</v>
      </c>
      <c r="I11491" s="13" t="s">
        <v>22728</v>
      </c>
      <c r="J11491" s="14" t="str">
        <f>HYPERLINK("https://www.boe.es/gazeta/dias/1839/11/04/pdfs/GMD-1839-1821.pdf#page=3","Abrir facsímil")</f>
        <v>Abrir facsímil</v>
      </c>
      <c r="K11491" s="12" t="s">
        <v>24</v>
      </c>
    </row>
    <row r="11492" spans="1:11" ht="40.049999999999997" customHeight="1" x14ac:dyDescent="0.25">
      <c r="A11492" s="11" t="s">
        <v>22729</v>
      </c>
      <c r="B11492" s="11" t="s">
        <v>22729</v>
      </c>
      <c r="C11492" s="11" t="s">
        <v>17</v>
      </c>
      <c r="D11492" s="11" t="s">
        <v>18</v>
      </c>
      <c r="E11492" s="12" t="s">
        <v>4921</v>
      </c>
      <c r="F11492" s="12" t="s">
        <v>4922</v>
      </c>
      <c r="G11492" s="12" t="s">
        <v>40</v>
      </c>
      <c r="H11492" s="11" t="s">
        <v>22</v>
      </c>
      <c r="I11492" s="13" t="s">
        <v>22730</v>
      </c>
      <c r="J11492" s="14" t="str">
        <f>HYPERLINK("https://www.boe.es/gazeta/dias/1839/11/05/pdfs/GMD-1839-1822.pdf#page=2","Abrir facsímil")</f>
        <v>Abrir facsímil</v>
      </c>
      <c r="K11492" s="12" t="s">
        <v>24</v>
      </c>
    </row>
    <row r="11493" spans="1:11" ht="40.049999999999997" customHeight="1" x14ac:dyDescent="0.25">
      <c r="A11493" s="11" t="s">
        <v>22731</v>
      </c>
      <c r="B11493" s="11" t="s">
        <v>22731</v>
      </c>
      <c r="C11493" s="11" t="s">
        <v>17</v>
      </c>
      <c r="D11493" s="11" t="s">
        <v>18</v>
      </c>
      <c r="E11493" s="12" t="s">
        <v>3236</v>
      </c>
      <c r="F11493" s="12" t="s">
        <v>3237</v>
      </c>
      <c r="G11493" s="12" t="s">
        <v>40</v>
      </c>
      <c r="H11493" s="11" t="s">
        <v>63</v>
      </c>
      <c r="I11493" s="13" t="s">
        <v>22732</v>
      </c>
      <c r="J11493" s="14" t="str">
        <f>HYPERLINK("https://www.boe.es/gazeta/dias/1839/12/03/pdfs/GMD-1839-1850.pdf#page=2","Abrir facsímil")</f>
        <v>Abrir facsímil</v>
      </c>
      <c r="K11493" s="12" t="s">
        <v>65</v>
      </c>
    </row>
    <row r="11494" spans="1:11" ht="40.049999999999997" customHeight="1" x14ac:dyDescent="0.25">
      <c r="A11494" s="11" t="s">
        <v>22733</v>
      </c>
      <c r="B11494" s="11" t="s">
        <v>22733</v>
      </c>
      <c r="C11494" s="11" t="s">
        <v>80</v>
      </c>
      <c r="D11494" s="11" t="s">
        <v>18</v>
      </c>
      <c r="E11494" s="12" t="s">
        <v>33</v>
      </c>
      <c r="F11494" s="12" t="s">
        <v>34</v>
      </c>
      <c r="G11494" s="12" t="s">
        <v>21</v>
      </c>
      <c r="H11494" s="11" t="s">
        <v>22</v>
      </c>
      <c r="I11494" s="13" t="s">
        <v>22734</v>
      </c>
      <c r="J11494" s="14" t="str">
        <f>HYPERLINK("https://www.boe.es/gazeta/dias/1839/12/13/pdfs/GMD-1839-1860.pdf#page=4","Abrir facsímil")</f>
        <v>Abrir facsímil</v>
      </c>
      <c r="K11494" s="12" t="s">
        <v>24</v>
      </c>
    </row>
    <row r="11495" spans="1:11" ht="40.049999999999997" customHeight="1" x14ac:dyDescent="0.25">
      <c r="A11495" s="11" t="s">
        <v>22733</v>
      </c>
      <c r="B11495" s="11" t="s">
        <v>22733</v>
      </c>
      <c r="C11495" s="11" t="s">
        <v>17</v>
      </c>
      <c r="D11495" s="11" t="s">
        <v>18</v>
      </c>
      <c r="E11495" s="12" t="s">
        <v>1528</v>
      </c>
      <c r="F11495" s="12" t="s">
        <v>1529</v>
      </c>
      <c r="G11495" s="12" t="s">
        <v>21</v>
      </c>
      <c r="H11495" s="11" t="s">
        <v>22</v>
      </c>
      <c r="I11495" s="13" t="s">
        <v>22735</v>
      </c>
      <c r="J11495" s="14" t="str">
        <f>HYPERLINK("https://www.boe.es/gazeta/dias/1839/12/15/pdfs/GMD-1839-1862.pdf#page=4","Abrir facsímil")</f>
        <v>Abrir facsímil</v>
      </c>
      <c r="K11495" s="12" t="s">
        <v>24</v>
      </c>
    </row>
    <row r="11496" spans="1:11" ht="40.049999999999997" customHeight="1" x14ac:dyDescent="0.25">
      <c r="A11496" s="11" t="s">
        <v>22736</v>
      </c>
      <c r="B11496" s="11" t="s">
        <v>22736</v>
      </c>
      <c r="C11496" s="11" t="s">
        <v>137</v>
      </c>
      <c r="D11496" s="11" t="s">
        <v>18</v>
      </c>
      <c r="E11496" s="12" t="s">
        <v>141</v>
      </c>
      <c r="F11496" s="12" t="s">
        <v>142</v>
      </c>
      <c r="G11496" s="12" t="s">
        <v>29</v>
      </c>
      <c r="H11496" s="11" t="s">
        <v>63</v>
      </c>
      <c r="I11496" s="13" t="s">
        <v>22737</v>
      </c>
      <c r="J11496" s="14" t="str">
        <f>HYPERLINK("https://www.boe.es/gazeta/dias/1839/11/10/pdfs/GMD-1839-1827.pdf#page=1","Abrir facsímil")</f>
        <v>Abrir facsímil</v>
      </c>
      <c r="K11496" s="12" t="s">
        <v>65</v>
      </c>
    </row>
    <row r="11497" spans="1:11" ht="40.049999999999997" customHeight="1" x14ac:dyDescent="0.25">
      <c r="A11497" s="11" t="s">
        <v>22738</v>
      </c>
      <c r="B11497" s="11" t="s">
        <v>22738</v>
      </c>
      <c r="C11497" s="11" t="s">
        <v>17</v>
      </c>
      <c r="D11497" s="11" t="s">
        <v>18</v>
      </c>
      <c r="E11497" s="12" t="s">
        <v>785</v>
      </c>
      <c r="F11497" s="12" t="s">
        <v>786</v>
      </c>
      <c r="G11497" s="12" t="s">
        <v>40</v>
      </c>
      <c r="H11497" s="11" t="s">
        <v>63</v>
      </c>
      <c r="I11497" s="13" t="s">
        <v>22739</v>
      </c>
      <c r="J11497" s="14" t="str">
        <f>HYPERLINK("https://www.boe.es/gazeta/dias/1839/07/13/pdfs/GMD-1839-1701.pdf#page=2","Abrir facsímil")</f>
        <v>Abrir facsímil</v>
      </c>
      <c r="K11497" s="12" t="s">
        <v>65</v>
      </c>
    </row>
    <row r="11498" spans="1:11" ht="40.049999999999997" customHeight="1" x14ac:dyDescent="0.25">
      <c r="A11498" s="11" t="s">
        <v>22738</v>
      </c>
      <c r="B11498" s="11" t="s">
        <v>22738</v>
      </c>
      <c r="C11498" s="11" t="s">
        <v>80</v>
      </c>
      <c r="D11498" s="11" t="s">
        <v>18</v>
      </c>
      <c r="E11498" s="12" t="s">
        <v>785</v>
      </c>
      <c r="F11498" s="12" t="s">
        <v>786</v>
      </c>
      <c r="G11498" s="12" t="s">
        <v>46</v>
      </c>
      <c r="H11498" s="11" t="s">
        <v>63</v>
      </c>
      <c r="I11498" s="13" t="s">
        <v>22740</v>
      </c>
      <c r="J11498" s="14" t="str">
        <f>HYPERLINK("https://www.boe.es/gazeta/dias/1839/07/13/pdfs/GMD-1839-1701.pdf#page=3","Abrir facsímil")</f>
        <v>Abrir facsímil</v>
      </c>
      <c r="K11498" s="12" t="s">
        <v>65</v>
      </c>
    </row>
    <row r="11499" spans="1:11" ht="40.049999999999997" customHeight="1" x14ac:dyDescent="0.25">
      <c r="A11499" s="11" t="s">
        <v>22741</v>
      </c>
      <c r="B11499" s="11" t="s">
        <v>22742</v>
      </c>
      <c r="C11499" s="11" t="s">
        <v>137</v>
      </c>
      <c r="D11499" s="11" t="s">
        <v>18</v>
      </c>
      <c r="E11499" s="12" t="s">
        <v>1682</v>
      </c>
      <c r="F11499" s="12" t="s">
        <v>1683</v>
      </c>
      <c r="G11499" s="12" t="s">
        <v>29</v>
      </c>
      <c r="H11499" s="11" t="s">
        <v>63</v>
      </c>
      <c r="I11499" s="13" t="s">
        <v>22743</v>
      </c>
      <c r="J11499" s="14" t="str">
        <f>HYPERLINK("https://www.boe.es/gazeta/dias/1839/12/26/pdfs/GMD-1839-1873.pdf#page=1","Abrir facsímil")</f>
        <v>Abrir facsímil</v>
      </c>
      <c r="K11499" s="12" t="s">
        <v>65</v>
      </c>
    </row>
    <row r="11500" spans="1:11" ht="40.049999999999997" customHeight="1" x14ac:dyDescent="0.25">
      <c r="A11500" s="11" t="s">
        <v>22744</v>
      </c>
      <c r="B11500" s="11" t="s">
        <v>22744</v>
      </c>
      <c r="C11500" s="11" t="s">
        <v>17</v>
      </c>
      <c r="D11500" s="11" t="s">
        <v>18</v>
      </c>
      <c r="E11500" s="12" t="s">
        <v>453</v>
      </c>
      <c r="F11500" s="12" t="s">
        <v>454</v>
      </c>
      <c r="G11500" s="12" t="s">
        <v>29</v>
      </c>
      <c r="H11500" s="11" t="s">
        <v>63</v>
      </c>
      <c r="I11500" s="13" t="s">
        <v>22745</v>
      </c>
      <c r="J11500" s="14" t="str">
        <f>HYPERLINK("https://www.boe.es/gazeta/dias/1839/02/07/pdfs/GMD-1839-1545.pdf#page=1","Abrir facsímil")</f>
        <v>Abrir facsímil</v>
      </c>
      <c r="K11500" s="12" t="s">
        <v>65</v>
      </c>
    </row>
    <row r="11501" spans="1:11" ht="40.049999999999997" customHeight="1" x14ac:dyDescent="0.25">
      <c r="A11501" s="11" t="s">
        <v>22744</v>
      </c>
      <c r="B11501" s="11" t="s">
        <v>22744</v>
      </c>
      <c r="C11501" s="11" t="s">
        <v>80</v>
      </c>
      <c r="D11501" s="11" t="s">
        <v>18</v>
      </c>
      <c r="E11501" s="12" t="s">
        <v>222</v>
      </c>
      <c r="F11501" s="12" t="s">
        <v>223</v>
      </c>
      <c r="G11501" s="12" t="s">
        <v>21</v>
      </c>
      <c r="H11501" s="11" t="s">
        <v>63</v>
      </c>
      <c r="I11501" s="13" t="s">
        <v>22746</v>
      </c>
      <c r="J11501" s="14" t="str">
        <f>HYPERLINK("https://www.boe.es/gazeta/dias/1839/06/22/pdfs/GMD-1839-1680.pdf#page=4","Abrir facsímil")</f>
        <v>Abrir facsímil</v>
      </c>
      <c r="K11501" s="12" t="s">
        <v>65</v>
      </c>
    </row>
    <row r="11502" spans="1:11" ht="40.049999999999997" customHeight="1" x14ac:dyDescent="0.25">
      <c r="A11502" s="11" t="s">
        <v>22744</v>
      </c>
      <c r="B11502" s="11" t="s">
        <v>22744</v>
      </c>
      <c r="C11502" s="11" t="s">
        <v>101</v>
      </c>
      <c r="D11502" s="11" t="s">
        <v>43</v>
      </c>
      <c r="E11502" s="12" t="s">
        <v>416</v>
      </c>
      <c r="F11502" s="12" t="s">
        <v>417</v>
      </c>
      <c r="G11502" s="12" t="s">
        <v>40</v>
      </c>
      <c r="H11502" s="11" t="s">
        <v>63</v>
      </c>
      <c r="I11502" s="13" t="s">
        <v>22747</v>
      </c>
      <c r="J11502" s="14" t="str">
        <f>HYPERLINK("https://www.boe.es/gazeta/dias/1839/10/24/pdfs/GMD-1839-1810.pdf#page=2","Abrir facsímil")</f>
        <v>Abrir facsímil</v>
      </c>
      <c r="K11502" s="12" t="s">
        <v>65</v>
      </c>
    </row>
    <row r="11503" spans="1:11" ht="40.049999999999997" customHeight="1" x14ac:dyDescent="0.25">
      <c r="A11503" s="11" t="s">
        <v>22748</v>
      </c>
      <c r="B11503" s="11" t="s">
        <v>22749</v>
      </c>
      <c r="C11503" s="11" t="s">
        <v>17</v>
      </c>
      <c r="D11503" s="11" t="s">
        <v>18</v>
      </c>
      <c r="E11503" s="12" t="s">
        <v>474</v>
      </c>
      <c r="F11503" s="12" t="s">
        <v>475</v>
      </c>
      <c r="G11503" s="12" t="s">
        <v>21</v>
      </c>
      <c r="H11503" s="11" t="s">
        <v>63</v>
      </c>
      <c r="I11503" s="13" t="s">
        <v>22750</v>
      </c>
      <c r="J11503" s="14" t="str">
        <f>HYPERLINK("https://www.boe.es/gazeta/dias/1839/03/31/pdfs/GMD-1839-1597.pdf#page=4","Abrir facsímil")</f>
        <v>Abrir facsímil</v>
      </c>
      <c r="K11503" s="12" t="s">
        <v>65</v>
      </c>
    </row>
    <row r="11504" spans="1:11" ht="40.049999999999997" customHeight="1" x14ac:dyDescent="0.25">
      <c r="A11504" s="11" t="s">
        <v>22751</v>
      </c>
      <c r="B11504" s="11" t="s">
        <v>22751</v>
      </c>
      <c r="C11504" s="11" t="s">
        <v>101</v>
      </c>
      <c r="D11504" s="11" t="s">
        <v>43</v>
      </c>
      <c r="E11504" s="12" t="s">
        <v>453</v>
      </c>
      <c r="F11504" s="12" t="s">
        <v>454</v>
      </c>
      <c r="G11504" s="12" t="s">
        <v>40</v>
      </c>
      <c r="H11504" s="11" t="s">
        <v>63</v>
      </c>
      <c r="I11504" s="13" t="s">
        <v>22752</v>
      </c>
      <c r="J11504" s="14" t="str">
        <f>HYPERLINK("https://www.boe.es/gazeta/dias/1839/02/07/pdfs/GMD-1839-1545.pdf#page=2","Abrir facsímil")</f>
        <v>Abrir facsímil</v>
      </c>
      <c r="K11504" s="12" t="s">
        <v>65</v>
      </c>
    </row>
    <row r="11505" spans="1:11" ht="40.049999999999997" customHeight="1" x14ac:dyDescent="0.25">
      <c r="A11505" s="11" t="s">
        <v>22753</v>
      </c>
      <c r="B11505" s="11" t="s">
        <v>22754</v>
      </c>
      <c r="C11505" s="11" t="s">
        <v>17</v>
      </c>
      <c r="D11505" s="11" t="s">
        <v>18</v>
      </c>
      <c r="E11505" s="12" t="s">
        <v>276</v>
      </c>
      <c r="F11505" s="12" t="s">
        <v>277</v>
      </c>
      <c r="G11505" s="12" t="s">
        <v>46</v>
      </c>
      <c r="H11505" s="11" t="s">
        <v>63</v>
      </c>
      <c r="I11505" s="13" t="s">
        <v>22755</v>
      </c>
      <c r="J11505" s="14" t="str">
        <f>HYPERLINK("https://www.boe.es/gazeta/dias/1839/09/24/pdfs/GMD-1839-1780.pdf#page=3","Abrir facsímil")</f>
        <v>Abrir facsímil</v>
      </c>
      <c r="K11505" s="12" t="s">
        <v>65</v>
      </c>
    </row>
    <row r="11506" spans="1:11" ht="40.049999999999997" customHeight="1" x14ac:dyDescent="0.25">
      <c r="A11506" s="11" t="s">
        <v>22756</v>
      </c>
      <c r="B11506" s="11" t="s">
        <v>22756</v>
      </c>
      <c r="C11506" s="11" t="s">
        <v>17</v>
      </c>
      <c r="D11506" s="11" t="s">
        <v>18</v>
      </c>
      <c r="E11506" s="12" t="s">
        <v>61</v>
      </c>
      <c r="F11506" s="12" t="s">
        <v>62</v>
      </c>
      <c r="G11506" s="12" t="s">
        <v>40</v>
      </c>
      <c r="H11506" s="11" t="s">
        <v>63</v>
      </c>
      <c r="I11506" s="13" t="s">
        <v>22757</v>
      </c>
      <c r="J11506" s="14" t="str">
        <f>HYPERLINK("https://www.boe.es/gazeta/dias/1839/09/10/pdfs/GMD-1839-1763.pdf#page=2","Abrir facsímil")</f>
        <v>Abrir facsímil</v>
      </c>
      <c r="K11506" s="12" t="s">
        <v>65</v>
      </c>
    </row>
    <row r="11507" spans="1:11" ht="40.049999999999997" customHeight="1" x14ac:dyDescent="0.25">
      <c r="A11507" s="11" t="s">
        <v>22758</v>
      </c>
      <c r="B11507" s="11" t="s">
        <v>22758</v>
      </c>
      <c r="C11507" s="11" t="s">
        <v>137</v>
      </c>
      <c r="D11507" s="11" t="s">
        <v>18</v>
      </c>
      <c r="E11507" s="12" t="s">
        <v>38</v>
      </c>
      <c r="F11507" s="12" t="s">
        <v>39</v>
      </c>
      <c r="G11507" s="12" t="s">
        <v>29</v>
      </c>
      <c r="H11507" s="11" t="s">
        <v>63</v>
      </c>
      <c r="I11507" s="13" t="s">
        <v>22759</v>
      </c>
      <c r="J11507" s="14" t="str">
        <f>HYPERLINK("https://www.boe.es/gazeta/dias/1839/08/08/pdfs/GMD-1839-1728.pdf#page=1","Abrir facsímil")</f>
        <v>Abrir facsímil</v>
      </c>
      <c r="K11507" s="12" t="s">
        <v>65</v>
      </c>
    </row>
    <row r="11508" spans="1:11" ht="40.049999999999997" customHeight="1" x14ac:dyDescent="0.25">
      <c r="A11508" s="11" t="s">
        <v>22760</v>
      </c>
      <c r="B11508" s="11" t="s">
        <v>22760</v>
      </c>
      <c r="C11508" s="11" t="s">
        <v>17</v>
      </c>
      <c r="D11508" s="11" t="s">
        <v>18</v>
      </c>
      <c r="E11508" s="12" t="s">
        <v>2210</v>
      </c>
      <c r="F11508" s="12" t="s">
        <v>2211</v>
      </c>
      <c r="G11508" s="12" t="s">
        <v>46</v>
      </c>
      <c r="H11508" s="11" t="s">
        <v>63</v>
      </c>
      <c r="I11508" s="13" t="s">
        <v>22761</v>
      </c>
      <c r="J11508" s="14" t="str">
        <f>HYPERLINK("https://www.boe.es/gazeta/dias/1839/09/05/pdfs/GMD-1839-1758.pdf#page=3","Abrir facsímil")</f>
        <v>Abrir facsímil</v>
      </c>
      <c r="K11508" s="12" t="s">
        <v>65</v>
      </c>
    </row>
    <row r="11509" spans="1:11" ht="40.049999999999997" customHeight="1" x14ac:dyDescent="0.25">
      <c r="A11509" s="11" t="s">
        <v>22760</v>
      </c>
      <c r="B11509" s="11" t="s">
        <v>22760</v>
      </c>
      <c r="C11509" s="11" t="s">
        <v>101</v>
      </c>
      <c r="D11509" s="11" t="s">
        <v>43</v>
      </c>
      <c r="E11509" s="12" t="s">
        <v>284</v>
      </c>
      <c r="F11509" s="12" t="s">
        <v>285</v>
      </c>
      <c r="G11509" s="12" t="s">
        <v>46</v>
      </c>
      <c r="H11509" s="11" t="s">
        <v>63</v>
      </c>
      <c r="I11509" s="13" t="s">
        <v>22762</v>
      </c>
      <c r="J11509" s="14" t="str">
        <f>HYPERLINK("https://www.boe.es/gazeta/dias/1839/01/27/pdfs/GMD-1839-1534.pdf#page=3","Abrir facsímil")</f>
        <v>Abrir facsímil</v>
      </c>
      <c r="K11509" s="12" t="s">
        <v>65</v>
      </c>
    </row>
    <row r="11510" spans="1:11" ht="40.049999999999997" customHeight="1" x14ac:dyDescent="0.25">
      <c r="A11510" s="11" t="s">
        <v>22763</v>
      </c>
      <c r="B11510" s="11" t="s">
        <v>22763</v>
      </c>
      <c r="C11510" s="11" t="s">
        <v>101</v>
      </c>
      <c r="D11510" s="11" t="s">
        <v>43</v>
      </c>
      <c r="E11510" s="12" t="s">
        <v>647</v>
      </c>
      <c r="F11510" s="12" t="s">
        <v>648</v>
      </c>
      <c r="G11510" s="12" t="s">
        <v>21</v>
      </c>
      <c r="H11510" s="11" t="s">
        <v>63</v>
      </c>
      <c r="I11510" s="13" t="s">
        <v>22764</v>
      </c>
      <c r="J11510" s="14" t="str">
        <f>HYPERLINK("https://www.boe.es/gazeta/dias/1839/10/08/pdfs/GMD-1839-1794.pdf#page=4","Abrir facsímil")</f>
        <v>Abrir facsímil</v>
      </c>
      <c r="K11510" s="12" t="s">
        <v>65</v>
      </c>
    </row>
    <row r="11511" spans="1:11" ht="40.049999999999997" customHeight="1" x14ac:dyDescent="0.25">
      <c r="A11511" s="11" t="s">
        <v>22765</v>
      </c>
      <c r="B11511" s="11" t="s">
        <v>22766</v>
      </c>
      <c r="C11511" s="11" t="s">
        <v>80</v>
      </c>
      <c r="D11511" s="11" t="s">
        <v>18</v>
      </c>
      <c r="E11511" s="12" t="s">
        <v>420</v>
      </c>
      <c r="F11511" s="12" t="s">
        <v>421</v>
      </c>
      <c r="G11511" s="12" t="s">
        <v>46</v>
      </c>
      <c r="H11511" s="11" t="s">
        <v>63</v>
      </c>
      <c r="I11511" s="13" t="s">
        <v>22767</v>
      </c>
      <c r="J11511" s="14" t="str">
        <f>HYPERLINK("https://www.boe.es/gazeta/dias/1839/03/12/pdfs/GMD-1839-1578.pdf#page=3","Abrir facsímil")</f>
        <v>Abrir facsímil</v>
      </c>
      <c r="K11511" s="12" t="s">
        <v>65</v>
      </c>
    </row>
    <row r="11512" spans="1:11" ht="40.049999999999997" customHeight="1" x14ac:dyDescent="0.25">
      <c r="A11512" s="11" t="s">
        <v>22768</v>
      </c>
      <c r="B11512" s="11" t="s">
        <v>22768</v>
      </c>
      <c r="C11512" s="11" t="s">
        <v>80</v>
      </c>
      <c r="D11512" s="11" t="s">
        <v>18</v>
      </c>
      <c r="E11512" s="12" t="s">
        <v>798</v>
      </c>
      <c r="F11512" s="12" t="s">
        <v>799</v>
      </c>
      <c r="G11512" s="12" t="s">
        <v>40</v>
      </c>
      <c r="H11512" s="11" t="s">
        <v>63</v>
      </c>
      <c r="I11512" s="13" t="s">
        <v>22769</v>
      </c>
      <c r="J11512" s="14" t="str">
        <f>HYPERLINK("https://www.boe.es/gazeta/dias/1839/09/03/pdfs/GMD-1839-1755.pdf#page=2","Abrir facsímil")</f>
        <v>Abrir facsímil</v>
      </c>
      <c r="K11512" s="12" t="s">
        <v>65</v>
      </c>
    </row>
    <row r="11513" spans="1:11" ht="40.049999999999997" customHeight="1" x14ac:dyDescent="0.25">
      <c r="A11513" s="11" t="s">
        <v>22768</v>
      </c>
      <c r="B11513" s="11" t="s">
        <v>22768</v>
      </c>
      <c r="C11513" s="11" t="s">
        <v>17</v>
      </c>
      <c r="D11513" s="11" t="s">
        <v>18</v>
      </c>
      <c r="E11513" s="12" t="s">
        <v>157</v>
      </c>
      <c r="F11513" s="12" t="s">
        <v>158</v>
      </c>
      <c r="G11513" s="12" t="s">
        <v>40</v>
      </c>
      <c r="H11513" s="11" t="s">
        <v>63</v>
      </c>
      <c r="I11513" s="13" t="s">
        <v>22770</v>
      </c>
      <c r="J11513" s="14" t="str">
        <f>HYPERLINK("https://www.boe.es/gazeta/dias/1839/02/08/pdfs/GMD-1839-1546.pdf#page=2","Abrir facsímil")</f>
        <v>Abrir facsímil</v>
      </c>
      <c r="K11513" s="12" t="s">
        <v>65</v>
      </c>
    </row>
    <row r="11514" spans="1:11" ht="40.049999999999997" customHeight="1" x14ac:dyDescent="0.25">
      <c r="A11514" s="11" t="s">
        <v>22771</v>
      </c>
      <c r="B11514" s="11" t="s">
        <v>22771</v>
      </c>
      <c r="C11514" s="11" t="s">
        <v>17</v>
      </c>
      <c r="D11514" s="11" t="s">
        <v>18</v>
      </c>
      <c r="E11514" s="12" t="s">
        <v>163</v>
      </c>
      <c r="F11514" s="12" t="s">
        <v>164</v>
      </c>
      <c r="G11514" s="12" t="s">
        <v>40</v>
      </c>
      <c r="H11514" s="11" t="s">
        <v>22</v>
      </c>
      <c r="I11514" s="13" t="s">
        <v>22772</v>
      </c>
      <c r="J11514" s="14" t="str">
        <f>HYPERLINK("https://www.boe.es/gazeta/dias/1839/01/13/pdfs/GMD-1839-1520.pdf#page=2","Abrir facsímil")</f>
        <v>Abrir facsímil</v>
      </c>
      <c r="K11514" s="12" t="s">
        <v>24</v>
      </c>
    </row>
    <row r="11515" spans="1:11" ht="40.049999999999997" customHeight="1" x14ac:dyDescent="0.25">
      <c r="A11515" s="11" t="s">
        <v>22771</v>
      </c>
      <c r="B11515" s="11" t="s">
        <v>22771</v>
      </c>
      <c r="C11515" s="11" t="s">
        <v>17</v>
      </c>
      <c r="D11515" s="11" t="s">
        <v>18</v>
      </c>
      <c r="E11515" s="12" t="s">
        <v>1108</v>
      </c>
      <c r="F11515" s="12" t="s">
        <v>1109</v>
      </c>
      <c r="G11515" s="12" t="s">
        <v>40</v>
      </c>
      <c r="H11515" s="11" t="s">
        <v>22</v>
      </c>
      <c r="I11515" s="13" t="s">
        <v>22773</v>
      </c>
      <c r="J11515" s="14" t="str">
        <f>HYPERLINK("https://www.boe.es/gazeta/dias/1839/09/21/pdfs/GMD-1839-1776.pdf#page=2","Abrir facsímil")</f>
        <v>Abrir facsímil</v>
      </c>
      <c r="K11515" s="12" t="s">
        <v>24</v>
      </c>
    </row>
    <row r="11516" spans="1:11" ht="40.049999999999997" customHeight="1" x14ac:dyDescent="0.25">
      <c r="A11516" s="11" t="s">
        <v>22771</v>
      </c>
      <c r="B11516" s="11" t="s">
        <v>22771</v>
      </c>
      <c r="C11516" s="11" t="s">
        <v>17</v>
      </c>
      <c r="D11516" s="11" t="s">
        <v>18</v>
      </c>
      <c r="E11516" s="12" t="s">
        <v>926</v>
      </c>
      <c r="F11516" s="12" t="s">
        <v>927</v>
      </c>
      <c r="G11516" s="12" t="s">
        <v>40</v>
      </c>
      <c r="H11516" s="11" t="s">
        <v>22</v>
      </c>
      <c r="I11516" s="13" t="s">
        <v>22774</v>
      </c>
      <c r="J11516" s="14" t="str">
        <f>HYPERLINK("https://www.boe.es/gazeta/dias/1839/01/25/pdfs/GMD-1839-1532.pdf#page=2","Abrir facsímil")</f>
        <v>Abrir facsímil</v>
      </c>
      <c r="K11516" s="12" t="s">
        <v>24</v>
      </c>
    </row>
    <row r="11517" spans="1:11" ht="40.049999999999997" customHeight="1" x14ac:dyDescent="0.25">
      <c r="A11517" s="11" t="s">
        <v>22771</v>
      </c>
      <c r="B11517" s="11" t="s">
        <v>22771</v>
      </c>
      <c r="C11517" s="11" t="s">
        <v>17</v>
      </c>
      <c r="D11517" s="11" t="s">
        <v>18</v>
      </c>
      <c r="E11517" s="12" t="s">
        <v>1679</v>
      </c>
      <c r="F11517" s="12" t="s">
        <v>1680</v>
      </c>
      <c r="G11517" s="12" t="s">
        <v>40</v>
      </c>
      <c r="H11517" s="11" t="s">
        <v>22</v>
      </c>
      <c r="I11517" s="13" t="s">
        <v>22775</v>
      </c>
      <c r="J11517" s="14" t="str">
        <f>HYPERLINK("https://www.boe.es/gazeta/dias/1839/01/26/pdfs/GMD-1839-1533.pdf#page=2","Abrir facsímil")</f>
        <v>Abrir facsímil</v>
      </c>
      <c r="K11517" s="12" t="s">
        <v>24</v>
      </c>
    </row>
    <row r="11518" spans="1:11" ht="40.049999999999997" customHeight="1" x14ac:dyDescent="0.25">
      <c r="A11518" s="11" t="s">
        <v>22776</v>
      </c>
      <c r="B11518" s="11" t="s">
        <v>22776</v>
      </c>
      <c r="C11518" s="11" t="s">
        <v>17</v>
      </c>
      <c r="D11518" s="11" t="s">
        <v>18</v>
      </c>
      <c r="E11518" s="12" t="s">
        <v>596</v>
      </c>
      <c r="F11518" s="12" t="s">
        <v>597</v>
      </c>
      <c r="G11518" s="12" t="s">
        <v>40</v>
      </c>
      <c r="H11518" s="11" t="s">
        <v>22</v>
      </c>
      <c r="I11518" s="13" t="s">
        <v>22777</v>
      </c>
      <c r="J11518" s="14" t="str">
        <f>HYPERLINK("https://www.boe.es/gazeta/dias/1839/01/23/pdfs/GMD-1839-1530.pdf#page=2","Abrir facsímil")</f>
        <v>Abrir facsímil</v>
      </c>
      <c r="K11518" s="12" t="s">
        <v>24</v>
      </c>
    </row>
    <row r="11519" spans="1:11" ht="40.049999999999997" customHeight="1" x14ac:dyDescent="0.25">
      <c r="A11519" s="11" t="s">
        <v>22778</v>
      </c>
      <c r="B11519" s="11" t="s">
        <v>22779</v>
      </c>
      <c r="C11519" s="11" t="s">
        <v>17</v>
      </c>
      <c r="D11519" s="11" t="s">
        <v>18</v>
      </c>
      <c r="E11519" s="12" t="s">
        <v>111</v>
      </c>
      <c r="F11519" s="12" t="s">
        <v>112</v>
      </c>
      <c r="G11519" s="12" t="s">
        <v>40</v>
      </c>
      <c r="H11519" s="11" t="s">
        <v>63</v>
      </c>
      <c r="I11519" s="13" t="s">
        <v>22780</v>
      </c>
      <c r="J11519" s="14" t="str">
        <f>HYPERLINK("https://www.boe.es/gazeta/dias/1839/07/25/pdfs/GMD-1839-1714.pdf#page=2","Abrir facsímil")</f>
        <v>Abrir facsímil</v>
      </c>
      <c r="K11519" s="12" t="s">
        <v>65</v>
      </c>
    </row>
    <row r="11520" spans="1:11" ht="40.049999999999997" customHeight="1" x14ac:dyDescent="0.25">
      <c r="A11520" s="11" t="s">
        <v>22781</v>
      </c>
      <c r="B11520" s="11" t="s">
        <v>22782</v>
      </c>
      <c r="C11520" s="11" t="s">
        <v>17</v>
      </c>
      <c r="D11520" s="11" t="s">
        <v>18</v>
      </c>
      <c r="E11520" s="12" t="s">
        <v>474</v>
      </c>
      <c r="F11520" s="12" t="s">
        <v>475</v>
      </c>
      <c r="G11520" s="12" t="s">
        <v>21</v>
      </c>
      <c r="H11520" s="11" t="s">
        <v>63</v>
      </c>
      <c r="I11520" s="13" t="s">
        <v>22783</v>
      </c>
      <c r="J11520" s="14" t="str">
        <f>HYPERLINK("https://www.boe.es/gazeta/dias/1839/03/31/pdfs/GMD-1839-1597.pdf#page=4","Abrir facsímil")</f>
        <v>Abrir facsímil</v>
      </c>
      <c r="K11520" s="12" t="s">
        <v>65</v>
      </c>
    </row>
    <row r="11521" spans="1:11" ht="40.049999999999997" customHeight="1" x14ac:dyDescent="0.25">
      <c r="A11521" s="11" t="s">
        <v>22784</v>
      </c>
      <c r="B11521" s="11" t="s">
        <v>22784</v>
      </c>
      <c r="C11521" s="11" t="s">
        <v>17</v>
      </c>
      <c r="D11521" s="11" t="s">
        <v>18</v>
      </c>
      <c r="E11521" s="12" t="s">
        <v>1891</v>
      </c>
      <c r="F11521" s="12" t="s">
        <v>1892</v>
      </c>
      <c r="G11521" s="12" t="s">
        <v>21</v>
      </c>
      <c r="H11521" s="11" t="s">
        <v>22</v>
      </c>
      <c r="I11521" s="13" t="s">
        <v>22785</v>
      </c>
      <c r="J11521" s="14" t="str">
        <f>HYPERLINK("https://www.boe.es/gazeta/dias/1839/12/14/pdfs/GMD-1839-1861.pdf#page=4","Abrir facsímil")</f>
        <v>Abrir facsímil</v>
      </c>
      <c r="K11521" s="12" t="s">
        <v>24</v>
      </c>
    </row>
    <row r="11522" spans="1:11" ht="40.049999999999997" customHeight="1" x14ac:dyDescent="0.25">
      <c r="A11522" s="11" t="s">
        <v>22784</v>
      </c>
      <c r="B11522" s="11" t="s">
        <v>22784</v>
      </c>
      <c r="C11522" s="11" t="s">
        <v>17</v>
      </c>
      <c r="D11522" s="11" t="s">
        <v>18</v>
      </c>
      <c r="E11522" s="12" t="s">
        <v>1537</v>
      </c>
      <c r="F11522" s="12" t="s">
        <v>1538</v>
      </c>
      <c r="G11522" s="12" t="s">
        <v>21</v>
      </c>
      <c r="H11522" s="11" t="s">
        <v>22</v>
      </c>
      <c r="I11522" s="13" t="s">
        <v>22786</v>
      </c>
      <c r="J11522" s="14" t="str">
        <f>HYPERLINK("https://www.boe.es/gazeta/dias/1839/12/16/pdfs/GMD-1839-1863.pdf#page=4","Abrir facsímil")</f>
        <v>Abrir facsímil</v>
      </c>
      <c r="K11522" s="12" t="s">
        <v>24</v>
      </c>
    </row>
    <row r="11523" spans="1:11" ht="40.049999999999997" customHeight="1" x14ac:dyDescent="0.25">
      <c r="A11523" s="11" t="s">
        <v>22787</v>
      </c>
      <c r="B11523" s="11" t="s">
        <v>22787</v>
      </c>
      <c r="C11523" s="11" t="s">
        <v>59</v>
      </c>
      <c r="D11523" s="11" t="s">
        <v>60</v>
      </c>
      <c r="E11523" s="12" t="s">
        <v>154</v>
      </c>
      <c r="F11523" s="12" t="s">
        <v>155</v>
      </c>
      <c r="G11523" s="12" t="s">
        <v>21</v>
      </c>
      <c r="H11523" s="11" t="s">
        <v>22</v>
      </c>
      <c r="I11523" s="13" t="s">
        <v>22788</v>
      </c>
      <c r="J11523" s="14" t="str">
        <f>HYPERLINK("https://www.boe.es/gazeta/dias/1839/02/02/pdfs/GMD-1839-1540.pdf#page=4","Abrir facsímil")</f>
        <v>Abrir facsímil</v>
      </c>
      <c r="K11523" s="12" t="s">
        <v>24</v>
      </c>
    </row>
    <row r="11524" spans="1:11" ht="40.049999999999997" customHeight="1" x14ac:dyDescent="0.25">
      <c r="A11524" s="11" t="s">
        <v>22787</v>
      </c>
      <c r="B11524" s="11" t="s">
        <v>22787</v>
      </c>
      <c r="C11524" s="11" t="s">
        <v>17</v>
      </c>
      <c r="D11524" s="11" t="s">
        <v>18</v>
      </c>
      <c r="E11524" s="12" t="s">
        <v>2165</v>
      </c>
      <c r="F11524" s="12" t="s">
        <v>2166</v>
      </c>
      <c r="G11524" s="12" t="s">
        <v>46</v>
      </c>
      <c r="H11524" s="11" t="s">
        <v>22</v>
      </c>
      <c r="I11524" s="13" t="s">
        <v>22789</v>
      </c>
      <c r="J11524" s="14" t="str">
        <f>HYPERLINK("https://www.boe.es/gazeta/dias/1839/01/06/pdfs/GMD-1839-1513.pdf#page=3","Abrir facsímil")</f>
        <v>Abrir facsímil</v>
      </c>
      <c r="K11524" s="12" t="s">
        <v>24</v>
      </c>
    </row>
    <row r="11525" spans="1:11" ht="40.049999999999997" customHeight="1" x14ac:dyDescent="0.25">
      <c r="A11525" s="11" t="s">
        <v>22790</v>
      </c>
      <c r="B11525" s="11" t="s">
        <v>22791</v>
      </c>
      <c r="C11525" s="11" t="s">
        <v>80</v>
      </c>
      <c r="D11525" s="11" t="s">
        <v>18</v>
      </c>
      <c r="E11525" s="12" t="s">
        <v>1008</v>
      </c>
      <c r="F11525" s="12" t="s">
        <v>1009</v>
      </c>
      <c r="G11525" s="12" t="s">
        <v>21</v>
      </c>
      <c r="H11525" s="11" t="s">
        <v>63</v>
      </c>
      <c r="I11525" s="13" t="s">
        <v>22792</v>
      </c>
      <c r="J11525" s="14" t="str">
        <f>HYPERLINK("https://www.boe.es/gazeta/dias/1839/09/07/pdfs/GMD-1839-1760.pdf#page=4","Abrir facsímil")</f>
        <v>Abrir facsímil</v>
      </c>
      <c r="K11525" s="12" t="s">
        <v>65</v>
      </c>
    </row>
    <row r="11526" spans="1:11" ht="40.049999999999997" customHeight="1" x14ac:dyDescent="0.25">
      <c r="A11526" s="11" t="s">
        <v>22793</v>
      </c>
      <c r="B11526" s="11" t="s">
        <v>22793</v>
      </c>
      <c r="C11526" s="11" t="s">
        <v>17</v>
      </c>
      <c r="D11526" s="11" t="s">
        <v>18</v>
      </c>
      <c r="E11526" s="12" t="s">
        <v>258</v>
      </c>
      <c r="F11526" s="12" t="s">
        <v>259</v>
      </c>
      <c r="G11526" s="12" t="s">
        <v>21</v>
      </c>
      <c r="H11526" s="11" t="s">
        <v>63</v>
      </c>
      <c r="I11526" s="13" t="s">
        <v>22794</v>
      </c>
      <c r="J11526" s="14" t="str">
        <f>HYPERLINK("https://www.boe.es/gazeta/dias/1839/01/02/pdfs/GMD-1839-1509.pdf#page=4","Abrir facsímil")</f>
        <v>Abrir facsímil</v>
      </c>
      <c r="K11526" s="12" t="s">
        <v>65</v>
      </c>
    </row>
    <row r="11527" spans="1:11" ht="40.049999999999997" customHeight="1" x14ac:dyDescent="0.25">
      <c r="A11527" s="11" t="s">
        <v>22793</v>
      </c>
      <c r="B11527" s="11" t="s">
        <v>22793</v>
      </c>
      <c r="C11527" s="11" t="s">
        <v>101</v>
      </c>
      <c r="D11527" s="11" t="s">
        <v>43</v>
      </c>
      <c r="E11527" s="12" t="s">
        <v>1366</v>
      </c>
      <c r="F11527" s="12" t="s">
        <v>1367</v>
      </c>
      <c r="G11527" s="12" t="s">
        <v>46</v>
      </c>
      <c r="H11527" s="11" t="s">
        <v>63</v>
      </c>
      <c r="I11527" s="13" t="s">
        <v>22795</v>
      </c>
      <c r="J11527" s="14" t="str">
        <f>HYPERLINK("https://www.boe.es/gazeta/dias/1839/09/09/pdfs/GMD-1839-1762.pdf#page=3","Abrir facsímil")</f>
        <v>Abrir facsímil</v>
      </c>
      <c r="K11527" s="12" t="s">
        <v>65</v>
      </c>
    </row>
    <row r="11528" spans="1:11" ht="40.049999999999997" customHeight="1" x14ac:dyDescent="0.25">
      <c r="A11528" s="11" t="s">
        <v>22793</v>
      </c>
      <c r="B11528" s="11" t="s">
        <v>22793</v>
      </c>
      <c r="C11528" s="11" t="s">
        <v>17</v>
      </c>
      <c r="D11528" s="11" t="s">
        <v>18</v>
      </c>
      <c r="E11528" s="12" t="s">
        <v>596</v>
      </c>
      <c r="F11528" s="12" t="s">
        <v>597</v>
      </c>
      <c r="G11528" s="12" t="s">
        <v>21</v>
      </c>
      <c r="H11528" s="11" t="s">
        <v>63</v>
      </c>
      <c r="I11528" s="13" t="s">
        <v>22796</v>
      </c>
      <c r="J11528" s="14" t="str">
        <f>HYPERLINK("https://www.boe.es/gazeta/dias/1839/01/23/pdfs/GMD-1839-1530.pdf#page=4","Abrir facsímil")</f>
        <v>Abrir facsímil</v>
      </c>
      <c r="K11528" s="12" t="s">
        <v>65</v>
      </c>
    </row>
    <row r="11529" spans="1:11" ht="40.049999999999997" customHeight="1" x14ac:dyDescent="0.25">
      <c r="A11529" s="11" t="s">
        <v>22797</v>
      </c>
      <c r="B11529" s="11" t="s">
        <v>22798</v>
      </c>
      <c r="C11529" s="11" t="s">
        <v>17</v>
      </c>
      <c r="D11529" s="11" t="s">
        <v>18</v>
      </c>
      <c r="E11529" s="12" t="s">
        <v>303</v>
      </c>
      <c r="F11529" s="12" t="s">
        <v>304</v>
      </c>
      <c r="G11529" s="12" t="s">
        <v>305</v>
      </c>
      <c r="H11529" s="11" t="s">
        <v>63</v>
      </c>
      <c r="I11529" s="13" t="s">
        <v>22799</v>
      </c>
      <c r="J11529" s="14" t="str">
        <f>HYPERLINK("https://www.boe.es/gazeta/dias/1839/10/06/pdfs/GMD-1839-1792.pdf#page=6","Abrir facsímil")</f>
        <v>Abrir facsímil</v>
      </c>
      <c r="K11529" s="12" t="s">
        <v>65</v>
      </c>
    </row>
    <row r="11530" spans="1:11" ht="40.049999999999997" customHeight="1" x14ac:dyDescent="0.25">
      <c r="A11530" s="11" t="s">
        <v>22800</v>
      </c>
      <c r="B11530" s="11" t="s">
        <v>22801</v>
      </c>
      <c r="C11530" s="11" t="s">
        <v>17</v>
      </c>
      <c r="D11530" s="11" t="s">
        <v>18</v>
      </c>
      <c r="E11530" s="12" t="s">
        <v>197</v>
      </c>
      <c r="F11530" s="12" t="s">
        <v>198</v>
      </c>
      <c r="G11530" s="12" t="s">
        <v>46</v>
      </c>
      <c r="H11530" s="11" t="s">
        <v>63</v>
      </c>
      <c r="I11530" s="13" t="s">
        <v>22802</v>
      </c>
      <c r="J11530" s="14" t="str">
        <f>HYPERLINK("https://www.boe.es/gazeta/dias/1839/10/04/pdfs/GMD-1839-1790.pdf#page=3","Abrir facsímil")</f>
        <v>Abrir facsímil</v>
      </c>
      <c r="K11530" s="12" t="s">
        <v>65</v>
      </c>
    </row>
    <row r="11531" spans="1:11" ht="40.049999999999997" customHeight="1" x14ac:dyDescent="0.25">
      <c r="A11531" s="11" t="s">
        <v>22800</v>
      </c>
      <c r="B11531" s="11" t="s">
        <v>22801</v>
      </c>
      <c r="C11531" s="11" t="s">
        <v>17</v>
      </c>
      <c r="D11531" s="11" t="s">
        <v>18</v>
      </c>
      <c r="E11531" s="12" t="s">
        <v>303</v>
      </c>
      <c r="F11531" s="12" t="s">
        <v>304</v>
      </c>
      <c r="G11531" s="12" t="s">
        <v>305</v>
      </c>
      <c r="H11531" s="11" t="s">
        <v>63</v>
      </c>
      <c r="I11531" s="13" t="s">
        <v>22803</v>
      </c>
      <c r="J11531" s="14" t="str">
        <f>HYPERLINK("https://www.boe.es/gazeta/dias/1839/10/06/pdfs/GMD-1839-1792.pdf#page=6","Abrir facsímil")</f>
        <v>Abrir facsímil</v>
      </c>
      <c r="K11531" s="12" t="s">
        <v>65</v>
      </c>
    </row>
    <row r="11532" spans="1:11" ht="40.049999999999997" customHeight="1" x14ac:dyDescent="0.25">
      <c r="A11532" s="11" t="s">
        <v>22804</v>
      </c>
      <c r="B11532" s="11" t="s">
        <v>22805</v>
      </c>
      <c r="C11532" s="11" t="s">
        <v>17</v>
      </c>
      <c r="D11532" s="11" t="s">
        <v>18</v>
      </c>
      <c r="E11532" s="12" t="s">
        <v>258</v>
      </c>
      <c r="F11532" s="12" t="s">
        <v>259</v>
      </c>
      <c r="G11532" s="12" t="s">
        <v>46</v>
      </c>
      <c r="H11532" s="11" t="s">
        <v>22</v>
      </c>
      <c r="I11532" s="13" t="s">
        <v>22806</v>
      </c>
      <c r="J11532" s="14" t="str">
        <f>HYPERLINK("https://www.boe.es/gazeta/dias/1839/01/02/pdfs/GMD-1839-1509.pdf#page=3","Abrir facsímil")</f>
        <v>Abrir facsímil</v>
      </c>
      <c r="K11532" s="12" t="s">
        <v>24</v>
      </c>
    </row>
    <row r="11533" spans="1:11" ht="40.049999999999997" customHeight="1" x14ac:dyDescent="0.25">
      <c r="A11533" s="11" t="s">
        <v>22807</v>
      </c>
      <c r="B11533" s="11" t="s">
        <v>22807</v>
      </c>
      <c r="C11533" s="11" t="s">
        <v>17</v>
      </c>
      <c r="D11533" s="11" t="s">
        <v>43</v>
      </c>
      <c r="E11533" s="12" t="s">
        <v>1183</v>
      </c>
      <c r="F11533" s="12" t="s">
        <v>1184</v>
      </c>
      <c r="G11533" s="12" t="s">
        <v>40</v>
      </c>
      <c r="H11533" s="11" t="s">
        <v>63</v>
      </c>
      <c r="I11533" s="13" t="s">
        <v>22808</v>
      </c>
      <c r="J11533" s="14" t="str">
        <f>HYPERLINK("https://www.boe.es/gazeta/dias/1839/07/26/pdfs/GMD-1839-1715.pdf#page=2","Abrir facsímil")</f>
        <v>Abrir facsímil</v>
      </c>
      <c r="K11533" s="12" t="s">
        <v>65</v>
      </c>
    </row>
    <row r="11534" spans="1:11" ht="40.049999999999997" customHeight="1" x14ac:dyDescent="0.25">
      <c r="A11534" s="11" t="s">
        <v>22809</v>
      </c>
      <c r="B11534" s="11" t="s">
        <v>22810</v>
      </c>
      <c r="C11534" s="11" t="s">
        <v>137</v>
      </c>
      <c r="D11534" s="11" t="s">
        <v>18</v>
      </c>
      <c r="E11534" s="12" t="s">
        <v>89</v>
      </c>
      <c r="F11534" s="12" t="s">
        <v>90</v>
      </c>
      <c r="G11534" s="12" t="s">
        <v>40</v>
      </c>
      <c r="H11534" s="11" t="s">
        <v>63</v>
      </c>
      <c r="I11534" s="13" t="s">
        <v>22811</v>
      </c>
      <c r="J11534" s="14" t="str">
        <f>HYPERLINK("https://www.boe.es/gazeta/dias/1839/11/28/pdfs/GMD-1839-1845.pdf#page=2","Abrir facsímil")</f>
        <v>Abrir facsímil</v>
      </c>
      <c r="K11534" s="12" t="s">
        <v>65</v>
      </c>
    </row>
    <row r="11535" spans="1:11" ht="40.049999999999997" customHeight="1" x14ac:dyDescent="0.25">
      <c r="A11535" s="11" t="s">
        <v>22812</v>
      </c>
      <c r="B11535" s="11" t="s">
        <v>22813</v>
      </c>
      <c r="C11535" s="11" t="s">
        <v>17</v>
      </c>
      <c r="D11535" s="11" t="s">
        <v>18</v>
      </c>
      <c r="E11535" s="12" t="s">
        <v>1703</v>
      </c>
      <c r="F11535" s="12" t="s">
        <v>1704</v>
      </c>
      <c r="G11535" s="12" t="s">
        <v>21</v>
      </c>
      <c r="H11535" s="11" t="s">
        <v>63</v>
      </c>
      <c r="I11535" s="13" t="s">
        <v>22814</v>
      </c>
      <c r="J11535" s="14" t="str">
        <f>HYPERLINK("https://www.boe.es/gazeta/dias/1839/01/21/pdfs/GMD-1839-1528.pdf#page=4","Abrir facsímil")</f>
        <v>Abrir facsímil</v>
      </c>
      <c r="K11535" s="12" t="s">
        <v>65</v>
      </c>
    </row>
    <row r="11536" spans="1:11" ht="40.049999999999997" customHeight="1" x14ac:dyDescent="0.25">
      <c r="A11536" s="11" t="s">
        <v>22815</v>
      </c>
      <c r="B11536" s="11" t="s">
        <v>22816</v>
      </c>
      <c r="C11536" s="11" t="s">
        <v>137</v>
      </c>
      <c r="D11536" s="11" t="s">
        <v>18</v>
      </c>
      <c r="E11536" s="12" t="s">
        <v>2839</v>
      </c>
      <c r="F11536" s="12" t="s">
        <v>2840</v>
      </c>
      <c r="G11536" s="12" t="s">
        <v>29</v>
      </c>
      <c r="H11536" s="11" t="s">
        <v>63</v>
      </c>
      <c r="I11536" s="13" t="s">
        <v>22817</v>
      </c>
      <c r="J11536" s="14" t="str">
        <f>HYPERLINK("https://www.boe.es/gazeta/dias/1839/03/06/pdfs/GMD-1839-1572.pdf#page=1","Abrir facsímil")</f>
        <v>Abrir facsímil</v>
      </c>
      <c r="K11536" s="12" t="s">
        <v>65</v>
      </c>
    </row>
    <row r="11537" spans="1:11" ht="40.049999999999997" customHeight="1" x14ac:dyDescent="0.25">
      <c r="A11537" s="11" t="s">
        <v>22818</v>
      </c>
      <c r="B11537" s="11" t="s">
        <v>22819</v>
      </c>
      <c r="C11537" s="11" t="s">
        <v>17</v>
      </c>
      <c r="D11537" s="11" t="s">
        <v>18</v>
      </c>
      <c r="E11537" s="12" t="s">
        <v>700</v>
      </c>
      <c r="F11537" s="12" t="s">
        <v>701</v>
      </c>
      <c r="G11537" s="12" t="s">
        <v>40</v>
      </c>
      <c r="H11537" s="11" t="s">
        <v>22</v>
      </c>
      <c r="I11537" s="13" t="s">
        <v>22820</v>
      </c>
      <c r="J11537" s="14" t="str">
        <f>HYPERLINK("https://www.boe.es/gazeta/dias/1839/09/01/pdfs/GMD-1839-1753.pdf#page=2","Abrir facsímil")</f>
        <v>Abrir facsímil</v>
      </c>
      <c r="K11537" s="12" t="s">
        <v>24</v>
      </c>
    </row>
    <row r="11538" spans="1:11" ht="40.049999999999997" customHeight="1" x14ac:dyDescent="0.25">
      <c r="A11538" s="11" t="s">
        <v>22821</v>
      </c>
      <c r="B11538" s="11" t="s">
        <v>22822</v>
      </c>
      <c r="C11538" s="11" t="s">
        <v>17</v>
      </c>
      <c r="D11538" s="11" t="s">
        <v>43</v>
      </c>
      <c r="E11538" s="12" t="s">
        <v>1623</v>
      </c>
      <c r="F11538" s="12" t="s">
        <v>1624</v>
      </c>
      <c r="G11538" s="12" t="s">
        <v>21</v>
      </c>
      <c r="H11538" s="11" t="s">
        <v>63</v>
      </c>
      <c r="I11538" s="13" t="s">
        <v>22823</v>
      </c>
      <c r="J11538" s="14" t="str">
        <f>HYPERLINK("https://www.boe.es/gazeta/dias/1839/04/07/pdfs/GMD-1839-1604.pdf#page=4","Abrir facsímil")</f>
        <v>Abrir facsímil</v>
      </c>
      <c r="K11538" s="12" t="s">
        <v>65</v>
      </c>
    </row>
    <row r="11539" spans="1:11" ht="40.049999999999997" customHeight="1" x14ac:dyDescent="0.25">
      <c r="A11539" s="11" t="s">
        <v>22821</v>
      </c>
      <c r="B11539" s="11" t="s">
        <v>22822</v>
      </c>
      <c r="C11539" s="11" t="s">
        <v>17</v>
      </c>
      <c r="D11539" s="11" t="s">
        <v>18</v>
      </c>
      <c r="E11539" s="12" t="s">
        <v>168</v>
      </c>
      <c r="F11539" s="12" t="s">
        <v>169</v>
      </c>
      <c r="G11539" s="12" t="s">
        <v>21</v>
      </c>
      <c r="H11539" s="11" t="s">
        <v>63</v>
      </c>
      <c r="I11539" s="13" t="s">
        <v>22824</v>
      </c>
      <c r="J11539" s="14" t="str">
        <f>HYPERLINK("https://www.boe.es/gazeta/dias/1839/07/12/pdfs/GMD-1839-1700.pdf#page=4","Abrir facsímil")</f>
        <v>Abrir facsímil</v>
      </c>
      <c r="K11539" s="12" t="s">
        <v>65</v>
      </c>
    </row>
    <row r="11540" spans="1:11" ht="40.049999999999997" customHeight="1" x14ac:dyDescent="0.25">
      <c r="A11540" s="11" t="s">
        <v>22825</v>
      </c>
      <c r="B11540" s="11" t="s">
        <v>22825</v>
      </c>
      <c r="C11540" s="11" t="s">
        <v>17</v>
      </c>
      <c r="D11540" s="11" t="s">
        <v>18</v>
      </c>
      <c r="E11540" s="12" t="s">
        <v>668</v>
      </c>
      <c r="F11540" s="12" t="s">
        <v>669</v>
      </c>
      <c r="G11540" s="12" t="s">
        <v>29</v>
      </c>
      <c r="H11540" s="11" t="s">
        <v>63</v>
      </c>
      <c r="I11540" s="13" t="s">
        <v>22826</v>
      </c>
      <c r="J11540" s="14" t="str">
        <f>HYPERLINK("https://www.boe.es/gazeta/dias/1839/03/28/pdfs/GMD-1839-1594.pdf#page=1","Abrir facsímil")</f>
        <v>Abrir facsímil</v>
      </c>
      <c r="K11540" s="12" t="s">
        <v>65</v>
      </c>
    </row>
    <row r="11541" spans="1:11" ht="40.049999999999997" customHeight="1" x14ac:dyDescent="0.25">
      <c r="A11541" s="11" t="s">
        <v>22827</v>
      </c>
      <c r="B11541" s="11" t="s">
        <v>22828</v>
      </c>
      <c r="C11541" s="11" t="s">
        <v>17</v>
      </c>
      <c r="D11541" s="11" t="s">
        <v>18</v>
      </c>
      <c r="E11541" s="12" t="s">
        <v>1512</v>
      </c>
      <c r="F11541" s="12" t="s">
        <v>1513</v>
      </c>
      <c r="G11541" s="12" t="s">
        <v>29</v>
      </c>
      <c r="H11541" s="11" t="s">
        <v>63</v>
      </c>
      <c r="I11541" s="13" t="s">
        <v>22829</v>
      </c>
      <c r="J11541" s="14" t="str">
        <f>HYPERLINK("https://www.boe.es/gazeta/dias/1839/04/13/pdfs/GMD-1839-1610.pdf#page=1","Abrir facsímil")</f>
        <v>Abrir facsímil</v>
      </c>
      <c r="K11541" s="12" t="s">
        <v>65</v>
      </c>
    </row>
    <row r="11542" spans="1:11" ht="40.049999999999997" customHeight="1" x14ac:dyDescent="0.25">
      <c r="A11542" s="11" t="s">
        <v>22830</v>
      </c>
      <c r="B11542" s="11" t="s">
        <v>22831</v>
      </c>
      <c r="C11542" s="11" t="s">
        <v>17</v>
      </c>
      <c r="D11542" s="11" t="s">
        <v>18</v>
      </c>
      <c r="E11542" s="12" t="s">
        <v>54</v>
      </c>
      <c r="F11542" s="12" t="s">
        <v>55</v>
      </c>
      <c r="G11542" s="12" t="s">
        <v>29</v>
      </c>
      <c r="H11542" s="11" t="s">
        <v>63</v>
      </c>
      <c r="I11542" s="13" t="s">
        <v>22832</v>
      </c>
      <c r="J11542" s="14" t="str">
        <f>HYPERLINK("https://www.boe.es/gazeta/dias/1839/10/05/pdfs/GMD-1839-1791.pdf#page=1","Abrir facsímil")</f>
        <v>Abrir facsímil</v>
      </c>
      <c r="K11542" s="12" t="s">
        <v>65</v>
      </c>
    </row>
    <row r="11543" spans="1:11" ht="40.049999999999997" customHeight="1" x14ac:dyDescent="0.25">
      <c r="A11543" s="11" t="s">
        <v>22833</v>
      </c>
      <c r="B11543" s="11" t="s">
        <v>22833</v>
      </c>
      <c r="C11543" s="11" t="s">
        <v>101</v>
      </c>
      <c r="D11543" s="11" t="s">
        <v>43</v>
      </c>
      <c r="E11543" s="12" t="s">
        <v>303</v>
      </c>
      <c r="F11543" s="12" t="s">
        <v>304</v>
      </c>
      <c r="G11543" s="12" t="s">
        <v>21</v>
      </c>
      <c r="H11543" s="11" t="s">
        <v>22</v>
      </c>
      <c r="I11543" s="13" t="s">
        <v>22834</v>
      </c>
      <c r="J11543" s="14" t="str">
        <f>HYPERLINK("https://www.boe.es/gazeta/dias/1839/10/06/pdfs/GMD-1839-1792.pdf#page=4","Abrir facsímil")</f>
        <v>Abrir facsímil</v>
      </c>
      <c r="K11543" s="12" t="s">
        <v>24</v>
      </c>
    </row>
    <row r="11544" spans="1:11" ht="40.049999999999997" customHeight="1" x14ac:dyDescent="0.25">
      <c r="A11544" s="11" t="s">
        <v>22835</v>
      </c>
      <c r="B11544" s="11" t="s">
        <v>22835</v>
      </c>
      <c r="C11544" s="11" t="s">
        <v>17</v>
      </c>
      <c r="D11544" s="11" t="s">
        <v>18</v>
      </c>
      <c r="E11544" s="12" t="s">
        <v>262</v>
      </c>
      <c r="F11544" s="12" t="s">
        <v>263</v>
      </c>
      <c r="G11544" s="12" t="s">
        <v>21</v>
      </c>
      <c r="H11544" s="11" t="s">
        <v>22</v>
      </c>
      <c r="I11544" s="13" t="s">
        <v>22836</v>
      </c>
      <c r="J11544" s="14" t="str">
        <f>HYPERLINK("https://www.boe.es/gazeta/dias/1839/01/01/pdfs/GMD-1839-1508.pdf#page=4","Abrir facsímil")</f>
        <v>Abrir facsímil</v>
      </c>
      <c r="K11544" s="12" t="s">
        <v>24</v>
      </c>
    </row>
    <row r="11545" spans="1:11" ht="40.049999999999997" customHeight="1" x14ac:dyDescent="0.25">
      <c r="A11545" s="11" t="s">
        <v>22835</v>
      </c>
      <c r="B11545" s="11" t="s">
        <v>22835</v>
      </c>
      <c r="C11545" s="11" t="s">
        <v>101</v>
      </c>
      <c r="D11545" s="11" t="s">
        <v>43</v>
      </c>
      <c r="E11545" s="12" t="s">
        <v>266</v>
      </c>
      <c r="F11545" s="12" t="s">
        <v>267</v>
      </c>
      <c r="G11545" s="12" t="s">
        <v>40</v>
      </c>
      <c r="H11545" s="11" t="s">
        <v>22</v>
      </c>
      <c r="I11545" s="13" t="s">
        <v>22837</v>
      </c>
      <c r="J11545" s="14" t="str">
        <f>HYPERLINK("https://www.boe.es/gazeta/dias/1839/01/03/pdfs/GMD-1839-1510.pdf#page=2","Abrir facsímil")</f>
        <v>Abrir facsímil</v>
      </c>
      <c r="K11545" s="12" t="s">
        <v>24</v>
      </c>
    </row>
    <row r="11546" spans="1:11" ht="40.049999999999997" customHeight="1" x14ac:dyDescent="0.25">
      <c r="A11546" s="11" t="s">
        <v>22838</v>
      </c>
      <c r="B11546" s="11" t="s">
        <v>22838</v>
      </c>
      <c r="C11546" s="11" t="s">
        <v>137</v>
      </c>
      <c r="D11546" s="11" t="s">
        <v>18</v>
      </c>
      <c r="E11546" s="12" t="s">
        <v>266</v>
      </c>
      <c r="F11546" s="12" t="s">
        <v>267</v>
      </c>
      <c r="G11546" s="12" t="s">
        <v>21</v>
      </c>
      <c r="H11546" s="11" t="s">
        <v>63</v>
      </c>
      <c r="I11546" s="13" t="s">
        <v>22839</v>
      </c>
      <c r="J11546" s="14" t="str">
        <f>HYPERLINK("https://www.boe.es/gazeta/dias/1839/01/03/pdfs/GMD-1839-1510.pdf#page=4","Abrir facsímil")</f>
        <v>Abrir facsímil</v>
      </c>
      <c r="K11546" s="12" t="s">
        <v>65</v>
      </c>
    </row>
    <row r="11547" spans="1:11" ht="40.049999999999997" customHeight="1" x14ac:dyDescent="0.25">
      <c r="A11547" s="11" t="s">
        <v>22835</v>
      </c>
      <c r="B11547" s="11" t="s">
        <v>22835</v>
      </c>
      <c r="C11547" s="11" t="s">
        <v>17</v>
      </c>
      <c r="D11547" s="11" t="s">
        <v>18</v>
      </c>
      <c r="E11547" s="12" t="s">
        <v>779</v>
      </c>
      <c r="F11547" s="12" t="s">
        <v>780</v>
      </c>
      <c r="G11547" s="12" t="s">
        <v>46</v>
      </c>
      <c r="H11547" s="11" t="s">
        <v>22</v>
      </c>
      <c r="I11547" s="13" t="s">
        <v>22840</v>
      </c>
      <c r="J11547" s="14" t="str">
        <f>HYPERLINK("https://www.boe.es/gazeta/dias/1839/02/03/pdfs/GMD-1839-1541.pdf#page=3","Abrir facsímil")</f>
        <v>Abrir facsímil</v>
      </c>
      <c r="K11547" s="12" t="s">
        <v>24</v>
      </c>
    </row>
    <row r="11548" spans="1:11" ht="40.049999999999997" customHeight="1" x14ac:dyDescent="0.25">
      <c r="A11548" s="11" t="s">
        <v>22835</v>
      </c>
      <c r="B11548" s="11" t="s">
        <v>22835</v>
      </c>
      <c r="C11548" s="11" t="s">
        <v>101</v>
      </c>
      <c r="D11548" s="11" t="s">
        <v>43</v>
      </c>
      <c r="E11548" s="12" t="s">
        <v>291</v>
      </c>
      <c r="F11548" s="12" t="s">
        <v>292</v>
      </c>
      <c r="G11548" s="12" t="s">
        <v>40</v>
      </c>
      <c r="H11548" s="11" t="s">
        <v>22</v>
      </c>
      <c r="I11548" s="13" t="s">
        <v>22841</v>
      </c>
      <c r="J11548" s="14" t="str">
        <f>HYPERLINK("https://www.boe.es/gazeta/dias/1839/09/04/pdfs/GMD-1839-1757.pdf#page=2","Abrir facsímil")</f>
        <v>Abrir facsímil</v>
      </c>
      <c r="K11548" s="12" t="s">
        <v>24</v>
      </c>
    </row>
    <row r="11549" spans="1:11" ht="40.049999999999997" customHeight="1" x14ac:dyDescent="0.25">
      <c r="A11549" s="11" t="s">
        <v>22835</v>
      </c>
      <c r="B11549" s="11" t="s">
        <v>22835</v>
      </c>
      <c r="C11549" s="11" t="s">
        <v>101</v>
      </c>
      <c r="D11549" s="11" t="s">
        <v>43</v>
      </c>
      <c r="E11549" s="12" t="s">
        <v>2210</v>
      </c>
      <c r="F11549" s="12" t="s">
        <v>2211</v>
      </c>
      <c r="G11549" s="12" t="s">
        <v>46</v>
      </c>
      <c r="H11549" s="11" t="s">
        <v>22</v>
      </c>
      <c r="I11549" s="13" t="s">
        <v>22842</v>
      </c>
      <c r="J11549" s="14" t="str">
        <f>HYPERLINK("https://www.boe.es/gazeta/dias/1839/09/05/pdfs/GMD-1839-1758.pdf#page=3","Abrir facsímil")</f>
        <v>Abrir facsímil</v>
      </c>
      <c r="K11549" s="12" t="s">
        <v>24</v>
      </c>
    </row>
    <row r="11550" spans="1:11" ht="40.049999999999997" customHeight="1" x14ac:dyDescent="0.25">
      <c r="A11550" s="11" t="s">
        <v>22835</v>
      </c>
      <c r="B11550" s="11" t="s">
        <v>22835</v>
      </c>
      <c r="C11550" s="11" t="s">
        <v>101</v>
      </c>
      <c r="D11550" s="11" t="s">
        <v>43</v>
      </c>
      <c r="E11550" s="12" t="s">
        <v>54</v>
      </c>
      <c r="F11550" s="12" t="s">
        <v>55</v>
      </c>
      <c r="G11550" s="12" t="s">
        <v>305</v>
      </c>
      <c r="H11550" s="11" t="s">
        <v>22</v>
      </c>
      <c r="I11550" s="13" t="s">
        <v>22843</v>
      </c>
      <c r="J11550" s="14" t="str">
        <f>HYPERLINK("https://www.boe.es/gazeta/dias/1839/10/05/pdfs/GMD-1839-1791.pdf#page=6","Abrir facsímil")</f>
        <v>Abrir facsímil</v>
      </c>
      <c r="K11550" s="12" t="s">
        <v>24</v>
      </c>
    </row>
    <row r="11551" spans="1:11" ht="40.049999999999997" customHeight="1" x14ac:dyDescent="0.25">
      <c r="A11551" s="11" t="s">
        <v>22835</v>
      </c>
      <c r="B11551" s="11" t="s">
        <v>22835</v>
      </c>
      <c r="C11551" s="11" t="s">
        <v>17</v>
      </c>
      <c r="D11551" s="11" t="s">
        <v>18</v>
      </c>
      <c r="E11551" s="12" t="s">
        <v>303</v>
      </c>
      <c r="F11551" s="12" t="s">
        <v>304</v>
      </c>
      <c r="G11551" s="12" t="s">
        <v>40</v>
      </c>
      <c r="H11551" s="11" t="s">
        <v>22</v>
      </c>
      <c r="I11551" s="13" t="s">
        <v>22844</v>
      </c>
      <c r="J11551" s="14" t="str">
        <f>HYPERLINK("https://www.boe.es/gazeta/dias/1839/10/06/pdfs/GMD-1839-1792.pdf#page=2","Abrir facsímil")</f>
        <v>Abrir facsímil</v>
      </c>
      <c r="K11551" s="12" t="s">
        <v>24</v>
      </c>
    </row>
    <row r="11552" spans="1:11" ht="40.049999999999997" customHeight="1" x14ac:dyDescent="0.25">
      <c r="A11552" s="11" t="s">
        <v>22838</v>
      </c>
      <c r="B11552" s="11" t="s">
        <v>22838</v>
      </c>
      <c r="C11552" s="11" t="s">
        <v>17</v>
      </c>
      <c r="D11552" s="11" t="s">
        <v>18</v>
      </c>
      <c r="E11552" s="12" t="s">
        <v>1008</v>
      </c>
      <c r="F11552" s="12" t="s">
        <v>1009</v>
      </c>
      <c r="G11552" s="12" t="s">
        <v>46</v>
      </c>
      <c r="H11552" s="11" t="s">
        <v>63</v>
      </c>
      <c r="I11552" s="13" t="s">
        <v>22845</v>
      </c>
      <c r="J11552" s="14" t="str">
        <f>HYPERLINK("https://www.boe.es/gazeta/dias/1839/09/07/pdfs/GMD-1839-1760.pdf#page=3","Abrir facsímil")</f>
        <v>Abrir facsímil</v>
      </c>
      <c r="K11552" s="12" t="s">
        <v>65</v>
      </c>
    </row>
    <row r="11553" spans="1:11" ht="40.049999999999997" customHeight="1" x14ac:dyDescent="0.25">
      <c r="A11553" s="11" t="s">
        <v>22835</v>
      </c>
      <c r="B11553" s="11" t="s">
        <v>22835</v>
      </c>
      <c r="C11553" s="11" t="s">
        <v>17</v>
      </c>
      <c r="D11553" s="11" t="s">
        <v>18</v>
      </c>
      <c r="E11553" s="12" t="s">
        <v>1509</v>
      </c>
      <c r="F11553" s="12" t="s">
        <v>1510</v>
      </c>
      <c r="G11553" s="12" t="s">
        <v>46</v>
      </c>
      <c r="H11553" s="11" t="s">
        <v>22</v>
      </c>
      <c r="I11553" s="13" t="s">
        <v>22846</v>
      </c>
      <c r="J11553" s="14" t="str">
        <f>HYPERLINK("https://www.boe.es/gazeta/dias/1839/10/07/pdfs/GMD-1839-1793.pdf#page=3","Abrir facsímil")</f>
        <v>Abrir facsímil</v>
      </c>
      <c r="K11553" s="12" t="s">
        <v>24</v>
      </c>
    </row>
    <row r="11554" spans="1:11" ht="40.049999999999997" customHeight="1" x14ac:dyDescent="0.25">
      <c r="A11554" s="11" t="s">
        <v>22835</v>
      </c>
      <c r="B11554" s="11" t="s">
        <v>22835</v>
      </c>
      <c r="C11554" s="11" t="s">
        <v>17</v>
      </c>
      <c r="D11554" s="11" t="s">
        <v>18</v>
      </c>
      <c r="E11554" s="12" t="s">
        <v>1509</v>
      </c>
      <c r="F11554" s="12" t="s">
        <v>1510</v>
      </c>
      <c r="G11554" s="12" t="s">
        <v>21</v>
      </c>
      <c r="H11554" s="11" t="s">
        <v>22</v>
      </c>
      <c r="I11554" s="13" t="s">
        <v>22847</v>
      </c>
      <c r="J11554" s="14" t="str">
        <f>HYPERLINK("https://www.boe.es/gazeta/dias/1839/10/07/pdfs/GMD-1839-1793.pdf#page=4","Abrir facsímil")</f>
        <v>Abrir facsímil</v>
      </c>
      <c r="K11554" s="12" t="s">
        <v>24</v>
      </c>
    </row>
    <row r="11555" spans="1:11" ht="40.049999999999997" customHeight="1" x14ac:dyDescent="0.25">
      <c r="A11555" s="11" t="s">
        <v>22835</v>
      </c>
      <c r="B11555" s="11" t="s">
        <v>22835</v>
      </c>
      <c r="C11555" s="11" t="s">
        <v>17</v>
      </c>
      <c r="D11555" s="11" t="s">
        <v>18</v>
      </c>
      <c r="E11555" s="12" t="s">
        <v>1509</v>
      </c>
      <c r="F11555" s="12" t="s">
        <v>1510</v>
      </c>
      <c r="G11555" s="12" t="s">
        <v>566</v>
      </c>
      <c r="H11555" s="11" t="s">
        <v>22</v>
      </c>
      <c r="I11555" s="13" t="s">
        <v>22848</v>
      </c>
      <c r="J11555" s="14" t="str">
        <f>HYPERLINK("https://www.boe.es/gazeta/dias/1839/10/07/pdfs/GMD-1839-1793.pdf#page=5","Abrir facsímil")</f>
        <v>Abrir facsímil</v>
      </c>
      <c r="K11555" s="12" t="s">
        <v>24</v>
      </c>
    </row>
    <row r="11556" spans="1:11" ht="40.049999999999997" customHeight="1" x14ac:dyDescent="0.25">
      <c r="A11556" s="11" t="s">
        <v>22835</v>
      </c>
      <c r="B11556" s="11" t="s">
        <v>22835</v>
      </c>
      <c r="C11556" s="11" t="s">
        <v>17</v>
      </c>
      <c r="D11556" s="11" t="s">
        <v>18</v>
      </c>
      <c r="E11556" s="12" t="s">
        <v>647</v>
      </c>
      <c r="F11556" s="12" t="s">
        <v>648</v>
      </c>
      <c r="G11556" s="12" t="s">
        <v>40</v>
      </c>
      <c r="H11556" s="11" t="s">
        <v>22</v>
      </c>
      <c r="I11556" s="13" t="s">
        <v>22849</v>
      </c>
      <c r="J11556" s="14" t="str">
        <f>HYPERLINK("https://www.boe.es/gazeta/dias/1839/10/08/pdfs/GMD-1839-1794.pdf#page=2","Abrir facsímil")</f>
        <v>Abrir facsímil</v>
      </c>
      <c r="K11556" s="12" t="s">
        <v>24</v>
      </c>
    </row>
    <row r="11557" spans="1:11" ht="40.049999999999997" customHeight="1" x14ac:dyDescent="0.25">
      <c r="A11557" s="11" t="s">
        <v>22835</v>
      </c>
      <c r="B11557" s="11" t="s">
        <v>22835</v>
      </c>
      <c r="C11557" s="11" t="s">
        <v>17</v>
      </c>
      <c r="D11557" s="11" t="s">
        <v>18</v>
      </c>
      <c r="E11557" s="12" t="s">
        <v>647</v>
      </c>
      <c r="F11557" s="12" t="s">
        <v>648</v>
      </c>
      <c r="G11557" s="12" t="s">
        <v>46</v>
      </c>
      <c r="H11557" s="11" t="s">
        <v>22</v>
      </c>
      <c r="I11557" s="13" t="s">
        <v>22850</v>
      </c>
      <c r="J11557" s="14" t="str">
        <f>HYPERLINK("https://www.boe.es/gazeta/dias/1839/10/08/pdfs/GMD-1839-1794.pdf#page=3","Abrir facsímil")</f>
        <v>Abrir facsímil</v>
      </c>
      <c r="K11557" s="12" t="s">
        <v>24</v>
      </c>
    </row>
    <row r="11558" spans="1:11" ht="40.049999999999997" customHeight="1" x14ac:dyDescent="0.25">
      <c r="A11558" s="11" t="s">
        <v>22835</v>
      </c>
      <c r="B11558" s="11" t="s">
        <v>22835</v>
      </c>
      <c r="C11558" s="11" t="s">
        <v>101</v>
      </c>
      <c r="D11558" s="11" t="s">
        <v>43</v>
      </c>
      <c r="E11558" s="12" t="s">
        <v>647</v>
      </c>
      <c r="F11558" s="12" t="s">
        <v>648</v>
      </c>
      <c r="G11558" s="12" t="s">
        <v>21</v>
      </c>
      <c r="H11558" s="11" t="s">
        <v>22</v>
      </c>
      <c r="I11558" s="13" t="s">
        <v>22851</v>
      </c>
      <c r="J11558" s="14" t="str">
        <f>HYPERLINK("https://www.boe.es/gazeta/dias/1839/10/08/pdfs/GMD-1839-1794.pdf#page=4","Abrir facsímil")</f>
        <v>Abrir facsímil</v>
      </c>
      <c r="K11558" s="12" t="s">
        <v>24</v>
      </c>
    </row>
    <row r="11559" spans="1:11" ht="40.049999999999997" customHeight="1" x14ac:dyDescent="0.25">
      <c r="A11559" s="11" t="s">
        <v>22835</v>
      </c>
      <c r="B11559" s="11" t="s">
        <v>22835</v>
      </c>
      <c r="C11559" s="11" t="s">
        <v>17</v>
      </c>
      <c r="D11559" s="11" t="s">
        <v>18</v>
      </c>
      <c r="E11559" s="12" t="s">
        <v>647</v>
      </c>
      <c r="F11559" s="12" t="s">
        <v>648</v>
      </c>
      <c r="G11559" s="12" t="s">
        <v>566</v>
      </c>
      <c r="H11559" s="11" t="s">
        <v>22</v>
      </c>
      <c r="I11559" s="13" t="s">
        <v>22852</v>
      </c>
      <c r="J11559" s="14" t="str">
        <f>HYPERLINK("https://www.boe.es/gazeta/dias/1839/10/08/pdfs/GMD-1839-1794.pdf#page=5","Abrir facsímil")</f>
        <v>Abrir facsímil</v>
      </c>
      <c r="K11559" s="12" t="s">
        <v>24</v>
      </c>
    </row>
    <row r="11560" spans="1:11" ht="40.049999999999997" customHeight="1" x14ac:dyDescent="0.25">
      <c r="A11560" s="11" t="s">
        <v>22835</v>
      </c>
      <c r="B11560" s="11" t="s">
        <v>22835</v>
      </c>
      <c r="C11560" s="11" t="s">
        <v>80</v>
      </c>
      <c r="D11560" s="11" t="s">
        <v>18</v>
      </c>
      <c r="E11560" s="12" t="s">
        <v>561</v>
      </c>
      <c r="F11560" s="12" t="s">
        <v>562</v>
      </c>
      <c r="G11560" s="12" t="s">
        <v>21</v>
      </c>
      <c r="H11560" s="11" t="s">
        <v>22</v>
      </c>
      <c r="I11560" s="13" t="s">
        <v>22853</v>
      </c>
      <c r="J11560" s="14" t="str">
        <f>HYPERLINK("https://www.boe.es/gazeta/dias/1839/09/11/pdfs/GMD-1839-1764.pdf#page=4","Abrir facsímil")</f>
        <v>Abrir facsímil</v>
      </c>
      <c r="K11560" s="12" t="s">
        <v>24</v>
      </c>
    </row>
    <row r="11561" spans="1:11" ht="40.049999999999997" customHeight="1" x14ac:dyDescent="0.25">
      <c r="A11561" s="11" t="s">
        <v>22835</v>
      </c>
      <c r="B11561" s="11" t="s">
        <v>22835</v>
      </c>
      <c r="C11561" s="11" t="s">
        <v>17</v>
      </c>
      <c r="D11561" s="11" t="s">
        <v>18</v>
      </c>
      <c r="E11561" s="12" t="s">
        <v>254</v>
      </c>
      <c r="F11561" s="12" t="s">
        <v>255</v>
      </c>
      <c r="G11561" s="12" t="s">
        <v>46</v>
      </c>
      <c r="H11561" s="11" t="s">
        <v>22</v>
      </c>
      <c r="I11561" s="13" t="s">
        <v>22854</v>
      </c>
      <c r="J11561" s="14" t="str">
        <f>HYPERLINK("https://www.boe.es/gazeta/dias/1839/09/12/pdfs/GMD-1839-1765.pdf#page=3","Abrir facsímil")</f>
        <v>Abrir facsímil</v>
      </c>
      <c r="K11561" s="12" t="s">
        <v>24</v>
      </c>
    </row>
    <row r="11562" spans="1:11" ht="40.049999999999997" customHeight="1" x14ac:dyDescent="0.25">
      <c r="A11562" s="11" t="s">
        <v>22835</v>
      </c>
      <c r="B11562" s="11" t="s">
        <v>22835</v>
      </c>
      <c r="C11562" s="11" t="s">
        <v>17</v>
      </c>
      <c r="D11562" s="11" t="s">
        <v>18</v>
      </c>
      <c r="E11562" s="12" t="s">
        <v>1100</v>
      </c>
      <c r="F11562" s="12" t="s">
        <v>1101</v>
      </c>
      <c r="G11562" s="12" t="s">
        <v>40</v>
      </c>
      <c r="H11562" s="11" t="s">
        <v>22</v>
      </c>
      <c r="I11562" s="13" t="s">
        <v>22855</v>
      </c>
      <c r="J11562" s="14" t="str">
        <f>HYPERLINK("https://www.boe.es/gazeta/dias/1839/09/13/pdfs/GMD-1839-1766.pdf#page=2","Abrir facsímil")</f>
        <v>Abrir facsímil</v>
      </c>
      <c r="K11562" s="12" t="s">
        <v>24</v>
      </c>
    </row>
    <row r="11563" spans="1:11" ht="40.049999999999997" customHeight="1" x14ac:dyDescent="0.25">
      <c r="A11563" s="11" t="s">
        <v>22835</v>
      </c>
      <c r="B11563" s="11" t="s">
        <v>22835</v>
      </c>
      <c r="C11563" s="11" t="s">
        <v>101</v>
      </c>
      <c r="D11563" s="11" t="s">
        <v>43</v>
      </c>
      <c r="E11563" s="12" t="s">
        <v>185</v>
      </c>
      <c r="F11563" s="12" t="s">
        <v>186</v>
      </c>
      <c r="G11563" s="12" t="s">
        <v>40</v>
      </c>
      <c r="H11563" s="11" t="s">
        <v>22</v>
      </c>
      <c r="I11563" s="13" t="s">
        <v>22856</v>
      </c>
      <c r="J11563" s="14" t="str">
        <f>HYPERLINK("https://www.boe.es/gazeta/dias/1839/01/15/pdfs/GMD-1839-1522.pdf#page=2","Abrir facsímil")</f>
        <v>Abrir facsímil</v>
      </c>
      <c r="K11563" s="12" t="s">
        <v>24</v>
      </c>
    </row>
    <row r="11564" spans="1:11" ht="40.049999999999997" customHeight="1" x14ac:dyDescent="0.25">
      <c r="A11564" s="11" t="s">
        <v>22835</v>
      </c>
      <c r="B11564" s="11" t="s">
        <v>22835</v>
      </c>
      <c r="C11564" s="11" t="s">
        <v>137</v>
      </c>
      <c r="D11564" s="11" t="s">
        <v>18</v>
      </c>
      <c r="E11564" s="12" t="s">
        <v>2155</v>
      </c>
      <c r="F11564" s="12" t="s">
        <v>2156</v>
      </c>
      <c r="G11564" s="12" t="s">
        <v>40</v>
      </c>
      <c r="H11564" s="11" t="s">
        <v>22</v>
      </c>
      <c r="I11564" s="13" t="s">
        <v>22857</v>
      </c>
      <c r="J11564" s="14" t="str">
        <f>HYPERLINK("https://www.boe.es/gazeta/dias/1839/01/17/pdfs/GMD-1839-1524.pdf#page=2","Abrir facsímil")</f>
        <v>Abrir facsímil</v>
      </c>
      <c r="K11564" s="12" t="s">
        <v>24</v>
      </c>
    </row>
    <row r="11565" spans="1:11" ht="40.049999999999997" customHeight="1" x14ac:dyDescent="0.25">
      <c r="A11565" s="11" t="s">
        <v>22835</v>
      </c>
      <c r="B11565" s="11" t="s">
        <v>22835</v>
      </c>
      <c r="C11565" s="11" t="s">
        <v>101</v>
      </c>
      <c r="D11565" s="11" t="s">
        <v>43</v>
      </c>
      <c r="E11565" s="12" t="s">
        <v>2222</v>
      </c>
      <c r="F11565" s="12" t="s">
        <v>2223</v>
      </c>
      <c r="G11565" s="12" t="s">
        <v>46</v>
      </c>
      <c r="H11565" s="11" t="s">
        <v>22</v>
      </c>
      <c r="I11565" s="13" t="s">
        <v>22858</v>
      </c>
      <c r="J11565" s="14" t="str">
        <f>HYPERLINK("https://www.boe.es/gazeta/dias/1839/09/19/pdfs/GMD-1839-1773.pdf#page=3","Abrir facsímil")</f>
        <v>Abrir facsímil</v>
      </c>
      <c r="K11565" s="12" t="s">
        <v>24</v>
      </c>
    </row>
    <row r="11566" spans="1:11" ht="40.049999999999997" customHeight="1" x14ac:dyDescent="0.25">
      <c r="A11566" s="11" t="s">
        <v>22835</v>
      </c>
      <c r="B11566" s="11" t="s">
        <v>22835</v>
      </c>
      <c r="C11566" s="11" t="s">
        <v>101</v>
      </c>
      <c r="D11566" s="11" t="s">
        <v>43</v>
      </c>
      <c r="E11566" s="12" t="s">
        <v>1108</v>
      </c>
      <c r="F11566" s="12" t="s">
        <v>1109</v>
      </c>
      <c r="G11566" s="12" t="s">
        <v>46</v>
      </c>
      <c r="H11566" s="11" t="s">
        <v>22</v>
      </c>
      <c r="I11566" s="13" t="s">
        <v>22859</v>
      </c>
      <c r="J11566" s="14" t="str">
        <f>HYPERLINK("https://www.boe.es/gazeta/dias/1839/09/21/pdfs/GMD-1839-1776.pdf#page=3","Abrir facsímil")</f>
        <v>Abrir facsímil</v>
      </c>
      <c r="K11566" s="12" t="s">
        <v>24</v>
      </c>
    </row>
    <row r="11567" spans="1:11" ht="40.049999999999997" customHeight="1" x14ac:dyDescent="0.25">
      <c r="A11567" s="11" t="s">
        <v>22835</v>
      </c>
      <c r="B11567" s="11" t="s">
        <v>22835</v>
      </c>
      <c r="C11567" s="11" t="s">
        <v>17</v>
      </c>
      <c r="D11567" s="11" t="s">
        <v>18</v>
      </c>
      <c r="E11567" s="12" t="s">
        <v>1108</v>
      </c>
      <c r="F11567" s="12" t="s">
        <v>1109</v>
      </c>
      <c r="G11567" s="12" t="s">
        <v>21</v>
      </c>
      <c r="H11567" s="11" t="s">
        <v>22</v>
      </c>
      <c r="I11567" s="13" t="s">
        <v>22860</v>
      </c>
      <c r="J11567" s="14" t="str">
        <f>HYPERLINK("https://www.boe.es/gazeta/dias/1839/09/21/pdfs/GMD-1839-1776.pdf#page=4","Abrir facsímil")</f>
        <v>Abrir facsímil</v>
      </c>
      <c r="K11567" s="12" t="s">
        <v>24</v>
      </c>
    </row>
    <row r="11568" spans="1:11" ht="40.049999999999997" customHeight="1" x14ac:dyDescent="0.25">
      <c r="A11568" s="11" t="s">
        <v>22835</v>
      </c>
      <c r="B11568" s="11" t="s">
        <v>22835</v>
      </c>
      <c r="C11568" s="11" t="s">
        <v>17</v>
      </c>
      <c r="D11568" s="11" t="s">
        <v>18</v>
      </c>
      <c r="E11568" s="12" t="s">
        <v>826</v>
      </c>
      <c r="F11568" s="12" t="s">
        <v>827</v>
      </c>
      <c r="G11568" s="12" t="s">
        <v>21</v>
      </c>
      <c r="H11568" s="11" t="s">
        <v>22</v>
      </c>
      <c r="I11568" s="13" t="s">
        <v>22861</v>
      </c>
      <c r="J11568" s="14" t="str">
        <f>HYPERLINK("https://www.boe.es/gazeta/dias/1839/09/25/pdfs/GMD-1839-1781.pdf#page=4","Abrir facsímil")</f>
        <v>Abrir facsímil</v>
      </c>
      <c r="K11568" s="12" t="s">
        <v>24</v>
      </c>
    </row>
    <row r="11569" spans="1:11" ht="40.049999999999997" customHeight="1" x14ac:dyDescent="0.25">
      <c r="A11569" s="11" t="s">
        <v>22835</v>
      </c>
      <c r="B11569" s="11" t="s">
        <v>22835</v>
      </c>
      <c r="C11569" s="11" t="s">
        <v>17</v>
      </c>
      <c r="D11569" s="11" t="s">
        <v>18</v>
      </c>
      <c r="E11569" s="12" t="s">
        <v>1909</v>
      </c>
      <c r="F11569" s="12" t="s">
        <v>1910</v>
      </c>
      <c r="G11569" s="12" t="s">
        <v>46</v>
      </c>
      <c r="H11569" s="11" t="s">
        <v>22</v>
      </c>
      <c r="I11569" s="13" t="s">
        <v>22862</v>
      </c>
      <c r="J11569" s="14" t="str">
        <f>HYPERLINK("https://www.boe.es/gazeta/dias/1839/10/27/pdfs/GMD-1839-1813.pdf#page=3","Abrir facsímil")</f>
        <v>Abrir facsímil</v>
      </c>
      <c r="K11569" s="12" t="s">
        <v>24</v>
      </c>
    </row>
    <row r="11570" spans="1:11" ht="40.049999999999997" customHeight="1" x14ac:dyDescent="0.25">
      <c r="A11570" s="11" t="s">
        <v>22835</v>
      </c>
      <c r="B11570" s="11" t="s">
        <v>22835</v>
      </c>
      <c r="C11570" s="11" t="s">
        <v>17</v>
      </c>
      <c r="D11570" s="11" t="s">
        <v>18</v>
      </c>
      <c r="E11570" s="12" t="s">
        <v>574</v>
      </c>
      <c r="F11570" s="12" t="s">
        <v>575</v>
      </c>
      <c r="G11570" s="12" t="s">
        <v>40</v>
      </c>
      <c r="H11570" s="11" t="s">
        <v>22</v>
      </c>
      <c r="I11570" s="13" t="s">
        <v>22863</v>
      </c>
      <c r="J11570" s="14" t="str">
        <f>HYPERLINK("https://www.boe.es/gazeta/dias/1839/09/28/pdfs/GMD-1839-1784.pdf#page=2","Abrir facsímil")</f>
        <v>Abrir facsímil</v>
      </c>
      <c r="K11570" s="12" t="s">
        <v>24</v>
      </c>
    </row>
    <row r="11571" spans="1:11" ht="40.049999999999997" customHeight="1" x14ac:dyDescent="0.25">
      <c r="A11571" s="11" t="s">
        <v>22835</v>
      </c>
      <c r="B11571" s="11" t="s">
        <v>22835</v>
      </c>
      <c r="C11571" s="11" t="s">
        <v>101</v>
      </c>
      <c r="D11571" s="11" t="s">
        <v>102</v>
      </c>
      <c r="E11571" s="12" t="s">
        <v>862</v>
      </c>
      <c r="F11571" s="12" t="s">
        <v>863</v>
      </c>
      <c r="G11571" s="12" t="s">
        <v>566</v>
      </c>
      <c r="H11571" s="11" t="s">
        <v>22</v>
      </c>
      <c r="I11571" s="13" t="s">
        <v>22864</v>
      </c>
      <c r="J11571" s="14" t="str">
        <f>HYPERLINK("https://www.boe.es/gazeta/dias/1839/10/28/pdfs/GMD-1839-1814.pdf#page=5","Abrir facsímil")</f>
        <v>Abrir facsímil</v>
      </c>
      <c r="K11571" s="12" t="s">
        <v>24</v>
      </c>
    </row>
    <row r="11572" spans="1:11" ht="40.049999999999997" customHeight="1" x14ac:dyDescent="0.25">
      <c r="A11572" s="11" t="s">
        <v>22835</v>
      </c>
      <c r="B11572" s="11" t="s">
        <v>22835</v>
      </c>
      <c r="C11572" s="11" t="s">
        <v>137</v>
      </c>
      <c r="D11572" s="11" t="s">
        <v>18</v>
      </c>
      <c r="E11572" s="12" t="s">
        <v>1807</v>
      </c>
      <c r="F11572" s="12" t="s">
        <v>1808</v>
      </c>
      <c r="G11572" s="12" t="s">
        <v>46</v>
      </c>
      <c r="H11572" s="11" t="s">
        <v>22</v>
      </c>
      <c r="I11572" s="13" t="s">
        <v>22865</v>
      </c>
      <c r="J11572" s="14" t="str">
        <f>HYPERLINK("https://www.boe.es/gazeta/dias/1839/01/29/pdfs/GMD-1839-1536.pdf#page=3","Abrir facsímil")</f>
        <v>Abrir facsímil</v>
      </c>
      <c r="K11572" s="12" t="s">
        <v>24</v>
      </c>
    </row>
    <row r="11573" spans="1:11" ht="40.049999999999997" customHeight="1" x14ac:dyDescent="0.25">
      <c r="A11573" s="11" t="s">
        <v>22835</v>
      </c>
      <c r="B11573" s="11" t="s">
        <v>22835</v>
      </c>
      <c r="C11573" s="11" t="s">
        <v>101</v>
      </c>
      <c r="D11573" s="11" t="s">
        <v>43</v>
      </c>
      <c r="E11573" s="12" t="s">
        <v>1988</v>
      </c>
      <c r="F11573" s="12" t="s">
        <v>1989</v>
      </c>
      <c r="G11573" s="12" t="s">
        <v>46</v>
      </c>
      <c r="H11573" s="11" t="s">
        <v>22</v>
      </c>
      <c r="I11573" s="13" t="s">
        <v>22866</v>
      </c>
      <c r="J11573" s="14" t="str">
        <f>HYPERLINK("https://www.boe.es/gazeta/dias/1839/10/29/pdfs/GMD-1839-1815.pdf#page=3","Abrir facsímil")</f>
        <v>Abrir facsímil</v>
      </c>
      <c r="K11573" s="12" t="s">
        <v>24</v>
      </c>
    </row>
    <row r="11574" spans="1:11" ht="40.049999999999997" customHeight="1" x14ac:dyDescent="0.25">
      <c r="A11574" s="11" t="s">
        <v>22835</v>
      </c>
      <c r="B11574" s="11" t="s">
        <v>22835</v>
      </c>
      <c r="C11574" s="11" t="s">
        <v>17</v>
      </c>
      <c r="D11574" s="11" t="s">
        <v>18</v>
      </c>
      <c r="E11574" s="12" t="s">
        <v>653</v>
      </c>
      <c r="F11574" s="12" t="s">
        <v>654</v>
      </c>
      <c r="G11574" s="12" t="s">
        <v>21</v>
      </c>
      <c r="H11574" s="11" t="s">
        <v>22</v>
      </c>
      <c r="I11574" s="13" t="s">
        <v>22867</v>
      </c>
      <c r="J11574" s="14" t="str">
        <f>HYPERLINK("https://www.boe.es/gazeta/dias/1839/10/31/pdfs/GMD-1839-1817.pdf#page=4","Abrir facsímil")</f>
        <v>Abrir facsímil</v>
      </c>
      <c r="K11574" s="12" t="s">
        <v>24</v>
      </c>
    </row>
    <row r="11575" spans="1:11" ht="40.049999999999997" customHeight="1" x14ac:dyDescent="0.25">
      <c r="A11575" s="11" t="s">
        <v>22868</v>
      </c>
      <c r="B11575" s="11" t="s">
        <v>22869</v>
      </c>
      <c r="C11575" s="11" t="s">
        <v>101</v>
      </c>
      <c r="D11575" s="11" t="s">
        <v>43</v>
      </c>
      <c r="E11575" s="12" t="s">
        <v>647</v>
      </c>
      <c r="F11575" s="12" t="s">
        <v>648</v>
      </c>
      <c r="G11575" s="12" t="s">
        <v>46</v>
      </c>
      <c r="H11575" s="11" t="s">
        <v>63</v>
      </c>
      <c r="I11575" s="13" t="s">
        <v>22870</v>
      </c>
      <c r="J11575" s="14" t="str">
        <f>HYPERLINK("https://www.boe.es/gazeta/dias/1839/10/08/pdfs/GMD-1839-1794.pdf#page=3","Abrir facsímil")</f>
        <v>Abrir facsímil</v>
      </c>
      <c r="K11575" s="12" t="s">
        <v>65</v>
      </c>
    </row>
    <row r="11576" spans="1:11" ht="40.049999999999997" customHeight="1" x14ac:dyDescent="0.25">
      <c r="A11576" s="11" t="s">
        <v>22871</v>
      </c>
      <c r="B11576" s="11" t="s">
        <v>22871</v>
      </c>
      <c r="C11576" s="11" t="s">
        <v>101</v>
      </c>
      <c r="D11576" s="11" t="s">
        <v>43</v>
      </c>
      <c r="E11576" s="12" t="s">
        <v>54</v>
      </c>
      <c r="F11576" s="12" t="s">
        <v>55</v>
      </c>
      <c r="G11576" s="12" t="s">
        <v>46</v>
      </c>
      <c r="H11576" s="11" t="s">
        <v>63</v>
      </c>
      <c r="I11576" s="13" t="s">
        <v>22872</v>
      </c>
      <c r="J11576" s="14" t="str">
        <f>HYPERLINK("https://www.boe.es/gazeta/dias/1839/10/05/pdfs/GMD-1839-1791.pdf#page=3","Abrir facsímil")</f>
        <v>Abrir facsímil</v>
      </c>
      <c r="K11576" s="12" t="s">
        <v>65</v>
      </c>
    </row>
    <row r="11577" spans="1:11" ht="40.049999999999997" customHeight="1" x14ac:dyDescent="0.25">
      <c r="A11577" s="11" t="s">
        <v>22873</v>
      </c>
      <c r="B11577" s="11" t="s">
        <v>22873</v>
      </c>
      <c r="C11577" s="11" t="s">
        <v>101</v>
      </c>
      <c r="D11577" s="11" t="s">
        <v>43</v>
      </c>
      <c r="E11577" s="12" t="s">
        <v>1679</v>
      </c>
      <c r="F11577" s="12" t="s">
        <v>1680</v>
      </c>
      <c r="G11577" s="12" t="s">
        <v>46</v>
      </c>
      <c r="H11577" s="11" t="s">
        <v>63</v>
      </c>
      <c r="I11577" s="13" t="s">
        <v>22874</v>
      </c>
      <c r="J11577" s="14" t="str">
        <f>HYPERLINK("https://www.boe.es/gazeta/dias/1839/01/26/pdfs/GMD-1839-1533.pdf#page=3","Abrir facsímil")</f>
        <v>Abrir facsímil</v>
      </c>
      <c r="K11577" s="12" t="s">
        <v>65</v>
      </c>
    </row>
    <row r="11578" spans="1:11" ht="40.049999999999997" customHeight="1" x14ac:dyDescent="0.25">
      <c r="A11578" s="11" t="s">
        <v>22875</v>
      </c>
      <c r="B11578" s="11" t="s">
        <v>22875</v>
      </c>
      <c r="C11578" s="11" t="s">
        <v>17</v>
      </c>
      <c r="D11578" s="11" t="s">
        <v>18</v>
      </c>
      <c r="E11578" s="12" t="s">
        <v>262</v>
      </c>
      <c r="F11578" s="12" t="s">
        <v>263</v>
      </c>
      <c r="G11578" s="12" t="s">
        <v>21</v>
      </c>
      <c r="H11578" s="11" t="s">
        <v>63</v>
      </c>
      <c r="I11578" s="13" t="s">
        <v>22876</v>
      </c>
      <c r="J11578" s="14" t="str">
        <f>HYPERLINK("https://www.boe.es/gazeta/dias/1839/01/01/pdfs/GMD-1839-1508.pdf#page=4","Abrir facsímil")</f>
        <v>Abrir facsímil</v>
      </c>
      <c r="K11578" s="12" t="s">
        <v>65</v>
      </c>
    </row>
    <row r="11579" spans="1:11" ht="40.049999999999997" customHeight="1" x14ac:dyDescent="0.25">
      <c r="A11579" s="11" t="s">
        <v>22875</v>
      </c>
      <c r="B11579" s="11" t="s">
        <v>22875</v>
      </c>
      <c r="C11579" s="11" t="s">
        <v>80</v>
      </c>
      <c r="D11579" s="11" t="s">
        <v>18</v>
      </c>
      <c r="E11579" s="12" t="s">
        <v>258</v>
      </c>
      <c r="F11579" s="12" t="s">
        <v>259</v>
      </c>
      <c r="G11579" s="12" t="s">
        <v>21</v>
      </c>
      <c r="H11579" s="11" t="s">
        <v>63</v>
      </c>
      <c r="I11579" s="13" t="s">
        <v>22877</v>
      </c>
      <c r="J11579" s="14" t="str">
        <f>HYPERLINK("https://www.boe.es/gazeta/dias/1839/01/02/pdfs/GMD-1839-1509.pdf#page=4","Abrir facsímil")</f>
        <v>Abrir facsímil</v>
      </c>
      <c r="K11579" s="12" t="s">
        <v>65</v>
      </c>
    </row>
    <row r="11580" spans="1:11" ht="40.049999999999997" customHeight="1" x14ac:dyDescent="0.25">
      <c r="A11580" s="11" t="s">
        <v>22875</v>
      </c>
      <c r="B11580" s="11" t="s">
        <v>22875</v>
      </c>
      <c r="C11580" s="11" t="s">
        <v>101</v>
      </c>
      <c r="D11580" s="11" t="s">
        <v>43</v>
      </c>
      <c r="E11580" s="12" t="s">
        <v>266</v>
      </c>
      <c r="F11580" s="12" t="s">
        <v>267</v>
      </c>
      <c r="G11580" s="12" t="s">
        <v>40</v>
      </c>
      <c r="H11580" s="11" t="s">
        <v>63</v>
      </c>
      <c r="I11580" s="13" t="s">
        <v>22878</v>
      </c>
      <c r="J11580" s="14" t="str">
        <f>HYPERLINK("https://www.boe.es/gazeta/dias/1839/01/03/pdfs/GMD-1839-1510.pdf#page=2","Abrir facsímil")</f>
        <v>Abrir facsímil</v>
      </c>
      <c r="K11580" s="12" t="s">
        <v>65</v>
      </c>
    </row>
    <row r="11581" spans="1:11" ht="40.049999999999997" customHeight="1" x14ac:dyDescent="0.25">
      <c r="A11581" s="11" t="s">
        <v>22875</v>
      </c>
      <c r="B11581" s="11" t="s">
        <v>22875</v>
      </c>
      <c r="C11581" s="11" t="s">
        <v>17</v>
      </c>
      <c r="D11581" s="11" t="s">
        <v>18</v>
      </c>
      <c r="E11581" s="12" t="s">
        <v>197</v>
      </c>
      <c r="F11581" s="12" t="s">
        <v>198</v>
      </c>
      <c r="G11581" s="12" t="s">
        <v>40</v>
      </c>
      <c r="H11581" s="11" t="s">
        <v>63</v>
      </c>
      <c r="I11581" s="13" t="s">
        <v>22879</v>
      </c>
      <c r="J11581" s="14" t="str">
        <f>HYPERLINK("https://www.boe.es/gazeta/dias/1839/10/04/pdfs/GMD-1839-1790.pdf#page=2","Abrir facsímil")</f>
        <v>Abrir facsímil</v>
      </c>
      <c r="K11581" s="12" t="s">
        <v>65</v>
      </c>
    </row>
    <row r="11582" spans="1:11" ht="40.049999999999997" customHeight="1" x14ac:dyDescent="0.25">
      <c r="A11582" s="11" t="s">
        <v>22875</v>
      </c>
      <c r="B11582" s="11" t="s">
        <v>22875</v>
      </c>
      <c r="C11582" s="11" t="s">
        <v>17</v>
      </c>
      <c r="D11582" s="11" t="s">
        <v>18</v>
      </c>
      <c r="E11582" s="12" t="s">
        <v>54</v>
      </c>
      <c r="F11582" s="12" t="s">
        <v>55</v>
      </c>
      <c r="G11582" s="12" t="s">
        <v>46</v>
      </c>
      <c r="H11582" s="11" t="s">
        <v>63</v>
      </c>
      <c r="I11582" s="13" t="s">
        <v>22880</v>
      </c>
      <c r="J11582" s="14" t="str">
        <f>HYPERLINK("https://www.boe.es/gazeta/dias/1839/10/05/pdfs/GMD-1839-1791.pdf#page=3","Abrir facsímil")</f>
        <v>Abrir facsímil</v>
      </c>
      <c r="K11582" s="12" t="s">
        <v>65</v>
      </c>
    </row>
    <row r="11583" spans="1:11" ht="40.049999999999997" customHeight="1" x14ac:dyDescent="0.25">
      <c r="A11583" s="11" t="s">
        <v>22875</v>
      </c>
      <c r="B11583" s="11" t="s">
        <v>22875</v>
      </c>
      <c r="C11583" s="11" t="s">
        <v>17</v>
      </c>
      <c r="D11583" s="11" t="s">
        <v>18</v>
      </c>
      <c r="E11583" s="12" t="s">
        <v>54</v>
      </c>
      <c r="F11583" s="12" t="s">
        <v>55</v>
      </c>
      <c r="G11583" s="12" t="s">
        <v>21</v>
      </c>
      <c r="H11583" s="11" t="s">
        <v>63</v>
      </c>
      <c r="I11583" s="13" t="s">
        <v>22881</v>
      </c>
      <c r="J11583" s="14" t="str">
        <f>HYPERLINK("https://www.boe.es/gazeta/dias/1839/10/05/pdfs/GMD-1839-1791.pdf#page=4","Abrir facsímil")</f>
        <v>Abrir facsímil</v>
      </c>
      <c r="K11583" s="12" t="s">
        <v>65</v>
      </c>
    </row>
    <row r="11584" spans="1:11" ht="40.049999999999997" customHeight="1" x14ac:dyDescent="0.25">
      <c r="A11584" s="11" t="s">
        <v>22875</v>
      </c>
      <c r="B11584" s="11" t="s">
        <v>22875</v>
      </c>
      <c r="C11584" s="11" t="s">
        <v>101</v>
      </c>
      <c r="D11584" s="11" t="s">
        <v>43</v>
      </c>
      <c r="E11584" s="12" t="s">
        <v>303</v>
      </c>
      <c r="F11584" s="12" t="s">
        <v>304</v>
      </c>
      <c r="G11584" s="12" t="s">
        <v>40</v>
      </c>
      <c r="H11584" s="11" t="s">
        <v>63</v>
      </c>
      <c r="I11584" s="13" t="s">
        <v>22882</v>
      </c>
      <c r="J11584" s="14" t="str">
        <f>HYPERLINK("https://www.boe.es/gazeta/dias/1839/10/06/pdfs/GMD-1839-1792.pdf#page=2","Abrir facsímil")</f>
        <v>Abrir facsímil</v>
      </c>
      <c r="K11584" s="12" t="s">
        <v>65</v>
      </c>
    </row>
    <row r="11585" spans="1:11" ht="40.049999999999997" customHeight="1" x14ac:dyDescent="0.25">
      <c r="A11585" s="11" t="s">
        <v>22875</v>
      </c>
      <c r="B11585" s="11" t="s">
        <v>22875</v>
      </c>
      <c r="C11585" s="11" t="s">
        <v>137</v>
      </c>
      <c r="D11585" s="11" t="s">
        <v>18</v>
      </c>
      <c r="E11585" s="12" t="s">
        <v>647</v>
      </c>
      <c r="F11585" s="12" t="s">
        <v>648</v>
      </c>
      <c r="G11585" s="12" t="s">
        <v>21</v>
      </c>
      <c r="H11585" s="11" t="s">
        <v>63</v>
      </c>
      <c r="I11585" s="13" t="s">
        <v>22883</v>
      </c>
      <c r="J11585" s="14" t="str">
        <f>HYPERLINK("https://www.boe.es/gazeta/dias/1839/10/08/pdfs/GMD-1839-1794.pdf#page=4","Abrir facsímil")</f>
        <v>Abrir facsímil</v>
      </c>
      <c r="K11585" s="12" t="s">
        <v>65</v>
      </c>
    </row>
    <row r="11586" spans="1:11" ht="40.049999999999997" customHeight="1" x14ac:dyDescent="0.25">
      <c r="A11586" s="11" t="s">
        <v>22875</v>
      </c>
      <c r="B11586" s="11" t="s">
        <v>22875</v>
      </c>
      <c r="C11586" s="11" t="s">
        <v>137</v>
      </c>
      <c r="D11586" s="11" t="s">
        <v>18</v>
      </c>
      <c r="E11586" s="12" t="s">
        <v>647</v>
      </c>
      <c r="F11586" s="12" t="s">
        <v>648</v>
      </c>
      <c r="G11586" s="12" t="s">
        <v>566</v>
      </c>
      <c r="H11586" s="11" t="s">
        <v>63</v>
      </c>
      <c r="I11586" s="13" t="s">
        <v>22884</v>
      </c>
      <c r="J11586" s="14" t="str">
        <f>HYPERLINK("https://www.boe.es/gazeta/dias/1839/10/08/pdfs/GMD-1839-1794.pdf#page=5","Abrir facsímil")</f>
        <v>Abrir facsímil</v>
      </c>
      <c r="K11586" s="12" t="s">
        <v>65</v>
      </c>
    </row>
    <row r="11587" spans="1:11" ht="40.049999999999997" customHeight="1" x14ac:dyDescent="0.25">
      <c r="A11587" s="11" t="s">
        <v>22875</v>
      </c>
      <c r="B11587" s="11" t="s">
        <v>22875</v>
      </c>
      <c r="C11587" s="11" t="s">
        <v>137</v>
      </c>
      <c r="D11587" s="11" t="s">
        <v>18</v>
      </c>
      <c r="E11587" s="12" t="s">
        <v>647</v>
      </c>
      <c r="F11587" s="12" t="s">
        <v>648</v>
      </c>
      <c r="G11587" s="12" t="s">
        <v>5567</v>
      </c>
      <c r="H11587" s="11" t="s">
        <v>63</v>
      </c>
      <c r="I11587" s="13" t="s">
        <v>22885</v>
      </c>
      <c r="J11587" s="14" t="str">
        <f>HYPERLINK("https://www.boe.es/gazeta/dias/1839/10/08/pdfs/GMD-1839-1794.pdf#page=7","Abrir facsímil")</f>
        <v>Abrir facsímil</v>
      </c>
      <c r="K11587" s="12" t="s">
        <v>65</v>
      </c>
    </row>
    <row r="11588" spans="1:11" ht="40.049999999999997" customHeight="1" x14ac:dyDescent="0.25">
      <c r="A11588" s="11" t="s">
        <v>22875</v>
      </c>
      <c r="B11588" s="11" t="s">
        <v>22875</v>
      </c>
      <c r="C11588" s="11" t="s">
        <v>101</v>
      </c>
      <c r="D11588" s="11" t="s">
        <v>102</v>
      </c>
      <c r="E11588" s="12" t="s">
        <v>160</v>
      </c>
      <c r="F11588" s="12" t="s">
        <v>161</v>
      </c>
      <c r="G11588" s="12" t="s">
        <v>40</v>
      </c>
      <c r="H11588" s="11" t="s">
        <v>63</v>
      </c>
      <c r="I11588" s="13" t="s">
        <v>22886</v>
      </c>
      <c r="J11588" s="14" t="str">
        <f>HYPERLINK("https://www.boe.es/gazeta/dias/1839/01/10/pdfs/GMD-1839-1517.pdf#page=2","Abrir facsímil")</f>
        <v>Abrir facsímil</v>
      </c>
      <c r="K11588" s="12" t="s">
        <v>65</v>
      </c>
    </row>
    <row r="11589" spans="1:11" ht="40.049999999999997" customHeight="1" x14ac:dyDescent="0.25">
      <c r="A11589" s="11" t="s">
        <v>22875</v>
      </c>
      <c r="B11589" s="11" t="s">
        <v>22875</v>
      </c>
      <c r="C11589" s="11" t="s">
        <v>101</v>
      </c>
      <c r="D11589" s="11" t="s">
        <v>43</v>
      </c>
      <c r="E11589" s="12" t="s">
        <v>592</v>
      </c>
      <c r="F11589" s="12" t="s">
        <v>593</v>
      </c>
      <c r="G11589" s="12" t="s">
        <v>46</v>
      </c>
      <c r="H11589" s="11" t="s">
        <v>63</v>
      </c>
      <c r="I11589" s="13" t="s">
        <v>22887</v>
      </c>
      <c r="J11589" s="14" t="str">
        <f>HYPERLINK("https://www.boe.es/gazeta/dias/1839/09/14/pdfs/GMD-1839-1767.pdf#page=3","Abrir facsímil")</f>
        <v>Abrir facsímil</v>
      </c>
      <c r="K11589" s="12" t="s">
        <v>65</v>
      </c>
    </row>
    <row r="11590" spans="1:11" ht="40.049999999999997" customHeight="1" x14ac:dyDescent="0.25">
      <c r="A11590" s="11" t="s">
        <v>22875</v>
      </c>
      <c r="B11590" s="11" t="s">
        <v>22875</v>
      </c>
      <c r="C11590" s="11" t="s">
        <v>101</v>
      </c>
      <c r="D11590" s="11" t="s">
        <v>43</v>
      </c>
      <c r="E11590" s="12" t="s">
        <v>2155</v>
      </c>
      <c r="F11590" s="12" t="s">
        <v>2156</v>
      </c>
      <c r="G11590" s="12" t="s">
        <v>40</v>
      </c>
      <c r="H11590" s="11" t="s">
        <v>63</v>
      </c>
      <c r="I11590" s="13" t="s">
        <v>22888</v>
      </c>
      <c r="J11590" s="14" t="str">
        <f>HYPERLINK("https://www.boe.es/gazeta/dias/1839/01/17/pdfs/GMD-1839-1524.pdf#page=2","Abrir facsímil")</f>
        <v>Abrir facsímil</v>
      </c>
      <c r="K11590" s="12" t="s">
        <v>65</v>
      </c>
    </row>
    <row r="11591" spans="1:11" ht="40.049999999999997" customHeight="1" x14ac:dyDescent="0.25">
      <c r="A11591" s="11" t="s">
        <v>22875</v>
      </c>
      <c r="B11591" s="11" t="s">
        <v>22875</v>
      </c>
      <c r="C11591" s="11" t="s">
        <v>101</v>
      </c>
      <c r="D11591" s="11" t="s">
        <v>102</v>
      </c>
      <c r="E11591" s="12" t="s">
        <v>926</v>
      </c>
      <c r="F11591" s="12" t="s">
        <v>927</v>
      </c>
      <c r="G11591" s="12" t="s">
        <v>46</v>
      </c>
      <c r="H11591" s="11" t="s">
        <v>63</v>
      </c>
      <c r="I11591" s="13" t="s">
        <v>22889</v>
      </c>
      <c r="J11591" s="14" t="str">
        <f>HYPERLINK("https://www.boe.es/gazeta/dias/1839/01/25/pdfs/GMD-1839-1532.pdf#page=3","Abrir facsímil")</f>
        <v>Abrir facsímil</v>
      </c>
      <c r="K11591" s="12" t="s">
        <v>65</v>
      </c>
    </row>
    <row r="11592" spans="1:11" ht="40.049999999999997" customHeight="1" x14ac:dyDescent="0.25">
      <c r="A11592" s="11" t="s">
        <v>22875</v>
      </c>
      <c r="B11592" s="11" t="s">
        <v>22875</v>
      </c>
      <c r="C11592" s="11" t="s">
        <v>101</v>
      </c>
      <c r="D11592" s="11" t="s">
        <v>43</v>
      </c>
      <c r="E11592" s="12" t="s">
        <v>1679</v>
      </c>
      <c r="F11592" s="12" t="s">
        <v>1680</v>
      </c>
      <c r="G11592" s="12" t="s">
        <v>46</v>
      </c>
      <c r="H11592" s="11" t="s">
        <v>63</v>
      </c>
      <c r="I11592" s="13" t="s">
        <v>22890</v>
      </c>
      <c r="J11592" s="14" t="str">
        <f>HYPERLINK("https://www.boe.es/gazeta/dias/1839/01/26/pdfs/GMD-1839-1533.pdf#page=3","Abrir facsímil")</f>
        <v>Abrir facsímil</v>
      </c>
      <c r="K11592" s="12" t="s">
        <v>65</v>
      </c>
    </row>
    <row r="11593" spans="1:11" ht="40.049999999999997" customHeight="1" x14ac:dyDescent="0.25">
      <c r="A11593" s="11" t="s">
        <v>22875</v>
      </c>
      <c r="B11593" s="11" t="s">
        <v>22875</v>
      </c>
      <c r="C11593" s="11" t="s">
        <v>101</v>
      </c>
      <c r="D11593" s="11" t="s">
        <v>43</v>
      </c>
      <c r="E11593" s="12" t="s">
        <v>574</v>
      </c>
      <c r="F11593" s="12" t="s">
        <v>575</v>
      </c>
      <c r="G11593" s="12" t="s">
        <v>40</v>
      </c>
      <c r="H11593" s="11" t="s">
        <v>63</v>
      </c>
      <c r="I11593" s="13" t="s">
        <v>22891</v>
      </c>
      <c r="J11593" s="14" t="str">
        <f>HYPERLINK("https://www.boe.es/gazeta/dias/1839/09/28/pdfs/GMD-1839-1784.pdf#page=2","Abrir facsímil")</f>
        <v>Abrir facsímil</v>
      </c>
      <c r="K11593" s="12" t="s">
        <v>65</v>
      </c>
    </row>
    <row r="11594" spans="1:11" ht="40.049999999999997" customHeight="1" x14ac:dyDescent="0.25">
      <c r="A11594" s="11" t="s">
        <v>22875</v>
      </c>
      <c r="B11594" s="11" t="s">
        <v>22875</v>
      </c>
      <c r="C11594" s="11" t="s">
        <v>17</v>
      </c>
      <c r="D11594" s="11" t="s">
        <v>18</v>
      </c>
      <c r="E11594" s="12" t="s">
        <v>862</v>
      </c>
      <c r="F11594" s="12" t="s">
        <v>863</v>
      </c>
      <c r="G11594" s="12" t="s">
        <v>46</v>
      </c>
      <c r="H11594" s="11" t="s">
        <v>63</v>
      </c>
      <c r="I11594" s="13" t="s">
        <v>22892</v>
      </c>
      <c r="J11594" s="14" t="str">
        <f>HYPERLINK("https://www.boe.es/gazeta/dias/1839/10/28/pdfs/GMD-1839-1814.pdf#page=3","Abrir facsímil")</f>
        <v>Abrir facsímil</v>
      </c>
      <c r="K11594" s="12" t="s">
        <v>65</v>
      </c>
    </row>
    <row r="11595" spans="1:11" ht="40.049999999999997" customHeight="1" x14ac:dyDescent="0.25">
      <c r="A11595" s="11" t="s">
        <v>22875</v>
      </c>
      <c r="B11595" s="11" t="s">
        <v>22875</v>
      </c>
      <c r="C11595" s="11" t="s">
        <v>17</v>
      </c>
      <c r="D11595" s="11" t="s">
        <v>18</v>
      </c>
      <c r="E11595" s="12" t="s">
        <v>862</v>
      </c>
      <c r="F11595" s="12" t="s">
        <v>863</v>
      </c>
      <c r="G11595" s="12" t="s">
        <v>566</v>
      </c>
      <c r="H11595" s="11" t="s">
        <v>63</v>
      </c>
      <c r="I11595" s="13" t="s">
        <v>22893</v>
      </c>
      <c r="J11595" s="14" t="str">
        <f>HYPERLINK("https://www.boe.es/gazeta/dias/1839/10/28/pdfs/GMD-1839-1814.pdf#page=5","Abrir facsímil")</f>
        <v>Abrir facsímil</v>
      </c>
      <c r="K11595" s="12" t="s">
        <v>65</v>
      </c>
    </row>
    <row r="11596" spans="1:11" ht="40.049999999999997" customHeight="1" x14ac:dyDescent="0.25">
      <c r="A11596" s="11" t="s">
        <v>22875</v>
      </c>
      <c r="B11596" s="11" t="s">
        <v>22875</v>
      </c>
      <c r="C11596" s="11" t="s">
        <v>17</v>
      </c>
      <c r="D11596" s="11" t="s">
        <v>18</v>
      </c>
      <c r="E11596" s="12" t="s">
        <v>1988</v>
      </c>
      <c r="F11596" s="12" t="s">
        <v>1989</v>
      </c>
      <c r="G11596" s="12" t="s">
        <v>46</v>
      </c>
      <c r="H11596" s="11" t="s">
        <v>63</v>
      </c>
      <c r="I11596" s="13" t="s">
        <v>22894</v>
      </c>
      <c r="J11596" s="14" t="str">
        <f>HYPERLINK("https://www.boe.es/gazeta/dias/1839/10/29/pdfs/GMD-1839-1815.pdf#page=3","Abrir facsímil")</f>
        <v>Abrir facsímil</v>
      </c>
      <c r="K11596" s="12" t="s">
        <v>65</v>
      </c>
    </row>
    <row r="11597" spans="1:11" ht="40.049999999999997" customHeight="1" x14ac:dyDescent="0.25">
      <c r="A11597" s="11" t="s">
        <v>22875</v>
      </c>
      <c r="B11597" s="11" t="s">
        <v>22875</v>
      </c>
      <c r="C11597" s="11" t="s">
        <v>17</v>
      </c>
      <c r="D11597" s="11" t="s">
        <v>18</v>
      </c>
      <c r="E11597" s="12" t="s">
        <v>653</v>
      </c>
      <c r="F11597" s="12" t="s">
        <v>654</v>
      </c>
      <c r="G11597" s="12" t="s">
        <v>46</v>
      </c>
      <c r="H11597" s="11" t="s">
        <v>63</v>
      </c>
      <c r="I11597" s="13" t="s">
        <v>22895</v>
      </c>
      <c r="J11597" s="14" t="str">
        <f>HYPERLINK("https://www.boe.es/gazeta/dias/1839/10/31/pdfs/GMD-1839-1817.pdf#page=3","Abrir facsímil")</f>
        <v>Abrir facsímil</v>
      </c>
      <c r="K11597" s="12" t="s">
        <v>65</v>
      </c>
    </row>
    <row r="11598" spans="1:11" ht="40.049999999999997" customHeight="1" x14ac:dyDescent="0.25">
      <c r="A11598" s="11" t="s">
        <v>22875</v>
      </c>
      <c r="B11598" s="11" t="s">
        <v>22875</v>
      </c>
      <c r="C11598" s="11" t="s">
        <v>17</v>
      </c>
      <c r="D11598" s="11" t="s">
        <v>18</v>
      </c>
      <c r="E11598" s="12" t="s">
        <v>653</v>
      </c>
      <c r="F11598" s="12" t="s">
        <v>654</v>
      </c>
      <c r="G11598" s="12" t="s">
        <v>21</v>
      </c>
      <c r="H11598" s="11" t="s">
        <v>63</v>
      </c>
      <c r="I11598" s="13" t="s">
        <v>22896</v>
      </c>
      <c r="J11598" s="14" t="str">
        <f>HYPERLINK("https://www.boe.es/gazeta/dias/1839/10/31/pdfs/GMD-1839-1817.pdf#page=4","Abrir facsímil")</f>
        <v>Abrir facsímil</v>
      </c>
      <c r="K11598" s="12" t="s">
        <v>65</v>
      </c>
    </row>
    <row r="11599" spans="1:11" ht="40.049999999999997" customHeight="1" x14ac:dyDescent="0.25">
      <c r="A11599" s="11" t="s">
        <v>22897</v>
      </c>
      <c r="B11599" s="11" t="s">
        <v>22897</v>
      </c>
      <c r="C11599" s="11" t="s">
        <v>59</v>
      </c>
      <c r="D11599" s="11" t="s">
        <v>60</v>
      </c>
      <c r="E11599" s="12" t="s">
        <v>1584</v>
      </c>
      <c r="F11599" s="12" t="s">
        <v>1585</v>
      </c>
      <c r="G11599" s="12" t="s">
        <v>21</v>
      </c>
      <c r="H11599" s="11" t="s">
        <v>22</v>
      </c>
      <c r="I11599" s="13" t="s">
        <v>22898</v>
      </c>
      <c r="J11599" s="14" t="str">
        <f>HYPERLINK("https://www.boe.es/gazeta/dias/1839/11/20/pdfs/GMD-1839-1837.pdf#page=4","Abrir facsímil")</f>
        <v>Abrir facsímil</v>
      </c>
      <c r="K11599" s="12" t="s">
        <v>24</v>
      </c>
    </row>
    <row r="11600" spans="1:11" ht="40.049999999999997" customHeight="1" x14ac:dyDescent="0.25">
      <c r="A11600" s="11" t="s">
        <v>22899</v>
      </c>
      <c r="B11600" s="11" t="s">
        <v>22900</v>
      </c>
      <c r="C11600" s="11" t="s">
        <v>101</v>
      </c>
      <c r="D11600" s="11" t="s">
        <v>43</v>
      </c>
      <c r="E11600" s="12" t="s">
        <v>798</v>
      </c>
      <c r="F11600" s="12" t="s">
        <v>799</v>
      </c>
      <c r="G11600" s="12" t="s">
        <v>40</v>
      </c>
      <c r="H11600" s="11" t="s">
        <v>63</v>
      </c>
      <c r="I11600" s="13" t="s">
        <v>22901</v>
      </c>
      <c r="J11600" s="14" t="str">
        <f>HYPERLINK("https://www.boe.es/gazeta/dias/1839/09/03/pdfs/GMD-1839-1755.pdf#page=2","Abrir facsímil")</f>
        <v>Abrir facsímil</v>
      </c>
      <c r="K11600" s="12" t="s">
        <v>65</v>
      </c>
    </row>
    <row r="11601" spans="1:11" ht="40.049999999999997" customHeight="1" x14ac:dyDescent="0.25">
      <c r="A11601" s="11" t="s">
        <v>22902</v>
      </c>
      <c r="B11601" s="11" t="s">
        <v>22902</v>
      </c>
      <c r="C11601" s="11" t="s">
        <v>17</v>
      </c>
      <c r="D11601" s="11" t="s">
        <v>18</v>
      </c>
      <c r="E11601" s="12" t="s">
        <v>2165</v>
      </c>
      <c r="F11601" s="12" t="s">
        <v>2166</v>
      </c>
      <c r="G11601" s="12" t="s">
        <v>21</v>
      </c>
      <c r="H11601" s="11" t="s">
        <v>22</v>
      </c>
      <c r="I11601" s="13" t="s">
        <v>22903</v>
      </c>
      <c r="J11601" s="14" t="str">
        <f>HYPERLINK("https://www.boe.es/gazeta/dias/1839/01/06/pdfs/GMD-1839-1513.pdf#page=4","Abrir facsímil")</f>
        <v>Abrir facsímil</v>
      </c>
      <c r="K11601" s="12" t="s">
        <v>24</v>
      </c>
    </row>
    <row r="11602" spans="1:11" ht="40.049999999999997" customHeight="1" x14ac:dyDescent="0.25">
      <c r="A11602" s="11" t="s">
        <v>22902</v>
      </c>
      <c r="B11602" s="11" t="s">
        <v>22902</v>
      </c>
      <c r="C11602" s="11" t="s">
        <v>17</v>
      </c>
      <c r="D11602" s="11" t="s">
        <v>18</v>
      </c>
      <c r="E11602" s="12" t="s">
        <v>2050</v>
      </c>
      <c r="F11602" s="12" t="s">
        <v>2051</v>
      </c>
      <c r="G11602" s="12" t="s">
        <v>21</v>
      </c>
      <c r="H11602" s="11" t="s">
        <v>22</v>
      </c>
      <c r="I11602" s="13" t="s">
        <v>22904</v>
      </c>
      <c r="J11602" s="14" t="str">
        <f>HYPERLINK("https://www.boe.es/gazeta/dias/1839/01/09/pdfs/GMD-1839-1516.pdf#page=4","Abrir facsímil")</f>
        <v>Abrir facsímil</v>
      </c>
      <c r="K11602" s="12" t="s">
        <v>24</v>
      </c>
    </row>
    <row r="11603" spans="1:11" ht="40.049999999999997" customHeight="1" x14ac:dyDescent="0.25">
      <c r="A11603" s="11" t="s">
        <v>22902</v>
      </c>
      <c r="B11603" s="11" t="s">
        <v>22902</v>
      </c>
      <c r="C11603" s="11" t="s">
        <v>17</v>
      </c>
      <c r="D11603" s="11" t="s">
        <v>18</v>
      </c>
      <c r="E11603" s="12" t="s">
        <v>720</v>
      </c>
      <c r="F11603" s="12" t="s">
        <v>721</v>
      </c>
      <c r="G11603" s="12" t="s">
        <v>21</v>
      </c>
      <c r="H11603" s="11" t="s">
        <v>22</v>
      </c>
      <c r="I11603" s="13" t="s">
        <v>22905</v>
      </c>
      <c r="J11603" s="14" t="str">
        <f>HYPERLINK("https://www.boe.es/gazeta/dias/1839/01/14/pdfs/GMD-1839-1521.pdf#page=4","Abrir facsímil")</f>
        <v>Abrir facsímil</v>
      </c>
      <c r="K11603" s="12" t="s">
        <v>24</v>
      </c>
    </row>
    <row r="11604" spans="1:11" ht="40.049999999999997" customHeight="1" x14ac:dyDescent="0.25">
      <c r="A11604" s="11" t="s">
        <v>22902</v>
      </c>
      <c r="B11604" s="11" t="s">
        <v>22902</v>
      </c>
      <c r="C11604" s="11" t="s">
        <v>17</v>
      </c>
      <c r="D11604" s="11" t="s">
        <v>18</v>
      </c>
      <c r="E11604" s="12" t="s">
        <v>185</v>
      </c>
      <c r="F11604" s="12" t="s">
        <v>186</v>
      </c>
      <c r="G11604" s="12" t="s">
        <v>21</v>
      </c>
      <c r="H11604" s="11" t="s">
        <v>22</v>
      </c>
      <c r="I11604" s="13" t="s">
        <v>22906</v>
      </c>
      <c r="J11604" s="14" t="str">
        <f>HYPERLINK("https://www.boe.es/gazeta/dias/1839/01/15/pdfs/GMD-1839-1522.pdf#page=4","Abrir facsímil")</f>
        <v>Abrir facsímil</v>
      </c>
      <c r="K11604" s="12" t="s">
        <v>24</v>
      </c>
    </row>
    <row r="11605" spans="1:11" ht="40.049999999999997" customHeight="1" x14ac:dyDescent="0.25">
      <c r="A11605" s="11" t="s">
        <v>22907</v>
      </c>
      <c r="B11605" s="11" t="s">
        <v>22907</v>
      </c>
      <c r="C11605" s="11" t="s">
        <v>17</v>
      </c>
      <c r="D11605" s="11" t="s">
        <v>18</v>
      </c>
      <c r="E11605" s="12" t="s">
        <v>3009</v>
      </c>
      <c r="F11605" s="12" t="s">
        <v>3010</v>
      </c>
      <c r="G11605" s="12" t="s">
        <v>21</v>
      </c>
      <c r="H11605" s="11" t="s">
        <v>22</v>
      </c>
      <c r="I11605" s="13" t="s">
        <v>22908</v>
      </c>
      <c r="J11605" s="14" t="str">
        <f>HYPERLINK("https://www.boe.es/gazeta/dias/1839/04/20/pdfs/GMD-1839-1617.pdf#page=4","Abrir facsímil")</f>
        <v>Abrir facsímil</v>
      </c>
      <c r="K11605" s="12" t="s">
        <v>24</v>
      </c>
    </row>
    <row r="11606" spans="1:11" ht="40.049999999999997" customHeight="1" x14ac:dyDescent="0.25">
      <c r="A11606" s="11" t="s">
        <v>22909</v>
      </c>
      <c r="B11606" s="11" t="s">
        <v>22909</v>
      </c>
      <c r="C11606" s="11" t="s">
        <v>17</v>
      </c>
      <c r="D11606" s="11" t="s">
        <v>18</v>
      </c>
      <c r="E11606" s="12" t="s">
        <v>185</v>
      </c>
      <c r="F11606" s="12" t="s">
        <v>186</v>
      </c>
      <c r="G11606" s="12" t="s">
        <v>29</v>
      </c>
      <c r="H11606" s="11" t="s">
        <v>22</v>
      </c>
      <c r="I11606" s="13" t="s">
        <v>22910</v>
      </c>
      <c r="J11606" s="14" t="str">
        <f>HYPERLINK("https://www.boe.es/gazeta/dias/1839/01/15/pdfs/GMD-1839-1522.pdf#page=1","Abrir facsímil")</f>
        <v>Abrir facsímil</v>
      </c>
      <c r="K11606" s="12" t="s">
        <v>24</v>
      </c>
    </row>
    <row r="11607" spans="1:11" ht="40.049999999999997" customHeight="1" x14ac:dyDescent="0.25">
      <c r="A11607" s="11" t="s">
        <v>22911</v>
      </c>
      <c r="B11607" s="11" t="s">
        <v>22911</v>
      </c>
      <c r="C11607" s="11" t="s">
        <v>17</v>
      </c>
      <c r="D11607" s="11" t="s">
        <v>43</v>
      </c>
      <c r="E11607" s="12" t="s">
        <v>340</v>
      </c>
      <c r="F11607" s="12" t="s">
        <v>341</v>
      </c>
      <c r="G11607" s="12" t="s">
        <v>21</v>
      </c>
      <c r="H11607" s="11" t="s">
        <v>22</v>
      </c>
      <c r="I11607" s="13" t="s">
        <v>22912</v>
      </c>
      <c r="J11607" s="14" t="str">
        <f>HYPERLINK("https://www.boe.es/gazeta/dias/1839/03/19/pdfs/GMD-1839-1585.pdf#page=4","Abrir facsímil")</f>
        <v>Abrir facsímil</v>
      </c>
      <c r="K11607" s="12" t="s">
        <v>24</v>
      </c>
    </row>
    <row r="11608" spans="1:11" ht="40.049999999999997" customHeight="1" x14ac:dyDescent="0.25">
      <c r="A11608" s="11" t="s">
        <v>22913</v>
      </c>
      <c r="B11608" s="11" t="s">
        <v>22913</v>
      </c>
      <c r="C11608" s="11" t="s">
        <v>17</v>
      </c>
      <c r="D11608" s="11" t="s">
        <v>18</v>
      </c>
      <c r="E11608" s="12" t="s">
        <v>395</v>
      </c>
      <c r="F11608" s="12" t="s">
        <v>396</v>
      </c>
      <c r="G11608" s="12" t="s">
        <v>21</v>
      </c>
      <c r="H11608" s="11" t="s">
        <v>22</v>
      </c>
      <c r="I11608" s="13" t="s">
        <v>22914</v>
      </c>
      <c r="J11608" s="14" t="str">
        <f>HYPERLINK("https://www.boe.es/gazeta/dias/1839/03/15/pdfs/GMD-1839-1581.pdf#page=4","Abrir facsímil")</f>
        <v>Abrir facsímil</v>
      </c>
      <c r="K11608" s="12" t="s">
        <v>24</v>
      </c>
    </row>
    <row r="11609" spans="1:11" ht="40.049999999999997" customHeight="1" x14ac:dyDescent="0.25">
      <c r="A11609" s="11" t="s">
        <v>22915</v>
      </c>
      <c r="B11609" s="11" t="s">
        <v>22915</v>
      </c>
      <c r="C11609" s="11" t="s">
        <v>17</v>
      </c>
      <c r="D11609" s="11" t="s">
        <v>18</v>
      </c>
      <c r="E11609" s="12" t="s">
        <v>81</v>
      </c>
      <c r="F11609" s="12" t="s">
        <v>82</v>
      </c>
      <c r="G11609" s="12" t="s">
        <v>21</v>
      </c>
      <c r="H11609" s="11" t="s">
        <v>22</v>
      </c>
      <c r="I11609" s="13" t="s">
        <v>22916</v>
      </c>
      <c r="J11609" s="14" t="str">
        <f>HYPERLINK("https://www.boe.es/gazeta/dias/1839/03/03/pdfs/GMD-1839-1569.pdf#page=4","Abrir facsímil")</f>
        <v>Abrir facsímil</v>
      </c>
      <c r="K11609" s="12" t="s">
        <v>24</v>
      </c>
    </row>
    <row r="11610" spans="1:11" ht="40.049999999999997" customHeight="1" x14ac:dyDescent="0.25">
      <c r="A11610" s="11" t="s">
        <v>22915</v>
      </c>
      <c r="B11610" s="11" t="s">
        <v>22915</v>
      </c>
      <c r="C11610" s="11" t="s">
        <v>17</v>
      </c>
      <c r="D11610" s="11" t="s">
        <v>18</v>
      </c>
      <c r="E11610" s="12" t="s">
        <v>2839</v>
      </c>
      <c r="F11610" s="12" t="s">
        <v>2840</v>
      </c>
      <c r="G11610" s="12" t="s">
        <v>21</v>
      </c>
      <c r="H11610" s="11" t="s">
        <v>22</v>
      </c>
      <c r="I11610" s="13" t="s">
        <v>22917</v>
      </c>
      <c r="J11610" s="14" t="str">
        <f>HYPERLINK("https://www.boe.es/gazeta/dias/1839/03/06/pdfs/GMD-1839-1572.pdf#page=4","Abrir facsímil")</f>
        <v>Abrir facsímil</v>
      </c>
      <c r="K11610" s="12" t="s">
        <v>24</v>
      </c>
    </row>
    <row r="11611" spans="1:11" ht="40.049999999999997" customHeight="1" x14ac:dyDescent="0.25">
      <c r="A11611" s="11" t="s">
        <v>22918</v>
      </c>
      <c r="B11611" s="11" t="s">
        <v>22918</v>
      </c>
      <c r="C11611" s="11" t="s">
        <v>17</v>
      </c>
      <c r="D11611" s="11" t="s">
        <v>18</v>
      </c>
      <c r="E11611" s="12" t="s">
        <v>61</v>
      </c>
      <c r="F11611" s="12" t="s">
        <v>62</v>
      </c>
      <c r="G11611" s="12" t="s">
        <v>21</v>
      </c>
      <c r="H11611" s="11" t="s">
        <v>22</v>
      </c>
      <c r="I11611" s="13" t="s">
        <v>22919</v>
      </c>
      <c r="J11611" s="14" t="str">
        <f>HYPERLINK("https://www.boe.es/gazeta/dias/1839/09/10/pdfs/GMD-1839-1763.pdf#page=4","Abrir facsímil")</f>
        <v>Abrir facsímil</v>
      </c>
      <c r="K11611" s="12" t="s">
        <v>24</v>
      </c>
    </row>
    <row r="11612" spans="1:11" ht="40.049999999999997" customHeight="1" x14ac:dyDescent="0.25">
      <c r="A11612" s="11" t="s">
        <v>22918</v>
      </c>
      <c r="B11612" s="11" t="s">
        <v>22918</v>
      </c>
      <c r="C11612" s="11" t="s">
        <v>17</v>
      </c>
      <c r="D11612" s="11" t="s">
        <v>18</v>
      </c>
      <c r="E11612" s="12" t="s">
        <v>907</v>
      </c>
      <c r="F11612" s="12" t="s">
        <v>908</v>
      </c>
      <c r="G11612" s="12" t="s">
        <v>46</v>
      </c>
      <c r="H11612" s="11" t="s">
        <v>22</v>
      </c>
      <c r="I11612" s="13" t="s">
        <v>22920</v>
      </c>
      <c r="J11612" s="14" t="str">
        <f>HYPERLINK("https://www.boe.es/gazeta/dias/1839/07/31/pdfs/GMD-1839-1720.pdf#page=3","Abrir facsímil")</f>
        <v>Abrir facsímil</v>
      </c>
      <c r="K11612" s="12" t="s">
        <v>24</v>
      </c>
    </row>
    <row r="11613" spans="1:11" ht="40.049999999999997" customHeight="1" x14ac:dyDescent="0.25">
      <c r="A11613" s="11" t="s">
        <v>22921</v>
      </c>
      <c r="B11613" s="11" t="s">
        <v>22921</v>
      </c>
      <c r="C11613" s="11" t="s">
        <v>80</v>
      </c>
      <c r="D11613" s="11" t="s">
        <v>18</v>
      </c>
      <c r="E11613" s="12" t="s">
        <v>246</v>
      </c>
      <c r="F11613" s="12" t="s">
        <v>247</v>
      </c>
      <c r="G11613" s="12" t="s">
        <v>21</v>
      </c>
      <c r="H11613" s="11" t="s">
        <v>22</v>
      </c>
      <c r="I11613" s="13" t="s">
        <v>22922</v>
      </c>
      <c r="J11613" s="14" t="str">
        <f>HYPERLINK("https://www.boe.es/gazeta/dias/1839/11/24/pdfs/GMD-1839-1841.pdf#page=4","Abrir facsímil")</f>
        <v>Abrir facsímil</v>
      </c>
      <c r="K11613" s="12" t="s">
        <v>24</v>
      </c>
    </row>
    <row r="11614" spans="1:11" ht="40.049999999999997" customHeight="1" x14ac:dyDescent="0.25">
      <c r="A11614" s="11" t="s">
        <v>22923</v>
      </c>
      <c r="B11614" s="11" t="s">
        <v>22923</v>
      </c>
      <c r="C11614" s="11" t="s">
        <v>17</v>
      </c>
      <c r="D11614" s="11" t="s">
        <v>18</v>
      </c>
      <c r="E11614" s="12" t="s">
        <v>2210</v>
      </c>
      <c r="F11614" s="12" t="s">
        <v>2211</v>
      </c>
      <c r="G11614" s="12" t="s">
        <v>29</v>
      </c>
      <c r="H11614" s="11" t="s">
        <v>63</v>
      </c>
      <c r="I11614" s="13" t="s">
        <v>22924</v>
      </c>
      <c r="J11614" s="14" t="str">
        <f>HYPERLINK("https://www.boe.es/gazeta/dias/1839/09/05/pdfs/GMD-1839-1758.pdf#page=1","Abrir facsímil")</f>
        <v>Abrir facsímil</v>
      </c>
      <c r="K11614" s="12" t="s">
        <v>65</v>
      </c>
    </row>
    <row r="11615" spans="1:11" ht="40.049999999999997" customHeight="1" x14ac:dyDescent="0.25">
      <c r="A11615" s="11" t="s">
        <v>22923</v>
      </c>
      <c r="B11615" s="11" t="s">
        <v>22923</v>
      </c>
      <c r="C11615" s="11" t="s">
        <v>17</v>
      </c>
      <c r="D11615" s="11" t="s">
        <v>18</v>
      </c>
      <c r="E11615" s="12" t="s">
        <v>2210</v>
      </c>
      <c r="F11615" s="12" t="s">
        <v>2211</v>
      </c>
      <c r="G11615" s="12" t="s">
        <v>40</v>
      </c>
      <c r="H11615" s="11" t="s">
        <v>63</v>
      </c>
      <c r="I11615" s="13" t="s">
        <v>22925</v>
      </c>
      <c r="J11615" s="14" t="str">
        <f>HYPERLINK("https://www.boe.es/gazeta/dias/1839/09/05/pdfs/GMD-1839-1758.pdf#page=2","Abrir facsímil")</f>
        <v>Abrir facsímil</v>
      </c>
      <c r="K11615" s="12" t="s">
        <v>65</v>
      </c>
    </row>
    <row r="11616" spans="1:11" ht="40.049999999999997" customHeight="1" x14ac:dyDescent="0.25">
      <c r="A11616" s="11" t="s">
        <v>22923</v>
      </c>
      <c r="B11616" s="11" t="s">
        <v>22923</v>
      </c>
      <c r="C11616" s="11" t="s">
        <v>101</v>
      </c>
      <c r="D11616" s="11" t="s">
        <v>102</v>
      </c>
      <c r="E11616" s="12" t="s">
        <v>280</v>
      </c>
      <c r="F11616" s="12" t="s">
        <v>281</v>
      </c>
      <c r="G11616" s="12" t="s">
        <v>29</v>
      </c>
      <c r="H11616" s="11" t="s">
        <v>63</v>
      </c>
      <c r="I11616" s="13" t="s">
        <v>22926</v>
      </c>
      <c r="J11616" s="14" t="str">
        <f>HYPERLINK("https://www.boe.es/gazeta/dias/1839/08/21/pdfs/GMD-1839-1742.pdf#page=1","Abrir facsímil")</f>
        <v>Abrir facsímil</v>
      </c>
      <c r="K11616" s="12" t="s">
        <v>65</v>
      </c>
    </row>
    <row r="11617" spans="1:11" ht="40.049999999999997" customHeight="1" x14ac:dyDescent="0.25">
      <c r="A11617" s="11" t="s">
        <v>22923</v>
      </c>
      <c r="B11617" s="11" t="s">
        <v>22923</v>
      </c>
      <c r="C11617" s="11" t="s">
        <v>137</v>
      </c>
      <c r="D11617" s="11" t="s">
        <v>18</v>
      </c>
      <c r="E11617" s="12" t="s">
        <v>1474</v>
      </c>
      <c r="F11617" s="12" t="s">
        <v>1475</v>
      </c>
      <c r="G11617" s="12" t="s">
        <v>21</v>
      </c>
      <c r="H11617" s="11" t="s">
        <v>63</v>
      </c>
      <c r="I11617" s="13" t="s">
        <v>22927</v>
      </c>
      <c r="J11617" s="14" t="str">
        <f>HYPERLINK("https://www.boe.es/gazeta/dias/1839/02/28/pdfs/GMD-1839-1566.pdf#page=4","Abrir facsímil")</f>
        <v>Abrir facsímil</v>
      </c>
      <c r="K11617" s="12" t="s">
        <v>65</v>
      </c>
    </row>
    <row r="11618" spans="1:11" ht="40.049999999999997" customHeight="1" x14ac:dyDescent="0.25">
      <c r="A11618" s="11" t="s">
        <v>22928</v>
      </c>
      <c r="B11618" s="11" t="s">
        <v>22928</v>
      </c>
      <c r="C11618" s="11" t="s">
        <v>101</v>
      </c>
      <c r="D11618" s="11" t="s">
        <v>43</v>
      </c>
      <c r="E11618" s="12" t="s">
        <v>239</v>
      </c>
      <c r="F11618" s="12" t="s">
        <v>240</v>
      </c>
      <c r="G11618" s="12" t="s">
        <v>40</v>
      </c>
      <c r="H11618" s="11" t="s">
        <v>22</v>
      </c>
      <c r="I11618" s="13" t="s">
        <v>22929</v>
      </c>
      <c r="J11618" s="14" t="str">
        <f>HYPERLINK("https://www.boe.es/gazeta/dias/1839/09/22/pdfs/GMD-1839-1777.pdf#page=2","Abrir facsímil")</f>
        <v>Abrir facsímil</v>
      </c>
      <c r="K11618" s="12" t="s">
        <v>24</v>
      </c>
    </row>
    <row r="11619" spans="1:11" ht="40.049999999999997" customHeight="1" x14ac:dyDescent="0.25">
      <c r="A11619" s="11" t="s">
        <v>22930</v>
      </c>
      <c r="B11619" s="11" t="s">
        <v>22930</v>
      </c>
      <c r="C11619" s="11" t="s">
        <v>17</v>
      </c>
      <c r="D11619" s="11" t="s">
        <v>18</v>
      </c>
      <c r="E11619" s="12" t="s">
        <v>239</v>
      </c>
      <c r="F11619" s="12" t="s">
        <v>240</v>
      </c>
      <c r="G11619" s="12" t="s">
        <v>40</v>
      </c>
      <c r="H11619" s="11" t="s">
        <v>22</v>
      </c>
      <c r="I11619" s="13" t="s">
        <v>22931</v>
      </c>
      <c r="J11619" s="14" t="str">
        <f>HYPERLINK("https://www.boe.es/gazeta/dias/1839/09/22/pdfs/GMD-1839-1777.pdf#page=2","Abrir facsímil")</f>
        <v>Abrir facsímil</v>
      </c>
      <c r="K11619" s="12" t="s">
        <v>24</v>
      </c>
    </row>
    <row r="11620" spans="1:11" ht="40.049999999999997" customHeight="1" x14ac:dyDescent="0.25">
      <c r="A11620" s="11" t="s">
        <v>22932</v>
      </c>
      <c r="B11620" s="11" t="s">
        <v>22932</v>
      </c>
      <c r="C11620" s="11" t="s">
        <v>17</v>
      </c>
      <c r="D11620" s="11" t="s">
        <v>18</v>
      </c>
      <c r="E11620" s="12" t="s">
        <v>239</v>
      </c>
      <c r="F11620" s="12" t="s">
        <v>240</v>
      </c>
      <c r="G11620" s="12" t="s">
        <v>40</v>
      </c>
      <c r="H11620" s="11" t="s">
        <v>22</v>
      </c>
      <c r="I11620" s="13" t="s">
        <v>22933</v>
      </c>
      <c r="J11620" s="14" t="str">
        <f>HYPERLINK("https://www.boe.es/gazeta/dias/1839/09/22/pdfs/GMD-1839-1777.pdf#page=2","Abrir facsímil")</f>
        <v>Abrir facsímil</v>
      </c>
      <c r="K11620" s="12" t="s">
        <v>24</v>
      </c>
    </row>
    <row r="11621" spans="1:11" ht="40.049999999999997" customHeight="1" x14ac:dyDescent="0.25">
      <c r="A11621" s="11" t="s">
        <v>22932</v>
      </c>
      <c r="B11621" s="11" t="s">
        <v>22932</v>
      </c>
      <c r="C11621" s="11" t="s">
        <v>17</v>
      </c>
      <c r="D11621" s="11" t="s">
        <v>18</v>
      </c>
      <c r="E11621" s="12" t="s">
        <v>1867</v>
      </c>
      <c r="F11621" s="12" t="s">
        <v>1868</v>
      </c>
      <c r="G11621" s="12" t="s">
        <v>29</v>
      </c>
      <c r="H11621" s="11" t="s">
        <v>22</v>
      </c>
      <c r="I11621" s="13" t="s">
        <v>22934</v>
      </c>
      <c r="J11621" s="14" t="str">
        <f>HYPERLINK("https://www.boe.es/gazeta/dias/1839/01/30/pdfs/GMD-1839-1537.pdf#page=1","Abrir facsímil")</f>
        <v>Abrir facsímil</v>
      </c>
      <c r="K11621" s="12" t="s">
        <v>24</v>
      </c>
    </row>
    <row r="11622" spans="1:11" ht="40.049999999999997" customHeight="1" x14ac:dyDescent="0.25">
      <c r="A11622" s="11" t="s">
        <v>22935</v>
      </c>
      <c r="B11622" s="11" t="s">
        <v>22935</v>
      </c>
      <c r="C11622" s="11" t="s">
        <v>17</v>
      </c>
      <c r="D11622" s="11" t="s">
        <v>18</v>
      </c>
      <c r="E11622" s="12" t="s">
        <v>157</v>
      </c>
      <c r="F11622" s="12" t="s">
        <v>158</v>
      </c>
      <c r="G11622" s="12" t="s">
        <v>29</v>
      </c>
      <c r="H11622" s="11" t="s">
        <v>22</v>
      </c>
      <c r="I11622" s="13" t="s">
        <v>22936</v>
      </c>
      <c r="J11622" s="14" t="str">
        <f>HYPERLINK("https://www.boe.es/gazeta/dias/1839/02/08/pdfs/GMD-1839-1546.pdf#page=1","Abrir facsímil")</f>
        <v>Abrir facsímil</v>
      </c>
      <c r="K11622" s="12" t="s">
        <v>24</v>
      </c>
    </row>
    <row r="11623" spans="1:11" ht="40.049999999999997" customHeight="1" x14ac:dyDescent="0.25">
      <c r="A11623" s="11" t="s">
        <v>22935</v>
      </c>
      <c r="B11623" s="11" t="s">
        <v>22935</v>
      </c>
      <c r="C11623" s="11" t="s">
        <v>137</v>
      </c>
      <c r="D11623" s="11" t="s">
        <v>18</v>
      </c>
      <c r="E11623" s="12" t="s">
        <v>239</v>
      </c>
      <c r="F11623" s="12" t="s">
        <v>240</v>
      </c>
      <c r="G11623" s="12" t="s">
        <v>40</v>
      </c>
      <c r="H11623" s="11" t="s">
        <v>22</v>
      </c>
      <c r="I11623" s="13" t="s">
        <v>22937</v>
      </c>
      <c r="J11623" s="14" t="str">
        <f>HYPERLINK("https://www.boe.es/gazeta/dias/1839/09/22/pdfs/GMD-1839-1777.pdf#page=2","Abrir facsímil")</f>
        <v>Abrir facsímil</v>
      </c>
      <c r="K11623" s="12" t="s">
        <v>24</v>
      </c>
    </row>
    <row r="11624" spans="1:11" ht="40.049999999999997" customHeight="1" x14ac:dyDescent="0.25">
      <c r="A11624" s="11" t="s">
        <v>22935</v>
      </c>
      <c r="B11624" s="11" t="s">
        <v>22935</v>
      </c>
      <c r="C11624" s="11" t="s">
        <v>17</v>
      </c>
      <c r="D11624" s="11" t="s">
        <v>18</v>
      </c>
      <c r="E11624" s="12" t="s">
        <v>276</v>
      </c>
      <c r="F11624" s="12" t="s">
        <v>277</v>
      </c>
      <c r="G11624" s="12" t="s">
        <v>46</v>
      </c>
      <c r="H11624" s="11" t="s">
        <v>22</v>
      </c>
      <c r="I11624" s="13" t="s">
        <v>22938</v>
      </c>
      <c r="J11624" s="14" t="str">
        <f>HYPERLINK("https://www.boe.es/gazeta/dias/1839/09/24/pdfs/GMD-1839-1780.pdf#page=3","Abrir facsímil")</f>
        <v>Abrir facsímil</v>
      </c>
      <c r="K11624" s="12" t="s">
        <v>24</v>
      </c>
    </row>
    <row r="11625" spans="1:11" ht="40.049999999999997" customHeight="1" x14ac:dyDescent="0.25">
      <c r="A11625" s="11" t="s">
        <v>22935</v>
      </c>
      <c r="B11625" s="11" t="s">
        <v>22935</v>
      </c>
      <c r="C11625" s="11" t="s">
        <v>17</v>
      </c>
      <c r="D11625" s="11" t="s">
        <v>18</v>
      </c>
      <c r="E11625" s="12" t="s">
        <v>1909</v>
      </c>
      <c r="F11625" s="12" t="s">
        <v>1910</v>
      </c>
      <c r="G11625" s="12" t="s">
        <v>40</v>
      </c>
      <c r="H11625" s="11" t="s">
        <v>22</v>
      </c>
      <c r="I11625" s="13" t="s">
        <v>22939</v>
      </c>
      <c r="J11625" s="14" t="str">
        <f>HYPERLINK("https://www.boe.es/gazeta/dias/1839/10/27/pdfs/GMD-1839-1813.pdf#page=2","Abrir facsímil")</f>
        <v>Abrir facsímil</v>
      </c>
      <c r="K11625" s="12" t="s">
        <v>24</v>
      </c>
    </row>
    <row r="11626" spans="1:11" ht="40.049999999999997" customHeight="1" x14ac:dyDescent="0.25">
      <c r="A11626" s="11" t="s">
        <v>22935</v>
      </c>
      <c r="B11626" s="11" t="s">
        <v>22935</v>
      </c>
      <c r="C11626" s="11" t="s">
        <v>101</v>
      </c>
      <c r="D11626" s="11" t="s">
        <v>102</v>
      </c>
      <c r="E11626" s="12" t="s">
        <v>1807</v>
      </c>
      <c r="F11626" s="12" t="s">
        <v>1808</v>
      </c>
      <c r="G11626" s="12" t="s">
        <v>40</v>
      </c>
      <c r="H11626" s="11" t="s">
        <v>22</v>
      </c>
      <c r="I11626" s="13" t="s">
        <v>22940</v>
      </c>
      <c r="J11626" s="14" t="str">
        <f>HYPERLINK("https://www.boe.es/gazeta/dias/1839/01/29/pdfs/GMD-1839-1536.pdf#page=2","Abrir facsímil")</f>
        <v>Abrir facsímil</v>
      </c>
      <c r="K11626" s="12" t="s">
        <v>24</v>
      </c>
    </row>
    <row r="11627" spans="1:11" ht="40.049999999999997" customHeight="1" x14ac:dyDescent="0.25">
      <c r="A11627" s="11" t="s">
        <v>22935</v>
      </c>
      <c r="B11627" s="11" t="s">
        <v>22935</v>
      </c>
      <c r="C11627" s="11" t="s">
        <v>17</v>
      </c>
      <c r="D11627" s="11" t="s">
        <v>18</v>
      </c>
      <c r="E11627" s="12" t="s">
        <v>1867</v>
      </c>
      <c r="F11627" s="12" t="s">
        <v>1868</v>
      </c>
      <c r="G11627" s="12" t="s">
        <v>29</v>
      </c>
      <c r="H11627" s="11" t="s">
        <v>22</v>
      </c>
      <c r="I11627" s="13" t="s">
        <v>22941</v>
      </c>
      <c r="J11627" s="14" t="str">
        <f>HYPERLINK("https://www.boe.es/gazeta/dias/1839/01/30/pdfs/GMD-1839-1537.pdf#page=1","Abrir facsímil")</f>
        <v>Abrir facsímil</v>
      </c>
      <c r="K11627" s="12" t="s">
        <v>24</v>
      </c>
    </row>
    <row r="11628" spans="1:11" ht="40.049999999999997" customHeight="1" x14ac:dyDescent="0.25">
      <c r="A11628" s="11" t="s">
        <v>22942</v>
      </c>
      <c r="B11628" s="11" t="s">
        <v>22942</v>
      </c>
      <c r="C11628" s="11" t="s">
        <v>80</v>
      </c>
      <c r="D11628" s="11" t="s">
        <v>18</v>
      </c>
      <c r="E11628" s="12" t="s">
        <v>1867</v>
      </c>
      <c r="F11628" s="12" t="s">
        <v>1868</v>
      </c>
      <c r="G11628" s="12" t="s">
        <v>40</v>
      </c>
      <c r="H11628" s="11" t="s">
        <v>63</v>
      </c>
      <c r="I11628" s="13" t="s">
        <v>22943</v>
      </c>
      <c r="J11628" s="14" t="str">
        <f>HYPERLINK("https://www.boe.es/gazeta/dias/1839/01/30/pdfs/GMD-1839-1537.pdf#page=2","Abrir facsímil")</f>
        <v>Abrir facsímil</v>
      </c>
      <c r="K11628" s="12" t="s">
        <v>65</v>
      </c>
    </row>
    <row r="11629" spans="1:11" ht="40.049999999999997" customHeight="1" x14ac:dyDescent="0.25">
      <c r="A11629" s="11" t="s">
        <v>22944</v>
      </c>
      <c r="B11629" s="11" t="s">
        <v>22944</v>
      </c>
      <c r="C11629" s="11" t="s">
        <v>17</v>
      </c>
      <c r="D11629" s="11" t="s">
        <v>18</v>
      </c>
      <c r="E11629" s="12" t="s">
        <v>798</v>
      </c>
      <c r="F11629" s="12" t="s">
        <v>799</v>
      </c>
      <c r="G11629" s="12" t="s">
        <v>40</v>
      </c>
      <c r="H11629" s="11" t="s">
        <v>63</v>
      </c>
      <c r="I11629" s="13" t="s">
        <v>22945</v>
      </c>
      <c r="J11629" s="14" t="str">
        <f>HYPERLINK("https://www.boe.es/gazeta/dias/1839/09/03/pdfs/GMD-1839-1755.pdf#page=2","Abrir facsímil")</f>
        <v>Abrir facsímil</v>
      </c>
      <c r="K11629" s="12" t="s">
        <v>65</v>
      </c>
    </row>
    <row r="11630" spans="1:11" ht="40.049999999999997" customHeight="1" x14ac:dyDescent="0.25">
      <c r="A11630" s="11" t="s">
        <v>22946</v>
      </c>
      <c r="B11630" s="11" t="s">
        <v>22946</v>
      </c>
      <c r="C11630" s="11" t="s">
        <v>17</v>
      </c>
      <c r="D11630" s="11" t="s">
        <v>18</v>
      </c>
      <c r="E11630" s="12" t="s">
        <v>751</v>
      </c>
      <c r="F11630" s="12" t="s">
        <v>752</v>
      </c>
      <c r="G11630" s="12" t="s">
        <v>40</v>
      </c>
      <c r="H11630" s="11" t="s">
        <v>22</v>
      </c>
      <c r="I11630" s="13" t="s">
        <v>22947</v>
      </c>
      <c r="J11630" s="14" t="str">
        <f>HYPERLINK("https://www.boe.es/gazeta/dias/1839/02/05/pdfs/GMD-1839-1543.pdf#page=2","Abrir facsímil")</f>
        <v>Abrir facsímil</v>
      </c>
      <c r="K11630" s="12" t="s">
        <v>24</v>
      </c>
    </row>
    <row r="11631" spans="1:11" ht="40.049999999999997" customHeight="1" x14ac:dyDescent="0.25">
      <c r="A11631" s="11" t="s">
        <v>22946</v>
      </c>
      <c r="B11631" s="11" t="s">
        <v>22946</v>
      </c>
      <c r="C11631" s="11" t="s">
        <v>17</v>
      </c>
      <c r="D11631" s="11" t="s">
        <v>18</v>
      </c>
      <c r="E11631" s="12" t="s">
        <v>453</v>
      </c>
      <c r="F11631" s="12" t="s">
        <v>454</v>
      </c>
      <c r="G11631" s="12" t="s">
        <v>29</v>
      </c>
      <c r="H11631" s="11" t="s">
        <v>22</v>
      </c>
      <c r="I11631" s="13" t="s">
        <v>22948</v>
      </c>
      <c r="J11631" s="14" t="str">
        <f>HYPERLINK("https://www.boe.es/gazeta/dias/1839/02/07/pdfs/GMD-1839-1545.pdf#page=1","Abrir facsímil")</f>
        <v>Abrir facsímil</v>
      </c>
      <c r="K11631" s="12" t="s">
        <v>24</v>
      </c>
    </row>
    <row r="11632" spans="1:11" ht="40.049999999999997" customHeight="1" x14ac:dyDescent="0.25">
      <c r="A11632" s="11" t="s">
        <v>22944</v>
      </c>
      <c r="B11632" s="11" t="s">
        <v>22944</v>
      </c>
      <c r="C11632" s="11" t="s">
        <v>101</v>
      </c>
      <c r="D11632" s="11" t="s">
        <v>43</v>
      </c>
      <c r="E11632" s="12" t="s">
        <v>1909</v>
      </c>
      <c r="F11632" s="12" t="s">
        <v>1910</v>
      </c>
      <c r="G11632" s="12" t="s">
        <v>40</v>
      </c>
      <c r="H11632" s="11" t="s">
        <v>63</v>
      </c>
      <c r="I11632" s="13" t="s">
        <v>22949</v>
      </c>
      <c r="J11632" s="14" t="str">
        <f>HYPERLINK("https://www.boe.es/gazeta/dias/1839/10/27/pdfs/GMD-1839-1813.pdf#page=2","Abrir facsímil")</f>
        <v>Abrir facsímil</v>
      </c>
      <c r="K11632" s="12" t="s">
        <v>65</v>
      </c>
    </row>
    <row r="11633" spans="1:11" ht="40.049999999999997" customHeight="1" x14ac:dyDescent="0.25">
      <c r="A11633" s="11" t="s">
        <v>22944</v>
      </c>
      <c r="B11633" s="11" t="s">
        <v>22944</v>
      </c>
      <c r="C11633" s="11" t="s">
        <v>17</v>
      </c>
      <c r="D11633" s="11" t="s">
        <v>18</v>
      </c>
      <c r="E11633" s="12" t="s">
        <v>1807</v>
      </c>
      <c r="F11633" s="12" t="s">
        <v>1808</v>
      </c>
      <c r="G11633" s="12" t="s">
        <v>40</v>
      </c>
      <c r="H11633" s="11" t="s">
        <v>63</v>
      </c>
      <c r="I11633" s="13" t="s">
        <v>22950</v>
      </c>
      <c r="J11633" s="14" t="str">
        <f>HYPERLINK("https://www.boe.es/gazeta/dias/1839/01/29/pdfs/GMD-1839-1536.pdf#page=2","Abrir facsímil")</f>
        <v>Abrir facsímil</v>
      </c>
      <c r="K11633" s="12" t="s">
        <v>65</v>
      </c>
    </row>
    <row r="11634" spans="1:11" ht="40.049999999999997" customHeight="1" x14ac:dyDescent="0.25">
      <c r="A11634" s="11" t="s">
        <v>22946</v>
      </c>
      <c r="B11634" s="11" t="s">
        <v>22946</v>
      </c>
      <c r="C11634" s="11" t="s">
        <v>101</v>
      </c>
      <c r="D11634" s="11" t="s">
        <v>102</v>
      </c>
      <c r="E11634" s="12" t="s">
        <v>1988</v>
      </c>
      <c r="F11634" s="12" t="s">
        <v>1989</v>
      </c>
      <c r="G11634" s="12" t="s">
        <v>40</v>
      </c>
      <c r="H11634" s="11" t="s">
        <v>22</v>
      </c>
      <c r="I11634" s="13" t="s">
        <v>22951</v>
      </c>
      <c r="J11634" s="14" t="str">
        <f>HYPERLINK("https://www.boe.es/gazeta/dias/1839/10/29/pdfs/GMD-1839-1815.pdf#page=2","Abrir facsímil")</f>
        <v>Abrir facsímil</v>
      </c>
      <c r="K11634" s="12" t="s">
        <v>24</v>
      </c>
    </row>
    <row r="11635" spans="1:11" ht="40.049999999999997" customHeight="1" x14ac:dyDescent="0.25">
      <c r="A11635" s="11" t="s">
        <v>22944</v>
      </c>
      <c r="B11635" s="11" t="s">
        <v>22944</v>
      </c>
      <c r="C11635" s="11" t="s">
        <v>17</v>
      </c>
      <c r="D11635" s="11" t="s">
        <v>18</v>
      </c>
      <c r="E11635" s="12" t="s">
        <v>1867</v>
      </c>
      <c r="F11635" s="12" t="s">
        <v>1868</v>
      </c>
      <c r="G11635" s="12" t="s">
        <v>29</v>
      </c>
      <c r="H11635" s="11" t="s">
        <v>63</v>
      </c>
      <c r="I11635" s="13" t="s">
        <v>22952</v>
      </c>
      <c r="J11635" s="14" t="str">
        <f>HYPERLINK("https://www.boe.es/gazeta/dias/1839/01/30/pdfs/GMD-1839-1537.pdf#page=1","Abrir facsímil")</f>
        <v>Abrir facsímil</v>
      </c>
      <c r="K11635" s="12" t="s">
        <v>65</v>
      </c>
    </row>
    <row r="11636" spans="1:11" ht="40.049999999999997" customHeight="1" x14ac:dyDescent="0.25">
      <c r="A11636" s="11" t="s">
        <v>22953</v>
      </c>
      <c r="B11636" s="11" t="s">
        <v>22954</v>
      </c>
      <c r="C11636" s="11" t="s">
        <v>137</v>
      </c>
      <c r="D11636" s="11" t="s">
        <v>18</v>
      </c>
      <c r="E11636" s="12" t="s">
        <v>798</v>
      </c>
      <c r="F11636" s="12" t="s">
        <v>799</v>
      </c>
      <c r="G11636" s="12" t="s">
        <v>40</v>
      </c>
      <c r="H11636" s="11" t="s">
        <v>63</v>
      </c>
      <c r="I11636" s="13" t="s">
        <v>22955</v>
      </c>
      <c r="J11636" s="14" t="str">
        <f>HYPERLINK("https://www.boe.es/gazeta/dias/1839/09/03/pdfs/GMD-1839-1755.pdf#page=2","Abrir facsímil")</f>
        <v>Abrir facsímil</v>
      </c>
      <c r="K11636" s="12" t="s">
        <v>65</v>
      </c>
    </row>
    <row r="11637" spans="1:11" ht="40.049999999999997" customHeight="1" x14ac:dyDescent="0.25">
      <c r="A11637" s="11" t="s">
        <v>22956</v>
      </c>
      <c r="B11637" s="11" t="s">
        <v>22956</v>
      </c>
      <c r="C11637" s="11" t="s">
        <v>17</v>
      </c>
      <c r="D11637" s="11" t="s">
        <v>18</v>
      </c>
      <c r="E11637" s="12" t="s">
        <v>453</v>
      </c>
      <c r="F11637" s="12" t="s">
        <v>454</v>
      </c>
      <c r="G11637" s="12" t="s">
        <v>29</v>
      </c>
      <c r="H11637" s="11" t="s">
        <v>63</v>
      </c>
      <c r="I11637" s="13" t="s">
        <v>22957</v>
      </c>
      <c r="J11637" s="14" t="str">
        <f>HYPERLINK("https://www.boe.es/gazeta/dias/1839/02/07/pdfs/GMD-1839-1545.pdf#page=1","Abrir facsímil")</f>
        <v>Abrir facsímil</v>
      </c>
      <c r="K11637" s="12" t="s">
        <v>65</v>
      </c>
    </row>
    <row r="11638" spans="1:11" ht="40.049999999999997" customHeight="1" x14ac:dyDescent="0.25">
      <c r="A11638" s="11" t="s">
        <v>22958</v>
      </c>
      <c r="B11638" s="11" t="s">
        <v>22958</v>
      </c>
      <c r="C11638" s="11" t="s">
        <v>17</v>
      </c>
      <c r="D11638" s="11" t="s">
        <v>18</v>
      </c>
      <c r="E11638" s="12" t="s">
        <v>284</v>
      </c>
      <c r="F11638" s="12" t="s">
        <v>285</v>
      </c>
      <c r="G11638" s="12" t="s">
        <v>29</v>
      </c>
      <c r="H11638" s="11" t="s">
        <v>22</v>
      </c>
      <c r="I11638" s="13" t="s">
        <v>22959</v>
      </c>
      <c r="J11638" s="14" t="str">
        <f>HYPERLINK("https://www.boe.es/gazeta/dias/1839/01/27/pdfs/GMD-1839-1534.pdf#page=1","Abrir facsímil")</f>
        <v>Abrir facsímil</v>
      </c>
      <c r="K11638" s="12" t="s">
        <v>24</v>
      </c>
    </row>
    <row r="11639" spans="1:11" ht="40.049999999999997" customHeight="1" x14ac:dyDescent="0.25">
      <c r="A11639" s="11" t="s">
        <v>22960</v>
      </c>
      <c r="B11639" s="11" t="s">
        <v>22960</v>
      </c>
      <c r="C11639" s="11" t="s">
        <v>17</v>
      </c>
      <c r="D11639" s="11" t="s">
        <v>43</v>
      </c>
      <c r="E11639" s="12" t="s">
        <v>409</v>
      </c>
      <c r="F11639" s="12" t="s">
        <v>410</v>
      </c>
      <c r="G11639" s="12" t="s">
        <v>21</v>
      </c>
      <c r="H11639" s="11" t="s">
        <v>22</v>
      </c>
      <c r="I11639" s="13" t="s">
        <v>22961</v>
      </c>
      <c r="J11639" s="14" t="str">
        <f>HYPERLINK("https://www.boe.es/gazeta/dias/1839/07/05/pdfs/GMD-1839-1693.pdf#page=4","Abrir facsímil")</f>
        <v>Abrir facsímil</v>
      </c>
      <c r="K11639" s="12" t="s">
        <v>24</v>
      </c>
    </row>
    <row r="11640" spans="1:11" ht="40.049999999999997" customHeight="1" x14ac:dyDescent="0.25">
      <c r="A11640" s="11" t="s">
        <v>22960</v>
      </c>
      <c r="B11640" s="11" t="s">
        <v>22960</v>
      </c>
      <c r="C11640" s="11" t="s">
        <v>80</v>
      </c>
      <c r="D11640" s="11" t="s">
        <v>18</v>
      </c>
      <c r="E11640" s="12" t="s">
        <v>611</v>
      </c>
      <c r="F11640" s="12" t="s">
        <v>612</v>
      </c>
      <c r="G11640" s="12" t="s">
        <v>21</v>
      </c>
      <c r="H11640" s="11" t="s">
        <v>22</v>
      </c>
      <c r="I11640" s="13" t="s">
        <v>22962</v>
      </c>
      <c r="J11640" s="14" t="str">
        <f>HYPERLINK("https://www.boe.es/gazeta/dias/1839/07/22/pdfs/GMD-1839-1710.pdf#page=4","Abrir facsímil")</f>
        <v>Abrir facsímil</v>
      </c>
      <c r="K11640" s="12" t="s">
        <v>24</v>
      </c>
    </row>
    <row r="11641" spans="1:11" ht="40.049999999999997" customHeight="1" x14ac:dyDescent="0.25">
      <c r="A11641" s="11" t="s">
        <v>22963</v>
      </c>
      <c r="B11641" s="11" t="s">
        <v>22963</v>
      </c>
      <c r="C11641" s="11" t="s">
        <v>17</v>
      </c>
      <c r="D11641" s="11" t="s">
        <v>18</v>
      </c>
      <c r="E11641" s="12" t="s">
        <v>280</v>
      </c>
      <c r="F11641" s="12" t="s">
        <v>281</v>
      </c>
      <c r="G11641" s="12" t="s">
        <v>21</v>
      </c>
      <c r="H11641" s="11" t="s">
        <v>22</v>
      </c>
      <c r="I11641" s="13" t="s">
        <v>22964</v>
      </c>
      <c r="J11641" s="14" t="str">
        <f>HYPERLINK("https://www.boe.es/gazeta/dias/1839/08/21/pdfs/GMD-1839-1742.pdf#page=4","Abrir facsímil")</f>
        <v>Abrir facsímil</v>
      </c>
      <c r="K11641" s="12" t="s">
        <v>24</v>
      </c>
    </row>
    <row r="11642" spans="1:11" ht="40.049999999999997" customHeight="1" x14ac:dyDescent="0.25">
      <c r="A11642" s="11" t="s">
        <v>22965</v>
      </c>
      <c r="B11642" s="11" t="s">
        <v>22965</v>
      </c>
      <c r="C11642" s="11" t="s">
        <v>17</v>
      </c>
      <c r="D11642" s="11" t="s">
        <v>18</v>
      </c>
      <c r="E11642" s="12" t="s">
        <v>81</v>
      </c>
      <c r="F11642" s="12" t="s">
        <v>82</v>
      </c>
      <c r="G11642" s="12" t="s">
        <v>21</v>
      </c>
      <c r="H11642" s="11" t="s">
        <v>22</v>
      </c>
      <c r="I11642" s="13" t="s">
        <v>22966</v>
      </c>
      <c r="J11642" s="14" t="str">
        <f>HYPERLINK("https://www.boe.es/gazeta/dias/1839/03/03/pdfs/GMD-1839-1569.pdf#page=4","Abrir facsímil")</f>
        <v>Abrir facsímil</v>
      </c>
      <c r="K11642" s="12" t="s">
        <v>24</v>
      </c>
    </row>
    <row r="11643" spans="1:11" ht="40.049999999999997" customHeight="1" x14ac:dyDescent="0.25">
      <c r="A11643" s="11" t="s">
        <v>22965</v>
      </c>
      <c r="B11643" s="11" t="s">
        <v>22965</v>
      </c>
      <c r="C11643" s="11" t="s">
        <v>17</v>
      </c>
      <c r="D11643" s="11" t="s">
        <v>18</v>
      </c>
      <c r="E11643" s="12" t="s">
        <v>959</v>
      </c>
      <c r="F11643" s="12" t="s">
        <v>960</v>
      </c>
      <c r="G11643" s="12" t="s">
        <v>46</v>
      </c>
      <c r="H11643" s="11" t="s">
        <v>22</v>
      </c>
      <c r="I11643" s="13" t="s">
        <v>22967</v>
      </c>
      <c r="J11643" s="14" t="str">
        <f>HYPERLINK("https://www.boe.es/gazeta/dias/1839/12/06/pdfs/GMD-1839-1853.pdf#page=3","Abrir facsímil")</f>
        <v>Abrir facsímil</v>
      </c>
      <c r="K11643" s="12" t="s">
        <v>24</v>
      </c>
    </row>
    <row r="11644" spans="1:11" ht="40.049999999999997" customHeight="1" x14ac:dyDescent="0.25">
      <c r="A11644" s="11" t="s">
        <v>22968</v>
      </c>
      <c r="B11644" s="11" t="s">
        <v>22968</v>
      </c>
      <c r="C11644" s="11" t="s">
        <v>80</v>
      </c>
      <c r="D11644" s="11" t="s">
        <v>173</v>
      </c>
      <c r="E11644" s="12" t="s">
        <v>89</v>
      </c>
      <c r="F11644" s="12" t="s">
        <v>90</v>
      </c>
      <c r="G11644" s="12" t="s">
        <v>21</v>
      </c>
      <c r="H11644" s="11" t="s">
        <v>22</v>
      </c>
      <c r="I11644" s="13" t="s">
        <v>22969</v>
      </c>
      <c r="J11644" s="14" t="str">
        <f>HYPERLINK("https://www.boe.es/gazeta/dias/1839/11/28/pdfs/GMD-1839-1845.pdf#page=4","Abrir facsímil")</f>
        <v>Abrir facsímil</v>
      </c>
      <c r="K11644" s="12" t="s">
        <v>24</v>
      </c>
    </row>
    <row r="11645" spans="1:11" ht="40.049999999999997" customHeight="1" x14ac:dyDescent="0.25">
      <c r="A11645" s="11" t="s">
        <v>22970</v>
      </c>
      <c r="B11645" s="11" t="s">
        <v>22970</v>
      </c>
      <c r="C11645" s="11" t="s">
        <v>17</v>
      </c>
      <c r="D11645" s="11" t="s">
        <v>18</v>
      </c>
      <c r="E11645" s="12" t="s">
        <v>409</v>
      </c>
      <c r="F11645" s="12" t="s">
        <v>410</v>
      </c>
      <c r="G11645" s="12" t="s">
        <v>21</v>
      </c>
      <c r="H11645" s="11" t="s">
        <v>22</v>
      </c>
      <c r="I11645" s="13" t="s">
        <v>22971</v>
      </c>
      <c r="J11645" s="14" t="str">
        <f>HYPERLINK("https://www.boe.es/gazeta/dias/1839/07/05/pdfs/GMD-1839-1693.pdf#page=4","Abrir facsímil")</f>
        <v>Abrir facsímil</v>
      </c>
      <c r="K11645" s="12" t="s">
        <v>24</v>
      </c>
    </row>
    <row r="11646" spans="1:11" ht="40.049999999999997" customHeight="1" x14ac:dyDescent="0.25">
      <c r="A11646" s="11" t="s">
        <v>22970</v>
      </c>
      <c r="B11646" s="11" t="s">
        <v>22970</v>
      </c>
      <c r="C11646" s="11" t="s">
        <v>101</v>
      </c>
      <c r="D11646" s="11" t="s">
        <v>102</v>
      </c>
      <c r="E11646" s="12" t="s">
        <v>175</v>
      </c>
      <c r="F11646" s="12" t="s">
        <v>176</v>
      </c>
      <c r="G11646" s="12" t="s">
        <v>40</v>
      </c>
      <c r="H11646" s="11" t="s">
        <v>22</v>
      </c>
      <c r="I11646" s="13" t="s">
        <v>22972</v>
      </c>
      <c r="J11646" s="14" t="str">
        <f>HYPERLINK("https://www.boe.es/gazeta/dias/1839/01/16/pdfs/GMD-1839-1523.pdf#page=2","Abrir facsímil")</f>
        <v>Abrir facsímil</v>
      </c>
      <c r="K11646" s="12" t="s">
        <v>24</v>
      </c>
    </row>
    <row r="11647" spans="1:11" ht="40.049999999999997" customHeight="1" x14ac:dyDescent="0.25">
      <c r="A11647" s="11" t="s">
        <v>22973</v>
      </c>
      <c r="B11647" s="11" t="s">
        <v>22973</v>
      </c>
      <c r="C11647" s="11" t="s">
        <v>17</v>
      </c>
      <c r="D11647" s="11" t="s">
        <v>18</v>
      </c>
      <c r="E11647" s="12" t="s">
        <v>1123</v>
      </c>
      <c r="F11647" s="12" t="s">
        <v>1124</v>
      </c>
      <c r="G11647" s="12" t="s">
        <v>29</v>
      </c>
      <c r="H11647" s="11" t="s">
        <v>63</v>
      </c>
      <c r="I11647" s="13" t="s">
        <v>22974</v>
      </c>
      <c r="J11647" s="14" t="str">
        <f>HYPERLINK("https://www.boe.es/gazeta/dias/1839/08/10/pdfs/GMD-1839-1730.pdf#page=1","Abrir facsímil")</f>
        <v>Abrir facsímil</v>
      </c>
      <c r="K11647" s="12" t="s">
        <v>65</v>
      </c>
    </row>
    <row r="11648" spans="1:11" ht="40.049999999999997" customHeight="1" x14ac:dyDescent="0.25">
      <c r="A11648" s="11" t="s">
        <v>22975</v>
      </c>
      <c r="B11648" s="11" t="s">
        <v>22976</v>
      </c>
      <c r="C11648" s="11" t="s">
        <v>17</v>
      </c>
      <c r="D11648" s="11" t="s">
        <v>18</v>
      </c>
      <c r="E11648" s="12" t="s">
        <v>510</v>
      </c>
      <c r="F11648" s="12" t="s">
        <v>511</v>
      </c>
      <c r="G11648" s="12" t="s">
        <v>21</v>
      </c>
      <c r="H11648" s="11" t="s">
        <v>22</v>
      </c>
      <c r="I11648" s="13" t="s">
        <v>22977</v>
      </c>
      <c r="J11648" s="14" t="str">
        <f>HYPERLINK("https://www.boe.es/gazeta/dias/1839/05/13/pdfs/GMD-1839-1640.pdf#page=4","Abrir facsímil")</f>
        <v>Abrir facsímil</v>
      </c>
      <c r="K11648" s="12" t="s">
        <v>24</v>
      </c>
    </row>
    <row r="11649" spans="1:11" ht="40.049999999999997" customHeight="1" x14ac:dyDescent="0.25">
      <c r="A11649" s="11" t="s">
        <v>22978</v>
      </c>
      <c r="B11649" s="11" t="s">
        <v>22979</v>
      </c>
      <c r="C11649" s="11" t="s">
        <v>17</v>
      </c>
      <c r="D11649" s="11" t="s">
        <v>18</v>
      </c>
      <c r="E11649" s="12" t="s">
        <v>1027</v>
      </c>
      <c r="F11649" s="12" t="s">
        <v>1028</v>
      </c>
      <c r="G11649" s="12" t="s">
        <v>21</v>
      </c>
      <c r="H11649" s="11" t="s">
        <v>63</v>
      </c>
      <c r="I11649" s="13" t="s">
        <v>22980</v>
      </c>
      <c r="J11649" s="14" t="str">
        <f>HYPERLINK("https://www.boe.es/gazeta/dias/1839/08/16/pdfs/GMD-1839-1736.pdf#page=4","Abrir facsímil")</f>
        <v>Abrir facsímil</v>
      </c>
      <c r="K11649" s="12" t="s">
        <v>65</v>
      </c>
    </row>
    <row r="11650" spans="1:11" ht="40.049999999999997" customHeight="1" x14ac:dyDescent="0.25">
      <c r="A11650" s="11" t="s">
        <v>22981</v>
      </c>
      <c r="B11650" s="11" t="s">
        <v>22981</v>
      </c>
      <c r="C11650" s="11" t="s">
        <v>137</v>
      </c>
      <c r="D11650" s="11" t="s">
        <v>18</v>
      </c>
      <c r="E11650" s="12" t="s">
        <v>2851</v>
      </c>
      <c r="F11650" s="12" t="s">
        <v>2852</v>
      </c>
      <c r="G11650" s="12" t="s">
        <v>21</v>
      </c>
      <c r="H11650" s="11" t="s">
        <v>22</v>
      </c>
      <c r="I11650" s="13" t="s">
        <v>22982</v>
      </c>
      <c r="J11650" s="14" t="str">
        <f>HYPERLINK("https://www.boe.es/gazeta/dias/1839/05/16/pdfs/GMD-1839-1643.pdf#page=4","Abrir facsímil")</f>
        <v>Abrir facsímil</v>
      </c>
      <c r="K11650" s="12" t="s">
        <v>24</v>
      </c>
    </row>
    <row r="11651" spans="1:11" ht="40.049999999999997" customHeight="1" x14ac:dyDescent="0.25">
      <c r="A11651" s="11" t="s">
        <v>22981</v>
      </c>
      <c r="B11651" s="11" t="s">
        <v>22981</v>
      </c>
      <c r="C11651" s="11" t="s">
        <v>17</v>
      </c>
      <c r="D11651" s="11" t="s">
        <v>18</v>
      </c>
      <c r="E11651" s="12" t="s">
        <v>236</v>
      </c>
      <c r="F11651" s="12" t="s">
        <v>237</v>
      </c>
      <c r="G11651" s="12" t="s">
        <v>21</v>
      </c>
      <c r="H11651" s="11" t="s">
        <v>22</v>
      </c>
      <c r="I11651" s="13" t="s">
        <v>22983</v>
      </c>
      <c r="J11651" s="14" t="str">
        <f>HYPERLINK("https://www.boe.es/gazeta/dias/1839/09/18/pdfs/GMD-1839-1771.pdf#page=4","Abrir facsímil")</f>
        <v>Abrir facsímil</v>
      </c>
      <c r="K11651" s="12" t="s">
        <v>24</v>
      </c>
    </row>
    <row r="11652" spans="1:11" ht="40.049999999999997" customHeight="1" x14ac:dyDescent="0.25">
      <c r="A11652" s="11" t="s">
        <v>22984</v>
      </c>
      <c r="B11652" s="11" t="s">
        <v>22984</v>
      </c>
      <c r="C11652" s="11" t="s">
        <v>17</v>
      </c>
      <c r="D11652" s="11" t="s">
        <v>18</v>
      </c>
      <c r="E11652" s="12" t="s">
        <v>262</v>
      </c>
      <c r="F11652" s="12" t="s">
        <v>263</v>
      </c>
      <c r="G11652" s="12" t="s">
        <v>29</v>
      </c>
      <c r="H11652" s="11" t="s">
        <v>22</v>
      </c>
      <c r="I11652" s="13" t="s">
        <v>22985</v>
      </c>
      <c r="J11652" s="14" t="str">
        <f>HYPERLINK("https://www.boe.es/gazeta/dias/1839/01/01/pdfs/GMD-1839-1508.pdf#page=1","Abrir facsímil")</f>
        <v>Abrir facsímil</v>
      </c>
      <c r="K11652" s="12" t="s">
        <v>24</v>
      </c>
    </row>
    <row r="11653" spans="1:11" ht="40.049999999999997" customHeight="1" x14ac:dyDescent="0.25">
      <c r="A11653" s="11" t="s">
        <v>22986</v>
      </c>
      <c r="B11653" s="11" t="s">
        <v>22987</v>
      </c>
      <c r="C11653" s="11" t="s">
        <v>137</v>
      </c>
      <c r="D11653" s="11" t="s">
        <v>18</v>
      </c>
      <c r="E11653" s="12" t="s">
        <v>4292</v>
      </c>
      <c r="F11653" s="12" t="s">
        <v>4293</v>
      </c>
      <c r="G11653" s="12" t="s">
        <v>21</v>
      </c>
      <c r="H11653" s="11" t="s">
        <v>63</v>
      </c>
      <c r="I11653" s="13" t="s">
        <v>22988</v>
      </c>
      <c r="J11653" s="14" t="str">
        <f>HYPERLINK("https://www.boe.es/gazeta/dias/1839/11/29/pdfs/GMD-1839-1846.pdf#page=4","Abrir facsímil")</f>
        <v>Abrir facsímil</v>
      </c>
      <c r="K11653" s="12" t="s">
        <v>65</v>
      </c>
    </row>
    <row r="11654" spans="1:11" ht="40.049999999999997" customHeight="1" x14ac:dyDescent="0.25">
      <c r="A11654" s="11" t="s">
        <v>22989</v>
      </c>
      <c r="B11654" s="11" t="s">
        <v>22989</v>
      </c>
      <c r="C11654" s="11" t="s">
        <v>59</v>
      </c>
      <c r="D11654" s="11" t="s">
        <v>60</v>
      </c>
      <c r="E11654" s="12" t="s">
        <v>713</v>
      </c>
      <c r="F11654" s="12" t="s">
        <v>714</v>
      </c>
      <c r="G11654" s="12" t="s">
        <v>21</v>
      </c>
      <c r="H11654" s="11" t="s">
        <v>22</v>
      </c>
      <c r="I11654" s="13" t="s">
        <v>22990</v>
      </c>
      <c r="J11654" s="14" t="str">
        <f>HYPERLINK("https://www.boe.es/gazeta/dias/1839/12/18/pdfs/GMD-1839-1865.pdf#page=4","Abrir facsímil")</f>
        <v>Abrir facsímil</v>
      </c>
      <c r="K11654" s="12" t="s">
        <v>24</v>
      </c>
    </row>
    <row r="11655" spans="1:11" ht="40.049999999999997" customHeight="1" x14ac:dyDescent="0.25">
      <c r="A11655" s="11" t="s">
        <v>22991</v>
      </c>
      <c r="B11655" s="11" t="s">
        <v>22991</v>
      </c>
      <c r="C11655" s="11" t="s">
        <v>101</v>
      </c>
      <c r="D11655" s="11" t="s">
        <v>102</v>
      </c>
      <c r="E11655" s="12" t="s">
        <v>381</v>
      </c>
      <c r="F11655" s="12" t="s">
        <v>382</v>
      </c>
      <c r="G11655" s="12" t="s">
        <v>29</v>
      </c>
      <c r="H11655" s="11" t="s">
        <v>22</v>
      </c>
      <c r="I11655" s="13" t="s">
        <v>22992</v>
      </c>
      <c r="J11655" s="14" t="str">
        <f>HYPERLINK("https://www.boe.es/gazeta/dias/1839/06/02/pdfs/GMD-1839-1660.pdf#page=1","Abrir facsímil")</f>
        <v>Abrir facsímil</v>
      </c>
      <c r="K11655" s="12" t="s">
        <v>24</v>
      </c>
    </row>
    <row r="11656" spans="1:11" ht="40.049999999999997" customHeight="1" x14ac:dyDescent="0.25">
      <c r="A11656" s="11" t="s">
        <v>22991</v>
      </c>
      <c r="B11656" s="11" t="s">
        <v>22991</v>
      </c>
      <c r="C11656" s="11" t="s">
        <v>17</v>
      </c>
      <c r="D11656" s="11" t="s">
        <v>18</v>
      </c>
      <c r="E11656" s="12" t="s">
        <v>918</v>
      </c>
      <c r="F11656" s="12" t="s">
        <v>919</v>
      </c>
      <c r="G11656" s="12" t="s">
        <v>29</v>
      </c>
      <c r="H11656" s="11" t="s">
        <v>22</v>
      </c>
      <c r="I11656" s="13" t="s">
        <v>22993</v>
      </c>
      <c r="J11656" s="14" t="str">
        <f>HYPERLINK("https://www.boe.es/gazeta/dias/1839/12/07/pdfs/GMD-1839-1854.pdf#page=1","Abrir facsímil")</f>
        <v>Abrir facsímil</v>
      </c>
      <c r="K11656" s="12" t="s">
        <v>24</v>
      </c>
    </row>
    <row r="11657" spans="1:11" ht="40.049999999999997" customHeight="1" x14ac:dyDescent="0.25">
      <c r="A11657" s="11" t="s">
        <v>22991</v>
      </c>
      <c r="B11657" s="11" t="s">
        <v>22991</v>
      </c>
      <c r="C11657" s="11" t="s">
        <v>137</v>
      </c>
      <c r="D11657" s="11" t="s">
        <v>18</v>
      </c>
      <c r="E11657" s="12" t="s">
        <v>647</v>
      </c>
      <c r="F11657" s="12" t="s">
        <v>648</v>
      </c>
      <c r="G11657" s="12" t="s">
        <v>5567</v>
      </c>
      <c r="H11657" s="11" t="s">
        <v>22</v>
      </c>
      <c r="I11657" s="13" t="s">
        <v>22994</v>
      </c>
      <c r="J11657" s="14" t="str">
        <f>HYPERLINK("https://www.boe.es/gazeta/dias/1839/10/08/pdfs/GMD-1839-1794.pdf#page=7","Abrir facsímil")</f>
        <v>Abrir facsímil</v>
      </c>
      <c r="K11657" s="12" t="s">
        <v>24</v>
      </c>
    </row>
    <row r="11658" spans="1:11" ht="40.049999999999997" customHeight="1" x14ac:dyDescent="0.25">
      <c r="A11658" s="11" t="s">
        <v>22991</v>
      </c>
      <c r="B11658" s="11" t="s">
        <v>22991</v>
      </c>
      <c r="C11658" s="11" t="s">
        <v>80</v>
      </c>
      <c r="D11658" s="11" t="s">
        <v>18</v>
      </c>
      <c r="E11658" s="12" t="s">
        <v>141</v>
      </c>
      <c r="F11658" s="12" t="s">
        <v>142</v>
      </c>
      <c r="G11658" s="12" t="s">
        <v>29</v>
      </c>
      <c r="H11658" s="11" t="s">
        <v>22</v>
      </c>
      <c r="I11658" s="13" t="s">
        <v>22995</v>
      </c>
      <c r="J11658" s="14" t="str">
        <f>HYPERLINK("https://www.boe.es/gazeta/dias/1839/11/10/pdfs/GMD-1839-1827.pdf#page=1","Abrir facsímil")</f>
        <v>Abrir facsímil</v>
      </c>
      <c r="K11658" s="12" t="s">
        <v>24</v>
      </c>
    </row>
    <row r="11659" spans="1:11" ht="40.049999999999997" customHeight="1" x14ac:dyDescent="0.25">
      <c r="A11659" s="11" t="s">
        <v>22991</v>
      </c>
      <c r="B11659" s="11" t="s">
        <v>22991</v>
      </c>
      <c r="C11659" s="11" t="s">
        <v>17</v>
      </c>
      <c r="D11659" s="11" t="s">
        <v>18</v>
      </c>
      <c r="E11659" s="12" t="s">
        <v>544</v>
      </c>
      <c r="F11659" s="12" t="s">
        <v>545</v>
      </c>
      <c r="G11659" s="12" t="s">
        <v>29</v>
      </c>
      <c r="H11659" s="11" t="s">
        <v>22</v>
      </c>
      <c r="I11659" s="13" t="s">
        <v>22996</v>
      </c>
      <c r="J11659" s="14" t="str">
        <f>HYPERLINK("https://www.boe.es/gazeta/dias/1839/11/11/pdfs/GMD-1839-1828.pdf#page=1","Abrir facsímil")</f>
        <v>Abrir facsímil</v>
      </c>
      <c r="K11659" s="12" t="s">
        <v>24</v>
      </c>
    </row>
    <row r="11660" spans="1:11" ht="40.049999999999997" customHeight="1" x14ac:dyDescent="0.25">
      <c r="A11660" s="11" t="s">
        <v>22991</v>
      </c>
      <c r="B11660" s="11" t="s">
        <v>22991</v>
      </c>
      <c r="C11660" s="11" t="s">
        <v>17</v>
      </c>
      <c r="D11660" s="11" t="s">
        <v>18</v>
      </c>
      <c r="E11660" s="12" t="s">
        <v>192</v>
      </c>
      <c r="F11660" s="12" t="s">
        <v>193</v>
      </c>
      <c r="G11660" s="12" t="s">
        <v>40</v>
      </c>
      <c r="H11660" s="11" t="s">
        <v>22</v>
      </c>
      <c r="I11660" s="13" t="s">
        <v>22997</v>
      </c>
      <c r="J11660" s="14" t="str">
        <f>HYPERLINK("https://www.boe.es/gazeta/dias/1839/01/12/pdfs/GMD-1839-1519.pdf#page=2","Abrir facsímil")</f>
        <v>Abrir facsímil</v>
      </c>
      <c r="K11660" s="12" t="s">
        <v>24</v>
      </c>
    </row>
    <row r="11661" spans="1:11" ht="40.049999999999997" customHeight="1" x14ac:dyDescent="0.25">
      <c r="A11661" s="11" t="s">
        <v>22991</v>
      </c>
      <c r="B11661" s="11" t="s">
        <v>22991</v>
      </c>
      <c r="C11661" s="11" t="s">
        <v>17</v>
      </c>
      <c r="D11661" s="11" t="s">
        <v>18</v>
      </c>
      <c r="E11661" s="12" t="s">
        <v>1584</v>
      </c>
      <c r="F11661" s="12" t="s">
        <v>1585</v>
      </c>
      <c r="G11661" s="12" t="s">
        <v>46</v>
      </c>
      <c r="H11661" s="11" t="s">
        <v>22</v>
      </c>
      <c r="I11661" s="13" t="s">
        <v>22998</v>
      </c>
      <c r="J11661" s="14" t="str">
        <f>HYPERLINK("https://www.boe.es/gazeta/dias/1839/11/20/pdfs/GMD-1839-1837.pdf#page=3","Abrir facsímil")</f>
        <v>Abrir facsímil</v>
      </c>
      <c r="K11661" s="12" t="s">
        <v>24</v>
      </c>
    </row>
    <row r="11662" spans="1:11" ht="40.049999999999997" customHeight="1" x14ac:dyDescent="0.25">
      <c r="A11662" s="11" t="s">
        <v>22991</v>
      </c>
      <c r="B11662" s="11" t="s">
        <v>22991</v>
      </c>
      <c r="C11662" s="11" t="s">
        <v>59</v>
      </c>
      <c r="D11662" s="11" t="s">
        <v>60</v>
      </c>
      <c r="E11662" s="12" t="s">
        <v>596</v>
      </c>
      <c r="F11662" s="12" t="s">
        <v>597</v>
      </c>
      <c r="G11662" s="12" t="s">
        <v>40</v>
      </c>
      <c r="H11662" s="11" t="s">
        <v>22</v>
      </c>
      <c r="I11662" s="13" t="s">
        <v>22999</v>
      </c>
      <c r="J11662" s="14" t="str">
        <f>HYPERLINK("https://www.boe.es/gazeta/dias/1839/01/23/pdfs/GMD-1839-1530.pdf#page=2","Abrir facsímil")</f>
        <v>Abrir facsímil</v>
      </c>
      <c r="K11662" s="12" t="s">
        <v>24</v>
      </c>
    </row>
    <row r="11663" spans="1:11" ht="40.049999999999997" customHeight="1" x14ac:dyDescent="0.25">
      <c r="A11663" s="11" t="s">
        <v>23000</v>
      </c>
      <c r="B11663" s="11" t="s">
        <v>23000</v>
      </c>
      <c r="C11663" s="11" t="s">
        <v>137</v>
      </c>
      <c r="D11663" s="11" t="s">
        <v>18</v>
      </c>
      <c r="E11663" s="12" t="s">
        <v>375</v>
      </c>
      <c r="F11663" s="12" t="s">
        <v>376</v>
      </c>
      <c r="G11663" s="12" t="s">
        <v>21</v>
      </c>
      <c r="H11663" s="11" t="s">
        <v>22</v>
      </c>
      <c r="I11663" s="13" t="s">
        <v>23001</v>
      </c>
      <c r="J11663" s="14" t="str">
        <f>HYPERLINK("https://www.boe.es/gazeta/dias/1839/11/25/pdfs/GMD-1839-1842.pdf#page=4","Abrir facsímil")</f>
        <v>Abrir facsímil</v>
      </c>
      <c r="K11663" s="12" t="s">
        <v>24</v>
      </c>
    </row>
    <row r="11664" spans="1:11" ht="40.049999999999997" customHeight="1" x14ac:dyDescent="0.25">
      <c r="A11664" s="11" t="s">
        <v>23002</v>
      </c>
      <c r="B11664" s="11" t="s">
        <v>23002</v>
      </c>
      <c r="C11664" s="11" t="s">
        <v>137</v>
      </c>
      <c r="D11664" s="11" t="s">
        <v>18</v>
      </c>
      <c r="E11664" s="12" t="s">
        <v>239</v>
      </c>
      <c r="F11664" s="12" t="s">
        <v>240</v>
      </c>
      <c r="G11664" s="12" t="s">
        <v>21</v>
      </c>
      <c r="H11664" s="11" t="s">
        <v>22</v>
      </c>
      <c r="I11664" s="13" t="s">
        <v>23003</v>
      </c>
      <c r="J11664" s="14" t="str">
        <f>HYPERLINK("https://www.boe.es/gazeta/dias/1839/09/22/pdfs/GMD-1839-1777.pdf#page=4","Abrir facsímil")</f>
        <v>Abrir facsímil</v>
      </c>
      <c r="K11664" s="12" t="s">
        <v>24</v>
      </c>
    </row>
    <row r="11665" spans="1:11" ht="40.049999999999997" customHeight="1" x14ac:dyDescent="0.25">
      <c r="A11665" s="11" t="s">
        <v>23004</v>
      </c>
      <c r="B11665" s="11" t="s">
        <v>23005</v>
      </c>
      <c r="C11665" s="11" t="s">
        <v>80</v>
      </c>
      <c r="D11665" s="11" t="s">
        <v>173</v>
      </c>
      <c r="E11665" s="12" t="s">
        <v>1406</v>
      </c>
      <c r="F11665" s="12" t="s">
        <v>1407</v>
      </c>
      <c r="G11665" s="12" t="s">
        <v>21</v>
      </c>
      <c r="H11665" s="11" t="s">
        <v>63</v>
      </c>
      <c r="I11665" s="13" t="s">
        <v>23006</v>
      </c>
      <c r="J11665" s="14" t="str">
        <f>HYPERLINK("https://www.boe.es/gazeta/dias/1839/07/18/pdfs/GMD-1839-1706.pdf#page=4","Abrir facsímil")</f>
        <v>Abrir facsímil</v>
      </c>
      <c r="K11665" s="12" t="s">
        <v>65</v>
      </c>
    </row>
    <row r="11666" spans="1:11" ht="40.049999999999997" customHeight="1" x14ac:dyDescent="0.25">
      <c r="A11666" s="11" t="s">
        <v>23007</v>
      </c>
      <c r="B11666" s="11" t="s">
        <v>23008</v>
      </c>
      <c r="C11666" s="11" t="s">
        <v>137</v>
      </c>
      <c r="D11666" s="11" t="s">
        <v>18</v>
      </c>
      <c r="E11666" s="12" t="s">
        <v>516</v>
      </c>
      <c r="F11666" s="12" t="s">
        <v>517</v>
      </c>
      <c r="G11666" s="12" t="s">
        <v>21</v>
      </c>
      <c r="H11666" s="11" t="s">
        <v>63</v>
      </c>
      <c r="I11666" s="13" t="s">
        <v>23009</v>
      </c>
      <c r="J11666" s="14" t="str">
        <f>HYPERLINK("https://www.boe.es/gazeta/dias/1839/06/21/pdfs/GMD-1839-1679.pdf#page=4","Abrir facsímil")</f>
        <v>Abrir facsímil</v>
      </c>
      <c r="K11666" s="12" t="s">
        <v>65</v>
      </c>
    </row>
    <row r="11667" spans="1:11" ht="40.049999999999997" customHeight="1" x14ac:dyDescent="0.25">
      <c r="A11667" s="11" t="s">
        <v>23010</v>
      </c>
      <c r="B11667" s="11" t="s">
        <v>23011</v>
      </c>
      <c r="C11667" s="11" t="s">
        <v>80</v>
      </c>
      <c r="D11667" s="11" t="s">
        <v>18</v>
      </c>
      <c r="E11667" s="12" t="s">
        <v>704</v>
      </c>
      <c r="F11667" s="12" t="s">
        <v>705</v>
      </c>
      <c r="G11667" s="12" t="s">
        <v>29</v>
      </c>
      <c r="H11667" s="11" t="s">
        <v>63</v>
      </c>
      <c r="I11667" s="13" t="s">
        <v>23012</v>
      </c>
      <c r="J11667" s="14" t="str">
        <f>HYPERLINK("https://www.boe.es/gazeta/dias/1839/03/02/pdfs/GMD-1839-1568.pdf#page=1","Abrir facsímil")</f>
        <v>Abrir facsímil</v>
      </c>
      <c r="K11667" s="12" t="s">
        <v>65</v>
      </c>
    </row>
    <row r="11668" spans="1:11" ht="40.049999999999997" customHeight="1" x14ac:dyDescent="0.25">
      <c r="A11668" s="11" t="s">
        <v>23013</v>
      </c>
      <c r="B11668" s="11" t="s">
        <v>23014</v>
      </c>
      <c r="C11668" s="11" t="s">
        <v>17</v>
      </c>
      <c r="D11668" s="11" t="s">
        <v>18</v>
      </c>
      <c r="E11668" s="12" t="s">
        <v>2021</v>
      </c>
      <c r="F11668" s="12" t="s">
        <v>2022</v>
      </c>
      <c r="G11668" s="12" t="s">
        <v>21</v>
      </c>
      <c r="H11668" s="11" t="s">
        <v>63</v>
      </c>
      <c r="I11668" s="13" t="s">
        <v>23015</v>
      </c>
      <c r="J11668" s="14" t="str">
        <f>HYPERLINK("https://www.boe.es/gazeta/dias/1839/02/17/pdfs/GMD-1839-1555.pdf#page=4","Abrir facsímil")</f>
        <v>Abrir facsímil</v>
      </c>
      <c r="K11668" s="12" t="s">
        <v>65</v>
      </c>
    </row>
    <row r="11669" spans="1:11" ht="40.049999999999997" customHeight="1" x14ac:dyDescent="0.25">
      <c r="A11669" s="11" t="s">
        <v>23016</v>
      </c>
      <c r="B11669" s="11" t="s">
        <v>23016</v>
      </c>
      <c r="C11669" s="11" t="s">
        <v>17</v>
      </c>
      <c r="D11669" s="11" t="s">
        <v>18</v>
      </c>
      <c r="E11669" s="12" t="s">
        <v>1891</v>
      </c>
      <c r="F11669" s="12" t="s">
        <v>1892</v>
      </c>
      <c r="G11669" s="12" t="s">
        <v>21</v>
      </c>
      <c r="H11669" s="11" t="s">
        <v>22</v>
      </c>
      <c r="I11669" s="13" t="s">
        <v>23017</v>
      </c>
      <c r="J11669" s="14" t="str">
        <f>HYPERLINK("https://www.boe.es/gazeta/dias/1839/12/14/pdfs/GMD-1839-1861.pdf#page=4","Abrir facsímil")</f>
        <v>Abrir facsímil</v>
      </c>
      <c r="K11669" s="12" t="s">
        <v>24</v>
      </c>
    </row>
    <row r="11670" spans="1:11" ht="40.049999999999997" customHeight="1" x14ac:dyDescent="0.25">
      <c r="A11670" s="11" t="s">
        <v>23016</v>
      </c>
      <c r="B11670" s="11" t="s">
        <v>23016</v>
      </c>
      <c r="C11670" s="11" t="s">
        <v>17</v>
      </c>
      <c r="D11670" s="11" t="s">
        <v>18</v>
      </c>
      <c r="E11670" s="12" t="s">
        <v>1528</v>
      </c>
      <c r="F11670" s="12" t="s">
        <v>1529</v>
      </c>
      <c r="G11670" s="12" t="s">
        <v>21</v>
      </c>
      <c r="H11670" s="11" t="s">
        <v>22</v>
      </c>
      <c r="I11670" s="13" t="s">
        <v>23018</v>
      </c>
      <c r="J11670" s="14" t="str">
        <f>HYPERLINK("https://www.boe.es/gazeta/dias/1839/12/15/pdfs/GMD-1839-1862.pdf#page=4","Abrir facsímil")</f>
        <v>Abrir facsímil</v>
      </c>
      <c r="K11670" s="12" t="s">
        <v>24</v>
      </c>
    </row>
    <row r="11671" spans="1:11" ht="40.049999999999997" customHeight="1" x14ac:dyDescent="0.25">
      <c r="A11671" s="11" t="s">
        <v>23016</v>
      </c>
      <c r="B11671" s="11" t="s">
        <v>23016</v>
      </c>
      <c r="C11671" s="11" t="s">
        <v>17</v>
      </c>
      <c r="D11671" s="11" t="s">
        <v>18</v>
      </c>
      <c r="E11671" s="12" t="s">
        <v>1537</v>
      </c>
      <c r="F11671" s="12" t="s">
        <v>1538</v>
      </c>
      <c r="G11671" s="12" t="s">
        <v>21</v>
      </c>
      <c r="H11671" s="11" t="s">
        <v>22</v>
      </c>
      <c r="I11671" s="13" t="s">
        <v>23019</v>
      </c>
      <c r="J11671" s="14" t="str">
        <f>HYPERLINK("https://www.boe.es/gazeta/dias/1839/12/16/pdfs/GMD-1839-1863.pdf#page=4","Abrir facsímil")</f>
        <v>Abrir facsímil</v>
      </c>
      <c r="K11671" s="12" t="s">
        <v>24</v>
      </c>
    </row>
    <row r="11672" spans="1:11" ht="40.049999999999997" customHeight="1" x14ac:dyDescent="0.25">
      <c r="A11672" s="11" t="s">
        <v>23020</v>
      </c>
      <c r="B11672" s="11" t="s">
        <v>23020</v>
      </c>
      <c r="C11672" s="11" t="s">
        <v>59</v>
      </c>
      <c r="D11672" s="11" t="s">
        <v>60</v>
      </c>
      <c r="E11672" s="12" t="s">
        <v>4287</v>
      </c>
      <c r="F11672" s="12" t="s">
        <v>4288</v>
      </c>
      <c r="G11672" s="12" t="s">
        <v>29</v>
      </c>
      <c r="H11672" s="11" t="s">
        <v>63</v>
      </c>
      <c r="I11672" s="13" t="s">
        <v>23021</v>
      </c>
      <c r="J11672" s="14" t="str">
        <f>HYPERLINK("https://www.boe.es/gazeta/dias/1839/06/01/pdfs/GMD-1839-1659.pdf#page=1","Abrir facsímil")</f>
        <v>Abrir facsímil</v>
      </c>
      <c r="K11672" s="12" t="s">
        <v>65</v>
      </c>
    </row>
    <row r="11673" spans="1:11" ht="40.049999999999997" customHeight="1" x14ac:dyDescent="0.25">
      <c r="A11673" s="11" t="s">
        <v>23020</v>
      </c>
      <c r="B11673" s="11" t="s">
        <v>23020</v>
      </c>
      <c r="C11673" s="11" t="s">
        <v>17</v>
      </c>
      <c r="D11673" s="11" t="s">
        <v>18</v>
      </c>
      <c r="E11673" s="12" t="s">
        <v>258</v>
      </c>
      <c r="F11673" s="12" t="s">
        <v>259</v>
      </c>
      <c r="G11673" s="12" t="s">
        <v>21</v>
      </c>
      <c r="H11673" s="11" t="s">
        <v>63</v>
      </c>
      <c r="I11673" s="13" t="s">
        <v>23022</v>
      </c>
      <c r="J11673" s="14" t="str">
        <f>HYPERLINK("https://www.boe.es/gazeta/dias/1839/01/02/pdfs/GMD-1839-1509.pdf#page=4","Abrir facsímil")</f>
        <v>Abrir facsímil</v>
      </c>
      <c r="K11673" s="12" t="s">
        <v>65</v>
      </c>
    </row>
    <row r="11674" spans="1:11" ht="40.049999999999997" customHeight="1" x14ac:dyDescent="0.25">
      <c r="A11674" s="11" t="s">
        <v>23020</v>
      </c>
      <c r="B11674" s="11" t="s">
        <v>23020</v>
      </c>
      <c r="C11674" s="11" t="s">
        <v>17</v>
      </c>
      <c r="D11674" s="11" t="s">
        <v>18</v>
      </c>
      <c r="E11674" s="12" t="s">
        <v>934</v>
      </c>
      <c r="F11674" s="12" t="s">
        <v>935</v>
      </c>
      <c r="G11674" s="12" t="s">
        <v>46</v>
      </c>
      <c r="H11674" s="11" t="s">
        <v>63</v>
      </c>
      <c r="I11674" s="13" t="s">
        <v>23023</v>
      </c>
      <c r="J11674" s="14" t="str">
        <f>HYPERLINK("https://www.boe.es/gazeta/dias/1839/11/07/pdfs/GMD-1839-1824.pdf#page=3","Abrir facsímil")</f>
        <v>Abrir facsímil</v>
      </c>
      <c r="K11674" s="12" t="s">
        <v>65</v>
      </c>
    </row>
    <row r="11675" spans="1:11" ht="40.049999999999997" customHeight="1" x14ac:dyDescent="0.25">
      <c r="A11675" s="11" t="s">
        <v>23020</v>
      </c>
      <c r="B11675" s="11" t="s">
        <v>23020</v>
      </c>
      <c r="C11675" s="11" t="s">
        <v>80</v>
      </c>
      <c r="D11675" s="11" t="s">
        <v>173</v>
      </c>
      <c r="E11675" s="12" t="s">
        <v>2215</v>
      </c>
      <c r="F11675" s="12" t="s">
        <v>2216</v>
      </c>
      <c r="G11675" s="12" t="s">
        <v>46</v>
      </c>
      <c r="H11675" s="11" t="s">
        <v>63</v>
      </c>
      <c r="I11675" s="13" t="s">
        <v>23024</v>
      </c>
      <c r="J11675" s="14" t="str">
        <f>HYPERLINK("https://www.boe.es/gazeta/dias/1839/07/21/pdfs/GMD-1839-1709.pdf#page=3","Abrir facsímil")</f>
        <v>Abrir facsímil</v>
      </c>
      <c r="K11675" s="12" t="s">
        <v>65</v>
      </c>
    </row>
    <row r="11676" spans="1:11" ht="40.049999999999997" customHeight="1" x14ac:dyDescent="0.25">
      <c r="A11676" s="11" t="s">
        <v>23020</v>
      </c>
      <c r="B11676" s="11" t="s">
        <v>23020</v>
      </c>
      <c r="C11676" s="11" t="s">
        <v>17</v>
      </c>
      <c r="D11676" s="11" t="s">
        <v>18</v>
      </c>
      <c r="E11676" s="12" t="s">
        <v>128</v>
      </c>
      <c r="F11676" s="12" t="s">
        <v>129</v>
      </c>
      <c r="G11676" s="12" t="s">
        <v>29</v>
      </c>
      <c r="H11676" s="11" t="s">
        <v>63</v>
      </c>
      <c r="I11676" s="13" t="s">
        <v>23025</v>
      </c>
      <c r="J11676" s="14" t="str">
        <f>HYPERLINK("https://www.boe.es/gazeta/dias/1839/05/25/pdfs/GMD-1839-1652.pdf#page=1","Abrir facsímil")</f>
        <v>Abrir facsímil</v>
      </c>
      <c r="K11676" s="12" t="s">
        <v>65</v>
      </c>
    </row>
    <row r="11677" spans="1:11" ht="40.049999999999997" customHeight="1" x14ac:dyDescent="0.25">
      <c r="A11677" s="11" t="s">
        <v>23020</v>
      </c>
      <c r="B11677" s="11" t="s">
        <v>23020</v>
      </c>
      <c r="C11677" s="11" t="s">
        <v>17</v>
      </c>
      <c r="D11677" s="11" t="s">
        <v>18</v>
      </c>
      <c r="E11677" s="12" t="s">
        <v>27</v>
      </c>
      <c r="F11677" s="12" t="s">
        <v>28</v>
      </c>
      <c r="G11677" s="12" t="s">
        <v>21</v>
      </c>
      <c r="H11677" s="11" t="s">
        <v>63</v>
      </c>
      <c r="I11677" s="13" t="s">
        <v>23026</v>
      </c>
      <c r="J11677" s="14" t="str">
        <f>HYPERLINK("https://www.boe.es/gazeta/dias/1839/07/28/pdfs/GMD-1839-1717.pdf#page=4","Abrir facsímil")</f>
        <v>Abrir facsímil</v>
      </c>
      <c r="K11677" s="12" t="s">
        <v>65</v>
      </c>
    </row>
    <row r="11678" spans="1:11" ht="40.049999999999997" customHeight="1" x14ac:dyDescent="0.25">
      <c r="A11678" s="11" t="s">
        <v>23027</v>
      </c>
      <c r="B11678" s="11" t="s">
        <v>23027</v>
      </c>
      <c r="C11678" s="11" t="s">
        <v>17</v>
      </c>
      <c r="D11678" s="11" t="s">
        <v>18</v>
      </c>
      <c r="E11678" s="12" t="s">
        <v>295</v>
      </c>
      <c r="F11678" s="12" t="s">
        <v>296</v>
      </c>
      <c r="G11678" s="12" t="s">
        <v>21</v>
      </c>
      <c r="H11678" s="11" t="s">
        <v>22</v>
      </c>
      <c r="I11678" s="13" t="s">
        <v>23028</v>
      </c>
      <c r="J11678" s="14" t="str">
        <f>HYPERLINK("https://www.boe.es/gazeta/dias/1839/08/19/pdfs/GMD-1839-1740.pdf#page=4","Abrir facsímil")</f>
        <v>Abrir facsímil</v>
      </c>
      <c r="K11678" s="12" t="s">
        <v>24</v>
      </c>
    </row>
    <row r="11679" spans="1:11" ht="40.049999999999997" customHeight="1" x14ac:dyDescent="0.25">
      <c r="A11679" s="11" t="s">
        <v>23029</v>
      </c>
      <c r="B11679" s="11" t="s">
        <v>23029</v>
      </c>
      <c r="C11679" s="11" t="s">
        <v>17</v>
      </c>
      <c r="D11679" s="11" t="s">
        <v>18</v>
      </c>
      <c r="E11679" s="12" t="s">
        <v>1672</v>
      </c>
      <c r="F11679" s="12" t="s">
        <v>1673</v>
      </c>
      <c r="G11679" s="12" t="s">
        <v>46</v>
      </c>
      <c r="H11679" s="11" t="s">
        <v>22</v>
      </c>
      <c r="I11679" s="13" t="s">
        <v>23030</v>
      </c>
      <c r="J11679" s="14" t="str">
        <f>HYPERLINK("https://www.boe.es/gazeta/dias/1839/08/24/pdfs/GMD-1839-1745.pdf#page=3","Abrir facsímil")</f>
        <v>Abrir facsímil</v>
      </c>
      <c r="K11679" s="12" t="s">
        <v>24</v>
      </c>
    </row>
    <row r="11680" spans="1:11" ht="40.049999999999997" customHeight="1" x14ac:dyDescent="0.25">
      <c r="A11680" s="11" t="s">
        <v>23031</v>
      </c>
      <c r="B11680" s="11" t="s">
        <v>23031</v>
      </c>
      <c r="C11680" s="11" t="s">
        <v>17</v>
      </c>
      <c r="D11680" s="11" t="s">
        <v>18</v>
      </c>
      <c r="E11680" s="12" t="s">
        <v>284</v>
      </c>
      <c r="F11680" s="12" t="s">
        <v>285</v>
      </c>
      <c r="G11680" s="12" t="s">
        <v>21</v>
      </c>
      <c r="H11680" s="11" t="s">
        <v>63</v>
      </c>
      <c r="I11680" s="13" t="s">
        <v>23032</v>
      </c>
      <c r="J11680" s="14" t="str">
        <f>HYPERLINK("https://www.boe.es/gazeta/dias/1839/01/27/pdfs/GMD-1839-1534.pdf#page=4","Abrir facsímil")</f>
        <v>Abrir facsímil</v>
      </c>
      <c r="K11680" s="12" t="s">
        <v>65</v>
      </c>
    </row>
    <row r="11681" spans="1:11" ht="40.049999999999997" customHeight="1" x14ac:dyDescent="0.25">
      <c r="A11681" s="11" t="s">
        <v>23033</v>
      </c>
      <c r="B11681" s="11" t="s">
        <v>23034</v>
      </c>
      <c r="C11681" s="11" t="s">
        <v>17</v>
      </c>
      <c r="D11681" s="11" t="s">
        <v>18</v>
      </c>
      <c r="E11681" s="12" t="s">
        <v>668</v>
      </c>
      <c r="F11681" s="12" t="s">
        <v>669</v>
      </c>
      <c r="G11681" s="12" t="s">
        <v>40</v>
      </c>
      <c r="H11681" s="11" t="s">
        <v>63</v>
      </c>
      <c r="I11681" s="13" t="s">
        <v>23035</v>
      </c>
      <c r="J11681" s="14" t="str">
        <f>HYPERLINK("https://www.boe.es/gazeta/dias/1839/03/28/pdfs/GMD-1839-1594.pdf#page=2","Abrir facsímil")</f>
        <v>Abrir facsímil</v>
      </c>
      <c r="K11681" s="12" t="s">
        <v>65</v>
      </c>
    </row>
    <row r="11682" spans="1:11" ht="40.049999999999997" customHeight="1" x14ac:dyDescent="0.25">
      <c r="A11682" s="11" t="s">
        <v>23036</v>
      </c>
      <c r="B11682" s="11" t="s">
        <v>23036</v>
      </c>
      <c r="C11682" s="11" t="s">
        <v>17</v>
      </c>
      <c r="D11682" s="11" t="s">
        <v>18</v>
      </c>
      <c r="E11682" s="12" t="s">
        <v>951</v>
      </c>
      <c r="F11682" s="12" t="s">
        <v>952</v>
      </c>
      <c r="G11682" s="12" t="s">
        <v>46</v>
      </c>
      <c r="H11682" s="11" t="s">
        <v>63</v>
      </c>
      <c r="I11682" s="13" t="s">
        <v>23037</v>
      </c>
      <c r="J11682" s="14" t="str">
        <f>HYPERLINK("https://www.boe.es/gazeta/dias/1839/12/30/pdfs/GMD-1839-1877.pdf#page=3","Abrir facsímil")</f>
        <v>Abrir facsímil</v>
      </c>
      <c r="K11682" s="12" t="s">
        <v>65</v>
      </c>
    </row>
    <row r="11683" spans="1:11" ht="40.049999999999997" customHeight="1" x14ac:dyDescent="0.25">
      <c r="A11683" s="11" t="s">
        <v>23038</v>
      </c>
      <c r="B11683" s="11" t="s">
        <v>23038</v>
      </c>
      <c r="C11683" s="11" t="s">
        <v>17</v>
      </c>
      <c r="D11683" s="11" t="s">
        <v>43</v>
      </c>
      <c r="E11683" s="12" t="s">
        <v>453</v>
      </c>
      <c r="F11683" s="12" t="s">
        <v>454</v>
      </c>
      <c r="G11683" s="12" t="s">
        <v>46</v>
      </c>
      <c r="H11683" s="11" t="s">
        <v>63</v>
      </c>
      <c r="I11683" s="13" t="s">
        <v>23039</v>
      </c>
      <c r="J11683" s="14" t="str">
        <f>HYPERLINK("https://www.boe.es/gazeta/dias/1839/02/07/pdfs/GMD-1839-1545.pdf#page=3","Abrir facsímil")</f>
        <v>Abrir facsímil</v>
      </c>
      <c r="K11683" s="12" t="s">
        <v>65</v>
      </c>
    </row>
    <row r="11684" spans="1:11" ht="40.049999999999997" customHeight="1" x14ac:dyDescent="0.25">
      <c r="A11684" s="11" t="s">
        <v>23040</v>
      </c>
      <c r="B11684" s="11" t="s">
        <v>23041</v>
      </c>
      <c r="C11684" s="11" t="s">
        <v>17</v>
      </c>
      <c r="D11684" s="11" t="s">
        <v>18</v>
      </c>
      <c r="E11684" s="12" t="s">
        <v>168</v>
      </c>
      <c r="F11684" s="12" t="s">
        <v>169</v>
      </c>
      <c r="G11684" s="12" t="s">
        <v>21</v>
      </c>
      <c r="H11684" s="11" t="s">
        <v>63</v>
      </c>
      <c r="I11684" s="13" t="s">
        <v>23042</v>
      </c>
      <c r="J11684" s="14" t="str">
        <f>HYPERLINK("https://www.boe.es/gazeta/dias/1839/07/12/pdfs/GMD-1839-1700.pdf#page=4","Abrir facsímil")</f>
        <v>Abrir facsímil</v>
      </c>
      <c r="K11684" s="12" t="s">
        <v>65</v>
      </c>
    </row>
    <row r="11685" spans="1:11" ht="40.049999999999997" customHeight="1" x14ac:dyDescent="0.25">
      <c r="A11685" s="11" t="s">
        <v>23043</v>
      </c>
      <c r="B11685" s="11" t="s">
        <v>23043</v>
      </c>
      <c r="C11685" s="11" t="s">
        <v>59</v>
      </c>
      <c r="D11685" s="11" t="s">
        <v>60</v>
      </c>
      <c r="E11685" s="12" t="s">
        <v>336</v>
      </c>
      <c r="F11685" s="12" t="s">
        <v>337</v>
      </c>
      <c r="G11685" s="12" t="s">
        <v>29</v>
      </c>
      <c r="H11685" s="11" t="s">
        <v>63</v>
      </c>
      <c r="I11685" s="13" t="s">
        <v>23044</v>
      </c>
      <c r="J11685" s="14" t="str">
        <f>HYPERLINK("https://www.boe.es/gazeta/dias/1839/07/14/pdfs/GMD-1839-1702.pdf#page=1","Abrir facsímil")</f>
        <v>Abrir facsímil</v>
      </c>
      <c r="K11685" s="12" t="s">
        <v>65</v>
      </c>
    </row>
    <row r="11686" spans="1:11" ht="40.049999999999997" customHeight="1" x14ac:dyDescent="0.25">
      <c r="A11686" s="11" t="s">
        <v>23045</v>
      </c>
      <c r="B11686" s="11" t="s">
        <v>23046</v>
      </c>
      <c r="C11686" s="11" t="s">
        <v>17</v>
      </c>
      <c r="D11686" s="11" t="s">
        <v>18</v>
      </c>
      <c r="E11686" s="12" t="s">
        <v>555</v>
      </c>
      <c r="F11686" s="12" t="s">
        <v>556</v>
      </c>
      <c r="G11686" s="12" t="s">
        <v>46</v>
      </c>
      <c r="H11686" s="11" t="s">
        <v>22</v>
      </c>
      <c r="I11686" s="13" t="s">
        <v>23047</v>
      </c>
      <c r="J11686" s="14" t="str">
        <f>HYPERLINK("https://www.boe.es/gazeta/dias/1839/07/19/pdfs/GMD-1839-1707.pdf#page=3","Abrir facsímil")</f>
        <v>Abrir facsímil</v>
      </c>
      <c r="K11686" s="12" t="s">
        <v>24</v>
      </c>
    </row>
    <row r="11687" spans="1:11" ht="40.049999999999997" customHeight="1" x14ac:dyDescent="0.25">
      <c r="A11687" s="11" t="s">
        <v>23048</v>
      </c>
      <c r="B11687" s="11" t="s">
        <v>23049</v>
      </c>
      <c r="C11687" s="11" t="s">
        <v>137</v>
      </c>
      <c r="D11687" s="11" t="s">
        <v>18</v>
      </c>
      <c r="E11687" s="12" t="s">
        <v>185</v>
      </c>
      <c r="F11687" s="12" t="s">
        <v>186</v>
      </c>
      <c r="G11687" s="12" t="s">
        <v>21</v>
      </c>
      <c r="H11687" s="11" t="s">
        <v>63</v>
      </c>
      <c r="I11687" s="13" t="s">
        <v>23050</v>
      </c>
      <c r="J11687" s="14" t="str">
        <f>HYPERLINK("https://www.boe.es/gazeta/dias/1839/01/15/pdfs/GMD-1839-1522.pdf#page=4","Abrir facsímil")</f>
        <v>Abrir facsímil</v>
      </c>
      <c r="K11687" s="12" t="s">
        <v>65</v>
      </c>
    </row>
    <row r="11688" spans="1:11" ht="40.049999999999997" customHeight="1" x14ac:dyDescent="0.25">
      <c r="A11688" s="11" t="s">
        <v>23051</v>
      </c>
      <c r="B11688" s="11" t="s">
        <v>23051</v>
      </c>
      <c r="C11688" s="11" t="s">
        <v>17</v>
      </c>
      <c r="D11688" s="11" t="s">
        <v>18</v>
      </c>
      <c r="E11688" s="12" t="s">
        <v>369</v>
      </c>
      <c r="F11688" s="12" t="s">
        <v>370</v>
      </c>
      <c r="G11688" s="12" t="s">
        <v>40</v>
      </c>
      <c r="H11688" s="11" t="s">
        <v>63</v>
      </c>
      <c r="I11688" s="13" t="s">
        <v>23052</v>
      </c>
      <c r="J11688" s="14" t="str">
        <f>HYPERLINK("https://www.boe.es/gazeta/dias/1839/11/01/pdfs/GMD-1839-1818.pdf#page=2","Abrir facsímil")</f>
        <v>Abrir facsímil</v>
      </c>
      <c r="K11688" s="12" t="s">
        <v>65</v>
      </c>
    </row>
    <row r="11689" spans="1:11" ht="40.049999999999997" customHeight="1" x14ac:dyDescent="0.25">
      <c r="A11689" s="11" t="s">
        <v>23051</v>
      </c>
      <c r="B11689" s="11" t="s">
        <v>23051</v>
      </c>
      <c r="C11689" s="11" t="s">
        <v>17</v>
      </c>
      <c r="D11689" s="11" t="s">
        <v>18</v>
      </c>
      <c r="E11689" s="12" t="s">
        <v>4921</v>
      </c>
      <c r="F11689" s="12" t="s">
        <v>4922</v>
      </c>
      <c r="G11689" s="12" t="s">
        <v>29</v>
      </c>
      <c r="H11689" s="11" t="s">
        <v>63</v>
      </c>
      <c r="I11689" s="13" t="s">
        <v>23053</v>
      </c>
      <c r="J11689" s="14" t="str">
        <f>HYPERLINK("https://www.boe.es/gazeta/dias/1839/11/05/pdfs/GMD-1839-1822.pdf#page=1","Abrir facsímil")</f>
        <v>Abrir facsímil</v>
      </c>
      <c r="K11689" s="12" t="s">
        <v>65</v>
      </c>
    </row>
    <row r="11690" spans="1:11" ht="40.049999999999997" customHeight="1" x14ac:dyDescent="0.25">
      <c r="A11690" s="11" t="s">
        <v>23051</v>
      </c>
      <c r="B11690" s="11" t="s">
        <v>23051</v>
      </c>
      <c r="C11690" s="11" t="s">
        <v>17</v>
      </c>
      <c r="D11690" s="11" t="s">
        <v>18</v>
      </c>
      <c r="E11690" s="12" t="s">
        <v>303</v>
      </c>
      <c r="F11690" s="12" t="s">
        <v>304</v>
      </c>
      <c r="G11690" s="12" t="s">
        <v>29</v>
      </c>
      <c r="H11690" s="11" t="s">
        <v>63</v>
      </c>
      <c r="I11690" s="13" t="s">
        <v>23054</v>
      </c>
      <c r="J11690" s="14" t="str">
        <f>HYPERLINK("https://www.boe.es/gazeta/dias/1839/10/06/pdfs/GMD-1839-1792.pdf#page=1","Abrir facsímil")</f>
        <v>Abrir facsímil</v>
      </c>
      <c r="K11690" s="12" t="s">
        <v>65</v>
      </c>
    </row>
    <row r="11691" spans="1:11" ht="40.049999999999997" customHeight="1" x14ac:dyDescent="0.25">
      <c r="A11691" s="11" t="s">
        <v>23051</v>
      </c>
      <c r="B11691" s="11" t="s">
        <v>23051</v>
      </c>
      <c r="C11691" s="11" t="s">
        <v>17</v>
      </c>
      <c r="D11691" s="11" t="s">
        <v>18</v>
      </c>
      <c r="E11691" s="12" t="s">
        <v>918</v>
      </c>
      <c r="F11691" s="12" t="s">
        <v>919</v>
      </c>
      <c r="G11691" s="12" t="s">
        <v>29</v>
      </c>
      <c r="H11691" s="11" t="s">
        <v>63</v>
      </c>
      <c r="I11691" s="13" t="s">
        <v>23055</v>
      </c>
      <c r="J11691" s="14" t="str">
        <f>HYPERLINK("https://www.boe.es/gazeta/dias/1839/12/07/pdfs/GMD-1839-1854.pdf#page=1","Abrir facsímil")</f>
        <v>Abrir facsímil</v>
      </c>
      <c r="K11691" s="12" t="s">
        <v>65</v>
      </c>
    </row>
    <row r="11692" spans="1:11" ht="40.049999999999997" customHeight="1" x14ac:dyDescent="0.25">
      <c r="A11692" s="11" t="s">
        <v>23051</v>
      </c>
      <c r="B11692" s="11" t="s">
        <v>23051</v>
      </c>
      <c r="C11692" s="11" t="s">
        <v>137</v>
      </c>
      <c r="D11692" s="11" t="s">
        <v>18</v>
      </c>
      <c r="E11692" s="12" t="s">
        <v>138</v>
      </c>
      <c r="F11692" s="12" t="s">
        <v>139</v>
      </c>
      <c r="G11692" s="12" t="s">
        <v>46</v>
      </c>
      <c r="H11692" s="11" t="s">
        <v>63</v>
      </c>
      <c r="I11692" s="13" t="s">
        <v>23056</v>
      </c>
      <c r="J11692" s="14" t="str">
        <f>HYPERLINK("https://www.boe.es/gazeta/dias/1839/10/09/pdfs/GMD-1839-1795.pdf#page=3","Abrir facsímil")</f>
        <v>Abrir facsímil</v>
      </c>
      <c r="K11692" s="12" t="s">
        <v>65</v>
      </c>
    </row>
    <row r="11693" spans="1:11" ht="40.049999999999997" customHeight="1" x14ac:dyDescent="0.25">
      <c r="A11693" s="11" t="s">
        <v>23051</v>
      </c>
      <c r="B11693" s="11" t="s">
        <v>23051</v>
      </c>
      <c r="C11693" s="11" t="s">
        <v>80</v>
      </c>
      <c r="D11693" s="11" t="s">
        <v>18</v>
      </c>
      <c r="E11693" s="12" t="s">
        <v>2919</v>
      </c>
      <c r="F11693" s="12" t="s">
        <v>2920</v>
      </c>
      <c r="G11693" s="12" t="s">
        <v>29</v>
      </c>
      <c r="H11693" s="11" t="s">
        <v>63</v>
      </c>
      <c r="I11693" s="13" t="s">
        <v>23057</v>
      </c>
      <c r="J11693" s="14" t="str">
        <f>HYPERLINK("https://www.boe.es/gazeta/dias/1839/11/12/pdfs/GMD-1839-1829.pdf#page=1","Abrir facsímil")</f>
        <v>Abrir facsímil</v>
      </c>
      <c r="K11693" s="12" t="s">
        <v>65</v>
      </c>
    </row>
    <row r="11694" spans="1:11" ht="40.049999999999997" customHeight="1" x14ac:dyDescent="0.25">
      <c r="A11694" s="11" t="s">
        <v>23051</v>
      </c>
      <c r="B11694" s="11" t="s">
        <v>23051</v>
      </c>
      <c r="C11694" s="11" t="s">
        <v>17</v>
      </c>
      <c r="D11694" s="11" t="s">
        <v>18</v>
      </c>
      <c r="E11694" s="12" t="s">
        <v>4186</v>
      </c>
      <c r="F11694" s="12" t="s">
        <v>4187</v>
      </c>
      <c r="G11694" s="12" t="s">
        <v>46</v>
      </c>
      <c r="H11694" s="11" t="s">
        <v>63</v>
      </c>
      <c r="I11694" s="13" t="s">
        <v>23058</v>
      </c>
      <c r="J11694" s="14" t="str">
        <f>HYPERLINK("https://www.boe.es/gazeta/dias/1839/12/12/pdfs/GMD-1839-1859.pdf#page=3","Abrir facsímil")</f>
        <v>Abrir facsímil</v>
      </c>
      <c r="K11694" s="12" t="s">
        <v>65</v>
      </c>
    </row>
    <row r="11695" spans="1:11" ht="40.049999999999997" customHeight="1" x14ac:dyDescent="0.25">
      <c r="A11695" s="11" t="s">
        <v>23051</v>
      </c>
      <c r="B11695" s="11" t="s">
        <v>23051</v>
      </c>
      <c r="C11695" s="11" t="s">
        <v>137</v>
      </c>
      <c r="D11695" s="11" t="s">
        <v>18</v>
      </c>
      <c r="E11695" s="12" t="s">
        <v>1144</v>
      </c>
      <c r="F11695" s="12" t="s">
        <v>1145</v>
      </c>
      <c r="G11695" s="12" t="s">
        <v>29</v>
      </c>
      <c r="H11695" s="11" t="s">
        <v>63</v>
      </c>
      <c r="I11695" s="13" t="s">
        <v>23059</v>
      </c>
      <c r="J11695" s="14" t="str">
        <f>HYPERLINK("https://www.boe.es/gazeta/dias/1839/08/13/pdfs/GMD-1839-1733.pdf#page=1","Abrir facsímil")</f>
        <v>Abrir facsímil</v>
      </c>
      <c r="K11695" s="12" t="s">
        <v>65</v>
      </c>
    </row>
    <row r="11696" spans="1:11" ht="40.049999999999997" customHeight="1" x14ac:dyDescent="0.25">
      <c r="A11696" s="11" t="s">
        <v>23051</v>
      </c>
      <c r="B11696" s="11" t="s">
        <v>23051</v>
      </c>
      <c r="C11696" s="11" t="s">
        <v>17</v>
      </c>
      <c r="D11696" s="11" t="s">
        <v>18</v>
      </c>
      <c r="E11696" s="12" t="s">
        <v>5399</v>
      </c>
      <c r="F11696" s="12" t="s">
        <v>5400</v>
      </c>
      <c r="G11696" s="12" t="s">
        <v>40</v>
      </c>
      <c r="H11696" s="11" t="s">
        <v>63</v>
      </c>
      <c r="I11696" s="13" t="s">
        <v>23060</v>
      </c>
      <c r="J11696" s="14" t="str">
        <f>HYPERLINK("https://www.boe.es/gazeta/dias/1839/10/14/pdfs/GMD-1839-1800.pdf#page=2","Abrir facsímil")</f>
        <v>Abrir facsímil</v>
      </c>
      <c r="K11696" s="12" t="s">
        <v>65</v>
      </c>
    </row>
    <row r="11697" spans="1:11" ht="40.049999999999997" customHeight="1" x14ac:dyDescent="0.25">
      <c r="A11697" s="11" t="s">
        <v>23051</v>
      </c>
      <c r="B11697" s="11" t="s">
        <v>23051</v>
      </c>
      <c r="C11697" s="11" t="s">
        <v>80</v>
      </c>
      <c r="D11697" s="11" t="s">
        <v>18</v>
      </c>
      <c r="E11697" s="12" t="s">
        <v>5806</v>
      </c>
      <c r="F11697" s="12" t="s">
        <v>5807</v>
      </c>
      <c r="G11697" s="12" t="s">
        <v>40</v>
      </c>
      <c r="H11697" s="11" t="s">
        <v>63</v>
      </c>
      <c r="I11697" s="13" t="s">
        <v>23061</v>
      </c>
      <c r="J11697" s="14" t="str">
        <f>HYPERLINK("https://www.boe.es/gazeta/dias/1839/02/16/pdfs/GMD-1839-1554.pdf#page=2","Abrir facsímil")</f>
        <v>Abrir facsímil</v>
      </c>
      <c r="K11697" s="12" t="s">
        <v>65</v>
      </c>
    </row>
    <row r="11698" spans="1:11" ht="40.049999999999997" customHeight="1" x14ac:dyDescent="0.25">
      <c r="A11698" s="11" t="s">
        <v>23051</v>
      </c>
      <c r="B11698" s="11" t="s">
        <v>23051</v>
      </c>
      <c r="C11698" s="11" t="s">
        <v>101</v>
      </c>
      <c r="D11698" s="11" t="s">
        <v>43</v>
      </c>
      <c r="E11698" s="12" t="s">
        <v>834</v>
      </c>
      <c r="F11698" s="12" t="s">
        <v>835</v>
      </c>
      <c r="G11698" s="12" t="s">
        <v>46</v>
      </c>
      <c r="H11698" s="11" t="s">
        <v>63</v>
      </c>
      <c r="I11698" s="13" t="s">
        <v>23062</v>
      </c>
      <c r="J11698" s="14" t="str">
        <f>HYPERLINK("https://www.boe.es/gazeta/dias/1839/08/17/pdfs/GMD-1839-1737.pdf#page=3","Abrir facsímil")</f>
        <v>Abrir facsímil</v>
      </c>
      <c r="K11698" s="12" t="s">
        <v>65</v>
      </c>
    </row>
    <row r="11699" spans="1:11" ht="40.049999999999997" customHeight="1" x14ac:dyDescent="0.25">
      <c r="A11699" s="11" t="s">
        <v>23051</v>
      </c>
      <c r="B11699" s="11" t="s">
        <v>23051</v>
      </c>
      <c r="C11699" s="11" t="s">
        <v>17</v>
      </c>
      <c r="D11699" s="11" t="s">
        <v>18</v>
      </c>
      <c r="E11699" s="12" t="s">
        <v>1648</v>
      </c>
      <c r="F11699" s="12" t="s">
        <v>1649</v>
      </c>
      <c r="G11699" s="12" t="s">
        <v>40</v>
      </c>
      <c r="H11699" s="11" t="s">
        <v>63</v>
      </c>
      <c r="I11699" s="13" t="s">
        <v>23063</v>
      </c>
      <c r="J11699" s="14" t="str">
        <f>HYPERLINK("https://www.boe.es/gazeta/dias/1839/08/18/pdfs/GMD-1839-1738.pdf#page=2","Abrir facsímil")</f>
        <v>Abrir facsímil</v>
      </c>
      <c r="K11699" s="12" t="s">
        <v>65</v>
      </c>
    </row>
    <row r="11700" spans="1:11" ht="40.049999999999997" customHeight="1" x14ac:dyDescent="0.25">
      <c r="A11700" s="11" t="s">
        <v>23051</v>
      </c>
      <c r="B11700" s="11" t="s">
        <v>23051</v>
      </c>
      <c r="C11700" s="11" t="s">
        <v>59</v>
      </c>
      <c r="D11700" s="11" t="s">
        <v>60</v>
      </c>
      <c r="E11700" s="12" t="s">
        <v>713</v>
      </c>
      <c r="F11700" s="12" t="s">
        <v>714</v>
      </c>
      <c r="G11700" s="12" t="s">
        <v>40</v>
      </c>
      <c r="H11700" s="11" t="s">
        <v>63</v>
      </c>
      <c r="I11700" s="13" t="s">
        <v>23064</v>
      </c>
      <c r="J11700" s="14" t="str">
        <f>HYPERLINK("https://www.boe.es/gazeta/dias/1839/12/18/pdfs/GMD-1839-1865.pdf#page=2","Abrir facsímil")</f>
        <v>Abrir facsímil</v>
      </c>
      <c r="K11700" s="12" t="s">
        <v>65</v>
      </c>
    </row>
    <row r="11701" spans="1:11" ht="40.049999999999997" customHeight="1" x14ac:dyDescent="0.25">
      <c r="A11701" s="11" t="s">
        <v>23051</v>
      </c>
      <c r="B11701" s="11" t="s">
        <v>23051</v>
      </c>
      <c r="C11701" s="11" t="s">
        <v>17</v>
      </c>
      <c r="D11701" s="11" t="s">
        <v>18</v>
      </c>
      <c r="E11701" s="12" t="s">
        <v>469</v>
      </c>
      <c r="F11701" s="12" t="s">
        <v>470</v>
      </c>
      <c r="G11701" s="12" t="s">
        <v>29</v>
      </c>
      <c r="H11701" s="11" t="s">
        <v>63</v>
      </c>
      <c r="I11701" s="13" t="s">
        <v>23065</v>
      </c>
      <c r="J11701" s="14" t="str">
        <f>HYPERLINK("https://www.boe.es/gazeta/dias/1839/08/20/pdfs/GMD-1839-1741.pdf#page=1","Abrir facsímil")</f>
        <v>Abrir facsímil</v>
      </c>
      <c r="K11701" s="12" t="s">
        <v>65</v>
      </c>
    </row>
    <row r="11702" spans="1:11" ht="40.049999999999997" customHeight="1" x14ac:dyDescent="0.25">
      <c r="A11702" s="11" t="s">
        <v>23051</v>
      </c>
      <c r="B11702" s="11" t="s">
        <v>23051</v>
      </c>
      <c r="C11702" s="11" t="s">
        <v>137</v>
      </c>
      <c r="D11702" s="11" t="s">
        <v>18</v>
      </c>
      <c r="E11702" s="12" t="s">
        <v>1729</v>
      </c>
      <c r="F11702" s="12" t="s">
        <v>1730</v>
      </c>
      <c r="G11702" s="12" t="s">
        <v>46</v>
      </c>
      <c r="H11702" s="11" t="s">
        <v>63</v>
      </c>
      <c r="I11702" s="13" t="s">
        <v>23066</v>
      </c>
      <c r="J11702" s="14" t="str">
        <f>HYPERLINK("https://www.boe.es/gazeta/dias/1839/04/25/pdfs/GMD-1839-1622.pdf#page=3","Abrir facsímil")</f>
        <v>Abrir facsímil</v>
      </c>
      <c r="K11702" s="12" t="s">
        <v>65</v>
      </c>
    </row>
    <row r="11703" spans="1:11" ht="40.049999999999997" customHeight="1" x14ac:dyDescent="0.25">
      <c r="A11703" s="11" t="s">
        <v>23051</v>
      </c>
      <c r="B11703" s="11" t="s">
        <v>23051</v>
      </c>
      <c r="C11703" s="11" t="s">
        <v>80</v>
      </c>
      <c r="D11703" s="11" t="s">
        <v>18</v>
      </c>
      <c r="E11703" s="12" t="s">
        <v>1446</v>
      </c>
      <c r="F11703" s="12" t="s">
        <v>1447</v>
      </c>
      <c r="G11703" s="12" t="s">
        <v>40</v>
      </c>
      <c r="H11703" s="11" t="s">
        <v>63</v>
      </c>
      <c r="I11703" s="13" t="s">
        <v>23067</v>
      </c>
      <c r="J11703" s="14" t="str">
        <f>HYPERLINK("https://www.boe.es/gazeta/dias/1839/08/25/pdfs/GMD-1839-1746.pdf#page=2","Abrir facsímil")</f>
        <v>Abrir facsímil</v>
      </c>
      <c r="K11703" s="12" t="s">
        <v>65</v>
      </c>
    </row>
    <row r="11704" spans="1:11" ht="40.049999999999997" customHeight="1" x14ac:dyDescent="0.25">
      <c r="A11704" s="11" t="s">
        <v>23051</v>
      </c>
      <c r="B11704" s="11" t="s">
        <v>23051</v>
      </c>
      <c r="C11704" s="11" t="s">
        <v>137</v>
      </c>
      <c r="D11704" s="11" t="s">
        <v>18</v>
      </c>
      <c r="E11704" s="12" t="s">
        <v>1159</v>
      </c>
      <c r="F11704" s="12" t="s">
        <v>1160</v>
      </c>
      <c r="G11704" s="12" t="s">
        <v>40</v>
      </c>
      <c r="H11704" s="11" t="s">
        <v>63</v>
      </c>
      <c r="I11704" s="13" t="s">
        <v>23068</v>
      </c>
      <c r="J11704" s="14" t="str">
        <f>HYPERLINK("https://www.boe.es/gazeta/dias/1839/11/26/pdfs/GMD-1839-1843.pdf#page=2","Abrir facsímil")</f>
        <v>Abrir facsímil</v>
      </c>
      <c r="K11704" s="12" t="s">
        <v>65</v>
      </c>
    </row>
    <row r="11705" spans="1:11" ht="40.049999999999997" customHeight="1" x14ac:dyDescent="0.25">
      <c r="A11705" s="11" t="s">
        <v>23051</v>
      </c>
      <c r="B11705" s="11" t="s">
        <v>23051</v>
      </c>
      <c r="C11705" s="11" t="s">
        <v>17</v>
      </c>
      <c r="D11705" s="11" t="s">
        <v>18</v>
      </c>
      <c r="E11705" s="12" t="s">
        <v>1749</v>
      </c>
      <c r="F11705" s="12" t="s">
        <v>1750</v>
      </c>
      <c r="G11705" s="12" t="s">
        <v>40</v>
      </c>
      <c r="H11705" s="11" t="s">
        <v>63</v>
      </c>
      <c r="I11705" s="13" t="s">
        <v>23069</v>
      </c>
      <c r="J11705" s="14" t="str">
        <f>HYPERLINK("https://www.boe.es/gazeta/dias/1839/06/28/pdfs/GMD-1839-1686.pdf#page=2","Abrir facsímil")</f>
        <v>Abrir facsímil</v>
      </c>
      <c r="K11705" s="12" t="s">
        <v>65</v>
      </c>
    </row>
    <row r="11706" spans="1:11" ht="40.049999999999997" customHeight="1" x14ac:dyDescent="0.25">
      <c r="A11706" s="11" t="s">
        <v>23051</v>
      </c>
      <c r="B11706" s="11" t="s">
        <v>23051</v>
      </c>
      <c r="C11706" s="11" t="s">
        <v>17</v>
      </c>
      <c r="D11706" s="11" t="s">
        <v>18</v>
      </c>
      <c r="E11706" s="12" t="s">
        <v>1118</v>
      </c>
      <c r="F11706" s="12" t="s">
        <v>1119</v>
      </c>
      <c r="G11706" s="12" t="s">
        <v>29</v>
      </c>
      <c r="H11706" s="11" t="s">
        <v>63</v>
      </c>
      <c r="I11706" s="13" t="s">
        <v>23070</v>
      </c>
      <c r="J11706" s="14" t="str">
        <f>HYPERLINK("https://www.boe.es/gazeta/dias/1839/08/30/pdfs/GMD-1839-1751.pdf#page=1","Abrir facsímil")</f>
        <v>Abrir facsímil</v>
      </c>
      <c r="K11706" s="12" t="s">
        <v>65</v>
      </c>
    </row>
    <row r="11707" spans="1:11" ht="40.049999999999997" customHeight="1" x14ac:dyDescent="0.25">
      <c r="A11707" s="11" t="s">
        <v>23051</v>
      </c>
      <c r="B11707" s="11" t="s">
        <v>23051</v>
      </c>
      <c r="C11707" s="11" t="s">
        <v>101</v>
      </c>
      <c r="D11707" s="11" t="s">
        <v>102</v>
      </c>
      <c r="E11707" s="12" t="s">
        <v>951</v>
      </c>
      <c r="F11707" s="12" t="s">
        <v>952</v>
      </c>
      <c r="G11707" s="12" t="s">
        <v>46</v>
      </c>
      <c r="H11707" s="11" t="s">
        <v>63</v>
      </c>
      <c r="I11707" s="13" t="s">
        <v>23071</v>
      </c>
      <c r="J11707" s="14" t="str">
        <f>HYPERLINK("https://www.boe.es/gazeta/dias/1839/12/30/pdfs/GMD-1839-1877.pdf#page=3","Abrir facsímil")</f>
        <v>Abrir facsímil</v>
      </c>
      <c r="K11707" s="12" t="s">
        <v>65</v>
      </c>
    </row>
    <row r="11708" spans="1:11" ht="40.049999999999997" customHeight="1" x14ac:dyDescent="0.25">
      <c r="A11708" s="11" t="s">
        <v>23051</v>
      </c>
      <c r="B11708" s="11" t="s">
        <v>23051</v>
      </c>
      <c r="C11708" s="11" t="s">
        <v>17</v>
      </c>
      <c r="D11708" s="11" t="s">
        <v>18</v>
      </c>
      <c r="E11708" s="12" t="s">
        <v>3391</v>
      </c>
      <c r="F11708" s="12" t="s">
        <v>3392</v>
      </c>
      <c r="G11708" s="12" t="s">
        <v>40</v>
      </c>
      <c r="H11708" s="11" t="s">
        <v>63</v>
      </c>
      <c r="I11708" s="13" t="s">
        <v>23072</v>
      </c>
      <c r="J11708" s="14" t="str">
        <f>HYPERLINK("https://www.boe.es/gazeta/dias/1839/12/31/pdfs/GMD-1839-1878.pdf#page=2","Abrir facsímil")</f>
        <v>Abrir facsímil</v>
      </c>
      <c r="K11708" s="12" t="s">
        <v>65</v>
      </c>
    </row>
    <row r="11709" spans="1:11" ht="40.049999999999997" customHeight="1" x14ac:dyDescent="0.25">
      <c r="A11709" s="11" t="s">
        <v>23073</v>
      </c>
      <c r="B11709" s="11" t="s">
        <v>23073</v>
      </c>
      <c r="C11709" s="11" t="s">
        <v>137</v>
      </c>
      <c r="D11709" s="11" t="s">
        <v>18</v>
      </c>
      <c r="E11709" s="12" t="s">
        <v>291</v>
      </c>
      <c r="F11709" s="12" t="s">
        <v>292</v>
      </c>
      <c r="G11709" s="12" t="s">
        <v>29</v>
      </c>
      <c r="H11709" s="11" t="s">
        <v>63</v>
      </c>
      <c r="I11709" s="13" t="s">
        <v>23074</v>
      </c>
      <c r="J11709" s="14" t="str">
        <f>HYPERLINK("https://www.boe.es/gazeta/dias/1839/09/04/pdfs/GMD-1839-1757.pdf#page=1","Abrir facsímil")</f>
        <v>Abrir facsímil</v>
      </c>
      <c r="K11709" s="12" t="s">
        <v>65</v>
      </c>
    </row>
    <row r="11710" spans="1:11" ht="40.049999999999997" customHeight="1" x14ac:dyDescent="0.25">
      <c r="A11710" s="11" t="s">
        <v>23075</v>
      </c>
      <c r="B11710" s="11" t="s">
        <v>23075</v>
      </c>
      <c r="C11710" s="11" t="s">
        <v>59</v>
      </c>
      <c r="D11710" s="11" t="s">
        <v>60</v>
      </c>
      <c r="E11710" s="12" t="s">
        <v>1528</v>
      </c>
      <c r="F11710" s="12" t="s">
        <v>1529</v>
      </c>
      <c r="G11710" s="12" t="s">
        <v>40</v>
      </c>
      <c r="H11710" s="11" t="s">
        <v>63</v>
      </c>
      <c r="I11710" s="13" t="s">
        <v>23076</v>
      </c>
      <c r="J11710" s="14" t="str">
        <f>HYPERLINK("https://www.boe.es/gazeta/dias/1839/12/15/pdfs/GMD-1839-1862.pdf#page=2","Abrir facsímil")</f>
        <v>Abrir facsímil</v>
      </c>
      <c r="K11710" s="12" t="s">
        <v>65</v>
      </c>
    </row>
    <row r="11711" spans="1:11" ht="40.049999999999997" customHeight="1" x14ac:dyDescent="0.25">
      <c r="A11711" s="11" t="s">
        <v>23077</v>
      </c>
      <c r="B11711" s="11" t="s">
        <v>23077</v>
      </c>
      <c r="C11711" s="11" t="s">
        <v>59</v>
      </c>
      <c r="D11711" s="11" t="s">
        <v>60</v>
      </c>
      <c r="E11711" s="12" t="s">
        <v>2374</v>
      </c>
      <c r="F11711" s="12" t="s">
        <v>2375</v>
      </c>
      <c r="G11711" s="12" t="s">
        <v>40</v>
      </c>
      <c r="H11711" s="11" t="s">
        <v>63</v>
      </c>
      <c r="I11711" s="13" t="s">
        <v>23078</v>
      </c>
      <c r="J11711" s="14" t="str">
        <f>HYPERLINK("https://www.boe.es/gazeta/dias/1839/06/14/pdfs/GMD-1839-1672.pdf#page=2","Abrir facsímil")</f>
        <v>Abrir facsímil</v>
      </c>
      <c r="K11711" s="12" t="s">
        <v>65</v>
      </c>
    </row>
    <row r="11712" spans="1:11" ht="40.049999999999997" customHeight="1" x14ac:dyDescent="0.25">
      <c r="A11712" s="11" t="s">
        <v>23079</v>
      </c>
      <c r="B11712" s="11" t="s">
        <v>23080</v>
      </c>
      <c r="C11712" s="11" t="s">
        <v>80</v>
      </c>
      <c r="D11712" s="11" t="s">
        <v>18</v>
      </c>
      <c r="E11712" s="12" t="s">
        <v>369</v>
      </c>
      <c r="F11712" s="12" t="s">
        <v>370</v>
      </c>
      <c r="G11712" s="12" t="s">
        <v>46</v>
      </c>
      <c r="H11712" s="11" t="s">
        <v>63</v>
      </c>
      <c r="I11712" s="13" t="s">
        <v>23081</v>
      </c>
      <c r="J11712" s="14" t="str">
        <f>HYPERLINK("https://www.boe.es/gazeta/dias/1839/11/01/pdfs/GMD-1839-1818.pdf#page=3","Abrir facsímil")</f>
        <v>Abrir facsímil</v>
      </c>
      <c r="K11712" s="12" t="s">
        <v>65</v>
      </c>
    </row>
    <row r="11713" spans="1:11" ht="40.049999999999997" customHeight="1" x14ac:dyDescent="0.25">
      <c r="A11713" s="11" t="s">
        <v>23082</v>
      </c>
      <c r="B11713" s="11" t="s">
        <v>23082</v>
      </c>
      <c r="C11713" s="11" t="s">
        <v>17</v>
      </c>
      <c r="D11713" s="11" t="s">
        <v>18</v>
      </c>
      <c r="E11713" s="12" t="s">
        <v>577</v>
      </c>
      <c r="F11713" s="12" t="s">
        <v>578</v>
      </c>
      <c r="G11713" s="12" t="s">
        <v>40</v>
      </c>
      <c r="H11713" s="11" t="s">
        <v>63</v>
      </c>
      <c r="I11713" s="13" t="s">
        <v>23083</v>
      </c>
      <c r="J11713" s="14" t="str">
        <f>HYPERLINK("https://www.boe.es/gazeta/dias/1839/09/30/pdfs/GMD-1839-1786.pdf#page=2","Abrir facsímil")</f>
        <v>Abrir facsímil</v>
      </c>
      <c r="K11713" s="12" t="s">
        <v>65</v>
      </c>
    </row>
    <row r="11714" spans="1:11" ht="40.049999999999997" customHeight="1" x14ac:dyDescent="0.25">
      <c r="A11714" s="11" t="s">
        <v>23084</v>
      </c>
      <c r="B11714" s="11" t="s">
        <v>23085</v>
      </c>
      <c r="C11714" s="11" t="s">
        <v>101</v>
      </c>
      <c r="D11714" s="11" t="s">
        <v>43</v>
      </c>
      <c r="E11714" s="12" t="s">
        <v>577</v>
      </c>
      <c r="F11714" s="12" t="s">
        <v>578</v>
      </c>
      <c r="G11714" s="12" t="s">
        <v>40</v>
      </c>
      <c r="H11714" s="11" t="s">
        <v>63</v>
      </c>
      <c r="I11714" s="13" t="s">
        <v>23086</v>
      </c>
      <c r="J11714" s="14" t="str">
        <f>HYPERLINK("https://www.boe.es/gazeta/dias/1839/09/30/pdfs/GMD-1839-1786.pdf#page=2","Abrir facsímil")</f>
        <v>Abrir facsímil</v>
      </c>
      <c r="K11714" s="12" t="s">
        <v>65</v>
      </c>
    </row>
    <row r="11715" spans="1:11" ht="40.049999999999997" customHeight="1" x14ac:dyDescent="0.25">
      <c r="A11715" s="11" t="s">
        <v>23087</v>
      </c>
      <c r="B11715" s="11" t="s">
        <v>23088</v>
      </c>
      <c r="C11715" s="11" t="s">
        <v>137</v>
      </c>
      <c r="D11715" s="11" t="s">
        <v>18</v>
      </c>
      <c r="E11715" s="12" t="s">
        <v>1057</v>
      </c>
      <c r="F11715" s="12" t="s">
        <v>1058</v>
      </c>
      <c r="G11715" s="12" t="s">
        <v>40</v>
      </c>
      <c r="H11715" s="11" t="s">
        <v>63</v>
      </c>
      <c r="I11715" s="13" t="s">
        <v>23089</v>
      </c>
      <c r="J11715" s="14" t="str">
        <f>HYPERLINK("https://www.boe.es/gazeta/dias/1839/10/01/pdfs/GMD-1839-1787.pdf#page=2","Abrir facsímil")</f>
        <v>Abrir facsímil</v>
      </c>
      <c r="K11715" s="12" t="s">
        <v>65</v>
      </c>
    </row>
    <row r="11716" spans="1:11" ht="40.049999999999997" customHeight="1" x14ac:dyDescent="0.25">
      <c r="A11716" s="11" t="s">
        <v>23087</v>
      </c>
      <c r="B11716" s="11" t="s">
        <v>23088</v>
      </c>
      <c r="C11716" s="11" t="s">
        <v>17</v>
      </c>
      <c r="D11716" s="11" t="s">
        <v>18</v>
      </c>
      <c r="E11716" s="12" t="s">
        <v>388</v>
      </c>
      <c r="F11716" s="12" t="s">
        <v>389</v>
      </c>
      <c r="G11716" s="12" t="s">
        <v>21</v>
      </c>
      <c r="H11716" s="11" t="s">
        <v>63</v>
      </c>
      <c r="I11716" s="13" t="s">
        <v>23090</v>
      </c>
      <c r="J11716" s="14" t="str">
        <f>HYPERLINK("https://www.boe.es/gazeta/dias/1839/08/07/pdfs/GMD-1839-1727.pdf#page=4","Abrir facsímil")</f>
        <v>Abrir facsímil</v>
      </c>
      <c r="K11716" s="12" t="s">
        <v>65</v>
      </c>
    </row>
    <row r="11717" spans="1:11" ht="40.049999999999997" customHeight="1" x14ac:dyDescent="0.25">
      <c r="A11717" s="11" t="s">
        <v>23091</v>
      </c>
      <c r="B11717" s="11" t="s">
        <v>23092</v>
      </c>
      <c r="C11717" s="11" t="s">
        <v>17</v>
      </c>
      <c r="D11717" s="11" t="s">
        <v>18</v>
      </c>
      <c r="E11717" s="12" t="s">
        <v>704</v>
      </c>
      <c r="F11717" s="12" t="s">
        <v>705</v>
      </c>
      <c r="G11717" s="12" t="s">
        <v>46</v>
      </c>
      <c r="H11717" s="11" t="s">
        <v>63</v>
      </c>
      <c r="I11717" s="13" t="s">
        <v>23093</v>
      </c>
      <c r="J11717" s="14" t="str">
        <f>HYPERLINK("https://www.boe.es/gazeta/dias/1839/03/02/pdfs/GMD-1839-1568.pdf#page=3","Abrir facsímil")</f>
        <v>Abrir facsímil</v>
      </c>
      <c r="K11717" s="12" t="s">
        <v>65</v>
      </c>
    </row>
    <row r="11718" spans="1:11" ht="40.049999999999997" customHeight="1" x14ac:dyDescent="0.25">
      <c r="A11718" s="11" t="s">
        <v>23094</v>
      </c>
      <c r="B11718" s="11" t="s">
        <v>23094</v>
      </c>
      <c r="C11718" s="11" t="s">
        <v>17</v>
      </c>
      <c r="D11718" s="11" t="s">
        <v>18</v>
      </c>
      <c r="E11718" s="12" t="s">
        <v>448</v>
      </c>
      <c r="F11718" s="12" t="s">
        <v>449</v>
      </c>
      <c r="G11718" s="12" t="s">
        <v>21</v>
      </c>
      <c r="H11718" s="11" t="s">
        <v>63</v>
      </c>
      <c r="I11718" s="13" t="s">
        <v>23095</v>
      </c>
      <c r="J11718" s="14" t="str">
        <f>HYPERLINK("https://www.boe.es/gazeta/dias/1839/02/06/pdfs/GMD-1839-1544.pdf#page=4","Abrir facsímil")</f>
        <v>Abrir facsímil</v>
      </c>
      <c r="K11718" s="12" t="s">
        <v>65</v>
      </c>
    </row>
    <row r="11719" spans="1:11" ht="40.049999999999997" customHeight="1" x14ac:dyDescent="0.25">
      <c r="A11719" s="11" t="s">
        <v>23096</v>
      </c>
      <c r="B11719" s="11" t="s">
        <v>23096</v>
      </c>
      <c r="C11719" s="11" t="s">
        <v>101</v>
      </c>
      <c r="D11719" s="11" t="s">
        <v>43</v>
      </c>
      <c r="E11719" s="12" t="s">
        <v>751</v>
      </c>
      <c r="F11719" s="12" t="s">
        <v>752</v>
      </c>
      <c r="G11719" s="12" t="s">
        <v>46</v>
      </c>
      <c r="H11719" s="11" t="s">
        <v>63</v>
      </c>
      <c r="I11719" s="13" t="s">
        <v>23097</v>
      </c>
      <c r="J11719" s="14" t="str">
        <f>HYPERLINK("https://www.boe.es/gazeta/dias/1839/02/05/pdfs/GMD-1839-1543.pdf#page=3","Abrir facsímil")</f>
        <v>Abrir facsímil</v>
      </c>
      <c r="K11719" s="12" t="s">
        <v>65</v>
      </c>
    </row>
    <row r="11720" spans="1:11" ht="40.049999999999997" customHeight="1" x14ac:dyDescent="0.25">
      <c r="A11720" s="11" t="s">
        <v>23096</v>
      </c>
      <c r="B11720" s="11" t="s">
        <v>23096</v>
      </c>
      <c r="C11720" s="11" t="s">
        <v>59</v>
      </c>
      <c r="D11720" s="11" t="s">
        <v>60</v>
      </c>
      <c r="E11720" s="12" t="s">
        <v>751</v>
      </c>
      <c r="F11720" s="12" t="s">
        <v>752</v>
      </c>
      <c r="G11720" s="12" t="s">
        <v>21</v>
      </c>
      <c r="H11720" s="11" t="s">
        <v>63</v>
      </c>
      <c r="I11720" s="13" t="s">
        <v>23098</v>
      </c>
      <c r="J11720" s="14" t="str">
        <f>HYPERLINK("https://www.boe.es/gazeta/dias/1839/02/05/pdfs/GMD-1839-1543.pdf#page=4","Abrir facsímil")</f>
        <v>Abrir facsímil</v>
      </c>
      <c r="K11720" s="12" t="s">
        <v>65</v>
      </c>
    </row>
    <row r="11721" spans="1:11" ht="40.049999999999997" customHeight="1" x14ac:dyDescent="0.25">
      <c r="A11721" s="11" t="s">
        <v>23096</v>
      </c>
      <c r="B11721" s="11" t="s">
        <v>23096</v>
      </c>
      <c r="C11721" s="11" t="s">
        <v>17</v>
      </c>
      <c r="D11721" s="11" t="s">
        <v>18</v>
      </c>
      <c r="E11721" s="12" t="s">
        <v>448</v>
      </c>
      <c r="F11721" s="12" t="s">
        <v>449</v>
      </c>
      <c r="G11721" s="12" t="s">
        <v>46</v>
      </c>
      <c r="H11721" s="11" t="s">
        <v>63</v>
      </c>
      <c r="I11721" s="13" t="s">
        <v>23099</v>
      </c>
      <c r="J11721" s="14" t="str">
        <f>HYPERLINK("https://www.boe.es/gazeta/dias/1839/02/06/pdfs/GMD-1839-1544.pdf#page=3","Abrir facsímil")</f>
        <v>Abrir facsímil</v>
      </c>
      <c r="K11721" s="12" t="s">
        <v>65</v>
      </c>
    </row>
    <row r="11722" spans="1:11" ht="40.049999999999997" customHeight="1" x14ac:dyDescent="0.25">
      <c r="A11722" s="11" t="s">
        <v>23096</v>
      </c>
      <c r="B11722" s="11" t="s">
        <v>23096</v>
      </c>
      <c r="C11722" s="11" t="s">
        <v>17</v>
      </c>
      <c r="D11722" s="11" t="s">
        <v>18</v>
      </c>
      <c r="E11722" s="12" t="s">
        <v>453</v>
      </c>
      <c r="F11722" s="12" t="s">
        <v>454</v>
      </c>
      <c r="G11722" s="12" t="s">
        <v>40</v>
      </c>
      <c r="H11722" s="11" t="s">
        <v>63</v>
      </c>
      <c r="I11722" s="13" t="s">
        <v>23100</v>
      </c>
      <c r="J11722" s="14" t="str">
        <f>HYPERLINK("https://www.boe.es/gazeta/dias/1839/02/07/pdfs/GMD-1839-1545.pdf#page=2","Abrir facsímil")</f>
        <v>Abrir facsímil</v>
      </c>
      <c r="K11722" s="12" t="s">
        <v>65</v>
      </c>
    </row>
    <row r="11723" spans="1:11" ht="40.049999999999997" customHeight="1" x14ac:dyDescent="0.25">
      <c r="A11723" s="11" t="s">
        <v>23096</v>
      </c>
      <c r="B11723" s="11" t="s">
        <v>23096</v>
      </c>
      <c r="C11723" s="11" t="s">
        <v>17</v>
      </c>
      <c r="D11723" s="11" t="s">
        <v>18</v>
      </c>
      <c r="E11723" s="12" t="s">
        <v>453</v>
      </c>
      <c r="F11723" s="12" t="s">
        <v>454</v>
      </c>
      <c r="G11723" s="12" t="s">
        <v>46</v>
      </c>
      <c r="H11723" s="11" t="s">
        <v>63</v>
      </c>
      <c r="I11723" s="13" t="s">
        <v>23101</v>
      </c>
      <c r="J11723" s="14" t="str">
        <f>HYPERLINK("https://www.boe.es/gazeta/dias/1839/02/07/pdfs/GMD-1839-1545.pdf#page=3","Abrir facsímil")</f>
        <v>Abrir facsímil</v>
      </c>
      <c r="K11723" s="12" t="s">
        <v>65</v>
      </c>
    </row>
    <row r="11724" spans="1:11" ht="40.049999999999997" customHeight="1" x14ac:dyDescent="0.25">
      <c r="A11724" s="11" t="s">
        <v>23096</v>
      </c>
      <c r="B11724" s="11" t="s">
        <v>23096</v>
      </c>
      <c r="C11724" s="11" t="s">
        <v>137</v>
      </c>
      <c r="D11724" s="11" t="s">
        <v>18</v>
      </c>
      <c r="E11724" s="12" t="s">
        <v>453</v>
      </c>
      <c r="F11724" s="12" t="s">
        <v>454</v>
      </c>
      <c r="G11724" s="12" t="s">
        <v>21</v>
      </c>
      <c r="H11724" s="11" t="s">
        <v>63</v>
      </c>
      <c r="I11724" s="13" t="s">
        <v>23102</v>
      </c>
      <c r="J11724" s="14" t="str">
        <f>HYPERLINK("https://www.boe.es/gazeta/dias/1839/02/07/pdfs/GMD-1839-1545.pdf#page=4","Abrir facsímil")</f>
        <v>Abrir facsímil</v>
      </c>
      <c r="K11724" s="12" t="s">
        <v>65</v>
      </c>
    </row>
    <row r="11725" spans="1:11" ht="40.049999999999997" customHeight="1" x14ac:dyDescent="0.25">
      <c r="A11725" s="11" t="s">
        <v>23096</v>
      </c>
      <c r="B11725" s="11" t="s">
        <v>23096</v>
      </c>
      <c r="C11725" s="11" t="s">
        <v>137</v>
      </c>
      <c r="D11725" s="11" t="s">
        <v>18</v>
      </c>
      <c r="E11725" s="12" t="s">
        <v>862</v>
      </c>
      <c r="F11725" s="12" t="s">
        <v>863</v>
      </c>
      <c r="G11725" s="12" t="s">
        <v>46</v>
      </c>
      <c r="H11725" s="11" t="s">
        <v>63</v>
      </c>
      <c r="I11725" s="13" t="s">
        <v>23103</v>
      </c>
      <c r="J11725" s="14" t="str">
        <f>HYPERLINK("https://www.boe.es/gazeta/dias/1839/10/28/pdfs/GMD-1839-1814.pdf#page=3","Abrir facsímil")</f>
        <v>Abrir facsímil</v>
      </c>
      <c r="K11725" s="12" t="s">
        <v>65</v>
      </c>
    </row>
    <row r="11726" spans="1:11" ht="40.049999999999997" customHeight="1" x14ac:dyDescent="0.25">
      <c r="A11726" s="11" t="s">
        <v>23104</v>
      </c>
      <c r="B11726" s="11" t="s">
        <v>23105</v>
      </c>
      <c r="C11726" s="11" t="s">
        <v>17</v>
      </c>
      <c r="D11726" s="11" t="s">
        <v>18</v>
      </c>
      <c r="E11726" s="12" t="s">
        <v>751</v>
      </c>
      <c r="F11726" s="12" t="s">
        <v>752</v>
      </c>
      <c r="G11726" s="12" t="s">
        <v>21</v>
      </c>
      <c r="H11726" s="11" t="s">
        <v>63</v>
      </c>
      <c r="I11726" s="13" t="s">
        <v>23106</v>
      </c>
      <c r="J11726" s="14" t="str">
        <f>HYPERLINK("https://www.boe.es/gazeta/dias/1839/02/05/pdfs/GMD-1839-1543.pdf#page=4","Abrir facsímil")</f>
        <v>Abrir facsímil</v>
      </c>
      <c r="K11726" s="12" t="s">
        <v>65</v>
      </c>
    </row>
    <row r="11727" spans="1:11" ht="40.049999999999997" customHeight="1" x14ac:dyDescent="0.25">
      <c r="A11727" s="11" t="s">
        <v>23107</v>
      </c>
      <c r="B11727" s="11" t="s">
        <v>23108</v>
      </c>
      <c r="C11727" s="11" t="s">
        <v>17</v>
      </c>
      <c r="D11727" s="11" t="s">
        <v>18</v>
      </c>
      <c r="E11727" s="12" t="s">
        <v>1027</v>
      </c>
      <c r="F11727" s="12" t="s">
        <v>1028</v>
      </c>
      <c r="G11727" s="12" t="s">
        <v>21</v>
      </c>
      <c r="H11727" s="11" t="s">
        <v>63</v>
      </c>
      <c r="I11727" s="13" t="s">
        <v>23109</v>
      </c>
      <c r="J11727" s="14" t="str">
        <f>HYPERLINK("https://www.boe.es/gazeta/dias/1839/08/16/pdfs/GMD-1839-1736.pdf#page=4","Abrir facsímil")</f>
        <v>Abrir facsímil</v>
      </c>
      <c r="K11727" s="12" t="s">
        <v>65</v>
      </c>
    </row>
    <row r="11728" spans="1:11" ht="40.049999999999997" customHeight="1" x14ac:dyDescent="0.25">
      <c r="A11728" s="11" t="s">
        <v>23110</v>
      </c>
      <c r="B11728" s="11" t="s">
        <v>23111</v>
      </c>
      <c r="C11728" s="11" t="s">
        <v>17</v>
      </c>
      <c r="D11728" s="11" t="s">
        <v>18</v>
      </c>
      <c r="E11728" s="12" t="s">
        <v>438</v>
      </c>
      <c r="F11728" s="12" t="s">
        <v>439</v>
      </c>
      <c r="G11728" s="12" t="s">
        <v>40</v>
      </c>
      <c r="H11728" s="11" t="s">
        <v>63</v>
      </c>
      <c r="I11728" s="13" t="s">
        <v>23112</v>
      </c>
      <c r="J11728" s="14" t="str">
        <f>HYPERLINK("https://www.boe.es/gazeta/dias/1839/07/17/pdfs/GMD-1839-1705.pdf#page=2","Abrir facsímil")</f>
        <v>Abrir facsímil</v>
      </c>
      <c r="K11728" s="12" t="s">
        <v>65</v>
      </c>
    </row>
    <row r="11729" spans="1:11" ht="40.049999999999997" customHeight="1" x14ac:dyDescent="0.25">
      <c r="A11729" s="11" t="s">
        <v>23110</v>
      </c>
      <c r="B11729" s="11" t="s">
        <v>23111</v>
      </c>
      <c r="C11729" s="11" t="s">
        <v>17</v>
      </c>
      <c r="D11729" s="11" t="s">
        <v>18</v>
      </c>
      <c r="E11729" s="12" t="s">
        <v>564</v>
      </c>
      <c r="F11729" s="12" t="s">
        <v>565</v>
      </c>
      <c r="G11729" s="12" t="s">
        <v>29</v>
      </c>
      <c r="H11729" s="11" t="s">
        <v>63</v>
      </c>
      <c r="I11729" s="13" t="s">
        <v>23113</v>
      </c>
      <c r="J11729" s="14" t="str">
        <f>HYPERLINK("https://www.boe.es/gazeta/dias/1839/10/17/pdfs/GMD-1839-1803.pdf#page=1","Abrir facsímil")</f>
        <v>Abrir facsímil</v>
      </c>
      <c r="K11729" s="12" t="s">
        <v>65</v>
      </c>
    </row>
    <row r="11730" spans="1:11" ht="40.049999999999997" customHeight="1" x14ac:dyDescent="0.25">
      <c r="A11730" s="11" t="s">
        <v>23110</v>
      </c>
      <c r="B11730" s="11" t="s">
        <v>23111</v>
      </c>
      <c r="C11730" s="11" t="s">
        <v>59</v>
      </c>
      <c r="D11730" s="11" t="s">
        <v>60</v>
      </c>
      <c r="E11730" s="12" t="s">
        <v>1208</v>
      </c>
      <c r="F11730" s="12" t="s">
        <v>1209</v>
      </c>
      <c r="G11730" s="12" t="s">
        <v>40</v>
      </c>
      <c r="H11730" s="11" t="s">
        <v>63</v>
      </c>
      <c r="I11730" s="13" t="s">
        <v>23114</v>
      </c>
      <c r="J11730" s="14" t="str">
        <f>HYPERLINK("https://www.boe.es/gazeta/dias/1839/04/24/pdfs/GMD-1839-1621.pdf#page=2","Abrir facsímil")</f>
        <v>Abrir facsímil</v>
      </c>
      <c r="K11730" s="12" t="s">
        <v>65</v>
      </c>
    </row>
    <row r="11731" spans="1:11" ht="40.049999999999997" customHeight="1" x14ac:dyDescent="0.25">
      <c r="A11731" s="11" t="s">
        <v>23115</v>
      </c>
      <c r="B11731" s="11" t="s">
        <v>23116</v>
      </c>
      <c r="C11731" s="11" t="s">
        <v>17</v>
      </c>
      <c r="D11731" s="11" t="s">
        <v>18</v>
      </c>
      <c r="E11731" s="12" t="s">
        <v>2829</v>
      </c>
      <c r="F11731" s="12" t="s">
        <v>2830</v>
      </c>
      <c r="G11731" s="12" t="s">
        <v>21</v>
      </c>
      <c r="H11731" s="11" t="s">
        <v>63</v>
      </c>
      <c r="I11731" s="13" t="s">
        <v>23117</v>
      </c>
      <c r="J11731" s="14" t="str">
        <f>HYPERLINK("https://www.boe.es/gazeta/dias/1839/07/01/pdfs/GMD-1839-1689.pdf#page=4","Abrir facsímil")</f>
        <v>Abrir facsímil</v>
      </c>
      <c r="K11731" s="12" t="s">
        <v>65</v>
      </c>
    </row>
    <row r="11732" spans="1:11" ht="40.049999999999997" customHeight="1" x14ac:dyDescent="0.25">
      <c r="A11732" s="11" t="s">
        <v>23118</v>
      </c>
      <c r="B11732" s="11" t="s">
        <v>23119</v>
      </c>
      <c r="C11732" s="11" t="s">
        <v>80</v>
      </c>
      <c r="D11732" s="11" t="s">
        <v>18</v>
      </c>
      <c r="E11732" s="12" t="s">
        <v>2650</v>
      </c>
      <c r="F11732" s="12" t="s">
        <v>2651</v>
      </c>
      <c r="G11732" s="12" t="s">
        <v>21</v>
      </c>
      <c r="H11732" s="11" t="s">
        <v>63</v>
      </c>
      <c r="I11732" s="13" t="s">
        <v>23120</v>
      </c>
      <c r="J11732" s="14" t="str">
        <f>HYPERLINK("https://www.boe.es/gazeta/dias/1839/09/15/pdfs/GMD-1839-1768.pdf#page=4","Abrir facsímil")</f>
        <v>Abrir facsímil</v>
      </c>
      <c r="K11732" s="12" t="s">
        <v>65</v>
      </c>
    </row>
    <row r="11733" spans="1:11" ht="40.049999999999997" customHeight="1" x14ac:dyDescent="0.25">
      <c r="A11733" s="11" t="s">
        <v>23121</v>
      </c>
      <c r="B11733" s="11" t="s">
        <v>23122</v>
      </c>
      <c r="C11733" s="11" t="s">
        <v>59</v>
      </c>
      <c r="D11733" s="11" t="s">
        <v>60</v>
      </c>
      <c r="E11733" s="12" t="s">
        <v>76</v>
      </c>
      <c r="F11733" s="12" t="s">
        <v>77</v>
      </c>
      <c r="G11733" s="12" t="s">
        <v>21</v>
      </c>
      <c r="H11733" s="11" t="s">
        <v>63</v>
      </c>
      <c r="I11733" s="13" t="s">
        <v>23123</v>
      </c>
      <c r="J11733" s="14" t="str">
        <f>HYPERLINK("https://www.boe.es/gazeta/dias/1839/03/13/pdfs/GMD-1839-1579.pdf#page=4","Abrir facsímil")</f>
        <v>Abrir facsímil</v>
      </c>
      <c r="K11733" s="12" t="s">
        <v>65</v>
      </c>
    </row>
    <row r="11734" spans="1:11" ht="40.049999999999997" customHeight="1" x14ac:dyDescent="0.25">
      <c r="A11734" s="11" t="s">
        <v>23124</v>
      </c>
      <c r="B11734" s="11" t="s">
        <v>23124</v>
      </c>
      <c r="C11734" s="11" t="s">
        <v>137</v>
      </c>
      <c r="D11734" s="11" t="s">
        <v>18</v>
      </c>
      <c r="E11734" s="12" t="s">
        <v>1366</v>
      </c>
      <c r="F11734" s="12" t="s">
        <v>1367</v>
      </c>
      <c r="G11734" s="12" t="s">
        <v>40</v>
      </c>
      <c r="H11734" s="11" t="s">
        <v>63</v>
      </c>
      <c r="I11734" s="13" t="s">
        <v>23125</v>
      </c>
      <c r="J11734" s="14" t="str">
        <f>HYPERLINK("https://www.boe.es/gazeta/dias/1839/09/09/pdfs/GMD-1839-1762.pdf#page=2","Abrir facsímil")</f>
        <v>Abrir facsímil</v>
      </c>
      <c r="K11734" s="12" t="s">
        <v>65</v>
      </c>
    </row>
    <row r="11735" spans="1:11" ht="40.049999999999997" customHeight="1" x14ac:dyDescent="0.25">
      <c r="A11735" s="11" t="s">
        <v>23126</v>
      </c>
      <c r="B11735" s="11" t="s">
        <v>23127</v>
      </c>
      <c r="C11735" s="11" t="s">
        <v>80</v>
      </c>
      <c r="D11735" s="11" t="s">
        <v>18</v>
      </c>
      <c r="E11735" s="12" t="s">
        <v>2452</v>
      </c>
      <c r="F11735" s="12" t="s">
        <v>2453</v>
      </c>
      <c r="G11735" s="12" t="s">
        <v>21</v>
      </c>
      <c r="H11735" s="11" t="s">
        <v>63</v>
      </c>
      <c r="I11735" s="13" t="s">
        <v>23128</v>
      </c>
      <c r="J11735" s="14" t="str">
        <f>HYPERLINK("https://www.boe.es/gazeta/dias/1839/11/14/pdfs/GMD-1839-1831.pdf#page=4","Abrir facsímil")</f>
        <v>Abrir facsímil</v>
      </c>
      <c r="K11735" s="12" t="s">
        <v>65</v>
      </c>
    </row>
    <row r="11736" spans="1:11" ht="40.049999999999997" customHeight="1" x14ac:dyDescent="0.25">
      <c r="A11736" s="11" t="s">
        <v>23129</v>
      </c>
      <c r="B11736" s="11" t="s">
        <v>23129</v>
      </c>
      <c r="C11736" s="11" t="s">
        <v>17</v>
      </c>
      <c r="D11736" s="11" t="s">
        <v>18</v>
      </c>
      <c r="E11736" s="12" t="s">
        <v>804</v>
      </c>
      <c r="F11736" s="12" t="s">
        <v>805</v>
      </c>
      <c r="G11736" s="12" t="s">
        <v>29</v>
      </c>
      <c r="H11736" s="11" t="s">
        <v>63</v>
      </c>
      <c r="I11736" s="13" t="s">
        <v>23130</v>
      </c>
      <c r="J11736" s="14" t="str">
        <f>HYPERLINK("https://www.boe.es/gazeta/dias/1839/01/08/pdfs/GMD-1839-1515.pdf#page=1","Abrir facsímil")</f>
        <v>Abrir facsímil</v>
      </c>
      <c r="K11736" s="12" t="s">
        <v>65</v>
      </c>
    </row>
    <row r="11737" spans="1:11" ht="40.049999999999997" customHeight="1" x14ac:dyDescent="0.25">
      <c r="A11737" s="11" t="s">
        <v>23131</v>
      </c>
      <c r="B11737" s="11" t="s">
        <v>23132</v>
      </c>
      <c r="C11737" s="11" t="s">
        <v>17</v>
      </c>
      <c r="D11737" s="11" t="s">
        <v>18</v>
      </c>
      <c r="E11737" s="12" t="s">
        <v>1666</v>
      </c>
      <c r="F11737" s="12" t="s">
        <v>1667</v>
      </c>
      <c r="G11737" s="12" t="s">
        <v>21</v>
      </c>
      <c r="H11737" s="11" t="s">
        <v>22</v>
      </c>
      <c r="I11737" s="13" t="s">
        <v>23133</v>
      </c>
      <c r="J11737" s="14" t="str">
        <f>HYPERLINK("https://www.boe.es/gazeta/dias/1839/04/22/pdfs/GMD-1839-1619.pdf#page=4","Abrir facsímil")</f>
        <v>Abrir facsímil</v>
      </c>
      <c r="K11737" s="12" t="s">
        <v>24</v>
      </c>
    </row>
    <row r="11738" spans="1:11" ht="40.049999999999997" customHeight="1" x14ac:dyDescent="0.25">
      <c r="A11738" s="11" t="s">
        <v>23134</v>
      </c>
      <c r="B11738" s="11" t="s">
        <v>23134</v>
      </c>
      <c r="C11738" s="11" t="s">
        <v>137</v>
      </c>
      <c r="D11738" s="11" t="s">
        <v>18</v>
      </c>
      <c r="E11738" s="12" t="s">
        <v>826</v>
      </c>
      <c r="F11738" s="12" t="s">
        <v>827</v>
      </c>
      <c r="G11738" s="12" t="s">
        <v>46</v>
      </c>
      <c r="H11738" s="11" t="s">
        <v>22</v>
      </c>
      <c r="I11738" s="13" t="s">
        <v>23135</v>
      </c>
      <c r="J11738" s="14" t="str">
        <f>HYPERLINK("https://www.boe.es/gazeta/dias/1839/09/25/pdfs/GMD-1839-1781.pdf#page=3","Abrir facsímil")</f>
        <v>Abrir facsímil</v>
      </c>
      <c r="K11738" s="12" t="s">
        <v>24</v>
      </c>
    </row>
    <row r="11739" spans="1:11" ht="40.049999999999997" customHeight="1" x14ac:dyDescent="0.25">
      <c r="A11739" s="11" t="s">
        <v>23136</v>
      </c>
      <c r="B11739" s="11" t="s">
        <v>23136</v>
      </c>
      <c r="C11739" s="11" t="s">
        <v>17</v>
      </c>
      <c r="D11739" s="11" t="s">
        <v>18</v>
      </c>
      <c r="E11739" s="12" t="s">
        <v>212</v>
      </c>
      <c r="F11739" s="12" t="s">
        <v>213</v>
      </c>
      <c r="G11739" s="12" t="s">
        <v>21</v>
      </c>
      <c r="H11739" s="11" t="s">
        <v>22</v>
      </c>
      <c r="I11739" s="13" t="s">
        <v>23137</v>
      </c>
      <c r="J11739" s="14" t="str">
        <f>HYPERLINK("https://www.boe.es/gazeta/dias/1839/10/03/pdfs/GMD-1839-1789.pdf#page=4","Abrir facsímil")</f>
        <v>Abrir facsímil</v>
      </c>
      <c r="K11739" s="12" t="s">
        <v>24</v>
      </c>
    </row>
    <row r="11740" spans="1:11" ht="40.049999999999997" customHeight="1" x14ac:dyDescent="0.25">
      <c r="A11740" s="11" t="s">
        <v>23136</v>
      </c>
      <c r="B11740" s="11" t="s">
        <v>23136</v>
      </c>
      <c r="C11740" s="11" t="s">
        <v>101</v>
      </c>
      <c r="D11740" s="11" t="s">
        <v>43</v>
      </c>
      <c r="E11740" s="12" t="s">
        <v>2301</v>
      </c>
      <c r="F11740" s="12" t="s">
        <v>2302</v>
      </c>
      <c r="G11740" s="12" t="s">
        <v>46</v>
      </c>
      <c r="H11740" s="11" t="s">
        <v>22</v>
      </c>
      <c r="I11740" s="13" t="s">
        <v>23138</v>
      </c>
      <c r="J11740" s="14" t="str">
        <f>HYPERLINK("https://www.boe.es/gazeta/dias/1839/09/08/pdfs/GMD-1839-1761.pdf#page=3","Abrir facsímil")</f>
        <v>Abrir facsímil</v>
      </c>
      <c r="K11740" s="12" t="s">
        <v>24</v>
      </c>
    </row>
    <row r="11741" spans="1:11" ht="40.049999999999997" customHeight="1" x14ac:dyDescent="0.25">
      <c r="A11741" s="11" t="s">
        <v>23136</v>
      </c>
      <c r="B11741" s="11" t="s">
        <v>23136</v>
      </c>
      <c r="C11741" s="11" t="s">
        <v>101</v>
      </c>
      <c r="D11741" s="11" t="s">
        <v>43</v>
      </c>
      <c r="E11741" s="12" t="s">
        <v>254</v>
      </c>
      <c r="F11741" s="12" t="s">
        <v>255</v>
      </c>
      <c r="G11741" s="12" t="s">
        <v>40</v>
      </c>
      <c r="H11741" s="11" t="s">
        <v>22</v>
      </c>
      <c r="I11741" s="13" t="s">
        <v>23139</v>
      </c>
      <c r="J11741" s="14" t="str">
        <f>HYPERLINK("https://www.boe.es/gazeta/dias/1839/09/12/pdfs/GMD-1839-1765.pdf#page=2","Abrir facsímil")</f>
        <v>Abrir facsímil</v>
      </c>
      <c r="K11741" s="12" t="s">
        <v>24</v>
      </c>
    </row>
    <row r="11742" spans="1:11" ht="40.049999999999997" customHeight="1" x14ac:dyDescent="0.25">
      <c r="A11742" s="11" t="s">
        <v>23136</v>
      </c>
      <c r="B11742" s="11" t="s">
        <v>23136</v>
      </c>
      <c r="C11742" s="11" t="s">
        <v>101</v>
      </c>
      <c r="D11742" s="11" t="s">
        <v>43</v>
      </c>
      <c r="E11742" s="12" t="s">
        <v>254</v>
      </c>
      <c r="F11742" s="12" t="s">
        <v>255</v>
      </c>
      <c r="G11742" s="12" t="s">
        <v>46</v>
      </c>
      <c r="H11742" s="11" t="s">
        <v>22</v>
      </c>
      <c r="I11742" s="13" t="s">
        <v>23140</v>
      </c>
      <c r="J11742" s="14" t="str">
        <f>HYPERLINK("https://www.boe.es/gazeta/dias/1839/09/12/pdfs/GMD-1839-1765.pdf#page=3","Abrir facsímil")</f>
        <v>Abrir facsímil</v>
      </c>
      <c r="K11742" s="12" t="s">
        <v>24</v>
      </c>
    </row>
    <row r="11743" spans="1:11" ht="40.049999999999997" customHeight="1" x14ac:dyDescent="0.25">
      <c r="A11743" s="11" t="s">
        <v>23136</v>
      </c>
      <c r="B11743" s="11" t="s">
        <v>23136</v>
      </c>
      <c r="C11743" s="11" t="s">
        <v>80</v>
      </c>
      <c r="D11743" s="11" t="s">
        <v>173</v>
      </c>
      <c r="E11743" s="12" t="s">
        <v>736</v>
      </c>
      <c r="F11743" s="12" t="s">
        <v>737</v>
      </c>
      <c r="G11743" s="12" t="s">
        <v>46</v>
      </c>
      <c r="H11743" s="11" t="s">
        <v>22</v>
      </c>
      <c r="I11743" s="13" t="s">
        <v>23141</v>
      </c>
      <c r="J11743" s="14" t="str">
        <f>HYPERLINK("https://www.boe.es/gazeta/dias/1839/10/13/pdfs/GMD-1839-1799.pdf#page=3","Abrir facsímil")</f>
        <v>Abrir facsímil</v>
      </c>
      <c r="K11743" s="12" t="s">
        <v>24</v>
      </c>
    </row>
    <row r="11744" spans="1:11" ht="40.049999999999997" customHeight="1" x14ac:dyDescent="0.25">
      <c r="A11744" s="11" t="s">
        <v>23136</v>
      </c>
      <c r="B11744" s="11" t="s">
        <v>23136</v>
      </c>
      <c r="C11744" s="11" t="s">
        <v>80</v>
      </c>
      <c r="D11744" s="11" t="s">
        <v>18</v>
      </c>
      <c r="E11744" s="12" t="s">
        <v>592</v>
      </c>
      <c r="F11744" s="12" t="s">
        <v>593</v>
      </c>
      <c r="G11744" s="12" t="s">
        <v>21</v>
      </c>
      <c r="H11744" s="11" t="s">
        <v>22</v>
      </c>
      <c r="I11744" s="13" t="s">
        <v>23142</v>
      </c>
      <c r="J11744" s="14" t="str">
        <f>HYPERLINK("https://www.boe.es/gazeta/dias/1839/09/14/pdfs/GMD-1839-1767.pdf#page=4","Abrir facsímil")</f>
        <v>Abrir facsímil</v>
      </c>
      <c r="K11744" s="12" t="s">
        <v>24</v>
      </c>
    </row>
    <row r="11745" spans="1:11" ht="40.049999999999997" customHeight="1" x14ac:dyDescent="0.25">
      <c r="A11745" s="11" t="s">
        <v>23136</v>
      </c>
      <c r="B11745" s="11" t="s">
        <v>23136</v>
      </c>
      <c r="C11745" s="11" t="s">
        <v>17</v>
      </c>
      <c r="D11745" s="11" t="s">
        <v>18</v>
      </c>
      <c r="E11745" s="12" t="s">
        <v>826</v>
      </c>
      <c r="F11745" s="12" t="s">
        <v>827</v>
      </c>
      <c r="G11745" s="12" t="s">
        <v>46</v>
      </c>
      <c r="H11745" s="11" t="s">
        <v>22</v>
      </c>
      <c r="I11745" s="13" t="s">
        <v>23143</v>
      </c>
      <c r="J11745" s="14" t="str">
        <f>HYPERLINK("https://www.boe.es/gazeta/dias/1839/09/25/pdfs/GMD-1839-1781.pdf#page=3","Abrir facsímil")</f>
        <v>Abrir facsímil</v>
      </c>
      <c r="K11745" s="12" t="s">
        <v>24</v>
      </c>
    </row>
    <row r="11746" spans="1:11" ht="40.049999999999997" customHeight="1" x14ac:dyDescent="0.25">
      <c r="A11746" s="11" t="s">
        <v>23144</v>
      </c>
      <c r="B11746" s="11" t="s">
        <v>23144</v>
      </c>
      <c r="C11746" s="11" t="s">
        <v>80</v>
      </c>
      <c r="D11746" s="11" t="s">
        <v>18</v>
      </c>
      <c r="E11746" s="12" t="s">
        <v>1725</v>
      </c>
      <c r="F11746" s="12" t="s">
        <v>1726</v>
      </c>
      <c r="G11746" s="12" t="s">
        <v>46</v>
      </c>
      <c r="H11746" s="11" t="s">
        <v>22</v>
      </c>
      <c r="I11746" s="13" t="s">
        <v>23145</v>
      </c>
      <c r="J11746" s="14" t="str">
        <f>HYPERLINK("https://www.boe.es/gazeta/dias/1839/11/17/pdfs/GMD-1839-1834.pdf#page=3","Abrir facsímil")</f>
        <v>Abrir facsímil</v>
      </c>
      <c r="K11746" s="12" t="s">
        <v>24</v>
      </c>
    </row>
    <row r="11747" spans="1:11" ht="40.049999999999997" customHeight="1" x14ac:dyDescent="0.25">
      <c r="A11747" s="11" t="s">
        <v>23146</v>
      </c>
      <c r="B11747" s="11" t="s">
        <v>23146</v>
      </c>
      <c r="C11747" s="11" t="s">
        <v>80</v>
      </c>
      <c r="D11747" s="11" t="s">
        <v>18</v>
      </c>
      <c r="E11747" s="12" t="s">
        <v>197</v>
      </c>
      <c r="F11747" s="12" t="s">
        <v>198</v>
      </c>
      <c r="G11747" s="12" t="s">
        <v>21</v>
      </c>
      <c r="H11747" s="11" t="s">
        <v>22</v>
      </c>
      <c r="I11747" s="13" t="s">
        <v>23147</v>
      </c>
      <c r="J11747" s="14" t="str">
        <f>HYPERLINK("https://www.boe.es/gazeta/dias/1839/10/04/pdfs/GMD-1839-1790.pdf#page=4","Abrir facsímil")</f>
        <v>Abrir facsímil</v>
      </c>
      <c r="K11747" s="12" t="s">
        <v>24</v>
      </c>
    </row>
    <row r="11748" spans="1:11" ht="40.049999999999997" customHeight="1" x14ac:dyDescent="0.25">
      <c r="A11748" s="11" t="s">
        <v>23146</v>
      </c>
      <c r="B11748" s="11" t="s">
        <v>23146</v>
      </c>
      <c r="C11748" s="11" t="s">
        <v>17</v>
      </c>
      <c r="D11748" s="11" t="s">
        <v>18</v>
      </c>
      <c r="E11748" s="12" t="s">
        <v>2210</v>
      </c>
      <c r="F11748" s="12" t="s">
        <v>2211</v>
      </c>
      <c r="G11748" s="12" t="s">
        <v>21</v>
      </c>
      <c r="H11748" s="11" t="s">
        <v>22</v>
      </c>
      <c r="I11748" s="13" t="s">
        <v>23148</v>
      </c>
      <c r="J11748" s="14" t="str">
        <f>HYPERLINK("https://www.boe.es/gazeta/dias/1839/09/05/pdfs/GMD-1839-1758.pdf#page=4","Abrir facsímil")</f>
        <v>Abrir facsímil</v>
      </c>
      <c r="K11748" s="12" t="s">
        <v>24</v>
      </c>
    </row>
    <row r="11749" spans="1:11" ht="40.049999999999997" customHeight="1" x14ac:dyDescent="0.25">
      <c r="A11749" s="11" t="s">
        <v>23146</v>
      </c>
      <c r="B11749" s="11" t="s">
        <v>23146</v>
      </c>
      <c r="C11749" s="11" t="s">
        <v>137</v>
      </c>
      <c r="D11749" s="11" t="s">
        <v>18</v>
      </c>
      <c r="E11749" s="12" t="s">
        <v>804</v>
      </c>
      <c r="F11749" s="12" t="s">
        <v>805</v>
      </c>
      <c r="G11749" s="12" t="s">
        <v>29</v>
      </c>
      <c r="H11749" s="11" t="s">
        <v>22</v>
      </c>
      <c r="I11749" s="13" t="s">
        <v>23149</v>
      </c>
      <c r="J11749" s="14" t="str">
        <f>HYPERLINK("https://www.boe.es/gazeta/dias/1839/01/08/pdfs/GMD-1839-1515.pdf#page=1","Abrir facsímil")</f>
        <v>Abrir facsímil</v>
      </c>
      <c r="K11749" s="12" t="s">
        <v>24</v>
      </c>
    </row>
    <row r="11750" spans="1:11" ht="40.049999999999997" customHeight="1" x14ac:dyDescent="0.25">
      <c r="A11750" s="11" t="s">
        <v>23146</v>
      </c>
      <c r="B11750" s="11" t="s">
        <v>23146</v>
      </c>
      <c r="C11750" s="11" t="s">
        <v>80</v>
      </c>
      <c r="D11750" s="11" t="s">
        <v>18</v>
      </c>
      <c r="E11750" s="12" t="s">
        <v>372</v>
      </c>
      <c r="F11750" s="12" t="s">
        <v>373</v>
      </c>
      <c r="G11750" s="12" t="s">
        <v>21</v>
      </c>
      <c r="H11750" s="11" t="s">
        <v>22</v>
      </c>
      <c r="I11750" s="13" t="s">
        <v>23150</v>
      </c>
      <c r="J11750" s="14" t="str">
        <f>HYPERLINK("https://www.boe.es/gazeta/dias/1839/11/08/pdfs/GMD-1839-1825.pdf#page=4","Abrir facsímil")</f>
        <v>Abrir facsímil</v>
      </c>
      <c r="K11750" s="12" t="s">
        <v>24</v>
      </c>
    </row>
    <row r="11751" spans="1:11" ht="40.049999999999997" customHeight="1" x14ac:dyDescent="0.25">
      <c r="A11751" s="11" t="s">
        <v>23146</v>
      </c>
      <c r="B11751" s="11" t="s">
        <v>23146</v>
      </c>
      <c r="C11751" s="11" t="s">
        <v>17</v>
      </c>
      <c r="D11751" s="11" t="s">
        <v>18</v>
      </c>
      <c r="E11751" s="12" t="s">
        <v>116</v>
      </c>
      <c r="F11751" s="12" t="s">
        <v>117</v>
      </c>
      <c r="G11751" s="12" t="s">
        <v>21</v>
      </c>
      <c r="H11751" s="11" t="s">
        <v>22</v>
      </c>
      <c r="I11751" s="13" t="s">
        <v>23151</v>
      </c>
      <c r="J11751" s="14" t="str">
        <f>HYPERLINK("https://www.boe.es/gazeta/dias/1839/10/10/pdfs/GMD-1839-1796.pdf#page=4","Abrir facsímil")</f>
        <v>Abrir facsímil</v>
      </c>
      <c r="K11751" s="12" t="s">
        <v>24</v>
      </c>
    </row>
    <row r="11752" spans="1:11" ht="40.049999999999997" customHeight="1" x14ac:dyDescent="0.25">
      <c r="A11752" s="11" t="s">
        <v>23146</v>
      </c>
      <c r="B11752" s="11" t="s">
        <v>23146</v>
      </c>
      <c r="C11752" s="11" t="s">
        <v>80</v>
      </c>
      <c r="D11752" s="11" t="s">
        <v>18</v>
      </c>
      <c r="E11752" s="12" t="s">
        <v>2205</v>
      </c>
      <c r="F11752" s="12" t="s">
        <v>2206</v>
      </c>
      <c r="G11752" s="12" t="s">
        <v>21</v>
      </c>
      <c r="H11752" s="11" t="s">
        <v>22</v>
      </c>
      <c r="I11752" s="13" t="s">
        <v>23152</v>
      </c>
      <c r="J11752" s="14" t="str">
        <f>HYPERLINK("https://www.boe.es/gazeta/dias/1839/07/11/pdfs/GMD-1839-1699.pdf#page=4","Abrir facsímil")</f>
        <v>Abrir facsímil</v>
      </c>
      <c r="K11752" s="12" t="s">
        <v>24</v>
      </c>
    </row>
    <row r="11753" spans="1:11" ht="40.049999999999997" customHeight="1" x14ac:dyDescent="0.25">
      <c r="A11753" s="11" t="s">
        <v>23146</v>
      </c>
      <c r="B11753" s="11" t="s">
        <v>23146</v>
      </c>
      <c r="C11753" s="11" t="s">
        <v>101</v>
      </c>
      <c r="D11753" s="11" t="s">
        <v>43</v>
      </c>
      <c r="E11753" s="12" t="s">
        <v>1414</v>
      </c>
      <c r="F11753" s="12" t="s">
        <v>1415</v>
      </c>
      <c r="G11753" s="12" t="s">
        <v>21</v>
      </c>
      <c r="H11753" s="11" t="s">
        <v>22</v>
      </c>
      <c r="I11753" s="13" t="s">
        <v>23153</v>
      </c>
      <c r="J11753" s="14" t="str">
        <f>HYPERLINK("https://www.boe.es/gazeta/dias/1839/06/12/pdfs/GMD-1839-1670.pdf#page=4","Abrir facsímil")</f>
        <v>Abrir facsímil</v>
      </c>
      <c r="K11753" s="12" t="s">
        <v>24</v>
      </c>
    </row>
    <row r="11754" spans="1:11" ht="40.049999999999997" customHeight="1" x14ac:dyDescent="0.25">
      <c r="A11754" s="11" t="s">
        <v>23146</v>
      </c>
      <c r="B11754" s="11" t="s">
        <v>23146</v>
      </c>
      <c r="C11754" s="11" t="s">
        <v>17</v>
      </c>
      <c r="D11754" s="11" t="s">
        <v>18</v>
      </c>
      <c r="E11754" s="12" t="s">
        <v>2155</v>
      </c>
      <c r="F11754" s="12" t="s">
        <v>2156</v>
      </c>
      <c r="G11754" s="12" t="s">
        <v>29</v>
      </c>
      <c r="H11754" s="11" t="s">
        <v>22</v>
      </c>
      <c r="I11754" s="13" t="s">
        <v>23154</v>
      </c>
      <c r="J11754" s="14" t="str">
        <f>HYPERLINK("https://www.boe.es/gazeta/dias/1839/01/17/pdfs/GMD-1839-1524.pdf#page=1","Abrir facsímil")</f>
        <v>Abrir facsímil</v>
      </c>
      <c r="K11754" s="12" t="s">
        <v>24</v>
      </c>
    </row>
    <row r="11755" spans="1:11" ht="40.049999999999997" customHeight="1" x14ac:dyDescent="0.25">
      <c r="A11755" s="11" t="s">
        <v>23146</v>
      </c>
      <c r="B11755" s="11" t="s">
        <v>23146</v>
      </c>
      <c r="C11755" s="11" t="s">
        <v>101</v>
      </c>
      <c r="D11755" s="11" t="s">
        <v>102</v>
      </c>
      <c r="E11755" s="12" t="s">
        <v>992</v>
      </c>
      <c r="F11755" s="12" t="s">
        <v>993</v>
      </c>
      <c r="G11755" s="12" t="s">
        <v>29</v>
      </c>
      <c r="H11755" s="11" t="s">
        <v>22</v>
      </c>
      <c r="I11755" s="13" t="s">
        <v>23155</v>
      </c>
      <c r="J11755" s="14" t="str">
        <f>HYPERLINK("https://www.boe.es/gazeta/dias/1839/02/18/pdfs/GMD-1839-1556.pdf#page=1","Abrir facsímil")</f>
        <v>Abrir facsímil</v>
      </c>
      <c r="K11755" s="12" t="s">
        <v>24</v>
      </c>
    </row>
    <row r="11756" spans="1:11" ht="40.049999999999997" customHeight="1" x14ac:dyDescent="0.25">
      <c r="A11756" s="11" t="s">
        <v>23146</v>
      </c>
      <c r="B11756" s="11" t="s">
        <v>23146</v>
      </c>
      <c r="C11756" s="11" t="s">
        <v>17</v>
      </c>
      <c r="D11756" s="11" t="s">
        <v>18</v>
      </c>
      <c r="E11756" s="12" t="s">
        <v>405</v>
      </c>
      <c r="F11756" s="12" t="s">
        <v>406</v>
      </c>
      <c r="G11756" s="12" t="s">
        <v>29</v>
      </c>
      <c r="H11756" s="11" t="s">
        <v>22</v>
      </c>
      <c r="I11756" s="13" t="s">
        <v>23156</v>
      </c>
      <c r="J11756" s="14" t="str">
        <f>HYPERLINK("https://www.boe.es/gazeta/dias/1839/03/25/pdfs/GMD-1839-1591.pdf#page=1","Abrir facsímil")</f>
        <v>Abrir facsímil</v>
      </c>
      <c r="K11756" s="12" t="s">
        <v>24</v>
      </c>
    </row>
    <row r="11757" spans="1:11" ht="40.049999999999997" customHeight="1" x14ac:dyDescent="0.25">
      <c r="A11757" s="11" t="s">
        <v>23146</v>
      </c>
      <c r="B11757" s="11" t="s">
        <v>23146</v>
      </c>
      <c r="C11757" s="11" t="s">
        <v>17</v>
      </c>
      <c r="D11757" s="11" t="s">
        <v>18</v>
      </c>
      <c r="E11757" s="12" t="s">
        <v>4787</v>
      </c>
      <c r="F11757" s="12" t="s">
        <v>4788</v>
      </c>
      <c r="G11757" s="12" t="s">
        <v>21</v>
      </c>
      <c r="H11757" s="11" t="s">
        <v>22</v>
      </c>
      <c r="I11757" s="13" t="s">
        <v>23157</v>
      </c>
      <c r="J11757" s="14" t="str">
        <f>HYPERLINK("https://www.boe.es/gazeta/dias/1839/05/26/pdfs/GMD-1839-1653.pdf#page=4","Abrir facsímil")</f>
        <v>Abrir facsímil</v>
      </c>
      <c r="K11757" s="12" t="s">
        <v>24</v>
      </c>
    </row>
    <row r="11758" spans="1:11" ht="40.049999999999997" customHeight="1" x14ac:dyDescent="0.25">
      <c r="A11758" s="11" t="s">
        <v>23146</v>
      </c>
      <c r="B11758" s="11" t="s">
        <v>23146</v>
      </c>
      <c r="C11758" s="11" t="s">
        <v>17</v>
      </c>
      <c r="D11758" s="11" t="s">
        <v>18</v>
      </c>
      <c r="E11758" s="12" t="s">
        <v>571</v>
      </c>
      <c r="F11758" s="12" t="s">
        <v>572</v>
      </c>
      <c r="G11758" s="12" t="s">
        <v>305</v>
      </c>
      <c r="H11758" s="11" t="s">
        <v>22</v>
      </c>
      <c r="I11758" s="13" t="s">
        <v>23158</v>
      </c>
      <c r="J11758" s="14" t="str">
        <f>HYPERLINK("https://www.boe.es/gazeta/dias/1839/09/27/pdfs/GMD-1839-1783.pdf#page=6","Abrir facsímil")</f>
        <v>Abrir facsímil</v>
      </c>
      <c r="K11758" s="12" t="s">
        <v>24</v>
      </c>
    </row>
    <row r="11759" spans="1:11" ht="40.049999999999997" customHeight="1" x14ac:dyDescent="0.25">
      <c r="A11759" s="11" t="s">
        <v>23159</v>
      </c>
      <c r="B11759" s="11" t="s">
        <v>23159</v>
      </c>
      <c r="C11759" s="11" t="s">
        <v>137</v>
      </c>
      <c r="D11759" s="11" t="s">
        <v>18</v>
      </c>
      <c r="E11759" s="12" t="s">
        <v>212</v>
      </c>
      <c r="F11759" s="12" t="s">
        <v>213</v>
      </c>
      <c r="G11759" s="12" t="s">
        <v>21</v>
      </c>
      <c r="H11759" s="11" t="s">
        <v>63</v>
      </c>
      <c r="I11759" s="13" t="s">
        <v>23160</v>
      </c>
      <c r="J11759" s="14" t="str">
        <f>HYPERLINK("https://www.boe.es/gazeta/dias/1839/10/03/pdfs/GMD-1839-1789.pdf#page=4","Abrir facsímil")</f>
        <v>Abrir facsímil</v>
      </c>
      <c r="K11759" s="12" t="s">
        <v>65</v>
      </c>
    </row>
    <row r="11760" spans="1:11" ht="40.049999999999997" customHeight="1" x14ac:dyDescent="0.25">
      <c r="A11760" s="11" t="s">
        <v>23159</v>
      </c>
      <c r="B11760" s="11" t="s">
        <v>23159</v>
      </c>
      <c r="C11760" s="11" t="s">
        <v>101</v>
      </c>
      <c r="D11760" s="11" t="s">
        <v>43</v>
      </c>
      <c r="E11760" s="12" t="s">
        <v>254</v>
      </c>
      <c r="F11760" s="12" t="s">
        <v>255</v>
      </c>
      <c r="G11760" s="12" t="s">
        <v>40</v>
      </c>
      <c r="H11760" s="11" t="s">
        <v>63</v>
      </c>
      <c r="I11760" s="13" t="s">
        <v>23161</v>
      </c>
      <c r="J11760" s="14" t="str">
        <f>HYPERLINK("https://www.boe.es/gazeta/dias/1839/09/12/pdfs/GMD-1839-1765.pdf#page=2","Abrir facsímil")</f>
        <v>Abrir facsímil</v>
      </c>
      <c r="K11760" s="12" t="s">
        <v>65</v>
      </c>
    </row>
    <row r="11761" spans="1:11" ht="40.049999999999997" customHeight="1" x14ac:dyDescent="0.25">
      <c r="A11761" s="11" t="s">
        <v>23159</v>
      </c>
      <c r="B11761" s="11" t="s">
        <v>23159</v>
      </c>
      <c r="C11761" s="11" t="s">
        <v>101</v>
      </c>
      <c r="D11761" s="11" t="s">
        <v>43</v>
      </c>
      <c r="E11761" s="12" t="s">
        <v>254</v>
      </c>
      <c r="F11761" s="12" t="s">
        <v>255</v>
      </c>
      <c r="G11761" s="12" t="s">
        <v>46</v>
      </c>
      <c r="H11761" s="11" t="s">
        <v>63</v>
      </c>
      <c r="I11761" s="13" t="s">
        <v>23162</v>
      </c>
      <c r="J11761" s="14" t="str">
        <f>HYPERLINK("https://www.boe.es/gazeta/dias/1839/09/12/pdfs/GMD-1839-1765.pdf#page=3","Abrir facsímil")</f>
        <v>Abrir facsímil</v>
      </c>
      <c r="K11761" s="12" t="s">
        <v>65</v>
      </c>
    </row>
    <row r="11762" spans="1:11" ht="40.049999999999997" customHeight="1" x14ac:dyDescent="0.25">
      <c r="A11762" s="11" t="s">
        <v>23159</v>
      </c>
      <c r="B11762" s="11" t="s">
        <v>23159</v>
      </c>
      <c r="C11762" s="11" t="s">
        <v>17</v>
      </c>
      <c r="D11762" s="11" t="s">
        <v>18</v>
      </c>
      <c r="E11762" s="12" t="s">
        <v>1100</v>
      </c>
      <c r="F11762" s="12" t="s">
        <v>1101</v>
      </c>
      <c r="G11762" s="12" t="s">
        <v>29</v>
      </c>
      <c r="H11762" s="11" t="s">
        <v>63</v>
      </c>
      <c r="I11762" s="13" t="s">
        <v>23163</v>
      </c>
      <c r="J11762" s="14" t="str">
        <f>HYPERLINK("https://www.boe.es/gazeta/dias/1839/09/13/pdfs/GMD-1839-1766.pdf#page=1","Abrir facsímil")</f>
        <v>Abrir facsímil</v>
      </c>
      <c r="K11762" s="12" t="s">
        <v>65</v>
      </c>
    </row>
    <row r="11763" spans="1:11" ht="40.049999999999997" customHeight="1" x14ac:dyDescent="0.25">
      <c r="A11763" s="11" t="s">
        <v>23159</v>
      </c>
      <c r="B11763" s="11" t="s">
        <v>23159</v>
      </c>
      <c r="C11763" s="11" t="s">
        <v>17</v>
      </c>
      <c r="D11763" s="11" t="s">
        <v>18</v>
      </c>
      <c r="E11763" s="12" t="s">
        <v>592</v>
      </c>
      <c r="F11763" s="12" t="s">
        <v>593</v>
      </c>
      <c r="G11763" s="12" t="s">
        <v>21</v>
      </c>
      <c r="H11763" s="11" t="s">
        <v>63</v>
      </c>
      <c r="I11763" s="13" t="s">
        <v>23164</v>
      </c>
      <c r="J11763" s="14" t="str">
        <f>HYPERLINK("https://www.boe.es/gazeta/dias/1839/09/14/pdfs/GMD-1839-1767.pdf#page=4","Abrir facsímil")</f>
        <v>Abrir facsímil</v>
      </c>
      <c r="K11763" s="12" t="s">
        <v>65</v>
      </c>
    </row>
    <row r="11764" spans="1:11" ht="40.049999999999997" customHeight="1" x14ac:dyDescent="0.25">
      <c r="A11764" s="11" t="s">
        <v>23159</v>
      </c>
      <c r="B11764" s="11" t="s">
        <v>23159</v>
      </c>
      <c r="C11764" s="11" t="s">
        <v>17</v>
      </c>
      <c r="D11764" s="11" t="s">
        <v>18</v>
      </c>
      <c r="E11764" s="12" t="s">
        <v>826</v>
      </c>
      <c r="F11764" s="12" t="s">
        <v>827</v>
      </c>
      <c r="G11764" s="12" t="s">
        <v>46</v>
      </c>
      <c r="H11764" s="11" t="s">
        <v>63</v>
      </c>
      <c r="I11764" s="13" t="s">
        <v>23165</v>
      </c>
      <c r="J11764" s="14" t="str">
        <f>HYPERLINK("https://www.boe.es/gazeta/dias/1839/09/25/pdfs/GMD-1839-1781.pdf#page=3","Abrir facsímil")</f>
        <v>Abrir facsímil</v>
      </c>
      <c r="K11764" s="12" t="s">
        <v>65</v>
      </c>
    </row>
    <row r="11765" spans="1:11" ht="40.049999999999997" customHeight="1" x14ac:dyDescent="0.25">
      <c r="A11765" s="11" t="s">
        <v>23159</v>
      </c>
      <c r="B11765" s="11" t="s">
        <v>23159</v>
      </c>
      <c r="C11765" s="11" t="s">
        <v>137</v>
      </c>
      <c r="D11765" s="11" t="s">
        <v>18</v>
      </c>
      <c r="E11765" s="12" t="s">
        <v>862</v>
      </c>
      <c r="F11765" s="12" t="s">
        <v>863</v>
      </c>
      <c r="G11765" s="12" t="s">
        <v>40</v>
      </c>
      <c r="H11765" s="11" t="s">
        <v>63</v>
      </c>
      <c r="I11765" s="13" t="s">
        <v>23166</v>
      </c>
      <c r="J11765" s="14" t="str">
        <f>HYPERLINK("https://www.boe.es/gazeta/dias/1839/10/28/pdfs/GMD-1839-1814.pdf#page=2","Abrir facsímil")</f>
        <v>Abrir facsímil</v>
      </c>
      <c r="K11765" s="12" t="s">
        <v>65</v>
      </c>
    </row>
    <row r="11766" spans="1:11" ht="40.049999999999997" customHeight="1" x14ac:dyDescent="0.25">
      <c r="A11766" s="11" t="s">
        <v>23167</v>
      </c>
      <c r="B11766" s="11" t="s">
        <v>23168</v>
      </c>
      <c r="C11766" s="11" t="s">
        <v>17</v>
      </c>
      <c r="D11766" s="11" t="s">
        <v>18</v>
      </c>
      <c r="E11766" s="12" t="s">
        <v>1474</v>
      </c>
      <c r="F11766" s="12" t="s">
        <v>1475</v>
      </c>
      <c r="G11766" s="12" t="s">
        <v>46</v>
      </c>
      <c r="H11766" s="11" t="s">
        <v>63</v>
      </c>
      <c r="I11766" s="13" t="s">
        <v>23169</v>
      </c>
      <c r="J11766" s="14" t="str">
        <f>HYPERLINK("https://www.boe.es/gazeta/dias/1839/02/28/pdfs/GMD-1839-1566.pdf#page=3","Abrir facsímil")</f>
        <v>Abrir facsímil</v>
      </c>
      <c r="K11766" s="12" t="s">
        <v>65</v>
      </c>
    </row>
    <row r="11767" spans="1:11" ht="40.049999999999997" customHeight="1" x14ac:dyDescent="0.25">
      <c r="A11767" s="11" t="s">
        <v>23170</v>
      </c>
      <c r="B11767" s="11" t="s">
        <v>23171</v>
      </c>
      <c r="C11767" s="11" t="s">
        <v>17</v>
      </c>
      <c r="D11767" s="11" t="s">
        <v>18</v>
      </c>
      <c r="E11767" s="12" t="s">
        <v>474</v>
      </c>
      <c r="F11767" s="12" t="s">
        <v>475</v>
      </c>
      <c r="G11767" s="12" t="s">
        <v>21</v>
      </c>
      <c r="H11767" s="11" t="s">
        <v>63</v>
      </c>
      <c r="I11767" s="13" t="s">
        <v>23172</v>
      </c>
      <c r="J11767" s="14" t="str">
        <f>HYPERLINK("https://www.boe.es/gazeta/dias/1839/03/31/pdfs/GMD-1839-1597.pdf#page=4","Abrir facsímil")</f>
        <v>Abrir facsímil</v>
      </c>
      <c r="K11767" s="12" t="s">
        <v>65</v>
      </c>
    </row>
    <row r="11768" spans="1:11" ht="40.049999999999997" customHeight="1" x14ac:dyDescent="0.25">
      <c r="A11768" s="11" t="s">
        <v>23173</v>
      </c>
      <c r="B11768" s="11" t="s">
        <v>23174</v>
      </c>
      <c r="C11768" s="11" t="s">
        <v>17</v>
      </c>
      <c r="D11768" s="11" t="s">
        <v>18</v>
      </c>
      <c r="E11768" s="12" t="s">
        <v>998</v>
      </c>
      <c r="F11768" s="12" t="s">
        <v>999</v>
      </c>
      <c r="G11768" s="12" t="s">
        <v>21</v>
      </c>
      <c r="H11768" s="11" t="s">
        <v>63</v>
      </c>
      <c r="I11768" s="13" t="s">
        <v>23175</v>
      </c>
      <c r="J11768" s="14" t="str">
        <f>HYPERLINK("https://www.boe.es/gazeta/dias/1839/05/06/pdfs/GMD-1839-1633.pdf#page=4","Abrir facsímil")</f>
        <v>Abrir facsímil</v>
      </c>
      <c r="K11768" s="12" t="s">
        <v>65</v>
      </c>
    </row>
    <row r="11769" spans="1:11" ht="40.049999999999997" customHeight="1" x14ac:dyDescent="0.25">
      <c r="A11769" s="11" t="s">
        <v>23173</v>
      </c>
      <c r="B11769" s="11" t="s">
        <v>23174</v>
      </c>
      <c r="C11769" s="11" t="s">
        <v>17</v>
      </c>
      <c r="D11769" s="11" t="s">
        <v>18</v>
      </c>
      <c r="E11769" s="12" t="s">
        <v>782</v>
      </c>
      <c r="F11769" s="12" t="s">
        <v>783</v>
      </c>
      <c r="G11769" s="12" t="s">
        <v>21</v>
      </c>
      <c r="H11769" s="11" t="s">
        <v>63</v>
      </c>
      <c r="I11769" s="13" t="s">
        <v>23176</v>
      </c>
      <c r="J11769" s="14" t="str">
        <f>HYPERLINK("https://www.boe.es/gazeta/dias/1839/05/09/pdfs/GMD-1839-1636.pdf#page=4","Abrir facsímil")</f>
        <v>Abrir facsímil</v>
      </c>
      <c r="K11769" s="12" t="s">
        <v>65</v>
      </c>
    </row>
    <row r="11770" spans="1:11" ht="40.049999999999997" customHeight="1" x14ac:dyDescent="0.25">
      <c r="A11770" s="11" t="s">
        <v>23173</v>
      </c>
      <c r="B11770" s="11" t="s">
        <v>23174</v>
      </c>
      <c r="C11770" s="11" t="s">
        <v>17</v>
      </c>
      <c r="D11770" s="11" t="s">
        <v>18</v>
      </c>
      <c r="E11770" s="12" t="s">
        <v>3289</v>
      </c>
      <c r="F11770" s="12" t="s">
        <v>3290</v>
      </c>
      <c r="G11770" s="12" t="s">
        <v>46</v>
      </c>
      <c r="H11770" s="11" t="s">
        <v>63</v>
      </c>
      <c r="I11770" s="13" t="s">
        <v>23177</v>
      </c>
      <c r="J11770" s="14" t="str">
        <f>HYPERLINK("https://www.boe.es/gazeta/dias/1839/12/10/pdfs/GMD-1839-1857.pdf#page=3","Abrir facsímil")</f>
        <v>Abrir facsímil</v>
      </c>
      <c r="K11770" s="12" t="s">
        <v>65</v>
      </c>
    </row>
    <row r="11771" spans="1:11" ht="40.049999999999997" customHeight="1" x14ac:dyDescent="0.25">
      <c r="A11771" s="11" t="s">
        <v>23173</v>
      </c>
      <c r="B11771" s="11" t="s">
        <v>23174</v>
      </c>
      <c r="C11771" s="11" t="s">
        <v>17</v>
      </c>
      <c r="D11771" s="11" t="s">
        <v>18</v>
      </c>
      <c r="E11771" s="12" t="s">
        <v>621</v>
      </c>
      <c r="F11771" s="12" t="s">
        <v>622</v>
      </c>
      <c r="G11771" s="12" t="s">
        <v>29</v>
      </c>
      <c r="H11771" s="11" t="s">
        <v>63</v>
      </c>
      <c r="I11771" s="13" t="s">
        <v>23178</v>
      </c>
      <c r="J11771" s="14" t="str">
        <f>HYPERLINK("https://www.boe.es/gazeta/dias/1839/04/14/pdfs/GMD-1839-1611.pdf#page=1","Abrir facsímil")</f>
        <v>Abrir facsímil</v>
      </c>
      <c r="K11771" s="12" t="s">
        <v>65</v>
      </c>
    </row>
    <row r="11772" spans="1:11" ht="40.049999999999997" customHeight="1" x14ac:dyDescent="0.25">
      <c r="A11772" s="11" t="s">
        <v>23173</v>
      </c>
      <c r="B11772" s="11" t="s">
        <v>23174</v>
      </c>
      <c r="C11772" s="11" t="s">
        <v>17</v>
      </c>
      <c r="D11772" s="11" t="s">
        <v>18</v>
      </c>
      <c r="E11772" s="12" t="s">
        <v>775</v>
      </c>
      <c r="F11772" s="12" t="s">
        <v>776</v>
      </c>
      <c r="G11772" s="12" t="s">
        <v>29</v>
      </c>
      <c r="H11772" s="11" t="s">
        <v>63</v>
      </c>
      <c r="I11772" s="13" t="s">
        <v>23179</v>
      </c>
      <c r="J11772" s="14" t="str">
        <f>HYPERLINK("https://www.boe.es/gazeta/dias/1839/02/25/pdfs/GMD-1839-1563.pdf#page=1","Abrir facsímil")</f>
        <v>Abrir facsímil</v>
      </c>
      <c r="K11772" s="12" t="s">
        <v>65</v>
      </c>
    </row>
    <row r="11773" spans="1:11" ht="40.049999999999997" customHeight="1" x14ac:dyDescent="0.25">
      <c r="A11773" s="11" t="s">
        <v>23180</v>
      </c>
      <c r="B11773" s="11" t="s">
        <v>23181</v>
      </c>
      <c r="C11773" s="11" t="s">
        <v>17</v>
      </c>
      <c r="D11773" s="11" t="s">
        <v>18</v>
      </c>
      <c r="E11773" s="12" t="s">
        <v>44</v>
      </c>
      <c r="F11773" s="12" t="s">
        <v>45</v>
      </c>
      <c r="G11773" s="12" t="s">
        <v>46</v>
      </c>
      <c r="H11773" s="11" t="s">
        <v>63</v>
      </c>
      <c r="I11773" s="13" t="s">
        <v>23182</v>
      </c>
      <c r="J11773" s="14" t="str">
        <f>HYPERLINK("https://www.boe.es/gazeta/dias/1839/11/15/pdfs/GMD-1839-1832.pdf#page=3","Abrir facsímil")</f>
        <v>Abrir facsímil</v>
      </c>
      <c r="K11773" s="12" t="s">
        <v>65</v>
      </c>
    </row>
    <row r="11774" spans="1:11" ht="40.049999999999997" customHeight="1" x14ac:dyDescent="0.25">
      <c r="A11774" s="11" t="s">
        <v>23183</v>
      </c>
      <c r="B11774" s="11" t="s">
        <v>23183</v>
      </c>
      <c r="C11774" s="11" t="s">
        <v>59</v>
      </c>
      <c r="D11774" s="11" t="s">
        <v>60</v>
      </c>
      <c r="E11774" s="12" t="s">
        <v>2738</v>
      </c>
      <c r="F11774" s="12" t="s">
        <v>2739</v>
      </c>
      <c r="G11774" s="12" t="s">
        <v>40</v>
      </c>
      <c r="H11774" s="11" t="s">
        <v>22</v>
      </c>
      <c r="I11774" s="13" t="s">
        <v>23184</v>
      </c>
      <c r="J11774" s="14" t="str">
        <f>HYPERLINK("https://www.boe.es/gazeta/dias/1839/09/06/pdfs/GMD-1839-1759.pdf#page=2","Abrir facsímil")</f>
        <v>Abrir facsímil</v>
      </c>
      <c r="K11774" s="12" t="s">
        <v>24</v>
      </c>
    </row>
    <row r="11775" spans="1:11" ht="40.049999999999997" customHeight="1" x14ac:dyDescent="0.25">
      <c r="A11775" s="11" t="s">
        <v>23185</v>
      </c>
      <c r="B11775" s="11" t="s">
        <v>23185</v>
      </c>
      <c r="C11775" s="11" t="s">
        <v>80</v>
      </c>
      <c r="D11775" s="11" t="s">
        <v>18</v>
      </c>
      <c r="E11775" s="12" t="s">
        <v>785</v>
      </c>
      <c r="F11775" s="12" t="s">
        <v>786</v>
      </c>
      <c r="G11775" s="12" t="s">
        <v>29</v>
      </c>
      <c r="H11775" s="11" t="s">
        <v>22</v>
      </c>
      <c r="I11775" s="13" t="s">
        <v>23186</v>
      </c>
      <c r="J11775" s="14" t="str">
        <f>HYPERLINK("https://www.boe.es/gazeta/dias/1839/07/13/pdfs/GMD-1839-1701.pdf#page=1","Abrir facsímil")</f>
        <v>Abrir facsímil</v>
      </c>
      <c r="K11775" s="12" t="s">
        <v>24</v>
      </c>
    </row>
    <row r="11776" spans="1:11" ht="40.049999999999997" customHeight="1" x14ac:dyDescent="0.25">
      <c r="A11776" s="11" t="s">
        <v>23185</v>
      </c>
      <c r="B11776" s="11" t="s">
        <v>23185</v>
      </c>
      <c r="C11776" s="11" t="s">
        <v>80</v>
      </c>
      <c r="D11776" s="11" t="s">
        <v>18</v>
      </c>
      <c r="E11776" s="12" t="s">
        <v>148</v>
      </c>
      <c r="F11776" s="12" t="s">
        <v>149</v>
      </c>
      <c r="G11776" s="12" t="s">
        <v>40</v>
      </c>
      <c r="H11776" s="11" t="s">
        <v>22</v>
      </c>
      <c r="I11776" s="13" t="s">
        <v>23187</v>
      </c>
      <c r="J11776" s="14" t="str">
        <f>HYPERLINK("https://www.boe.es/gazeta/dias/1839/07/16/pdfs/GMD-1839-1704.pdf#page=2","Abrir facsímil")</f>
        <v>Abrir facsímil</v>
      </c>
      <c r="K11776" s="12" t="s">
        <v>24</v>
      </c>
    </row>
    <row r="11777" spans="1:11" ht="40.049999999999997" customHeight="1" x14ac:dyDescent="0.25">
      <c r="A11777" s="11" t="s">
        <v>23188</v>
      </c>
      <c r="B11777" s="11" t="s">
        <v>23188</v>
      </c>
      <c r="C11777" s="11" t="s">
        <v>17</v>
      </c>
      <c r="D11777" s="11" t="s">
        <v>43</v>
      </c>
      <c r="E11777" s="12" t="s">
        <v>3134</v>
      </c>
      <c r="F11777" s="12" t="s">
        <v>3135</v>
      </c>
      <c r="G11777" s="12" t="s">
        <v>29</v>
      </c>
      <c r="H11777" s="11" t="s">
        <v>22</v>
      </c>
      <c r="I11777" s="13" t="s">
        <v>23189</v>
      </c>
      <c r="J11777" s="14" t="str">
        <f>HYPERLINK("https://www.boe.es/gazeta/dias/1839/08/09/pdfs/GMD-1839-1729.pdf#page=1","Abrir facsímil")</f>
        <v>Abrir facsímil</v>
      </c>
      <c r="K11777" s="12" t="s">
        <v>24</v>
      </c>
    </row>
    <row r="11778" spans="1:11" ht="40.049999999999997" customHeight="1" x14ac:dyDescent="0.25">
      <c r="A11778" s="11" t="s">
        <v>23188</v>
      </c>
      <c r="B11778" s="11" t="s">
        <v>23188</v>
      </c>
      <c r="C11778" s="11" t="s">
        <v>137</v>
      </c>
      <c r="D11778" s="11" t="s">
        <v>18</v>
      </c>
      <c r="E11778" s="12" t="s">
        <v>479</v>
      </c>
      <c r="F11778" s="12" t="s">
        <v>480</v>
      </c>
      <c r="G11778" s="12" t="s">
        <v>29</v>
      </c>
      <c r="H11778" s="11" t="s">
        <v>22</v>
      </c>
      <c r="I11778" s="13" t="s">
        <v>23190</v>
      </c>
      <c r="J11778" s="14" t="str">
        <f>HYPERLINK("https://www.boe.es/gazeta/dias/1839/06/24/pdfs/GMD-1839-1682.pdf#page=1","Abrir facsímil")</f>
        <v>Abrir facsímil</v>
      </c>
      <c r="K11778" s="12" t="s">
        <v>24</v>
      </c>
    </row>
    <row r="11779" spans="1:11" ht="40.049999999999997" customHeight="1" x14ac:dyDescent="0.25">
      <c r="A11779" s="11" t="s">
        <v>23191</v>
      </c>
      <c r="B11779" s="11" t="s">
        <v>23192</v>
      </c>
      <c r="C11779" s="11" t="s">
        <v>17</v>
      </c>
      <c r="D11779" s="11" t="s">
        <v>18</v>
      </c>
      <c r="E11779" s="12" t="s">
        <v>108</v>
      </c>
      <c r="F11779" s="12" t="s">
        <v>109</v>
      </c>
      <c r="G11779" s="12" t="s">
        <v>29</v>
      </c>
      <c r="H11779" s="11" t="s">
        <v>63</v>
      </c>
      <c r="I11779" s="13" t="s">
        <v>23193</v>
      </c>
      <c r="J11779" s="14" t="str">
        <f>HYPERLINK("https://www.boe.es/gazeta/dias/1839/01/04/pdfs/GMD-1839-1511.pdf#page=1","Abrir facsímil")</f>
        <v>Abrir facsímil</v>
      </c>
      <c r="K11779" s="12" t="s">
        <v>65</v>
      </c>
    </row>
    <row r="11780" spans="1:11" ht="40.049999999999997" customHeight="1" x14ac:dyDescent="0.25">
      <c r="A11780" s="11" t="s">
        <v>23194</v>
      </c>
      <c r="B11780" s="11" t="s">
        <v>23194</v>
      </c>
      <c r="C11780" s="11" t="s">
        <v>80</v>
      </c>
      <c r="D11780" s="11" t="s">
        <v>18</v>
      </c>
      <c r="E11780" s="12" t="s">
        <v>81</v>
      </c>
      <c r="F11780" s="12" t="s">
        <v>82</v>
      </c>
      <c r="G11780" s="12" t="s">
        <v>21</v>
      </c>
      <c r="H11780" s="11" t="s">
        <v>22</v>
      </c>
      <c r="I11780" s="13" t="s">
        <v>23195</v>
      </c>
      <c r="J11780" s="14" t="str">
        <f>HYPERLINK("https://www.boe.es/gazeta/dias/1839/03/03/pdfs/GMD-1839-1569.pdf#page=4","Abrir facsímil")</f>
        <v>Abrir facsímil</v>
      </c>
      <c r="K11780" s="12" t="s">
        <v>24</v>
      </c>
    </row>
    <row r="11781" spans="1:11" ht="40.049999999999997" customHeight="1" x14ac:dyDescent="0.25">
      <c r="A11781" s="11" t="s">
        <v>23194</v>
      </c>
      <c r="B11781" s="11" t="s">
        <v>23194</v>
      </c>
      <c r="C11781" s="11" t="s">
        <v>80</v>
      </c>
      <c r="D11781" s="11" t="s">
        <v>18</v>
      </c>
      <c r="E11781" s="12" t="s">
        <v>2205</v>
      </c>
      <c r="F11781" s="12" t="s">
        <v>2206</v>
      </c>
      <c r="G11781" s="12" t="s">
        <v>21</v>
      </c>
      <c r="H11781" s="11" t="s">
        <v>22</v>
      </c>
      <c r="I11781" s="13" t="s">
        <v>23196</v>
      </c>
      <c r="J11781" s="14" t="str">
        <f>HYPERLINK("https://www.boe.es/gazeta/dias/1839/07/11/pdfs/GMD-1839-1699.pdf#page=4","Abrir facsímil")</f>
        <v>Abrir facsímil</v>
      </c>
      <c r="K11781" s="12" t="s">
        <v>24</v>
      </c>
    </row>
    <row r="11782" spans="1:11" ht="40.049999999999997" customHeight="1" x14ac:dyDescent="0.25">
      <c r="A11782" s="11" t="s">
        <v>23197</v>
      </c>
      <c r="B11782" s="11" t="s">
        <v>23197</v>
      </c>
      <c r="C11782" s="11" t="s">
        <v>17</v>
      </c>
      <c r="D11782" s="11" t="s">
        <v>18</v>
      </c>
      <c r="E11782" s="12" t="s">
        <v>3134</v>
      </c>
      <c r="F11782" s="12" t="s">
        <v>3135</v>
      </c>
      <c r="G11782" s="12" t="s">
        <v>21</v>
      </c>
      <c r="H11782" s="11" t="s">
        <v>22</v>
      </c>
      <c r="I11782" s="13" t="s">
        <v>23198</v>
      </c>
      <c r="J11782" s="14" t="str">
        <f>HYPERLINK("https://www.boe.es/gazeta/dias/1839/08/09/pdfs/GMD-1839-1729.pdf#page=4","Abrir facsímil")</f>
        <v>Abrir facsímil</v>
      </c>
      <c r="K11782" s="12" t="s">
        <v>24</v>
      </c>
    </row>
    <row r="11783" spans="1:11" ht="40.049999999999997" customHeight="1" x14ac:dyDescent="0.25">
      <c r="A11783" s="11" t="s">
        <v>23197</v>
      </c>
      <c r="B11783" s="11" t="s">
        <v>23197</v>
      </c>
      <c r="C11783" s="11" t="s">
        <v>17</v>
      </c>
      <c r="D11783" s="11" t="s">
        <v>18</v>
      </c>
      <c r="E11783" s="12" t="s">
        <v>1433</v>
      </c>
      <c r="F11783" s="12" t="s">
        <v>1434</v>
      </c>
      <c r="G11783" s="12" t="s">
        <v>21</v>
      </c>
      <c r="H11783" s="11" t="s">
        <v>22</v>
      </c>
      <c r="I11783" s="13" t="s">
        <v>23199</v>
      </c>
      <c r="J11783" s="14" t="str">
        <f>HYPERLINK("https://www.boe.es/gazeta/dias/1839/10/22/pdfs/GMD-1839-1808.pdf#page=4","Abrir facsímil")</f>
        <v>Abrir facsímil</v>
      </c>
      <c r="K11783" s="12" t="s">
        <v>24</v>
      </c>
    </row>
    <row r="11784" spans="1:11" ht="40.049999999999997" customHeight="1" x14ac:dyDescent="0.25">
      <c r="A11784" s="11" t="s">
        <v>23200</v>
      </c>
      <c r="B11784" s="11" t="s">
        <v>23200</v>
      </c>
      <c r="C11784" s="11" t="s">
        <v>80</v>
      </c>
      <c r="D11784" s="11" t="s">
        <v>18</v>
      </c>
      <c r="E11784" s="12" t="s">
        <v>606</v>
      </c>
      <c r="F11784" s="12" t="s">
        <v>607</v>
      </c>
      <c r="G11784" s="12" t="s">
        <v>21</v>
      </c>
      <c r="H11784" s="11" t="s">
        <v>22</v>
      </c>
      <c r="I11784" s="13" t="s">
        <v>23201</v>
      </c>
      <c r="J11784" s="14" t="str">
        <f>HYPERLINK("https://www.boe.es/gazeta/dias/1839/04/02/pdfs/GMD-1839-1599.pdf#page=4","Abrir facsímil")</f>
        <v>Abrir facsímil</v>
      </c>
      <c r="K11784" s="12" t="s">
        <v>24</v>
      </c>
    </row>
    <row r="11785" spans="1:11" ht="40.049999999999997" customHeight="1" x14ac:dyDescent="0.25">
      <c r="A11785" s="11" t="s">
        <v>23200</v>
      </c>
      <c r="B11785" s="11" t="s">
        <v>23200</v>
      </c>
      <c r="C11785" s="11" t="s">
        <v>59</v>
      </c>
      <c r="D11785" s="11" t="s">
        <v>60</v>
      </c>
      <c r="E11785" s="12" t="s">
        <v>4055</v>
      </c>
      <c r="F11785" s="12" t="s">
        <v>4056</v>
      </c>
      <c r="G11785" s="12" t="s">
        <v>46</v>
      </c>
      <c r="H11785" s="11" t="s">
        <v>22</v>
      </c>
      <c r="I11785" s="13" t="s">
        <v>23202</v>
      </c>
      <c r="J11785" s="14" t="str">
        <f>HYPERLINK("https://www.boe.es/gazeta/dias/1839/03/07/pdfs/GMD-1839-1573.pdf#page=3","Abrir facsímil")</f>
        <v>Abrir facsímil</v>
      </c>
      <c r="K11785" s="12" t="s">
        <v>24</v>
      </c>
    </row>
    <row r="11786" spans="1:11" ht="40.049999999999997" customHeight="1" x14ac:dyDescent="0.25">
      <c r="A11786" s="11" t="s">
        <v>23200</v>
      </c>
      <c r="B11786" s="11" t="s">
        <v>23200</v>
      </c>
      <c r="C11786" s="11" t="s">
        <v>80</v>
      </c>
      <c r="D11786" s="11" t="s">
        <v>18</v>
      </c>
      <c r="E11786" s="12" t="s">
        <v>272</v>
      </c>
      <c r="F11786" s="12" t="s">
        <v>273</v>
      </c>
      <c r="G11786" s="12" t="s">
        <v>21</v>
      </c>
      <c r="H11786" s="11" t="s">
        <v>22</v>
      </c>
      <c r="I11786" s="13" t="s">
        <v>23203</v>
      </c>
      <c r="J11786" s="14" t="str">
        <f>HYPERLINK("https://www.boe.es/gazeta/dias/1839/02/12/pdfs/GMD-1839-1550.pdf#page=4","Abrir facsímil")</f>
        <v>Abrir facsímil</v>
      </c>
      <c r="K11786" s="12" t="s">
        <v>24</v>
      </c>
    </row>
    <row r="11787" spans="1:11" ht="40.049999999999997" customHeight="1" x14ac:dyDescent="0.25">
      <c r="A11787" s="11" t="s">
        <v>23200</v>
      </c>
      <c r="B11787" s="11" t="s">
        <v>23200</v>
      </c>
      <c r="C11787" s="11" t="s">
        <v>80</v>
      </c>
      <c r="D11787" s="11" t="s">
        <v>18</v>
      </c>
      <c r="E11787" s="12" t="s">
        <v>420</v>
      </c>
      <c r="F11787" s="12" t="s">
        <v>421</v>
      </c>
      <c r="G11787" s="12" t="s">
        <v>21</v>
      </c>
      <c r="H11787" s="11" t="s">
        <v>22</v>
      </c>
      <c r="I11787" s="13" t="s">
        <v>23204</v>
      </c>
      <c r="J11787" s="14" t="str">
        <f>HYPERLINK("https://www.boe.es/gazeta/dias/1839/03/12/pdfs/GMD-1839-1578.pdf#page=4","Abrir facsímil")</f>
        <v>Abrir facsímil</v>
      </c>
      <c r="K11787" s="12" t="s">
        <v>24</v>
      </c>
    </row>
    <row r="11788" spans="1:11" ht="40.049999999999997" customHeight="1" x14ac:dyDescent="0.25">
      <c r="A11788" s="11" t="s">
        <v>23200</v>
      </c>
      <c r="B11788" s="11" t="s">
        <v>23200</v>
      </c>
      <c r="C11788" s="11" t="s">
        <v>17</v>
      </c>
      <c r="D11788" s="11" t="s">
        <v>18</v>
      </c>
      <c r="E11788" s="12" t="s">
        <v>76</v>
      </c>
      <c r="F11788" s="12" t="s">
        <v>77</v>
      </c>
      <c r="G11788" s="12" t="s">
        <v>21</v>
      </c>
      <c r="H11788" s="11" t="s">
        <v>22</v>
      </c>
      <c r="I11788" s="13" t="s">
        <v>23205</v>
      </c>
      <c r="J11788" s="14" t="str">
        <f>HYPERLINK("https://www.boe.es/gazeta/dias/1839/03/13/pdfs/GMD-1839-1579.pdf#page=4","Abrir facsímil")</f>
        <v>Abrir facsímil</v>
      </c>
      <c r="K11788" s="12" t="s">
        <v>24</v>
      </c>
    </row>
    <row r="11789" spans="1:11" ht="40.049999999999997" customHeight="1" x14ac:dyDescent="0.25">
      <c r="A11789" s="11" t="s">
        <v>23200</v>
      </c>
      <c r="B11789" s="11" t="s">
        <v>23200</v>
      </c>
      <c r="C11789" s="11" t="s">
        <v>17</v>
      </c>
      <c r="D11789" s="11" t="s">
        <v>18</v>
      </c>
      <c r="E11789" s="12" t="s">
        <v>903</v>
      </c>
      <c r="F11789" s="12" t="s">
        <v>904</v>
      </c>
      <c r="G11789" s="12" t="s">
        <v>21</v>
      </c>
      <c r="H11789" s="11" t="s">
        <v>22</v>
      </c>
      <c r="I11789" s="13" t="s">
        <v>23206</v>
      </c>
      <c r="J11789" s="14" t="str">
        <f>HYPERLINK("https://www.boe.es/gazeta/dias/1839/03/14/pdfs/GMD-1839-1580.pdf#page=4","Abrir facsímil")</f>
        <v>Abrir facsímil</v>
      </c>
      <c r="K11789" s="12" t="s">
        <v>24</v>
      </c>
    </row>
    <row r="11790" spans="1:11" ht="40.049999999999997" customHeight="1" x14ac:dyDescent="0.25">
      <c r="A11790" s="11" t="s">
        <v>23200</v>
      </c>
      <c r="B11790" s="11" t="s">
        <v>23200</v>
      </c>
      <c r="C11790" s="11" t="s">
        <v>80</v>
      </c>
      <c r="D11790" s="11" t="s">
        <v>18</v>
      </c>
      <c r="E11790" s="12" t="s">
        <v>1139</v>
      </c>
      <c r="F11790" s="12" t="s">
        <v>1140</v>
      </c>
      <c r="G11790" s="12" t="s">
        <v>21</v>
      </c>
      <c r="H11790" s="11" t="s">
        <v>22</v>
      </c>
      <c r="I11790" s="13" t="s">
        <v>23207</v>
      </c>
      <c r="J11790" s="14" t="str">
        <f>HYPERLINK("https://www.boe.es/gazeta/dias/1839/02/15/pdfs/GMD-1839-1553.pdf#page=4","Abrir facsímil")</f>
        <v>Abrir facsímil</v>
      </c>
      <c r="K11790" s="12" t="s">
        <v>24</v>
      </c>
    </row>
    <row r="11791" spans="1:11" ht="40.049999999999997" customHeight="1" x14ac:dyDescent="0.25">
      <c r="A11791" s="11" t="s">
        <v>23200</v>
      </c>
      <c r="B11791" s="11" t="s">
        <v>23200</v>
      </c>
      <c r="C11791" s="11" t="s">
        <v>80</v>
      </c>
      <c r="D11791" s="11" t="s">
        <v>18</v>
      </c>
      <c r="E11791" s="12" t="s">
        <v>513</v>
      </c>
      <c r="F11791" s="12" t="s">
        <v>514</v>
      </c>
      <c r="G11791" s="12" t="s">
        <v>21</v>
      </c>
      <c r="H11791" s="11" t="s">
        <v>22</v>
      </c>
      <c r="I11791" s="13" t="s">
        <v>23208</v>
      </c>
      <c r="J11791" s="14" t="str">
        <f>HYPERLINK("https://www.boe.es/gazeta/dias/1839/03/17/pdfs/GMD-1839-1583.pdf#page=4","Abrir facsímil")</f>
        <v>Abrir facsímil</v>
      </c>
      <c r="K11791" s="12" t="s">
        <v>24</v>
      </c>
    </row>
    <row r="11792" spans="1:11" ht="40.049999999999997" customHeight="1" x14ac:dyDescent="0.25">
      <c r="A11792" s="11" t="s">
        <v>23200</v>
      </c>
      <c r="B11792" s="11" t="s">
        <v>23200</v>
      </c>
      <c r="C11792" s="11" t="s">
        <v>17</v>
      </c>
      <c r="D11792" s="11" t="s">
        <v>18</v>
      </c>
      <c r="E11792" s="12" t="s">
        <v>1310</v>
      </c>
      <c r="F11792" s="12" t="s">
        <v>1311</v>
      </c>
      <c r="G11792" s="12" t="s">
        <v>21</v>
      </c>
      <c r="H11792" s="11" t="s">
        <v>22</v>
      </c>
      <c r="I11792" s="13" t="s">
        <v>23209</v>
      </c>
      <c r="J11792" s="14" t="str">
        <f>HYPERLINK("https://www.boe.es/gazeta/dias/1839/04/23/pdfs/GMD-1839-1620.pdf#page=4","Abrir facsímil")</f>
        <v>Abrir facsímil</v>
      </c>
      <c r="K11792" s="12" t="s">
        <v>24</v>
      </c>
    </row>
    <row r="11793" spans="1:11" ht="40.049999999999997" customHeight="1" x14ac:dyDescent="0.25">
      <c r="A11793" s="11" t="s">
        <v>23200</v>
      </c>
      <c r="B11793" s="11" t="s">
        <v>23200</v>
      </c>
      <c r="C11793" s="11" t="s">
        <v>80</v>
      </c>
      <c r="D11793" s="11" t="s">
        <v>18</v>
      </c>
      <c r="E11793" s="12" t="s">
        <v>1208</v>
      </c>
      <c r="F11793" s="12" t="s">
        <v>1209</v>
      </c>
      <c r="G11793" s="12" t="s">
        <v>21</v>
      </c>
      <c r="H11793" s="11" t="s">
        <v>22</v>
      </c>
      <c r="I11793" s="13" t="s">
        <v>23210</v>
      </c>
      <c r="J11793" s="14" t="str">
        <f>HYPERLINK("https://www.boe.es/gazeta/dias/1839/04/24/pdfs/GMD-1839-1621.pdf#page=4","Abrir facsímil")</f>
        <v>Abrir facsímil</v>
      </c>
      <c r="K11793" s="12" t="s">
        <v>24</v>
      </c>
    </row>
    <row r="11794" spans="1:11" ht="40.049999999999997" customHeight="1" x14ac:dyDescent="0.25">
      <c r="A11794" s="11" t="s">
        <v>23200</v>
      </c>
      <c r="B11794" s="11" t="s">
        <v>23200</v>
      </c>
      <c r="C11794" s="11" t="s">
        <v>17</v>
      </c>
      <c r="D11794" s="11" t="s">
        <v>18</v>
      </c>
      <c r="E11794" s="12" t="s">
        <v>352</v>
      </c>
      <c r="F11794" s="12" t="s">
        <v>353</v>
      </c>
      <c r="G11794" s="12" t="s">
        <v>21</v>
      </c>
      <c r="H11794" s="11" t="s">
        <v>22</v>
      </c>
      <c r="I11794" s="13" t="s">
        <v>23211</v>
      </c>
      <c r="J11794" s="14" t="str">
        <f>HYPERLINK("https://www.boe.es/gazeta/dias/1839/03/30/pdfs/GMD-1839-1596.pdf#page=4","Abrir facsímil")</f>
        <v>Abrir facsímil</v>
      </c>
      <c r="K11794" s="12" t="s">
        <v>24</v>
      </c>
    </row>
    <row r="11795" spans="1:11" ht="40.049999999999997" customHeight="1" x14ac:dyDescent="0.25">
      <c r="A11795" s="11" t="s">
        <v>23200</v>
      </c>
      <c r="B11795" s="11" t="s">
        <v>23200</v>
      </c>
      <c r="C11795" s="11" t="s">
        <v>59</v>
      </c>
      <c r="D11795" s="11" t="s">
        <v>60</v>
      </c>
      <c r="E11795" s="12" t="s">
        <v>474</v>
      </c>
      <c r="F11795" s="12" t="s">
        <v>475</v>
      </c>
      <c r="G11795" s="12" t="s">
        <v>21</v>
      </c>
      <c r="H11795" s="11" t="s">
        <v>22</v>
      </c>
      <c r="I11795" s="13" t="s">
        <v>23212</v>
      </c>
      <c r="J11795" s="14" t="str">
        <f>HYPERLINK("https://www.boe.es/gazeta/dias/1839/03/31/pdfs/GMD-1839-1597.pdf#page=4","Abrir facsímil")</f>
        <v>Abrir facsímil</v>
      </c>
      <c r="K11795" s="12" t="s">
        <v>24</v>
      </c>
    </row>
    <row r="11796" spans="1:11" ht="40.049999999999997" customHeight="1" x14ac:dyDescent="0.25">
      <c r="A11796" s="11" t="s">
        <v>23213</v>
      </c>
      <c r="B11796" s="11" t="s">
        <v>23213</v>
      </c>
      <c r="C11796" s="11" t="s">
        <v>17</v>
      </c>
      <c r="D11796" s="11" t="s">
        <v>18</v>
      </c>
      <c r="E11796" s="12" t="s">
        <v>2320</v>
      </c>
      <c r="F11796" s="12" t="s">
        <v>2321</v>
      </c>
      <c r="G11796" s="12" t="s">
        <v>46</v>
      </c>
      <c r="H11796" s="11" t="s">
        <v>22</v>
      </c>
      <c r="I11796" s="13" t="s">
        <v>23214</v>
      </c>
      <c r="J11796" s="14" t="str">
        <f>HYPERLINK("https://www.boe.es/gazeta/dias/1839/11/13/pdfs/GMD-1839-1830.pdf#page=3","Abrir facsímil")</f>
        <v>Abrir facsímil</v>
      </c>
      <c r="K11796" s="12" t="s">
        <v>24</v>
      </c>
    </row>
    <row r="11797" spans="1:11" ht="40.049999999999997" customHeight="1" x14ac:dyDescent="0.25">
      <c r="A11797" s="11" t="s">
        <v>23215</v>
      </c>
      <c r="B11797" s="11" t="s">
        <v>23215</v>
      </c>
      <c r="C11797" s="11" t="s">
        <v>101</v>
      </c>
      <c r="D11797" s="11" t="s">
        <v>43</v>
      </c>
      <c r="E11797" s="12" t="s">
        <v>2738</v>
      </c>
      <c r="F11797" s="12" t="s">
        <v>2739</v>
      </c>
      <c r="G11797" s="12" t="s">
        <v>40</v>
      </c>
      <c r="H11797" s="11" t="s">
        <v>22</v>
      </c>
      <c r="I11797" s="13" t="s">
        <v>23216</v>
      </c>
      <c r="J11797" s="14" t="str">
        <f>HYPERLINK("https://www.boe.es/gazeta/dias/1839/09/06/pdfs/GMD-1839-1759.pdf#page=2","Abrir facsímil")</f>
        <v>Abrir facsímil</v>
      </c>
      <c r="K11797" s="12" t="s">
        <v>24</v>
      </c>
    </row>
    <row r="11798" spans="1:11" ht="40.049999999999997" customHeight="1" x14ac:dyDescent="0.25">
      <c r="A11798" s="11" t="s">
        <v>23215</v>
      </c>
      <c r="B11798" s="11" t="s">
        <v>23215</v>
      </c>
      <c r="C11798" s="11" t="s">
        <v>59</v>
      </c>
      <c r="D11798" s="11" t="s">
        <v>60</v>
      </c>
      <c r="E11798" s="12" t="s">
        <v>1490</v>
      </c>
      <c r="F11798" s="12" t="s">
        <v>1491</v>
      </c>
      <c r="G11798" s="12" t="s">
        <v>21</v>
      </c>
      <c r="H11798" s="11" t="s">
        <v>22</v>
      </c>
      <c r="I11798" s="13" t="s">
        <v>23217</v>
      </c>
      <c r="J11798" s="14" t="str">
        <f>HYPERLINK("https://www.boe.es/gazeta/dias/1839/02/27/pdfs/GMD-1839-1565.pdf#page=4","Abrir facsímil")</f>
        <v>Abrir facsímil</v>
      </c>
      <c r="K11798" s="12" t="s">
        <v>24</v>
      </c>
    </row>
    <row r="11799" spans="1:11" ht="40.049999999999997" customHeight="1" x14ac:dyDescent="0.25">
      <c r="A11799" s="11" t="s">
        <v>23218</v>
      </c>
      <c r="B11799" s="11" t="s">
        <v>23219</v>
      </c>
      <c r="C11799" s="11" t="s">
        <v>59</v>
      </c>
      <c r="D11799" s="11" t="s">
        <v>60</v>
      </c>
      <c r="E11799" s="12" t="s">
        <v>1648</v>
      </c>
      <c r="F11799" s="12" t="s">
        <v>2458</v>
      </c>
      <c r="G11799" s="12" t="s">
        <v>29</v>
      </c>
      <c r="H11799" s="11" t="s">
        <v>63</v>
      </c>
      <c r="I11799" s="13" t="s">
        <v>23220</v>
      </c>
      <c r="J11799" s="14" t="str">
        <f>HYPERLINK("https://www.boe.es/datos/pdfs/BOE//1839/1739/E00001-00001.pdf#page=1","Abrir facsímil")</f>
        <v>Abrir facsímil</v>
      </c>
      <c r="K11799" s="12" t="s">
        <v>65</v>
      </c>
    </row>
    <row r="11800" spans="1:11" ht="40.049999999999997" customHeight="1" x14ac:dyDescent="0.25">
      <c r="A11800" s="11" t="s">
        <v>23221</v>
      </c>
      <c r="B11800" s="11" t="s">
        <v>23221</v>
      </c>
      <c r="C11800" s="11" t="s">
        <v>17</v>
      </c>
      <c r="D11800" s="11" t="s">
        <v>18</v>
      </c>
      <c r="E11800" s="12" t="s">
        <v>918</v>
      </c>
      <c r="F11800" s="12" t="s">
        <v>919</v>
      </c>
      <c r="G11800" s="12" t="s">
        <v>29</v>
      </c>
      <c r="H11800" s="11" t="s">
        <v>22</v>
      </c>
      <c r="I11800" s="13" t="s">
        <v>23222</v>
      </c>
      <c r="J11800" s="14" t="str">
        <f>HYPERLINK("https://www.boe.es/gazeta/dias/1839/12/07/pdfs/GMD-1839-1854.pdf#page=1","Abrir facsímil")</f>
        <v>Abrir facsímil</v>
      </c>
      <c r="K11800" s="12" t="s">
        <v>24</v>
      </c>
    </row>
    <row r="11801" spans="1:11" ht="40.049999999999997" customHeight="1" x14ac:dyDescent="0.25">
      <c r="A11801" s="11" t="s">
        <v>23221</v>
      </c>
      <c r="B11801" s="11" t="s">
        <v>23221</v>
      </c>
      <c r="C11801" s="11" t="s">
        <v>17</v>
      </c>
      <c r="D11801" s="11" t="s">
        <v>18</v>
      </c>
      <c r="E11801" s="12" t="s">
        <v>125</v>
      </c>
      <c r="F11801" s="12" t="s">
        <v>126</v>
      </c>
      <c r="G11801" s="12" t="s">
        <v>29</v>
      </c>
      <c r="H11801" s="11" t="s">
        <v>22</v>
      </c>
      <c r="I11801" s="13" t="s">
        <v>23223</v>
      </c>
      <c r="J11801" s="14" t="str">
        <f>HYPERLINK("https://www.boe.es/gazeta/dias/1839/05/23/pdfs/GMD-1839-1650.pdf#page=1","Abrir facsímil")</f>
        <v>Abrir facsímil</v>
      </c>
      <c r="K11801" s="12" t="s">
        <v>24</v>
      </c>
    </row>
    <row r="11802" spans="1:11" ht="40.049999999999997" customHeight="1" x14ac:dyDescent="0.25">
      <c r="A11802" s="11" t="s">
        <v>23224</v>
      </c>
      <c r="B11802" s="11" t="s">
        <v>23224</v>
      </c>
      <c r="C11802" s="11" t="s">
        <v>59</v>
      </c>
      <c r="D11802" s="11" t="s">
        <v>60</v>
      </c>
      <c r="E11802" s="12" t="s">
        <v>1183</v>
      </c>
      <c r="F11802" s="12" t="s">
        <v>1184</v>
      </c>
      <c r="G11802" s="12" t="s">
        <v>40</v>
      </c>
      <c r="H11802" s="11" t="s">
        <v>63</v>
      </c>
      <c r="I11802" s="13" t="s">
        <v>23225</v>
      </c>
      <c r="J11802" s="14" t="str">
        <f>HYPERLINK("https://www.boe.es/gazeta/dias/1839/07/26/pdfs/GMD-1839-1715.pdf#page=2","Abrir facsímil")</f>
        <v>Abrir facsímil</v>
      </c>
      <c r="K11802" s="12" t="s">
        <v>65</v>
      </c>
    </row>
    <row r="11803" spans="1:11" ht="40.049999999999997" customHeight="1" x14ac:dyDescent="0.25">
      <c r="A11803" s="11" t="s">
        <v>23226</v>
      </c>
      <c r="B11803" s="11" t="s">
        <v>23226</v>
      </c>
      <c r="C11803" s="11" t="s">
        <v>101</v>
      </c>
      <c r="D11803" s="11" t="s">
        <v>43</v>
      </c>
      <c r="E11803" s="12" t="s">
        <v>336</v>
      </c>
      <c r="F11803" s="12" t="s">
        <v>337</v>
      </c>
      <c r="G11803" s="12" t="s">
        <v>29</v>
      </c>
      <c r="H11803" s="11" t="s">
        <v>22</v>
      </c>
      <c r="I11803" s="13" t="s">
        <v>23227</v>
      </c>
      <c r="J11803" s="14" t="str">
        <f>HYPERLINK("https://www.boe.es/gazeta/dias/1839/07/14/pdfs/GMD-1839-1702.pdf#page=1","Abrir facsímil")</f>
        <v>Abrir facsímil</v>
      </c>
      <c r="K11803" s="12" t="s">
        <v>24</v>
      </c>
    </row>
    <row r="11804" spans="1:11" ht="40.049999999999997" customHeight="1" x14ac:dyDescent="0.25">
      <c r="A11804" s="11" t="s">
        <v>23226</v>
      </c>
      <c r="B11804" s="11" t="s">
        <v>23226</v>
      </c>
      <c r="C11804" s="11" t="s">
        <v>17</v>
      </c>
      <c r="D11804" s="11" t="s">
        <v>18</v>
      </c>
      <c r="E11804" s="12" t="s">
        <v>992</v>
      </c>
      <c r="F11804" s="12" t="s">
        <v>993</v>
      </c>
      <c r="G11804" s="12" t="s">
        <v>29</v>
      </c>
      <c r="H11804" s="11" t="s">
        <v>22</v>
      </c>
      <c r="I11804" s="13" t="s">
        <v>23228</v>
      </c>
      <c r="J11804" s="14" t="str">
        <f>HYPERLINK("https://www.boe.es/gazeta/dias/1839/02/18/pdfs/GMD-1839-1556.pdf#page=1","Abrir facsímil")</f>
        <v>Abrir facsímil</v>
      </c>
      <c r="K11804" s="12" t="s">
        <v>24</v>
      </c>
    </row>
    <row r="11805" spans="1:11" ht="40.049999999999997" customHeight="1" x14ac:dyDescent="0.25">
      <c r="A11805" s="11" t="s">
        <v>23226</v>
      </c>
      <c r="B11805" s="11" t="s">
        <v>23226</v>
      </c>
      <c r="C11805" s="11" t="s">
        <v>17</v>
      </c>
      <c r="D11805" s="11" t="s">
        <v>18</v>
      </c>
      <c r="E11805" s="12" t="s">
        <v>1374</v>
      </c>
      <c r="F11805" s="12" t="s">
        <v>1375</v>
      </c>
      <c r="G11805" s="12" t="s">
        <v>40</v>
      </c>
      <c r="H11805" s="11" t="s">
        <v>22</v>
      </c>
      <c r="I11805" s="13" t="s">
        <v>23229</v>
      </c>
      <c r="J11805" s="14" t="str">
        <f>HYPERLINK("https://www.boe.es/gazeta/dias/1839/07/20/pdfs/GMD-1839-1708.pdf#page=2","Abrir facsímil")</f>
        <v>Abrir facsímil</v>
      </c>
      <c r="K11805" s="12" t="s">
        <v>24</v>
      </c>
    </row>
    <row r="11806" spans="1:11" ht="40.049999999999997" customHeight="1" x14ac:dyDescent="0.25">
      <c r="A11806" s="11" t="s">
        <v>23226</v>
      </c>
      <c r="B11806" s="11" t="s">
        <v>23226</v>
      </c>
      <c r="C11806" s="11" t="s">
        <v>17</v>
      </c>
      <c r="D11806" s="11" t="s">
        <v>18</v>
      </c>
      <c r="E11806" s="12" t="s">
        <v>4787</v>
      </c>
      <c r="F11806" s="12" t="s">
        <v>4788</v>
      </c>
      <c r="G11806" s="12" t="s">
        <v>29</v>
      </c>
      <c r="H11806" s="11" t="s">
        <v>22</v>
      </c>
      <c r="I11806" s="13" t="s">
        <v>23230</v>
      </c>
      <c r="J11806" s="14" t="str">
        <f>HYPERLINK("https://www.boe.es/gazeta/dias/1839/05/26/pdfs/GMD-1839-1653.pdf#page=1","Abrir facsímil")</f>
        <v>Abrir facsímil</v>
      </c>
      <c r="K11806" s="12" t="s">
        <v>24</v>
      </c>
    </row>
    <row r="11807" spans="1:11" ht="40.049999999999997" customHeight="1" x14ac:dyDescent="0.25">
      <c r="A11807" s="11" t="s">
        <v>23226</v>
      </c>
      <c r="B11807" s="11" t="s">
        <v>23226</v>
      </c>
      <c r="C11807" s="11" t="s">
        <v>59</v>
      </c>
      <c r="D11807" s="11" t="s">
        <v>60</v>
      </c>
      <c r="E11807" s="12" t="s">
        <v>716</v>
      </c>
      <c r="F11807" s="12" t="s">
        <v>717</v>
      </c>
      <c r="G11807" s="12" t="s">
        <v>40</v>
      </c>
      <c r="H11807" s="11" t="s">
        <v>22</v>
      </c>
      <c r="I11807" s="13" t="s">
        <v>23231</v>
      </c>
      <c r="J11807" s="14" t="str">
        <f>HYPERLINK("https://www.boe.es/gazeta/dias/1839/07/30/pdfs/GMD-1839-1719.pdf#page=2","Abrir facsímil")</f>
        <v>Abrir facsímil</v>
      </c>
      <c r="K11807" s="12" t="s">
        <v>24</v>
      </c>
    </row>
    <row r="11808" spans="1:11" ht="40.049999999999997" customHeight="1" x14ac:dyDescent="0.25">
      <c r="A11808" s="11" t="s">
        <v>23232</v>
      </c>
      <c r="B11808" s="11" t="s">
        <v>23232</v>
      </c>
      <c r="C11808" s="11" t="s">
        <v>80</v>
      </c>
      <c r="D11808" s="11" t="s">
        <v>18</v>
      </c>
      <c r="E11808" s="12" t="s">
        <v>243</v>
      </c>
      <c r="F11808" s="12" t="s">
        <v>244</v>
      </c>
      <c r="G11808" s="12" t="s">
        <v>21</v>
      </c>
      <c r="H11808" s="11" t="s">
        <v>22</v>
      </c>
      <c r="I11808" s="13" t="s">
        <v>23233</v>
      </c>
      <c r="J11808" s="14" t="str">
        <f>HYPERLINK("https://www.boe.es/gazeta/dias/1839/09/23/pdfs/GMD-1839-1779.pdf#page=4","Abrir facsímil")</f>
        <v>Abrir facsímil</v>
      </c>
      <c r="K11808" s="12" t="s">
        <v>24</v>
      </c>
    </row>
    <row r="11809" spans="1:11" ht="40.049999999999997" customHeight="1" x14ac:dyDescent="0.25">
      <c r="A11809" s="11" t="s">
        <v>23234</v>
      </c>
      <c r="B11809" s="11" t="s">
        <v>23235</v>
      </c>
      <c r="C11809" s="11" t="s">
        <v>137</v>
      </c>
      <c r="D11809" s="11" t="s">
        <v>18</v>
      </c>
      <c r="E11809" s="12" t="s">
        <v>3289</v>
      </c>
      <c r="F11809" s="12" t="s">
        <v>3290</v>
      </c>
      <c r="G11809" s="12" t="s">
        <v>21</v>
      </c>
      <c r="H11809" s="11" t="s">
        <v>63</v>
      </c>
      <c r="I11809" s="13" t="s">
        <v>23236</v>
      </c>
      <c r="J11809" s="14" t="str">
        <f>HYPERLINK("https://www.boe.es/gazeta/dias/1839/12/10/pdfs/GMD-1839-1857.pdf#page=4","Abrir facsímil")</f>
        <v>Abrir facsímil</v>
      </c>
      <c r="K11809" s="12" t="s">
        <v>65</v>
      </c>
    </row>
    <row r="11810" spans="1:11" ht="40.049999999999997" customHeight="1" x14ac:dyDescent="0.25">
      <c r="A11810" s="11" t="s">
        <v>23237</v>
      </c>
      <c r="B11810" s="11" t="s">
        <v>23238</v>
      </c>
      <c r="C11810" s="11" t="s">
        <v>101</v>
      </c>
      <c r="D11810" s="11" t="s">
        <v>102</v>
      </c>
      <c r="E11810" s="12" t="s">
        <v>207</v>
      </c>
      <c r="F11810" s="12" t="s">
        <v>208</v>
      </c>
      <c r="G11810" s="12" t="s">
        <v>40</v>
      </c>
      <c r="H11810" s="11" t="s">
        <v>63</v>
      </c>
      <c r="I11810" s="13" t="s">
        <v>23239</v>
      </c>
      <c r="J11810" s="14" t="str">
        <f>HYPERLINK("https://www.boe.es/gazeta/dias/1839/02/19/pdfs/GMD-1839-1557.pdf#page=2","Abrir facsímil")</f>
        <v>Abrir facsímil</v>
      </c>
      <c r="K11810" s="12" t="s">
        <v>65</v>
      </c>
    </row>
    <row r="11811" spans="1:11" ht="40.049999999999997" customHeight="1" x14ac:dyDescent="0.25">
      <c r="A11811" s="11" t="s">
        <v>23240</v>
      </c>
      <c r="B11811" s="11" t="s">
        <v>23240</v>
      </c>
      <c r="C11811" s="11" t="s">
        <v>17</v>
      </c>
      <c r="D11811" s="11" t="s">
        <v>18</v>
      </c>
      <c r="E11811" s="12" t="s">
        <v>1867</v>
      </c>
      <c r="F11811" s="12" t="s">
        <v>1868</v>
      </c>
      <c r="G11811" s="12" t="s">
        <v>40</v>
      </c>
      <c r="H11811" s="11" t="s">
        <v>63</v>
      </c>
      <c r="I11811" s="13" t="s">
        <v>23241</v>
      </c>
      <c r="J11811" s="14" t="str">
        <f>HYPERLINK("https://www.boe.es/gazeta/dias/1839/01/30/pdfs/GMD-1839-1537.pdf#page=2","Abrir facsímil")</f>
        <v>Abrir facsímil</v>
      </c>
      <c r="K11811" s="12" t="s">
        <v>65</v>
      </c>
    </row>
    <row r="11812" spans="1:11" ht="40.049999999999997" customHeight="1" x14ac:dyDescent="0.25">
      <c r="A11812" s="11" t="s">
        <v>23242</v>
      </c>
      <c r="B11812" s="11" t="s">
        <v>23243</v>
      </c>
      <c r="C11812" s="11" t="s">
        <v>17</v>
      </c>
      <c r="D11812" s="11" t="s">
        <v>18</v>
      </c>
      <c r="E11812" s="12" t="s">
        <v>222</v>
      </c>
      <c r="F11812" s="12" t="s">
        <v>223</v>
      </c>
      <c r="G11812" s="12" t="s">
        <v>21</v>
      </c>
      <c r="H11812" s="11" t="s">
        <v>63</v>
      </c>
      <c r="I11812" s="13" t="s">
        <v>23244</v>
      </c>
      <c r="J11812" s="14" t="str">
        <f>HYPERLINK("https://www.boe.es/gazeta/dias/1839/06/22/pdfs/GMD-1839-1680.pdf#page=4","Abrir facsímil")</f>
        <v>Abrir facsímil</v>
      </c>
      <c r="K11812" s="12" t="s">
        <v>65</v>
      </c>
    </row>
    <row r="11813" spans="1:11" ht="40.049999999999997" customHeight="1" x14ac:dyDescent="0.25">
      <c r="A11813" s="11" t="s">
        <v>23245</v>
      </c>
      <c r="B11813" s="11" t="s">
        <v>23245</v>
      </c>
      <c r="C11813" s="11" t="s">
        <v>17</v>
      </c>
      <c r="D11813" s="11" t="s">
        <v>18</v>
      </c>
      <c r="E11813" s="12" t="s">
        <v>1565</v>
      </c>
      <c r="F11813" s="12" t="s">
        <v>1566</v>
      </c>
      <c r="G11813" s="12" t="s">
        <v>21</v>
      </c>
      <c r="H11813" s="11" t="s">
        <v>22</v>
      </c>
      <c r="I11813" s="13" t="s">
        <v>23246</v>
      </c>
      <c r="J11813" s="14" t="str">
        <f>HYPERLINK("https://www.boe.es/gazeta/dias/1839/06/17/pdfs/GMD-1839-1675.pdf#page=4","Abrir facsímil")</f>
        <v>Abrir facsímil</v>
      </c>
      <c r="K11813" s="12" t="s">
        <v>24</v>
      </c>
    </row>
    <row r="11814" spans="1:11" ht="40.049999999999997" customHeight="1" x14ac:dyDescent="0.25">
      <c r="A11814" s="11" t="s">
        <v>23247</v>
      </c>
      <c r="B11814" s="11" t="s">
        <v>23248</v>
      </c>
      <c r="C11814" s="11" t="s">
        <v>59</v>
      </c>
      <c r="D11814" s="11" t="s">
        <v>60</v>
      </c>
      <c r="E11814" s="12" t="s">
        <v>907</v>
      </c>
      <c r="F11814" s="12" t="s">
        <v>908</v>
      </c>
      <c r="G11814" s="12" t="s">
        <v>29</v>
      </c>
      <c r="H11814" s="11" t="s">
        <v>63</v>
      </c>
      <c r="I11814" s="13" t="s">
        <v>23249</v>
      </c>
      <c r="J11814" s="14" t="str">
        <f>HYPERLINK("https://www.boe.es/gazeta/dias/1839/07/31/pdfs/GMD-1839-1720.pdf#page=1","Abrir facsímil")</f>
        <v>Abrir facsímil</v>
      </c>
      <c r="K11814" s="12" t="s">
        <v>65</v>
      </c>
    </row>
    <row r="11815" spans="1:11" ht="40.049999999999997" customHeight="1" x14ac:dyDescent="0.25">
      <c r="A11815" s="11" t="s">
        <v>23250</v>
      </c>
      <c r="B11815" s="11" t="s">
        <v>23251</v>
      </c>
      <c r="C11815" s="11" t="s">
        <v>17</v>
      </c>
      <c r="D11815" s="11" t="s">
        <v>18</v>
      </c>
      <c r="E11815" s="12" t="s">
        <v>54</v>
      </c>
      <c r="F11815" s="12" t="s">
        <v>55</v>
      </c>
      <c r="G11815" s="12" t="s">
        <v>29</v>
      </c>
      <c r="H11815" s="11" t="s">
        <v>63</v>
      </c>
      <c r="I11815" s="13" t="s">
        <v>23252</v>
      </c>
      <c r="J11815" s="14" t="str">
        <f>HYPERLINK("https://www.boe.es/gazeta/dias/1839/10/05/pdfs/GMD-1839-1791.pdf#page=1","Abrir facsímil")</f>
        <v>Abrir facsímil</v>
      </c>
      <c r="K11815" s="12" t="s">
        <v>65</v>
      </c>
    </row>
    <row r="11816" spans="1:11" ht="40.049999999999997" customHeight="1" x14ac:dyDescent="0.25">
      <c r="A11816" s="11" t="s">
        <v>23253</v>
      </c>
      <c r="B11816" s="11" t="s">
        <v>23253</v>
      </c>
      <c r="C11816" s="11" t="s">
        <v>59</v>
      </c>
      <c r="D11816" s="11" t="s">
        <v>60</v>
      </c>
      <c r="E11816" s="12" t="s">
        <v>2962</v>
      </c>
      <c r="F11816" s="12" t="s">
        <v>2963</v>
      </c>
      <c r="G11816" s="12" t="s">
        <v>40</v>
      </c>
      <c r="H11816" s="11" t="s">
        <v>63</v>
      </c>
      <c r="I11816" s="13" t="s">
        <v>23254</v>
      </c>
      <c r="J11816" s="14" t="str">
        <f>HYPERLINK("https://www.boe.es/gazeta/dias/1839/12/21/pdfs/GMD-1839-1868.pdf#page=2","Abrir facsímil")</f>
        <v>Abrir facsímil</v>
      </c>
      <c r="K11816" s="12" t="s">
        <v>65</v>
      </c>
    </row>
    <row r="11817" spans="1:11" ht="40.049999999999997" customHeight="1" x14ac:dyDescent="0.25">
      <c r="A11817" s="11" t="s">
        <v>23255</v>
      </c>
      <c r="B11817" s="11" t="s">
        <v>23255</v>
      </c>
      <c r="C11817" s="11" t="s">
        <v>17</v>
      </c>
      <c r="D11817" s="11" t="s">
        <v>18</v>
      </c>
      <c r="E11817" s="12" t="s">
        <v>779</v>
      </c>
      <c r="F11817" s="12" t="s">
        <v>780</v>
      </c>
      <c r="G11817" s="12" t="s">
        <v>29</v>
      </c>
      <c r="H11817" s="11" t="s">
        <v>63</v>
      </c>
      <c r="I11817" s="13" t="s">
        <v>23256</v>
      </c>
      <c r="J11817" s="14" t="str">
        <f>HYPERLINK("https://www.boe.es/gazeta/dias/1839/02/03/pdfs/GMD-1839-1541.pdf#page=1","Abrir facsímil")</f>
        <v>Abrir facsímil</v>
      </c>
      <c r="K11817" s="12" t="s">
        <v>65</v>
      </c>
    </row>
    <row r="11818" spans="1:11" ht="40.049999999999997" customHeight="1" x14ac:dyDescent="0.25">
      <c r="A11818" s="11" t="s">
        <v>23255</v>
      </c>
      <c r="B11818" s="11" t="s">
        <v>23255</v>
      </c>
      <c r="C11818" s="11" t="s">
        <v>17</v>
      </c>
      <c r="D11818" s="11" t="s">
        <v>18</v>
      </c>
      <c r="E11818" s="12" t="s">
        <v>388</v>
      </c>
      <c r="F11818" s="12" t="s">
        <v>389</v>
      </c>
      <c r="G11818" s="12" t="s">
        <v>21</v>
      </c>
      <c r="H11818" s="11" t="s">
        <v>63</v>
      </c>
      <c r="I11818" s="13" t="s">
        <v>23257</v>
      </c>
      <c r="J11818" s="14" t="str">
        <f>HYPERLINK("https://www.boe.es/gazeta/dias/1839/08/07/pdfs/GMD-1839-1727.pdf#page=4","Abrir facsímil")</f>
        <v>Abrir facsímil</v>
      </c>
      <c r="K11818" s="12" t="s">
        <v>65</v>
      </c>
    </row>
    <row r="11819" spans="1:11" ht="40.049999999999997" customHeight="1" x14ac:dyDescent="0.25">
      <c r="A11819" s="11" t="s">
        <v>23255</v>
      </c>
      <c r="B11819" s="11" t="s">
        <v>23255</v>
      </c>
      <c r="C11819" s="11" t="s">
        <v>17</v>
      </c>
      <c r="D11819" s="11" t="s">
        <v>18</v>
      </c>
      <c r="E11819" s="12" t="s">
        <v>168</v>
      </c>
      <c r="F11819" s="12" t="s">
        <v>169</v>
      </c>
      <c r="G11819" s="12" t="s">
        <v>21</v>
      </c>
      <c r="H11819" s="11" t="s">
        <v>63</v>
      </c>
      <c r="I11819" s="13" t="s">
        <v>23258</v>
      </c>
      <c r="J11819" s="14" t="str">
        <f>HYPERLINK("https://www.boe.es/gazeta/dias/1839/07/12/pdfs/GMD-1839-1700.pdf#page=4","Abrir facsímil")</f>
        <v>Abrir facsímil</v>
      </c>
      <c r="K11819" s="12" t="s">
        <v>65</v>
      </c>
    </row>
    <row r="11820" spans="1:11" ht="40.049999999999997" customHeight="1" x14ac:dyDescent="0.25">
      <c r="A11820" s="11" t="s">
        <v>23255</v>
      </c>
      <c r="B11820" s="11" t="s">
        <v>23255</v>
      </c>
      <c r="C11820" s="11" t="s">
        <v>137</v>
      </c>
      <c r="D11820" s="11" t="s">
        <v>18</v>
      </c>
      <c r="E11820" s="12" t="s">
        <v>1725</v>
      </c>
      <c r="F11820" s="12" t="s">
        <v>1726</v>
      </c>
      <c r="G11820" s="12" t="s">
        <v>40</v>
      </c>
      <c r="H11820" s="11" t="s">
        <v>63</v>
      </c>
      <c r="I11820" s="13" t="s">
        <v>23259</v>
      </c>
      <c r="J11820" s="14" t="str">
        <f>HYPERLINK("https://www.boe.es/gazeta/dias/1839/11/17/pdfs/GMD-1839-1834.pdf#page=2","Abrir facsímil")</f>
        <v>Abrir facsímil</v>
      </c>
      <c r="K11820" s="12" t="s">
        <v>65</v>
      </c>
    </row>
    <row r="11821" spans="1:11" ht="40.049999999999997" customHeight="1" x14ac:dyDescent="0.25">
      <c r="A11821" s="11" t="s">
        <v>23260</v>
      </c>
      <c r="B11821" s="11" t="s">
        <v>23261</v>
      </c>
      <c r="C11821" s="11" t="s">
        <v>17</v>
      </c>
      <c r="D11821" s="11" t="s">
        <v>18</v>
      </c>
      <c r="E11821" s="12" t="s">
        <v>108</v>
      </c>
      <c r="F11821" s="12" t="s">
        <v>109</v>
      </c>
      <c r="G11821" s="12" t="s">
        <v>29</v>
      </c>
      <c r="H11821" s="11" t="s">
        <v>63</v>
      </c>
      <c r="I11821" s="13" t="s">
        <v>23262</v>
      </c>
      <c r="J11821" s="14" t="str">
        <f>HYPERLINK("https://www.boe.es/gazeta/dias/1839/01/04/pdfs/GMD-1839-1511.pdf#page=1","Abrir facsímil")</f>
        <v>Abrir facsímil</v>
      </c>
      <c r="K11821" s="12" t="s">
        <v>65</v>
      </c>
    </row>
    <row r="11822" spans="1:11" ht="40.049999999999997" customHeight="1" x14ac:dyDescent="0.25">
      <c r="A11822" s="11" t="s">
        <v>23263</v>
      </c>
      <c r="B11822" s="11" t="s">
        <v>23264</v>
      </c>
      <c r="C11822" s="11" t="s">
        <v>137</v>
      </c>
      <c r="D11822" s="11" t="s">
        <v>18</v>
      </c>
      <c r="E11822" s="12" t="s">
        <v>116</v>
      </c>
      <c r="F11822" s="12" t="s">
        <v>117</v>
      </c>
      <c r="G11822" s="12" t="s">
        <v>40</v>
      </c>
      <c r="H11822" s="11" t="s">
        <v>22</v>
      </c>
      <c r="I11822" s="13" t="s">
        <v>23265</v>
      </c>
      <c r="J11822" s="14" t="str">
        <f>HYPERLINK("https://www.boe.es/gazeta/dias/1839/10/10/pdfs/GMD-1839-1796.pdf#page=2","Abrir facsímil")</f>
        <v>Abrir facsímil</v>
      </c>
      <c r="K11822" s="12" t="s">
        <v>24</v>
      </c>
    </row>
    <row r="11823" spans="1:11" ht="40.049999999999997" customHeight="1" x14ac:dyDescent="0.25">
      <c r="A11823" s="11" t="s">
        <v>23266</v>
      </c>
      <c r="B11823" s="11" t="s">
        <v>23267</v>
      </c>
      <c r="C11823" s="11" t="s">
        <v>17</v>
      </c>
      <c r="D11823" s="11" t="s">
        <v>18</v>
      </c>
      <c r="E11823" s="12" t="s">
        <v>1623</v>
      </c>
      <c r="F11823" s="12" t="s">
        <v>1624</v>
      </c>
      <c r="G11823" s="12" t="s">
        <v>21</v>
      </c>
      <c r="H11823" s="11" t="s">
        <v>22</v>
      </c>
      <c r="I11823" s="13" t="s">
        <v>23268</v>
      </c>
      <c r="J11823" s="14" t="str">
        <f>HYPERLINK("https://www.boe.es/gazeta/dias/1839/04/07/pdfs/GMD-1839-1604.pdf#page=4","Abrir facsímil")</f>
        <v>Abrir facsímil</v>
      </c>
      <c r="K11823" s="12" t="s">
        <v>24</v>
      </c>
    </row>
    <row r="11824" spans="1:11" ht="40.049999999999997" customHeight="1" x14ac:dyDescent="0.25">
      <c r="A11824" s="11" t="s">
        <v>23269</v>
      </c>
      <c r="B11824" s="11" t="s">
        <v>23270</v>
      </c>
      <c r="C11824" s="11" t="s">
        <v>17</v>
      </c>
      <c r="D11824" s="11" t="s">
        <v>18</v>
      </c>
      <c r="E11824" s="12" t="s">
        <v>84</v>
      </c>
      <c r="F11824" s="12" t="s">
        <v>85</v>
      </c>
      <c r="G11824" s="12" t="s">
        <v>29</v>
      </c>
      <c r="H11824" s="11" t="s">
        <v>63</v>
      </c>
      <c r="I11824" s="13" t="s">
        <v>23271</v>
      </c>
      <c r="J11824" s="14" t="str">
        <f>HYPERLINK("https://www.boe.es/gazeta/dias/1839/03/11/pdfs/GMD-1839-1577.pdf#page=1","Abrir facsímil")</f>
        <v>Abrir facsímil</v>
      </c>
      <c r="K11824" s="12" t="s">
        <v>65</v>
      </c>
    </row>
    <row r="11825" spans="1:11" ht="40.049999999999997" customHeight="1" x14ac:dyDescent="0.25">
      <c r="A11825" s="11" t="s">
        <v>23272</v>
      </c>
      <c r="B11825" s="11" t="s">
        <v>23273</v>
      </c>
      <c r="C11825" s="11" t="s">
        <v>17</v>
      </c>
      <c r="D11825" s="11" t="s">
        <v>18</v>
      </c>
      <c r="E11825" s="12" t="s">
        <v>84</v>
      </c>
      <c r="F11825" s="12" t="s">
        <v>85</v>
      </c>
      <c r="G11825" s="12" t="s">
        <v>29</v>
      </c>
      <c r="H11825" s="11" t="s">
        <v>63</v>
      </c>
      <c r="I11825" s="13" t="s">
        <v>23274</v>
      </c>
      <c r="J11825" s="14" t="str">
        <f>HYPERLINK("https://www.boe.es/gazeta/dias/1839/03/11/pdfs/GMD-1839-1577.pdf#page=1","Abrir facsímil")</f>
        <v>Abrir facsímil</v>
      </c>
      <c r="K11825" s="12" t="s">
        <v>65</v>
      </c>
    </row>
    <row r="11826" spans="1:11" ht="40.049999999999997" customHeight="1" x14ac:dyDescent="0.25">
      <c r="A11826" s="11" t="s">
        <v>23275</v>
      </c>
      <c r="B11826" s="11" t="s">
        <v>23276</v>
      </c>
      <c r="C11826" s="11" t="s">
        <v>17</v>
      </c>
      <c r="D11826" s="11" t="s">
        <v>18</v>
      </c>
      <c r="E11826" s="12" t="s">
        <v>108</v>
      </c>
      <c r="F11826" s="12" t="s">
        <v>109</v>
      </c>
      <c r="G11826" s="12" t="s">
        <v>29</v>
      </c>
      <c r="H11826" s="11" t="s">
        <v>63</v>
      </c>
      <c r="I11826" s="13" t="s">
        <v>23277</v>
      </c>
      <c r="J11826" s="14" t="str">
        <f>HYPERLINK("https://www.boe.es/gazeta/dias/1839/01/04/pdfs/GMD-1839-1511.pdf#page=1","Abrir facsímil")</f>
        <v>Abrir facsímil</v>
      </c>
      <c r="K11826" s="12" t="s">
        <v>65</v>
      </c>
    </row>
    <row r="11827" spans="1:11" ht="40.049999999999997" customHeight="1" x14ac:dyDescent="0.25">
      <c r="A11827" s="11" t="s">
        <v>23278</v>
      </c>
      <c r="B11827" s="11" t="s">
        <v>23279</v>
      </c>
      <c r="C11827" s="11" t="s">
        <v>17</v>
      </c>
      <c r="D11827" s="11" t="s">
        <v>18</v>
      </c>
      <c r="E11827" s="12" t="s">
        <v>168</v>
      </c>
      <c r="F11827" s="12" t="s">
        <v>169</v>
      </c>
      <c r="G11827" s="12" t="s">
        <v>21</v>
      </c>
      <c r="H11827" s="11" t="s">
        <v>63</v>
      </c>
      <c r="I11827" s="13" t="s">
        <v>23280</v>
      </c>
      <c r="J11827" s="14" t="str">
        <f>HYPERLINK("https://www.boe.es/gazeta/dias/1839/07/12/pdfs/GMD-1839-1700.pdf#page=4","Abrir facsímil")</f>
        <v>Abrir facsímil</v>
      </c>
      <c r="K11827" s="12" t="s">
        <v>65</v>
      </c>
    </row>
    <row r="11828" spans="1:11" ht="40.049999999999997" customHeight="1" x14ac:dyDescent="0.25">
      <c r="A11828" s="11" t="s">
        <v>23281</v>
      </c>
      <c r="B11828" s="11" t="s">
        <v>23281</v>
      </c>
      <c r="C11828" s="11" t="s">
        <v>80</v>
      </c>
      <c r="D11828" s="11" t="s">
        <v>18</v>
      </c>
      <c r="E11828" s="12" t="s">
        <v>507</v>
      </c>
      <c r="F11828" s="12" t="s">
        <v>508</v>
      </c>
      <c r="G11828" s="12" t="s">
        <v>40</v>
      </c>
      <c r="H11828" s="11" t="s">
        <v>63</v>
      </c>
      <c r="I11828" s="13" t="s">
        <v>23282</v>
      </c>
      <c r="J11828" s="14" t="str">
        <f>HYPERLINK("https://www.boe.es/gazeta/dias/1839/08/12/pdfs/GMD-1839-1732.pdf#page=2","Abrir facsímil")</f>
        <v>Abrir facsímil</v>
      </c>
      <c r="K11828" s="12" t="s">
        <v>65</v>
      </c>
    </row>
    <row r="11829" spans="1:11" ht="40.049999999999997" customHeight="1" x14ac:dyDescent="0.25">
      <c r="A11829" s="11" t="s">
        <v>23283</v>
      </c>
      <c r="B11829" s="11" t="s">
        <v>23283</v>
      </c>
      <c r="C11829" s="11" t="s">
        <v>137</v>
      </c>
      <c r="D11829" s="11" t="s">
        <v>18</v>
      </c>
      <c r="E11829" s="12" t="s">
        <v>1378</v>
      </c>
      <c r="F11829" s="12" t="s">
        <v>1379</v>
      </c>
      <c r="G11829" s="12" t="s">
        <v>21</v>
      </c>
      <c r="H11829" s="11" t="s">
        <v>63</v>
      </c>
      <c r="I11829" s="13" t="s">
        <v>23284</v>
      </c>
      <c r="J11829" s="14" t="str">
        <f>HYPERLINK("https://www.boe.es/gazeta/dias/1839/05/18/pdfs/GMD-1839-1645.pdf#page=4","Abrir facsímil")</f>
        <v>Abrir facsímil</v>
      </c>
      <c r="K11829" s="12" t="s">
        <v>65</v>
      </c>
    </row>
    <row r="11830" spans="1:11" ht="40.049999999999997" customHeight="1" x14ac:dyDescent="0.25">
      <c r="A11830" s="11" t="s">
        <v>23285</v>
      </c>
      <c r="B11830" s="11" t="s">
        <v>23286</v>
      </c>
      <c r="C11830" s="11" t="s">
        <v>17</v>
      </c>
      <c r="D11830" s="11" t="s">
        <v>18</v>
      </c>
      <c r="E11830" s="12" t="s">
        <v>756</v>
      </c>
      <c r="F11830" s="12" t="s">
        <v>757</v>
      </c>
      <c r="G11830" s="12" t="s">
        <v>21</v>
      </c>
      <c r="H11830" s="11" t="s">
        <v>63</v>
      </c>
      <c r="I11830" s="13" t="s">
        <v>23287</v>
      </c>
      <c r="J11830" s="14" t="str">
        <f>HYPERLINK("https://www.boe.es/gazeta/dias/1839/12/17/pdfs/GMD-1839-1864.pdf#page=4","Abrir facsímil")</f>
        <v>Abrir facsímil</v>
      </c>
      <c r="K11830" s="12" t="s">
        <v>65</v>
      </c>
    </row>
    <row r="11831" spans="1:11" ht="40.049999999999997" customHeight="1" x14ac:dyDescent="0.25">
      <c r="A11831" s="11" t="s">
        <v>23288</v>
      </c>
      <c r="B11831" s="11" t="s">
        <v>23288</v>
      </c>
      <c r="C11831" s="11" t="s">
        <v>17</v>
      </c>
      <c r="D11831" s="11" t="s">
        <v>18</v>
      </c>
      <c r="E11831" s="12" t="s">
        <v>4472</v>
      </c>
      <c r="F11831" s="12" t="s">
        <v>4473</v>
      </c>
      <c r="G11831" s="12" t="s">
        <v>29</v>
      </c>
      <c r="H11831" s="11" t="s">
        <v>63</v>
      </c>
      <c r="I11831" s="13" t="s">
        <v>23289</v>
      </c>
      <c r="J11831" s="14" t="str">
        <f>HYPERLINK("https://www.boe.es/gazeta/dias/1839/08/03/pdfs/GMD-1839-1723.pdf#page=1","Abrir facsímil")</f>
        <v>Abrir facsímil</v>
      </c>
      <c r="K11831" s="12" t="s">
        <v>65</v>
      </c>
    </row>
    <row r="11832" spans="1:11" ht="40.049999999999997" customHeight="1" x14ac:dyDescent="0.25">
      <c r="A11832" s="11" t="s">
        <v>23290</v>
      </c>
      <c r="B11832" s="11" t="s">
        <v>23290</v>
      </c>
      <c r="C11832" s="11" t="s">
        <v>17</v>
      </c>
      <c r="D11832" s="11" t="s">
        <v>18</v>
      </c>
      <c r="E11832" s="12" t="s">
        <v>1654</v>
      </c>
      <c r="F11832" s="12" t="s">
        <v>1655</v>
      </c>
      <c r="G11832" s="12" t="s">
        <v>46</v>
      </c>
      <c r="H11832" s="11" t="s">
        <v>63</v>
      </c>
      <c r="I11832" s="13" t="s">
        <v>23291</v>
      </c>
      <c r="J11832" s="14" t="str">
        <f>HYPERLINK("https://www.boe.es/gazeta/dias/1839/11/19/pdfs/GMD-1839-1836.pdf#page=3","Abrir facsímil")</f>
        <v>Abrir facsímil</v>
      </c>
      <c r="K11832" s="12" t="s">
        <v>65</v>
      </c>
    </row>
    <row r="11833" spans="1:11" ht="40.049999999999997" customHeight="1" x14ac:dyDescent="0.25">
      <c r="A11833" s="11" t="s">
        <v>23292</v>
      </c>
      <c r="B11833" s="11" t="s">
        <v>23292</v>
      </c>
      <c r="C11833" s="11" t="s">
        <v>17</v>
      </c>
      <c r="D11833" s="11" t="s">
        <v>18</v>
      </c>
      <c r="E11833" s="12" t="s">
        <v>5806</v>
      </c>
      <c r="F11833" s="12" t="s">
        <v>5807</v>
      </c>
      <c r="G11833" s="12" t="s">
        <v>29</v>
      </c>
      <c r="H11833" s="11" t="s">
        <v>63</v>
      </c>
      <c r="I11833" s="13" t="s">
        <v>23293</v>
      </c>
      <c r="J11833" s="14" t="str">
        <f>HYPERLINK("https://www.boe.es/gazeta/dias/1839/02/16/pdfs/GMD-1839-1554.pdf#page=1","Abrir facsímil")</f>
        <v>Abrir facsímil</v>
      </c>
      <c r="K11833" s="12" t="s">
        <v>65</v>
      </c>
    </row>
    <row r="11834" spans="1:11" ht="40.049999999999997" customHeight="1" x14ac:dyDescent="0.25">
      <c r="A11834" s="11" t="s">
        <v>23294</v>
      </c>
      <c r="B11834" s="11" t="s">
        <v>23295</v>
      </c>
      <c r="C11834" s="11" t="s">
        <v>17</v>
      </c>
      <c r="D11834" s="11" t="s">
        <v>18</v>
      </c>
      <c r="E11834" s="12" t="s">
        <v>299</v>
      </c>
      <c r="F11834" s="12" t="s">
        <v>300</v>
      </c>
      <c r="G11834" s="12" t="s">
        <v>29</v>
      </c>
      <c r="H11834" s="11" t="s">
        <v>63</v>
      </c>
      <c r="I11834" s="13" t="s">
        <v>23296</v>
      </c>
      <c r="J11834" s="14" t="str">
        <f>HYPERLINK("https://www.boe.es/gazeta/dias/1839/02/14/pdfs/GMD-1839-1552.pdf#page=1","Abrir facsímil")</f>
        <v>Abrir facsímil</v>
      </c>
      <c r="K11834" s="12" t="s">
        <v>65</v>
      </c>
    </row>
    <row r="11835" spans="1:11" ht="40.049999999999997" customHeight="1" x14ac:dyDescent="0.25">
      <c r="A11835" s="11" t="s">
        <v>23297</v>
      </c>
      <c r="B11835" s="11" t="s">
        <v>23297</v>
      </c>
      <c r="C11835" s="11" t="s">
        <v>80</v>
      </c>
      <c r="D11835" s="11" t="s">
        <v>173</v>
      </c>
      <c r="E11835" s="12" t="s">
        <v>160</v>
      </c>
      <c r="F11835" s="12" t="s">
        <v>161</v>
      </c>
      <c r="G11835" s="12" t="s">
        <v>40</v>
      </c>
      <c r="H11835" s="11" t="s">
        <v>22</v>
      </c>
      <c r="I11835" s="13" t="s">
        <v>23298</v>
      </c>
      <c r="J11835" s="14" t="str">
        <f>HYPERLINK("https://www.boe.es/gazeta/dias/1839/01/10/pdfs/GMD-1839-1517.pdf#page=2","Abrir facsímil")</f>
        <v>Abrir facsímil</v>
      </c>
      <c r="K11835" s="12" t="s">
        <v>24</v>
      </c>
    </row>
    <row r="11836" spans="1:11" ht="40.049999999999997" customHeight="1" x14ac:dyDescent="0.25">
      <c r="A11836" s="11" t="s">
        <v>23299</v>
      </c>
      <c r="B11836" s="11" t="s">
        <v>23299</v>
      </c>
      <c r="C11836" s="11" t="s">
        <v>17</v>
      </c>
      <c r="D11836" s="11" t="s">
        <v>18</v>
      </c>
      <c r="E11836" s="12" t="s">
        <v>1072</v>
      </c>
      <c r="F11836" s="12" t="s">
        <v>1073</v>
      </c>
      <c r="G11836" s="12" t="s">
        <v>46</v>
      </c>
      <c r="H11836" s="11" t="s">
        <v>22</v>
      </c>
      <c r="I11836" s="13" t="s">
        <v>23300</v>
      </c>
      <c r="J11836" s="14" t="str">
        <f>HYPERLINK("https://www.boe.es/gazeta/dias/1839/01/18/pdfs/GMD-1839-1525.pdf#page=3","Abrir facsímil")</f>
        <v>Abrir facsímil</v>
      </c>
      <c r="K11836" s="12" t="s">
        <v>24</v>
      </c>
    </row>
    <row r="11837" spans="1:11" ht="40.049999999999997" customHeight="1" x14ac:dyDescent="0.25">
      <c r="A11837" s="11" t="s">
        <v>23301</v>
      </c>
      <c r="B11837" s="11" t="s">
        <v>23301</v>
      </c>
      <c r="C11837" s="11" t="s">
        <v>17</v>
      </c>
      <c r="D11837" s="11" t="s">
        <v>18</v>
      </c>
      <c r="E11837" s="12" t="s">
        <v>794</v>
      </c>
      <c r="F11837" s="12" t="s">
        <v>795</v>
      </c>
      <c r="G11837" s="12" t="s">
        <v>46</v>
      </c>
      <c r="H11837" s="11" t="s">
        <v>63</v>
      </c>
      <c r="I11837" s="13" t="s">
        <v>23302</v>
      </c>
      <c r="J11837" s="14" t="str">
        <f>HYPERLINK("https://www.boe.es/gazeta/dias/1839/01/22/pdfs/GMD-1839-1529.pdf#page=3","Abrir facsímil")</f>
        <v>Abrir facsímil</v>
      </c>
      <c r="K11837" s="12" t="s">
        <v>65</v>
      </c>
    </row>
    <row r="11838" spans="1:11" ht="40.049999999999997" customHeight="1" x14ac:dyDescent="0.25">
      <c r="A11838" s="11" t="s">
        <v>23303</v>
      </c>
      <c r="B11838" s="11" t="s">
        <v>23303</v>
      </c>
      <c r="C11838" s="11" t="s">
        <v>80</v>
      </c>
      <c r="D11838" s="11" t="s">
        <v>18</v>
      </c>
      <c r="E11838" s="12" t="s">
        <v>262</v>
      </c>
      <c r="F11838" s="12" t="s">
        <v>263</v>
      </c>
      <c r="G11838" s="12" t="s">
        <v>29</v>
      </c>
      <c r="H11838" s="11" t="s">
        <v>63</v>
      </c>
      <c r="I11838" s="13" t="s">
        <v>23304</v>
      </c>
      <c r="J11838" s="14" t="str">
        <f>HYPERLINK("https://www.boe.es/gazeta/dias/1839/01/01/pdfs/GMD-1839-1508.pdf#page=1","Abrir facsímil")</f>
        <v>Abrir facsímil</v>
      </c>
      <c r="K11838" s="12" t="s">
        <v>65</v>
      </c>
    </row>
    <row r="11839" spans="1:11" ht="40.049999999999997" customHeight="1" x14ac:dyDescent="0.25">
      <c r="A11839" s="11" t="s">
        <v>23303</v>
      </c>
      <c r="B11839" s="11" t="s">
        <v>23303</v>
      </c>
      <c r="C11839" s="11" t="s">
        <v>101</v>
      </c>
      <c r="D11839" s="11" t="s">
        <v>43</v>
      </c>
      <c r="E11839" s="12" t="s">
        <v>160</v>
      </c>
      <c r="F11839" s="12" t="s">
        <v>161</v>
      </c>
      <c r="G11839" s="12" t="s">
        <v>40</v>
      </c>
      <c r="H11839" s="11" t="s">
        <v>63</v>
      </c>
      <c r="I11839" s="13" t="s">
        <v>23305</v>
      </c>
      <c r="J11839" s="14" t="str">
        <f>HYPERLINK("https://www.boe.es/gazeta/dias/1839/01/10/pdfs/GMD-1839-1517.pdf#page=2","Abrir facsímil")</f>
        <v>Abrir facsímil</v>
      </c>
      <c r="K11839" s="12" t="s">
        <v>65</v>
      </c>
    </row>
    <row r="11840" spans="1:11" ht="40.049999999999997" customHeight="1" x14ac:dyDescent="0.25">
      <c r="A11840" s="11" t="s">
        <v>23303</v>
      </c>
      <c r="B11840" s="11" t="s">
        <v>23303</v>
      </c>
      <c r="C11840" s="11" t="s">
        <v>80</v>
      </c>
      <c r="D11840" s="11" t="s">
        <v>18</v>
      </c>
      <c r="E11840" s="12" t="s">
        <v>19</v>
      </c>
      <c r="F11840" s="12" t="s">
        <v>20</v>
      </c>
      <c r="G11840" s="12" t="s">
        <v>40</v>
      </c>
      <c r="H11840" s="11" t="s">
        <v>63</v>
      </c>
      <c r="I11840" s="13" t="s">
        <v>23306</v>
      </c>
      <c r="J11840" s="14" t="str">
        <f>HYPERLINK("https://www.boe.es/gazeta/dias/1839/01/19/pdfs/GMD-1839-1526.pdf#page=2","Abrir facsímil")</f>
        <v>Abrir facsímil</v>
      </c>
      <c r="K11840" s="12" t="s">
        <v>65</v>
      </c>
    </row>
    <row r="11841" spans="1:11" ht="40.049999999999997" customHeight="1" x14ac:dyDescent="0.25">
      <c r="A11841" s="11" t="s">
        <v>23303</v>
      </c>
      <c r="B11841" s="11" t="s">
        <v>23303</v>
      </c>
      <c r="C11841" s="11" t="s">
        <v>137</v>
      </c>
      <c r="D11841" s="11" t="s">
        <v>18</v>
      </c>
      <c r="E11841" s="12" t="s">
        <v>19</v>
      </c>
      <c r="F11841" s="12" t="s">
        <v>20</v>
      </c>
      <c r="G11841" s="12" t="s">
        <v>46</v>
      </c>
      <c r="H11841" s="11" t="s">
        <v>63</v>
      </c>
      <c r="I11841" s="13" t="s">
        <v>23307</v>
      </c>
      <c r="J11841" s="14" t="str">
        <f>HYPERLINK("https://www.boe.es/gazeta/dias/1839/01/19/pdfs/GMD-1839-1526.pdf#page=3","Abrir facsímil")</f>
        <v>Abrir facsímil</v>
      </c>
      <c r="K11841" s="12" t="s">
        <v>65</v>
      </c>
    </row>
    <row r="11842" spans="1:11" ht="40.049999999999997" customHeight="1" x14ac:dyDescent="0.25">
      <c r="A11842" s="11" t="s">
        <v>23308</v>
      </c>
      <c r="B11842" s="11" t="s">
        <v>23309</v>
      </c>
      <c r="C11842" s="11" t="s">
        <v>17</v>
      </c>
      <c r="D11842" s="11" t="s">
        <v>18</v>
      </c>
      <c r="E11842" s="12" t="s">
        <v>239</v>
      </c>
      <c r="F11842" s="12" t="s">
        <v>240</v>
      </c>
      <c r="G11842" s="12" t="s">
        <v>21</v>
      </c>
      <c r="H11842" s="11" t="s">
        <v>63</v>
      </c>
      <c r="I11842" s="13" t="s">
        <v>23310</v>
      </c>
      <c r="J11842" s="14" t="str">
        <f>HYPERLINK("https://www.boe.es/gazeta/dias/1839/09/22/pdfs/GMD-1839-1777.pdf#page=4","Abrir facsímil")</f>
        <v>Abrir facsímil</v>
      </c>
      <c r="K11842" s="12" t="s">
        <v>65</v>
      </c>
    </row>
    <row r="11843" spans="1:11" ht="40.049999999999997" customHeight="1" x14ac:dyDescent="0.25">
      <c r="A11843" s="11" t="s">
        <v>23311</v>
      </c>
      <c r="B11843" s="11" t="s">
        <v>23312</v>
      </c>
      <c r="C11843" s="11" t="s">
        <v>137</v>
      </c>
      <c r="D11843" s="11" t="s">
        <v>18</v>
      </c>
      <c r="E11843" s="12" t="s">
        <v>2107</v>
      </c>
      <c r="F11843" s="12" t="s">
        <v>2108</v>
      </c>
      <c r="G11843" s="12" t="s">
        <v>21</v>
      </c>
      <c r="H11843" s="11" t="s">
        <v>63</v>
      </c>
      <c r="I11843" s="13" t="s">
        <v>23313</v>
      </c>
      <c r="J11843" s="14" t="str">
        <f>HYPERLINK("https://www.boe.es/gazeta/dias/1839/10/11/pdfs/GMD-1839-1797.pdf#page=4","Abrir facsímil")</f>
        <v>Abrir facsímil</v>
      </c>
      <c r="K11843" s="12" t="s">
        <v>65</v>
      </c>
    </row>
    <row r="11844" spans="1:11" ht="40.049999999999997" customHeight="1" x14ac:dyDescent="0.25">
      <c r="A11844" s="11" t="s">
        <v>23311</v>
      </c>
      <c r="B11844" s="11" t="s">
        <v>23312</v>
      </c>
      <c r="C11844" s="11" t="s">
        <v>17</v>
      </c>
      <c r="D11844" s="11" t="s">
        <v>43</v>
      </c>
      <c r="E11844" s="12" t="s">
        <v>103</v>
      </c>
      <c r="F11844" s="12" t="s">
        <v>104</v>
      </c>
      <c r="G11844" s="12" t="s">
        <v>21</v>
      </c>
      <c r="H11844" s="11" t="s">
        <v>63</v>
      </c>
      <c r="I11844" s="13" t="s">
        <v>23314</v>
      </c>
      <c r="J11844" s="14" t="str">
        <f>HYPERLINK("https://www.boe.es/gazeta/dias/1839/10/12/pdfs/GMD-1839-1798.pdf#page=4","Abrir facsímil")</f>
        <v>Abrir facsímil</v>
      </c>
      <c r="K11844" s="12" t="s">
        <v>65</v>
      </c>
    </row>
    <row r="11845" spans="1:11" ht="40.049999999999997" customHeight="1" x14ac:dyDescent="0.25">
      <c r="A11845" s="11" t="s">
        <v>23311</v>
      </c>
      <c r="B11845" s="11" t="s">
        <v>23312</v>
      </c>
      <c r="C11845" s="11" t="s">
        <v>17</v>
      </c>
      <c r="D11845" s="11" t="s">
        <v>18</v>
      </c>
      <c r="E11845" s="12" t="s">
        <v>360</v>
      </c>
      <c r="F11845" s="12" t="s">
        <v>361</v>
      </c>
      <c r="G11845" s="12" t="s">
        <v>21</v>
      </c>
      <c r="H11845" s="11" t="s">
        <v>63</v>
      </c>
      <c r="I11845" s="13" t="s">
        <v>23315</v>
      </c>
      <c r="J11845" s="14" t="str">
        <f>HYPERLINK("https://www.boe.es/gazeta/dias/1839/08/22/pdfs/GMD-1839-1743.pdf#page=4","Abrir facsímil")</f>
        <v>Abrir facsímil</v>
      </c>
      <c r="K11845" s="12" t="s">
        <v>65</v>
      </c>
    </row>
    <row r="11846" spans="1:11" ht="40.049999999999997" customHeight="1" x14ac:dyDescent="0.25">
      <c r="A11846" s="11" t="s">
        <v>23316</v>
      </c>
      <c r="B11846" s="11" t="s">
        <v>23317</v>
      </c>
      <c r="C11846" s="11" t="s">
        <v>80</v>
      </c>
      <c r="D11846" s="11" t="s">
        <v>18</v>
      </c>
      <c r="E11846" s="12" t="s">
        <v>103</v>
      </c>
      <c r="F11846" s="12" t="s">
        <v>104</v>
      </c>
      <c r="G11846" s="12" t="s">
        <v>21</v>
      </c>
      <c r="H11846" s="11" t="s">
        <v>63</v>
      </c>
      <c r="I11846" s="13" t="s">
        <v>23318</v>
      </c>
      <c r="J11846" s="14" t="str">
        <f>HYPERLINK("https://www.boe.es/gazeta/dias/1839/10/12/pdfs/GMD-1839-1798.pdf#page=4","Abrir facsímil")</f>
        <v>Abrir facsímil</v>
      </c>
      <c r="K11846" s="12" t="s">
        <v>65</v>
      </c>
    </row>
    <row r="11847" spans="1:11" ht="40.049999999999997" customHeight="1" x14ac:dyDescent="0.25">
      <c r="A11847" s="11" t="s">
        <v>23319</v>
      </c>
      <c r="B11847" s="11" t="s">
        <v>23319</v>
      </c>
      <c r="C11847" s="11" t="s">
        <v>17</v>
      </c>
      <c r="D11847" s="11" t="s">
        <v>18</v>
      </c>
      <c r="E11847" s="12" t="s">
        <v>1682</v>
      </c>
      <c r="F11847" s="12" t="s">
        <v>1683</v>
      </c>
      <c r="G11847" s="12" t="s">
        <v>40</v>
      </c>
      <c r="H11847" s="11" t="s">
        <v>63</v>
      </c>
      <c r="I11847" s="13" t="s">
        <v>23320</v>
      </c>
      <c r="J11847" s="14" t="str">
        <f>HYPERLINK("https://www.boe.es/gazeta/dias/1839/12/26/pdfs/GMD-1839-1873.pdf#page=2","Abrir facsímil")</f>
        <v>Abrir facsímil</v>
      </c>
      <c r="K11847" s="12" t="s">
        <v>65</v>
      </c>
    </row>
    <row r="11848" spans="1:11" ht="40.049999999999997" customHeight="1" x14ac:dyDescent="0.25">
      <c r="A11848" s="11" t="s">
        <v>23321</v>
      </c>
      <c r="B11848" s="11" t="s">
        <v>23321</v>
      </c>
      <c r="C11848" s="11" t="s">
        <v>17</v>
      </c>
      <c r="D11848" s="11" t="s">
        <v>18</v>
      </c>
      <c r="E11848" s="12" t="s">
        <v>276</v>
      </c>
      <c r="F11848" s="12" t="s">
        <v>277</v>
      </c>
      <c r="G11848" s="12" t="s">
        <v>46</v>
      </c>
      <c r="H11848" s="11" t="s">
        <v>22</v>
      </c>
      <c r="I11848" s="13" t="s">
        <v>23322</v>
      </c>
      <c r="J11848" s="14" t="str">
        <f>HYPERLINK("https://www.boe.es/gazeta/dias/1839/09/24/pdfs/GMD-1839-1780.pdf#page=3","Abrir facsímil")</f>
        <v>Abrir facsímil</v>
      </c>
      <c r="K11848" s="12" t="s">
        <v>24</v>
      </c>
    </row>
    <row r="11849" spans="1:11" ht="40.049999999999997" customHeight="1" x14ac:dyDescent="0.25">
      <c r="A11849" s="11" t="s">
        <v>23323</v>
      </c>
      <c r="B11849" s="11" t="s">
        <v>23324</v>
      </c>
      <c r="C11849" s="11" t="s">
        <v>17</v>
      </c>
      <c r="D11849" s="11" t="s">
        <v>18</v>
      </c>
      <c r="E11849" s="12" t="s">
        <v>1374</v>
      </c>
      <c r="F11849" s="12" t="s">
        <v>1375</v>
      </c>
      <c r="G11849" s="12" t="s">
        <v>40</v>
      </c>
      <c r="H11849" s="11" t="s">
        <v>63</v>
      </c>
      <c r="I11849" s="13" t="s">
        <v>23325</v>
      </c>
      <c r="J11849" s="14" t="str">
        <f>HYPERLINK("https://www.boe.es/gazeta/dias/1839/07/20/pdfs/GMD-1839-1708.pdf#page=2","Abrir facsímil")</f>
        <v>Abrir facsímil</v>
      </c>
      <c r="K11849" s="12" t="s">
        <v>65</v>
      </c>
    </row>
    <row r="11850" spans="1:11" ht="40.049999999999997" customHeight="1" x14ac:dyDescent="0.25">
      <c r="A11850" s="11" t="s">
        <v>23326</v>
      </c>
      <c r="B11850" s="11" t="s">
        <v>23326</v>
      </c>
      <c r="C11850" s="11" t="s">
        <v>17</v>
      </c>
      <c r="D11850" s="11" t="s">
        <v>18</v>
      </c>
      <c r="E11850" s="12" t="s">
        <v>1772</v>
      </c>
      <c r="F11850" s="12" t="s">
        <v>1773</v>
      </c>
      <c r="G11850" s="12" t="s">
        <v>21</v>
      </c>
      <c r="H11850" s="11" t="s">
        <v>22</v>
      </c>
      <c r="I11850" s="13" t="s">
        <v>23327</v>
      </c>
      <c r="J11850" s="14" t="str">
        <f>HYPERLINK("https://www.boe.es/gazeta/dias/1839/05/07/pdfs/GMD-1839-1634.pdf#page=4","Abrir facsímil")</f>
        <v>Abrir facsímil</v>
      </c>
      <c r="K11850" s="12" t="s">
        <v>24</v>
      </c>
    </row>
    <row r="11851" spans="1:11" ht="40.049999999999997" customHeight="1" x14ac:dyDescent="0.25">
      <c r="A11851" s="11" t="s">
        <v>23326</v>
      </c>
      <c r="B11851" s="11" t="s">
        <v>23326</v>
      </c>
      <c r="C11851" s="11" t="s">
        <v>17</v>
      </c>
      <c r="D11851" s="11" t="s">
        <v>18</v>
      </c>
      <c r="E11851" s="12" t="s">
        <v>3009</v>
      </c>
      <c r="F11851" s="12" t="s">
        <v>3010</v>
      </c>
      <c r="G11851" s="12" t="s">
        <v>21</v>
      </c>
      <c r="H11851" s="11" t="s">
        <v>22</v>
      </c>
      <c r="I11851" s="13" t="s">
        <v>23328</v>
      </c>
      <c r="J11851" s="14" t="str">
        <f>HYPERLINK("https://www.boe.es/gazeta/dias/1839/04/20/pdfs/GMD-1839-1617.pdf#page=4","Abrir facsímil")</f>
        <v>Abrir facsímil</v>
      </c>
      <c r="K11851" s="12" t="s">
        <v>24</v>
      </c>
    </row>
    <row r="11852" spans="1:11" ht="40.049999999999997" customHeight="1" x14ac:dyDescent="0.25">
      <c r="A11852" s="11" t="s">
        <v>23329</v>
      </c>
      <c r="B11852" s="11" t="s">
        <v>23329</v>
      </c>
      <c r="C11852" s="11" t="s">
        <v>17</v>
      </c>
      <c r="D11852" s="11" t="s">
        <v>18</v>
      </c>
      <c r="E11852" s="12" t="s">
        <v>798</v>
      </c>
      <c r="F11852" s="12" t="s">
        <v>799</v>
      </c>
      <c r="G11852" s="12" t="s">
        <v>40</v>
      </c>
      <c r="H11852" s="11" t="s">
        <v>63</v>
      </c>
      <c r="I11852" s="13" t="s">
        <v>23330</v>
      </c>
      <c r="J11852" s="14" t="str">
        <f>HYPERLINK("https://www.boe.es/gazeta/dias/1839/09/03/pdfs/GMD-1839-1755.pdf#page=2","Abrir facsímil")</f>
        <v>Abrir facsímil</v>
      </c>
      <c r="K11852" s="12" t="s">
        <v>65</v>
      </c>
    </row>
    <row r="11853" spans="1:11" ht="40.049999999999997" customHeight="1" x14ac:dyDescent="0.25">
      <c r="A11853" s="11" t="s">
        <v>23331</v>
      </c>
      <c r="B11853" s="11" t="s">
        <v>23332</v>
      </c>
      <c r="C11853" s="11" t="s">
        <v>17</v>
      </c>
      <c r="D11853" s="11" t="s">
        <v>18</v>
      </c>
      <c r="E11853" s="12" t="s">
        <v>160</v>
      </c>
      <c r="F11853" s="12" t="s">
        <v>161</v>
      </c>
      <c r="G11853" s="12" t="s">
        <v>21</v>
      </c>
      <c r="H11853" s="11" t="s">
        <v>22</v>
      </c>
      <c r="I11853" s="13" t="s">
        <v>23333</v>
      </c>
      <c r="J11853" s="14" t="str">
        <f>HYPERLINK("https://www.boe.es/gazeta/dias/1839/01/10/pdfs/GMD-1839-1517.pdf#page=4","Abrir facsímil")</f>
        <v>Abrir facsímil</v>
      </c>
      <c r="K11853" s="12" t="s">
        <v>24</v>
      </c>
    </row>
    <row r="11854" spans="1:11" ht="40.049999999999997" customHeight="1" x14ac:dyDescent="0.25">
      <c r="A11854" s="11" t="s">
        <v>23334</v>
      </c>
      <c r="B11854" s="11" t="s">
        <v>23335</v>
      </c>
      <c r="C11854" s="11" t="s">
        <v>17</v>
      </c>
      <c r="D11854" s="11" t="s">
        <v>18</v>
      </c>
      <c r="E11854" s="12" t="s">
        <v>798</v>
      </c>
      <c r="F11854" s="12" t="s">
        <v>799</v>
      </c>
      <c r="G11854" s="12" t="s">
        <v>40</v>
      </c>
      <c r="H11854" s="11" t="s">
        <v>63</v>
      </c>
      <c r="I11854" s="13" t="s">
        <v>23336</v>
      </c>
      <c r="J11854" s="14" t="str">
        <f>HYPERLINK("https://www.boe.es/gazeta/dias/1839/09/03/pdfs/GMD-1839-1755.pdf#page=2","Abrir facsímil")</f>
        <v>Abrir facsímil</v>
      </c>
      <c r="K11854" s="12" t="s">
        <v>65</v>
      </c>
    </row>
    <row r="11855" spans="1:11" ht="40.049999999999997" customHeight="1" x14ac:dyDescent="0.25">
      <c r="A11855" s="11" t="s">
        <v>23337</v>
      </c>
      <c r="B11855" s="11" t="s">
        <v>23337</v>
      </c>
      <c r="C11855" s="11" t="s">
        <v>101</v>
      </c>
      <c r="D11855" s="11" t="s">
        <v>43</v>
      </c>
      <c r="E11855" s="12" t="s">
        <v>157</v>
      </c>
      <c r="F11855" s="12" t="s">
        <v>158</v>
      </c>
      <c r="G11855" s="12" t="s">
        <v>21</v>
      </c>
      <c r="H11855" s="11" t="s">
        <v>63</v>
      </c>
      <c r="I11855" s="13" t="s">
        <v>23338</v>
      </c>
      <c r="J11855" s="14" t="str">
        <f>HYPERLINK("https://www.boe.es/gazeta/dias/1839/02/08/pdfs/GMD-1839-1546.pdf#page=4","Abrir facsímil")</f>
        <v>Abrir facsímil</v>
      </c>
      <c r="K11855" s="12" t="s">
        <v>65</v>
      </c>
    </row>
    <row r="11856" spans="1:11" ht="40.049999999999997" customHeight="1" x14ac:dyDescent="0.25">
      <c r="A11856" s="11" t="s">
        <v>23339</v>
      </c>
      <c r="B11856" s="11" t="s">
        <v>23339</v>
      </c>
      <c r="C11856" s="11" t="s">
        <v>80</v>
      </c>
      <c r="D11856" s="11" t="s">
        <v>18</v>
      </c>
      <c r="E11856" s="12" t="s">
        <v>1301</v>
      </c>
      <c r="F11856" s="12" t="s">
        <v>1302</v>
      </c>
      <c r="G11856" s="12" t="s">
        <v>21</v>
      </c>
      <c r="H11856" s="11" t="s">
        <v>22</v>
      </c>
      <c r="I11856" s="13" t="s">
        <v>23340</v>
      </c>
      <c r="J11856" s="14" t="str">
        <f>HYPERLINK("https://www.boe.es/gazeta/dias/1839/11/16/pdfs/GMD-1839-1833.pdf#page=4","Abrir facsímil")</f>
        <v>Abrir facsímil</v>
      </c>
      <c r="K11856" s="12" t="s">
        <v>24</v>
      </c>
    </row>
    <row r="11857" spans="1:11" ht="40.049999999999997" customHeight="1" x14ac:dyDescent="0.25">
      <c r="A11857" s="11" t="s">
        <v>23341</v>
      </c>
      <c r="B11857" s="11" t="s">
        <v>23341</v>
      </c>
      <c r="C11857" s="11" t="s">
        <v>59</v>
      </c>
      <c r="D11857" s="11" t="s">
        <v>60</v>
      </c>
      <c r="E11857" s="12" t="s">
        <v>1057</v>
      </c>
      <c r="F11857" s="12" t="s">
        <v>1058</v>
      </c>
      <c r="G11857" s="12" t="s">
        <v>40</v>
      </c>
      <c r="H11857" s="11" t="s">
        <v>63</v>
      </c>
      <c r="I11857" s="13" t="s">
        <v>23342</v>
      </c>
      <c r="J11857" s="14" t="str">
        <f>HYPERLINK("https://www.boe.es/gazeta/dias/1839/10/01/pdfs/GMD-1839-1787.pdf#page=2","Abrir facsímil")</f>
        <v>Abrir facsímil</v>
      </c>
      <c r="K11857" s="12" t="s">
        <v>65</v>
      </c>
    </row>
    <row r="11858" spans="1:11" ht="40.049999999999997" customHeight="1" x14ac:dyDescent="0.25">
      <c r="A11858" s="11" t="s">
        <v>23343</v>
      </c>
      <c r="B11858" s="11" t="s">
        <v>23344</v>
      </c>
      <c r="C11858" s="11" t="s">
        <v>17</v>
      </c>
      <c r="D11858" s="11" t="s">
        <v>18</v>
      </c>
      <c r="E11858" s="12" t="s">
        <v>474</v>
      </c>
      <c r="F11858" s="12" t="s">
        <v>475</v>
      </c>
      <c r="G11858" s="12" t="s">
        <v>21</v>
      </c>
      <c r="H11858" s="11" t="s">
        <v>22</v>
      </c>
      <c r="I11858" s="13" t="s">
        <v>23345</v>
      </c>
      <c r="J11858" s="14" t="str">
        <f>HYPERLINK("https://www.boe.es/gazeta/dias/1839/03/31/pdfs/GMD-1839-1597.pdf#page=4","Abrir facsímil")</f>
        <v>Abrir facsímil</v>
      </c>
      <c r="K11858" s="12" t="s">
        <v>24</v>
      </c>
    </row>
    <row r="11859" spans="1:11" ht="40.049999999999997" customHeight="1" x14ac:dyDescent="0.25">
      <c r="A11859" s="11" t="s">
        <v>23346</v>
      </c>
      <c r="B11859" s="11" t="s">
        <v>23346</v>
      </c>
      <c r="C11859" s="11" t="s">
        <v>17</v>
      </c>
      <c r="D11859" s="11" t="s">
        <v>18</v>
      </c>
      <c r="E11859" s="12" t="s">
        <v>934</v>
      </c>
      <c r="F11859" s="12" t="s">
        <v>935</v>
      </c>
      <c r="G11859" s="12" t="s">
        <v>21</v>
      </c>
      <c r="H11859" s="11" t="s">
        <v>22</v>
      </c>
      <c r="I11859" s="13" t="s">
        <v>23347</v>
      </c>
      <c r="J11859" s="14" t="str">
        <f>HYPERLINK("https://www.boe.es/gazeta/dias/1839/11/07/pdfs/GMD-1839-1824.pdf#page=4","Abrir facsímil")</f>
        <v>Abrir facsímil</v>
      </c>
      <c r="K11859" s="12" t="s">
        <v>24</v>
      </c>
    </row>
    <row r="11860" spans="1:11" ht="40.049999999999997" customHeight="1" x14ac:dyDescent="0.25">
      <c r="A11860" s="11" t="s">
        <v>23348</v>
      </c>
      <c r="B11860" s="11" t="s">
        <v>23348</v>
      </c>
      <c r="C11860" s="11" t="s">
        <v>17</v>
      </c>
      <c r="D11860" s="11" t="s">
        <v>18</v>
      </c>
      <c r="E11860" s="12" t="s">
        <v>826</v>
      </c>
      <c r="F11860" s="12" t="s">
        <v>827</v>
      </c>
      <c r="G11860" s="12" t="s">
        <v>29</v>
      </c>
      <c r="H11860" s="11" t="s">
        <v>22</v>
      </c>
      <c r="I11860" s="13" t="s">
        <v>23349</v>
      </c>
      <c r="J11860" s="14" t="str">
        <f>HYPERLINK("https://www.boe.es/gazeta/dias/1839/09/25/pdfs/GMD-1839-1781.pdf#page=1","Abrir facsímil")</f>
        <v>Abrir facsímil</v>
      </c>
      <c r="K11860" s="12" t="s">
        <v>24</v>
      </c>
    </row>
    <row r="11861" spans="1:11" ht="40.049999999999997" customHeight="1" x14ac:dyDescent="0.25">
      <c r="A11861" s="11" t="s">
        <v>23350</v>
      </c>
      <c r="B11861" s="11" t="s">
        <v>23351</v>
      </c>
      <c r="C11861" s="11" t="s">
        <v>101</v>
      </c>
      <c r="D11861" s="11" t="s">
        <v>102</v>
      </c>
      <c r="E11861" s="12" t="s">
        <v>132</v>
      </c>
      <c r="F11861" s="12" t="s">
        <v>133</v>
      </c>
      <c r="G11861" s="12" t="s">
        <v>40</v>
      </c>
      <c r="H11861" s="11" t="s">
        <v>63</v>
      </c>
      <c r="I11861" s="13" t="s">
        <v>23352</v>
      </c>
      <c r="J11861" s="14" t="str">
        <f>HYPERLINK("https://www.boe.es/gazeta/dias/1839/08/02/pdfs/GMD-1839-1722.pdf#page=2","Abrir facsímil")</f>
        <v>Abrir facsímil</v>
      </c>
      <c r="K11861" s="12" t="s">
        <v>65</v>
      </c>
    </row>
    <row r="11862" spans="1:11" ht="40.049999999999997" customHeight="1" x14ac:dyDescent="0.25">
      <c r="A11862" s="11" t="s">
        <v>23353</v>
      </c>
      <c r="B11862" s="11" t="s">
        <v>23354</v>
      </c>
      <c r="C11862" s="11" t="s">
        <v>17</v>
      </c>
      <c r="D11862" s="11" t="s">
        <v>18</v>
      </c>
      <c r="E11862" s="12" t="s">
        <v>1019</v>
      </c>
      <c r="F11862" s="12" t="s">
        <v>1020</v>
      </c>
      <c r="G11862" s="12" t="s">
        <v>40</v>
      </c>
      <c r="H11862" s="11" t="s">
        <v>63</v>
      </c>
      <c r="I11862" s="13" t="s">
        <v>23355</v>
      </c>
      <c r="J11862" s="14" t="str">
        <f>HYPERLINK("https://www.boe.es/gazeta/dias/1839/07/15/pdfs/GMD-1839-1703.pdf#page=2","Abrir facsímil")</f>
        <v>Abrir facsímil</v>
      </c>
      <c r="K11862" s="12" t="s">
        <v>65</v>
      </c>
    </row>
    <row r="11863" spans="1:11" ht="40.049999999999997" customHeight="1" x14ac:dyDescent="0.25">
      <c r="A11863" s="11" t="s">
        <v>23356</v>
      </c>
      <c r="B11863" s="11" t="s">
        <v>23357</v>
      </c>
      <c r="C11863" s="11" t="s">
        <v>137</v>
      </c>
      <c r="D11863" s="11" t="s">
        <v>18</v>
      </c>
      <c r="E11863" s="12" t="s">
        <v>1123</v>
      </c>
      <c r="F11863" s="12" t="s">
        <v>1124</v>
      </c>
      <c r="G11863" s="12" t="s">
        <v>21</v>
      </c>
      <c r="H11863" s="11" t="s">
        <v>22</v>
      </c>
      <c r="I11863" s="13" t="s">
        <v>23358</v>
      </c>
      <c r="J11863" s="14" t="str">
        <f>HYPERLINK("https://www.boe.es/gazeta/dias/1839/08/10/pdfs/GMD-1839-1730.pdf#page=4","Abrir facsímil")</f>
        <v>Abrir facsímil</v>
      </c>
      <c r="K11863" s="12" t="s">
        <v>24</v>
      </c>
    </row>
    <row r="11864" spans="1:11" ht="40.049999999999997" customHeight="1" x14ac:dyDescent="0.25">
      <c r="A11864" s="11" t="s">
        <v>23359</v>
      </c>
      <c r="B11864" s="11" t="s">
        <v>23360</v>
      </c>
      <c r="C11864" s="11" t="s">
        <v>17</v>
      </c>
      <c r="D11864" s="11" t="s">
        <v>18</v>
      </c>
      <c r="E11864" s="12" t="s">
        <v>756</v>
      </c>
      <c r="F11864" s="12" t="s">
        <v>757</v>
      </c>
      <c r="G11864" s="12" t="s">
        <v>29</v>
      </c>
      <c r="H11864" s="11" t="s">
        <v>63</v>
      </c>
      <c r="I11864" s="13" t="s">
        <v>23361</v>
      </c>
      <c r="J11864" s="14" t="str">
        <f>HYPERLINK("https://www.boe.es/gazeta/dias/1839/12/17/pdfs/GMD-1839-1864.pdf#page=1","Abrir facsímil")</f>
        <v>Abrir facsímil</v>
      </c>
      <c r="K11864" s="12" t="s">
        <v>65</v>
      </c>
    </row>
    <row r="11865" spans="1:11" ht="40.049999999999997" customHeight="1" x14ac:dyDescent="0.25">
      <c r="A11865" s="11" t="s">
        <v>23362</v>
      </c>
      <c r="B11865" s="11" t="s">
        <v>23363</v>
      </c>
      <c r="C11865" s="11" t="s">
        <v>17</v>
      </c>
      <c r="D11865" s="11" t="s">
        <v>18</v>
      </c>
      <c r="E11865" s="12" t="s">
        <v>1779</v>
      </c>
      <c r="F11865" s="12" t="s">
        <v>1780</v>
      </c>
      <c r="G11865" s="12" t="s">
        <v>29</v>
      </c>
      <c r="H11865" s="11" t="s">
        <v>63</v>
      </c>
      <c r="I11865" s="13" t="s">
        <v>23364</v>
      </c>
      <c r="J11865" s="14" t="str">
        <f>HYPERLINK("https://www.boe.es/gazeta/dias/1839/03/18/pdfs/GMD-1839-1584.pdf#page=1","Abrir facsímil")</f>
        <v>Abrir facsímil</v>
      </c>
      <c r="K11865" s="12" t="s">
        <v>65</v>
      </c>
    </row>
    <row r="11866" spans="1:11" ht="40.049999999999997" customHeight="1" x14ac:dyDescent="0.25">
      <c r="A11866" s="11" t="s">
        <v>23365</v>
      </c>
      <c r="B11866" s="11" t="s">
        <v>23365</v>
      </c>
      <c r="C11866" s="11" t="s">
        <v>59</v>
      </c>
      <c r="D11866" s="11" t="s">
        <v>60</v>
      </c>
      <c r="E11866" s="12" t="s">
        <v>217</v>
      </c>
      <c r="F11866" s="12" t="s">
        <v>218</v>
      </c>
      <c r="G11866" s="12" t="s">
        <v>40</v>
      </c>
      <c r="H11866" s="11" t="s">
        <v>63</v>
      </c>
      <c r="I11866" s="13" t="s">
        <v>23366</v>
      </c>
      <c r="J11866" s="14" t="str">
        <f>HYPERLINK("https://www.boe.es/gazeta/dias/1839/08/06/pdfs/GMD-1839-1726.pdf#page=2","Abrir facsímil")</f>
        <v>Abrir facsímil</v>
      </c>
      <c r="K11866" s="12" t="s">
        <v>65</v>
      </c>
    </row>
    <row r="11867" spans="1:11" ht="40.049999999999997" customHeight="1" x14ac:dyDescent="0.25">
      <c r="A11867" s="11" t="s">
        <v>23365</v>
      </c>
      <c r="B11867" s="11" t="s">
        <v>23365</v>
      </c>
      <c r="C11867" s="11" t="s">
        <v>80</v>
      </c>
      <c r="D11867" s="11" t="s">
        <v>18</v>
      </c>
      <c r="E11867" s="12" t="s">
        <v>5138</v>
      </c>
      <c r="F11867" s="12" t="s">
        <v>5139</v>
      </c>
      <c r="G11867" s="12" t="s">
        <v>29</v>
      </c>
      <c r="H11867" s="11" t="s">
        <v>63</v>
      </c>
      <c r="I11867" s="13" t="s">
        <v>23367</v>
      </c>
      <c r="J11867" s="14" t="str">
        <f>HYPERLINK("https://www.boe.es/gazeta/dias/1839/08/15/pdfs/GMD-1839-1735.pdf#page=1","Abrir facsímil")</f>
        <v>Abrir facsímil</v>
      </c>
      <c r="K11867" s="12" t="s">
        <v>65</v>
      </c>
    </row>
    <row r="11868" spans="1:11" ht="40.049999999999997" customHeight="1" x14ac:dyDescent="0.25">
      <c r="A11868" s="11" t="s">
        <v>23368</v>
      </c>
      <c r="B11868" s="11" t="s">
        <v>23368</v>
      </c>
      <c r="C11868" s="11" t="s">
        <v>59</v>
      </c>
      <c r="D11868" s="11" t="s">
        <v>60</v>
      </c>
      <c r="E11868" s="12" t="s">
        <v>385</v>
      </c>
      <c r="F11868" s="12" t="s">
        <v>386</v>
      </c>
      <c r="G11868" s="12" t="s">
        <v>40</v>
      </c>
      <c r="H11868" s="11" t="s">
        <v>63</v>
      </c>
      <c r="I11868" s="13" t="s">
        <v>23369</v>
      </c>
      <c r="J11868" s="14" t="str">
        <f>HYPERLINK("https://www.boe.es/gazeta/dias/1839/08/01/pdfs/GMD-1839-1721.pdf#page=2","Abrir facsímil")</f>
        <v>Abrir facsímil</v>
      </c>
      <c r="K11868" s="12" t="s">
        <v>65</v>
      </c>
    </row>
    <row r="11869" spans="1:11" ht="40.049999999999997" customHeight="1" x14ac:dyDescent="0.25">
      <c r="A11869" s="11" t="s">
        <v>23368</v>
      </c>
      <c r="B11869" s="11" t="s">
        <v>23368</v>
      </c>
      <c r="C11869" s="11" t="s">
        <v>59</v>
      </c>
      <c r="D11869" s="11" t="s">
        <v>60</v>
      </c>
      <c r="E11869" s="12" t="s">
        <v>154</v>
      </c>
      <c r="F11869" s="12" t="s">
        <v>155</v>
      </c>
      <c r="G11869" s="12" t="s">
        <v>21</v>
      </c>
      <c r="H11869" s="11" t="s">
        <v>63</v>
      </c>
      <c r="I11869" s="13" t="s">
        <v>23370</v>
      </c>
      <c r="J11869" s="14" t="str">
        <f>HYPERLINK("https://www.boe.es/gazeta/dias/1839/02/02/pdfs/GMD-1839-1540.pdf#page=4","Abrir facsímil")</f>
        <v>Abrir facsímil</v>
      </c>
      <c r="K11869" s="12" t="s">
        <v>65</v>
      </c>
    </row>
    <row r="11870" spans="1:11" ht="40.049999999999997" customHeight="1" x14ac:dyDescent="0.25">
      <c r="A11870" s="11" t="s">
        <v>23368</v>
      </c>
      <c r="B11870" s="11" t="s">
        <v>23368</v>
      </c>
      <c r="C11870" s="11" t="s">
        <v>80</v>
      </c>
      <c r="D11870" s="11" t="s">
        <v>18</v>
      </c>
      <c r="E11870" s="12" t="s">
        <v>1537</v>
      </c>
      <c r="F11870" s="12" t="s">
        <v>1538</v>
      </c>
      <c r="G11870" s="12" t="s">
        <v>21</v>
      </c>
      <c r="H11870" s="11" t="s">
        <v>63</v>
      </c>
      <c r="I11870" s="13" t="s">
        <v>23371</v>
      </c>
      <c r="J11870" s="14" t="str">
        <f>HYPERLINK("https://www.boe.es/gazeta/dias/1839/12/16/pdfs/GMD-1839-1863.pdf#page=4","Abrir facsímil")</f>
        <v>Abrir facsímil</v>
      </c>
      <c r="K11870" s="12" t="s">
        <v>65</v>
      </c>
    </row>
    <row r="11871" spans="1:11" ht="40.049999999999997" customHeight="1" x14ac:dyDescent="0.25">
      <c r="A11871" s="11" t="s">
        <v>23372</v>
      </c>
      <c r="B11871" s="11" t="s">
        <v>23373</v>
      </c>
      <c r="C11871" s="11" t="s">
        <v>101</v>
      </c>
      <c r="D11871" s="11" t="s">
        <v>43</v>
      </c>
      <c r="E11871" s="12" t="s">
        <v>1356</v>
      </c>
      <c r="F11871" s="12" t="s">
        <v>1357</v>
      </c>
      <c r="G11871" s="12" t="s">
        <v>40</v>
      </c>
      <c r="H11871" s="11" t="s">
        <v>63</v>
      </c>
      <c r="I11871" s="13" t="s">
        <v>23374</v>
      </c>
      <c r="J11871" s="14" t="str">
        <f>HYPERLINK("https://www.boe.es/gazeta/dias/1839/06/05/pdfs/GMD-1839-1663.pdf#page=2","Abrir facsímil")</f>
        <v>Abrir facsímil</v>
      </c>
      <c r="K11871" s="12" t="s">
        <v>65</v>
      </c>
    </row>
    <row r="11872" spans="1:11" ht="40.049999999999997" customHeight="1" x14ac:dyDescent="0.25">
      <c r="A11872" s="11" t="s">
        <v>23375</v>
      </c>
      <c r="B11872" s="11" t="s">
        <v>23376</v>
      </c>
      <c r="C11872" s="11" t="s">
        <v>101</v>
      </c>
      <c r="D11872" s="11" t="s">
        <v>102</v>
      </c>
      <c r="E11872" s="12" t="s">
        <v>3705</v>
      </c>
      <c r="F11872" s="12" t="s">
        <v>3706</v>
      </c>
      <c r="G11872" s="12" t="s">
        <v>46</v>
      </c>
      <c r="H11872" s="11" t="s">
        <v>22</v>
      </c>
      <c r="I11872" s="13" t="s">
        <v>23377</v>
      </c>
      <c r="J11872" s="14" t="str">
        <f>HYPERLINK("https://www.boe.es/gazeta/dias/1839/03/09/pdfs/GMD-1839-1575.pdf#page=3","Abrir facsímil")</f>
        <v>Abrir facsímil</v>
      </c>
      <c r="K11872" s="12" t="s">
        <v>24</v>
      </c>
    </row>
    <row r="11873" spans="1:11" ht="40.049999999999997" customHeight="1" x14ac:dyDescent="0.25">
      <c r="A11873" s="11" t="s">
        <v>23378</v>
      </c>
      <c r="B11873" s="11" t="s">
        <v>23379</v>
      </c>
      <c r="C11873" s="11" t="s">
        <v>59</v>
      </c>
      <c r="D11873" s="11" t="s">
        <v>60</v>
      </c>
      <c r="E11873" s="12" t="s">
        <v>756</v>
      </c>
      <c r="F11873" s="12" t="s">
        <v>757</v>
      </c>
      <c r="G11873" s="12" t="s">
        <v>29</v>
      </c>
      <c r="H11873" s="11" t="s">
        <v>63</v>
      </c>
      <c r="I11873" s="13" t="s">
        <v>23380</v>
      </c>
      <c r="J11873" s="14" t="str">
        <f>HYPERLINK("https://www.boe.es/gazeta/dias/1839/12/17/pdfs/GMD-1839-1864.pdf#page=1","Abrir facsímil")</f>
        <v>Abrir facsímil</v>
      </c>
      <c r="K11873" s="12" t="s">
        <v>65</v>
      </c>
    </row>
    <row r="11874" spans="1:11" ht="40.049999999999997" customHeight="1" x14ac:dyDescent="0.25">
      <c r="A11874" s="11" t="s">
        <v>23378</v>
      </c>
      <c r="B11874" s="11" t="s">
        <v>23379</v>
      </c>
      <c r="C11874" s="11" t="s">
        <v>17</v>
      </c>
      <c r="D11874" s="11" t="s">
        <v>18</v>
      </c>
      <c r="E11874" s="12" t="s">
        <v>1685</v>
      </c>
      <c r="F11874" s="12" t="s">
        <v>1686</v>
      </c>
      <c r="G11874" s="12" t="s">
        <v>29</v>
      </c>
      <c r="H11874" s="11" t="s">
        <v>63</v>
      </c>
      <c r="I11874" s="13" t="s">
        <v>23381</v>
      </c>
      <c r="J11874" s="14" t="str">
        <f>HYPERLINK("https://www.boe.es/gazeta/dias/1839/04/27/pdfs/GMD-1839-1624.pdf#page=1","Abrir facsímil")</f>
        <v>Abrir facsímil</v>
      </c>
      <c r="K11874" s="12" t="s">
        <v>65</v>
      </c>
    </row>
    <row r="11875" spans="1:11" ht="40.049999999999997" customHeight="1" x14ac:dyDescent="0.25">
      <c r="A11875" s="11" t="s">
        <v>23382</v>
      </c>
      <c r="B11875" s="11" t="s">
        <v>23383</v>
      </c>
      <c r="C11875" s="11" t="s">
        <v>80</v>
      </c>
      <c r="D11875" s="11" t="s">
        <v>18</v>
      </c>
      <c r="E11875" s="12" t="s">
        <v>1512</v>
      </c>
      <c r="F11875" s="12" t="s">
        <v>1513</v>
      </c>
      <c r="G11875" s="12" t="s">
        <v>21</v>
      </c>
      <c r="H11875" s="11" t="s">
        <v>63</v>
      </c>
      <c r="I11875" s="13" t="s">
        <v>23384</v>
      </c>
      <c r="J11875" s="14" t="str">
        <f>HYPERLINK("https://www.boe.es/gazeta/dias/1839/04/13/pdfs/GMD-1839-1610.pdf#page=4","Abrir facsímil")</f>
        <v>Abrir facsímil</v>
      </c>
      <c r="K11875" s="12" t="s">
        <v>65</v>
      </c>
    </row>
    <row r="11876" spans="1:11" ht="40.049999999999997" customHeight="1" x14ac:dyDescent="0.25">
      <c r="A11876" s="11" t="s">
        <v>23385</v>
      </c>
      <c r="B11876" s="11" t="s">
        <v>23386</v>
      </c>
      <c r="C11876" s="11" t="s">
        <v>17</v>
      </c>
      <c r="D11876" s="11" t="s">
        <v>18</v>
      </c>
      <c r="E11876" s="12" t="s">
        <v>1144</v>
      </c>
      <c r="F11876" s="12" t="s">
        <v>1145</v>
      </c>
      <c r="G11876" s="12" t="s">
        <v>40</v>
      </c>
      <c r="H11876" s="11" t="s">
        <v>22</v>
      </c>
      <c r="I11876" s="13" t="s">
        <v>23387</v>
      </c>
      <c r="J11876" s="14" t="str">
        <f>HYPERLINK("https://www.boe.es/gazeta/dias/1839/08/13/pdfs/GMD-1839-1733.pdf#page=2","Abrir facsímil")</f>
        <v>Abrir facsímil</v>
      </c>
      <c r="K11876" s="12" t="s">
        <v>24</v>
      </c>
    </row>
    <row r="11877" spans="1:11" ht="40.049999999999997" customHeight="1" x14ac:dyDescent="0.25">
      <c r="A11877" s="11" t="s">
        <v>23388</v>
      </c>
      <c r="B11877" s="11" t="s">
        <v>23389</v>
      </c>
      <c r="C11877" s="11" t="s">
        <v>101</v>
      </c>
      <c r="D11877" s="11" t="s">
        <v>43</v>
      </c>
      <c r="E11877" s="12" t="s">
        <v>2155</v>
      </c>
      <c r="F11877" s="12" t="s">
        <v>2156</v>
      </c>
      <c r="G11877" s="12" t="s">
        <v>29</v>
      </c>
      <c r="H11877" s="11" t="s">
        <v>22</v>
      </c>
      <c r="I11877" s="13" t="s">
        <v>23390</v>
      </c>
      <c r="J11877" s="14" t="str">
        <f>HYPERLINK("https://www.boe.es/gazeta/dias/1839/01/17/pdfs/GMD-1839-1524.pdf#page=1","Abrir facsímil")</f>
        <v>Abrir facsímil</v>
      </c>
      <c r="K11877" s="12" t="s">
        <v>24</v>
      </c>
    </row>
    <row r="11878" spans="1:11" ht="40.049999999999997" customHeight="1" x14ac:dyDescent="0.25">
      <c r="A11878" s="11" t="s">
        <v>23391</v>
      </c>
      <c r="B11878" s="11" t="s">
        <v>23392</v>
      </c>
      <c r="C11878" s="11" t="s">
        <v>17</v>
      </c>
      <c r="D11878" s="11" t="s">
        <v>18</v>
      </c>
      <c r="E11878" s="12" t="s">
        <v>3614</v>
      </c>
      <c r="F11878" s="12" t="s">
        <v>3615</v>
      </c>
      <c r="G11878" s="12" t="s">
        <v>29</v>
      </c>
      <c r="H11878" s="11" t="s">
        <v>63</v>
      </c>
      <c r="I11878" s="13" t="s">
        <v>23393</v>
      </c>
      <c r="J11878" s="14" t="str">
        <f>HYPERLINK("https://www.boe.es/gazeta/dias/1839/04/04/pdfs/GMD-1839-1601.pdf#page=1","Abrir facsímil")</f>
        <v>Abrir facsímil</v>
      </c>
      <c r="K11878" s="12" t="s">
        <v>65</v>
      </c>
    </row>
    <row r="11879" spans="1:11" ht="40.049999999999997" customHeight="1" x14ac:dyDescent="0.25">
      <c r="A11879" s="11" t="s">
        <v>23394</v>
      </c>
      <c r="B11879" s="11" t="s">
        <v>23394</v>
      </c>
      <c r="C11879" s="11" t="s">
        <v>137</v>
      </c>
      <c r="D11879" s="11" t="s">
        <v>18</v>
      </c>
      <c r="E11879" s="12" t="s">
        <v>266</v>
      </c>
      <c r="F11879" s="12" t="s">
        <v>267</v>
      </c>
      <c r="G11879" s="12" t="s">
        <v>21</v>
      </c>
      <c r="H11879" s="11" t="s">
        <v>63</v>
      </c>
      <c r="I11879" s="13" t="s">
        <v>23395</v>
      </c>
      <c r="J11879" s="14" t="str">
        <f>HYPERLINK("https://www.boe.es/gazeta/dias/1839/01/03/pdfs/GMD-1839-1510.pdf#page=4","Abrir facsímil")</f>
        <v>Abrir facsímil</v>
      </c>
      <c r="K11879" s="12" t="s">
        <v>65</v>
      </c>
    </row>
    <row r="11880" spans="1:11" ht="40.049999999999997" customHeight="1" x14ac:dyDescent="0.25">
      <c r="A11880" s="11" t="s">
        <v>23394</v>
      </c>
      <c r="B11880" s="11" t="s">
        <v>23394</v>
      </c>
      <c r="C11880" s="11" t="s">
        <v>17</v>
      </c>
      <c r="D11880" s="11" t="s">
        <v>18</v>
      </c>
      <c r="E11880" s="12" t="s">
        <v>2155</v>
      </c>
      <c r="F11880" s="12" t="s">
        <v>2156</v>
      </c>
      <c r="G11880" s="12" t="s">
        <v>21</v>
      </c>
      <c r="H11880" s="11" t="s">
        <v>63</v>
      </c>
      <c r="I11880" s="13" t="s">
        <v>23396</v>
      </c>
      <c r="J11880" s="14" t="str">
        <f>HYPERLINK("https://www.boe.es/gazeta/dias/1839/01/17/pdfs/GMD-1839-1524.pdf#page=4","Abrir facsímil")</f>
        <v>Abrir facsímil</v>
      </c>
      <c r="K11880" s="12" t="s">
        <v>65</v>
      </c>
    </row>
    <row r="11881" spans="1:11" ht="40.049999999999997" customHeight="1" x14ac:dyDescent="0.25">
      <c r="A11881" s="11" t="s">
        <v>23397</v>
      </c>
      <c r="B11881" s="11" t="s">
        <v>23397</v>
      </c>
      <c r="C11881" s="11" t="s">
        <v>137</v>
      </c>
      <c r="D11881" s="11" t="s">
        <v>18</v>
      </c>
      <c r="E11881" s="12" t="s">
        <v>19</v>
      </c>
      <c r="F11881" s="12" t="s">
        <v>20</v>
      </c>
      <c r="G11881" s="12" t="s">
        <v>46</v>
      </c>
      <c r="H11881" s="11" t="s">
        <v>22</v>
      </c>
      <c r="I11881" s="13" t="s">
        <v>23398</v>
      </c>
      <c r="J11881" s="14" t="str">
        <f>HYPERLINK("https://www.boe.es/gazeta/dias/1839/01/19/pdfs/GMD-1839-1526.pdf#page=3","Abrir facsímil")</f>
        <v>Abrir facsímil</v>
      </c>
      <c r="K11881" s="12" t="s">
        <v>24</v>
      </c>
    </row>
    <row r="11882" spans="1:11" ht="40.049999999999997" customHeight="1" x14ac:dyDescent="0.25">
      <c r="A11882" s="11" t="s">
        <v>23399</v>
      </c>
      <c r="B11882" s="11" t="s">
        <v>23400</v>
      </c>
      <c r="C11882" s="11" t="s">
        <v>17</v>
      </c>
      <c r="D11882" s="11" t="s">
        <v>18</v>
      </c>
      <c r="E11882" s="12" t="s">
        <v>503</v>
      </c>
      <c r="F11882" s="12" t="s">
        <v>504</v>
      </c>
      <c r="G11882" s="12" t="s">
        <v>21</v>
      </c>
      <c r="H11882" s="11" t="s">
        <v>22</v>
      </c>
      <c r="I11882" s="13" t="s">
        <v>23401</v>
      </c>
      <c r="J11882" s="14" t="str">
        <f>HYPERLINK("https://www.boe.es/gazeta/dias/1839/06/07/pdfs/GMD-1839-1665.pdf#page=4","Abrir facsímil")</f>
        <v>Abrir facsímil</v>
      </c>
      <c r="K11882" s="12" t="s">
        <v>24</v>
      </c>
    </row>
    <row r="11883" spans="1:11" ht="40.049999999999997" customHeight="1" x14ac:dyDescent="0.25">
      <c r="A11883" s="11" t="s">
        <v>23399</v>
      </c>
      <c r="B11883" s="11" t="s">
        <v>23400</v>
      </c>
      <c r="C11883" s="11" t="s">
        <v>17</v>
      </c>
      <c r="D11883" s="11" t="s">
        <v>18</v>
      </c>
      <c r="E11883" s="12" t="s">
        <v>38</v>
      </c>
      <c r="F11883" s="12" t="s">
        <v>39</v>
      </c>
      <c r="G11883" s="12" t="s">
        <v>21</v>
      </c>
      <c r="H11883" s="11" t="s">
        <v>22</v>
      </c>
      <c r="I11883" s="13" t="s">
        <v>23402</v>
      </c>
      <c r="J11883" s="14" t="str">
        <f>HYPERLINK("https://www.boe.es/gazeta/dias/1839/08/08/pdfs/GMD-1839-1728.pdf#page=4","Abrir facsímil")</f>
        <v>Abrir facsímil</v>
      </c>
      <c r="K11883" s="12" t="s">
        <v>24</v>
      </c>
    </row>
    <row r="11884" spans="1:11" ht="40.049999999999997" customHeight="1" x14ac:dyDescent="0.25">
      <c r="A11884" s="11" t="s">
        <v>23399</v>
      </c>
      <c r="B11884" s="11" t="s">
        <v>23400</v>
      </c>
      <c r="C11884" s="11" t="s">
        <v>80</v>
      </c>
      <c r="D11884" s="11" t="s">
        <v>18</v>
      </c>
      <c r="E11884" s="12" t="s">
        <v>690</v>
      </c>
      <c r="F11884" s="12" t="s">
        <v>691</v>
      </c>
      <c r="G11884" s="12" t="s">
        <v>21</v>
      </c>
      <c r="H11884" s="11" t="s">
        <v>22</v>
      </c>
      <c r="I11884" s="13" t="s">
        <v>23403</v>
      </c>
      <c r="J11884" s="14" t="str">
        <f>HYPERLINK("https://www.boe.es/gazeta/dias/1839/12/08/pdfs/GMD-1839-1855.pdf#page=4","Abrir facsímil")</f>
        <v>Abrir facsímil</v>
      </c>
      <c r="K11884" s="12" t="s">
        <v>24</v>
      </c>
    </row>
    <row r="11885" spans="1:11" ht="40.049999999999997" customHeight="1" x14ac:dyDescent="0.25">
      <c r="A11885" s="11" t="s">
        <v>23399</v>
      </c>
      <c r="B11885" s="11" t="s">
        <v>23400</v>
      </c>
      <c r="C11885" s="11" t="s">
        <v>17</v>
      </c>
      <c r="D11885" s="11" t="s">
        <v>18</v>
      </c>
      <c r="E11885" s="12" t="s">
        <v>138</v>
      </c>
      <c r="F11885" s="12" t="s">
        <v>139</v>
      </c>
      <c r="G11885" s="12" t="s">
        <v>21</v>
      </c>
      <c r="H11885" s="11" t="s">
        <v>22</v>
      </c>
      <c r="I11885" s="13" t="s">
        <v>23404</v>
      </c>
      <c r="J11885" s="14" t="str">
        <f>HYPERLINK("https://www.boe.es/gazeta/dias/1839/10/09/pdfs/GMD-1839-1795.pdf#page=4","Abrir facsímil")</f>
        <v>Abrir facsímil</v>
      </c>
      <c r="K11885" s="12" t="s">
        <v>24</v>
      </c>
    </row>
    <row r="11886" spans="1:11" ht="40.049999999999997" customHeight="1" x14ac:dyDescent="0.25">
      <c r="A11886" s="11" t="s">
        <v>23399</v>
      </c>
      <c r="B11886" s="11" t="s">
        <v>23400</v>
      </c>
      <c r="C11886" s="11" t="s">
        <v>80</v>
      </c>
      <c r="D11886" s="11" t="s">
        <v>18</v>
      </c>
      <c r="E11886" s="12" t="s">
        <v>527</v>
      </c>
      <c r="F11886" s="12" t="s">
        <v>528</v>
      </c>
      <c r="G11886" s="12" t="s">
        <v>21</v>
      </c>
      <c r="H11886" s="11" t="s">
        <v>22</v>
      </c>
      <c r="I11886" s="13" t="s">
        <v>23405</v>
      </c>
      <c r="J11886" s="14" t="str">
        <f>HYPERLINK("https://www.boe.es/gazeta/dias/1839/07/10/pdfs/GMD-1839-1698.pdf#page=4","Abrir facsímil")</f>
        <v>Abrir facsímil</v>
      </c>
      <c r="K11886" s="12" t="s">
        <v>24</v>
      </c>
    </row>
    <row r="11887" spans="1:11" ht="40.049999999999997" customHeight="1" x14ac:dyDescent="0.25">
      <c r="A11887" s="11" t="s">
        <v>23399</v>
      </c>
      <c r="B11887" s="11" t="s">
        <v>23400</v>
      </c>
      <c r="C11887" s="11" t="s">
        <v>137</v>
      </c>
      <c r="D11887" s="11" t="s">
        <v>18</v>
      </c>
      <c r="E11887" s="12" t="s">
        <v>181</v>
      </c>
      <c r="F11887" s="12" t="s">
        <v>182</v>
      </c>
      <c r="G11887" s="12" t="s">
        <v>29</v>
      </c>
      <c r="H11887" s="11" t="s">
        <v>22</v>
      </c>
      <c r="I11887" s="13" t="s">
        <v>23406</v>
      </c>
      <c r="J11887" s="14" t="str">
        <f>HYPERLINK("https://www.boe.es/gazeta/dias/1839/01/11/pdfs/GMD-1839-1518.pdf#page=1","Abrir facsímil")</f>
        <v>Abrir facsímil</v>
      </c>
      <c r="K11887" s="12" t="s">
        <v>24</v>
      </c>
    </row>
    <row r="11888" spans="1:11" ht="40.049999999999997" customHeight="1" x14ac:dyDescent="0.25">
      <c r="A11888" s="11" t="s">
        <v>23399</v>
      </c>
      <c r="B11888" s="11" t="s">
        <v>23400</v>
      </c>
      <c r="C11888" s="11" t="s">
        <v>80</v>
      </c>
      <c r="D11888" s="11" t="s">
        <v>18</v>
      </c>
      <c r="E11888" s="12" t="s">
        <v>544</v>
      </c>
      <c r="F11888" s="12" t="s">
        <v>545</v>
      </c>
      <c r="G11888" s="12" t="s">
        <v>21</v>
      </c>
      <c r="H11888" s="11" t="s">
        <v>22</v>
      </c>
      <c r="I11888" s="13" t="s">
        <v>23407</v>
      </c>
      <c r="J11888" s="14" t="str">
        <f>HYPERLINK("https://www.boe.es/gazeta/dias/1839/11/11/pdfs/GMD-1839-1828.pdf#page=4","Abrir facsímil")</f>
        <v>Abrir facsímil</v>
      </c>
      <c r="K11888" s="12" t="s">
        <v>24</v>
      </c>
    </row>
    <row r="11889" spans="1:11" ht="40.049999999999997" customHeight="1" x14ac:dyDescent="0.25">
      <c r="A11889" s="11" t="s">
        <v>23399</v>
      </c>
      <c r="B11889" s="11" t="s">
        <v>23400</v>
      </c>
      <c r="C11889" s="11" t="s">
        <v>17</v>
      </c>
      <c r="D11889" s="11" t="s">
        <v>43</v>
      </c>
      <c r="E11889" s="12" t="s">
        <v>2449</v>
      </c>
      <c r="F11889" s="12" t="s">
        <v>2450</v>
      </c>
      <c r="G11889" s="12" t="s">
        <v>21</v>
      </c>
      <c r="H11889" s="11" t="s">
        <v>22</v>
      </c>
      <c r="I11889" s="13" t="s">
        <v>23408</v>
      </c>
      <c r="J11889" s="14" t="str">
        <f>HYPERLINK("https://www.boe.es/gazeta/dias/1839/12/11/pdfs/GMD-1839-1858.pdf#page=4","Abrir facsímil")</f>
        <v>Abrir facsímil</v>
      </c>
      <c r="K11889" s="12" t="s">
        <v>24</v>
      </c>
    </row>
    <row r="11890" spans="1:11" ht="40.049999999999997" customHeight="1" x14ac:dyDescent="0.25">
      <c r="A11890" s="11" t="s">
        <v>23399</v>
      </c>
      <c r="B11890" s="11" t="s">
        <v>23400</v>
      </c>
      <c r="C11890" s="11" t="s">
        <v>17</v>
      </c>
      <c r="D11890" s="11" t="s">
        <v>18</v>
      </c>
      <c r="E11890" s="12" t="s">
        <v>510</v>
      </c>
      <c r="F11890" s="12" t="s">
        <v>511</v>
      </c>
      <c r="G11890" s="12" t="s">
        <v>21</v>
      </c>
      <c r="H11890" s="11" t="s">
        <v>22</v>
      </c>
      <c r="I11890" s="13" t="s">
        <v>23409</v>
      </c>
      <c r="J11890" s="14" t="str">
        <f>HYPERLINK("https://www.boe.es/gazeta/dias/1839/05/13/pdfs/GMD-1839-1640.pdf#page=4","Abrir facsímil")</f>
        <v>Abrir facsímil</v>
      </c>
      <c r="K11890" s="12" t="s">
        <v>24</v>
      </c>
    </row>
    <row r="11891" spans="1:11" ht="40.049999999999997" customHeight="1" x14ac:dyDescent="0.25">
      <c r="A11891" s="11" t="s">
        <v>23399</v>
      </c>
      <c r="B11891" s="11" t="s">
        <v>23400</v>
      </c>
      <c r="C11891" s="11" t="s">
        <v>80</v>
      </c>
      <c r="D11891" s="11" t="s">
        <v>18</v>
      </c>
      <c r="E11891" s="12" t="s">
        <v>2650</v>
      </c>
      <c r="F11891" s="12" t="s">
        <v>2651</v>
      </c>
      <c r="G11891" s="12" t="s">
        <v>21</v>
      </c>
      <c r="H11891" s="11" t="s">
        <v>22</v>
      </c>
      <c r="I11891" s="13" t="s">
        <v>23410</v>
      </c>
      <c r="J11891" s="14" t="str">
        <f>HYPERLINK("https://www.boe.es/gazeta/dias/1839/09/15/pdfs/GMD-1839-1768.pdf#page=4","Abrir facsímil")</f>
        <v>Abrir facsímil</v>
      </c>
      <c r="K11891" s="12" t="s">
        <v>24</v>
      </c>
    </row>
    <row r="11892" spans="1:11" ht="40.049999999999997" customHeight="1" x14ac:dyDescent="0.25">
      <c r="A11892" s="11" t="s">
        <v>23399</v>
      </c>
      <c r="B11892" s="11" t="s">
        <v>23400</v>
      </c>
      <c r="C11892" s="11" t="s">
        <v>80</v>
      </c>
      <c r="D11892" s="11" t="s">
        <v>18</v>
      </c>
      <c r="E11892" s="12" t="s">
        <v>564</v>
      </c>
      <c r="F11892" s="12" t="s">
        <v>565</v>
      </c>
      <c r="G11892" s="12" t="s">
        <v>305</v>
      </c>
      <c r="H11892" s="11" t="s">
        <v>22</v>
      </c>
      <c r="I11892" s="13" t="s">
        <v>23411</v>
      </c>
      <c r="J11892" s="14" t="str">
        <f>HYPERLINK("https://www.boe.es/gazeta/dias/1839/10/17/pdfs/GMD-1839-1803.pdf#page=6","Abrir facsímil")</f>
        <v>Abrir facsímil</v>
      </c>
      <c r="K11892" s="12" t="s">
        <v>24</v>
      </c>
    </row>
    <row r="11893" spans="1:11" ht="40.049999999999997" customHeight="1" x14ac:dyDescent="0.25">
      <c r="A11893" s="11" t="s">
        <v>23399</v>
      </c>
      <c r="B11893" s="11" t="s">
        <v>23400</v>
      </c>
      <c r="C11893" s="11" t="s">
        <v>17</v>
      </c>
      <c r="D11893" s="11" t="s">
        <v>18</v>
      </c>
      <c r="E11893" s="12" t="s">
        <v>1703</v>
      </c>
      <c r="F11893" s="12" t="s">
        <v>1704</v>
      </c>
      <c r="G11893" s="12" t="s">
        <v>46</v>
      </c>
      <c r="H11893" s="11" t="s">
        <v>22</v>
      </c>
      <c r="I11893" s="13" t="s">
        <v>23412</v>
      </c>
      <c r="J11893" s="14" t="str">
        <f>HYPERLINK("https://www.boe.es/gazeta/dias/1839/01/21/pdfs/GMD-1839-1528.pdf#page=3","Abrir facsímil")</f>
        <v>Abrir facsímil</v>
      </c>
      <c r="K11893" s="12" t="s">
        <v>24</v>
      </c>
    </row>
    <row r="11894" spans="1:11" ht="40.049999999999997" customHeight="1" x14ac:dyDescent="0.25">
      <c r="A11894" s="11" t="s">
        <v>23399</v>
      </c>
      <c r="B11894" s="11" t="s">
        <v>23400</v>
      </c>
      <c r="C11894" s="11" t="s">
        <v>17</v>
      </c>
      <c r="D11894" s="11" t="s">
        <v>18</v>
      </c>
      <c r="E11894" s="12" t="s">
        <v>1657</v>
      </c>
      <c r="F11894" s="12" t="s">
        <v>1658</v>
      </c>
      <c r="G11894" s="12" t="s">
        <v>29</v>
      </c>
      <c r="H11894" s="11" t="s">
        <v>22</v>
      </c>
      <c r="I11894" s="13" t="s">
        <v>23413</v>
      </c>
      <c r="J11894" s="14" t="str">
        <f>HYPERLINK("https://www.boe.es/gazeta/dias/1839/02/21/pdfs/GMD-1839-1559.pdf#page=1","Abrir facsímil")</f>
        <v>Abrir facsímil</v>
      </c>
      <c r="K11894" s="12" t="s">
        <v>24</v>
      </c>
    </row>
    <row r="11895" spans="1:11" ht="40.049999999999997" customHeight="1" x14ac:dyDescent="0.25">
      <c r="A11895" s="11" t="s">
        <v>23399</v>
      </c>
      <c r="B11895" s="11" t="s">
        <v>23400</v>
      </c>
      <c r="C11895" s="11" t="s">
        <v>59</v>
      </c>
      <c r="D11895" s="11" t="s">
        <v>60</v>
      </c>
      <c r="E11895" s="12" t="s">
        <v>1749</v>
      </c>
      <c r="F11895" s="12" t="s">
        <v>1750</v>
      </c>
      <c r="G11895" s="12" t="s">
        <v>21</v>
      </c>
      <c r="H11895" s="11" t="s">
        <v>22</v>
      </c>
      <c r="I11895" s="13" t="s">
        <v>23414</v>
      </c>
      <c r="J11895" s="14" t="str">
        <f>HYPERLINK("https://www.boe.es/gazeta/dias/1839/06/28/pdfs/GMD-1839-1686.pdf#page=4","Abrir facsímil")</f>
        <v>Abrir facsímil</v>
      </c>
      <c r="K11895" s="12" t="s">
        <v>24</v>
      </c>
    </row>
    <row r="11896" spans="1:11" ht="40.049999999999997" customHeight="1" x14ac:dyDescent="0.25">
      <c r="A11896" s="11" t="s">
        <v>23415</v>
      </c>
      <c r="B11896" s="11" t="s">
        <v>23416</v>
      </c>
      <c r="C11896" s="11" t="s">
        <v>17</v>
      </c>
      <c r="D11896" s="11" t="s">
        <v>18</v>
      </c>
      <c r="E11896" s="12" t="s">
        <v>785</v>
      </c>
      <c r="F11896" s="12" t="s">
        <v>786</v>
      </c>
      <c r="G11896" s="12" t="s">
        <v>21</v>
      </c>
      <c r="H11896" s="11" t="s">
        <v>22</v>
      </c>
      <c r="I11896" s="13" t="s">
        <v>23417</v>
      </c>
      <c r="J11896" s="14" t="str">
        <f>HYPERLINK("https://www.boe.es/gazeta/dias/1839/07/13/pdfs/GMD-1839-1701.pdf#page=4","Abrir facsímil")</f>
        <v>Abrir facsímil</v>
      </c>
      <c r="K11896" s="12" t="s">
        <v>24</v>
      </c>
    </row>
    <row r="11897" spans="1:11" ht="40.049999999999997" customHeight="1" x14ac:dyDescent="0.25">
      <c r="A11897" s="11" t="s">
        <v>23418</v>
      </c>
      <c r="B11897" s="11" t="s">
        <v>23419</v>
      </c>
      <c r="C11897" s="11" t="s">
        <v>17</v>
      </c>
      <c r="D11897" s="11" t="s">
        <v>18</v>
      </c>
      <c r="E11897" s="12" t="s">
        <v>239</v>
      </c>
      <c r="F11897" s="12" t="s">
        <v>240</v>
      </c>
      <c r="G11897" s="12" t="s">
        <v>21</v>
      </c>
      <c r="H11897" s="11" t="s">
        <v>22</v>
      </c>
      <c r="I11897" s="13" t="s">
        <v>23420</v>
      </c>
      <c r="J11897" s="14" t="str">
        <f>HYPERLINK("https://www.boe.es/gazeta/dias/1839/09/22/pdfs/GMD-1839-1777.pdf#page=4","Abrir facsímil")</f>
        <v>Abrir facsímil</v>
      </c>
      <c r="K11897" s="12" t="s">
        <v>24</v>
      </c>
    </row>
    <row r="11898" spans="1:11" ht="40.049999999999997" customHeight="1" x14ac:dyDescent="0.25">
      <c r="A11898" s="11" t="s">
        <v>23421</v>
      </c>
      <c r="B11898" s="11" t="s">
        <v>23422</v>
      </c>
      <c r="C11898" s="11" t="s">
        <v>17</v>
      </c>
      <c r="D11898" s="11" t="s">
        <v>18</v>
      </c>
      <c r="E11898" s="12" t="s">
        <v>303</v>
      </c>
      <c r="F11898" s="12" t="s">
        <v>304</v>
      </c>
      <c r="G11898" s="12" t="s">
        <v>305</v>
      </c>
      <c r="H11898" s="11" t="s">
        <v>63</v>
      </c>
      <c r="I11898" s="13" t="s">
        <v>23423</v>
      </c>
      <c r="J11898" s="14" t="str">
        <f>HYPERLINK("https://www.boe.es/gazeta/dias/1839/10/06/pdfs/GMD-1839-1792.pdf#page=6","Abrir facsímil")</f>
        <v>Abrir facsímil</v>
      </c>
      <c r="K11898" s="12" t="s">
        <v>65</v>
      </c>
    </row>
    <row r="11899" spans="1:11" ht="40.049999999999997" customHeight="1" x14ac:dyDescent="0.25">
      <c r="A11899" s="11" t="s">
        <v>23421</v>
      </c>
      <c r="B11899" s="11" t="s">
        <v>23422</v>
      </c>
      <c r="C11899" s="11" t="s">
        <v>101</v>
      </c>
      <c r="D11899" s="11" t="s">
        <v>102</v>
      </c>
      <c r="E11899" s="12" t="s">
        <v>141</v>
      </c>
      <c r="F11899" s="12" t="s">
        <v>142</v>
      </c>
      <c r="G11899" s="12" t="s">
        <v>21</v>
      </c>
      <c r="H11899" s="11" t="s">
        <v>63</v>
      </c>
      <c r="I11899" s="13" t="s">
        <v>23424</v>
      </c>
      <c r="J11899" s="14" t="str">
        <f>HYPERLINK("https://www.boe.es/gazeta/dias/1839/11/10/pdfs/GMD-1839-1827.pdf#page=4","Abrir facsímil")</f>
        <v>Abrir facsímil</v>
      </c>
      <c r="K11899" s="12" t="s">
        <v>65</v>
      </c>
    </row>
    <row r="11900" spans="1:11" ht="40.049999999999997" customHeight="1" x14ac:dyDescent="0.25">
      <c r="A11900" s="11" t="s">
        <v>23421</v>
      </c>
      <c r="B11900" s="11" t="s">
        <v>23422</v>
      </c>
      <c r="C11900" s="11" t="s">
        <v>17</v>
      </c>
      <c r="D11900" s="11" t="s">
        <v>18</v>
      </c>
      <c r="E11900" s="12" t="s">
        <v>94</v>
      </c>
      <c r="F11900" s="12" t="s">
        <v>95</v>
      </c>
      <c r="G11900" s="12" t="s">
        <v>21</v>
      </c>
      <c r="H11900" s="11" t="s">
        <v>63</v>
      </c>
      <c r="I11900" s="13" t="s">
        <v>23425</v>
      </c>
      <c r="J11900" s="14" t="str">
        <f>HYPERLINK("https://www.boe.es/gazeta/dias/1839/02/24/pdfs/GMD-1839-1562.pdf#page=4","Abrir facsímil")</f>
        <v>Abrir facsímil</v>
      </c>
      <c r="K11900" s="12" t="s">
        <v>65</v>
      </c>
    </row>
    <row r="11901" spans="1:11" ht="40.049999999999997" customHeight="1" x14ac:dyDescent="0.25">
      <c r="A11901" s="11" t="s">
        <v>23426</v>
      </c>
      <c r="B11901" s="11" t="s">
        <v>23427</v>
      </c>
      <c r="C11901" s="11" t="s">
        <v>17</v>
      </c>
      <c r="D11901" s="11" t="s">
        <v>18</v>
      </c>
      <c r="E11901" s="12" t="s">
        <v>3614</v>
      </c>
      <c r="F11901" s="12" t="s">
        <v>3615</v>
      </c>
      <c r="G11901" s="12" t="s">
        <v>29</v>
      </c>
      <c r="H11901" s="11" t="s">
        <v>63</v>
      </c>
      <c r="I11901" s="13" t="s">
        <v>23428</v>
      </c>
      <c r="J11901" s="14" t="str">
        <f>HYPERLINK("https://www.boe.es/gazeta/dias/1839/04/04/pdfs/GMD-1839-1601.pdf#page=1","Abrir facsímil")</f>
        <v>Abrir facsímil</v>
      </c>
      <c r="K11901" s="12" t="s">
        <v>65</v>
      </c>
    </row>
    <row r="11902" spans="1:11" ht="40.049999999999997" customHeight="1" x14ac:dyDescent="0.25">
      <c r="A11902" s="11" t="s">
        <v>23426</v>
      </c>
      <c r="B11902" s="11" t="s">
        <v>23427</v>
      </c>
      <c r="C11902" s="11" t="s">
        <v>80</v>
      </c>
      <c r="D11902" s="11" t="s">
        <v>173</v>
      </c>
      <c r="E11902" s="12" t="s">
        <v>157</v>
      </c>
      <c r="F11902" s="12" t="s">
        <v>158</v>
      </c>
      <c r="G11902" s="12" t="s">
        <v>29</v>
      </c>
      <c r="H11902" s="11" t="s">
        <v>63</v>
      </c>
      <c r="I11902" s="13" t="s">
        <v>23429</v>
      </c>
      <c r="J11902" s="14" t="str">
        <f>HYPERLINK("https://www.boe.es/gazeta/dias/1839/02/08/pdfs/GMD-1839-1546.pdf#page=1","Abrir facsímil")</f>
        <v>Abrir facsímil</v>
      </c>
      <c r="K11902" s="12" t="s">
        <v>65</v>
      </c>
    </row>
    <row r="11903" spans="1:11" ht="40.049999999999997" customHeight="1" x14ac:dyDescent="0.25">
      <c r="A11903" s="11" t="s">
        <v>23426</v>
      </c>
      <c r="B11903" s="11" t="s">
        <v>23427</v>
      </c>
      <c r="C11903" s="11" t="s">
        <v>80</v>
      </c>
      <c r="D11903" s="11" t="s">
        <v>18</v>
      </c>
      <c r="E11903" s="12" t="s">
        <v>496</v>
      </c>
      <c r="F11903" s="12" t="s">
        <v>497</v>
      </c>
      <c r="G11903" s="12" t="s">
        <v>21</v>
      </c>
      <c r="H11903" s="11" t="s">
        <v>63</v>
      </c>
      <c r="I11903" s="13" t="s">
        <v>23430</v>
      </c>
      <c r="J11903" s="14" t="str">
        <f>HYPERLINK("https://www.boe.es/gazeta/dias/1839/11/23/pdfs/GMD-1839-1840.pdf#page=4","Abrir facsímil")</f>
        <v>Abrir facsímil</v>
      </c>
      <c r="K11903" s="12" t="s">
        <v>65</v>
      </c>
    </row>
    <row r="11904" spans="1:11" ht="40.049999999999997" customHeight="1" x14ac:dyDescent="0.25">
      <c r="A11904" s="11" t="s">
        <v>23431</v>
      </c>
      <c r="B11904" s="11" t="s">
        <v>23432</v>
      </c>
      <c r="C11904" s="11" t="s">
        <v>17</v>
      </c>
      <c r="D11904" s="11" t="s">
        <v>18</v>
      </c>
      <c r="E11904" s="12" t="s">
        <v>4047</v>
      </c>
      <c r="F11904" s="12" t="s">
        <v>4048</v>
      </c>
      <c r="G11904" s="12" t="s">
        <v>21</v>
      </c>
      <c r="H11904" s="11" t="s">
        <v>63</v>
      </c>
      <c r="I11904" s="13" t="s">
        <v>23433</v>
      </c>
      <c r="J11904" s="14" t="str">
        <f>HYPERLINK("https://www.boe.es/gazeta/dias/1839/03/26/pdfs/GMD-1839-1592.pdf#page=4","Abrir facsímil")</f>
        <v>Abrir facsímil</v>
      </c>
      <c r="K11904" s="12" t="s">
        <v>65</v>
      </c>
    </row>
    <row r="11905" spans="1:11" ht="40.049999999999997" customHeight="1" x14ac:dyDescent="0.25">
      <c r="A11905" s="11" t="s">
        <v>23434</v>
      </c>
      <c r="B11905" s="11" t="s">
        <v>23435</v>
      </c>
      <c r="C11905" s="11" t="s">
        <v>17</v>
      </c>
      <c r="D11905" s="11" t="s">
        <v>18</v>
      </c>
      <c r="E11905" s="12" t="s">
        <v>1310</v>
      </c>
      <c r="F11905" s="12" t="s">
        <v>1311</v>
      </c>
      <c r="G11905" s="12" t="s">
        <v>40</v>
      </c>
      <c r="H11905" s="11" t="s">
        <v>63</v>
      </c>
      <c r="I11905" s="13" t="s">
        <v>23436</v>
      </c>
      <c r="J11905" s="14" t="str">
        <f>HYPERLINK("https://www.boe.es/gazeta/dias/1839/04/23/pdfs/GMD-1839-1620.pdf#page=2","Abrir facsímil")</f>
        <v>Abrir facsímil</v>
      </c>
      <c r="K11905" s="12" t="s">
        <v>65</v>
      </c>
    </row>
    <row r="11906" spans="1:11" ht="40.049999999999997" customHeight="1" x14ac:dyDescent="0.25">
      <c r="A11906" s="11" t="s">
        <v>23437</v>
      </c>
      <c r="B11906" s="11" t="s">
        <v>23438</v>
      </c>
      <c r="C11906" s="11" t="s">
        <v>101</v>
      </c>
      <c r="D11906" s="11" t="s">
        <v>102</v>
      </c>
      <c r="E11906" s="12" t="s">
        <v>474</v>
      </c>
      <c r="F11906" s="12" t="s">
        <v>475</v>
      </c>
      <c r="G11906" s="12" t="s">
        <v>46</v>
      </c>
      <c r="H11906" s="11" t="s">
        <v>63</v>
      </c>
      <c r="I11906" s="13" t="s">
        <v>23439</v>
      </c>
      <c r="J11906" s="14" t="str">
        <f>HYPERLINK("https://www.boe.es/gazeta/dias/1839/03/31/pdfs/GMD-1839-1597.pdf#page=3","Abrir facsímil")</f>
        <v>Abrir facsímil</v>
      </c>
      <c r="K11906" s="12" t="s">
        <v>65</v>
      </c>
    </row>
    <row r="11907" spans="1:11" ht="40.049999999999997" customHeight="1" x14ac:dyDescent="0.25">
      <c r="A11907" s="11" t="s">
        <v>23440</v>
      </c>
      <c r="B11907" s="11" t="s">
        <v>23440</v>
      </c>
      <c r="C11907" s="11" t="s">
        <v>17</v>
      </c>
      <c r="D11907" s="11" t="s">
        <v>18</v>
      </c>
      <c r="E11907" s="12" t="s">
        <v>713</v>
      </c>
      <c r="F11907" s="12" t="s">
        <v>714</v>
      </c>
      <c r="G11907" s="12" t="s">
        <v>40</v>
      </c>
      <c r="H11907" s="11" t="s">
        <v>63</v>
      </c>
      <c r="I11907" s="13" t="s">
        <v>23441</v>
      </c>
      <c r="J11907" s="14" t="str">
        <f>HYPERLINK("https://www.boe.es/gazeta/dias/1839/12/18/pdfs/GMD-1839-1865.pdf#page=2","Abrir facsímil")</f>
        <v>Abrir facsímil</v>
      </c>
      <c r="K11907" s="12" t="s">
        <v>65</v>
      </c>
    </row>
    <row r="11908" spans="1:11" ht="40.049999999999997" customHeight="1" x14ac:dyDescent="0.25">
      <c r="A11908" s="11" t="s">
        <v>23442</v>
      </c>
      <c r="B11908" s="11" t="s">
        <v>23443</v>
      </c>
      <c r="C11908" s="11" t="s">
        <v>80</v>
      </c>
      <c r="D11908" s="11" t="s">
        <v>18</v>
      </c>
      <c r="E11908" s="12" t="s">
        <v>1666</v>
      </c>
      <c r="F11908" s="12" t="s">
        <v>1667</v>
      </c>
      <c r="G11908" s="12" t="s">
        <v>21</v>
      </c>
      <c r="H11908" s="11" t="s">
        <v>63</v>
      </c>
      <c r="I11908" s="13" t="s">
        <v>23444</v>
      </c>
      <c r="J11908" s="14" t="str">
        <f>HYPERLINK("https://www.boe.es/gazeta/dias/1839/04/22/pdfs/GMD-1839-1619.pdf#page=4","Abrir facsímil")</f>
        <v>Abrir facsímil</v>
      </c>
      <c r="K11908" s="12" t="s">
        <v>65</v>
      </c>
    </row>
    <row r="11909" spans="1:11" ht="40.049999999999997" customHeight="1" x14ac:dyDescent="0.25">
      <c r="A11909" s="11" t="s">
        <v>23445</v>
      </c>
      <c r="B11909" s="11" t="s">
        <v>23446</v>
      </c>
      <c r="C11909" s="11" t="s">
        <v>17</v>
      </c>
      <c r="D11909" s="11" t="s">
        <v>18</v>
      </c>
      <c r="E11909" s="12" t="s">
        <v>779</v>
      </c>
      <c r="F11909" s="12" t="s">
        <v>780</v>
      </c>
      <c r="G11909" s="12" t="s">
        <v>29</v>
      </c>
      <c r="H11909" s="11" t="s">
        <v>63</v>
      </c>
      <c r="I11909" s="13" t="s">
        <v>23447</v>
      </c>
      <c r="J11909" s="14" t="str">
        <f>HYPERLINK("https://www.boe.es/gazeta/dias/1839/02/03/pdfs/GMD-1839-1541.pdf#page=1","Abrir facsímil")</f>
        <v>Abrir facsímil</v>
      </c>
      <c r="K11909" s="12" t="s">
        <v>65</v>
      </c>
    </row>
    <row r="11910" spans="1:11" ht="40.049999999999997" customHeight="1" x14ac:dyDescent="0.25">
      <c r="A11910" s="11" t="s">
        <v>23445</v>
      </c>
      <c r="B11910" s="11" t="s">
        <v>23446</v>
      </c>
      <c r="C11910" s="11" t="s">
        <v>17</v>
      </c>
      <c r="D11910" s="11" t="s">
        <v>18</v>
      </c>
      <c r="E11910" s="12" t="s">
        <v>1623</v>
      </c>
      <c r="F11910" s="12" t="s">
        <v>1624</v>
      </c>
      <c r="G11910" s="12" t="s">
        <v>21</v>
      </c>
      <c r="H11910" s="11" t="s">
        <v>63</v>
      </c>
      <c r="I11910" s="13" t="s">
        <v>23448</v>
      </c>
      <c r="J11910" s="14" t="str">
        <f>HYPERLINK("https://www.boe.es/gazeta/dias/1839/04/07/pdfs/GMD-1839-1604.pdf#page=4","Abrir facsímil")</f>
        <v>Abrir facsímil</v>
      </c>
      <c r="K11910" s="12" t="s">
        <v>65</v>
      </c>
    </row>
    <row r="11911" spans="1:11" ht="40.049999999999997" customHeight="1" x14ac:dyDescent="0.25">
      <c r="A11911" s="11" t="s">
        <v>23445</v>
      </c>
      <c r="B11911" s="11" t="s">
        <v>23446</v>
      </c>
      <c r="C11911" s="11" t="s">
        <v>17</v>
      </c>
      <c r="D11911" s="11" t="s">
        <v>18</v>
      </c>
      <c r="E11911" s="12" t="s">
        <v>1772</v>
      </c>
      <c r="F11911" s="12" t="s">
        <v>1773</v>
      </c>
      <c r="G11911" s="12" t="s">
        <v>29</v>
      </c>
      <c r="H11911" s="11" t="s">
        <v>63</v>
      </c>
      <c r="I11911" s="13" t="s">
        <v>23449</v>
      </c>
      <c r="J11911" s="14" t="str">
        <f>HYPERLINK("https://www.boe.es/gazeta/dias/1839/05/07/pdfs/GMD-1839-1634.pdf#page=1","Abrir facsímil")</f>
        <v>Abrir facsímil</v>
      </c>
      <c r="K11911" s="12" t="s">
        <v>65</v>
      </c>
    </row>
    <row r="11912" spans="1:11" ht="40.049999999999997" customHeight="1" x14ac:dyDescent="0.25">
      <c r="A11912" s="11" t="s">
        <v>23445</v>
      </c>
      <c r="B11912" s="11" t="s">
        <v>23446</v>
      </c>
      <c r="C11912" s="11" t="s">
        <v>17</v>
      </c>
      <c r="D11912" s="11" t="s">
        <v>18</v>
      </c>
      <c r="E11912" s="12" t="s">
        <v>1414</v>
      </c>
      <c r="F11912" s="12" t="s">
        <v>1415</v>
      </c>
      <c r="G11912" s="12" t="s">
        <v>21</v>
      </c>
      <c r="H11912" s="11" t="s">
        <v>63</v>
      </c>
      <c r="I11912" s="13" t="s">
        <v>23450</v>
      </c>
      <c r="J11912" s="14" t="str">
        <f>HYPERLINK("https://www.boe.es/gazeta/dias/1839/06/12/pdfs/GMD-1839-1670.pdf#page=4","Abrir facsímil")</f>
        <v>Abrir facsímil</v>
      </c>
      <c r="K11912" s="12" t="s">
        <v>65</v>
      </c>
    </row>
    <row r="11913" spans="1:11" ht="40.049999999999997" customHeight="1" x14ac:dyDescent="0.25">
      <c r="A11913" s="11" t="s">
        <v>23451</v>
      </c>
      <c r="B11913" s="11" t="s">
        <v>23452</v>
      </c>
      <c r="C11913" s="11" t="s">
        <v>17</v>
      </c>
      <c r="D11913" s="11" t="s">
        <v>18</v>
      </c>
      <c r="E11913" s="12" t="s">
        <v>291</v>
      </c>
      <c r="F11913" s="12" t="s">
        <v>292</v>
      </c>
      <c r="G11913" s="12" t="s">
        <v>46</v>
      </c>
      <c r="H11913" s="11" t="s">
        <v>63</v>
      </c>
      <c r="I11913" s="13" t="s">
        <v>23453</v>
      </c>
      <c r="J11913" s="14" t="str">
        <f>HYPERLINK("https://www.boe.es/gazeta/dias/1839/09/04/pdfs/GMD-1839-1757.pdf#page=3","Abrir facsímil")</f>
        <v>Abrir facsímil</v>
      </c>
      <c r="K11913" s="12" t="s">
        <v>65</v>
      </c>
    </row>
    <row r="11914" spans="1:11" ht="40.049999999999997" customHeight="1" x14ac:dyDescent="0.25">
      <c r="A11914" s="11" t="s">
        <v>23454</v>
      </c>
      <c r="B11914" s="11" t="s">
        <v>23455</v>
      </c>
      <c r="C11914" s="11" t="s">
        <v>80</v>
      </c>
      <c r="D11914" s="11" t="s">
        <v>18</v>
      </c>
      <c r="E11914" s="12" t="s">
        <v>369</v>
      </c>
      <c r="F11914" s="12" t="s">
        <v>370</v>
      </c>
      <c r="G11914" s="12" t="s">
        <v>21</v>
      </c>
      <c r="H11914" s="11" t="s">
        <v>63</v>
      </c>
      <c r="I11914" s="13" t="s">
        <v>23456</v>
      </c>
      <c r="J11914" s="14" t="str">
        <f>HYPERLINK("https://www.boe.es/gazeta/dias/1839/11/01/pdfs/GMD-1839-1818.pdf#page=4","Abrir facsímil")</f>
        <v>Abrir facsímil</v>
      </c>
      <c r="K11914" s="12" t="s">
        <v>65</v>
      </c>
    </row>
    <row r="11915" spans="1:11" ht="40.049999999999997" customHeight="1" x14ac:dyDescent="0.25">
      <c r="A11915" s="11" t="s">
        <v>23457</v>
      </c>
      <c r="B11915" s="11" t="s">
        <v>23457</v>
      </c>
      <c r="C11915" s="11" t="s">
        <v>101</v>
      </c>
      <c r="D11915" s="11" t="s">
        <v>43</v>
      </c>
      <c r="E11915" s="12" t="s">
        <v>621</v>
      </c>
      <c r="F11915" s="12" t="s">
        <v>622</v>
      </c>
      <c r="G11915" s="12" t="s">
        <v>40</v>
      </c>
      <c r="H11915" s="11" t="s">
        <v>63</v>
      </c>
      <c r="I11915" s="13" t="s">
        <v>23458</v>
      </c>
      <c r="J11915" s="14" t="str">
        <f>HYPERLINK("https://www.boe.es/gazeta/dias/1839/04/14/pdfs/GMD-1839-1611.pdf#page=2","Abrir facsímil")</f>
        <v>Abrir facsímil</v>
      </c>
      <c r="K11915" s="12" t="s">
        <v>65</v>
      </c>
    </row>
    <row r="11916" spans="1:11" ht="40.049999999999997" customHeight="1" x14ac:dyDescent="0.25">
      <c r="A11916" s="11" t="s">
        <v>23459</v>
      </c>
      <c r="B11916" s="11" t="s">
        <v>23460</v>
      </c>
      <c r="C11916" s="11" t="s">
        <v>137</v>
      </c>
      <c r="D11916" s="11" t="s">
        <v>18</v>
      </c>
      <c r="E11916" s="12" t="s">
        <v>108</v>
      </c>
      <c r="F11916" s="12" t="s">
        <v>109</v>
      </c>
      <c r="G11916" s="12" t="s">
        <v>29</v>
      </c>
      <c r="H11916" s="11" t="s">
        <v>63</v>
      </c>
      <c r="I11916" s="13" t="s">
        <v>23461</v>
      </c>
      <c r="J11916" s="14" t="str">
        <f>HYPERLINK("https://www.boe.es/gazeta/dias/1839/01/04/pdfs/GMD-1839-1511.pdf#page=1","Abrir facsímil")</f>
        <v>Abrir facsímil</v>
      </c>
      <c r="K11916" s="12" t="s">
        <v>65</v>
      </c>
    </row>
    <row r="11917" spans="1:11" ht="40.049999999999997" customHeight="1" x14ac:dyDescent="0.25">
      <c r="A11917" s="11" t="s">
        <v>23462</v>
      </c>
      <c r="B11917" s="11" t="s">
        <v>23463</v>
      </c>
      <c r="C11917" s="11" t="s">
        <v>17</v>
      </c>
      <c r="D11917" s="11" t="s">
        <v>18</v>
      </c>
      <c r="E11917" s="12" t="s">
        <v>555</v>
      </c>
      <c r="F11917" s="12" t="s">
        <v>556</v>
      </c>
      <c r="G11917" s="12" t="s">
        <v>29</v>
      </c>
      <c r="H11917" s="11" t="s">
        <v>63</v>
      </c>
      <c r="I11917" s="13" t="s">
        <v>23464</v>
      </c>
      <c r="J11917" s="14" t="str">
        <f>HYPERLINK("https://www.boe.es/gazeta/dias/1839/07/19/pdfs/GMD-1839-1707.pdf#page=1","Abrir facsímil")</f>
        <v>Abrir facsímil</v>
      </c>
      <c r="K11917" s="12" t="s">
        <v>65</v>
      </c>
    </row>
    <row r="11918" spans="1:11" ht="40.049999999999997" customHeight="1" x14ac:dyDescent="0.25">
      <c r="A11918" s="11" t="s">
        <v>23465</v>
      </c>
      <c r="B11918" s="11" t="s">
        <v>23466</v>
      </c>
      <c r="C11918" s="11" t="s">
        <v>80</v>
      </c>
      <c r="D11918" s="11" t="s">
        <v>18</v>
      </c>
      <c r="E11918" s="12" t="s">
        <v>1584</v>
      </c>
      <c r="F11918" s="12" t="s">
        <v>1585</v>
      </c>
      <c r="G11918" s="12" t="s">
        <v>46</v>
      </c>
      <c r="H11918" s="11" t="s">
        <v>63</v>
      </c>
      <c r="I11918" s="13" t="s">
        <v>23467</v>
      </c>
      <c r="J11918" s="14" t="str">
        <f>HYPERLINK("https://www.boe.es/gazeta/dias/1839/11/20/pdfs/GMD-1839-1837.pdf#page=3","Abrir facsímil")</f>
        <v>Abrir facsímil</v>
      </c>
      <c r="K11918" s="12" t="s">
        <v>65</v>
      </c>
    </row>
    <row r="11919" spans="1:11" ht="40.049999999999997" customHeight="1" x14ac:dyDescent="0.25">
      <c r="A11919" s="11" t="s">
        <v>23468</v>
      </c>
      <c r="B11919" s="11" t="s">
        <v>23469</v>
      </c>
      <c r="C11919" s="11" t="s">
        <v>101</v>
      </c>
      <c r="D11919" s="11" t="s">
        <v>43</v>
      </c>
      <c r="E11919" s="12" t="s">
        <v>94</v>
      </c>
      <c r="F11919" s="12" t="s">
        <v>95</v>
      </c>
      <c r="G11919" s="12" t="s">
        <v>40</v>
      </c>
      <c r="H11919" s="11" t="s">
        <v>22</v>
      </c>
      <c r="I11919" s="13" t="s">
        <v>23470</v>
      </c>
      <c r="J11919" s="14" t="str">
        <f>HYPERLINK("https://www.boe.es/gazeta/dias/1839/02/24/pdfs/GMD-1839-1562.pdf#page=2","Abrir facsímil")</f>
        <v>Abrir facsímil</v>
      </c>
      <c r="K11919" s="12" t="s">
        <v>24</v>
      </c>
    </row>
    <row r="11920" spans="1:11" ht="40.049999999999997" customHeight="1" x14ac:dyDescent="0.25">
      <c r="A11920" s="11" t="s">
        <v>23471</v>
      </c>
      <c r="B11920" s="11" t="s">
        <v>23472</v>
      </c>
      <c r="C11920" s="11" t="s">
        <v>17</v>
      </c>
      <c r="D11920" s="11" t="s">
        <v>18</v>
      </c>
      <c r="E11920" s="12" t="s">
        <v>202</v>
      </c>
      <c r="F11920" s="12" t="s">
        <v>203</v>
      </c>
      <c r="G11920" s="12" t="s">
        <v>40</v>
      </c>
      <c r="H11920" s="11" t="s">
        <v>63</v>
      </c>
      <c r="I11920" s="13" t="s">
        <v>23473</v>
      </c>
      <c r="J11920" s="14" t="str">
        <f>HYPERLINK("https://www.boe.es/gazeta/dias/1839/04/05/pdfs/GMD-1839-1602.pdf#page=2","Abrir facsímil")</f>
        <v>Abrir facsímil</v>
      </c>
      <c r="K11920" s="12" t="s">
        <v>65</v>
      </c>
    </row>
    <row r="11921" spans="1:11" ht="40.049999999999997" customHeight="1" x14ac:dyDescent="0.25">
      <c r="A11921" s="11" t="s">
        <v>23474</v>
      </c>
      <c r="B11921" s="11" t="s">
        <v>23475</v>
      </c>
      <c r="C11921" s="11" t="s">
        <v>17</v>
      </c>
      <c r="D11921" s="11" t="s">
        <v>18</v>
      </c>
      <c r="E11921" s="12" t="s">
        <v>2432</v>
      </c>
      <c r="F11921" s="12" t="s">
        <v>2581</v>
      </c>
      <c r="G11921" s="12" t="s">
        <v>29</v>
      </c>
      <c r="H11921" s="11" t="s">
        <v>63</v>
      </c>
      <c r="I11921" s="13" t="s">
        <v>23476</v>
      </c>
      <c r="J11921" s="14" t="str">
        <f>HYPERLINK("https://www.boe.es/gazeta/dias/1839/07/23/pdfs/GMD-1839-1711.pdf#page=1","Abrir facsímil")</f>
        <v>Abrir facsímil</v>
      </c>
      <c r="K11921" s="12" t="s">
        <v>65</v>
      </c>
    </row>
    <row r="11922" spans="1:11" ht="40.049999999999997" customHeight="1" x14ac:dyDescent="0.25">
      <c r="A11922" s="11" t="s">
        <v>23477</v>
      </c>
      <c r="B11922" s="11" t="s">
        <v>23478</v>
      </c>
      <c r="C11922" s="11" t="s">
        <v>17</v>
      </c>
      <c r="D11922" s="11" t="s">
        <v>18</v>
      </c>
      <c r="E11922" s="12" t="s">
        <v>258</v>
      </c>
      <c r="F11922" s="12" t="s">
        <v>259</v>
      </c>
      <c r="G11922" s="12" t="s">
        <v>29</v>
      </c>
      <c r="H11922" s="11" t="s">
        <v>63</v>
      </c>
      <c r="I11922" s="13" t="s">
        <v>23479</v>
      </c>
      <c r="J11922" s="14" t="str">
        <f>HYPERLINK("https://www.boe.es/gazeta/dias/1839/01/02/pdfs/GMD-1839-1509.pdf#page=1","Abrir facsímil")</f>
        <v>Abrir facsímil</v>
      </c>
      <c r="K11922" s="12" t="s">
        <v>65</v>
      </c>
    </row>
    <row r="11923" spans="1:11" ht="40.049999999999997" customHeight="1" x14ac:dyDescent="0.25">
      <c r="A11923" s="11" t="s">
        <v>23477</v>
      </c>
      <c r="B11923" s="11" t="s">
        <v>23478</v>
      </c>
      <c r="C11923" s="11" t="s">
        <v>17</v>
      </c>
      <c r="D11923" s="11" t="s">
        <v>18</v>
      </c>
      <c r="E11923" s="12" t="s">
        <v>519</v>
      </c>
      <c r="F11923" s="12" t="s">
        <v>520</v>
      </c>
      <c r="G11923" s="12" t="s">
        <v>29</v>
      </c>
      <c r="H11923" s="11" t="s">
        <v>63</v>
      </c>
      <c r="I11923" s="13" t="s">
        <v>23480</v>
      </c>
      <c r="J11923" s="14" t="str">
        <f>HYPERLINK("https://www.boe.es/gazeta/dias/1839/02/23/pdfs/GMD-1839-1561.pdf#page=1","Abrir facsímil")</f>
        <v>Abrir facsímil</v>
      </c>
      <c r="K11923" s="12" t="s">
        <v>65</v>
      </c>
    </row>
    <row r="11924" spans="1:11" ht="40.049999999999997" customHeight="1" x14ac:dyDescent="0.25">
      <c r="A11924" s="11" t="s">
        <v>23481</v>
      </c>
      <c r="B11924" s="11" t="s">
        <v>23482</v>
      </c>
      <c r="C11924" s="11" t="s">
        <v>59</v>
      </c>
      <c r="D11924" s="11" t="s">
        <v>60</v>
      </c>
      <c r="E11924" s="12" t="s">
        <v>2839</v>
      </c>
      <c r="F11924" s="12" t="s">
        <v>2840</v>
      </c>
      <c r="G11924" s="12" t="s">
        <v>29</v>
      </c>
      <c r="H11924" s="11" t="s">
        <v>63</v>
      </c>
      <c r="I11924" s="13" t="s">
        <v>23483</v>
      </c>
      <c r="J11924" s="14" t="str">
        <f>HYPERLINK("https://www.boe.es/gazeta/dias/1839/03/06/pdfs/GMD-1839-1572.pdf#page=1","Abrir facsímil")</f>
        <v>Abrir facsímil</v>
      </c>
      <c r="K11924" s="12" t="s">
        <v>65</v>
      </c>
    </row>
    <row r="11925" spans="1:11" ht="40.049999999999997" customHeight="1" x14ac:dyDescent="0.25">
      <c r="A11925" s="11" t="s">
        <v>23481</v>
      </c>
      <c r="B11925" s="11" t="s">
        <v>23482</v>
      </c>
      <c r="C11925" s="11" t="s">
        <v>17</v>
      </c>
      <c r="D11925" s="11" t="s">
        <v>18</v>
      </c>
      <c r="E11925" s="12" t="s">
        <v>4055</v>
      </c>
      <c r="F11925" s="12" t="s">
        <v>4056</v>
      </c>
      <c r="G11925" s="12" t="s">
        <v>46</v>
      </c>
      <c r="H11925" s="11" t="s">
        <v>63</v>
      </c>
      <c r="I11925" s="13" t="s">
        <v>23484</v>
      </c>
      <c r="J11925" s="14" t="str">
        <f>HYPERLINK("https://www.boe.es/gazeta/dias/1839/03/07/pdfs/GMD-1839-1573.pdf#page=3","Abrir facsímil")</f>
        <v>Abrir facsímil</v>
      </c>
      <c r="K11925" s="12" t="s">
        <v>65</v>
      </c>
    </row>
    <row r="11926" spans="1:11" ht="40.049999999999997" customHeight="1" x14ac:dyDescent="0.25">
      <c r="A11926" s="11" t="s">
        <v>23485</v>
      </c>
      <c r="B11926" s="11" t="s">
        <v>23486</v>
      </c>
      <c r="C11926" s="11" t="s">
        <v>17</v>
      </c>
      <c r="D11926" s="11" t="s">
        <v>18</v>
      </c>
      <c r="E11926" s="12" t="s">
        <v>258</v>
      </c>
      <c r="F11926" s="12" t="s">
        <v>259</v>
      </c>
      <c r="G11926" s="12" t="s">
        <v>40</v>
      </c>
      <c r="H11926" s="11" t="s">
        <v>63</v>
      </c>
      <c r="I11926" s="13" t="s">
        <v>23487</v>
      </c>
      <c r="J11926" s="14" t="str">
        <f>HYPERLINK("https://www.boe.es/gazeta/dias/1839/01/02/pdfs/GMD-1839-1509.pdf#page=2","Abrir facsímil")</f>
        <v>Abrir facsímil</v>
      </c>
      <c r="K11926" s="12" t="s">
        <v>65</v>
      </c>
    </row>
    <row r="11927" spans="1:11" ht="40.049999999999997" customHeight="1" x14ac:dyDescent="0.25">
      <c r="A11927" s="11" t="s">
        <v>23485</v>
      </c>
      <c r="B11927" s="11" t="s">
        <v>23486</v>
      </c>
      <c r="C11927" s="11" t="s">
        <v>17</v>
      </c>
      <c r="D11927" s="11" t="s">
        <v>18</v>
      </c>
      <c r="E11927" s="12" t="s">
        <v>280</v>
      </c>
      <c r="F11927" s="12" t="s">
        <v>281</v>
      </c>
      <c r="G11927" s="12" t="s">
        <v>29</v>
      </c>
      <c r="H11927" s="11" t="s">
        <v>63</v>
      </c>
      <c r="I11927" s="13" t="s">
        <v>23488</v>
      </c>
      <c r="J11927" s="14" t="str">
        <f>HYPERLINK("https://www.boe.es/gazeta/dias/1839/08/21/pdfs/GMD-1839-1742.pdf#page=1","Abrir facsímil")</f>
        <v>Abrir facsímil</v>
      </c>
      <c r="K11927" s="12" t="s">
        <v>65</v>
      </c>
    </row>
    <row r="11928" spans="1:11" ht="40.049999999999997" customHeight="1" x14ac:dyDescent="0.25">
      <c r="A11928" s="11" t="s">
        <v>23489</v>
      </c>
      <c r="B11928" s="11" t="s">
        <v>23489</v>
      </c>
      <c r="C11928" s="11" t="s">
        <v>17</v>
      </c>
      <c r="D11928" s="11" t="s">
        <v>18</v>
      </c>
      <c r="E11928" s="12" t="s">
        <v>103</v>
      </c>
      <c r="F11928" s="12" t="s">
        <v>104</v>
      </c>
      <c r="G11928" s="12" t="s">
        <v>21</v>
      </c>
      <c r="H11928" s="11" t="s">
        <v>63</v>
      </c>
      <c r="I11928" s="13" t="s">
        <v>23490</v>
      </c>
      <c r="J11928" s="14" t="str">
        <f>HYPERLINK("https://www.boe.es/gazeta/dias/1839/10/12/pdfs/GMD-1839-1798.pdf#page=4","Abrir facsímil")</f>
        <v>Abrir facsímil</v>
      </c>
      <c r="K11928" s="12" t="s">
        <v>65</v>
      </c>
    </row>
    <row r="11929" spans="1:11" ht="40.049999999999997" customHeight="1" x14ac:dyDescent="0.25">
      <c r="A11929" s="11" t="s">
        <v>23491</v>
      </c>
      <c r="B11929" s="11" t="s">
        <v>23491</v>
      </c>
      <c r="C11929" s="11" t="s">
        <v>101</v>
      </c>
      <c r="D11929" s="11" t="s">
        <v>102</v>
      </c>
      <c r="E11929" s="12" t="s">
        <v>121</v>
      </c>
      <c r="F11929" s="12" t="s">
        <v>122</v>
      </c>
      <c r="G11929" s="12" t="s">
        <v>29</v>
      </c>
      <c r="H11929" s="11" t="s">
        <v>63</v>
      </c>
      <c r="I11929" s="13" t="s">
        <v>23492</v>
      </c>
      <c r="J11929" s="14" t="str">
        <f>HYPERLINK("https://www.boe.es/gazeta/dias/1839/06/08/pdfs/GMD-1839-1666.pdf#page=1","Abrir facsímil")</f>
        <v>Abrir facsímil</v>
      </c>
      <c r="K11929" s="12" t="s">
        <v>65</v>
      </c>
    </row>
    <row r="11930" spans="1:11" ht="40.049999999999997" customHeight="1" x14ac:dyDescent="0.25">
      <c r="A11930" s="11" t="s">
        <v>23493</v>
      </c>
      <c r="B11930" s="11" t="s">
        <v>23494</v>
      </c>
      <c r="C11930" s="11" t="s">
        <v>80</v>
      </c>
      <c r="D11930" s="11" t="s">
        <v>18</v>
      </c>
      <c r="E11930" s="12" t="s">
        <v>217</v>
      </c>
      <c r="F11930" s="12" t="s">
        <v>218</v>
      </c>
      <c r="G11930" s="12" t="s">
        <v>21</v>
      </c>
      <c r="H11930" s="11" t="s">
        <v>63</v>
      </c>
      <c r="I11930" s="13" t="s">
        <v>23495</v>
      </c>
      <c r="J11930" s="14" t="str">
        <f>HYPERLINK("https://www.boe.es/gazeta/dias/1839/08/06/pdfs/GMD-1839-1726.pdf#page=4","Abrir facsímil")</f>
        <v>Abrir facsímil</v>
      </c>
      <c r="K11930" s="12" t="s">
        <v>65</v>
      </c>
    </row>
    <row r="11931" spans="1:11" ht="40.049999999999997" customHeight="1" x14ac:dyDescent="0.25">
      <c r="A11931" s="11" t="s">
        <v>23496</v>
      </c>
      <c r="B11931" s="11" t="s">
        <v>23496</v>
      </c>
      <c r="C11931" s="11" t="s">
        <v>137</v>
      </c>
      <c r="D11931" s="11" t="s">
        <v>18</v>
      </c>
      <c r="E11931" s="12" t="s">
        <v>489</v>
      </c>
      <c r="F11931" s="12" t="s">
        <v>490</v>
      </c>
      <c r="G11931" s="12" t="s">
        <v>29</v>
      </c>
      <c r="H11931" s="11" t="s">
        <v>63</v>
      </c>
      <c r="I11931" s="13" t="s">
        <v>23497</v>
      </c>
      <c r="J11931" s="14" t="str">
        <f>HYPERLINK("https://www.boe.es/gazeta/dias/1839/06/29/pdfs/GMD-1839-1687.pdf#page=1","Abrir facsímil")</f>
        <v>Abrir facsímil</v>
      </c>
      <c r="K11931" s="12" t="s">
        <v>65</v>
      </c>
    </row>
    <row r="11932" spans="1:11" ht="40.049999999999997" customHeight="1" x14ac:dyDescent="0.25">
      <c r="A11932" s="11" t="s">
        <v>23498</v>
      </c>
      <c r="B11932" s="11" t="s">
        <v>23499</v>
      </c>
      <c r="C11932" s="11" t="s">
        <v>17</v>
      </c>
      <c r="D11932" s="11" t="s">
        <v>18</v>
      </c>
      <c r="E11932" s="12" t="s">
        <v>1623</v>
      </c>
      <c r="F11932" s="12" t="s">
        <v>1624</v>
      </c>
      <c r="G11932" s="12" t="s">
        <v>46</v>
      </c>
      <c r="H11932" s="11" t="s">
        <v>63</v>
      </c>
      <c r="I11932" s="13" t="s">
        <v>23500</v>
      </c>
      <c r="J11932" s="14" t="str">
        <f>HYPERLINK("https://www.boe.es/gazeta/dias/1839/04/07/pdfs/GMD-1839-1604.pdf#page=3","Abrir facsímil")</f>
        <v>Abrir facsímil</v>
      </c>
      <c r="K11932" s="12" t="s">
        <v>65</v>
      </c>
    </row>
    <row r="11933" spans="1:11" ht="40.049999999999997" customHeight="1" x14ac:dyDescent="0.25">
      <c r="A11933" s="11" t="s">
        <v>23498</v>
      </c>
      <c r="B11933" s="11" t="s">
        <v>23499</v>
      </c>
      <c r="C11933" s="11" t="s">
        <v>17</v>
      </c>
      <c r="D11933" s="11" t="s">
        <v>18</v>
      </c>
      <c r="E11933" s="12" t="s">
        <v>690</v>
      </c>
      <c r="F11933" s="12" t="s">
        <v>691</v>
      </c>
      <c r="G11933" s="12" t="s">
        <v>46</v>
      </c>
      <c r="H11933" s="11" t="s">
        <v>63</v>
      </c>
      <c r="I11933" s="13" t="s">
        <v>23501</v>
      </c>
      <c r="J11933" s="14" t="str">
        <f>HYPERLINK("https://www.boe.es/gazeta/dias/1839/12/08/pdfs/GMD-1839-1855.pdf#page=3","Abrir facsímil")</f>
        <v>Abrir facsímil</v>
      </c>
      <c r="K11933" s="12" t="s">
        <v>65</v>
      </c>
    </row>
    <row r="11934" spans="1:11" ht="40.049999999999997" customHeight="1" x14ac:dyDescent="0.25">
      <c r="A11934" s="11" t="s">
        <v>23498</v>
      </c>
      <c r="B11934" s="11" t="s">
        <v>23499</v>
      </c>
      <c r="C11934" s="11" t="s">
        <v>17</v>
      </c>
      <c r="D11934" s="11" t="s">
        <v>18</v>
      </c>
      <c r="E11934" s="12" t="s">
        <v>84</v>
      </c>
      <c r="F11934" s="12" t="s">
        <v>85</v>
      </c>
      <c r="G11934" s="12" t="s">
        <v>29</v>
      </c>
      <c r="H11934" s="11" t="s">
        <v>63</v>
      </c>
      <c r="I11934" s="13" t="s">
        <v>23502</v>
      </c>
      <c r="J11934" s="14" t="str">
        <f>HYPERLINK("https://www.boe.es/gazeta/dias/1839/03/11/pdfs/GMD-1839-1577.pdf#page=1","Abrir facsímil")</f>
        <v>Abrir facsímil</v>
      </c>
      <c r="K11934" s="12" t="s">
        <v>65</v>
      </c>
    </row>
    <row r="11935" spans="1:11" ht="40.049999999999997" customHeight="1" x14ac:dyDescent="0.25">
      <c r="A11935" s="11" t="s">
        <v>23498</v>
      </c>
      <c r="B11935" s="11" t="s">
        <v>23499</v>
      </c>
      <c r="C11935" s="11" t="s">
        <v>17</v>
      </c>
      <c r="D11935" s="11" t="s">
        <v>18</v>
      </c>
      <c r="E11935" s="12" t="s">
        <v>168</v>
      </c>
      <c r="F11935" s="12" t="s">
        <v>169</v>
      </c>
      <c r="G11935" s="12" t="s">
        <v>21</v>
      </c>
      <c r="H11935" s="11" t="s">
        <v>63</v>
      </c>
      <c r="I11935" s="13" t="s">
        <v>23503</v>
      </c>
      <c r="J11935" s="14" t="str">
        <f>HYPERLINK("https://www.boe.es/gazeta/dias/1839/07/12/pdfs/GMD-1839-1700.pdf#page=4","Abrir facsímil")</f>
        <v>Abrir facsímil</v>
      </c>
      <c r="K11935" s="12" t="s">
        <v>65</v>
      </c>
    </row>
    <row r="11936" spans="1:11" ht="40.049999999999997" customHeight="1" x14ac:dyDescent="0.25">
      <c r="A11936" s="11" t="s">
        <v>23504</v>
      </c>
      <c r="B11936" s="11" t="s">
        <v>23505</v>
      </c>
      <c r="C11936" s="11" t="s">
        <v>17</v>
      </c>
      <c r="D11936" s="11" t="s">
        <v>18</v>
      </c>
      <c r="E11936" s="12" t="s">
        <v>1623</v>
      </c>
      <c r="F11936" s="12" t="s">
        <v>1624</v>
      </c>
      <c r="G11936" s="12" t="s">
        <v>21</v>
      </c>
      <c r="H11936" s="11" t="s">
        <v>63</v>
      </c>
      <c r="I11936" s="13" t="s">
        <v>23506</v>
      </c>
      <c r="J11936" s="14" t="str">
        <f>HYPERLINK("https://www.boe.es/gazeta/dias/1839/04/07/pdfs/GMD-1839-1604.pdf#page=4","Abrir facsímil")</f>
        <v>Abrir facsímil</v>
      </c>
      <c r="K11936" s="12" t="s">
        <v>65</v>
      </c>
    </row>
    <row r="11937" spans="1:11" ht="40.049999999999997" customHeight="1" x14ac:dyDescent="0.25">
      <c r="A11937" s="11" t="s">
        <v>23507</v>
      </c>
      <c r="B11937" s="11" t="s">
        <v>23507</v>
      </c>
      <c r="C11937" s="11" t="s">
        <v>101</v>
      </c>
      <c r="D11937" s="11" t="s">
        <v>43</v>
      </c>
      <c r="E11937" s="12" t="s">
        <v>409</v>
      </c>
      <c r="F11937" s="12" t="s">
        <v>410</v>
      </c>
      <c r="G11937" s="12" t="s">
        <v>40</v>
      </c>
      <c r="H11937" s="11" t="s">
        <v>63</v>
      </c>
      <c r="I11937" s="13" t="s">
        <v>23508</v>
      </c>
      <c r="J11937" s="14" t="str">
        <f>HYPERLINK("https://www.boe.es/gazeta/dias/1839/07/05/pdfs/GMD-1839-1693.pdf#page=2","Abrir facsímil")</f>
        <v>Abrir facsímil</v>
      </c>
      <c r="K11937" s="12" t="s">
        <v>65</v>
      </c>
    </row>
    <row r="11938" spans="1:11" ht="40.049999999999997" customHeight="1" x14ac:dyDescent="0.25">
      <c r="A11938" s="11" t="s">
        <v>23509</v>
      </c>
      <c r="B11938" s="11" t="s">
        <v>23510</v>
      </c>
      <c r="C11938" s="11" t="s">
        <v>59</v>
      </c>
      <c r="D11938" s="11" t="s">
        <v>60</v>
      </c>
      <c r="E11938" s="12" t="s">
        <v>438</v>
      </c>
      <c r="F11938" s="12" t="s">
        <v>439</v>
      </c>
      <c r="G11938" s="12" t="s">
        <v>21</v>
      </c>
      <c r="H11938" s="11" t="s">
        <v>63</v>
      </c>
      <c r="I11938" s="13" t="s">
        <v>23511</v>
      </c>
      <c r="J11938" s="14" t="str">
        <f>HYPERLINK("https://www.boe.es/gazeta/dias/1839/07/17/pdfs/GMD-1839-1705.pdf#page=4","Abrir facsímil")</f>
        <v>Abrir facsímil</v>
      </c>
      <c r="K11938" s="12" t="s">
        <v>65</v>
      </c>
    </row>
    <row r="11939" spans="1:11" ht="40.049999999999997" customHeight="1" x14ac:dyDescent="0.25">
      <c r="A11939" s="11" t="s">
        <v>23512</v>
      </c>
      <c r="B11939" s="11" t="s">
        <v>23513</v>
      </c>
      <c r="C11939" s="11" t="s">
        <v>17</v>
      </c>
      <c r="D11939" s="11" t="s">
        <v>18</v>
      </c>
      <c r="E11939" s="12" t="s">
        <v>516</v>
      </c>
      <c r="F11939" s="12" t="s">
        <v>517</v>
      </c>
      <c r="G11939" s="12" t="s">
        <v>21</v>
      </c>
      <c r="H11939" s="11" t="s">
        <v>22</v>
      </c>
      <c r="I11939" s="13" t="s">
        <v>23514</v>
      </c>
      <c r="J11939" s="14" t="str">
        <f>HYPERLINK("https://www.boe.es/gazeta/dias/1839/06/21/pdfs/GMD-1839-1679.pdf#page=4","Abrir facsímil")</f>
        <v>Abrir facsímil</v>
      </c>
      <c r="K11939" s="12" t="s">
        <v>24</v>
      </c>
    </row>
    <row r="11940" spans="1:11" ht="40.049999999999997" customHeight="1" x14ac:dyDescent="0.25">
      <c r="A11940" s="11" t="s">
        <v>23515</v>
      </c>
      <c r="B11940" s="11" t="s">
        <v>23515</v>
      </c>
      <c r="C11940" s="11" t="s">
        <v>17</v>
      </c>
      <c r="D11940" s="11" t="s">
        <v>43</v>
      </c>
      <c r="E11940" s="12" t="s">
        <v>44</v>
      </c>
      <c r="F11940" s="12" t="s">
        <v>45</v>
      </c>
      <c r="G11940" s="12" t="s">
        <v>46</v>
      </c>
      <c r="H11940" s="11" t="s">
        <v>63</v>
      </c>
      <c r="I11940" s="13" t="s">
        <v>23516</v>
      </c>
      <c r="J11940" s="14" t="str">
        <f>HYPERLINK("https://www.boe.es/gazeta/dias/1839/11/15/pdfs/GMD-1839-1832.pdf#page=3","Abrir facsímil")</f>
        <v>Abrir facsímil</v>
      </c>
      <c r="K11940" s="12" t="s">
        <v>65</v>
      </c>
    </row>
    <row r="11941" spans="1:11" ht="40.049999999999997" customHeight="1" x14ac:dyDescent="0.25">
      <c r="A11941" s="11" t="s">
        <v>23515</v>
      </c>
      <c r="B11941" s="11" t="s">
        <v>23515</v>
      </c>
      <c r="C11941" s="11" t="s">
        <v>17</v>
      </c>
      <c r="D11941" s="11" t="s">
        <v>18</v>
      </c>
      <c r="E11941" s="12" t="s">
        <v>1588</v>
      </c>
      <c r="F11941" s="12" t="s">
        <v>1589</v>
      </c>
      <c r="G11941" s="12" t="s">
        <v>21</v>
      </c>
      <c r="H11941" s="11" t="s">
        <v>63</v>
      </c>
      <c r="I11941" s="13" t="s">
        <v>23517</v>
      </c>
      <c r="J11941" s="14" t="str">
        <f>HYPERLINK("https://www.boe.es/gazeta/dias/1839/07/27/pdfs/GMD-1839-1716.pdf#page=4","Abrir facsímil")</f>
        <v>Abrir facsímil</v>
      </c>
      <c r="K11941" s="12" t="s">
        <v>65</v>
      </c>
    </row>
    <row r="11942" spans="1:11" ht="40.049999999999997" customHeight="1" x14ac:dyDescent="0.25">
      <c r="A11942" s="11" t="s">
        <v>23518</v>
      </c>
      <c r="B11942" s="11" t="s">
        <v>23519</v>
      </c>
      <c r="C11942" s="11" t="s">
        <v>137</v>
      </c>
      <c r="D11942" s="11" t="s">
        <v>18</v>
      </c>
      <c r="E11942" s="12" t="s">
        <v>668</v>
      </c>
      <c r="F11942" s="12" t="s">
        <v>669</v>
      </c>
      <c r="G11942" s="12" t="s">
        <v>29</v>
      </c>
      <c r="H11942" s="11" t="s">
        <v>63</v>
      </c>
      <c r="I11942" s="13" t="s">
        <v>23520</v>
      </c>
      <c r="J11942" s="14" t="str">
        <f>HYPERLINK("https://www.boe.es/gazeta/dias/1839/03/28/pdfs/GMD-1839-1594.pdf#page=1","Abrir facsímil")</f>
        <v>Abrir facsímil</v>
      </c>
      <c r="K11942" s="12" t="s">
        <v>65</v>
      </c>
    </row>
    <row r="11943" spans="1:11" ht="40.049999999999997" customHeight="1" x14ac:dyDescent="0.25">
      <c r="A11943" s="11" t="s">
        <v>23521</v>
      </c>
      <c r="B11943" s="11" t="s">
        <v>23521</v>
      </c>
      <c r="C11943" s="11" t="s">
        <v>17</v>
      </c>
      <c r="D11943" s="11" t="s">
        <v>18</v>
      </c>
      <c r="E11943" s="12" t="s">
        <v>330</v>
      </c>
      <c r="F11943" s="12" t="s">
        <v>331</v>
      </c>
      <c r="G11943" s="12" t="s">
        <v>21</v>
      </c>
      <c r="H11943" s="11" t="s">
        <v>63</v>
      </c>
      <c r="I11943" s="13" t="s">
        <v>23522</v>
      </c>
      <c r="J11943" s="14" t="str">
        <f>HYPERLINK("https://www.boe.es/gazeta/dias/1839/04/11/pdfs/GMD-1839-1608.pdf#page=4","Abrir facsímil")</f>
        <v>Abrir facsímil</v>
      </c>
      <c r="K11943" s="12" t="s">
        <v>65</v>
      </c>
    </row>
    <row r="11944" spans="1:11" ht="40.049999999999997" customHeight="1" x14ac:dyDescent="0.25">
      <c r="A11944" s="11" t="s">
        <v>23523</v>
      </c>
      <c r="B11944" s="11" t="s">
        <v>23524</v>
      </c>
      <c r="C11944" s="11" t="s">
        <v>137</v>
      </c>
      <c r="D11944" s="11" t="s">
        <v>18</v>
      </c>
      <c r="E11944" s="12" t="s">
        <v>132</v>
      </c>
      <c r="F11944" s="12" t="s">
        <v>133</v>
      </c>
      <c r="G11944" s="12" t="s">
        <v>21</v>
      </c>
      <c r="H11944" s="11" t="s">
        <v>63</v>
      </c>
      <c r="I11944" s="13" t="s">
        <v>23525</v>
      </c>
      <c r="J11944" s="14" t="str">
        <f>HYPERLINK("https://www.boe.es/gazeta/dias/1839/08/02/pdfs/GMD-1839-1722.pdf#page=4","Abrir facsímil")</f>
        <v>Abrir facsímil</v>
      </c>
      <c r="K11944" s="12" t="s">
        <v>65</v>
      </c>
    </row>
    <row r="11945" spans="1:11" ht="40.049999999999997" customHeight="1" x14ac:dyDescent="0.25">
      <c r="A11945" s="11" t="s">
        <v>23526</v>
      </c>
      <c r="B11945" s="11" t="s">
        <v>23527</v>
      </c>
      <c r="C11945" s="11" t="s">
        <v>17</v>
      </c>
      <c r="D11945" s="11" t="s">
        <v>18</v>
      </c>
      <c r="E11945" s="12" t="s">
        <v>222</v>
      </c>
      <c r="F11945" s="12" t="s">
        <v>223</v>
      </c>
      <c r="G11945" s="12" t="s">
        <v>21</v>
      </c>
      <c r="H11945" s="11" t="s">
        <v>63</v>
      </c>
      <c r="I11945" s="13" t="s">
        <v>23528</v>
      </c>
      <c r="J11945" s="14" t="str">
        <f>HYPERLINK("https://www.boe.es/gazeta/dias/1839/06/22/pdfs/GMD-1839-1680.pdf#page=4","Abrir facsímil")</f>
        <v>Abrir facsímil</v>
      </c>
      <c r="K11945" s="12" t="s">
        <v>65</v>
      </c>
    </row>
    <row r="11946" spans="1:11" ht="40.049999999999997" customHeight="1" x14ac:dyDescent="0.25">
      <c r="A11946" s="11" t="s">
        <v>23529</v>
      </c>
      <c r="B11946" s="11" t="s">
        <v>23529</v>
      </c>
      <c r="C11946" s="11" t="s">
        <v>101</v>
      </c>
      <c r="D11946" s="11" t="s">
        <v>43</v>
      </c>
      <c r="E11946" s="12" t="s">
        <v>1433</v>
      </c>
      <c r="F11946" s="12" t="s">
        <v>1434</v>
      </c>
      <c r="G11946" s="12" t="s">
        <v>46</v>
      </c>
      <c r="H11946" s="11" t="s">
        <v>63</v>
      </c>
      <c r="I11946" s="13" t="s">
        <v>23530</v>
      </c>
      <c r="J11946" s="14" t="str">
        <f>HYPERLINK("https://www.boe.es/gazeta/dias/1839/10/22/pdfs/GMD-1839-1808.pdf#page=3","Abrir facsímil")</f>
        <v>Abrir facsímil</v>
      </c>
      <c r="K11946" s="12" t="s">
        <v>65</v>
      </c>
    </row>
    <row r="11947" spans="1:11" ht="40.049999999999997" customHeight="1" x14ac:dyDescent="0.25">
      <c r="A11947" s="11" t="s">
        <v>23531</v>
      </c>
      <c r="B11947" s="11" t="s">
        <v>23531</v>
      </c>
      <c r="C11947" s="11" t="s">
        <v>101</v>
      </c>
      <c r="D11947" s="11" t="s">
        <v>102</v>
      </c>
      <c r="E11947" s="12" t="s">
        <v>587</v>
      </c>
      <c r="F11947" s="12" t="s">
        <v>588</v>
      </c>
      <c r="G11947" s="12" t="s">
        <v>21</v>
      </c>
      <c r="H11947" s="11" t="s">
        <v>63</v>
      </c>
      <c r="I11947" s="13" t="s">
        <v>23532</v>
      </c>
      <c r="J11947" s="14" t="str">
        <f>HYPERLINK("https://www.boe.es/gazeta/dias/1839/05/02/pdfs/GMD-1839-1629.pdf#page=4","Abrir facsímil")</f>
        <v>Abrir facsímil</v>
      </c>
      <c r="K11947" s="12" t="s">
        <v>65</v>
      </c>
    </row>
    <row r="11948" spans="1:11" ht="40.049999999999997" customHeight="1" x14ac:dyDescent="0.25">
      <c r="A11948" s="11" t="s">
        <v>23531</v>
      </c>
      <c r="B11948" s="11" t="s">
        <v>23531</v>
      </c>
      <c r="C11948" s="11" t="s">
        <v>17</v>
      </c>
      <c r="D11948" s="11" t="s">
        <v>18</v>
      </c>
      <c r="E11948" s="12" t="s">
        <v>1123</v>
      </c>
      <c r="F11948" s="12" t="s">
        <v>1124</v>
      </c>
      <c r="G11948" s="12" t="s">
        <v>21</v>
      </c>
      <c r="H11948" s="11" t="s">
        <v>63</v>
      </c>
      <c r="I11948" s="13" t="s">
        <v>23533</v>
      </c>
      <c r="J11948" s="14" t="str">
        <f>HYPERLINK("https://www.boe.es/gazeta/dias/1839/08/10/pdfs/GMD-1839-1730.pdf#page=4","Abrir facsímil")</f>
        <v>Abrir facsímil</v>
      </c>
      <c r="K11948" s="12" t="s">
        <v>65</v>
      </c>
    </row>
    <row r="11949" spans="1:11" ht="40.049999999999997" customHeight="1" x14ac:dyDescent="0.25">
      <c r="A11949" s="11" t="s">
        <v>23534</v>
      </c>
      <c r="B11949" s="11" t="s">
        <v>23535</v>
      </c>
      <c r="C11949" s="11" t="s">
        <v>80</v>
      </c>
      <c r="D11949" s="11" t="s">
        <v>173</v>
      </c>
      <c r="E11949" s="12" t="s">
        <v>1628</v>
      </c>
      <c r="F11949" s="12" t="s">
        <v>1629</v>
      </c>
      <c r="G11949" s="12" t="s">
        <v>21</v>
      </c>
      <c r="H11949" s="11" t="s">
        <v>63</v>
      </c>
      <c r="I11949" s="13" t="s">
        <v>23536</v>
      </c>
      <c r="J11949" s="14" t="str">
        <f>HYPERLINK("https://www.boe.es/gazeta/dias/1839/03/10/pdfs/GMD-1839-1576.pdf#page=4","Abrir facsímil")</f>
        <v>Abrir facsímil</v>
      </c>
      <c r="K11949" s="12" t="s">
        <v>65</v>
      </c>
    </row>
    <row r="11950" spans="1:11" ht="40.049999999999997" customHeight="1" x14ac:dyDescent="0.25">
      <c r="A11950" s="11" t="s">
        <v>23537</v>
      </c>
      <c r="B11950" s="11" t="s">
        <v>23538</v>
      </c>
      <c r="C11950" s="11" t="s">
        <v>17</v>
      </c>
      <c r="D11950" s="11" t="s">
        <v>18</v>
      </c>
      <c r="E11950" s="12" t="s">
        <v>770</v>
      </c>
      <c r="F11950" s="12" t="s">
        <v>771</v>
      </c>
      <c r="G11950" s="12" t="s">
        <v>46</v>
      </c>
      <c r="H11950" s="11" t="s">
        <v>63</v>
      </c>
      <c r="I11950" s="13" t="s">
        <v>23539</v>
      </c>
      <c r="J11950" s="14" t="str">
        <f>HYPERLINK("https://www.boe.es/gazeta/dias/1839/12/05/pdfs/GMD-1839-1852.pdf#page=3","Abrir facsímil")</f>
        <v>Abrir facsímil</v>
      </c>
      <c r="K11950" s="12" t="s">
        <v>65</v>
      </c>
    </row>
    <row r="11951" spans="1:11" ht="40.049999999999997" customHeight="1" x14ac:dyDescent="0.25">
      <c r="A11951" s="11" t="s">
        <v>23540</v>
      </c>
      <c r="B11951" s="11" t="s">
        <v>23540</v>
      </c>
      <c r="C11951" s="11" t="s">
        <v>17</v>
      </c>
      <c r="D11951" s="11" t="s">
        <v>18</v>
      </c>
      <c r="E11951" s="12" t="s">
        <v>503</v>
      </c>
      <c r="F11951" s="12" t="s">
        <v>504</v>
      </c>
      <c r="G11951" s="12" t="s">
        <v>21</v>
      </c>
      <c r="H11951" s="11" t="s">
        <v>63</v>
      </c>
      <c r="I11951" s="13" t="s">
        <v>23541</v>
      </c>
      <c r="J11951" s="14" t="str">
        <f>HYPERLINK("https://www.boe.es/gazeta/dias/1839/06/07/pdfs/GMD-1839-1665.pdf#page=4","Abrir facsímil")</f>
        <v>Abrir facsímil</v>
      </c>
      <c r="K11951" s="12" t="s">
        <v>65</v>
      </c>
    </row>
    <row r="11952" spans="1:11" ht="40.049999999999997" customHeight="1" x14ac:dyDescent="0.25">
      <c r="A11952" s="11" t="s">
        <v>23542</v>
      </c>
      <c r="B11952" s="11" t="s">
        <v>23543</v>
      </c>
      <c r="C11952" s="11" t="s">
        <v>17</v>
      </c>
      <c r="D11952" s="11" t="s">
        <v>18</v>
      </c>
      <c r="E11952" s="12" t="s">
        <v>1118</v>
      </c>
      <c r="F11952" s="12" t="s">
        <v>1119</v>
      </c>
      <c r="G11952" s="12" t="s">
        <v>21</v>
      </c>
      <c r="H11952" s="11" t="s">
        <v>63</v>
      </c>
      <c r="I11952" s="13" t="s">
        <v>23544</v>
      </c>
      <c r="J11952" s="14" t="str">
        <f>HYPERLINK("https://www.boe.es/gazeta/dias/1839/08/30/pdfs/GMD-1839-1751.pdf#page=4","Abrir facsímil")</f>
        <v>Abrir facsímil</v>
      </c>
      <c r="K11952" s="12" t="s">
        <v>65</v>
      </c>
    </row>
    <row r="11953" spans="1:11" ht="40.049999999999997" customHeight="1" x14ac:dyDescent="0.25">
      <c r="A11953" s="11" t="s">
        <v>23545</v>
      </c>
      <c r="B11953" s="11" t="s">
        <v>23546</v>
      </c>
      <c r="C11953" s="11" t="s">
        <v>17</v>
      </c>
      <c r="D11953" s="11" t="s">
        <v>18</v>
      </c>
      <c r="E11953" s="12" t="s">
        <v>821</v>
      </c>
      <c r="F11953" s="12" t="s">
        <v>822</v>
      </c>
      <c r="G11953" s="12" t="s">
        <v>21</v>
      </c>
      <c r="H11953" s="11" t="s">
        <v>63</v>
      </c>
      <c r="I11953" s="13" t="s">
        <v>23547</v>
      </c>
      <c r="J11953" s="14" t="str">
        <f>HYPERLINK("https://www.boe.es/gazeta/dias/1839/09/20/pdfs/GMD-1839-1775.pdf#page=4","Abrir facsímil")</f>
        <v>Abrir facsímil</v>
      </c>
      <c r="K11953" s="12" t="s">
        <v>65</v>
      </c>
    </row>
    <row r="11954" spans="1:11" ht="40.049999999999997" customHeight="1" x14ac:dyDescent="0.25">
      <c r="A11954" s="11" t="s">
        <v>23548</v>
      </c>
      <c r="B11954" s="11" t="s">
        <v>23548</v>
      </c>
      <c r="C11954" s="11" t="s">
        <v>80</v>
      </c>
      <c r="D11954" s="11" t="s">
        <v>18</v>
      </c>
      <c r="E11954" s="12" t="s">
        <v>1657</v>
      </c>
      <c r="F11954" s="12" t="s">
        <v>1658</v>
      </c>
      <c r="G11954" s="12" t="s">
        <v>40</v>
      </c>
      <c r="H11954" s="11" t="s">
        <v>63</v>
      </c>
      <c r="I11954" s="13" t="s">
        <v>23549</v>
      </c>
      <c r="J11954" s="14" t="str">
        <f>HYPERLINK("https://www.boe.es/gazeta/dias/1839/02/21/pdfs/GMD-1839-1559.pdf#page=2","Abrir facsímil")</f>
        <v>Abrir facsímil</v>
      </c>
      <c r="K11954" s="12" t="s">
        <v>65</v>
      </c>
    </row>
    <row r="11955" spans="1:11" ht="40.049999999999997" customHeight="1" x14ac:dyDescent="0.25">
      <c r="A11955" s="11" t="s">
        <v>23548</v>
      </c>
      <c r="B11955" s="11" t="s">
        <v>23548</v>
      </c>
      <c r="C11955" s="11" t="s">
        <v>80</v>
      </c>
      <c r="D11955" s="11" t="s">
        <v>18</v>
      </c>
      <c r="E11955" s="12" t="s">
        <v>668</v>
      </c>
      <c r="F11955" s="12" t="s">
        <v>669</v>
      </c>
      <c r="G11955" s="12" t="s">
        <v>29</v>
      </c>
      <c r="H11955" s="11" t="s">
        <v>63</v>
      </c>
      <c r="I11955" s="13" t="s">
        <v>23550</v>
      </c>
      <c r="J11955" s="14" t="str">
        <f>HYPERLINK("https://www.boe.es/gazeta/dias/1839/03/28/pdfs/GMD-1839-1594.pdf#page=1","Abrir facsímil")</f>
        <v>Abrir facsímil</v>
      </c>
      <c r="K11955" s="12" t="s">
        <v>65</v>
      </c>
    </row>
    <row r="11956" spans="1:11" ht="40.049999999999997" customHeight="1" x14ac:dyDescent="0.25">
      <c r="A11956" s="11" t="s">
        <v>23551</v>
      </c>
      <c r="B11956" s="11" t="s">
        <v>23551</v>
      </c>
      <c r="C11956" s="11" t="s">
        <v>17</v>
      </c>
      <c r="D11956" s="11" t="s">
        <v>18</v>
      </c>
      <c r="E11956" s="12" t="s">
        <v>744</v>
      </c>
      <c r="F11956" s="12" t="s">
        <v>745</v>
      </c>
      <c r="G11956" s="12" t="s">
        <v>29</v>
      </c>
      <c r="H11956" s="11" t="s">
        <v>63</v>
      </c>
      <c r="I11956" s="13" t="s">
        <v>23552</v>
      </c>
      <c r="J11956" s="14" t="str">
        <f>HYPERLINK("https://www.boe.es/gazeta/dias/1839/12/09/pdfs/GMD-1839-1856.pdf#page=1","Abrir facsímil")</f>
        <v>Abrir facsímil</v>
      </c>
      <c r="K11956" s="12" t="s">
        <v>65</v>
      </c>
    </row>
    <row r="11957" spans="1:11" ht="40.049999999999997" customHeight="1" x14ac:dyDescent="0.25">
      <c r="A11957" s="11" t="s">
        <v>23553</v>
      </c>
      <c r="B11957" s="11" t="s">
        <v>23553</v>
      </c>
      <c r="C11957" s="11" t="s">
        <v>17</v>
      </c>
      <c r="D11957" s="11" t="s">
        <v>18</v>
      </c>
      <c r="E11957" s="12" t="s">
        <v>587</v>
      </c>
      <c r="F11957" s="12" t="s">
        <v>588</v>
      </c>
      <c r="G11957" s="12" t="s">
        <v>21</v>
      </c>
      <c r="H11957" s="11" t="s">
        <v>63</v>
      </c>
      <c r="I11957" s="13" t="s">
        <v>23554</v>
      </c>
      <c r="J11957" s="14" t="str">
        <f>HYPERLINK("https://www.boe.es/gazeta/dias/1839/05/02/pdfs/GMD-1839-1629.pdf#page=4","Abrir facsímil")</f>
        <v>Abrir facsímil</v>
      </c>
      <c r="K11957" s="12" t="s">
        <v>65</v>
      </c>
    </row>
    <row r="11958" spans="1:11" ht="40.049999999999997" customHeight="1" x14ac:dyDescent="0.25">
      <c r="A11958" s="11" t="s">
        <v>23555</v>
      </c>
      <c r="B11958" s="11" t="s">
        <v>23556</v>
      </c>
      <c r="C11958" s="11" t="s">
        <v>17</v>
      </c>
      <c r="D11958" s="11" t="s">
        <v>18</v>
      </c>
      <c r="E11958" s="12" t="s">
        <v>222</v>
      </c>
      <c r="F11958" s="12" t="s">
        <v>223</v>
      </c>
      <c r="G11958" s="12" t="s">
        <v>21</v>
      </c>
      <c r="H11958" s="11" t="s">
        <v>63</v>
      </c>
      <c r="I11958" s="13" t="s">
        <v>23557</v>
      </c>
      <c r="J11958" s="14" t="str">
        <f>HYPERLINK("https://www.boe.es/gazeta/dias/1839/06/22/pdfs/GMD-1839-1680.pdf#page=4","Abrir facsímil")</f>
        <v>Abrir facsímil</v>
      </c>
      <c r="K11958" s="12" t="s">
        <v>65</v>
      </c>
    </row>
    <row r="11959" spans="1:11" ht="40.049999999999997" customHeight="1" x14ac:dyDescent="0.25">
      <c r="A11959" s="11" t="s">
        <v>23558</v>
      </c>
      <c r="B11959" s="11" t="s">
        <v>23558</v>
      </c>
      <c r="C11959" s="11" t="s">
        <v>17</v>
      </c>
      <c r="D11959" s="11" t="s">
        <v>18</v>
      </c>
      <c r="E11959" s="12" t="s">
        <v>2107</v>
      </c>
      <c r="F11959" s="12" t="s">
        <v>2108</v>
      </c>
      <c r="G11959" s="12" t="s">
        <v>46</v>
      </c>
      <c r="H11959" s="11" t="s">
        <v>63</v>
      </c>
      <c r="I11959" s="13" t="s">
        <v>23559</v>
      </c>
      <c r="J11959" s="14" t="str">
        <f>HYPERLINK("https://www.boe.es/gazeta/dias/1839/10/11/pdfs/GMD-1839-1797.pdf#page=3","Abrir facsímil")</f>
        <v>Abrir facsímil</v>
      </c>
      <c r="K11959" s="12" t="s">
        <v>65</v>
      </c>
    </row>
    <row r="11960" spans="1:11" ht="40.049999999999997" customHeight="1" x14ac:dyDescent="0.25">
      <c r="A11960" s="11" t="s">
        <v>23560</v>
      </c>
      <c r="B11960" s="11" t="s">
        <v>23560</v>
      </c>
      <c r="C11960" s="11" t="s">
        <v>17</v>
      </c>
      <c r="D11960" s="11" t="s">
        <v>18</v>
      </c>
      <c r="E11960" s="12" t="s">
        <v>1588</v>
      </c>
      <c r="F11960" s="12" t="s">
        <v>1589</v>
      </c>
      <c r="G11960" s="12" t="s">
        <v>40</v>
      </c>
      <c r="H11960" s="11" t="s">
        <v>22</v>
      </c>
      <c r="I11960" s="13" t="s">
        <v>23561</v>
      </c>
      <c r="J11960" s="14" t="str">
        <f>HYPERLINK("https://www.boe.es/gazeta/dias/1839/07/27/pdfs/GMD-1839-1716.pdf#page=2","Abrir facsímil")</f>
        <v>Abrir facsímil</v>
      </c>
      <c r="K11960" s="12" t="s">
        <v>24</v>
      </c>
    </row>
    <row r="11961" spans="1:11" ht="40.049999999999997" customHeight="1" x14ac:dyDescent="0.25">
      <c r="A11961" s="11" t="s">
        <v>23562</v>
      </c>
      <c r="B11961" s="11" t="s">
        <v>23562</v>
      </c>
      <c r="C11961" s="11" t="s">
        <v>17</v>
      </c>
      <c r="D11961" s="11" t="s">
        <v>43</v>
      </c>
      <c r="E11961" s="12" t="s">
        <v>3134</v>
      </c>
      <c r="F11961" s="12" t="s">
        <v>3135</v>
      </c>
      <c r="G11961" s="12" t="s">
        <v>40</v>
      </c>
      <c r="H11961" s="11" t="s">
        <v>63</v>
      </c>
      <c r="I11961" s="13" t="s">
        <v>23563</v>
      </c>
      <c r="J11961" s="14" t="str">
        <f>HYPERLINK("https://www.boe.es/gazeta/dias/1839/08/09/pdfs/GMD-1839-1729.pdf#page=2","Abrir facsímil")</f>
        <v>Abrir facsímil</v>
      </c>
      <c r="K11961" s="12" t="s">
        <v>65</v>
      </c>
    </row>
    <row r="11962" spans="1:11" ht="40.049999999999997" customHeight="1" x14ac:dyDescent="0.25">
      <c r="A11962" s="11" t="s">
        <v>23564</v>
      </c>
      <c r="B11962" s="11" t="s">
        <v>23564</v>
      </c>
      <c r="C11962" s="11" t="s">
        <v>17</v>
      </c>
      <c r="D11962" s="11" t="s">
        <v>18</v>
      </c>
      <c r="E11962" s="12" t="s">
        <v>5399</v>
      </c>
      <c r="F11962" s="12" t="s">
        <v>5400</v>
      </c>
      <c r="G11962" s="12" t="s">
        <v>40</v>
      </c>
      <c r="H11962" s="11" t="s">
        <v>63</v>
      </c>
      <c r="I11962" s="13" t="s">
        <v>23565</v>
      </c>
      <c r="J11962" s="14" t="str">
        <f>HYPERLINK("https://www.boe.es/gazeta/dias/1839/10/14/pdfs/GMD-1839-1800.pdf#page=2","Abrir facsímil")</f>
        <v>Abrir facsímil</v>
      </c>
      <c r="K11962" s="12" t="s">
        <v>65</v>
      </c>
    </row>
    <row r="11963" spans="1:11" ht="40.049999999999997" customHeight="1" x14ac:dyDescent="0.25">
      <c r="A11963" s="11" t="s">
        <v>23566</v>
      </c>
      <c r="B11963" s="11" t="s">
        <v>23567</v>
      </c>
      <c r="C11963" s="11" t="s">
        <v>17</v>
      </c>
      <c r="D11963" s="11" t="s">
        <v>18</v>
      </c>
      <c r="E11963" s="12" t="s">
        <v>1654</v>
      </c>
      <c r="F11963" s="12" t="s">
        <v>1655</v>
      </c>
      <c r="G11963" s="12" t="s">
        <v>21</v>
      </c>
      <c r="H11963" s="11" t="s">
        <v>63</v>
      </c>
      <c r="I11963" s="13" t="s">
        <v>23568</v>
      </c>
      <c r="J11963" s="14" t="str">
        <f>HYPERLINK("https://www.boe.es/gazeta/dias/1839/11/19/pdfs/GMD-1839-1836.pdf#page=4","Abrir facsímil")</f>
        <v>Abrir facsímil</v>
      </c>
      <c r="K11963" s="12" t="s">
        <v>65</v>
      </c>
    </row>
    <row r="11964" spans="1:11" ht="40.049999999999997" customHeight="1" x14ac:dyDescent="0.25">
      <c r="A11964" s="11" t="s">
        <v>23569</v>
      </c>
      <c r="B11964" s="11" t="s">
        <v>23569</v>
      </c>
      <c r="C11964" s="11" t="s">
        <v>17</v>
      </c>
      <c r="D11964" s="11" t="s">
        <v>18</v>
      </c>
      <c r="E11964" s="12" t="s">
        <v>1366</v>
      </c>
      <c r="F11964" s="12" t="s">
        <v>1367</v>
      </c>
      <c r="G11964" s="12" t="s">
        <v>40</v>
      </c>
      <c r="H11964" s="11" t="s">
        <v>63</v>
      </c>
      <c r="I11964" s="13" t="s">
        <v>23570</v>
      </c>
      <c r="J11964" s="14" t="str">
        <f>HYPERLINK("https://www.boe.es/gazeta/dias/1839/09/09/pdfs/GMD-1839-1762.pdf#page=2","Abrir facsímil")</f>
        <v>Abrir facsímil</v>
      </c>
      <c r="K11964" s="12" t="s">
        <v>65</v>
      </c>
    </row>
    <row r="11965" spans="1:11" ht="40.049999999999997" customHeight="1" x14ac:dyDescent="0.25">
      <c r="A11965" s="11" t="s">
        <v>23571</v>
      </c>
      <c r="B11965" s="11" t="s">
        <v>23572</v>
      </c>
      <c r="C11965" s="11" t="s">
        <v>17</v>
      </c>
      <c r="D11965" s="11" t="s">
        <v>18</v>
      </c>
      <c r="E11965" s="12" t="s">
        <v>2050</v>
      </c>
      <c r="F11965" s="12" t="s">
        <v>2051</v>
      </c>
      <c r="G11965" s="12" t="s">
        <v>29</v>
      </c>
      <c r="H11965" s="11" t="s">
        <v>63</v>
      </c>
      <c r="I11965" s="13" t="s">
        <v>23573</v>
      </c>
      <c r="J11965" s="14" t="str">
        <f>HYPERLINK("https://www.boe.es/gazeta/dias/1839/01/09/pdfs/GMD-1839-1516.pdf#page=1","Abrir facsímil")</f>
        <v>Abrir facsímil</v>
      </c>
      <c r="K11965" s="12" t="s">
        <v>65</v>
      </c>
    </row>
    <row r="11966" spans="1:11" ht="40.049999999999997" customHeight="1" x14ac:dyDescent="0.25">
      <c r="A11966" s="11" t="s">
        <v>23571</v>
      </c>
      <c r="B11966" s="11" t="s">
        <v>23572</v>
      </c>
      <c r="C11966" s="11" t="s">
        <v>137</v>
      </c>
      <c r="D11966" s="11" t="s">
        <v>18</v>
      </c>
      <c r="E11966" s="12" t="s">
        <v>160</v>
      </c>
      <c r="F11966" s="12" t="s">
        <v>161</v>
      </c>
      <c r="G11966" s="12" t="s">
        <v>29</v>
      </c>
      <c r="H11966" s="11" t="s">
        <v>63</v>
      </c>
      <c r="I11966" s="13" t="s">
        <v>23574</v>
      </c>
      <c r="J11966" s="14" t="str">
        <f>HYPERLINK("https://www.boe.es/gazeta/dias/1839/01/10/pdfs/GMD-1839-1517.pdf#page=1","Abrir facsímil")</f>
        <v>Abrir facsímil</v>
      </c>
      <c r="K11966" s="12" t="s">
        <v>65</v>
      </c>
    </row>
    <row r="11967" spans="1:11" ht="40.049999999999997" customHeight="1" x14ac:dyDescent="0.25">
      <c r="A11967" s="11" t="s">
        <v>23571</v>
      </c>
      <c r="B11967" s="11" t="s">
        <v>23572</v>
      </c>
      <c r="C11967" s="11" t="s">
        <v>17</v>
      </c>
      <c r="D11967" s="11" t="s">
        <v>18</v>
      </c>
      <c r="E11967" s="12" t="s">
        <v>2222</v>
      </c>
      <c r="F11967" s="12" t="s">
        <v>2223</v>
      </c>
      <c r="G11967" s="12" t="s">
        <v>40</v>
      </c>
      <c r="H11967" s="11" t="s">
        <v>63</v>
      </c>
      <c r="I11967" s="13" t="s">
        <v>23575</v>
      </c>
      <c r="J11967" s="14" t="str">
        <f>HYPERLINK("https://www.boe.es/gazeta/dias/1839/09/19/pdfs/GMD-1839-1773.pdf#page=2","Abrir facsímil")</f>
        <v>Abrir facsímil</v>
      </c>
      <c r="K11967" s="12" t="s">
        <v>65</v>
      </c>
    </row>
    <row r="11968" spans="1:11" ht="40.049999999999997" customHeight="1" x14ac:dyDescent="0.25">
      <c r="A11968" s="11" t="s">
        <v>23576</v>
      </c>
      <c r="B11968" s="11" t="s">
        <v>23577</v>
      </c>
      <c r="C11968" s="11" t="s">
        <v>17</v>
      </c>
      <c r="D11968" s="11" t="s">
        <v>18</v>
      </c>
      <c r="E11968" s="12" t="s">
        <v>239</v>
      </c>
      <c r="F11968" s="12" t="s">
        <v>240</v>
      </c>
      <c r="G11968" s="12" t="s">
        <v>29</v>
      </c>
      <c r="H11968" s="11" t="s">
        <v>63</v>
      </c>
      <c r="I11968" s="13" t="s">
        <v>23578</v>
      </c>
      <c r="J11968" s="14" t="str">
        <f>HYPERLINK("https://www.boe.es/gazeta/dias/1839/09/22/pdfs/GMD-1839-1777.pdf#page=1","Abrir facsímil")</f>
        <v>Abrir facsímil</v>
      </c>
      <c r="K11968" s="12" t="s">
        <v>65</v>
      </c>
    </row>
    <row r="11969" spans="1:11" ht="40.049999999999997" customHeight="1" x14ac:dyDescent="0.25">
      <c r="A11969" s="11" t="s">
        <v>23579</v>
      </c>
      <c r="B11969" s="11" t="s">
        <v>23580</v>
      </c>
      <c r="C11969" s="11" t="s">
        <v>17</v>
      </c>
      <c r="D11969" s="11" t="s">
        <v>43</v>
      </c>
      <c r="E11969" s="12" t="s">
        <v>1012</v>
      </c>
      <c r="F11969" s="12" t="s">
        <v>1013</v>
      </c>
      <c r="G11969" s="12" t="s">
        <v>29</v>
      </c>
      <c r="H11969" s="11" t="s">
        <v>63</v>
      </c>
      <c r="I11969" s="13" t="s">
        <v>23581</v>
      </c>
      <c r="J11969" s="14" t="str">
        <f>HYPERLINK("https://www.boe.es/gazeta/dias/1839/11/22/pdfs/GMD-1839-1839.pdf#page=1","Abrir facsímil")</f>
        <v>Abrir facsímil</v>
      </c>
      <c r="K11969" s="12" t="s">
        <v>65</v>
      </c>
    </row>
    <row r="11970" spans="1:11" ht="40.049999999999997" customHeight="1" x14ac:dyDescent="0.25">
      <c r="A11970" s="11" t="s">
        <v>23582</v>
      </c>
      <c r="B11970" s="11" t="s">
        <v>23583</v>
      </c>
      <c r="C11970" s="11" t="s">
        <v>17</v>
      </c>
      <c r="D11970" s="11" t="s">
        <v>18</v>
      </c>
      <c r="E11970" s="12" t="s">
        <v>2650</v>
      </c>
      <c r="F11970" s="12" t="s">
        <v>2651</v>
      </c>
      <c r="G11970" s="12" t="s">
        <v>40</v>
      </c>
      <c r="H11970" s="11" t="s">
        <v>63</v>
      </c>
      <c r="I11970" s="13" t="s">
        <v>23584</v>
      </c>
      <c r="J11970" s="14" t="str">
        <f>HYPERLINK("https://www.boe.es/gazeta/dias/1839/09/15/pdfs/GMD-1839-1768.pdf#page=2","Abrir facsímil")</f>
        <v>Abrir facsímil</v>
      </c>
      <c r="K11970" s="12" t="s">
        <v>65</v>
      </c>
    </row>
    <row r="11971" spans="1:11" ht="40.049999999999997" customHeight="1" x14ac:dyDescent="0.25">
      <c r="A11971" s="11" t="s">
        <v>23582</v>
      </c>
      <c r="B11971" s="11" t="s">
        <v>23583</v>
      </c>
      <c r="C11971" s="11" t="s">
        <v>59</v>
      </c>
      <c r="D11971" s="11" t="s">
        <v>60</v>
      </c>
      <c r="E11971" s="12" t="s">
        <v>233</v>
      </c>
      <c r="F11971" s="12" t="s">
        <v>234</v>
      </c>
      <c r="G11971" s="12" t="s">
        <v>21</v>
      </c>
      <c r="H11971" s="11" t="s">
        <v>63</v>
      </c>
      <c r="I11971" s="13" t="s">
        <v>23585</v>
      </c>
      <c r="J11971" s="14" t="str">
        <f>HYPERLINK("https://www.boe.es/gazeta/dias/1839/09/17/pdfs/GMD-1839-1770.pdf#page=4","Abrir facsímil")</f>
        <v>Abrir facsímil</v>
      </c>
      <c r="K11971" s="12" t="s">
        <v>65</v>
      </c>
    </row>
    <row r="11972" spans="1:11" ht="40.049999999999997" customHeight="1" x14ac:dyDescent="0.25">
      <c r="A11972" s="11" t="s">
        <v>23586</v>
      </c>
      <c r="B11972" s="11" t="s">
        <v>23587</v>
      </c>
      <c r="C11972" s="11" t="s">
        <v>59</v>
      </c>
      <c r="D11972" s="11" t="s">
        <v>60</v>
      </c>
      <c r="E11972" s="12" t="s">
        <v>1520</v>
      </c>
      <c r="F11972" s="12" t="s">
        <v>1521</v>
      </c>
      <c r="G11972" s="12" t="s">
        <v>46</v>
      </c>
      <c r="H11972" s="11" t="s">
        <v>22</v>
      </c>
      <c r="I11972" s="13" t="s">
        <v>23588</v>
      </c>
      <c r="J11972" s="14" t="str">
        <f>HYPERLINK("https://www.boe.es/gazeta/dias/1839/12/27/pdfs/GMD-1839-1874.pdf#page=3","Abrir facsímil")</f>
        <v>Abrir facsímil</v>
      </c>
      <c r="K11972" s="12" t="s">
        <v>24</v>
      </c>
    </row>
    <row r="11973" spans="1:11" ht="40.049999999999997" customHeight="1" x14ac:dyDescent="0.25">
      <c r="A11973" s="11" t="s">
        <v>23589</v>
      </c>
      <c r="B11973" s="11" t="s">
        <v>23590</v>
      </c>
      <c r="C11973" s="11" t="s">
        <v>59</v>
      </c>
      <c r="D11973" s="11" t="s">
        <v>60</v>
      </c>
      <c r="E11973" s="12" t="s">
        <v>4186</v>
      </c>
      <c r="F11973" s="12" t="s">
        <v>4187</v>
      </c>
      <c r="G11973" s="12" t="s">
        <v>46</v>
      </c>
      <c r="H11973" s="11" t="s">
        <v>63</v>
      </c>
      <c r="I11973" s="13" t="s">
        <v>23591</v>
      </c>
      <c r="J11973" s="14" t="str">
        <f>HYPERLINK("https://www.boe.es/gazeta/dias/1839/12/12/pdfs/GMD-1839-1859.pdf#page=3","Abrir facsímil")</f>
        <v>Abrir facsímil</v>
      </c>
      <c r="K11973" s="12" t="s">
        <v>65</v>
      </c>
    </row>
    <row r="11974" spans="1:11" ht="40.049999999999997" customHeight="1" x14ac:dyDescent="0.25">
      <c r="A11974" s="11" t="s">
        <v>23592</v>
      </c>
      <c r="B11974" s="11" t="s">
        <v>23593</v>
      </c>
      <c r="C11974" s="11" t="s">
        <v>17</v>
      </c>
      <c r="D11974" s="11" t="s">
        <v>18</v>
      </c>
      <c r="E11974" s="12" t="s">
        <v>519</v>
      </c>
      <c r="F11974" s="12" t="s">
        <v>520</v>
      </c>
      <c r="G11974" s="12" t="s">
        <v>40</v>
      </c>
      <c r="H11974" s="11" t="s">
        <v>63</v>
      </c>
      <c r="I11974" s="13" t="s">
        <v>23594</v>
      </c>
      <c r="J11974" s="14" t="str">
        <f>HYPERLINK("https://www.boe.es/gazeta/dias/1839/02/23/pdfs/GMD-1839-1561.pdf#page=2","Abrir facsímil")</f>
        <v>Abrir facsímil</v>
      </c>
      <c r="K11974" s="12" t="s">
        <v>65</v>
      </c>
    </row>
    <row r="11975" spans="1:11" ht="40.049999999999997" customHeight="1" x14ac:dyDescent="0.25">
      <c r="A11975" s="11" t="s">
        <v>23595</v>
      </c>
      <c r="B11975" s="11" t="s">
        <v>23596</v>
      </c>
      <c r="C11975" s="11" t="s">
        <v>137</v>
      </c>
      <c r="D11975" s="11" t="s">
        <v>18</v>
      </c>
      <c r="E11975" s="12" t="s">
        <v>770</v>
      </c>
      <c r="F11975" s="12" t="s">
        <v>771</v>
      </c>
      <c r="G11975" s="12" t="s">
        <v>40</v>
      </c>
      <c r="H11975" s="11" t="s">
        <v>63</v>
      </c>
      <c r="I11975" s="13" t="s">
        <v>23597</v>
      </c>
      <c r="J11975" s="14" t="str">
        <f>HYPERLINK("https://www.boe.es/gazeta/dias/1839/12/05/pdfs/GMD-1839-1852.pdf#page=2","Abrir facsímil")</f>
        <v>Abrir facsímil</v>
      </c>
      <c r="K11975" s="12" t="s">
        <v>65</v>
      </c>
    </row>
    <row r="11976" spans="1:11" ht="40.049999999999997" customHeight="1" x14ac:dyDescent="0.25">
      <c r="A11976" s="11" t="s">
        <v>23598</v>
      </c>
      <c r="B11976" s="11" t="s">
        <v>23598</v>
      </c>
      <c r="C11976" s="11" t="s">
        <v>17</v>
      </c>
      <c r="D11976" s="11" t="s">
        <v>18</v>
      </c>
      <c r="E11976" s="12" t="s">
        <v>1446</v>
      </c>
      <c r="F11976" s="12" t="s">
        <v>1447</v>
      </c>
      <c r="G11976" s="12" t="s">
        <v>29</v>
      </c>
      <c r="H11976" s="11" t="s">
        <v>63</v>
      </c>
      <c r="I11976" s="13" t="s">
        <v>23599</v>
      </c>
      <c r="J11976" s="14" t="str">
        <f>HYPERLINK("https://www.boe.es/gazeta/dias/1839/08/25/pdfs/GMD-1839-1746.pdf#page=1","Abrir facsímil")</f>
        <v>Abrir facsímil</v>
      </c>
      <c r="K11976" s="12" t="s">
        <v>65</v>
      </c>
    </row>
    <row r="11977" spans="1:11" ht="40.049999999999997" customHeight="1" x14ac:dyDescent="0.25">
      <c r="A11977" s="11" t="s">
        <v>23600</v>
      </c>
      <c r="B11977" s="11" t="s">
        <v>23601</v>
      </c>
      <c r="C11977" s="11" t="s">
        <v>59</v>
      </c>
      <c r="D11977" s="11" t="s">
        <v>60</v>
      </c>
      <c r="E11977" s="12" t="s">
        <v>606</v>
      </c>
      <c r="F11977" s="12" t="s">
        <v>607</v>
      </c>
      <c r="G11977" s="12" t="s">
        <v>29</v>
      </c>
      <c r="H11977" s="11" t="s">
        <v>63</v>
      </c>
      <c r="I11977" s="13" t="s">
        <v>23602</v>
      </c>
      <c r="J11977" s="14" t="str">
        <f>HYPERLINK("https://www.boe.es/gazeta/dias/1839/04/02/pdfs/GMD-1839-1599.pdf#page=1","Abrir facsímil")</f>
        <v>Abrir facsímil</v>
      </c>
      <c r="K11977" s="12" t="s">
        <v>65</v>
      </c>
    </row>
    <row r="11978" spans="1:11" ht="40.049999999999997" customHeight="1" x14ac:dyDescent="0.25">
      <c r="A11978" s="11" t="s">
        <v>23603</v>
      </c>
      <c r="B11978" s="11" t="s">
        <v>23604</v>
      </c>
      <c r="C11978" s="11" t="s">
        <v>137</v>
      </c>
      <c r="D11978" s="11" t="s">
        <v>18</v>
      </c>
      <c r="E11978" s="12" t="s">
        <v>27</v>
      </c>
      <c r="F11978" s="12" t="s">
        <v>28</v>
      </c>
      <c r="G11978" s="12" t="s">
        <v>21</v>
      </c>
      <c r="H11978" s="11" t="s">
        <v>63</v>
      </c>
      <c r="I11978" s="13" t="s">
        <v>23605</v>
      </c>
      <c r="J11978" s="14" t="str">
        <f>HYPERLINK("https://www.boe.es/gazeta/dias/1839/07/28/pdfs/GMD-1839-1717.pdf#page=4","Abrir facsímil")</f>
        <v>Abrir facsímil</v>
      </c>
      <c r="K11978" s="12" t="s">
        <v>65</v>
      </c>
    </row>
    <row r="11979" spans="1:11" ht="40.049999999999997" customHeight="1" x14ac:dyDescent="0.25">
      <c r="A11979" s="11" t="s">
        <v>23606</v>
      </c>
      <c r="B11979" s="11" t="s">
        <v>23606</v>
      </c>
      <c r="C11979" s="11" t="s">
        <v>101</v>
      </c>
      <c r="D11979" s="11" t="s">
        <v>102</v>
      </c>
      <c r="E11979" s="12" t="s">
        <v>1929</v>
      </c>
      <c r="F11979" s="12" t="s">
        <v>1930</v>
      </c>
      <c r="G11979" s="12" t="s">
        <v>40</v>
      </c>
      <c r="H11979" s="11" t="s">
        <v>63</v>
      </c>
      <c r="I11979" s="13" t="s">
        <v>23607</v>
      </c>
      <c r="J11979" s="14" t="str">
        <f>HYPERLINK("https://www.boe.es/gazeta/dias/1839/02/01/pdfs/GMD-1839-1539.pdf#page=2","Abrir facsímil")</f>
        <v>Abrir facsímil</v>
      </c>
      <c r="K11979" s="12" t="s">
        <v>65</v>
      </c>
    </row>
    <row r="11980" spans="1:11" ht="40.049999999999997" customHeight="1" x14ac:dyDescent="0.25">
      <c r="A11980" s="11" t="s">
        <v>23606</v>
      </c>
      <c r="B11980" s="11" t="s">
        <v>23606</v>
      </c>
      <c r="C11980" s="11" t="s">
        <v>17</v>
      </c>
      <c r="D11980" s="11" t="s">
        <v>43</v>
      </c>
      <c r="E11980" s="12" t="s">
        <v>2050</v>
      </c>
      <c r="F11980" s="12" t="s">
        <v>2051</v>
      </c>
      <c r="G11980" s="12" t="s">
        <v>21</v>
      </c>
      <c r="H11980" s="11" t="s">
        <v>63</v>
      </c>
      <c r="I11980" s="13" t="s">
        <v>23608</v>
      </c>
      <c r="J11980" s="14" t="str">
        <f>HYPERLINK("https://www.boe.es/gazeta/dias/1839/01/09/pdfs/GMD-1839-1516.pdf#page=4","Abrir facsímil")</f>
        <v>Abrir facsímil</v>
      </c>
      <c r="K11980" s="12" t="s">
        <v>65</v>
      </c>
    </row>
    <row r="11981" spans="1:11" ht="40.049999999999997" customHeight="1" x14ac:dyDescent="0.25">
      <c r="A11981" s="11" t="s">
        <v>23606</v>
      </c>
      <c r="B11981" s="11" t="s">
        <v>23606</v>
      </c>
      <c r="C11981" s="11" t="s">
        <v>80</v>
      </c>
      <c r="D11981" s="11" t="s">
        <v>18</v>
      </c>
      <c r="E11981" s="12" t="s">
        <v>160</v>
      </c>
      <c r="F11981" s="12" t="s">
        <v>161</v>
      </c>
      <c r="G11981" s="12" t="s">
        <v>21</v>
      </c>
      <c r="H11981" s="11" t="s">
        <v>63</v>
      </c>
      <c r="I11981" s="13" t="s">
        <v>23609</v>
      </c>
      <c r="J11981" s="14" t="str">
        <f>HYPERLINK("https://www.boe.es/gazeta/dias/1839/01/10/pdfs/GMD-1839-1517.pdf#page=4","Abrir facsímil")</f>
        <v>Abrir facsímil</v>
      </c>
      <c r="K11981" s="12" t="s">
        <v>65</v>
      </c>
    </row>
    <row r="11982" spans="1:11" ht="40.049999999999997" customHeight="1" x14ac:dyDescent="0.25">
      <c r="A11982" s="11" t="s">
        <v>23606</v>
      </c>
      <c r="B11982" s="11" t="s">
        <v>23606</v>
      </c>
      <c r="C11982" s="11" t="s">
        <v>17</v>
      </c>
      <c r="D11982" s="11" t="s">
        <v>18</v>
      </c>
      <c r="E11982" s="12" t="s">
        <v>1100</v>
      </c>
      <c r="F11982" s="12" t="s">
        <v>1101</v>
      </c>
      <c r="G11982" s="12" t="s">
        <v>29</v>
      </c>
      <c r="H11982" s="11" t="s">
        <v>63</v>
      </c>
      <c r="I11982" s="13" t="s">
        <v>23610</v>
      </c>
      <c r="J11982" s="14" t="str">
        <f>HYPERLINK("https://www.boe.es/gazeta/dias/1839/09/13/pdfs/GMD-1839-1766.pdf#page=1","Abrir facsímil")</f>
        <v>Abrir facsímil</v>
      </c>
      <c r="K11982" s="12" t="s">
        <v>65</v>
      </c>
    </row>
    <row r="11983" spans="1:11" ht="40.049999999999997" customHeight="1" x14ac:dyDescent="0.25">
      <c r="A11983" s="11" t="s">
        <v>23606</v>
      </c>
      <c r="B11983" s="11" t="s">
        <v>23606</v>
      </c>
      <c r="C11983" s="11" t="s">
        <v>17</v>
      </c>
      <c r="D11983" s="11" t="s">
        <v>18</v>
      </c>
      <c r="E11983" s="12" t="s">
        <v>1100</v>
      </c>
      <c r="F11983" s="12" t="s">
        <v>1101</v>
      </c>
      <c r="G11983" s="12" t="s">
        <v>21</v>
      </c>
      <c r="H11983" s="11" t="s">
        <v>63</v>
      </c>
      <c r="I11983" s="13" t="s">
        <v>23611</v>
      </c>
      <c r="J11983" s="14" t="str">
        <f>HYPERLINK("https://www.boe.es/gazeta/dias/1839/09/13/pdfs/GMD-1839-1766.pdf#page=4","Abrir facsímil")</f>
        <v>Abrir facsímil</v>
      </c>
      <c r="K11983" s="12" t="s">
        <v>65</v>
      </c>
    </row>
    <row r="11984" spans="1:11" ht="40.049999999999997" customHeight="1" x14ac:dyDescent="0.25">
      <c r="A11984" s="11" t="s">
        <v>23606</v>
      </c>
      <c r="B11984" s="11" t="s">
        <v>23606</v>
      </c>
      <c r="C11984" s="11" t="s">
        <v>17</v>
      </c>
      <c r="D11984" s="11" t="s">
        <v>18</v>
      </c>
      <c r="E11984" s="12" t="s">
        <v>2320</v>
      </c>
      <c r="F11984" s="12" t="s">
        <v>2321</v>
      </c>
      <c r="G11984" s="12" t="s">
        <v>46</v>
      </c>
      <c r="H11984" s="11" t="s">
        <v>63</v>
      </c>
      <c r="I11984" s="13" t="s">
        <v>23612</v>
      </c>
      <c r="J11984" s="14" t="str">
        <f>HYPERLINK("https://www.boe.es/gazeta/dias/1839/11/13/pdfs/GMD-1839-1830.pdf#page=3","Abrir facsímil")</f>
        <v>Abrir facsímil</v>
      </c>
      <c r="K11984" s="12" t="s">
        <v>65</v>
      </c>
    </row>
    <row r="11985" spans="1:11" ht="40.049999999999997" customHeight="1" x14ac:dyDescent="0.25">
      <c r="A11985" s="11" t="s">
        <v>23606</v>
      </c>
      <c r="B11985" s="11" t="s">
        <v>23606</v>
      </c>
      <c r="C11985" s="11" t="s">
        <v>80</v>
      </c>
      <c r="D11985" s="11" t="s">
        <v>18</v>
      </c>
      <c r="E11985" s="12" t="s">
        <v>513</v>
      </c>
      <c r="F11985" s="12" t="s">
        <v>514</v>
      </c>
      <c r="G11985" s="12" t="s">
        <v>21</v>
      </c>
      <c r="H11985" s="11" t="s">
        <v>63</v>
      </c>
      <c r="I11985" s="13" t="s">
        <v>23613</v>
      </c>
      <c r="J11985" s="14" t="str">
        <f>HYPERLINK("https://www.boe.es/gazeta/dias/1839/03/17/pdfs/GMD-1839-1583.pdf#page=4","Abrir facsímil")</f>
        <v>Abrir facsímil</v>
      </c>
      <c r="K11985" s="12" t="s">
        <v>65</v>
      </c>
    </row>
    <row r="11986" spans="1:11" ht="40.049999999999997" customHeight="1" x14ac:dyDescent="0.25">
      <c r="A11986" s="11" t="s">
        <v>23606</v>
      </c>
      <c r="B11986" s="11" t="s">
        <v>23606</v>
      </c>
      <c r="C11986" s="11" t="s">
        <v>17</v>
      </c>
      <c r="D11986" s="11" t="s">
        <v>18</v>
      </c>
      <c r="E11986" s="12" t="s">
        <v>355</v>
      </c>
      <c r="F11986" s="12" t="s">
        <v>356</v>
      </c>
      <c r="G11986" s="12" t="s">
        <v>46</v>
      </c>
      <c r="H11986" s="11" t="s">
        <v>63</v>
      </c>
      <c r="I11986" s="13" t="s">
        <v>23614</v>
      </c>
      <c r="J11986" s="14" t="str">
        <f>HYPERLINK("https://www.boe.es/gazeta/dias/1839/05/31/pdfs/GMD-1839-1658.pdf#page=3","Abrir facsímil")</f>
        <v>Abrir facsímil</v>
      </c>
      <c r="K11986" s="12" t="s">
        <v>65</v>
      </c>
    </row>
    <row r="11987" spans="1:11" ht="40.049999999999997" customHeight="1" x14ac:dyDescent="0.25">
      <c r="A11987" s="11" t="s">
        <v>23615</v>
      </c>
      <c r="B11987" s="11" t="s">
        <v>23616</v>
      </c>
      <c r="C11987" s="11" t="s">
        <v>17</v>
      </c>
      <c r="D11987" s="11" t="s">
        <v>18</v>
      </c>
      <c r="E11987" s="12" t="s">
        <v>883</v>
      </c>
      <c r="F11987" s="12" t="s">
        <v>884</v>
      </c>
      <c r="G11987" s="12" t="s">
        <v>40</v>
      </c>
      <c r="H11987" s="11" t="s">
        <v>63</v>
      </c>
      <c r="I11987" s="13" t="s">
        <v>23617</v>
      </c>
      <c r="J11987" s="14" t="str">
        <f>HYPERLINK("https://www.boe.es/gazeta/dias/1839/11/03/pdfs/GMD-1839-1820.pdf#page=2","Abrir facsímil")</f>
        <v>Abrir facsímil</v>
      </c>
      <c r="K11987" s="12" t="s">
        <v>65</v>
      </c>
    </row>
    <row r="11988" spans="1:11" ht="40.049999999999997" customHeight="1" x14ac:dyDescent="0.25">
      <c r="A11988" s="11" t="s">
        <v>23618</v>
      </c>
      <c r="B11988" s="11" t="s">
        <v>23619</v>
      </c>
      <c r="C11988" s="11" t="s">
        <v>80</v>
      </c>
      <c r="D11988" s="11" t="s">
        <v>18</v>
      </c>
      <c r="E11988" s="12" t="s">
        <v>372</v>
      </c>
      <c r="F11988" s="12" t="s">
        <v>373</v>
      </c>
      <c r="G11988" s="12" t="s">
        <v>21</v>
      </c>
      <c r="H11988" s="11" t="s">
        <v>63</v>
      </c>
      <c r="I11988" s="13" t="s">
        <v>23620</v>
      </c>
      <c r="J11988" s="14" t="str">
        <f>HYPERLINK("https://www.boe.es/gazeta/dias/1839/11/08/pdfs/GMD-1839-1825.pdf#page=4","Abrir facsímil")</f>
        <v>Abrir facsímil</v>
      </c>
      <c r="K11988" s="12" t="s">
        <v>65</v>
      </c>
    </row>
    <row r="11989" spans="1:11" ht="40.049999999999997" customHeight="1" x14ac:dyDescent="0.25">
      <c r="A11989" s="11" t="s">
        <v>23621</v>
      </c>
      <c r="B11989" s="11" t="s">
        <v>23622</v>
      </c>
      <c r="C11989" s="11" t="s">
        <v>17</v>
      </c>
      <c r="D11989" s="11" t="s">
        <v>18</v>
      </c>
      <c r="E11989" s="12" t="s">
        <v>756</v>
      </c>
      <c r="F11989" s="12" t="s">
        <v>757</v>
      </c>
      <c r="G11989" s="12" t="s">
        <v>21</v>
      </c>
      <c r="H11989" s="11" t="s">
        <v>63</v>
      </c>
      <c r="I11989" s="13" t="s">
        <v>23623</v>
      </c>
      <c r="J11989" s="14" t="str">
        <f>HYPERLINK("https://www.boe.es/gazeta/dias/1839/12/17/pdfs/GMD-1839-1864.pdf#page=4","Abrir facsímil")</f>
        <v>Abrir facsímil</v>
      </c>
      <c r="K11989" s="12" t="s">
        <v>65</v>
      </c>
    </row>
    <row r="11990" spans="1:11" ht="40.049999999999997" customHeight="1" x14ac:dyDescent="0.25">
      <c r="A11990" s="11" t="s">
        <v>23624</v>
      </c>
      <c r="B11990" s="11" t="s">
        <v>23625</v>
      </c>
      <c r="C11990" s="11" t="s">
        <v>17</v>
      </c>
      <c r="D11990" s="11" t="s">
        <v>18</v>
      </c>
      <c r="E11990" s="12" t="s">
        <v>1123</v>
      </c>
      <c r="F11990" s="12" t="s">
        <v>1124</v>
      </c>
      <c r="G11990" s="12" t="s">
        <v>46</v>
      </c>
      <c r="H11990" s="11" t="s">
        <v>63</v>
      </c>
      <c r="I11990" s="13" t="s">
        <v>23626</v>
      </c>
      <c r="J11990" s="14" t="str">
        <f>HYPERLINK("https://www.boe.es/gazeta/dias/1839/08/10/pdfs/GMD-1839-1730.pdf#page=3","Abrir facsímil")</f>
        <v>Abrir facsímil</v>
      </c>
      <c r="K11990" s="12" t="s">
        <v>65</v>
      </c>
    </row>
    <row r="11991" spans="1:11" ht="40.049999999999997" customHeight="1" x14ac:dyDescent="0.25">
      <c r="A11991" s="11" t="s">
        <v>23627</v>
      </c>
      <c r="B11991" s="11" t="s">
        <v>23627</v>
      </c>
      <c r="C11991" s="11" t="s">
        <v>17</v>
      </c>
      <c r="D11991" s="11" t="s">
        <v>18</v>
      </c>
      <c r="E11991" s="12" t="s">
        <v>330</v>
      </c>
      <c r="F11991" s="12" t="s">
        <v>331</v>
      </c>
      <c r="G11991" s="12" t="s">
        <v>21</v>
      </c>
      <c r="H11991" s="11" t="s">
        <v>63</v>
      </c>
      <c r="I11991" s="13" t="s">
        <v>23628</v>
      </c>
      <c r="J11991" s="14" t="str">
        <f>HYPERLINK("https://www.boe.es/gazeta/dias/1839/04/11/pdfs/GMD-1839-1608.pdf#page=4","Abrir facsímil")</f>
        <v>Abrir facsímil</v>
      </c>
      <c r="K11991" s="12" t="s">
        <v>65</v>
      </c>
    </row>
    <row r="11992" spans="1:11" ht="40.049999999999997" customHeight="1" x14ac:dyDescent="0.25">
      <c r="A11992" s="11" t="s">
        <v>23629</v>
      </c>
      <c r="B11992" s="11" t="s">
        <v>23629</v>
      </c>
      <c r="C11992" s="11" t="s">
        <v>80</v>
      </c>
      <c r="D11992" s="11" t="s">
        <v>18</v>
      </c>
      <c r="E11992" s="12" t="s">
        <v>1136</v>
      </c>
      <c r="F11992" s="12" t="s">
        <v>1137</v>
      </c>
      <c r="G11992" s="12" t="s">
        <v>21</v>
      </c>
      <c r="H11992" s="11" t="s">
        <v>63</v>
      </c>
      <c r="I11992" s="13" t="s">
        <v>23630</v>
      </c>
      <c r="J11992" s="14" t="str">
        <f>HYPERLINK("https://www.boe.es/gazeta/dias/1839/04/03/pdfs/GMD-1839-1600.pdf#page=4","Abrir facsímil")</f>
        <v>Abrir facsímil</v>
      </c>
      <c r="K11992" s="12" t="s">
        <v>65</v>
      </c>
    </row>
    <row r="11993" spans="1:11" ht="40.049999999999997" customHeight="1" x14ac:dyDescent="0.25">
      <c r="A11993" s="11" t="s">
        <v>23629</v>
      </c>
      <c r="B11993" s="11" t="s">
        <v>23629</v>
      </c>
      <c r="C11993" s="11" t="s">
        <v>59</v>
      </c>
      <c r="D11993" s="11" t="s">
        <v>60</v>
      </c>
      <c r="E11993" s="12" t="s">
        <v>474</v>
      </c>
      <c r="F11993" s="12" t="s">
        <v>475</v>
      </c>
      <c r="G11993" s="12" t="s">
        <v>46</v>
      </c>
      <c r="H11993" s="11" t="s">
        <v>63</v>
      </c>
      <c r="I11993" s="13" t="s">
        <v>23631</v>
      </c>
      <c r="J11993" s="14" t="str">
        <f>HYPERLINK("https://www.boe.es/gazeta/dias/1839/03/31/pdfs/GMD-1839-1597.pdf#page=3","Abrir facsímil")</f>
        <v>Abrir facsímil</v>
      </c>
      <c r="K11993" s="12" t="s">
        <v>65</v>
      </c>
    </row>
    <row r="11994" spans="1:11" ht="40.049999999999997" customHeight="1" x14ac:dyDescent="0.25">
      <c r="A11994" s="11" t="s">
        <v>23632</v>
      </c>
      <c r="B11994" s="11" t="s">
        <v>23632</v>
      </c>
      <c r="C11994" s="11" t="s">
        <v>17</v>
      </c>
      <c r="D11994" s="11" t="s">
        <v>18</v>
      </c>
      <c r="E11994" s="12" t="s">
        <v>713</v>
      </c>
      <c r="F11994" s="12" t="s">
        <v>714</v>
      </c>
      <c r="G11994" s="12" t="s">
        <v>40</v>
      </c>
      <c r="H11994" s="11" t="s">
        <v>63</v>
      </c>
      <c r="I11994" s="13" t="s">
        <v>23633</v>
      </c>
      <c r="J11994" s="14" t="str">
        <f>HYPERLINK("https://www.boe.es/gazeta/dias/1839/12/18/pdfs/GMD-1839-1865.pdf#page=2","Abrir facsímil")</f>
        <v>Abrir facsímil</v>
      </c>
      <c r="K11994" s="12" t="s">
        <v>65</v>
      </c>
    </row>
    <row r="11995" spans="1:11" ht="40.049999999999997" customHeight="1" x14ac:dyDescent="0.25">
      <c r="A11995" s="11" t="s">
        <v>23634</v>
      </c>
      <c r="B11995" s="11" t="s">
        <v>23634</v>
      </c>
      <c r="C11995" s="11" t="s">
        <v>17</v>
      </c>
      <c r="D11995" s="11" t="s">
        <v>18</v>
      </c>
      <c r="E11995" s="12" t="s">
        <v>258</v>
      </c>
      <c r="F11995" s="12" t="s">
        <v>259</v>
      </c>
      <c r="G11995" s="12" t="s">
        <v>40</v>
      </c>
      <c r="H11995" s="11" t="s">
        <v>63</v>
      </c>
      <c r="I11995" s="13" t="s">
        <v>23635</v>
      </c>
      <c r="J11995" s="14" t="str">
        <f>HYPERLINK("https://www.boe.es/gazeta/dias/1839/01/02/pdfs/GMD-1839-1509.pdf#page=2","Abrir facsímil")</f>
        <v>Abrir facsímil</v>
      </c>
      <c r="K11995" s="12" t="s">
        <v>65</v>
      </c>
    </row>
    <row r="11996" spans="1:11" ht="40.049999999999997" customHeight="1" x14ac:dyDescent="0.25">
      <c r="A11996" s="11" t="s">
        <v>23634</v>
      </c>
      <c r="B11996" s="11" t="s">
        <v>23634</v>
      </c>
      <c r="C11996" s="11" t="s">
        <v>17</v>
      </c>
      <c r="D11996" s="11" t="s">
        <v>18</v>
      </c>
      <c r="E11996" s="12" t="s">
        <v>1012</v>
      </c>
      <c r="F11996" s="12" t="s">
        <v>1013</v>
      </c>
      <c r="G11996" s="12" t="s">
        <v>46</v>
      </c>
      <c r="H11996" s="11" t="s">
        <v>63</v>
      </c>
      <c r="I11996" s="13" t="s">
        <v>23636</v>
      </c>
      <c r="J11996" s="14" t="str">
        <f>HYPERLINK("https://www.boe.es/gazeta/dias/1839/11/22/pdfs/GMD-1839-1839.pdf#page=3","Abrir facsímil")</f>
        <v>Abrir facsímil</v>
      </c>
      <c r="K11996" s="12" t="s">
        <v>65</v>
      </c>
    </row>
    <row r="11997" spans="1:11" ht="40.049999999999997" customHeight="1" x14ac:dyDescent="0.25">
      <c r="A11997" s="11" t="s">
        <v>23637</v>
      </c>
      <c r="B11997" s="11" t="s">
        <v>23637</v>
      </c>
      <c r="C11997" s="11" t="s">
        <v>17</v>
      </c>
      <c r="D11997" s="11" t="s">
        <v>18</v>
      </c>
      <c r="E11997" s="12" t="s">
        <v>76</v>
      </c>
      <c r="F11997" s="12" t="s">
        <v>77</v>
      </c>
      <c r="G11997" s="12" t="s">
        <v>40</v>
      </c>
      <c r="H11997" s="11" t="s">
        <v>63</v>
      </c>
      <c r="I11997" s="13" t="s">
        <v>23638</v>
      </c>
      <c r="J11997" s="14" t="str">
        <f>HYPERLINK("https://www.boe.es/gazeta/dias/1839/03/13/pdfs/GMD-1839-1579.pdf#page=2","Abrir facsímil")</f>
        <v>Abrir facsímil</v>
      </c>
      <c r="K11997" s="12" t="s">
        <v>65</v>
      </c>
    </row>
    <row r="11998" spans="1:11" ht="40.049999999999997" customHeight="1" x14ac:dyDescent="0.25">
      <c r="A11998" s="11" t="s">
        <v>23639</v>
      </c>
      <c r="B11998" s="11" t="s">
        <v>23639</v>
      </c>
      <c r="C11998" s="11" t="s">
        <v>101</v>
      </c>
      <c r="D11998" s="11" t="s">
        <v>43</v>
      </c>
      <c r="E11998" s="12" t="s">
        <v>2738</v>
      </c>
      <c r="F11998" s="12" t="s">
        <v>2739</v>
      </c>
      <c r="G11998" s="12" t="s">
        <v>40</v>
      </c>
      <c r="H11998" s="11" t="s">
        <v>63</v>
      </c>
      <c r="I11998" s="13" t="s">
        <v>23640</v>
      </c>
      <c r="J11998" s="14" t="str">
        <f>HYPERLINK("https://www.boe.es/gazeta/dias/1839/09/06/pdfs/GMD-1839-1759.pdf#page=2","Abrir facsímil")</f>
        <v>Abrir facsímil</v>
      </c>
      <c r="K11998" s="12" t="s">
        <v>65</v>
      </c>
    </row>
    <row r="11999" spans="1:11" ht="40.049999999999997" customHeight="1" x14ac:dyDescent="0.25">
      <c r="A11999" s="11" t="s">
        <v>23639</v>
      </c>
      <c r="B11999" s="11" t="s">
        <v>23639</v>
      </c>
      <c r="C11999" s="11" t="s">
        <v>59</v>
      </c>
      <c r="D11999" s="11" t="s">
        <v>60</v>
      </c>
      <c r="E11999" s="12" t="s">
        <v>522</v>
      </c>
      <c r="F11999" s="12" t="s">
        <v>523</v>
      </c>
      <c r="G11999" s="12" t="s">
        <v>40</v>
      </c>
      <c r="H11999" s="11" t="s">
        <v>63</v>
      </c>
      <c r="I11999" s="13" t="s">
        <v>23641</v>
      </c>
      <c r="J11999" s="14" t="str">
        <f>HYPERLINK("https://www.boe.es/gazeta/dias/1839/08/27/pdfs/GMD-1839-1748.pdf#page=2","Abrir facsímil")</f>
        <v>Abrir facsímil</v>
      </c>
      <c r="K11999" s="12" t="s">
        <v>65</v>
      </c>
    </row>
    <row r="12000" spans="1:11" ht="40.049999999999997" customHeight="1" x14ac:dyDescent="0.25">
      <c r="A12000" s="11" t="s">
        <v>23639</v>
      </c>
      <c r="B12000" s="11" t="s">
        <v>23639</v>
      </c>
      <c r="C12000" s="11" t="s">
        <v>17</v>
      </c>
      <c r="D12000" s="11" t="s">
        <v>18</v>
      </c>
      <c r="E12000" s="12" t="s">
        <v>1269</v>
      </c>
      <c r="F12000" s="12" t="s">
        <v>1270</v>
      </c>
      <c r="G12000" s="12" t="s">
        <v>21</v>
      </c>
      <c r="H12000" s="11" t="s">
        <v>63</v>
      </c>
      <c r="I12000" s="13" t="s">
        <v>23642</v>
      </c>
      <c r="J12000" s="14" t="str">
        <f>HYPERLINK("https://www.boe.es/gazeta/dias/1839/04/29/pdfs/GMD-1839-1626.pdf#page=4","Abrir facsímil")</f>
        <v>Abrir facsímil</v>
      </c>
      <c r="K12000" s="12" t="s">
        <v>65</v>
      </c>
    </row>
    <row r="12001" spans="1:11" ht="40.049999999999997" customHeight="1" x14ac:dyDescent="0.25">
      <c r="A12001" s="11" t="s">
        <v>23643</v>
      </c>
      <c r="B12001" s="11" t="s">
        <v>23644</v>
      </c>
      <c r="C12001" s="11" t="s">
        <v>137</v>
      </c>
      <c r="D12001" s="11" t="s">
        <v>18</v>
      </c>
      <c r="E12001" s="12" t="s">
        <v>951</v>
      </c>
      <c r="F12001" s="12" t="s">
        <v>952</v>
      </c>
      <c r="G12001" s="12" t="s">
        <v>21</v>
      </c>
      <c r="H12001" s="11" t="s">
        <v>63</v>
      </c>
      <c r="I12001" s="13" t="s">
        <v>23645</v>
      </c>
      <c r="J12001" s="14" t="str">
        <f>HYPERLINK("https://www.boe.es/gazeta/dias/1839/12/30/pdfs/GMD-1839-1877.pdf#page=4","Abrir facsímil")</f>
        <v>Abrir facsímil</v>
      </c>
      <c r="K12001" s="12" t="s">
        <v>65</v>
      </c>
    </row>
    <row r="12002" spans="1:11" ht="40.049999999999997" customHeight="1" x14ac:dyDescent="0.25">
      <c r="A12002" s="11" t="s">
        <v>23646</v>
      </c>
      <c r="B12002" s="11" t="s">
        <v>23646</v>
      </c>
      <c r="C12002" s="11" t="s">
        <v>137</v>
      </c>
      <c r="D12002" s="11" t="s">
        <v>18</v>
      </c>
      <c r="E12002" s="12" t="s">
        <v>1057</v>
      </c>
      <c r="F12002" s="12" t="s">
        <v>1058</v>
      </c>
      <c r="G12002" s="12" t="s">
        <v>46</v>
      </c>
      <c r="H12002" s="11" t="s">
        <v>63</v>
      </c>
      <c r="I12002" s="13" t="s">
        <v>23647</v>
      </c>
      <c r="J12002" s="14" t="str">
        <f>HYPERLINK("https://www.boe.es/gazeta/dias/1839/10/01/pdfs/GMD-1839-1787.pdf#page=3","Abrir facsímil")</f>
        <v>Abrir facsímil</v>
      </c>
      <c r="K12002" s="12" t="s">
        <v>65</v>
      </c>
    </row>
    <row r="12003" spans="1:11" ht="40.049999999999997" customHeight="1" x14ac:dyDescent="0.25">
      <c r="A12003" s="11" t="s">
        <v>23648</v>
      </c>
      <c r="B12003" s="11" t="s">
        <v>23648</v>
      </c>
      <c r="C12003" s="11" t="s">
        <v>101</v>
      </c>
      <c r="D12003" s="11" t="s">
        <v>43</v>
      </c>
      <c r="E12003" s="12" t="s">
        <v>303</v>
      </c>
      <c r="F12003" s="12" t="s">
        <v>304</v>
      </c>
      <c r="G12003" s="12" t="s">
        <v>40</v>
      </c>
      <c r="H12003" s="11" t="s">
        <v>22</v>
      </c>
      <c r="I12003" s="13" t="s">
        <v>23649</v>
      </c>
      <c r="J12003" s="14" t="str">
        <f>HYPERLINK("https://www.boe.es/gazeta/dias/1839/10/06/pdfs/GMD-1839-1792.pdf#page=2","Abrir facsímil")</f>
        <v>Abrir facsímil</v>
      </c>
      <c r="K12003" s="12" t="s">
        <v>24</v>
      </c>
    </row>
    <row r="12004" spans="1:11" ht="40.049999999999997" customHeight="1" x14ac:dyDescent="0.25">
      <c r="A12004" s="11" t="s">
        <v>23648</v>
      </c>
      <c r="B12004" s="11" t="s">
        <v>23648</v>
      </c>
      <c r="C12004" s="11" t="s">
        <v>101</v>
      </c>
      <c r="D12004" s="11" t="s">
        <v>43</v>
      </c>
      <c r="E12004" s="12" t="s">
        <v>1008</v>
      </c>
      <c r="F12004" s="12" t="s">
        <v>1009</v>
      </c>
      <c r="G12004" s="12" t="s">
        <v>46</v>
      </c>
      <c r="H12004" s="11" t="s">
        <v>22</v>
      </c>
      <c r="I12004" s="13" t="s">
        <v>23650</v>
      </c>
      <c r="J12004" s="14" t="str">
        <f>HYPERLINK("https://www.boe.es/gazeta/dias/1839/09/07/pdfs/GMD-1839-1760.pdf#page=3","Abrir facsímil")</f>
        <v>Abrir facsímil</v>
      </c>
      <c r="K12004" s="12" t="s">
        <v>24</v>
      </c>
    </row>
    <row r="12005" spans="1:11" ht="40.049999999999997" customHeight="1" x14ac:dyDescent="0.25">
      <c r="A12005" s="11" t="s">
        <v>23646</v>
      </c>
      <c r="B12005" s="11" t="s">
        <v>23646</v>
      </c>
      <c r="C12005" s="11" t="s">
        <v>59</v>
      </c>
      <c r="D12005" s="11" t="s">
        <v>60</v>
      </c>
      <c r="E12005" s="12" t="s">
        <v>1374</v>
      </c>
      <c r="F12005" s="12" t="s">
        <v>1375</v>
      </c>
      <c r="G12005" s="12" t="s">
        <v>40</v>
      </c>
      <c r="H12005" s="11" t="s">
        <v>63</v>
      </c>
      <c r="I12005" s="13" t="s">
        <v>23651</v>
      </c>
      <c r="J12005" s="14" t="str">
        <f>HYPERLINK("https://www.boe.es/gazeta/dias/1839/07/20/pdfs/GMD-1839-1708.pdf#page=2","Abrir facsímil")</f>
        <v>Abrir facsímil</v>
      </c>
      <c r="K12005" s="12" t="s">
        <v>65</v>
      </c>
    </row>
    <row r="12006" spans="1:11" ht="40.049999999999997" customHeight="1" x14ac:dyDescent="0.25">
      <c r="A12006" s="11" t="s">
        <v>23646</v>
      </c>
      <c r="B12006" s="11" t="s">
        <v>23646</v>
      </c>
      <c r="C12006" s="11" t="s">
        <v>17</v>
      </c>
      <c r="D12006" s="11" t="s">
        <v>18</v>
      </c>
      <c r="E12006" s="12" t="s">
        <v>1696</v>
      </c>
      <c r="F12006" s="12" t="s">
        <v>1697</v>
      </c>
      <c r="G12006" s="12" t="s">
        <v>40</v>
      </c>
      <c r="H12006" s="11" t="s">
        <v>63</v>
      </c>
      <c r="I12006" s="13" t="s">
        <v>23652</v>
      </c>
      <c r="J12006" s="14" t="str">
        <f>HYPERLINK("https://www.boe.es/gazeta/dias/1839/08/31/pdfs/GMD-1839-1752.pdf#page=2","Abrir facsímil")</f>
        <v>Abrir facsímil</v>
      </c>
      <c r="K12006" s="12" t="s">
        <v>65</v>
      </c>
    </row>
    <row r="12007" spans="1:11" ht="40.049999999999997" customHeight="1" x14ac:dyDescent="0.25">
      <c r="A12007" s="11" t="s">
        <v>23653</v>
      </c>
      <c r="B12007" s="11" t="s">
        <v>23654</v>
      </c>
      <c r="C12007" s="11" t="s">
        <v>17</v>
      </c>
      <c r="D12007" s="11" t="s">
        <v>18</v>
      </c>
      <c r="E12007" s="12" t="s">
        <v>601</v>
      </c>
      <c r="F12007" s="12" t="s">
        <v>602</v>
      </c>
      <c r="G12007" s="12" t="s">
        <v>21</v>
      </c>
      <c r="H12007" s="11" t="s">
        <v>63</v>
      </c>
      <c r="I12007" s="13" t="s">
        <v>23655</v>
      </c>
      <c r="J12007" s="14" t="str">
        <f>HYPERLINK("https://www.boe.es/gazeta/dias/1839/04/21/pdfs/GMD-1839-1618.pdf#page=4","Abrir facsímil")</f>
        <v>Abrir facsímil</v>
      </c>
      <c r="K12007" s="12" t="s">
        <v>65</v>
      </c>
    </row>
    <row r="12008" spans="1:11" ht="40.049999999999997" customHeight="1" x14ac:dyDescent="0.25">
      <c r="A12008" s="11" t="s">
        <v>23656</v>
      </c>
      <c r="B12008" s="11" t="s">
        <v>23657</v>
      </c>
      <c r="C12008" s="11" t="s">
        <v>17</v>
      </c>
      <c r="D12008" s="11" t="s">
        <v>18</v>
      </c>
      <c r="E12008" s="12" t="s">
        <v>870</v>
      </c>
      <c r="F12008" s="12" t="s">
        <v>871</v>
      </c>
      <c r="G12008" s="12" t="s">
        <v>21</v>
      </c>
      <c r="H12008" s="11" t="s">
        <v>63</v>
      </c>
      <c r="I12008" s="13" t="s">
        <v>23658</v>
      </c>
      <c r="J12008" s="14" t="str">
        <f>HYPERLINK("https://www.boe.es/gazeta/dias/1839/04/18/pdfs/GMD-1839-1615.pdf#page=4","Abrir facsímil")</f>
        <v>Abrir facsímil</v>
      </c>
      <c r="K12008" s="12" t="s">
        <v>65</v>
      </c>
    </row>
    <row r="12009" spans="1:11" ht="40.049999999999997" customHeight="1" x14ac:dyDescent="0.25">
      <c r="A12009" s="11" t="s">
        <v>23659</v>
      </c>
      <c r="B12009" s="11" t="s">
        <v>23659</v>
      </c>
      <c r="C12009" s="11" t="s">
        <v>80</v>
      </c>
      <c r="D12009" s="11" t="s">
        <v>18</v>
      </c>
      <c r="E12009" s="12" t="s">
        <v>1414</v>
      </c>
      <c r="F12009" s="12" t="s">
        <v>1415</v>
      </c>
      <c r="G12009" s="12" t="s">
        <v>21</v>
      </c>
      <c r="H12009" s="11" t="s">
        <v>63</v>
      </c>
      <c r="I12009" s="13" t="s">
        <v>23660</v>
      </c>
      <c r="J12009" s="14" t="str">
        <f>HYPERLINK("https://www.boe.es/gazeta/dias/1839/06/12/pdfs/GMD-1839-1670.pdf#page=4","Abrir facsímil")</f>
        <v>Abrir facsímil</v>
      </c>
      <c r="K12009" s="12" t="s">
        <v>65</v>
      </c>
    </row>
    <row r="12010" spans="1:11" ht="40.049999999999997" customHeight="1" x14ac:dyDescent="0.25">
      <c r="A12010" s="11" t="s">
        <v>23661</v>
      </c>
      <c r="B12010" s="11" t="s">
        <v>23661</v>
      </c>
      <c r="C12010" s="11" t="s">
        <v>17</v>
      </c>
      <c r="D12010" s="11" t="s">
        <v>18</v>
      </c>
      <c r="E12010" s="12" t="s">
        <v>1909</v>
      </c>
      <c r="F12010" s="12" t="s">
        <v>1910</v>
      </c>
      <c r="G12010" s="12" t="s">
        <v>29</v>
      </c>
      <c r="H12010" s="11" t="s">
        <v>63</v>
      </c>
      <c r="I12010" s="13" t="s">
        <v>23662</v>
      </c>
      <c r="J12010" s="14" t="str">
        <f>HYPERLINK("https://www.boe.es/gazeta/dias/1839/10/27/pdfs/GMD-1839-1813.pdf#page=1","Abrir facsímil")</f>
        <v>Abrir facsímil</v>
      </c>
      <c r="K12010" s="12" t="s">
        <v>65</v>
      </c>
    </row>
    <row r="12011" spans="1:11" ht="40.049999999999997" customHeight="1" x14ac:dyDescent="0.25">
      <c r="A12011" s="11" t="s">
        <v>23663</v>
      </c>
      <c r="B12011" s="11" t="s">
        <v>23663</v>
      </c>
      <c r="C12011" s="11" t="s">
        <v>101</v>
      </c>
      <c r="D12011" s="11" t="s">
        <v>102</v>
      </c>
      <c r="E12011" s="12" t="s">
        <v>1123</v>
      </c>
      <c r="F12011" s="12" t="s">
        <v>1124</v>
      </c>
      <c r="G12011" s="12" t="s">
        <v>46</v>
      </c>
      <c r="H12011" s="11" t="s">
        <v>63</v>
      </c>
      <c r="I12011" s="13" t="s">
        <v>23664</v>
      </c>
      <c r="J12011" s="14" t="str">
        <f>HYPERLINK("https://www.boe.es/gazeta/dias/1839/08/10/pdfs/GMD-1839-1730.pdf#page=3","Abrir facsímil")</f>
        <v>Abrir facsímil</v>
      </c>
      <c r="K12011" s="12" t="s">
        <v>65</v>
      </c>
    </row>
    <row r="12012" spans="1:11" ht="40.049999999999997" customHeight="1" x14ac:dyDescent="0.25">
      <c r="A12012" s="11" t="s">
        <v>23663</v>
      </c>
      <c r="B12012" s="11" t="s">
        <v>23663</v>
      </c>
      <c r="C12012" s="11" t="s">
        <v>101</v>
      </c>
      <c r="D12012" s="11" t="s">
        <v>43</v>
      </c>
      <c r="E12012" s="12" t="s">
        <v>1100</v>
      </c>
      <c r="F12012" s="12" t="s">
        <v>1101</v>
      </c>
      <c r="G12012" s="12" t="s">
        <v>40</v>
      </c>
      <c r="H12012" s="11" t="s">
        <v>63</v>
      </c>
      <c r="I12012" s="13" t="s">
        <v>23665</v>
      </c>
      <c r="J12012" s="14" t="str">
        <f>HYPERLINK("https://www.boe.es/gazeta/dias/1839/09/13/pdfs/GMD-1839-1766.pdf#page=2","Abrir facsímil")</f>
        <v>Abrir facsímil</v>
      </c>
      <c r="K12012" s="12" t="s">
        <v>65</v>
      </c>
    </row>
    <row r="12013" spans="1:11" ht="40.049999999999997" customHeight="1" x14ac:dyDescent="0.25">
      <c r="A12013" s="11" t="s">
        <v>23666</v>
      </c>
      <c r="B12013" s="11" t="s">
        <v>23667</v>
      </c>
      <c r="C12013" s="11" t="s">
        <v>80</v>
      </c>
      <c r="D12013" s="11" t="s">
        <v>18</v>
      </c>
      <c r="E12013" s="12" t="s">
        <v>2650</v>
      </c>
      <c r="F12013" s="12" t="s">
        <v>2651</v>
      </c>
      <c r="G12013" s="12" t="s">
        <v>21</v>
      </c>
      <c r="H12013" s="11" t="s">
        <v>22</v>
      </c>
      <c r="I12013" s="13" t="s">
        <v>23668</v>
      </c>
      <c r="J12013" s="14" t="str">
        <f>HYPERLINK("https://www.boe.es/gazeta/dias/1839/09/15/pdfs/GMD-1839-1768.pdf#page=4","Abrir facsímil")</f>
        <v>Abrir facsímil</v>
      </c>
      <c r="K12013" s="12" t="s">
        <v>24</v>
      </c>
    </row>
    <row r="12014" spans="1:11" ht="40.049999999999997" customHeight="1" x14ac:dyDescent="0.25">
      <c r="A12014" s="11" t="s">
        <v>23669</v>
      </c>
      <c r="B12014" s="11" t="s">
        <v>23669</v>
      </c>
      <c r="C12014" s="11" t="s">
        <v>137</v>
      </c>
      <c r="D12014" s="11" t="s">
        <v>18</v>
      </c>
      <c r="E12014" s="12" t="s">
        <v>1057</v>
      </c>
      <c r="F12014" s="12" t="s">
        <v>1058</v>
      </c>
      <c r="G12014" s="12" t="s">
        <v>40</v>
      </c>
      <c r="H12014" s="11" t="s">
        <v>63</v>
      </c>
      <c r="I12014" s="13" t="s">
        <v>23670</v>
      </c>
      <c r="J12014" s="14" t="str">
        <f>HYPERLINK("https://www.boe.es/gazeta/dias/1839/10/01/pdfs/GMD-1839-1787.pdf#page=2","Abrir facsímil")</f>
        <v>Abrir facsímil</v>
      </c>
      <c r="K12014" s="12" t="s">
        <v>65</v>
      </c>
    </row>
    <row r="12015" spans="1:11" ht="40.049999999999997" customHeight="1" x14ac:dyDescent="0.25">
      <c r="A12015" s="11" t="s">
        <v>23669</v>
      </c>
      <c r="B12015" s="11" t="s">
        <v>23669</v>
      </c>
      <c r="C12015" s="11" t="s">
        <v>17</v>
      </c>
      <c r="D12015" s="11" t="s">
        <v>18</v>
      </c>
      <c r="E12015" s="12" t="s">
        <v>2138</v>
      </c>
      <c r="F12015" s="12" t="s">
        <v>2139</v>
      </c>
      <c r="G12015" s="12" t="s">
        <v>46</v>
      </c>
      <c r="H12015" s="11" t="s">
        <v>63</v>
      </c>
      <c r="I12015" s="13" t="s">
        <v>23671</v>
      </c>
      <c r="J12015" s="14" t="str">
        <f>HYPERLINK("https://www.boe.es/gazeta/dias/1839/10/02/pdfs/GMD-1839-1788.pdf#page=3","Abrir facsímil")</f>
        <v>Abrir facsímil</v>
      </c>
      <c r="K12015" s="12" t="s">
        <v>65</v>
      </c>
    </row>
    <row r="12016" spans="1:11" ht="40.049999999999997" customHeight="1" x14ac:dyDescent="0.25">
      <c r="A12016" s="11" t="s">
        <v>23669</v>
      </c>
      <c r="B12016" s="11" t="s">
        <v>23669</v>
      </c>
      <c r="C12016" s="11" t="s">
        <v>17</v>
      </c>
      <c r="D12016" s="11" t="s">
        <v>18</v>
      </c>
      <c r="E12016" s="12" t="s">
        <v>798</v>
      </c>
      <c r="F12016" s="12" t="s">
        <v>799</v>
      </c>
      <c r="G12016" s="12" t="s">
        <v>40</v>
      </c>
      <c r="H12016" s="11" t="s">
        <v>63</v>
      </c>
      <c r="I12016" s="13" t="s">
        <v>23672</v>
      </c>
      <c r="J12016" s="14" t="str">
        <f>HYPERLINK("https://www.boe.es/gazeta/dias/1839/09/03/pdfs/GMD-1839-1755.pdf#page=2","Abrir facsímil")</f>
        <v>Abrir facsímil</v>
      </c>
      <c r="K12016" s="12" t="s">
        <v>65</v>
      </c>
    </row>
    <row r="12017" spans="1:11" ht="40.049999999999997" customHeight="1" x14ac:dyDescent="0.25">
      <c r="A12017" s="11" t="s">
        <v>23669</v>
      </c>
      <c r="B12017" s="11" t="s">
        <v>23669</v>
      </c>
      <c r="C12017" s="11" t="s">
        <v>17</v>
      </c>
      <c r="D12017" s="11" t="s">
        <v>18</v>
      </c>
      <c r="E12017" s="12" t="s">
        <v>1008</v>
      </c>
      <c r="F12017" s="12" t="s">
        <v>1009</v>
      </c>
      <c r="G12017" s="12" t="s">
        <v>46</v>
      </c>
      <c r="H12017" s="11" t="s">
        <v>63</v>
      </c>
      <c r="I12017" s="13" t="s">
        <v>23673</v>
      </c>
      <c r="J12017" s="14" t="str">
        <f>HYPERLINK("https://www.boe.es/gazeta/dias/1839/09/07/pdfs/GMD-1839-1760.pdf#page=3","Abrir facsímil")</f>
        <v>Abrir facsímil</v>
      </c>
      <c r="K12017" s="12" t="s">
        <v>65</v>
      </c>
    </row>
    <row r="12018" spans="1:11" ht="40.049999999999997" customHeight="1" x14ac:dyDescent="0.25">
      <c r="A12018" s="11" t="s">
        <v>23674</v>
      </c>
      <c r="B12018" s="11" t="s">
        <v>23674</v>
      </c>
      <c r="C12018" s="11" t="s">
        <v>101</v>
      </c>
      <c r="D12018" s="11" t="s">
        <v>43</v>
      </c>
      <c r="E12018" s="12" t="s">
        <v>254</v>
      </c>
      <c r="F12018" s="12" t="s">
        <v>255</v>
      </c>
      <c r="G12018" s="12" t="s">
        <v>46</v>
      </c>
      <c r="H12018" s="11" t="s">
        <v>22</v>
      </c>
      <c r="I12018" s="13" t="s">
        <v>23675</v>
      </c>
      <c r="J12018" s="14" t="str">
        <f>HYPERLINK("https://www.boe.es/gazeta/dias/1839/09/12/pdfs/GMD-1839-1765.pdf#page=3","Abrir facsímil")</f>
        <v>Abrir facsímil</v>
      </c>
      <c r="K12018" s="12" t="s">
        <v>24</v>
      </c>
    </row>
    <row r="12019" spans="1:11" ht="40.049999999999997" customHeight="1" x14ac:dyDescent="0.25">
      <c r="A12019" s="11" t="s">
        <v>23669</v>
      </c>
      <c r="B12019" s="11" t="s">
        <v>23669</v>
      </c>
      <c r="C12019" s="11" t="s">
        <v>17</v>
      </c>
      <c r="D12019" s="11" t="s">
        <v>18</v>
      </c>
      <c r="E12019" s="12" t="s">
        <v>1100</v>
      </c>
      <c r="F12019" s="12" t="s">
        <v>1101</v>
      </c>
      <c r="G12019" s="12" t="s">
        <v>29</v>
      </c>
      <c r="H12019" s="11" t="s">
        <v>63</v>
      </c>
      <c r="I12019" s="13" t="s">
        <v>23676</v>
      </c>
      <c r="J12019" s="14" t="str">
        <f>HYPERLINK("https://www.boe.es/gazeta/dias/1839/09/13/pdfs/GMD-1839-1766.pdf#page=1","Abrir facsímil")</f>
        <v>Abrir facsímil</v>
      </c>
      <c r="K12019" s="12" t="s">
        <v>65</v>
      </c>
    </row>
    <row r="12020" spans="1:11" ht="40.049999999999997" customHeight="1" x14ac:dyDescent="0.25">
      <c r="A12020" s="11" t="s">
        <v>23669</v>
      </c>
      <c r="B12020" s="11" t="s">
        <v>23669</v>
      </c>
      <c r="C12020" s="11" t="s">
        <v>101</v>
      </c>
      <c r="D12020" s="11" t="s">
        <v>43</v>
      </c>
      <c r="E12020" s="12" t="s">
        <v>1100</v>
      </c>
      <c r="F12020" s="12" t="s">
        <v>1101</v>
      </c>
      <c r="G12020" s="12" t="s">
        <v>40</v>
      </c>
      <c r="H12020" s="11" t="s">
        <v>63</v>
      </c>
      <c r="I12020" s="13" t="s">
        <v>23677</v>
      </c>
      <c r="J12020" s="14" t="str">
        <f>HYPERLINK("https://www.boe.es/gazeta/dias/1839/09/13/pdfs/GMD-1839-1766.pdf#page=2","Abrir facsímil")</f>
        <v>Abrir facsímil</v>
      </c>
      <c r="K12020" s="12" t="s">
        <v>65</v>
      </c>
    </row>
    <row r="12021" spans="1:11" ht="40.049999999999997" customHeight="1" x14ac:dyDescent="0.25">
      <c r="A12021" s="11" t="s">
        <v>23669</v>
      </c>
      <c r="B12021" s="11" t="s">
        <v>23669</v>
      </c>
      <c r="C12021" s="11" t="s">
        <v>101</v>
      </c>
      <c r="D12021" s="11" t="s">
        <v>43</v>
      </c>
      <c r="E12021" s="12" t="s">
        <v>1100</v>
      </c>
      <c r="F12021" s="12" t="s">
        <v>1101</v>
      </c>
      <c r="G12021" s="12" t="s">
        <v>46</v>
      </c>
      <c r="H12021" s="11" t="s">
        <v>63</v>
      </c>
      <c r="I12021" s="13" t="s">
        <v>23678</v>
      </c>
      <c r="J12021" s="14" t="str">
        <f>HYPERLINK("https://www.boe.es/gazeta/dias/1839/09/13/pdfs/GMD-1839-1766.pdf#page=3","Abrir facsímil")</f>
        <v>Abrir facsímil</v>
      </c>
      <c r="K12021" s="12" t="s">
        <v>65</v>
      </c>
    </row>
    <row r="12022" spans="1:11" ht="40.049999999999997" customHeight="1" x14ac:dyDescent="0.25">
      <c r="A12022" s="11" t="s">
        <v>23674</v>
      </c>
      <c r="B12022" s="11" t="s">
        <v>23674</v>
      </c>
      <c r="C12022" s="11" t="s">
        <v>17</v>
      </c>
      <c r="D12022" s="11" t="s">
        <v>18</v>
      </c>
      <c r="E12022" s="12" t="s">
        <v>736</v>
      </c>
      <c r="F12022" s="12" t="s">
        <v>737</v>
      </c>
      <c r="G12022" s="12" t="s">
        <v>40</v>
      </c>
      <c r="H12022" s="11" t="s">
        <v>22</v>
      </c>
      <c r="I12022" s="13" t="s">
        <v>23679</v>
      </c>
      <c r="J12022" s="14" t="str">
        <f>HYPERLINK("https://www.boe.es/gazeta/dias/1839/10/13/pdfs/GMD-1839-1799.pdf#page=2","Abrir facsímil")</f>
        <v>Abrir facsímil</v>
      </c>
      <c r="K12022" s="12" t="s">
        <v>24</v>
      </c>
    </row>
    <row r="12023" spans="1:11" ht="40.049999999999997" customHeight="1" x14ac:dyDescent="0.25">
      <c r="A12023" s="11" t="s">
        <v>23674</v>
      </c>
      <c r="B12023" s="11" t="s">
        <v>23674</v>
      </c>
      <c r="C12023" s="11" t="s">
        <v>17</v>
      </c>
      <c r="D12023" s="11" t="s">
        <v>18</v>
      </c>
      <c r="E12023" s="12" t="s">
        <v>592</v>
      </c>
      <c r="F12023" s="12" t="s">
        <v>593</v>
      </c>
      <c r="G12023" s="12" t="s">
        <v>21</v>
      </c>
      <c r="H12023" s="11" t="s">
        <v>22</v>
      </c>
      <c r="I12023" s="13" t="s">
        <v>23680</v>
      </c>
      <c r="J12023" s="14" t="str">
        <f>HYPERLINK("https://www.boe.es/gazeta/dias/1839/09/14/pdfs/GMD-1839-1767.pdf#page=4","Abrir facsímil")</f>
        <v>Abrir facsímil</v>
      </c>
      <c r="K12023" s="12" t="s">
        <v>24</v>
      </c>
    </row>
    <row r="12024" spans="1:11" ht="40.049999999999997" customHeight="1" x14ac:dyDescent="0.25">
      <c r="A12024" s="11" t="s">
        <v>23674</v>
      </c>
      <c r="B12024" s="11" t="s">
        <v>23674</v>
      </c>
      <c r="C12024" s="11" t="s">
        <v>17</v>
      </c>
      <c r="D12024" s="11" t="s">
        <v>18</v>
      </c>
      <c r="E12024" s="12" t="s">
        <v>2650</v>
      </c>
      <c r="F12024" s="12" t="s">
        <v>2651</v>
      </c>
      <c r="G12024" s="12" t="s">
        <v>29</v>
      </c>
      <c r="H12024" s="11" t="s">
        <v>22</v>
      </c>
      <c r="I12024" s="13" t="s">
        <v>23681</v>
      </c>
      <c r="J12024" s="14" t="str">
        <f>HYPERLINK("https://www.boe.es/gazeta/dias/1839/09/15/pdfs/GMD-1839-1768.pdf#page=1","Abrir facsímil")</f>
        <v>Abrir facsímil</v>
      </c>
      <c r="K12024" s="12" t="s">
        <v>24</v>
      </c>
    </row>
    <row r="12025" spans="1:11" ht="40.049999999999997" customHeight="1" x14ac:dyDescent="0.25">
      <c r="A12025" s="11" t="s">
        <v>23674</v>
      </c>
      <c r="B12025" s="11" t="s">
        <v>23674</v>
      </c>
      <c r="C12025" s="11" t="s">
        <v>17</v>
      </c>
      <c r="D12025" s="11" t="s">
        <v>18</v>
      </c>
      <c r="E12025" s="12" t="s">
        <v>2650</v>
      </c>
      <c r="F12025" s="12" t="s">
        <v>2651</v>
      </c>
      <c r="G12025" s="12" t="s">
        <v>40</v>
      </c>
      <c r="H12025" s="11" t="s">
        <v>22</v>
      </c>
      <c r="I12025" s="13" t="s">
        <v>23682</v>
      </c>
      <c r="J12025" s="14" t="str">
        <f>HYPERLINK("https://www.boe.es/gazeta/dias/1839/09/15/pdfs/GMD-1839-1768.pdf#page=2","Abrir facsímil")</f>
        <v>Abrir facsímil</v>
      </c>
      <c r="K12025" s="12" t="s">
        <v>24</v>
      </c>
    </row>
    <row r="12026" spans="1:11" ht="40.049999999999997" customHeight="1" x14ac:dyDescent="0.25">
      <c r="A12026" s="11" t="s">
        <v>23669</v>
      </c>
      <c r="B12026" s="11" t="s">
        <v>23669</v>
      </c>
      <c r="C12026" s="11" t="s">
        <v>80</v>
      </c>
      <c r="D12026" s="11" t="s">
        <v>18</v>
      </c>
      <c r="E12026" s="12" t="s">
        <v>230</v>
      </c>
      <c r="F12026" s="12" t="s">
        <v>231</v>
      </c>
      <c r="G12026" s="12" t="s">
        <v>29</v>
      </c>
      <c r="H12026" s="11" t="s">
        <v>63</v>
      </c>
      <c r="I12026" s="13" t="s">
        <v>23683</v>
      </c>
      <c r="J12026" s="14" t="str">
        <f>HYPERLINK("https://www.boe.es/gazeta/dias/1839/09/16/pdfs/GMD-1839-1769.pdf#page=1","Abrir facsímil")</f>
        <v>Abrir facsímil</v>
      </c>
      <c r="K12026" s="12" t="s">
        <v>65</v>
      </c>
    </row>
    <row r="12027" spans="1:11" ht="40.049999999999997" customHeight="1" x14ac:dyDescent="0.25">
      <c r="A12027" s="11" t="s">
        <v>23669</v>
      </c>
      <c r="B12027" s="11" t="s">
        <v>23669</v>
      </c>
      <c r="C12027" s="11" t="s">
        <v>101</v>
      </c>
      <c r="D12027" s="11" t="s">
        <v>43</v>
      </c>
      <c r="E12027" s="12" t="s">
        <v>1076</v>
      </c>
      <c r="F12027" s="12" t="s">
        <v>1077</v>
      </c>
      <c r="G12027" s="12" t="s">
        <v>21</v>
      </c>
      <c r="H12027" s="11" t="s">
        <v>63</v>
      </c>
      <c r="I12027" s="13" t="s">
        <v>23684</v>
      </c>
      <c r="J12027" s="14" t="str">
        <f>HYPERLINK("https://www.boe.es/gazeta/dias/1839/10/19/pdfs/GMD-1839-1805.pdf#page=4","Abrir facsímil")</f>
        <v>Abrir facsímil</v>
      </c>
      <c r="K12027" s="12" t="s">
        <v>65</v>
      </c>
    </row>
    <row r="12028" spans="1:11" ht="40.049999999999997" customHeight="1" x14ac:dyDescent="0.25">
      <c r="A12028" s="11" t="s">
        <v>23674</v>
      </c>
      <c r="B12028" s="11" t="s">
        <v>23674</v>
      </c>
      <c r="C12028" s="11" t="s">
        <v>17</v>
      </c>
      <c r="D12028" s="11" t="s">
        <v>18</v>
      </c>
      <c r="E12028" s="12" t="s">
        <v>2069</v>
      </c>
      <c r="F12028" s="12" t="s">
        <v>2070</v>
      </c>
      <c r="G12028" s="12" t="s">
        <v>305</v>
      </c>
      <c r="H12028" s="11" t="s">
        <v>22</v>
      </c>
      <c r="I12028" s="13" t="s">
        <v>23685</v>
      </c>
      <c r="J12028" s="14" t="str">
        <f>HYPERLINK("https://www.boe.es/gazeta/dias/1839/10/20/pdfs/GMD-1839-1806.pdf#page=6","Abrir facsímil")</f>
        <v>Abrir facsímil</v>
      </c>
      <c r="K12028" s="12" t="s">
        <v>24</v>
      </c>
    </row>
    <row r="12029" spans="1:11" ht="40.049999999999997" customHeight="1" x14ac:dyDescent="0.25">
      <c r="A12029" s="11" t="s">
        <v>23674</v>
      </c>
      <c r="B12029" s="11" t="s">
        <v>23674</v>
      </c>
      <c r="C12029" s="11" t="s">
        <v>17</v>
      </c>
      <c r="D12029" s="11" t="s">
        <v>18</v>
      </c>
      <c r="E12029" s="12" t="s">
        <v>826</v>
      </c>
      <c r="F12029" s="12" t="s">
        <v>827</v>
      </c>
      <c r="G12029" s="12" t="s">
        <v>46</v>
      </c>
      <c r="H12029" s="11" t="s">
        <v>22</v>
      </c>
      <c r="I12029" s="13" t="s">
        <v>23686</v>
      </c>
      <c r="J12029" s="14" t="str">
        <f>HYPERLINK("https://www.boe.es/gazeta/dias/1839/09/25/pdfs/GMD-1839-1781.pdf#page=3","Abrir facsímil")</f>
        <v>Abrir facsímil</v>
      </c>
      <c r="K12029" s="12" t="s">
        <v>24</v>
      </c>
    </row>
    <row r="12030" spans="1:11" ht="40.049999999999997" customHeight="1" x14ac:dyDescent="0.25">
      <c r="A12030" s="11" t="s">
        <v>23669</v>
      </c>
      <c r="B12030" s="11" t="s">
        <v>23669</v>
      </c>
      <c r="C12030" s="11" t="s">
        <v>137</v>
      </c>
      <c r="D12030" s="11" t="s">
        <v>18</v>
      </c>
      <c r="E12030" s="12" t="s">
        <v>1807</v>
      </c>
      <c r="F12030" s="12" t="s">
        <v>1808</v>
      </c>
      <c r="G12030" s="12" t="s">
        <v>40</v>
      </c>
      <c r="H12030" s="11" t="s">
        <v>63</v>
      </c>
      <c r="I12030" s="13" t="s">
        <v>23687</v>
      </c>
      <c r="J12030" s="14" t="str">
        <f>HYPERLINK("https://www.boe.es/gazeta/dias/1839/01/29/pdfs/GMD-1839-1536.pdf#page=2","Abrir facsímil")</f>
        <v>Abrir facsímil</v>
      </c>
      <c r="K12030" s="12" t="s">
        <v>65</v>
      </c>
    </row>
    <row r="12031" spans="1:11" ht="40.049999999999997" customHeight="1" x14ac:dyDescent="0.25">
      <c r="A12031" s="11" t="s">
        <v>23674</v>
      </c>
      <c r="B12031" s="11" t="s">
        <v>23674</v>
      </c>
      <c r="C12031" s="11" t="s">
        <v>17</v>
      </c>
      <c r="D12031" s="11" t="s">
        <v>18</v>
      </c>
      <c r="E12031" s="12" t="s">
        <v>1287</v>
      </c>
      <c r="F12031" s="12" t="s">
        <v>1288</v>
      </c>
      <c r="G12031" s="12" t="s">
        <v>40</v>
      </c>
      <c r="H12031" s="11" t="s">
        <v>22</v>
      </c>
      <c r="I12031" s="13" t="s">
        <v>23688</v>
      </c>
      <c r="J12031" s="14" t="str">
        <f>HYPERLINK("https://www.boe.es/gazeta/dias/1839/10/30/pdfs/GMD-1839-1816.pdf#page=2","Abrir facsímil")</f>
        <v>Abrir facsímil</v>
      </c>
      <c r="K12031" s="12" t="s">
        <v>24</v>
      </c>
    </row>
    <row r="12032" spans="1:11" ht="40.049999999999997" customHeight="1" x14ac:dyDescent="0.25">
      <c r="A12032" s="11" t="s">
        <v>23689</v>
      </c>
      <c r="B12032" s="11" t="s">
        <v>23689</v>
      </c>
      <c r="C12032" s="11" t="s">
        <v>80</v>
      </c>
      <c r="D12032" s="11" t="s">
        <v>18</v>
      </c>
      <c r="E12032" s="12" t="s">
        <v>303</v>
      </c>
      <c r="F12032" s="12" t="s">
        <v>304</v>
      </c>
      <c r="G12032" s="12" t="s">
        <v>40</v>
      </c>
      <c r="H12032" s="11" t="s">
        <v>63</v>
      </c>
      <c r="I12032" s="13" t="s">
        <v>23690</v>
      </c>
      <c r="J12032" s="14" t="str">
        <f>HYPERLINK("https://www.boe.es/gazeta/dias/1839/10/06/pdfs/GMD-1839-1792.pdf#page=2","Abrir facsímil")</f>
        <v>Abrir facsímil</v>
      </c>
      <c r="K12032" s="12" t="s">
        <v>65</v>
      </c>
    </row>
    <row r="12033" spans="1:11" ht="40.049999999999997" customHeight="1" x14ac:dyDescent="0.25">
      <c r="A12033" s="11" t="s">
        <v>23691</v>
      </c>
      <c r="B12033" s="11" t="s">
        <v>23692</v>
      </c>
      <c r="C12033" s="11" t="s">
        <v>17</v>
      </c>
      <c r="D12033" s="11" t="s">
        <v>18</v>
      </c>
      <c r="E12033" s="12" t="s">
        <v>892</v>
      </c>
      <c r="F12033" s="12" t="s">
        <v>893</v>
      </c>
      <c r="G12033" s="12" t="s">
        <v>21</v>
      </c>
      <c r="H12033" s="11" t="s">
        <v>63</v>
      </c>
      <c r="I12033" s="13" t="s">
        <v>23693</v>
      </c>
      <c r="J12033" s="14" t="str">
        <f>HYPERLINK("https://www.boe.es/gazeta/dias/1839/12/28/pdfs/GMD-1839-1875.pdf#page=4","Abrir facsímil")</f>
        <v>Abrir facsímil</v>
      </c>
      <c r="K12033" s="12" t="s">
        <v>65</v>
      </c>
    </row>
    <row r="12034" spans="1:11" ht="40.049999999999997" customHeight="1" x14ac:dyDescent="0.25">
      <c r="A12034" s="11" t="s">
        <v>23694</v>
      </c>
      <c r="B12034" s="11" t="s">
        <v>23694</v>
      </c>
      <c r="C12034" s="11" t="s">
        <v>17</v>
      </c>
      <c r="D12034" s="11" t="s">
        <v>18</v>
      </c>
      <c r="E12034" s="12" t="s">
        <v>1236</v>
      </c>
      <c r="F12034" s="12" t="s">
        <v>1237</v>
      </c>
      <c r="G12034" s="12" t="s">
        <v>29</v>
      </c>
      <c r="H12034" s="11" t="s">
        <v>63</v>
      </c>
      <c r="I12034" s="13" t="s">
        <v>23695</v>
      </c>
      <c r="J12034" s="14" t="str">
        <f>HYPERLINK("https://www.boe.es/gazeta/dias/1839/10/16/pdfs/GMD-1839-1802.pdf#page=1","Abrir facsímil")</f>
        <v>Abrir facsímil</v>
      </c>
      <c r="K12034" s="12" t="s">
        <v>65</v>
      </c>
    </row>
    <row r="12035" spans="1:11" ht="40.049999999999997" customHeight="1" x14ac:dyDescent="0.25">
      <c r="A12035" s="11" t="s">
        <v>23696</v>
      </c>
      <c r="B12035" s="11" t="s">
        <v>23697</v>
      </c>
      <c r="C12035" s="11" t="s">
        <v>17</v>
      </c>
      <c r="D12035" s="11" t="s">
        <v>18</v>
      </c>
      <c r="E12035" s="12" t="s">
        <v>770</v>
      </c>
      <c r="F12035" s="12" t="s">
        <v>771</v>
      </c>
      <c r="G12035" s="12" t="s">
        <v>46</v>
      </c>
      <c r="H12035" s="11" t="s">
        <v>63</v>
      </c>
      <c r="I12035" s="13" t="s">
        <v>23698</v>
      </c>
      <c r="J12035" s="14" t="str">
        <f>HYPERLINK("https://www.boe.es/gazeta/dias/1839/12/05/pdfs/GMD-1839-1852.pdf#page=3","Abrir facsímil")</f>
        <v>Abrir facsímil</v>
      </c>
      <c r="K12035" s="12" t="s">
        <v>65</v>
      </c>
    </row>
    <row r="12036" spans="1:11" ht="40.049999999999997" customHeight="1" x14ac:dyDescent="0.25">
      <c r="A12036" s="11" t="s">
        <v>23699</v>
      </c>
      <c r="B12036" s="11" t="s">
        <v>23700</v>
      </c>
      <c r="C12036" s="11" t="s">
        <v>17</v>
      </c>
      <c r="D12036" s="11" t="s">
        <v>18</v>
      </c>
      <c r="E12036" s="12" t="s">
        <v>258</v>
      </c>
      <c r="F12036" s="12" t="s">
        <v>259</v>
      </c>
      <c r="G12036" s="12" t="s">
        <v>46</v>
      </c>
      <c r="H12036" s="11" t="s">
        <v>22</v>
      </c>
      <c r="I12036" s="13" t="s">
        <v>23701</v>
      </c>
      <c r="J12036" s="14" t="str">
        <f>HYPERLINK("https://www.boe.es/gazeta/dias/1839/01/02/pdfs/GMD-1839-1509.pdf#page=3","Abrir facsímil")</f>
        <v>Abrir facsímil</v>
      </c>
      <c r="K12036" s="12" t="s">
        <v>24</v>
      </c>
    </row>
    <row r="12037" spans="1:11" ht="40.049999999999997" customHeight="1" x14ac:dyDescent="0.25">
      <c r="A12037" s="11" t="s">
        <v>23702</v>
      </c>
      <c r="B12037" s="11" t="s">
        <v>23703</v>
      </c>
      <c r="C12037" s="11" t="s">
        <v>137</v>
      </c>
      <c r="D12037" s="11" t="s">
        <v>18</v>
      </c>
      <c r="E12037" s="12" t="s">
        <v>116</v>
      </c>
      <c r="F12037" s="12" t="s">
        <v>117</v>
      </c>
      <c r="G12037" s="12" t="s">
        <v>40</v>
      </c>
      <c r="H12037" s="11" t="s">
        <v>63</v>
      </c>
      <c r="I12037" s="13" t="s">
        <v>23704</v>
      </c>
      <c r="J12037" s="14" t="str">
        <f>HYPERLINK("https://www.boe.es/gazeta/dias/1839/10/10/pdfs/GMD-1839-1796.pdf#page=2","Abrir facsímil")</f>
        <v>Abrir facsímil</v>
      </c>
      <c r="K12037" s="12" t="s">
        <v>65</v>
      </c>
    </row>
    <row r="12038" spans="1:11" ht="40.049999999999997" customHeight="1" x14ac:dyDescent="0.25">
      <c r="A12038" s="11" t="s">
        <v>23705</v>
      </c>
      <c r="B12038" s="11" t="s">
        <v>23706</v>
      </c>
      <c r="C12038" s="11" t="s">
        <v>17</v>
      </c>
      <c r="D12038" s="11" t="s">
        <v>18</v>
      </c>
      <c r="E12038" s="12" t="s">
        <v>462</v>
      </c>
      <c r="F12038" s="12" t="s">
        <v>463</v>
      </c>
      <c r="G12038" s="12" t="s">
        <v>46</v>
      </c>
      <c r="H12038" s="11" t="s">
        <v>22</v>
      </c>
      <c r="I12038" s="13" t="s">
        <v>23707</v>
      </c>
      <c r="J12038" s="14" t="str">
        <f>HYPERLINK("https://www.boe.es/gazeta/dias/1839/06/19/pdfs/GMD-1839-1677.pdf#page=3","Abrir facsímil")</f>
        <v>Abrir facsímil</v>
      </c>
      <c r="K12038" s="12" t="s">
        <v>24</v>
      </c>
    </row>
    <row r="12039" spans="1:11" ht="40.049999999999997" customHeight="1" x14ac:dyDescent="0.25">
      <c r="A12039" s="11" t="s">
        <v>23708</v>
      </c>
      <c r="B12039" s="11" t="s">
        <v>23709</v>
      </c>
      <c r="C12039" s="11" t="s">
        <v>80</v>
      </c>
      <c r="D12039" s="11" t="s">
        <v>173</v>
      </c>
      <c r="E12039" s="12" t="s">
        <v>1644</v>
      </c>
      <c r="F12039" s="12" t="s">
        <v>1645</v>
      </c>
      <c r="G12039" s="12" t="s">
        <v>29</v>
      </c>
      <c r="H12039" s="11" t="s">
        <v>63</v>
      </c>
      <c r="I12039" s="13" t="s">
        <v>23710</v>
      </c>
      <c r="J12039" s="14" t="str">
        <f>HYPERLINK("https://www.boe.es/gazeta/dias/1839/04/16/pdfs/GMD-1839-1613.pdf#page=1","Abrir facsímil")</f>
        <v>Abrir facsímil</v>
      </c>
      <c r="K12039" s="12" t="s">
        <v>65</v>
      </c>
    </row>
    <row r="12040" spans="1:11" ht="40.049999999999997" customHeight="1" x14ac:dyDescent="0.25">
      <c r="A12040" s="11" t="s">
        <v>23711</v>
      </c>
      <c r="B12040" s="11" t="s">
        <v>23712</v>
      </c>
      <c r="C12040" s="11" t="s">
        <v>17</v>
      </c>
      <c r="D12040" s="11" t="s">
        <v>18</v>
      </c>
      <c r="E12040" s="12" t="s">
        <v>1433</v>
      </c>
      <c r="F12040" s="12" t="s">
        <v>1434</v>
      </c>
      <c r="G12040" s="12" t="s">
        <v>40</v>
      </c>
      <c r="H12040" s="11" t="s">
        <v>63</v>
      </c>
      <c r="I12040" s="13" t="s">
        <v>23713</v>
      </c>
      <c r="J12040" s="14" t="str">
        <f>HYPERLINK("https://www.boe.es/gazeta/dias/1839/10/22/pdfs/GMD-1839-1808.pdf#page=2","Abrir facsímil")</f>
        <v>Abrir facsímil</v>
      </c>
      <c r="K12040" s="12" t="s">
        <v>65</v>
      </c>
    </row>
    <row r="12041" spans="1:11" ht="40.049999999999997" customHeight="1" x14ac:dyDescent="0.25">
      <c r="A12041" s="11" t="s">
        <v>23714</v>
      </c>
      <c r="B12041" s="11" t="s">
        <v>23715</v>
      </c>
      <c r="C12041" s="11" t="s">
        <v>17</v>
      </c>
      <c r="D12041" s="11" t="s">
        <v>18</v>
      </c>
      <c r="E12041" s="12" t="s">
        <v>1183</v>
      </c>
      <c r="F12041" s="12" t="s">
        <v>1184</v>
      </c>
      <c r="G12041" s="12" t="s">
        <v>21</v>
      </c>
      <c r="H12041" s="11" t="s">
        <v>63</v>
      </c>
      <c r="I12041" s="13" t="s">
        <v>23716</v>
      </c>
      <c r="J12041" s="14" t="str">
        <f>HYPERLINK("https://www.boe.es/gazeta/dias/1839/07/26/pdfs/GMD-1839-1715.pdf#page=4","Abrir facsímil")</f>
        <v>Abrir facsímil</v>
      </c>
      <c r="K12041" s="12" t="s">
        <v>65</v>
      </c>
    </row>
    <row r="12042" spans="1:11" ht="40.049999999999997" customHeight="1" x14ac:dyDescent="0.25">
      <c r="A12042" s="11" t="s">
        <v>23717</v>
      </c>
      <c r="B12042" s="11" t="s">
        <v>23717</v>
      </c>
      <c r="C12042" s="11" t="s">
        <v>59</v>
      </c>
      <c r="D12042" s="11" t="s">
        <v>60</v>
      </c>
      <c r="E12042" s="12" t="s">
        <v>1072</v>
      </c>
      <c r="F12042" s="12" t="s">
        <v>1073</v>
      </c>
      <c r="G12042" s="12" t="s">
        <v>46</v>
      </c>
      <c r="H12042" s="11" t="s">
        <v>63</v>
      </c>
      <c r="I12042" s="13" t="s">
        <v>23718</v>
      </c>
      <c r="J12042" s="14" t="str">
        <f>HYPERLINK("https://www.boe.es/gazeta/dias/1839/01/18/pdfs/GMD-1839-1525.pdf#page=3","Abrir facsímil")</f>
        <v>Abrir facsímil</v>
      </c>
      <c r="K12042" s="12" t="s">
        <v>65</v>
      </c>
    </row>
    <row r="12043" spans="1:11" ht="40.049999999999997" customHeight="1" x14ac:dyDescent="0.25">
      <c r="A12043" s="11" t="s">
        <v>23719</v>
      </c>
      <c r="B12043" s="11" t="s">
        <v>23719</v>
      </c>
      <c r="C12043" s="11" t="s">
        <v>80</v>
      </c>
      <c r="D12043" s="11" t="s">
        <v>18</v>
      </c>
      <c r="E12043" s="12" t="s">
        <v>2215</v>
      </c>
      <c r="F12043" s="12" t="s">
        <v>2216</v>
      </c>
      <c r="G12043" s="12" t="s">
        <v>46</v>
      </c>
      <c r="H12043" s="11" t="s">
        <v>63</v>
      </c>
      <c r="I12043" s="13" t="s">
        <v>23720</v>
      </c>
      <c r="J12043" s="14" t="str">
        <f>HYPERLINK("https://www.boe.es/gazeta/dias/1839/07/21/pdfs/GMD-1839-1709.pdf#page=3","Abrir facsímil")</f>
        <v>Abrir facsímil</v>
      </c>
      <c r="K12043" s="12" t="s">
        <v>65</v>
      </c>
    </row>
    <row r="12044" spans="1:11" ht="40.049999999999997" customHeight="1" x14ac:dyDescent="0.25">
      <c r="A12044" s="11" t="s">
        <v>23721</v>
      </c>
      <c r="B12044" s="11" t="s">
        <v>23721</v>
      </c>
      <c r="C12044" s="11" t="s">
        <v>17</v>
      </c>
      <c r="D12044" s="11" t="s">
        <v>18</v>
      </c>
      <c r="E12044" s="12" t="s">
        <v>1460</v>
      </c>
      <c r="F12044" s="12" t="s">
        <v>1461</v>
      </c>
      <c r="G12044" s="12" t="s">
        <v>21</v>
      </c>
      <c r="H12044" s="11" t="s">
        <v>63</v>
      </c>
      <c r="I12044" s="13" t="s">
        <v>23722</v>
      </c>
      <c r="J12044" s="14" t="str">
        <f>HYPERLINK("https://www.boe.es/gazeta/dias/1839/03/01/pdfs/GMD-1839-1567.pdf#page=4","Abrir facsímil")</f>
        <v>Abrir facsímil</v>
      </c>
      <c r="K12044" s="12" t="s">
        <v>65</v>
      </c>
    </row>
    <row r="12045" spans="1:11" ht="40.049999999999997" customHeight="1" x14ac:dyDescent="0.25">
      <c r="A12045" s="11" t="s">
        <v>23721</v>
      </c>
      <c r="B12045" s="11" t="s">
        <v>23721</v>
      </c>
      <c r="C12045" s="11" t="s">
        <v>17</v>
      </c>
      <c r="D12045" s="11" t="s">
        <v>18</v>
      </c>
      <c r="E12045" s="12" t="s">
        <v>1631</v>
      </c>
      <c r="F12045" s="12" t="s">
        <v>1632</v>
      </c>
      <c r="G12045" s="12" t="s">
        <v>21</v>
      </c>
      <c r="H12045" s="11" t="s">
        <v>63</v>
      </c>
      <c r="I12045" s="13" t="s">
        <v>23723</v>
      </c>
      <c r="J12045" s="14" t="str">
        <f>HYPERLINK("https://www.boe.es/gazeta/dias/1839/05/10/pdfs/GMD-1839-1637.pdf#page=4","Abrir facsímil")</f>
        <v>Abrir facsímil</v>
      </c>
      <c r="K12045" s="12" t="s">
        <v>65</v>
      </c>
    </row>
    <row r="12046" spans="1:11" ht="40.049999999999997" customHeight="1" x14ac:dyDescent="0.25">
      <c r="A12046" s="11" t="s">
        <v>23721</v>
      </c>
      <c r="B12046" s="11" t="s">
        <v>23721</v>
      </c>
      <c r="C12046" s="11" t="s">
        <v>17</v>
      </c>
      <c r="D12046" s="11" t="s">
        <v>18</v>
      </c>
      <c r="E12046" s="12" t="s">
        <v>2995</v>
      </c>
      <c r="F12046" s="12" t="s">
        <v>2996</v>
      </c>
      <c r="G12046" s="12" t="s">
        <v>21</v>
      </c>
      <c r="H12046" s="11" t="s">
        <v>63</v>
      </c>
      <c r="I12046" s="13" t="s">
        <v>23724</v>
      </c>
      <c r="J12046" s="14" t="str">
        <f>HYPERLINK("https://www.boe.es/gazeta/dias/1839/06/16/pdfs/GMD-1839-1674.pdf#page=4","Abrir facsímil")</f>
        <v>Abrir facsímil</v>
      </c>
      <c r="K12046" s="12" t="s">
        <v>65</v>
      </c>
    </row>
    <row r="12047" spans="1:11" ht="40.049999999999997" customHeight="1" x14ac:dyDescent="0.25">
      <c r="A12047" s="11" t="s">
        <v>23725</v>
      </c>
      <c r="B12047" s="11" t="s">
        <v>23725</v>
      </c>
      <c r="C12047" s="11" t="s">
        <v>17</v>
      </c>
      <c r="D12047" s="11" t="s">
        <v>18</v>
      </c>
      <c r="E12047" s="12" t="s">
        <v>2738</v>
      </c>
      <c r="F12047" s="12" t="s">
        <v>2739</v>
      </c>
      <c r="G12047" s="12" t="s">
        <v>40</v>
      </c>
      <c r="H12047" s="11" t="s">
        <v>63</v>
      </c>
      <c r="I12047" s="13" t="s">
        <v>23726</v>
      </c>
      <c r="J12047" s="14" t="str">
        <f>HYPERLINK("https://www.boe.es/gazeta/dias/1839/09/06/pdfs/GMD-1839-1759.pdf#page=2","Abrir facsímil")</f>
        <v>Abrir facsímil</v>
      </c>
      <c r="K12047" s="12" t="s">
        <v>65</v>
      </c>
    </row>
    <row r="12048" spans="1:11" ht="40.049999999999997" customHeight="1" x14ac:dyDescent="0.25">
      <c r="A12048" s="11" t="s">
        <v>23727</v>
      </c>
      <c r="B12048" s="11" t="s">
        <v>23727</v>
      </c>
      <c r="C12048" s="11" t="s">
        <v>59</v>
      </c>
      <c r="D12048" s="11" t="s">
        <v>60</v>
      </c>
      <c r="E12048" s="12" t="s">
        <v>2210</v>
      </c>
      <c r="F12048" s="12" t="s">
        <v>2211</v>
      </c>
      <c r="G12048" s="12" t="s">
        <v>29</v>
      </c>
      <c r="H12048" s="11" t="s">
        <v>63</v>
      </c>
      <c r="I12048" s="13" t="s">
        <v>23728</v>
      </c>
      <c r="J12048" s="14" t="str">
        <f>HYPERLINK("https://www.boe.es/gazeta/dias/1839/09/05/pdfs/GMD-1839-1758.pdf#page=1","Abrir facsímil")</f>
        <v>Abrir facsímil</v>
      </c>
      <c r="K12048" s="12" t="s">
        <v>65</v>
      </c>
    </row>
    <row r="12049" spans="1:11" ht="40.049999999999997" customHeight="1" x14ac:dyDescent="0.25">
      <c r="A12049" s="11" t="s">
        <v>23727</v>
      </c>
      <c r="B12049" s="11" t="s">
        <v>23727</v>
      </c>
      <c r="C12049" s="11" t="s">
        <v>101</v>
      </c>
      <c r="D12049" s="11" t="s">
        <v>43</v>
      </c>
      <c r="E12049" s="12" t="s">
        <v>2851</v>
      </c>
      <c r="F12049" s="12" t="s">
        <v>2852</v>
      </c>
      <c r="G12049" s="12" t="s">
        <v>29</v>
      </c>
      <c r="H12049" s="11" t="s">
        <v>63</v>
      </c>
      <c r="I12049" s="13" t="s">
        <v>23729</v>
      </c>
      <c r="J12049" s="14" t="str">
        <f>HYPERLINK("https://www.boe.es/gazeta/dias/1839/05/16/pdfs/GMD-1839-1643.pdf#page=1","Abrir facsímil")</f>
        <v>Abrir facsímil</v>
      </c>
      <c r="K12049" s="12" t="s">
        <v>65</v>
      </c>
    </row>
    <row r="12050" spans="1:11" ht="40.049999999999997" customHeight="1" x14ac:dyDescent="0.25">
      <c r="A12050" s="11" t="s">
        <v>23730</v>
      </c>
      <c r="B12050" s="11" t="s">
        <v>23731</v>
      </c>
      <c r="C12050" s="11" t="s">
        <v>17</v>
      </c>
      <c r="D12050" s="11" t="s">
        <v>18</v>
      </c>
      <c r="E12050" s="12" t="s">
        <v>1136</v>
      </c>
      <c r="F12050" s="12" t="s">
        <v>1137</v>
      </c>
      <c r="G12050" s="12" t="s">
        <v>46</v>
      </c>
      <c r="H12050" s="11" t="s">
        <v>63</v>
      </c>
      <c r="I12050" s="13" t="s">
        <v>23732</v>
      </c>
      <c r="J12050" s="14" t="str">
        <f>HYPERLINK("https://www.boe.es/gazeta/dias/1839/04/03/pdfs/GMD-1839-1600.pdf#page=3","Abrir facsímil")</f>
        <v>Abrir facsímil</v>
      </c>
      <c r="K12050" s="12" t="s">
        <v>65</v>
      </c>
    </row>
    <row r="12051" spans="1:11" ht="40.049999999999997" customHeight="1" x14ac:dyDescent="0.25">
      <c r="A12051" s="11" t="s">
        <v>23733</v>
      </c>
      <c r="B12051" s="11" t="s">
        <v>23733</v>
      </c>
      <c r="C12051" s="11" t="s">
        <v>59</v>
      </c>
      <c r="D12051" s="11" t="s">
        <v>60</v>
      </c>
      <c r="E12051" s="12" t="s">
        <v>756</v>
      </c>
      <c r="F12051" s="12" t="s">
        <v>757</v>
      </c>
      <c r="G12051" s="12" t="s">
        <v>29</v>
      </c>
      <c r="H12051" s="11" t="s">
        <v>63</v>
      </c>
      <c r="I12051" s="13" t="s">
        <v>23734</v>
      </c>
      <c r="J12051" s="14" t="str">
        <f>HYPERLINK("https://www.boe.es/gazeta/dias/1839/12/17/pdfs/GMD-1839-1864.pdf#page=1","Abrir facsímil")</f>
        <v>Abrir facsímil</v>
      </c>
      <c r="K12051" s="12" t="s">
        <v>65</v>
      </c>
    </row>
    <row r="12052" spans="1:11" ht="40.049999999999997" customHeight="1" x14ac:dyDescent="0.25">
      <c r="A12052" s="11" t="s">
        <v>23735</v>
      </c>
      <c r="B12052" s="11" t="s">
        <v>23736</v>
      </c>
      <c r="C12052" s="11" t="s">
        <v>59</v>
      </c>
      <c r="D12052" s="11" t="s">
        <v>60</v>
      </c>
      <c r="E12052" s="12" t="s">
        <v>756</v>
      </c>
      <c r="F12052" s="12" t="s">
        <v>757</v>
      </c>
      <c r="G12052" s="12" t="s">
        <v>29</v>
      </c>
      <c r="H12052" s="11" t="s">
        <v>63</v>
      </c>
      <c r="I12052" s="13" t="s">
        <v>23737</v>
      </c>
      <c r="J12052" s="14" t="str">
        <f>HYPERLINK("https://www.boe.es/gazeta/dias/1839/12/17/pdfs/GMD-1839-1864.pdf#page=1","Abrir facsímil")</f>
        <v>Abrir facsímil</v>
      </c>
      <c r="K12052" s="12" t="s">
        <v>65</v>
      </c>
    </row>
    <row r="12053" spans="1:11" ht="40.049999999999997" customHeight="1" x14ac:dyDescent="0.25">
      <c r="A12053" s="11" t="s">
        <v>23738</v>
      </c>
      <c r="B12053" s="11" t="s">
        <v>23738</v>
      </c>
      <c r="C12053" s="11" t="s">
        <v>101</v>
      </c>
      <c r="D12053" s="11" t="s">
        <v>43</v>
      </c>
      <c r="E12053" s="12" t="s">
        <v>592</v>
      </c>
      <c r="F12053" s="12" t="s">
        <v>593</v>
      </c>
      <c r="G12053" s="12" t="s">
        <v>46</v>
      </c>
      <c r="H12053" s="11" t="s">
        <v>63</v>
      </c>
      <c r="I12053" s="13" t="s">
        <v>23739</v>
      </c>
      <c r="J12053" s="14" t="str">
        <f>HYPERLINK("https://www.boe.es/gazeta/dias/1839/09/14/pdfs/GMD-1839-1767.pdf#page=3","Abrir facsímil")</f>
        <v>Abrir facsímil</v>
      </c>
      <c r="K12053" s="12" t="s">
        <v>65</v>
      </c>
    </row>
    <row r="12054" spans="1:11" ht="40.049999999999997" customHeight="1" x14ac:dyDescent="0.25">
      <c r="A12054" s="11" t="s">
        <v>23738</v>
      </c>
      <c r="B12054" s="11" t="s">
        <v>23738</v>
      </c>
      <c r="C12054" s="11" t="s">
        <v>17</v>
      </c>
      <c r="D12054" s="11" t="s">
        <v>18</v>
      </c>
      <c r="E12054" s="12" t="s">
        <v>650</v>
      </c>
      <c r="F12054" s="12" t="s">
        <v>651</v>
      </c>
      <c r="G12054" s="12" t="s">
        <v>40</v>
      </c>
      <c r="H12054" s="11" t="s">
        <v>63</v>
      </c>
      <c r="I12054" s="13" t="s">
        <v>23740</v>
      </c>
      <c r="J12054" s="14" t="str">
        <f>HYPERLINK("https://www.boe.es/gazeta/dias/1839/10/25/pdfs/GMD-1839-1811.pdf#page=2","Abrir facsímil")</f>
        <v>Abrir facsímil</v>
      </c>
      <c r="K12054" s="12" t="s">
        <v>65</v>
      </c>
    </row>
    <row r="12055" spans="1:11" ht="40.049999999999997" customHeight="1" x14ac:dyDescent="0.25">
      <c r="A12055" s="11" t="s">
        <v>23741</v>
      </c>
      <c r="B12055" s="11" t="s">
        <v>23742</v>
      </c>
      <c r="C12055" s="11" t="s">
        <v>80</v>
      </c>
      <c r="D12055" s="11" t="s">
        <v>18</v>
      </c>
      <c r="E12055" s="12" t="s">
        <v>1749</v>
      </c>
      <c r="F12055" s="12" t="s">
        <v>1750</v>
      </c>
      <c r="G12055" s="12" t="s">
        <v>21</v>
      </c>
      <c r="H12055" s="11" t="s">
        <v>22</v>
      </c>
      <c r="I12055" s="13" t="s">
        <v>23743</v>
      </c>
      <c r="J12055" s="14" t="str">
        <f>HYPERLINK("https://www.boe.es/gazeta/dias/1839/06/28/pdfs/GMD-1839-1686.pdf#page=4","Abrir facsímil")</f>
        <v>Abrir facsímil</v>
      </c>
      <c r="K12055" s="12" t="s">
        <v>24</v>
      </c>
    </row>
    <row r="12056" spans="1:11" ht="40.049999999999997" customHeight="1" x14ac:dyDescent="0.25">
      <c r="A12056" s="11" t="s">
        <v>23744</v>
      </c>
      <c r="B12056" s="11" t="s">
        <v>23744</v>
      </c>
      <c r="C12056" s="11" t="s">
        <v>101</v>
      </c>
      <c r="D12056" s="11" t="s">
        <v>102</v>
      </c>
      <c r="E12056" s="12" t="s">
        <v>500</v>
      </c>
      <c r="F12056" s="12" t="s">
        <v>501</v>
      </c>
      <c r="G12056" s="12" t="s">
        <v>46</v>
      </c>
      <c r="H12056" s="11" t="s">
        <v>63</v>
      </c>
      <c r="I12056" s="13" t="s">
        <v>23745</v>
      </c>
      <c r="J12056" s="14" t="str">
        <f>HYPERLINK("https://www.boe.es/gazeta/dias/1839/11/06/pdfs/GMD-1839-1823.pdf#page=3","Abrir facsímil")</f>
        <v>Abrir facsímil</v>
      </c>
      <c r="K12056" s="12" t="s">
        <v>65</v>
      </c>
    </row>
    <row r="12057" spans="1:11" ht="40.049999999999997" customHeight="1" x14ac:dyDescent="0.25">
      <c r="A12057" s="11" t="s">
        <v>23746</v>
      </c>
      <c r="B12057" s="11" t="s">
        <v>23747</v>
      </c>
      <c r="C12057" s="11" t="s">
        <v>101</v>
      </c>
      <c r="D12057" s="11" t="s">
        <v>43</v>
      </c>
      <c r="E12057" s="12" t="s">
        <v>1008</v>
      </c>
      <c r="F12057" s="12" t="s">
        <v>1009</v>
      </c>
      <c r="G12057" s="12" t="s">
        <v>40</v>
      </c>
      <c r="H12057" s="11" t="s">
        <v>22</v>
      </c>
      <c r="I12057" s="13" t="s">
        <v>23748</v>
      </c>
      <c r="J12057" s="14" t="str">
        <f>HYPERLINK("https://www.boe.es/gazeta/dias/1839/09/07/pdfs/GMD-1839-1760.pdf#page=2","Abrir facsímil")</f>
        <v>Abrir facsímil</v>
      </c>
      <c r="K12057" s="12" t="s">
        <v>24</v>
      </c>
    </row>
    <row r="12058" spans="1:11" ht="40.049999999999997" customHeight="1" x14ac:dyDescent="0.25">
      <c r="A12058" s="11" t="s">
        <v>23749</v>
      </c>
      <c r="B12058" s="11" t="s">
        <v>23750</v>
      </c>
      <c r="C12058" s="11" t="s">
        <v>17</v>
      </c>
      <c r="D12058" s="11" t="s">
        <v>18</v>
      </c>
      <c r="E12058" s="12" t="s">
        <v>5399</v>
      </c>
      <c r="F12058" s="12" t="s">
        <v>5400</v>
      </c>
      <c r="G12058" s="12" t="s">
        <v>46</v>
      </c>
      <c r="H12058" s="11" t="s">
        <v>22</v>
      </c>
      <c r="I12058" s="13" t="s">
        <v>23751</v>
      </c>
      <c r="J12058" s="14" t="str">
        <f>HYPERLINK("https://www.boe.es/gazeta/dias/1839/10/14/pdfs/GMD-1839-1800.pdf#page=3","Abrir facsímil")</f>
        <v>Abrir facsímil</v>
      </c>
      <c r="K12058" s="12" t="s">
        <v>24</v>
      </c>
    </row>
    <row r="12059" spans="1:11" ht="40.049999999999997" customHeight="1" x14ac:dyDescent="0.25">
      <c r="A12059" s="11" t="s">
        <v>23752</v>
      </c>
      <c r="B12059" s="11" t="s">
        <v>23752</v>
      </c>
      <c r="C12059" s="11" t="s">
        <v>137</v>
      </c>
      <c r="D12059" s="11" t="s">
        <v>18</v>
      </c>
      <c r="E12059" s="12" t="s">
        <v>1144</v>
      </c>
      <c r="F12059" s="12" t="s">
        <v>1145</v>
      </c>
      <c r="G12059" s="12" t="s">
        <v>46</v>
      </c>
      <c r="H12059" s="11" t="s">
        <v>63</v>
      </c>
      <c r="I12059" s="13" t="s">
        <v>23753</v>
      </c>
      <c r="J12059" s="14" t="str">
        <f>HYPERLINK("https://www.boe.es/gazeta/dias/1839/08/13/pdfs/GMD-1839-1733.pdf#page=3","Abrir facsímil")</f>
        <v>Abrir facsímil</v>
      </c>
      <c r="K12059" s="12" t="s">
        <v>65</v>
      </c>
    </row>
    <row r="12060" spans="1:11" ht="40.049999999999997" customHeight="1" x14ac:dyDescent="0.25">
      <c r="A12060" s="11" t="s">
        <v>23754</v>
      </c>
      <c r="B12060" s="11" t="s">
        <v>23754</v>
      </c>
      <c r="C12060" s="11" t="s">
        <v>80</v>
      </c>
      <c r="D12060" s="11" t="s">
        <v>18</v>
      </c>
      <c r="E12060" s="12" t="s">
        <v>272</v>
      </c>
      <c r="F12060" s="12" t="s">
        <v>273</v>
      </c>
      <c r="G12060" s="12" t="s">
        <v>21</v>
      </c>
      <c r="H12060" s="11" t="s">
        <v>63</v>
      </c>
      <c r="I12060" s="13" t="s">
        <v>23755</v>
      </c>
      <c r="J12060" s="14" t="str">
        <f>HYPERLINK("https://www.boe.es/gazeta/dias/1839/02/12/pdfs/GMD-1839-1550.pdf#page=4","Abrir facsímil")</f>
        <v>Abrir facsímil</v>
      </c>
      <c r="K12060" s="12" t="s">
        <v>65</v>
      </c>
    </row>
    <row r="12061" spans="1:11" ht="40.049999999999997" customHeight="1" x14ac:dyDescent="0.25">
      <c r="A12061" s="11" t="s">
        <v>23756</v>
      </c>
      <c r="B12061" s="11" t="s">
        <v>23756</v>
      </c>
      <c r="C12061" s="11" t="s">
        <v>101</v>
      </c>
      <c r="D12061" s="11" t="s">
        <v>43</v>
      </c>
      <c r="E12061" s="12" t="s">
        <v>157</v>
      </c>
      <c r="F12061" s="12" t="s">
        <v>158</v>
      </c>
      <c r="G12061" s="12" t="s">
        <v>21</v>
      </c>
      <c r="H12061" s="11" t="s">
        <v>22</v>
      </c>
      <c r="I12061" s="13" t="s">
        <v>23757</v>
      </c>
      <c r="J12061" s="14" t="str">
        <f>HYPERLINK("https://www.boe.es/gazeta/dias/1839/02/08/pdfs/GMD-1839-1546.pdf#page=4","Abrir facsímil")</f>
        <v>Abrir facsímil</v>
      </c>
      <c r="K12061" s="12" t="s">
        <v>24</v>
      </c>
    </row>
    <row r="12062" spans="1:11" ht="40.049999999999997" customHeight="1" x14ac:dyDescent="0.25">
      <c r="A12062" s="11" t="s">
        <v>23758</v>
      </c>
      <c r="B12062" s="11" t="s">
        <v>23758</v>
      </c>
      <c r="C12062" s="11" t="s">
        <v>17</v>
      </c>
      <c r="D12062" s="11" t="s">
        <v>18</v>
      </c>
      <c r="E12062" s="12" t="s">
        <v>84</v>
      </c>
      <c r="F12062" s="12" t="s">
        <v>85</v>
      </c>
      <c r="G12062" s="12" t="s">
        <v>40</v>
      </c>
      <c r="H12062" s="11" t="s">
        <v>63</v>
      </c>
      <c r="I12062" s="13" t="s">
        <v>23759</v>
      </c>
      <c r="J12062" s="14" t="str">
        <f>HYPERLINK("https://www.boe.es/gazeta/dias/1839/03/11/pdfs/GMD-1839-1577.pdf#page=2","Abrir facsímil")</f>
        <v>Abrir facsímil</v>
      </c>
      <c r="K12062" s="12" t="s">
        <v>65</v>
      </c>
    </row>
    <row r="12063" spans="1:11" ht="40.049999999999997" customHeight="1" x14ac:dyDescent="0.25">
      <c r="A12063" s="11" t="s">
        <v>23758</v>
      </c>
      <c r="B12063" s="11" t="s">
        <v>23758</v>
      </c>
      <c r="C12063" s="11" t="s">
        <v>80</v>
      </c>
      <c r="D12063" s="11" t="s">
        <v>18</v>
      </c>
      <c r="E12063" s="12" t="s">
        <v>2995</v>
      </c>
      <c r="F12063" s="12" t="s">
        <v>2996</v>
      </c>
      <c r="G12063" s="12" t="s">
        <v>29</v>
      </c>
      <c r="H12063" s="11" t="s">
        <v>63</v>
      </c>
      <c r="I12063" s="13" t="s">
        <v>23760</v>
      </c>
      <c r="J12063" s="14" t="str">
        <f>HYPERLINK("https://www.boe.es/gazeta/dias/1839/06/16/pdfs/GMD-1839-1674.pdf#page=1","Abrir facsímil")</f>
        <v>Abrir facsímil</v>
      </c>
      <c r="K12063" s="12" t="s">
        <v>65</v>
      </c>
    </row>
    <row r="12064" spans="1:11" ht="40.049999999999997" customHeight="1" x14ac:dyDescent="0.25">
      <c r="A12064" s="11" t="s">
        <v>23761</v>
      </c>
      <c r="B12064" s="11" t="s">
        <v>23761</v>
      </c>
      <c r="C12064" s="11" t="s">
        <v>101</v>
      </c>
      <c r="D12064" s="11" t="s">
        <v>43</v>
      </c>
      <c r="E12064" s="12" t="s">
        <v>346</v>
      </c>
      <c r="F12064" s="12" t="s">
        <v>347</v>
      </c>
      <c r="G12064" s="12" t="s">
        <v>46</v>
      </c>
      <c r="H12064" s="11" t="s">
        <v>63</v>
      </c>
      <c r="I12064" s="13" t="s">
        <v>23762</v>
      </c>
      <c r="J12064" s="14" t="str">
        <f>HYPERLINK("https://www.boe.es/gazeta/dias/1839/03/24/pdfs/GMD-1839-1590.pdf#page=3","Abrir facsímil")</f>
        <v>Abrir facsímil</v>
      </c>
      <c r="K12064" s="12" t="s">
        <v>65</v>
      </c>
    </row>
    <row r="12065" spans="1:11" ht="40.049999999999997" customHeight="1" x14ac:dyDescent="0.25">
      <c r="A12065" s="11" t="s">
        <v>23763</v>
      </c>
      <c r="B12065" s="11" t="s">
        <v>23763</v>
      </c>
      <c r="C12065" s="11" t="s">
        <v>137</v>
      </c>
      <c r="D12065" s="11" t="s">
        <v>18</v>
      </c>
      <c r="E12065" s="12" t="s">
        <v>233</v>
      </c>
      <c r="F12065" s="12" t="s">
        <v>234</v>
      </c>
      <c r="G12065" s="12" t="s">
        <v>46</v>
      </c>
      <c r="H12065" s="11" t="s">
        <v>63</v>
      </c>
      <c r="I12065" s="13" t="s">
        <v>23764</v>
      </c>
      <c r="J12065" s="14" t="str">
        <f>HYPERLINK("https://www.boe.es/gazeta/dias/1839/09/17/pdfs/GMD-1839-1770.pdf#page=3","Abrir facsímil")</f>
        <v>Abrir facsímil</v>
      </c>
      <c r="K12065" s="12" t="s">
        <v>65</v>
      </c>
    </row>
    <row r="12066" spans="1:11" ht="40.049999999999997" customHeight="1" x14ac:dyDescent="0.25">
      <c r="A12066" s="11" t="s">
        <v>23765</v>
      </c>
      <c r="B12066" s="11" t="s">
        <v>23766</v>
      </c>
      <c r="C12066" s="11" t="s">
        <v>101</v>
      </c>
      <c r="D12066" s="11" t="s">
        <v>43</v>
      </c>
      <c r="E12066" s="12" t="s">
        <v>1236</v>
      </c>
      <c r="F12066" s="12" t="s">
        <v>1237</v>
      </c>
      <c r="G12066" s="12" t="s">
        <v>29</v>
      </c>
      <c r="H12066" s="11" t="s">
        <v>63</v>
      </c>
      <c r="I12066" s="13" t="s">
        <v>23767</v>
      </c>
      <c r="J12066" s="14" t="str">
        <f>HYPERLINK("https://www.boe.es/gazeta/dias/1839/10/16/pdfs/GMD-1839-1802.pdf#page=1","Abrir facsímil")</f>
        <v>Abrir facsímil</v>
      </c>
      <c r="K12066" s="12" t="s">
        <v>65</v>
      </c>
    </row>
    <row r="12067" spans="1:11" ht="40.049999999999997" customHeight="1" x14ac:dyDescent="0.25">
      <c r="A12067" s="11" t="s">
        <v>23768</v>
      </c>
      <c r="B12067" s="11" t="s">
        <v>23769</v>
      </c>
      <c r="C12067" s="11" t="s">
        <v>80</v>
      </c>
      <c r="D12067" s="11" t="s">
        <v>18</v>
      </c>
      <c r="E12067" s="12" t="s">
        <v>1628</v>
      </c>
      <c r="F12067" s="12" t="s">
        <v>1629</v>
      </c>
      <c r="G12067" s="12" t="s">
        <v>40</v>
      </c>
      <c r="H12067" s="11" t="s">
        <v>22</v>
      </c>
      <c r="I12067" s="13" t="s">
        <v>23770</v>
      </c>
      <c r="J12067" s="14" t="str">
        <f>HYPERLINK("https://www.boe.es/gazeta/dias/1839/03/10/pdfs/GMD-1839-1576.pdf#page=2","Abrir facsímil")</f>
        <v>Abrir facsímil</v>
      </c>
      <c r="K12067" s="12" t="s">
        <v>24</v>
      </c>
    </row>
    <row r="12068" spans="1:11" ht="40.049999999999997" customHeight="1" x14ac:dyDescent="0.25">
      <c r="A12068" s="11" t="s">
        <v>23771</v>
      </c>
      <c r="B12068" s="11" t="s">
        <v>23772</v>
      </c>
      <c r="C12068" s="11" t="s">
        <v>17</v>
      </c>
      <c r="D12068" s="11" t="s">
        <v>18</v>
      </c>
      <c r="E12068" s="12" t="s">
        <v>168</v>
      </c>
      <c r="F12068" s="12" t="s">
        <v>169</v>
      </c>
      <c r="G12068" s="12" t="s">
        <v>21</v>
      </c>
      <c r="H12068" s="11" t="s">
        <v>63</v>
      </c>
      <c r="I12068" s="13" t="s">
        <v>23773</v>
      </c>
      <c r="J12068" s="14" t="str">
        <f>HYPERLINK("https://www.boe.es/gazeta/dias/1839/07/12/pdfs/GMD-1839-1700.pdf#page=4","Abrir facsímil")</f>
        <v>Abrir facsímil</v>
      </c>
      <c r="K12068" s="12" t="s">
        <v>65</v>
      </c>
    </row>
    <row r="12069" spans="1:11" ht="40.049999999999997" customHeight="1" x14ac:dyDescent="0.25">
      <c r="A12069" s="11" t="s">
        <v>23774</v>
      </c>
      <c r="B12069" s="11" t="s">
        <v>23774</v>
      </c>
      <c r="C12069" s="11" t="s">
        <v>59</v>
      </c>
      <c r="D12069" s="11" t="s">
        <v>60</v>
      </c>
      <c r="E12069" s="12" t="s">
        <v>1460</v>
      </c>
      <c r="F12069" s="12" t="s">
        <v>1461</v>
      </c>
      <c r="G12069" s="12" t="s">
        <v>40</v>
      </c>
      <c r="H12069" s="11" t="s">
        <v>63</v>
      </c>
      <c r="I12069" s="13" t="s">
        <v>23775</v>
      </c>
      <c r="J12069" s="14" t="str">
        <f>HYPERLINK("https://www.boe.es/gazeta/dias/1839/03/01/pdfs/GMD-1839-1567.pdf#page=2","Abrir facsímil")</f>
        <v>Abrir facsímil</v>
      </c>
      <c r="K12069" s="12" t="s">
        <v>65</v>
      </c>
    </row>
    <row r="12070" spans="1:11" ht="40.049999999999997" customHeight="1" x14ac:dyDescent="0.25">
      <c r="A12070" s="11" t="s">
        <v>23774</v>
      </c>
      <c r="B12070" s="11" t="s">
        <v>23774</v>
      </c>
      <c r="C12070" s="11" t="s">
        <v>17</v>
      </c>
      <c r="D12070" s="11" t="s">
        <v>18</v>
      </c>
      <c r="E12070" s="12" t="s">
        <v>369</v>
      </c>
      <c r="F12070" s="12" t="s">
        <v>370</v>
      </c>
      <c r="G12070" s="12" t="s">
        <v>40</v>
      </c>
      <c r="H12070" s="11" t="s">
        <v>63</v>
      </c>
      <c r="I12070" s="13" t="s">
        <v>23776</v>
      </c>
      <c r="J12070" s="14" t="str">
        <f>HYPERLINK("https://www.boe.es/gazeta/dias/1839/11/01/pdfs/GMD-1839-1818.pdf#page=2","Abrir facsímil")</f>
        <v>Abrir facsímil</v>
      </c>
      <c r="K12070" s="12" t="s">
        <v>65</v>
      </c>
    </row>
    <row r="12071" spans="1:11" ht="40.049999999999997" customHeight="1" x14ac:dyDescent="0.25">
      <c r="A12071" s="11" t="s">
        <v>23774</v>
      </c>
      <c r="B12071" s="11" t="s">
        <v>23774</v>
      </c>
      <c r="C12071" s="11" t="s">
        <v>17</v>
      </c>
      <c r="D12071" s="11" t="s">
        <v>18</v>
      </c>
      <c r="E12071" s="12" t="s">
        <v>369</v>
      </c>
      <c r="F12071" s="12" t="s">
        <v>370</v>
      </c>
      <c r="G12071" s="12" t="s">
        <v>46</v>
      </c>
      <c r="H12071" s="11" t="s">
        <v>63</v>
      </c>
      <c r="I12071" s="13" t="s">
        <v>23777</v>
      </c>
      <c r="J12071" s="14" t="str">
        <f>HYPERLINK("https://www.boe.es/gazeta/dias/1839/11/01/pdfs/GMD-1839-1818.pdf#page=3","Abrir facsímil")</f>
        <v>Abrir facsímil</v>
      </c>
      <c r="K12071" s="12" t="s">
        <v>65</v>
      </c>
    </row>
    <row r="12072" spans="1:11" ht="40.049999999999997" customHeight="1" x14ac:dyDescent="0.25">
      <c r="A12072" s="11" t="s">
        <v>23774</v>
      </c>
      <c r="B12072" s="11" t="s">
        <v>23774</v>
      </c>
      <c r="C12072" s="11" t="s">
        <v>137</v>
      </c>
      <c r="D12072" s="11" t="s">
        <v>18</v>
      </c>
      <c r="E12072" s="12" t="s">
        <v>81</v>
      </c>
      <c r="F12072" s="12" t="s">
        <v>82</v>
      </c>
      <c r="G12072" s="12" t="s">
        <v>40</v>
      </c>
      <c r="H12072" s="11" t="s">
        <v>63</v>
      </c>
      <c r="I12072" s="13" t="s">
        <v>23778</v>
      </c>
      <c r="J12072" s="14" t="str">
        <f>HYPERLINK("https://www.boe.es/gazeta/dias/1839/03/03/pdfs/GMD-1839-1569.pdf#page=2","Abrir facsímil")</f>
        <v>Abrir facsímil</v>
      </c>
      <c r="K12072" s="12" t="s">
        <v>65</v>
      </c>
    </row>
    <row r="12073" spans="1:11" ht="40.049999999999997" customHeight="1" x14ac:dyDescent="0.25">
      <c r="A12073" s="11" t="s">
        <v>23774</v>
      </c>
      <c r="B12073" s="11" t="s">
        <v>23774</v>
      </c>
      <c r="C12073" s="11" t="s">
        <v>17</v>
      </c>
      <c r="D12073" s="11" t="s">
        <v>18</v>
      </c>
      <c r="E12073" s="12" t="s">
        <v>1136</v>
      </c>
      <c r="F12073" s="12" t="s">
        <v>1137</v>
      </c>
      <c r="G12073" s="12" t="s">
        <v>46</v>
      </c>
      <c r="H12073" s="11" t="s">
        <v>63</v>
      </c>
      <c r="I12073" s="13" t="s">
        <v>23779</v>
      </c>
      <c r="J12073" s="14" t="str">
        <f>HYPERLINK("https://www.boe.es/gazeta/dias/1839/04/03/pdfs/GMD-1839-1600.pdf#page=3","Abrir facsímil")</f>
        <v>Abrir facsímil</v>
      </c>
      <c r="K12073" s="12" t="s">
        <v>65</v>
      </c>
    </row>
    <row r="12074" spans="1:11" ht="40.049999999999997" customHeight="1" x14ac:dyDescent="0.25">
      <c r="A12074" s="11" t="s">
        <v>23774</v>
      </c>
      <c r="B12074" s="11" t="s">
        <v>23774</v>
      </c>
      <c r="C12074" s="11" t="s">
        <v>17</v>
      </c>
      <c r="D12074" s="11" t="s">
        <v>18</v>
      </c>
      <c r="E12074" s="12" t="s">
        <v>3224</v>
      </c>
      <c r="F12074" s="12" t="s">
        <v>3225</v>
      </c>
      <c r="G12074" s="12" t="s">
        <v>40</v>
      </c>
      <c r="H12074" s="11" t="s">
        <v>63</v>
      </c>
      <c r="I12074" s="13" t="s">
        <v>23780</v>
      </c>
      <c r="J12074" s="14" t="str">
        <f>HYPERLINK("https://www.boe.es/gazeta/dias/1839/06/03/pdfs/GMD-1839-1661.pdf#page=2","Abrir facsímil")</f>
        <v>Abrir facsímil</v>
      </c>
      <c r="K12074" s="12" t="s">
        <v>65</v>
      </c>
    </row>
    <row r="12075" spans="1:11" ht="40.049999999999997" customHeight="1" x14ac:dyDescent="0.25">
      <c r="A12075" s="11" t="s">
        <v>23774</v>
      </c>
      <c r="B12075" s="11" t="s">
        <v>23774</v>
      </c>
      <c r="C12075" s="11" t="s">
        <v>17</v>
      </c>
      <c r="D12075" s="11" t="s">
        <v>18</v>
      </c>
      <c r="E12075" s="12" t="s">
        <v>3224</v>
      </c>
      <c r="F12075" s="12" t="s">
        <v>3225</v>
      </c>
      <c r="G12075" s="12" t="s">
        <v>46</v>
      </c>
      <c r="H12075" s="11" t="s">
        <v>63</v>
      </c>
      <c r="I12075" s="13" t="s">
        <v>23781</v>
      </c>
      <c r="J12075" s="14" t="str">
        <f>HYPERLINK("https://www.boe.es/gazeta/dias/1839/06/03/pdfs/GMD-1839-1661.pdf#page=3","Abrir facsímil")</f>
        <v>Abrir facsímil</v>
      </c>
      <c r="K12075" s="12" t="s">
        <v>65</v>
      </c>
    </row>
    <row r="12076" spans="1:11" ht="40.049999999999997" customHeight="1" x14ac:dyDescent="0.25">
      <c r="A12076" s="11" t="s">
        <v>23774</v>
      </c>
      <c r="B12076" s="11" t="s">
        <v>23774</v>
      </c>
      <c r="C12076" s="11" t="s">
        <v>17</v>
      </c>
      <c r="D12076" s="11" t="s">
        <v>18</v>
      </c>
      <c r="E12076" s="12" t="s">
        <v>798</v>
      </c>
      <c r="F12076" s="12" t="s">
        <v>799</v>
      </c>
      <c r="G12076" s="12" t="s">
        <v>40</v>
      </c>
      <c r="H12076" s="11" t="s">
        <v>63</v>
      </c>
      <c r="I12076" s="13" t="s">
        <v>23782</v>
      </c>
      <c r="J12076" s="14" t="str">
        <f>HYPERLINK("https://www.boe.es/gazeta/dias/1839/09/03/pdfs/GMD-1839-1755.pdf#page=2","Abrir facsímil")</f>
        <v>Abrir facsímil</v>
      </c>
      <c r="K12076" s="12" t="s">
        <v>65</v>
      </c>
    </row>
    <row r="12077" spans="1:11" ht="40.049999999999997" customHeight="1" x14ac:dyDescent="0.25">
      <c r="A12077" s="11" t="s">
        <v>23774</v>
      </c>
      <c r="B12077" s="11" t="s">
        <v>23774</v>
      </c>
      <c r="C12077" s="11" t="s">
        <v>101</v>
      </c>
      <c r="D12077" s="11" t="s">
        <v>43</v>
      </c>
      <c r="E12077" s="12" t="s">
        <v>212</v>
      </c>
      <c r="F12077" s="12" t="s">
        <v>213</v>
      </c>
      <c r="G12077" s="12" t="s">
        <v>46</v>
      </c>
      <c r="H12077" s="11" t="s">
        <v>63</v>
      </c>
      <c r="I12077" s="13" t="s">
        <v>23783</v>
      </c>
      <c r="J12077" s="14" t="str">
        <f>HYPERLINK("https://www.boe.es/gazeta/dias/1839/10/03/pdfs/GMD-1839-1789.pdf#page=3","Abrir facsímil")</f>
        <v>Abrir facsímil</v>
      </c>
      <c r="K12077" s="12" t="s">
        <v>65</v>
      </c>
    </row>
    <row r="12078" spans="1:11" ht="40.049999999999997" customHeight="1" x14ac:dyDescent="0.25">
      <c r="A12078" s="11" t="s">
        <v>23774</v>
      </c>
      <c r="B12078" s="11" t="s">
        <v>23774</v>
      </c>
      <c r="C12078" s="11" t="s">
        <v>17</v>
      </c>
      <c r="D12078" s="11" t="s">
        <v>18</v>
      </c>
      <c r="E12078" s="12" t="s">
        <v>883</v>
      </c>
      <c r="F12078" s="12" t="s">
        <v>884</v>
      </c>
      <c r="G12078" s="12" t="s">
        <v>46</v>
      </c>
      <c r="H12078" s="11" t="s">
        <v>63</v>
      </c>
      <c r="I12078" s="13" t="s">
        <v>23784</v>
      </c>
      <c r="J12078" s="14" t="str">
        <f>HYPERLINK("https://www.boe.es/gazeta/dias/1839/11/03/pdfs/GMD-1839-1820.pdf#page=3","Abrir facsímil")</f>
        <v>Abrir facsímil</v>
      </c>
      <c r="K12078" s="12" t="s">
        <v>65</v>
      </c>
    </row>
    <row r="12079" spans="1:11" ht="40.049999999999997" customHeight="1" x14ac:dyDescent="0.25">
      <c r="A12079" s="11" t="s">
        <v>23774</v>
      </c>
      <c r="B12079" s="11" t="s">
        <v>23774</v>
      </c>
      <c r="C12079" s="11" t="s">
        <v>101</v>
      </c>
      <c r="D12079" s="11" t="s">
        <v>102</v>
      </c>
      <c r="E12079" s="12" t="s">
        <v>3236</v>
      </c>
      <c r="F12079" s="12" t="s">
        <v>3237</v>
      </c>
      <c r="G12079" s="12" t="s">
        <v>46</v>
      </c>
      <c r="H12079" s="11" t="s">
        <v>63</v>
      </c>
      <c r="I12079" s="13" t="s">
        <v>23785</v>
      </c>
      <c r="J12079" s="14" t="str">
        <f>HYPERLINK("https://www.boe.es/gazeta/dias/1839/12/03/pdfs/GMD-1839-1850.pdf#page=3","Abrir facsímil")</f>
        <v>Abrir facsímil</v>
      </c>
      <c r="K12079" s="12" t="s">
        <v>65</v>
      </c>
    </row>
    <row r="12080" spans="1:11" ht="40.049999999999997" customHeight="1" x14ac:dyDescent="0.25">
      <c r="A12080" s="11" t="s">
        <v>23774</v>
      </c>
      <c r="B12080" s="11" t="s">
        <v>23774</v>
      </c>
      <c r="C12080" s="11" t="s">
        <v>17</v>
      </c>
      <c r="D12080" s="11" t="s">
        <v>18</v>
      </c>
      <c r="E12080" s="12" t="s">
        <v>324</v>
      </c>
      <c r="F12080" s="12" t="s">
        <v>325</v>
      </c>
      <c r="G12080" s="12" t="s">
        <v>21</v>
      </c>
      <c r="H12080" s="11" t="s">
        <v>63</v>
      </c>
      <c r="I12080" s="13" t="s">
        <v>23786</v>
      </c>
      <c r="J12080" s="14" t="str">
        <f>HYPERLINK("https://www.boe.es/gazeta/dias/1839/02/04/pdfs/GMD-1839-1542.pdf#page=4","Abrir facsímil")</f>
        <v>Abrir facsímil</v>
      </c>
      <c r="K12080" s="12" t="s">
        <v>65</v>
      </c>
    </row>
    <row r="12081" spans="1:11" ht="40.049999999999997" customHeight="1" x14ac:dyDescent="0.25">
      <c r="A12081" s="11" t="s">
        <v>23774</v>
      </c>
      <c r="B12081" s="11" t="s">
        <v>23774</v>
      </c>
      <c r="C12081" s="11" t="s">
        <v>17</v>
      </c>
      <c r="D12081" s="11" t="s">
        <v>18</v>
      </c>
      <c r="E12081" s="12" t="s">
        <v>1388</v>
      </c>
      <c r="F12081" s="12" t="s">
        <v>1389</v>
      </c>
      <c r="G12081" s="12" t="s">
        <v>46</v>
      </c>
      <c r="H12081" s="11" t="s">
        <v>63</v>
      </c>
      <c r="I12081" s="13" t="s">
        <v>23787</v>
      </c>
      <c r="J12081" s="14" t="str">
        <f>HYPERLINK("https://www.boe.es/gazeta/dias/1839/06/04/pdfs/GMD-1839-1662.pdf#page=3","Abrir facsímil")</f>
        <v>Abrir facsímil</v>
      </c>
      <c r="K12081" s="12" t="s">
        <v>65</v>
      </c>
    </row>
    <row r="12082" spans="1:11" ht="40.049999999999997" customHeight="1" x14ac:dyDescent="0.25">
      <c r="A12082" s="11" t="s">
        <v>23774</v>
      </c>
      <c r="B12082" s="11" t="s">
        <v>23774</v>
      </c>
      <c r="C12082" s="11" t="s">
        <v>17</v>
      </c>
      <c r="D12082" s="11" t="s">
        <v>18</v>
      </c>
      <c r="E12082" s="12" t="s">
        <v>1388</v>
      </c>
      <c r="F12082" s="12" t="s">
        <v>1389</v>
      </c>
      <c r="G12082" s="12" t="s">
        <v>21</v>
      </c>
      <c r="H12082" s="11" t="s">
        <v>63</v>
      </c>
      <c r="I12082" s="13" t="s">
        <v>23788</v>
      </c>
      <c r="J12082" s="14" t="str">
        <f>HYPERLINK("https://www.boe.es/gazeta/dias/1839/06/04/pdfs/GMD-1839-1662.pdf#page=4","Abrir facsímil")</f>
        <v>Abrir facsímil</v>
      </c>
      <c r="K12082" s="12" t="s">
        <v>65</v>
      </c>
    </row>
    <row r="12083" spans="1:11" ht="40.049999999999997" customHeight="1" x14ac:dyDescent="0.25">
      <c r="A12083" s="11" t="s">
        <v>23774</v>
      </c>
      <c r="B12083" s="11" t="s">
        <v>23774</v>
      </c>
      <c r="C12083" s="11" t="s">
        <v>17</v>
      </c>
      <c r="D12083" s="11" t="s">
        <v>18</v>
      </c>
      <c r="E12083" s="12" t="s">
        <v>291</v>
      </c>
      <c r="F12083" s="12" t="s">
        <v>292</v>
      </c>
      <c r="G12083" s="12" t="s">
        <v>40</v>
      </c>
      <c r="H12083" s="11" t="s">
        <v>63</v>
      </c>
      <c r="I12083" s="13" t="s">
        <v>23789</v>
      </c>
      <c r="J12083" s="14" t="str">
        <f>HYPERLINK("https://www.boe.es/gazeta/dias/1839/09/04/pdfs/GMD-1839-1757.pdf#page=2","Abrir facsímil")</f>
        <v>Abrir facsímil</v>
      </c>
      <c r="K12083" s="12" t="s">
        <v>65</v>
      </c>
    </row>
    <row r="12084" spans="1:11" ht="40.049999999999997" customHeight="1" x14ac:dyDescent="0.25">
      <c r="A12084" s="11" t="s">
        <v>23774</v>
      </c>
      <c r="B12084" s="11" t="s">
        <v>23774</v>
      </c>
      <c r="C12084" s="11" t="s">
        <v>17</v>
      </c>
      <c r="D12084" s="11" t="s">
        <v>18</v>
      </c>
      <c r="E12084" s="12" t="s">
        <v>291</v>
      </c>
      <c r="F12084" s="12" t="s">
        <v>292</v>
      </c>
      <c r="G12084" s="12" t="s">
        <v>21</v>
      </c>
      <c r="H12084" s="11" t="s">
        <v>63</v>
      </c>
      <c r="I12084" s="13" t="s">
        <v>23790</v>
      </c>
      <c r="J12084" s="14" t="str">
        <f>HYPERLINK("https://www.boe.es/gazeta/dias/1839/09/04/pdfs/GMD-1839-1757.pdf#page=4","Abrir facsímil")</f>
        <v>Abrir facsímil</v>
      </c>
      <c r="K12084" s="12" t="s">
        <v>65</v>
      </c>
    </row>
    <row r="12085" spans="1:11" ht="40.049999999999997" customHeight="1" x14ac:dyDescent="0.25">
      <c r="A12085" s="11" t="s">
        <v>23774</v>
      </c>
      <c r="B12085" s="11" t="s">
        <v>23774</v>
      </c>
      <c r="C12085" s="11" t="s">
        <v>80</v>
      </c>
      <c r="D12085" s="11" t="s">
        <v>18</v>
      </c>
      <c r="E12085" s="12" t="s">
        <v>197</v>
      </c>
      <c r="F12085" s="12" t="s">
        <v>198</v>
      </c>
      <c r="G12085" s="12" t="s">
        <v>21</v>
      </c>
      <c r="H12085" s="11" t="s">
        <v>63</v>
      </c>
      <c r="I12085" s="13" t="s">
        <v>23791</v>
      </c>
      <c r="J12085" s="14" t="str">
        <f>HYPERLINK("https://www.boe.es/gazeta/dias/1839/10/04/pdfs/GMD-1839-1790.pdf#page=4","Abrir facsímil")</f>
        <v>Abrir facsímil</v>
      </c>
      <c r="K12085" s="12" t="s">
        <v>65</v>
      </c>
    </row>
    <row r="12086" spans="1:11" ht="40.049999999999997" customHeight="1" x14ac:dyDescent="0.25">
      <c r="A12086" s="11" t="s">
        <v>23774</v>
      </c>
      <c r="B12086" s="11" t="s">
        <v>23774</v>
      </c>
      <c r="C12086" s="11" t="s">
        <v>17</v>
      </c>
      <c r="D12086" s="11" t="s">
        <v>18</v>
      </c>
      <c r="E12086" s="12" t="s">
        <v>2227</v>
      </c>
      <c r="F12086" s="12" t="s">
        <v>2228</v>
      </c>
      <c r="G12086" s="12" t="s">
        <v>46</v>
      </c>
      <c r="H12086" s="11" t="s">
        <v>63</v>
      </c>
      <c r="I12086" s="13" t="s">
        <v>23792</v>
      </c>
      <c r="J12086" s="14" t="str">
        <f>HYPERLINK("https://www.boe.es/gazeta/dias/1839/12/04/pdfs/GMD-1839-1851.pdf#page=3","Abrir facsímil")</f>
        <v>Abrir facsímil</v>
      </c>
      <c r="K12086" s="12" t="s">
        <v>65</v>
      </c>
    </row>
    <row r="12087" spans="1:11" ht="40.049999999999997" customHeight="1" x14ac:dyDescent="0.25">
      <c r="A12087" s="11" t="s">
        <v>23774</v>
      </c>
      <c r="B12087" s="11" t="s">
        <v>23774</v>
      </c>
      <c r="C12087" s="11" t="s">
        <v>137</v>
      </c>
      <c r="D12087" s="11" t="s">
        <v>18</v>
      </c>
      <c r="E12087" s="12" t="s">
        <v>202</v>
      </c>
      <c r="F12087" s="12" t="s">
        <v>203</v>
      </c>
      <c r="G12087" s="12" t="s">
        <v>40</v>
      </c>
      <c r="H12087" s="11" t="s">
        <v>63</v>
      </c>
      <c r="I12087" s="13" t="s">
        <v>23793</v>
      </c>
      <c r="J12087" s="14" t="str">
        <f>HYPERLINK("https://www.boe.es/gazeta/dias/1839/04/05/pdfs/GMD-1839-1602.pdf#page=2","Abrir facsímil")</f>
        <v>Abrir facsímil</v>
      </c>
      <c r="K12087" s="12" t="s">
        <v>65</v>
      </c>
    </row>
    <row r="12088" spans="1:11" ht="40.049999999999997" customHeight="1" x14ac:dyDescent="0.25">
      <c r="A12088" s="11" t="s">
        <v>23774</v>
      </c>
      <c r="B12088" s="11" t="s">
        <v>23774</v>
      </c>
      <c r="C12088" s="11" t="s">
        <v>59</v>
      </c>
      <c r="D12088" s="11" t="s">
        <v>60</v>
      </c>
      <c r="E12088" s="12" t="s">
        <v>1340</v>
      </c>
      <c r="F12088" s="12" t="s">
        <v>1341</v>
      </c>
      <c r="G12088" s="12" t="s">
        <v>21</v>
      </c>
      <c r="H12088" s="11" t="s">
        <v>63</v>
      </c>
      <c r="I12088" s="13" t="s">
        <v>23794</v>
      </c>
      <c r="J12088" s="14" t="str">
        <f>HYPERLINK("https://www.boe.es/gazeta/dias/1839/05/05/pdfs/GMD-1839-1632.pdf#page=4","Abrir facsímil")</f>
        <v>Abrir facsímil</v>
      </c>
      <c r="K12088" s="12" t="s">
        <v>65</v>
      </c>
    </row>
    <row r="12089" spans="1:11" ht="40.049999999999997" customHeight="1" x14ac:dyDescent="0.25">
      <c r="A12089" s="11" t="s">
        <v>23774</v>
      </c>
      <c r="B12089" s="11" t="s">
        <v>23774</v>
      </c>
      <c r="C12089" s="11" t="s">
        <v>17</v>
      </c>
      <c r="D12089" s="11" t="s">
        <v>18</v>
      </c>
      <c r="E12089" s="12" t="s">
        <v>54</v>
      </c>
      <c r="F12089" s="12" t="s">
        <v>55</v>
      </c>
      <c r="G12089" s="12" t="s">
        <v>566</v>
      </c>
      <c r="H12089" s="11" t="s">
        <v>63</v>
      </c>
      <c r="I12089" s="13" t="s">
        <v>23795</v>
      </c>
      <c r="J12089" s="14" t="str">
        <f>HYPERLINK("https://www.boe.es/gazeta/dias/1839/10/05/pdfs/GMD-1839-1791.pdf#page=5","Abrir facsímil")</f>
        <v>Abrir facsímil</v>
      </c>
      <c r="K12089" s="12" t="s">
        <v>65</v>
      </c>
    </row>
    <row r="12090" spans="1:11" ht="40.049999999999997" customHeight="1" x14ac:dyDescent="0.25">
      <c r="A12090" s="11" t="s">
        <v>23774</v>
      </c>
      <c r="B12090" s="11" t="s">
        <v>23774</v>
      </c>
      <c r="C12090" s="11" t="s">
        <v>17</v>
      </c>
      <c r="D12090" s="11" t="s">
        <v>18</v>
      </c>
      <c r="E12090" s="12" t="s">
        <v>448</v>
      </c>
      <c r="F12090" s="12" t="s">
        <v>449</v>
      </c>
      <c r="G12090" s="12" t="s">
        <v>29</v>
      </c>
      <c r="H12090" s="11" t="s">
        <v>63</v>
      </c>
      <c r="I12090" s="13" t="s">
        <v>23796</v>
      </c>
      <c r="J12090" s="14" t="str">
        <f>HYPERLINK("https://www.boe.es/gazeta/dias/1839/02/06/pdfs/GMD-1839-1544.pdf#page=1","Abrir facsímil")</f>
        <v>Abrir facsímil</v>
      </c>
      <c r="K12090" s="12" t="s">
        <v>65</v>
      </c>
    </row>
    <row r="12091" spans="1:11" ht="40.049999999999997" customHeight="1" x14ac:dyDescent="0.25">
      <c r="A12091" s="11" t="s">
        <v>23774</v>
      </c>
      <c r="B12091" s="11" t="s">
        <v>23774</v>
      </c>
      <c r="C12091" s="11" t="s">
        <v>17</v>
      </c>
      <c r="D12091" s="11" t="s">
        <v>18</v>
      </c>
      <c r="E12091" s="12" t="s">
        <v>998</v>
      </c>
      <c r="F12091" s="12" t="s">
        <v>999</v>
      </c>
      <c r="G12091" s="12" t="s">
        <v>46</v>
      </c>
      <c r="H12091" s="11" t="s">
        <v>63</v>
      </c>
      <c r="I12091" s="13" t="s">
        <v>23797</v>
      </c>
      <c r="J12091" s="14" t="str">
        <f>HYPERLINK("https://www.boe.es/gazeta/dias/1839/05/06/pdfs/GMD-1839-1633.pdf#page=3","Abrir facsímil")</f>
        <v>Abrir facsímil</v>
      </c>
      <c r="K12091" s="12" t="s">
        <v>65</v>
      </c>
    </row>
    <row r="12092" spans="1:11" ht="40.049999999999997" customHeight="1" x14ac:dyDescent="0.25">
      <c r="A12092" s="11" t="s">
        <v>23774</v>
      </c>
      <c r="B12092" s="11" t="s">
        <v>23774</v>
      </c>
      <c r="C12092" s="11" t="s">
        <v>17</v>
      </c>
      <c r="D12092" s="11" t="s">
        <v>18</v>
      </c>
      <c r="E12092" s="12" t="s">
        <v>500</v>
      </c>
      <c r="F12092" s="12" t="s">
        <v>501</v>
      </c>
      <c r="G12092" s="12" t="s">
        <v>46</v>
      </c>
      <c r="H12092" s="11" t="s">
        <v>63</v>
      </c>
      <c r="I12092" s="13" t="s">
        <v>23798</v>
      </c>
      <c r="J12092" s="14" t="str">
        <f>HYPERLINK("https://www.boe.es/gazeta/dias/1839/11/06/pdfs/GMD-1839-1823.pdf#page=3","Abrir facsímil")</f>
        <v>Abrir facsímil</v>
      </c>
      <c r="K12092" s="12" t="s">
        <v>65</v>
      </c>
    </row>
    <row r="12093" spans="1:11" ht="40.049999999999997" customHeight="1" x14ac:dyDescent="0.25">
      <c r="A12093" s="11" t="s">
        <v>23774</v>
      </c>
      <c r="B12093" s="11" t="s">
        <v>23774</v>
      </c>
      <c r="C12093" s="11" t="s">
        <v>101</v>
      </c>
      <c r="D12093" s="11" t="s">
        <v>102</v>
      </c>
      <c r="E12093" s="12" t="s">
        <v>1623</v>
      </c>
      <c r="F12093" s="12" t="s">
        <v>1624</v>
      </c>
      <c r="G12093" s="12" t="s">
        <v>40</v>
      </c>
      <c r="H12093" s="11" t="s">
        <v>63</v>
      </c>
      <c r="I12093" s="13" t="s">
        <v>23799</v>
      </c>
      <c r="J12093" s="14" t="str">
        <f>HYPERLINK("https://www.boe.es/gazeta/dias/1839/04/07/pdfs/GMD-1839-1604.pdf#page=2","Abrir facsímil")</f>
        <v>Abrir facsímil</v>
      </c>
      <c r="K12093" s="12" t="s">
        <v>65</v>
      </c>
    </row>
    <row r="12094" spans="1:11" ht="40.049999999999997" customHeight="1" x14ac:dyDescent="0.25">
      <c r="A12094" s="11" t="s">
        <v>23774</v>
      </c>
      <c r="B12094" s="11" t="s">
        <v>23774</v>
      </c>
      <c r="C12094" s="11" t="s">
        <v>17</v>
      </c>
      <c r="D12094" s="11" t="s">
        <v>18</v>
      </c>
      <c r="E12094" s="12" t="s">
        <v>1772</v>
      </c>
      <c r="F12094" s="12" t="s">
        <v>1773</v>
      </c>
      <c r="G12094" s="12" t="s">
        <v>21</v>
      </c>
      <c r="H12094" s="11" t="s">
        <v>63</v>
      </c>
      <c r="I12094" s="13" t="s">
        <v>23800</v>
      </c>
      <c r="J12094" s="14" t="str">
        <f>HYPERLINK("https://www.boe.es/gazeta/dias/1839/05/07/pdfs/GMD-1839-1634.pdf#page=4","Abrir facsímil")</f>
        <v>Abrir facsímil</v>
      </c>
      <c r="K12094" s="12" t="s">
        <v>65</v>
      </c>
    </row>
    <row r="12095" spans="1:11" ht="40.049999999999997" customHeight="1" x14ac:dyDescent="0.25">
      <c r="A12095" s="11" t="s">
        <v>23774</v>
      </c>
      <c r="B12095" s="11" t="s">
        <v>23774</v>
      </c>
      <c r="C12095" s="11" t="s">
        <v>17</v>
      </c>
      <c r="D12095" s="11" t="s">
        <v>18</v>
      </c>
      <c r="E12095" s="12" t="s">
        <v>38</v>
      </c>
      <c r="F12095" s="12" t="s">
        <v>39</v>
      </c>
      <c r="G12095" s="12" t="s">
        <v>40</v>
      </c>
      <c r="H12095" s="11" t="s">
        <v>63</v>
      </c>
      <c r="I12095" s="13" t="s">
        <v>23801</v>
      </c>
      <c r="J12095" s="14" t="str">
        <f>HYPERLINK("https://www.boe.es/gazeta/dias/1839/08/08/pdfs/GMD-1839-1728.pdf#page=2","Abrir facsímil")</f>
        <v>Abrir facsímil</v>
      </c>
      <c r="K12095" s="12" t="s">
        <v>65</v>
      </c>
    </row>
    <row r="12096" spans="1:11" ht="40.049999999999997" customHeight="1" x14ac:dyDescent="0.25">
      <c r="A12096" s="11" t="s">
        <v>23774</v>
      </c>
      <c r="B12096" s="11" t="s">
        <v>23774</v>
      </c>
      <c r="C12096" s="11" t="s">
        <v>101</v>
      </c>
      <c r="D12096" s="11" t="s">
        <v>43</v>
      </c>
      <c r="E12096" s="12" t="s">
        <v>647</v>
      </c>
      <c r="F12096" s="12" t="s">
        <v>648</v>
      </c>
      <c r="G12096" s="12" t="s">
        <v>566</v>
      </c>
      <c r="H12096" s="11" t="s">
        <v>63</v>
      </c>
      <c r="I12096" s="13" t="s">
        <v>23802</v>
      </c>
      <c r="J12096" s="14" t="str">
        <f>HYPERLINK("https://www.boe.es/gazeta/dias/1839/10/08/pdfs/GMD-1839-1794.pdf#page=5","Abrir facsímil")</f>
        <v>Abrir facsímil</v>
      </c>
      <c r="K12096" s="12" t="s">
        <v>65</v>
      </c>
    </row>
    <row r="12097" spans="1:11" ht="40.049999999999997" customHeight="1" x14ac:dyDescent="0.25">
      <c r="A12097" s="11" t="s">
        <v>23774</v>
      </c>
      <c r="B12097" s="11" t="s">
        <v>23774</v>
      </c>
      <c r="C12097" s="11" t="s">
        <v>17</v>
      </c>
      <c r="D12097" s="11" t="s">
        <v>18</v>
      </c>
      <c r="E12097" s="12" t="s">
        <v>68</v>
      </c>
      <c r="F12097" s="12" t="s">
        <v>69</v>
      </c>
      <c r="G12097" s="12" t="s">
        <v>29</v>
      </c>
      <c r="H12097" s="11" t="s">
        <v>63</v>
      </c>
      <c r="I12097" s="13" t="s">
        <v>23803</v>
      </c>
      <c r="J12097" s="14" t="str">
        <f>HYPERLINK("https://www.boe.es/gazeta/dias/1839/02/09/pdfs/GMD-1839-1547.pdf#page=1","Abrir facsímil")</f>
        <v>Abrir facsímil</v>
      </c>
      <c r="K12097" s="12" t="s">
        <v>65</v>
      </c>
    </row>
    <row r="12098" spans="1:11" ht="40.049999999999997" customHeight="1" x14ac:dyDescent="0.25">
      <c r="A12098" s="11" t="s">
        <v>23774</v>
      </c>
      <c r="B12098" s="11" t="s">
        <v>23774</v>
      </c>
      <c r="C12098" s="11" t="s">
        <v>137</v>
      </c>
      <c r="D12098" s="11" t="s">
        <v>18</v>
      </c>
      <c r="E12098" s="12" t="s">
        <v>984</v>
      </c>
      <c r="F12098" s="12" t="s">
        <v>985</v>
      </c>
      <c r="G12098" s="12" t="s">
        <v>29</v>
      </c>
      <c r="H12098" s="11" t="s">
        <v>63</v>
      </c>
      <c r="I12098" s="13" t="s">
        <v>23804</v>
      </c>
      <c r="J12098" s="14" t="str">
        <f>HYPERLINK("https://www.boe.es/gazeta/dias/1839/04/10/pdfs/GMD-1839-1607.pdf#page=1","Abrir facsímil")</f>
        <v>Abrir facsímil</v>
      </c>
      <c r="K12098" s="12" t="s">
        <v>65</v>
      </c>
    </row>
    <row r="12099" spans="1:11" ht="40.049999999999997" customHeight="1" x14ac:dyDescent="0.25">
      <c r="A12099" s="11" t="s">
        <v>23774</v>
      </c>
      <c r="B12099" s="11" t="s">
        <v>23774</v>
      </c>
      <c r="C12099" s="11" t="s">
        <v>80</v>
      </c>
      <c r="D12099" s="11" t="s">
        <v>18</v>
      </c>
      <c r="E12099" s="12" t="s">
        <v>1631</v>
      </c>
      <c r="F12099" s="12" t="s">
        <v>1632</v>
      </c>
      <c r="G12099" s="12" t="s">
        <v>21</v>
      </c>
      <c r="H12099" s="11" t="s">
        <v>63</v>
      </c>
      <c r="I12099" s="13" t="s">
        <v>23805</v>
      </c>
      <c r="J12099" s="14" t="str">
        <f>HYPERLINK("https://www.boe.es/gazeta/dias/1839/05/10/pdfs/GMD-1839-1637.pdf#page=4","Abrir facsímil")</f>
        <v>Abrir facsímil</v>
      </c>
      <c r="K12099" s="12" t="s">
        <v>65</v>
      </c>
    </row>
    <row r="12100" spans="1:11" ht="40.049999999999997" customHeight="1" x14ac:dyDescent="0.25">
      <c r="A12100" s="11" t="s">
        <v>23774</v>
      </c>
      <c r="B12100" s="11" t="s">
        <v>23774</v>
      </c>
      <c r="C12100" s="11" t="s">
        <v>17</v>
      </c>
      <c r="D12100" s="11" t="s">
        <v>18</v>
      </c>
      <c r="E12100" s="12" t="s">
        <v>116</v>
      </c>
      <c r="F12100" s="12" t="s">
        <v>117</v>
      </c>
      <c r="G12100" s="12" t="s">
        <v>40</v>
      </c>
      <c r="H12100" s="11" t="s">
        <v>63</v>
      </c>
      <c r="I12100" s="13" t="s">
        <v>23806</v>
      </c>
      <c r="J12100" s="14" t="str">
        <f>HYPERLINK("https://www.boe.es/gazeta/dias/1839/10/10/pdfs/GMD-1839-1796.pdf#page=2","Abrir facsímil")</f>
        <v>Abrir facsímil</v>
      </c>
      <c r="K12100" s="12" t="s">
        <v>65</v>
      </c>
    </row>
    <row r="12101" spans="1:11" ht="40.049999999999997" customHeight="1" x14ac:dyDescent="0.25">
      <c r="A12101" s="11" t="s">
        <v>23774</v>
      </c>
      <c r="B12101" s="11" t="s">
        <v>23774</v>
      </c>
      <c r="C12101" s="11" t="s">
        <v>101</v>
      </c>
      <c r="D12101" s="11" t="s">
        <v>102</v>
      </c>
      <c r="E12101" s="12" t="s">
        <v>272</v>
      </c>
      <c r="F12101" s="12" t="s">
        <v>273</v>
      </c>
      <c r="G12101" s="12" t="s">
        <v>29</v>
      </c>
      <c r="H12101" s="11" t="s">
        <v>63</v>
      </c>
      <c r="I12101" s="13" t="s">
        <v>23807</v>
      </c>
      <c r="J12101" s="14" t="str">
        <f>HYPERLINK("https://www.boe.es/gazeta/dias/1839/02/12/pdfs/GMD-1839-1550.pdf#page=1","Abrir facsímil")</f>
        <v>Abrir facsímil</v>
      </c>
      <c r="K12101" s="12" t="s">
        <v>65</v>
      </c>
    </row>
    <row r="12102" spans="1:11" ht="40.049999999999997" customHeight="1" x14ac:dyDescent="0.25">
      <c r="A12102" s="11" t="s">
        <v>23774</v>
      </c>
      <c r="B12102" s="11" t="s">
        <v>23774</v>
      </c>
      <c r="C12102" s="11" t="s">
        <v>17</v>
      </c>
      <c r="D12102" s="11" t="s">
        <v>18</v>
      </c>
      <c r="E12102" s="12" t="s">
        <v>254</v>
      </c>
      <c r="F12102" s="12" t="s">
        <v>255</v>
      </c>
      <c r="G12102" s="12" t="s">
        <v>40</v>
      </c>
      <c r="H12102" s="11" t="s">
        <v>63</v>
      </c>
      <c r="I12102" s="13" t="s">
        <v>23808</v>
      </c>
      <c r="J12102" s="14" t="str">
        <f>HYPERLINK("https://www.boe.es/gazeta/dias/1839/09/12/pdfs/GMD-1839-1765.pdf#page=2","Abrir facsímil")</f>
        <v>Abrir facsímil</v>
      </c>
      <c r="K12102" s="12" t="s">
        <v>65</v>
      </c>
    </row>
    <row r="12103" spans="1:11" ht="40.049999999999997" customHeight="1" x14ac:dyDescent="0.25">
      <c r="A12103" s="11" t="s">
        <v>23774</v>
      </c>
      <c r="B12103" s="11" t="s">
        <v>23774</v>
      </c>
      <c r="C12103" s="11" t="s">
        <v>137</v>
      </c>
      <c r="D12103" s="11" t="s">
        <v>18</v>
      </c>
      <c r="E12103" s="12" t="s">
        <v>1512</v>
      </c>
      <c r="F12103" s="12" t="s">
        <v>1513</v>
      </c>
      <c r="G12103" s="12" t="s">
        <v>21</v>
      </c>
      <c r="H12103" s="11" t="s">
        <v>63</v>
      </c>
      <c r="I12103" s="13" t="s">
        <v>23809</v>
      </c>
      <c r="J12103" s="14" t="str">
        <f>HYPERLINK("https://www.boe.es/gazeta/dias/1839/04/13/pdfs/GMD-1839-1610.pdf#page=4","Abrir facsímil")</f>
        <v>Abrir facsímil</v>
      </c>
      <c r="K12103" s="12" t="s">
        <v>65</v>
      </c>
    </row>
    <row r="12104" spans="1:11" ht="40.049999999999997" customHeight="1" x14ac:dyDescent="0.25">
      <c r="A12104" s="11" t="s">
        <v>23774</v>
      </c>
      <c r="B12104" s="11" t="s">
        <v>23774</v>
      </c>
      <c r="C12104" s="11" t="s">
        <v>17</v>
      </c>
      <c r="D12104" s="11" t="s">
        <v>18</v>
      </c>
      <c r="E12104" s="12" t="s">
        <v>785</v>
      </c>
      <c r="F12104" s="12" t="s">
        <v>786</v>
      </c>
      <c r="G12104" s="12" t="s">
        <v>40</v>
      </c>
      <c r="H12104" s="11" t="s">
        <v>63</v>
      </c>
      <c r="I12104" s="13" t="s">
        <v>23810</v>
      </c>
      <c r="J12104" s="14" t="str">
        <f>HYPERLINK("https://www.boe.es/gazeta/dias/1839/07/13/pdfs/GMD-1839-1701.pdf#page=2","Abrir facsímil")</f>
        <v>Abrir facsímil</v>
      </c>
      <c r="K12104" s="12" t="s">
        <v>65</v>
      </c>
    </row>
    <row r="12105" spans="1:11" ht="40.049999999999997" customHeight="1" x14ac:dyDescent="0.25">
      <c r="A12105" s="11" t="s">
        <v>23774</v>
      </c>
      <c r="B12105" s="11" t="s">
        <v>23774</v>
      </c>
      <c r="C12105" s="11" t="s">
        <v>17</v>
      </c>
      <c r="D12105" s="11" t="s">
        <v>18</v>
      </c>
      <c r="E12105" s="12" t="s">
        <v>1144</v>
      </c>
      <c r="F12105" s="12" t="s">
        <v>1145</v>
      </c>
      <c r="G12105" s="12" t="s">
        <v>21</v>
      </c>
      <c r="H12105" s="11" t="s">
        <v>63</v>
      </c>
      <c r="I12105" s="13" t="s">
        <v>23811</v>
      </c>
      <c r="J12105" s="14" t="str">
        <f>HYPERLINK("https://www.boe.es/gazeta/dias/1839/08/13/pdfs/GMD-1839-1733.pdf#page=4","Abrir facsímil")</f>
        <v>Abrir facsímil</v>
      </c>
      <c r="K12105" s="12" t="s">
        <v>65</v>
      </c>
    </row>
    <row r="12106" spans="1:11" ht="40.049999999999997" customHeight="1" x14ac:dyDescent="0.25">
      <c r="A12106" s="11" t="s">
        <v>23774</v>
      </c>
      <c r="B12106" s="11" t="s">
        <v>23774</v>
      </c>
      <c r="C12106" s="11" t="s">
        <v>17</v>
      </c>
      <c r="D12106" s="11" t="s">
        <v>18</v>
      </c>
      <c r="E12106" s="12" t="s">
        <v>2320</v>
      </c>
      <c r="F12106" s="12" t="s">
        <v>2321</v>
      </c>
      <c r="G12106" s="12" t="s">
        <v>46</v>
      </c>
      <c r="H12106" s="11" t="s">
        <v>63</v>
      </c>
      <c r="I12106" s="13" t="s">
        <v>23812</v>
      </c>
      <c r="J12106" s="14" t="str">
        <f>HYPERLINK("https://www.boe.es/gazeta/dias/1839/11/13/pdfs/GMD-1839-1830.pdf#page=3","Abrir facsímil")</f>
        <v>Abrir facsímil</v>
      </c>
      <c r="K12106" s="12" t="s">
        <v>65</v>
      </c>
    </row>
    <row r="12107" spans="1:11" ht="40.049999999999997" customHeight="1" x14ac:dyDescent="0.25">
      <c r="A12107" s="11" t="s">
        <v>23774</v>
      </c>
      <c r="B12107" s="11" t="s">
        <v>23774</v>
      </c>
      <c r="C12107" s="11" t="s">
        <v>17</v>
      </c>
      <c r="D12107" s="11" t="s">
        <v>18</v>
      </c>
      <c r="E12107" s="12" t="s">
        <v>2374</v>
      </c>
      <c r="F12107" s="12" t="s">
        <v>2375</v>
      </c>
      <c r="G12107" s="12" t="s">
        <v>21</v>
      </c>
      <c r="H12107" s="11" t="s">
        <v>63</v>
      </c>
      <c r="I12107" s="13" t="s">
        <v>23813</v>
      </c>
      <c r="J12107" s="14" t="str">
        <f>HYPERLINK("https://www.boe.es/gazeta/dias/1839/06/14/pdfs/GMD-1839-1672.pdf#page=4","Abrir facsímil")</f>
        <v>Abrir facsímil</v>
      </c>
      <c r="K12107" s="12" t="s">
        <v>65</v>
      </c>
    </row>
    <row r="12108" spans="1:11" ht="40.049999999999997" customHeight="1" x14ac:dyDescent="0.25">
      <c r="A12108" s="11" t="s">
        <v>23774</v>
      </c>
      <c r="B12108" s="11" t="s">
        <v>23774</v>
      </c>
      <c r="C12108" s="11" t="s">
        <v>101</v>
      </c>
      <c r="D12108" s="11" t="s">
        <v>43</v>
      </c>
      <c r="E12108" s="12" t="s">
        <v>592</v>
      </c>
      <c r="F12108" s="12" t="s">
        <v>593</v>
      </c>
      <c r="G12108" s="12" t="s">
        <v>46</v>
      </c>
      <c r="H12108" s="11" t="s">
        <v>63</v>
      </c>
      <c r="I12108" s="13" t="s">
        <v>23814</v>
      </c>
      <c r="J12108" s="14" t="str">
        <f>HYPERLINK("https://www.boe.es/gazeta/dias/1839/09/14/pdfs/GMD-1839-1767.pdf#page=3","Abrir facsímil")</f>
        <v>Abrir facsímil</v>
      </c>
      <c r="K12108" s="12" t="s">
        <v>65</v>
      </c>
    </row>
    <row r="12109" spans="1:11" ht="40.049999999999997" customHeight="1" x14ac:dyDescent="0.25">
      <c r="A12109" s="11" t="s">
        <v>23774</v>
      </c>
      <c r="B12109" s="11" t="s">
        <v>23774</v>
      </c>
      <c r="C12109" s="11" t="s">
        <v>59</v>
      </c>
      <c r="D12109" s="11" t="s">
        <v>60</v>
      </c>
      <c r="E12109" s="12" t="s">
        <v>1236</v>
      </c>
      <c r="F12109" s="12" t="s">
        <v>1237</v>
      </c>
      <c r="G12109" s="12" t="s">
        <v>29</v>
      </c>
      <c r="H12109" s="11" t="s">
        <v>63</v>
      </c>
      <c r="I12109" s="13" t="s">
        <v>23815</v>
      </c>
      <c r="J12109" s="14" t="str">
        <f>HYPERLINK("https://www.boe.es/gazeta/dias/1839/10/16/pdfs/GMD-1839-1802.pdf#page=1","Abrir facsímil")</f>
        <v>Abrir facsímil</v>
      </c>
      <c r="K12109" s="12" t="s">
        <v>65</v>
      </c>
    </row>
    <row r="12110" spans="1:11" ht="40.049999999999997" customHeight="1" x14ac:dyDescent="0.25">
      <c r="A12110" s="11" t="s">
        <v>23774</v>
      </c>
      <c r="B12110" s="11" t="s">
        <v>23774</v>
      </c>
      <c r="C12110" s="11" t="s">
        <v>17</v>
      </c>
      <c r="D12110" s="11" t="s">
        <v>18</v>
      </c>
      <c r="E12110" s="12" t="s">
        <v>1565</v>
      </c>
      <c r="F12110" s="12" t="s">
        <v>1566</v>
      </c>
      <c r="G12110" s="12" t="s">
        <v>21</v>
      </c>
      <c r="H12110" s="11" t="s">
        <v>63</v>
      </c>
      <c r="I12110" s="13" t="s">
        <v>23816</v>
      </c>
      <c r="J12110" s="14" t="str">
        <f>HYPERLINK("https://www.boe.es/gazeta/dias/1839/06/17/pdfs/GMD-1839-1675.pdf#page=4","Abrir facsímil")</f>
        <v>Abrir facsímil</v>
      </c>
      <c r="K12110" s="12" t="s">
        <v>65</v>
      </c>
    </row>
    <row r="12111" spans="1:11" ht="40.049999999999997" customHeight="1" x14ac:dyDescent="0.25">
      <c r="A12111" s="11" t="s">
        <v>23774</v>
      </c>
      <c r="B12111" s="11" t="s">
        <v>23774</v>
      </c>
      <c r="C12111" s="11" t="s">
        <v>80</v>
      </c>
      <c r="D12111" s="11" t="s">
        <v>18</v>
      </c>
      <c r="E12111" s="12" t="s">
        <v>564</v>
      </c>
      <c r="F12111" s="12" t="s">
        <v>565</v>
      </c>
      <c r="G12111" s="12" t="s">
        <v>305</v>
      </c>
      <c r="H12111" s="11" t="s">
        <v>63</v>
      </c>
      <c r="I12111" s="13" t="s">
        <v>23817</v>
      </c>
      <c r="J12111" s="14" t="str">
        <f>HYPERLINK("https://www.boe.es/gazeta/dias/1839/10/17/pdfs/GMD-1839-1803.pdf#page=6","Abrir facsímil")</f>
        <v>Abrir facsímil</v>
      </c>
      <c r="K12111" s="12" t="s">
        <v>65</v>
      </c>
    </row>
    <row r="12112" spans="1:11" ht="40.049999999999997" customHeight="1" x14ac:dyDescent="0.25">
      <c r="A12112" s="11" t="s">
        <v>23774</v>
      </c>
      <c r="B12112" s="11" t="s">
        <v>23774</v>
      </c>
      <c r="C12112" s="11" t="s">
        <v>59</v>
      </c>
      <c r="D12112" s="11" t="s">
        <v>60</v>
      </c>
      <c r="E12112" s="12" t="s">
        <v>870</v>
      </c>
      <c r="F12112" s="12" t="s">
        <v>871</v>
      </c>
      <c r="G12112" s="12" t="s">
        <v>21</v>
      </c>
      <c r="H12112" s="11" t="s">
        <v>63</v>
      </c>
      <c r="I12112" s="13" t="s">
        <v>23818</v>
      </c>
      <c r="J12112" s="14" t="str">
        <f>HYPERLINK("https://www.boe.es/gazeta/dias/1839/04/18/pdfs/GMD-1839-1615.pdf#page=4","Abrir facsímil")</f>
        <v>Abrir facsímil</v>
      </c>
      <c r="K12112" s="12" t="s">
        <v>65</v>
      </c>
    </row>
    <row r="12113" spans="1:11" ht="40.049999999999997" customHeight="1" x14ac:dyDescent="0.25">
      <c r="A12113" s="11" t="s">
        <v>23774</v>
      </c>
      <c r="B12113" s="11" t="s">
        <v>23774</v>
      </c>
      <c r="C12113" s="11" t="s">
        <v>17</v>
      </c>
      <c r="D12113" s="11" t="s">
        <v>18</v>
      </c>
      <c r="E12113" s="12" t="s">
        <v>1648</v>
      </c>
      <c r="F12113" s="12" t="s">
        <v>1649</v>
      </c>
      <c r="G12113" s="12" t="s">
        <v>21</v>
      </c>
      <c r="H12113" s="11" t="s">
        <v>63</v>
      </c>
      <c r="I12113" s="13" t="s">
        <v>23819</v>
      </c>
      <c r="J12113" s="14" t="str">
        <f>HYPERLINK("https://www.boe.es/gazeta/dias/1839/08/18/pdfs/GMD-1839-1738.pdf#page=4","Abrir facsímil")</f>
        <v>Abrir facsímil</v>
      </c>
      <c r="K12113" s="12" t="s">
        <v>65</v>
      </c>
    </row>
    <row r="12114" spans="1:11" ht="40.049999999999997" customHeight="1" x14ac:dyDescent="0.25">
      <c r="A12114" s="11" t="s">
        <v>23774</v>
      </c>
      <c r="B12114" s="11" t="s">
        <v>23774</v>
      </c>
      <c r="C12114" s="11" t="s">
        <v>17</v>
      </c>
      <c r="D12114" s="11" t="s">
        <v>18</v>
      </c>
      <c r="E12114" s="12" t="s">
        <v>713</v>
      </c>
      <c r="F12114" s="12" t="s">
        <v>714</v>
      </c>
      <c r="G12114" s="12" t="s">
        <v>40</v>
      </c>
      <c r="H12114" s="11" t="s">
        <v>63</v>
      </c>
      <c r="I12114" s="13" t="s">
        <v>23820</v>
      </c>
      <c r="J12114" s="14" t="str">
        <f>HYPERLINK("https://www.boe.es/gazeta/dias/1839/12/18/pdfs/GMD-1839-1865.pdf#page=2","Abrir facsímil")</f>
        <v>Abrir facsímil</v>
      </c>
      <c r="K12114" s="12" t="s">
        <v>65</v>
      </c>
    </row>
    <row r="12115" spans="1:11" ht="40.049999999999997" customHeight="1" x14ac:dyDescent="0.25">
      <c r="A12115" s="11" t="s">
        <v>23774</v>
      </c>
      <c r="B12115" s="11" t="s">
        <v>23774</v>
      </c>
      <c r="C12115" s="11" t="s">
        <v>17</v>
      </c>
      <c r="D12115" s="11" t="s">
        <v>18</v>
      </c>
      <c r="E12115" s="12" t="s">
        <v>713</v>
      </c>
      <c r="F12115" s="12" t="s">
        <v>714</v>
      </c>
      <c r="G12115" s="12" t="s">
        <v>21</v>
      </c>
      <c r="H12115" s="11" t="s">
        <v>63</v>
      </c>
      <c r="I12115" s="13" t="s">
        <v>23821</v>
      </c>
      <c r="J12115" s="14" t="str">
        <f>HYPERLINK("https://www.boe.es/gazeta/dias/1839/12/18/pdfs/GMD-1839-1865.pdf#page=4","Abrir facsímil")</f>
        <v>Abrir facsímil</v>
      </c>
      <c r="K12115" s="12" t="s">
        <v>65</v>
      </c>
    </row>
    <row r="12116" spans="1:11" ht="40.049999999999997" customHeight="1" x14ac:dyDescent="0.25">
      <c r="A12116" s="11" t="s">
        <v>23774</v>
      </c>
      <c r="B12116" s="11" t="s">
        <v>23774</v>
      </c>
      <c r="C12116" s="11" t="s">
        <v>59</v>
      </c>
      <c r="D12116" s="11" t="s">
        <v>60</v>
      </c>
      <c r="E12116" s="12" t="s">
        <v>19</v>
      </c>
      <c r="F12116" s="12" t="s">
        <v>20</v>
      </c>
      <c r="G12116" s="12" t="s">
        <v>29</v>
      </c>
      <c r="H12116" s="11" t="s">
        <v>63</v>
      </c>
      <c r="I12116" s="13" t="s">
        <v>23822</v>
      </c>
      <c r="J12116" s="14" t="str">
        <f>HYPERLINK("https://www.boe.es/gazeta/dias/1839/01/19/pdfs/GMD-1839-1526.pdf#page=1","Abrir facsímil")</f>
        <v>Abrir facsímil</v>
      </c>
      <c r="K12116" s="12" t="s">
        <v>65</v>
      </c>
    </row>
    <row r="12117" spans="1:11" ht="40.049999999999997" customHeight="1" x14ac:dyDescent="0.25">
      <c r="A12117" s="11" t="s">
        <v>23774</v>
      </c>
      <c r="B12117" s="11" t="s">
        <v>23774</v>
      </c>
      <c r="C12117" s="11" t="s">
        <v>17</v>
      </c>
      <c r="D12117" s="11" t="s">
        <v>18</v>
      </c>
      <c r="E12117" s="12" t="s">
        <v>433</v>
      </c>
      <c r="F12117" s="12" t="s">
        <v>434</v>
      </c>
      <c r="G12117" s="12" t="s">
        <v>46</v>
      </c>
      <c r="H12117" s="11" t="s">
        <v>63</v>
      </c>
      <c r="I12117" s="13" t="s">
        <v>23823</v>
      </c>
      <c r="J12117" s="14" t="str">
        <f>HYPERLINK("https://www.boe.es/gazeta/dias/1839/01/20/pdfs/GMD-1839-1527.pdf#page=3","Abrir facsímil")</f>
        <v>Abrir facsímil</v>
      </c>
      <c r="K12117" s="12" t="s">
        <v>65</v>
      </c>
    </row>
    <row r="12118" spans="1:11" ht="40.049999999999997" customHeight="1" x14ac:dyDescent="0.25">
      <c r="A12118" s="11" t="s">
        <v>23774</v>
      </c>
      <c r="B12118" s="11" t="s">
        <v>23774</v>
      </c>
      <c r="C12118" s="11" t="s">
        <v>17</v>
      </c>
      <c r="D12118" s="11" t="s">
        <v>18</v>
      </c>
      <c r="E12118" s="12" t="s">
        <v>2392</v>
      </c>
      <c r="F12118" s="12" t="s">
        <v>2393</v>
      </c>
      <c r="G12118" s="12" t="s">
        <v>40</v>
      </c>
      <c r="H12118" s="11" t="s">
        <v>63</v>
      </c>
      <c r="I12118" s="13" t="s">
        <v>23824</v>
      </c>
      <c r="J12118" s="14" t="str">
        <f>HYPERLINK("https://www.boe.es/gazeta/dias/1839/05/21/pdfs/GMD-1839-1648.pdf#page=2","Abrir facsímil")</f>
        <v>Abrir facsímil</v>
      </c>
      <c r="K12118" s="12" t="s">
        <v>65</v>
      </c>
    </row>
    <row r="12119" spans="1:11" ht="40.049999999999997" customHeight="1" x14ac:dyDescent="0.25">
      <c r="A12119" s="11" t="s">
        <v>23774</v>
      </c>
      <c r="B12119" s="11" t="s">
        <v>23774</v>
      </c>
      <c r="C12119" s="11" t="s">
        <v>17</v>
      </c>
      <c r="D12119" s="11" t="s">
        <v>18</v>
      </c>
      <c r="E12119" s="12" t="s">
        <v>516</v>
      </c>
      <c r="F12119" s="12" t="s">
        <v>517</v>
      </c>
      <c r="G12119" s="12" t="s">
        <v>21</v>
      </c>
      <c r="H12119" s="11" t="s">
        <v>63</v>
      </c>
      <c r="I12119" s="13" t="s">
        <v>23825</v>
      </c>
      <c r="J12119" s="14" t="str">
        <f>HYPERLINK("https://www.boe.es/gazeta/dias/1839/06/21/pdfs/GMD-1839-1679.pdf#page=4","Abrir facsímil")</f>
        <v>Abrir facsímil</v>
      </c>
      <c r="K12119" s="12" t="s">
        <v>65</v>
      </c>
    </row>
    <row r="12120" spans="1:11" ht="40.049999999999997" customHeight="1" x14ac:dyDescent="0.25">
      <c r="A12120" s="11" t="s">
        <v>23774</v>
      </c>
      <c r="B12120" s="11" t="s">
        <v>23774</v>
      </c>
      <c r="C12120" s="11" t="s">
        <v>17</v>
      </c>
      <c r="D12120" s="11" t="s">
        <v>18</v>
      </c>
      <c r="E12120" s="12" t="s">
        <v>1108</v>
      </c>
      <c r="F12120" s="12" t="s">
        <v>1109</v>
      </c>
      <c r="G12120" s="12" t="s">
        <v>21</v>
      </c>
      <c r="H12120" s="11" t="s">
        <v>63</v>
      </c>
      <c r="I12120" s="13" t="s">
        <v>23826</v>
      </c>
      <c r="J12120" s="14" t="str">
        <f>HYPERLINK("https://www.boe.es/gazeta/dias/1839/09/21/pdfs/GMD-1839-1776.pdf#page=4","Abrir facsímil")</f>
        <v>Abrir facsímil</v>
      </c>
      <c r="K12120" s="12" t="s">
        <v>65</v>
      </c>
    </row>
    <row r="12121" spans="1:11" ht="40.049999999999997" customHeight="1" x14ac:dyDescent="0.25">
      <c r="A12121" s="11" t="s">
        <v>23774</v>
      </c>
      <c r="B12121" s="11" t="s">
        <v>23774</v>
      </c>
      <c r="C12121" s="11" t="s">
        <v>17</v>
      </c>
      <c r="D12121" s="11" t="s">
        <v>18</v>
      </c>
      <c r="E12121" s="12" t="s">
        <v>7119</v>
      </c>
      <c r="F12121" s="12" t="s">
        <v>7120</v>
      </c>
      <c r="G12121" s="12" t="s">
        <v>29</v>
      </c>
      <c r="H12121" s="11" t="s">
        <v>63</v>
      </c>
      <c r="I12121" s="13" t="s">
        <v>23827</v>
      </c>
      <c r="J12121" s="14" t="str">
        <f>HYPERLINK("https://www.boe.es/gazeta/dias/1839/05/22/pdfs/GMD-1839-1649.pdf#page=1","Abrir facsímil")</f>
        <v>Abrir facsímil</v>
      </c>
      <c r="K12121" s="12" t="s">
        <v>65</v>
      </c>
    </row>
    <row r="12122" spans="1:11" ht="40.049999999999997" customHeight="1" x14ac:dyDescent="0.25">
      <c r="A12122" s="11" t="s">
        <v>23774</v>
      </c>
      <c r="B12122" s="11" t="s">
        <v>23774</v>
      </c>
      <c r="C12122" s="11" t="s">
        <v>17</v>
      </c>
      <c r="D12122" s="11" t="s">
        <v>18</v>
      </c>
      <c r="E12122" s="12" t="s">
        <v>222</v>
      </c>
      <c r="F12122" s="12" t="s">
        <v>223</v>
      </c>
      <c r="G12122" s="12" t="s">
        <v>29</v>
      </c>
      <c r="H12122" s="11" t="s">
        <v>63</v>
      </c>
      <c r="I12122" s="13" t="s">
        <v>23828</v>
      </c>
      <c r="J12122" s="14" t="str">
        <f>HYPERLINK("https://www.boe.es/gazeta/dias/1839/06/22/pdfs/GMD-1839-1680.pdf#page=1","Abrir facsímil")</f>
        <v>Abrir facsímil</v>
      </c>
      <c r="K12122" s="12" t="s">
        <v>65</v>
      </c>
    </row>
    <row r="12123" spans="1:11" ht="40.049999999999997" customHeight="1" x14ac:dyDescent="0.25">
      <c r="A12123" s="11" t="s">
        <v>23774</v>
      </c>
      <c r="B12123" s="11" t="s">
        <v>23774</v>
      </c>
      <c r="C12123" s="11" t="s">
        <v>17</v>
      </c>
      <c r="D12123" s="11" t="s">
        <v>18</v>
      </c>
      <c r="E12123" s="12" t="s">
        <v>1310</v>
      </c>
      <c r="F12123" s="12" t="s">
        <v>1311</v>
      </c>
      <c r="G12123" s="12" t="s">
        <v>40</v>
      </c>
      <c r="H12123" s="11" t="s">
        <v>63</v>
      </c>
      <c r="I12123" s="13" t="s">
        <v>23829</v>
      </c>
      <c r="J12123" s="14" t="str">
        <f>HYPERLINK("https://www.boe.es/gazeta/dias/1839/04/23/pdfs/GMD-1839-1620.pdf#page=2","Abrir facsímil")</f>
        <v>Abrir facsímil</v>
      </c>
      <c r="K12123" s="12" t="s">
        <v>65</v>
      </c>
    </row>
    <row r="12124" spans="1:11" ht="40.049999999999997" customHeight="1" x14ac:dyDescent="0.25">
      <c r="A12124" s="11" t="s">
        <v>23774</v>
      </c>
      <c r="B12124" s="11" t="s">
        <v>23774</v>
      </c>
      <c r="C12124" s="11" t="s">
        <v>80</v>
      </c>
      <c r="D12124" s="11" t="s">
        <v>18</v>
      </c>
      <c r="E12124" s="12" t="s">
        <v>2432</v>
      </c>
      <c r="F12124" s="12" t="s">
        <v>2581</v>
      </c>
      <c r="G12124" s="12" t="s">
        <v>29</v>
      </c>
      <c r="H12124" s="11" t="s">
        <v>63</v>
      </c>
      <c r="I12124" s="13" t="s">
        <v>23830</v>
      </c>
      <c r="J12124" s="14" t="str">
        <f>HYPERLINK("https://www.boe.es/gazeta/dias/1839/07/23/pdfs/GMD-1839-1711.pdf#page=1","Abrir facsímil")</f>
        <v>Abrir facsímil</v>
      </c>
      <c r="K12124" s="12" t="s">
        <v>65</v>
      </c>
    </row>
    <row r="12125" spans="1:11" ht="40.049999999999997" customHeight="1" x14ac:dyDescent="0.25">
      <c r="A12125" s="11" t="s">
        <v>23774</v>
      </c>
      <c r="B12125" s="11" t="s">
        <v>23774</v>
      </c>
      <c r="C12125" s="11" t="s">
        <v>137</v>
      </c>
      <c r="D12125" s="11" t="s">
        <v>18</v>
      </c>
      <c r="E12125" s="12" t="s">
        <v>94</v>
      </c>
      <c r="F12125" s="12" t="s">
        <v>95</v>
      </c>
      <c r="G12125" s="12" t="s">
        <v>29</v>
      </c>
      <c r="H12125" s="11" t="s">
        <v>63</v>
      </c>
      <c r="I12125" s="13" t="s">
        <v>23831</v>
      </c>
      <c r="J12125" s="14" t="str">
        <f>HYPERLINK("https://www.boe.es/gazeta/dias/1839/02/24/pdfs/GMD-1839-1562.pdf#page=1","Abrir facsímil")</f>
        <v>Abrir facsímil</v>
      </c>
      <c r="K12125" s="12" t="s">
        <v>65</v>
      </c>
    </row>
    <row r="12126" spans="1:11" ht="40.049999999999997" customHeight="1" x14ac:dyDescent="0.25">
      <c r="A12126" s="11" t="s">
        <v>23774</v>
      </c>
      <c r="B12126" s="11" t="s">
        <v>23774</v>
      </c>
      <c r="C12126" s="11" t="s">
        <v>80</v>
      </c>
      <c r="D12126" s="11" t="s">
        <v>18</v>
      </c>
      <c r="E12126" s="12" t="s">
        <v>1672</v>
      </c>
      <c r="F12126" s="12" t="s">
        <v>1673</v>
      </c>
      <c r="G12126" s="12" t="s">
        <v>21</v>
      </c>
      <c r="H12126" s="11" t="s">
        <v>63</v>
      </c>
      <c r="I12126" s="13" t="s">
        <v>23832</v>
      </c>
      <c r="J12126" s="14" t="str">
        <f>HYPERLINK("https://www.boe.es/gazeta/dias/1839/08/24/pdfs/GMD-1839-1745.pdf#page=4","Abrir facsímil")</f>
        <v>Abrir facsímil</v>
      </c>
      <c r="K12126" s="12" t="s">
        <v>65</v>
      </c>
    </row>
    <row r="12127" spans="1:11" ht="40.049999999999997" customHeight="1" x14ac:dyDescent="0.25">
      <c r="A12127" s="11" t="s">
        <v>23774</v>
      </c>
      <c r="B12127" s="11" t="s">
        <v>23774</v>
      </c>
      <c r="C12127" s="11" t="s">
        <v>17</v>
      </c>
      <c r="D12127" s="11" t="s">
        <v>18</v>
      </c>
      <c r="E12127" s="12" t="s">
        <v>276</v>
      </c>
      <c r="F12127" s="12" t="s">
        <v>277</v>
      </c>
      <c r="G12127" s="12" t="s">
        <v>21</v>
      </c>
      <c r="H12127" s="11" t="s">
        <v>63</v>
      </c>
      <c r="I12127" s="13" t="s">
        <v>23833</v>
      </c>
      <c r="J12127" s="14" t="str">
        <f>HYPERLINK("https://www.boe.es/gazeta/dias/1839/09/24/pdfs/GMD-1839-1780.pdf#page=4","Abrir facsímil")</f>
        <v>Abrir facsímil</v>
      </c>
      <c r="K12127" s="12" t="s">
        <v>65</v>
      </c>
    </row>
    <row r="12128" spans="1:11" ht="40.049999999999997" customHeight="1" x14ac:dyDescent="0.25">
      <c r="A12128" s="11" t="s">
        <v>23774</v>
      </c>
      <c r="B12128" s="11" t="s">
        <v>23774</v>
      </c>
      <c r="C12128" s="11" t="s">
        <v>17</v>
      </c>
      <c r="D12128" s="11" t="s">
        <v>18</v>
      </c>
      <c r="E12128" s="12" t="s">
        <v>416</v>
      </c>
      <c r="F12128" s="12" t="s">
        <v>417</v>
      </c>
      <c r="G12128" s="12" t="s">
        <v>29</v>
      </c>
      <c r="H12128" s="11" t="s">
        <v>63</v>
      </c>
      <c r="I12128" s="13" t="s">
        <v>23834</v>
      </c>
      <c r="J12128" s="14" t="str">
        <f>HYPERLINK("https://www.boe.es/gazeta/dias/1839/10/24/pdfs/GMD-1839-1810.pdf#page=1","Abrir facsímil")</f>
        <v>Abrir facsímil</v>
      </c>
      <c r="K12128" s="12" t="s">
        <v>65</v>
      </c>
    </row>
    <row r="12129" spans="1:11" ht="40.049999999999997" customHeight="1" x14ac:dyDescent="0.25">
      <c r="A12129" s="11" t="s">
        <v>23774</v>
      </c>
      <c r="B12129" s="11" t="s">
        <v>23774</v>
      </c>
      <c r="C12129" s="11" t="s">
        <v>17</v>
      </c>
      <c r="D12129" s="11" t="s">
        <v>18</v>
      </c>
      <c r="E12129" s="12" t="s">
        <v>723</v>
      </c>
      <c r="F12129" s="12" t="s">
        <v>724</v>
      </c>
      <c r="G12129" s="12" t="s">
        <v>21</v>
      </c>
      <c r="H12129" s="11" t="s">
        <v>63</v>
      </c>
      <c r="I12129" s="13" t="s">
        <v>23835</v>
      </c>
      <c r="J12129" s="14" t="str">
        <f>HYPERLINK("https://www.boe.es/gazeta/dias/1839/09/26/pdfs/GMD-1839-1782.pdf#page=4","Abrir facsímil")</f>
        <v>Abrir facsímil</v>
      </c>
      <c r="K12129" s="12" t="s">
        <v>65</v>
      </c>
    </row>
    <row r="12130" spans="1:11" ht="40.049999999999997" customHeight="1" x14ac:dyDescent="0.25">
      <c r="A12130" s="11" t="s">
        <v>23774</v>
      </c>
      <c r="B12130" s="11" t="s">
        <v>23774</v>
      </c>
      <c r="C12130" s="11" t="s">
        <v>17</v>
      </c>
      <c r="D12130" s="11" t="s">
        <v>18</v>
      </c>
      <c r="E12130" s="12" t="s">
        <v>1490</v>
      </c>
      <c r="F12130" s="12" t="s">
        <v>1491</v>
      </c>
      <c r="G12130" s="12" t="s">
        <v>29</v>
      </c>
      <c r="H12130" s="11" t="s">
        <v>63</v>
      </c>
      <c r="I12130" s="13" t="s">
        <v>23836</v>
      </c>
      <c r="J12130" s="14" t="str">
        <f>HYPERLINK("https://www.boe.es/gazeta/dias/1839/02/27/pdfs/GMD-1839-1565.pdf#page=1","Abrir facsímil")</f>
        <v>Abrir facsímil</v>
      </c>
      <c r="K12130" s="12" t="s">
        <v>65</v>
      </c>
    </row>
    <row r="12131" spans="1:11" ht="40.049999999999997" customHeight="1" x14ac:dyDescent="0.25">
      <c r="A12131" s="11" t="s">
        <v>23774</v>
      </c>
      <c r="B12131" s="11" t="s">
        <v>23774</v>
      </c>
      <c r="C12131" s="11" t="s">
        <v>17</v>
      </c>
      <c r="D12131" s="11" t="s">
        <v>18</v>
      </c>
      <c r="E12131" s="12" t="s">
        <v>1588</v>
      </c>
      <c r="F12131" s="12" t="s">
        <v>1589</v>
      </c>
      <c r="G12131" s="12" t="s">
        <v>21</v>
      </c>
      <c r="H12131" s="11" t="s">
        <v>63</v>
      </c>
      <c r="I12131" s="13" t="s">
        <v>23837</v>
      </c>
      <c r="J12131" s="14" t="str">
        <f>HYPERLINK("https://www.boe.es/gazeta/dias/1839/07/27/pdfs/GMD-1839-1716.pdf#page=4","Abrir facsímil")</f>
        <v>Abrir facsímil</v>
      </c>
      <c r="K12131" s="12" t="s">
        <v>65</v>
      </c>
    </row>
    <row r="12132" spans="1:11" ht="40.049999999999997" customHeight="1" x14ac:dyDescent="0.25">
      <c r="A12132" s="11" t="s">
        <v>23774</v>
      </c>
      <c r="B12132" s="11" t="s">
        <v>23774</v>
      </c>
      <c r="C12132" s="11" t="s">
        <v>17</v>
      </c>
      <c r="D12132" s="11" t="s">
        <v>18</v>
      </c>
      <c r="E12132" s="12" t="s">
        <v>1474</v>
      </c>
      <c r="F12132" s="12" t="s">
        <v>1475</v>
      </c>
      <c r="G12132" s="12" t="s">
        <v>46</v>
      </c>
      <c r="H12132" s="11" t="s">
        <v>63</v>
      </c>
      <c r="I12132" s="13" t="s">
        <v>23838</v>
      </c>
      <c r="J12132" s="14" t="str">
        <f>HYPERLINK("https://www.boe.es/gazeta/dias/1839/02/28/pdfs/GMD-1839-1566.pdf#page=3","Abrir facsímil")</f>
        <v>Abrir facsímil</v>
      </c>
      <c r="K12132" s="12" t="s">
        <v>65</v>
      </c>
    </row>
    <row r="12133" spans="1:11" ht="40.049999999999997" customHeight="1" x14ac:dyDescent="0.25">
      <c r="A12133" s="11" t="s">
        <v>23774</v>
      </c>
      <c r="B12133" s="11" t="s">
        <v>23774</v>
      </c>
      <c r="C12133" s="11" t="s">
        <v>80</v>
      </c>
      <c r="D12133" s="11" t="s">
        <v>18</v>
      </c>
      <c r="E12133" s="12" t="s">
        <v>1749</v>
      </c>
      <c r="F12133" s="12" t="s">
        <v>1750</v>
      </c>
      <c r="G12133" s="12" t="s">
        <v>21</v>
      </c>
      <c r="H12133" s="11" t="s">
        <v>63</v>
      </c>
      <c r="I12133" s="13" t="s">
        <v>23839</v>
      </c>
      <c r="J12133" s="14" t="str">
        <f>HYPERLINK("https://www.boe.es/gazeta/dias/1839/06/28/pdfs/GMD-1839-1686.pdf#page=4","Abrir facsímil")</f>
        <v>Abrir facsímil</v>
      </c>
      <c r="K12133" s="12" t="s">
        <v>65</v>
      </c>
    </row>
    <row r="12134" spans="1:11" ht="40.049999999999997" customHeight="1" x14ac:dyDescent="0.25">
      <c r="A12134" s="11" t="s">
        <v>23774</v>
      </c>
      <c r="B12134" s="11" t="s">
        <v>23774</v>
      </c>
      <c r="C12134" s="11" t="s">
        <v>59</v>
      </c>
      <c r="D12134" s="11" t="s">
        <v>60</v>
      </c>
      <c r="E12134" s="12" t="s">
        <v>4463</v>
      </c>
      <c r="F12134" s="12" t="s">
        <v>4464</v>
      </c>
      <c r="G12134" s="12" t="s">
        <v>21</v>
      </c>
      <c r="H12134" s="11" t="s">
        <v>63</v>
      </c>
      <c r="I12134" s="13" t="s">
        <v>23840</v>
      </c>
      <c r="J12134" s="14" t="str">
        <f>HYPERLINK("https://www.boe.es/gazeta/dias/1839/08/28/pdfs/GMD-1839-1749.pdf#page=4","Abrir facsímil")</f>
        <v>Abrir facsímil</v>
      </c>
      <c r="K12134" s="12" t="s">
        <v>65</v>
      </c>
    </row>
    <row r="12135" spans="1:11" ht="40.049999999999997" customHeight="1" x14ac:dyDescent="0.25">
      <c r="A12135" s="11" t="s">
        <v>23774</v>
      </c>
      <c r="B12135" s="11" t="s">
        <v>23774</v>
      </c>
      <c r="C12135" s="11" t="s">
        <v>137</v>
      </c>
      <c r="D12135" s="11" t="s">
        <v>18</v>
      </c>
      <c r="E12135" s="12" t="s">
        <v>308</v>
      </c>
      <c r="F12135" s="12" t="s">
        <v>309</v>
      </c>
      <c r="G12135" s="12" t="s">
        <v>29</v>
      </c>
      <c r="H12135" s="11" t="s">
        <v>63</v>
      </c>
      <c r="I12135" s="13" t="s">
        <v>23841</v>
      </c>
      <c r="J12135" s="14" t="str">
        <f>HYPERLINK("https://www.boe.es/gazeta/dias/1839/07/29/pdfs/GMD-1839-1718.pdf#page=1","Abrir facsímil")</f>
        <v>Abrir facsímil</v>
      </c>
      <c r="K12135" s="12" t="s">
        <v>65</v>
      </c>
    </row>
    <row r="12136" spans="1:11" ht="40.049999999999997" customHeight="1" x14ac:dyDescent="0.25">
      <c r="A12136" s="11" t="s">
        <v>23774</v>
      </c>
      <c r="B12136" s="11" t="s">
        <v>23774</v>
      </c>
      <c r="C12136" s="11" t="s">
        <v>17</v>
      </c>
      <c r="D12136" s="11" t="s">
        <v>18</v>
      </c>
      <c r="E12136" s="12" t="s">
        <v>1523</v>
      </c>
      <c r="F12136" s="12" t="s">
        <v>1524</v>
      </c>
      <c r="G12136" s="12" t="s">
        <v>29</v>
      </c>
      <c r="H12136" s="11" t="s">
        <v>63</v>
      </c>
      <c r="I12136" s="13" t="s">
        <v>23842</v>
      </c>
      <c r="J12136" s="14" t="str">
        <f>HYPERLINK("https://www.boe.es/gazeta/dias/1839/08/29/pdfs/GMD-1839-1750.pdf#page=1","Abrir facsímil")</f>
        <v>Abrir facsímil</v>
      </c>
      <c r="K12136" s="12" t="s">
        <v>65</v>
      </c>
    </row>
    <row r="12137" spans="1:11" ht="40.049999999999997" customHeight="1" x14ac:dyDescent="0.25">
      <c r="A12137" s="11" t="s">
        <v>23774</v>
      </c>
      <c r="B12137" s="11" t="s">
        <v>23774</v>
      </c>
      <c r="C12137" s="11" t="s">
        <v>17</v>
      </c>
      <c r="D12137" s="11" t="s">
        <v>18</v>
      </c>
      <c r="E12137" s="12" t="s">
        <v>4292</v>
      </c>
      <c r="F12137" s="12" t="s">
        <v>4293</v>
      </c>
      <c r="G12137" s="12" t="s">
        <v>29</v>
      </c>
      <c r="H12137" s="11" t="s">
        <v>63</v>
      </c>
      <c r="I12137" s="13" t="s">
        <v>23843</v>
      </c>
      <c r="J12137" s="14" t="str">
        <f>HYPERLINK("https://www.boe.es/gazeta/dias/1839/11/29/pdfs/GMD-1839-1846.pdf#page=1","Abrir facsímil")</f>
        <v>Abrir facsímil</v>
      </c>
      <c r="K12137" s="12" t="s">
        <v>65</v>
      </c>
    </row>
    <row r="12138" spans="1:11" ht="40.049999999999997" customHeight="1" x14ac:dyDescent="0.25">
      <c r="A12138" s="11" t="s">
        <v>23774</v>
      </c>
      <c r="B12138" s="11" t="s">
        <v>23774</v>
      </c>
      <c r="C12138" s="11" t="s">
        <v>17</v>
      </c>
      <c r="D12138" s="11" t="s">
        <v>18</v>
      </c>
      <c r="E12138" s="12" t="s">
        <v>474</v>
      </c>
      <c r="F12138" s="12" t="s">
        <v>475</v>
      </c>
      <c r="G12138" s="12" t="s">
        <v>21</v>
      </c>
      <c r="H12138" s="11" t="s">
        <v>63</v>
      </c>
      <c r="I12138" s="13" t="s">
        <v>23844</v>
      </c>
      <c r="J12138" s="14" t="str">
        <f>HYPERLINK("https://www.boe.es/gazeta/dias/1839/03/31/pdfs/GMD-1839-1597.pdf#page=4","Abrir facsímil")</f>
        <v>Abrir facsímil</v>
      </c>
      <c r="K12138" s="12" t="s">
        <v>65</v>
      </c>
    </row>
    <row r="12139" spans="1:11" ht="40.049999999999997" customHeight="1" x14ac:dyDescent="0.25">
      <c r="A12139" s="11" t="s">
        <v>23845</v>
      </c>
      <c r="B12139" s="11" t="s">
        <v>23846</v>
      </c>
      <c r="C12139" s="11" t="s">
        <v>17</v>
      </c>
      <c r="D12139" s="11" t="s">
        <v>18</v>
      </c>
      <c r="E12139" s="12" t="s">
        <v>1703</v>
      </c>
      <c r="F12139" s="12" t="s">
        <v>1704</v>
      </c>
      <c r="G12139" s="12" t="s">
        <v>46</v>
      </c>
      <c r="H12139" s="11" t="s">
        <v>22</v>
      </c>
      <c r="I12139" s="13" t="s">
        <v>23847</v>
      </c>
      <c r="J12139" s="14" t="str">
        <f>HYPERLINK("https://www.boe.es/gazeta/dias/1839/01/21/pdfs/GMD-1839-1528.pdf#page=3","Abrir facsímil")</f>
        <v>Abrir facsímil</v>
      </c>
      <c r="K12139" s="12" t="s">
        <v>24</v>
      </c>
    </row>
    <row r="12140" spans="1:11" ht="40.049999999999997" customHeight="1" x14ac:dyDescent="0.25">
      <c r="A12140" s="11" t="s">
        <v>23845</v>
      </c>
      <c r="B12140" s="11" t="s">
        <v>23846</v>
      </c>
      <c r="C12140" s="11" t="s">
        <v>17</v>
      </c>
      <c r="D12140" s="11" t="s">
        <v>18</v>
      </c>
      <c r="E12140" s="12" t="s">
        <v>125</v>
      </c>
      <c r="F12140" s="12" t="s">
        <v>126</v>
      </c>
      <c r="G12140" s="12" t="s">
        <v>46</v>
      </c>
      <c r="H12140" s="11" t="s">
        <v>22</v>
      </c>
      <c r="I12140" s="13" t="s">
        <v>23848</v>
      </c>
      <c r="J12140" s="14" t="str">
        <f>HYPERLINK("https://www.boe.es/gazeta/dias/1839/05/23/pdfs/GMD-1839-1650.pdf#page=3","Abrir facsímil")</f>
        <v>Abrir facsímil</v>
      </c>
      <c r="K12140" s="12" t="s">
        <v>24</v>
      </c>
    </row>
    <row r="12141" spans="1:11" ht="40.049999999999997" customHeight="1" x14ac:dyDescent="0.25">
      <c r="A12141" s="11" t="s">
        <v>23845</v>
      </c>
      <c r="B12141" s="11" t="s">
        <v>23846</v>
      </c>
      <c r="C12141" s="11" t="s">
        <v>17</v>
      </c>
      <c r="D12141" s="11" t="s">
        <v>18</v>
      </c>
      <c r="E12141" s="12" t="s">
        <v>2658</v>
      </c>
      <c r="F12141" s="12" t="s">
        <v>2659</v>
      </c>
      <c r="G12141" s="12" t="s">
        <v>46</v>
      </c>
      <c r="H12141" s="11" t="s">
        <v>22</v>
      </c>
      <c r="I12141" s="13" t="s">
        <v>23849</v>
      </c>
      <c r="J12141" s="14" t="str">
        <f>HYPERLINK("https://www.boe.es/gazeta/dias/1839/06/27/pdfs/GMD-1839-1685.pdf#page=3","Abrir facsímil")</f>
        <v>Abrir facsímil</v>
      </c>
      <c r="K12141" s="12" t="s">
        <v>24</v>
      </c>
    </row>
    <row r="12142" spans="1:11" ht="40.049999999999997" customHeight="1" x14ac:dyDescent="0.25">
      <c r="A12142" s="11" t="s">
        <v>23845</v>
      </c>
      <c r="B12142" s="11" t="s">
        <v>23846</v>
      </c>
      <c r="C12142" s="11" t="s">
        <v>17</v>
      </c>
      <c r="D12142" s="11" t="s">
        <v>18</v>
      </c>
      <c r="E12142" s="12" t="s">
        <v>1807</v>
      </c>
      <c r="F12142" s="12" t="s">
        <v>1808</v>
      </c>
      <c r="G12142" s="12" t="s">
        <v>40</v>
      </c>
      <c r="H12142" s="11" t="s">
        <v>22</v>
      </c>
      <c r="I12142" s="13" t="s">
        <v>23850</v>
      </c>
      <c r="J12142" s="14" t="str">
        <f>HYPERLINK("https://www.boe.es/gazeta/dias/1839/01/29/pdfs/GMD-1839-1536.pdf#page=2","Abrir facsímil")</f>
        <v>Abrir facsímil</v>
      </c>
      <c r="K12142" s="12" t="s">
        <v>24</v>
      </c>
    </row>
    <row r="12143" spans="1:11" ht="40.049999999999997" customHeight="1" x14ac:dyDescent="0.25">
      <c r="A12143" s="11" t="s">
        <v>23851</v>
      </c>
      <c r="B12143" s="11" t="s">
        <v>23852</v>
      </c>
      <c r="C12143" s="11" t="s">
        <v>137</v>
      </c>
      <c r="D12143" s="11" t="s">
        <v>18</v>
      </c>
      <c r="E12143" s="12" t="s">
        <v>616</v>
      </c>
      <c r="F12143" s="12" t="s">
        <v>617</v>
      </c>
      <c r="G12143" s="12" t="s">
        <v>21</v>
      </c>
      <c r="H12143" s="11" t="s">
        <v>63</v>
      </c>
      <c r="I12143" s="13" t="s">
        <v>23853</v>
      </c>
      <c r="J12143" s="14" t="str">
        <f>HYPERLINK("https://www.boe.es/gazeta/dias/1839/05/29/pdfs/GMD-1839-1656.pdf#page=4","Abrir facsímil")</f>
        <v>Abrir facsímil</v>
      </c>
      <c r="K12143" s="12" t="s">
        <v>65</v>
      </c>
    </row>
    <row r="12144" spans="1:11" ht="40.049999999999997" customHeight="1" x14ac:dyDescent="0.25">
      <c r="A12144" s="11" t="s">
        <v>23854</v>
      </c>
      <c r="B12144" s="11" t="s">
        <v>23854</v>
      </c>
      <c r="C12144" s="11" t="s">
        <v>101</v>
      </c>
      <c r="D12144" s="11" t="s">
        <v>43</v>
      </c>
      <c r="E12144" s="12" t="s">
        <v>519</v>
      </c>
      <c r="F12144" s="12" t="s">
        <v>520</v>
      </c>
      <c r="G12144" s="12" t="s">
        <v>40</v>
      </c>
      <c r="H12144" s="11" t="s">
        <v>63</v>
      </c>
      <c r="I12144" s="13" t="s">
        <v>23855</v>
      </c>
      <c r="J12144" s="14" t="str">
        <f>HYPERLINK("https://www.boe.es/gazeta/dias/1839/02/23/pdfs/GMD-1839-1561.pdf#page=2","Abrir facsímil")</f>
        <v>Abrir facsímil</v>
      </c>
      <c r="K12144" s="12" t="s">
        <v>65</v>
      </c>
    </row>
    <row r="12145" spans="1:11" ht="40.049999999999997" customHeight="1" x14ac:dyDescent="0.25">
      <c r="A12145" s="11" t="s">
        <v>23856</v>
      </c>
      <c r="B12145" s="11" t="s">
        <v>23856</v>
      </c>
      <c r="C12145" s="11" t="s">
        <v>101</v>
      </c>
      <c r="D12145" s="11" t="s">
        <v>43</v>
      </c>
      <c r="E12145" s="12" t="s">
        <v>233</v>
      </c>
      <c r="F12145" s="12" t="s">
        <v>234</v>
      </c>
      <c r="G12145" s="12" t="s">
        <v>46</v>
      </c>
      <c r="H12145" s="11" t="s">
        <v>63</v>
      </c>
      <c r="I12145" s="13" t="s">
        <v>23857</v>
      </c>
      <c r="J12145" s="14" t="str">
        <f>HYPERLINK("https://www.boe.es/gazeta/dias/1839/09/17/pdfs/GMD-1839-1770.pdf#page=3","Abrir facsímil")</f>
        <v>Abrir facsímil</v>
      </c>
      <c r="K12145" s="12" t="s">
        <v>65</v>
      </c>
    </row>
    <row r="12146" spans="1:11" ht="40.049999999999997" customHeight="1" x14ac:dyDescent="0.25">
      <c r="A12146" s="11" t="s">
        <v>23858</v>
      </c>
      <c r="B12146" s="11" t="s">
        <v>23859</v>
      </c>
      <c r="C12146" s="11" t="s">
        <v>80</v>
      </c>
      <c r="D12146" s="11" t="s">
        <v>18</v>
      </c>
      <c r="E12146" s="12" t="s">
        <v>230</v>
      </c>
      <c r="F12146" s="12" t="s">
        <v>231</v>
      </c>
      <c r="G12146" s="12" t="s">
        <v>21</v>
      </c>
      <c r="H12146" s="11" t="s">
        <v>63</v>
      </c>
      <c r="I12146" s="13" t="s">
        <v>23860</v>
      </c>
      <c r="J12146" s="14" t="str">
        <f>HYPERLINK("https://www.boe.es/gazeta/dias/1839/09/16/pdfs/GMD-1839-1769.pdf#page=4","Abrir facsímil")</f>
        <v>Abrir facsímil</v>
      </c>
      <c r="K12146" s="12" t="s">
        <v>65</v>
      </c>
    </row>
    <row r="12147" spans="1:11" ht="40.049999999999997" customHeight="1" x14ac:dyDescent="0.25">
      <c r="A12147" s="11" t="s">
        <v>23861</v>
      </c>
      <c r="B12147" s="11" t="s">
        <v>23862</v>
      </c>
      <c r="C12147" s="11" t="s">
        <v>17</v>
      </c>
      <c r="D12147" s="11" t="s">
        <v>18</v>
      </c>
      <c r="E12147" s="12" t="s">
        <v>723</v>
      </c>
      <c r="F12147" s="12" t="s">
        <v>724</v>
      </c>
      <c r="G12147" s="12" t="s">
        <v>46</v>
      </c>
      <c r="H12147" s="11" t="s">
        <v>63</v>
      </c>
      <c r="I12147" s="13" t="s">
        <v>23863</v>
      </c>
      <c r="J12147" s="14" t="str">
        <f>HYPERLINK("https://www.boe.es/gazeta/dias/1839/09/26/pdfs/GMD-1839-1782.pdf#page=3","Abrir facsímil")</f>
        <v>Abrir facsímil</v>
      </c>
      <c r="K12147" s="12" t="s">
        <v>65</v>
      </c>
    </row>
    <row r="12148" spans="1:11" ht="40.049999999999997" customHeight="1" x14ac:dyDescent="0.25">
      <c r="A12148" s="11" t="s">
        <v>23864</v>
      </c>
      <c r="B12148" s="11" t="s">
        <v>23864</v>
      </c>
      <c r="C12148" s="11" t="s">
        <v>80</v>
      </c>
      <c r="D12148" s="11" t="s">
        <v>18</v>
      </c>
      <c r="E12148" s="12" t="s">
        <v>360</v>
      </c>
      <c r="F12148" s="12" t="s">
        <v>361</v>
      </c>
      <c r="G12148" s="12" t="s">
        <v>29</v>
      </c>
      <c r="H12148" s="11" t="s">
        <v>63</v>
      </c>
      <c r="I12148" s="13" t="s">
        <v>23865</v>
      </c>
      <c r="J12148" s="14" t="str">
        <f>HYPERLINK("https://www.boe.es/gazeta/dias/1839/08/22/pdfs/GMD-1839-1743.pdf#page=1","Abrir facsímil")</f>
        <v>Abrir facsímil</v>
      </c>
      <c r="K12148" s="12" t="s">
        <v>65</v>
      </c>
    </row>
    <row r="12149" spans="1:11" ht="40.049999999999997" customHeight="1" x14ac:dyDescent="0.25">
      <c r="A12149" s="11" t="s">
        <v>23866</v>
      </c>
      <c r="B12149" s="11" t="s">
        <v>23866</v>
      </c>
      <c r="C12149" s="11" t="s">
        <v>137</v>
      </c>
      <c r="D12149" s="11" t="s">
        <v>18</v>
      </c>
      <c r="E12149" s="12" t="s">
        <v>185</v>
      </c>
      <c r="F12149" s="12" t="s">
        <v>186</v>
      </c>
      <c r="G12149" s="12" t="s">
        <v>40</v>
      </c>
      <c r="H12149" s="11" t="s">
        <v>63</v>
      </c>
      <c r="I12149" s="13" t="s">
        <v>23867</v>
      </c>
      <c r="J12149" s="14" t="str">
        <f>HYPERLINK("https://www.boe.es/gazeta/dias/1839/01/15/pdfs/GMD-1839-1522.pdf#page=2","Abrir facsímil")</f>
        <v>Abrir facsímil</v>
      </c>
      <c r="K12149" s="12" t="s">
        <v>65</v>
      </c>
    </row>
    <row r="12150" spans="1:11" ht="40.049999999999997" customHeight="1" x14ac:dyDescent="0.25">
      <c r="A12150" s="11" t="s">
        <v>23868</v>
      </c>
      <c r="B12150" s="11" t="s">
        <v>23869</v>
      </c>
      <c r="C12150" s="11" t="s">
        <v>59</v>
      </c>
      <c r="D12150" s="11" t="s">
        <v>60</v>
      </c>
      <c r="E12150" s="12" t="s">
        <v>1497</v>
      </c>
      <c r="F12150" s="12" t="s">
        <v>1498</v>
      </c>
      <c r="G12150" s="12" t="s">
        <v>21</v>
      </c>
      <c r="H12150" s="11" t="s">
        <v>63</v>
      </c>
      <c r="I12150" s="13" t="s">
        <v>23870</v>
      </c>
      <c r="J12150" s="14" t="str">
        <f>HYPERLINK("https://www.boe.es/gazeta/dias/1839/08/23/pdfs/GMD-1839-1744.pdf#page=4","Abrir facsímil")</f>
        <v>Abrir facsímil</v>
      </c>
      <c r="K12150" s="12" t="s">
        <v>65</v>
      </c>
    </row>
    <row r="12151" spans="1:11" ht="40.049999999999997" customHeight="1" x14ac:dyDescent="0.25">
      <c r="A12151" s="11" t="s">
        <v>23871</v>
      </c>
      <c r="B12151" s="11" t="s">
        <v>23872</v>
      </c>
      <c r="C12151" s="11" t="s">
        <v>17</v>
      </c>
      <c r="D12151" s="11" t="s">
        <v>18</v>
      </c>
      <c r="E12151" s="12" t="s">
        <v>1012</v>
      </c>
      <c r="F12151" s="12" t="s">
        <v>1013</v>
      </c>
      <c r="G12151" s="12" t="s">
        <v>46</v>
      </c>
      <c r="H12151" s="11" t="s">
        <v>63</v>
      </c>
      <c r="I12151" s="13" t="s">
        <v>23873</v>
      </c>
      <c r="J12151" s="14" t="str">
        <f>HYPERLINK("https://www.boe.es/gazeta/dias/1839/11/22/pdfs/GMD-1839-1839.pdf#page=3","Abrir facsímil")</f>
        <v>Abrir facsímil</v>
      </c>
      <c r="K12151" s="12" t="s">
        <v>65</v>
      </c>
    </row>
    <row r="12152" spans="1:11" ht="40.049999999999997" customHeight="1" x14ac:dyDescent="0.25">
      <c r="A12152" s="11" t="s">
        <v>23874</v>
      </c>
      <c r="B12152" s="11" t="s">
        <v>23875</v>
      </c>
      <c r="C12152" s="11" t="s">
        <v>17</v>
      </c>
      <c r="D12152" s="11" t="s">
        <v>18</v>
      </c>
      <c r="E12152" s="12" t="s">
        <v>519</v>
      </c>
      <c r="F12152" s="12" t="s">
        <v>520</v>
      </c>
      <c r="G12152" s="12" t="s">
        <v>29</v>
      </c>
      <c r="H12152" s="11" t="s">
        <v>63</v>
      </c>
      <c r="I12152" s="13" t="s">
        <v>23876</v>
      </c>
      <c r="J12152" s="14" t="str">
        <f>HYPERLINK("https://www.boe.es/gazeta/dias/1839/02/23/pdfs/GMD-1839-1561.pdf#page=1","Abrir facsímil")</f>
        <v>Abrir facsímil</v>
      </c>
      <c r="K12152" s="12" t="s">
        <v>65</v>
      </c>
    </row>
    <row r="12153" spans="1:11" ht="40.049999999999997" customHeight="1" x14ac:dyDescent="0.25">
      <c r="A12153" s="11" t="s">
        <v>23877</v>
      </c>
      <c r="B12153" s="11" t="s">
        <v>23877</v>
      </c>
      <c r="C12153" s="11" t="s">
        <v>17</v>
      </c>
      <c r="D12153" s="11" t="s">
        <v>18</v>
      </c>
      <c r="E12153" s="12" t="s">
        <v>2165</v>
      </c>
      <c r="F12153" s="12" t="s">
        <v>2166</v>
      </c>
      <c r="G12153" s="12" t="s">
        <v>40</v>
      </c>
      <c r="H12153" s="11" t="s">
        <v>63</v>
      </c>
      <c r="I12153" s="13" t="s">
        <v>23878</v>
      </c>
      <c r="J12153" s="14" t="str">
        <f>HYPERLINK("https://www.boe.es/gazeta/dias/1839/01/06/pdfs/GMD-1839-1513.pdf#page=2","Abrir facsímil")</f>
        <v>Abrir facsímil</v>
      </c>
      <c r="K12153" s="12" t="s">
        <v>65</v>
      </c>
    </row>
    <row r="12154" spans="1:11" ht="40.049999999999997" customHeight="1" x14ac:dyDescent="0.25">
      <c r="A12154" s="11" t="s">
        <v>23877</v>
      </c>
      <c r="B12154" s="11" t="s">
        <v>23877</v>
      </c>
      <c r="C12154" s="11" t="s">
        <v>17</v>
      </c>
      <c r="D12154" s="11" t="s">
        <v>18</v>
      </c>
      <c r="E12154" s="12" t="s">
        <v>1512</v>
      </c>
      <c r="F12154" s="12" t="s">
        <v>1513</v>
      </c>
      <c r="G12154" s="12" t="s">
        <v>40</v>
      </c>
      <c r="H12154" s="11" t="s">
        <v>63</v>
      </c>
      <c r="I12154" s="13" t="s">
        <v>23879</v>
      </c>
      <c r="J12154" s="14" t="str">
        <f>HYPERLINK("https://www.boe.es/gazeta/dias/1839/04/13/pdfs/GMD-1839-1610.pdf#page=2","Abrir facsímil")</f>
        <v>Abrir facsímil</v>
      </c>
      <c r="K12154" s="12" t="s">
        <v>65</v>
      </c>
    </row>
    <row r="12155" spans="1:11" ht="40.049999999999997" customHeight="1" x14ac:dyDescent="0.25">
      <c r="A12155" s="11" t="s">
        <v>23877</v>
      </c>
      <c r="B12155" s="11" t="s">
        <v>23877</v>
      </c>
      <c r="C12155" s="11" t="s">
        <v>17</v>
      </c>
      <c r="D12155" s="11" t="s">
        <v>18</v>
      </c>
      <c r="E12155" s="12" t="s">
        <v>1644</v>
      </c>
      <c r="F12155" s="12" t="s">
        <v>1645</v>
      </c>
      <c r="G12155" s="12" t="s">
        <v>29</v>
      </c>
      <c r="H12155" s="11" t="s">
        <v>63</v>
      </c>
      <c r="I12155" s="13" t="s">
        <v>23880</v>
      </c>
      <c r="J12155" s="14" t="str">
        <f>HYPERLINK("https://www.boe.es/gazeta/dias/1839/04/16/pdfs/GMD-1839-1613.pdf#page=1","Abrir facsímil")</f>
        <v>Abrir facsímil</v>
      </c>
      <c r="K12155" s="12" t="s">
        <v>65</v>
      </c>
    </row>
    <row r="12156" spans="1:11" ht="40.049999999999997" customHeight="1" x14ac:dyDescent="0.25">
      <c r="A12156" s="11" t="s">
        <v>23877</v>
      </c>
      <c r="B12156" s="11" t="s">
        <v>23877</v>
      </c>
      <c r="C12156" s="11" t="s">
        <v>17</v>
      </c>
      <c r="D12156" s="11" t="s">
        <v>18</v>
      </c>
      <c r="E12156" s="12" t="s">
        <v>1644</v>
      </c>
      <c r="F12156" s="12" t="s">
        <v>1645</v>
      </c>
      <c r="G12156" s="12" t="s">
        <v>40</v>
      </c>
      <c r="H12156" s="11" t="s">
        <v>63</v>
      </c>
      <c r="I12156" s="13" t="s">
        <v>23881</v>
      </c>
      <c r="J12156" s="14" t="str">
        <f>HYPERLINK("https://www.boe.es/gazeta/dias/1839/04/16/pdfs/GMD-1839-1613.pdf#page=2","Abrir facsímil")</f>
        <v>Abrir facsímil</v>
      </c>
      <c r="K12156" s="12" t="s">
        <v>65</v>
      </c>
    </row>
    <row r="12157" spans="1:11" ht="40.049999999999997" customHeight="1" x14ac:dyDescent="0.25">
      <c r="A12157" s="11" t="s">
        <v>23882</v>
      </c>
      <c r="B12157" s="11" t="s">
        <v>23883</v>
      </c>
      <c r="C12157" s="11" t="s">
        <v>137</v>
      </c>
      <c r="D12157" s="11" t="s">
        <v>18</v>
      </c>
      <c r="E12157" s="12" t="s">
        <v>128</v>
      </c>
      <c r="F12157" s="12" t="s">
        <v>129</v>
      </c>
      <c r="G12157" s="12" t="s">
        <v>21</v>
      </c>
      <c r="H12157" s="11" t="s">
        <v>63</v>
      </c>
      <c r="I12157" s="13" t="s">
        <v>23884</v>
      </c>
      <c r="J12157" s="14" t="str">
        <f>HYPERLINK("https://www.boe.es/gazeta/dias/1839/05/25/pdfs/GMD-1839-1652.pdf#page=4","Abrir facsímil")</f>
        <v>Abrir facsímil</v>
      </c>
      <c r="K12157" s="12" t="s">
        <v>65</v>
      </c>
    </row>
    <row r="12158" spans="1:11" ht="40.049999999999997" customHeight="1" x14ac:dyDescent="0.25">
      <c r="A12158" s="11" t="s">
        <v>23885</v>
      </c>
      <c r="B12158" s="11" t="s">
        <v>23885</v>
      </c>
      <c r="C12158" s="11" t="s">
        <v>17</v>
      </c>
      <c r="D12158" s="11" t="s">
        <v>18</v>
      </c>
      <c r="E12158" s="12" t="s">
        <v>7119</v>
      </c>
      <c r="F12158" s="12" t="s">
        <v>7120</v>
      </c>
      <c r="G12158" s="12" t="s">
        <v>40</v>
      </c>
      <c r="H12158" s="11" t="s">
        <v>63</v>
      </c>
      <c r="I12158" s="13" t="s">
        <v>23886</v>
      </c>
      <c r="J12158" s="14" t="str">
        <f>HYPERLINK("https://www.boe.es/gazeta/dias/1839/05/22/pdfs/GMD-1839-1649.pdf#page=2","Abrir facsímil")</f>
        <v>Abrir facsímil</v>
      </c>
      <c r="K12158" s="12" t="s">
        <v>65</v>
      </c>
    </row>
    <row r="12159" spans="1:11" ht="40.049999999999997" customHeight="1" x14ac:dyDescent="0.25">
      <c r="A12159" s="11" t="s">
        <v>23887</v>
      </c>
      <c r="B12159" s="11" t="s">
        <v>23887</v>
      </c>
      <c r="C12159" s="11" t="s">
        <v>17</v>
      </c>
      <c r="D12159" s="11" t="s">
        <v>18</v>
      </c>
      <c r="E12159" s="12" t="s">
        <v>1749</v>
      </c>
      <c r="F12159" s="12" t="s">
        <v>1750</v>
      </c>
      <c r="G12159" s="12" t="s">
        <v>40</v>
      </c>
      <c r="H12159" s="11" t="s">
        <v>63</v>
      </c>
      <c r="I12159" s="13" t="s">
        <v>23888</v>
      </c>
      <c r="J12159" s="14" t="str">
        <f>HYPERLINK("https://www.boe.es/gazeta/dias/1839/06/28/pdfs/GMD-1839-1686.pdf#page=2","Abrir facsímil")</f>
        <v>Abrir facsímil</v>
      </c>
      <c r="K12159" s="12" t="s">
        <v>65</v>
      </c>
    </row>
    <row r="12160" spans="1:11" ht="40.049999999999997" customHeight="1" x14ac:dyDescent="0.25">
      <c r="A12160" s="11" t="s">
        <v>23889</v>
      </c>
      <c r="B12160" s="11" t="s">
        <v>23889</v>
      </c>
      <c r="C12160" s="11" t="s">
        <v>17</v>
      </c>
      <c r="D12160" s="11" t="s">
        <v>18</v>
      </c>
      <c r="E12160" s="12" t="s">
        <v>1284</v>
      </c>
      <c r="F12160" s="12" t="s">
        <v>1285</v>
      </c>
      <c r="G12160" s="12" t="s">
        <v>21</v>
      </c>
      <c r="H12160" s="11" t="s">
        <v>63</v>
      </c>
      <c r="I12160" s="13" t="s">
        <v>23890</v>
      </c>
      <c r="J12160" s="14" t="str">
        <f>HYPERLINK("https://www.boe.es/gazeta/dias/1839/03/27/pdfs/GMD-1839-1593.pdf#page=4","Abrir facsímil")</f>
        <v>Abrir facsímil</v>
      </c>
      <c r="K12160" s="12" t="s">
        <v>65</v>
      </c>
    </row>
    <row r="12161" spans="1:11" ht="40.049999999999997" customHeight="1" x14ac:dyDescent="0.25">
      <c r="A12161" s="11" t="s">
        <v>23891</v>
      </c>
      <c r="B12161" s="11" t="s">
        <v>23891</v>
      </c>
      <c r="C12161" s="11" t="s">
        <v>137</v>
      </c>
      <c r="D12161" s="11" t="s">
        <v>18</v>
      </c>
      <c r="E12161" s="12" t="s">
        <v>2050</v>
      </c>
      <c r="F12161" s="12" t="s">
        <v>2051</v>
      </c>
      <c r="G12161" s="12" t="s">
        <v>46</v>
      </c>
      <c r="H12161" s="11" t="s">
        <v>22</v>
      </c>
      <c r="I12161" s="13" t="s">
        <v>23892</v>
      </c>
      <c r="J12161" s="14" t="str">
        <f>HYPERLINK("https://www.boe.es/gazeta/dias/1839/01/09/pdfs/GMD-1839-1516.pdf#page=3","Abrir facsímil")</f>
        <v>Abrir facsímil</v>
      </c>
      <c r="K12161" s="12" t="s">
        <v>24</v>
      </c>
    </row>
    <row r="12162" spans="1:11" ht="40.049999999999997" customHeight="1" x14ac:dyDescent="0.25">
      <c r="A12162" s="11" t="s">
        <v>23893</v>
      </c>
      <c r="B12162" s="11" t="s">
        <v>23893</v>
      </c>
      <c r="C12162" s="11" t="s">
        <v>17</v>
      </c>
      <c r="D12162" s="11" t="s">
        <v>18</v>
      </c>
      <c r="E12162" s="12" t="s">
        <v>330</v>
      </c>
      <c r="F12162" s="12" t="s">
        <v>331</v>
      </c>
      <c r="G12162" s="12" t="s">
        <v>46</v>
      </c>
      <c r="H12162" s="11" t="s">
        <v>63</v>
      </c>
      <c r="I12162" s="13" t="s">
        <v>23894</v>
      </c>
      <c r="J12162" s="14" t="str">
        <f>HYPERLINK("https://www.boe.es/gazeta/dias/1839/04/11/pdfs/GMD-1839-1608.pdf#page=3","Abrir facsímil")</f>
        <v>Abrir facsímil</v>
      </c>
      <c r="K12162" s="12" t="s">
        <v>65</v>
      </c>
    </row>
    <row r="12163" spans="1:11" ht="40.049999999999997" customHeight="1" x14ac:dyDescent="0.25">
      <c r="A12163" s="11" t="s">
        <v>23895</v>
      </c>
      <c r="B12163" s="11" t="s">
        <v>23895</v>
      </c>
      <c r="C12163" s="11" t="s">
        <v>17</v>
      </c>
      <c r="D12163" s="11" t="s">
        <v>18</v>
      </c>
      <c r="E12163" s="12" t="s">
        <v>2262</v>
      </c>
      <c r="F12163" s="12" t="s">
        <v>2263</v>
      </c>
      <c r="G12163" s="12" t="s">
        <v>46</v>
      </c>
      <c r="H12163" s="11" t="s">
        <v>63</v>
      </c>
      <c r="I12163" s="13" t="s">
        <v>23896</v>
      </c>
      <c r="J12163" s="14" t="str">
        <f>HYPERLINK("https://www.boe.es/gazeta/dias/1839/03/16/pdfs/GMD-1839-1582.pdf#page=3","Abrir facsímil")</f>
        <v>Abrir facsímil</v>
      </c>
      <c r="K12163" s="12" t="s">
        <v>65</v>
      </c>
    </row>
    <row r="12164" spans="1:11" ht="40.049999999999997" customHeight="1" x14ac:dyDescent="0.25">
      <c r="A12164" s="11" t="s">
        <v>23895</v>
      </c>
      <c r="B12164" s="11" t="s">
        <v>23895</v>
      </c>
      <c r="C12164" s="11" t="s">
        <v>80</v>
      </c>
      <c r="D12164" s="11" t="s">
        <v>18</v>
      </c>
      <c r="E12164" s="12" t="s">
        <v>821</v>
      </c>
      <c r="F12164" s="12" t="s">
        <v>822</v>
      </c>
      <c r="G12164" s="12" t="s">
        <v>21</v>
      </c>
      <c r="H12164" s="11" t="s">
        <v>63</v>
      </c>
      <c r="I12164" s="13" t="s">
        <v>23897</v>
      </c>
      <c r="J12164" s="14" t="str">
        <f>HYPERLINK("https://www.boe.es/gazeta/dias/1839/09/20/pdfs/GMD-1839-1775.pdf#page=4","Abrir facsímil")</f>
        <v>Abrir facsímil</v>
      </c>
      <c r="K12164" s="12" t="s">
        <v>65</v>
      </c>
    </row>
    <row r="12165" spans="1:11" ht="40.049999999999997" customHeight="1" x14ac:dyDescent="0.25">
      <c r="A12165" s="11" t="s">
        <v>23895</v>
      </c>
      <c r="B12165" s="11" t="s">
        <v>23895</v>
      </c>
      <c r="C12165" s="11" t="s">
        <v>17</v>
      </c>
      <c r="D12165" s="11" t="s">
        <v>18</v>
      </c>
      <c r="E12165" s="12" t="s">
        <v>3391</v>
      </c>
      <c r="F12165" s="12" t="s">
        <v>3392</v>
      </c>
      <c r="G12165" s="12" t="s">
        <v>21</v>
      </c>
      <c r="H12165" s="11" t="s">
        <v>63</v>
      </c>
      <c r="I12165" s="13" t="s">
        <v>23898</v>
      </c>
      <c r="J12165" s="14" t="str">
        <f>HYPERLINK("https://www.boe.es/gazeta/dias/1839/12/31/pdfs/GMD-1839-1878.pdf#page=4","Abrir facsímil")</f>
        <v>Abrir facsímil</v>
      </c>
      <c r="K12165" s="12" t="s">
        <v>65</v>
      </c>
    </row>
    <row r="12166" spans="1:11" ht="40.049999999999997" customHeight="1" x14ac:dyDescent="0.25">
      <c r="A12166" s="11" t="s">
        <v>23899</v>
      </c>
      <c r="B12166" s="11" t="s">
        <v>23900</v>
      </c>
      <c r="C12166" s="11" t="s">
        <v>17</v>
      </c>
      <c r="D12166" s="11" t="s">
        <v>18</v>
      </c>
      <c r="E12166" s="12" t="s">
        <v>621</v>
      </c>
      <c r="F12166" s="12" t="s">
        <v>622</v>
      </c>
      <c r="G12166" s="12" t="s">
        <v>46</v>
      </c>
      <c r="H12166" s="11" t="s">
        <v>63</v>
      </c>
      <c r="I12166" s="13" t="s">
        <v>23901</v>
      </c>
      <c r="J12166" s="14" t="str">
        <f>HYPERLINK("https://www.boe.es/gazeta/dias/1839/04/14/pdfs/GMD-1839-1611.pdf#page=3","Abrir facsímil")</f>
        <v>Abrir facsímil</v>
      </c>
      <c r="K12166" s="12" t="s">
        <v>65</v>
      </c>
    </row>
    <row r="12167" spans="1:11" ht="40.049999999999997" customHeight="1" x14ac:dyDescent="0.25">
      <c r="A12167" s="11" t="s">
        <v>23902</v>
      </c>
      <c r="B12167" s="11" t="s">
        <v>23903</v>
      </c>
      <c r="C12167" s="11" t="s">
        <v>17</v>
      </c>
      <c r="D12167" s="11" t="s">
        <v>18</v>
      </c>
      <c r="E12167" s="12" t="s">
        <v>1414</v>
      </c>
      <c r="F12167" s="12" t="s">
        <v>1415</v>
      </c>
      <c r="G12167" s="12" t="s">
        <v>21</v>
      </c>
      <c r="H12167" s="11" t="s">
        <v>63</v>
      </c>
      <c r="I12167" s="13" t="s">
        <v>23904</v>
      </c>
      <c r="J12167" s="14" t="str">
        <f>HYPERLINK("https://www.boe.es/gazeta/dias/1839/06/12/pdfs/GMD-1839-1670.pdf#page=4","Abrir facsímil")</f>
        <v>Abrir facsímil</v>
      </c>
      <c r="K12167" s="12" t="s">
        <v>65</v>
      </c>
    </row>
    <row r="12168" spans="1:11" ht="40.049999999999997" customHeight="1" x14ac:dyDescent="0.25">
      <c r="A12168" s="11" t="s">
        <v>23902</v>
      </c>
      <c r="B12168" s="11" t="s">
        <v>23903</v>
      </c>
      <c r="C12168" s="11" t="s">
        <v>17</v>
      </c>
      <c r="D12168" s="11" t="s">
        <v>43</v>
      </c>
      <c r="E12168" s="12" t="s">
        <v>507</v>
      </c>
      <c r="F12168" s="12" t="s">
        <v>508</v>
      </c>
      <c r="G12168" s="12" t="s">
        <v>21</v>
      </c>
      <c r="H12168" s="11" t="s">
        <v>63</v>
      </c>
      <c r="I12168" s="13" t="s">
        <v>23905</v>
      </c>
      <c r="J12168" s="14" t="str">
        <f>HYPERLINK("https://www.boe.es/gazeta/dias/1839/08/12/pdfs/GMD-1839-1732.pdf#page=4","Abrir facsímil")</f>
        <v>Abrir facsímil</v>
      </c>
      <c r="K12168" s="12" t="s">
        <v>65</v>
      </c>
    </row>
    <row r="12169" spans="1:11" ht="40.049999999999997" customHeight="1" x14ac:dyDescent="0.25">
      <c r="A12169" s="11" t="s">
        <v>23906</v>
      </c>
      <c r="B12169" s="11" t="s">
        <v>23907</v>
      </c>
      <c r="C12169" s="11" t="s">
        <v>80</v>
      </c>
      <c r="D12169" s="11" t="s">
        <v>18</v>
      </c>
      <c r="E12169" s="12" t="s">
        <v>1497</v>
      </c>
      <c r="F12169" s="12" t="s">
        <v>1498</v>
      </c>
      <c r="G12169" s="12" t="s">
        <v>21</v>
      </c>
      <c r="H12169" s="11" t="s">
        <v>63</v>
      </c>
      <c r="I12169" s="13" t="s">
        <v>23908</v>
      </c>
      <c r="J12169" s="14" t="str">
        <f>HYPERLINK("https://www.boe.es/gazeta/dias/1839/08/23/pdfs/GMD-1839-1744.pdf#page=4","Abrir facsímil")</f>
        <v>Abrir facsímil</v>
      </c>
      <c r="K12169" s="12" t="s">
        <v>65</v>
      </c>
    </row>
    <row r="12170" spans="1:11" ht="40.049999999999997" customHeight="1" x14ac:dyDescent="0.25">
      <c r="A12170" s="11" t="s">
        <v>23909</v>
      </c>
      <c r="B12170" s="11" t="s">
        <v>23910</v>
      </c>
      <c r="C12170" s="11" t="s">
        <v>59</v>
      </c>
      <c r="D12170" s="11" t="s">
        <v>60</v>
      </c>
      <c r="E12170" s="12" t="s">
        <v>685</v>
      </c>
      <c r="F12170" s="12" t="s">
        <v>686</v>
      </c>
      <c r="G12170" s="12" t="s">
        <v>21</v>
      </c>
      <c r="H12170" s="11" t="s">
        <v>63</v>
      </c>
      <c r="I12170" s="13" t="s">
        <v>23911</v>
      </c>
      <c r="J12170" s="14" t="str">
        <f>HYPERLINK("https://www.boe.es/gazeta/dias/1839/06/18/pdfs/GMD-1839-1676.pdf#page=4","Abrir facsímil")</f>
        <v>Abrir facsímil</v>
      </c>
      <c r="K12170" s="12" t="s">
        <v>65</v>
      </c>
    </row>
    <row r="12171" spans="1:11" ht="40.049999999999997" customHeight="1" x14ac:dyDescent="0.25">
      <c r="A12171" s="11" t="s">
        <v>23912</v>
      </c>
      <c r="B12171" s="11" t="s">
        <v>23913</v>
      </c>
      <c r="C12171" s="11" t="s">
        <v>17</v>
      </c>
      <c r="D12171" s="11" t="s">
        <v>18</v>
      </c>
      <c r="E12171" s="12" t="s">
        <v>621</v>
      </c>
      <c r="F12171" s="12" t="s">
        <v>622</v>
      </c>
      <c r="G12171" s="12" t="s">
        <v>46</v>
      </c>
      <c r="H12171" s="11" t="s">
        <v>63</v>
      </c>
      <c r="I12171" s="13" t="s">
        <v>23914</v>
      </c>
      <c r="J12171" s="14" t="str">
        <f>HYPERLINK("https://www.boe.es/gazeta/dias/1839/04/14/pdfs/GMD-1839-1611.pdf#page=3","Abrir facsímil")</f>
        <v>Abrir facsímil</v>
      </c>
      <c r="K12171" s="12" t="s">
        <v>65</v>
      </c>
    </row>
    <row r="12172" spans="1:11" ht="40.049999999999997" customHeight="1" x14ac:dyDescent="0.25">
      <c r="A12172" s="11" t="s">
        <v>23915</v>
      </c>
      <c r="B12172" s="11" t="s">
        <v>23916</v>
      </c>
      <c r="C12172" s="11" t="s">
        <v>17</v>
      </c>
      <c r="D12172" s="11" t="s">
        <v>18</v>
      </c>
      <c r="E12172" s="12" t="s">
        <v>168</v>
      </c>
      <c r="F12172" s="12" t="s">
        <v>169</v>
      </c>
      <c r="G12172" s="12" t="s">
        <v>21</v>
      </c>
      <c r="H12172" s="11" t="s">
        <v>63</v>
      </c>
      <c r="I12172" s="13" t="s">
        <v>23917</v>
      </c>
      <c r="J12172" s="14" t="str">
        <f>HYPERLINK("https://www.boe.es/gazeta/dias/1839/07/12/pdfs/GMD-1839-1700.pdf#page=4","Abrir facsímil")</f>
        <v>Abrir facsímil</v>
      </c>
      <c r="K12172" s="12" t="s">
        <v>65</v>
      </c>
    </row>
    <row r="12173" spans="1:11" ht="40.049999999999997" customHeight="1" x14ac:dyDescent="0.25">
      <c r="A12173" s="11" t="s">
        <v>23918</v>
      </c>
      <c r="B12173" s="11" t="s">
        <v>23918</v>
      </c>
      <c r="C12173" s="11" t="s">
        <v>137</v>
      </c>
      <c r="D12173" s="11" t="s">
        <v>18</v>
      </c>
      <c r="E12173" s="12" t="s">
        <v>677</v>
      </c>
      <c r="F12173" s="12" t="s">
        <v>678</v>
      </c>
      <c r="G12173" s="12" t="s">
        <v>46</v>
      </c>
      <c r="H12173" s="11" t="s">
        <v>63</v>
      </c>
      <c r="I12173" s="13" t="s">
        <v>23919</v>
      </c>
      <c r="J12173" s="14" t="str">
        <f>HYPERLINK("https://www.boe.es/gazeta/dias/1839/04/28/pdfs/GMD-1839-1625.pdf#page=3","Abrir facsímil")</f>
        <v>Abrir facsímil</v>
      </c>
      <c r="K12173" s="12" t="s">
        <v>65</v>
      </c>
    </row>
    <row r="12174" spans="1:11" ht="40.049999999999997" customHeight="1" x14ac:dyDescent="0.25">
      <c r="A12174" s="11" t="s">
        <v>23920</v>
      </c>
      <c r="B12174" s="11" t="s">
        <v>23920</v>
      </c>
      <c r="C12174" s="11" t="s">
        <v>17</v>
      </c>
      <c r="D12174" s="11" t="s">
        <v>18</v>
      </c>
      <c r="E12174" s="12" t="s">
        <v>1551</v>
      </c>
      <c r="F12174" s="12" t="s">
        <v>1552</v>
      </c>
      <c r="G12174" s="12" t="s">
        <v>46</v>
      </c>
      <c r="H12174" s="11" t="s">
        <v>63</v>
      </c>
      <c r="I12174" s="13" t="s">
        <v>23921</v>
      </c>
      <c r="J12174" s="14" t="str">
        <f>HYPERLINK("https://www.boe.es/gazeta/dias/1839/06/30/pdfs/GMD-1839-1688.pdf#page=3","Abrir facsímil")</f>
        <v>Abrir facsímil</v>
      </c>
      <c r="K12174" s="12" t="s">
        <v>65</v>
      </c>
    </row>
    <row r="12175" spans="1:11" ht="40.049999999999997" customHeight="1" x14ac:dyDescent="0.25">
      <c r="A12175" s="11" t="s">
        <v>23922</v>
      </c>
      <c r="B12175" s="11" t="s">
        <v>23923</v>
      </c>
      <c r="C12175" s="11" t="s">
        <v>17</v>
      </c>
      <c r="D12175" s="11" t="s">
        <v>18</v>
      </c>
      <c r="E12175" s="12" t="s">
        <v>1772</v>
      </c>
      <c r="F12175" s="12" t="s">
        <v>1773</v>
      </c>
      <c r="G12175" s="12" t="s">
        <v>40</v>
      </c>
      <c r="H12175" s="11" t="s">
        <v>63</v>
      </c>
      <c r="I12175" s="13" t="s">
        <v>23924</v>
      </c>
      <c r="J12175" s="14" t="str">
        <f>HYPERLINK("https://www.boe.es/gazeta/dias/1839/05/07/pdfs/GMD-1839-1634.pdf#page=2","Abrir facsímil")</f>
        <v>Abrir facsímil</v>
      </c>
      <c r="K12175" s="12" t="s">
        <v>65</v>
      </c>
    </row>
    <row r="12176" spans="1:11" ht="40.049999999999997" customHeight="1" x14ac:dyDescent="0.25">
      <c r="A12176" s="11" t="s">
        <v>23925</v>
      </c>
      <c r="B12176" s="11" t="s">
        <v>23926</v>
      </c>
      <c r="C12176" s="11" t="s">
        <v>137</v>
      </c>
      <c r="D12176" s="11" t="s">
        <v>18</v>
      </c>
      <c r="E12176" s="12" t="s">
        <v>857</v>
      </c>
      <c r="F12176" s="12" t="s">
        <v>858</v>
      </c>
      <c r="G12176" s="12" t="s">
        <v>21</v>
      </c>
      <c r="H12176" s="11" t="s">
        <v>63</v>
      </c>
      <c r="I12176" s="13" t="s">
        <v>23927</v>
      </c>
      <c r="J12176" s="14" t="str">
        <f>HYPERLINK("https://www.boe.es/gazeta/dias/1839/11/21/pdfs/GMD-1839-1838.pdf#page=4","Abrir facsímil")</f>
        <v>Abrir facsímil</v>
      </c>
      <c r="K12176" s="12" t="s">
        <v>65</v>
      </c>
    </row>
    <row r="12177" spans="1:11" ht="40.049999999999997" customHeight="1" x14ac:dyDescent="0.25">
      <c r="A12177" s="11" t="s">
        <v>23928</v>
      </c>
      <c r="B12177" s="11" t="s">
        <v>23929</v>
      </c>
      <c r="C12177" s="11" t="s">
        <v>80</v>
      </c>
      <c r="D12177" s="11" t="s">
        <v>18</v>
      </c>
      <c r="E12177" s="12" t="s">
        <v>258</v>
      </c>
      <c r="F12177" s="12" t="s">
        <v>259</v>
      </c>
      <c r="G12177" s="12" t="s">
        <v>29</v>
      </c>
      <c r="H12177" s="11" t="s">
        <v>22</v>
      </c>
      <c r="I12177" s="13" t="s">
        <v>23930</v>
      </c>
      <c r="J12177" s="14" t="str">
        <f>HYPERLINK("https://www.boe.es/gazeta/dias/1839/01/02/pdfs/GMD-1839-1509.pdf#page=1","Abrir facsímil")</f>
        <v>Abrir facsímil</v>
      </c>
      <c r="K12177" s="12" t="s">
        <v>24</v>
      </c>
    </row>
    <row r="12178" spans="1:11" ht="40.049999999999997" customHeight="1" x14ac:dyDescent="0.25">
      <c r="A12178" s="11" t="s">
        <v>23931</v>
      </c>
      <c r="B12178" s="11" t="s">
        <v>23932</v>
      </c>
      <c r="C12178" s="11" t="s">
        <v>80</v>
      </c>
      <c r="D12178" s="11" t="s">
        <v>18</v>
      </c>
      <c r="E12178" s="12" t="s">
        <v>462</v>
      </c>
      <c r="F12178" s="12" t="s">
        <v>463</v>
      </c>
      <c r="G12178" s="12" t="s">
        <v>21</v>
      </c>
      <c r="H12178" s="11" t="s">
        <v>22</v>
      </c>
      <c r="I12178" s="13" t="s">
        <v>23933</v>
      </c>
      <c r="J12178" s="14" t="str">
        <f>HYPERLINK("https://www.boe.es/gazeta/dias/1839/06/19/pdfs/GMD-1839-1677.pdf#page=4","Abrir facsímil")</f>
        <v>Abrir facsímil</v>
      </c>
      <c r="K12178" s="12" t="s">
        <v>24</v>
      </c>
    </row>
    <row r="12179" spans="1:11" ht="40.049999999999997" customHeight="1" x14ac:dyDescent="0.25">
      <c r="A12179" s="11" t="s">
        <v>23934</v>
      </c>
      <c r="B12179" s="11" t="s">
        <v>23935</v>
      </c>
      <c r="C12179" s="11" t="s">
        <v>59</v>
      </c>
      <c r="D12179" s="11" t="s">
        <v>60</v>
      </c>
      <c r="E12179" s="12" t="s">
        <v>355</v>
      </c>
      <c r="F12179" s="12" t="s">
        <v>356</v>
      </c>
      <c r="G12179" s="12" t="s">
        <v>29</v>
      </c>
      <c r="H12179" s="11" t="s">
        <v>63</v>
      </c>
      <c r="I12179" s="13" t="s">
        <v>23936</v>
      </c>
      <c r="J12179" s="14" t="str">
        <f>HYPERLINK("https://www.boe.es/gazeta/dias/1839/05/31/pdfs/GMD-1839-1658.pdf#page=1","Abrir facsímil")</f>
        <v>Abrir facsímil</v>
      </c>
      <c r="K12179" s="12" t="s">
        <v>65</v>
      </c>
    </row>
    <row r="12180" spans="1:11" ht="40.049999999999997" customHeight="1" x14ac:dyDescent="0.25">
      <c r="A12180" s="11" t="s">
        <v>23937</v>
      </c>
      <c r="B12180" s="11" t="s">
        <v>23937</v>
      </c>
      <c r="C12180" s="11" t="s">
        <v>59</v>
      </c>
      <c r="D12180" s="11" t="s">
        <v>60</v>
      </c>
      <c r="E12180" s="12" t="s">
        <v>1057</v>
      </c>
      <c r="F12180" s="12" t="s">
        <v>1058</v>
      </c>
      <c r="G12180" s="12" t="s">
        <v>40</v>
      </c>
      <c r="H12180" s="11" t="s">
        <v>63</v>
      </c>
      <c r="I12180" s="13" t="s">
        <v>23938</v>
      </c>
      <c r="J12180" s="14" t="str">
        <f>HYPERLINK("https://www.boe.es/gazeta/dias/1839/10/01/pdfs/GMD-1839-1787.pdf#page=2","Abrir facsímil")</f>
        <v>Abrir facsímil</v>
      </c>
      <c r="K12180" s="12" t="s">
        <v>65</v>
      </c>
    </row>
    <row r="12181" spans="1:11" ht="40.049999999999997" customHeight="1" x14ac:dyDescent="0.25">
      <c r="A12181" s="11" t="s">
        <v>23937</v>
      </c>
      <c r="B12181" s="11" t="s">
        <v>23937</v>
      </c>
      <c r="C12181" s="11" t="s">
        <v>101</v>
      </c>
      <c r="D12181" s="11" t="s">
        <v>43</v>
      </c>
      <c r="E12181" s="12" t="s">
        <v>1008</v>
      </c>
      <c r="F12181" s="12" t="s">
        <v>1009</v>
      </c>
      <c r="G12181" s="12" t="s">
        <v>21</v>
      </c>
      <c r="H12181" s="11" t="s">
        <v>63</v>
      </c>
      <c r="I12181" s="13" t="s">
        <v>23939</v>
      </c>
      <c r="J12181" s="14" t="str">
        <f>HYPERLINK("https://www.boe.es/gazeta/dias/1839/09/07/pdfs/GMD-1839-1760.pdf#page=4","Abrir facsímil")</f>
        <v>Abrir facsímil</v>
      </c>
      <c r="K12181" s="12" t="s">
        <v>65</v>
      </c>
    </row>
    <row r="12182" spans="1:11" ht="40.049999999999997" customHeight="1" x14ac:dyDescent="0.25">
      <c r="A12182" s="11" t="s">
        <v>23937</v>
      </c>
      <c r="B12182" s="11" t="s">
        <v>23937</v>
      </c>
      <c r="C12182" s="11" t="s">
        <v>17</v>
      </c>
      <c r="D12182" s="11" t="s">
        <v>18</v>
      </c>
      <c r="E12182" s="12" t="s">
        <v>163</v>
      </c>
      <c r="F12182" s="12" t="s">
        <v>164</v>
      </c>
      <c r="G12182" s="12" t="s">
        <v>40</v>
      </c>
      <c r="H12182" s="11" t="s">
        <v>63</v>
      </c>
      <c r="I12182" s="13" t="s">
        <v>23940</v>
      </c>
      <c r="J12182" s="14" t="str">
        <f>HYPERLINK("https://www.boe.es/gazeta/dias/1839/01/13/pdfs/GMD-1839-1520.pdf#page=2","Abrir facsímil")</f>
        <v>Abrir facsímil</v>
      </c>
      <c r="K12182" s="12" t="s">
        <v>65</v>
      </c>
    </row>
    <row r="12183" spans="1:11" ht="40.049999999999997" customHeight="1" x14ac:dyDescent="0.25">
      <c r="A12183" s="11" t="s">
        <v>23937</v>
      </c>
      <c r="B12183" s="11" t="s">
        <v>23937</v>
      </c>
      <c r="C12183" s="11" t="s">
        <v>17</v>
      </c>
      <c r="D12183" s="11" t="s">
        <v>18</v>
      </c>
      <c r="E12183" s="12" t="s">
        <v>1644</v>
      </c>
      <c r="F12183" s="12" t="s">
        <v>1645</v>
      </c>
      <c r="G12183" s="12" t="s">
        <v>40</v>
      </c>
      <c r="H12183" s="11" t="s">
        <v>63</v>
      </c>
      <c r="I12183" s="13" t="s">
        <v>23941</v>
      </c>
      <c r="J12183" s="14" t="str">
        <f>HYPERLINK("https://www.boe.es/gazeta/dias/1839/04/16/pdfs/GMD-1839-1613.pdf#page=2","Abrir facsímil")</f>
        <v>Abrir facsímil</v>
      </c>
      <c r="K12183" s="12" t="s">
        <v>65</v>
      </c>
    </row>
    <row r="12184" spans="1:11" ht="40.049999999999997" customHeight="1" x14ac:dyDescent="0.25">
      <c r="A12184" s="11" t="s">
        <v>23937</v>
      </c>
      <c r="B12184" s="11" t="s">
        <v>23937</v>
      </c>
      <c r="C12184" s="11" t="s">
        <v>17</v>
      </c>
      <c r="D12184" s="11" t="s">
        <v>18</v>
      </c>
      <c r="E12184" s="12" t="s">
        <v>513</v>
      </c>
      <c r="F12184" s="12" t="s">
        <v>514</v>
      </c>
      <c r="G12184" s="12" t="s">
        <v>21</v>
      </c>
      <c r="H12184" s="11" t="s">
        <v>63</v>
      </c>
      <c r="I12184" s="13" t="s">
        <v>23942</v>
      </c>
      <c r="J12184" s="14" t="str">
        <f>HYPERLINK("https://www.boe.es/gazeta/dias/1839/03/17/pdfs/GMD-1839-1583.pdf#page=4","Abrir facsímil")</f>
        <v>Abrir facsímil</v>
      </c>
      <c r="K12184" s="12" t="s">
        <v>65</v>
      </c>
    </row>
    <row r="12185" spans="1:11" ht="40.049999999999997" customHeight="1" x14ac:dyDescent="0.25">
      <c r="A12185" s="11" t="s">
        <v>23943</v>
      </c>
      <c r="B12185" s="11" t="s">
        <v>23943</v>
      </c>
      <c r="C12185" s="11" t="s">
        <v>17</v>
      </c>
      <c r="D12185" s="11" t="s">
        <v>18</v>
      </c>
      <c r="E12185" s="12" t="s">
        <v>723</v>
      </c>
      <c r="F12185" s="12" t="s">
        <v>724</v>
      </c>
      <c r="G12185" s="12" t="s">
        <v>46</v>
      </c>
      <c r="H12185" s="11" t="s">
        <v>22</v>
      </c>
      <c r="I12185" s="13" t="s">
        <v>23944</v>
      </c>
      <c r="J12185" s="14" t="str">
        <f>HYPERLINK("https://www.boe.es/gazeta/dias/1839/09/26/pdfs/GMD-1839-1782.pdf#page=3","Abrir facsímil")</f>
        <v>Abrir facsímil</v>
      </c>
      <c r="K12185" s="12" t="s">
        <v>24</v>
      </c>
    </row>
    <row r="12186" spans="1:11" ht="40.049999999999997" customHeight="1" x14ac:dyDescent="0.25">
      <c r="A12186" s="11" t="s">
        <v>23945</v>
      </c>
      <c r="B12186" s="11" t="s">
        <v>23946</v>
      </c>
      <c r="C12186" s="11" t="s">
        <v>17</v>
      </c>
      <c r="D12186" s="11" t="s">
        <v>18</v>
      </c>
      <c r="E12186" s="12" t="s">
        <v>84</v>
      </c>
      <c r="F12186" s="12" t="s">
        <v>85</v>
      </c>
      <c r="G12186" s="12" t="s">
        <v>29</v>
      </c>
      <c r="H12186" s="11" t="s">
        <v>63</v>
      </c>
      <c r="I12186" s="13" t="s">
        <v>23947</v>
      </c>
      <c r="J12186" s="14" t="str">
        <f>HYPERLINK("https://www.boe.es/gazeta/dias/1839/03/11/pdfs/GMD-1839-1577.pdf#page=1","Abrir facsímil")</f>
        <v>Abrir facsímil</v>
      </c>
      <c r="K12186" s="12" t="s">
        <v>65</v>
      </c>
    </row>
    <row r="12187" spans="1:11" ht="40.049999999999997" customHeight="1" x14ac:dyDescent="0.25">
      <c r="A12187" s="11" t="s">
        <v>23948</v>
      </c>
      <c r="B12187" s="11" t="s">
        <v>23949</v>
      </c>
      <c r="C12187" s="11" t="s">
        <v>59</v>
      </c>
      <c r="D12187" s="11" t="s">
        <v>60</v>
      </c>
      <c r="E12187" s="12" t="s">
        <v>664</v>
      </c>
      <c r="F12187" s="12" t="s">
        <v>665</v>
      </c>
      <c r="G12187" s="12" t="s">
        <v>46</v>
      </c>
      <c r="H12187" s="11" t="s">
        <v>63</v>
      </c>
      <c r="I12187" s="13" t="s">
        <v>23950</v>
      </c>
      <c r="J12187" s="14" t="str">
        <f>HYPERLINK("https://www.boe.es/gazeta/dias/1839/01/24/pdfs/GMD-1839-1531.pdf#page=3","Abrir facsímil")</f>
        <v>Abrir facsímil</v>
      </c>
      <c r="K12187" s="12" t="s">
        <v>65</v>
      </c>
    </row>
    <row r="12188" spans="1:11" ht="40.049999999999997" customHeight="1" x14ac:dyDescent="0.25">
      <c r="A12188" s="11" t="s">
        <v>23951</v>
      </c>
      <c r="B12188" s="11" t="s">
        <v>23952</v>
      </c>
      <c r="C12188" s="11" t="s">
        <v>137</v>
      </c>
      <c r="D12188" s="11" t="s">
        <v>18</v>
      </c>
      <c r="E12188" s="12" t="s">
        <v>369</v>
      </c>
      <c r="F12188" s="12" t="s">
        <v>370</v>
      </c>
      <c r="G12188" s="12" t="s">
        <v>46</v>
      </c>
      <c r="H12188" s="11" t="s">
        <v>63</v>
      </c>
      <c r="I12188" s="13" t="s">
        <v>23953</v>
      </c>
      <c r="J12188" s="14" t="str">
        <f>HYPERLINK("https://www.boe.es/gazeta/dias/1839/11/01/pdfs/GMD-1839-1818.pdf#page=3","Abrir facsímil")</f>
        <v>Abrir facsímil</v>
      </c>
      <c r="K12188" s="12" t="s">
        <v>65</v>
      </c>
    </row>
    <row r="12189" spans="1:11" ht="40.049999999999997" customHeight="1" x14ac:dyDescent="0.25">
      <c r="A12189" s="11" t="s">
        <v>23954</v>
      </c>
      <c r="B12189" s="11" t="s">
        <v>23955</v>
      </c>
      <c r="C12189" s="11" t="s">
        <v>17</v>
      </c>
      <c r="D12189" s="11" t="s">
        <v>18</v>
      </c>
      <c r="E12189" s="12" t="s">
        <v>1414</v>
      </c>
      <c r="F12189" s="12" t="s">
        <v>1415</v>
      </c>
      <c r="G12189" s="12" t="s">
        <v>21</v>
      </c>
      <c r="H12189" s="11" t="s">
        <v>63</v>
      </c>
      <c r="I12189" s="13" t="s">
        <v>23956</v>
      </c>
      <c r="J12189" s="14" t="str">
        <f>HYPERLINK("https://www.boe.es/gazeta/dias/1839/06/12/pdfs/GMD-1839-1670.pdf#page=4","Abrir facsímil")</f>
        <v>Abrir facsímil</v>
      </c>
      <c r="K12189" s="12" t="s">
        <v>65</v>
      </c>
    </row>
    <row r="12190" spans="1:11" ht="40.049999999999997" customHeight="1" x14ac:dyDescent="0.25">
      <c r="A12190" s="11" t="s">
        <v>23957</v>
      </c>
      <c r="B12190" s="11" t="s">
        <v>23958</v>
      </c>
      <c r="C12190" s="11" t="s">
        <v>17</v>
      </c>
      <c r="D12190" s="11" t="s">
        <v>18</v>
      </c>
      <c r="E12190" s="12" t="s">
        <v>258</v>
      </c>
      <c r="F12190" s="12" t="s">
        <v>259</v>
      </c>
      <c r="G12190" s="12" t="s">
        <v>46</v>
      </c>
      <c r="H12190" s="11" t="s">
        <v>22</v>
      </c>
      <c r="I12190" s="13" t="s">
        <v>23959</v>
      </c>
      <c r="J12190" s="14" t="str">
        <f>HYPERLINK("https://www.boe.es/gazeta/dias/1839/01/02/pdfs/GMD-1839-1509.pdf#page=3","Abrir facsímil")</f>
        <v>Abrir facsímil</v>
      </c>
      <c r="K12190" s="12" t="s">
        <v>24</v>
      </c>
    </row>
    <row r="12191" spans="1:11" ht="40.049999999999997" customHeight="1" x14ac:dyDescent="0.25">
      <c r="A12191" s="11" t="s">
        <v>23960</v>
      </c>
      <c r="B12191" s="11" t="s">
        <v>23961</v>
      </c>
      <c r="C12191" s="11" t="s">
        <v>17</v>
      </c>
      <c r="D12191" s="11" t="s">
        <v>18</v>
      </c>
      <c r="E12191" s="12" t="s">
        <v>564</v>
      </c>
      <c r="F12191" s="12" t="s">
        <v>565</v>
      </c>
      <c r="G12191" s="12" t="s">
        <v>305</v>
      </c>
      <c r="H12191" s="11" t="s">
        <v>63</v>
      </c>
      <c r="I12191" s="13" t="s">
        <v>23962</v>
      </c>
      <c r="J12191" s="14" t="str">
        <f>HYPERLINK("https://www.boe.es/gazeta/dias/1839/10/17/pdfs/GMD-1839-1803.pdf#page=6","Abrir facsímil")</f>
        <v>Abrir facsímil</v>
      </c>
      <c r="K12191" s="12" t="s">
        <v>65</v>
      </c>
    </row>
    <row r="12192" spans="1:11" ht="40.049999999999997" customHeight="1" x14ac:dyDescent="0.25">
      <c r="A12192" s="11" t="s">
        <v>23963</v>
      </c>
      <c r="B12192" s="11" t="s">
        <v>23964</v>
      </c>
      <c r="C12192" s="11" t="s">
        <v>80</v>
      </c>
      <c r="D12192" s="11" t="s">
        <v>18</v>
      </c>
      <c r="E12192" s="12" t="s">
        <v>111</v>
      </c>
      <c r="F12192" s="12" t="s">
        <v>112</v>
      </c>
      <c r="G12192" s="12" t="s">
        <v>40</v>
      </c>
      <c r="H12192" s="11" t="s">
        <v>63</v>
      </c>
      <c r="I12192" s="13" t="s">
        <v>23965</v>
      </c>
      <c r="J12192" s="14" t="str">
        <f>HYPERLINK("https://www.boe.es/gazeta/dias/1839/07/25/pdfs/GMD-1839-1714.pdf#page=2","Abrir facsímil")</f>
        <v>Abrir facsímil</v>
      </c>
      <c r="K12192" s="12" t="s">
        <v>65</v>
      </c>
    </row>
    <row r="12193" spans="1:11" ht="40.049999999999997" customHeight="1" x14ac:dyDescent="0.25">
      <c r="A12193" s="11" t="s">
        <v>23966</v>
      </c>
      <c r="B12193" s="11" t="s">
        <v>23967</v>
      </c>
      <c r="C12193" s="11" t="s">
        <v>80</v>
      </c>
      <c r="D12193" s="11" t="s">
        <v>18</v>
      </c>
      <c r="E12193" s="12" t="s">
        <v>2995</v>
      </c>
      <c r="F12193" s="12" t="s">
        <v>2996</v>
      </c>
      <c r="G12193" s="12" t="s">
        <v>46</v>
      </c>
      <c r="H12193" s="11" t="s">
        <v>63</v>
      </c>
      <c r="I12193" s="13" t="s">
        <v>23968</v>
      </c>
      <c r="J12193" s="14" t="str">
        <f>HYPERLINK("https://www.boe.es/gazeta/dias/1839/06/16/pdfs/GMD-1839-1674.pdf#page=3","Abrir facsímil")</f>
        <v>Abrir facsímil</v>
      </c>
      <c r="K12193" s="12" t="s">
        <v>65</v>
      </c>
    </row>
    <row r="12194" spans="1:11" ht="40.049999999999997" customHeight="1" x14ac:dyDescent="0.25">
      <c r="A12194" s="11" t="s">
        <v>23969</v>
      </c>
      <c r="B12194" s="11" t="s">
        <v>23970</v>
      </c>
      <c r="C12194" s="11" t="s">
        <v>80</v>
      </c>
      <c r="D12194" s="11" t="s">
        <v>173</v>
      </c>
      <c r="E12194" s="12" t="s">
        <v>1909</v>
      </c>
      <c r="F12194" s="12" t="s">
        <v>1910</v>
      </c>
      <c r="G12194" s="12" t="s">
        <v>21</v>
      </c>
      <c r="H12194" s="11" t="s">
        <v>63</v>
      </c>
      <c r="I12194" s="13" t="s">
        <v>23971</v>
      </c>
      <c r="J12194" s="14" t="str">
        <f>HYPERLINK("https://www.boe.es/gazeta/dias/1839/10/27/pdfs/GMD-1839-1813.pdf#page=4","Abrir facsímil")</f>
        <v>Abrir facsímil</v>
      </c>
      <c r="K12194" s="12" t="s">
        <v>65</v>
      </c>
    </row>
    <row r="12195" spans="1:11" ht="40.049999999999997" customHeight="1" x14ac:dyDescent="0.25">
      <c r="A12195" s="11" t="s">
        <v>23972</v>
      </c>
      <c r="B12195" s="11" t="s">
        <v>23973</v>
      </c>
      <c r="C12195" s="11" t="s">
        <v>137</v>
      </c>
      <c r="D12195" s="11" t="s">
        <v>18</v>
      </c>
      <c r="E12195" s="12" t="s">
        <v>870</v>
      </c>
      <c r="F12195" s="12" t="s">
        <v>871</v>
      </c>
      <c r="G12195" s="12" t="s">
        <v>21</v>
      </c>
      <c r="H12195" s="11" t="s">
        <v>63</v>
      </c>
      <c r="I12195" s="13" t="s">
        <v>23974</v>
      </c>
      <c r="J12195" s="14" t="str">
        <f>HYPERLINK("https://www.boe.es/gazeta/dias/1839/04/18/pdfs/GMD-1839-1615.pdf#page=4","Abrir facsímil")</f>
        <v>Abrir facsímil</v>
      </c>
      <c r="K12195" s="12" t="s">
        <v>65</v>
      </c>
    </row>
    <row r="12196" spans="1:11" ht="40.049999999999997" customHeight="1" x14ac:dyDescent="0.25">
      <c r="A12196" s="11" t="s">
        <v>23975</v>
      </c>
      <c r="B12196" s="11" t="s">
        <v>23976</v>
      </c>
      <c r="C12196" s="11" t="s">
        <v>80</v>
      </c>
      <c r="D12196" s="11" t="s">
        <v>18</v>
      </c>
      <c r="E12196" s="12" t="s">
        <v>462</v>
      </c>
      <c r="F12196" s="12" t="s">
        <v>463</v>
      </c>
      <c r="G12196" s="12" t="s">
        <v>21</v>
      </c>
      <c r="H12196" s="11" t="s">
        <v>63</v>
      </c>
      <c r="I12196" s="13" t="s">
        <v>23977</v>
      </c>
      <c r="J12196" s="14" t="str">
        <f>HYPERLINK("https://www.boe.es/gazeta/dias/1839/06/19/pdfs/GMD-1839-1677.pdf#page=4","Abrir facsímil")</f>
        <v>Abrir facsímil</v>
      </c>
      <c r="K12196" s="12" t="s">
        <v>65</v>
      </c>
    </row>
    <row r="12197" spans="1:11" ht="40.049999999999997" customHeight="1" x14ac:dyDescent="0.25">
      <c r="A12197" s="11" t="s">
        <v>23978</v>
      </c>
      <c r="B12197" s="11" t="s">
        <v>23979</v>
      </c>
      <c r="C12197" s="11" t="s">
        <v>17</v>
      </c>
      <c r="D12197" s="11" t="s">
        <v>43</v>
      </c>
      <c r="E12197" s="12" t="s">
        <v>611</v>
      </c>
      <c r="F12197" s="12" t="s">
        <v>612</v>
      </c>
      <c r="G12197" s="12" t="s">
        <v>46</v>
      </c>
      <c r="H12197" s="11" t="s">
        <v>63</v>
      </c>
      <c r="I12197" s="13" t="s">
        <v>23980</v>
      </c>
      <c r="J12197" s="14" t="str">
        <f>HYPERLINK("https://www.boe.es/gazeta/dias/1839/07/22/pdfs/GMD-1839-1710.pdf#page=3","Abrir facsímil")</f>
        <v>Abrir facsímil</v>
      </c>
      <c r="K12197" s="12" t="s">
        <v>65</v>
      </c>
    </row>
    <row r="12198" spans="1:11" ht="40.049999999999997" customHeight="1" x14ac:dyDescent="0.25">
      <c r="A12198" s="11" t="s">
        <v>23981</v>
      </c>
      <c r="B12198" s="11" t="s">
        <v>23982</v>
      </c>
      <c r="C12198" s="11" t="s">
        <v>17</v>
      </c>
      <c r="D12198" s="11" t="s">
        <v>18</v>
      </c>
      <c r="E12198" s="12" t="s">
        <v>606</v>
      </c>
      <c r="F12198" s="12" t="s">
        <v>607</v>
      </c>
      <c r="G12198" s="12" t="s">
        <v>29</v>
      </c>
      <c r="H12198" s="11" t="s">
        <v>63</v>
      </c>
      <c r="I12198" s="13" t="s">
        <v>23983</v>
      </c>
      <c r="J12198" s="14" t="str">
        <f>HYPERLINK("https://www.boe.es/gazeta/dias/1839/04/02/pdfs/GMD-1839-1599.pdf#page=1","Abrir facsímil")</f>
        <v>Abrir facsímil</v>
      </c>
      <c r="K12198" s="12" t="s">
        <v>65</v>
      </c>
    </row>
    <row r="12199" spans="1:11" ht="40.049999999999997" customHeight="1" x14ac:dyDescent="0.25">
      <c r="A12199" s="11" t="s">
        <v>23984</v>
      </c>
      <c r="B12199" s="11" t="s">
        <v>23985</v>
      </c>
      <c r="C12199" s="11" t="s">
        <v>59</v>
      </c>
      <c r="D12199" s="11" t="s">
        <v>60</v>
      </c>
      <c r="E12199" s="12" t="s">
        <v>1012</v>
      </c>
      <c r="F12199" s="12" t="s">
        <v>1013</v>
      </c>
      <c r="G12199" s="12" t="s">
        <v>46</v>
      </c>
      <c r="H12199" s="11" t="s">
        <v>63</v>
      </c>
      <c r="I12199" s="13" t="s">
        <v>23986</v>
      </c>
      <c r="J12199" s="14" t="str">
        <f>HYPERLINK("https://www.boe.es/gazeta/dias/1839/11/22/pdfs/GMD-1839-1839.pdf#page=3","Abrir facsímil")</f>
        <v>Abrir facsímil</v>
      </c>
      <c r="K12199" s="12" t="s">
        <v>65</v>
      </c>
    </row>
    <row r="12200" spans="1:11" ht="40.049999999999997" customHeight="1" x14ac:dyDescent="0.25">
      <c r="A12200" s="11" t="s">
        <v>23987</v>
      </c>
      <c r="B12200" s="11" t="s">
        <v>23988</v>
      </c>
      <c r="C12200" s="11" t="s">
        <v>80</v>
      </c>
      <c r="D12200" s="11" t="s">
        <v>18</v>
      </c>
      <c r="E12200" s="12" t="s">
        <v>3391</v>
      </c>
      <c r="F12200" s="12" t="s">
        <v>3392</v>
      </c>
      <c r="G12200" s="12" t="s">
        <v>21</v>
      </c>
      <c r="H12200" s="11" t="s">
        <v>63</v>
      </c>
      <c r="I12200" s="13" t="s">
        <v>23989</v>
      </c>
      <c r="J12200" s="14" t="str">
        <f>HYPERLINK("https://www.boe.es/gazeta/dias/1839/12/31/pdfs/GMD-1839-1878.pdf#page=4","Abrir facsímil")</f>
        <v>Abrir facsímil</v>
      </c>
      <c r="K12200" s="12" t="s">
        <v>65</v>
      </c>
    </row>
    <row r="12201" spans="1:11" ht="40.049999999999997" customHeight="1" x14ac:dyDescent="0.25">
      <c r="A12201" s="11" t="s">
        <v>23990</v>
      </c>
      <c r="B12201" s="11" t="s">
        <v>23991</v>
      </c>
      <c r="C12201" s="11" t="s">
        <v>80</v>
      </c>
      <c r="D12201" s="11" t="s">
        <v>18</v>
      </c>
      <c r="E12201" s="12" t="s">
        <v>89</v>
      </c>
      <c r="F12201" s="12" t="s">
        <v>90</v>
      </c>
      <c r="G12201" s="12" t="s">
        <v>21</v>
      </c>
      <c r="H12201" s="11" t="s">
        <v>63</v>
      </c>
      <c r="I12201" s="13" t="s">
        <v>23992</v>
      </c>
      <c r="J12201" s="14" t="str">
        <f>HYPERLINK("https://www.boe.es/gazeta/dias/1839/11/28/pdfs/GMD-1839-1845.pdf#page=4","Abrir facsímil")</f>
        <v>Abrir facsímil</v>
      </c>
      <c r="K12201" s="12" t="s">
        <v>65</v>
      </c>
    </row>
    <row r="12202" spans="1:11" ht="40.049999999999997" customHeight="1" x14ac:dyDescent="0.25">
      <c r="A12202" s="11" t="s">
        <v>23993</v>
      </c>
      <c r="B12202" s="11" t="s">
        <v>23994</v>
      </c>
      <c r="C12202" s="11" t="s">
        <v>80</v>
      </c>
      <c r="D12202" s="11" t="s">
        <v>18</v>
      </c>
      <c r="E12202" s="12" t="s">
        <v>197</v>
      </c>
      <c r="F12202" s="12" t="s">
        <v>198</v>
      </c>
      <c r="G12202" s="12" t="s">
        <v>46</v>
      </c>
      <c r="H12202" s="11" t="s">
        <v>63</v>
      </c>
      <c r="I12202" s="13" t="s">
        <v>23995</v>
      </c>
      <c r="J12202" s="14" t="str">
        <f>HYPERLINK("https://www.boe.es/gazeta/dias/1839/10/04/pdfs/GMD-1839-1790.pdf#page=3","Abrir facsímil")</f>
        <v>Abrir facsímil</v>
      </c>
      <c r="K12202" s="12" t="s">
        <v>65</v>
      </c>
    </row>
    <row r="12203" spans="1:11" ht="40.049999999999997" customHeight="1" x14ac:dyDescent="0.25">
      <c r="A12203" s="11" t="s">
        <v>23996</v>
      </c>
      <c r="B12203" s="11" t="s">
        <v>23997</v>
      </c>
      <c r="C12203" s="11" t="s">
        <v>17</v>
      </c>
      <c r="D12203" s="11" t="s">
        <v>18</v>
      </c>
      <c r="E12203" s="12" t="s">
        <v>1356</v>
      </c>
      <c r="F12203" s="12" t="s">
        <v>1357</v>
      </c>
      <c r="G12203" s="12" t="s">
        <v>46</v>
      </c>
      <c r="H12203" s="11" t="s">
        <v>63</v>
      </c>
      <c r="I12203" s="13" t="s">
        <v>23998</v>
      </c>
      <c r="J12203" s="14" t="str">
        <f>HYPERLINK("https://www.boe.es/gazeta/dias/1839/06/05/pdfs/GMD-1839-1663.pdf#page=3","Abrir facsímil")</f>
        <v>Abrir facsímil</v>
      </c>
      <c r="K12203" s="12" t="s">
        <v>65</v>
      </c>
    </row>
    <row r="12204" spans="1:11" ht="40.049999999999997" customHeight="1" x14ac:dyDescent="0.25">
      <c r="A12204" s="11" t="s">
        <v>23999</v>
      </c>
      <c r="B12204" s="11" t="s">
        <v>24000</v>
      </c>
      <c r="C12204" s="11" t="s">
        <v>17</v>
      </c>
      <c r="D12204" s="11" t="s">
        <v>18</v>
      </c>
      <c r="E12204" s="12" t="s">
        <v>1414</v>
      </c>
      <c r="F12204" s="12" t="s">
        <v>1415</v>
      </c>
      <c r="G12204" s="12" t="s">
        <v>21</v>
      </c>
      <c r="H12204" s="11" t="s">
        <v>63</v>
      </c>
      <c r="I12204" s="13" t="s">
        <v>24001</v>
      </c>
      <c r="J12204" s="14" t="str">
        <f>HYPERLINK("https://www.boe.es/gazeta/dias/1839/06/12/pdfs/GMD-1839-1670.pdf#page=4","Abrir facsímil")</f>
        <v>Abrir facsímil</v>
      </c>
      <c r="K12204" s="12" t="s">
        <v>65</v>
      </c>
    </row>
    <row r="12205" spans="1:11" ht="40.049999999999997" customHeight="1" x14ac:dyDescent="0.25">
      <c r="A12205" s="11" t="s">
        <v>24002</v>
      </c>
      <c r="B12205" s="11" t="s">
        <v>24003</v>
      </c>
      <c r="C12205" s="11" t="s">
        <v>137</v>
      </c>
      <c r="D12205" s="11" t="s">
        <v>18</v>
      </c>
      <c r="E12205" s="12" t="s">
        <v>89</v>
      </c>
      <c r="F12205" s="12" t="s">
        <v>90</v>
      </c>
      <c r="G12205" s="12" t="s">
        <v>21</v>
      </c>
      <c r="H12205" s="11" t="s">
        <v>63</v>
      </c>
      <c r="I12205" s="13" t="s">
        <v>24004</v>
      </c>
      <c r="J12205" s="14" t="str">
        <f>HYPERLINK("https://www.boe.es/gazeta/dias/1839/11/28/pdfs/GMD-1839-1845.pdf#page=4","Abrir facsímil")</f>
        <v>Abrir facsímil</v>
      </c>
      <c r="K12205" s="12" t="s">
        <v>65</v>
      </c>
    </row>
    <row r="12206" spans="1:11" ht="40.049999999999997" customHeight="1" x14ac:dyDescent="0.25">
      <c r="A12206" s="11" t="s">
        <v>24005</v>
      </c>
      <c r="B12206" s="11" t="s">
        <v>24006</v>
      </c>
      <c r="C12206" s="11" t="s">
        <v>17</v>
      </c>
      <c r="D12206" s="11" t="s">
        <v>18</v>
      </c>
      <c r="E12206" s="12" t="s">
        <v>883</v>
      </c>
      <c r="F12206" s="12" t="s">
        <v>884</v>
      </c>
      <c r="G12206" s="12" t="s">
        <v>46</v>
      </c>
      <c r="H12206" s="11" t="s">
        <v>63</v>
      </c>
      <c r="I12206" s="13" t="s">
        <v>24007</v>
      </c>
      <c r="J12206" s="14" t="str">
        <f>HYPERLINK("https://www.boe.es/gazeta/dias/1839/11/03/pdfs/GMD-1839-1820.pdf#page=3","Abrir facsímil")</f>
        <v>Abrir facsímil</v>
      </c>
      <c r="K12206" s="12" t="s">
        <v>65</v>
      </c>
    </row>
    <row r="12207" spans="1:11" ht="40.049999999999997" customHeight="1" x14ac:dyDescent="0.25">
      <c r="A12207" s="11" t="s">
        <v>24008</v>
      </c>
      <c r="B12207" s="11" t="s">
        <v>24009</v>
      </c>
      <c r="C12207" s="11" t="s">
        <v>17</v>
      </c>
      <c r="D12207" s="11" t="s">
        <v>18</v>
      </c>
      <c r="E12207" s="12" t="s">
        <v>522</v>
      </c>
      <c r="F12207" s="12" t="s">
        <v>523</v>
      </c>
      <c r="G12207" s="12" t="s">
        <v>40</v>
      </c>
      <c r="H12207" s="11" t="s">
        <v>63</v>
      </c>
      <c r="I12207" s="13" t="s">
        <v>24010</v>
      </c>
      <c r="J12207" s="14" t="str">
        <f>HYPERLINK("https://www.boe.es/gazeta/dias/1839/08/27/pdfs/GMD-1839-1748.pdf#page=2","Abrir facsímil")</f>
        <v>Abrir facsímil</v>
      </c>
      <c r="K12207" s="12" t="s">
        <v>65</v>
      </c>
    </row>
    <row r="12208" spans="1:11" ht="40.049999999999997" customHeight="1" x14ac:dyDescent="0.25">
      <c r="A12208" s="11" t="s">
        <v>24011</v>
      </c>
      <c r="B12208" s="11" t="s">
        <v>24012</v>
      </c>
      <c r="C12208" s="11" t="s">
        <v>101</v>
      </c>
      <c r="D12208" s="11" t="s">
        <v>43</v>
      </c>
      <c r="E12208" s="12" t="s">
        <v>207</v>
      </c>
      <c r="F12208" s="12" t="s">
        <v>208</v>
      </c>
      <c r="G12208" s="12" t="s">
        <v>40</v>
      </c>
      <c r="H12208" s="11" t="s">
        <v>63</v>
      </c>
      <c r="I12208" s="13" t="s">
        <v>24013</v>
      </c>
      <c r="J12208" s="14" t="str">
        <f>HYPERLINK("https://www.boe.es/gazeta/dias/1839/02/19/pdfs/GMD-1839-1557.pdf#page=2","Abrir facsímil")</f>
        <v>Abrir facsímil</v>
      </c>
      <c r="K12208" s="12" t="s">
        <v>65</v>
      </c>
    </row>
    <row r="12209" spans="1:11" ht="40.049999999999997" customHeight="1" x14ac:dyDescent="0.25">
      <c r="A12209" s="11" t="s">
        <v>24014</v>
      </c>
      <c r="B12209" s="11" t="s">
        <v>24015</v>
      </c>
      <c r="C12209" s="11" t="s">
        <v>17</v>
      </c>
      <c r="D12209" s="11" t="s">
        <v>18</v>
      </c>
      <c r="E12209" s="12" t="s">
        <v>1528</v>
      </c>
      <c r="F12209" s="12" t="s">
        <v>1529</v>
      </c>
      <c r="G12209" s="12" t="s">
        <v>21</v>
      </c>
      <c r="H12209" s="11" t="s">
        <v>63</v>
      </c>
      <c r="I12209" s="13" t="s">
        <v>24016</v>
      </c>
      <c r="J12209" s="14" t="str">
        <f>HYPERLINK("https://www.boe.es/gazeta/dias/1839/12/15/pdfs/GMD-1839-1862.pdf#page=4","Abrir facsímil")</f>
        <v>Abrir facsímil</v>
      </c>
      <c r="K12209" s="12" t="s">
        <v>65</v>
      </c>
    </row>
    <row r="12210" spans="1:11" ht="40.049999999999997" customHeight="1" x14ac:dyDescent="0.25">
      <c r="A12210" s="11" t="s">
        <v>24017</v>
      </c>
      <c r="B12210" s="11" t="s">
        <v>24018</v>
      </c>
      <c r="C12210" s="11" t="s">
        <v>59</v>
      </c>
      <c r="D12210" s="11" t="s">
        <v>60</v>
      </c>
      <c r="E12210" s="12" t="s">
        <v>1136</v>
      </c>
      <c r="F12210" s="12" t="s">
        <v>1137</v>
      </c>
      <c r="G12210" s="12" t="s">
        <v>46</v>
      </c>
      <c r="H12210" s="11" t="s">
        <v>63</v>
      </c>
      <c r="I12210" s="13" t="s">
        <v>24019</v>
      </c>
      <c r="J12210" s="14" t="str">
        <f>HYPERLINK("https://www.boe.es/gazeta/dias/1839/04/03/pdfs/GMD-1839-1600.pdf#page=3","Abrir facsímil")</f>
        <v>Abrir facsímil</v>
      </c>
      <c r="K12210" s="12" t="s">
        <v>65</v>
      </c>
    </row>
    <row r="12211" spans="1:11" ht="40.049999999999997" customHeight="1" x14ac:dyDescent="0.25">
      <c r="A12211" s="11" t="s">
        <v>24020</v>
      </c>
      <c r="B12211" s="11" t="s">
        <v>24020</v>
      </c>
      <c r="C12211" s="11" t="s">
        <v>17</v>
      </c>
      <c r="D12211" s="11" t="s">
        <v>18</v>
      </c>
      <c r="E12211" s="12" t="s">
        <v>1929</v>
      </c>
      <c r="F12211" s="12" t="s">
        <v>1930</v>
      </c>
      <c r="G12211" s="12" t="s">
        <v>46</v>
      </c>
      <c r="H12211" s="11" t="s">
        <v>22</v>
      </c>
      <c r="I12211" s="13" t="s">
        <v>24021</v>
      </c>
      <c r="J12211" s="14" t="str">
        <f>HYPERLINK("https://www.boe.es/gazeta/dias/1839/02/01/pdfs/GMD-1839-1539.pdf#page=3","Abrir facsímil")</f>
        <v>Abrir facsímil</v>
      </c>
      <c r="K12211" s="12" t="s">
        <v>24</v>
      </c>
    </row>
    <row r="12212" spans="1:11" ht="40.049999999999997" customHeight="1" x14ac:dyDescent="0.25">
      <c r="A12212" s="11" t="s">
        <v>24020</v>
      </c>
      <c r="B12212" s="11" t="s">
        <v>24020</v>
      </c>
      <c r="C12212" s="11" t="s">
        <v>80</v>
      </c>
      <c r="D12212" s="11" t="s">
        <v>18</v>
      </c>
      <c r="E12212" s="12" t="s">
        <v>68</v>
      </c>
      <c r="F12212" s="12" t="s">
        <v>69</v>
      </c>
      <c r="G12212" s="12" t="s">
        <v>46</v>
      </c>
      <c r="H12212" s="11" t="s">
        <v>22</v>
      </c>
      <c r="I12212" s="13" t="s">
        <v>24022</v>
      </c>
      <c r="J12212" s="14" t="str">
        <f>HYPERLINK("https://www.boe.es/gazeta/dias/1839/02/09/pdfs/GMD-1839-1547.pdf#page=3","Abrir facsímil")</f>
        <v>Abrir facsímil</v>
      </c>
      <c r="K12212" s="12" t="s">
        <v>24</v>
      </c>
    </row>
    <row r="12213" spans="1:11" ht="40.049999999999997" customHeight="1" x14ac:dyDescent="0.25">
      <c r="A12213" s="11" t="s">
        <v>24020</v>
      </c>
      <c r="B12213" s="11" t="s">
        <v>24020</v>
      </c>
      <c r="C12213" s="11" t="s">
        <v>17</v>
      </c>
      <c r="D12213" s="11" t="s">
        <v>18</v>
      </c>
      <c r="E12213" s="12" t="s">
        <v>2650</v>
      </c>
      <c r="F12213" s="12" t="s">
        <v>2651</v>
      </c>
      <c r="G12213" s="12" t="s">
        <v>46</v>
      </c>
      <c r="H12213" s="11" t="s">
        <v>22</v>
      </c>
      <c r="I12213" s="13" t="s">
        <v>24023</v>
      </c>
      <c r="J12213" s="14" t="str">
        <f>HYPERLINK("https://www.boe.es/gazeta/dias/1839/09/15/pdfs/GMD-1839-1768.pdf#page=3","Abrir facsímil")</f>
        <v>Abrir facsímil</v>
      </c>
      <c r="K12213" s="12" t="s">
        <v>24</v>
      </c>
    </row>
    <row r="12214" spans="1:11" ht="40.049999999999997" customHeight="1" x14ac:dyDescent="0.25">
      <c r="A12214" s="11" t="s">
        <v>24020</v>
      </c>
      <c r="B12214" s="11" t="s">
        <v>24020</v>
      </c>
      <c r="C12214" s="11" t="s">
        <v>101</v>
      </c>
      <c r="D12214" s="11" t="s">
        <v>43</v>
      </c>
      <c r="E12214" s="12" t="s">
        <v>826</v>
      </c>
      <c r="F12214" s="12" t="s">
        <v>827</v>
      </c>
      <c r="G12214" s="12" t="s">
        <v>46</v>
      </c>
      <c r="H12214" s="11" t="s">
        <v>22</v>
      </c>
      <c r="I12214" s="13" t="s">
        <v>24024</v>
      </c>
      <c r="J12214" s="14" t="str">
        <f>HYPERLINK("https://www.boe.es/gazeta/dias/1839/09/25/pdfs/GMD-1839-1781.pdf#page=3","Abrir facsímil")</f>
        <v>Abrir facsímil</v>
      </c>
      <c r="K12214" s="12" t="s">
        <v>24</v>
      </c>
    </row>
    <row r="12215" spans="1:11" ht="40.049999999999997" customHeight="1" x14ac:dyDescent="0.25">
      <c r="A12215" s="11" t="s">
        <v>24025</v>
      </c>
      <c r="B12215" s="11" t="s">
        <v>24025</v>
      </c>
      <c r="C12215" s="11" t="s">
        <v>17</v>
      </c>
      <c r="D12215" s="11" t="s">
        <v>18</v>
      </c>
      <c r="E12215" s="12" t="s">
        <v>804</v>
      </c>
      <c r="F12215" s="12" t="s">
        <v>805</v>
      </c>
      <c r="G12215" s="12" t="s">
        <v>46</v>
      </c>
      <c r="H12215" s="11" t="s">
        <v>22</v>
      </c>
      <c r="I12215" s="13" t="s">
        <v>24026</v>
      </c>
      <c r="J12215" s="14" t="str">
        <f>HYPERLINK("https://www.boe.es/gazeta/dias/1839/01/08/pdfs/GMD-1839-1515.pdf#page=3","Abrir facsímil")</f>
        <v>Abrir facsímil</v>
      </c>
      <c r="K12215" s="12" t="s">
        <v>24</v>
      </c>
    </row>
    <row r="12216" spans="1:11" ht="40.049999999999997" customHeight="1" x14ac:dyDescent="0.25">
      <c r="A12216" s="11" t="s">
        <v>24025</v>
      </c>
      <c r="B12216" s="11" t="s">
        <v>24025</v>
      </c>
      <c r="C12216" s="11" t="s">
        <v>101</v>
      </c>
      <c r="D12216" s="11" t="s">
        <v>43</v>
      </c>
      <c r="E12216" s="12" t="s">
        <v>571</v>
      </c>
      <c r="F12216" s="12" t="s">
        <v>572</v>
      </c>
      <c r="G12216" s="12" t="s">
        <v>40</v>
      </c>
      <c r="H12216" s="11" t="s">
        <v>22</v>
      </c>
      <c r="I12216" s="13" t="s">
        <v>24027</v>
      </c>
      <c r="J12216" s="14" t="str">
        <f>HYPERLINK("https://www.boe.es/gazeta/dias/1839/09/27/pdfs/GMD-1839-1783.pdf#page=2","Abrir facsímil")</f>
        <v>Abrir facsímil</v>
      </c>
      <c r="K12216" s="12" t="s">
        <v>24</v>
      </c>
    </row>
    <row r="12217" spans="1:11" ht="40.049999999999997" customHeight="1" x14ac:dyDescent="0.25">
      <c r="A12217" s="11" t="s">
        <v>24025</v>
      </c>
      <c r="B12217" s="11" t="s">
        <v>24025</v>
      </c>
      <c r="C12217" s="11" t="s">
        <v>17</v>
      </c>
      <c r="D12217" s="11" t="s">
        <v>18</v>
      </c>
      <c r="E12217" s="12" t="s">
        <v>1867</v>
      </c>
      <c r="F12217" s="12" t="s">
        <v>1868</v>
      </c>
      <c r="G12217" s="12" t="s">
        <v>40</v>
      </c>
      <c r="H12217" s="11" t="s">
        <v>22</v>
      </c>
      <c r="I12217" s="13" t="s">
        <v>24028</v>
      </c>
      <c r="J12217" s="14" t="str">
        <f>HYPERLINK("https://www.boe.es/gazeta/dias/1839/01/30/pdfs/GMD-1839-1537.pdf#page=2","Abrir facsímil")</f>
        <v>Abrir facsímil</v>
      </c>
      <c r="K12217" s="12" t="s">
        <v>24</v>
      </c>
    </row>
    <row r="12218" spans="1:11" ht="40.049999999999997" customHeight="1" x14ac:dyDescent="0.25">
      <c r="A12218" s="11" t="s">
        <v>24025</v>
      </c>
      <c r="B12218" s="11" t="s">
        <v>24025</v>
      </c>
      <c r="C12218" s="11" t="s">
        <v>17</v>
      </c>
      <c r="D12218" s="11" t="s">
        <v>18</v>
      </c>
      <c r="E12218" s="12" t="s">
        <v>1867</v>
      </c>
      <c r="F12218" s="12" t="s">
        <v>1868</v>
      </c>
      <c r="G12218" s="12" t="s">
        <v>46</v>
      </c>
      <c r="H12218" s="11" t="s">
        <v>22</v>
      </c>
      <c r="I12218" s="13" t="s">
        <v>24029</v>
      </c>
      <c r="J12218" s="14" t="str">
        <f>HYPERLINK("https://www.boe.es/gazeta/dias/1839/01/30/pdfs/GMD-1839-1537.pdf#page=3","Abrir facsímil")</f>
        <v>Abrir facsímil</v>
      </c>
      <c r="K12218" s="12" t="s">
        <v>24</v>
      </c>
    </row>
    <row r="12219" spans="1:11" ht="40.049999999999997" customHeight="1" x14ac:dyDescent="0.25">
      <c r="A12219" s="11" t="s">
        <v>24030</v>
      </c>
      <c r="B12219" s="11" t="s">
        <v>24030</v>
      </c>
      <c r="C12219" s="11" t="s">
        <v>17</v>
      </c>
      <c r="D12219" s="11" t="s">
        <v>18</v>
      </c>
      <c r="E12219" s="12" t="s">
        <v>826</v>
      </c>
      <c r="F12219" s="12" t="s">
        <v>827</v>
      </c>
      <c r="G12219" s="12" t="s">
        <v>46</v>
      </c>
      <c r="H12219" s="11" t="s">
        <v>22</v>
      </c>
      <c r="I12219" s="13" t="s">
        <v>24031</v>
      </c>
      <c r="J12219" s="14" t="str">
        <f>HYPERLINK("https://www.boe.es/gazeta/dias/1839/09/25/pdfs/GMD-1839-1781.pdf#page=3","Abrir facsímil")</f>
        <v>Abrir facsímil</v>
      </c>
      <c r="K12219" s="12" t="s">
        <v>24</v>
      </c>
    </row>
    <row r="12220" spans="1:11" ht="40.049999999999997" customHeight="1" x14ac:dyDescent="0.25">
      <c r="A12220" s="11" t="s">
        <v>24030</v>
      </c>
      <c r="B12220" s="11" t="s">
        <v>24030</v>
      </c>
      <c r="C12220" s="11" t="s">
        <v>101</v>
      </c>
      <c r="D12220" s="11" t="s">
        <v>43</v>
      </c>
      <c r="E12220" s="12" t="s">
        <v>2349</v>
      </c>
      <c r="F12220" s="12" t="s">
        <v>2350</v>
      </c>
      <c r="G12220" s="12" t="s">
        <v>46</v>
      </c>
      <c r="H12220" s="11" t="s">
        <v>22</v>
      </c>
      <c r="I12220" s="13" t="s">
        <v>24032</v>
      </c>
      <c r="J12220" s="14" t="str">
        <f>HYPERLINK("https://www.boe.es/gazeta/dias/1839/09/29/pdfs/GMD-1839-1785.pdf#page=3","Abrir facsímil")</f>
        <v>Abrir facsímil</v>
      </c>
      <c r="K12220" s="12" t="s">
        <v>24</v>
      </c>
    </row>
    <row r="12221" spans="1:11" ht="40.049999999999997" customHeight="1" x14ac:dyDescent="0.25">
      <c r="A12221" s="11" t="s">
        <v>24033</v>
      </c>
      <c r="B12221" s="11" t="s">
        <v>24033</v>
      </c>
      <c r="C12221" s="11" t="s">
        <v>137</v>
      </c>
      <c r="D12221" s="11" t="s">
        <v>18</v>
      </c>
      <c r="E12221" s="12" t="s">
        <v>54</v>
      </c>
      <c r="F12221" s="12" t="s">
        <v>55</v>
      </c>
      <c r="G12221" s="12" t="s">
        <v>29</v>
      </c>
      <c r="H12221" s="11" t="s">
        <v>63</v>
      </c>
      <c r="I12221" s="13" t="s">
        <v>24034</v>
      </c>
      <c r="J12221" s="14" t="str">
        <f>HYPERLINK("https://www.boe.es/gazeta/dias/1839/10/05/pdfs/GMD-1839-1791.pdf#page=1","Abrir facsímil")</f>
        <v>Abrir facsímil</v>
      </c>
      <c r="K12221" s="12" t="s">
        <v>65</v>
      </c>
    </row>
    <row r="12222" spans="1:11" ht="40.049999999999997" customHeight="1" x14ac:dyDescent="0.25">
      <c r="A12222" s="11" t="s">
        <v>24035</v>
      </c>
      <c r="B12222" s="11" t="s">
        <v>24036</v>
      </c>
      <c r="C12222" s="11" t="s">
        <v>17</v>
      </c>
      <c r="D12222" s="11" t="s">
        <v>18</v>
      </c>
      <c r="E12222" s="12" t="s">
        <v>148</v>
      </c>
      <c r="F12222" s="12" t="s">
        <v>149</v>
      </c>
      <c r="G12222" s="12" t="s">
        <v>40</v>
      </c>
      <c r="H12222" s="11" t="s">
        <v>63</v>
      </c>
      <c r="I12222" s="13" t="s">
        <v>24037</v>
      </c>
      <c r="J12222" s="14" t="str">
        <f>HYPERLINK("https://www.boe.es/gazeta/dias/1839/07/16/pdfs/GMD-1839-1704.pdf#page=2","Abrir facsímil")</f>
        <v>Abrir facsímil</v>
      </c>
      <c r="K12222" s="12" t="s">
        <v>65</v>
      </c>
    </row>
    <row r="12223" spans="1:11" ht="40.049999999999997" customHeight="1" x14ac:dyDescent="0.25">
      <c r="A12223" s="11" t="s">
        <v>24038</v>
      </c>
      <c r="B12223" s="11" t="s">
        <v>24038</v>
      </c>
      <c r="C12223" s="11" t="s">
        <v>59</v>
      </c>
      <c r="D12223" s="11" t="s">
        <v>60</v>
      </c>
      <c r="E12223" s="12" t="s">
        <v>4292</v>
      </c>
      <c r="F12223" s="12" t="s">
        <v>4293</v>
      </c>
      <c r="G12223" s="12" t="s">
        <v>29</v>
      </c>
      <c r="H12223" s="11" t="s">
        <v>63</v>
      </c>
      <c r="I12223" s="13" t="s">
        <v>24039</v>
      </c>
      <c r="J12223" s="14" t="str">
        <f>HYPERLINK("https://www.boe.es/gazeta/dias/1839/11/29/pdfs/GMD-1839-1846.pdf#page=1","Abrir facsímil")</f>
        <v>Abrir facsímil</v>
      </c>
      <c r="K12223" s="12" t="s">
        <v>65</v>
      </c>
    </row>
    <row r="12224" spans="1:11" ht="40.049999999999997" customHeight="1" x14ac:dyDescent="0.25">
      <c r="A12224" s="11" t="s">
        <v>24040</v>
      </c>
      <c r="B12224" s="11" t="s">
        <v>24041</v>
      </c>
      <c r="C12224" s="11" t="s">
        <v>17</v>
      </c>
      <c r="D12224" s="11" t="s">
        <v>18</v>
      </c>
      <c r="E12224" s="12" t="s">
        <v>1144</v>
      </c>
      <c r="F12224" s="12" t="s">
        <v>1145</v>
      </c>
      <c r="G12224" s="12" t="s">
        <v>40</v>
      </c>
      <c r="H12224" s="11" t="s">
        <v>63</v>
      </c>
      <c r="I12224" s="13" t="s">
        <v>24042</v>
      </c>
      <c r="J12224" s="14" t="str">
        <f>HYPERLINK("https://www.boe.es/gazeta/dias/1839/08/13/pdfs/GMD-1839-1733.pdf#page=2","Abrir facsímil")</f>
        <v>Abrir facsímil</v>
      </c>
      <c r="K12224" s="12" t="s">
        <v>65</v>
      </c>
    </row>
    <row r="12225" spans="1:11" ht="40.049999999999997" customHeight="1" x14ac:dyDescent="0.25">
      <c r="A12225" s="11" t="s">
        <v>24043</v>
      </c>
      <c r="B12225" s="11" t="s">
        <v>24043</v>
      </c>
      <c r="C12225" s="11" t="s">
        <v>17</v>
      </c>
      <c r="D12225" s="11" t="s">
        <v>18</v>
      </c>
      <c r="E12225" s="12" t="s">
        <v>483</v>
      </c>
      <c r="F12225" s="12" t="s">
        <v>484</v>
      </c>
      <c r="G12225" s="12" t="s">
        <v>21</v>
      </c>
      <c r="H12225" s="11" t="s">
        <v>63</v>
      </c>
      <c r="I12225" s="13" t="s">
        <v>24044</v>
      </c>
      <c r="J12225" s="14" t="str">
        <f>HYPERLINK("https://www.boe.es/gazeta/dias/1839/11/18/pdfs/GMD-1839-1835.pdf#page=4","Abrir facsímil")</f>
        <v>Abrir facsímil</v>
      </c>
      <c r="K12225" s="12" t="s">
        <v>65</v>
      </c>
    </row>
    <row r="12226" spans="1:11" ht="40.049999999999997" customHeight="1" x14ac:dyDescent="0.25">
      <c r="A12226" s="11" t="s">
        <v>24045</v>
      </c>
      <c r="B12226" s="11" t="s">
        <v>24046</v>
      </c>
      <c r="C12226" s="11" t="s">
        <v>59</v>
      </c>
      <c r="D12226" s="11" t="s">
        <v>60</v>
      </c>
      <c r="E12226" s="12" t="s">
        <v>713</v>
      </c>
      <c r="F12226" s="12" t="s">
        <v>714</v>
      </c>
      <c r="G12226" s="12" t="s">
        <v>40</v>
      </c>
      <c r="H12226" s="11" t="s">
        <v>63</v>
      </c>
      <c r="I12226" s="13" t="s">
        <v>24047</v>
      </c>
      <c r="J12226" s="14" t="str">
        <f>HYPERLINK("https://www.boe.es/gazeta/dias/1839/12/18/pdfs/GMD-1839-1865.pdf#page=2","Abrir facsímil")</f>
        <v>Abrir facsímil</v>
      </c>
      <c r="K12226" s="12" t="s">
        <v>65</v>
      </c>
    </row>
    <row r="12227" spans="1:11" ht="40.049999999999997" customHeight="1" x14ac:dyDescent="0.25">
      <c r="A12227" s="11" t="s">
        <v>24048</v>
      </c>
      <c r="B12227" s="11" t="s">
        <v>24049</v>
      </c>
      <c r="C12227" s="11" t="s">
        <v>17</v>
      </c>
      <c r="D12227" s="11" t="s">
        <v>18</v>
      </c>
      <c r="E12227" s="12" t="s">
        <v>2463</v>
      </c>
      <c r="F12227" s="12" t="s">
        <v>2464</v>
      </c>
      <c r="G12227" s="12" t="s">
        <v>40</v>
      </c>
      <c r="H12227" s="11" t="s">
        <v>63</v>
      </c>
      <c r="I12227" s="13" t="s">
        <v>24050</v>
      </c>
      <c r="J12227" s="14" t="str">
        <f>HYPERLINK("https://www.boe.es/gazeta/dias/1839/04/26/pdfs/GMD-1839-1623.pdf#page=2","Abrir facsímil")</f>
        <v>Abrir facsímil</v>
      </c>
      <c r="K12227" s="12" t="s">
        <v>65</v>
      </c>
    </row>
    <row r="12228" spans="1:11" ht="40.049999999999997" customHeight="1" x14ac:dyDescent="0.25">
      <c r="A12228" s="11" t="s">
        <v>24051</v>
      </c>
      <c r="B12228" s="11" t="s">
        <v>24052</v>
      </c>
      <c r="C12228" s="11" t="s">
        <v>17</v>
      </c>
      <c r="D12228" s="11" t="s">
        <v>18</v>
      </c>
      <c r="E12228" s="12" t="s">
        <v>1310</v>
      </c>
      <c r="F12228" s="12" t="s">
        <v>1311</v>
      </c>
      <c r="G12228" s="12" t="s">
        <v>40</v>
      </c>
      <c r="H12228" s="11" t="s">
        <v>63</v>
      </c>
      <c r="I12228" s="13" t="s">
        <v>24053</v>
      </c>
      <c r="J12228" s="14" t="str">
        <f>HYPERLINK("https://www.boe.es/gazeta/dias/1839/04/23/pdfs/GMD-1839-1620.pdf#page=2","Abrir facsímil")</f>
        <v>Abrir facsímil</v>
      </c>
      <c r="K12228" s="12" t="s">
        <v>65</v>
      </c>
    </row>
    <row r="12229" spans="1:11" ht="40.049999999999997" customHeight="1" x14ac:dyDescent="0.25">
      <c r="A12229" s="11" t="s">
        <v>24054</v>
      </c>
      <c r="B12229" s="11" t="s">
        <v>24054</v>
      </c>
      <c r="C12229" s="11" t="s">
        <v>17</v>
      </c>
      <c r="D12229" s="11" t="s">
        <v>18</v>
      </c>
      <c r="E12229" s="12" t="s">
        <v>5806</v>
      </c>
      <c r="F12229" s="12" t="s">
        <v>5807</v>
      </c>
      <c r="G12229" s="12" t="s">
        <v>40</v>
      </c>
      <c r="H12229" s="11" t="s">
        <v>63</v>
      </c>
      <c r="I12229" s="13" t="s">
        <v>24055</v>
      </c>
      <c r="J12229" s="14" t="str">
        <f>HYPERLINK("https://www.boe.es/gazeta/dias/1839/02/16/pdfs/GMD-1839-1554.pdf#page=2","Abrir facsímil")</f>
        <v>Abrir facsímil</v>
      </c>
      <c r="K12229" s="12" t="s">
        <v>65</v>
      </c>
    </row>
    <row r="12230" spans="1:11" ht="40.049999999999997" customHeight="1" x14ac:dyDescent="0.25">
      <c r="A12230" s="11" t="s">
        <v>24056</v>
      </c>
      <c r="B12230" s="11" t="s">
        <v>24057</v>
      </c>
      <c r="C12230" s="11" t="s">
        <v>59</v>
      </c>
      <c r="D12230" s="11" t="s">
        <v>60</v>
      </c>
      <c r="E12230" s="12" t="s">
        <v>1391</v>
      </c>
      <c r="F12230" s="12" t="s">
        <v>1392</v>
      </c>
      <c r="G12230" s="12" t="s">
        <v>21</v>
      </c>
      <c r="H12230" s="11" t="s">
        <v>63</v>
      </c>
      <c r="I12230" s="13" t="s">
        <v>24058</v>
      </c>
      <c r="J12230" s="14" t="str">
        <f>HYPERLINK("https://www.boe.es/gazeta/dias/1839/05/12/pdfs/GMD-1839-1639.pdf#page=4","Abrir facsímil")</f>
        <v>Abrir facsímil</v>
      </c>
      <c r="K12230" s="12" t="s">
        <v>65</v>
      </c>
    </row>
    <row r="12231" spans="1:11" ht="40.049999999999997" customHeight="1" x14ac:dyDescent="0.25">
      <c r="A12231" s="11" t="s">
        <v>24059</v>
      </c>
      <c r="B12231" s="11" t="s">
        <v>24059</v>
      </c>
      <c r="C12231" s="11" t="s">
        <v>101</v>
      </c>
      <c r="D12231" s="11" t="s">
        <v>102</v>
      </c>
      <c r="E12231" s="12" t="s">
        <v>1520</v>
      </c>
      <c r="F12231" s="12" t="s">
        <v>1521</v>
      </c>
      <c r="G12231" s="12" t="s">
        <v>29</v>
      </c>
      <c r="H12231" s="11" t="s">
        <v>63</v>
      </c>
      <c r="I12231" s="13" t="s">
        <v>24060</v>
      </c>
      <c r="J12231" s="14" t="str">
        <f>HYPERLINK("https://www.boe.es/gazeta/dias/1839/12/27/pdfs/GMD-1839-1874.pdf#page=1","Abrir facsímil")</f>
        <v>Abrir facsímil</v>
      </c>
      <c r="K12231" s="12" t="s">
        <v>65</v>
      </c>
    </row>
    <row r="12232" spans="1:11" ht="40.049999999999997" customHeight="1" x14ac:dyDescent="0.25">
      <c r="A12232" s="11" t="s">
        <v>24061</v>
      </c>
      <c r="B12232" s="11" t="s">
        <v>24062</v>
      </c>
      <c r="C12232" s="11" t="s">
        <v>101</v>
      </c>
      <c r="D12232" s="11" t="s">
        <v>43</v>
      </c>
      <c r="E12232" s="12" t="s">
        <v>254</v>
      </c>
      <c r="F12232" s="12" t="s">
        <v>255</v>
      </c>
      <c r="G12232" s="12" t="s">
        <v>40</v>
      </c>
      <c r="H12232" s="11" t="s">
        <v>63</v>
      </c>
      <c r="I12232" s="13" t="s">
        <v>24063</v>
      </c>
      <c r="J12232" s="14" t="str">
        <f>HYPERLINK("https://www.boe.es/gazeta/dias/1839/09/12/pdfs/GMD-1839-1765.pdf#page=2","Abrir facsímil")</f>
        <v>Abrir facsímil</v>
      </c>
      <c r="K12232" s="12" t="s">
        <v>65</v>
      </c>
    </row>
    <row r="12233" spans="1:11" ht="40.049999999999997" customHeight="1" x14ac:dyDescent="0.25">
      <c r="A12233" s="11" t="s">
        <v>24064</v>
      </c>
      <c r="B12233" s="11" t="s">
        <v>24065</v>
      </c>
      <c r="C12233" s="11" t="s">
        <v>17</v>
      </c>
      <c r="D12233" s="11" t="s">
        <v>18</v>
      </c>
      <c r="E12233" s="12" t="s">
        <v>2919</v>
      </c>
      <c r="F12233" s="12" t="s">
        <v>2920</v>
      </c>
      <c r="G12233" s="12" t="s">
        <v>29</v>
      </c>
      <c r="H12233" s="11" t="s">
        <v>63</v>
      </c>
      <c r="I12233" s="13" t="s">
        <v>24066</v>
      </c>
      <c r="J12233" s="14" t="str">
        <f>HYPERLINK("https://www.boe.es/gazeta/dias/1839/11/12/pdfs/GMD-1839-1829.pdf#page=1","Abrir facsímil")</f>
        <v>Abrir facsímil</v>
      </c>
      <c r="K12233" s="12" t="s">
        <v>65</v>
      </c>
    </row>
    <row r="12234" spans="1:11" ht="40.049999999999997" customHeight="1" x14ac:dyDescent="0.25">
      <c r="A12234" s="11" t="s">
        <v>24067</v>
      </c>
      <c r="B12234" s="11" t="s">
        <v>24068</v>
      </c>
      <c r="C12234" s="11" t="s">
        <v>17</v>
      </c>
      <c r="D12234" s="11" t="s">
        <v>18</v>
      </c>
      <c r="E12234" s="12" t="s">
        <v>1523</v>
      </c>
      <c r="F12234" s="12" t="s">
        <v>1524</v>
      </c>
      <c r="G12234" s="12" t="s">
        <v>29</v>
      </c>
      <c r="H12234" s="11" t="s">
        <v>63</v>
      </c>
      <c r="I12234" s="13" t="s">
        <v>24069</v>
      </c>
      <c r="J12234" s="14" t="str">
        <f>HYPERLINK("https://www.boe.es/gazeta/dias/1839/08/29/pdfs/GMD-1839-1750.pdf#page=1","Abrir facsímil")</f>
        <v>Abrir facsímil</v>
      </c>
      <c r="K12234" s="12" t="s">
        <v>65</v>
      </c>
    </row>
    <row r="12235" spans="1:11" ht="40.049999999999997" customHeight="1" x14ac:dyDescent="0.25">
      <c r="A12235" s="11" t="s">
        <v>24070</v>
      </c>
      <c r="B12235" s="11" t="s">
        <v>24071</v>
      </c>
      <c r="C12235" s="11" t="s">
        <v>17</v>
      </c>
      <c r="D12235" s="11" t="s">
        <v>18</v>
      </c>
      <c r="E12235" s="12" t="s">
        <v>1813</v>
      </c>
      <c r="F12235" s="12" t="s">
        <v>1814</v>
      </c>
      <c r="G12235" s="12" t="s">
        <v>40</v>
      </c>
      <c r="H12235" s="11" t="s">
        <v>63</v>
      </c>
      <c r="I12235" s="13" t="s">
        <v>24072</v>
      </c>
      <c r="J12235" s="14" t="str">
        <f>HYPERLINK("https://www.boe.es/gazeta/dias/1839/09/02/pdfs/GMD-1839-1754.pdf#page=2","Abrir facsímil")</f>
        <v>Abrir facsímil</v>
      </c>
      <c r="K12235" s="12" t="s">
        <v>65</v>
      </c>
    </row>
    <row r="12236" spans="1:11" ht="40.049999999999997" customHeight="1" x14ac:dyDescent="0.25">
      <c r="A12236" s="11" t="s">
        <v>24073</v>
      </c>
      <c r="B12236" s="11" t="s">
        <v>24073</v>
      </c>
      <c r="C12236" s="11" t="s">
        <v>80</v>
      </c>
      <c r="D12236" s="11" t="s">
        <v>173</v>
      </c>
      <c r="E12236" s="12" t="s">
        <v>291</v>
      </c>
      <c r="F12236" s="12" t="s">
        <v>292</v>
      </c>
      <c r="G12236" s="12" t="s">
        <v>21</v>
      </c>
      <c r="H12236" s="11" t="s">
        <v>63</v>
      </c>
      <c r="I12236" s="13" t="s">
        <v>24074</v>
      </c>
      <c r="J12236" s="14" t="str">
        <f>HYPERLINK("https://www.boe.es/gazeta/dias/1839/09/04/pdfs/GMD-1839-1757.pdf#page=4","Abrir facsímil")</f>
        <v>Abrir facsímil</v>
      </c>
      <c r="K12236" s="12" t="s">
        <v>65</v>
      </c>
    </row>
    <row r="12237" spans="1:11" ht="40.049999999999997" customHeight="1" x14ac:dyDescent="0.25">
      <c r="A12237" s="11" t="s">
        <v>24075</v>
      </c>
      <c r="B12237" s="11" t="s">
        <v>24075</v>
      </c>
      <c r="C12237" s="11" t="s">
        <v>137</v>
      </c>
      <c r="D12237" s="11" t="s">
        <v>18</v>
      </c>
      <c r="E12237" s="12" t="s">
        <v>3114</v>
      </c>
      <c r="F12237" s="12" t="s">
        <v>3115</v>
      </c>
      <c r="G12237" s="12" t="s">
        <v>40</v>
      </c>
      <c r="H12237" s="11" t="s">
        <v>63</v>
      </c>
      <c r="I12237" s="13" t="s">
        <v>24076</v>
      </c>
      <c r="J12237" s="14" t="str">
        <f>HYPERLINK("https://www.boe.es/gazeta/dias/1839/05/15/pdfs/GMD-1839-1642.pdf#page=2","Abrir facsímil")</f>
        <v>Abrir facsímil</v>
      </c>
      <c r="K12237" s="12" t="s">
        <v>65</v>
      </c>
    </row>
    <row r="12238" spans="1:11" ht="40.049999999999997" customHeight="1" x14ac:dyDescent="0.25">
      <c r="A12238" s="11" t="s">
        <v>24077</v>
      </c>
      <c r="B12238" s="11" t="s">
        <v>24078</v>
      </c>
      <c r="C12238" s="11" t="s">
        <v>17</v>
      </c>
      <c r="D12238" s="11" t="s">
        <v>18</v>
      </c>
      <c r="E12238" s="12" t="s">
        <v>650</v>
      </c>
      <c r="F12238" s="12" t="s">
        <v>651</v>
      </c>
      <c r="G12238" s="12" t="s">
        <v>21</v>
      </c>
      <c r="H12238" s="11" t="s">
        <v>22</v>
      </c>
      <c r="I12238" s="13" t="s">
        <v>24079</v>
      </c>
      <c r="J12238" s="14" t="str">
        <f>HYPERLINK("https://www.boe.es/gazeta/dias/1839/10/25/pdfs/GMD-1839-1811.pdf#page=4","Abrir facsímil")</f>
        <v>Abrir facsímil</v>
      </c>
      <c r="K12238" s="12" t="s">
        <v>24</v>
      </c>
    </row>
    <row r="12239" spans="1:11" ht="40.049999999999997" customHeight="1" x14ac:dyDescent="0.25">
      <c r="A12239" s="11" t="s">
        <v>24080</v>
      </c>
      <c r="B12239" s="11" t="s">
        <v>24080</v>
      </c>
      <c r="C12239" s="11" t="s">
        <v>17</v>
      </c>
      <c r="D12239" s="11" t="s">
        <v>18</v>
      </c>
      <c r="E12239" s="12" t="s">
        <v>148</v>
      </c>
      <c r="F12239" s="12" t="s">
        <v>149</v>
      </c>
      <c r="G12239" s="12" t="s">
        <v>40</v>
      </c>
      <c r="H12239" s="11" t="s">
        <v>63</v>
      </c>
      <c r="I12239" s="13" t="s">
        <v>24081</v>
      </c>
      <c r="J12239" s="14" t="str">
        <f>HYPERLINK("https://www.boe.es/gazeta/dias/1839/07/16/pdfs/GMD-1839-1704.pdf#page=2","Abrir facsímil")</f>
        <v>Abrir facsímil</v>
      </c>
      <c r="K12239" s="12" t="s">
        <v>65</v>
      </c>
    </row>
    <row r="12240" spans="1:11" ht="40.049999999999997" customHeight="1" x14ac:dyDescent="0.25">
      <c r="A12240" s="11" t="s">
        <v>24082</v>
      </c>
      <c r="B12240" s="11" t="s">
        <v>24082</v>
      </c>
      <c r="C12240" s="11" t="s">
        <v>101</v>
      </c>
      <c r="D12240" s="11" t="s">
        <v>43</v>
      </c>
      <c r="E12240" s="12" t="s">
        <v>49</v>
      </c>
      <c r="F12240" s="12" t="s">
        <v>50</v>
      </c>
      <c r="G12240" s="12" t="s">
        <v>46</v>
      </c>
      <c r="H12240" s="11" t="s">
        <v>63</v>
      </c>
      <c r="I12240" s="13" t="s">
        <v>24083</v>
      </c>
      <c r="J12240" s="14" t="str">
        <f>HYPERLINK("https://www.boe.es/gazeta/dias/1839/01/05/pdfs/GMD-1839-1512.pdf#page=3","Abrir facsímil")</f>
        <v>Abrir facsímil</v>
      </c>
      <c r="K12240" s="12" t="s">
        <v>65</v>
      </c>
    </row>
    <row r="12241" spans="1:11" ht="40.049999999999997" customHeight="1" x14ac:dyDescent="0.25">
      <c r="A12241" s="11" t="s">
        <v>24082</v>
      </c>
      <c r="B12241" s="11" t="s">
        <v>24082</v>
      </c>
      <c r="C12241" s="11" t="s">
        <v>59</v>
      </c>
      <c r="D12241" s="11" t="s">
        <v>60</v>
      </c>
      <c r="E12241" s="12" t="s">
        <v>448</v>
      </c>
      <c r="F12241" s="12" t="s">
        <v>449</v>
      </c>
      <c r="G12241" s="12" t="s">
        <v>21</v>
      </c>
      <c r="H12241" s="11" t="s">
        <v>63</v>
      </c>
      <c r="I12241" s="13" t="s">
        <v>24084</v>
      </c>
      <c r="J12241" s="14" t="str">
        <f>HYPERLINK("https://www.boe.es/gazeta/dias/1839/02/06/pdfs/GMD-1839-1544.pdf#page=4","Abrir facsímil")</f>
        <v>Abrir facsímil</v>
      </c>
      <c r="K12241" s="12" t="s">
        <v>65</v>
      </c>
    </row>
    <row r="12242" spans="1:11" ht="40.049999999999997" customHeight="1" x14ac:dyDescent="0.25">
      <c r="A12242" s="11" t="s">
        <v>24082</v>
      </c>
      <c r="B12242" s="11" t="s">
        <v>24082</v>
      </c>
      <c r="C12242" s="11" t="s">
        <v>17</v>
      </c>
      <c r="D12242" s="11" t="s">
        <v>18</v>
      </c>
      <c r="E12242" s="12" t="s">
        <v>453</v>
      </c>
      <c r="F12242" s="12" t="s">
        <v>454</v>
      </c>
      <c r="G12242" s="12" t="s">
        <v>46</v>
      </c>
      <c r="H12242" s="11" t="s">
        <v>63</v>
      </c>
      <c r="I12242" s="13" t="s">
        <v>24085</v>
      </c>
      <c r="J12242" s="14" t="str">
        <f>HYPERLINK("https://www.boe.es/gazeta/dias/1839/02/07/pdfs/GMD-1839-1545.pdf#page=3","Abrir facsímil")</f>
        <v>Abrir facsímil</v>
      </c>
      <c r="K12242" s="12" t="s">
        <v>65</v>
      </c>
    </row>
    <row r="12243" spans="1:11" ht="40.049999999999997" customHeight="1" x14ac:dyDescent="0.25">
      <c r="A12243" s="11" t="s">
        <v>24082</v>
      </c>
      <c r="B12243" s="11" t="s">
        <v>24082</v>
      </c>
      <c r="C12243" s="11" t="s">
        <v>17</v>
      </c>
      <c r="D12243" s="11" t="s">
        <v>18</v>
      </c>
      <c r="E12243" s="12" t="s">
        <v>2050</v>
      </c>
      <c r="F12243" s="12" t="s">
        <v>2051</v>
      </c>
      <c r="G12243" s="12" t="s">
        <v>46</v>
      </c>
      <c r="H12243" s="11" t="s">
        <v>63</v>
      </c>
      <c r="I12243" s="13" t="s">
        <v>24086</v>
      </c>
      <c r="J12243" s="14" t="str">
        <f>HYPERLINK("https://www.boe.es/gazeta/dias/1839/01/09/pdfs/GMD-1839-1516.pdf#page=3","Abrir facsímil")</f>
        <v>Abrir facsímil</v>
      </c>
      <c r="K12243" s="12" t="s">
        <v>65</v>
      </c>
    </row>
    <row r="12244" spans="1:11" ht="40.049999999999997" customHeight="1" x14ac:dyDescent="0.25">
      <c r="A12244" s="11" t="s">
        <v>24082</v>
      </c>
      <c r="B12244" s="11" t="s">
        <v>24082</v>
      </c>
      <c r="C12244" s="11" t="s">
        <v>17</v>
      </c>
      <c r="D12244" s="11" t="s">
        <v>18</v>
      </c>
      <c r="E12244" s="12" t="s">
        <v>984</v>
      </c>
      <c r="F12244" s="12" t="s">
        <v>985</v>
      </c>
      <c r="G12244" s="12" t="s">
        <v>46</v>
      </c>
      <c r="H12244" s="11" t="s">
        <v>63</v>
      </c>
      <c r="I12244" s="13" t="s">
        <v>24087</v>
      </c>
      <c r="J12244" s="14" t="str">
        <f>HYPERLINK("https://www.boe.es/gazeta/dias/1839/04/10/pdfs/GMD-1839-1607.pdf#page=3","Abrir facsímil")</f>
        <v>Abrir facsímil</v>
      </c>
      <c r="K12244" s="12" t="s">
        <v>65</v>
      </c>
    </row>
    <row r="12245" spans="1:11" ht="40.049999999999997" customHeight="1" x14ac:dyDescent="0.25">
      <c r="A12245" s="11" t="s">
        <v>24088</v>
      </c>
      <c r="B12245" s="11" t="s">
        <v>24088</v>
      </c>
      <c r="C12245" s="11" t="s">
        <v>17</v>
      </c>
      <c r="D12245" s="11" t="s">
        <v>18</v>
      </c>
      <c r="E12245" s="12" t="s">
        <v>192</v>
      </c>
      <c r="F12245" s="12" t="s">
        <v>193</v>
      </c>
      <c r="G12245" s="12" t="s">
        <v>46</v>
      </c>
      <c r="H12245" s="11" t="s">
        <v>22</v>
      </c>
      <c r="I12245" s="13" t="s">
        <v>24089</v>
      </c>
      <c r="J12245" s="14" t="str">
        <f>HYPERLINK("https://www.boe.es/gazeta/dias/1839/01/12/pdfs/GMD-1839-1519.pdf#page=3","Abrir facsímil")</f>
        <v>Abrir facsímil</v>
      </c>
      <c r="K12245" s="12" t="s">
        <v>24</v>
      </c>
    </row>
    <row r="12246" spans="1:11" ht="40.049999999999997" customHeight="1" x14ac:dyDescent="0.25">
      <c r="A12246" s="11" t="s">
        <v>24090</v>
      </c>
      <c r="B12246" s="11" t="s">
        <v>24091</v>
      </c>
      <c r="C12246" s="11" t="s">
        <v>80</v>
      </c>
      <c r="D12246" s="11" t="s">
        <v>173</v>
      </c>
      <c r="E12246" s="12" t="s">
        <v>1433</v>
      </c>
      <c r="F12246" s="12" t="s">
        <v>1434</v>
      </c>
      <c r="G12246" s="12" t="s">
        <v>21</v>
      </c>
      <c r="H12246" s="11" t="s">
        <v>63</v>
      </c>
      <c r="I12246" s="13" t="s">
        <v>24092</v>
      </c>
      <c r="J12246" s="14" t="str">
        <f>HYPERLINK("https://www.boe.es/gazeta/dias/1839/10/22/pdfs/GMD-1839-1808.pdf#page=4","Abrir facsímil")</f>
        <v>Abrir facsímil</v>
      </c>
      <c r="K12246" s="12" t="s">
        <v>65</v>
      </c>
    </row>
    <row r="12247" spans="1:11" ht="40.049999999999997" customHeight="1" x14ac:dyDescent="0.25">
      <c r="A12247" s="11" t="s">
        <v>24093</v>
      </c>
      <c r="B12247" s="11" t="s">
        <v>24094</v>
      </c>
      <c r="C12247" s="11" t="s">
        <v>17</v>
      </c>
      <c r="D12247" s="11" t="s">
        <v>18</v>
      </c>
      <c r="E12247" s="12" t="s">
        <v>453</v>
      </c>
      <c r="F12247" s="12" t="s">
        <v>454</v>
      </c>
      <c r="G12247" s="12" t="s">
        <v>46</v>
      </c>
      <c r="H12247" s="11" t="s">
        <v>63</v>
      </c>
      <c r="I12247" s="13" t="s">
        <v>24095</v>
      </c>
      <c r="J12247" s="14" t="str">
        <f>HYPERLINK("https://www.boe.es/gazeta/dias/1839/02/07/pdfs/GMD-1839-1545.pdf#page=3","Abrir facsímil")</f>
        <v>Abrir facsímil</v>
      </c>
      <c r="K12247" s="12" t="s">
        <v>65</v>
      </c>
    </row>
    <row r="12248" spans="1:11" ht="40.049999999999997" customHeight="1" x14ac:dyDescent="0.25">
      <c r="A12248" s="11" t="s">
        <v>24096</v>
      </c>
      <c r="B12248" s="11" t="s">
        <v>24097</v>
      </c>
      <c r="C12248" s="11" t="s">
        <v>80</v>
      </c>
      <c r="D12248" s="11" t="s">
        <v>18</v>
      </c>
      <c r="E12248" s="12" t="s">
        <v>951</v>
      </c>
      <c r="F12248" s="12" t="s">
        <v>952</v>
      </c>
      <c r="G12248" s="12" t="s">
        <v>46</v>
      </c>
      <c r="H12248" s="11" t="s">
        <v>63</v>
      </c>
      <c r="I12248" s="13" t="s">
        <v>24098</v>
      </c>
      <c r="J12248" s="14" t="str">
        <f>HYPERLINK("https://www.boe.es/gazeta/dias/1839/12/30/pdfs/GMD-1839-1877.pdf#page=3","Abrir facsímil")</f>
        <v>Abrir facsímil</v>
      </c>
      <c r="K12248" s="12" t="s">
        <v>65</v>
      </c>
    </row>
    <row r="12249" spans="1:11" ht="40.049999999999997" customHeight="1" x14ac:dyDescent="0.25">
      <c r="A12249" s="11" t="s">
        <v>24099</v>
      </c>
      <c r="B12249" s="11" t="s">
        <v>24100</v>
      </c>
      <c r="C12249" s="11" t="s">
        <v>17</v>
      </c>
      <c r="D12249" s="11" t="s">
        <v>18</v>
      </c>
      <c r="E12249" s="12" t="s">
        <v>1395</v>
      </c>
      <c r="F12249" s="12" t="s">
        <v>1396</v>
      </c>
      <c r="G12249" s="12" t="s">
        <v>21</v>
      </c>
      <c r="H12249" s="11" t="s">
        <v>63</v>
      </c>
      <c r="I12249" s="13" t="s">
        <v>24101</v>
      </c>
      <c r="J12249" s="14" t="str">
        <f>HYPERLINK("https://www.boe.es/gazeta/dias/1839/06/26/pdfs/GMD-1839-1684.pdf#page=4","Abrir facsímil")</f>
        <v>Abrir facsímil</v>
      </c>
      <c r="K12249" s="12" t="s">
        <v>65</v>
      </c>
    </row>
    <row r="12250" spans="1:11" ht="40.049999999999997" customHeight="1" x14ac:dyDescent="0.25">
      <c r="A12250" s="11" t="s">
        <v>24102</v>
      </c>
      <c r="B12250" s="11" t="s">
        <v>24102</v>
      </c>
      <c r="C12250" s="11" t="s">
        <v>17</v>
      </c>
      <c r="D12250" s="11" t="s">
        <v>18</v>
      </c>
      <c r="E12250" s="12" t="s">
        <v>2463</v>
      </c>
      <c r="F12250" s="12" t="s">
        <v>2464</v>
      </c>
      <c r="G12250" s="12" t="s">
        <v>46</v>
      </c>
      <c r="H12250" s="11" t="s">
        <v>63</v>
      </c>
      <c r="I12250" s="13" t="s">
        <v>24103</v>
      </c>
      <c r="J12250" s="14" t="str">
        <f>HYPERLINK("https://www.boe.es/gazeta/dias/1839/04/26/pdfs/GMD-1839-1623.pdf#page=3","Abrir facsímil")</f>
        <v>Abrir facsímil</v>
      </c>
      <c r="K12250" s="12" t="s">
        <v>65</v>
      </c>
    </row>
    <row r="12251" spans="1:11" ht="40.049999999999997" customHeight="1" x14ac:dyDescent="0.25">
      <c r="A12251" s="11" t="s">
        <v>24104</v>
      </c>
      <c r="B12251" s="11" t="s">
        <v>24104</v>
      </c>
      <c r="C12251" s="11" t="s">
        <v>17</v>
      </c>
      <c r="D12251" s="11" t="s">
        <v>18</v>
      </c>
      <c r="E12251" s="12" t="s">
        <v>503</v>
      </c>
      <c r="F12251" s="12" t="s">
        <v>504</v>
      </c>
      <c r="G12251" s="12" t="s">
        <v>46</v>
      </c>
      <c r="H12251" s="11" t="s">
        <v>63</v>
      </c>
      <c r="I12251" s="13" t="s">
        <v>24105</v>
      </c>
      <c r="J12251" s="14" t="str">
        <f>HYPERLINK("https://www.boe.es/gazeta/dias/1839/06/07/pdfs/GMD-1839-1665.pdf#page=3","Abrir facsímil")</f>
        <v>Abrir facsímil</v>
      </c>
      <c r="K12251" s="12" t="s">
        <v>65</v>
      </c>
    </row>
    <row r="12252" spans="1:11" ht="40.049999999999997" customHeight="1" x14ac:dyDescent="0.25">
      <c r="A12252" s="11" t="s">
        <v>24106</v>
      </c>
      <c r="B12252" s="11" t="s">
        <v>24107</v>
      </c>
      <c r="C12252" s="11" t="s">
        <v>17</v>
      </c>
      <c r="D12252" s="11" t="s">
        <v>18</v>
      </c>
      <c r="E12252" s="12" t="s">
        <v>1144</v>
      </c>
      <c r="F12252" s="12" t="s">
        <v>1145</v>
      </c>
      <c r="G12252" s="12" t="s">
        <v>21</v>
      </c>
      <c r="H12252" s="11" t="s">
        <v>63</v>
      </c>
      <c r="I12252" s="13" t="s">
        <v>24108</v>
      </c>
      <c r="J12252" s="14" t="str">
        <f>HYPERLINK("https://www.boe.es/gazeta/dias/1839/08/13/pdfs/GMD-1839-1733.pdf#page=4","Abrir facsímil")</f>
        <v>Abrir facsímil</v>
      </c>
      <c r="K12252" s="12" t="s">
        <v>65</v>
      </c>
    </row>
    <row r="12253" spans="1:11" ht="40.049999999999997" customHeight="1" x14ac:dyDescent="0.25">
      <c r="A12253" s="11" t="s">
        <v>24109</v>
      </c>
      <c r="B12253" s="11" t="s">
        <v>24110</v>
      </c>
      <c r="C12253" s="11" t="s">
        <v>137</v>
      </c>
      <c r="D12253" s="11" t="s">
        <v>18</v>
      </c>
      <c r="E12253" s="12" t="s">
        <v>1159</v>
      </c>
      <c r="F12253" s="12" t="s">
        <v>1160</v>
      </c>
      <c r="G12253" s="12" t="s">
        <v>21</v>
      </c>
      <c r="H12253" s="11" t="s">
        <v>63</v>
      </c>
      <c r="I12253" s="13" t="s">
        <v>24111</v>
      </c>
      <c r="J12253" s="14" t="str">
        <f>HYPERLINK("https://www.boe.es/gazeta/dias/1839/11/26/pdfs/GMD-1839-1843.pdf#page=4","Abrir facsímil")</f>
        <v>Abrir facsímil</v>
      </c>
      <c r="K12253" s="12" t="s">
        <v>65</v>
      </c>
    </row>
    <row r="12254" spans="1:11" ht="40.049999999999997" customHeight="1" x14ac:dyDescent="0.25">
      <c r="A12254" s="11" t="s">
        <v>24112</v>
      </c>
      <c r="B12254" s="11" t="s">
        <v>24113</v>
      </c>
      <c r="C12254" s="11" t="s">
        <v>59</v>
      </c>
      <c r="D12254" s="11" t="s">
        <v>60</v>
      </c>
      <c r="E12254" s="12" t="s">
        <v>111</v>
      </c>
      <c r="F12254" s="12" t="s">
        <v>112</v>
      </c>
      <c r="G12254" s="12" t="s">
        <v>21</v>
      </c>
      <c r="H12254" s="11" t="s">
        <v>63</v>
      </c>
      <c r="I12254" s="13" t="s">
        <v>24114</v>
      </c>
      <c r="J12254" s="14" t="str">
        <f>HYPERLINK("https://www.boe.es/gazeta/dias/1839/07/25/pdfs/GMD-1839-1714.pdf#page=4","Abrir facsímil")</f>
        <v>Abrir facsímil</v>
      </c>
      <c r="K12254" s="12" t="s">
        <v>65</v>
      </c>
    </row>
    <row r="12255" spans="1:11" ht="40.049999999999997" customHeight="1" x14ac:dyDescent="0.25">
      <c r="A12255" s="11" t="s">
        <v>24115</v>
      </c>
      <c r="B12255" s="11" t="s">
        <v>24116</v>
      </c>
      <c r="C12255" s="11" t="s">
        <v>17</v>
      </c>
      <c r="D12255" s="11" t="s">
        <v>18</v>
      </c>
      <c r="E12255" s="12" t="s">
        <v>276</v>
      </c>
      <c r="F12255" s="12" t="s">
        <v>277</v>
      </c>
      <c r="G12255" s="12" t="s">
        <v>46</v>
      </c>
      <c r="H12255" s="11" t="s">
        <v>63</v>
      </c>
      <c r="I12255" s="13" t="s">
        <v>24117</v>
      </c>
      <c r="J12255" s="14" t="str">
        <f>HYPERLINK("https://www.boe.es/gazeta/dias/1839/09/24/pdfs/GMD-1839-1780.pdf#page=3","Abrir facsímil")</f>
        <v>Abrir facsímil</v>
      </c>
      <c r="K12255" s="12" t="s">
        <v>65</v>
      </c>
    </row>
    <row r="12256" spans="1:11" ht="40.049999999999997" customHeight="1" x14ac:dyDescent="0.25">
      <c r="A12256" s="11" t="s">
        <v>24118</v>
      </c>
      <c r="B12256" s="11" t="s">
        <v>24119</v>
      </c>
      <c r="C12256" s="11" t="s">
        <v>17</v>
      </c>
      <c r="D12256" s="11" t="s">
        <v>18</v>
      </c>
      <c r="E12256" s="12" t="s">
        <v>291</v>
      </c>
      <c r="F12256" s="12" t="s">
        <v>292</v>
      </c>
      <c r="G12256" s="12" t="s">
        <v>46</v>
      </c>
      <c r="H12256" s="11" t="s">
        <v>63</v>
      </c>
      <c r="I12256" s="13" t="s">
        <v>24120</v>
      </c>
      <c r="J12256" s="14" t="str">
        <f>HYPERLINK("https://www.boe.es/gazeta/dias/1839/09/04/pdfs/GMD-1839-1757.pdf#page=3","Abrir facsímil")</f>
        <v>Abrir facsímil</v>
      </c>
      <c r="K12256" s="12" t="s">
        <v>65</v>
      </c>
    </row>
    <row r="12257" spans="1:11" ht="40.049999999999997" customHeight="1" x14ac:dyDescent="0.25">
      <c r="A12257" s="11" t="s">
        <v>24121</v>
      </c>
      <c r="B12257" s="11" t="s">
        <v>24121</v>
      </c>
      <c r="C12257" s="11" t="s">
        <v>17</v>
      </c>
      <c r="D12257" s="11" t="s">
        <v>18</v>
      </c>
      <c r="E12257" s="12" t="s">
        <v>596</v>
      </c>
      <c r="F12257" s="12" t="s">
        <v>597</v>
      </c>
      <c r="G12257" s="12" t="s">
        <v>21</v>
      </c>
      <c r="H12257" s="11" t="s">
        <v>63</v>
      </c>
      <c r="I12257" s="13" t="s">
        <v>24122</v>
      </c>
      <c r="J12257" s="14" t="str">
        <f>HYPERLINK("https://www.boe.es/gazeta/dias/1839/01/23/pdfs/GMD-1839-1530.pdf#page=4","Abrir facsímil")</f>
        <v>Abrir facsímil</v>
      </c>
      <c r="K12257" s="12" t="s">
        <v>65</v>
      </c>
    </row>
    <row r="12258" spans="1:11" ht="40.049999999999997" customHeight="1" x14ac:dyDescent="0.25">
      <c r="A12258" s="11" t="s">
        <v>24121</v>
      </c>
      <c r="B12258" s="11" t="s">
        <v>24121</v>
      </c>
      <c r="C12258" s="11" t="s">
        <v>80</v>
      </c>
      <c r="D12258" s="11" t="s">
        <v>18</v>
      </c>
      <c r="E12258" s="12" t="s">
        <v>926</v>
      </c>
      <c r="F12258" s="12" t="s">
        <v>927</v>
      </c>
      <c r="G12258" s="12" t="s">
        <v>21</v>
      </c>
      <c r="H12258" s="11" t="s">
        <v>63</v>
      </c>
      <c r="I12258" s="13" t="s">
        <v>24123</v>
      </c>
      <c r="J12258" s="14" t="str">
        <f>HYPERLINK("https://www.boe.es/gazeta/dias/1839/01/25/pdfs/GMD-1839-1532.pdf#page=4","Abrir facsímil")</f>
        <v>Abrir facsímil</v>
      </c>
      <c r="K12258" s="12" t="s">
        <v>65</v>
      </c>
    </row>
    <row r="12259" spans="1:11" ht="40.049999999999997" customHeight="1" x14ac:dyDescent="0.25">
      <c r="A12259" s="11" t="s">
        <v>24124</v>
      </c>
      <c r="B12259" s="11" t="s">
        <v>24125</v>
      </c>
      <c r="C12259" s="11" t="s">
        <v>17</v>
      </c>
      <c r="D12259" s="11" t="s">
        <v>18</v>
      </c>
      <c r="E12259" s="12" t="s">
        <v>2107</v>
      </c>
      <c r="F12259" s="12" t="s">
        <v>2108</v>
      </c>
      <c r="G12259" s="12" t="s">
        <v>46</v>
      </c>
      <c r="H12259" s="11" t="s">
        <v>22</v>
      </c>
      <c r="I12259" s="13" t="s">
        <v>24126</v>
      </c>
      <c r="J12259" s="14" t="str">
        <f>HYPERLINK("https://www.boe.es/gazeta/dias/1839/10/11/pdfs/GMD-1839-1797.pdf#page=3","Abrir facsímil")</f>
        <v>Abrir facsímil</v>
      </c>
      <c r="K12259" s="12" t="s">
        <v>24</v>
      </c>
    </row>
    <row r="12260" spans="1:11" ht="40.049999999999997" customHeight="1" x14ac:dyDescent="0.25">
      <c r="A12260" s="11" t="s">
        <v>24127</v>
      </c>
      <c r="B12260" s="11" t="s">
        <v>24128</v>
      </c>
      <c r="C12260" s="11" t="s">
        <v>137</v>
      </c>
      <c r="D12260" s="11" t="s">
        <v>18</v>
      </c>
      <c r="E12260" s="12" t="s">
        <v>333</v>
      </c>
      <c r="F12260" s="12" t="s">
        <v>334</v>
      </c>
      <c r="G12260" s="12" t="s">
        <v>21</v>
      </c>
      <c r="H12260" s="11" t="s">
        <v>22</v>
      </c>
      <c r="I12260" s="13" t="s">
        <v>24129</v>
      </c>
      <c r="J12260" s="14" t="str">
        <f>HYPERLINK("https://www.boe.es/gazeta/dias/1839/06/11/pdfs/GMD-1839-1669.pdf#page=4","Abrir facsímil")</f>
        <v>Abrir facsímil</v>
      </c>
      <c r="K12260" s="12" t="s">
        <v>24</v>
      </c>
    </row>
    <row r="12261" spans="1:11" ht="40.049999999999997" customHeight="1" x14ac:dyDescent="0.25">
      <c r="A12261" s="11" t="s">
        <v>24130</v>
      </c>
      <c r="B12261" s="11" t="s">
        <v>24130</v>
      </c>
      <c r="C12261" s="11" t="s">
        <v>101</v>
      </c>
      <c r="D12261" s="11" t="s">
        <v>43</v>
      </c>
      <c r="E12261" s="12" t="s">
        <v>262</v>
      </c>
      <c r="F12261" s="12" t="s">
        <v>263</v>
      </c>
      <c r="G12261" s="12" t="s">
        <v>46</v>
      </c>
      <c r="H12261" s="11" t="s">
        <v>63</v>
      </c>
      <c r="I12261" s="13" t="s">
        <v>24131</v>
      </c>
      <c r="J12261" s="14" t="str">
        <f>HYPERLINK("https://www.boe.es/gazeta/dias/1839/01/01/pdfs/GMD-1839-1508.pdf#page=3","Abrir facsímil")</f>
        <v>Abrir facsímil</v>
      </c>
      <c r="K12261" s="12" t="s">
        <v>65</v>
      </c>
    </row>
    <row r="12262" spans="1:11" ht="40.049999999999997" customHeight="1" x14ac:dyDescent="0.25">
      <c r="A12262" s="11" t="s">
        <v>24130</v>
      </c>
      <c r="B12262" s="11" t="s">
        <v>24130</v>
      </c>
      <c r="C12262" s="11" t="s">
        <v>17</v>
      </c>
      <c r="D12262" s="11" t="s">
        <v>18</v>
      </c>
      <c r="E12262" s="12" t="s">
        <v>1929</v>
      </c>
      <c r="F12262" s="12" t="s">
        <v>1930</v>
      </c>
      <c r="G12262" s="12" t="s">
        <v>46</v>
      </c>
      <c r="H12262" s="11" t="s">
        <v>63</v>
      </c>
      <c r="I12262" s="13" t="s">
        <v>24132</v>
      </c>
      <c r="J12262" s="14" t="str">
        <f>HYPERLINK("https://www.boe.es/gazeta/dias/1839/02/01/pdfs/GMD-1839-1539.pdf#page=3","Abrir facsímil")</f>
        <v>Abrir facsímil</v>
      </c>
      <c r="K12262" s="12" t="s">
        <v>65</v>
      </c>
    </row>
    <row r="12263" spans="1:11" ht="40.049999999999997" customHeight="1" x14ac:dyDescent="0.25">
      <c r="A12263" s="11" t="s">
        <v>24130</v>
      </c>
      <c r="B12263" s="11" t="s">
        <v>24130</v>
      </c>
      <c r="C12263" s="11" t="s">
        <v>17</v>
      </c>
      <c r="D12263" s="11" t="s">
        <v>18</v>
      </c>
      <c r="E12263" s="12" t="s">
        <v>751</v>
      </c>
      <c r="F12263" s="12" t="s">
        <v>752</v>
      </c>
      <c r="G12263" s="12" t="s">
        <v>46</v>
      </c>
      <c r="H12263" s="11" t="s">
        <v>63</v>
      </c>
      <c r="I12263" s="13" t="s">
        <v>24133</v>
      </c>
      <c r="J12263" s="14" t="str">
        <f>HYPERLINK("https://www.boe.es/gazeta/dias/1839/02/05/pdfs/GMD-1839-1543.pdf#page=3","Abrir facsímil")</f>
        <v>Abrir facsímil</v>
      </c>
      <c r="K12263" s="12" t="s">
        <v>65</v>
      </c>
    </row>
    <row r="12264" spans="1:11" ht="40.049999999999997" customHeight="1" x14ac:dyDescent="0.25">
      <c r="A12264" s="11" t="s">
        <v>24130</v>
      </c>
      <c r="B12264" s="11" t="s">
        <v>24130</v>
      </c>
      <c r="C12264" s="11" t="s">
        <v>101</v>
      </c>
      <c r="D12264" s="11" t="s">
        <v>43</v>
      </c>
      <c r="E12264" s="12" t="s">
        <v>163</v>
      </c>
      <c r="F12264" s="12" t="s">
        <v>164</v>
      </c>
      <c r="G12264" s="12" t="s">
        <v>40</v>
      </c>
      <c r="H12264" s="11" t="s">
        <v>63</v>
      </c>
      <c r="I12264" s="13" t="s">
        <v>24134</v>
      </c>
      <c r="J12264" s="14" t="str">
        <f>HYPERLINK("https://www.boe.es/gazeta/dias/1839/01/13/pdfs/GMD-1839-1520.pdf#page=2","Abrir facsímil")</f>
        <v>Abrir facsímil</v>
      </c>
      <c r="K12264" s="12" t="s">
        <v>65</v>
      </c>
    </row>
    <row r="12265" spans="1:11" ht="40.049999999999997" customHeight="1" x14ac:dyDescent="0.25">
      <c r="A12265" s="11" t="s">
        <v>24130</v>
      </c>
      <c r="B12265" s="11" t="s">
        <v>24130</v>
      </c>
      <c r="C12265" s="11" t="s">
        <v>101</v>
      </c>
      <c r="D12265" s="11" t="s">
        <v>43</v>
      </c>
      <c r="E12265" s="12" t="s">
        <v>433</v>
      </c>
      <c r="F12265" s="12" t="s">
        <v>434</v>
      </c>
      <c r="G12265" s="12" t="s">
        <v>46</v>
      </c>
      <c r="H12265" s="11" t="s">
        <v>63</v>
      </c>
      <c r="I12265" s="13" t="s">
        <v>24135</v>
      </c>
      <c r="J12265" s="14" t="str">
        <f>HYPERLINK("https://www.boe.es/gazeta/dias/1839/01/20/pdfs/GMD-1839-1527.pdf#page=3","Abrir facsímil")</f>
        <v>Abrir facsímil</v>
      </c>
      <c r="K12265" s="12" t="s">
        <v>65</v>
      </c>
    </row>
    <row r="12266" spans="1:11" ht="40.049999999999997" customHeight="1" x14ac:dyDescent="0.25">
      <c r="A12266" s="11" t="s">
        <v>24130</v>
      </c>
      <c r="B12266" s="11" t="s">
        <v>24130</v>
      </c>
      <c r="C12266" s="11" t="s">
        <v>17</v>
      </c>
      <c r="D12266" s="11" t="s">
        <v>18</v>
      </c>
      <c r="E12266" s="12" t="s">
        <v>926</v>
      </c>
      <c r="F12266" s="12" t="s">
        <v>927</v>
      </c>
      <c r="G12266" s="12" t="s">
        <v>40</v>
      </c>
      <c r="H12266" s="11" t="s">
        <v>63</v>
      </c>
      <c r="I12266" s="13" t="s">
        <v>24136</v>
      </c>
      <c r="J12266" s="14" t="str">
        <f>HYPERLINK("https://www.boe.es/gazeta/dias/1839/01/25/pdfs/GMD-1839-1532.pdf#page=2","Abrir facsímil")</f>
        <v>Abrir facsímil</v>
      </c>
      <c r="K12266" s="12" t="s">
        <v>65</v>
      </c>
    </row>
    <row r="12267" spans="1:11" ht="40.049999999999997" customHeight="1" x14ac:dyDescent="0.25">
      <c r="A12267" s="11" t="s">
        <v>24130</v>
      </c>
      <c r="B12267" s="11" t="s">
        <v>24130</v>
      </c>
      <c r="C12267" s="11" t="s">
        <v>101</v>
      </c>
      <c r="D12267" s="11" t="s">
        <v>43</v>
      </c>
      <c r="E12267" s="12" t="s">
        <v>1679</v>
      </c>
      <c r="F12267" s="12" t="s">
        <v>1680</v>
      </c>
      <c r="G12267" s="12" t="s">
        <v>46</v>
      </c>
      <c r="H12267" s="11" t="s">
        <v>63</v>
      </c>
      <c r="I12267" s="13" t="s">
        <v>24137</v>
      </c>
      <c r="J12267" s="14" t="str">
        <f>HYPERLINK("https://www.boe.es/gazeta/dias/1839/01/26/pdfs/GMD-1839-1533.pdf#page=3","Abrir facsímil")</f>
        <v>Abrir facsímil</v>
      </c>
      <c r="K12267" s="12" t="s">
        <v>65</v>
      </c>
    </row>
    <row r="12268" spans="1:11" ht="40.049999999999997" customHeight="1" x14ac:dyDescent="0.25">
      <c r="A12268" s="11" t="s">
        <v>24138</v>
      </c>
      <c r="B12268" s="11" t="s">
        <v>24138</v>
      </c>
      <c r="C12268" s="11" t="s">
        <v>101</v>
      </c>
      <c r="D12268" s="11" t="s">
        <v>43</v>
      </c>
      <c r="E12268" s="12" t="s">
        <v>284</v>
      </c>
      <c r="F12268" s="12" t="s">
        <v>285</v>
      </c>
      <c r="G12268" s="12" t="s">
        <v>46</v>
      </c>
      <c r="H12268" s="11" t="s">
        <v>22</v>
      </c>
      <c r="I12268" s="13" t="s">
        <v>24139</v>
      </c>
      <c r="J12268" s="14" t="str">
        <f>HYPERLINK("https://www.boe.es/gazeta/dias/1839/01/27/pdfs/GMD-1839-1534.pdf#page=3","Abrir facsímil")</f>
        <v>Abrir facsímil</v>
      </c>
      <c r="K12268" s="12" t="s">
        <v>24</v>
      </c>
    </row>
    <row r="12269" spans="1:11" ht="40.049999999999997" customHeight="1" x14ac:dyDescent="0.25">
      <c r="A12269" s="11" t="s">
        <v>24130</v>
      </c>
      <c r="B12269" s="11" t="s">
        <v>24130</v>
      </c>
      <c r="C12269" s="11" t="s">
        <v>80</v>
      </c>
      <c r="D12269" s="11" t="s">
        <v>18</v>
      </c>
      <c r="E12269" s="12" t="s">
        <v>1867</v>
      </c>
      <c r="F12269" s="12" t="s">
        <v>1868</v>
      </c>
      <c r="G12269" s="12" t="s">
        <v>40</v>
      </c>
      <c r="H12269" s="11" t="s">
        <v>63</v>
      </c>
      <c r="I12269" s="13" t="s">
        <v>24140</v>
      </c>
      <c r="J12269" s="14" t="str">
        <f>HYPERLINK("https://www.boe.es/gazeta/dias/1839/01/30/pdfs/GMD-1839-1537.pdf#page=2","Abrir facsímil")</f>
        <v>Abrir facsímil</v>
      </c>
      <c r="K12269" s="12" t="s">
        <v>65</v>
      </c>
    </row>
    <row r="12270" spans="1:11" ht="40.049999999999997" customHeight="1" x14ac:dyDescent="0.25">
      <c r="A12270" s="11" t="s">
        <v>24141</v>
      </c>
      <c r="B12270" s="11" t="s">
        <v>24142</v>
      </c>
      <c r="C12270" s="11" t="s">
        <v>17</v>
      </c>
      <c r="D12270" s="11" t="s">
        <v>18</v>
      </c>
      <c r="E12270" s="12" t="s">
        <v>1867</v>
      </c>
      <c r="F12270" s="12" t="s">
        <v>1868</v>
      </c>
      <c r="G12270" s="12" t="s">
        <v>29</v>
      </c>
      <c r="H12270" s="11" t="s">
        <v>63</v>
      </c>
      <c r="I12270" s="13" t="s">
        <v>24143</v>
      </c>
      <c r="J12270" s="14" t="str">
        <f>HYPERLINK("https://www.boe.es/gazeta/dias/1839/01/30/pdfs/GMD-1839-1537.pdf#page=1","Abrir facsímil")</f>
        <v>Abrir facsímil</v>
      </c>
      <c r="K12270" s="12" t="s">
        <v>65</v>
      </c>
    </row>
    <row r="12271" spans="1:11" ht="40.049999999999997" customHeight="1" x14ac:dyDescent="0.25">
      <c r="A12271" s="11" t="s">
        <v>24144</v>
      </c>
      <c r="B12271" s="11" t="s">
        <v>24144</v>
      </c>
      <c r="C12271" s="11" t="s">
        <v>80</v>
      </c>
      <c r="D12271" s="11" t="s">
        <v>173</v>
      </c>
      <c r="E12271" s="12" t="s">
        <v>775</v>
      </c>
      <c r="F12271" s="12" t="s">
        <v>776</v>
      </c>
      <c r="G12271" s="12" t="s">
        <v>29</v>
      </c>
      <c r="H12271" s="11" t="s">
        <v>63</v>
      </c>
      <c r="I12271" s="13" t="s">
        <v>24145</v>
      </c>
      <c r="J12271" s="14" t="str">
        <f>HYPERLINK("https://www.boe.es/gazeta/dias/1839/02/25/pdfs/GMD-1839-1563.pdf#page=1","Abrir facsímil")</f>
        <v>Abrir facsímil</v>
      </c>
      <c r="K12271" s="12" t="s">
        <v>65</v>
      </c>
    </row>
    <row r="12272" spans="1:11" ht="40.049999999999997" customHeight="1" x14ac:dyDescent="0.25">
      <c r="A12272" s="11" t="s">
        <v>24146</v>
      </c>
      <c r="B12272" s="11" t="s">
        <v>24146</v>
      </c>
      <c r="C12272" s="11" t="s">
        <v>17</v>
      </c>
      <c r="D12272" s="11" t="s">
        <v>18</v>
      </c>
      <c r="E12272" s="12" t="s">
        <v>128</v>
      </c>
      <c r="F12272" s="12" t="s">
        <v>129</v>
      </c>
      <c r="G12272" s="12" t="s">
        <v>21</v>
      </c>
      <c r="H12272" s="11" t="s">
        <v>63</v>
      </c>
      <c r="I12272" s="13" t="s">
        <v>24147</v>
      </c>
      <c r="J12272" s="14" t="str">
        <f>HYPERLINK("https://www.boe.es/gazeta/dias/1839/05/25/pdfs/GMD-1839-1652.pdf#page=4","Abrir facsímil")</f>
        <v>Abrir facsímil</v>
      </c>
      <c r="K12272" s="12" t="s">
        <v>65</v>
      </c>
    </row>
    <row r="12273" spans="1:11" ht="40.049999999999997" customHeight="1" x14ac:dyDescent="0.25">
      <c r="A12273" s="11" t="s">
        <v>24148</v>
      </c>
      <c r="B12273" s="11" t="s">
        <v>24148</v>
      </c>
      <c r="C12273" s="11" t="s">
        <v>17</v>
      </c>
      <c r="D12273" s="11" t="s">
        <v>18</v>
      </c>
      <c r="E12273" s="12" t="s">
        <v>272</v>
      </c>
      <c r="F12273" s="12" t="s">
        <v>273</v>
      </c>
      <c r="G12273" s="12" t="s">
        <v>29</v>
      </c>
      <c r="H12273" s="11" t="s">
        <v>63</v>
      </c>
      <c r="I12273" s="13" t="s">
        <v>24149</v>
      </c>
      <c r="J12273" s="14" t="str">
        <f>HYPERLINK("https://www.boe.es/gazeta/dias/1839/02/12/pdfs/GMD-1839-1550.pdf#page=1","Abrir facsímil")</f>
        <v>Abrir facsímil</v>
      </c>
      <c r="K12273" s="12" t="s">
        <v>65</v>
      </c>
    </row>
    <row r="12274" spans="1:11" ht="40.049999999999997" customHeight="1" x14ac:dyDescent="0.25">
      <c r="A12274" s="11" t="s">
        <v>24150</v>
      </c>
      <c r="B12274" s="11" t="s">
        <v>24150</v>
      </c>
      <c r="C12274" s="11" t="s">
        <v>17</v>
      </c>
      <c r="D12274" s="11" t="s">
        <v>18</v>
      </c>
      <c r="E12274" s="12" t="s">
        <v>912</v>
      </c>
      <c r="F12274" s="12" t="s">
        <v>913</v>
      </c>
      <c r="G12274" s="12" t="s">
        <v>40</v>
      </c>
      <c r="H12274" s="11" t="s">
        <v>63</v>
      </c>
      <c r="I12274" s="13" t="s">
        <v>24151</v>
      </c>
      <c r="J12274" s="14" t="str">
        <f>HYPERLINK("https://www.boe.es/gazeta/dias/1839/04/30/pdfs/GMD-1839-1627.pdf#page=2","Abrir facsímil")</f>
        <v>Abrir facsímil</v>
      </c>
      <c r="K12274" s="12" t="s">
        <v>65</v>
      </c>
    </row>
    <row r="12275" spans="1:11" ht="40.049999999999997" customHeight="1" x14ac:dyDescent="0.25">
      <c r="A12275" s="11" t="s">
        <v>24152</v>
      </c>
      <c r="B12275" s="11" t="s">
        <v>24153</v>
      </c>
      <c r="C12275" s="11" t="s">
        <v>80</v>
      </c>
      <c r="D12275" s="11" t="s">
        <v>18</v>
      </c>
      <c r="E12275" s="12" t="s">
        <v>1123</v>
      </c>
      <c r="F12275" s="12" t="s">
        <v>1124</v>
      </c>
      <c r="G12275" s="12" t="s">
        <v>21</v>
      </c>
      <c r="H12275" s="11" t="s">
        <v>63</v>
      </c>
      <c r="I12275" s="13" t="s">
        <v>24154</v>
      </c>
      <c r="J12275" s="14" t="str">
        <f>HYPERLINK("https://www.boe.es/gazeta/dias/1839/08/10/pdfs/GMD-1839-1730.pdf#page=4","Abrir facsímil")</f>
        <v>Abrir facsímil</v>
      </c>
      <c r="K12275" s="12" t="s">
        <v>65</v>
      </c>
    </row>
    <row r="12276" spans="1:11" ht="40.049999999999997" customHeight="1" x14ac:dyDescent="0.25">
      <c r="A12276" s="11" t="s">
        <v>24155</v>
      </c>
      <c r="B12276" s="11" t="s">
        <v>24156</v>
      </c>
      <c r="C12276" s="11" t="s">
        <v>17</v>
      </c>
      <c r="D12276" s="11" t="s">
        <v>18</v>
      </c>
      <c r="E12276" s="12" t="s">
        <v>527</v>
      </c>
      <c r="F12276" s="12" t="s">
        <v>528</v>
      </c>
      <c r="G12276" s="12" t="s">
        <v>40</v>
      </c>
      <c r="H12276" s="11" t="s">
        <v>22</v>
      </c>
      <c r="I12276" s="13" t="s">
        <v>24157</v>
      </c>
      <c r="J12276" s="14" t="str">
        <f>HYPERLINK("https://www.boe.es/gazeta/dias/1839/07/10/pdfs/GMD-1839-1698.pdf#page=2","Abrir facsímil")</f>
        <v>Abrir facsímil</v>
      </c>
      <c r="K12276" s="12" t="s">
        <v>24</v>
      </c>
    </row>
    <row r="12277" spans="1:11" ht="40.049999999999997" customHeight="1" x14ac:dyDescent="0.25">
      <c r="A12277" s="11" t="s">
        <v>24158</v>
      </c>
      <c r="B12277" s="11" t="s">
        <v>24158</v>
      </c>
      <c r="C12277" s="11" t="s">
        <v>101</v>
      </c>
      <c r="D12277" s="11" t="s">
        <v>102</v>
      </c>
      <c r="E12277" s="12" t="s">
        <v>1551</v>
      </c>
      <c r="F12277" s="12" t="s">
        <v>1552</v>
      </c>
      <c r="G12277" s="12" t="s">
        <v>40</v>
      </c>
      <c r="H12277" s="11" t="s">
        <v>63</v>
      </c>
      <c r="I12277" s="13" t="s">
        <v>24159</v>
      </c>
      <c r="J12277" s="14" t="str">
        <f>HYPERLINK("https://www.boe.es/gazeta/dias/1839/06/30/pdfs/GMD-1839-1688.pdf#page=2","Abrir facsímil")</f>
        <v>Abrir facsímil</v>
      </c>
      <c r="K12277" s="12" t="s">
        <v>65</v>
      </c>
    </row>
    <row r="12278" spans="1:11" ht="40.049999999999997" customHeight="1" x14ac:dyDescent="0.25">
      <c r="A12278" s="11" t="s">
        <v>24158</v>
      </c>
      <c r="B12278" s="11" t="s">
        <v>24158</v>
      </c>
      <c r="C12278" s="11" t="s">
        <v>17</v>
      </c>
      <c r="D12278" s="11" t="s">
        <v>18</v>
      </c>
      <c r="E12278" s="12" t="s">
        <v>1551</v>
      </c>
      <c r="F12278" s="12" t="s">
        <v>1552</v>
      </c>
      <c r="G12278" s="12" t="s">
        <v>46</v>
      </c>
      <c r="H12278" s="11" t="s">
        <v>63</v>
      </c>
      <c r="I12278" s="13" t="s">
        <v>24160</v>
      </c>
      <c r="J12278" s="14" t="str">
        <f>HYPERLINK("https://www.boe.es/gazeta/dias/1839/06/30/pdfs/GMD-1839-1688.pdf#page=3","Abrir facsímil")</f>
        <v>Abrir facsímil</v>
      </c>
      <c r="K12278" s="12" t="s">
        <v>65</v>
      </c>
    </row>
    <row r="12279" spans="1:11" ht="40.049999999999997" customHeight="1" x14ac:dyDescent="0.25">
      <c r="A12279" s="11" t="s">
        <v>24161</v>
      </c>
      <c r="B12279" s="11" t="s">
        <v>24161</v>
      </c>
      <c r="C12279" s="11" t="s">
        <v>17</v>
      </c>
      <c r="D12279" s="11" t="s">
        <v>18</v>
      </c>
      <c r="E12279" s="12" t="s">
        <v>333</v>
      </c>
      <c r="F12279" s="12" t="s">
        <v>334</v>
      </c>
      <c r="G12279" s="12" t="s">
        <v>21</v>
      </c>
      <c r="H12279" s="11" t="s">
        <v>63</v>
      </c>
      <c r="I12279" s="13" t="s">
        <v>24162</v>
      </c>
      <c r="J12279" s="14" t="str">
        <f>HYPERLINK("https://www.boe.es/gazeta/dias/1839/06/11/pdfs/GMD-1839-1669.pdf#page=4","Abrir facsímil")</f>
        <v>Abrir facsímil</v>
      </c>
      <c r="K12279" s="12" t="s">
        <v>65</v>
      </c>
    </row>
    <row r="12280" spans="1:11" ht="40.049999999999997" customHeight="1" x14ac:dyDescent="0.25">
      <c r="A12280" s="11" t="s">
        <v>24163</v>
      </c>
      <c r="B12280" s="11" t="s">
        <v>24164</v>
      </c>
      <c r="C12280" s="11" t="s">
        <v>137</v>
      </c>
      <c r="D12280" s="11" t="s">
        <v>18</v>
      </c>
      <c r="E12280" s="12" t="s">
        <v>340</v>
      </c>
      <c r="F12280" s="12" t="s">
        <v>341</v>
      </c>
      <c r="G12280" s="12" t="s">
        <v>29</v>
      </c>
      <c r="H12280" s="11" t="s">
        <v>63</v>
      </c>
      <c r="I12280" s="13" t="s">
        <v>24165</v>
      </c>
      <c r="J12280" s="14" t="str">
        <f>HYPERLINK("https://www.boe.es/gazeta/dias/1839/03/19/pdfs/GMD-1839-1585.pdf#page=1","Abrir facsímil")</f>
        <v>Abrir facsímil</v>
      </c>
      <c r="K12280" s="12" t="s">
        <v>65</v>
      </c>
    </row>
    <row r="12281" spans="1:11" ht="40.049999999999997" customHeight="1" x14ac:dyDescent="0.25">
      <c r="A12281" s="11" t="s">
        <v>24166</v>
      </c>
      <c r="B12281" s="11" t="s">
        <v>24167</v>
      </c>
      <c r="C12281" s="11" t="s">
        <v>59</v>
      </c>
      <c r="D12281" s="11" t="s">
        <v>60</v>
      </c>
      <c r="E12281" s="12" t="s">
        <v>202</v>
      </c>
      <c r="F12281" s="12" t="s">
        <v>203</v>
      </c>
      <c r="G12281" s="12" t="s">
        <v>46</v>
      </c>
      <c r="H12281" s="11" t="s">
        <v>63</v>
      </c>
      <c r="I12281" s="13" t="s">
        <v>24168</v>
      </c>
      <c r="J12281" s="14" t="str">
        <f>HYPERLINK("https://www.boe.es/gazeta/dias/1839/04/05/pdfs/GMD-1839-1602.pdf#page=3","Abrir facsímil")</f>
        <v>Abrir facsímil</v>
      </c>
      <c r="K12281" s="12" t="s">
        <v>65</v>
      </c>
    </row>
    <row r="12282" spans="1:11" ht="40.049999999999997" customHeight="1" x14ac:dyDescent="0.25">
      <c r="A12282" s="11" t="s">
        <v>24169</v>
      </c>
      <c r="B12282" s="11" t="s">
        <v>24170</v>
      </c>
      <c r="C12282" s="11" t="s">
        <v>17</v>
      </c>
      <c r="D12282" s="11" t="s">
        <v>18</v>
      </c>
      <c r="E12282" s="12" t="s">
        <v>320</v>
      </c>
      <c r="F12282" s="12" t="s">
        <v>321</v>
      </c>
      <c r="G12282" s="12" t="s">
        <v>29</v>
      </c>
      <c r="H12282" s="11" t="s">
        <v>63</v>
      </c>
      <c r="I12282" s="13" t="s">
        <v>24171</v>
      </c>
      <c r="J12282" s="14" t="str">
        <f>HYPERLINK("https://www.boe.es/gazeta/dias/1839/05/11/pdfs/GMD-1839-1638.pdf#page=1","Abrir facsímil")</f>
        <v>Abrir facsímil</v>
      </c>
      <c r="K12282" s="12" t="s">
        <v>65</v>
      </c>
    </row>
    <row r="12283" spans="1:11" ht="40.049999999999997" customHeight="1" x14ac:dyDescent="0.25">
      <c r="A12283" s="11" t="s">
        <v>24169</v>
      </c>
      <c r="B12283" s="11" t="s">
        <v>24170</v>
      </c>
      <c r="C12283" s="11" t="s">
        <v>17</v>
      </c>
      <c r="D12283" s="11" t="s">
        <v>18</v>
      </c>
      <c r="E12283" s="12" t="s">
        <v>1378</v>
      </c>
      <c r="F12283" s="12" t="s">
        <v>1379</v>
      </c>
      <c r="G12283" s="12" t="s">
        <v>21</v>
      </c>
      <c r="H12283" s="11" t="s">
        <v>63</v>
      </c>
      <c r="I12283" s="13" t="s">
        <v>24172</v>
      </c>
      <c r="J12283" s="14" t="str">
        <f>HYPERLINK("https://www.boe.es/gazeta/dias/1839/05/18/pdfs/GMD-1839-1645.pdf#page=4","Abrir facsímil")</f>
        <v>Abrir facsímil</v>
      </c>
      <c r="K12283" s="12" t="s">
        <v>65</v>
      </c>
    </row>
    <row r="12284" spans="1:11" ht="40.049999999999997" customHeight="1" x14ac:dyDescent="0.25">
      <c r="A12284" s="11" t="s">
        <v>24173</v>
      </c>
      <c r="B12284" s="11" t="s">
        <v>24174</v>
      </c>
      <c r="C12284" s="11" t="s">
        <v>137</v>
      </c>
      <c r="D12284" s="11" t="s">
        <v>18</v>
      </c>
      <c r="E12284" s="12" t="s">
        <v>513</v>
      </c>
      <c r="F12284" s="12" t="s">
        <v>514</v>
      </c>
      <c r="G12284" s="12" t="s">
        <v>29</v>
      </c>
      <c r="H12284" s="11" t="s">
        <v>63</v>
      </c>
      <c r="I12284" s="13" t="s">
        <v>24175</v>
      </c>
      <c r="J12284" s="14" t="str">
        <f>HYPERLINK("https://www.boe.es/gazeta/dias/1839/03/17/pdfs/GMD-1839-1583.pdf#page=1","Abrir facsímil")</f>
        <v>Abrir facsímil</v>
      </c>
      <c r="K12284" s="12" t="s">
        <v>65</v>
      </c>
    </row>
    <row r="12285" spans="1:11" ht="40.049999999999997" customHeight="1" x14ac:dyDescent="0.25">
      <c r="A12285" s="11" t="s">
        <v>24176</v>
      </c>
      <c r="B12285" s="11" t="s">
        <v>24177</v>
      </c>
      <c r="C12285" s="11" t="s">
        <v>17</v>
      </c>
      <c r="D12285" s="11" t="s">
        <v>18</v>
      </c>
      <c r="E12285" s="12" t="s">
        <v>276</v>
      </c>
      <c r="F12285" s="12" t="s">
        <v>277</v>
      </c>
      <c r="G12285" s="12" t="s">
        <v>21</v>
      </c>
      <c r="H12285" s="11" t="s">
        <v>63</v>
      </c>
      <c r="I12285" s="13" t="s">
        <v>24178</v>
      </c>
      <c r="J12285" s="14" t="str">
        <f>HYPERLINK("https://www.boe.es/gazeta/dias/1839/09/24/pdfs/GMD-1839-1780.pdf#page=4","Abrir facsímil")</f>
        <v>Abrir facsímil</v>
      </c>
      <c r="K12285" s="12" t="s">
        <v>65</v>
      </c>
    </row>
    <row r="12286" spans="1:11" ht="40.049999999999997" customHeight="1" x14ac:dyDescent="0.25">
      <c r="A12286" s="11" t="s">
        <v>24179</v>
      </c>
      <c r="B12286" s="11" t="s">
        <v>24179</v>
      </c>
      <c r="C12286" s="11" t="s">
        <v>17</v>
      </c>
      <c r="D12286" s="11" t="s">
        <v>18</v>
      </c>
      <c r="E12286" s="12" t="s">
        <v>834</v>
      </c>
      <c r="F12286" s="12" t="s">
        <v>835</v>
      </c>
      <c r="G12286" s="12" t="s">
        <v>21</v>
      </c>
      <c r="H12286" s="11" t="s">
        <v>63</v>
      </c>
      <c r="I12286" s="13" t="s">
        <v>24180</v>
      </c>
      <c r="J12286" s="14" t="str">
        <f>HYPERLINK("https://www.boe.es/gazeta/dias/1839/08/17/pdfs/GMD-1839-1737.pdf#page=4","Abrir facsímil")</f>
        <v>Abrir facsímil</v>
      </c>
      <c r="K12286" s="12" t="s">
        <v>65</v>
      </c>
    </row>
    <row r="12287" spans="1:11" ht="40.049999999999997" customHeight="1" x14ac:dyDescent="0.25">
      <c r="A12287" s="11" t="s">
        <v>24181</v>
      </c>
      <c r="B12287" s="11" t="s">
        <v>24181</v>
      </c>
      <c r="C12287" s="11" t="s">
        <v>101</v>
      </c>
      <c r="D12287" s="11" t="s">
        <v>43</v>
      </c>
      <c r="E12287" s="12" t="s">
        <v>1108</v>
      </c>
      <c r="F12287" s="12" t="s">
        <v>1109</v>
      </c>
      <c r="G12287" s="12" t="s">
        <v>40</v>
      </c>
      <c r="H12287" s="11" t="s">
        <v>63</v>
      </c>
      <c r="I12287" s="13" t="s">
        <v>24182</v>
      </c>
      <c r="J12287" s="14" t="str">
        <f>HYPERLINK("https://www.boe.es/gazeta/dias/1839/09/21/pdfs/GMD-1839-1776.pdf#page=2","Abrir facsímil")</f>
        <v>Abrir facsímil</v>
      </c>
      <c r="K12287" s="12" t="s">
        <v>65</v>
      </c>
    </row>
    <row r="12288" spans="1:11" ht="40.049999999999997" customHeight="1" x14ac:dyDescent="0.25">
      <c r="A12288" s="11" t="s">
        <v>24183</v>
      </c>
      <c r="B12288" s="11" t="s">
        <v>24183</v>
      </c>
      <c r="C12288" s="11" t="s">
        <v>137</v>
      </c>
      <c r="D12288" s="11" t="s">
        <v>18</v>
      </c>
      <c r="E12288" s="12" t="s">
        <v>230</v>
      </c>
      <c r="F12288" s="12" t="s">
        <v>231</v>
      </c>
      <c r="G12288" s="12" t="s">
        <v>46</v>
      </c>
      <c r="H12288" s="11" t="s">
        <v>63</v>
      </c>
      <c r="I12288" s="13" t="s">
        <v>24184</v>
      </c>
      <c r="J12288" s="14" t="str">
        <f>HYPERLINK("https://www.boe.es/gazeta/dias/1839/09/16/pdfs/GMD-1839-1769.pdf#page=3","Abrir facsímil")</f>
        <v>Abrir facsímil</v>
      </c>
      <c r="K12288" s="12" t="s">
        <v>65</v>
      </c>
    </row>
    <row r="12289" spans="1:11" ht="40.049999999999997" customHeight="1" x14ac:dyDescent="0.25">
      <c r="A12289" s="11" t="s">
        <v>24183</v>
      </c>
      <c r="B12289" s="11" t="s">
        <v>24183</v>
      </c>
      <c r="C12289" s="11" t="s">
        <v>137</v>
      </c>
      <c r="D12289" s="11" t="s">
        <v>18</v>
      </c>
      <c r="E12289" s="12" t="s">
        <v>236</v>
      </c>
      <c r="F12289" s="12" t="s">
        <v>237</v>
      </c>
      <c r="G12289" s="12" t="s">
        <v>46</v>
      </c>
      <c r="H12289" s="11" t="s">
        <v>63</v>
      </c>
      <c r="I12289" s="13" t="s">
        <v>24185</v>
      </c>
      <c r="J12289" s="14" t="str">
        <f>HYPERLINK("https://www.boe.es/gazeta/dias/1839/09/18/pdfs/GMD-1839-1771.pdf#page=3","Abrir facsímil")</f>
        <v>Abrir facsímil</v>
      </c>
      <c r="K12289" s="12" t="s">
        <v>65</v>
      </c>
    </row>
    <row r="12290" spans="1:11" ht="40.049999999999997" customHeight="1" x14ac:dyDescent="0.25">
      <c r="A12290" s="11" t="s">
        <v>24183</v>
      </c>
      <c r="B12290" s="11" t="s">
        <v>24183</v>
      </c>
      <c r="C12290" s="11" t="s">
        <v>17</v>
      </c>
      <c r="D12290" s="11" t="s">
        <v>18</v>
      </c>
      <c r="E12290" s="12" t="s">
        <v>2222</v>
      </c>
      <c r="F12290" s="12" t="s">
        <v>2223</v>
      </c>
      <c r="G12290" s="12" t="s">
        <v>40</v>
      </c>
      <c r="H12290" s="11" t="s">
        <v>63</v>
      </c>
      <c r="I12290" s="13" t="s">
        <v>24186</v>
      </c>
      <c r="J12290" s="14" t="str">
        <f>HYPERLINK("https://www.boe.es/gazeta/dias/1839/09/19/pdfs/GMD-1839-1773.pdf#page=2","Abrir facsímil")</f>
        <v>Abrir facsímil</v>
      </c>
      <c r="K12290" s="12" t="s">
        <v>65</v>
      </c>
    </row>
    <row r="12291" spans="1:11" ht="40.049999999999997" customHeight="1" x14ac:dyDescent="0.25">
      <c r="A12291" s="11" t="s">
        <v>24183</v>
      </c>
      <c r="B12291" s="11" t="s">
        <v>24183</v>
      </c>
      <c r="C12291" s="11" t="s">
        <v>101</v>
      </c>
      <c r="D12291" s="11" t="s">
        <v>43</v>
      </c>
      <c r="E12291" s="12" t="s">
        <v>1909</v>
      </c>
      <c r="F12291" s="12" t="s">
        <v>1910</v>
      </c>
      <c r="G12291" s="12" t="s">
        <v>40</v>
      </c>
      <c r="H12291" s="11" t="s">
        <v>63</v>
      </c>
      <c r="I12291" s="13" t="s">
        <v>24187</v>
      </c>
      <c r="J12291" s="14" t="str">
        <f>HYPERLINK("https://www.boe.es/gazeta/dias/1839/10/27/pdfs/GMD-1839-1813.pdf#page=2","Abrir facsímil")</f>
        <v>Abrir facsímil</v>
      </c>
      <c r="K12291" s="12" t="s">
        <v>65</v>
      </c>
    </row>
    <row r="12292" spans="1:11" ht="40.049999999999997" customHeight="1" x14ac:dyDescent="0.25">
      <c r="A12292" s="11" t="s">
        <v>24183</v>
      </c>
      <c r="B12292" s="11" t="s">
        <v>24183</v>
      </c>
      <c r="C12292" s="11" t="s">
        <v>17</v>
      </c>
      <c r="D12292" s="11" t="s">
        <v>18</v>
      </c>
      <c r="E12292" s="12" t="s">
        <v>1118</v>
      </c>
      <c r="F12292" s="12" t="s">
        <v>1119</v>
      </c>
      <c r="G12292" s="12" t="s">
        <v>21</v>
      </c>
      <c r="H12292" s="11" t="s">
        <v>63</v>
      </c>
      <c r="I12292" s="13" t="s">
        <v>24188</v>
      </c>
      <c r="J12292" s="14" t="str">
        <f>HYPERLINK("https://www.boe.es/gazeta/dias/1839/08/30/pdfs/GMD-1839-1751.pdf#page=4","Abrir facsímil")</f>
        <v>Abrir facsímil</v>
      </c>
      <c r="K12292" s="12" t="s">
        <v>65</v>
      </c>
    </row>
    <row r="12293" spans="1:11" ht="40.049999999999997" customHeight="1" x14ac:dyDescent="0.25">
      <c r="A12293" s="11" t="s">
        <v>24189</v>
      </c>
      <c r="B12293" s="11" t="s">
        <v>24190</v>
      </c>
      <c r="C12293" s="11" t="s">
        <v>17</v>
      </c>
      <c r="D12293" s="11" t="s">
        <v>18</v>
      </c>
      <c r="E12293" s="12" t="s">
        <v>2443</v>
      </c>
      <c r="F12293" s="12" t="s">
        <v>2444</v>
      </c>
      <c r="G12293" s="12" t="s">
        <v>46</v>
      </c>
      <c r="H12293" s="11" t="s">
        <v>63</v>
      </c>
      <c r="I12293" s="13" t="s">
        <v>24191</v>
      </c>
      <c r="J12293" s="14" t="str">
        <f>HYPERLINK("https://www.boe.es/gazeta/dias/1839/11/02/pdfs/GMD-1839-1819.pdf#page=3","Abrir facsímil")</f>
        <v>Abrir facsímil</v>
      </c>
      <c r="K12293" s="12" t="s">
        <v>65</v>
      </c>
    </row>
    <row r="12294" spans="1:11" ht="40.049999999999997" customHeight="1" x14ac:dyDescent="0.25">
      <c r="A12294" s="11" t="s">
        <v>24189</v>
      </c>
      <c r="B12294" s="11" t="s">
        <v>24190</v>
      </c>
      <c r="C12294" s="11" t="s">
        <v>17</v>
      </c>
      <c r="D12294" s="11" t="s">
        <v>18</v>
      </c>
      <c r="E12294" s="12" t="s">
        <v>2463</v>
      </c>
      <c r="F12294" s="12" t="s">
        <v>2464</v>
      </c>
      <c r="G12294" s="12" t="s">
        <v>21</v>
      </c>
      <c r="H12294" s="11" t="s">
        <v>63</v>
      </c>
      <c r="I12294" s="13" t="s">
        <v>24192</v>
      </c>
      <c r="J12294" s="14" t="str">
        <f>HYPERLINK("https://www.boe.es/gazeta/dias/1839/04/26/pdfs/GMD-1839-1623.pdf#page=4","Abrir facsímil")</f>
        <v>Abrir facsímil</v>
      </c>
      <c r="K12294" s="12" t="s">
        <v>65</v>
      </c>
    </row>
    <row r="12295" spans="1:11" ht="40.049999999999997" customHeight="1" x14ac:dyDescent="0.25">
      <c r="A12295" s="11" t="s">
        <v>24189</v>
      </c>
      <c r="B12295" s="11" t="s">
        <v>24190</v>
      </c>
      <c r="C12295" s="11" t="s">
        <v>80</v>
      </c>
      <c r="D12295" s="11" t="s">
        <v>18</v>
      </c>
      <c r="E12295" s="12" t="s">
        <v>89</v>
      </c>
      <c r="F12295" s="12" t="s">
        <v>90</v>
      </c>
      <c r="G12295" s="12" t="s">
        <v>21</v>
      </c>
      <c r="H12295" s="11" t="s">
        <v>63</v>
      </c>
      <c r="I12295" s="13" t="s">
        <v>24193</v>
      </c>
      <c r="J12295" s="14" t="str">
        <f>HYPERLINK("https://www.boe.es/gazeta/dias/1839/11/28/pdfs/GMD-1839-1845.pdf#page=4","Abrir facsímil")</f>
        <v>Abrir facsímil</v>
      </c>
      <c r="K12295" s="12" t="s">
        <v>65</v>
      </c>
    </row>
    <row r="12296" spans="1:11" ht="40.049999999999997" customHeight="1" x14ac:dyDescent="0.25">
      <c r="A12296" s="11" t="s">
        <v>24194</v>
      </c>
      <c r="B12296" s="11" t="s">
        <v>24195</v>
      </c>
      <c r="C12296" s="11" t="s">
        <v>17</v>
      </c>
      <c r="D12296" s="11" t="s">
        <v>18</v>
      </c>
      <c r="E12296" s="12" t="s">
        <v>2449</v>
      </c>
      <c r="F12296" s="12" t="s">
        <v>2450</v>
      </c>
      <c r="G12296" s="12" t="s">
        <v>21</v>
      </c>
      <c r="H12296" s="11" t="s">
        <v>63</v>
      </c>
      <c r="I12296" s="13" t="s">
        <v>24196</v>
      </c>
      <c r="J12296" s="14" t="str">
        <f>HYPERLINK("https://www.boe.es/gazeta/dias/1839/12/11/pdfs/GMD-1839-1858.pdf#page=4","Abrir facsímil")</f>
        <v>Abrir facsímil</v>
      </c>
      <c r="K12296" s="12" t="s">
        <v>65</v>
      </c>
    </row>
    <row r="12297" spans="1:11" ht="40.049999999999997" customHeight="1" x14ac:dyDescent="0.25">
      <c r="A12297" s="11" t="s">
        <v>24197</v>
      </c>
      <c r="B12297" s="11" t="s">
        <v>24197</v>
      </c>
      <c r="C12297" s="11" t="s">
        <v>17</v>
      </c>
      <c r="D12297" s="11" t="s">
        <v>18</v>
      </c>
      <c r="E12297" s="12" t="s">
        <v>1551</v>
      </c>
      <c r="F12297" s="12" t="s">
        <v>1552</v>
      </c>
      <c r="G12297" s="12" t="s">
        <v>40</v>
      </c>
      <c r="H12297" s="11" t="s">
        <v>63</v>
      </c>
      <c r="I12297" s="13" t="s">
        <v>24198</v>
      </c>
      <c r="J12297" s="14" t="str">
        <f>HYPERLINK("https://www.boe.es/gazeta/dias/1839/06/30/pdfs/GMD-1839-1688.pdf#page=2","Abrir facsímil")</f>
        <v>Abrir facsímil</v>
      </c>
      <c r="K12297" s="12" t="s">
        <v>65</v>
      </c>
    </row>
    <row r="12298" spans="1:11" ht="40.049999999999997" customHeight="1" x14ac:dyDescent="0.25">
      <c r="A12298" s="11" t="s">
        <v>24199</v>
      </c>
      <c r="B12298" s="11" t="s">
        <v>24199</v>
      </c>
      <c r="C12298" s="11" t="s">
        <v>59</v>
      </c>
      <c r="D12298" s="11" t="s">
        <v>60</v>
      </c>
      <c r="E12298" s="12" t="s">
        <v>233</v>
      </c>
      <c r="F12298" s="12" t="s">
        <v>234</v>
      </c>
      <c r="G12298" s="12" t="s">
        <v>29</v>
      </c>
      <c r="H12298" s="11" t="s">
        <v>63</v>
      </c>
      <c r="I12298" s="13" t="s">
        <v>24200</v>
      </c>
      <c r="J12298" s="14" t="str">
        <f>HYPERLINK("https://www.boe.es/gazeta/dias/1839/09/17/pdfs/GMD-1839-1770.pdf#page=1","Abrir facsímil")</f>
        <v>Abrir facsímil</v>
      </c>
      <c r="K12298" s="12" t="s">
        <v>65</v>
      </c>
    </row>
    <row r="12299" spans="1:11" ht="40.049999999999997" customHeight="1" x14ac:dyDescent="0.25">
      <c r="A12299" s="11" t="s">
        <v>24201</v>
      </c>
      <c r="B12299" s="11" t="s">
        <v>24202</v>
      </c>
      <c r="C12299" s="11" t="s">
        <v>17</v>
      </c>
      <c r="D12299" s="11" t="s">
        <v>18</v>
      </c>
      <c r="E12299" s="12" t="s">
        <v>243</v>
      </c>
      <c r="F12299" s="12" t="s">
        <v>244</v>
      </c>
      <c r="G12299" s="12" t="s">
        <v>40</v>
      </c>
      <c r="H12299" s="11" t="s">
        <v>63</v>
      </c>
      <c r="I12299" s="13" t="s">
        <v>24203</v>
      </c>
      <c r="J12299" s="14" t="str">
        <f>HYPERLINK("https://www.boe.es/gazeta/dias/1839/09/23/pdfs/GMD-1839-1779.pdf#page=2","Abrir facsímil")</f>
        <v>Abrir facsímil</v>
      </c>
      <c r="K12299" s="12" t="s">
        <v>65</v>
      </c>
    </row>
    <row r="12300" spans="1:11" ht="40.049999999999997" customHeight="1" x14ac:dyDescent="0.25">
      <c r="A12300" s="11" t="s">
        <v>24204</v>
      </c>
      <c r="B12300" s="11" t="s">
        <v>24204</v>
      </c>
      <c r="C12300" s="11" t="s">
        <v>17</v>
      </c>
      <c r="D12300" s="11" t="s">
        <v>18</v>
      </c>
      <c r="E12300" s="12" t="s">
        <v>544</v>
      </c>
      <c r="F12300" s="12" t="s">
        <v>545</v>
      </c>
      <c r="G12300" s="12" t="s">
        <v>40</v>
      </c>
      <c r="H12300" s="11" t="s">
        <v>63</v>
      </c>
      <c r="I12300" s="13" t="s">
        <v>24205</v>
      </c>
      <c r="J12300" s="14" t="str">
        <f>HYPERLINK("https://www.boe.es/gazeta/dias/1839/11/11/pdfs/GMD-1839-1828.pdf#page=2","Abrir facsímil")</f>
        <v>Abrir facsímil</v>
      </c>
      <c r="K12300" s="12" t="s">
        <v>65</v>
      </c>
    </row>
    <row r="12301" spans="1:11" ht="40.049999999999997" customHeight="1" x14ac:dyDescent="0.25">
      <c r="A12301" s="11" t="s">
        <v>24206</v>
      </c>
      <c r="B12301" s="11" t="s">
        <v>24206</v>
      </c>
      <c r="C12301" s="11" t="s">
        <v>17</v>
      </c>
      <c r="D12301" s="11" t="s">
        <v>18</v>
      </c>
      <c r="E12301" s="12" t="s">
        <v>1509</v>
      </c>
      <c r="F12301" s="12" t="s">
        <v>1510</v>
      </c>
      <c r="G12301" s="12" t="s">
        <v>305</v>
      </c>
      <c r="H12301" s="11" t="s">
        <v>63</v>
      </c>
      <c r="I12301" s="13" t="s">
        <v>24207</v>
      </c>
      <c r="J12301" s="14" t="str">
        <f>HYPERLINK("https://www.boe.es/gazeta/dias/1839/10/07/pdfs/GMD-1839-1793.pdf#page=6","Abrir facsímil")</f>
        <v>Abrir facsímil</v>
      </c>
      <c r="K12301" s="12" t="s">
        <v>65</v>
      </c>
    </row>
    <row r="12302" spans="1:11" ht="40.049999999999997" customHeight="1" x14ac:dyDescent="0.25">
      <c r="A12302" s="11" t="s">
        <v>24208</v>
      </c>
      <c r="B12302" s="11" t="s">
        <v>24209</v>
      </c>
      <c r="C12302" s="11" t="s">
        <v>80</v>
      </c>
      <c r="D12302" s="11" t="s">
        <v>18</v>
      </c>
      <c r="E12302" s="12" t="s">
        <v>782</v>
      </c>
      <c r="F12302" s="12" t="s">
        <v>783</v>
      </c>
      <c r="G12302" s="12" t="s">
        <v>21</v>
      </c>
      <c r="H12302" s="11" t="s">
        <v>22</v>
      </c>
      <c r="I12302" s="13" t="s">
        <v>24210</v>
      </c>
      <c r="J12302" s="14" t="str">
        <f>HYPERLINK("https://www.boe.es/gazeta/dias/1839/05/09/pdfs/GMD-1839-1636.pdf#page=4","Abrir facsímil")</f>
        <v>Abrir facsímil</v>
      </c>
      <c r="K12302" s="12" t="s">
        <v>24</v>
      </c>
    </row>
    <row r="12303" spans="1:11" ht="40.049999999999997" customHeight="1" x14ac:dyDescent="0.25">
      <c r="A12303" s="11" t="s">
        <v>24211</v>
      </c>
      <c r="B12303" s="11" t="s">
        <v>24212</v>
      </c>
      <c r="C12303" s="11" t="s">
        <v>17</v>
      </c>
      <c r="D12303" s="11" t="s">
        <v>18</v>
      </c>
      <c r="E12303" s="12" t="s">
        <v>798</v>
      </c>
      <c r="F12303" s="12" t="s">
        <v>799</v>
      </c>
      <c r="G12303" s="12" t="s">
        <v>40</v>
      </c>
      <c r="H12303" s="11" t="s">
        <v>63</v>
      </c>
      <c r="I12303" s="13" t="s">
        <v>24213</v>
      </c>
      <c r="J12303" s="14" t="str">
        <f>HYPERLINK("https://www.boe.es/gazeta/dias/1839/09/03/pdfs/GMD-1839-1755.pdf#page=2","Abrir facsímil")</f>
        <v>Abrir facsímil</v>
      </c>
      <c r="K12303" s="12" t="s">
        <v>65</v>
      </c>
    </row>
    <row r="12304" spans="1:11" ht="40.049999999999997" customHeight="1" x14ac:dyDescent="0.25">
      <c r="A12304" s="11" t="s">
        <v>24211</v>
      </c>
      <c r="B12304" s="11" t="s">
        <v>24212</v>
      </c>
      <c r="C12304" s="11" t="s">
        <v>101</v>
      </c>
      <c r="D12304" s="11" t="s">
        <v>102</v>
      </c>
      <c r="E12304" s="12" t="s">
        <v>2165</v>
      </c>
      <c r="F12304" s="12" t="s">
        <v>2166</v>
      </c>
      <c r="G12304" s="12" t="s">
        <v>40</v>
      </c>
      <c r="H12304" s="11" t="s">
        <v>63</v>
      </c>
      <c r="I12304" s="13" t="s">
        <v>24214</v>
      </c>
      <c r="J12304" s="14" t="str">
        <f>HYPERLINK("https://www.boe.es/gazeta/dias/1839/01/06/pdfs/GMD-1839-1513.pdf#page=2","Abrir facsímil")</f>
        <v>Abrir facsímil</v>
      </c>
      <c r="K12304" s="12" t="s">
        <v>65</v>
      </c>
    </row>
    <row r="12305" spans="1:11" ht="40.049999999999997" customHeight="1" x14ac:dyDescent="0.25">
      <c r="A12305" s="11" t="s">
        <v>24215</v>
      </c>
      <c r="B12305" s="11" t="s">
        <v>24215</v>
      </c>
      <c r="C12305" s="11" t="s">
        <v>17</v>
      </c>
      <c r="D12305" s="11" t="s">
        <v>18</v>
      </c>
      <c r="E12305" s="12" t="s">
        <v>5806</v>
      </c>
      <c r="F12305" s="12" t="s">
        <v>5807</v>
      </c>
      <c r="G12305" s="12" t="s">
        <v>21</v>
      </c>
      <c r="H12305" s="11" t="s">
        <v>63</v>
      </c>
      <c r="I12305" s="13" t="s">
        <v>24216</v>
      </c>
      <c r="J12305" s="14" t="str">
        <f>HYPERLINK("https://www.boe.es/gazeta/dias/1839/02/16/pdfs/GMD-1839-1554.pdf#page=4","Abrir facsímil")</f>
        <v>Abrir facsímil</v>
      </c>
      <c r="K12305" s="12" t="s">
        <v>65</v>
      </c>
    </row>
    <row r="12306" spans="1:11" ht="40.049999999999997" customHeight="1" x14ac:dyDescent="0.25">
      <c r="A12306" s="11" t="s">
        <v>24217</v>
      </c>
      <c r="B12306" s="11" t="s">
        <v>24218</v>
      </c>
      <c r="C12306" s="11" t="s">
        <v>17</v>
      </c>
      <c r="D12306" s="11" t="s">
        <v>18</v>
      </c>
      <c r="E12306" s="12" t="s">
        <v>1509</v>
      </c>
      <c r="F12306" s="12" t="s">
        <v>1510</v>
      </c>
      <c r="G12306" s="12" t="s">
        <v>305</v>
      </c>
      <c r="H12306" s="11" t="s">
        <v>63</v>
      </c>
      <c r="I12306" s="13" t="s">
        <v>24219</v>
      </c>
      <c r="J12306" s="14" t="str">
        <f>HYPERLINK("https://www.boe.es/gazeta/dias/1839/10/07/pdfs/GMD-1839-1793.pdf#page=6","Abrir facsímil")</f>
        <v>Abrir facsímil</v>
      </c>
      <c r="K12306" s="12" t="s">
        <v>65</v>
      </c>
    </row>
    <row r="12307" spans="1:11" ht="40.049999999999997" customHeight="1" x14ac:dyDescent="0.25">
      <c r="A12307" s="11" t="s">
        <v>24220</v>
      </c>
      <c r="B12307" s="11" t="s">
        <v>24221</v>
      </c>
      <c r="C12307" s="11" t="s">
        <v>59</v>
      </c>
      <c r="D12307" s="11" t="s">
        <v>60</v>
      </c>
      <c r="E12307" s="12" t="s">
        <v>185</v>
      </c>
      <c r="F12307" s="12" t="s">
        <v>186</v>
      </c>
      <c r="G12307" s="12" t="s">
        <v>21</v>
      </c>
      <c r="H12307" s="11" t="s">
        <v>22</v>
      </c>
      <c r="I12307" s="13" t="s">
        <v>24222</v>
      </c>
      <c r="J12307" s="14" t="str">
        <f>HYPERLINK("https://www.boe.es/gazeta/dias/1839/01/15/pdfs/GMD-1839-1522.pdf#page=4","Abrir facsímil")</f>
        <v>Abrir facsímil</v>
      </c>
      <c r="K12307" s="12" t="s">
        <v>24</v>
      </c>
    </row>
    <row r="12308" spans="1:11" ht="40.049999999999997" customHeight="1" x14ac:dyDescent="0.25">
      <c r="A12308" s="11" t="s">
        <v>24223</v>
      </c>
      <c r="B12308" s="11" t="s">
        <v>24224</v>
      </c>
      <c r="C12308" s="11" t="s">
        <v>17</v>
      </c>
      <c r="D12308" s="11" t="s">
        <v>43</v>
      </c>
      <c r="E12308" s="12" t="s">
        <v>1332</v>
      </c>
      <c r="F12308" s="12" t="s">
        <v>1333</v>
      </c>
      <c r="G12308" s="12" t="s">
        <v>46</v>
      </c>
      <c r="H12308" s="11" t="s">
        <v>63</v>
      </c>
      <c r="I12308" s="13" t="s">
        <v>24225</v>
      </c>
      <c r="J12308" s="14" t="str">
        <f>HYPERLINK("https://www.boe.es/gazeta/dias/1839/05/04/pdfs/GMD-1839-1631.pdf#page=3","Abrir facsímil")</f>
        <v>Abrir facsímil</v>
      </c>
      <c r="K12308" s="12" t="s">
        <v>65</v>
      </c>
    </row>
    <row r="12309" spans="1:11" ht="40.049999999999997" customHeight="1" x14ac:dyDescent="0.25">
      <c r="A12309" s="11" t="s">
        <v>24223</v>
      </c>
      <c r="B12309" s="11" t="s">
        <v>24224</v>
      </c>
      <c r="C12309" s="11" t="s">
        <v>80</v>
      </c>
      <c r="D12309" s="11" t="s">
        <v>18</v>
      </c>
      <c r="E12309" s="12" t="s">
        <v>1332</v>
      </c>
      <c r="F12309" s="12" t="s">
        <v>1333</v>
      </c>
      <c r="G12309" s="12" t="s">
        <v>21</v>
      </c>
      <c r="H12309" s="11" t="s">
        <v>63</v>
      </c>
      <c r="I12309" s="13" t="s">
        <v>24226</v>
      </c>
      <c r="J12309" s="14" t="str">
        <f>HYPERLINK("https://www.boe.es/gazeta/dias/1839/05/04/pdfs/GMD-1839-1631.pdf#page=4","Abrir facsímil")</f>
        <v>Abrir facsímil</v>
      </c>
      <c r="K12309" s="12" t="s">
        <v>65</v>
      </c>
    </row>
    <row r="12310" spans="1:11" ht="40.049999999999997" customHeight="1" x14ac:dyDescent="0.25">
      <c r="A12310" s="11" t="s">
        <v>24227</v>
      </c>
      <c r="B12310" s="11" t="s">
        <v>24228</v>
      </c>
      <c r="C12310" s="11" t="s">
        <v>17</v>
      </c>
      <c r="D12310" s="11" t="s">
        <v>18</v>
      </c>
      <c r="E12310" s="12" t="s">
        <v>1929</v>
      </c>
      <c r="F12310" s="12" t="s">
        <v>1930</v>
      </c>
      <c r="G12310" s="12" t="s">
        <v>29</v>
      </c>
      <c r="H12310" s="11" t="s">
        <v>63</v>
      </c>
      <c r="I12310" s="13" t="s">
        <v>24229</v>
      </c>
      <c r="J12310" s="14" t="str">
        <f>HYPERLINK("https://www.boe.es/gazeta/dias/1839/02/01/pdfs/GMD-1839-1539.pdf#page=1","Abrir facsímil")</f>
        <v>Abrir facsímil</v>
      </c>
      <c r="K12310" s="12" t="s">
        <v>65</v>
      </c>
    </row>
    <row r="12311" spans="1:11" ht="40.049999999999997" customHeight="1" x14ac:dyDescent="0.25">
      <c r="A12311" s="11" t="s">
        <v>24227</v>
      </c>
      <c r="B12311" s="11" t="s">
        <v>24228</v>
      </c>
      <c r="C12311" s="11" t="s">
        <v>101</v>
      </c>
      <c r="D12311" s="11" t="s">
        <v>43</v>
      </c>
      <c r="E12311" s="12" t="s">
        <v>448</v>
      </c>
      <c r="F12311" s="12" t="s">
        <v>449</v>
      </c>
      <c r="G12311" s="12" t="s">
        <v>29</v>
      </c>
      <c r="H12311" s="11" t="s">
        <v>63</v>
      </c>
      <c r="I12311" s="13" t="s">
        <v>24230</v>
      </c>
      <c r="J12311" s="14" t="str">
        <f>HYPERLINK("https://www.boe.es/gazeta/dias/1839/02/06/pdfs/GMD-1839-1544.pdf#page=1","Abrir facsímil")</f>
        <v>Abrir facsímil</v>
      </c>
      <c r="K12311" s="12" t="s">
        <v>65</v>
      </c>
    </row>
    <row r="12312" spans="1:11" ht="40.049999999999997" customHeight="1" x14ac:dyDescent="0.25">
      <c r="A12312" s="11" t="s">
        <v>24227</v>
      </c>
      <c r="B12312" s="11" t="s">
        <v>24228</v>
      </c>
      <c r="C12312" s="11" t="s">
        <v>80</v>
      </c>
      <c r="D12312" s="11" t="s">
        <v>173</v>
      </c>
      <c r="E12312" s="12" t="s">
        <v>4044</v>
      </c>
      <c r="F12312" s="12" t="s">
        <v>4045</v>
      </c>
      <c r="G12312" s="12" t="s">
        <v>29</v>
      </c>
      <c r="H12312" s="11" t="s">
        <v>63</v>
      </c>
      <c r="I12312" s="13" t="s">
        <v>24231</v>
      </c>
      <c r="J12312" s="14" t="str">
        <f>HYPERLINK("https://www.boe.es/gazeta/dias/1839/01/07/pdfs/GMD-1839-1514.pdf#page=1","Abrir facsímil")</f>
        <v>Abrir facsímil</v>
      </c>
      <c r="K12312" s="12" t="s">
        <v>65</v>
      </c>
    </row>
    <row r="12313" spans="1:11" ht="40.049999999999997" customHeight="1" x14ac:dyDescent="0.25">
      <c r="A12313" s="11" t="s">
        <v>24227</v>
      </c>
      <c r="B12313" s="11" t="s">
        <v>24228</v>
      </c>
      <c r="C12313" s="11" t="s">
        <v>80</v>
      </c>
      <c r="D12313" s="11" t="s">
        <v>18</v>
      </c>
      <c r="E12313" s="12" t="s">
        <v>320</v>
      </c>
      <c r="F12313" s="12" t="s">
        <v>321</v>
      </c>
      <c r="G12313" s="12" t="s">
        <v>29</v>
      </c>
      <c r="H12313" s="11" t="s">
        <v>63</v>
      </c>
      <c r="I12313" s="13" t="s">
        <v>24232</v>
      </c>
      <c r="J12313" s="14" t="str">
        <f>HYPERLINK("https://www.boe.es/gazeta/dias/1839/05/11/pdfs/GMD-1839-1638.pdf#page=1","Abrir facsímil")</f>
        <v>Abrir facsímil</v>
      </c>
      <c r="K12313" s="12" t="s">
        <v>65</v>
      </c>
    </row>
    <row r="12314" spans="1:11" ht="40.049999999999997" customHeight="1" x14ac:dyDescent="0.25">
      <c r="A12314" s="11" t="s">
        <v>24227</v>
      </c>
      <c r="B12314" s="11" t="s">
        <v>24228</v>
      </c>
      <c r="C12314" s="11" t="s">
        <v>17</v>
      </c>
      <c r="D12314" s="11" t="s">
        <v>18</v>
      </c>
      <c r="E12314" s="12" t="s">
        <v>272</v>
      </c>
      <c r="F12314" s="12" t="s">
        <v>273</v>
      </c>
      <c r="G12314" s="12" t="s">
        <v>29</v>
      </c>
      <c r="H12314" s="11" t="s">
        <v>63</v>
      </c>
      <c r="I12314" s="13" t="s">
        <v>24233</v>
      </c>
      <c r="J12314" s="14" t="str">
        <f>HYPERLINK("https://www.boe.es/gazeta/dias/1839/02/12/pdfs/GMD-1839-1550.pdf#page=1","Abrir facsímil")</f>
        <v>Abrir facsímil</v>
      </c>
      <c r="K12314" s="12" t="s">
        <v>65</v>
      </c>
    </row>
    <row r="12315" spans="1:11" ht="40.049999999999997" customHeight="1" x14ac:dyDescent="0.25">
      <c r="A12315" s="11" t="s">
        <v>24227</v>
      </c>
      <c r="B12315" s="11" t="s">
        <v>24228</v>
      </c>
      <c r="C12315" s="11" t="s">
        <v>101</v>
      </c>
      <c r="D12315" s="11" t="s">
        <v>43</v>
      </c>
      <c r="E12315" s="12" t="s">
        <v>299</v>
      </c>
      <c r="F12315" s="12" t="s">
        <v>300</v>
      </c>
      <c r="G12315" s="12" t="s">
        <v>40</v>
      </c>
      <c r="H12315" s="11" t="s">
        <v>63</v>
      </c>
      <c r="I12315" s="13" t="s">
        <v>24234</v>
      </c>
      <c r="J12315" s="14" t="str">
        <f>HYPERLINK("https://www.boe.es/gazeta/dias/1839/02/14/pdfs/GMD-1839-1552.pdf#page=2","Abrir facsímil")</f>
        <v>Abrir facsímil</v>
      </c>
      <c r="K12315" s="12" t="s">
        <v>65</v>
      </c>
    </row>
    <row r="12316" spans="1:11" ht="40.049999999999997" customHeight="1" x14ac:dyDescent="0.25">
      <c r="A12316" s="11" t="s">
        <v>24227</v>
      </c>
      <c r="B12316" s="11" t="s">
        <v>24228</v>
      </c>
      <c r="C12316" s="11" t="s">
        <v>137</v>
      </c>
      <c r="D12316" s="11" t="s">
        <v>18</v>
      </c>
      <c r="E12316" s="12" t="s">
        <v>185</v>
      </c>
      <c r="F12316" s="12" t="s">
        <v>186</v>
      </c>
      <c r="G12316" s="12" t="s">
        <v>21</v>
      </c>
      <c r="H12316" s="11" t="s">
        <v>63</v>
      </c>
      <c r="I12316" s="13" t="s">
        <v>24235</v>
      </c>
      <c r="J12316" s="14" t="str">
        <f>HYPERLINK("https://www.boe.es/gazeta/dias/1839/01/15/pdfs/GMD-1839-1522.pdf#page=4","Abrir facsímil")</f>
        <v>Abrir facsímil</v>
      </c>
      <c r="K12316" s="12" t="s">
        <v>65</v>
      </c>
    </row>
    <row r="12317" spans="1:11" ht="40.049999999999997" customHeight="1" x14ac:dyDescent="0.25">
      <c r="A12317" s="11" t="s">
        <v>24227</v>
      </c>
      <c r="B12317" s="11" t="s">
        <v>24228</v>
      </c>
      <c r="C12317" s="11" t="s">
        <v>137</v>
      </c>
      <c r="D12317" s="11" t="s">
        <v>18</v>
      </c>
      <c r="E12317" s="12" t="s">
        <v>1139</v>
      </c>
      <c r="F12317" s="12" t="s">
        <v>1140</v>
      </c>
      <c r="G12317" s="12" t="s">
        <v>46</v>
      </c>
      <c r="H12317" s="11" t="s">
        <v>63</v>
      </c>
      <c r="I12317" s="13" t="s">
        <v>24236</v>
      </c>
      <c r="J12317" s="14" t="str">
        <f>HYPERLINK("https://www.boe.es/gazeta/dias/1839/02/15/pdfs/GMD-1839-1553.pdf#page=3","Abrir facsímil")</f>
        <v>Abrir facsímil</v>
      </c>
      <c r="K12317" s="12" t="s">
        <v>65</v>
      </c>
    </row>
    <row r="12318" spans="1:11" ht="40.049999999999997" customHeight="1" x14ac:dyDescent="0.25">
      <c r="A12318" s="11" t="s">
        <v>24227</v>
      </c>
      <c r="B12318" s="11" t="s">
        <v>24228</v>
      </c>
      <c r="C12318" s="11" t="s">
        <v>17</v>
      </c>
      <c r="D12318" s="11" t="s">
        <v>18</v>
      </c>
      <c r="E12318" s="12" t="s">
        <v>519</v>
      </c>
      <c r="F12318" s="12" t="s">
        <v>520</v>
      </c>
      <c r="G12318" s="12" t="s">
        <v>29</v>
      </c>
      <c r="H12318" s="11" t="s">
        <v>63</v>
      </c>
      <c r="I12318" s="13" t="s">
        <v>24237</v>
      </c>
      <c r="J12318" s="14" t="str">
        <f>HYPERLINK("https://www.boe.es/gazeta/dias/1839/02/23/pdfs/GMD-1839-1561.pdf#page=1","Abrir facsímil")</f>
        <v>Abrir facsímil</v>
      </c>
      <c r="K12318" s="12" t="s">
        <v>65</v>
      </c>
    </row>
    <row r="12319" spans="1:11" ht="40.049999999999997" customHeight="1" x14ac:dyDescent="0.25">
      <c r="A12319" s="11" t="s">
        <v>24227</v>
      </c>
      <c r="B12319" s="11" t="s">
        <v>24228</v>
      </c>
      <c r="C12319" s="11" t="s">
        <v>17</v>
      </c>
      <c r="D12319" s="11" t="s">
        <v>18</v>
      </c>
      <c r="E12319" s="12" t="s">
        <v>677</v>
      </c>
      <c r="F12319" s="12" t="s">
        <v>678</v>
      </c>
      <c r="G12319" s="12" t="s">
        <v>29</v>
      </c>
      <c r="H12319" s="11" t="s">
        <v>63</v>
      </c>
      <c r="I12319" s="13" t="s">
        <v>24238</v>
      </c>
      <c r="J12319" s="14" t="str">
        <f>HYPERLINK("https://www.boe.es/gazeta/dias/1839/04/28/pdfs/GMD-1839-1625.pdf#page=1","Abrir facsímil")</f>
        <v>Abrir facsímil</v>
      </c>
      <c r="K12319" s="12" t="s">
        <v>65</v>
      </c>
    </row>
    <row r="12320" spans="1:11" ht="40.049999999999997" customHeight="1" x14ac:dyDescent="0.25">
      <c r="A12320" s="11" t="s">
        <v>24239</v>
      </c>
      <c r="B12320" s="11" t="s">
        <v>24240</v>
      </c>
      <c r="C12320" s="11" t="s">
        <v>80</v>
      </c>
      <c r="D12320" s="11" t="s">
        <v>18</v>
      </c>
      <c r="E12320" s="12" t="s">
        <v>185</v>
      </c>
      <c r="F12320" s="12" t="s">
        <v>186</v>
      </c>
      <c r="G12320" s="12" t="s">
        <v>21</v>
      </c>
      <c r="H12320" s="11" t="s">
        <v>63</v>
      </c>
      <c r="I12320" s="13" t="s">
        <v>24241</v>
      </c>
      <c r="J12320" s="14" t="str">
        <f>HYPERLINK("https://www.boe.es/gazeta/dias/1839/01/15/pdfs/GMD-1839-1522.pdf#page=4","Abrir facsímil")</f>
        <v>Abrir facsímil</v>
      </c>
      <c r="K12320" s="12" t="s">
        <v>65</v>
      </c>
    </row>
    <row r="12321" spans="1:11" ht="40.049999999999997" customHeight="1" x14ac:dyDescent="0.25">
      <c r="A12321" s="11" t="s">
        <v>24239</v>
      </c>
      <c r="B12321" s="11" t="s">
        <v>24240</v>
      </c>
      <c r="C12321" s="11" t="s">
        <v>59</v>
      </c>
      <c r="D12321" s="11" t="s">
        <v>60</v>
      </c>
      <c r="E12321" s="12" t="s">
        <v>1679</v>
      </c>
      <c r="F12321" s="12" t="s">
        <v>1680</v>
      </c>
      <c r="G12321" s="12" t="s">
        <v>29</v>
      </c>
      <c r="H12321" s="11" t="s">
        <v>63</v>
      </c>
      <c r="I12321" s="13" t="s">
        <v>24242</v>
      </c>
      <c r="J12321" s="14" t="str">
        <f>HYPERLINK("https://www.boe.es/gazeta/dias/1839/01/26/pdfs/GMD-1839-1533.pdf#page=1","Abrir facsímil")</f>
        <v>Abrir facsímil</v>
      </c>
      <c r="K12321" s="12" t="s">
        <v>65</v>
      </c>
    </row>
    <row r="12322" spans="1:11" ht="40.049999999999997" customHeight="1" x14ac:dyDescent="0.25">
      <c r="A12322" s="11" t="s">
        <v>24239</v>
      </c>
      <c r="B12322" s="11" t="s">
        <v>24240</v>
      </c>
      <c r="C12322" s="11" t="s">
        <v>17</v>
      </c>
      <c r="D12322" s="11" t="s">
        <v>18</v>
      </c>
      <c r="E12322" s="12" t="s">
        <v>1523</v>
      </c>
      <c r="F12322" s="12" t="s">
        <v>1524</v>
      </c>
      <c r="G12322" s="12" t="s">
        <v>29</v>
      </c>
      <c r="H12322" s="11" t="s">
        <v>63</v>
      </c>
      <c r="I12322" s="13" t="s">
        <v>24243</v>
      </c>
      <c r="J12322" s="14" t="str">
        <f>HYPERLINK("https://www.boe.es/gazeta/dias/1839/08/29/pdfs/GMD-1839-1750.pdf#page=1","Abrir facsímil")</f>
        <v>Abrir facsímil</v>
      </c>
      <c r="K12322" s="12" t="s">
        <v>65</v>
      </c>
    </row>
    <row r="12323" spans="1:11" ht="40.049999999999997" customHeight="1" x14ac:dyDescent="0.25">
      <c r="A12323" s="11" t="s">
        <v>24244</v>
      </c>
      <c r="B12323" s="11" t="s">
        <v>24244</v>
      </c>
      <c r="C12323" s="11" t="s">
        <v>17</v>
      </c>
      <c r="D12323" s="11" t="s">
        <v>18</v>
      </c>
      <c r="E12323" s="12" t="s">
        <v>381</v>
      </c>
      <c r="F12323" s="12" t="s">
        <v>382</v>
      </c>
      <c r="G12323" s="12" t="s">
        <v>21</v>
      </c>
      <c r="H12323" s="11" t="s">
        <v>63</v>
      </c>
      <c r="I12323" s="13" t="s">
        <v>24245</v>
      </c>
      <c r="J12323" s="14" t="str">
        <f>HYPERLINK("https://www.boe.es/gazeta/dias/1839/06/02/pdfs/GMD-1839-1660.pdf#page=4","Abrir facsímil")</f>
        <v>Abrir facsímil</v>
      </c>
      <c r="K12323" s="12" t="s">
        <v>65</v>
      </c>
    </row>
    <row r="12324" spans="1:11" ht="40.049999999999997" customHeight="1" x14ac:dyDescent="0.25">
      <c r="A12324" s="11" t="s">
        <v>24244</v>
      </c>
      <c r="B12324" s="11" t="s">
        <v>24244</v>
      </c>
      <c r="C12324" s="11" t="s">
        <v>17</v>
      </c>
      <c r="D12324" s="11" t="s">
        <v>18</v>
      </c>
      <c r="E12324" s="12" t="s">
        <v>519</v>
      </c>
      <c r="F12324" s="12" t="s">
        <v>520</v>
      </c>
      <c r="G12324" s="12" t="s">
        <v>29</v>
      </c>
      <c r="H12324" s="11" t="s">
        <v>63</v>
      </c>
      <c r="I12324" s="13" t="s">
        <v>24246</v>
      </c>
      <c r="J12324" s="14" t="str">
        <f>HYPERLINK("https://www.boe.es/gazeta/dias/1839/02/23/pdfs/GMD-1839-1561.pdf#page=1","Abrir facsímil")</f>
        <v>Abrir facsímil</v>
      </c>
      <c r="K12324" s="12" t="s">
        <v>65</v>
      </c>
    </row>
    <row r="12325" spans="1:11" ht="40.049999999999997" customHeight="1" x14ac:dyDescent="0.25">
      <c r="A12325" s="11" t="s">
        <v>24247</v>
      </c>
      <c r="B12325" s="11" t="s">
        <v>24248</v>
      </c>
      <c r="C12325" s="11" t="s">
        <v>17</v>
      </c>
      <c r="D12325" s="11" t="s">
        <v>18</v>
      </c>
      <c r="E12325" s="12" t="s">
        <v>704</v>
      </c>
      <c r="F12325" s="12" t="s">
        <v>705</v>
      </c>
      <c r="G12325" s="12" t="s">
        <v>46</v>
      </c>
      <c r="H12325" s="11" t="s">
        <v>22</v>
      </c>
      <c r="I12325" s="13" t="s">
        <v>24249</v>
      </c>
      <c r="J12325" s="14" t="str">
        <f>HYPERLINK("https://www.boe.es/gazeta/dias/1839/03/02/pdfs/GMD-1839-1568.pdf#page=3","Abrir facsímil")</f>
        <v>Abrir facsímil</v>
      </c>
      <c r="K12325" s="12" t="s">
        <v>24</v>
      </c>
    </row>
    <row r="12326" spans="1:11" ht="40.049999999999997" customHeight="1" x14ac:dyDescent="0.25">
      <c r="A12326" s="11" t="s">
        <v>24247</v>
      </c>
      <c r="B12326" s="11" t="s">
        <v>24248</v>
      </c>
      <c r="C12326" s="11" t="s">
        <v>101</v>
      </c>
      <c r="D12326" s="11" t="s">
        <v>43</v>
      </c>
      <c r="E12326" s="12" t="s">
        <v>462</v>
      </c>
      <c r="F12326" s="12" t="s">
        <v>463</v>
      </c>
      <c r="G12326" s="12" t="s">
        <v>46</v>
      </c>
      <c r="H12326" s="11" t="s">
        <v>22</v>
      </c>
      <c r="I12326" s="13" t="s">
        <v>24250</v>
      </c>
      <c r="J12326" s="14" t="str">
        <f>HYPERLINK("https://www.boe.es/gazeta/dias/1839/06/19/pdfs/GMD-1839-1677.pdf#page=3","Abrir facsímil")</f>
        <v>Abrir facsímil</v>
      </c>
      <c r="K12326" s="12" t="s">
        <v>24</v>
      </c>
    </row>
    <row r="12327" spans="1:11" ht="40.049999999999997" customHeight="1" x14ac:dyDescent="0.25">
      <c r="A12327" s="11" t="s">
        <v>24251</v>
      </c>
      <c r="B12327" s="11" t="s">
        <v>24252</v>
      </c>
      <c r="C12327" s="11" t="s">
        <v>80</v>
      </c>
      <c r="D12327" s="11" t="s">
        <v>18</v>
      </c>
      <c r="E12327" s="12" t="s">
        <v>1310</v>
      </c>
      <c r="F12327" s="12" t="s">
        <v>1311</v>
      </c>
      <c r="G12327" s="12" t="s">
        <v>40</v>
      </c>
      <c r="H12327" s="11" t="s">
        <v>63</v>
      </c>
      <c r="I12327" s="13" t="s">
        <v>24253</v>
      </c>
      <c r="J12327" s="14" t="str">
        <f>HYPERLINK("https://www.boe.es/gazeta/dias/1839/04/23/pdfs/GMD-1839-1620.pdf#page=2","Abrir facsímil")</f>
        <v>Abrir facsímil</v>
      </c>
      <c r="K12327" s="12" t="s">
        <v>65</v>
      </c>
    </row>
    <row r="12328" spans="1:11" ht="40.049999999999997" customHeight="1" x14ac:dyDescent="0.25">
      <c r="A12328" s="11" t="s">
        <v>24254</v>
      </c>
      <c r="B12328" s="11" t="s">
        <v>24254</v>
      </c>
      <c r="C12328" s="11" t="s">
        <v>17</v>
      </c>
      <c r="D12328" s="11" t="s">
        <v>18</v>
      </c>
      <c r="E12328" s="12" t="s">
        <v>276</v>
      </c>
      <c r="F12328" s="12" t="s">
        <v>277</v>
      </c>
      <c r="G12328" s="12" t="s">
        <v>46</v>
      </c>
      <c r="H12328" s="11" t="s">
        <v>63</v>
      </c>
      <c r="I12328" s="13" t="s">
        <v>24255</v>
      </c>
      <c r="J12328" s="14" t="str">
        <f>HYPERLINK("https://www.boe.es/gazeta/dias/1839/09/24/pdfs/GMD-1839-1780.pdf#page=3","Abrir facsímil")</f>
        <v>Abrir facsímil</v>
      </c>
      <c r="K12328" s="12" t="s">
        <v>65</v>
      </c>
    </row>
    <row r="12329" spans="1:11" ht="40.049999999999997" customHeight="1" x14ac:dyDescent="0.25">
      <c r="A12329" s="11" t="s">
        <v>24256</v>
      </c>
      <c r="B12329" s="11" t="s">
        <v>24256</v>
      </c>
      <c r="C12329" s="11" t="s">
        <v>17</v>
      </c>
      <c r="D12329" s="11" t="s">
        <v>43</v>
      </c>
      <c r="E12329" s="12" t="s">
        <v>883</v>
      </c>
      <c r="F12329" s="12" t="s">
        <v>884</v>
      </c>
      <c r="G12329" s="12" t="s">
        <v>21</v>
      </c>
      <c r="H12329" s="11" t="s">
        <v>63</v>
      </c>
      <c r="I12329" s="13" t="s">
        <v>24257</v>
      </c>
      <c r="J12329" s="14" t="str">
        <f>HYPERLINK("https://www.boe.es/gazeta/dias/1839/11/03/pdfs/GMD-1839-1820.pdf#page=4","Abrir facsímil")</f>
        <v>Abrir facsímil</v>
      </c>
      <c r="K12329" s="12" t="s">
        <v>65</v>
      </c>
    </row>
    <row r="12330" spans="1:11" ht="40.049999999999997" customHeight="1" x14ac:dyDescent="0.25">
      <c r="A12330" s="11" t="s">
        <v>24256</v>
      </c>
      <c r="B12330" s="11" t="s">
        <v>24256</v>
      </c>
      <c r="C12330" s="11" t="s">
        <v>17</v>
      </c>
      <c r="D12330" s="11" t="s">
        <v>18</v>
      </c>
      <c r="E12330" s="12" t="s">
        <v>3601</v>
      </c>
      <c r="F12330" s="12" t="s">
        <v>3602</v>
      </c>
      <c r="G12330" s="12" t="s">
        <v>29</v>
      </c>
      <c r="H12330" s="11" t="s">
        <v>63</v>
      </c>
      <c r="I12330" s="13" t="s">
        <v>24258</v>
      </c>
      <c r="J12330" s="14" t="str">
        <f>HYPERLINK("https://www.boe.es/gazeta/dias/1839/03/21/pdfs/GMD-1839-1587.pdf#page=1","Abrir facsímil")</f>
        <v>Abrir facsímil</v>
      </c>
      <c r="K12330" s="12" t="s">
        <v>65</v>
      </c>
    </row>
    <row r="12331" spans="1:11" ht="40.049999999999997" customHeight="1" x14ac:dyDescent="0.25">
      <c r="A12331" s="11" t="s">
        <v>24259</v>
      </c>
      <c r="B12331" s="11" t="s">
        <v>24260</v>
      </c>
      <c r="C12331" s="11" t="s">
        <v>17</v>
      </c>
      <c r="D12331" s="11" t="s">
        <v>18</v>
      </c>
      <c r="E12331" s="12" t="s">
        <v>111</v>
      </c>
      <c r="F12331" s="12" t="s">
        <v>112</v>
      </c>
      <c r="G12331" s="12" t="s">
        <v>40</v>
      </c>
      <c r="H12331" s="11" t="s">
        <v>63</v>
      </c>
      <c r="I12331" s="13" t="s">
        <v>24261</v>
      </c>
      <c r="J12331" s="14" t="str">
        <f>HYPERLINK("https://www.boe.es/gazeta/dias/1839/07/25/pdfs/GMD-1839-1714.pdf#page=2","Abrir facsímil")</f>
        <v>Abrir facsímil</v>
      </c>
      <c r="K12331" s="12" t="s">
        <v>65</v>
      </c>
    </row>
    <row r="12332" spans="1:11" ht="40.049999999999997" customHeight="1" x14ac:dyDescent="0.25">
      <c r="A12332" s="11" t="s">
        <v>24262</v>
      </c>
      <c r="B12332" s="11" t="s">
        <v>24263</v>
      </c>
      <c r="C12332" s="11" t="s">
        <v>17</v>
      </c>
      <c r="D12332" s="11" t="s">
        <v>18</v>
      </c>
      <c r="E12332" s="12" t="s">
        <v>984</v>
      </c>
      <c r="F12332" s="12" t="s">
        <v>985</v>
      </c>
      <c r="G12332" s="12" t="s">
        <v>21</v>
      </c>
      <c r="H12332" s="11" t="s">
        <v>22</v>
      </c>
      <c r="I12332" s="13" t="s">
        <v>24264</v>
      </c>
      <c r="J12332" s="14" t="str">
        <f>HYPERLINK("https://www.boe.es/gazeta/dias/1839/04/10/pdfs/GMD-1839-1607.pdf#page=4","Abrir facsímil")</f>
        <v>Abrir facsímil</v>
      </c>
      <c r="K12332" s="12" t="s">
        <v>24</v>
      </c>
    </row>
    <row r="12333" spans="1:11" ht="40.049999999999997" customHeight="1" x14ac:dyDescent="0.25">
      <c r="A12333" s="11" t="s">
        <v>24265</v>
      </c>
      <c r="B12333" s="11" t="s">
        <v>24266</v>
      </c>
      <c r="C12333" s="11" t="s">
        <v>17</v>
      </c>
      <c r="D12333" s="11" t="s">
        <v>18</v>
      </c>
      <c r="E12333" s="12" t="s">
        <v>1813</v>
      </c>
      <c r="F12333" s="12" t="s">
        <v>1814</v>
      </c>
      <c r="G12333" s="12" t="s">
        <v>21</v>
      </c>
      <c r="H12333" s="11" t="s">
        <v>22</v>
      </c>
      <c r="I12333" s="13" t="s">
        <v>24267</v>
      </c>
      <c r="J12333" s="14" t="str">
        <f>HYPERLINK("https://www.boe.es/gazeta/dias/1839/09/02/pdfs/GMD-1839-1754.pdf#page=4","Abrir facsímil")</f>
        <v>Abrir facsímil</v>
      </c>
      <c r="K12333" s="12" t="s">
        <v>24</v>
      </c>
    </row>
    <row r="12334" spans="1:11" ht="40.049999999999997" customHeight="1" x14ac:dyDescent="0.25">
      <c r="A12334" s="11" t="s">
        <v>24268</v>
      </c>
      <c r="B12334" s="11" t="s">
        <v>24268</v>
      </c>
      <c r="C12334" s="11" t="s">
        <v>80</v>
      </c>
      <c r="D12334" s="11" t="s">
        <v>18</v>
      </c>
      <c r="E12334" s="12" t="s">
        <v>1019</v>
      </c>
      <c r="F12334" s="12" t="s">
        <v>1020</v>
      </c>
      <c r="G12334" s="12" t="s">
        <v>21</v>
      </c>
      <c r="H12334" s="11" t="s">
        <v>63</v>
      </c>
      <c r="I12334" s="13" t="s">
        <v>24269</v>
      </c>
      <c r="J12334" s="14" t="str">
        <f>HYPERLINK("https://www.boe.es/gazeta/dias/1839/07/15/pdfs/GMD-1839-1703.pdf#page=4","Abrir facsímil")</f>
        <v>Abrir facsímil</v>
      </c>
      <c r="K12334" s="12" t="s">
        <v>65</v>
      </c>
    </row>
    <row r="12335" spans="1:11" ht="40.049999999999997" customHeight="1" x14ac:dyDescent="0.25">
      <c r="A12335" s="11" t="s">
        <v>24270</v>
      </c>
      <c r="B12335" s="11" t="s">
        <v>24271</v>
      </c>
      <c r="C12335" s="11" t="s">
        <v>80</v>
      </c>
      <c r="D12335" s="11" t="s">
        <v>18</v>
      </c>
      <c r="E12335" s="12" t="s">
        <v>544</v>
      </c>
      <c r="F12335" s="12" t="s">
        <v>545</v>
      </c>
      <c r="G12335" s="12" t="s">
        <v>21</v>
      </c>
      <c r="H12335" s="11" t="s">
        <v>63</v>
      </c>
      <c r="I12335" s="13" t="s">
        <v>24272</v>
      </c>
      <c r="J12335" s="14" t="str">
        <f>HYPERLINK("https://www.boe.es/gazeta/dias/1839/11/11/pdfs/GMD-1839-1828.pdf#page=4","Abrir facsímil")</f>
        <v>Abrir facsímil</v>
      </c>
      <c r="K12335" s="12" t="s">
        <v>65</v>
      </c>
    </row>
    <row r="12336" spans="1:11" ht="40.049999999999997" customHeight="1" x14ac:dyDescent="0.25">
      <c r="A12336" s="11" t="s">
        <v>24273</v>
      </c>
      <c r="B12336" s="11" t="s">
        <v>24273</v>
      </c>
      <c r="C12336" s="11" t="s">
        <v>80</v>
      </c>
      <c r="D12336" s="11" t="s">
        <v>18</v>
      </c>
      <c r="E12336" s="12" t="s">
        <v>349</v>
      </c>
      <c r="F12336" s="12" t="s">
        <v>350</v>
      </c>
      <c r="G12336" s="12" t="s">
        <v>40</v>
      </c>
      <c r="H12336" s="11" t="s">
        <v>63</v>
      </c>
      <c r="I12336" s="13" t="s">
        <v>24274</v>
      </c>
      <c r="J12336" s="14" t="str">
        <f>HYPERLINK("https://www.boe.es/gazeta/dias/1839/12/25/pdfs/GMD-1839-1872.pdf#page=2","Abrir facsímil")</f>
        <v>Abrir facsímil</v>
      </c>
      <c r="K12336" s="12" t="s">
        <v>65</v>
      </c>
    </row>
    <row r="12337" spans="1:11" ht="40.049999999999997" customHeight="1" x14ac:dyDescent="0.25">
      <c r="A12337" s="11" t="s">
        <v>24275</v>
      </c>
      <c r="B12337" s="11" t="s">
        <v>24275</v>
      </c>
      <c r="C12337" s="11" t="s">
        <v>17</v>
      </c>
      <c r="D12337" s="11" t="s">
        <v>18</v>
      </c>
      <c r="E12337" s="12" t="s">
        <v>912</v>
      </c>
      <c r="F12337" s="12" t="s">
        <v>913</v>
      </c>
      <c r="G12337" s="12" t="s">
        <v>46</v>
      </c>
      <c r="H12337" s="11" t="s">
        <v>22</v>
      </c>
      <c r="I12337" s="13" t="s">
        <v>24276</v>
      </c>
      <c r="J12337" s="14" t="str">
        <f>HYPERLINK("https://www.boe.es/gazeta/dias/1839/04/30/pdfs/GMD-1839-1627.pdf#page=3","Abrir facsímil")</f>
        <v>Abrir facsímil</v>
      </c>
      <c r="K12337" s="12" t="s">
        <v>24</v>
      </c>
    </row>
    <row r="12338" spans="1:11" ht="40.049999999999997" customHeight="1" x14ac:dyDescent="0.25">
      <c r="A12338" s="11" t="s">
        <v>24277</v>
      </c>
      <c r="B12338" s="11" t="s">
        <v>24278</v>
      </c>
      <c r="C12338" s="11" t="s">
        <v>17</v>
      </c>
      <c r="D12338" s="11" t="s">
        <v>18</v>
      </c>
      <c r="E12338" s="12" t="s">
        <v>132</v>
      </c>
      <c r="F12338" s="12" t="s">
        <v>133</v>
      </c>
      <c r="G12338" s="12" t="s">
        <v>21</v>
      </c>
      <c r="H12338" s="11" t="s">
        <v>63</v>
      </c>
      <c r="I12338" s="13" t="s">
        <v>24279</v>
      </c>
      <c r="J12338" s="14" t="str">
        <f>HYPERLINK("https://www.boe.es/gazeta/dias/1839/08/02/pdfs/GMD-1839-1722.pdf#page=4","Abrir facsímil")</f>
        <v>Abrir facsímil</v>
      </c>
      <c r="K12338" s="12" t="s">
        <v>65</v>
      </c>
    </row>
    <row r="12339" spans="1:11" ht="40.049999999999997" customHeight="1" x14ac:dyDescent="0.25">
      <c r="A12339" s="11" t="s">
        <v>24280</v>
      </c>
      <c r="B12339" s="11" t="s">
        <v>24280</v>
      </c>
      <c r="C12339" s="11" t="s">
        <v>17</v>
      </c>
      <c r="D12339" s="11" t="s">
        <v>18</v>
      </c>
      <c r="E12339" s="12" t="s">
        <v>984</v>
      </c>
      <c r="F12339" s="12" t="s">
        <v>985</v>
      </c>
      <c r="G12339" s="12" t="s">
        <v>40</v>
      </c>
      <c r="H12339" s="11" t="s">
        <v>63</v>
      </c>
      <c r="I12339" s="13" t="s">
        <v>24281</v>
      </c>
      <c r="J12339" s="14" t="str">
        <f>HYPERLINK("https://www.boe.es/gazeta/dias/1839/04/10/pdfs/GMD-1839-1607.pdf#page=2","Abrir facsímil")</f>
        <v>Abrir facsímil</v>
      </c>
      <c r="K12339" s="12" t="s">
        <v>65</v>
      </c>
    </row>
    <row r="12340" spans="1:11" ht="40.049999999999997" customHeight="1" x14ac:dyDescent="0.25">
      <c r="A12340" s="11" t="s">
        <v>24282</v>
      </c>
      <c r="B12340" s="11" t="s">
        <v>24282</v>
      </c>
      <c r="C12340" s="11" t="s">
        <v>59</v>
      </c>
      <c r="D12340" s="11" t="s">
        <v>60</v>
      </c>
      <c r="E12340" s="12" t="s">
        <v>775</v>
      </c>
      <c r="F12340" s="12" t="s">
        <v>776</v>
      </c>
      <c r="G12340" s="12" t="s">
        <v>40</v>
      </c>
      <c r="H12340" s="11" t="s">
        <v>63</v>
      </c>
      <c r="I12340" s="13" t="s">
        <v>24283</v>
      </c>
      <c r="J12340" s="14" t="str">
        <f>HYPERLINK("https://www.boe.es/gazeta/dias/1839/02/25/pdfs/GMD-1839-1563.pdf#page=2","Abrir facsímil")</f>
        <v>Abrir facsímil</v>
      </c>
      <c r="K12340" s="12" t="s">
        <v>65</v>
      </c>
    </row>
    <row r="12341" spans="1:11" ht="40.049999999999997" customHeight="1" x14ac:dyDescent="0.25">
      <c r="A12341" s="11" t="s">
        <v>24284</v>
      </c>
      <c r="B12341" s="11" t="s">
        <v>24284</v>
      </c>
      <c r="C12341" s="11" t="s">
        <v>101</v>
      </c>
      <c r="D12341" s="11" t="s">
        <v>43</v>
      </c>
      <c r="E12341" s="12" t="s">
        <v>160</v>
      </c>
      <c r="F12341" s="12" t="s">
        <v>161</v>
      </c>
      <c r="G12341" s="12" t="s">
        <v>40</v>
      </c>
      <c r="H12341" s="11" t="s">
        <v>63</v>
      </c>
      <c r="I12341" s="13" t="s">
        <v>24285</v>
      </c>
      <c r="J12341" s="14" t="str">
        <f>HYPERLINK("https://www.boe.es/gazeta/dias/1839/01/10/pdfs/GMD-1839-1517.pdf#page=2","Abrir facsímil")</f>
        <v>Abrir facsímil</v>
      </c>
      <c r="K12341" s="12" t="s">
        <v>65</v>
      </c>
    </row>
    <row r="12342" spans="1:11" ht="40.049999999999997" customHeight="1" x14ac:dyDescent="0.25">
      <c r="A12342" s="11" t="s">
        <v>24286</v>
      </c>
      <c r="B12342" s="11" t="s">
        <v>24286</v>
      </c>
      <c r="C12342" s="11" t="s">
        <v>80</v>
      </c>
      <c r="D12342" s="11" t="s">
        <v>18</v>
      </c>
      <c r="E12342" s="12" t="s">
        <v>929</v>
      </c>
      <c r="F12342" s="12" t="s">
        <v>930</v>
      </c>
      <c r="G12342" s="12" t="s">
        <v>46</v>
      </c>
      <c r="H12342" s="11" t="s">
        <v>22</v>
      </c>
      <c r="I12342" s="13" t="s">
        <v>24287</v>
      </c>
      <c r="J12342" s="14" t="str">
        <f>HYPERLINK("https://www.boe.es/gazeta/dias/1839/01/31/pdfs/GMD-1839-1538.pdf#page=3","Abrir facsímil")</f>
        <v>Abrir facsímil</v>
      </c>
      <c r="K12342" s="12" t="s">
        <v>24</v>
      </c>
    </row>
    <row r="12343" spans="1:11" ht="40.049999999999997" customHeight="1" x14ac:dyDescent="0.25">
      <c r="A12343" s="11" t="s">
        <v>24288</v>
      </c>
      <c r="B12343" s="11" t="s">
        <v>24289</v>
      </c>
      <c r="C12343" s="11" t="s">
        <v>101</v>
      </c>
      <c r="D12343" s="11" t="s">
        <v>102</v>
      </c>
      <c r="E12343" s="12" t="s">
        <v>5806</v>
      </c>
      <c r="F12343" s="12" t="s">
        <v>5807</v>
      </c>
      <c r="G12343" s="12" t="s">
        <v>29</v>
      </c>
      <c r="H12343" s="11" t="s">
        <v>63</v>
      </c>
      <c r="I12343" s="13" t="s">
        <v>24290</v>
      </c>
      <c r="J12343" s="14" t="str">
        <f>HYPERLINK("https://www.boe.es/gazeta/dias/1839/02/16/pdfs/GMD-1839-1554.pdf#page=1","Abrir facsímil")</f>
        <v>Abrir facsímil</v>
      </c>
      <c r="K12343" s="12" t="s">
        <v>65</v>
      </c>
    </row>
    <row r="12344" spans="1:11" ht="40.049999999999997" customHeight="1" x14ac:dyDescent="0.25">
      <c r="A12344" s="11" t="s">
        <v>24291</v>
      </c>
      <c r="B12344" s="11" t="s">
        <v>24291</v>
      </c>
      <c r="C12344" s="11" t="s">
        <v>80</v>
      </c>
      <c r="D12344" s="11" t="s">
        <v>173</v>
      </c>
      <c r="E12344" s="12" t="s">
        <v>1929</v>
      </c>
      <c r="F12344" s="12" t="s">
        <v>1930</v>
      </c>
      <c r="G12344" s="12" t="s">
        <v>40</v>
      </c>
      <c r="H12344" s="11" t="s">
        <v>22</v>
      </c>
      <c r="I12344" s="13" t="s">
        <v>24292</v>
      </c>
      <c r="J12344" s="14" t="str">
        <f>HYPERLINK("https://www.boe.es/gazeta/dias/1839/02/01/pdfs/GMD-1839-1539.pdf#page=2","Abrir facsímil")</f>
        <v>Abrir facsímil</v>
      </c>
      <c r="K12344" s="12" t="s">
        <v>24</v>
      </c>
    </row>
    <row r="12345" spans="1:11" ht="40.049999999999997" customHeight="1" x14ac:dyDescent="0.25">
      <c r="A12345" s="11" t="s">
        <v>24291</v>
      </c>
      <c r="B12345" s="11" t="s">
        <v>24291</v>
      </c>
      <c r="C12345" s="11" t="s">
        <v>17</v>
      </c>
      <c r="D12345" s="11" t="s">
        <v>18</v>
      </c>
      <c r="E12345" s="12" t="s">
        <v>1929</v>
      </c>
      <c r="F12345" s="12" t="s">
        <v>1930</v>
      </c>
      <c r="G12345" s="12" t="s">
        <v>46</v>
      </c>
      <c r="H12345" s="11" t="s">
        <v>22</v>
      </c>
      <c r="I12345" s="13" t="s">
        <v>24293</v>
      </c>
      <c r="J12345" s="14" t="str">
        <f>HYPERLINK("https://www.boe.es/gazeta/dias/1839/02/01/pdfs/GMD-1839-1539.pdf#page=3","Abrir facsímil")</f>
        <v>Abrir facsímil</v>
      </c>
      <c r="K12345" s="12" t="s">
        <v>24</v>
      </c>
    </row>
    <row r="12346" spans="1:11" ht="40.049999999999997" customHeight="1" x14ac:dyDescent="0.25">
      <c r="A12346" s="11" t="s">
        <v>24294</v>
      </c>
      <c r="B12346" s="11" t="s">
        <v>24295</v>
      </c>
      <c r="C12346" s="11" t="s">
        <v>17</v>
      </c>
      <c r="D12346" s="11" t="s">
        <v>18</v>
      </c>
      <c r="E12346" s="12" t="s">
        <v>756</v>
      </c>
      <c r="F12346" s="12" t="s">
        <v>757</v>
      </c>
      <c r="G12346" s="12" t="s">
        <v>21</v>
      </c>
      <c r="H12346" s="11" t="s">
        <v>63</v>
      </c>
      <c r="I12346" s="13" t="s">
        <v>24296</v>
      </c>
      <c r="J12346" s="14" t="str">
        <f>HYPERLINK("https://www.boe.es/gazeta/dias/1839/12/17/pdfs/GMD-1839-1864.pdf#page=4","Abrir facsímil")</f>
        <v>Abrir facsímil</v>
      </c>
      <c r="K12346" s="12" t="s">
        <v>65</v>
      </c>
    </row>
    <row r="12347" spans="1:11" ht="40.049999999999997" customHeight="1" x14ac:dyDescent="0.25">
      <c r="A12347" s="11" t="s">
        <v>24297</v>
      </c>
      <c r="B12347" s="11" t="s">
        <v>24298</v>
      </c>
      <c r="C12347" s="11" t="s">
        <v>17</v>
      </c>
      <c r="D12347" s="11" t="s">
        <v>18</v>
      </c>
      <c r="E12347" s="12" t="s">
        <v>756</v>
      </c>
      <c r="F12347" s="12" t="s">
        <v>757</v>
      </c>
      <c r="G12347" s="12" t="s">
        <v>21</v>
      </c>
      <c r="H12347" s="11" t="s">
        <v>63</v>
      </c>
      <c r="I12347" s="13" t="s">
        <v>24299</v>
      </c>
      <c r="J12347" s="14" t="str">
        <f>HYPERLINK("https://www.boe.es/gazeta/dias/1839/12/17/pdfs/GMD-1839-1864.pdf#page=4","Abrir facsímil")</f>
        <v>Abrir facsímil</v>
      </c>
      <c r="K12347" s="12" t="s">
        <v>65</v>
      </c>
    </row>
    <row r="12348" spans="1:11" ht="40.049999999999997" customHeight="1" x14ac:dyDescent="0.25">
      <c r="A12348" s="11" t="s">
        <v>24300</v>
      </c>
      <c r="B12348" s="11" t="s">
        <v>24301</v>
      </c>
      <c r="C12348" s="11" t="s">
        <v>101</v>
      </c>
      <c r="D12348" s="11" t="s">
        <v>102</v>
      </c>
      <c r="E12348" s="12" t="s">
        <v>486</v>
      </c>
      <c r="F12348" s="12" t="s">
        <v>487</v>
      </c>
      <c r="G12348" s="12" t="s">
        <v>29</v>
      </c>
      <c r="H12348" s="11" t="s">
        <v>63</v>
      </c>
      <c r="I12348" s="13" t="s">
        <v>24302</v>
      </c>
      <c r="J12348" s="14" t="str">
        <f>HYPERLINK("https://www.boe.es/gazeta/dias/1839/04/19/pdfs/GMD-1839-1616.pdf#page=1","Abrir facsímil")</f>
        <v>Abrir facsímil</v>
      </c>
      <c r="K12348" s="12" t="s">
        <v>65</v>
      </c>
    </row>
    <row r="12349" spans="1:11" ht="40.049999999999997" customHeight="1" x14ac:dyDescent="0.25">
      <c r="A12349" s="11" t="s">
        <v>24303</v>
      </c>
      <c r="B12349" s="11" t="s">
        <v>24304</v>
      </c>
      <c r="C12349" s="11" t="s">
        <v>17</v>
      </c>
      <c r="D12349" s="11" t="s">
        <v>18</v>
      </c>
      <c r="E12349" s="12" t="s">
        <v>1685</v>
      </c>
      <c r="F12349" s="12" t="s">
        <v>1686</v>
      </c>
      <c r="G12349" s="12" t="s">
        <v>46</v>
      </c>
      <c r="H12349" s="11" t="s">
        <v>63</v>
      </c>
      <c r="I12349" s="13" t="s">
        <v>24305</v>
      </c>
      <c r="J12349" s="14" t="str">
        <f>HYPERLINK("https://www.boe.es/gazeta/dias/1839/04/27/pdfs/GMD-1839-1624.pdf#page=3","Abrir facsímil")</f>
        <v>Abrir facsímil</v>
      </c>
      <c r="K12349" s="12" t="s">
        <v>65</v>
      </c>
    </row>
    <row r="12350" spans="1:11" ht="40.049999999999997" customHeight="1" x14ac:dyDescent="0.25">
      <c r="A12350" s="11" t="s">
        <v>24306</v>
      </c>
      <c r="B12350" s="11" t="s">
        <v>24307</v>
      </c>
      <c r="C12350" s="11" t="s">
        <v>17</v>
      </c>
      <c r="D12350" s="11" t="s">
        <v>18</v>
      </c>
      <c r="E12350" s="12" t="s">
        <v>2491</v>
      </c>
      <c r="F12350" s="12" t="s">
        <v>2492</v>
      </c>
      <c r="G12350" s="12" t="s">
        <v>29</v>
      </c>
      <c r="H12350" s="11" t="s">
        <v>63</v>
      </c>
      <c r="I12350" s="13" t="s">
        <v>24308</v>
      </c>
      <c r="J12350" s="14" t="str">
        <f>HYPERLINK("https://www.boe.es/gazeta/dias/1839/05/01/pdfs/GMD-1839-1628.pdf#page=1","Abrir facsímil")</f>
        <v>Abrir facsímil</v>
      </c>
      <c r="K12350" s="12" t="s">
        <v>65</v>
      </c>
    </row>
    <row r="12351" spans="1:11" ht="40.049999999999997" customHeight="1" x14ac:dyDescent="0.25">
      <c r="A12351" s="11" t="s">
        <v>24309</v>
      </c>
      <c r="B12351" s="11" t="s">
        <v>24309</v>
      </c>
      <c r="C12351" s="11" t="s">
        <v>59</v>
      </c>
      <c r="D12351" s="11" t="s">
        <v>60</v>
      </c>
      <c r="E12351" s="12" t="s">
        <v>4451</v>
      </c>
      <c r="F12351" s="12" t="s">
        <v>4452</v>
      </c>
      <c r="G12351" s="12" t="s">
        <v>46</v>
      </c>
      <c r="H12351" s="11" t="s">
        <v>63</v>
      </c>
      <c r="I12351" s="13" t="s">
        <v>24310</v>
      </c>
      <c r="J12351" s="14" t="str">
        <f>HYPERLINK("https://www.boe.es/gazeta/dias/1839/12/02/pdfs/GMD-1839-1849.pdf#page=3","Abrir facsímil")</f>
        <v>Abrir facsímil</v>
      </c>
      <c r="K12351" s="12" t="s">
        <v>65</v>
      </c>
    </row>
    <row r="12352" spans="1:11" ht="40.049999999999997" customHeight="1" x14ac:dyDescent="0.25">
      <c r="A12352" s="11" t="s">
        <v>24309</v>
      </c>
      <c r="B12352" s="11" t="s">
        <v>24309</v>
      </c>
      <c r="C12352" s="11" t="s">
        <v>59</v>
      </c>
      <c r="D12352" s="11" t="s">
        <v>60</v>
      </c>
      <c r="E12352" s="12" t="s">
        <v>934</v>
      </c>
      <c r="F12352" s="12" t="s">
        <v>935</v>
      </c>
      <c r="G12352" s="12" t="s">
        <v>40</v>
      </c>
      <c r="H12352" s="11" t="s">
        <v>63</v>
      </c>
      <c r="I12352" s="13" t="s">
        <v>24311</v>
      </c>
      <c r="J12352" s="14" t="str">
        <f>HYPERLINK("https://www.boe.es/gazeta/dias/1839/11/07/pdfs/GMD-1839-1824.pdf#page=2","Abrir facsímil")</f>
        <v>Abrir facsímil</v>
      </c>
      <c r="K12352" s="12" t="s">
        <v>65</v>
      </c>
    </row>
    <row r="12353" spans="1:11" ht="40.049999999999997" customHeight="1" x14ac:dyDescent="0.25">
      <c r="A12353" s="11" t="s">
        <v>24309</v>
      </c>
      <c r="B12353" s="11" t="s">
        <v>24309</v>
      </c>
      <c r="C12353" s="11" t="s">
        <v>17</v>
      </c>
      <c r="D12353" s="11" t="s">
        <v>18</v>
      </c>
      <c r="E12353" s="12" t="s">
        <v>934</v>
      </c>
      <c r="F12353" s="12" t="s">
        <v>935</v>
      </c>
      <c r="G12353" s="12" t="s">
        <v>46</v>
      </c>
      <c r="H12353" s="11" t="s">
        <v>63</v>
      </c>
      <c r="I12353" s="13" t="s">
        <v>24312</v>
      </c>
      <c r="J12353" s="14" t="str">
        <f>HYPERLINK("https://www.boe.es/gazeta/dias/1839/11/07/pdfs/GMD-1839-1824.pdf#page=3","Abrir facsímil")</f>
        <v>Abrir facsímil</v>
      </c>
      <c r="K12353" s="12" t="s">
        <v>65</v>
      </c>
    </row>
    <row r="12354" spans="1:11" ht="40.049999999999997" customHeight="1" x14ac:dyDescent="0.25">
      <c r="A12354" s="11" t="s">
        <v>24309</v>
      </c>
      <c r="B12354" s="11" t="s">
        <v>24309</v>
      </c>
      <c r="C12354" s="11" t="s">
        <v>59</v>
      </c>
      <c r="D12354" s="11" t="s">
        <v>60</v>
      </c>
      <c r="E12354" s="12" t="s">
        <v>496</v>
      </c>
      <c r="F12354" s="12" t="s">
        <v>497</v>
      </c>
      <c r="G12354" s="12" t="s">
        <v>46</v>
      </c>
      <c r="H12354" s="11" t="s">
        <v>63</v>
      </c>
      <c r="I12354" s="13" t="s">
        <v>24313</v>
      </c>
      <c r="J12354" s="14" t="str">
        <f>HYPERLINK("https://www.boe.es/gazeta/dias/1839/11/23/pdfs/GMD-1839-1840.pdf#page=3","Abrir facsímil")</f>
        <v>Abrir facsímil</v>
      </c>
      <c r="K12354" s="12" t="s">
        <v>65</v>
      </c>
    </row>
    <row r="12355" spans="1:11" ht="40.049999999999997" customHeight="1" x14ac:dyDescent="0.25">
      <c r="A12355" s="11" t="s">
        <v>24314</v>
      </c>
      <c r="B12355" s="11" t="s">
        <v>24314</v>
      </c>
      <c r="C12355" s="11" t="s">
        <v>17</v>
      </c>
      <c r="D12355" s="11" t="s">
        <v>18</v>
      </c>
      <c r="E12355" s="12" t="s">
        <v>1528</v>
      </c>
      <c r="F12355" s="12" t="s">
        <v>1529</v>
      </c>
      <c r="G12355" s="12" t="s">
        <v>40</v>
      </c>
      <c r="H12355" s="11" t="s">
        <v>63</v>
      </c>
      <c r="I12355" s="13" t="s">
        <v>24315</v>
      </c>
      <c r="J12355" s="14" t="str">
        <f>HYPERLINK("https://www.boe.es/gazeta/dias/1839/12/15/pdfs/GMD-1839-1862.pdf#page=2","Abrir facsímil")</f>
        <v>Abrir facsímil</v>
      </c>
      <c r="K12355" s="12" t="s">
        <v>65</v>
      </c>
    </row>
    <row r="12356" spans="1:11" ht="40.049999999999997" customHeight="1" x14ac:dyDescent="0.25">
      <c r="A12356" s="11" t="s">
        <v>24314</v>
      </c>
      <c r="B12356" s="11" t="s">
        <v>24314</v>
      </c>
      <c r="C12356" s="11" t="s">
        <v>80</v>
      </c>
      <c r="D12356" s="11" t="s">
        <v>18</v>
      </c>
      <c r="E12356" s="12" t="s">
        <v>349</v>
      </c>
      <c r="F12356" s="12" t="s">
        <v>350</v>
      </c>
      <c r="G12356" s="12" t="s">
        <v>40</v>
      </c>
      <c r="H12356" s="11" t="s">
        <v>63</v>
      </c>
      <c r="I12356" s="13" t="s">
        <v>24316</v>
      </c>
      <c r="J12356" s="14" t="str">
        <f>HYPERLINK("https://www.boe.es/gazeta/dias/1839/12/25/pdfs/GMD-1839-1872.pdf#page=2","Abrir facsímil")</f>
        <v>Abrir facsímil</v>
      </c>
      <c r="K12356" s="12" t="s">
        <v>65</v>
      </c>
    </row>
    <row r="12357" spans="1:11" ht="40.049999999999997" customHeight="1" x14ac:dyDescent="0.25">
      <c r="A12357" s="11" t="s">
        <v>24314</v>
      </c>
      <c r="B12357" s="11" t="s">
        <v>24314</v>
      </c>
      <c r="C12357" s="11" t="s">
        <v>101</v>
      </c>
      <c r="D12357" s="11" t="s">
        <v>102</v>
      </c>
      <c r="E12357" s="12" t="s">
        <v>1520</v>
      </c>
      <c r="F12357" s="12" t="s">
        <v>1521</v>
      </c>
      <c r="G12357" s="12" t="s">
        <v>29</v>
      </c>
      <c r="H12357" s="11" t="s">
        <v>63</v>
      </c>
      <c r="I12357" s="13" t="s">
        <v>24317</v>
      </c>
      <c r="J12357" s="14" t="str">
        <f>HYPERLINK("https://www.boe.es/gazeta/dias/1839/12/27/pdfs/GMD-1839-1874.pdf#page=1","Abrir facsímil")</f>
        <v>Abrir facsímil</v>
      </c>
      <c r="K12357" s="12" t="s">
        <v>65</v>
      </c>
    </row>
    <row r="12358" spans="1:11" ht="40.049999999999997" customHeight="1" x14ac:dyDescent="0.25">
      <c r="A12358" s="11" t="s">
        <v>24318</v>
      </c>
      <c r="B12358" s="11" t="s">
        <v>24318</v>
      </c>
      <c r="C12358" s="11" t="s">
        <v>137</v>
      </c>
      <c r="D12358" s="11" t="s">
        <v>18</v>
      </c>
      <c r="E12358" s="12" t="s">
        <v>49</v>
      </c>
      <c r="F12358" s="12" t="s">
        <v>50</v>
      </c>
      <c r="G12358" s="12" t="s">
        <v>46</v>
      </c>
      <c r="H12358" s="11" t="s">
        <v>63</v>
      </c>
      <c r="I12358" s="13" t="s">
        <v>24319</v>
      </c>
      <c r="J12358" s="14" t="str">
        <f>HYPERLINK("https://www.boe.es/gazeta/dias/1839/01/05/pdfs/GMD-1839-1512.pdf#page=3","Abrir facsímil")</f>
        <v>Abrir facsímil</v>
      </c>
      <c r="K12358" s="12" t="s">
        <v>65</v>
      </c>
    </row>
    <row r="12359" spans="1:11" ht="40.049999999999997" customHeight="1" x14ac:dyDescent="0.25">
      <c r="A12359" s="11" t="s">
        <v>24318</v>
      </c>
      <c r="B12359" s="11" t="s">
        <v>24318</v>
      </c>
      <c r="C12359" s="11" t="s">
        <v>59</v>
      </c>
      <c r="D12359" s="11" t="s">
        <v>60</v>
      </c>
      <c r="E12359" s="12" t="s">
        <v>433</v>
      </c>
      <c r="F12359" s="12" t="s">
        <v>434</v>
      </c>
      <c r="G12359" s="12" t="s">
        <v>21</v>
      </c>
      <c r="H12359" s="11" t="s">
        <v>63</v>
      </c>
      <c r="I12359" s="13" t="s">
        <v>24320</v>
      </c>
      <c r="J12359" s="14" t="str">
        <f>HYPERLINK("https://www.boe.es/gazeta/dias/1839/01/20/pdfs/GMD-1839-1527.pdf#page=4","Abrir facsímil")</f>
        <v>Abrir facsímil</v>
      </c>
      <c r="K12359" s="12" t="s">
        <v>65</v>
      </c>
    </row>
    <row r="12360" spans="1:11" ht="40.049999999999997" customHeight="1" x14ac:dyDescent="0.25">
      <c r="A12360" s="11" t="s">
        <v>24321</v>
      </c>
      <c r="B12360" s="11" t="s">
        <v>24321</v>
      </c>
      <c r="C12360" s="11" t="s">
        <v>17</v>
      </c>
      <c r="D12360" s="11" t="s">
        <v>18</v>
      </c>
      <c r="E12360" s="12" t="s">
        <v>438</v>
      </c>
      <c r="F12360" s="12" t="s">
        <v>439</v>
      </c>
      <c r="G12360" s="12" t="s">
        <v>29</v>
      </c>
      <c r="H12360" s="11" t="s">
        <v>63</v>
      </c>
      <c r="I12360" s="13" t="s">
        <v>24322</v>
      </c>
      <c r="J12360" s="14" t="str">
        <f>HYPERLINK("https://www.boe.es/gazeta/dias/1839/07/17/pdfs/GMD-1839-1705.pdf#page=1","Abrir facsímil")</f>
        <v>Abrir facsímil</v>
      </c>
      <c r="K12360" s="12" t="s">
        <v>65</v>
      </c>
    </row>
    <row r="12361" spans="1:11" ht="40.049999999999997" customHeight="1" x14ac:dyDescent="0.25">
      <c r="A12361" s="11" t="s">
        <v>24323</v>
      </c>
      <c r="B12361" s="11" t="s">
        <v>24323</v>
      </c>
      <c r="C12361" s="11" t="s">
        <v>17</v>
      </c>
      <c r="D12361" s="11" t="s">
        <v>18</v>
      </c>
      <c r="E12361" s="12" t="s">
        <v>2443</v>
      </c>
      <c r="F12361" s="12" t="s">
        <v>2444</v>
      </c>
      <c r="G12361" s="12" t="s">
        <v>40</v>
      </c>
      <c r="H12361" s="11" t="s">
        <v>63</v>
      </c>
      <c r="I12361" s="13" t="s">
        <v>24324</v>
      </c>
      <c r="J12361" s="14" t="str">
        <f>HYPERLINK("https://www.boe.es/gazeta/dias/1839/11/02/pdfs/GMD-1839-1819.pdf#page=2","Abrir facsímil")</f>
        <v>Abrir facsímil</v>
      </c>
      <c r="K12361" s="12" t="s">
        <v>65</v>
      </c>
    </row>
    <row r="12362" spans="1:11" ht="40.049999999999997" customHeight="1" x14ac:dyDescent="0.25">
      <c r="A12362" s="11" t="s">
        <v>24323</v>
      </c>
      <c r="B12362" s="11" t="s">
        <v>24323</v>
      </c>
      <c r="C12362" s="11" t="s">
        <v>59</v>
      </c>
      <c r="D12362" s="11" t="s">
        <v>60</v>
      </c>
      <c r="E12362" s="12" t="s">
        <v>527</v>
      </c>
      <c r="F12362" s="12" t="s">
        <v>528</v>
      </c>
      <c r="G12362" s="12" t="s">
        <v>29</v>
      </c>
      <c r="H12362" s="11" t="s">
        <v>63</v>
      </c>
      <c r="I12362" s="13" t="s">
        <v>24325</v>
      </c>
      <c r="J12362" s="14" t="str">
        <f>HYPERLINK("https://www.boe.es/gazeta/dias/1839/07/10/pdfs/GMD-1839-1698.pdf#page=1","Abrir facsímil")</f>
        <v>Abrir facsímil</v>
      </c>
      <c r="K12362" s="12" t="s">
        <v>65</v>
      </c>
    </row>
    <row r="12363" spans="1:11" ht="40.049999999999997" customHeight="1" x14ac:dyDescent="0.25">
      <c r="A12363" s="11" t="s">
        <v>24326</v>
      </c>
      <c r="B12363" s="11" t="s">
        <v>24327</v>
      </c>
      <c r="C12363" s="11" t="s">
        <v>101</v>
      </c>
      <c r="D12363" s="11" t="s">
        <v>102</v>
      </c>
      <c r="E12363" s="12" t="s">
        <v>1310</v>
      </c>
      <c r="F12363" s="12" t="s">
        <v>1311</v>
      </c>
      <c r="G12363" s="12" t="s">
        <v>29</v>
      </c>
      <c r="H12363" s="11" t="s">
        <v>63</v>
      </c>
      <c r="I12363" s="13" t="s">
        <v>24328</v>
      </c>
      <c r="J12363" s="14" t="str">
        <f>HYPERLINK("https://www.boe.es/gazeta/dias/1839/04/23/pdfs/GMD-1839-1620.pdf#page=1","Abrir facsímil")</f>
        <v>Abrir facsímil</v>
      </c>
      <c r="K12363" s="12" t="s">
        <v>65</v>
      </c>
    </row>
    <row r="12364" spans="1:11" ht="40.049999999999997" customHeight="1" x14ac:dyDescent="0.25">
      <c r="A12364" s="11" t="s">
        <v>24326</v>
      </c>
      <c r="B12364" s="11" t="s">
        <v>24327</v>
      </c>
      <c r="C12364" s="11" t="s">
        <v>17</v>
      </c>
      <c r="D12364" s="11" t="s">
        <v>18</v>
      </c>
      <c r="E12364" s="12" t="s">
        <v>2658</v>
      </c>
      <c r="F12364" s="12" t="s">
        <v>2659</v>
      </c>
      <c r="G12364" s="12" t="s">
        <v>21</v>
      </c>
      <c r="H12364" s="11" t="s">
        <v>63</v>
      </c>
      <c r="I12364" s="13" t="s">
        <v>24329</v>
      </c>
      <c r="J12364" s="14" t="str">
        <f>HYPERLINK("https://www.boe.es/gazeta/dias/1839/06/27/pdfs/GMD-1839-1685.pdf#page=4","Abrir facsímil")</f>
        <v>Abrir facsímil</v>
      </c>
      <c r="K12364" s="12" t="s">
        <v>65</v>
      </c>
    </row>
    <row r="12365" spans="1:11" ht="40.049999999999997" customHeight="1" x14ac:dyDescent="0.25">
      <c r="A12365" s="11" t="s">
        <v>24330</v>
      </c>
      <c r="B12365" s="11" t="s">
        <v>24331</v>
      </c>
      <c r="C12365" s="11" t="s">
        <v>80</v>
      </c>
      <c r="D12365" s="11" t="s">
        <v>18</v>
      </c>
      <c r="E12365" s="12" t="s">
        <v>462</v>
      </c>
      <c r="F12365" s="12" t="s">
        <v>463</v>
      </c>
      <c r="G12365" s="12" t="s">
        <v>21</v>
      </c>
      <c r="H12365" s="11" t="s">
        <v>22</v>
      </c>
      <c r="I12365" s="13" t="s">
        <v>24332</v>
      </c>
      <c r="J12365" s="14" t="str">
        <f>HYPERLINK("https://www.boe.es/gazeta/dias/1839/06/19/pdfs/GMD-1839-1677.pdf#page=4","Abrir facsímil")</f>
        <v>Abrir facsímil</v>
      </c>
      <c r="K12365" s="12" t="s">
        <v>24</v>
      </c>
    </row>
    <row r="12366" spans="1:11" ht="40.049999999999997" customHeight="1" x14ac:dyDescent="0.25">
      <c r="A12366" s="11" t="s">
        <v>24333</v>
      </c>
      <c r="B12366" s="11" t="s">
        <v>24334</v>
      </c>
      <c r="C12366" s="11" t="s">
        <v>17</v>
      </c>
      <c r="D12366" s="11" t="s">
        <v>18</v>
      </c>
      <c r="E12366" s="12" t="s">
        <v>1414</v>
      </c>
      <c r="F12366" s="12" t="s">
        <v>1415</v>
      </c>
      <c r="G12366" s="12" t="s">
        <v>40</v>
      </c>
      <c r="H12366" s="11" t="s">
        <v>63</v>
      </c>
      <c r="I12366" s="13" t="s">
        <v>24335</v>
      </c>
      <c r="J12366" s="14" t="str">
        <f>HYPERLINK("https://www.boe.es/gazeta/dias/1839/06/12/pdfs/GMD-1839-1670.pdf#page=2","Abrir facsímil")</f>
        <v>Abrir facsímil</v>
      </c>
      <c r="K12366" s="12" t="s">
        <v>65</v>
      </c>
    </row>
    <row r="12367" spans="1:11" ht="40.049999999999997" customHeight="1" x14ac:dyDescent="0.25">
      <c r="A12367" s="11" t="s">
        <v>24336</v>
      </c>
      <c r="B12367" s="11" t="s">
        <v>24337</v>
      </c>
      <c r="C12367" s="11" t="s">
        <v>17</v>
      </c>
      <c r="D12367" s="11" t="s">
        <v>18</v>
      </c>
      <c r="E12367" s="12" t="s">
        <v>892</v>
      </c>
      <c r="F12367" s="12" t="s">
        <v>893</v>
      </c>
      <c r="G12367" s="12" t="s">
        <v>21</v>
      </c>
      <c r="H12367" s="11" t="s">
        <v>63</v>
      </c>
      <c r="I12367" s="13" t="s">
        <v>24338</v>
      </c>
      <c r="J12367" s="14" t="str">
        <f>HYPERLINK("https://www.boe.es/gazeta/dias/1839/12/28/pdfs/GMD-1839-1875.pdf#page=4","Abrir facsímil")</f>
        <v>Abrir facsímil</v>
      </c>
      <c r="K12367" s="12" t="s">
        <v>65</v>
      </c>
    </row>
    <row r="12368" spans="1:11" ht="40.049999999999997" customHeight="1" x14ac:dyDescent="0.25">
      <c r="A12368" s="11" t="s">
        <v>24339</v>
      </c>
      <c r="B12368" s="11" t="s">
        <v>24340</v>
      </c>
      <c r="C12368" s="11" t="s">
        <v>101</v>
      </c>
      <c r="D12368" s="11" t="s">
        <v>43</v>
      </c>
      <c r="E12368" s="12" t="s">
        <v>870</v>
      </c>
      <c r="F12368" s="12" t="s">
        <v>871</v>
      </c>
      <c r="G12368" s="12" t="s">
        <v>40</v>
      </c>
      <c r="H12368" s="11" t="s">
        <v>63</v>
      </c>
      <c r="I12368" s="13" t="s">
        <v>24341</v>
      </c>
      <c r="J12368" s="14" t="str">
        <f>HYPERLINK("https://www.boe.es/gazeta/dias/1839/04/18/pdfs/GMD-1839-1615.pdf#page=2","Abrir facsímil")</f>
        <v>Abrir facsímil</v>
      </c>
      <c r="K12368" s="12" t="s">
        <v>65</v>
      </c>
    </row>
    <row r="12369" spans="1:11" ht="40.049999999999997" customHeight="1" x14ac:dyDescent="0.25">
      <c r="A12369" s="11" t="s">
        <v>24342</v>
      </c>
      <c r="B12369" s="11" t="s">
        <v>24343</v>
      </c>
      <c r="C12369" s="11" t="s">
        <v>101</v>
      </c>
      <c r="D12369" s="11" t="s">
        <v>102</v>
      </c>
      <c r="E12369" s="12" t="s">
        <v>160</v>
      </c>
      <c r="F12369" s="12" t="s">
        <v>161</v>
      </c>
      <c r="G12369" s="12" t="s">
        <v>46</v>
      </c>
      <c r="H12369" s="11" t="s">
        <v>63</v>
      </c>
      <c r="I12369" s="13" t="s">
        <v>24344</v>
      </c>
      <c r="J12369" s="14" t="str">
        <f>HYPERLINK("https://www.boe.es/gazeta/dias/1839/01/10/pdfs/GMD-1839-1517.pdf#page=3","Abrir facsímil")</f>
        <v>Abrir facsímil</v>
      </c>
      <c r="K12369" s="12" t="s">
        <v>65</v>
      </c>
    </row>
    <row r="12370" spans="1:11" ht="40.049999999999997" customHeight="1" x14ac:dyDescent="0.25">
      <c r="A12370" s="11" t="s">
        <v>24345</v>
      </c>
      <c r="B12370" s="11" t="s">
        <v>24346</v>
      </c>
      <c r="C12370" s="11" t="s">
        <v>101</v>
      </c>
      <c r="D12370" s="11" t="s">
        <v>43</v>
      </c>
      <c r="E12370" s="12" t="s">
        <v>19</v>
      </c>
      <c r="F12370" s="12" t="s">
        <v>20</v>
      </c>
      <c r="G12370" s="12" t="s">
        <v>40</v>
      </c>
      <c r="H12370" s="11" t="s">
        <v>63</v>
      </c>
      <c r="I12370" s="13" t="s">
        <v>24347</v>
      </c>
      <c r="J12370" s="14" t="str">
        <f>HYPERLINK("https://www.boe.es/gazeta/dias/1839/01/19/pdfs/GMD-1839-1526.pdf#page=2","Abrir facsímil")</f>
        <v>Abrir facsímil</v>
      </c>
      <c r="K12370" s="12" t="s">
        <v>65</v>
      </c>
    </row>
    <row r="12371" spans="1:11" ht="40.049999999999997" customHeight="1" x14ac:dyDescent="0.25">
      <c r="A12371" s="11" t="s">
        <v>24348</v>
      </c>
      <c r="B12371" s="11" t="s">
        <v>24349</v>
      </c>
      <c r="C12371" s="11" t="s">
        <v>17</v>
      </c>
      <c r="D12371" s="11" t="s">
        <v>18</v>
      </c>
      <c r="E12371" s="12" t="s">
        <v>1703</v>
      </c>
      <c r="F12371" s="12" t="s">
        <v>1704</v>
      </c>
      <c r="G12371" s="12" t="s">
        <v>40</v>
      </c>
      <c r="H12371" s="11" t="s">
        <v>63</v>
      </c>
      <c r="I12371" s="13" t="s">
        <v>24350</v>
      </c>
      <c r="J12371" s="14" t="str">
        <f>HYPERLINK("https://www.boe.es/gazeta/dias/1839/01/21/pdfs/GMD-1839-1528.pdf#page=2","Abrir facsímil")</f>
        <v>Abrir facsímil</v>
      </c>
      <c r="K12371" s="12" t="s">
        <v>65</v>
      </c>
    </row>
    <row r="12372" spans="1:11" ht="40.049999999999997" customHeight="1" x14ac:dyDescent="0.25">
      <c r="A12372" s="11" t="s">
        <v>24351</v>
      </c>
      <c r="B12372" s="11" t="s">
        <v>24352</v>
      </c>
      <c r="C12372" s="11" t="s">
        <v>17</v>
      </c>
      <c r="D12372" s="11" t="s">
        <v>18</v>
      </c>
      <c r="E12372" s="12" t="s">
        <v>163</v>
      </c>
      <c r="F12372" s="12" t="s">
        <v>164</v>
      </c>
      <c r="G12372" s="12" t="s">
        <v>46</v>
      </c>
      <c r="H12372" s="11" t="s">
        <v>63</v>
      </c>
      <c r="I12372" s="13" t="s">
        <v>24353</v>
      </c>
      <c r="J12372" s="14" t="str">
        <f>HYPERLINK("https://www.boe.es/gazeta/dias/1839/01/13/pdfs/GMD-1839-1520.pdf#page=3","Abrir facsímil")</f>
        <v>Abrir facsímil</v>
      </c>
      <c r="K12372" s="12" t="s">
        <v>65</v>
      </c>
    </row>
    <row r="12373" spans="1:11" ht="40.049999999999997" customHeight="1" x14ac:dyDescent="0.25">
      <c r="A12373" s="11" t="s">
        <v>24354</v>
      </c>
      <c r="B12373" s="11" t="s">
        <v>24355</v>
      </c>
      <c r="C12373" s="11" t="s">
        <v>80</v>
      </c>
      <c r="D12373" s="11" t="s">
        <v>18</v>
      </c>
      <c r="E12373" s="12" t="s">
        <v>809</v>
      </c>
      <c r="F12373" s="12" t="s">
        <v>810</v>
      </c>
      <c r="G12373" s="12" t="s">
        <v>21</v>
      </c>
      <c r="H12373" s="11" t="s">
        <v>63</v>
      </c>
      <c r="I12373" s="13" t="s">
        <v>24356</v>
      </c>
      <c r="J12373" s="14" t="str">
        <f>HYPERLINK("https://www.boe.es/gazeta/dias/1839/02/11/pdfs/GMD-1839-1549.pdf#page=4","Abrir facsímil")</f>
        <v>Abrir facsímil</v>
      </c>
      <c r="K12373" s="12" t="s">
        <v>65</v>
      </c>
    </row>
    <row r="12374" spans="1:11" ht="40.049999999999997" customHeight="1" x14ac:dyDescent="0.25">
      <c r="A12374" s="11" t="s">
        <v>24357</v>
      </c>
      <c r="B12374" s="11" t="s">
        <v>24358</v>
      </c>
      <c r="C12374" s="11" t="s">
        <v>17</v>
      </c>
      <c r="D12374" s="11" t="s">
        <v>18</v>
      </c>
      <c r="E12374" s="12" t="s">
        <v>2222</v>
      </c>
      <c r="F12374" s="12" t="s">
        <v>2223</v>
      </c>
      <c r="G12374" s="12" t="s">
        <v>21</v>
      </c>
      <c r="H12374" s="11" t="s">
        <v>63</v>
      </c>
      <c r="I12374" s="13" t="s">
        <v>24359</v>
      </c>
      <c r="J12374" s="14" t="str">
        <f>HYPERLINK("https://www.boe.es/gazeta/dias/1839/09/19/pdfs/GMD-1839-1773.pdf#page=4","Abrir facsímil")</f>
        <v>Abrir facsímil</v>
      </c>
      <c r="K12374" s="12" t="s">
        <v>65</v>
      </c>
    </row>
    <row r="12375" spans="1:11" ht="40.049999999999997" customHeight="1" x14ac:dyDescent="0.25">
      <c r="A12375" s="11" t="s">
        <v>24360</v>
      </c>
      <c r="B12375" s="11" t="s">
        <v>24361</v>
      </c>
      <c r="C12375" s="11" t="s">
        <v>17</v>
      </c>
      <c r="D12375" s="11" t="s">
        <v>18</v>
      </c>
      <c r="E12375" s="12" t="s">
        <v>621</v>
      </c>
      <c r="F12375" s="12" t="s">
        <v>622</v>
      </c>
      <c r="G12375" s="12" t="s">
        <v>29</v>
      </c>
      <c r="H12375" s="11" t="s">
        <v>63</v>
      </c>
      <c r="I12375" s="13" t="s">
        <v>24362</v>
      </c>
      <c r="J12375" s="14" t="str">
        <f>HYPERLINK("https://www.boe.es/gazeta/dias/1839/04/14/pdfs/GMD-1839-1611.pdf#page=1","Abrir facsímil")</f>
        <v>Abrir facsímil</v>
      </c>
      <c r="K12375" s="12" t="s">
        <v>65</v>
      </c>
    </row>
    <row r="12376" spans="1:11" ht="40.049999999999997" customHeight="1" x14ac:dyDescent="0.25">
      <c r="A12376" s="11" t="s">
        <v>24363</v>
      </c>
      <c r="B12376" s="11" t="s">
        <v>24364</v>
      </c>
      <c r="C12376" s="11" t="s">
        <v>17</v>
      </c>
      <c r="D12376" s="11" t="s">
        <v>18</v>
      </c>
      <c r="E12376" s="12" t="s">
        <v>2270</v>
      </c>
      <c r="F12376" s="12" t="s">
        <v>2271</v>
      </c>
      <c r="G12376" s="12" t="s">
        <v>40</v>
      </c>
      <c r="H12376" s="11" t="s">
        <v>63</v>
      </c>
      <c r="I12376" s="13" t="s">
        <v>24365</v>
      </c>
      <c r="J12376" s="14" t="str">
        <f>HYPERLINK("https://www.boe.es/gazeta/dias/1839/06/13/pdfs/GMD-1839-1671.pdf#page=2","Abrir facsímil")</f>
        <v>Abrir facsímil</v>
      </c>
      <c r="K12376" s="12" t="s">
        <v>65</v>
      </c>
    </row>
    <row r="12377" spans="1:11" ht="40.049999999999997" customHeight="1" x14ac:dyDescent="0.25">
      <c r="A12377" s="11" t="s">
        <v>24366</v>
      </c>
      <c r="B12377" s="11" t="s">
        <v>24367</v>
      </c>
      <c r="C12377" s="11" t="s">
        <v>101</v>
      </c>
      <c r="D12377" s="11" t="s">
        <v>102</v>
      </c>
      <c r="E12377" s="12" t="s">
        <v>1179</v>
      </c>
      <c r="F12377" s="12" t="s">
        <v>1180</v>
      </c>
      <c r="G12377" s="12" t="s">
        <v>305</v>
      </c>
      <c r="H12377" s="11" t="s">
        <v>63</v>
      </c>
      <c r="I12377" s="13" t="s">
        <v>24368</v>
      </c>
      <c r="J12377" s="14" t="str">
        <f>HYPERLINK("https://www.boe.es/gazeta/dias/1839/10/18/pdfs/GMD-1839-1804.pdf#page=6","Abrir facsímil")</f>
        <v>Abrir facsímil</v>
      </c>
      <c r="K12377" s="12" t="s">
        <v>65</v>
      </c>
    </row>
    <row r="12378" spans="1:11" ht="40.049999999999997" customHeight="1" x14ac:dyDescent="0.25">
      <c r="A12378" s="11" t="s">
        <v>24369</v>
      </c>
      <c r="B12378" s="11" t="s">
        <v>24370</v>
      </c>
      <c r="C12378" s="11" t="s">
        <v>80</v>
      </c>
      <c r="D12378" s="11" t="s">
        <v>18</v>
      </c>
      <c r="E12378" s="12" t="s">
        <v>690</v>
      </c>
      <c r="F12378" s="12" t="s">
        <v>691</v>
      </c>
      <c r="G12378" s="12" t="s">
        <v>21</v>
      </c>
      <c r="H12378" s="11" t="s">
        <v>63</v>
      </c>
      <c r="I12378" s="13" t="s">
        <v>24371</v>
      </c>
      <c r="J12378" s="14" t="str">
        <f>HYPERLINK("https://www.boe.es/gazeta/dias/1839/12/08/pdfs/GMD-1839-1855.pdf#page=4","Abrir facsímil")</f>
        <v>Abrir facsímil</v>
      </c>
      <c r="K12378" s="12" t="s">
        <v>65</v>
      </c>
    </row>
    <row r="12379" spans="1:11" ht="40.049999999999997" customHeight="1" x14ac:dyDescent="0.25">
      <c r="A12379" s="11" t="s">
        <v>24372</v>
      </c>
      <c r="B12379" s="11" t="s">
        <v>24372</v>
      </c>
      <c r="C12379" s="11" t="s">
        <v>137</v>
      </c>
      <c r="D12379" s="11" t="s">
        <v>18</v>
      </c>
      <c r="E12379" s="12" t="s">
        <v>154</v>
      </c>
      <c r="F12379" s="12" t="s">
        <v>155</v>
      </c>
      <c r="G12379" s="12" t="s">
        <v>46</v>
      </c>
      <c r="H12379" s="11" t="s">
        <v>22</v>
      </c>
      <c r="I12379" s="13" t="s">
        <v>24373</v>
      </c>
      <c r="J12379" s="14" t="str">
        <f>HYPERLINK("https://www.boe.es/gazeta/dias/1839/02/02/pdfs/GMD-1839-1540.pdf#page=3","Abrir facsímil")</f>
        <v>Abrir facsímil</v>
      </c>
      <c r="K12379" s="12" t="s">
        <v>24</v>
      </c>
    </row>
    <row r="12380" spans="1:11" ht="40.049999999999997" customHeight="1" x14ac:dyDescent="0.25">
      <c r="A12380" s="11" t="s">
        <v>24374</v>
      </c>
      <c r="B12380" s="11" t="s">
        <v>24374</v>
      </c>
      <c r="C12380" s="11" t="s">
        <v>17</v>
      </c>
      <c r="D12380" s="11" t="s">
        <v>18</v>
      </c>
      <c r="E12380" s="12" t="s">
        <v>453</v>
      </c>
      <c r="F12380" s="12" t="s">
        <v>454</v>
      </c>
      <c r="G12380" s="12" t="s">
        <v>40</v>
      </c>
      <c r="H12380" s="11" t="s">
        <v>63</v>
      </c>
      <c r="I12380" s="13" t="s">
        <v>24375</v>
      </c>
      <c r="J12380" s="14" t="str">
        <f>HYPERLINK("https://www.boe.es/gazeta/dias/1839/02/07/pdfs/GMD-1839-1545.pdf#page=2","Abrir facsímil")</f>
        <v>Abrir facsímil</v>
      </c>
      <c r="K12380" s="12" t="s">
        <v>65</v>
      </c>
    </row>
    <row r="12381" spans="1:11" ht="40.049999999999997" customHeight="1" x14ac:dyDescent="0.25">
      <c r="A12381" s="11" t="s">
        <v>24376</v>
      </c>
      <c r="B12381" s="11" t="s">
        <v>24376</v>
      </c>
      <c r="C12381" s="11" t="s">
        <v>59</v>
      </c>
      <c r="D12381" s="11" t="s">
        <v>60</v>
      </c>
      <c r="E12381" s="12" t="s">
        <v>2482</v>
      </c>
      <c r="F12381" s="12" t="s">
        <v>2483</v>
      </c>
      <c r="G12381" s="12" t="s">
        <v>29</v>
      </c>
      <c r="H12381" s="11" t="s">
        <v>63</v>
      </c>
      <c r="I12381" s="13" t="s">
        <v>24377</v>
      </c>
      <c r="J12381" s="14" t="str">
        <f>HYPERLINK("https://www.boe.es/gazeta/dias/1839/07/07/pdfs/GMD-1839-1695.pdf#page=1","Abrir facsímil")</f>
        <v>Abrir facsímil</v>
      </c>
      <c r="K12381" s="12" t="s">
        <v>65</v>
      </c>
    </row>
    <row r="12382" spans="1:11" ht="40.049999999999997" customHeight="1" x14ac:dyDescent="0.25">
      <c r="A12382" s="11" t="s">
        <v>24376</v>
      </c>
      <c r="B12382" s="11" t="s">
        <v>24376</v>
      </c>
      <c r="C12382" s="11" t="s">
        <v>17</v>
      </c>
      <c r="D12382" s="11" t="s">
        <v>18</v>
      </c>
      <c r="E12382" s="12" t="s">
        <v>782</v>
      </c>
      <c r="F12382" s="12" t="s">
        <v>783</v>
      </c>
      <c r="G12382" s="12" t="s">
        <v>29</v>
      </c>
      <c r="H12382" s="11" t="s">
        <v>63</v>
      </c>
      <c r="I12382" s="13" t="s">
        <v>24378</v>
      </c>
      <c r="J12382" s="14" t="str">
        <f>HYPERLINK("https://www.boe.es/gazeta/dias/1839/05/09/pdfs/GMD-1839-1636.pdf#page=1","Abrir facsímil")</f>
        <v>Abrir facsímil</v>
      </c>
      <c r="K12382" s="12" t="s">
        <v>65</v>
      </c>
    </row>
    <row r="12383" spans="1:11" ht="40.049999999999997" customHeight="1" x14ac:dyDescent="0.25">
      <c r="A12383" s="11" t="s">
        <v>24376</v>
      </c>
      <c r="B12383" s="11" t="s">
        <v>24376</v>
      </c>
      <c r="C12383" s="11" t="s">
        <v>17</v>
      </c>
      <c r="D12383" s="11" t="s">
        <v>18</v>
      </c>
      <c r="E12383" s="12" t="s">
        <v>2995</v>
      </c>
      <c r="F12383" s="12" t="s">
        <v>2996</v>
      </c>
      <c r="G12383" s="12" t="s">
        <v>29</v>
      </c>
      <c r="H12383" s="11" t="s">
        <v>63</v>
      </c>
      <c r="I12383" s="13" t="s">
        <v>24379</v>
      </c>
      <c r="J12383" s="14" t="str">
        <f>HYPERLINK("https://www.boe.es/gazeta/dias/1839/06/16/pdfs/GMD-1839-1674.pdf#page=1","Abrir facsímil")</f>
        <v>Abrir facsímil</v>
      </c>
      <c r="K12383" s="12" t="s">
        <v>65</v>
      </c>
    </row>
    <row r="12384" spans="1:11" ht="40.049999999999997" customHeight="1" x14ac:dyDescent="0.25">
      <c r="A12384" s="11" t="s">
        <v>24376</v>
      </c>
      <c r="B12384" s="11" t="s">
        <v>24376</v>
      </c>
      <c r="C12384" s="11" t="s">
        <v>137</v>
      </c>
      <c r="D12384" s="11" t="s">
        <v>18</v>
      </c>
      <c r="E12384" s="12" t="s">
        <v>1654</v>
      </c>
      <c r="F12384" s="12" t="s">
        <v>1655</v>
      </c>
      <c r="G12384" s="12" t="s">
        <v>29</v>
      </c>
      <c r="H12384" s="11" t="s">
        <v>63</v>
      </c>
      <c r="I12384" s="13" t="s">
        <v>24380</v>
      </c>
      <c r="J12384" s="14" t="str">
        <f>HYPERLINK("https://www.boe.es/gazeta/dias/1839/11/19/pdfs/GMD-1839-1836.pdf#page=1","Abrir facsímil")</f>
        <v>Abrir facsímil</v>
      </c>
      <c r="K12384" s="12" t="s">
        <v>65</v>
      </c>
    </row>
    <row r="12385" spans="1:11" ht="40.049999999999997" customHeight="1" x14ac:dyDescent="0.25">
      <c r="A12385" s="11" t="s">
        <v>24376</v>
      </c>
      <c r="B12385" s="11" t="s">
        <v>24376</v>
      </c>
      <c r="C12385" s="11" t="s">
        <v>101</v>
      </c>
      <c r="D12385" s="11" t="s">
        <v>102</v>
      </c>
      <c r="E12385" s="12" t="s">
        <v>2253</v>
      </c>
      <c r="F12385" s="12" t="s">
        <v>2254</v>
      </c>
      <c r="G12385" s="12" t="s">
        <v>29</v>
      </c>
      <c r="H12385" s="11" t="s">
        <v>63</v>
      </c>
      <c r="I12385" s="13" t="s">
        <v>24381</v>
      </c>
      <c r="J12385" s="14" t="str">
        <f>HYPERLINK("https://www.boe.es/gazeta/dias/1839/02/20/pdfs/GMD-1839-1558.pdf#page=1","Abrir facsímil")</f>
        <v>Abrir facsímil</v>
      </c>
      <c r="K12385" s="12" t="s">
        <v>65</v>
      </c>
    </row>
    <row r="12386" spans="1:11" ht="40.049999999999997" customHeight="1" x14ac:dyDescent="0.25">
      <c r="A12386" s="11" t="s">
        <v>24376</v>
      </c>
      <c r="B12386" s="11" t="s">
        <v>24376</v>
      </c>
      <c r="C12386" s="11" t="s">
        <v>59</v>
      </c>
      <c r="D12386" s="11" t="s">
        <v>60</v>
      </c>
      <c r="E12386" s="12" t="s">
        <v>1208</v>
      </c>
      <c r="F12386" s="12" t="s">
        <v>1209</v>
      </c>
      <c r="G12386" s="12" t="s">
        <v>29</v>
      </c>
      <c r="H12386" s="11" t="s">
        <v>63</v>
      </c>
      <c r="I12386" s="13" t="s">
        <v>24382</v>
      </c>
      <c r="J12386" s="14" t="str">
        <f>HYPERLINK("https://www.boe.es/gazeta/dias/1839/04/24/pdfs/GMD-1839-1621.pdf#page=1","Abrir facsímil")</f>
        <v>Abrir facsímil</v>
      </c>
      <c r="K12386" s="12" t="s">
        <v>65</v>
      </c>
    </row>
    <row r="12387" spans="1:11" ht="40.049999999999997" customHeight="1" x14ac:dyDescent="0.25">
      <c r="A12387" s="11" t="s">
        <v>24376</v>
      </c>
      <c r="B12387" s="11" t="s">
        <v>24376</v>
      </c>
      <c r="C12387" s="11" t="s">
        <v>17</v>
      </c>
      <c r="D12387" s="11" t="s">
        <v>18</v>
      </c>
      <c r="E12387" s="12" t="s">
        <v>1398</v>
      </c>
      <c r="F12387" s="12" t="s">
        <v>1399</v>
      </c>
      <c r="G12387" s="12" t="s">
        <v>29</v>
      </c>
      <c r="H12387" s="11" t="s">
        <v>63</v>
      </c>
      <c r="I12387" s="13" t="s">
        <v>24383</v>
      </c>
      <c r="J12387" s="14" t="str">
        <f>HYPERLINK("https://www.boe.es/gazeta/dias/1839/05/27/pdfs/GMD-1839-1654.pdf#page=1","Abrir facsímil")</f>
        <v>Abrir facsímil</v>
      </c>
      <c r="K12387" s="12" t="s">
        <v>65</v>
      </c>
    </row>
    <row r="12388" spans="1:11" ht="40.049999999999997" customHeight="1" x14ac:dyDescent="0.25">
      <c r="A12388" s="11" t="s">
        <v>24376</v>
      </c>
      <c r="B12388" s="11" t="s">
        <v>24376</v>
      </c>
      <c r="C12388" s="11" t="s">
        <v>17</v>
      </c>
      <c r="D12388" s="11" t="s">
        <v>18</v>
      </c>
      <c r="E12388" s="12" t="s">
        <v>312</v>
      </c>
      <c r="F12388" s="12" t="s">
        <v>313</v>
      </c>
      <c r="G12388" s="12" t="s">
        <v>29</v>
      </c>
      <c r="H12388" s="11" t="s">
        <v>63</v>
      </c>
      <c r="I12388" s="13" t="s">
        <v>24384</v>
      </c>
      <c r="J12388" s="14" t="str">
        <f>HYPERLINK("https://www.boe.es/gazeta/dias/1839/11/30/pdfs/GMD-1839-1847.pdf#page=1","Abrir facsímil")</f>
        <v>Abrir facsímil</v>
      </c>
      <c r="K12388" s="12" t="s">
        <v>65</v>
      </c>
    </row>
    <row r="12389" spans="1:11" ht="40.049999999999997" customHeight="1" x14ac:dyDescent="0.25">
      <c r="A12389" s="11" t="s">
        <v>24385</v>
      </c>
      <c r="B12389" s="11" t="s">
        <v>24386</v>
      </c>
      <c r="C12389" s="11" t="s">
        <v>59</v>
      </c>
      <c r="D12389" s="11" t="s">
        <v>60</v>
      </c>
      <c r="E12389" s="12" t="s">
        <v>1474</v>
      </c>
      <c r="F12389" s="12" t="s">
        <v>1475</v>
      </c>
      <c r="G12389" s="12" t="s">
        <v>40</v>
      </c>
      <c r="H12389" s="11" t="s">
        <v>22</v>
      </c>
      <c r="I12389" s="13" t="s">
        <v>24387</v>
      </c>
      <c r="J12389" s="14" t="str">
        <f>HYPERLINK("https://www.boe.es/gazeta/dias/1839/02/28/pdfs/GMD-1839-1566.pdf#page=2","Abrir facsímil")</f>
        <v>Abrir facsímil</v>
      </c>
      <c r="K12389" s="12" t="s">
        <v>24</v>
      </c>
    </row>
    <row r="12390" spans="1:11" ht="40.049999999999997" customHeight="1" x14ac:dyDescent="0.25">
      <c r="A12390" s="11" t="s">
        <v>24388</v>
      </c>
      <c r="B12390" s="11" t="s">
        <v>24389</v>
      </c>
      <c r="C12390" s="11" t="s">
        <v>17</v>
      </c>
      <c r="D12390" s="11" t="s">
        <v>18</v>
      </c>
      <c r="E12390" s="12" t="s">
        <v>76</v>
      </c>
      <c r="F12390" s="12" t="s">
        <v>77</v>
      </c>
      <c r="G12390" s="12" t="s">
        <v>29</v>
      </c>
      <c r="H12390" s="11" t="s">
        <v>63</v>
      </c>
      <c r="I12390" s="13" t="s">
        <v>24390</v>
      </c>
      <c r="J12390" s="14" t="str">
        <f>HYPERLINK("https://www.boe.es/gazeta/dias/1839/03/13/pdfs/GMD-1839-1579.pdf#page=1","Abrir facsímil")</f>
        <v>Abrir facsímil</v>
      </c>
      <c r="K12390" s="12" t="s">
        <v>65</v>
      </c>
    </row>
    <row r="12391" spans="1:11" ht="40.049999999999997" customHeight="1" x14ac:dyDescent="0.25">
      <c r="A12391" s="11" t="s">
        <v>24388</v>
      </c>
      <c r="B12391" s="11" t="s">
        <v>24389</v>
      </c>
      <c r="C12391" s="11" t="s">
        <v>17</v>
      </c>
      <c r="D12391" s="11" t="s">
        <v>18</v>
      </c>
      <c r="E12391" s="12" t="s">
        <v>19</v>
      </c>
      <c r="F12391" s="12" t="s">
        <v>20</v>
      </c>
      <c r="G12391" s="12" t="s">
        <v>29</v>
      </c>
      <c r="H12391" s="11" t="s">
        <v>63</v>
      </c>
      <c r="I12391" s="13" t="s">
        <v>24391</v>
      </c>
      <c r="J12391" s="14" t="str">
        <f>HYPERLINK("https://www.boe.es/gazeta/dias/1839/01/19/pdfs/GMD-1839-1526.pdf#page=1","Abrir facsímil")</f>
        <v>Abrir facsímil</v>
      </c>
      <c r="K12391" s="12" t="s">
        <v>65</v>
      </c>
    </row>
    <row r="12392" spans="1:11" ht="40.049999999999997" customHeight="1" x14ac:dyDescent="0.25">
      <c r="A12392" s="11" t="s">
        <v>24392</v>
      </c>
      <c r="B12392" s="11" t="s">
        <v>24393</v>
      </c>
      <c r="C12392" s="11" t="s">
        <v>101</v>
      </c>
      <c r="D12392" s="11" t="s">
        <v>43</v>
      </c>
      <c r="E12392" s="12" t="s">
        <v>564</v>
      </c>
      <c r="F12392" s="12" t="s">
        <v>565</v>
      </c>
      <c r="G12392" s="12" t="s">
        <v>46</v>
      </c>
      <c r="H12392" s="11" t="s">
        <v>63</v>
      </c>
      <c r="I12392" s="13" t="s">
        <v>24394</v>
      </c>
      <c r="J12392" s="14" t="str">
        <f>HYPERLINK("https://www.boe.es/gazeta/dias/1839/10/17/pdfs/GMD-1839-1803.pdf#page=3","Abrir facsímil")</f>
        <v>Abrir facsímil</v>
      </c>
      <c r="K12392" s="12" t="s">
        <v>65</v>
      </c>
    </row>
    <row r="12393" spans="1:11" ht="40.049999999999997" customHeight="1" x14ac:dyDescent="0.25">
      <c r="A12393" s="11" t="s">
        <v>24392</v>
      </c>
      <c r="B12393" s="11" t="s">
        <v>24393</v>
      </c>
      <c r="C12393" s="11" t="s">
        <v>17</v>
      </c>
      <c r="D12393" s="11" t="s">
        <v>43</v>
      </c>
      <c r="E12393" s="12" t="s">
        <v>1179</v>
      </c>
      <c r="F12393" s="12" t="s">
        <v>1180</v>
      </c>
      <c r="G12393" s="12" t="s">
        <v>40</v>
      </c>
      <c r="H12393" s="11" t="s">
        <v>63</v>
      </c>
      <c r="I12393" s="13" t="s">
        <v>24395</v>
      </c>
      <c r="J12393" s="14" t="str">
        <f>HYPERLINK("https://www.boe.es/gazeta/dias/1839/10/18/pdfs/GMD-1839-1804.pdf#page=2","Abrir facsímil")</f>
        <v>Abrir facsímil</v>
      </c>
      <c r="K12393" s="12" t="s">
        <v>65</v>
      </c>
    </row>
    <row r="12394" spans="1:11" ht="40.049999999999997" customHeight="1" x14ac:dyDescent="0.25">
      <c r="A12394" s="11" t="s">
        <v>24396</v>
      </c>
      <c r="B12394" s="11" t="s">
        <v>24397</v>
      </c>
      <c r="C12394" s="11" t="s">
        <v>17</v>
      </c>
      <c r="D12394" s="11" t="s">
        <v>18</v>
      </c>
      <c r="E12394" s="12" t="s">
        <v>1474</v>
      </c>
      <c r="F12394" s="12" t="s">
        <v>1475</v>
      </c>
      <c r="G12394" s="12" t="s">
        <v>29</v>
      </c>
      <c r="H12394" s="11" t="s">
        <v>63</v>
      </c>
      <c r="I12394" s="13" t="s">
        <v>24398</v>
      </c>
      <c r="J12394" s="14" t="str">
        <f>HYPERLINK("https://www.boe.es/gazeta/dias/1839/02/28/pdfs/GMD-1839-1566.pdf#page=1","Abrir facsímil")</f>
        <v>Abrir facsímil</v>
      </c>
      <c r="K12394" s="12" t="s">
        <v>65</v>
      </c>
    </row>
    <row r="12395" spans="1:11" ht="40.049999999999997" customHeight="1" x14ac:dyDescent="0.25">
      <c r="A12395" s="11" t="s">
        <v>24396</v>
      </c>
      <c r="B12395" s="11" t="s">
        <v>24397</v>
      </c>
      <c r="C12395" s="11" t="s">
        <v>59</v>
      </c>
      <c r="D12395" s="11" t="s">
        <v>60</v>
      </c>
      <c r="E12395" s="12" t="s">
        <v>1474</v>
      </c>
      <c r="F12395" s="12" t="s">
        <v>1475</v>
      </c>
      <c r="G12395" s="12" t="s">
        <v>40</v>
      </c>
      <c r="H12395" s="11" t="s">
        <v>63</v>
      </c>
      <c r="I12395" s="13" t="s">
        <v>24399</v>
      </c>
      <c r="J12395" s="14" t="str">
        <f>HYPERLINK("https://www.boe.es/gazeta/dias/1839/02/28/pdfs/GMD-1839-1566.pdf#page=2","Abrir facsímil")</f>
        <v>Abrir facsímil</v>
      </c>
      <c r="K12395" s="12" t="s">
        <v>65</v>
      </c>
    </row>
    <row r="12396" spans="1:11" ht="40.049999999999997" customHeight="1" x14ac:dyDescent="0.25">
      <c r="A12396" s="11" t="s">
        <v>24400</v>
      </c>
      <c r="B12396" s="11" t="s">
        <v>24400</v>
      </c>
      <c r="C12396" s="11" t="s">
        <v>80</v>
      </c>
      <c r="D12396" s="11" t="s">
        <v>18</v>
      </c>
      <c r="E12396" s="12" t="s">
        <v>2962</v>
      </c>
      <c r="F12396" s="12" t="s">
        <v>2963</v>
      </c>
      <c r="G12396" s="12" t="s">
        <v>40</v>
      </c>
      <c r="H12396" s="11" t="s">
        <v>63</v>
      </c>
      <c r="I12396" s="13" t="s">
        <v>24401</v>
      </c>
      <c r="J12396" s="14" t="str">
        <f>HYPERLINK("https://www.boe.es/gazeta/dias/1839/12/21/pdfs/GMD-1839-1868.pdf#page=2","Abrir facsímil")</f>
        <v>Abrir facsímil</v>
      </c>
      <c r="K12396" s="12" t="s">
        <v>65</v>
      </c>
    </row>
    <row r="12397" spans="1:11" ht="40.049999999999997" customHeight="1" x14ac:dyDescent="0.25">
      <c r="A12397" s="11" t="s">
        <v>24402</v>
      </c>
      <c r="B12397" s="11" t="s">
        <v>24403</v>
      </c>
      <c r="C12397" s="11" t="s">
        <v>17</v>
      </c>
      <c r="D12397" s="11" t="s">
        <v>18</v>
      </c>
      <c r="E12397" s="12" t="s">
        <v>4472</v>
      </c>
      <c r="F12397" s="12" t="s">
        <v>4473</v>
      </c>
      <c r="G12397" s="12" t="s">
        <v>46</v>
      </c>
      <c r="H12397" s="11" t="s">
        <v>63</v>
      </c>
      <c r="I12397" s="13" t="s">
        <v>24404</v>
      </c>
      <c r="J12397" s="14" t="str">
        <f>HYPERLINK("https://www.boe.es/gazeta/dias/1839/08/03/pdfs/GMD-1839-1723.pdf#page=3","Abrir facsímil")</f>
        <v>Abrir facsímil</v>
      </c>
      <c r="K12397" s="12" t="s">
        <v>65</v>
      </c>
    </row>
    <row r="12398" spans="1:11" ht="40.049999999999997" customHeight="1" x14ac:dyDescent="0.25">
      <c r="A12398" s="11" t="s">
        <v>24405</v>
      </c>
      <c r="B12398" s="11" t="s">
        <v>24406</v>
      </c>
      <c r="C12398" s="11" t="s">
        <v>17</v>
      </c>
      <c r="D12398" s="11" t="s">
        <v>18</v>
      </c>
      <c r="E12398" s="12" t="s">
        <v>2432</v>
      </c>
      <c r="F12398" s="12" t="s">
        <v>2581</v>
      </c>
      <c r="G12398" s="12" t="s">
        <v>29</v>
      </c>
      <c r="H12398" s="11" t="s">
        <v>63</v>
      </c>
      <c r="I12398" s="13" t="s">
        <v>24407</v>
      </c>
      <c r="J12398" s="14" t="str">
        <f>HYPERLINK("https://www.boe.es/gazeta/dias/1839/07/23/pdfs/GMD-1839-1711.pdf#page=1","Abrir facsímil")</f>
        <v>Abrir facsímil</v>
      </c>
      <c r="K12398" s="12" t="s">
        <v>65</v>
      </c>
    </row>
    <row r="12399" spans="1:11" ht="40.049999999999997" customHeight="1" x14ac:dyDescent="0.25">
      <c r="A12399" s="11" t="s">
        <v>24405</v>
      </c>
      <c r="B12399" s="11" t="s">
        <v>24406</v>
      </c>
      <c r="C12399" s="11" t="s">
        <v>17</v>
      </c>
      <c r="D12399" s="11" t="s">
        <v>18</v>
      </c>
      <c r="E12399" s="12" t="s">
        <v>1749</v>
      </c>
      <c r="F12399" s="12" t="s">
        <v>1750</v>
      </c>
      <c r="G12399" s="12" t="s">
        <v>29</v>
      </c>
      <c r="H12399" s="11" t="s">
        <v>63</v>
      </c>
      <c r="I12399" s="13" t="s">
        <v>24408</v>
      </c>
      <c r="J12399" s="14" t="str">
        <f>HYPERLINK("https://www.boe.es/gazeta/dias/1839/06/28/pdfs/GMD-1839-1686.pdf#page=1","Abrir facsímil")</f>
        <v>Abrir facsímil</v>
      </c>
      <c r="K12399" s="12" t="s">
        <v>65</v>
      </c>
    </row>
    <row r="12400" spans="1:11" ht="40.049999999999997" customHeight="1" x14ac:dyDescent="0.25">
      <c r="A12400" s="11" t="s">
        <v>24409</v>
      </c>
      <c r="B12400" s="11" t="s">
        <v>24410</v>
      </c>
      <c r="C12400" s="11" t="s">
        <v>17</v>
      </c>
      <c r="D12400" s="11" t="s">
        <v>18</v>
      </c>
      <c r="E12400" s="12" t="s">
        <v>2021</v>
      </c>
      <c r="F12400" s="12" t="s">
        <v>2022</v>
      </c>
      <c r="G12400" s="12" t="s">
        <v>46</v>
      </c>
      <c r="H12400" s="11" t="s">
        <v>63</v>
      </c>
      <c r="I12400" s="13" t="s">
        <v>24411</v>
      </c>
      <c r="J12400" s="14" t="str">
        <f>HYPERLINK("https://www.boe.es/gazeta/dias/1839/02/17/pdfs/GMD-1839-1555.pdf#page=3","Abrir facsímil")</f>
        <v>Abrir facsímil</v>
      </c>
      <c r="K12400" s="12" t="s">
        <v>65</v>
      </c>
    </row>
    <row r="12401" spans="1:11" ht="40.049999999999997" customHeight="1" x14ac:dyDescent="0.25">
      <c r="A12401" s="11" t="s">
        <v>24412</v>
      </c>
      <c r="B12401" s="11" t="s">
        <v>24412</v>
      </c>
      <c r="C12401" s="11" t="s">
        <v>101</v>
      </c>
      <c r="D12401" s="11" t="s">
        <v>43</v>
      </c>
      <c r="E12401" s="12" t="s">
        <v>2829</v>
      </c>
      <c r="F12401" s="12" t="s">
        <v>2830</v>
      </c>
      <c r="G12401" s="12" t="s">
        <v>46</v>
      </c>
      <c r="H12401" s="11" t="s">
        <v>63</v>
      </c>
      <c r="I12401" s="13" t="s">
        <v>24413</v>
      </c>
      <c r="J12401" s="14" t="str">
        <f>HYPERLINK("https://www.boe.es/gazeta/dias/1839/07/01/pdfs/GMD-1839-1689.pdf#page=3","Abrir facsímil")</f>
        <v>Abrir facsímil</v>
      </c>
      <c r="K12401" s="12" t="s">
        <v>65</v>
      </c>
    </row>
    <row r="12402" spans="1:11" ht="40.049999999999997" customHeight="1" x14ac:dyDescent="0.25">
      <c r="A12402" s="11" t="s">
        <v>24412</v>
      </c>
      <c r="B12402" s="11" t="s">
        <v>24412</v>
      </c>
      <c r="C12402" s="11" t="s">
        <v>137</v>
      </c>
      <c r="D12402" s="11" t="s">
        <v>18</v>
      </c>
      <c r="E12402" s="12" t="s">
        <v>381</v>
      </c>
      <c r="F12402" s="12" t="s">
        <v>382</v>
      </c>
      <c r="G12402" s="12" t="s">
        <v>40</v>
      </c>
      <c r="H12402" s="11" t="s">
        <v>63</v>
      </c>
      <c r="I12402" s="13" t="s">
        <v>24414</v>
      </c>
      <c r="J12402" s="14" t="str">
        <f>HYPERLINK("https://www.boe.es/gazeta/dias/1839/06/02/pdfs/GMD-1839-1660.pdf#page=2","Abrir facsímil")</f>
        <v>Abrir facsímil</v>
      </c>
      <c r="K12402" s="12" t="s">
        <v>65</v>
      </c>
    </row>
    <row r="12403" spans="1:11" ht="40.049999999999997" customHeight="1" x14ac:dyDescent="0.25">
      <c r="A12403" s="11" t="s">
        <v>24412</v>
      </c>
      <c r="B12403" s="11" t="s">
        <v>24412</v>
      </c>
      <c r="C12403" s="11" t="s">
        <v>59</v>
      </c>
      <c r="D12403" s="11" t="s">
        <v>60</v>
      </c>
      <c r="E12403" s="12" t="s">
        <v>1614</v>
      </c>
      <c r="F12403" s="12" t="s">
        <v>1615</v>
      </c>
      <c r="G12403" s="12" t="s">
        <v>40</v>
      </c>
      <c r="H12403" s="11" t="s">
        <v>63</v>
      </c>
      <c r="I12403" s="13" t="s">
        <v>24415</v>
      </c>
      <c r="J12403" s="14" t="str">
        <f>HYPERLINK("https://www.boe.es/gazeta/dias/1839/07/03/pdfs/GMD-1839-1691.pdf#page=2","Abrir facsímil")</f>
        <v>Abrir facsímil</v>
      </c>
      <c r="K12403" s="12" t="s">
        <v>65</v>
      </c>
    </row>
    <row r="12404" spans="1:11" ht="40.049999999999997" customHeight="1" x14ac:dyDescent="0.25">
      <c r="A12404" s="11" t="s">
        <v>24412</v>
      </c>
      <c r="B12404" s="11" t="s">
        <v>24412</v>
      </c>
      <c r="C12404" s="11" t="s">
        <v>17</v>
      </c>
      <c r="D12404" s="11" t="s">
        <v>18</v>
      </c>
      <c r="E12404" s="12" t="s">
        <v>848</v>
      </c>
      <c r="F12404" s="12" t="s">
        <v>849</v>
      </c>
      <c r="G12404" s="12" t="s">
        <v>29</v>
      </c>
      <c r="H12404" s="11" t="s">
        <v>63</v>
      </c>
      <c r="I12404" s="13" t="s">
        <v>24416</v>
      </c>
      <c r="J12404" s="14" t="str">
        <f>HYPERLINK("https://www.boe.es/gazeta/dias/1839/08/04/pdfs/GMD-1839-1724.pdf#page=1","Abrir facsímil")</f>
        <v>Abrir facsímil</v>
      </c>
      <c r="K12404" s="12" t="s">
        <v>65</v>
      </c>
    </row>
    <row r="12405" spans="1:11" ht="40.049999999999997" customHeight="1" x14ac:dyDescent="0.25">
      <c r="A12405" s="11" t="s">
        <v>24412</v>
      </c>
      <c r="B12405" s="11" t="s">
        <v>24412</v>
      </c>
      <c r="C12405" s="11" t="s">
        <v>137</v>
      </c>
      <c r="D12405" s="11" t="s">
        <v>18</v>
      </c>
      <c r="E12405" s="12" t="s">
        <v>409</v>
      </c>
      <c r="F12405" s="12" t="s">
        <v>410</v>
      </c>
      <c r="G12405" s="12" t="s">
        <v>40</v>
      </c>
      <c r="H12405" s="11" t="s">
        <v>63</v>
      </c>
      <c r="I12405" s="13" t="s">
        <v>24417</v>
      </c>
      <c r="J12405" s="14" t="str">
        <f>HYPERLINK("https://www.boe.es/gazeta/dias/1839/07/05/pdfs/GMD-1839-1693.pdf#page=2","Abrir facsímil")</f>
        <v>Abrir facsímil</v>
      </c>
      <c r="K12405" s="12" t="s">
        <v>65</v>
      </c>
    </row>
    <row r="12406" spans="1:11" ht="40.049999999999997" customHeight="1" x14ac:dyDescent="0.25">
      <c r="A12406" s="11" t="s">
        <v>24412</v>
      </c>
      <c r="B12406" s="11" t="s">
        <v>24412</v>
      </c>
      <c r="C12406" s="11" t="s">
        <v>59</v>
      </c>
      <c r="D12406" s="11" t="s">
        <v>60</v>
      </c>
      <c r="E12406" s="12" t="s">
        <v>984</v>
      </c>
      <c r="F12406" s="12" t="s">
        <v>985</v>
      </c>
      <c r="G12406" s="12" t="s">
        <v>40</v>
      </c>
      <c r="H12406" s="11" t="s">
        <v>63</v>
      </c>
      <c r="I12406" s="13" t="s">
        <v>24418</v>
      </c>
      <c r="J12406" s="14" t="str">
        <f>HYPERLINK("https://www.boe.es/gazeta/dias/1839/04/10/pdfs/GMD-1839-1607.pdf#page=2","Abrir facsímil")</f>
        <v>Abrir facsímil</v>
      </c>
      <c r="K12406" s="12" t="s">
        <v>65</v>
      </c>
    </row>
    <row r="12407" spans="1:11" ht="40.049999999999997" customHeight="1" x14ac:dyDescent="0.25">
      <c r="A12407" s="11" t="s">
        <v>24412</v>
      </c>
      <c r="B12407" s="11" t="s">
        <v>24412</v>
      </c>
      <c r="C12407" s="11" t="s">
        <v>17</v>
      </c>
      <c r="D12407" s="11" t="s">
        <v>18</v>
      </c>
      <c r="E12407" s="12" t="s">
        <v>1252</v>
      </c>
      <c r="F12407" s="12" t="s">
        <v>1253</v>
      </c>
      <c r="G12407" s="12" t="s">
        <v>46</v>
      </c>
      <c r="H12407" s="11" t="s">
        <v>63</v>
      </c>
      <c r="I12407" s="13" t="s">
        <v>24419</v>
      </c>
      <c r="J12407" s="14" t="str">
        <f>HYPERLINK("https://www.boe.es/gazeta/dias/1839/06/15/pdfs/GMD-1839-1673.pdf#page=3","Abrir facsímil")</f>
        <v>Abrir facsímil</v>
      </c>
      <c r="K12407" s="12" t="s">
        <v>65</v>
      </c>
    </row>
    <row r="12408" spans="1:11" ht="40.049999999999997" customHeight="1" x14ac:dyDescent="0.25">
      <c r="A12408" s="11" t="s">
        <v>24412</v>
      </c>
      <c r="B12408" s="11" t="s">
        <v>24412</v>
      </c>
      <c r="C12408" s="11" t="s">
        <v>80</v>
      </c>
      <c r="D12408" s="11" t="s">
        <v>18</v>
      </c>
      <c r="E12408" s="12" t="s">
        <v>398</v>
      </c>
      <c r="F12408" s="12" t="s">
        <v>399</v>
      </c>
      <c r="G12408" s="12" t="s">
        <v>40</v>
      </c>
      <c r="H12408" s="11" t="s">
        <v>63</v>
      </c>
      <c r="I12408" s="13" t="s">
        <v>24420</v>
      </c>
      <c r="J12408" s="14" t="str">
        <f>HYPERLINK("https://www.boe.es/gazeta/dias/1839/05/17/pdfs/GMD-1839-1644.pdf#page=2","Abrir facsímil")</f>
        <v>Abrir facsímil</v>
      </c>
      <c r="K12408" s="12" t="s">
        <v>65</v>
      </c>
    </row>
    <row r="12409" spans="1:11" ht="40.049999999999997" customHeight="1" x14ac:dyDescent="0.25">
      <c r="A12409" s="11" t="s">
        <v>24412</v>
      </c>
      <c r="B12409" s="11" t="s">
        <v>24412</v>
      </c>
      <c r="C12409" s="11" t="s">
        <v>101</v>
      </c>
      <c r="D12409" s="11" t="s">
        <v>43</v>
      </c>
      <c r="E12409" s="12" t="s">
        <v>3668</v>
      </c>
      <c r="F12409" s="12" t="s">
        <v>3669</v>
      </c>
      <c r="G12409" s="12" t="s">
        <v>46</v>
      </c>
      <c r="H12409" s="11" t="s">
        <v>63</v>
      </c>
      <c r="I12409" s="13" t="s">
        <v>24421</v>
      </c>
      <c r="J12409" s="14" t="str">
        <f>HYPERLINK("https://www.boe.es/gazeta/dias/1839/05/19/pdfs/GMD-1839-1646.pdf#page=3","Abrir facsímil")</f>
        <v>Abrir facsímil</v>
      </c>
      <c r="K12409" s="12" t="s">
        <v>65</v>
      </c>
    </row>
    <row r="12410" spans="1:11" ht="40.049999999999997" customHeight="1" x14ac:dyDescent="0.25">
      <c r="A12410" s="11" t="s">
        <v>24422</v>
      </c>
      <c r="B12410" s="11" t="s">
        <v>24423</v>
      </c>
      <c r="C12410" s="11" t="s">
        <v>17</v>
      </c>
      <c r="D12410" s="11" t="s">
        <v>18</v>
      </c>
      <c r="E12410" s="12" t="s">
        <v>3668</v>
      </c>
      <c r="F12410" s="12" t="s">
        <v>3669</v>
      </c>
      <c r="G12410" s="12" t="s">
        <v>46</v>
      </c>
      <c r="H12410" s="11" t="s">
        <v>63</v>
      </c>
      <c r="I12410" s="13" t="s">
        <v>24424</v>
      </c>
      <c r="J12410" s="14" t="str">
        <f>HYPERLINK("https://www.boe.es/gazeta/dias/1839/05/19/pdfs/GMD-1839-1646.pdf#page=3","Abrir facsímil")</f>
        <v>Abrir facsímil</v>
      </c>
      <c r="K12410" s="12" t="s">
        <v>65</v>
      </c>
    </row>
    <row r="12411" spans="1:11" ht="40.049999999999997" customHeight="1" x14ac:dyDescent="0.25">
      <c r="A12411" s="11" t="s">
        <v>24425</v>
      </c>
      <c r="B12411" s="11" t="s">
        <v>24425</v>
      </c>
      <c r="C12411" s="11" t="s">
        <v>80</v>
      </c>
      <c r="D12411" s="11" t="s">
        <v>18</v>
      </c>
      <c r="E12411" s="12" t="s">
        <v>2117</v>
      </c>
      <c r="F12411" s="12" t="s">
        <v>2118</v>
      </c>
      <c r="G12411" s="12" t="s">
        <v>46</v>
      </c>
      <c r="H12411" s="11" t="s">
        <v>63</v>
      </c>
      <c r="I12411" s="13" t="s">
        <v>24426</v>
      </c>
      <c r="J12411" s="14" t="str">
        <f>HYPERLINK("https://www.boe.es/gazeta/dias/1839/06/23/pdfs/GMD-1839-1681.pdf#page=3","Abrir facsímil")</f>
        <v>Abrir facsímil</v>
      </c>
      <c r="K12411" s="12" t="s">
        <v>65</v>
      </c>
    </row>
    <row r="12412" spans="1:11" ht="40.049999999999997" customHeight="1" x14ac:dyDescent="0.25">
      <c r="A12412" s="11" t="s">
        <v>24427</v>
      </c>
      <c r="B12412" s="11" t="s">
        <v>24427</v>
      </c>
      <c r="C12412" s="11" t="s">
        <v>17</v>
      </c>
      <c r="D12412" s="11" t="s">
        <v>18</v>
      </c>
      <c r="E12412" s="12" t="s">
        <v>596</v>
      </c>
      <c r="F12412" s="12" t="s">
        <v>597</v>
      </c>
      <c r="G12412" s="12" t="s">
        <v>21</v>
      </c>
      <c r="H12412" s="11" t="s">
        <v>63</v>
      </c>
      <c r="I12412" s="13" t="s">
        <v>24428</v>
      </c>
      <c r="J12412" s="14" t="str">
        <f>HYPERLINK("https://www.boe.es/gazeta/dias/1839/01/23/pdfs/GMD-1839-1530.pdf#page=4","Abrir facsímil")</f>
        <v>Abrir facsímil</v>
      </c>
      <c r="K12412" s="12" t="s">
        <v>65</v>
      </c>
    </row>
    <row r="12413" spans="1:11" ht="40.049999999999997" customHeight="1" x14ac:dyDescent="0.25">
      <c r="A12413" s="11" t="s">
        <v>24429</v>
      </c>
      <c r="B12413" s="11" t="s">
        <v>24429</v>
      </c>
      <c r="C12413" s="11" t="s">
        <v>101</v>
      </c>
      <c r="D12413" s="11" t="s">
        <v>43</v>
      </c>
      <c r="E12413" s="12" t="s">
        <v>723</v>
      </c>
      <c r="F12413" s="12" t="s">
        <v>724</v>
      </c>
      <c r="G12413" s="12" t="s">
        <v>46</v>
      </c>
      <c r="H12413" s="11" t="s">
        <v>63</v>
      </c>
      <c r="I12413" s="13" t="s">
        <v>24430</v>
      </c>
      <c r="J12413" s="14" t="str">
        <f>HYPERLINK("https://www.boe.es/gazeta/dias/1839/09/26/pdfs/GMD-1839-1782.pdf#page=3","Abrir facsímil")</f>
        <v>Abrir facsímil</v>
      </c>
      <c r="K12413" s="12" t="s">
        <v>65</v>
      </c>
    </row>
    <row r="12414" spans="1:11" ht="40.049999999999997" customHeight="1" x14ac:dyDescent="0.25">
      <c r="A12414" s="11" t="s">
        <v>24429</v>
      </c>
      <c r="B12414" s="11" t="s">
        <v>24429</v>
      </c>
      <c r="C12414" s="11" t="s">
        <v>137</v>
      </c>
      <c r="D12414" s="11" t="s">
        <v>18</v>
      </c>
      <c r="E12414" s="12" t="s">
        <v>1988</v>
      </c>
      <c r="F12414" s="12" t="s">
        <v>1989</v>
      </c>
      <c r="G12414" s="12" t="s">
        <v>21</v>
      </c>
      <c r="H12414" s="11" t="s">
        <v>63</v>
      </c>
      <c r="I12414" s="13" t="s">
        <v>24431</v>
      </c>
      <c r="J12414" s="14" t="str">
        <f>HYPERLINK("https://www.boe.es/gazeta/dias/1839/10/29/pdfs/GMD-1839-1815.pdf#page=4","Abrir facsímil")</f>
        <v>Abrir facsímil</v>
      </c>
      <c r="K12414" s="12" t="s">
        <v>65</v>
      </c>
    </row>
    <row r="12415" spans="1:11" ht="40.049999999999997" customHeight="1" x14ac:dyDescent="0.25">
      <c r="A12415" s="11" t="s">
        <v>24432</v>
      </c>
      <c r="B12415" s="11" t="s">
        <v>24432</v>
      </c>
      <c r="C12415" s="11" t="s">
        <v>17</v>
      </c>
      <c r="D12415" s="11" t="s">
        <v>43</v>
      </c>
      <c r="E12415" s="12" t="s">
        <v>230</v>
      </c>
      <c r="F12415" s="12" t="s">
        <v>231</v>
      </c>
      <c r="G12415" s="12" t="s">
        <v>29</v>
      </c>
      <c r="H12415" s="11" t="s">
        <v>22</v>
      </c>
      <c r="I12415" s="13" t="s">
        <v>24433</v>
      </c>
      <c r="J12415" s="14" t="str">
        <f>HYPERLINK("https://www.boe.es/gazeta/dias/1839/09/16/pdfs/GMD-1839-1769.pdf#page=1","Abrir facsímil")</f>
        <v>Abrir facsímil</v>
      </c>
      <c r="K12415" s="12" t="s">
        <v>24</v>
      </c>
    </row>
    <row r="12416" spans="1:11" ht="40.049999999999997" customHeight="1" x14ac:dyDescent="0.25">
      <c r="A12416" s="11" t="s">
        <v>24434</v>
      </c>
      <c r="B12416" s="11" t="s">
        <v>24434</v>
      </c>
      <c r="C12416" s="11" t="s">
        <v>17</v>
      </c>
      <c r="D12416" s="11" t="s">
        <v>18</v>
      </c>
      <c r="E12416" s="12" t="s">
        <v>1086</v>
      </c>
      <c r="F12416" s="12" t="s">
        <v>1087</v>
      </c>
      <c r="G12416" s="12" t="s">
        <v>40</v>
      </c>
      <c r="H12416" s="11" t="s">
        <v>22</v>
      </c>
      <c r="I12416" s="13" t="s">
        <v>24435</v>
      </c>
      <c r="J12416" s="14" t="str">
        <f>HYPERLINK("https://www.boe.es/gazeta/dias/1839/10/26/pdfs/GMD-1839-1812.pdf#page=2","Abrir facsímil")</f>
        <v>Abrir facsímil</v>
      </c>
      <c r="K12416" s="12" t="s">
        <v>24</v>
      </c>
    </row>
    <row r="12417" spans="1:11" ht="40.049999999999997" customHeight="1" x14ac:dyDescent="0.25">
      <c r="A12417" s="11" t="s">
        <v>24436</v>
      </c>
      <c r="B12417" s="11" t="s">
        <v>24437</v>
      </c>
      <c r="C12417" s="11" t="s">
        <v>59</v>
      </c>
      <c r="D12417" s="11" t="s">
        <v>60</v>
      </c>
      <c r="E12417" s="12" t="s">
        <v>1588</v>
      </c>
      <c r="F12417" s="12" t="s">
        <v>1589</v>
      </c>
      <c r="G12417" s="12" t="s">
        <v>29</v>
      </c>
      <c r="H12417" s="11" t="s">
        <v>63</v>
      </c>
      <c r="I12417" s="13" t="s">
        <v>24438</v>
      </c>
      <c r="J12417" s="14" t="str">
        <f>HYPERLINK("https://www.boe.es/gazeta/dias/1839/07/27/pdfs/GMD-1839-1716.pdf#page=1","Abrir facsímil")</f>
        <v>Abrir facsímil</v>
      </c>
      <c r="K12417" s="12" t="s">
        <v>65</v>
      </c>
    </row>
    <row r="12418" spans="1:11" ht="40.049999999999997" customHeight="1" x14ac:dyDescent="0.25">
      <c r="A12418" s="11" t="s">
        <v>24439</v>
      </c>
      <c r="B12418" s="11" t="s">
        <v>24440</v>
      </c>
      <c r="C12418" s="11" t="s">
        <v>17</v>
      </c>
      <c r="D12418" s="11" t="s">
        <v>43</v>
      </c>
      <c r="E12418" s="12" t="s">
        <v>1252</v>
      </c>
      <c r="F12418" s="12" t="s">
        <v>1253</v>
      </c>
      <c r="G12418" s="12" t="s">
        <v>29</v>
      </c>
      <c r="H12418" s="11" t="s">
        <v>63</v>
      </c>
      <c r="I12418" s="13" t="s">
        <v>24441</v>
      </c>
      <c r="J12418" s="14" t="str">
        <f>HYPERLINK("https://www.boe.es/gazeta/dias/1839/06/15/pdfs/GMD-1839-1673.pdf#page=1","Abrir facsímil")</f>
        <v>Abrir facsímil</v>
      </c>
      <c r="K12418" s="12" t="s">
        <v>65</v>
      </c>
    </row>
    <row r="12419" spans="1:11" ht="40.049999999999997" customHeight="1" x14ac:dyDescent="0.25">
      <c r="A12419" s="11" t="s">
        <v>24439</v>
      </c>
      <c r="B12419" s="11" t="s">
        <v>24440</v>
      </c>
      <c r="C12419" s="11" t="s">
        <v>17</v>
      </c>
      <c r="D12419" s="11" t="s">
        <v>18</v>
      </c>
      <c r="E12419" s="12" t="s">
        <v>438</v>
      </c>
      <c r="F12419" s="12" t="s">
        <v>439</v>
      </c>
      <c r="G12419" s="12" t="s">
        <v>40</v>
      </c>
      <c r="H12419" s="11" t="s">
        <v>63</v>
      </c>
      <c r="I12419" s="13" t="s">
        <v>24442</v>
      </c>
      <c r="J12419" s="14" t="str">
        <f>HYPERLINK("https://www.boe.es/gazeta/dias/1839/07/17/pdfs/GMD-1839-1705.pdf#page=2","Abrir facsímil")</f>
        <v>Abrir facsímil</v>
      </c>
      <c r="K12419" s="12" t="s">
        <v>65</v>
      </c>
    </row>
    <row r="12420" spans="1:11" ht="40.049999999999997" customHeight="1" x14ac:dyDescent="0.25">
      <c r="A12420" s="11" t="s">
        <v>24443</v>
      </c>
      <c r="B12420" s="11" t="s">
        <v>24444</v>
      </c>
      <c r="C12420" s="11" t="s">
        <v>80</v>
      </c>
      <c r="D12420" s="11" t="s">
        <v>18</v>
      </c>
      <c r="E12420" s="12" t="s">
        <v>369</v>
      </c>
      <c r="F12420" s="12" t="s">
        <v>370</v>
      </c>
      <c r="G12420" s="12" t="s">
        <v>21</v>
      </c>
      <c r="H12420" s="11" t="s">
        <v>63</v>
      </c>
      <c r="I12420" s="13" t="s">
        <v>24445</v>
      </c>
      <c r="J12420" s="14" t="str">
        <f>HYPERLINK("https://www.boe.es/gazeta/dias/1839/11/01/pdfs/GMD-1839-1818.pdf#page=4","Abrir facsímil")</f>
        <v>Abrir facsímil</v>
      </c>
      <c r="K12420" s="12" t="s">
        <v>65</v>
      </c>
    </row>
    <row r="12421" spans="1:11" ht="40.049999999999997" customHeight="1" x14ac:dyDescent="0.25">
      <c r="A12421" s="11" t="s">
        <v>24446</v>
      </c>
      <c r="B12421" s="11" t="s">
        <v>24446</v>
      </c>
      <c r="C12421" s="11" t="s">
        <v>17</v>
      </c>
      <c r="D12421" s="11" t="s">
        <v>18</v>
      </c>
      <c r="E12421" s="12" t="s">
        <v>160</v>
      </c>
      <c r="F12421" s="12" t="s">
        <v>161</v>
      </c>
      <c r="G12421" s="12" t="s">
        <v>29</v>
      </c>
      <c r="H12421" s="11" t="s">
        <v>63</v>
      </c>
      <c r="I12421" s="13" t="s">
        <v>24447</v>
      </c>
      <c r="J12421" s="14" t="str">
        <f>HYPERLINK("https://www.boe.es/gazeta/dias/1839/01/10/pdfs/GMD-1839-1517.pdf#page=1","Abrir facsímil")</f>
        <v>Abrir facsímil</v>
      </c>
      <c r="K12421" s="12" t="s">
        <v>65</v>
      </c>
    </row>
    <row r="12422" spans="1:11" ht="40.049999999999997" customHeight="1" x14ac:dyDescent="0.25">
      <c r="A12422" s="11" t="s">
        <v>24446</v>
      </c>
      <c r="B12422" s="11" t="s">
        <v>24446</v>
      </c>
      <c r="C12422" s="11" t="s">
        <v>80</v>
      </c>
      <c r="D12422" s="11" t="s">
        <v>18</v>
      </c>
      <c r="E12422" s="12" t="s">
        <v>592</v>
      </c>
      <c r="F12422" s="12" t="s">
        <v>593</v>
      </c>
      <c r="G12422" s="12" t="s">
        <v>40</v>
      </c>
      <c r="H12422" s="11" t="s">
        <v>63</v>
      </c>
      <c r="I12422" s="13" t="s">
        <v>24448</v>
      </c>
      <c r="J12422" s="14" t="str">
        <f>HYPERLINK("https://www.boe.es/gazeta/dias/1839/09/14/pdfs/GMD-1839-1767.pdf#page=2","Abrir facsímil")</f>
        <v>Abrir facsímil</v>
      </c>
      <c r="K12422" s="12" t="s">
        <v>65</v>
      </c>
    </row>
    <row r="12423" spans="1:11" ht="40.049999999999997" customHeight="1" x14ac:dyDescent="0.25">
      <c r="A12423" s="11" t="s">
        <v>24446</v>
      </c>
      <c r="B12423" s="11" t="s">
        <v>24446</v>
      </c>
      <c r="C12423" s="11" t="s">
        <v>101</v>
      </c>
      <c r="D12423" s="11" t="s">
        <v>43</v>
      </c>
      <c r="E12423" s="12" t="s">
        <v>2155</v>
      </c>
      <c r="F12423" s="12" t="s">
        <v>2156</v>
      </c>
      <c r="G12423" s="12" t="s">
        <v>40</v>
      </c>
      <c r="H12423" s="11" t="s">
        <v>63</v>
      </c>
      <c r="I12423" s="13" t="s">
        <v>24449</v>
      </c>
      <c r="J12423" s="14" t="str">
        <f>HYPERLINK("https://www.boe.es/gazeta/dias/1839/01/17/pdfs/GMD-1839-1524.pdf#page=2","Abrir facsímil")</f>
        <v>Abrir facsímil</v>
      </c>
      <c r="K12423" s="12" t="s">
        <v>65</v>
      </c>
    </row>
    <row r="12424" spans="1:11" ht="40.049999999999997" customHeight="1" x14ac:dyDescent="0.25">
      <c r="A12424" s="11" t="s">
        <v>24446</v>
      </c>
      <c r="B12424" s="11" t="s">
        <v>24446</v>
      </c>
      <c r="C12424" s="11" t="s">
        <v>17</v>
      </c>
      <c r="D12424" s="11" t="s">
        <v>18</v>
      </c>
      <c r="E12424" s="12" t="s">
        <v>233</v>
      </c>
      <c r="F12424" s="12" t="s">
        <v>234</v>
      </c>
      <c r="G12424" s="12" t="s">
        <v>40</v>
      </c>
      <c r="H12424" s="11" t="s">
        <v>63</v>
      </c>
      <c r="I12424" s="13" t="s">
        <v>24450</v>
      </c>
      <c r="J12424" s="14" t="str">
        <f>HYPERLINK("https://www.boe.es/gazeta/dias/1839/09/17/pdfs/GMD-1839-1770.pdf#page=2","Abrir facsímil")</f>
        <v>Abrir facsímil</v>
      </c>
      <c r="K12424" s="12" t="s">
        <v>65</v>
      </c>
    </row>
    <row r="12425" spans="1:11" ht="40.049999999999997" customHeight="1" x14ac:dyDescent="0.25">
      <c r="A12425" s="11" t="s">
        <v>24446</v>
      </c>
      <c r="B12425" s="11" t="s">
        <v>24446</v>
      </c>
      <c r="C12425" s="11" t="s">
        <v>59</v>
      </c>
      <c r="D12425" s="11" t="s">
        <v>60</v>
      </c>
      <c r="E12425" s="12" t="s">
        <v>1490</v>
      </c>
      <c r="F12425" s="12" t="s">
        <v>1491</v>
      </c>
      <c r="G12425" s="12" t="s">
        <v>21</v>
      </c>
      <c r="H12425" s="11" t="s">
        <v>63</v>
      </c>
      <c r="I12425" s="13" t="s">
        <v>24451</v>
      </c>
      <c r="J12425" s="14" t="str">
        <f>HYPERLINK("https://www.boe.es/gazeta/dias/1839/02/27/pdfs/GMD-1839-1565.pdf#page=4","Abrir facsímil")</f>
        <v>Abrir facsímil</v>
      </c>
      <c r="K12425" s="12" t="s">
        <v>65</v>
      </c>
    </row>
    <row r="12426" spans="1:11" ht="40.049999999999997" customHeight="1" x14ac:dyDescent="0.25">
      <c r="A12426" s="11" t="s">
        <v>24452</v>
      </c>
      <c r="B12426" s="11" t="s">
        <v>24452</v>
      </c>
      <c r="C12426" s="11" t="s">
        <v>17</v>
      </c>
      <c r="D12426" s="11" t="s">
        <v>18</v>
      </c>
      <c r="E12426" s="12" t="s">
        <v>1086</v>
      </c>
      <c r="F12426" s="12" t="s">
        <v>1087</v>
      </c>
      <c r="G12426" s="12" t="s">
        <v>21</v>
      </c>
      <c r="H12426" s="11" t="s">
        <v>63</v>
      </c>
      <c r="I12426" s="13" t="s">
        <v>24453</v>
      </c>
      <c r="J12426" s="14" t="str">
        <f>HYPERLINK("https://www.boe.es/gazeta/dias/1839/10/26/pdfs/GMD-1839-1812.pdf#page=4","Abrir facsímil")</f>
        <v>Abrir facsímil</v>
      </c>
      <c r="K12426" s="12" t="s">
        <v>65</v>
      </c>
    </row>
    <row r="12427" spans="1:11" ht="40.049999999999997" customHeight="1" x14ac:dyDescent="0.25">
      <c r="A12427" s="11" t="s">
        <v>24454</v>
      </c>
      <c r="B12427" s="11" t="s">
        <v>24455</v>
      </c>
      <c r="C12427" s="11" t="s">
        <v>101</v>
      </c>
      <c r="D12427" s="11" t="s">
        <v>102</v>
      </c>
      <c r="E12427" s="12" t="s">
        <v>716</v>
      </c>
      <c r="F12427" s="12" t="s">
        <v>717</v>
      </c>
      <c r="G12427" s="12" t="s">
        <v>21</v>
      </c>
      <c r="H12427" s="11" t="s">
        <v>63</v>
      </c>
      <c r="I12427" s="13" t="s">
        <v>24456</v>
      </c>
      <c r="J12427" s="14" t="str">
        <f>HYPERLINK("https://www.boe.es/gazeta/dias/1839/07/30/pdfs/GMD-1839-1719.pdf#page=4","Abrir facsímil")</f>
        <v>Abrir facsímil</v>
      </c>
      <c r="K12427" s="12" t="s">
        <v>65</v>
      </c>
    </row>
    <row r="12428" spans="1:11" ht="40.049999999999997" customHeight="1" x14ac:dyDescent="0.25">
      <c r="A12428" s="11" t="s">
        <v>24457</v>
      </c>
      <c r="B12428" s="11" t="s">
        <v>24457</v>
      </c>
      <c r="C12428" s="11" t="s">
        <v>80</v>
      </c>
      <c r="D12428" s="11" t="s">
        <v>18</v>
      </c>
      <c r="E12428" s="12" t="s">
        <v>1057</v>
      </c>
      <c r="F12428" s="12" t="s">
        <v>1058</v>
      </c>
      <c r="G12428" s="12" t="s">
        <v>566</v>
      </c>
      <c r="H12428" s="11" t="s">
        <v>63</v>
      </c>
      <c r="I12428" s="13" t="s">
        <v>24458</v>
      </c>
      <c r="J12428" s="14" t="str">
        <f>HYPERLINK("https://www.boe.es/gazeta/dias/1839/10/01/pdfs/GMD-1839-1787.pdf#page=5","Abrir facsímil")</f>
        <v>Abrir facsímil</v>
      </c>
      <c r="K12428" s="12" t="s">
        <v>65</v>
      </c>
    </row>
    <row r="12429" spans="1:11" ht="40.049999999999997" customHeight="1" x14ac:dyDescent="0.25">
      <c r="A12429" s="11" t="s">
        <v>24459</v>
      </c>
      <c r="B12429" s="11" t="s">
        <v>24459</v>
      </c>
      <c r="C12429" s="11" t="s">
        <v>17</v>
      </c>
      <c r="D12429" s="11" t="s">
        <v>18</v>
      </c>
      <c r="E12429" s="12" t="s">
        <v>720</v>
      </c>
      <c r="F12429" s="12" t="s">
        <v>721</v>
      </c>
      <c r="G12429" s="12" t="s">
        <v>29</v>
      </c>
      <c r="H12429" s="11" t="s">
        <v>63</v>
      </c>
      <c r="I12429" s="13" t="s">
        <v>24460</v>
      </c>
      <c r="J12429" s="14" t="str">
        <f>HYPERLINK("https://www.boe.es/gazeta/dias/1839/01/14/pdfs/GMD-1839-1521.pdf#page=1","Abrir facsímil")</f>
        <v>Abrir facsímil</v>
      </c>
      <c r="K12429" s="12" t="s">
        <v>65</v>
      </c>
    </row>
    <row r="12430" spans="1:11" ht="40.049999999999997" customHeight="1" x14ac:dyDescent="0.25">
      <c r="A12430" s="11" t="s">
        <v>24461</v>
      </c>
      <c r="B12430" s="11" t="s">
        <v>24461</v>
      </c>
      <c r="C12430" s="11" t="s">
        <v>101</v>
      </c>
      <c r="D12430" s="11" t="s">
        <v>43</v>
      </c>
      <c r="E12430" s="12" t="s">
        <v>433</v>
      </c>
      <c r="F12430" s="12" t="s">
        <v>434</v>
      </c>
      <c r="G12430" s="12" t="s">
        <v>21</v>
      </c>
      <c r="H12430" s="11" t="s">
        <v>63</v>
      </c>
      <c r="I12430" s="13" t="s">
        <v>24462</v>
      </c>
      <c r="J12430" s="14" t="str">
        <f>HYPERLINK("https://www.boe.es/gazeta/dias/1839/01/20/pdfs/GMD-1839-1527.pdf#page=4","Abrir facsímil")</f>
        <v>Abrir facsímil</v>
      </c>
      <c r="K12430" s="12" t="s">
        <v>65</v>
      </c>
    </row>
    <row r="12431" spans="1:11" ht="40.049999999999997" customHeight="1" x14ac:dyDescent="0.25">
      <c r="A12431" s="11" t="s">
        <v>24463</v>
      </c>
      <c r="B12431" s="11" t="s">
        <v>24463</v>
      </c>
      <c r="C12431" s="11" t="s">
        <v>17</v>
      </c>
      <c r="D12431" s="11" t="s">
        <v>18</v>
      </c>
      <c r="E12431" s="12" t="s">
        <v>1057</v>
      </c>
      <c r="F12431" s="12" t="s">
        <v>1058</v>
      </c>
      <c r="G12431" s="12" t="s">
        <v>46</v>
      </c>
      <c r="H12431" s="11" t="s">
        <v>22</v>
      </c>
      <c r="I12431" s="13" t="s">
        <v>24464</v>
      </c>
      <c r="J12431" s="14" t="str">
        <f>HYPERLINK("https://www.boe.es/gazeta/dias/1839/10/01/pdfs/GMD-1839-1787.pdf#page=3","Abrir facsímil")</f>
        <v>Abrir facsímil</v>
      </c>
      <c r="K12431" s="12" t="s">
        <v>24</v>
      </c>
    </row>
    <row r="12432" spans="1:11" ht="40.049999999999997" customHeight="1" x14ac:dyDescent="0.25">
      <c r="A12432" s="11" t="s">
        <v>24463</v>
      </c>
      <c r="B12432" s="11" t="s">
        <v>24463</v>
      </c>
      <c r="C12432" s="11" t="s">
        <v>101</v>
      </c>
      <c r="D12432" s="11" t="s">
        <v>43</v>
      </c>
      <c r="E12432" s="12" t="s">
        <v>108</v>
      </c>
      <c r="F12432" s="12" t="s">
        <v>109</v>
      </c>
      <c r="G12432" s="12" t="s">
        <v>21</v>
      </c>
      <c r="H12432" s="11" t="s">
        <v>22</v>
      </c>
      <c r="I12432" s="13" t="s">
        <v>24465</v>
      </c>
      <c r="J12432" s="14" t="str">
        <f>HYPERLINK("https://www.boe.es/gazeta/dias/1839/01/04/pdfs/GMD-1839-1511.pdf#page=4","Abrir facsímil")</f>
        <v>Abrir facsímil</v>
      </c>
      <c r="K12432" s="12" t="s">
        <v>24</v>
      </c>
    </row>
    <row r="12433" spans="1:11" ht="40.049999999999997" customHeight="1" x14ac:dyDescent="0.25">
      <c r="A12433" s="11" t="s">
        <v>24463</v>
      </c>
      <c r="B12433" s="11" t="s">
        <v>24463</v>
      </c>
      <c r="C12433" s="11" t="s">
        <v>101</v>
      </c>
      <c r="D12433" s="11" t="s">
        <v>43</v>
      </c>
      <c r="E12433" s="12" t="s">
        <v>291</v>
      </c>
      <c r="F12433" s="12" t="s">
        <v>292</v>
      </c>
      <c r="G12433" s="12" t="s">
        <v>40</v>
      </c>
      <c r="H12433" s="11" t="s">
        <v>22</v>
      </c>
      <c r="I12433" s="13" t="s">
        <v>24466</v>
      </c>
      <c r="J12433" s="14" t="str">
        <f>HYPERLINK("https://www.boe.es/gazeta/dias/1839/09/04/pdfs/GMD-1839-1757.pdf#page=2","Abrir facsímil")</f>
        <v>Abrir facsímil</v>
      </c>
      <c r="K12433" s="12" t="s">
        <v>24</v>
      </c>
    </row>
    <row r="12434" spans="1:11" ht="40.049999999999997" customHeight="1" x14ac:dyDescent="0.25">
      <c r="A12434" s="11" t="s">
        <v>24463</v>
      </c>
      <c r="B12434" s="11" t="s">
        <v>24463</v>
      </c>
      <c r="C12434" s="11" t="s">
        <v>101</v>
      </c>
      <c r="D12434" s="11" t="s">
        <v>102</v>
      </c>
      <c r="E12434" s="12" t="s">
        <v>2210</v>
      </c>
      <c r="F12434" s="12" t="s">
        <v>2211</v>
      </c>
      <c r="G12434" s="12" t="s">
        <v>40</v>
      </c>
      <c r="H12434" s="11" t="s">
        <v>22</v>
      </c>
      <c r="I12434" s="13" t="s">
        <v>24467</v>
      </c>
      <c r="J12434" s="14" t="str">
        <f>HYPERLINK("https://www.boe.es/gazeta/dias/1839/09/05/pdfs/GMD-1839-1758.pdf#page=2","Abrir facsímil")</f>
        <v>Abrir facsímil</v>
      </c>
      <c r="K12434" s="12" t="s">
        <v>24</v>
      </c>
    </row>
    <row r="12435" spans="1:11" ht="40.049999999999997" customHeight="1" x14ac:dyDescent="0.25">
      <c r="A12435" s="11" t="s">
        <v>24463</v>
      </c>
      <c r="B12435" s="11" t="s">
        <v>24463</v>
      </c>
      <c r="C12435" s="11" t="s">
        <v>17</v>
      </c>
      <c r="D12435" s="11" t="s">
        <v>18</v>
      </c>
      <c r="E12435" s="12" t="s">
        <v>2210</v>
      </c>
      <c r="F12435" s="12" t="s">
        <v>2211</v>
      </c>
      <c r="G12435" s="12" t="s">
        <v>46</v>
      </c>
      <c r="H12435" s="11" t="s">
        <v>22</v>
      </c>
      <c r="I12435" s="13" t="s">
        <v>24468</v>
      </c>
      <c r="J12435" s="14" t="str">
        <f>HYPERLINK("https://www.boe.es/gazeta/dias/1839/09/05/pdfs/GMD-1839-1758.pdf#page=3","Abrir facsímil")</f>
        <v>Abrir facsímil</v>
      </c>
      <c r="K12435" s="12" t="s">
        <v>24</v>
      </c>
    </row>
    <row r="12436" spans="1:11" ht="40.049999999999997" customHeight="1" x14ac:dyDescent="0.25">
      <c r="A12436" s="11" t="s">
        <v>24463</v>
      </c>
      <c r="B12436" s="11" t="s">
        <v>24463</v>
      </c>
      <c r="C12436" s="11" t="s">
        <v>17</v>
      </c>
      <c r="D12436" s="11" t="s">
        <v>18</v>
      </c>
      <c r="E12436" s="12" t="s">
        <v>157</v>
      </c>
      <c r="F12436" s="12" t="s">
        <v>158</v>
      </c>
      <c r="G12436" s="12" t="s">
        <v>40</v>
      </c>
      <c r="H12436" s="11" t="s">
        <v>22</v>
      </c>
      <c r="I12436" s="13" t="s">
        <v>24469</v>
      </c>
      <c r="J12436" s="14" t="str">
        <f>HYPERLINK("https://www.boe.es/gazeta/dias/1839/02/08/pdfs/GMD-1839-1546.pdf#page=2","Abrir facsímil")</f>
        <v>Abrir facsímil</v>
      </c>
      <c r="K12436" s="12" t="s">
        <v>24</v>
      </c>
    </row>
    <row r="12437" spans="1:11" ht="40.049999999999997" customHeight="1" x14ac:dyDescent="0.25">
      <c r="A12437" s="11" t="s">
        <v>24463</v>
      </c>
      <c r="B12437" s="11" t="s">
        <v>24463</v>
      </c>
      <c r="C12437" s="11" t="s">
        <v>101</v>
      </c>
      <c r="D12437" s="11" t="s">
        <v>43</v>
      </c>
      <c r="E12437" s="12" t="s">
        <v>160</v>
      </c>
      <c r="F12437" s="12" t="s">
        <v>161</v>
      </c>
      <c r="G12437" s="12" t="s">
        <v>46</v>
      </c>
      <c r="H12437" s="11" t="s">
        <v>22</v>
      </c>
      <c r="I12437" s="13" t="s">
        <v>24470</v>
      </c>
      <c r="J12437" s="14" t="str">
        <f>HYPERLINK("https://www.boe.es/gazeta/dias/1839/01/10/pdfs/GMD-1839-1517.pdf#page=3","Abrir facsímil")</f>
        <v>Abrir facsímil</v>
      </c>
      <c r="K12437" s="12" t="s">
        <v>24</v>
      </c>
    </row>
    <row r="12438" spans="1:11" ht="40.049999999999997" customHeight="1" x14ac:dyDescent="0.25">
      <c r="A12438" s="11" t="s">
        <v>24463</v>
      </c>
      <c r="B12438" s="11" t="s">
        <v>24463</v>
      </c>
      <c r="C12438" s="11" t="s">
        <v>101</v>
      </c>
      <c r="D12438" s="11" t="s">
        <v>43</v>
      </c>
      <c r="E12438" s="12" t="s">
        <v>269</v>
      </c>
      <c r="F12438" s="12" t="s">
        <v>270</v>
      </c>
      <c r="G12438" s="12" t="s">
        <v>46</v>
      </c>
      <c r="H12438" s="11" t="s">
        <v>22</v>
      </c>
      <c r="I12438" s="13" t="s">
        <v>24471</v>
      </c>
      <c r="J12438" s="14" t="str">
        <f>HYPERLINK("https://www.boe.es/gazeta/dias/1839/02/10/pdfs/GMD-1839-1548.pdf#page=3","Abrir facsímil")</f>
        <v>Abrir facsímil</v>
      </c>
      <c r="K12438" s="12" t="s">
        <v>24</v>
      </c>
    </row>
    <row r="12439" spans="1:11" ht="40.049999999999997" customHeight="1" x14ac:dyDescent="0.25">
      <c r="A12439" s="11" t="s">
        <v>24463</v>
      </c>
      <c r="B12439" s="11" t="s">
        <v>24463</v>
      </c>
      <c r="C12439" s="11" t="s">
        <v>101</v>
      </c>
      <c r="D12439" s="11" t="s">
        <v>43</v>
      </c>
      <c r="E12439" s="12" t="s">
        <v>181</v>
      </c>
      <c r="F12439" s="12" t="s">
        <v>182</v>
      </c>
      <c r="G12439" s="12" t="s">
        <v>46</v>
      </c>
      <c r="H12439" s="11" t="s">
        <v>22</v>
      </c>
      <c r="I12439" s="13" t="s">
        <v>24472</v>
      </c>
      <c r="J12439" s="14" t="str">
        <f>HYPERLINK("https://www.boe.es/gazeta/dias/1839/01/11/pdfs/GMD-1839-1518.pdf#page=3","Abrir facsímil")</f>
        <v>Abrir facsímil</v>
      </c>
      <c r="K12439" s="12" t="s">
        <v>24</v>
      </c>
    </row>
    <row r="12440" spans="1:11" ht="40.049999999999997" customHeight="1" x14ac:dyDescent="0.25">
      <c r="A12440" s="11" t="s">
        <v>24463</v>
      </c>
      <c r="B12440" s="11" t="s">
        <v>24463</v>
      </c>
      <c r="C12440" s="11" t="s">
        <v>17</v>
      </c>
      <c r="D12440" s="11" t="s">
        <v>18</v>
      </c>
      <c r="E12440" s="12" t="s">
        <v>192</v>
      </c>
      <c r="F12440" s="12" t="s">
        <v>193</v>
      </c>
      <c r="G12440" s="12" t="s">
        <v>46</v>
      </c>
      <c r="H12440" s="11" t="s">
        <v>22</v>
      </c>
      <c r="I12440" s="13" t="s">
        <v>24473</v>
      </c>
      <c r="J12440" s="14" t="str">
        <f>HYPERLINK("https://www.boe.es/gazeta/dias/1839/01/12/pdfs/GMD-1839-1519.pdf#page=3","Abrir facsímil")</f>
        <v>Abrir facsímil</v>
      </c>
      <c r="K12440" s="12" t="s">
        <v>24</v>
      </c>
    </row>
    <row r="12441" spans="1:11" ht="40.049999999999997" customHeight="1" x14ac:dyDescent="0.25">
      <c r="A12441" s="11" t="s">
        <v>24463</v>
      </c>
      <c r="B12441" s="11" t="s">
        <v>24463</v>
      </c>
      <c r="C12441" s="11" t="s">
        <v>17</v>
      </c>
      <c r="D12441" s="11" t="s">
        <v>18</v>
      </c>
      <c r="E12441" s="12" t="s">
        <v>163</v>
      </c>
      <c r="F12441" s="12" t="s">
        <v>164</v>
      </c>
      <c r="G12441" s="12" t="s">
        <v>29</v>
      </c>
      <c r="H12441" s="11" t="s">
        <v>22</v>
      </c>
      <c r="I12441" s="13" t="s">
        <v>24474</v>
      </c>
      <c r="J12441" s="14" t="str">
        <f>HYPERLINK("https://www.boe.es/gazeta/dias/1839/01/13/pdfs/GMD-1839-1520.pdf#page=1","Abrir facsímil")</f>
        <v>Abrir facsímil</v>
      </c>
      <c r="K12441" s="12" t="s">
        <v>24</v>
      </c>
    </row>
    <row r="12442" spans="1:11" ht="40.049999999999997" customHeight="1" x14ac:dyDescent="0.25">
      <c r="A12442" s="11" t="s">
        <v>24463</v>
      </c>
      <c r="B12442" s="11" t="s">
        <v>24463</v>
      </c>
      <c r="C12442" s="11" t="s">
        <v>17</v>
      </c>
      <c r="D12442" s="11" t="s">
        <v>18</v>
      </c>
      <c r="E12442" s="12" t="s">
        <v>1100</v>
      </c>
      <c r="F12442" s="12" t="s">
        <v>1101</v>
      </c>
      <c r="G12442" s="12" t="s">
        <v>21</v>
      </c>
      <c r="H12442" s="11" t="s">
        <v>22</v>
      </c>
      <c r="I12442" s="13" t="s">
        <v>24475</v>
      </c>
      <c r="J12442" s="14" t="str">
        <f>HYPERLINK("https://www.boe.es/gazeta/dias/1839/09/13/pdfs/GMD-1839-1766.pdf#page=4","Abrir facsímil")</f>
        <v>Abrir facsímil</v>
      </c>
      <c r="K12442" s="12" t="s">
        <v>24</v>
      </c>
    </row>
    <row r="12443" spans="1:11" ht="40.049999999999997" customHeight="1" x14ac:dyDescent="0.25">
      <c r="A12443" s="11" t="s">
        <v>24463</v>
      </c>
      <c r="B12443" s="11" t="s">
        <v>24463</v>
      </c>
      <c r="C12443" s="11" t="s">
        <v>17</v>
      </c>
      <c r="D12443" s="11" t="s">
        <v>18</v>
      </c>
      <c r="E12443" s="12" t="s">
        <v>1236</v>
      </c>
      <c r="F12443" s="12" t="s">
        <v>1237</v>
      </c>
      <c r="G12443" s="12" t="s">
        <v>40</v>
      </c>
      <c r="H12443" s="11" t="s">
        <v>22</v>
      </c>
      <c r="I12443" s="13" t="s">
        <v>24476</v>
      </c>
      <c r="J12443" s="14" t="str">
        <f>HYPERLINK("https://www.boe.es/gazeta/dias/1839/10/16/pdfs/GMD-1839-1802.pdf#page=2","Abrir facsímil")</f>
        <v>Abrir facsímil</v>
      </c>
      <c r="K12443" s="12" t="s">
        <v>24</v>
      </c>
    </row>
    <row r="12444" spans="1:11" ht="40.049999999999997" customHeight="1" x14ac:dyDescent="0.25">
      <c r="A12444" s="11" t="s">
        <v>24463</v>
      </c>
      <c r="B12444" s="11" t="s">
        <v>24463</v>
      </c>
      <c r="C12444" s="11" t="s">
        <v>137</v>
      </c>
      <c r="D12444" s="11" t="s">
        <v>18</v>
      </c>
      <c r="E12444" s="12" t="s">
        <v>1236</v>
      </c>
      <c r="F12444" s="12" t="s">
        <v>1237</v>
      </c>
      <c r="G12444" s="12" t="s">
        <v>21</v>
      </c>
      <c r="H12444" s="11" t="s">
        <v>22</v>
      </c>
      <c r="I12444" s="13" t="s">
        <v>24477</v>
      </c>
      <c r="J12444" s="14" t="str">
        <f>HYPERLINK("https://www.boe.es/gazeta/dias/1839/10/16/pdfs/GMD-1839-1802.pdf#page=4","Abrir facsímil")</f>
        <v>Abrir facsímil</v>
      </c>
      <c r="K12444" s="12" t="s">
        <v>24</v>
      </c>
    </row>
    <row r="12445" spans="1:11" ht="40.049999999999997" customHeight="1" x14ac:dyDescent="0.25">
      <c r="A12445" s="11" t="s">
        <v>24463</v>
      </c>
      <c r="B12445" s="11" t="s">
        <v>24463</v>
      </c>
      <c r="C12445" s="11" t="s">
        <v>17</v>
      </c>
      <c r="D12445" s="11" t="s">
        <v>18</v>
      </c>
      <c r="E12445" s="12" t="s">
        <v>236</v>
      </c>
      <c r="F12445" s="12" t="s">
        <v>237</v>
      </c>
      <c r="G12445" s="12" t="s">
        <v>40</v>
      </c>
      <c r="H12445" s="11" t="s">
        <v>22</v>
      </c>
      <c r="I12445" s="13" t="s">
        <v>24478</v>
      </c>
      <c r="J12445" s="14" t="str">
        <f>HYPERLINK("https://www.boe.es/gazeta/dias/1839/09/18/pdfs/GMD-1839-1771.pdf#page=2","Abrir facsímil")</f>
        <v>Abrir facsímil</v>
      </c>
      <c r="K12445" s="12" t="s">
        <v>24</v>
      </c>
    </row>
    <row r="12446" spans="1:11" ht="40.049999999999997" customHeight="1" x14ac:dyDescent="0.25">
      <c r="A12446" s="11" t="s">
        <v>24463</v>
      </c>
      <c r="B12446" s="11" t="s">
        <v>24463</v>
      </c>
      <c r="C12446" s="11" t="s">
        <v>17</v>
      </c>
      <c r="D12446" s="11" t="s">
        <v>18</v>
      </c>
      <c r="E12446" s="12" t="s">
        <v>2222</v>
      </c>
      <c r="F12446" s="12" t="s">
        <v>2223</v>
      </c>
      <c r="G12446" s="12" t="s">
        <v>40</v>
      </c>
      <c r="H12446" s="11" t="s">
        <v>22</v>
      </c>
      <c r="I12446" s="13" t="s">
        <v>24479</v>
      </c>
      <c r="J12446" s="14" t="str">
        <f>HYPERLINK("https://www.boe.es/gazeta/dias/1839/09/19/pdfs/GMD-1839-1773.pdf#page=2","Abrir facsímil")</f>
        <v>Abrir facsímil</v>
      </c>
      <c r="K12446" s="12" t="s">
        <v>24</v>
      </c>
    </row>
    <row r="12447" spans="1:11" ht="40.049999999999997" customHeight="1" x14ac:dyDescent="0.25">
      <c r="A12447" s="11" t="s">
        <v>24463</v>
      </c>
      <c r="B12447" s="11" t="s">
        <v>24463</v>
      </c>
      <c r="C12447" s="11" t="s">
        <v>17</v>
      </c>
      <c r="D12447" s="11" t="s">
        <v>18</v>
      </c>
      <c r="E12447" s="12" t="s">
        <v>433</v>
      </c>
      <c r="F12447" s="12" t="s">
        <v>434</v>
      </c>
      <c r="G12447" s="12" t="s">
        <v>46</v>
      </c>
      <c r="H12447" s="11" t="s">
        <v>22</v>
      </c>
      <c r="I12447" s="13" t="s">
        <v>24480</v>
      </c>
      <c r="J12447" s="14" t="str">
        <f>HYPERLINK("https://www.boe.es/gazeta/dias/1839/01/20/pdfs/GMD-1839-1527.pdf#page=3","Abrir facsímil")</f>
        <v>Abrir facsímil</v>
      </c>
      <c r="K12447" s="12" t="s">
        <v>24</v>
      </c>
    </row>
    <row r="12448" spans="1:11" ht="40.049999999999997" customHeight="1" x14ac:dyDescent="0.25">
      <c r="A12448" s="11" t="s">
        <v>24463</v>
      </c>
      <c r="B12448" s="11" t="s">
        <v>24463</v>
      </c>
      <c r="C12448" s="11" t="s">
        <v>17</v>
      </c>
      <c r="D12448" s="11" t="s">
        <v>18</v>
      </c>
      <c r="E12448" s="12" t="s">
        <v>2069</v>
      </c>
      <c r="F12448" s="12" t="s">
        <v>2070</v>
      </c>
      <c r="G12448" s="12" t="s">
        <v>305</v>
      </c>
      <c r="H12448" s="11" t="s">
        <v>22</v>
      </c>
      <c r="I12448" s="13" t="s">
        <v>24481</v>
      </c>
      <c r="J12448" s="14" t="str">
        <f>HYPERLINK("https://www.boe.es/gazeta/dias/1839/10/20/pdfs/GMD-1839-1806.pdf#page=6","Abrir facsímil")</f>
        <v>Abrir facsímil</v>
      </c>
      <c r="K12448" s="12" t="s">
        <v>24</v>
      </c>
    </row>
    <row r="12449" spans="1:11" ht="40.049999999999997" customHeight="1" x14ac:dyDescent="0.25">
      <c r="A12449" s="11" t="s">
        <v>24463</v>
      </c>
      <c r="B12449" s="11" t="s">
        <v>24463</v>
      </c>
      <c r="C12449" s="11" t="s">
        <v>59</v>
      </c>
      <c r="D12449" s="11" t="s">
        <v>60</v>
      </c>
      <c r="E12449" s="12" t="s">
        <v>596</v>
      </c>
      <c r="F12449" s="12" t="s">
        <v>597</v>
      </c>
      <c r="G12449" s="12" t="s">
        <v>21</v>
      </c>
      <c r="H12449" s="11" t="s">
        <v>22</v>
      </c>
      <c r="I12449" s="13" t="s">
        <v>24482</v>
      </c>
      <c r="J12449" s="14" t="str">
        <f>HYPERLINK("https://www.boe.es/gazeta/dias/1839/01/23/pdfs/GMD-1839-1530.pdf#page=4","Abrir facsímil")</f>
        <v>Abrir facsímil</v>
      </c>
      <c r="K12449" s="12" t="s">
        <v>24</v>
      </c>
    </row>
    <row r="12450" spans="1:11" ht="40.049999999999997" customHeight="1" x14ac:dyDescent="0.25">
      <c r="A12450" s="11" t="s">
        <v>24463</v>
      </c>
      <c r="B12450" s="11" t="s">
        <v>24463</v>
      </c>
      <c r="C12450" s="11" t="s">
        <v>80</v>
      </c>
      <c r="D12450" s="11" t="s">
        <v>18</v>
      </c>
      <c r="E12450" s="12" t="s">
        <v>568</v>
      </c>
      <c r="F12450" s="12" t="s">
        <v>569</v>
      </c>
      <c r="G12450" s="12" t="s">
        <v>21</v>
      </c>
      <c r="H12450" s="11" t="s">
        <v>22</v>
      </c>
      <c r="I12450" s="13" t="s">
        <v>24483</v>
      </c>
      <c r="J12450" s="14" t="str">
        <f>HYPERLINK("https://www.boe.es/gazeta/dias/1839/10/23/pdfs/GMD-1839-1809.pdf#page=4","Abrir facsímil")</f>
        <v>Abrir facsímil</v>
      </c>
      <c r="K12450" s="12" t="s">
        <v>24</v>
      </c>
    </row>
    <row r="12451" spans="1:11" ht="40.049999999999997" customHeight="1" x14ac:dyDescent="0.25">
      <c r="A12451" s="11" t="s">
        <v>24463</v>
      </c>
      <c r="B12451" s="11" t="s">
        <v>24463</v>
      </c>
      <c r="C12451" s="11" t="s">
        <v>17</v>
      </c>
      <c r="D12451" s="11" t="s">
        <v>18</v>
      </c>
      <c r="E12451" s="12" t="s">
        <v>276</v>
      </c>
      <c r="F12451" s="12" t="s">
        <v>277</v>
      </c>
      <c r="G12451" s="12" t="s">
        <v>46</v>
      </c>
      <c r="H12451" s="11" t="s">
        <v>22</v>
      </c>
      <c r="I12451" s="13" t="s">
        <v>24484</v>
      </c>
      <c r="J12451" s="14" t="str">
        <f>HYPERLINK("https://www.boe.es/gazeta/dias/1839/09/24/pdfs/GMD-1839-1780.pdf#page=3","Abrir facsímil")</f>
        <v>Abrir facsímil</v>
      </c>
      <c r="K12451" s="12" t="s">
        <v>24</v>
      </c>
    </row>
    <row r="12452" spans="1:11" ht="40.049999999999997" customHeight="1" x14ac:dyDescent="0.25">
      <c r="A12452" s="11" t="s">
        <v>24463</v>
      </c>
      <c r="B12452" s="11" t="s">
        <v>24463</v>
      </c>
      <c r="C12452" s="11" t="s">
        <v>17</v>
      </c>
      <c r="D12452" s="11" t="s">
        <v>18</v>
      </c>
      <c r="E12452" s="12" t="s">
        <v>276</v>
      </c>
      <c r="F12452" s="12" t="s">
        <v>277</v>
      </c>
      <c r="G12452" s="12" t="s">
        <v>21</v>
      </c>
      <c r="H12452" s="11" t="s">
        <v>22</v>
      </c>
      <c r="I12452" s="13" t="s">
        <v>24485</v>
      </c>
      <c r="J12452" s="14" t="str">
        <f>HYPERLINK("https://www.boe.es/gazeta/dias/1839/09/24/pdfs/GMD-1839-1780.pdf#page=4","Abrir facsímil")</f>
        <v>Abrir facsímil</v>
      </c>
      <c r="K12452" s="12" t="s">
        <v>24</v>
      </c>
    </row>
    <row r="12453" spans="1:11" ht="40.049999999999997" customHeight="1" x14ac:dyDescent="0.25">
      <c r="A12453" s="11" t="s">
        <v>24463</v>
      </c>
      <c r="B12453" s="11" t="s">
        <v>24463</v>
      </c>
      <c r="C12453" s="11" t="s">
        <v>101</v>
      </c>
      <c r="D12453" s="11" t="s">
        <v>43</v>
      </c>
      <c r="E12453" s="12" t="s">
        <v>284</v>
      </c>
      <c r="F12453" s="12" t="s">
        <v>285</v>
      </c>
      <c r="G12453" s="12" t="s">
        <v>40</v>
      </c>
      <c r="H12453" s="11" t="s">
        <v>22</v>
      </c>
      <c r="I12453" s="13" t="s">
        <v>24486</v>
      </c>
      <c r="J12453" s="14" t="str">
        <f>HYPERLINK("https://www.boe.es/gazeta/dias/1839/01/27/pdfs/GMD-1839-1534.pdf#page=2","Abrir facsímil")</f>
        <v>Abrir facsímil</v>
      </c>
      <c r="K12453" s="12" t="s">
        <v>24</v>
      </c>
    </row>
    <row r="12454" spans="1:11" ht="40.049999999999997" customHeight="1" x14ac:dyDescent="0.25">
      <c r="A12454" s="11" t="s">
        <v>24463</v>
      </c>
      <c r="B12454" s="11" t="s">
        <v>24463</v>
      </c>
      <c r="C12454" s="11" t="s">
        <v>80</v>
      </c>
      <c r="D12454" s="11" t="s">
        <v>18</v>
      </c>
      <c r="E12454" s="12" t="s">
        <v>862</v>
      </c>
      <c r="F12454" s="12" t="s">
        <v>863</v>
      </c>
      <c r="G12454" s="12" t="s">
        <v>305</v>
      </c>
      <c r="H12454" s="11" t="s">
        <v>22</v>
      </c>
      <c r="I12454" s="13" t="s">
        <v>24487</v>
      </c>
      <c r="J12454" s="14" t="str">
        <f>HYPERLINK("https://www.boe.es/gazeta/dias/1839/10/28/pdfs/GMD-1839-1814.pdf#page=6","Abrir facsímil")</f>
        <v>Abrir facsímil</v>
      </c>
      <c r="K12454" s="12" t="s">
        <v>24</v>
      </c>
    </row>
    <row r="12455" spans="1:11" ht="40.049999999999997" customHeight="1" x14ac:dyDescent="0.25">
      <c r="A12455" s="11" t="s">
        <v>24463</v>
      </c>
      <c r="B12455" s="11" t="s">
        <v>24463</v>
      </c>
      <c r="C12455" s="11" t="s">
        <v>137</v>
      </c>
      <c r="D12455" s="11" t="s">
        <v>18</v>
      </c>
      <c r="E12455" s="12" t="s">
        <v>1807</v>
      </c>
      <c r="F12455" s="12" t="s">
        <v>1808</v>
      </c>
      <c r="G12455" s="12" t="s">
        <v>46</v>
      </c>
      <c r="H12455" s="11" t="s">
        <v>22</v>
      </c>
      <c r="I12455" s="13" t="s">
        <v>24488</v>
      </c>
      <c r="J12455" s="14" t="str">
        <f>HYPERLINK("https://www.boe.es/gazeta/dias/1839/01/29/pdfs/GMD-1839-1536.pdf#page=3","Abrir facsímil")</f>
        <v>Abrir facsímil</v>
      </c>
      <c r="K12455" s="12" t="s">
        <v>24</v>
      </c>
    </row>
    <row r="12456" spans="1:11" ht="40.049999999999997" customHeight="1" x14ac:dyDescent="0.25">
      <c r="A12456" s="11" t="s">
        <v>24463</v>
      </c>
      <c r="B12456" s="11" t="s">
        <v>24463</v>
      </c>
      <c r="C12456" s="11" t="s">
        <v>137</v>
      </c>
      <c r="D12456" s="11" t="s">
        <v>18</v>
      </c>
      <c r="E12456" s="12" t="s">
        <v>1287</v>
      </c>
      <c r="F12456" s="12" t="s">
        <v>1288</v>
      </c>
      <c r="G12456" s="12" t="s">
        <v>46</v>
      </c>
      <c r="H12456" s="11" t="s">
        <v>22</v>
      </c>
      <c r="I12456" s="13" t="s">
        <v>24489</v>
      </c>
      <c r="J12456" s="14" t="str">
        <f>HYPERLINK("https://www.boe.es/gazeta/dias/1839/10/30/pdfs/GMD-1839-1816.pdf#page=3","Abrir facsímil")</f>
        <v>Abrir facsímil</v>
      </c>
      <c r="K12456" s="12" t="s">
        <v>24</v>
      </c>
    </row>
    <row r="12457" spans="1:11" ht="40.049999999999997" customHeight="1" x14ac:dyDescent="0.25">
      <c r="A12457" s="11" t="s">
        <v>24490</v>
      </c>
      <c r="B12457" s="11" t="s">
        <v>24491</v>
      </c>
      <c r="C12457" s="11" t="s">
        <v>80</v>
      </c>
      <c r="D12457" s="11" t="s">
        <v>18</v>
      </c>
      <c r="E12457" s="12" t="s">
        <v>1123</v>
      </c>
      <c r="F12457" s="12" t="s">
        <v>1124</v>
      </c>
      <c r="G12457" s="12" t="s">
        <v>29</v>
      </c>
      <c r="H12457" s="11" t="s">
        <v>63</v>
      </c>
      <c r="I12457" s="13" t="s">
        <v>24492</v>
      </c>
      <c r="J12457" s="14" t="str">
        <f>HYPERLINK("https://www.boe.es/gazeta/dias/1839/08/10/pdfs/GMD-1839-1730.pdf#page=1","Abrir facsímil")</f>
        <v>Abrir facsímil</v>
      </c>
      <c r="K12457" s="12" t="s">
        <v>65</v>
      </c>
    </row>
    <row r="12458" spans="1:11" ht="40.049999999999997" customHeight="1" x14ac:dyDescent="0.25">
      <c r="A12458" s="11" t="s">
        <v>24493</v>
      </c>
      <c r="B12458" s="11" t="s">
        <v>24493</v>
      </c>
      <c r="C12458" s="11" t="s">
        <v>101</v>
      </c>
      <c r="D12458" s="11" t="s">
        <v>43</v>
      </c>
      <c r="E12458" s="12" t="s">
        <v>262</v>
      </c>
      <c r="F12458" s="12" t="s">
        <v>263</v>
      </c>
      <c r="G12458" s="12" t="s">
        <v>29</v>
      </c>
      <c r="H12458" s="11" t="s">
        <v>22</v>
      </c>
      <c r="I12458" s="13" t="s">
        <v>24494</v>
      </c>
      <c r="J12458" s="14" t="str">
        <f>HYPERLINK("https://www.boe.es/gazeta/dias/1839/01/01/pdfs/GMD-1839-1508.pdf#page=1","Abrir facsímil")</f>
        <v>Abrir facsímil</v>
      </c>
      <c r="K12458" s="12" t="s">
        <v>24</v>
      </c>
    </row>
    <row r="12459" spans="1:11" ht="40.049999999999997" customHeight="1" x14ac:dyDescent="0.25">
      <c r="A12459" s="11" t="s">
        <v>24493</v>
      </c>
      <c r="B12459" s="11" t="s">
        <v>24493</v>
      </c>
      <c r="C12459" s="11" t="s">
        <v>101</v>
      </c>
      <c r="D12459" s="11" t="s">
        <v>43</v>
      </c>
      <c r="E12459" s="12" t="s">
        <v>262</v>
      </c>
      <c r="F12459" s="12" t="s">
        <v>263</v>
      </c>
      <c r="G12459" s="12" t="s">
        <v>40</v>
      </c>
      <c r="H12459" s="11" t="s">
        <v>22</v>
      </c>
      <c r="I12459" s="13" t="s">
        <v>24495</v>
      </c>
      <c r="J12459" s="14" t="str">
        <f>HYPERLINK("https://www.boe.es/gazeta/dias/1839/01/01/pdfs/GMD-1839-1508.pdf#page=2","Abrir facsímil")</f>
        <v>Abrir facsímil</v>
      </c>
      <c r="K12459" s="12" t="s">
        <v>24</v>
      </c>
    </row>
    <row r="12460" spans="1:11" ht="40.049999999999997" customHeight="1" x14ac:dyDescent="0.25">
      <c r="A12460" s="11" t="s">
        <v>24493</v>
      </c>
      <c r="B12460" s="11" t="s">
        <v>24493</v>
      </c>
      <c r="C12460" s="11" t="s">
        <v>101</v>
      </c>
      <c r="D12460" s="11" t="s">
        <v>43</v>
      </c>
      <c r="E12460" s="12" t="s">
        <v>262</v>
      </c>
      <c r="F12460" s="12" t="s">
        <v>263</v>
      </c>
      <c r="G12460" s="12" t="s">
        <v>46</v>
      </c>
      <c r="H12460" s="11" t="s">
        <v>22</v>
      </c>
      <c r="I12460" s="13" t="s">
        <v>24496</v>
      </c>
      <c r="J12460" s="14" t="str">
        <f>HYPERLINK("https://www.boe.es/gazeta/dias/1839/01/01/pdfs/GMD-1839-1508.pdf#page=3","Abrir facsímil")</f>
        <v>Abrir facsímil</v>
      </c>
      <c r="K12460" s="12" t="s">
        <v>24</v>
      </c>
    </row>
    <row r="12461" spans="1:11" ht="40.049999999999997" customHeight="1" x14ac:dyDescent="0.25">
      <c r="A12461" s="11" t="s">
        <v>24493</v>
      </c>
      <c r="B12461" s="11" t="s">
        <v>24493</v>
      </c>
      <c r="C12461" s="11" t="s">
        <v>101</v>
      </c>
      <c r="D12461" s="11" t="s">
        <v>102</v>
      </c>
      <c r="E12461" s="12" t="s">
        <v>262</v>
      </c>
      <c r="F12461" s="12" t="s">
        <v>263</v>
      </c>
      <c r="G12461" s="12" t="s">
        <v>21</v>
      </c>
      <c r="H12461" s="11" t="s">
        <v>22</v>
      </c>
      <c r="I12461" s="13" t="s">
        <v>24497</v>
      </c>
      <c r="J12461" s="14" t="str">
        <f>HYPERLINK("https://www.boe.es/gazeta/dias/1839/01/01/pdfs/GMD-1839-1508.pdf#page=4","Abrir facsímil")</f>
        <v>Abrir facsímil</v>
      </c>
      <c r="K12461" s="12" t="s">
        <v>24</v>
      </c>
    </row>
    <row r="12462" spans="1:11" ht="40.049999999999997" customHeight="1" x14ac:dyDescent="0.25">
      <c r="A12462" s="11" t="s">
        <v>24498</v>
      </c>
      <c r="B12462" s="11" t="s">
        <v>24498</v>
      </c>
      <c r="C12462" s="11" t="s">
        <v>59</v>
      </c>
      <c r="D12462" s="11" t="s">
        <v>60</v>
      </c>
      <c r="E12462" s="12" t="s">
        <v>1057</v>
      </c>
      <c r="F12462" s="12" t="s">
        <v>1058</v>
      </c>
      <c r="G12462" s="12" t="s">
        <v>29</v>
      </c>
      <c r="H12462" s="11" t="s">
        <v>63</v>
      </c>
      <c r="I12462" s="13" t="s">
        <v>24499</v>
      </c>
      <c r="J12462" s="14" t="str">
        <f>HYPERLINK("https://www.boe.es/gazeta/dias/1839/10/01/pdfs/GMD-1839-1787.pdf#page=1","Abrir facsímil")</f>
        <v>Abrir facsímil</v>
      </c>
      <c r="K12462" s="12" t="s">
        <v>65</v>
      </c>
    </row>
    <row r="12463" spans="1:11" ht="40.049999999999997" customHeight="1" x14ac:dyDescent="0.25">
      <c r="A12463" s="11" t="s">
        <v>24493</v>
      </c>
      <c r="B12463" s="11" t="s">
        <v>24493</v>
      </c>
      <c r="C12463" s="11" t="s">
        <v>17</v>
      </c>
      <c r="D12463" s="11" t="s">
        <v>18</v>
      </c>
      <c r="E12463" s="12" t="s">
        <v>1057</v>
      </c>
      <c r="F12463" s="12" t="s">
        <v>1058</v>
      </c>
      <c r="G12463" s="12" t="s">
        <v>40</v>
      </c>
      <c r="H12463" s="11" t="s">
        <v>22</v>
      </c>
      <c r="I12463" s="13" t="s">
        <v>24500</v>
      </c>
      <c r="J12463" s="14" t="str">
        <f>HYPERLINK("https://www.boe.es/gazeta/dias/1839/10/01/pdfs/GMD-1839-1787.pdf#page=2","Abrir facsímil")</f>
        <v>Abrir facsímil</v>
      </c>
      <c r="K12463" s="12" t="s">
        <v>24</v>
      </c>
    </row>
    <row r="12464" spans="1:11" ht="40.049999999999997" customHeight="1" x14ac:dyDescent="0.25">
      <c r="A12464" s="11" t="s">
        <v>24493</v>
      </c>
      <c r="B12464" s="11" t="s">
        <v>24493</v>
      </c>
      <c r="C12464" s="11" t="s">
        <v>17</v>
      </c>
      <c r="D12464" s="11" t="s">
        <v>18</v>
      </c>
      <c r="E12464" s="12" t="s">
        <v>369</v>
      </c>
      <c r="F12464" s="12" t="s">
        <v>370</v>
      </c>
      <c r="G12464" s="12" t="s">
        <v>40</v>
      </c>
      <c r="H12464" s="11" t="s">
        <v>22</v>
      </c>
      <c r="I12464" s="13" t="s">
        <v>24501</v>
      </c>
      <c r="J12464" s="14" t="str">
        <f>HYPERLINK("https://www.boe.es/gazeta/dias/1839/11/01/pdfs/GMD-1839-1818.pdf#page=2","Abrir facsímil")</f>
        <v>Abrir facsímil</v>
      </c>
      <c r="K12464" s="12" t="s">
        <v>24</v>
      </c>
    </row>
    <row r="12465" spans="1:11" ht="40.049999999999997" customHeight="1" x14ac:dyDescent="0.25">
      <c r="A12465" s="11" t="s">
        <v>24493</v>
      </c>
      <c r="B12465" s="11" t="s">
        <v>24493</v>
      </c>
      <c r="C12465" s="11" t="s">
        <v>101</v>
      </c>
      <c r="D12465" s="11" t="s">
        <v>43</v>
      </c>
      <c r="E12465" s="12" t="s">
        <v>154</v>
      </c>
      <c r="F12465" s="12" t="s">
        <v>155</v>
      </c>
      <c r="G12465" s="12" t="s">
        <v>46</v>
      </c>
      <c r="H12465" s="11" t="s">
        <v>22</v>
      </c>
      <c r="I12465" s="13" t="s">
        <v>24502</v>
      </c>
      <c r="J12465" s="14" t="str">
        <f>HYPERLINK("https://www.boe.es/gazeta/dias/1839/02/02/pdfs/GMD-1839-1540.pdf#page=3","Abrir facsímil")</f>
        <v>Abrir facsímil</v>
      </c>
      <c r="K12465" s="12" t="s">
        <v>24</v>
      </c>
    </row>
    <row r="12466" spans="1:11" ht="40.049999999999997" customHeight="1" x14ac:dyDescent="0.25">
      <c r="A12466" s="11" t="s">
        <v>24493</v>
      </c>
      <c r="B12466" s="11" t="s">
        <v>24493</v>
      </c>
      <c r="C12466" s="11" t="s">
        <v>17</v>
      </c>
      <c r="D12466" s="11" t="s">
        <v>18</v>
      </c>
      <c r="E12466" s="12" t="s">
        <v>266</v>
      </c>
      <c r="F12466" s="12" t="s">
        <v>267</v>
      </c>
      <c r="G12466" s="12" t="s">
        <v>21</v>
      </c>
      <c r="H12466" s="11" t="s">
        <v>22</v>
      </c>
      <c r="I12466" s="13" t="s">
        <v>24503</v>
      </c>
      <c r="J12466" s="14" t="str">
        <f>HYPERLINK("https://www.boe.es/gazeta/dias/1839/01/03/pdfs/GMD-1839-1510.pdf#page=4","Abrir facsímil")</f>
        <v>Abrir facsímil</v>
      </c>
      <c r="K12466" s="12" t="s">
        <v>24</v>
      </c>
    </row>
    <row r="12467" spans="1:11" ht="40.049999999999997" customHeight="1" x14ac:dyDescent="0.25">
      <c r="A12467" s="11" t="s">
        <v>24493</v>
      </c>
      <c r="B12467" s="11" t="s">
        <v>24493</v>
      </c>
      <c r="C12467" s="11" t="s">
        <v>59</v>
      </c>
      <c r="D12467" s="11" t="s">
        <v>60</v>
      </c>
      <c r="E12467" s="12" t="s">
        <v>779</v>
      </c>
      <c r="F12467" s="12" t="s">
        <v>780</v>
      </c>
      <c r="G12467" s="12" t="s">
        <v>40</v>
      </c>
      <c r="H12467" s="11" t="s">
        <v>22</v>
      </c>
      <c r="I12467" s="13" t="s">
        <v>24504</v>
      </c>
      <c r="J12467" s="14" t="str">
        <f>HYPERLINK("https://www.boe.es/gazeta/dias/1839/02/03/pdfs/GMD-1839-1541.pdf#page=2","Abrir facsímil")</f>
        <v>Abrir facsímil</v>
      </c>
      <c r="K12467" s="12" t="s">
        <v>24</v>
      </c>
    </row>
    <row r="12468" spans="1:11" ht="40.049999999999997" customHeight="1" x14ac:dyDescent="0.25">
      <c r="A12468" s="11" t="s">
        <v>24493</v>
      </c>
      <c r="B12468" s="11" t="s">
        <v>24493</v>
      </c>
      <c r="C12468" s="11" t="s">
        <v>137</v>
      </c>
      <c r="D12468" s="11" t="s">
        <v>18</v>
      </c>
      <c r="E12468" s="12" t="s">
        <v>798</v>
      </c>
      <c r="F12468" s="12" t="s">
        <v>799</v>
      </c>
      <c r="G12468" s="12" t="s">
        <v>40</v>
      </c>
      <c r="H12468" s="11" t="s">
        <v>22</v>
      </c>
      <c r="I12468" s="13" t="s">
        <v>24505</v>
      </c>
      <c r="J12468" s="14" t="str">
        <f>HYPERLINK("https://www.boe.es/gazeta/dias/1839/09/03/pdfs/GMD-1839-1755.pdf#page=2","Abrir facsímil")</f>
        <v>Abrir facsímil</v>
      </c>
      <c r="K12468" s="12" t="s">
        <v>24</v>
      </c>
    </row>
    <row r="12469" spans="1:11" ht="40.049999999999997" customHeight="1" x14ac:dyDescent="0.25">
      <c r="A12469" s="11" t="s">
        <v>24493</v>
      </c>
      <c r="B12469" s="11" t="s">
        <v>24493</v>
      </c>
      <c r="C12469" s="11" t="s">
        <v>137</v>
      </c>
      <c r="D12469" s="11" t="s">
        <v>18</v>
      </c>
      <c r="E12469" s="12" t="s">
        <v>212</v>
      </c>
      <c r="F12469" s="12" t="s">
        <v>213</v>
      </c>
      <c r="G12469" s="12" t="s">
        <v>40</v>
      </c>
      <c r="H12469" s="11" t="s">
        <v>22</v>
      </c>
      <c r="I12469" s="13" t="s">
        <v>24506</v>
      </c>
      <c r="J12469" s="14" t="str">
        <f>HYPERLINK("https://www.boe.es/gazeta/dias/1839/10/03/pdfs/GMD-1839-1789.pdf#page=2","Abrir facsímil")</f>
        <v>Abrir facsímil</v>
      </c>
      <c r="K12469" s="12" t="s">
        <v>24</v>
      </c>
    </row>
    <row r="12470" spans="1:11" ht="40.049999999999997" customHeight="1" x14ac:dyDescent="0.25">
      <c r="A12470" s="11" t="s">
        <v>24493</v>
      </c>
      <c r="B12470" s="11" t="s">
        <v>24493</v>
      </c>
      <c r="C12470" s="11" t="s">
        <v>17</v>
      </c>
      <c r="D12470" s="11" t="s">
        <v>18</v>
      </c>
      <c r="E12470" s="12" t="s">
        <v>212</v>
      </c>
      <c r="F12470" s="12" t="s">
        <v>213</v>
      </c>
      <c r="G12470" s="12" t="s">
        <v>46</v>
      </c>
      <c r="H12470" s="11" t="s">
        <v>22</v>
      </c>
      <c r="I12470" s="13" t="s">
        <v>24507</v>
      </c>
      <c r="J12470" s="14" t="str">
        <f>HYPERLINK("https://www.boe.es/gazeta/dias/1839/10/03/pdfs/GMD-1839-1789.pdf#page=3","Abrir facsímil")</f>
        <v>Abrir facsímil</v>
      </c>
      <c r="K12470" s="12" t="s">
        <v>24</v>
      </c>
    </row>
    <row r="12471" spans="1:11" ht="40.049999999999997" customHeight="1" x14ac:dyDescent="0.25">
      <c r="A12471" s="11" t="s">
        <v>24493</v>
      </c>
      <c r="B12471" s="11" t="s">
        <v>24493</v>
      </c>
      <c r="C12471" s="11" t="s">
        <v>101</v>
      </c>
      <c r="D12471" s="11" t="s">
        <v>43</v>
      </c>
      <c r="E12471" s="12" t="s">
        <v>212</v>
      </c>
      <c r="F12471" s="12" t="s">
        <v>213</v>
      </c>
      <c r="G12471" s="12" t="s">
        <v>21</v>
      </c>
      <c r="H12471" s="11" t="s">
        <v>22</v>
      </c>
      <c r="I12471" s="13" t="s">
        <v>24508</v>
      </c>
      <c r="J12471" s="14" t="str">
        <f>HYPERLINK("https://www.boe.es/gazeta/dias/1839/10/03/pdfs/GMD-1839-1789.pdf#page=4","Abrir facsímil")</f>
        <v>Abrir facsímil</v>
      </c>
      <c r="K12471" s="12" t="s">
        <v>24</v>
      </c>
    </row>
    <row r="12472" spans="1:11" ht="40.049999999999997" customHeight="1" x14ac:dyDescent="0.25">
      <c r="A12472" s="11" t="s">
        <v>24493</v>
      </c>
      <c r="B12472" s="11" t="s">
        <v>24493</v>
      </c>
      <c r="C12472" s="11" t="s">
        <v>17</v>
      </c>
      <c r="D12472" s="11" t="s">
        <v>18</v>
      </c>
      <c r="E12472" s="12" t="s">
        <v>108</v>
      </c>
      <c r="F12472" s="12" t="s">
        <v>109</v>
      </c>
      <c r="G12472" s="12" t="s">
        <v>40</v>
      </c>
      <c r="H12472" s="11" t="s">
        <v>22</v>
      </c>
      <c r="I12472" s="13" t="s">
        <v>24509</v>
      </c>
      <c r="J12472" s="14" t="str">
        <f>HYPERLINK("https://www.boe.es/gazeta/dias/1839/01/04/pdfs/GMD-1839-1511.pdf#page=2","Abrir facsímil")</f>
        <v>Abrir facsímil</v>
      </c>
      <c r="K12472" s="12" t="s">
        <v>24</v>
      </c>
    </row>
    <row r="12473" spans="1:11" ht="40.049999999999997" customHeight="1" x14ac:dyDescent="0.25">
      <c r="A12473" s="11" t="s">
        <v>24493</v>
      </c>
      <c r="B12473" s="11" t="s">
        <v>24493</v>
      </c>
      <c r="C12473" s="11" t="s">
        <v>17</v>
      </c>
      <c r="D12473" s="11" t="s">
        <v>18</v>
      </c>
      <c r="E12473" s="12" t="s">
        <v>108</v>
      </c>
      <c r="F12473" s="12" t="s">
        <v>109</v>
      </c>
      <c r="G12473" s="12" t="s">
        <v>21</v>
      </c>
      <c r="H12473" s="11" t="s">
        <v>22</v>
      </c>
      <c r="I12473" s="13" t="s">
        <v>24510</v>
      </c>
      <c r="J12473" s="14" t="str">
        <f>HYPERLINK("https://www.boe.es/gazeta/dias/1839/01/04/pdfs/GMD-1839-1511.pdf#page=4","Abrir facsímil")</f>
        <v>Abrir facsímil</v>
      </c>
      <c r="K12473" s="12" t="s">
        <v>24</v>
      </c>
    </row>
    <row r="12474" spans="1:11" ht="40.049999999999997" customHeight="1" x14ac:dyDescent="0.25">
      <c r="A12474" s="11" t="s">
        <v>24493</v>
      </c>
      <c r="B12474" s="11" t="s">
        <v>24493</v>
      </c>
      <c r="C12474" s="11" t="s">
        <v>17</v>
      </c>
      <c r="D12474" s="11" t="s">
        <v>18</v>
      </c>
      <c r="E12474" s="12" t="s">
        <v>197</v>
      </c>
      <c r="F12474" s="12" t="s">
        <v>198</v>
      </c>
      <c r="G12474" s="12" t="s">
        <v>40</v>
      </c>
      <c r="H12474" s="11" t="s">
        <v>22</v>
      </c>
      <c r="I12474" s="13" t="s">
        <v>24511</v>
      </c>
      <c r="J12474" s="14" t="str">
        <f>HYPERLINK("https://www.boe.es/gazeta/dias/1839/10/04/pdfs/GMD-1839-1790.pdf#page=2","Abrir facsímil")</f>
        <v>Abrir facsímil</v>
      </c>
      <c r="K12474" s="12" t="s">
        <v>24</v>
      </c>
    </row>
    <row r="12475" spans="1:11" ht="40.049999999999997" customHeight="1" x14ac:dyDescent="0.25">
      <c r="A12475" s="11" t="s">
        <v>24493</v>
      </c>
      <c r="B12475" s="11" t="s">
        <v>24493</v>
      </c>
      <c r="C12475" s="11" t="s">
        <v>101</v>
      </c>
      <c r="D12475" s="11" t="s">
        <v>43</v>
      </c>
      <c r="E12475" s="12" t="s">
        <v>49</v>
      </c>
      <c r="F12475" s="12" t="s">
        <v>50</v>
      </c>
      <c r="G12475" s="12" t="s">
        <v>46</v>
      </c>
      <c r="H12475" s="11" t="s">
        <v>22</v>
      </c>
      <c r="I12475" s="13" t="s">
        <v>24512</v>
      </c>
      <c r="J12475" s="14" t="str">
        <f>HYPERLINK("https://www.boe.es/gazeta/dias/1839/01/05/pdfs/GMD-1839-1512.pdf#page=3","Abrir facsímil")</f>
        <v>Abrir facsímil</v>
      </c>
      <c r="K12475" s="12" t="s">
        <v>24</v>
      </c>
    </row>
    <row r="12476" spans="1:11" ht="40.049999999999997" customHeight="1" x14ac:dyDescent="0.25">
      <c r="A12476" s="11" t="s">
        <v>24493</v>
      </c>
      <c r="B12476" s="11" t="s">
        <v>24493</v>
      </c>
      <c r="C12476" s="11" t="s">
        <v>17</v>
      </c>
      <c r="D12476" s="11" t="s">
        <v>18</v>
      </c>
      <c r="E12476" s="12" t="s">
        <v>49</v>
      </c>
      <c r="F12476" s="12" t="s">
        <v>50</v>
      </c>
      <c r="G12476" s="12" t="s">
        <v>21</v>
      </c>
      <c r="H12476" s="11" t="s">
        <v>22</v>
      </c>
      <c r="I12476" s="13" t="s">
        <v>24513</v>
      </c>
      <c r="J12476" s="14" t="str">
        <f>HYPERLINK("https://www.boe.es/gazeta/dias/1839/01/05/pdfs/GMD-1839-1512.pdf#page=4","Abrir facsímil")</f>
        <v>Abrir facsímil</v>
      </c>
      <c r="K12476" s="12" t="s">
        <v>24</v>
      </c>
    </row>
    <row r="12477" spans="1:11" ht="40.049999999999997" customHeight="1" x14ac:dyDescent="0.25">
      <c r="A12477" s="11" t="s">
        <v>24493</v>
      </c>
      <c r="B12477" s="11" t="s">
        <v>24493</v>
      </c>
      <c r="C12477" s="11" t="s">
        <v>101</v>
      </c>
      <c r="D12477" s="11" t="s">
        <v>43</v>
      </c>
      <c r="E12477" s="12" t="s">
        <v>751</v>
      </c>
      <c r="F12477" s="12" t="s">
        <v>752</v>
      </c>
      <c r="G12477" s="12" t="s">
        <v>21</v>
      </c>
      <c r="H12477" s="11" t="s">
        <v>22</v>
      </c>
      <c r="I12477" s="13" t="s">
        <v>24514</v>
      </c>
      <c r="J12477" s="14" t="str">
        <f>HYPERLINK("https://www.boe.es/gazeta/dias/1839/02/05/pdfs/GMD-1839-1543.pdf#page=4","Abrir facsímil")</f>
        <v>Abrir facsímil</v>
      </c>
      <c r="K12477" s="12" t="s">
        <v>24</v>
      </c>
    </row>
    <row r="12478" spans="1:11" ht="40.049999999999997" customHeight="1" x14ac:dyDescent="0.25">
      <c r="A12478" s="11" t="s">
        <v>24493</v>
      </c>
      <c r="B12478" s="11" t="s">
        <v>24493</v>
      </c>
      <c r="C12478" s="11" t="s">
        <v>17</v>
      </c>
      <c r="D12478" s="11" t="s">
        <v>18</v>
      </c>
      <c r="E12478" s="12" t="s">
        <v>2210</v>
      </c>
      <c r="F12478" s="12" t="s">
        <v>2211</v>
      </c>
      <c r="G12478" s="12" t="s">
        <v>46</v>
      </c>
      <c r="H12478" s="11" t="s">
        <v>22</v>
      </c>
      <c r="I12478" s="13" t="s">
        <v>24515</v>
      </c>
      <c r="J12478" s="14" t="str">
        <f>HYPERLINK("https://www.boe.es/gazeta/dias/1839/09/05/pdfs/GMD-1839-1758.pdf#page=3","Abrir facsímil")</f>
        <v>Abrir facsímil</v>
      </c>
      <c r="K12478" s="12" t="s">
        <v>24</v>
      </c>
    </row>
    <row r="12479" spans="1:11" ht="40.049999999999997" customHeight="1" x14ac:dyDescent="0.25">
      <c r="A12479" s="11" t="s">
        <v>24493</v>
      </c>
      <c r="B12479" s="11" t="s">
        <v>24493</v>
      </c>
      <c r="C12479" s="11" t="s">
        <v>101</v>
      </c>
      <c r="D12479" s="11" t="s">
        <v>102</v>
      </c>
      <c r="E12479" s="12" t="s">
        <v>2165</v>
      </c>
      <c r="F12479" s="12" t="s">
        <v>2166</v>
      </c>
      <c r="G12479" s="12" t="s">
        <v>40</v>
      </c>
      <c r="H12479" s="11" t="s">
        <v>22</v>
      </c>
      <c r="I12479" s="13" t="s">
        <v>24516</v>
      </c>
      <c r="J12479" s="14" t="str">
        <f>HYPERLINK("https://www.boe.es/gazeta/dias/1839/01/06/pdfs/GMD-1839-1513.pdf#page=2","Abrir facsímil")</f>
        <v>Abrir facsímil</v>
      </c>
      <c r="K12479" s="12" t="s">
        <v>24</v>
      </c>
    </row>
    <row r="12480" spans="1:11" ht="40.049999999999997" customHeight="1" x14ac:dyDescent="0.25">
      <c r="A12480" s="11" t="s">
        <v>24493</v>
      </c>
      <c r="B12480" s="11" t="s">
        <v>24493</v>
      </c>
      <c r="C12480" s="11" t="s">
        <v>17</v>
      </c>
      <c r="D12480" s="11" t="s">
        <v>18</v>
      </c>
      <c r="E12480" s="12" t="s">
        <v>2165</v>
      </c>
      <c r="F12480" s="12" t="s">
        <v>2166</v>
      </c>
      <c r="G12480" s="12" t="s">
        <v>46</v>
      </c>
      <c r="H12480" s="11" t="s">
        <v>22</v>
      </c>
      <c r="I12480" s="13" t="s">
        <v>24517</v>
      </c>
      <c r="J12480" s="14" t="str">
        <f>HYPERLINK("https://www.boe.es/gazeta/dias/1839/01/06/pdfs/GMD-1839-1513.pdf#page=3","Abrir facsímil")</f>
        <v>Abrir facsímil</v>
      </c>
      <c r="K12480" s="12" t="s">
        <v>24</v>
      </c>
    </row>
    <row r="12481" spans="1:11" ht="40.049999999999997" customHeight="1" x14ac:dyDescent="0.25">
      <c r="A12481" s="11" t="s">
        <v>24493</v>
      </c>
      <c r="B12481" s="11" t="s">
        <v>24493</v>
      </c>
      <c r="C12481" s="11" t="s">
        <v>17</v>
      </c>
      <c r="D12481" s="11" t="s">
        <v>18</v>
      </c>
      <c r="E12481" s="12" t="s">
        <v>303</v>
      </c>
      <c r="F12481" s="12" t="s">
        <v>304</v>
      </c>
      <c r="G12481" s="12" t="s">
        <v>40</v>
      </c>
      <c r="H12481" s="11" t="s">
        <v>22</v>
      </c>
      <c r="I12481" s="13" t="s">
        <v>24518</v>
      </c>
      <c r="J12481" s="14" t="str">
        <f>HYPERLINK("https://www.boe.es/gazeta/dias/1839/10/06/pdfs/GMD-1839-1792.pdf#page=2","Abrir facsímil")</f>
        <v>Abrir facsímil</v>
      </c>
      <c r="K12481" s="12" t="s">
        <v>24</v>
      </c>
    </row>
    <row r="12482" spans="1:11" ht="40.049999999999997" customHeight="1" x14ac:dyDescent="0.25">
      <c r="A12482" s="11" t="s">
        <v>24493</v>
      </c>
      <c r="B12482" s="11" t="s">
        <v>24493</v>
      </c>
      <c r="C12482" s="11" t="s">
        <v>80</v>
      </c>
      <c r="D12482" s="11" t="s">
        <v>173</v>
      </c>
      <c r="E12482" s="12" t="s">
        <v>303</v>
      </c>
      <c r="F12482" s="12" t="s">
        <v>304</v>
      </c>
      <c r="G12482" s="12" t="s">
        <v>305</v>
      </c>
      <c r="H12482" s="11" t="s">
        <v>22</v>
      </c>
      <c r="I12482" s="13" t="s">
        <v>24519</v>
      </c>
      <c r="J12482" s="14" t="str">
        <f>HYPERLINK("https://www.boe.es/gazeta/dias/1839/10/06/pdfs/GMD-1839-1792.pdf#page=6","Abrir facsímil")</f>
        <v>Abrir facsímil</v>
      </c>
      <c r="K12482" s="12" t="s">
        <v>24</v>
      </c>
    </row>
    <row r="12483" spans="1:11" ht="40.049999999999997" customHeight="1" x14ac:dyDescent="0.25">
      <c r="A12483" s="11" t="s">
        <v>24493</v>
      </c>
      <c r="B12483" s="11" t="s">
        <v>24493</v>
      </c>
      <c r="C12483" s="11" t="s">
        <v>17</v>
      </c>
      <c r="D12483" s="11" t="s">
        <v>18</v>
      </c>
      <c r="E12483" s="12" t="s">
        <v>453</v>
      </c>
      <c r="F12483" s="12" t="s">
        <v>454</v>
      </c>
      <c r="G12483" s="12" t="s">
        <v>21</v>
      </c>
      <c r="H12483" s="11" t="s">
        <v>22</v>
      </c>
      <c r="I12483" s="13" t="s">
        <v>24520</v>
      </c>
      <c r="J12483" s="14" t="str">
        <f>HYPERLINK("https://www.boe.es/gazeta/dias/1839/02/07/pdfs/GMD-1839-1545.pdf#page=4","Abrir facsímil")</f>
        <v>Abrir facsímil</v>
      </c>
      <c r="K12483" s="12" t="s">
        <v>24</v>
      </c>
    </row>
    <row r="12484" spans="1:11" ht="40.049999999999997" customHeight="1" x14ac:dyDescent="0.25">
      <c r="A12484" s="11" t="s">
        <v>24493</v>
      </c>
      <c r="B12484" s="11" t="s">
        <v>24493</v>
      </c>
      <c r="C12484" s="11" t="s">
        <v>17</v>
      </c>
      <c r="D12484" s="11" t="s">
        <v>18</v>
      </c>
      <c r="E12484" s="12" t="s">
        <v>1008</v>
      </c>
      <c r="F12484" s="12" t="s">
        <v>1009</v>
      </c>
      <c r="G12484" s="12" t="s">
        <v>46</v>
      </c>
      <c r="H12484" s="11" t="s">
        <v>22</v>
      </c>
      <c r="I12484" s="13" t="s">
        <v>24521</v>
      </c>
      <c r="J12484" s="14" t="str">
        <f>HYPERLINK("https://www.boe.es/gazeta/dias/1839/09/07/pdfs/GMD-1839-1760.pdf#page=3","Abrir facsímil")</f>
        <v>Abrir facsímil</v>
      </c>
      <c r="K12484" s="12" t="s">
        <v>24</v>
      </c>
    </row>
    <row r="12485" spans="1:11" ht="40.049999999999997" customHeight="1" x14ac:dyDescent="0.25">
      <c r="A12485" s="11" t="s">
        <v>24493</v>
      </c>
      <c r="B12485" s="11" t="s">
        <v>24493</v>
      </c>
      <c r="C12485" s="11" t="s">
        <v>101</v>
      </c>
      <c r="D12485" s="11" t="s">
        <v>43</v>
      </c>
      <c r="E12485" s="12" t="s">
        <v>1008</v>
      </c>
      <c r="F12485" s="12" t="s">
        <v>1009</v>
      </c>
      <c r="G12485" s="12" t="s">
        <v>21</v>
      </c>
      <c r="H12485" s="11" t="s">
        <v>22</v>
      </c>
      <c r="I12485" s="13" t="s">
        <v>24522</v>
      </c>
      <c r="J12485" s="14" t="str">
        <f>HYPERLINK("https://www.boe.es/gazeta/dias/1839/09/07/pdfs/GMD-1839-1760.pdf#page=4","Abrir facsímil")</f>
        <v>Abrir facsímil</v>
      </c>
      <c r="K12485" s="12" t="s">
        <v>24</v>
      </c>
    </row>
    <row r="12486" spans="1:11" ht="40.049999999999997" customHeight="1" x14ac:dyDescent="0.25">
      <c r="A12486" s="11" t="s">
        <v>24493</v>
      </c>
      <c r="B12486" s="11" t="s">
        <v>24493</v>
      </c>
      <c r="C12486" s="11" t="s">
        <v>17</v>
      </c>
      <c r="D12486" s="11" t="s">
        <v>18</v>
      </c>
      <c r="E12486" s="12" t="s">
        <v>1509</v>
      </c>
      <c r="F12486" s="12" t="s">
        <v>1510</v>
      </c>
      <c r="G12486" s="12" t="s">
        <v>46</v>
      </c>
      <c r="H12486" s="11" t="s">
        <v>22</v>
      </c>
      <c r="I12486" s="13" t="s">
        <v>24523</v>
      </c>
      <c r="J12486" s="14" t="str">
        <f>HYPERLINK("https://www.boe.es/gazeta/dias/1839/10/07/pdfs/GMD-1839-1793.pdf#page=3","Abrir facsímil")</f>
        <v>Abrir facsímil</v>
      </c>
      <c r="K12486" s="12" t="s">
        <v>24</v>
      </c>
    </row>
    <row r="12487" spans="1:11" ht="40.049999999999997" customHeight="1" x14ac:dyDescent="0.25">
      <c r="A12487" s="11" t="s">
        <v>24493</v>
      </c>
      <c r="B12487" s="11" t="s">
        <v>24493</v>
      </c>
      <c r="C12487" s="11" t="s">
        <v>17</v>
      </c>
      <c r="D12487" s="11" t="s">
        <v>18</v>
      </c>
      <c r="E12487" s="12" t="s">
        <v>804</v>
      </c>
      <c r="F12487" s="12" t="s">
        <v>805</v>
      </c>
      <c r="G12487" s="12" t="s">
        <v>21</v>
      </c>
      <c r="H12487" s="11" t="s">
        <v>22</v>
      </c>
      <c r="I12487" s="13" t="s">
        <v>24524</v>
      </c>
      <c r="J12487" s="14" t="str">
        <f>HYPERLINK("https://www.boe.es/gazeta/dias/1839/01/08/pdfs/GMD-1839-1515.pdf#page=4","Abrir facsímil")</f>
        <v>Abrir facsímil</v>
      </c>
      <c r="K12487" s="12" t="s">
        <v>24</v>
      </c>
    </row>
    <row r="12488" spans="1:11" ht="40.049999999999997" customHeight="1" x14ac:dyDescent="0.25">
      <c r="A12488" s="11" t="s">
        <v>24493</v>
      </c>
      <c r="B12488" s="11" t="s">
        <v>24493</v>
      </c>
      <c r="C12488" s="11" t="s">
        <v>17</v>
      </c>
      <c r="D12488" s="11" t="s">
        <v>18</v>
      </c>
      <c r="E12488" s="12" t="s">
        <v>647</v>
      </c>
      <c r="F12488" s="12" t="s">
        <v>648</v>
      </c>
      <c r="G12488" s="12" t="s">
        <v>29</v>
      </c>
      <c r="H12488" s="11" t="s">
        <v>22</v>
      </c>
      <c r="I12488" s="13" t="s">
        <v>24525</v>
      </c>
      <c r="J12488" s="14" t="str">
        <f>HYPERLINK("https://www.boe.es/gazeta/dias/1839/10/08/pdfs/GMD-1839-1794.pdf#page=1","Abrir facsímil")</f>
        <v>Abrir facsímil</v>
      </c>
      <c r="K12488" s="12" t="s">
        <v>24</v>
      </c>
    </row>
    <row r="12489" spans="1:11" ht="40.049999999999997" customHeight="1" x14ac:dyDescent="0.25">
      <c r="A12489" s="11" t="s">
        <v>24493</v>
      </c>
      <c r="B12489" s="11" t="s">
        <v>24493</v>
      </c>
      <c r="C12489" s="11" t="s">
        <v>59</v>
      </c>
      <c r="D12489" s="11" t="s">
        <v>60</v>
      </c>
      <c r="E12489" s="12" t="s">
        <v>647</v>
      </c>
      <c r="F12489" s="12" t="s">
        <v>648</v>
      </c>
      <c r="G12489" s="12" t="s">
        <v>566</v>
      </c>
      <c r="H12489" s="11" t="s">
        <v>22</v>
      </c>
      <c r="I12489" s="13" t="s">
        <v>24526</v>
      </c>
      <c r="J12489" s="14" t="str">
        <f>HYPERLINK("https://www.boe.es/gazeta/dias/1839/10/08/pdfs/GMD-1839-1794.pdf#page=5","Abrir facsímil")</f>
        <v>Abrir facsímil</v>
      </c>
      <c r="K12489" s="12" t="s">
        <v>24</v>
      </c>
    </row>
    <row r="12490" spans="1:11" ht="40.049999999999997" customHeight="1" x14ac:dyDescent="0.25">
      <c r="A12490" s="11" t="s">
        <v>24493</v>
      </c>
      <c r="B12490" s="11" t="s">
        <v>24493</v>
      </c>
      <c r="C12490" s="11" t="s">
        <v>80</v>
      </c>
      <c r="D12490" s="11" t="s">
        <v>18</v>
      </c>
      <c r="E12490" s="12" t="s">
        <v>2050</v>
      </c>
      <c r="F12490" s="12" t="s">
        <v>2051</v>
      </c>
      <c r="G12490" s="12" t="s">
        <v>40</v>
      </c>
      <c r="H12490" s="11" t="s">
        <v>22</v>
      </c>
      <c r="I12490" s="13" t="s">
        <v>24527</v>
      </c>
      <c r="J12490" s="14" t="str">
        <f>HYPERLINK("https://www.boe.es/gazeta/dias/1839/01/09/pdfs/GMD-1839-1516.pdf#page=2","Abrir facsímil")</f>
        <v>Abrir facsímil</v>
      </c>
      <c r="K12490" s="12" t="s">
        <v>24</v>
      </c>
    </row>
    <row r="12491" spans="1:11" ht="40.049999999999997" customHeight="1" x14ac:dyDescent="0.25">
      <c r="A12491" s="11" t="s">
        <v>24493</v>
      </c>
      <c r="B12491" s="11" t="s">
        <v>24493</v>
      </c>
      <c r="C12491" s="11" t="s">
        <v>17</v>
      </c>
      <c r="D12491" s="11" t="s">
        <v>18</v>
      </c>
      <c r="E12491" s="12" t="s">
        <v>68</v>
      </c>
      <c r="F12491" s="12" t="s">
        <v>69</v>
      </c>
      <c r="G12491" s="12" t="s">
        <v>46</v>
      </c>
      <c r="H12491" s="11" t="s">
        <v>22</v>
      </c>
      <c r="I12491" s="13" t="s">
        <v>24528</v>
      </c>
      <c r="J12491" s="14" t="str">
        <f>HYPERLINK("https://www.boe.es/gazeta/dias/1839/02/09/pdfs/GMD-1839-1547.pdf#page=3","Abrir facsímil")</f>
        <v>Abrir facsímil</v>
      </c>
      <c r="K12491" s="12" t="s">
        <v>24</v>
      </c>
    </row>
    <row r="12492" spans="1:11" ht="40.049999999999997" customHeight="1" x14ac:dyDescent="0.25">
      <c r="A12492" s="11" t="s">
        <v>24498</v>
      </c>
      <c r="B12492" s="11" t="s">
        <v>24498</v>
      </c>
      <c r="C12492" s="11" t="s">
        <v>17</v>
      </c>
      <c r="D12492" s="11" t="s">
        <v>18</v>
      </c>
      <c r="E12492" s="12" t="s">
        <v>1366</v>
      </c>
      <c r="F12492" s="12" t="s">
        <v>1367</v>
      </c>
      <c r="G12492" s="12" t="s">
        <v>40</v>
      </c>
      <c r="H12492" s="11" t="s">
        <v>63</v>
      </c>
      <c r="I12492" s="13" t="s">
        <v>24529</v>
      </c>
      <c r="J12492" s="14" t="str">
        <f>HYPERLINK("https://www.boe.es/gazeta/dias/1839/09/09/pdfs/GMD-1839-1762.pdf#page=2","Abrir facsímil")</f>
        <v>Abrir facsímil</v>
      </c>
      <c r="K12492" s="12" t="s">
        <v>65</v>
      </c>
    </row>
    <row r="12493" spans="1:11" ht="40.049999999999997" customHeight="1" x14ac:dyDescent="0.25">
      <c r="A12493" s="11" t="s">
        <v>24493</v>
      </c>
      <c r="B12493" s="11" t="s">
        <v>24493</v>
      </c>
      <c r="C12493" s="11" t="s">
        <v>17</v>
      </c>
      <c r="D12493" s="11" t="s">
        <v>18</v>
      </c>
      <c r="E12493" s="12" t="s">
        <v>269</v>
      </c>
      <c r="F12493" s="12" t="s">
        <v>270</v>
      </c>
      <c r="G12493" s="12" t="s">
        <v>46</v>
      </c>
      <c r="H12493" s="11" t="s">
        <v>22</v>
      </c>
      <c r="I12493" s="13" t="s">
        <v>24530</v>
      </c>
      <c r="J12493" s="14" t="str">
        <f>HYPERLINK("https://www.boe.es/gazeta/dias/1839/02/10/pdfs/GMD-1839-1548.pdf#page=3","Abrir facsímil")</f>
        <v>Abrir facsímil</v>
      </c>
      <c r="K12493" s="12" t="s">
        <v>24</v>
      </c>
    </row>
    <row r="12494" spans="1:11" ht="40.049999999999997" customHeight="1" x14ac:dyDescent="0.25">
      <c r="A12494" s="11" t="s">
        <v>24493</v>
      </c>
      <c r="B12494" s="11" t="s">
        <v>24493</v>
      </c>
      <c r="C12494" s="11" t="s">
        <v>17</v>
      </c>
      <c r="D12494" s="11" t="s">
        <v>18</v>
      </c>
      <c r="E12494" s="12" t="s">
        <v>61</v>
      </c>
      <c r="F12494" s="12" t="s">
        <v>62</v>
      </c>
      <c r="G12494" s="12" t="s">
        <v>29</v>
      </c>
      <c r="H12494" s="11" t="s">
        <v>22</v>
      </c>
      <c r="I12494" s="13" t="s">
        <v>24531</v>
      </c>
      <c r="J12494" s="14" t="str">
        <f>HYPERLINK("https://www.boe.es/gazeta/dias/1839/09/10/pdfs/GMD-1839-1763.pdf#page=1","Abrir facsímil")</f>
        <v>Abrir facsímil</v>
      </c>
      <c r="K12494" s="12" t="s">
        <v>24</v>
      </c>
    </row>
    <row r="12495" spans="1:11" ht="40.049999999999997" customHeight="1" x14ac:dyDescent="0.25">
      <c r="A12495" s="11" t="s">
        <v>24493</v>
      </c>
      <c r="B12495" s="11" t="s">
        <v>24493</v>
      </c>
      <c r="C12495" s="11" t="s">
        <v>17</v>
      </c>
      <c r="D12495" s="11" t="s">
        <v>18</v>
      </c>
      <c r="E12495" s="12" t="s">
        <v>61</v>
      </c>
      <c r="F12495" s="12" t="s">
        <v>62</v>
      </c>
      <c r="G12495" s="12" t="s">
        <v>46</v>
      </c>
      <c r="H12495" s="11" t="s">
        <v>22</v>
      </c>
      <c r="I12495" s="13" t="s">
        <v>24532</v>
      </c>
      <c r="J12495" s="14" t="str">
        <f>HYPERLINK("https://www.boe.es/gazeta/dias/1839/09/10/pdfs/GMD-1839-1763.pdf#page=3","Abrir facsímil")</f>
        <v>Abrir facsímil</v>
      </c>
      <c r="K12495" s="12" t="s">
        <v>24</v>
      </c>
    </row>
    <row r="12496" spans="1:11" ht="40.049999999999997" customHeight="1" x14ac:dyDescent="0.25">
      <c r="A12496" s="11" t="s">
        <v>24493</v>
      </c>
      <c r="B12496" s="11" t="s">
        <v>24493</v>
      </c>
      <c r="C12496" s="11" t="s">
        <v>17</v>
      </c>
      <c r="D12496" s="11" t="s">
        <v>43</v>
      </c>
      <c r="E12496" s="12" t="s">
        <v>116</v>
      </c>
      <c r="F12496" s="12" t="s">
        <v>117</v>
      </c>
      <c r="G12496" s="12" t="s">
        <v>40</v>
      </c>
      <c r="H12496" s="11" t="s">
        <v>22</v>
      </c>
      <c r="I12496" s="13" t="s">
        <v>24533</v>
      </c>
      <c r="J12496" s="14" t="str">
        <f>HYPERLINK("https://www.boe.es/gazeta/dias/1839/10/10/pdfs/GMD-1839-1796.pdf#page=2","Abrir facsímil")</f>
        <v>Abrir facsímil</v>
      </c>
      <c r="K12496" s="12" t="s">
        <v>24</v>
      </c>
    </row>
    <row r="12497" spans="1:11" ht="40.049999999999997" customHeight="1" x14ac:dyDescent="0.25">
      <c r="A12497" s="11" t="s">
        <v>24493</v>
      </c>
      <c r="B12497" s="11" t="s">
        <v>24493</v>
      </c>
      <c r="C12497" s="11" t="s">
        <v>17</v>
      </c>
      <c r="D12497" s="11" t="s">
        <v>18</v>
      </c>
      <c r="E12497" s="12" t="s">
        <v>561</v>
      </c>
      <c r="F12497" s="12" t="s">
        <v>562</v>
      </c>
      <c r="G12497" s="12" t="s">
        <v>40</v>
      </c>
      <c r="H12497" s="11" t="s">
        <v>22</v>
      </c>
      <c r="I12497" s="13" t="s">
        <v>24534</v>
      </c>
      <c r="J12497" s="14" t="str">
        <f>HYPERLINK("https://www.boe.es/gazeta/dias/1839/09/11/pdfs/GMD-1839-1764.pdf#page=2","Abrir facsímil")</f>
        <v>Abrir facsímil</v>
      </c>
      <c r="K12497" s="12" t="s">
        <v>24</v>
      </c>
    </row>
    <row r="12498" spans="1:11" ht="40.049999999999997" customHeight="1" x14ac:dyDescent="0.25">
      <c r="A12498" s="11" t="s">
        <v>24493</v>
      </c>
      <c r="B12498" s="11" t="s">
        <v>24493</v>
      </c>
      <c r="C12498" s="11" t="s">
        <v>80</v>
      </c>
      <c r="D12498" s="11" t="s">
        <v>173</v>
      </c>
      <c r="E12498" s="12" t="s">
        <v>561</v>
      </c>
      <c r="F12498" s="12" t="s">
        <v>562</v>
      </c>
      <c r="G12498" s="12" t="s">
        <v>21</v>
      </c>
      <c r="H12498" s="11" t="s">
        <v>22</v>
      </c>
      <c r="I12498" s="13" t="s">
        <v>24535</v>
      </c>
      <c r="J12498" s="14" t="str">
        <f>HYPERLINK("https://www.boe.es/gazeta/dias/1839/09/11/pdfs/GMD-1839-1764.pdf#page=4","Abrir facsímil")</f>
        <v>Abrir facsímil</v>
      </c>
      <c r="K12498" s="12" t="s">
        <v>24</v>
      </c>
    </row>
    <row r="12499" spans="1:11" ht="40.049999999999997" customHeight="1" x14ac:dyDescent="0.25">
      <c r="A12499" s="11" t="s">
        <v>24493</v>
      </c>
      <c r="B12499" s="11" t="s">
        <v>24493</v>
      </c>
      <c r="C12499" s="11" t="s">
        <v>17</v>
      </c>
      <c r="D12499" s="11" t="s">
        <v>18</v>
      </c>
      <c r="E12499" s="12" t="s">
        <v>192</v>
      </c>
      <c r="F12499" s="12" t="s">
        <v>193</v>
      </c>
      <c r="G12499" s="12" t="s">
        <v>46</v>
      </c>
      <c r="H12499" s="11" t="s">
        <v>22</v>
      </c>
      <c r="I12499" s="13" t="s">
        <v>24536</v>
      </c>
      <c r="J12499" s="14" t="str">
        <f>HYPERLINK("https://www.boe.es/gazeta/dias/1839/01/12/pdfs/GMD-1839-1519.pdf#page=3","Abrir facsímil")</f>
        <v>Abrir facsímil</v>
      </c>
      <c r="K12499" s="12" t="s">
        <v>24</v>
      </c>
    </row>
    <row r="12500" spans="1:11" ht="40.049999999999997" customHeight="1" x14ac:dyDescent="0.25">
      <c r="A12500" s="11" t="s">
        <v>24493</v>
      </c>
      <c r="B12500" s="11" t="s">
        <v>24493</v>
      </c>
      <c r="C12500" s="11" t="s">
        <v>59</v>
      </c>
      <c r="D12500" s="11" t="s">
        <v>60</v>
      </c>
      <c r="E12500" s="12" t="s">
        <v>192</v>
      </c>
      <c r="F12500" s="12" t="s">
        <v>193</v>
      </c>
      <c r="G12500" s="12" t="s">
        <v>21</v>
      </c>
      <c r="H12500" s="11" t="s">
        <v>22</v>
      </c>
      <c r="I12500" s="13" t="s">
        <v>24537</v>
      </c>
      <c r="J12500" s="14" t="str">
        <f>HYPERLINK("https://www.boe.es/gazeta/dias/1839/01/12/pdfs/GMD-1839-1519.pdf#page=4","Abrir facsímil")</f>
        <v>Abrir facsímil</v>
      </c>
      <c r="K12500" s="12" t="s">
        <v>24</v>
      </c>
    </row>
    <row r="12501" spans="1:11" ht="40.049999999999997" customHeight="1" x14ac:dyDescent="0.25">
      <c r="A12501" s="11" t="s">
        <v>24493</v>
      </c>
      <c r="B12501" s="11" t="s">
        <v>24493</v>
      </c>
      <c r="C12501" s="11" t="s">
        <v>17</v>
      </c>
      <c r="D12501" s="11" t="s">
        <v>18</v>
      </c>
      <c r="E12501" s="12" t="s">
        <v>254</v>
      </c>
      <c r="F12501" s="12" t="s">
        <v>255</v>
      </c>
      <c r="G12501" s="12" t="s">
        <v>40</v>
      </c>
      <c r="H12501" s="11" t="s">
        <v>22</v>
      </c>
      <c r="I12501" s="13" t="s">
        <v>24538</v>
      </c>
      <c r="J12501" s="14" t="str">
        <f>HYPERLINK("https://www.boe.es/gazeta/dias/1839/09/12/pdfs/GMD-1839-1765.pdf#page=2","Abrir facsímil")</f>
        <v>Abrir facsímil</v>
      </c>
      <c r="K12501" s="12" t="s">
        <v>24</v>
      </c>
    </row>
    <row r="12502" spans="1:11" ht="40.049999999999997" customHeight="1" x14ac:dyDescent="0.25">
      <c r="A12502" s="11" t="s">
        <v>24493</v>
      </c>
      <c r="B12502" s="11" t="s">
        <v>24493</v>
      </c>
      <c r="C12502" s="11" t="s">
        <v>101</v>
      </c>
      <c r="D12502" s="11" t="s">
        <v>43</v>
      </c>
      <c r="E12502" s="12" t="s">
        <v>103</v>
      </c>
      <c r="F12502" s="12" t="s">
        <v>104</v>
      </c>
      <c r="G12502" s="12" t="s">
        <v>46</v>
      </c>
      <c r="H12502" s="11" t="s">
        <v>22</v>
      </c>
      <c r="I12502" s="13" t="s">
        <v>24539</v>
      </c>
      <c r="J12502" s="14" t="str">
        <f>HYPERLINK("https://www.boe.es/gazeta/dias/1839/10/12/pdfs/GMD-1839-1798.pdf#page=3","Abrir facsímil")</f>
        <v>Abrir facsímil</v>
      </c>
      <c r="K12502" s="12" t="s">
        <v>24</v>
      </c>
    </row>
    <row r="12503" spans="1:11" ht="40.049999999999997" customHeight="1" x14ac:dyDescent="0.25">
      <c r="A12503" s="11" t="s">
        <v>24493</v>
      </c>
      <c r="B12503" s="11" t="s">
        <v>24493</v>
      </c>
      <c r="C12503" s="11" t="s">
        <v>17</v>
      </c>
      <c r="D12503" s="11" t="s">
        <v>18</v>
      </c>
      <c r="E12503" s="12" t="s">
        <v>1100</v>
      </c>
      <c r="F12503" s="12" t="s">
        <v>1101</v>
      </c>
      <c r="G12503" s="12" t="s">
        <v>29</v>
      </c>
      <c r="H12503" s="11" t="s">
        <v>22</v>
      </c>
      <c r="I12503" s="13" t="s">
        <v>24540</v>
      </c>
      <c r="J12503" s="14" t="str">
        <f>HYPERLINK("https://www.boe.es/gazeta/dias/1839/09/13/pdfs/GMD-1839-1766.pdf#page=1","Abrir facsímil")</f>
        <v>Abrir facsímil</v>
      </c>
      <c r="K12503" s="12" t="s">
        <v>24</v>
      </c>
    </row>
    <row r="12504" spans="1:11" ht="40.049999999999997" customHeight="1" x14ac:dyDescent="0.25">
      <c r="A12504" s="11" t="s">
        <v>24493</v>
      </c>
      <c r="B12504" s="11" t="s">
        <v>24493</v>
      </c>
      <c r="C12504" s="11" t="s">
        <v>101</v>
      </c>
      <c r="D12504" s="11" t="s">
        <v>43</v>
      </c>
      <c r="E12504" s="12" t="s">
        <v>736</v>
      </c>
      <c r="F12504" s="12" t="s">
        <v>737</v>
      </c>
      <c r="G12504" s="12" t="s">
        <v>46</v>
      </c>
      <c r="H12504" s="11" t="s">
        <v>22</v>
      </c>
      <c r="I12504" s="13" t="s">
        <v>24541</v>
      </c>
      <c r="J12504" s="14" t="str">
        <f>HYPERLINK("https://www.boe.es/gazeta/dias/1839/10/13/pdfs/GMD-1839-1799.pdf#page=3","Abrir facsímil")</f>
        <v>Abrir facsímil</v>
      </c>
      <c r="K12504" s="12" t="s">
        <v>24</v>
      </c>
    </row>
    <row r="12505" spans="1:11" ht="40.049999999999997" customHeight="1" x14ac:dyDescent="0.25">
      <c r="A12505" s="11" t="s">
        <v>24498</v>
      </c>
      <c r="B12505" s="11" t="s">
        <v>24498</v>
      </c>
      <c r="C12505" s="11" t="s">
        <v>17</v>
      </c>
      <c r="D12505" s="11" t="s">
        <v>18</v>
      </c>
      <c r="E12505" s="12" t="s">
        <v>592</v>
      </c>
      <c r="F12505" s="12" t="s">
        <v>593</v>
      </c>
      <c r="G12505" s="12" t="s">
        <v>40</v>
      </c>
      <c r="H12505" s="11" t="s">
        <v>63</v>
      </c>
      <c r="I12505" s="13" t="s">
        <v>24542</v>
      </c>
      <c r="J12505" s="14" t="str">
        <f>HYPERLINK("https://www.boe.es/gazeta/dias/1839/09/14/pdfs/GMD-1839-1767.pdf#page=2","Abrir facsímil")</f>
        <v>Abrir facsímil</v>
      </c>
      <c r="K12505" s="12" t="s">
        <v>65</v>
      </c>
    </row>
    <row r="12506" spans="1:11" ht="40.049999999999997" customHeight="1" x14ac:dyDescent="0.25">
      <c r="A12506" s="11" t="s">
        <v>24493</v>
      </c>
      <c r="B12506" s="11" t="s">
        <v>24493</v>
      </c>
      <c r="C12506" s="11" t="s">
        <v>17</v>
      </c>
      <c r="D12506" s="11" t="s">
        <v>18</v>
      </c>
      <c r="E12506" s="12" t="s">
        <v>185</v>
      </c>
      <c r="F12506" s="12" t="s">
        <v>186</v>
      </c>
      <c r="G12506" s="12" t="s">
        <v>29</v>
      </c>
      <c r="H12506" s="11" t="s">
        <v>22</v>
      </c>
      <c r="I12506" s="13" t="s">
        <v>24543</v>
      </c>
      <c r="J12506" s="14" t="str">
        <f>HYPERLINK("https://www.boe.es/gazeta/dias/1839/01/15/pdfs/GMD-1839-1522.pdf#page=1","Abrir facsímil")</f>
        <v>Abrir facsímil</v>
      </c>
      <c r="K12506" s="12" t="s">
        <v>24</v>
      </c>
    </row>
    <row r="12507" spans="1:11" ht="40.049999999999997" customHeight="1" x14ac:dyDescent="0.25">
      <c r="A12507" s="11" t="s">
        <v>24493</v>
      </c>
      <c r="B12507" s="11" t="s">
        <v>24493</v>
      </c>
      <c r="C12507" s="11" t="s">
        <v>101</v>
      </c>
      <c r="D12507" s="11" t="s">
        <v>43</v>
      </c>
      <c r="E12507" s="12" t="s">
        <v>185</v>
      </c>
      <c r="F12507" s="12" t="s">
        <v>186</v>
      </c>
      <c r="G12507" s="12" t="s">
        <v>46</v>
      </c>
      <c r="H12507" s="11" t="s">
        <v>22</v>
      </c>
      <c r="I12507" s="13" t="s">
        <v>24544</v>
      </c>
      <c r="J12507" s="14" t="str">
        <f>HYPERLINK("https://www.boe.es/gazeta/dias/1839/01/15/pdfs/GMD-1839-1522.pdf#page=3","Abrir facsímil")</f>
        <v>Abrir facsímil</v>
      </c>
      <c r="K12507" s="12" t="s">
        <v>24</v>
      </c>
    </row>
    <row r="12508" spans="1:11" ht="40.049999999999997" customHeight="1" x14ac:dyDescent="0.25">
      <c r="A12508" s="11" t="s">
        <v>24493</v>
      </c>
      <c r="B12508" s="11" t="s">
        <v>24493</v>
      </c>
      <c r="C12508" s="11" t="s">
        <v>17</v>
      </c>
      <c r="D12508" s="11" t="s">
        <v>18</v>
      </c>
      <c r="E12508" s="12" t="s">
        <v>1069</v>
      </c>
      <c r="F12508" s="12" t="s">
        <v>1070</v>
      </c>
      <c r="G12508" s="12" t="s">
        <v>21</v>
      </c>
      <c r="H12508" s="11" t="s">
        <v>22</v>
      </c>
      <c r="I12508" s="13" t="s">
        <v>24545</v>
      </c>
      <c r="J12508" s="14" t="str">
        <f>HYPERLINK("https://www.boe.es/gazeta/dias/1839/10/15/pdfs/GMD-1839-1801.pdf#page=4","Abrir facsímil")</f>
        <v>Abrir facsímil</v>
      </c>
      <c r="K12508" s="12" t="s">
        <v>24</v>
      </c>
    </row>
    <row r="12509" spans="1:11" ht="40.049999999999997" customHeight="1" x14ac:dyDescent="0.25">
      <c r="A12509" s="11" t="s">
        <v>24493</v>
      </c>
      <c r="B12509" s="11" t="s">
        <v>24493</v>
      </c>
      <c r="C12509" s="11" t="s">
        <v>17</v>
      </c>
      <c r="D12509" s="11" t="s">
        <v>18</v>
      </c>
      <c r="E12509" s="12" t="s">
        <v>175</v>
      </c>
      <c r="F12509" s="12" t="s">
        <v>176</v>
      </c>
      <c r="G12509" s="12" t="s">
        <v>40</v>
      </c>
      <c r="H12509" s="11" t="s">
        <v>22</v>
      </c>
      <c r="I12509" s="13" t="s">
        <v>24546</v>
      </c>
      <c r="J12509" s="14" t="str">
        <f>HYPERLINK("https://www.boe.es/gazeta/dias/1839/01/16/pdfs/GMD-1839-1523.pdf#page=2","Abrir facsímil")</f>
        <v>Abrir facsímil</v>
      </c>
      <c r="K12509" s="12" t="s">
        <v>24</v>
      </c>
    </row>
    <row r="12510" spans="1:11" ht="40.049999999999997" customHeight="1" x14ac:dyDescent="0.25">
      <c r="A12510" s="11" t="s">
        <v>24493</v>
      </c>
      <c r="B12510" s="11" t="s">
        <v>24493</v>
      </c>
      <c r="C12510" s="11" t="s">
        <v>59</v>
      </c>
      <c r="D12510" s="11" t="s">
        <v>60</v>
      </c>
      <c r="E12510" s="12" t="s">
        <v>230</v>
      </c>
      <c r="F12510" s="12" t="s">
        <v>231</v>
      </c>
      <c r="G12510" s="12" t="s">
        <v>29</v>
      </c>
      <c r="H12510" s="11" t="s">
        <v>22</v>
      </c>
      <c r="I12510" s="13" t="s">
        <v>24547</v>
      </c>
      <c r="J12510" s="14" t="str">
        <f>HYPERLINK("https://www.boe.es/gazeta/dias/1839/09/16/pdfs/GMD-1839-1769.pdf#page=1","Abrir facsímil")</f>
        <v>Abrir facsímil</v>
      </c>
      <c r="K12510" s="12" t="s">
        <v>24</v>
      </c>
    </row>
    <row r="12511" spans="1:11" ht="40.049999999999997" customHeight="1" x14ac:dyDescent="0.25">
      <c r="A12511" s="11" t="s">
        <v>24498</v>
      </c>
      <c r="B12511" s="11" t="s">
        <v>24498</v>
      </c>
      <c r="C12511" s="11" t="s">
        <v>101</v>
      </c>
      <c r="D12511" s="11" t="s">
        <v>43</v>
      </c>
      <c r="E12511" s="12" t="s">
        <v>1236</v>
      </c>
      <c r="F12511" s="12" t="s">
        <v>1237</v>
      </c>
      <c r="G12511" s="12" t="s">
        <v>40</v>
      </c>
      <c r="H12511" s="11" t="s">
        <v>63</v>
      </c>
      <c r="I12511" s="13" t="s">
        <v>24548</v>
      </c>
      <c r="J12511" s="14" t="str">
        <f>HYPERLINK("https://www.boe.es/gazeta/dias/1839/10/16/pdfs/GMD-1839-1802.pdf#page=2","Abrir facsímil")</f>
        <v>Abrir facsímil</v>
      </c>
      <c r="K12511" s="12" t="s">
        <v>65</v>
      </c>
    </row>
    <row r="12512" spans="1:11" ht="40.049999999999997" customHeight="1" x14ac:dyDescent="0.25">
      <c r="A12512" s="11" t="s">
        <v>24493</v>
      </c>
      <c r="B12512" s="11" t="s">
        <v>24493</v>
      </c>
      <c r="C12512" s="11" t="s">
        <v>59</v>
      </c>
      <c r="D12512" s="11" t="s">
        <v>60</v>
      </c>
      <c r="E12512" s="12" t="s">
        <v>2155</v>
      </c>
      <c r="F12512" s="12" t="s">
        <v>2156</v>
      </c>
      <c r="G12512" s="12" t="s">
        <v>29</v>
      </c>
      <c r="H12512" s="11" t="s">
        <v>22</v>
      </c>
      <c r="I12512" s="13" t="s">
        <v>24549</v>
      </c>
      <c r="J12512" s="14" t="str">
        <f>HYPERLINK("https://www.boe.es/gazeta/dias/1839/01/17/pdfs/GMD-1839-1524.pdf#page=1","Abrir facsímil")</f>
        <v>Abrir facsímil</v>
      </c>
      <c r="K12512" s="12" t="s">
        <v>24</v>
      </c>
    </row>
    <row r="12513" spans="1:11" ht="40.049999999999997" customHeight="1" x14ac:dyDescent="0.25">
      <c r="A12513" s="11" t="s">
        <v>24493</v>
      </c>
      <c r="B12513" s="11" t="s">
        <v>24493</v>
      </c>
      <c r="C12513" s="11" t="s">
        <v>59</v>
      </c>
      <c r="D12513" s="11" t="s">
        <v>60</v>
      </c>
      <c r="E12513" s="12" t="s">
        <v>2155</v>
      </c>
      <c r="F12513" s="12" t="s">
        <v>2156</v>
      </c>
      <c r="G12513" s="12" t="s">
        <v>21</v>
      </c>
      <c r="H12513" s="11" t="s">
        <v>22</v>
      </c>
      <c r="I12513" s="13" t="s">
        <v>24550</v>
      </c>
      <c r="J12513" s="14" t="str">
        <f>HYPERLINK("https://www.boe.es/gazeta/dias/1839/01/17/pdfs/GMD-1839-1524.pdf#page=4","Abrir facsímil")</f>
        <v>Abrir facsímil</v>
      </c>
      <c r="K12513" s="12" t="s">
        <v>24</v>
      </c>
    </row>
    <row r="12514" spans="1:11" ht="40.049999999999997" customHeight="1" x14ac:dyDescent="0.25">
      <c r="A12514" s="11" t="s">
        <v>24493</v>
      </c>
      <c r="B12514" s="11" t="s">
        <v>24493</v>
      </c>
      <c r="C12514" s="11" t="s">
        <v>101</v>
      </c>
      <c r="D12514" s="11" t="s">
        <v>43</v>
      </c>
      <c r="E12514" s="12" t="s">
        <v>233</v>
      </c>
      <c r="F12514" s="12" t="s">
        <v>234</v>
      </c>
      <c r="G12514" s="12" t="s">
        <v>46</v>
      </c>
      <c r="H12514" s="11" t="s">
        <v>22</v>
      </c>
      <c r="I12514" s="13" t="s">
        <v>24551</v>
      </c>
      <c r="J12514" s="14" t="str">
        <f>HYPERLINK("https://www.boe.es/gazeta/dias/1839/09/17/pdfs/GMD-1839-1770.pdf#page=3","Abrir facsímil")</f>
        <v>Abrir facsímil</v>
      </c>
      <c r="K12514" s="12" t="s">
        <v>24</v>
      </c>
    </row>
    <row r="12515" spans="1:11" ht="40.049999999999997" customHeight="1" x14ac:dyDescent="0.25">
      <c r="A12515" s="11" t="s">
        <v>24493</v>
      </c>
      <c r="B12515" s="11" t="s">
        <v>24493</v>
      </c>
      <c r="C12515" s="11" t="s">
        <v>101</v>
      </c>
      <c r="D12515" s="11" t="s">
        <v>43</v>
      </c>
      <c r="E12515" s="12" t="s">
        <v>233</v>
      </c>
      <c r="F12515" s="12" t="s">
        <v>234</v>
      </c>
      <c r="G12515" s="12" t="s">
        <v>21</v>
      </c>
      <c r="H12515" s="11" t="s">
        <v>22</v>
      </c>
      <c r="I12515" s="13" t="s">
        <v>24552</v>
      </c>
      <c r="J12515" s="14" t="str">
        <f>HYPERLINK("https://www.boe.es/gazeta/dias/1839/09/17/pdfs/GMD-1839-1770.pdf#page=4","Abrir facsímil")</f>
        <v>Abrir facsímil</v>
      </c>
      <c r="K12515" s="12" t="s">
        <v>24</v>
      </c>
    </row>
    <row r="12516" spans="1:11" ht="40.049999999999997" customHeight="1" x14ac:dyDescent="0.25">
      <c r="A12516" s="11" t="s">
        <v>24493</v>
      </c>
      <c r="B12516" s="11" t="s">
        <v>24493</v>
      </c>
      <c r="C12516" s="11" t="s">
        <v>17</v>
      </c>
      <c r="D12516" s="11" t="s">
        <v>18</v>
      </c>
      <c r="E12516" s="12" t="s">
        <v>564</v>
      </c>
      <c r="F12516" s="12" t="s">
        <v>565</v>
      </c>
      <c r="G12516" s="12" t="s">
        <v>46</v>
      </c>
      <c r="H12516" s="11" t="s">
        <v>22</v>
      </c>
      <c r="I12516" s="13" t="s">
        <v>24553</v>
      </c>
      <c r="J12516" s="14" t="str">
        <f>HYPERLINK("https://www.boe.es/gazeta/dias/1839/10/17/pdfs/GMD-1839-1803.pdf#page=3","Abrir facsímil")</f>
        <v>Abrir facsímil</v>
      </c>
      <c r="K12516" s="12" t="s">
        <v>24</v>
      </c>
    </row>
    <row r="12517" spans="1:11" ht="40.049999999999997" customHeight="1" x14ac:dyDescent="0.25">
      <c r="A12517" s="11" t="s">
        <v>24493</v>
      </c>
      <c r="B12517" s="11" t="s">
        <v>24493</v>
      </c>
      <c r="C12517" s="11" t="s">
        <v>59</v>
      </c>
      <c r="D12517" s="11" t="s">
        <v>60</v>
      </c>
      <c r="E12517" s="12" t="s">
        <v>1072</v>
      </c>
      <c r="F12517" s="12" t="s">
        <v>1073</v>
      </c>
      <c r="G12517" s="12" t="s">
        <v>29</v>
      </c>
      <c r="H12517" s="11" t="s">
        <v>22</v>
      </c>
      <c r="I12517" s="13" t="s">
        <v>24554</v>
      </c>
      <c r="J12517" s="14" t="str">
        <f>HYPERLINK("https://www.boe.es/gazeta/dias/1839/01/18/pdfs/GMD-1839-1525.pdf#page=1","Abrir facsímil")</f>
        <v>Abrir facsímil</v>
      </c>
      <c r="K12517" s="12" t="s">
        <v>24</v>
      </c>
    </row>
    <row r="12518" spans="1:11" ht="40.049999999999997" customHeight="1" x14ac:dyDescent="0.25">
      <c r="A12518" s="11" t="s">
        <v>24493</v>
      </c>
      <c r="B12518" s="11" t="s">
        <v>24493</v>
      </c>
      <c r="C12518" s="11" t="s">
        <v>137</v>
      </c>
      <c r="D12518" s="11" t="s">
        <v>18</v>
      </c>
      <c r="E12518" s="12" t="s">
        <v>1072</v>
      </c>
      <c r="F12518" s="12" t="s">
        <v>1073</v>
      </c>
      <c r="G12518" s="12" t="s">
        <v>40</v>
      </c>
      <c r="H12518" s="11" t="s">
        <v>22</v>
      </c>
      <c r="I12518" s="13" t="s">
        <v>24555</v>
      </c>
      <c r="J12518" s="14" t="str">
        <f>HYPERLINK("https://www.boe.es/gazeta/dias/1839/01/18/pdfs/GMD-1839-1525.pdf#page=2","Abrir facsímil")</f>
        <v>Abrir facsímil</v>
      </c>
      <c r="K12518" s="12" t="s">
        <v>24</v>
      </c>
    </row>
    <row r="12519" spans="1:11" ht="40.049999999999997" customHeight="1" x14ac:dyDescent="0.25">
      <c r="A12519" s="11" t="s">
        <v>24493</v>
      </c>
      <c r="B12519" s="11" t="s">
        <v>24493</v>
      </c>
      <c r="C12519" s="11" t="s">
        <v>101</v>
      </c>
      <c r="D12519" s="11" t="s">
        <v>43</v>
      </c>
      <c r="E12519" s="12" t="s">
        <v>1072</v>
      </c>
      <c r="F12519" s="12" t="s">
        <v>1073</v>
      </c>
      <c r="G12519" s="12" t="s">
        <v>46</v>
      </c>
      <c r="H12519" s="11" t="s">
        <v>22</v>
      </c>
      <c r="I12519" s="13" t="s">
        <v>24556</v>
      </c>
      <c r="J12519" s="14" t="str">
        <f>HYPERLINK("https://www.boe.es/gazeta/dias/1839/01/18/pdfs/GMD-1839-1525.pdf#page=3","Abrir facsímil")</f>
        <v>Abrir facsímil</v>
      </c>
      <c r="K12519" s="12" t="s">
        <v>24</v>
      </c>
    </row>
    <row r="12520" spans="1:11" ht="40.049999999999997" customHeight="1" x14ac:dyDescent="0.25">
      <c r="A12520" s="11" t="s">
        <v>24493</v>
      </c>
      <c r="B12520" s="11" t="s">
        <v>24493</v>
      </c>
      <c r="C12520" s="11" t="s">
        <v>17</v>
      </c>
      <c r="D12520" s="11" t="s">
        <v>18</v>
      </c>
      <c r="E12520" s="12" t="s">
        <v>1179</v>
      </c>
      <c r="F12520" s="12" t="s">
        <v>1180</v>
      </c>
      <c r="G12520" s="12" t="s">
        <v>566</v>
      </c>
      <c r="H12520" s="11" t="s">
        <v>22</v>
      </c>
      <c r="I12520" s="13" t="s">
        <v>24557</v>
      </c>
      <c r="J12520" s="14" t="str">
        <f>HYPERLINK("https://www.boe.es/gazeta/dias/1839/10/18/pdfs/GMD-1839-1804.pdf#page=5","Abrir facsímil")</f>
        <v>Abrir facsímil</v>
      </c>
      <c r="K12520" s="12" t="s">
        <v>24</v>
      </c>
    </row>
    <row r="12521" spans="1:11" ht="40.049999999999997" customHeight="1" x14ac:dyDescent="0.25">
      <c r="A12521" s="11" t="s">
        <v>24498</v>
      </c>
      <c r="B12521" s="11" t="s">
        <v>24498</v>
      </c>
      <c r="C12521" s="11" t="s">
        <v>59</v>
      </c>
      <c r="D12521" s="11" t="s">
        <v>60</v>
      </c>
      <c r="E12521" s="12" t="s">
        <v>555</v>
      </c>
      <c r="F12521" s="12" t="s">
        <v>556</v>
      </c>
      <c r="G12521" s="12" t="s">
        <v>29</v>
      </c>
      <c r="H12521" s="11" t="s">
        <v>63</v>
      </c>
      <c r="I12521" s="13" t="s">
        <v>24558</v>
      </c>
      <c r="J12521" s="14" t="str">
        <f>HYPERLINK("https://www.boe.es/gazeta/dias/1839/07/19/pdfs/GMD-1839-1707.pdf#page=1","Abrir facsímil")</f>
        <v>Abrir facsímil</v>
      </c>
      <c r="K12521" s="12" t="s">
        <v>65</v>
      </c>
    </row>
    <row r="12522" spans="1:11" ht="40.049999999999997" customHeight="1" x14ac:dyDescent="0.25">
      <c r="A12522" s="11" t="s">
        <v>24493</v>
      </c>
      <c r="B12522" s="11" t="s">
        <v>24493</v>
      </c>
      <c r="C12522" s="11" t="s">
        <v>59</v>
      </c>
      <c r="D12522" s="11" t="s">
        <v>60</v>
      </c>
      <c r="E12522" s="12" t="s">
        <v>2222</v>
      </c>
      <c r="F12522" s="12" t="s">
        <v>2223</v>
      </c>
      <c r="G12522" s="12" t="s">
        <v>40</v>
      </c>
      <c r="H12522" s="11" t="s">
        <v>22</v>
      </c>
      <c r="I12522" s="13" t="s">
        <v>24559</v>
      </c>
      <c r="J12522" s="14" t="str">
        <f>HYPERLINK("https://www.boe.es/gazeta/dias/1839/09/19/pdfs/GMD-1839-1773.pdf#page=2","Abrir facsímil")</f>
        <v>Abrir facsímil</v>
      </c>
      <c r="K12522" s="12" t="s">
        <v>24</v>
      </c>
    </row>
    <row r="12523" spans="1:11" ht="40.049999999999997" customHeight="1" x14ac:dyDescent="0.25">
      <c r="A12523" s="11" t="s">
        <v>24493</v>
      </c>
      <c r="B12523" s="11" t="s">
        <v>24493</v>
      </c>
      <c r="C12523" s="11" t="s">
        <v>17</v>
      </c>
      <c r="D12523" s="11" t="s">
        <v>18</v>
      </c>
      <c r="E12523" s="12" t="s">
        <v>2222</v>
      </c>
      <c r="F12523" s="12" t="s">
        <v>2223</v>
      </c>
      <c r="G12523" s="12" t="s">
        <v>21</v>
      </c>
      <c r="H12523" s="11" t="s">
        <v>22</v>
      </c>
      <c r="I12523" s="13" t="s">
        <v>24560</v>
      </c>
      <c r="J12523" s="14" t="str">
        <f>HYPERLINK("https://www.boe.es/gazeta/dias/1839/09/19/pdfs/GMD-1839-1773.pdf#page=4","Abrir facsímil")</f>
        <v>Abrir facsímil</v>
      </c>
      <c r="K12523" s="12" t="s">
        <v>24</v>
      </c>
    </row>
    <row r="12524" spans="1:11" ht="40.049999999999997" customHeight="1" x14ac:dyDescent="0.25">
      <c r="A12524" s="11" t="s">
        <v>24493</v>
      </c>
      <c r="B12524" s="11" t="s">
        <v>24493</v>
      </c>
      <c r="C12524" s="11" t="s">
        <v>17</v>
      </c>
      <c r="D12524" s="11" t="s">
        <v>18</v>
      </c>
      <c r="E12524" s="12" t="s">
        <v>1076</v>
      </c>
      <c r="F12524" s="12" t="s">
        <v>1077</v>
      </c>
      <c r="G12524" s="12" t="s">
        <v>40</v>
      </c>
      <c r="H12524" s="11" t="s">
        <v>22</v>
      </c>
      <c r="I12524" s="13" t="s">
        <v>24561</v>
      </c>
      <c r="J12524" s="14" t="str">
        <f>HYPERLINK("https://www.boe.es/gazeta/dias/1839/10/19/pdfs/GMD-1839-1805.pdf#page=2","Abrir facsímil")</f>
        <v>Abrir facsímil</v>
      </c>
      <c r="K12524" s="12" t="s">
        <v>24</v>
      </c>
    </row>
    <row r="12525" spans="1:11" ht="40.049999999999997" customHeight="1" x14ac:dyDescent="0.25">
      <c r="A12525" s="11" t="s">
        <v>24493</v>
      </c>
      <c r="B12525" s="11" t="s">
        <v>24493</v>
      </c>
      <c r="C12525" s="11" t="s">
        <v>101</v>
      </c>
      <c r="D12525" s="11" t="s">
        <v>43</v>
      </c>
      <c r="E12525" s="12" t="s">
        <v>1076</v>
      </c>
      <c r="F12525" s="12" t="s">
        <v>1077</v>
      </c>
      <c r="G12525" s="12" t="s">
        <v>21</v>
      </c>
      <c r="H12525" s="11" t="s">
        <v>22</v>
      </c>
      <c r="I12525" s="13" t="s">
        <v>24562</v>
      </c>
      <c r="J12525" s="14" t="str">
        <f>HYPERLINK("https://www.boe.es/gazeta/dias/1839/10/19/pdfs/GMD-1839-1805.pdf#page=4","Abrir facsímil")</f>
        <v>Abrir facsímil</v>
      </c>
      <c r="K12525" s="12" t="s">
        <v>24</v>
      </c>
    </row>
    <row r="12526" spans="1:11" ht="40.049999999999997" customHeight="1" x14ac:dyDescent="0.25">
      <c r="A12526" s="11" t="s">
        <v>24493</v>
      </c>
      <c r="B12526" s="11" t="s">
        <v>24493</v>
      </c>
      <c r="C12526" s="11" t="s">
        <v>137</v>
      </c>
      <c r="D12526" s="11" t="s">
        <v>18</v>
      </c>
      <c r="E12526" s="12" t="s">
        <v>433</v>
      </c>
      <c r="F12526" s="12" t="s">
        <v>434</v>
      </c>
      <c r="G12526" s="12" t="s">
        <v>40</v>
      </c>
      <c r="H12526" s="11" t="s">
        <v>22</v>
      </c>
      <c r="I12526" s="13" t="s">
        <v>24563</v>
      </c>
      <c r="J12526" s="14" t="str">
        <f>HYPERLINK("https://www.boe.es/gazeta/dias/1839/01/20/pdfs/GMD-1839-1527.pdf#page=2","Abrir facsímil")</f>
        <v>Abrir facsímil</v>
      </c>
      <c r="K12526" s="12" t="s">
        <v>24</v>
      </c>
    </row>
    <row r="12527" spans="1:11" ht="40.049999999999997" customHeight="1" x14ac:dyDescent="0.25">
      <c r="A12527" s="11" t="s">
        <v>24493</v>
      </c>
      <c r="B12527" s="11" t="s">
        <v>24493</v>
      </c>
      <c r="C12527" s="11" t="s">
        <v>17</v>
      </c>
      <c r="D12527" s="11" t="s">
        <v>18</v>
      </c>
      <c r="E12527" s="12" t="s">
        <v>433</v>
      </c>
      <c r="F12527" s="12" t="s">
        <v>434</v>
      </c>
      <c r="G12527" s="12" t="s">
        <v>21</v>
      </c>
      <c r="H12527" s="11" t="s">
        <v>22</v>
      </c>
      <c r="I12527" s="13" t="s">
        <v>24564</v>
      </c>
      <c r="J12527" s="14" t="str">
        <f>HYPERLINK("https://www.boe.es/gazeta/dias/1839/01/20/pdfs/GMD-1839-1527.pdf#page=4","Abrir facsímil")</f>
        <v>Abrir facsímil</v>
      </c>
      <c r="K12527" s="12" t="s">
        <v>24</v>
      </c>
    </row>
    <row r="12528" spans="1:11" ht="40.049999999999997" customHeight="1" x14ac:dyDescent="0.25">
      <c r="A12528" s="11" t="s">
        <v>24493</v>
      </c>
      <c r="B12528" s="11" t="s">
        <v>24493</v>
      </c>
      <c r="C12528" s="11" t="s">
        <v>17</v>
      </c>
      <c r="D12528" s="11" t="s">
        <v>18</v>
      </c>
      <c r="E12528" s="12" t="s">
        <v>1108</v>
      </c>
      <c r="F12528" s="12" t="s">
        <v>1109</v>
      </c>
      <c r="G12528" s="12" t="s">
        <v>21</v>
      </c>
      <c r="H12528" s="11" t="s">
        <v>22</v>
      </c>
      <c r="I12528" s="13" t="s">
        <v>24565</v>
      </c>
      <c r="J12528" s="14" t="str">
        <f>HYPERLINK("https://www.boe.es/gazeta/dias/1839/09/21/pdfs/GMD-1839-1776.pdf#page=4","Abrir facsímil")</f>
        <v>Abrir facsímil</v>
      </c>
      <c r="K12528" s="12" t="s">
        <v>24</v>
      </c>
    </row>
    <row r="12529" spans="1:11" ht="40.049999999999997" customHeight="1" x14ac:dyDescent="0.25">
      <c r="A12529" s="11" t="s">
        <v>24493</v>
      </c>
      <c r="B12529" s="11" t="s">
        <v>24493</v>
      </c>
      <c r="C12529" s="11" t="s">
        <v>17</v>
      </c>
      <c r="D12529" s="11" t="s">
        <v>18</v>
      </c>
      <c r="E12529" s="12" t="s">
        <v>2949</v>
      </c>
      <c r="F12529" s="12" t="s">
        <v>2950</v>
      </c>
      <c r="G12529" s="12" t="s">
        <v>21</v>
      </c>
      <c r="H12529" s="11" t="s">
        <v>22</v>
      </c>
      <c r="I12529" s="13" t="s">
        <v>24566</v>
      </c>
      <c r="J12529" s="14" t="str">
        <f>HYPERLINK("https://www.boe.es/gazeta/dias/1839/10/21/pdfs/GMD-1839-1807.pdf#page=4","Abrir facsímil")</f>
        <v>Abrir facsímil</v>
      </c>
      <c r="K12529" s="12" t="s">
        <v>24</v>
      </c>
    </row>
    <row r="12530" spans="1:11" ht="40.049999999999997" customHeight="1" x14ac:dyDescent="0.25">
      <c r="A12530" s="11" t="s">
        <v>24493</v>
      </c>
      <c r="B12530" s="11" t="s">
        <v>24493</v>
      </c>
      <c r="C12530" s="11" t="s">
        <v>80</v>
      </c>
      <c r="D12530" s="11" t="s">
        <v>18</v>
      </c>
      <c r="E12530" s="12" t="s">
        <v>794</v>
      </c>
      <c r="F12530" s="12" t="s">
        <v>795</v>
      </c>
      <c r="G12530" s="12" t="s">
        <v>46</v>
      </c>
      <c r="H12530" s="11" t="s">
        <v>22</v>
      </c>
      <c r="I12530" s="13" t="s">
        <v>24567</v>
      </c>
      <c r="J12530" s="14" t="str">
        <f>HYPERLINK("https://www.boe.es/gazeta/dias/1839/01/22/pdfs/GMD-1839-1529.pdf#page=3","Abrir facsímil")</f>
        <v>Abrir facsímil</v>
      </c>
      <c r="K12530" s="12" t="s">
        <v>24</v>
      </c>
    </row>
    <row r="12531" spans="1:11" ht="40.049999999999997" customHeight="1" x14ac:dyDescent="0.25">
      <c r="A12531" s="11" t="s">
        <v>24493</v>
      </c>
      <c r="B12531" s="11" t="s">
        <v>24493</v>
      </c>
      <c r="C12531" s="11" t="s">
        <v>80</v>
      </c>
      <c r="D12531" s="11" t="s">
        <v>18</v>
      </c>
      <c r="E12531" s="12" t="s">
        <v>794</v>
      </c>
      <c r="F12531" s="12" t="s">
        <v>795</v>
      </c>
      <c r="G12531" s="12" t="s">
        <v>21</v>
      </c>
      <c r="H12531" s="11" t="s">
        <v>22</v>
      </c>
      <c r="I12531" s="13" t="s">
        <v>24568</v>
      </c>
      <c r="J12531" s="14" t="str">
        <f>HYPERLINK("https://www.boe.es/gazeta/dias/1839/01/22/pdfs/GMD-1839-1529.pdf#page=4","Abrir facsímil")</f>
        <v>Abrir facsímil</v>
      </c>
      <c r="K12531" s="12" t="s">
        <v>24</v>
      </c>
    </row>
    <row r="12532" spans="1:11" ht="40.049999999999997" customHeight="1" x14ac:dyDescent="0.25">
      <c r="A12532" s="11" t="s">
        <v>24493</v>
      </c>
      <c r="B12532" s="11" t="s">
        <v>24493</v>
      </c>
      <c r="C12532" s="11" t="s">
        <v>137</v>
      </c>
      <c r="D12532" s="11" t="s">
        <v>18</v>
      </c>
      <c r="E12532" s="12" t="s">
        <v>239</v>
      </c>
      <c r="F12532" s="12" t="s">
        <v>240</v>
      </c>
      <c r="G12532" s="12" t="s">
        <v>29</v>
      </c>
      <c r="H12532" s="11" t="s">
        <v>22</v>
      </c>
      <c r="I12532" s="13" t="s">
        <v>24569</v>
      </c>
      <c r="J12532" s="14" t="str">
        <f>HYPERLINK("https://www.boe.es/gazeta/dias/1839/09/22/pdfs/GMD-1839-1777.pdf#page=1","Abrir facsímil")</f>
        <v>Abrir facsímil</v>
      </c>
      <c r="K12532" s="12" t="s">
        <v>24</v>
      </c>
    </row>
    <row r="12533" spans="1:11" ht="40.049999999999997" customHeight="1" x14ac:dyDescent="0.25">
      <c r="A12533" s="11" t="s">
        <v>24493</v>
      </c>
      <c r="B12533" s="11" t="s">
        <v>24493</v>
      </c>
      <c r="C12533" s="11" t="s">
        <v>137</v>
      </c>
      <c r="D12533" s="11" t="s">
        <v>18</v>
      </c>
      <c r="E12533" s="12" t="s">
        <v>239</v>
      </c>
      <c r="F12533" s="12" t="s">
        <v>240</v>
      </c>
      <c r="G12533" s="12" t="s">
        <v>40</v>
      </c>
      <c r="H12533" s="11" t="s">
        <v>22</v>
      </c>
      <c r="I12533" s="13" t="s">
        <v>24570</v>
      </c>
      <c r="J12533" s="14" t="str">
        <f>HYPERLINK("https://www.boe.es/gazeta/dias/1839/09/22/pdfs/GMD-1839-1777.pdf#page=2","Abrir facsímil")</f>
        <v>Abrir facsímil</v>
      </c>
      <c r="K12533" s="12" t="s">
        <v>24</v>
      </c>
    </row>
    <row r="12534" spans="1:11" ht="40.049999999999997" customHeight="1" x14ac:dyDescent="0.25">
      <c r="A12534" s="11" t="s">
        <v>24493</v>
      </c>
      <c r="B12534" s="11" t="s">
        <v>24493</v>
      </c>
      <c r="C12534" s="11" t="s">
        <v>59</v>
      </c>
      <c r="D12534" s="11" t="s">
        <v>60</v>
      </c>
      <c r="E12534" s="12" t="s">
        <v>1433</v>
      </c>
      <c r="F12534" s="12" t="s">
        <v>1434</v>
      </c>
      <c r="G12534" s="12" t="s">
        <v>40</v>
      </c>
      <c r="H12534" s="11" t="s">
        <v>22</v>
      </c>
      <c r="I12534" s="13" t="s">
        <v>24571</v>
      </c>
      <c r="J12534" s="14" t="str">
        <f>HYPERLINK("https://www.boe.es/gazeta/dias/1839/10/22/pdfs/GMD-1839-1808.pdf#page=2","Abrir facsímil")</f>
        <v>Abrir facsímil</v>
      </c>
      <c r="K12534" s="12" t="s">
        <v>24</v>
      </c>
    </row>
    <row r="12535" spans="1:11" ht="40.049999999999997" customHeight="1" x14ac:dyDescent="0.25">
      <c r="A12535" s="11" t="s">
        <v>24493</v>
      </c>
      <c r="B12535" s="11" t="s">
        <v>24493</v>
      </c>
      <c r="C12535" s="11" t="s">
        <v>101</v>
      </c>
      <c r="D12535" s="11" t="s">
        <v>43</v>
      </c>
      <c r="E12535" s="12" t="s">
        <v>1433</v>
      </c>
      <c r="F12535" s="12" t="s">
        <v>1434</v>
      </c>
      <c r="G12535" s="12" t="s">
        <v>21</v>
      </c>
      <c r="H12535" s="11" t="s">
        <v>22</v>
      </c>
      <c r="I12535" s="13" t="s">
        <v>24572</v>
      </c>
      <c r="J12535" s="14" t="str">
        <f>HYPERLINK("https://www.boe.es/gazeta/dias/1839/10/22/pdfs/GMD-1839-1808.pdf#page=4","Abrir facsímil")</f>
        <v>Abrir facsímil</v>
      </c>
      <c r="K12535" s="12" t="s">
        <v>24</v>
      </c>
    </row>
    <row r="12536" spans="1:11" ht="40.049999999999997" customHeight="1" x14ac:dyDescent="0.25">
      <c r="A12536" s="11" t="s">
        <v>24493</v>
      </c>
      <c r="B12536" s="11" t="s">
        <v>24493</v>
      </c>
      <c r="C12536" s="11" t="s">
        <v>17</v>
      </c>
      <c r="D12536" s="11" t="s">
        <v>18</v>
      </c>
      <c r="E12536" s="12" t="s">
        <v>596</v>
      </c>
      <c r="F12536" s="12" t="s">
        <v>597</v>
      </c>
      <c r="G12536" s="12" t="s">
        <v>21</v>
      </c>
      <c r="H12536" s="11" t="s">
        <v>22</v>
      </c>
      <c r="I12536" s="13" t="s">
        <v>24573</v>
      </c>
      <c r="J12536" s="14" t="str">
        <f>HYPERLINK("https://www.boe.es/gazeta/dias/1839/01/23/pdfs/GMD-1839-1530.pdf#page=4","Abrir facsímil")</f>
        <v>Abrir facsímil</v>
      </c>
      <c r="K12536" s="12" t="s">
        <v>24</v>
      </c>
    </row>
    <row r="12537" spans="1:11" ht="40.049999999999997" customHeight="1" x14ac:dyDescent="0.25">
      <c r="A12537" s="11" t="s">
        <v>24493</v>
      </c>
      <c r="B12537" s="11" t="s">
        <v>24493</v>
      </c>
      <c r="C12537" s="11" t="s">
        <v>17</v>
      </c>
      <c r="D12537" s="11" t="s">
        <v>18</v>
      </c>
      <c r="E12537" s="12" t="s">
        <v>243</v>
      </c>
      <c r="F12537" s="12" t="s">
        <v>244</v>
      </c>
      <c r="G12537" s="12" t="s">
        <v>46</v>
      </c>
      <c r="H12537" s="11" t="s">
        <v>22</v>
      </c>
      <c r="I12537" s="13" t="s">
        <v>24574</v>
      </c>
      <c r="J12537" s="14" t="str">
        <f>HYPERLINK("https://www.boe.es/gazeta/dias/1839/09/23/pdfs/GMD-1839-1779.pdf#page=3","Abrir facsímil")</f>
        <v>Abrir facsímil</v>
      </c>
      <c r="K12537" s="12" t="s">
        <v>24</v>
      </c>
    </row>
    <row r="12538" spans="1:11" ht="40.049999999999997" customHeight="1" x14ac:dyDescent="0.25">
      <c r="A12538" s="11" t="s">
        <v>24493</v>
      </c>
      <c r="B12538" s="11" t="s">
        <v>24493</v>
      </c>
      <c r="C12538" s="11" t="s">
        <v>101</v>
      </c>
      <c r="D12538" s="11" t="s">
        <v>43</v>
      </c>
      <c r="E12538" s="12" t="s">
        <v>568</v>
      </c>
      <c r="F12538" s="12" t="s">
        <v>569</v>
      </c>
      <c r="G12538" s="12" t="s">
        <v>46</v>
      </c>
      <c r="H12538" s="11" t="s">
        <v>22</v>
      </c>
      <c r="I12538" s="13" t="s">
        <v>24575</v>
      </c>
      <c r="J12538" s="14" t="str">
        <f>HYPERLINK("https://www.boe.es/gazeta/dias/1839/10/23/pdfs/GMD-1839-1809.pdf#page=3","Abrir facsímil")</f>
        <v>Abrir facsímil</v>
      </c>
      <c r="K12538" s="12" t="s">
        <v>24</v>
      </c>
    </row>
    <row r="12539" spans="1:11" ht="40.049999999999997" customHeight="1" x14ac:dyDescent="0.25">
      <c r="A12539" s="11" t="s">
        <v>24493</v>
      </c>
      <c r="B12539" s="11" t="s">
        <v>24493</v>
      </c>
      <c r="C12539" s="11" t="s">
        <v>101</v>
      </c>
      <c r="D12539" s="11" t="s">
        <v>43</v>
      </c>
      <c r="E12539" s="12" t="s">
        <v>568</v>
      </c>
      <c r="F12539" s="12" t="s">
        <v>569</v>
      </c>
      <c r="G12539" s="12" t="s">
        <v>21</v>
      </c>
      <c r="H12539" s="11" t="s">
        <v>22</v>
      </c>
      <c r="I12539" s="13" t="s">
        <v>24576</v>
      </c>
      <c r="J12539" s="14" t="str">
        <f>HYPERLINK("https://www.boe.es/gazeta/dias/1839/10/23/pdfs/GMD-1839-1809.pdf#page=4","Abrir facsímil")</f>
        <v>Abrir facsímil</v>
      </c>
      <c r="K12539" s="12" t="s">
        <v>24</v>
      </c>
    </row>
    <row r="12540" spans="1:11" ht="40.049999999999997" customHeight="1" x14ac:dyDescent="0.25">
      <c r="A12540" s="11" t="s">
        <v>24493</v>
      </c>
      <c r="B12540" s="11" t="s">
        <v>24493</v>
      </c>
      <c r="C12540" s="11" t="s">
        <v>17</v>
      </c>
      <c r="D12540" s="11" t="s">
        <v>18</v>
      </c>
      <c r="E12540" s="12" t="s">
        <v>276</v>
      </c>
      <c r="F12540" s="12" t="s">
        <v>277</v>
      </c>
      <c r="G12540" s="12" t="s">
        <v>46</v>
      </c>
      <c r="H12540" s="11" t="s">
        <v>22</v>
      </c>
      <c r="I12540" s="13" t="s">
        <v>24577</v>
      </c>
      <c r="J12540" s="14" t="str">
        <f>HYPERLINK("https://www.boe.es/gazeta/dias/1839/09/24/pdfs/GMD-1839-1780.pdf#page=3","Abrir facsímil")</f>
        <v>Abrir facsímil</v>
      </c>
      <c r="K12540" s="12" t="s">
        <v>24</v>
      </c>
    </row>
    <row r="12541" spans="1:11" ht="40.049999999999997" customHeight="1" x14ac:dyDescent="0.25">
      <c r="A12541" s="11" t="s">
        <v>24498</v>
      </c>
      <c r="B12541" s="11" t="s">
        <v>24498</v>
      </c>
      <c r="C12541" s="11" t="s">
        <v>17</v>
      </c>
      <c r="D12541" s="11" t="s">
        <v>18</v>
      </c>
      <c r="E12541" s="12" t="s">
        <v>416</v>
      </c>
      <c r="F12541" s="12" t="s">
        <v>417</v>
      </c>
      <c r="G12541" s="12" t="s">
        <v>29</v>
      </c>
      <c r="H12541" s="11" t="s">
        <v>63</v>
      </c>
      <c r="I12541" s="13" t="s">
        <v>24578</v>
      </c>
      <c r="J12541" s="14" t="str">
        <f>HYPERLINK("https://www.boe.es/gazeta/dias/1839/10/24/pdfs/GMD-1839-1810.pdf#page=1","Abrir facsímil")</f>
        <v>Abrir facsímil</v>
      </c>
      <c r="K12541" s="12" t="s">
        <v>65</v>
      </c>
    </row>
    <row r="12542" spans="1:11" ht="40.049999999999997" customHeight="1" x14ac:dyDescent="0.25">
      <c r="A12542" s="11" t="s">
        <v>24493</v>
      </c>
      <c r="B12542" s="11" t="s">
        <v>24493</v>
      </c>
      <c r="C12542" s="11" t="s">
        <v>17</v>
      </c>
      <c r="D12542" s="11" t="s">
        <v>18</v>
      </c>
      <c r="E12542" s="12" t="s">
        <v>416</v>
      </c>
      <c r="F12542" s="12" t="s">
        <v>417</v>
      </c>
      <c r="G12542" s="12" t="s">
        <v>21</v>
      </c>
      <c r="H12542" s="11" t="s">
        <v>22</v>
      </c>
      <c r="I12542" s="13" t="s">
        <v>24579</v>
      </c>
      <c r="J12542" s="14" t="str">
        <f>HYPERLINK("https://www.boe.es/gazeta/dias/1839/10/24/pdfs/GMD-1839-1810.pdf#page=4","Abrir facsímil")</f>
        <v>Abrir facsímil</v>
      </c>
      <c r="K12542" s="12" t="s">
        <v>24</v>
      </c>
    </row>
    <row r="12543" spans="1:11" ht="40.049999999999997" customHeight="1" x14ac:dyDescent="0.25">
      <c r="A12543" s="11" t="s">
        <v>24498</v>
      </c>
      <c r="B12543" s="11" t="s">
        <v>24498</v>
      </c>
      <c r="C12543" s="11" t="s">
        <v>101</v>
      </c>
      <c r="D12543" s="11" t="s">
        <v>43</v>
      </c>
      <c r="E12543" s="12" t="s">
        <v>650</v>
      </c>
      <c r="F12543" s="12" t="s">
        <v>651</v>
      </c>
      <c r="G12543" s="12" t="s">
        <v>40</v>
      </c>
      <c r="H12543" s="11" t="s">
        <v>63</v>
      </c>
      <c r="I12543" s="13" t="s">
        <v>24580</v>
      </c>
      <c r="J12543" s="14" t="str">
        <f>HYPERLINK("https://www.boe.es/gazeta/dias/1839/10/25/pdfs/GMD-1839-1811.pdf#page=2","Abrir facsímil")</f>
        <v>Abrir facsímil</v>
      </c>
      <c r="K12543" s="12" t="s">
        <v>65</v>
      </c>
    </row>
    <row r="12544" spans="1:11" ht="40.049999999999997" customHeight="1" x14ac:dyDescent="0.25">
      <c r="A12544" s="11" t="s">
        <v>24493</v>
      </c>
      <c r="B12544" s="11" t="s">
        <v>24493</v>
      </c>
      <c r="C12544" s="11" t="s">
        <v>17</v>
      </c>
      <c r="D12544" s="11" t="s">
        <v>18</v>
      </c>
      <c r="E12544" s="12" t="s">
        <v>650</v>
      </c>
      <c r="F12544" s="12" t="s">
        <v>651</v>
      </c>
      <c r="G12544" s="12" t="s">
        <v>21</v>
      </c>
      <c r="H12544" s="11" t="s">
        <v>22</v>
      </c>
      <c r="I12544" s="13" t="s">
        <v>24581</v>
      </c>
      <c r="J12544" s="14" t="str">
        <f>HYPERLINK("https://www.boe.es/gazeta/dias/1839/10/25/pdfs/GMD-1839-1811.pdf#page=4","Abrir facsímil")</f>
        <v>Abrir facsímil</v>
      </c>
      <c r="K12544" s="12" t="s">
        <v>24</v>
      </c>
    </row>
    <row r="12545" spans="1:11" ht="40.049999999999997" customHeight="1" x14ac:dyDescent="0.25">
      <c r="A12545" s="11" t="s">
        <v>24493</v>
      </c>
      <c r="B12545" s="11" t="s">
        <v>24493</v>
      </c>
      <c r="C12545" s="11" t="s">
        <v>17</v>
      </c>
      <c r="D12545" s="11" t="s">
        <v>18</v>
      </c>
      <c r="E12545" s="12" t="s">
        <v>1086</v>
      </c>
      <c r="F12545" s="12" t="s">
        <v>1087</v>
      </c>
      <c r="G12545" s="12" t="s">
        <v>21</v>
      </c>
      <c r="H12545" s="11" t="s">
        <v>22</v>
      </c>
      <c r="I12545" s="13" t="s">
        <v>24582</v>
      </c>
      <c r="J12545" s="14" t="str">
        <f>HYPERLINK("https://www.boe.es/gazeta/dias/1839/10/26/pdfs/GMD-1839-1812.pdf#page=4","Abrir facsímil")</f>
        <v>Abrir facsímil</v>
      </c>
      <c r="K12545" s="12" t="s">
        <v>24</v>
      </c>
    </row>
    <row r="12546" spans="1:11" ht="40.049999999999997" customHeight="1" x14ac:dyDescent="0.25">
      <c r="A12546" s="11" t="s">
        <v>24493</v>
      </c>
      <c r="B12546" s="11" t="s">
        <v>24493</v>
      </c>
      <c r="C12546" s="11" t="s">
        <v>137</v>
      </c>
      <c r="D12546" s="11" t="s">
        <v>18</v>
      </c>
      <c r="E12546" s="12" t="s">
        <v>284</v>
      </c>
      <c r="F12546" s="12" t="s">
        <v>285</v>
      </c>
      <c r="G12546" s="12" t="s">
        <v>40</v>
      </c>
      <c r="H12546" s="11" t="s">
        <v>22</v>
      </c>
      <c r="I12546" s="13" t="s">
        <v>24583</v>
      </c>
      <c r="J12546" s="14" t="str">
        <f>HYPERLINK("https://www.boe.es/gazeta/dias/1839/01/27/pdfs/GMD-1839-1534.pdf#page=2","Abrir facsímil")</f>
        <v>Abrir facsímil</v>
      </c>
      <c r="K12546" s="12" t="s">
        <v>24</v>
      </c>
    </row>
    <row r="12547" spans="1:11" ht="40.049999999999997" customHeight="1" x14ac:dyDescent="0.25">
      <c r="A12547" s="11" t="s">
        <v>24493</v>
      </c>
      <c r="B12547" s="11" t="s">
        <v>24493</v>
      </c>
      <c r="C12547" s="11" t="s">
        <v>17</v>
      </c>
      <c r="D12547" s="11" t="s">
        <v>18</v>
      </c>
      <c r="E12547" s="12" t="s">
        <v>1909</v>
      </c>
      <c r="F12547" s="12" t="s">
        <v>1910</v>
      </c>
      <c r="G12547" s="12" t="s">
        <v>46</v>
      </c>
      <c r="H12547" s="11" t="s">
        <v>22</v>
      </c>
      <c r="I12547" s="13" t="s">
        <v>24584</v>
      </c>
      <c r="J12547" s="14" t="str">
        <f>HYPERLINK("https://www.boe.es/gazeta/dias/1839/10/27/pdfs/GMD-1839-1813.pdf#page=3","Abrir facsímil")</f>
        <v>Abrir facsímil</v>
      </c>
      <c r="K12547" s="12" t="s">
        <v>24</v>
      </c>
    </row>
    <row r="12548" spans="1:11" ht="40.049999999999997" customHeight="1" x14ac:dyDescent="0.25">
      <c r="A12548" s="11" t="s">
        <v>24493</v>
      </c>
      <c r="B12548" s="11" t="s">
        <v>24493</v>
      </c>
      <c r="C12548" s="11" t="s">
        <v>101</v>
      </c>
      <c r="D12548" s="11" t="s">
        <v>43</v>
      </c>
      <c r="E12548" s="12" t="s">
        <v>574</v>
      </c>
      <c r="F12548" s="12" t="s">
        <v>575</v>
      </c>
      <c r="G12548" s="12" t="s">
        <v>40</v>
      </c>
      <c r="H12548" s="11" t="s">
        <v>22</v>
      </c>
      <c r="I12548" s="13" t="s">
        <v>24585</v>
      </c>
      <c r="J12548" s="14" t="str">
        <f>HYPERLINK("https://www.boe.es/gazeta/dias/1839/09/28/pdfs/GMD-1839-1784.pdf#page=2","Abrir facsímil")</f>
        <v>Abrir facsímil</v>
      </c>
      <c r="K12548" s="12" t="s">
        <v>24</v>
      </c>
    </row>
    <row r="12549" spans="1:11" ht="40.049999999999997" customHeight="1" x14ac:dyDescent="0.25">
      <c r="A12549" s="11" t="s">
        <v>24493</v>
      </c>
      <c r="B12549" s="11" t="s">
        <v>24493</v>
      </c>
      <c r="C12549" s="11" t="s">
        <v>17</v>
      </c>
      <c r="D12549" s="11" t="s">
        <v>18</v>
      </c>
      <c r="E12549" s="12" t="s">
        <v>1807</v>
      </c>
      <c r="F12549" s="12" t="s">
        <v>1808</v>
      </c>
      <c r="G12549" s="12" t="s">
        <v>40</v>
      </c>
      <c r="H12549" s="11" t="s">
        <v>22</v>
      </c>
      <c r="I12549" s="13" t="s">
        <v>24586</v>
      </c>
      <c r="J12549" s="14" t="str">
        <f>HYPERLINK("https://www.boe.es/gazeta/dias/1839/01/29/pdfs/GMD-1839-1536.pdf#page=2","Abrir facsímil")</f>
        <v>Abrir facsímil</v>
      </c>
      <c r="K12549" s="12" t="s">
        <v>24</v>
      </c>
    </row>
    <row r="12550" spans="1:11" ht="40.049999999999997" customHeight="1" x14ac:dyDescent="0.25">
      <c r="A12550" s="11" t="s">
        <v>24493</v>
      </c>
      <c r="B12550" s="11" t="s">
        <v>24493</v>
      </c>
      <c r="C12550" s="11" t="s">
        <v>17</v>
      </c>
      <c r="D12550" s="11" t="s">
        <v>18</v>
      </c>
      <c r="E12550" s="12" t="s">
        <v>1807</v>
      </c>
      <c r="F12550" s="12" t="s">
        <v>1808</v>
      </c>
      <c r="G12550" s="12" t="s">
        <v>46</v>
      </c>
      <c r="H12550" s="11" t="s">
        <v>22</v>
      </c>
      <c r="I12550" s="13" t="s">
        <v>24587</v>
      </c>
      <c r="J12550" s="14" t="str">
        <f>HYPERLINK("https://www.boe.es/gazeta/dias/1839/01/29/pdfs/GMD-1839-1536.pdf#page=3","Abrir facsímil")</f>
        <v>Abrir facsímil</v>
      </c>
      <c r="K12550" s="12" t="s">
        <v>24</v>
      </c>
    </row>
    <row r="12551" spans="1:11" ht="40.049999999999997" customHeight="1" x14ac:dyDescent="0.25">
      <c r="A12551" s="11" t="s">
        <v>24493</v>
      </c>
      <c r="B12551" s="11" t="s">
        <v>24493</v>
      </c>
      <c r="C12551" s="11" t="s">
        <v>101</v>
      </c>
      <c r="D12551" s="11" t="s">
        <v>43</v>
      </c>
      <c r="E12551" s="12" t="s">
        <v>2349</v>
      </c>
      <c r="F12551" s="12" t="s">
        <v>2350</v>
      </c>
      <c r="G12551" s="12" t="s">
        <v>21</v>
      </c>
      <c r="H12551" s="11" t="s">
        <v>22</v>
      </c>
      <c r="I12551" s="13" t="s">
        <v>24588</v>
      </c>
      <c r="J12551" s="14" t="str">
        <f>HYPERLINK("https://www.boe.es/gazeta/dias/1839/09/29/pdfs/GMD-1839-1785.pdf#page=4","Abrir facsímil")</f>
        <v>Abrir facsímil</v>
      </c>
      <c r="K12551" s="12" t="s">
        <v>24</v>
      </c>
    </row>
    <row r="12552" spans="1:11" ht="40.049999999999997" customHeight="1" x14ac:dyDescent="0.25">
      <c r="A12552" s="11" t="s">
        <v>24493</v>
      </c>
      <c r="B12552" s="11" t="s">
        <v>24493</v>
      </c>
      <c r="C12552" s="11" t="s">
        <v>101</v>
      </c>
      <c r="D12552" s="11" t="s">
        <v>102</v>
      </c>
      <c r="E12552" s="12" t="s">
        <v>1867</v>
      </c>
      <c r="F12552" s="12" t="s">
        <v>1868</v>
      </c>
      <c r="G12552" s="12" t="s">
        <v>40</v>
      </c>
      <c r="H12552" s="11" t="s">
        <v>22</v>
      </c>
      <c r="I12552" s="13" t="s">
        <v>24589</v>
      </c>
      <c r="J12552" s="14" t="str">
        <f>HYPERLINK("https://www.boe.es/gazeta/dias/1839/01/30/pdfs/GMD-1839-1537.pdf#page=2","Abrir facsímil")</f>
        <v>Abrir facsímil</v>
      </c>
      <c r="K12552" s="12" t="s">
        <v>24</v>
      </c>
    </row>
    <row r="12553" spans="1:11" ht="40.049999999999997" customHeight="1" x14ac:dyDescent="0.25">
      <c r="A12553" s="11" t="s">
        <v>24493</v>
      </c>
      <c r="B12553" s="11" t="s">
        <v>24493</v>
      </c>
      <c r="C12553" s="11" t="s">
        <v>17</v>
      </c>
      <c r="D12553" s="11" t="s">
        <v>18</v>
      </c>
      <c r="E12553" s="12" t="s">
        <v>1867</v>
      </c>
      <c r="F12553" s="12" t="s">
        <v>1868</v>
      </c>
      <c r="G12553" s="12" t="s">
        <v>46</v>
      </c>
      <c r="H12553" s="11" t="s">
        <v>22</v>
      </c>
      <c r="I12553" s="13" t="s">
        <v>24590</v>
      </c>
      <c r="J12553" s="14" t="str">
        <f>HYPERLINK("https://www.boe.es/gazeta/dias/1839/01/30/pdfs/GMD-1839-1537.pdf#page=3","Abrir facsímil")</f>
        <v>Abrir facsímil</v>
      </c>
      <c r="K12553" s="12" t="s">
        <v>24</v>
      </c>
    </row>
    <row r="12554" spans="1:11" ht="40.049999999999997" customHeight="1" x14ac:dyDescent="0.25">
      <c r="A12554" s="11" t="s">
        <v>24493</v>
      </c>
      <c r="B12554" s="11" t="s">
        <v>24493</v>
      </c>
      <c r="C12554" s="11" t="s">
        <v>17</v>
      </c>
      <c r="D12554" s="11" t="s">
        <v>18</v>
      </c>
      <c r="E12554" s="12" t="s">
        <v>1867</v>
      </c>
      <c r="F12554" s="12" t="s">
        <v>1868</v>
      </c>
      <c r="G12554" s="12" t="s">
        <v>21</v>
      </c>
      <c r="H12554" s="11" t="s">
        <v>22</v>
      </c>
      <c r="I12554" s="13" t="s">
        <v>24591</v>
      </c>
      <c r="J12554" s="14" t="str">
        <f>HYPERLINK("https://www.boe.es/gazeta/dias/1839/01/30/pdfs/GMD-1839-1537.pdf#page=4","Abrir facsímil")</f>
        <v>Abrir facsímil</v>
      </c>
      <c r="K12554" s="12" t="s">
        <v>24</v>
      </c>
    </row>
    <row r="12555" spans="1:11" ht="40.049999999999997" customHeight="1" x14ac:dyDescent="0.25">
      <c r="A12555" s="11" t="s">
        <v>24493</v>
      </c>
      <c r="B12555" s="11" t="s">
        <v>24493</v>
      </c>
      <c r="C12555" s="11" t="s">
        <v>101</v>
      </c>
      <c r="D12555" s="11" t="s">
        <v>43</v>
      </c>
      <c r="E12555" s="12" t="s">
        <v>1287</v>
      </c>
      <c r="F12555" s="12" t="s">
        <v>1288</v>
      </c>
      <c r="G12555" s="12" t="s">
        <v>46</v>
      </c>
      <c r="H12555" s="11" t="s">
        <v>22</v>
      </c>
      <c r="I12555" s="13" t="s">
        <v>24592</v>
      </c>
      <c r="J12555" s="14" t="str">
        <f>HYPERLINK("https://www.boe.es/gazeta/dias/1839/10/30/pdfs/GMD-1839-1816.pdf#page=3","Abrir facsímil")</f>
        <v>Abrir facsímil</v>
      </c>
      <c r="K12555" s="12" t="s">
        <v>24</v>
      </c>
    </row>
    <row r="12556" spans="1:11" ht="40.049999999999997" customHeight="1" x14ac:dyDescent="0.25">
      <c r="A12556" s="11" t="s">
        <v>24493</v>
      </c>
      <c r="B12556" s="11" t="s">
        <v>24493</v>
      </c>
      <c r="C12556" s="11" t="s">
        <v>137</v>
      </c>
      <c r="D12556" s="11" t="s">
        <v>18</v>
      </c>
      <c r="E12556" s="12" t="s">
        <v>653</v>
      </c>
      <c r="F12556" s="12" t="s">
        <v>654</v>
      </c>
      <c r="G12556" s="12" t="s">
        <v>29</v>
      </c>
      <c r="H12556" s="11" t="s">
        <v>22</v>
      </c>
      <c r="I12556" s="13" t="s">
        <v>24593</v>
      </c>
      <c r="J12556" s="14" t="str">
        <f>HYPERLINK("https://www.boe.es/gazeta/dias/1839/10/31/pdfs/GMD-1839-1817.pdf#page=1","Abrir facsímil")</f>
        <v>Abrir facsímil</v>
      </c>
      <c r="K12556" s="12" t="s">
        <v>24</v>
      </c>
    </row>
    <row r="12557" spans="1:11" ht="40.049999999999997" customHeight="1" x14ac:dyDescent="0.25">
      <c r="A12557" s="11" t="s">
        <v>24594</v>
      </c>
      <c r="B12557" s="11" t="s">
        <v>24594</v>
      </c>
      <c r="C12557" s="11" t="s">
        <v>17</v>
      </c>
      <c r="D12557" s="11" t="s">
        <v>18</v>
      </c>
      <c r="E12557" s="12" t="s">
        <v>1057</v>
      </c>
      <c r="F12557" s="12" t="s">
        <v>1058</v>
      </c>
      <c r="G12557" s="12" t="s">
        <v>40</v>
      </c>
      <c r="H12557" s="11" t="s">
        <v>22</v>
      </c>
      <c r="I12557" s="13" t="s">
        <v>24595</v>
      </c>
      <c r="J12557" s="14" t="str">
        <f>HYPERLINK("https://www.boe.es/gazeta/dias/1839/10/01/pdfs/GMD-1839-1787.pdf#page=2","Abrir facsímil")</f>
        <v>Abrir facsímil</v>
      </c>
      <c r="K12557" s="12" t="s">
        <v>24</v>
      </c>
    </row>
    <row r="12558" spans="1:11" ht="40.049999999999997" customHeight="1" x14ac:dyDescent="0.25">
      <c r="A12558" s="11" t="s">
        <v>24594</v>
      </c>
      <c r="B12558" s="11" t="s">
        <v>24594</v>
      </c>
      <c r="C12558" s="11" t="s">
        <v>17</v>
      </c>
      <c r="D12558" s="11" t="s">
        <v>18</v>
      </c>
      <c r="E12558" s="12" t="s">
        <v>453</v>
      </c>
      <c r="F12558" s="12" t="s">
        <v>454</v>
      </c>
      <c r="G12558" s="12" t="s">
        <v>29</v>
      </c>
      <c r="H12558" s="11" t="s">
        <v>22</v>
      </c>
      <c r="I12558" s="13" t="s">
        <v>24596</v>
      </c>
      <c r="J12558" s="14" t="str">
        <f>HYPERLINK("https://www.boe.es/gazeta/dias/1839/02/07/pdfs/GMD-1839-1545.pdf#page=1","Abrir facsímil")</f>
        <v>Abrir facsímil</v>
      </c>
      <c r="K12558" s="12" t="s">
        <v>24</v>
      </c>
    </row>
    <row r="12559" spans="1:11" ht="40.049999999999997" customHeight="1" x14ac:dyDescent="0.25">
      <c r="A12559" s="11" t="s">
        <v>24594</v>
      </c>
      <c r="B12559" s="11" t="s">
        <v>24594</v>
      </c>
      <c r="C12559" s="11" t="s">
        <v>17</v>
      </c>
      <c r="D12559" s="11" t="s">
        <v>18</v>
      </c>
      <c r="E12559" s="12" t="s">
        <v>804</v>
      </c>
      <c r="F12559" s="12" t="s">
        <v>805</v>
      </c>
      <c r="G12559" s="12" t="s">
        <v>40</v>
      </c>
      <c r="H12559" s="11" t="s">
        <v>22</v>
      </c>
      <c r="I12559" s="13" t="s">
        <v>24597</v>
      </c>
      <c r="J12559" s="14" t="str">
        <f>HYPERLINK("https://www.boe.es/gazeta/dias/1839/01/08/pdfs/GMD-1839-1515.pdf#page=2","Abrir facsímil")</f>
        <v>Abrir facsímil</v>
      </c>
      <c r="K12559" s="12" t="s">
        <v>24</v>
      </c>
    </row>
    <row r="12560" spans="1:11" ht="40.049999999999997" customHeight="1" x14ac:dyDescent="0.25">
      <c r="A12560" s="11" t="s">
        <v>24594</v>
      </c>
      <c r="B12560" s="11" t="s">
        <v>24594</v>
      </c>
      <c r="C12560" s="11" t="s">
        <v>137</v>
      </c>
      <c r="D12560" s="11" t="s">
        <v>18</v>
      </c>
      <c r="E12560" s="12" t="s">
        <v>1100</v>
      </c>
      <c r="F12560" s="12" t="s">
        <v>1101</v>
      </c>
      <c r="G12560" s="12" t="s">
        <v>29</v>
      </c>
      <c r="H12560" s="11" t="s">
        <v>22</v>
      </c>
      <c r="I12560" s="13" t="s">
        <v>24598</v>
      </c>
      <c r="J12560" s="14" t="str">
        <f>HYPERLINK("https://www.boe.es/gazeta/dias/1839/09/13/pdfs/GMD-1839-1766.pdf#page=1","Abrir facsímil")</f>
        <v>Abrir facsímil</v>
      </c>
      <c r="K12560" s="12" t="s">
        <v>24</v>
      </c>
    </row>
    <row r="12561" spans="1:11" ht="40.049999999999997" customHeight="1" x14ac:dyDescent="0.25">
      <c r="A12561" s="11" t="s">
        <v>24594</v>
      </c>
      <c r="B12561" s="11" t="s">
        <v>24594</v>
      </c>
      <c r="C12561" s="11" t="s">
        <v>17</v>
      </c>
      <c r="D12561" s="11" t="s">
        <v>18</v>
      </c>
      <c r="E12561" s="12" t="s">
        <v>19</v>
      </c>
      <c r="F12561" s="12" t="s">
        <v>20</v>
      </c>
      <c r="G12561" s="12" t="s">
        <v>46</v>
      </c>
      <c r="H12561" s="11" t="s">
        <v>22</v>
      </c>
      <c r="I12561" s="13" t="s">
        <v>24599</v>
      </c>
      <c r="J12561" s="14" t="str">
        <f>HYPERLINK("https://www.boe.es/gazeta/dias/1839/01/19/pdfs/GMD-1839-1526.pdf#page=3","Abrir facsímil")</f>
        <v>Abrir facsímil</v>
      </c>
      <c r="K12561" s="12" t="s">
        <v>24</v>
      </c>
    </row>
    <row r="12562" spans="1:11" ht="40.049999999999997" customHeight="1" x14ac:dyDescent="0.25">
      <c r="A12562" s="11" t="s">
        <v>24594</v>
      </c>
      <c r="B12562" s="11" t="s">
        <v>24594</v>
      </c>
      <c r="C12562" s="11" t="s">
        <v>17</v>
      </c>
      <c r="D12562" s="11" t="s">
        <v>18</v>
      </c>
      <c r="E12562" s="12" t="s">
        <v>794</v>
      </c>
      <c r="F12562" s="12" t="s">
        <v>795</v>
      </c>
      <c r="G12562" s="12" t="s">
        <v>46</v>
      </c>
      <c r="H12562" s="11" t="s">
        <v>22</v>
      </c>
      <c r="I12562" s="13" t="s">
        <v>24600</v>
      </c>
      <c r="J12562" s="14" t="str">
        <f>HYPERLINK("https://www.boe.es/gazeta/dias/1839/01/22/pdfs/GMD-1839-1529.pdf#page=3","Abrir facsímil")</f>
        <v>Abrir facsímil</v>
      </c>
      <c r="K12562" s="12" t="s">
        <v>24</v>
      </c>
    </row>
    <row r="12563" spans="1:11" ht="40.049999999999997" customHeight="1" x14ac:dyDescent="0.25">
      <c r="A12563" s="11" t="s">
        <v>24601</v>
      </c>
      <c r="B12563" s="11" t="s">
        <v>24601</v>
      </c>
      <c r="C12563" s="11" t="s">
        <v>17</v>
      </c>
      <c r="D12563" s="11" t="s">
        <v>18</v>
      </c>
      <c r="E12563" s="12" t="s">
        <v>723</v>
      </c>
      <c r="F12563" s="12" t="s">
        <v>724</v>
      </c>
      <c r="G12563" s="12" t="s">
        <v>46</v>
      </c>
      <c r="H12563" s="11" t="s">
        <v>63</v>
      </c>
      <c r="I12563" s="13" t="s">
        <v>24602</v>
      </c>
      <c r="J12563" s="14" t="str">
        <f>HYPERLINK("https://www.boe.es/gazeta/dias/1839/09/26/pdfs/GMD-1839-1782.pdf#page=3","Abrir facsímil")</f>
        <v>Abrir facsímil</v>
      </c>
      <c r="K12563" s="12" t="s">
        <v>65</v>
      </c>
    </row>
    <row r="12564" spans="1:11" ht="40.049999999999997" customHeight="1" x14ac:dyDescent="0.25">
      <c r="A12564" s="11" t="s">
        <v>24603</v>
      </c>
      <c r="B12564" s="11" t="s">
        <v>24603</v>
      </c>
      <c r="C12564" s="11" t="s">
        <v>80</v>
      </c>
      <c r="D12564" s="11" t="s">
        <v>18</v>
      </c>
      <c r="E12564" s="12" t="s">
        <v>751</v>
      </c>
      <c r="F12564" s="12" t="s">
        <v>752</v>
      </c>
      <c r="G12564" s="12" t="s">
        <v>21</v>
      </c>
      <c r="H12564" s="11" t="s">
        <v>63</v>
      </c>
      <c r="I12564" s="13" t="s">
        <v>24604</v>
      </c>
      <c r="J12564" s="14" t="str">
        <f>HYPERLINK("https://www.boe.es/gazeta/dias/1839/02/05/pdfs/GMD-1839-1543.pdf#page=4","Abrir facsímil")</f>
        <v>Abrir facsímil</v>
      </c>
      <c r="K12564" s="12" t="s">
        <v>65</v>
      </c>
    </row>
    <row r="12565" spans="1:11" ht="40.049999999999997" customHeight="1" x14ac:dyDescent="0.25">
      <c r="A12565" s="11" t="s">
        <v>24603</v>
      </c>
      <c r="B12565" s="11" t="s">
        <v>24603</v>
      </c>
      <c r="C12565" s="11" t="s">
        <v>17</v>
      </c>
      <c r="D12565" s="11" t="s">
        <v>18</v>
      </c>
      <c r="E12565" s="12" t="s">
        <v>1467</v>
      </c>
      <c r="F12565" s="12" t="s">
        <v>1468</v>
      </c>
      <c r="G12565" s="12" t="s">
        <v>40</v>
      </c>
      <c r="H12565" s="11" t="s">
        <v>63</v>
      </c>
      <c r="I12565" s="13" t="s">
        <v>24605</v>
      </c>
      <c r="J12565" s="14" t="str">
        <f>HYPERLINK("https://www.boe.es/gazeta/dias/1839/03/05/pdfs/GMD-1839-1571.pdf#page=2","Abrir facsímil")</f>
        <v>Abrir facsímil</v>
      </c>
      <c r="K12565" s="12" t="s">
        <v>65</v>
      </c>
    </row>
    <row r="12566" spans="1:11" ht="40.049999999999997" customHeight="1" x14ac:dyDescent="0.25">
      <c r="A12566" s="11" t="s">
        <v>24603</v>
      </c>
      <c r="B12566" s="11" t="s">
        <v>24603</v>
      </c>
      <c r="C12566" s="11" t="s">
        <v>80</v>
      </c>
      <c r="D12566" s="11" t="s">
        <v>18</v>
      </c>
      <c r="E12566" s="12" t="s">
        <v>782</v>
      </c>
      <c r="F12566" s="12" t="s">
        <v>783</v>
      </c>
      <c r="G12566" s="12" t="s">
        <v>21</v>
      </c>
      <c r="H12566" s="11" t="s">
        <v>63</v>
      </c>
      <c r="I12566" s="13" t="s">
        <v>24606</v>
      </c>
      <c r="J12566" s="14" t="str">
        <f>HYPERLINK("https://www.boe.es/gazeta/dias/1839/05/09/pdfs/GMD-1839-1636.pdf#page=4","Abrir facsímil")</f>
        <v>Abrir facsímil</v>
      </c>
      <c r="K12566" s="12" t="s">
        <v>65</v>
      </c>
    </row>
    <row r="12567" spans="1:11" ht="40.049999999999997" customHeight="1" x14ac:dyDescent="0.25">
      <c r="A12567" s="11" t="s">
        <v>24603</v>
      </c>
      <c r="B12567" s="11" t="s">
        <v>24603</v>
      </c>
      <c r="C12567" s="11" t="s">
        <v>59</v>
      </c>
      <c r="D12567" s="11" t="s">
        <v>60</v>
      </c>
      <c r="E12567" s="12" t="s">
        <v>992</v>
      </c>
      <c r="F12567" s="12" t="s">
        <v>993</v>
      </c>
      <c r="G12567" s="12" t="s">
        <v>29</v>
      </c>
      <c r="H12567" s="11" t="s">
        <v>63</v>
      </c>
      <c r="I12567" s="13" t="s">
        <v>24607</v>
      </c>
      <c r="J12567" s="14" t="str">
        <f>HYPERLINK("https://www.boe.es/gazeta/dias/1839/02/18/pdfs/GMD-1839-1556.pdf#page=1","Abrir facsímil")</f>
        <v>Abrir facsímil</v>
      </c>
      <c r="K12567" s="12" t="s">
        <v>65</v>
      </c>
    </row>
    <row r="12568" spans="1:11" ht="40.049999999999997" customHeight="1" x14ac:dyDescent="0.25">
      <c r="A12568" s="11" t="s">
        <v>24608</v>
      </c>
      <c r="B12568" s="11" t="s">
        <v>24608</v>
      </c>
      <c r="C12568" s="11" t="s">
        <v>17</v>
      </c>
      <c r="D12568" s="11" t="s">
        <v>18</v>
      </c>
      <c r="E12568" s="12" t="s">
        <v>596</v>
      </c>
      <c r="F12568" s="12" t="s">
        <v>597</v>
      </c>
      <c r="G12568" s="12" t="s">
        <v>46</v>
      </c>
      <c r="H12568" s="11" t="s">
        <v>22</v>
      </c>
      <c r="I12568" s="13" t="s">
        <v>24609</v>
      </c>
      <c r="J12568" s="14" t="str">
        <f>HYPERLINK("https://www.boe.es/gazeta/dias/1839/01/23/pdfs/GMD-1839-1530.pdf#page=3","Abrir facsímil")</f>
        <v>Abrir facsímil</v>
      </c>
      <c r="K12568" s="12" t="s">
        <v>24</v>
      </c>
    </row>
    <row r="12569" spans="1:11" ht="40.049999999999997" customHeight="1" x14ac:dyDescent="0.25">
      <c r="A12569" s="11" t="s">
        <v>24603</v>
      </c>
      <c r="B12569" s="11" t="s">
        <v>24603</v>
      </c>
      <c r="C12569" s="11" t="s">
        <v>137</v>
      </c>
      <c r="D12569" s="11" t="s">
        <v>18</v>
      </c>
      <c r="E12569" s="12" t="s">
        <v>716</v>
      </c>
      <c r="F12569" s="12" t="s">
        <v>717</v>
      </c>
      <c r="G12569" s="12" t="s">
        <v>40</v>
      </c>
      <c r="H12569" s="11" t="s">
        <v>63</v>
      </c>
      <c r="I12569" s="13" t="s">
        <v>24610</v>
      </c>
      <c r="J12569" s="14" t="str">
        <f>HYPERLINK("https://www.boe.es/gazeta/dias/1839/07/30/pdfs/GMD-1839-1719.pdf#page=2","Abrir facsímil")</f>
        <v>Abrir facsímil</v>
      </c>
      <c r="K12569" s="12" t="s">
        <v>65</v>
      </c>
    </row>
    <row r="12570" spans="1:11" ht="40.049999999999997" customHeight="1" x14ac:dyDescent="0.25">
      <c r="A12570" s="11" t="s">
        <v>24611</v>
      </c>
      <c r="B12570" s="11" t="s">
        <v>24612</v>
      </c>
      <c r="C12570" s="11" t="s">
        <v>137</v>
      </c>
      <c r="D12570" s="11" t="s">
        <v>18</v>
      </c>
      <c r="E12570" s="12" t="s">
        <v>343</v>
      </c>
      <c r="F12570" s="12" t="s">
        <v>344</v>
      </c>
      <c r="G12570" s="12" t="s">
        <v>40</v>
      </c>
      <c r="H12570" s="11" t="s">
        <v>63</v>
      </c>
      <c r="I12570" s="13" t="s">
        <v>24613</v>
      </c>
      <c r="J12570" s="14" t="str">
        <f>HYPERLINK("https://www.boe.es/gazeta/dias/1839/05/20/pdfs/GMD-1839-1647.pdf#page=2","Abrir facsímil")</f>
        <v>Abrir facsímil</v>
      </c>
      <c r="K12570" s="12" t="s">
        <v>65</v>
      </c>
    </row>
    <row r="12571" spans="1:11" ht="40.049999999999997" customHeight="1" x14ac:dyDescent="0.25">
      <c r="A12571" s="11" t="s">
        <v>24614</v>
      </c>
      <c r="B12571" s="11" t="s">
        <v>24614</v>
      </c>
      <c r="C12571" s="11" t="s">
        <v>17</v>
      </c>
      <c r="D12571" s="11" t="s">
        <v>43</v>
      </c>
      <c r="E12571" s="12" t="s">
        <v>1929</v>
      </c>
      <c r="F12571" s="12" t="s">
        <v>1930</v>
      </c>
      <c r="G12571" s="12" t="s">
        <v>40</v>
      </c>
      <c r="H12571" s="11" t="s">
        <v>22</v>
      </c>
      <c r="I12571" s="13" t="s">
        <v>24615</v>
      </c>
      <c r="J12571" s="14" t="str">
        <f>HYPERLINK("https://www.boe.es/gazeta/dias/1839/02/01/pdfs/GMD-1839-1539.pdf#page=2","Abrir facsímil")</f>
        <v>Abrir facsímil</v>
      </c>
      <c r="K12571" s="12" t="s">
        <v>24</v>
      </c>
    </row>
    <row r="12572" spans="1:11" ht="40.049999999999997" customHeight="1" x14ac:dyDescent="0.25">
      <c r="A12572" s="11" t="s">
        <v>24614</v>
      </c>
      <c r="B12572" s="11" t="s">
        <v>24614</v>
      </c>
      <c r="C12572" s="11" t="s">
        <v>17</v>
      </c>
      <c r="D12572" s="11" t="s">
        <v>18</v>
      </c>
      <c r="E12572" s="12" t="s">
        <v>1057</v>
      </c>
      <c r="F12572" s="12" t="s">
        <v>1058</v>
      </c>
      <c r="G12572" s="12" t="s">
        <v>40</v>
      </c>
      <c r="H12572" s="11" t="s">
        <v>22</v>
      </c>
      <c r="I12572" s="13" t="s">
        <v>24616</v>
      </c>
      <c r="J12572" s="14" t="str">
        <f>HYPERLINK("https://www.boe.es/gazeta/dias/1839/10/01/pdfs/GMD-1839-1787.pdf#page=2","Abrir facsímil")</f>
        <v>Abrir facsímil</v>
      </c>
      <c r="K12572" s="12" t="s">
        <v>24</v>
      </c>
    </row>
    <row r="12573" spans="1:11" ht="40.049999999999997" customHeight="1" x14ac:dyDescent="0.25">
      <c r="A12573" s="11" t="s">
        <v>24614</v>
      </c>
      <c r="B12573" s="11" t="s">
        <v>24614</v>
      </c>
      <c r="C12573" s="11" t="s">
        <v>17</v>
      </c>
      <c r="D12573" s="11" t="s">
        <v>18</v>
      </c>
      <c r="E12573" s="12" t="s">
        <v>154</v>
      </c>
      <c r="F12573" s="12" t="s">
        <v>155</v>
      </c>
      <c r="G12573" s="12" t="s">
        <v>40</v>
      </c>
      <c r="H12573" s="11" t="s">
        <v>22</v>
      </c>
      <c r="I12573" s="13" t="s">
        <v>24617</v>
      </c>
      <c r="J12573" s="14" t="str">
        <f>HYPERLINK("https://www.boe.es/gazeta/dias/1839/02/02/pdfs/GMD-1839-1540.pdf#page=2","Abrir facsímil")</f>
        <v>Abrir facsímil</v>
      </c>
      <c r="K12573" s="12" t="s">
        <v>24</v>
      </c>
    </row>
    <row r="12574" spans="1:11" ht="40.049999999999997" customHeight="1" x14ac:dyDescent="0.25">
      <c r="A12574" s="11" t="s">
        <v>24614</v>
      </c>
      <c r="B12574" s="11" t="s">
        <v>24614</v>
      </c>
      <c r="C12574" s="11" t="s">
        <v>17</v>
      </c>
      <c r="D12574" s="11" t="s">
        <v>18</v>
      </c>
      <c r="E12574" s="12" t="s">
        <v>2138</v>
      </c>
      <c r="F12574" s="12" t="s">
        <v>2139</v>
      </c>
      <c r="G12574" s="12" t="s">
        <v>21</v>
      </c>
      <c r="H12574" s="11" t="s">
        <v>22</v>
      </c>
      <c r="I12574" s="13" t="s">
        <v>24618</v>
      </c>
      <c r="J12574" s="14" t="str">
        <f>HYPERLINK("https://www.boe.es/gazeta/dias/1839/10/02/pdfs/GMD-1839-1788.pdf#page=4","Abrir facsímil")</f>
        <v>Abrir facsímil</v>
      </c>
      <c r="K12574" s="12" t="s">
        <v>24</v>
      </c>
    </row>
    <row r="12575" spans="1:11" ht="40.049999999999997" customHeight="1" x14ac:dyDescent="0.25">
      <c r="A12575" s="11" t="s">
        <v>24614</v>
      </c>
      <c r="B12575" s="11" t="s">
        <v>24614</v>
      </c>
      <c r="C12575" s="11" t="s">
        <v>59</v>
      </c>
      <c r="D12575" s="11" t="s">
        <v>60</v>
      </c>
      <c r="E12575" s="12" t="s">
        <v>266</v>
      </c>
      <c r="F12575" s="12" t="s">
        <v>267</v>
      </c>
      <c r="G12575" s="12" t="s">
        <v>40</v>
      </c>
      <c r="H12575" s="11" t="s">
        <v>22</v>
      </c>
      <c r="I12575" s="13" t="s">
        <v>24619</v>
      </c>
      <c r="J12575" s="14" t="str">
        <f>HYPERLINK("https://www.boe.es/gazeta/dias/1839/01/03/pdfs/GMD-1839-1510.pdf#page=2","Abrir facsímil")</f>
        <v>Abrir facsímil</v>
      </c>
      <c r="K12575" s="12" t="s">
        <v>24</v>
      </c>
    </row>
    <row r="12576" spans="1:11" ht="40.049999999999997" customHeight="1" x14ac:dyDescent="0.25">
      <c r="A12576" s="11" t="s">
        <v>24614</v>
      </c>
      <c r="B12576" s="11" t="s">
        <v>24614</v>
      </c>
      <c r="C12576" s="11" t="s">
        <v>17</v>
      </c>
      <c r="D12576" s="11" t="s">
        <v>18</v>
      </c>
      <c r="E12576" s="12" t="s">
        <v>779</v>
      </c>
      <c r="F12576" s="12" t="s">
        <v>780</v>
      </c>
      <c r="G12576" s="12" t="s">
        <v>46</v>
      </c>
      <c r="H12576" s="11" t="s">
        <v>22</v>
      </c>
      <c r="I12576" s="13" t="s">
        <v>24620</v>
      </c>
      <c r="J12576" s="14" t="str">
        <f>HYPERLINK("https://www.boe.es/gazeta/dias/1839/02/03/pdfs/GMD-1839-1541.pdf#page=3","Abrir facsímil")</f>
        <v>Abrir facsímil</v>
      </c>
      <c r="K12576" s="12" t="s">
        <v>24</v>
      </c>
    </row>
    <row r="12577" spans="1:11" ht="40.049999999999997" customHeight="1" x14ac:dyDescent="0.25">
      <c r="A12577" s="11" t="s">
        <v>24614</v>
      </c>
      <c r="B12577" s="11" t="s">
        <v>24614</v>
      </c>
      <c r="C12577" s="11" t="s">
        <v>17</v>
      </c>
      <c r="D12577" s="11" t="s">
        <v>18</v>
      </c>
      <c r="E12577" s="12" t="s">
        <v>108</v>
      </c>
      <c r="F12577" s="12" t="s">
        <v>109</v>
      </c>
      <c r="G12577" s="12" t="s">
        <v>46</v>
      </c>
      <c r="H12577" s="11" t="s">
        <v>22</v>
      </c>
      <c r="I12577" s="13" t="s">
        <v>24621</v>
      </c>
      <c r="J12577" s="14" t="str">
        <f>HYPERLINK("https://www.boe.es/gazeta/dias/1839/01/04/pdfs/GMD-1839-1511.pdf#page=3","Abrir facsímil")</f>
        <v>Abrir facsímil</v>
      </c>
      <c r="K12577" s="12" t="s">
        <v>24</v>
      </c>
    </row>
    <row r="12578" spans="1:11" ht="40.049999999999997" customHeight="1" x14ac:dyDescent="0.25">
      <c r="A12578" s="11" t="s">
        <v>24614</v>
      </c>
      <c r="B12578" s="11" t="s">
        <v>24614</v>
      </c>
      <c r="C12578" s="11" t="s">
        <v>17</v>
      </c>
      <c r="D12578" s="11" t="s">
        <v>18</v>
      </c>
      <c r="E12578" s="12" t="s">
        <v>197</v>
      </c>
      <c r="F12578" s="12" t="s">
        <v>198</v>
      </c>
      <c r="G12578" s="12" t="s">
        <v>40</v>
      </c>
      <c r="H12578" s="11" t="s">
        <v>22</v>
      </c>
      <c r="I12578" s="13" t="s">
        <v>24622</v>
      </c>
      <c r="J12578" s="14" t="str">
        <f>HYPERLINK("https://www.boe.es/gazeta/dias/1839/10/04/pdfs/GMD-1839-1790.pdf#page=2","Abrir facsímil")</f>
        <v>Abrir facsímil</v>
      </c>
      <c r="K12578" s="12" t="s">
        <v>24</v>
      </c>
    </row>
    <row r="12579" spans="1:11" ht="40.049999999999997" customHeight="1" x14ac:dyDescent="0.25">
      <c r="A12579" s="11" t="s">
        <v>24614</v>
      </c>
      <c r="B12579" s="11" t="s">
        <v>24614</v>
      </c>
      <c r="C12579" s="11" t="s">
        <v>17</v>
      </c>
      <c r="D12579" s="11" t="s">
        <v>18</v>
      </c>
      <c r="E12579" s="12" t="s">
        <v>751</v>
      </c>
      <c r="F12579" s="12" t="s">
        <v>752</v>
      </c>
      <c r="G12579" s="12" t="s">
        <v>40</v>
      </c>
      <c r="H12579" s="11" t="s">
        <v>22</v>
      </c>
      <c r="I12579" s="13" t="s">
        <v>24623</v>
      </c>
      <c r="J12579" s="14" t="str">
        <f>HYPERLINK("https://www.boe.es/gazeta/dias/1839/02/05/pdfs/GMD-1839-1543.pdf#page=2","Abrir facsímil")</f>
        <v>Abrir facsímil</v>
      </c>
      <c r="K12579" s="12" t="s">
        <v>24</v>
      </c>
    </row>
    <row r="12580" spans="1:11" ht="40.049999999999997" customHeight="1" x14ac:dyDescent="0.25">
      <c r="A12580" s="11" t="s">
        <v>24614</v>
      </c>
      <c r="B12580" s="11" t="s">
        <v>24614</v>
      </c>
      <c r="C12580" s="11" t="s">
        <v>17</v>
      </c>
      <c r="D12580" s="11" t="s">
        <v>18</v>
      </c>
      <c r="E12580" s="12" t="s">
        <v>751</v>
      </c>
      <c r="F12580" s="12" t="s">
        <v>752</v>
      </c>
      <c r="G12580" s="12" t="s">
        <v>46</v>
      </c>
      <c r="H12580" s="11" t="s">
        <v>22</v>
      </c>
      <c r="I12580" s="13" t="s">
        <v>24624</v>
      </c>
      <c r="J12580" s="14" t="str">
        <f>HYPERLINK("https://www.boe.es/gazeta/dias/1839/02/05/pdfs/GMD-1839-1543.pdf#page=3","Abrir facsímil")</f>
        <v>Abrir facsímil</v>
      </c>
      <c r="K12580" s="12" t="s">
        <v>24</v>
      </c>
    </row>
    <row r="12581" spans="1:11" ht="40.049999999999997" customHeight="1" x14ac:dyDescent="0.25">
      <c r="A12581" s="11" t="s">
        <v>24614</v>
      </c>
      <c r="B12581" s="11" t="s">
        <v>24614</v>
      </c>
      <c r="C12581" s="11" t="s">
        <v>17</v>
      </c>
      <c r="D12581" s="11" t="s">
        <v>18</v>
      </c>
      <c r="E12581" s="12" t="s">
        <v>54</v>
      </c>
      <c r="F12581" s="12" t="s">
        <v>55</v>
      </c>
      <c r="G12581" s="12" t="s">
        <v>21</v>
      </c>
      <c r="H12581" s="11" t="s">
        <v>22</v>
      </c>
      <c r="I12581" s="13" t="s">
        <v>24625</v>
      </c>
      <c r="J12581" s="14" t="str">
        <f>HYPERLINK("https://www.boe.es/gazeta/dias/1839/10/05/pdfs/GMD-1839-1791.pdf#page=4","Abrir facsímil")</f>
        <v>Abrir facsímil</v>
      </c>
      <c r="K12581" s="12" t="s">
        <v>24</v>
      </c>
    </row>
    <row r="12582" spans="1:11" ht="40.049999999999997" customHeight="1" x14ac:dyDescent="0.25">
      <c r="A12582" s="11" t="s">
        <v>24614</v>
      </c>
      <c r="B12582" s="11" t="s">
        <v>24614</v>
      </c>
      <c r="C12582" s="11" t="s">
        <v>17</v>
      </c>
      <c r="D12582" s="11" t="s">
        <v>18</v>
      </c>
      <c r="E12582" s="12" t="s">
        <v>54</v>
      </c>
      <c r="F12582" s="12" t="s">
        <v>55</v>
      </c>
      <c r="G12582" s="12" t="s">
        <v>566</v>
      </c>
      <c r="H12582" s="11" t="s">
        <v>22</v>
      </c>
      <c r="I12582" s="13" t="s">
        <v>24626</v>
      </c>
      <c r="J12582" s="14" t="str">
        <f>HYPERLINK("https://www.boe.es/gazeta/dias/1839/10/05/pdfs/GMD-1839-1791.pdf#page=5","Abrir facsímil")</f>
        <v>Abrir facsímil</v>
      </c>
      <c r="K12582" s="12" t="s">
        <v>24</v>
      </c>
    </row>
    <row r="12583" spans="1:11" ht="40.049999999999997" customHeight="1" x14ac:dyDescent="0.25">
      <c r="A12583" s="11" t="s">
        <v>24614</v>
      </c>
      <c r="B12583" s="11" t="s">
        <v>24614</v>
      </c>
      <c r="C12583" s="11" t="s">
        <v>59</v>
      </c>
      <c r="D12583" s="11" t="s">
        <v>60</v>
      </c>
      <c r="E12583" s="12" t="s">
        <v>54</v>
      </c>
      <c r="F12583" s="12" t="s">
        <v>55</v>
      </c>
      <c r="G12583" s="12" t="s">
        <v>305</v>
      </c>
      <c r="H12583" s="11" t="s">
        <v>22</v>
      </c>
      <c r="I12583" s="13" t="s">
        <v>24627</v>
      </c>
      <c r="J12583" s="14" t="str">
        <f>HYPERLINK("https://www.boe.es/gazeta/dias/1839/10/05/pdfs/GMD-1839-1791.pdf#page=6","Abrir facsímil")</f>
        <v>Abrir facsímil</v>
      </c>
      <c r="K12583" s="12" t="s">
        <v>24</v>
      </c>
    </row>
    <row r="12584" spans="1:11" ht="40.049999999999997" customHeight="1" x14ac:dyDescent="0.25">
      <c r="A12584" s="11" t="s">
        <v>24614</v>
      </c>
      <c r="B12584" s="11" t="s">
        <v>24614</v>
      </c>
      <c r="C12584" s="11" t="s">
        <v>17</v>
      </c>
      <c r="D12584" s="11" t="s">
        <v>18</v>
      </c>
      <c r="E12584" s="12" t="s">
        <v>448</v>
      </c>
      <c r="F12584" s="12" t="s">
        <v>449</v>
      </c>
      <c r="G12584" s="12" t="s">
        <v>40</v>
      </c>
      <c r="H12584" s="11" t="s">
        <v>22</v>
      </c>
      <c r="I12584" s="13" t="s">
        <v>24628</v>
      </c>
      <c r="J12584" s="14" t="str">
        <f>HYPERLINK("https://www.boe.es/gazeta/dias/1839/02/06/pdfs/GMD-1839-1544.pdf#page=2","Abrir facsímil")</f>
        <v>Abrir facsímil</v>
      </c>
      <c r="K12584" s="12" t="s">
        <v>24</v>
      </c>
    </row>
    <row r="12585" spans="1:11" ht="40.049999999999997" customHeight="1" x14ac:dyDescent="0.25">
      <c r="A12585" s="11" t="s">
        <v>24614</v>
      </c>
      <c r="B12585" s="11" t="s">
        <v>24614</v>
      </c>
      <c r="C12585" s="11" t="s">
        <v>80</v>
      </c>
      <c r="D12585" s="11" t="s">
        <v>173</v>
      </c>
      <c r="E12585" s="12" t="s">
        <v>453</v>
      </c>
      <c r="F12585" s="12" t="s">
        <v>454</v>
      </c>
      <c r="G12585" s="12" t="s">
        <v>29</v>
      </c>
      <c r="H12585" s="11" t="s">
        <v>22</v>
      </c>
      <c r="I12585" s="13" t="s">
        <v>24629</v>
      </c>
      <c r="J12585" s="14" t="str">
        <f>HYPERLINK("https://www.boe.es/gazeta/dias/1839/02/07/pdfs/GMD-1839-1545.pdf#page=1","Abrir facsímil")</f>
        <v>Abrir facsímil</v>
      </c>
      <c r="K12585" s="12" t="s">
        <v>24</v>
      </c>
    </row>
    <row r="12586" spans="1:11" ht="40.049999999999997" customHeight="1" x14ac:dyDescent="0.25">
      <c r="A12586" s="11" t="s">
        <v>24614</v>
      </c>
      <c r="B12586" s="11" t="s">
        <v>24614</v>
      </c>
      <c r="C12586" s="11" t="s">
        <v>17</v>
      </c>
      <c r="D12586" s="11" t="s">
        <v>18</v>
      </c>
      <c r="E12586" s="12" t="s">
        <v>1509</v>
      </c>
      <c r="F12586" s="12" t="s">
        <v>1510</v>
      </c>
      <c r="G12586" s="12" t="s">
        <v>29</v>
      </c>
      <c r="H12586" s="11" t="s">
        <v>22</v>
      </c>
      <c r="I12586" s="13" t="s">
        <v>24630</v>
      </c>
      <c r="J12586" s="14" t="str">
        <f>HYPERLINK("https://www.boe.es/gazeta/dias/1839/10/07/pdfs/GMD-1839-1793.pdf#page=1","Abrir facsímil")</f>
        <v>Abrir facsímil</v>
      </c>
      <c r="K12586" s="12" t="s">
        <v>24</v>
      </c>
    </row>
    <row r="12587" spans="1:11" ht="40.049999999999997" customHeight="1" x14ac:dyDescent="0.25">
      <c r="A12587" s="11" t="s">
        <v>24614</v>
      </c>
      <c r="B12587" s="11" t="s">
        <v>24614</v>
      </c>
      <c r="C12587" s="11" t="s">
        <v>17</v>
      </c>
      <c r="D12587" s="11" t="s">
        <v>18</v>
      </c>
      <c r="E12587" s="12" t="s">
        <v>1509</v>
      </c>
      <c r="F12587" s="12" t="s">
        <v>1510</v>
      </c>
      <c r="G12587" s="12" t="s">
        <v>21</v>
      </c>
      <c r="H12587" s="11" t="s">
        <v>22</v>
      </c>
      <c r="I12587" s="13" t="s">
        <v>24631</v>
      </c>
      <c r="J12587" s="14" t="str">
        <f>HYPERLINK("https://www.boe.es/gazeta/dias/1839/10/07/pdfs/GMD-1839-1793.pdf#page=4","Abrir facsímil")</f>
        <v>Abrir facsímil</v>
      </c>
      <c r="K12587" s="12" t="s">
        <v>24</v>
      </c>
    </row>
    <row r="12588" spans="1:11" ht="40.049999999999997" customHeight="1" x14ac:dyDescent="0.25">
      <c r="A12588" s="11" t="s">
        <v>24614</v>
      </c>
      <c r="B12588" s="11" t="s">
        <v>24614</v>
      </c>
      <c r="C12588" s="11" t="s">
        <v>137</v>
      </c>
      <c r="D12588" s="11" t="s">
        <v>18</v>
      </c>
      <c r="E12588" s="12" t="s">
        <v>1509</v>
      </c>
      <c r="F12588" s="12" t="s">
        <v>1510</v>
      </c>
      <c r="G12588" s="12" t="s">
        <v>566</v>
      </c>
      <c r="H12588" s="11" t="s">
        <v>22</v>
      </c>
      <c r="I12588" s="13" t="s">
        <v>24632</v>
      </c>
      <c r="J12588" s="14" t="str">
        <f>HYPERLINK("https://www.boe.es/gazeta/dias/1839/10/07/pdfs/GMD-1839-1793.pdf#page=5","Abrir facsímil")</f>
        <v>Abrir facsímil</v>
      </c>
      <c r="K12588" s="12" t="s">
        <v>24</v>
      </c>
    </row>
    <row r="12589" spans="1:11" ht="40.049999999999997" customHeight="1" x14ac:dyDescent="0.25">
      <c r="A12589" s="11" t="s">
        <v>24614</v>
      </c>
      <c r="B12589" s="11" t="s">
        <v>24614</v>
      </c>
      <c r="C12589" s="11" t="s">
        <v>137</v>
      </c>
      <c r="D12589" s="11" t="s">
        <v>18</v>
      </c>
      <c r="E12589" s="12" t="s">
        <v>804</v>
      </c>
      <c r="F12589" s="12" t="s">
        <v>805</v>
      </c>
      <c r="G12589" s="12" t="s">
        <v>29</v>
      </c>
      <c r="H12589" s="11" t="s">
        <v>22</v>
      </c>
      <c r="I12589" s="13" t="s">
        <v>24633</v>
      </c>
      <c r="J12589" s="14" t="str">
        <f>HYPERLINK("https://www.boe.es/gazeta/dias/1839/01/08/pdfs/GMD-1839-1515.pdf#page=1","Abrir facsímil")</f>
        <v>Abrir facsímil</v>
      </c>
      <c r="K12589" s="12" t="s">
        <v>24</v>
      </c>
    </row>
    <row r="12590" spans="1:11" ht="40.049999999999997" customHeight="1" x14ac:dyDescent="0.25">
      <c r="A12590" s="11" t="s">
        <v>24614</v>
      </c>
      <c r="B12590" s="11" t="s">
        <v>24614</v>
      </c>
      <c r="C12590" s="11" t="s">
        <v>17</v>
      </c>
      <c r="D12590" s="11" t="s">
        <v>18</v>
      </c>
      <c r="E12590" s="12" t="s">
        <v>804</v>
      </c>
      <c r="F12590" s="12" t="s">
        <v>805</v>
      </c>
      <c r="G12590" s="12" t="s">
        <v>46</v>
      </c>
      <c r="H12590" s="11" t="s">
        <v>22</v>
      </c>
      <c r="I12590" s="13" t="s">
        <v>24634</v>
      </c>
      <c r="J12590" s="14" t="str">
        <f>HYPERLINK("https://www.boe.es/gazeta/dias/1839/01/08/pdfs/GMD-1839-1515.pdf#page=3","Abrir facsímil")</f>
        <v>Abrir facsímil</v>
      </c>
      <c r="K12590" s="12" t="s">
        <v>24</v>
      </c>
    </row>
    <row r="12591" spans="1:11" ht="40.049999999999997" customHeight="1" x14ac:dyDescent="0.25">
      <c r="A12591" s="11" t="s">
        <v>24614</v>
      </c>
      <c r="B12591" s="11" t="s">
        <v>24614</v>
      </c>
      <c r="C12591" s="11" t="s">
        <v>101</v>
      </c>
      <c r="D12591" s="11" t="s">
        <v>43</v>
      </c>
      <c r="E12591" s="12" t="s">
        <v>157</v>
      </c>
      <c r="F12591" s="12" t="s">
        <v>158</v>
      </c>
      <c r="G12591" s="12" t="s">
        <v>46</v>
      </c>
      <c r="H12591" s="11" t="s">
        <v>22</v>
      </c>
      <c r="I12591" s="13" t="s">
        <v>24635</v>
      </c>
      <c r="J12591" s="14" t="str">
        <f>HYPERLINK("https://www.boe.es/gazeta/dias/1839/02/08/pdfs/GMD-1839-1546.pdf#page=3","Abrir facsímil")</f>
        <v>Abrir facsímil</v>
      </c>
      <c r="K12591" s="12" t="s">
        <v>24</v>
      </c>
    </row>
    <row r="12592" spans="1:11" ht="40.049999999999997" customHeight="1" x14ac:dyDescent="0.25">
      <c r="A12592" s="11" t="s">
        <v>24614</v>
      </c>
      <c r="B12592" s="11" t="s">
        <v>24614</v>
      </c>
      <c r="C12592" s="11" t="s">
        <v>101</v>
      </c>
      <c r="D12592" s="11" t="s">
        <v>43</v>
      </c>
      <c r="E12592" s="12" t="s">
        <v>157</v>
      </c>
      <c r="F12592" s="12" t="s">
        <v>158</v>
      </c>
      <c r="G12592" s="12" t="s">
        <v>21</v>
      </c>
      <c r="H12592" s="11" t="s">
        <v>22</v>
      </c>
      <c r="I12592" s="13" t="s">
        <v>24636</v>
      </c>
      <c r="J12592" s="14" t="str">
        <f>HYPERLINK("https://www.boe.es/gazeta/dias/1839/02/08/pdfs/GMD-1839-1546.pdf#page=4","Abrir facsímil")</f>
        <v>Abrir facsímil</v>
      </c>
      <c r="K12592" s="12" t="s">
        <v>24</v>
      </c>
    </row>
    <row r="12593" spans="1:11" ht="40.049999999999997" customHeight="1" x14ac:dyDescent="0.25">
      <c r="A12593" s="11" t="s">
        <v>24614</v>
      </c>
      <c r="B12593" s="11" t="s">
        <v>24614</v>
      </c>
      <c r="C12593" s="11" t="s">
        <v>17</v>
      </c>
      <c r="D12593" s="11" t="s">
        <v>18</v>
      </c>
      <c r="E12593" s="12" t="s">
        <v>2301</v>
      </c>
      <c r="F12593" s="12" t="s">
        <v>2302</v>
      </c>
      <c r="G12593" s="12" t="s">
        <v>46</v>
      </c>
      <c r="H12593" s="11" t="s">
        <v>22</v>
      </c>
      <c r="I12593" s="13" t="s">
        <v>24637</v>
      </c>
      <c r="J12593" s="14" t="str">
        <f>HYPERLINK("https://www.boe.es/gazeta/dias/1839/09/08/pdfs/GMD-1839-1761.pdf#page=3","Abrir facsímil")</f>
        <v>Abrir facsímil</v>
      </c>
      <c r="K12593" s="12" t="s">
        <v>24</v>
      </c>
    </row>
    <row r="12594" spans="1:11" ht="40.049999999999997" customHeight="1" x14ac:dyDescent="0.25">
      <c r="A12594" s="11" t="s">
        <v>24614</v>
      </c>
      <c r="B12594" s="11" t="s">
        <v>24614</v>
      </c>
      <c r="C12594" s="11" t="s">
        <v>17</v>
      </c>
      <c r="D12594" s="11" t="s">
        <v>18</v>
      </c>
      <c r="E12594" s="12" t="s">
        <v>647</v>
      </c>
      <c r="F12594" s="12" t="s">
        <v>648</v>
      </c>
      <c r="G12594" s="12" t="s">
        <v>40</v>
      </c>
      <c r="H12594" s="11" t="s">
        <v>22</v>
      </c>
      <c r="I12594" s="13" t="s">
        <v>24638</v>
      </c>
      <c r="J12594" s="14" t="str">
        <f>HYPERLINK("https://www.boe.es/gazeta/dias/1839/10/08/pdfs/GMD-1839-1794.pdf#page=2","Abrir facsímil")</f>
        <v>Abrir facsímil</v>
      </c>
      <c r="K12594" s="12" t="s">
        <v>24</v>
      </c>
    </row>
    <row r="12595" spans="1:11" ht="40.049999999999997" customHeight="1" x14ac:dyDescent="0.25">
      <c r="A12595" s="11" t="s">
        <v>24614</v>
      </c>
      <c r="B12595" s="11" t="s">
        <v>24614</v>
      </c>
      <c r="C12595" s="11" t="s">
        <v>17</v>
      </c>
      <c r="D12595" s="11" t="s">
        <v>18</v>
      </c>
      <c r="E12595" s="12" t="s">
        <v>647</v>
      </c>
      <c r="F12595" s="12" t="s">
        <v>648</v>
      </c>
      <c r="G12595" s="12" t="s">
        <v>46</v>
      </c>
      <c r="H12595" s="11" t="s">
        <v>22</v>
      </c>
      <c r="I12595" s="13" t="s">
        <v>24639</v>
      </c>
      <c r="J12595" s="14" t="str">
        <f>HYPERLINK("https://www.boe.es/gazeta/dias/1839/10/08/pdfs/GMD-1839-1794.pdf#page=3","Abrir facsímil")</f>
        <v>Abrir facsímil</v>
      </c>
      <c r="K12595" s="12" t="s">
        <v>24</v>
      </c>
    </row>
    <row r="12596" spans="1:11" ht="40.049999999999997" customHeight="1" x14ac:dyDescent="0.25">
      <c r="A12596" s="11" t="s">
        <v>24614</v>
      </c>
      <c r="B12596" s="11" t="s">
        <v>24614</v>
      </c>
      <c r="C12596" s="11" t="s">
        <v>101</v>
      </c>
      <c r="D12596" s="11" t="s">
        <v>43</v>
      </c>
      <c r="E12596" s="12" t="s">
        <v>647</v>
      </c>
      <c r="F12596" s="12" t="s">
        <v>648</v>
      </c>
      <c r="G12596" s="12" t="s">
        <v>566</v>
      </c>
      <c r="H12596" s="11" t="s">
        <v>22</v>
      </c>
      <c r="I12596" s="13" t="s">
        <v>24640</v>
      </c>
      <c r="J12596" s="14" t="str">
        <f>HYPERLINK("https://www.boe.es/gazeta/dias/1839/10/08/pdfs/GMD-1839-1794.pdf#page=5","Abrir facsímil")</f>
        <v>Abrir facsímil</v>
      </c>
      <c r="K12596" s="12" t="s">
        <v>24</v>
      </c>
    </row>
    <row r="12597" spans="1:11" ht="40.049999999999997" customHeight="1" x14ac:dyDescent="0.25">
      <c r="A12597" s="11" t="s">
        <v>24614</v>
      </c>
      <c r="B12597" s="11" t="s">
        <v>24614</v>
      </c>
      <c r="C12597" s="11" t="s">
        <v>17</v>
      </c>
      <c r="D12597" s="11" t="s">
        <v>18</v>
      </c>
      <c r="E12597" s="12" t="s">
        <v>647</v>
      </c>
      <c r="F12597" s="12" t="s">
        <v>648</v>
      </c>
      <c r="G12597" s="12" t="s">
        <v>305</v>
      </c>
      <c r="H12597" s="11" t="s">
        <v>22</v>
      </c>
      <c r="I12597" s="13" t="s">
        <v>24641</v>
      </c>
      <c r="J12597" s="14" t="str">
        <f>HYPERLINK("https://www.boe.es/gazeta/dias/1839/10/08/pdfs/GMD-1839-1794.pdf#page=6","Abrir facsímil")</f>
        <v>Abrir facsímil</v>
      </c>
      <c r="K12597" s="12" t="s">
        <v>24</v>
      </c>
    </row>
    <row r="12598" spans="1:11" ht="40.049999999999997" customHeight="1" x14ac:dyDescent="0.25">
      <c r="A12598" s="11" t="s">
        <v>24614</v>
      </c>
      <c r="B12598" s="11" t="s">
        <v>24614</v>
      </c>
      <c r="C12598" s="11" t="s">
        <v>17</v>
      </c>
      <c r="D12598" s="11" t="s">
        <v>18</v>
      </c>
      <c r="E12598" s="12" t="s">
        <v>2050</v>
      </c>
      <c r="F12598" s="12" t="s">
        <v>2051</v>
      </c>
      <c r="G12598" s="12" t="s">
        <v>29</v>
      </c>
      <c r="H12598" s="11" t="s">
        <v>22</v>
      </c>
      <c r="I12598" s="13" t="s">
        <v>24642</v>
      </c>
      <c r="J12598" s="14" t="str">
        <f>HYPERLINK("https://www.boe.es/gazeta/dias/1839/01/09/pdfs/GMD-1839-1516.pdf#page=1","Abrir facsímil")</f>
        <v>Abrir facsímil</v>
      </c>
      <c r="K12598" s="12" t="s">
        <v>24</v>
      </c>
    </row>
    <row r="12599" spans="1:11" ht="40.049999999999997" customHeight="1" x14ac:dyDescent="0.25">
      <c r="A12599" s="11" t="s">
        <v>24614</v>
      </c>
      <c r="B12599" s="11" t="s">
        <v>24614</v>
      </c>
      <c r="C12599" s="11" t="s">
        <v>17</v>
      </c>
      <c r="D12599" s="11" t="s">
        <v>18</v>
      </c>
      <c r="E12599" s="12" t="s">
        <v>2050</v>
      </c>
      <c r="F12599" s="12" t="s">
        <v>2051</v>
      </c>
      <c r="G12599" s="12" t="s">
        <v>46</v>
      </c>
      <c r="H12599" s="11" t="s">
        <v>22</v>
      </c>
      <c r="I12599" s="13" t="s">
        <v>24643</v>
      </c>
      <c r="J12599" s="14" t="str">
        <f>HYPERLINK("https://www.boe.es/gazeta/dias/1839/01/09/pdfs/GMD-1839-1516.pdf#page=3","Abrir facsímil")</f>
        <v>Abrir facsímil</v>
      </c>
      <c r="K12599" s="12" t="s">
        <v>24</v>
      </c>
    </row>
    <row r="12600" spans="1:11" ht="40.049999999999997" customHeight="1" x14ac:dyDescent="0.25">
      <c r="A12600" s="11" t="s">
        <v>24614</v>
      </c>
      <c r="B12600" s="11" t="s">
        <v>24614</v>
      </c>
      <c r="C12600" s="11" t="s">
        <v>80</v>
      </c>
      <c r="D12600" s="11" t="s">
        <v>173</v>
      </c>
      <c r="E12600" s="12" t="s">
        <v>68</v>
      </c>
      <c r="F12600" s="12" t="s">
        <v>69</v>
      </c>
      <c r="G12600" s="12" t="s">
        <v>29</v>
      </c>
      <c r="H12600" s="11" t="s">
        <v>22</v>
      </c>
      <c r="I12600" s="13" t="s">
        <v>24644</v>
      </c>
      <c r="J12600" s="14" t="str">
        <f>HYPERLINK("https://www.boe.es/gazeta/dias/1839/02/09/pdfs/GMD-1839-1547.pdf#page=1","Abrir facsímil")</f>
        <v>Abrir facsímil</v>
      </c>
      <c r="K12600" s="12" t="s">
        <v>24</v>
      </c>
    </row>
    <row r="12601" spans="1:11" ht="40.049999999999997" customHeight="1" x14ac:dyDescent="0.25">
      <c r="A12601" s="11" t="s">
        <v>24614</v>
      </c>
      <c r="B12601" s="11" t="s">
        <v>24614</v>
      </c>
      <c r="C12601" s="11" t="s">
        <v>101</v>
      </c>
      <c r="D12601" s="11" t="s">
        <v>43</v>
      </c>
      <c r="E12601" s="12" t="s">
        <v>68</v>
      </c>
      <c r="F12601" s="12" t="s">
        <v>69</v>
      </c>
      <c r="G12601" s="12" t="s">
        <v>40</v>
      </c>
      <c r="H12601" s="11" t="s">
        <v>22</v>
      </c>
      <c r="I12601" s="13" t="s">
        <v>24645</v>
      </c>
      <c r="J12601" s="14" t="str">
        <f>HYPERLINK("https://www.boe.es/gazeta/dias/1839/02/09/pdfs/GMD-1839-1547.pdf#page=2","Abrir facsímil")</f>
        <v>Abrir facsímil</v>
      </c>
      <c r="K12601" s="12" t="s">
        <v>24</v>
      </c>
    </row>
    <row r="12602" spans="1:11" ht="40.049999999999997" customHeight="1" x14ac:dyDescent="0.25">
      <c r="A12602" s="11" t="s">
        <v>24614</v>
      </c>
      <c r="B12602" s="11" t="s">
        <v>24614</v>
      </c>
      <c r="C12602" s="11" t="s">
        <v>17</v>
      </c>
      <c r="D12602" s="11" t="s">
        <v>18</v>
      </c>
      <c r="E12602" s="12" t="s">
        <v>68</v>
      </c>
      <c r="F12602" s="12" t="s">
        <v>69</v>
      </c>
      <c r="G12602" s="12" t="s">
        <v>46</v>
      </c>
      <c r="H12602" s="11" t="s">
        <v>22</v>
      </c>
      <c r="I12602" s="13" t="s">
        <v>24646</v>
      </c>
      <c r="J12602" s="14" t="str">
        <f>HYPERLINK("https://www.boe.es/gazeta/dias/1839/02/09/pdfs/GMD-1839-1547.pdf#page=3","Abrir facsímil")</f>
        <v>Abrir facsímil</v>
      </c>
      <c r="K12602" s="12" t="s">
        <v>24</v>
      </c>
    </row>
    <row r="12603" spans="1:11" ht="40.049999999999997" customHeight="1" x14ac:dyDescent="0.25">
      <c r="A12603" s="11" t="s">
        <v>24614</v>
      </c>
      <c r="B12603" s="11" t="s">
        <v>24614</v>
      </c>
      <c r="C12603" s="11" t="s">
        <v>17</v>
      </c>
      <c r="D12603" s="11" t="s">
        <v>18</v>
      </c>
      <c r="E12603" s="12" t="s">
        <v>1366</v>
      </c>
      <c r="F12603" s="12" t="s">
        <v>1367</v>
      </c>
      <c r="G12603" s="12" t="s">
        <v>46</v>
      </c>
      <c r="H12603" s="11" t="s">
        <v>22</v>
      </c>
      <c r="I12603" s="13" t="s">
        <v>24647</v>
      </c>
      <c r="J12603" s="14" t="str">
        <f>HYPERLINK("https://www.boe.es/gazeta/dias/1839/09/09/pdfs/GMD-1839-1762.pdf#page=3","Abrir facsímil")</f>
        <v>Abrir facsímil</v>
      </c>
      <c r="K12603" s="12" t="s">
        <v>24</v>
      </c>
    </row>
    <row r="12604" spans="1:11" ht="40.049999999999997" customHeight="1" x14ac:dyDescent="0.25">
      <c r="A12604" s="11" t="s">
        <v>24614</v>
      </c>
      <c r="B12604" s="11" t="s">
        <v>24614</v>
      </c>
      <c r="C12604" s="11" t="s">
        <v>80</v>
      </c>
      <c r="D12604" s="11" t="s">
        <v>173</v>
      </c>
      <c r="E12604" s="12" t="s">
        <v>160</v>
      </c>
      <c r="F12604" s="12" t="s">
        <v>161</v>
      </c>
      <c r="G12604" s="12" t="s">
        <v>40</v>
      </c>
      <c r="H12604" s="11" t="s">
        <v>22</v>
      </c>
      <c r="I12604" s="13" t="s">
        <v>24648</v>
      </c>
      <c r="J12604" s="14" t="str">
        <f>HYPERLINK("https://www.boe.es/gazeta/dias/1839/01/10/pdfs/GMD-1839-1517.pdf#page=2","Abrir facsímil")</f>
        <v>Abrir facsímil</v>
      </c>
      <c r="K12604" s="12" t="s">
        <v>24</v>
      </c>
    </row>
    <row r="12605" spans="1:11" ht="40.049999999999997" customHeight="1" x14ac:dyDescent="0.25">
      <c r="A12605" s="11" t="s">
        <v>24614</v>
      </c>
      <c r="B12605" s="11" t="s">
        <v>24614</v>
      </c>
      <c r="C12605" s="11" t="s">
        <v>17</v>
      </c>
      <c r="D12605" s="11" t="s">
        <v>18</v>
      </c>
      <c r="E12605" s="12" t="s">
        <v>269</v>
      </c>
      <c r="F12605" s="12" t="s">
        <v>270</v>
      </c>
      <c r="G12605" s="12" t="s">
        <v>40</v>
      </c>
      <c r="H12605" s="11" t="s">
        <v>22</v>
      </c>
      <c r="I12605" s="13" t="s">
        <v>24649</v>
      </c>
      <c r="J12605" s="14" t="str">
        <f>HYPERLINK("https://www.boe.es/gazeta/dias/1839/02/10/pdfs/GMD-1839-1548.pdf#page=2","Abrir facsímil")</f>
        <v>Abrir facsímil</v>
      </c>
      <c r="K12605" s="12" t="s">
        <v>24</v>
      </c>
    </row>
    <row r="12606" spans="1:11" ht="40.049999999999997" customHeight="1" x14ac:dyDescent="0.25">
      <c r="A12606" s="11" t="s">
        <v>24614</v>
      </c>
      <c r="B12606" s="11" t="s">
        <v>24614</v>
      </c>
      <c r="C12606" s="11" t="s">
        <v>17</v>
      </c>
      <c r="D12606" s="11" t="s">
        <v>18</v>
      </c>
      <c r="E12606" s="12" t="s">
        <v>561</v>
      </c>
      <c r="F12606" s="12" t="s">
        <v>562</v>
      </c>
      <c r="G12606" s="12" t="s">
        <v>46</v>
      </c>
      <c r="H12606" s="11" t="s">
        <v>22</v>
      </c>
      <c r="I12606" s="13" t="s">
        <v>24650</v>
      </c>
      <c r="J12606" s="14" t="str">
        <f>HYPERLINK("https://www.boe.es/gazeta/dias/1839/09/11/pdfs/GMD-1839-1764.pdf#page=3","Abrir facsímil")</f>
        <v>Abrir facsímil</v>
      </c>
      <c r="K12606" s="12" t="s">
        <v>24</v>
      </c>
    </row>
    <row r="12607" spans="1:11" ht="40.049999999999997" customHeight="1" x14ac:dyDescent="0.25">
      <c r="A12607" s="11" t="s">
        <v>24614</v>
      </c>
      <c r="B12607" s="11" t="s">
        <v>24614</v>
      </c>
      <c r="C12607" s="11" t="s">
        <v>17</v>
      </c>
      <c r="D12607" s="11" t="s">
        <v>18</v>
      </c>
      <c r="E12607" s="12" t="s">
        <v>2107</v>
      </c>
      <c r="F12607" s="12" t="s">
        <v>2108</v>
      </c>
      <c r="G12607" s="12" t="s">
        <v>21</v>
      </c>
      <c r="H12607" s="11" t="s">
        <v>22</v>
      </c>
      <c r="I12607" s="13" t="s">
        <v>24651</v>
      </c>
      <c r="J12607" s="14" t="str">
        <f>HYPERLINK("https://www.boe.es/gazeta/dias/1839/10/11/pdfs/GMD-1839-1797.pdf#page=4","Abrir facsímil")</f>
        <v>Abrir facsímil</v>
      </c>
      <c r="K12607" s="12" t="s">
        <v>24</v>
      </c>
    </row>
    <row r="12608" spans="1:11" ht="40.049999999999997" customHeight="1" x14ac:dyDescent="0.25">
      <c r="A12608" s="11" t="s">
        <v>24614</v>
      </c>
      <c r="B12608" s="11" t="s">
        <v>24614</v>
      </c>
      <c r="C12608" s="11" t="s">
        <v>137</v>
      </c>
      <c r="D12608" s="11" t="s">
        <v>18</v>
      </c>
      <c r="E12608" s="12" t="s">
        <v>254</v>
      </c>
      <c r="F12608" s="12" t="s">
        <v>255</v>
      </c>
      <c r="G12608" s="12" t="s">
        <v>40</v>
      </c>
      <c r="H12608" s="11" t="s">
        <v>22</v>
      </c>
      <c r="I12608" s="13" t="s">
        <v>24652</v>
      </c>
      <c r="J12608" s="14" t="str">
        <f>HYPERLINK("https://www.boe.es/gazeta/dias/1839/09/12/pdfs/GMD-1839-1765.pdf#page=2","Abrir facsímil")</f>
        <v>Abrir facsímil</v>
      </c>
      <c r="K12608" s="12" t="s">
        <v>24</v>
      </c>
    </row>
    <row r="12609" spans="1:11" ht="40.049999999999997" customHeight="1" x14ac:dyDescent="0.25">
      <c r="A12609" s="11" t="s">
        <v>24614</v>
      </c>
      <c r="B12609" s="11" t="s">
        <v>24614</v>
      </c>
      <c r="C12609" s="11" t="s">
        <v>101</v>
      </c>
      <c r="D12609" s="11" t="s">
        <v>43</v>
      </c>
      <c r="E12609" s="12" t="s">
        <v>254</v>
      </c>
      <c r="F12609" s="12" t="s">
        <v>255</v>
      </c>
      <c r="G12609" s="12" t="s">
        <v>46</v>
      </c>
      <c r="H12609" s="11" t="s">
        <v>22</v>
      </c>
      <c r="I12609" s="13" t="s">
        <v>24653</v>
      </c>
      <c r="J12609" s="14" t="str">
        <f>HYPERLINK("https://www.boe.es/gazeta/dias/1839/09/12/pdfs/GMD-1839-1765.pdf#page=3","Abrir facsímil")</f>
        <v>Abrir facsímil</v>
      </c>
      <c r="K12609" s="12" t="s">
        <v>24</v>
      </c>
    </row>
    <row r="12610" spans="1:11" ht="40.049999999999997" customHeight="1" x14ac:dyDescent="0.25">
      <c r="A12610" s="11" t="s">
        <v>24614</v>
      </c>
      <c r="B12610" s="11" t="s">
        <v>24614</v>
      </c>
      <c r="C12610" s="11" t="s">
        <v>101</v>
      </c>
      <c r="D12610" s="11" t="s">
        <v>102</v>
      </c>
      <c r="E12610" s="12" t="s">
        <v>103</v>
      </c>
      <c r="F12610" s="12" t="s">
        <v>104</v>
      </c>
      <c r="G12610" s="12" t="s">
        <v>21</v>
      </c>
      <c r="H12610" s="11" t="s">
        <v>22</v>
      </c>
      <c r="I12610" s="13" t="s">
        <v>24654</v>
      </c>
      <c r="J12610" s="14" t="str">
        <f>HYPERLINK("https://www.boe.es/gazeta/dias/1839/10/12/pdfs/GMD-1839-1798.pdf#page=4","Abrir facsímil")</f>
        <v>Abrir facsímil</v>
      </c>
      <c r="K12610" s="12" t="s">
        <v>24</v>
      </c>
    </row>
    <row r="12611" spans="1:11" ht="40.049999999999997" customHeight="1" x14ac:dyDescent="0.25">
      <c r="A12611" s="11" t="s">
        <v>24614</v>
      </c>
      <c r="B12611" s="11" t="s">
        <v>24614</v>
      </c>
      <c r="C12611" s="11" t="s">
        <v>80</v>
      </c>
      <c r="D12611" s="11" t="s">
        <v>18</v>
      </c>
      <c r="E12611" s="12" t="s">
        <v>163</v>
      </c>
      <c r="F12611" s="12" t="s">
        <v>164</v>
      </c>
      <c r="G12611" s="12" t="s">
        <v>46</v>
      </c>
      <c r="H12611" s="11" t="s">
        <v>22</v>
      </c>
      <c r="I12611" s="13" t="s">
        <v>24655</v>
      </c>
      <c r="J12611" s="14" t="str">
        <f>HYPERLINK("https://www.boe.es/gazeta/dias/1839/01/13/pdfs/GMD-1839-1520.pdf#page=3","Abrir facsímil")</f>
        <v>Abrir facsímil</v>
      </c>
      <c r="K12611" s="12" t="s">
        <v>24</v>
      </c>
    </row>
    <row r="12612" spans="1:11" ht="40.049999999999997" customHeight="1" x14ac:dyDescent="0.25">
      <c r="A12612" s="11" t="s">
        <v>24614</v>
      </c>
      <c r="B12612" s="11" t="s">
        <v>24614</v>
      </c>
      <c r="C12612" s="11" t="s">
        <v>17</v>
      </c>
      <c r="D12612" s="11" t="s">
        <v>18</v>
      </c>
      <c r="E12612" s="12" t="s">
        <v>163</v>
      </c>
      <c r="F12612" s="12" t="s">
        <v>164</v>
      </c>
      <c r="G12612" s="12" t="s">
        <v>21</v>
      </c>
      <c r="H12612" s="11" t="s">
        <v>22</v>
      </c>
      <c r="I12612" s="13" t="s">
        <v>24656</v>
      </c>
      <c r="J12612" s="14" t="str">
        <f>HYPERLINK("https://www.boe.es/gazeta/dias/1839/01/13/pdfs/GMD-1839-1520.pdf#page=4","Abrir facsímil")</f>
        <v>Abrir facsímil</v>
      </c>
      <c r="K12612" s="12" t="s">
        <v>24</v>
      </c>
    </row>
    <row r="12613" spans="1:11" ht="40.049999999999997" customHeight="1" x14ac:dyDescent="0.25">
      <c r="A12613" s="11" t="s">
        <v>24614</v>
      </c>
      <c r="B12613" s="11" t="s">
        <v>24614</v>
      </c>
      <c r="C12613" s="11" t="s">
        <v>101</v>
      </c>
      <c r="D12613" s="11" t="s">
        <v>43</v>
      </c>
      <c r="E12613" s="12" t="s">
        <v>1100</v>
      </c>
      <c r="F12613" s="12" t="s">
        <v>1101</v>
      </c>
      <c r="G12613" s="12" t="s">
        <v>40</v>
      </c>
      <c r="H12613" s="11" t="s">
        <v>22</v>
      </c>
      <c r="I12613" s="13" t="s">
        <v>24657</v>
      </c>
      <c r="J12613" s="14" t="str">
        <f>HYPERLINK("https://www.boe.es/gazeta/dias/1839/09/13/pdfs/GMD-1839-1766.pdf#page=2","Abrir facsímil")</f>
        <v>Abrir facsímil</v>
      </c>
      <c r="K12613" s="12" t="s">
        <v>24</v>
      </c>
    </row>
    <row r="12614" spans="1:11" ht="40.049999999999997" customHeight="1" x14ac:dyDescent="0.25">
      <c r="A12614" s="11" t="s">
        <v>24614</v>
      </c>
      <c r="B12614" s="11" t="s">
        <v>24614</v>
      </c>
      <c r="C12614" s="11" t="s">
        <v>17</v>
      </c>
      <c r="D12614" s="11" t="s">
        <v>18</v>
      </c>
      <c r="E12614" s="12" t="s">
        <v>1100</v>
      </c>
      <c r="F12614" s="12" t="s">
        <v>1101</v>
      </c>
      <c r="G12614" s="12" t="s">
        <v>46</v>
      </c>
      <c r="H12614" s="11" t="s">
        <v>22</v>
      </c>
      <c r="I12614" s="13" t="s">
        <v>24658</v>
      </c>
      <c r="J12614" s="14" t="str">
        <f>HYPERLINK("https://www.boe.es/gazeta/dias/1839/09/13/pdfs/GMD-1839-1766.pdf#page=3","Abrir facsímil")</f>
        <v>Abrir facsímil</v>
      </c>
      <c r="K12614" s="12" t="s">
        <v>24</v>
      </c>
    </row>
    <row r="12615" spans="1:11" ht="40.049999999999997" customHeight="1" x14ac:dyDescent="0.25">
      <c r="A12615" s="11" t="s">
        <v>24614</v>
      </c>
      <c r="B12615" s="11" t="s">
        <v>24614</v>
      </c>
      <c r="C12615" s="11" t="s">
        <v>80</v>
      </c>
      <c r="D12615" s="11" t="s">
        <v>18</v>
      </c>
      <c r="E12615" s="12" t="s">
        <v>1100</v>
      </c>
      <c r="F12615" s="12" t="s">
        <v>1101</v>
      </c>
      <c r="G12615" s="12" t="s">
        <v>21</v>
      </c>
      <c r="H12615" s="11" t="s">
        <v>22</v>
      </c>
      <c r="I12615" s="13" t="s">
        <v>24659</v>
      </c>
      <c r="J12615" s="14" t="str">
        <f>HYPERLINK("https://www.boe.es/gazeta/dias/1839/09/13/pdfs/GMD-1839-1766.pdf#page=4","Abrir facsímil")</f>
        <v>Abrir facsímil</v>
      </c>
      <c r="K12615" s="12" t="s">
        <v>24</v>
      </c>
    </row>
    <row r="12616" spans="1:11" ht="40.049999999999997" customHeight="1" x14ac:dyDescent="0.25">
      <c r="A12616" s="11" t="s">
        <v>24614</v>
      </c>
      <c r="B12616" s="11" t="s">
        <v>24614</v>
      </c>
      <c r="C12616" s="11" t="s">
        <v>17</v>
      </c>
      <c r="D12616" s="11" t="s">
        <v>18</v>
      </c>
      <c r="E12616" s="12" t="s">
        <v>736</v>
      </c>
      <c r="F12616" s="12" t="s">
        <v>737</v>
      </c>
      <c r="G12616" s="12" t="s">
        <v>40</v>
      </c>
      <c r="H12616" s="11" t="s">
        <v>22</v>
      </c>
      <c r="I12616" s="13" t="s">
        <v>24660</v>
      </c>
      <c r="J12616" s="14" t="str">
        <f>HYPERLINK("https://www.boe.es/gazeta/dias/1839/10/13/pdfs/GMD-1839-1799.pdf#page=2","Abrir facsímil")</f>
        <v>Abrir facsímil</v>
      </c>
      <c r="K12616" s="12" t="s">
        <v>24</v>
      </c>
    </row>
    <row r="12617" spans="1:11" ht="40.049999999999997" customHeight="1" x14ac:dyDescent="0.25">
      <c r="A12617" s="11" t="s">
        <v>24614</v>
      </c>
      <c r="B12617" s="11" t="s">
        <v>24614</v>
      </c>
      <c r="C12617" s="11" t="s">
        <v>17</v>
      </c>
      <c r="D12617" s="11" t="s">
        <v>18</v>
      </c>
      <c r="E12617" s="12" t="s">
        <v>592</v>
      </c>
      <c r="F12617" s="12" t="s">
        <v>593</v>
      </c>
      <c r="G12617" s="12" t="s">
        <v>46</v>
      </c>
      <c r="H12617" s="11" t="s">
        <v>22</v>
      </c>
      <c r="I12617" s="13" t="s">
        <v>24661</v>
      </c>
      <c r="J12617" s="14" t="str">
        <f>HYPERLINK("https://www.boe.es/gazeta/dias/1839/09/14/pdfs/GMD-1839-1767.pdf#page=3","Abrir facsímil")</f>
        <v>Abrir facsímil</v>
      </c>
      <c r="K12617" s="12" t="s">
        <v>24</v>
      </c>
    </row>
    <row r="12618" spans="1:11" ht="40.049999999999997" customHeight="1" x14ac:dyDescent="0.25">
      <c r="A12618" s="11" t="s">
        <v>24614</v>
      </c>
      <c r="B12618" s="11" t="s">
        <v>24614</v>
      </c>
      <c r="C12618" s="11" t="s">
        <v>17</v>
      </c>
      <c r="D12618" s="11" t="s">
        <v>18</v>
      </c>
      <c r="E12618" s="12" t="s">
        <v>592</v>
      </c>
      <c r="F12618" s="12" t="s">
        <v>593</v>
      </c>
      <c r="G12618" s="12" t="s">
        <v>21</v>
      </c>
      <c r="H12618" s="11" t="s">
        <v>22</v>
      </c>
      <c r="I12618" s="13" t="s">
        <v>24662</v>
      </c>
      <c r="J12618" s="14" t="str">
        <f>HYPERLINK("https://www.boe.es/gazeta/dias/1839/09/14/pdfs/GMD-1839-1767.pdf#page=4","Abrir facsímil")</f>
        <v>Abrir facsímil</v>
      </c>
      <c r="K12618" s="12" t="s">
        <v>24</v>
      </c>
    </row>
    <row r="12619" spans="1:11" ht="40.049999999999997" customHeight="1" x14ac:dyDescent="0.25">
      <c r="A12619" s="11" t="s">
        <v>24614</v>
      </c>
      <c r="B12619" s="11" t="s">
        <v>24614</v>
      </c>
      <c r="C12619" s="11" t="s">
        <v>17</v>
      </c>
      <c r="D12619" s="11" t="s">
        <v>18</v>
      </c>
      <c r="E12619" s="12" t="s">
        <v>185</v>
      </c>
      <c r="F12619" s="12" t="s">
        <v>186</v>
      </c>
      <c r="G12619" s="12" t="s">
        <v>40</v>
      </c>
      <c r="H12619" s="11" t="s">
        <v>22</v>
      </c>
      <c r="I12619" s="13" t="s">
        <v>24663</v>
      </c>
      <c r="J12619" s="14" t="str">
        <f>HYPERLINK("https://www.boe.es/gazeta/dias/1839/01/15/pdfs/GMD-1839-1522.pdf#page=2","Abrir facsímil")</f>
        <v>Abrir facsímil</v>
      </c>
      <c r="K12619" s="12" t="s">
        <v>24</v>
      </c>
    </row>
    <row r="12620" spans="1:11" ht="40.049999999999997" customHeight="1" x14ac:dyDescent="0.25">
      <c r="A12620" s="11" t="s">
        <v>24614</v>
      </c>
      <c r="B12620" s="11" t="s">
        <v>24614</v>
      </c>
      <c r="C12620" s="11" t="s">
        <v>17</v>
      </c>
      <c r="D12620" s="11" t="s">
        <v>18</v>
      </c>
      <c r="E12620" s="12" t="s">
        <v>2650</v>
      </c>
      <c r="F12620" s="12" t="s">
        <v>2651</v>
      </c>
      <c r="G12620" s="12" t="s">
        <v>40</v>
      </c>
      <c r="H12620" s="11" t="s">
        <v>22</v>
      </c>
      <c r="I12620" s="13" t="s">
        <v>24664</v>
      </c>
      <c r="J12620" s="14" t="str">
        <f>HYPERLINK("https://www.boe.es/gazeta/dias/1839/09/15/pdfs/GMD-1839-1768.pdf#page=2","Abrir facsímil")</f>
        <v>Abrir facsímil</v>
      </c>
      <c r="K12620" s="12" t="s">
        <v>24</v>
      </c>
    </row>
    <row r="12621" spans="1:11" ht="40.049999999999997" customHeight="1" x14ac:dyDescent="0.25">
      <c r="A12621" s="11" t="s">
        <v>24614</v>
      </c>
      <c r="B12621" s="11" t="s">
        <v>24614</v>
      </c>
      <c r="C12621" s="11" t="s">
        <v>17</v>
      </c>
      <c r="D12621" s="11" t="s">
        <v>18</v>
      </c>
      <c r="E12621" s="12" t="s">
        <v>2650</v>
      </c>
      <c r="F12621" s="12" t="s">
        <v>2651</v>
      </c>
      <c r="G12621" s="12" t="s">
        <v>46</v>
      </c>
      <c r="H12621" s="11" t="s">
        <v>22</v>
      </c>
      <c r="I12621" s="13" t="s">
        <v>24665</v>
      </c>
      <c r="J12621" s="14" t="str">
        <f>HYPERLINK("https://www.boe.es/gazeta/dias/1839/09/15/pdfs/GMD-1839-1768.pdf#page=3","Abrir facsímil")</f>
        <v>Abrir facsímil</v>
      </c>
      <c r="K12621" s="12" t="s">
        <v>24</v>
      </c>
    </row>
    <row r="12622" spans="1:11" ht="40.049999999999997" customHeight="1" x14ac:dyDescent="0.25">
      <c r="A12622" s="11" t="s">
        <v>24614</v>
      </c>
      <c r="B12622" s="11" t="s">
        <v>24614</v>
      </c>
      <c r="C12622" s="11" t="s">
        <v>17</v>
      </c>
      <c r="D12622" s="11" t="s">
        <v>18</v>
      </c>
      <c r="E12622" s="12" t="s">
        <v>1236</v>
      </c>
      <c r="F12622" s="12" t="s">
        <v>1237</v>
      </c>
      <c r="G12622" s="12" t="s">
        <v>46</v>
      </c>
      <c r="H12622" s="11" t="s">
        <v>22</v>
      </c>
      <c r="I12622" s="13" t="s">
        <v>24666</v>
      </c>
      <c r="J12622" s="14" t="str">
        <f>HYPERLINK("https://www.boe.es/gazeta/dias/1839/10/16/pdfs/GMD-1839-1802.pdf#page=3","Abrir facsímil")</f>
        <v>Abrir facsímil</v>
      </c>
      <c r="K12622" s="12" t="s">
        <v>24</v>
      </c>
    </row>
    <row r="12623" spans="1:11" ht="40.049999999999997" customHeight="1" x14ac:dyDescent="0.25">
      <c r="A12623" s="11" t="s">
        <v>24614</v>
      </c>
      <c r="B12623" s="11" t="s">
        <v>24614</v>
      </c>
      <c r="C12623" s="11" t="s">
        <v>80</v>
      </c>
      <c r="D12623" s="11" t="s">
        <v>173</v>
      </c>
      <c r="E12623" s="12" t="s">
        <v>2155</v>
      </c>
      <c r="F12623" s="12" t="s">
        <v>2156</v>
      </c>
      <c r="G12623" s="12" t="s">
        <v>29</v>
      </c>
      <c r="H12623" s="11" t="s">
        <v>22</v>
      </c>
      <c r="I12623" s="13" t="s">
        <v>24667</v>
      </c>
      <c r="J12623" s="14" t="str">
        <f>HYPERLINK("https://www.boe.es/gazeta/dias/1839/01/17/pdfs/GMD-1839-1524.pdf#page=1","Abrir facsímil")</f>
        <v>Abrir facsímil</v>
      </c>
      <c r="K12623" s="12" t="s">
        <v>24</v>
      </c>
    </row>
    <row r="12624" spans="1:11" ht="40.049999999999997" customHeight="1" x14ac:dyDescent="0.25">
      <c r="A12624" s="11" t="s">
        <v>24614</v>
      </c>
      <c r="B12624" s="11" t="s">
        <v>24614</v>
      </c>
      <c r="C12624" s="11" t="s">
        <v>17</v>
      </c>
      <c r="D12624" s="11" t="s">
        <v>18</v>
      </c>
      <c r="E12624" s="12" t="s">
        <v>233</v>
      </c>
      <c r="F12624" s="12" t="s">
        <v>234</v>
      </c>
      <c r="G12624" s="12" t="s">
        <v>40</v>
      </c>
      <c r="H12624" s="11" t="s">
        <v>22</v>
      </c>
      <c r="I12624" s="13" t="s">
        <v>24668</v>
      </c>
      <c r="J12624" s="14" t="str">
        <f>HYPERLINK("https://www.boe.es/gazeta/dias/1839/09/17/pdfs/GMD-1839-1770.pdf#page=2","Abrir facsímil")</f>
        <v>Abrir facsímil</v>
      </c>
      <c r="K12624" s="12" t="s">
        <v>24</v>
      </c>
    </row>
    <row r="12625" spans="1:11" ht="40.049999999999997" customHeight="1" x14ac:dyDescent="0.25">
      <c r="A12625" s="11" t="s">
        <v>24614</v>
      </c>
      <c r="B12625" s="11" t="s">
        <v>24614</v>
      </c>
      <c r="C12625" s="11" t="s">
        <v>101</v>
      </c>
      <c r="D12625" s="11" t="s">
        <v>43</v>
      </c>
      <c r="E12625" s="12" t="s">
        <v>236</v>
      </c>
      <c r="F12625" s="12" t="s">
        <v>237</v>
      </c>
      <c r="G12625" s="12" t="s">
        <v>46</v>
      </c>
      <c r="H12625" s="11" t="s">
        <v>22</v>
      </c>
      <c r="I12625" s="13" t="s">
        <v>24669</v>
      </c>
      <c r="J12625" s="14" t="str">
        <f>HYPERLINK("https://www.boe.es/gazeta/dias/1839/09/18/pdfs/GMD-1839-1771.pdf#page=3","Abrir facsímil")</f>
        <v>Abrir facsímil</v>
      </c>
      <c r="K12625" s="12" t="s">
        <v>24</v>
      </c>
    </row>
    <row r="12626" spans="1:11" ht="40.049999999999997" customHeight="1" x14ac:dyDescent="0.25">
      <c r="A12626" s="11" t="s">
        <v>24614</v>
      </c>
      <c r="B12626" s="11" t="s">
        <v>24614</v>
      </c>
      <c r="C12626" s="11" t="s">
        <v>17</v>
      </c>
      <c r="D12626" s="11" t="s">
        <v>18</v>
      </c>
      <c r="E12626" s="12" t="s">
        <v>2222</v>
      </c>
      <c r="F12626" s="12" t="s">
        <v>2223</v>
      </c>
      <c r="G12626" s="12" t="s">
        <v>29</v>
      </c>
      <c r="H12626" s="11" t="s">
        <v>22</v>
      </c>
      <c r="I12626" s="13" t="s">
        <v>24670</v>
      </c>
      <c r="J12626" s="14" t="str">
        <f>HYPERLINK("https://www.boe.es/gazeta/dias/1839/09/19/pdfs/GMD-1839-1773.pdf#page=1","Abrir facsímil")</f>
        <v>Abrir facsímil</v>
      </c>
      <c r="K12626" s="12" t="s">
        <v>24</v>
      </c>
    </row>
    <row r="12627" spans="1:11" ht="40.049999999999997" customHeight="1" x14ac:dyDescent="0.25">
      <c r="A12627" s="11" t="s">
        <v>24614</v>
      </c>
      <c r="B12627" s="11" t="s">
        <v>24614</v>
      </c>
      <c r="C12627" s="11" t="s">
        <v>17</v>
      </c>
      <c r="D12627" s="11" t="s">
        <v>18</v>
      </c>
      <c r="E12627" s="12" t="s">
        <v>821</v>
      </c>
      <c r="F12627" s="12" t="s">
        <v>822</v>
      </c>
      <c r="G12627" s="12" t="s">
        <v>46</v>
      </c>
      <c r="H12627" s="11" t="s">
        <v>22</v>
      </c>
      <c r="I12627" s="13" t="s">
        <v>24671</v>
      </c>
      <c r="J12627" s="14" t="str">
        <f>HYPERLINK("https://www.boe.es/gazeta/dias/1839/09/20/pdfs/GMD-1839-1775.pdf#page=3","Abrir facsímil")</f>
        <v>Abrir facsímil</v>
      </c>
      <c r="K12627" s="12" t="s">
        <v>24</v>
      </c>
    </row>
    <row r="12628" spans="1:11" ht="40.049999999999997" customHeight="1" x14ac:dyDescent="0.25">
      <c r="A12628" s="11" t="s">
        <v>24614</v>
      </c>
      <c r="B12628" s="11" t="s">
        <v>24614</v>
      </c>
      <c r="C12628" s="11" t="s">
        <v>80</v>
      </c>
      <c r="D12628" s="11" t="s">
        <v>18</v>
      </c>
      <c r="E12628" s="12" t="s">
        <v>821</v>
      </c>
      <c r="F12628" s="12" t="s">
        <v>822</v>
      </c>
      <c r="G12628" s="12" t="s">
        <v>21</v>
      </c>
      <c r="H12628" s="11" t="s">
        <v>22</v>
      </c>
      <c r="I12628" s="13" t="s">
        <v>24672</v>
      </c>
      <c r="J12628" s="14" t="str">
        <f>HYPERLINK("https://www.boe.es/gazeta/dias/1839/09/20/pdfs/GMD-1839-1775.pdf#page=4","Abrir facsímil")</f>
        <v>Abrir facsímil</v>
      </c>
      <c r="K12628" s="12" t="s">
        <v>24</v>
      </c>
    </row>
    <row r="12629" spans="1:11" ht="40.049999999999997" customHeight="1" x14ac:dyDescent="0.25">
      <c r="A12629" s="11" t="s">
        <v>24614</v>
      </c>
      <c r="B12629" s="11" t="s">
        <v>24614</v>
      </c>
      <c r="C12629" s="11" t="s">
        <v>80</v>
      </c>
      <c r="D12629" s="11" t="s">
        <v>18</v>
      </c>
      <c r="E12629" s="12" t="s">
        <v>1108</v>
      </c>
      <c r="F12629" s="12" t="s">
        <v>1109</v>
      </c>
      <c r="G12629" s="12" t="s">
        <v>40</v>
      </c>
      <c r="H12629" s="11" t="s">
        <v>22</v>
      </c>
      <c r="I12629" s="13" t="s">
        <v>24673</v>
      </c>
      <c r="J12629" s="14" t="str">
        <f>HYPERLINK("https://www.boe.es/gazeta/dias/1839/09/21/pdfs/GMD-1839-1776.pdf#page=2","Abrir facsímil")</f>
        <v>Abrir facsímil</v>
      </c>
      <c r="K12629" s="12" t="s">
        <v>24</v>
      </c>
    </row>
    <row r="12630" spans="1:11" ht="40.049999999999997" customHeight="1" x14ac:dyDescent="0.25">
      <c r="A12630" s="11" t="s">
        <v>24614</v>
      </c>
      <c r="B12630" s="11" t="s">
        <v>24614</v>
      </c>
      <c r="C12630" s="11" t="s">
        <v>17</v>
      </c>
      <c r="D12630" s="11" t="s">
        <v>18</v>
      </c>
      <c r="E12630" s="12" t="s">
        <v>794</v>
      </c>
      <c r="F12630" s="12" t="s">
        <v>795</v>
      </c>
      <c r="G12630" s="12" t="s">
        <v>46</v>
      </c>
      <c r="H12630" s="11" t="s">
        <v>22</v>
      </c>
      <c r="I12630" s="13" t="s">
        <v>24674</v>
      </c>
      <c r="J12630" s="14" t="str">
        <f>HYPERLINK("https://www.boe.es/gazeta/dias/1839/01/22/pdfs/GMD-1839-1529.pdf#page=3","Abrir facsímil")</f>
        <v>Abrir facsímil</v>
      </c>
      <c r="K12630" s="12" t="s">
        <v>24</v>
      </c>
    </row>
    <row r="12631" spans="1:11" ht="40.049999999999997" customHeight="1" x14ac:dyDescent="0.25">
      <c r="A12631" s="11" t="s">
        <v>24614</v>
      </c>
      <c r="B12631" s="11" t="s">
        <v>24614</v>
      </c>
      <c r="C12631" s="11" t="s">
        <v>17</v>
      </c>
      <c r="D12631" s="11" t="s">
        <v>18</v>
      </c>
      <c r="E12631" s="12" t="s">
        <v>596</v>
      </c>
      <c r="F12631" s="12" t="s">
        <v>597</v>
      </c>
      <c r="G12631" s="12" t="s">
        <v>46</v>
      </c>
      <c r="H12631" s="11" t="s">
        <v>22</v>
      </c>
      <c r="I12631" s="13" t="s">
        <v>24675</v>
      </c>
      <c r="J12631" s="14" t="str">
        <f>HYPERLINK("https://www.boe.es/gazeta/dias/1839/01/23/pdfs/GMD-1839-1530.pdf#page=3","Abrir facsímil")</f>
        <v>Abrir facsímil</v>
      </c>
      <c r="K12631" s="12" t="s">
        <v>24</v>
      </c>
    </row>
    <row r="12632" spans="1:11" ht="40.049999999999997" customHeight="1" x14ac:dyDescent="0.25">
      <c r="A12632" s="11" t="s">
        <v>24614</v>
      </c>
      <c r="B12632" s="11" t="s">
        <v>24614</v>
      </c>
      <c r="C12632" s="11" t="s">
        <v>80</v>
      </c>
      <c r="D12632" s="11" t="s">
        <v>18</v>
      </c>
      <c r="E12632" s="12" t="s">
        <v>596</v>
      </c>
      <c r="F12632" s="12" t="s">
        <v>597</v>
      </c>
      <c r="G12632" s="12" t="s">
        <v>21</v>
      </c>
      <c r="H12632" s="11" t="s">
        <v>22</v>
      </c>
      <c r="I12632" s="13" t="s">
        <v>24676</v>
      </c>
      <c r="J12632" s="14" t="str">
        <f>HYPERLINK("https://www.boe.es/gazeta/dias/1839/01/23/pdfs/GMD-1839-1530.pdf#page=4","Abrir facsímil")</f>
        <v>Abrir facsímil</v>
      </c>
      <c r="K12632" s="12" t="s">
        <v>24</v>
      </c>
    </row>
    <row r="12633" spans="1:11" ht="40.049999999999997" customHeight="1" x14ac:dyDescent="0.25">
      <c r="A12633" s="11" t="s">
        <v>24614</v>
      </c>
      <c r="B12633" s="11" t="s">
        <v>24614</v>
      </c>
      <c r="C12633" s="11" t="s">
        <v>17</v>
      </c>
      <c r="D12633" s="11" t="s">
        <v>18</v>
      </c>
      <c r="E12633" s="12" t="s">
        <v>284</v>
      </c>
      <c r="F12633" s="12" t="s">
        <v>285</v>
      </c>
      <c r="G12633" s="12" t="s">
        <v>46</v>
      </c>
      <c r="H12633" s="11" t="s">
        <v>22</v>
      </c>
      <c r="I12633" s="13" t="s">
        <v>24677</v>
      </c>
      <c r="J12633" s="14" t="str">
        <f>HYPERLINK("https://www.boe.es/gazeta/dias/1839/01/27/pdfs/GMD-1839-1534.pdf#page=3","Abrir facsímil")</f>
        <v>Abrir facsímil</v>
      </c>
      <c r="K12633" s="12" t="s">
        <v>24</v>
      </c>
    </row>
    <row r="12634" spans="1:11" ht="40.049999999999997" customHeight="1" x14ac:dyDescent="0.25">
      <c r="A12634" s="11" t="s">
        <v>24614</v>
      </c>
      <c r="B12634" s="11" t="s">
        <v>24614</v>
      </c>
      <c r="C12634" s="11" t="s">
        <v>17</v>
      </c>
      <c r="D12634" s="11" t="s">
        <v>18</v>
      </c>
      <c r="E12634" s="12" t="s">
        <v>571</v>
      </c>
      <c r="F12634" s="12" t="s">
        <v>572</v>
      </c>
      <c r="G12634" s="12" t="s">
        <v>46</v>
      </c>
      <c r="H12634" s="11" t="s">
        <v>22</v>
      </c>
      <c r="I12634" s="13" t="s">
        <v>24678</v>
      </c>
      <c r="J12634" s="14" t="str">
        <f>HYPERLINK("https://www.boe.es/gazeta/dias/1839/09/27/pdfs/GMD-1839-1783.pdf#page=3","Abrir facsímil")</f>
        <v>Abrir facsímil</v>
      </c>
      <c r="K12634" s="12" t="s">
        <v>24</v>
      </c>
    </row>
    <row r="12635" spans="1:11" ht="40.049999999999997" customHeight="1" x14ac:dyDescent="0.25">
      <c r="A12635" s="11" t="s">
        <v>24614</v>
      </c>
      <c r="B12635" s="11" t="s">
        <v>24614</v>
      </c>
      <c r="C12635" s="11" t="s">
        <v>17</v>
      </c>
      <c r="D12635" s="11" t="s">
        <v>18</v>
      </c>
      <c r="E12635" s="12" t="s">
        <v>571</v>
      </c>
      <c r="F12635" s="12" t="s">
        <v>572</v>
      </c>
      <c r="G12635" s="12" t="s">
        <v>21</v>
      </c>
      <c r="H12635" s="11" t="s">
        <v>22</v>
      </c>
      <c r="I12635" s="13" t="s">
        <v>24679</v>
      </c>
      <c r="J12635" s="14" t="str">
        <f>HYPERLINK("https://www.boe.es/gazeta/dias/1839/09/27/pdfs/GMD-1839-1783.pdf#page=4","Abrir facsímil")</f>
        <v>Abrir facsímil</v>
      </c>
      <c r="K12635" s="12" t="s">
        <v>24</v>
      </c>
    </row>
    <row r="12636" spans="1:11" ht="40.049999999999997" customHeight="1" x14ac:dyDescent="0.25">
      <c r="A12636" s="11" t="s">
        <v>24614</v>
      </c>
      <c r="B12636" s="11" t="s">
        <v>24614</v>
      </c>
      <c r="C12636" s="11" t="s">
        <v>17</v>
      </c>
      <c r="D12636" s="11" t="s">
        <v>18</v>
      </c>
      <c r="E12636" s="12" t="s">
        <v>1909</v>
      </c>
      <c r="F12636" s="12" t="s">
        <v>1910</v>
      </c>
      <c r="G12636" s="12" t="s">
        <v>29</v>
      </c>
      <c r="H12636" s="11" t="s">
        <v>22</v>
      </c>
      <c r="I12636" s="13" t="s">
        <v>24680</v>
      </c>
      <c r="J12636" s="14" t="str">
        <f>HYPERLINK("https://www.boe.es/gazeta/dias/1839/10/27/pdfs/GMD-1839-1813.pdf#page=1","Abrir facsímil")</f>
        <v>Abrir facsímil</v>
      </c>
      <c r="K12636" s="12" t="s">
        <v>24</v>
      </c>
    </row>
    <row r="12637" spans="1:11" ht="40.049999999999997" customHeight="1" x14ac:dyDescent="0.25">
      <c r="A12637" s="11" t="s">
        <v>24614</v>
      </c>
      <c r="B12637" s="11" t="s">
        <v>24614</v>
      </c>
      <c r="C12637" s="11" t="s">
        <v>17</v>
      </c>
      <c r="D12637" s="11" t="s">
        <v>18</v>
      </c>
      <c r="E12637" s="12" t="s">
        <v>2349</v>
      </c>
      <c r="F12637" s="12" t="s">
        <v>2350</v>
      </c>
      <c r="G12637" s="12" t="s">
        <v>46</v>
      </c>
      <c r="H12637" s="11" t="s">
        <v>22</v>
      </c>
      <c r="I12637" s="13" t="s">
        <v>24681</v>
      </c>
      <c r="J12637" s="14" t="str">
        <f>HYPERLINK("https://www.boe.es/gazeta/dias/1839/09/29/pdfs/GMD-1839-1785.pdf#page=3","Abrir facsímil")</f>
        <v>Abrir facsímil</v>
      </c>
      <c r="K12637" s="12" t="s">
        <v>24</v>
      </c>
    </row>
    <row r="12638" spans="1:11" ht="40.049999999999997" customHeight="1" x14ac:dyDescent="0.25">
      <c r="A12638" s="11" t="s">
        <v>24614</v>
      </c>
      <c r="B12638" s="11" t="s">
        <v>24614</v>
      </c>
      <c r="C12638" s="11" t="s">
        <v>101</v>
      </c>
      <c r="D12638" s="11" t="s">
        <v>102</v>
      </c>
      <c r="E12638" s="12" t="s">
        <v>1988</v>
      </c>
      <c r="F12638" s="12" t="s">
        <v>1989</v>
      </c>
      <c r="G12638" s="12" t="s">
        <v>40</v>
      </c>
      <c r="H12638" s="11" t="s">
        <v>22</v>
      </c>
      <c r="I12638" s="13" t="s">
        <v>24682</v>
      </c>
      <c r="J12638" s="14" t="str">
        <f>HYPERLINK("https://www.boe.es/gazeta/dias/1839/10/29/pdfs/GMD-1839-1815.pdf#page=2","Abrir facsímil")</f>
        <v>Abrir facsímil</v>
      </c>
      <c r="K12638" s="12" t="s">
        <v>24</v>
      </c>
    </row>
    <row r="12639" spans="1:11" ht="40.049999999999997" customHeight="1" x14ac:dyDescent="0.25">
      <c r="A12639" s="11" t="s">
        <v>24614</v>
      </c>
      <c r="B12639" s="11" t="s">
        <v>24614</v>
      </c>
      <c r="C12639" s="11" t="s">
        <v>137</v>
      </c>
      <c r="D12639" s="11" t="s">
        <v>18</v>
      </c>
      <c r="E12639" s="12" t="s">
        <v>1118</v>
      </c>
      <c r="F12639" s="12" t="s">
        <v>1119</v>
      </c>
      <c r="G12639" s="12" t="s">
        <v>21</v>
      </c>
      <c r="H12639" s="11" t="s">
        <v>22</v>
      </c>
      <c r="I12639" s="13" t="s">
        <v>24683</v>
      </c>
      <c r="J12639" s="14" t="str">
        <f>HYPERLINK("https://www.boe.es/gazeta/dias/1839/08/30/pdfs/GMD-1839-1751.pdf#page=4","Abrir facsímil")</f>
        <v>Abrir facsímil</v>
      </c>
      <c r="K12639" s="12" t="s">
        <v>24</v>
      </c>
    </row>
    <row r="12640" spans="1:11" ht="40.049999999999997" customHeight="1" x14ac:dyDescent="0.25">
      <c r="A12640" s="11" t="s">
        <v>24614</v>
      </c>
      <c r="B12640" s="11" t="s">
        <v>24614</v>
      </c>
      <c r="C12640" s="11" t="s">
        <v>17</v>
      </c>
      <c r="D12640" s="11" t="s">
        <v>18</v>
      </c>
      <c r="E12640" s="12" t="s">
        <v>1287</v>
      </c>
      <c r="F12640" s="12" t="s">
        <v>1288</v>
      </c>
      <c r="G12640" s="12" t="s">
        <v>40</v>
      </c>
      <c r="H12640" s="11" t="s">
        <v>22</v>
      </c>
      <c r="I12640" s="13" t="s">
        <v>24684</v>
      </c>
      <c r="J12640" s="14" t="str">
        <f>HYPERLINK("https://www.boe.es/gazeta/dias/1839/10/30/pdfs/GMD-1839-1816.pdf#page=2","Abrir facsímil")</f>
        <v>Abrir facsímil</v>
      </c>
      <c r="K12640" s="12" t="s">
        <v>24</v>
      </c>
    </row>
    <row r="12641" spans="1:11" ht="40.049999999999997" customHeight="1" x14ac:dyDescent="0.25">
      <c r="A12641" s="11" t="s">
        <v>24685</v>
      </c>
      <c r="B12641" s="11" t="s">
        <v>24685</v>
      </c>
      <c r="C12641" s="11" t="s">
        <v>17</v>
      </c>
      <c r="D12641" s="11" t="s">
        <v>18</v>
      </c>
      <c r="E12641" s="12" t="s">
        <v>2155</v>
      </c>
      <c r="F12641" s="12" t="s">
        <v>2156</v>
      </c>
      <c r="G12641" s="12" t="s">
        <v>29</v>
      </c>
      <c r="H12641" s="11" t="s">
        <v>63</v>
      </c>
      <c r="I12641" s="13" t="s">
        <v>24686</v>
      </c>
      <c r="J12641" s="14" t="str">
        <f>HYPERLINK("https://www.boe.es/gazeta/dias/1839/01/17/pdfs/GMD-1839-1524.pdf#page=1","Abrir facsímil")</f>
        <v>Abrir facsímil</v>
      </c>
      <c r="K12641" s="12" t="s">
        <v>65</v>
      </c>
    </row>
    <row r="12642" spans="1:11" ht="40.049999999999997" customHeight="1" x14ac:dyDescent="0.25">
      <c r="A12642" s="11" t="s">
        <v>24687</v>
      </c>
      <c r="B12642" s="11" t="s">
        <v>24688</v>
      </c>
      <c r="C12642" s="11" t="s">
        <v>101</v>
      </c>
      <c r="D12642" s="11" t="s">
        <v>43</v>
      </c>
      <c r="E12642" s="12" t="s">
        <v>157</v>
      </c>
      <c r="F12642" s="12" t="s">
        <v>158</v>
      </c>
      <c r="G12642" s="12" t="s">
        <v>21</v>
      </c>
      <c r="H12642" s="11" t="s">
        <v>63</v>
      </c>
      <c r="I12642" s="13" t="s">
        <v>24689</v>
      </c>
      <c r="J12642" s="14" t="str">
        <f>HYPERLINK("https://www.boe.es/gazeta/dias/1839/02/08/pdfs/GMD-1839-1546.pdf#page=4","Abrir facsímil")</f>
        <v>Abrir facsímil</v>
      </c>
      <c r="K12642" s="12" t="s">
        <v>65</v>
      </c>
    </row>
    <row r="12643" spans="1:11" ht="40.049999999999997" customHeight="1" x14ac:dyDescent="0.25">
      <c r="A12643" s="11" t="s">
        <v>24690</v>
      </c>
      <c r="B12643" s="11" t="s">
        <v>24690</v>
      </c>
      <c r="C12643" s="11" t="s">
        <v>17</v>
      </c>
      <c r="D12643" s="11" t="s">
        <v>18</v>
      </c>
      <c r="E12643" s="12" t="s">
        <v>68</v>
      </c>
      <c r="F12643" s="12" t="s">
        <v>69</v>
      </c>
      <c r="G12643" s="12" t="s">
        <v>40</v>
      </c>
      <c r="H12643" s="11" t="s">
        <v>63</v>
      </c>
      <c r="I12643" s="13" t="s">
        <v>24691</v>
      </c>
      <c r="J12643" s="14" t="str">
        <f>HYPERLINK("https://www.boe.es/gazeta/dias/1839/02/09/pdfs/GMD-1839-1547.pdf#page=2","Abrir facsímil")</f>
        <v>Abrir facsímil</v>
      </c>
      <c r="K12643" s="12" t="s">
        <v>65</v>
      </c>
    </row>
    <row r="12644" spans="1:11" ht="40.049999999999997" customHeight="1" x14ac:dyDescent="0.25">
      <c r="A12644" s="11" t="s">
        <v>24692</v>
      </c>
      <c r="B12644" s="11" t="s">
        <v>24692</v>
      </c>
      <c r="C12644" s="11" t="s">
        <v>80</v>
      </c>
      <c r="D12644" s="11" t="s">
        <v>173</v>
      </c>
      <c r="E12644" s="12" t="s">
        <v>1467</v>
      </c>
      <c r="F12644" s="12" t="s">
        <v>1468</v>
      </c>
      <c r="G12644" s="12" t="s">
        <v>40</v>
      </c>
      <c r="H12644" s="11" t="s">
        <v>63</v>
      </c>
      <c r="I12644" s="13" t="s">
        <v>24693</v>
      </c>
      <c r="J12644" s="14" t="str">
        <f>HYPERLINK("https://www.boe.es/gazeta/dias/1839/03/05/pdfs/GMD-1839-1571.pdf#page=2","Abrir facsímil")</f>
        <v>Abrir facsímil</v>
      </c>
      <c r="K12644" s="12" t="s">
        <v>65</v>
      </c>
    </row>
    <row r="12645" spans="1:11" ht="40.049999999999997" customHeight="1" x14ac:dyDescent="0.25">
      <c r="A12645" s="11" t="s">
        <v>24694</v>
      </c>
      <c r="B12645" s="11" t="s">
        <v>24694</v>
      </c>
      <c r="C12645" s="11" t="s">
        <v>59</v>
      </c>
      <c r="D12645" s="11" t="s">
        <v>60</v>
      </c>
      <c r="E12645" s="12" t="s">
        <v>1019</v>
      </c>
      <c r="F12645" s="12" t="s">
        <v>1020</v>
      </c>
      <c r="G12645" s="12" t="s">
        <v>40</v>
      </c>
      <c r="H12645" s="11" t="s">
        <v>63</v>
      </c>
      <c r="I12645" s="13" t="s">
        <v>24695</v>
      </c>
      <c r="J12645" s="14" t="str">
        <f>HYPERLINK("https://www.boe.es/gazeta/dias/1839/07/15/pdfs/GMD-1839-1703.pdf#page=2","Abrir facsímil")</f>
        <v>Abrir facsímil</v>
      </c>
      <c r="K12645" s="12" t="s">
        <v>65</v>
      </c>
    </row>
    <row r="12646" spans="1:11" ht="40.049999999999997" customHeight="1" x14ac:dyDescent="0.25">
      <c r="A12646" s="11" t="s">
        <v>24694</v>
      </c>
      <c r="B12646" s="11" t="s">
        <v>24694</v>
      </c>
      <c r="C12646" s="11" t="s">
        <v>59</v>
      </c>
      <c r="D12646" s="11" t="s">
        <v>60</v>
      </c>
      <c r="E12646" s="12" t="s">
        <v>756</v>
      </c>
      <c r="F12646" s="12" t="s">
        <v>757</v>
      </c>
      <c r="G12646" s="12" t="s">
        <v>29</v>
      </c>
      <c r="H12646" s="11" t="s">
        <v>63</v>
      </c>
      <c r="I12646" s="13" t="s">
        <v>24696</v>
      </c>
      <c r="J12646" s="14" t="str">
        <f>HYPERLINK("https://www.boe.es/gazeta/dias/1839/12/17/pdfs/GMD-1839-1864.pdf#page=1","Abrir facsímil")</f>
        <v>Abrir facsímil</v>
      </c>
      <c r="K12646" s="12" t="s">
        <v>65</v>
      </c>
    </row>
    <row r="12647" spans="1:11" ht="40.049999999999997" customHeight="1" x14ac:dyDescent="0.25">
      <c r="A12647" s="11" t="s">
        <v>24697</v>
      </c>
      <c r="B12647" s="11" t="s">
        <v>24697</v>
      </c>
      <c r="C12647" s="11" t="s">
        <v>59</v>
      </c>
      <c r="D12647" s="11" t="s">
        <v>60</v>
      </c>
      <c r="E12647" s="12" t="s">
        <v>1072</v>
      </c>
      <c r="F12647" s="12" t="s">
        <v>1073</v>
      </c>
      <c r="G12647" s="12" t="s">
        <v>29</v>
      </c>
      <c r="H12647" s="11" t="s">
        <v>22</v>
      </c>
      <c r="I12647" s="13" t="s">
        <v>24698</v>
      </c>
      <c r="J12647" s="14" t="str">
        <f>HYPERLINK("https://www.boe.es/gazeta/dias/1839/01/18/pdfs/GMD-1839-1525.pdf#page=1","Abrir facsímil")</f>
        <v>Abrir facsímil</v>
      </c>
      <c r="K12647" s="12" t="s">
        <v>24</v>
      </c>
    </row>
    <row r="12648" spans="1:11" ht="40.049999999999997" customHeight="1" x14ac:dyDescent="0.25">
      <c r="A12648" s="11" t="s">
        <v>24699</v>
      </c>
      <c r="B12648" s="11" t="s">
        <v>24699</v>
      </c>
      <c r="C12648" s="11" t="s">
        <v>17</v>
      </c>
      <c r="D12648" s="11" t="s">
        <v>18</v>
      </c>
      <c r="E12648" s="12" t="s">
        <v>3134</v>
      </c>
      <c r="F12648" s="12" t="s">
        <v>3135</v>
      </c>
      <c r="G12648" s="12" t="s">
        <v>29</v>
      </c>
      <c r="H12648" s="11" t="s">
        <v>63</v>
      </c>
      <c r="I12648" s="13" t="s">
        <v>24700</v>
      </c>
      <c r="J12648" s="14" t="str">
        <f>HYPERLINK("https://www.boe.es/gazeta/dias/1839/08/09/pdfs/GMD-1839-1729.pdf#page=1","Abrir facsímil")</f>
        <v>Abrir facsímil</v>
      </c>
      <c r="K12648" s="12" t="s">
        <v>65</v>
      </c>
    </row>
    <row r="12649" spans="1:11" ht="40.049999999999997" customHeight="1" x14ac:dyDescent="0.25">
      <c r="A12649" s="11" t="s">
        <v>24699</v>
      </c>
      <c r="B12649" s="11" t="s">
        <v>24699</v>
      </c>
      <c r="C12649" s="11" t="s">
        <v>17</v>
      </c>
      <c r="D12649" s="11" t="s">
        <v>18</v>
      </c>
      <c r="E12649" s="12" t="s">
        <v>1512</v>
      </c>
      <c r="F12649" s="12" t="s">
        <v>1513</v>
      </c>
      <c r="G12649" s="12" t="s">
        <v>29</v>
      </c>
      <c r="H12649" s="11" t="s">
        <v>63</v>
      </c>
      <c r="I12649" s="13" t="s">
        <v>24701</v>
      </c>
      <c r="J12649" s="14" t="str">
        <f>HYPERLINK("https://www.boe.es/gazeta/dias/1839/04/13/pdfs/GMD-1839-1610.pdf#page=1","Abrir facsímil")</f>
        <v>Abrir facsímil</v>
      </c>
      <c r="K12649" s="12" t="s">
        <v>65</v>
      </c>
    </row>
    <row r="12650" spans="1:11" ht="40.049999999999997" customHeight="1" x14ac:dyDescent="0.25">
      <c r="A12650" s="11" t="s">
        <v>24699</v>
      </c>
      <c r="B12650" s="11" t="s">
        <v>24699</v>
      </c>
      <c r="C12650" s="11" t="s">
        <v>17</v>
      </c>
      <c r="D12650" s="11" t="s">
        <v>18</v>
      </c>
      <c r="E12650" s="12" t="s">
        <v>1336</v>
      </c>
      <c r="F12650" s="12" t="s">
        <v>1337</v>
      </c>
      <c r="G12650" s="12" t="s">
        <v>29</v>
      </c>
      <c r="H12650" s="11" t="s">
        <v>63</v>
      </c>
      <c r="I12650" s="13" t="s">
        <v>24702</v>
      </c>
      <c r="J12650" s="14" t="str">
        <f>HYPERLINK("https://www.boe.es/gazeta/dias/1839/02/26/pdfs/GMD-1839-1564.pdf#page=1","Abrir facsímil")</f>
        <v>Abrir facsímil</v>
      </c>
      <c r="K12650" s="12" t="s">
        <v>65</v>
      </c>
    </row>
    <row r="12651" spans="1:11" ht="40.049999999999997" customHeight="1" x14ac:dyDescent="0.25">
      <c r="A12651" s="11" t="s">
        <v>24699</v>
      </c>
      <c r="B12651" s="11" t="s">
        <v>24699</v>
      </c>
      <c r="C12651" s="11" t="s">
        <v>17</v>
      </c>
      <c r="D12651" s="11" t="s">
        <v>18</v>
      </c>
      <c r="E12651" s="12" t="s">
        <v>677</v>
      </c>
      <c r="F12651" s="12" t="s">
        <v>678</v>
      </c>
      <c r="G12651" s="12" t="s">
        <v>40</v>
      </c>
      <c r="H12651" s="11" t="s">
        <v>63</v>
      </c>
      <c r="I12651" s="13" t="s">
        <v>24703</v>
      </c>
      <c r="J12651" s="14" t="str">
        <f>HYPERLINK("https://www.boe.es/gazeta/dias/1839/04/28/pdfs/GMD-1839-1625.pdf#page=2","Abrir facsímil")</f>
        <v>Abrir facsímil</v>
      </c>
      <c r="K12651" s="12" t="s">
        <v>65</v>
      </c>
    </row>
    <row r="12652" spans="1:11" ht="40.049999999999997" customHeight="1" x14ac:dyDescent="0.25">
      <c r="A12652" s="11" t="s">
        <v>24704</v>
      </c>
      <c r="B12652" s="11" t="s">
        <v>24704</v>
      </c>
      <c r="C12652" s="11" t="s">
        <v>80</v>
      </c>
      <c r="D12652" s="11" t="s">
        <v>173</v>
      </c>
      <c r="E12652" s="12" t="s">
        <v>395</v>
      </c>
      <c r="F12652" s="12" t="s">
        <v>396</v>
      </c>
      <c r="G12652" s="12" t="s">
        <v>29</v>
      </c>
      <c r="H12652" s="11" t="s">
        <v>63</v>
      </c>
      <c r="I12652" s="13" t="s">
        <v>24705</v>
      </c>
      <c r="J12652" s="14" t="str">
        <f>HYPERLINK("https://www.boe.es/gazeta/dias/1839/03/15/pdfs/GMD-1839-1581.pdf#page=1","Abrir facsímil")</f>
        <v>Abrir facsímil</v>
      </c>
      <c r="K12652" s="12" t="s">
        <v>65</v>
      </c>
    </row>
    <row r="12653" spans="1:11" ht="40.049999999999997" customHeight="1" x14ac:dyDescent="0.25">
      <c r="A12653" s="11" t="s">
        <v>24706</v>
      </c>
      <c r="B12653" s="11" t="s">
        <v>24706</v>
      </c>
      <c r="C12653" s="11" t="s">
        <v>17</v>
      </c>
      <c r="D12653" s="11" t="s">
        <v>18</v>
      </c>
      <c r="E12653" s="12" t="s">
        <v>677</v>
      </c>
      <c r="F12653" s="12" t="s">
        <v>678</v>
      </c>
      <c r="G12653" s="12" t="s">
        <v>40</v>
      </c>
      <c r="H12653" s="11" t="s">
        <v>63</v>
      </c>
      <c r="I12653" s="13" t="s">
        <v>24707</v>
      </c>
      <c r="J12653" s="14" t="str">
        <f>HYPERLINK("https://www.boe.es/gazeta/dias/1839/04/28/pdfs/GMD-1839-1625.pdf#page=2","Abrir facsímil")</f>
        <v>Abrir facsímil</v>
      </c>
      <c r="K12653" s="12" t="s">
        <v>65</v>
      </c>
    </row>
    <row r="12654" spans="1:11" ht="40.049999999999997" customHeight="1" x14ac:dyDescent="0.25">
      <c r="A12654" s="11" t="s">
        <v>24708</v>
      </c>
      <c r="B12654" s="11" t="s">
        <v>24708</v>
      </c>
      <c r="C12654" s="11" t="s">
        <v>101</v>
      </c>
      <c r="D12654" s="11" t="s">
        <v>43</v>
      </c>
      <c r="E12654" s="12" t="s">
        <v>448</v>
      </c>
      <c r="F12654" s="12" t="s">
        <v>449</v>
      </c>
      <c r="G12654" s="12" t="s">
        <v>40</v>
      </c>
      <c r="H12654" s="11" t="s">
        <v>63</v>
      </c>
      <c r="I12654" s="13" t="s">
        <v>24709</v>
      </c>
      <c r="J12654" s="14" t="str">
        <f>HYPERLINK("https://www.boe.es/gazeta/dias/1839/02/06/pdfs/GMD-1839-1544.pdf#page=2","Abrir facsímil")</f>
        <v>Abrir facsímil</v>
      </c>
      <c r="K12654" s="12" t="s">
        <v>65</v>
      </c>
    </row>
    <row r="12655" spans="1:11" ht="40.049999999999997" customHeight="1" x14ac:dyDescent="0.25">
      <c r="A12655" s="11" t="s">
        <v>24710</v>
      </c>
      <c r="B12655" s="11" t="s">
        <v>24710</v>
      </c>
      <c r="C12655" s="11" t="s">
        <v>59</v>
      </c>
      <c r="D12655" s="11" t="s">
        <v>60</v>
      </c>
      <c r="E12655" s="12" t="s">
        <v>479</v>
      </c>
      <c r="F12655" s="12" t="s">
        <v>480</v>
      </c>
      <c r="G12655" s="12" t="s">
        <v>40</v>
      </c>
      <c r="H12655" s="11" t="s">
        <v>63</v>
      </c>
      <c r="I12655" s="13" t="s">
        <v>24711</v>
      </c>
      <c r="J12655" s="14" t="str">
        <f>HYPERLINK("https://www.boe.es/gazeta/dias/1839/06/24/pdfs/GMD-1839-1682.pdf#page=2","Abrir facsímil")</f>
        <v>Abrir facsímil</v>
      </c>
      <c r="K12655" s="12" t="s">
        <v>65</v>
      </c>
    </row>
    <row r="12656" spans="1:11" ht="40.049999999999997" customHeight="1" x14ac:dyDescent="0.25">
      <c r="A12656" s="11" t="s">
        <v>24712</v>
      </c>
      <c r="B12656" s="11" t="s">
        <v>24712</v>
      </c>
      <c r="C12656" s="11" t="s">
        <v>80</v>
      </c>
      <c r="D12656" s="11" t="s">
        <v>18</v>
      </c>
      <c r="E12656" s="12" t="s">
        <v>1528</v>
      </c>
      <c r="F12656" s="12" t="s">
        <v>1529</v>
      </c>
      <c r="G12656" s="12" t="s">
        <v>21</v>
      </c>
      <c r="H12656" s="11" t="s">
        <v>63</v>
      </c>
      <c r="I12656" s="13" t="s">
        <v>24713</v>
      </c>
      <c r="J12656" s="14" t="str">
        <f>HYPERLINK("https://www.boe.es/gazeta/dias/1839/12/15/pdfs/GMD-1839-1862.pdf#page=4","Abrir facsímil")</f>
        <v>Abrir facsímil</v>
      </c>
      <c r="K12656" s="12" t="s">
        <v>65</v>
      </c>
    </row>
    <row r="12657" spans="1:11" ht="40.049999999999997" customHeight="1" x14ac:dyDescent="0.25">
      <c r="A12657" s="11" t="s">
        <v>24714</v>
      </c>
      <c r="B12657" s="11" t="s">
        <v>24714</v>
      </c>
      <c r="C12657" s="11" t="s">
        <v>80</v>
      </c>
      <c r="D12657" s="11" t="s">
        <v>18</v>
      </c>
      <c r="E12657" s="12" t="s">
        <v>713</v>
      </c>
      <c r="F12657" s="12" t="s">
        <v>714</v>
      </c>
      <c r="G12657" s="12" t="s">
        <v>40</v>
      </c>
      <c r="H12657" s="11" t="s">
        <v>63</v>
      </c>
      <c r="I12657" s="13" t="s">
        <v>24715</v>
      </c>
      <c r="J12657" s="14" t="str">
        <f>HYPERLINK("https://www.boe.es/gazeta/dias/1839/12/18/pdfs/GMD-1839-1865.pdf#page=2","Abrir facsímil")</f>
        <v>Abrir facsímil</v>
      </c>
      <c r="K12657" s="12" t="s">
        <v>65</v>
      </c>
    </row>
    <row r="12658" spans="1:11" ht="40.049999999999997" customHeight="1" x14ac:dyDescent="0.25">
      <c r="A12658" s="11" t="s">
        <v>24716</v>
      </c>
      <c r="B12658" s="11" t="s">
        <v>24717</v>
      </c>
      <c r="C12658" s="11" t="s">
        <v>101</v>
      </c>
      <c r="D12658" s="11" t="s">
        <v>43</v>
      </c>
      <c r="E12658" s="12" t="s">
        <v>1623</v>
      </c>
      <c r="F12658" s="12" t="s">
        <v>1624</v>
      </c>
      <c r="G12658" s="12" t="s">
        <v>40</v>
      </c>
      <c r="H12658" s="11" t="s">
        <v>63</v>
      </c>
      <c r="I12658" s="13" t="s">
        <v>24718</v>
      </c>
      <c r="J12658" s="14" t="str">
        <f>HYPERLINK("https://www.boe.es/gazeta/dias/1839/04/07/pdfs/GMD-1839-1604.pdf#page=2","Abrir facsímil")</f>
        <v>Abrir facsímil</v>
      </c>
      <c r="K12658" s="12" t="s">
        <v>65</v>
      </c>
    </row>
    <row r="12659" spans="1:11" ht="40.049999999999997" customHeight="1" x14ac:dyDescent="0.25">
      <c r="A12659" s="11" t="s">
        <v>24719</v>
      </c>
      <c r="B12659" s="11" t="s">
        <v>24720</v>
      </c>
      <c r="C12659" s="11" t="s">
        <v>17</v>
      </c>
      <c r="D12659" s="11" t="s">
        <v>18</v>
      </c>
      <c r="E12659" s="12" t="s">
        <v>883</v>
      </c>
      <c r="F12659" s="12" t="s">
        <v>884</v>
      </c>
      <c r="G12659" s="12" t="s">
        <v>46</v>
      </c>
      <c r="H12659" s="11" t="s">
        <v>63</v>
      </c>
      <c r="I12659" s="13" t="s">
        <v>24721</v>
      </c>
      <c r="J12659" s="14" t="str">
        <f>HYPERLINK("https://www.boe.es/gazeta/dias/1839/11/03/pdfs/GMD-1839-1820.pdf#page=3","Abrir facsímil")</f>
        <v>Abrir facsímil</v>
      </c>
      <c r="K12659" s="12" t="s">
        <v>65</v>
      </c>
    </row>
    <row r="12660" spans="1:11" ht="40.049999999999997" customHeight="1" x14ac:dyDescent="0.25">
      <c r="A12660" s="11" t="s">
        <v>24719</v>
      </c>
      <c r="B12660" s="11" t="s">
        <v>24720</v>
      </c>
      <c r="C12660" s="11" t="s">
        <v>17</v>
      </c>
      <c r="D12660" s="11" t="s">
        <v>18</v>
      </c>
      <c r="E12660" s="12" t="s">
        <v>2270</v>
      </c>
      <c r="F12660" s="12" t="s">
        <v>2271</v>
      </c>
      <c r="G12660" s="12" t="s">
        <v>29</v>
      </c>
      <c r="H12660" s="11" t="s">
        <v>63</v>
      </c>
      <c r="I12660" s="13" t="s">
        <v>24722</v>
      </c>
      <c r="J12660" s="14" t="str">
        <f>HYPERLINK("https://www.boe.es/gazeta/dias/1839/06/13/pdfs/GMD-1839-1671.pdf#page=1","Abrir facsímil")</f>
        <v>Abrir facsímil</v>
      </c>
      <c r="K12660" s="12" t="s">
        <v>65</v>
      </c>
    </row>
    <row r="12661" spans="1:11" ht="40.049999999999997" customHeight="1" x14ac:dyDescent="0.25">
      <c r="A12661" s="11" t="s">
        <v>24723</v>
      </c>
      <c r="B12661" s="11" t="s">
        <v>24723</v>
      </c>
      <c r="C12661" s="11" t="s">
        <v>59</v>
      </c>
      <c r="D12661" s="11" t="s">
        <v>60</v>
      </c>
      <c r="E12661" s="12" t="s">
        <v>1588</v>
      </c>
      <c r="F12661" s="12" t="s">
        <v>1589</v>
      </c>
      <c r="G12661" s="12" t="s">
        <v>29</v>
      </c>
      <c r="H12661" s="11" t="s">
        <v>63</v>
      </c>
      <c r="I12661" s="13" t="s">
        <v>24724</v>
      </c>
      <c r="J12661" s="14" t="str">
        <f>HYPERLINK("https://www.boe.es/gazeta/dias/1839/07/27/pdfs/GMD-1839-1716.pdf#page=1","Abrir facsímil")</f>
        <v>Abrir facsímil</v>
      </c>
      <c r="K12661" s="12" t="s">
        <v>65</v>
      </c>
    </row>
    <row r="12662" spans="1:11" ht="40.049999999999997" customHeight="1" x14ac:dyDescent="0.25">
      <c r="A12662" s="11" t="s">
        <v>24725</v>
      </c>
      <c r="B12662" s="11" t="s">
        <v>24726</v>
      </c>
      <c r="C12662" s="11" t="s">
        <v>17</v>
      </c>
      <c r="D12662" s="11" t="s">
        <v>18</v>
      </c>
      <c r="E12662" s="12" t="s">
        <v>5806</v>
      </c>
      <c r="F12662" s="12" t="s">
        <v>5807</v>
      </c>
      <c r="G12662" s="12" t="s">
        <v>40</v>
      </c>
      <c r="H12662" s="11" t="s">
        <v>63</v>
      </c>
      <c r="I12662" s="13" t="s">
        <v>24727</v>
      </c>
      <c r="J12662" s="14" t="str">
        <f>HYPERLINK("https://www.boe.es/gazeta/dias/1839/02/16/pdfs/GMD-1839-1554.pdf#page=2","Abrir facsímil")</f>
        <v>Abrir facsímil</v>
      </c>
      <c r="K12662" s="12" t="s">
        <v>65</v>
      </c>
    </row>
    <row r="12663" spans="1:11" ht="40.049999999999997" customHeight="1" x14ac:dyDescent="0.25">
      <c r="A12663" s="11" t="s">
        <v>24728</v>
      </c>
      <c r="B12663" s="11" t="s">
        <v>24729</v>
      </c>
      <c r="C12663" s="11" t="s">
        <v>17</v>
      </c>
      <c r="D12663" s="11" t="s">
        <v>18</v>
      </c>
      <c r="E12663" s="12" t="s">
        <v>5806</v>
      </c>
      <c r="F12663" s="12" t="s">
        <v>5807</v>
      </c>
      <c r="G12663" s="12" t="s">
        <v>40</v>
      </c>
      <c r="H12663" s="11" t="s">
        <v>63</v>
      </c>
      <c r="I12663" s="13" t="s">
        <v>24730</v>
      </c>
      <c r="J12663" s="14" t="str">
        <f>HYPERLINK("https://www.boe.es/gazeta/dias/1839/02/16/pdfs/GMD-1839-1554.pdf#page=2","Abrir facsímil")</f>
        <v>Abrir facsímil</v>
      </c>
      <c r="K12663" s="12" t="s">
        <v>65</v>
      </c>
    </row>
    <row r="12664" spans="1:11" ht="40.049999999999997" customHeight="1" x14ac:dyDescent="0.25">
      <c r="A12664" s="11" t="s">
        <v>24731</v>
      </c>
      <c r="B12664" s="11" t="s">
        <v>24732</v>
      </c>
      <c r="C12664" s="11" t="s">
        <v>17</v>
      </c>
      <c r="D12664" s="11" t="s">
        <v>18</v>
      </c>
      <c r="E12664" s="12" t="s">
        <v>3289</v>
      </c>
      <c r="F12664" s="12" t="s">
        <v>3290</v>
      </c>
      <c r="G12664" s="12" t="s">
        <v>40</v>
      </c>
      <c r="H12664" s="11" t="s">
        <v>22</v>
      </c>
      <c r="I12664" s="13" t="s">
        <v>24733</v>
      </c>
      <c r="J12664" s="14" t="str">
        <f>HYPERLINK("https://www.boe.es/gazeta/dias/1839/12/10/pdfs/GMD-1839-1857.pdf#page=2","Abrir facsímil")</f>
        <v>Abrir facsímil</v>
      </c>
      <c r="K12664" s="12" t="s">
        <v>24</v>
      </c>
    </row>
    <row r="12665" spans="1:11" ht="40.049999999999997" customHeight="1" x14ac:dyDescent="0.25">
      <c r="A12665" s="11" t="s">
        <v>24734</v>
      </c>
      <c r="B12665" s="11" t="s">
        <v>24735</v>
      </c>
      <c r="C12665" s="11" t="s">
        <v>59</v>
      </c>
      <c r="D12665" s="11" t="s">
        <v>60</v>
      </c>
      <c r="E12665" s="12" t="s">
        <v>1517</v>
      </c>
      <c r="F12665" s="12" t="s">
        <v>1518</v>
      </c>
      <c r="G12665" s="12" t="s">
        <v>40</v>
      </c>
      <c r="H12665" s="11" t="s">
        <v>22</v>
      </c>
      <c r="I12665" s="13" t="s">
        <v>24736</v>
      </c>
      <c r="J12665" s="14" t="str">
        <f>HYPERLINK("https://www.boe.es/gazeta/dias/1839/12/20/pdfs/GMD-1839-1867.pdf#page=2","Abrir facsímil")</f>
        <v>Abrir facsímil</v>
      </c>
      <c r="K12665" s="12" t="s">
        <v>24</v>
      </c>
    </row>
    <row r="12666" spans="1:11" ht="40.049999999999997" customHeight="1" x14ac:dyDescent="0.25">
      <c r="A12666" s="11" t="s">
        <v>24737</v>
      </c>
      <c r="B12666" s="11" t="s">
        <v>24738</v>
      </c>
      <c r="C12666" s="11" t="s">
        <v>59</v>
      </c>
      <c r="D12666" s="11" t="s">
        <v>60</v>
      </c>
      <c r="E12666" s="12" t="s">
        <v>202</v>
      </c>
      <c r="F12666" s="12" t="s">
        <v>203</v>
      </c>
      <c r="G12666" s="12" t="s">
        <v>46</v>
      </c>
      <c r="H12666" s="11" t="s">
        <v>63</v>
      </c>
      <c r="I12666" s="13" t="s">
        <v>24739</v>
      </c>
      <c r="J12666" s="14" t="str">
        <f>HYPERLINK("https://www.boe.es/gazeta/dias/1839/04/05/pdfs/GMD-1839-1602.pdf#page=3","Abrir facsímil")</f>
        <v>Abrir facsímil</v>
      </c>
      <c r="K12666" s="12" t="s">
        <v>65</v>
      </c>
    </row>
    <row r="12667" spans="1:11" ht="40.049999999999997" customHeight="1" x14ac:dyDescent="0.25">
      <c r="A12667" s="11" t="s">
        <v>24740</v>
      </c>
      <c r="B12667" s="11" t="s">
        <v>24740</v>
      </c>
      <c r="C12667" s="11" t="s">
        <v>101</v>
      </c>
      <c r="D12667" s="11" t="s">
        <v>102</v>
      </c>
      <c r="E12667" s="12" t="s">
        <v>804</v>
      </c>
      <c r="F12667" s="12" t="s">
        <v>805</v>
      </c>
      <c r="G12667" s="12" t="s">
        <v>29</v>
      </c>
      <c r="H12667" s="11" t="s">
        <v>22</v>
      </c>
      <c r="I12667" s="13" t="s">
        <v>24741</v>
      </c>
      <c r="J12667" s="14" t="str">
        <f>HYPERLINK("https://www.boe.es/gazeta/dias/1839/01/08/pdfs/GMD-1839-1515.pdf#page=1","Abrir facsímil")</f>
        <v>Abrir facsímil</v>
      </c>
      <c r="K12667" s="12" t="s">
        <v>24</v>
      </c>
    </row>
    <row r="12668" spans="1:11" ht="40.049999999999997" customHeight="1" x14ac:dyDescent="0.25">
      <c r="A12668" s="11" t="s">
        <v>24742</v>
      </c>
      <c r="B12668" s="11" t="s">
        <v>24742</v>
      </c>
      <c r="C12668" s="11" t="s">
        <v>80</v>
      </c>
      <c r="D12668" s="11" t="s">
        <v>18</v>
      </c>
      <c r="E12668" s="12" t="s">
        <v>4108</v>
      </c>
      <c r="F12668" s="12" t="s">
        <v>4109</v>
      </c>
      <c r="G12668" s="12" t="s">
        <v>46</v>
      </c>
      <c r="H12668" s="11" t="s">
        <v>63</v>
      </c>
      <c r="I12668" s="13" t="s">
        <v>24743</v>
      </c>
      <c r="J12668" s="14" t="str">
        <f>HYPERLINK("https://www.boe.es/gazeta/dias/1839/03/23/pdfs/GMD-1839-1589.pdf#page=3","Abrir facsímil")</f>
        <v>Abrir facsímil</v>
      </c>
      <c r="K12668" s="12" t="s">
        <v>65</v>
      </c>
    </row>
    <row r="12669" spans="1:11" ht="40.049999999999997" customHeight="1" x14ac:dyDescent="0.25">
      <c r="A12669" s="11" t="s">
        <v>24744</v>
      </c>
      <c r="B12669" s="11" t="s">
        <v>24745</v>
      </c>
      <c r="C12669" s="11" t="s">
        <v>137</v>
      </c>
      <c r="D12669" s="11" t="s">
        <v>18</v>
      </c>
      <c r="E12669" s="12" t="s">
        <v>1012</v>
      </c>
      <c r="F12669" s="12" t="s">
        <v>1013</v>
      </c>
      <c r="G12669" s="12" t="s">
        <v>46</v>
      </c>
      <c r="H12669" s="11" t="s">
        <v>63</v>
      </c>
      <c r="I12669" s="13" t="s">
        <v>24746</v>
      </c>
      <c r="J12669" s="14" t="str">
        <f>HYPERLINK("https://www.boe.es/gazeta/dias/1839/11/22/pdfs/GMD-1839-1839.pdf#page=3","Abrir facsímil")</f>
        <v>Abrir facsímil</v>
      </c>
      <c r="K12669" s="12" t="s">
        <v>65</v>
      </c>
    </row>
    <row r="12670" spans="1:11" ht="40.049999999999997" customHeight="1" x14ac:dyDescent="0.25">
      <c r="A12670" s="11" t="s">
        <v>24747</v>
      </c>
      <c r="B12670" s="11" t="s">
        <v>24748</v>
      </c>
      <c r="C12670" s="11" t="s">
        <v>80</v>
      </c>
      <c r="D12670" s="11" t="s">
        <v>18</v>
      </c>
      <c r="E12670" s="12" t="s">
        <v>998</v>
      </c>
      <c r="F12670" s="12" t="s">
        <v>999</v>
      </c>
      <c r="G12670" s="12" t="s">
        <v>21</v>
      </c>
      <c r="H12670" s="11" t="s">
        <v>22</v>
      </c>
      <c r="I12670" s="13" t="s">
        <v>24749</v>
      </c>
      <c r="J12670" s="14" t="str">
        <f>HYPERLINK("https://www.boe.es/gazeta/dias/1839/05/06/pdfs/GMD-1839-1633.pdf#page=4","Abrir facsímil")</f>
        <v>Abrir facsímil</v>
      </c>
      <c r="K12670" s="12" t="s">
        <v>24</v>
      </c>
    </row>
    <row r="12671" spans="1:11" ht="40.049999999999997" customHeight="1" x14ac:dyDescent="0.25">
      <c r="A12671" s="11" t="s">
        <v>24750</v>
      </c>
      <c r="B12671" s="11" t="s">
        <v>24751</v>
      </c>
      <c r="C12671" s="11" t="s">
        <v>80</v>
      </c>
      <c r="D12671" s="11" t="s">
        <v>18</v>
      </c>
      <c r="E12671" s="12" t="s">
        <v>116</v>
      </c>
      <c r="F12671" s="12" t="s">
        <v>117</v>
      </c>
      <c r="G12671" s="12" t="s">
        <v>21</v>
      </c>
      <c r="H12671" s="11" t="s">
        <v>22</v>
      </c>
      <c r="I12671" s="13" t="s">
        <v>24752</v>
      </c>
      <c r="J12671" s="14" t="str">
        <f>HYPERLINK("https://www.boe.es/gazeta/dias/1839/10/10/pdfs/GMD-1839-1796.pdf#page=4","Abrir facsímil")</f>
        <v>Abrir facsímil</v>
      </c>
      <c r="K12671" s="12" t="s">
        <v>24</v>
      </c>
    </row>
    <row r="12672" spans="1:11" ht="40.049999999999997" customHeight="1" x14ac:dyDescent="0.25">
      <c r="A12672" s="11" t="s">
        <v>24753</v>
      </c>
      <c r="B12672" s="11" t="s">
        <v>24754</v>
      </c>
      <c r="C12672" s="11" t="s">
        <v>17</v>
      </c>
      <c r="D12672" s="11" t="s">
        <v>18</v>
      </c>
      <c r="E12672" s="12" t="s">
        <v>756</v>
      </c>
      <c r="F12672" s="12" t="s">
        <v>757</v>
      </c>
      <c r="G12672" s="12" t="s">
        <v>21</v>
      </c>
      <c r="H12672" s="11" t="s">
        <v>63</v>
      </c>
      <c r="I12672" s="13" t="s">
        <v>24755</v>
      </c>
      <c r="J12672" s="14" t="str">
        <f>HYPERLINK("https://www.boe.es/gazeta/dias/1839/12/17/pdfs/GMD-1839-1864.pdf#page=4","Abrir facsímil")</f>
        <v>Abrir facsímil</v>
      </c>
      <c r="K12672" s="12" t="s">
        <v>65</v>
      </c>
    </row>
    <row r="12673" spans="1:11" ht="40.049999999999997" customHeight="1" x14ac:dyDescent="0.25">
      <c r="A12673" s="11" t="s">
        <v>24756</v>
      </c>
      <c r="B12673" s="11" t="s">
        <v>24757</v>
      </c>
      <c r="C12673" s="11" t="s">
        <v>137</v>
      </c>
      <c r="D12673" s="11" t="s">
        <v>18</v>
      </c>
      <c r="E12673" s="12" t="s">
        <v>1086</v>
      </c>
      <c r="F12673" s="12" t="s">
        <v>1087</v>
      </c>
      <c r="G12673" s="12" t="s">
        <v>40</v>
      </c>
      <c r="H12673" s="11" t="s">
        <v>63</v>
      </c>
      <c r="I12673" s="13" t="s">
        <v>24758</v>
      </c>
      <c r="J12673" s="14" t="str">
        <f>HYPERLINK("https://www.boe.es/gazeta/dias/1839/10/26/pdfs/GMD-1839-1812.pdf#page=2","Abrir facsímil")</f>
        <v>Abrir facsímil</v>
      </c>
      <c r="K12673" s="12" t="s">
        <v>65</v>
      </c>
    </row>
    <row r="12674" spans="1:11" ht="40.049999999999997" customHeight="1" x14ac:dyDescent="0.25">
      <c r="A12674" s="11" t="s">
        <v>24759</v>
      </c>
      <c r="B12674" s="11" t="s">
        <v>24760</v>
      </c>
      <c r="C12674" s="11" t="s">
        <v>17</v>
      </c>
      <c r="D12674" s="11" t="s">
        <v>18</v>
      </c>
      <c r="E12674" s="12" t="s">
        <v>360</v>
      </c>
      <c r="F12674" s="12" t="s">
        <v>361</v>
      </c>
      <c r="G12674" s="12" t="s">
        <v>21</v>
      </c>
      <c r="H12674" s="11" t="s">
        <v>63</v>
      </c>
      <c r="I12674" s="13" t="s">
        <v>24761</v>
      </c>
      <c r="J12674" s="14" t="str">
        <f>HYPERLINK("https://www.boe.es/gazeta/dias/1839/08/22/pdfs/GMD-1839-1743.pdf#page=4","Abrir facsímil")</f>
        <v>Abrir facsímil</v>
      </c>
      <c r="K12674" s="12" t="s">
        <v>65</v>
      </c>
    </row>
    <row r="12675" spans="1:11" ht="40.049999999999997" customHeight="1" x14ac:dyDescent="0.25">
      <c r="A12675" s="11" t="s">
        <v>24762</v>
      </c>
      <c r="B12675" s="11" t="s">
        <v>24763</v>
      </c>
      <c r="C12675" s="11" t="s">
        <v>17</v>
      </c>
      <c r="D12675" s="11" t="s">
        <v>18</v>
      </c>
      <c r="E12675" s="12" t="s">
        <v>643</v>
      </c>
      <c r="F12675" s="12" t="s">
        <v>644</v>
      </c>
      <c r="G12675" s="12" t="s">
        <v>29</v>
      </c>
      <c r="H12675" s="11" t="s">
        <v>22</v>
      </c>
      <c r="I12675" s="13" t="s">
        <v>24764</v>
      </c>
      <c r="J12675" s="14" t="str">
        <f>HYPERLINK("https://www.boe.es/gazeta/dias/1839/03/20/pdfs/GMD-1839-1586.pdf#page=1","Abrir facsímil")</f>
        <v>Abrir facsímil</v>
      </c>
      <c r="K12675" s="12" t="s">
        <v>24</v>
      </c>
    </row>
    <row r="12676" spans="1:11" ht="40.049999999999997" customHeight="1" x14ac:dyDescent="0.25">
      <c r="A12676" s="11" t="s">
        <v>24762</v>
      </c>
      <c r="B12676" s="11" t="s">
        <v>24763</v>
      </c>
      <c r="C12676" s="11" t="s">
        <v>59</v>
      </c>
      <c r="D12676" s="11" t="s">
        <v>60</v>
      </c>
      <c r="E12676" s="12" t="s">
        <v>668</v>
      </c>
      <c r="F12676" s="12" t="s">
        <v>669</v>
      </c>
      <c r="G12676" s="12" t="s">
        <v>29</v>
      </c>
      <c r="H12676" s="11" t="s">
        <v>22</v>
      </c>
      <c r="I12676" s="13" t="s">
        <v>24765</v>
      </c>
      <c r="J12676" s="14" t="str">
        <f>HYPERLINK("https://www.boe.es/gazeta/dias/1839/03/28/pdfs/GMD-1839-1594.pdf#page=1","Abrir facsímil")</f>
        <v>Abrir facsímil</v>
      </c>
      <c r="K12676" s="12" t="s">
        <v>24</v>
      </c>
    </row>
    <row r="12677" spans="1:11" ht="40.049999999999997" customHeight="1" x14ac:dyDescent="0.25">
      <c r="A12677" s="11" t="s">
        <v>24766</v>
      </c>
      <c r="B12677" s="11" t="s">
        <v>24766</v>
      </c>
      <c r="C12677" s="11" t="s">
        <v>101</v>
      </c>
      <c r="D12677" s="11" t="s">
        <v>102</v>
      </c>
      <c r="E12677" s="12" t="s">
        <v>1366</v>
      </c>
      <c r="F12677" s="12" t="s">
        <v>1367</v>
      </c>
      <c r="G12677" s="12" t="s">
        <v>29</v>
      </c>
      <c r="H12677" s="11" t="s">
        <v>63</v>
      </c>
      <c r="I12677" s="13" t="s">
        <v>24767</v>
      </c>
      <c r="J12677" s="14" t="str">
        <f>HYPERLINK("https://www.boe.es/gazeta/dias/1839/09/09/pdfs/GMD-1839-1762.pdf#page=1","Abrir facsímil")</f>
        <v>Abrir facsímil</v>
      </c>
      <c r="K12677" s="12" t="s">
        <v>65</v>
      </c>
    </row>
    <row r="12678" spans="1:11" ht="40.049999999999997" customHeight="1" x14ac:dyDescent="0.25">
      <c r="A12678" s="11" t="s">
        <v>24768</v>
      </c>
      <c r="B12678" s="11" t="s">
        <v>24768</v>
      </c>
      <c r="C12678" s="11" t="s">
        <v>101</v>
      </c>
      <c r="D12678" s="11" t="s">
        <v>102</v>
      </c>
      <c r="E12678" s="12" t="s">
        <v>2253</v>
      </c>
      <c r="F12678" s="12" t="s">
        <v>2254</v>
      </c>
      <c r="G12678" s="12" t="s">
        <v>29</v>
      </c>
      <c r="H12678" s="11" t="s">
        <v>63</v>
      </c>
      <c r="I12678" s="13" t="s">
        <v>24769</v>
      </c>
      <c r="J12678" s="14" t="str">
        <f>HYPERLINK("https://www.boe.es/gazeta/dias/1839/02/20/pdfs/GMD-1839-1558.pdf#page=1","Abrir facsímil")</f>
        <v>Abrir facsímil</v>
      </c>
      <c r="K12678" s="12" t="s">
        <v>65</v>
      </c>
    </row>
    <row r="12679" spans="1:11" ht="40.049999999999997" customHeight="1" x14ac:dyDescent="0.25">
      <c r="A12679" s="11" t="s">
        <v>24770</v>
      </c>
      <c r="B12679" s="11" t="s">
        <v>24770</v>
      </c>
      <c r="C12679" s="11" t="s">
        <v>17</v>
      </c>
      <c r="D12679" s="11" t="s">
        <v>18</v>
      </c>
      <c r="E12679" s="12" t="s">
        <v>4292</v>
      </c>
      <c r="F12679" s="12" t="s">
        <v>4293</v>
      </c>
      <c r="G12679" s="12" t="s">
        <v>21</v>
      </c>
      <c r="H12679" s="11" t="s">
        <v>63</v>
      </c>
      <c r="I12679" s="13" t="s">
        <v>24771</v>
      </c>
      <c r="J12679" s="14" t="str">
        <f>HYPERLINK("https://www.boe.es/gazeta/dias/1839/11/29/pdfs/GMD-1839-1846.pdf#page=4","Abrir facsímil")</f>
        <v>Abrir facsímil</v>
      </c>
      <c r="K12679" s="12" t="s">
        <v>65</v>
      </c>
    </row>
    <row r="12680" spans="1:11" ht="40.049999999999997" customHeight="1" x14ac:dyDescent="0.25">
      <c r="A12680" s="11" t="s">
        <v>24772</v>
      </c>
      <c r="B12680" s="11" t="s">
        <v>24773</v>
      </c>
      <c r="C12680" s="11" t="s">
        <v>17</v>
      </c>
      <c r="D12680" s="11" t="s">
        <v>18</v>
      </c>
      <c r="E12680" s="12" t="s">
        <v>336</v>
      </c>
      <c r="F12680" s="12" t="s">
        <v>337</v>
      </c>
      <c r="G12680" s="12" t="s">
        <v>40</v>
      </c>
      <c r="H12680" s="11" t="s">
        <v>63</v>
      </c>
      <c r="I12680" s="13" t="s">
        <v>24774</v>
      </c>
      <c r="J12680" s="14" t="str">
        <f>HYPERLINK("https://www.boe.es/gazeta/dias/1839/07/14/pdfs/GMD-1839-1702.pdf#page=2","Abrir facsímil")</f>
        <v>Abrir facsímil</v>
      </c>
      <c r="K12680" s="12" t="s">
        <v>65</v>
      </c>
    </row>
    <row r="12681" spans="1:11" ht="40.049999999999997" customHeight="1" x14ac:dyDescent="0.25">
      <c r="A12681" s="11" t="s">
        <v>24775</v>
      </c>
      <c r="B12681" s="11" t="s">
        <v>24775</v>
      </c>
      <c r="C12681" s="11" t="s">
        <v>17</v>
      </c>
      <c r="D12681" s="11" t="s">
        <v>18</v>
      </c>
      <c r="E12681" s="12" t="s">
        <v>548</v>
      </c>
      <c r="F12681" s="12" t="s">
        <v>549</v>
      </c>
      <c r="G12681" s="12" t="s">
        <v>40</v>
      </c>
      <c r="H12681" s="11" t="s">
        <v>63</v>
      </c>
      <c r="I12681" s="13" t="s">
        <v>24776</v>
      </c>
      <c r="J12681" s="14" t="str">
        <f>HYPERLINK("https://www.boe.es/gazeta/dias/1839/06/06/pdfs/GMD-1839-1664.pdf#page=2","Abrir facsímil")</f>
        <v>Abrir facsímil</v>
      </c>
      <c r="K12681" s="12" t="s">
        <v>65</v>
      </c>
    </row>
    <row r="12682" spans="1:11" ht="40.049999999999997" customHeight="1" x14ac:dyDescent="0.25">
      <c r="A12682" s="11" t="s">
        <v>24777</v>
      </c>
      <c r="B12682" s="11" t="s">
        <v>24777</v>
      </c>
      <c r="C12682" s="11" t="s">
        <v>137</v>
      </c>
      <c r="D12682" s="11" t="s">
        <v>18</v>
      </c>
      <c r="E12682" s="12" t="s">
        <v>1867</v>
      </c>
      <c r="F12682" s="12" t="s">
        <v>1868</v>
      </c>
      <c r="G12682" s="12" t="s">
        <v>40</v>
      </c>
      <c r="H12682" s="11" t="s">
        <v>63</v>
      </c>
      <c r="I12682" s="13" t="s">
        <v>24778</v>
      </c>
      <c r="J12682" s="14" t="str">
        <f>HYPERLINK("https://www.boe.es/gazeta/dias/1839/01/30/pdfs/GMD-1839-1537.pdf#page=2","Abrir facsímil")</f>
        <v>Abrir facsímil</v>
      </c>
      <c r="K12682" s="12" t="s">
        <v>65</v>
      </c>
    </row>
    <row r="12683" spans="1:11" ht="40.049999999999997" customHeight="1" x14ac:dyDescent="0.25">
      <c r="A12683" s="11" t="s">
        <v>24779</v>
      </c>
      <c r="B12683" s="11" t="s">
        <v>24779</v>
      </c>
      <c r="C12683" s="11" t="s">
        <v>17</v>
      </c>
      <c r="D12683" s="11" t="s">
        <v>18</v>
      </c>
      <c r="E12683" s="12" t="s">
        <v>148</v>
      </c>
      <c r="F12683" s="12" t="s">
        <v>149</v>
      </c>
      <c r="G12683" s="12" t="s">
        <v>40</v>
      </c>
      <c r="H12683" s="11" t="s">
        <v>63</v>
      </c>
      <c r="I12683" s="13" t="s">
        <v>24780</v>
      </c>
      <c r="J12683" s="14" t="str">
        <f>HYPERLINK("https://www.boe.es/gazeta/dias/1839/07/16/pdfs/GMD-1839-1704.pdf#page=2","Abrir facsímil")</f>
        <v>Abrir facsímil</v>
      </c>
      <c r="K12683" s="12" t="s">
        <v>65</v>
      </c>
    </row>
    <row r="12684" spans="1:11" ht="40.049999999999997" customHeight="1" x14ac:dyDescent="0.25">
      <c r="A12684" s="11" t="s">
        <v>24781</v>
      </c>
      <c r="B12684" s="11" t="s">
        <v>24781</v>
      </c>
      <c r="C12684" s="11" t="s">
        <v>80</v>
      </c>
      <c r="D12684" s="11" t="s">
        <v>18</v>
      </c>
      <c r="E12684" s="12" t="s">
        <v>111</v>
      </c>
      <c r="F12684" s="12" t="s">
        <v>112</v>
      </c>
      <c r="G12684" s="12" t="s">
        <v>40</v>
      </c>
      <c r="H12684" s="11" t="s">
        <v>22</v>
      </c>
      <c r="I12684" s="13" t="s">
        <v>24782</v>
      </c>
      <c r="J12684" s="14" t="str">
        <f>HYPERLINK("https://www.boe.es/gazeta/dias/1839/07/25/pdfs/GMD-1839-1714.pdf#page=2","Abrir facsímil")</f>
        <v>Abrir facsímil</v>
      </c>
      <c r="K12684" s="12" t="s">
        <v>24</v>
      </c>
    </row>
    <row r="12685" spans="1:11" ht="40.049999999999997" customHeight="1" x14ac:dyDescent="0.25">
      <c r="A12685" s="11" t="s">
        <v>24783</v>
      </c>
      <c r="B12685" s="11" t="s">
        <v>24784</v>
      </c>
      <c r="C12685" s="11" t="s">
        <v>17</v>
      </c>
      <c r="D12685" s="11" t="s">
        <v>18</v>
      </c>
      <c r="E12685" s="12" t="s">
        <v>111</v>
      </c>
      <c r="F12685" s="12" t="s">
        <v>112</v>
      </c>
      <c r="G12685" s="12" t="s">
        <v>21</v>
      </c>
      <c r="H12685" s="11" t="s">
        <v>63</v>
      </c>
      <c r="I12685" s="13" t="s">
        <v>24785</v>
      </c>
      <c r="J12685" s="14" t="str">
        <f>HYPERLINK("https://www.boe.es/gazeta/dias/1839/07/25/pdfs/GMD-1839-1714.pdf#page=4","Abrir facsímil")</f>
        <v>Abrir facsímil</v>
      </c>
      <c r="K12685" s="12" t="s">
        <v>65</v>
      </c>
    </row>
    <row r="12686" spans="1:11" ht="40.049999999999997" customHeight="1" x14ac:dyDescent="0.25">
      <c r="A12686" s="11" t="s">
        <v>24786</v>
      </c>
      <c r="B12686" s="11" t="s">
        <v>24786</v>
      </c>
      <c r="C12686" s="11" t="s">
        <v>101</v>
      </c>
      <c r="D12686" s="11" t="s">
        <v>43</v>
      </c>
      <c r="E12686" s="12" t="s">
        <v>157</v>
      </c>
      <c r="F12686" s="12" t="s">
        <v>158</v>
      </c>
      <c r="G12686" s="12" t="s">
        <v>46</v>
      </c>
      <c r="H12686" s="11" t="s">
        <v>63</v>
      </c>
      <c r="I12686" s="13" t="s">
        <v>24787</v>
      </c>
      <c r="J12686" s="14" t="str">
        <f>HYPERLINK("https://www.boe.es/gazeta/dias/1839/02/08/pdfs/GMD-1839-1546.pdf#page=3","Abrir facsímil")</f>
        <v>Abrir facsímil</v>
      </c>
      <c r="K12686" s="12" t="s">
        <v>65</v>
      </c>
    </row>
    <row r="12687" spans="1:11" ht="40.049999999999997" customHeight="1" x14ac:dyDescent="0.25">
      <c r="A12687" s="11" t="s">
        <v>24786</v>
      </c>
      <c r="B12687" s="11" t="s">
        <v>24786</v>
      </c>
      <c r="C12687" s="11" t="s">
        <v>101</v>
      </c>
      <c r="D12687" s="11" t="s">
        <v>43</v>
      </c>
      <c r="E12687" s="12" t="s">
        <v>157</v>
      </c>
      <c r="F12687" s="12" t="s">
        <v>158</v>
      </c>
      <c r="G12687" s="12" t="s">
        <v>21</v>
      </c>
      <c r="H12687" s="11" t="s">
        <v>63</v>
      </c>
      <c r="I12687" s="13" t="s">
        <v>24788</v>
      </c>
      <c r="J12687" s="14" t="str">
        <f>HYPERLINK("https://www.boe.es/gazeta/dias/1839/02/08/pdfs/GMD-1839-1546.pdf#page=4","Abrir facsímil")</f>
        <v>Abrir facsímil</v>
      </c>
      <c r="K12687" s="12" t="s">
        <v>65</v>
      </c>
    </row>
    <row r="12688" spans="1:11" ht="40.049999999999997" customHeight="1" x14ac:dyDescent="0.25">
      <c r="A12688" s="11" t="s">
        <v>24786</v>
      </c>
      <c r="B12688" s="11" t="s">
        <v>24786</v>
      </c>
      <c r="C12688" s="11" t="s">
        <v>80</v>
      </c>
      <c r="D12688" s="11" t="s">
        <v>18</v>
      </c>
      <c r="E12688" s="12" t="s">
        <v>160</v>
      </c>
      <c r="F12688" s="12" t="s">
        <v>161</v>
      </c>
      <c r="G12688" s="12" t="s">
        <v>46</v>
      </c>
      <c r="H12688" s="11" t="s">
        <v>63</v>
      </c>
      <c r="I12688" s="13" t="s">
        <v>24789</v>
      </c>
      <c r="J12688" s="14" t="str">
        <f>HYPERLINK("https://www.boe.es/gazeta/dias/1839/01/10/pdfs/GMD-1839-1517.pdf#page=3","Abrir facsímil")</f>
        <v>Abrir facsímil</v>
      </c>
      <c r="K12688" s="12" t="s">
        <v>65</v>
      </c>
    </row>
    <row r="12689" spans="1:11" ht="40.049999999999997" customHeight="1" x14ac:dyDescent="0.25">
      <c r="A12689" s="11" t="s">
        <v>24786</v>
      </c>
      <c r="B12689" s="11" t="s">
        <v>24786</v>
      </c>
      <c r="C12689" s="11" t="s">
        <v>17</v>
      </c>
      <c r="D12689" s="11" t="s">
        <v>18</v>
      </c>
      <c r="E12689" s="12" t="s">
        <v>19</v>
      </c>
      <c r="F12689" s="12" t="s">
        <v>20</v>
      </c>
      <c r="G12689" s="12" t="s">
        <v>46</v>
      </c>
      <c r="H12689" s="11" t="s">
        <v>63</v>
      </c>
      <c r="I12689" s="13" t="s">
        <v>24790</v>
      </c>
      <c r="J12689" s="14" t="str">
        <f>HYPERLINK("https://www.boe.es/gazeta/dias/1839/01/19/pdfs/GMD-1839-1526.pdf#page=3","Abrir facsímil")</f>
        <v>Abrir facsímil</v>
      </c>
      <c r="K12689" s="12" t="s">
        <v>65</v>
      </c>
    </row>
    <row r="12690" spans="1:11" ht="40.049999999999997" customHeight="1" x14ac:dyDescent="0.25">
      <c r="A12690" s="11" t="s">
        <v>24791</v>
      </c>
      <c r="B12690" s="11" t="s">
        <v>24791</v>
      </c>
      <c r="C12690" s="11" t="s">
        <v>101</v>
      </c>
      <c r="D12690" s="11" t="s">
        <v>43</v>
      </c>
      <c r="E12690" s="12" t="s">
        <v>1867</v>
      </c>
      <c r="F12690" s="12" t="s">
        <v>1868</v>
      </c>
      <c r="G12690" s="12" t="s">
        <v>40</v>
      </c>
      <c r="H12690" s="11" t="s">
        <v>22</v>
      </c>
      <c r="I12690" s="13" t="s">
        <v>24792</v>
      </c>
      <c r="J12690" s="14" t="str">
        <f>HYPERLINK("https://www.boe.es/gazeta/dias/1839/01/30/pdfs/GMD-1839-1537.pdf#page=2","Abrir facsímil")</f>
        <v>Abrir facsímil</v>
      </c>
      <c r="K12690" s="12" t="s">
        <v>24</v>
      </c>
    </row>
    <row r="12691" spans="1:11" ht="40.049999999999997" customHeight="1" x14ac:dyDescent="0.25">
      <c r="A12691" s="11" t="s">
        <v>24793</v>
      </c>
      <c r="B12691" s="11" t="s">
        <v>24794</v>
      </c>
      <c r="C12691" s="11" t="s">
        <v>17</v>
      </c>
      <c r="D12691" s="11" t="s">
        <v>18</v>
      </c>
      <c r="E12691" s="12" t="s">
        <v>794</v>
      </c>
      <c r="F12691" s="12" t="s">
        <v>795</v>
      </c>
      <c r="G12691" s="12" t="s">
        <v>46</v>
      </c>
      <c r="H12691" s="11" t="s">
        <v>63</v>
      </c>
      <c r="I12691" s="13" t="s">
        <v>24795</v>
      </c>
      <c r="J12691" s="14" t="str">
        <f>HYPERLINK("https://www.boe.es/gazeta/dias/1839/01/22/pdfs/GMD-1839-1529.pdf#page=3","Abrir facsímil")</f>
        <v>Abrir facsímil</v>
      </c>
      <c r="K12691" s="12" t="s">
        <v>65</v>
      </c>
    </row>
    <row r="12692" spans="1:11" ht="40.049999999999997" customHeight="1" x14ac:dyDescent="0.25">
      <c r="A12692" s="11" t="s">
        <v>24796</v>
      </c>
      <c r="B12692" s="11" t="s">
        <v>24796</v>
      </c>
      <c r="C12692" s="11" t="s">
        <v>17</v>
      </c>
      <c r="D12692" s="11" t="s">
        <v>18</v>
      </c>
      <c r="E12692" s="12" t="s">
        <v>1654</v>
      </c>
      <c r="F12692" s="12" t="s">
        <v>1655</v>
      </c>
      <c r="G12692" s="12" t="s">
        <v>40</v>
      </c>
      <c r="H12692" s="11" t="s">
        <v>63</v>
      </c>
      <c r="I12692" s="13" t="s">
        <v>24797</v>
      </c>
      <c r="J12692" s="14" t="str">
        <f>HYPERLINK("https://www.boe.es/gazeta/dias/1839/11/19/pdfs/GMD-1839-1836.pdf#page=2","Abrir facsímil")</f>
        <v>Abrir facsímil</v>
      </c>
      <c r="K12692" s="12" t="s">
        <v>65</v>
      </c>
    </row>
    <row r="12693" spans="1:11" ht="40.049999999999997" customHeight="1" x14ac:dyDescent="0.25">
      <c r="A12693" s="11" t="s">
        <v>24798</v>
      </c>
      <c r="B12693" s="11" t="s">
        <v>24798</v>
      </c>
      <c r="C12693" s="11" t="s">
        <v>17</v>
      </c>
      <c r="D12693" s="11" t="s">
        <v>18</v>
      </c>
      <c r="E12693" s="12" t="s">
        <v>3134</v>
      </c>
      <c r="F12693" s="12" t="s">
        <v>3135</v>
      </c>
      <c r="G12693" s="12" t="s">
        <v>40</v>
      </c>
      <c r="H12693" s="11" t="s">
        <v>63</v>
      </c>
      <c r="I12693" s="13" t="s">
        <v>24799</v>
      </c>
      <c r="J12693" s="14" t="str">
        <f>HYPERLINK("https://www.boe.es/gazeta/dias/1839/08/09/pdfs/GMD-1839-1729.pdf#page=2","Abrir facsímil")</f>
        <v>Abrir facsímil</v>
      </c>
      <c r="K12693" s="12" t="s">
        <v>65</v>
      </c>
    </row>
    <row r="12694" spans="1:11" ht="40.049999999999997" customHeight="1" x14ac:dyDescent="0.25">
      <c r="A12694" s="11" t="s">
        <v>24798</v>
      </c>
      <c r="B12694" s="11" t="s">
        <v>24798</v>
      </c>
      <c r="C12694" s="11" t="s">
        <v>17</v>
      </c>
      <c r="D12694" s="11" t="s">
        <v>18</v>
      </c>
      <c r="E12694" s="12" t="s">
        <v>148</v>
      </c>
      <c r="F12694" s="12" t="s">
        <v>149</v>
      </c>
      <c r="G12694" s="12" t="s">
        <v>40</v>
      </c>
      <c r="H12694" s="11" t="s">
        <v>63</v>
      </c>
      <c r="I12694" s="13" t="s">
        <v>24800</v>
      </c>
      <c r="J12694" s="14" t="str">
        <f>HYPERLINK("https://www.boe.es/gazeta/dias/1839/07/16/pdfs/GMD-1839-1704.pdf#page=2","Abrir facsímil")</f>
        <v>Abrir facsímil</v>
      </c>
      <c r="K12694" s="12" t="s">
        <v>65</v>
      </c>
    </row>
    <row r="12695" spans="1:11" ht="40.049999999999997" customHeight="1" x14ac:dyDescent="0.25">
      <c r="A12695" s="11" t="s">
        <v>24801</v>
      </c>
      <c r="B12695" s="11" t="s">
        <v>24802</v>
      </c>
      <c r="C12695" s="11" t="s">
        <v>80</v>
      </c>
      <c r="D12695" s="11" t="s">
        <v>18</v>
      </c>
      <c r="E12695" s="12" t="s">
        <v>1628</v>
      </c>
      <c r="F12695" s="12" t="s">
        <v>1629</v>
      </c>
      <c r="G12695" s="12" t="s">
        <v>40</v>
      </c>
      <c r="H12695" s="11" t="s">
        <v>22</v>
      </c>
      <c r="I12695" s="13" t="s">
        <v>24803</v>
      </c>
      <c r="J12695" s="14" t="str">
        <f>HYPERLINK("https://www.boe.es/gazeta/dias/1839/03/10/pdfs/GMD-1839-1576.pdf#page=2","Abrir facsímil")</f>
        <v>Abrir facsímil</v>
      </c>
      <c r="K12695" s="12" t="s">
        <v>24</v>
      </c>
    </row>
    <row r="12696" spans="1:11" ht="40.049999999999997" customHeight="1" x14ac:dyDescent="0.25">
      <c r="A12696" s="11" t="s">
        <v>24804</v>
      </c>
      <c r="B12696" s="11" t="s">
        <v>24805</v>
      </c>
      <c r="C12696" s="11" t="s">
        <v>17</v>
      </c>
      <c r="D12696" s="11" t="s">
        <v>18</v>
      </c>
      <c r="E12696" s="12" t="s">
        <v>222</v>
      </c>
      <c r="F12696" s="12" t="s">
        <v>223</v>
      </c>
      <c r="G12696" s="12" t="s">
        <v>21</v>
      </c>
      <c r="H12696" s="11" t="s">
        <v>63</v>
      </c>
      <c r="I12696" s="13" t="s">
        <v>24806</v>
      </c>
      <c r="J12696" s="14" t="str">
        <f>HYPERLINK("https://www.boe.es/gazeta/dias/1839/06/22/pdfs/GMD-1839-1680.pdf#page=4","Abrir facsímil")</f>
        <v>Abrir facsímil</v>
      </c>
      <c r="K12696" s="12" t="s">
        <v>65</v>
      </c>
    </row>
    <row r="12697" spans="1:11" ht="40.049999999999997" customHeight="1" x14ac:dyDescent="0.25">
      <c r="A12697" s="11" t="s">
        <v>24807</v>
      </c>
      <c r="B12697" s="11" t="s">
        <v>24808</v>
      </c>
      <c r="C12697" s="11" t="s">
        <v>59</v>
      </c>
      <c r="D12697" s="11" t="s">
        <v>60</v>
      </c>
      <c r="E12697" s="12" t="s">
        <v>7860</v>
      </c>
      <c r="F12697" s="12" t="s">
        <v>7861</v>
      </c>
      <c r="G12697" s="12" t="s">
        <v>21</v>
      </c>
      <c r="H12697" s="11" t="s">
        <v>63</v>
      </c>
      <c r="I12697" s="13" t="s">
        <v>24809</v>
      </c>
      <c r="J12697" s="14" t="str">
        <f>HYPERLINK("https://www.boe.es/gazeta/dias/1839/03/04/pdfs/GMD-1839-1570.pdf#page=4","Abrir facsímil")</f>
        <v>Abrir facsímil</v>
      </c>
      <c r="K12697" s="12" t="s">
        <v>65</v>
      </c>
    </row>
    <row r="12698" spans="1:11" ht="40.049999999999997" customHeight="1" x14ac:dyDescent="0.25">
      <c r="A12698" s="11" t="s">
        <v>24810</v>
      </c>
      <c r="B12698" s="11" t="s">
        <v>24811</v>
      </c>
      <c r="C12698" s="11" t="s">
        <v>17</v>
      </c>
      <c r="D12698" s="11" t="s">
        <v>18</v>
      </c>
      <c r="E12698" s="12" t="s">
        <v>474</v>
      </c>
      <c r="F12698" s="12" t="s">
        <v>475</v>
      </c>
      <c r="G12698" s="12" t="s">
        <v>21</v>
      </c>
      <c r="H12698" s="11" t="s">
        <v>63</v>
      </c>
      <c r="I12698" s="13" t="s">
        <v>24812</v>
      </c>
      <c r="J12698" s="14" t="str">
        <f>HYPERLINK("https://www.boe.es/gazeta/dias/1839/03/31/pdfs/GMD-1839-1597.pdf#page=4","Abrir facsímil")</f>
        <v>Abrir facsímil</v>
      </c>
      <c r="K12698" s="12" t="s">
        <v>65</v>
      </c>
    </row>
    <row r="12699" spans="1:11" ht="40.049999999999997" customHeight="1" x14ac:dyDescent="0.25">
      <c r="A12699" s="11" t="s">
        <v>24813</v>
      </c>
      <c r="B12699" s="11" t="s">
        <v>24814</v>
      </c>
      <c r="C12699" s="11" t="s">
        <v>17</v>
      </c>
      <c r="D12699" s="11" t="s">
        <v>18</v>
      </c>
      <c r="E12699" s="12" t="s">
        <v>2222</v>
      </c>
      <c r="F12699" s="12" t="s">
        <v>2223</v>
      </c>
      <c r="G12699" s="12" t="s">
        <v>21</v>
      </c>
      <c r="H12699" s="11" t="s">
        <v>63</v>
      </c>
      <c r="I12699" s="13" t="s">
        <v>24815</v>
      </c>
      <c r="J12699" s="14" t="str">
        <f>HYPERLINK("https://www.boe.es/gazeta/dias/1839/09/19/pdfs/GMD-1839-1773.pdf#page=4","Abrir facsímil")</f>
        <v>Abrir facsímil</v>
      </c>
      <c r="K12699" s="12" t="s">
        <v>65</v>
      </c>
    </row>
    <row r="12700" spans="1:11" ht="40.049999999999997" customHeight="1" x14ac:dyDescent="0.25">
      <c r="A12700" s="11" t="s">
        <v>24816</v>
      </c>
      <c r="B12700" s="11" t="s">
        <v>24817</v>
      </c>
      <c r="C12700" s="11" t="s">
        <v>17</v>
      </c>
      <c r="D12700" s="11" t="s">
        <v>18</v>
      </c>
      <c r="E12700" s="12" t="s">
        <v>2222</v>
      </c>
      <c r="F12700" s="12" t="s">
        <v>2223</v>
      </c>
      <c r="G12700" s="12" t="s">
        <v>40</v>
      </c>
      <c r="H12700" s="11" t="s">
        <v>63</v>
      </c>
      <c r="I12700" s="13" t="s">
        <v>24818</v>
      </c>
      <c r="J12700" s="14" t="str">
        <f>HYPERLINK("https://www.boe.es/gazeta/dias/1839/09/19/pdfs/GMD-1839-1773.pdf#page=2","Abrir facsímil")</f>
        <v>Abrir facsímil</v>
      </c>
      <c r="K12700" s="12" t="s">
        <v>65</v>
      </c>
    </row>
    <row r="12701" spans="1:11" ht="40.049999999999997" customHeight="1" x14ac:dyDescent="0.25">
      <c r="A12701" s="11" t="s">
        <v>24819</v>
      </c>
      <c r="B12701" s="11" t="s">
        <v>24820</v>
      </c>
      <c r="C12701" s="11" t="s">
        <v>101</v>
      </c>
      <c r="D12701" s="11" t="s">
        <v>43</v>
      </c>
      <c r="E12701" s="12" t="s">
        <v>185</v>
      </c>
      <c r="F12701" s="12" t="s">
        <v>186</v>
      </c>
      <c r="G12701" s="12" t="s">
        <v>46</v>
      </c>
      <c r="H12701" s="11" t="s">
        <v>63</v>
      </c>
      <c r="I12701" s="13" t="s">
        <v>24821</v>
      </c>
      <c r="J12701" s="14" t="str">
        <f>HYPERLINK("https://www.boe.es/gazeta/dias/1839/01/15/pdfs/GMD-1839-1522.pdf#page=3","Abrir facsímil")</f>
        <v>Abrir facsímil</v>
      </c>
      <c r="K12701" s="12" t="s">
        <v>65</v>
      </c>
    </row>
    <row r="12702" spans="1:11" ht="40.049999999999997" customHeight="1" x14ac:dyDescent="0.25">
      <c r="A12702" s="11" t="s">
        <v>24822</v>
      </c>
      <c r="B12702" s="11" t="s">
        <v>24822</v>
      </c>
      <c r="C12702" s="11" t="s">
        <v>17</v>
      </c>
      <c r="D12702" s="11" t="s">
        <v>18</v>
      </c>
      <c r="E12702" s="12" t="s">
        <v>1340</v>
      </c>
      <c r="F12702" s="12" t="s">
        <v>1341</v>
      </c>
      <c r="G12702" s="12" t="s">
        <v>46</v>
      </c>
      <c r="H12702" s="11" t="s">
        <v>63</v>
      </c>
      <c r="I12702" s="13" t="s">
        <v>24823</v>
      </c>
      <c r="J12702" s="14" t="str">
        <f>HYPERLINK("https://www.boe.es/gazeta/dias/1839/05/05/pdfs/GMD-1839-1632.pdf#page=3","Abrir facsímil")</f>
        <v>Abrir facsímil</v>
      </c>
      <c r="K12702" s="12" t="s">
        <v>65</v>
      </c>
    </row>
    <row r="12703" spans="1:11" ht="40.049999999999997" customHeight="1" x14ac:dyDescent="0.25">
      <c r="A12703" s="11" t="s">
        <v>24824</v>
      </c>
      <c r="B12703" s="11" t="s">
        <v>24825</v>
      </c>
      <c r="C12703" s="11" t="s">
        <v>17</v>
      </c>
      <c r="D12703" s="11" t="s">
        <v>18</v>
      </c>
      <c r="E12703" s="12" t="s">
        <v>474</v>
      </c>
      <c r="F12703" s="12" t="s">
        <v>475</v>
      </c>
      <c r="G12703" s="12" t="s">
        <v>21</v>
      </c>
      <c r="H12703" s="11" t="s">
        <v>63</v>
      </c>
      <c r="I12703" s="13" t="s">
        <v>24826</v>
      </c>
      <c r="J12703" s="14" t="str">
        <f>HYPERLINK("https://www.boe.es/gazeta/dias/1839/03/31/pdfs/GMD-1839-1597.pdf#page=4","Abrir facsímil")</f>
        <v>Abrir facsímil</v>
      </c>
      <c r="K12703" s="12" t="s">
        <v>65</v>
      </c>
    </row>
    <row r="12704" spans="1:11" ht="40.049999999999997" customHeight="1" x14ac:dyDescent="0.25">
      <c r="A12704" s="11" t="s">
        <v>24827</v>
      </c>
      <c r="B12704" s="11" t="s">
        <v>24828</v>
      </c>
      <c r="C12704" s="11" t="s">
        <v>17</v>
      </c>
      <c r="D12704" s="11" t="s">
        <v>18</v>
      </c>
      <c r="E12704" s="12" t="s">
        <v>1467</v>
      </c>
      <c r="F12704" s="12" t="s">
        <v>1468</v>
      </c>
      <c r="G12704" s="12" t="s">
        <v>21</v>
      </c>
      <c r="H12704" s="11" t="s">
        <v>63</v>
      </c>
      <c r="I12704" s="13" t="s">
        <v>24829</v>
      </c>
      <c r="J12704" s="14" t="str">
        <f>HYPERLINK("https://www.boe.es/gazeta/dias/1839/03/05/pdfs/GMD-1839-1571.pdf#page=4","Abrir facsímil")</f>
        <v>Abrir facsímil</v>
      </c>
      <c r="K12704" s="12" t="s">
        <v>65</v>
      </c>
    </row>
    <row r="12705" spans="1:11" ht="40.049999999999997" customHeight="1" x14ac:dyDescent="0.25">
      <c r="A12705" s="11" t="s">
        <v>24830</v>
      </c>
      <c r="B12705" s="11" t="s">
        <v>24831</v>
      </c>
      <c r="C12705" s="11" t="s">
        <v>59</v>
      </c>
      <c r="D12705" s="11" t="s">
        <v>60</v>
      </c>
      <c r="E12705" s="12" t="s">
        <v>1374</v>
      </c>
      <c r="F12705" s="12" t="s">
        <v>1375</v>
      </c>
      <c r="G12705" s="12" t="s">
        <v>29</v>
      </c>
      <c r="H12705" s="11" t="s">
        <v>63</v>
      </c>
      <c r="I12705" s="13" t="s">
        <v>24832</v>
      </c>
      <c r="J12705" s="14" t="str">
        <f>HYPERLINK("https://www.boe.es/gazeta/dias/1839/07/20/pdfs/GMD-1839-1708.pdf#page=1","Abrir facsímil")</f>
        <v>Abrir facsímil</v>
      </c>
      <c r="K12705" s="12" t="s">
        <v>65</v>
      </c>
    </row>
    <row r="12706" spans="1:11" ht="40.049999999999997" customHeight="1" x14ac:dyDescent="0.25">
      <c r="A12706" s="11" t="s">
        <v>24833</v>
      </c>
      <c r="B12706" s="11" t="s">
        <v>24834</v>
      </c>
      <c r="C12706" s="11" t="s">
        <v>59</v>
      </c>
      <c r="D12706" s="11" t="s">
        <v>60</v>
      </c>
      <c r="E12706" s="12" t="s">
        <v>320</v>
      </c>
      <c r="F12706" s="12" t="s">
        <v>321</v>
      </c>
      <c r="G12706" s="12" t="s">
        <v>21</v>
      </c>
      <c r="H12706" s="11" t="s">
        <v>63</v>
      </c>
      <c r="I12706" s="13" t="s">
        <v>24835</v>
      </c>
      <c r="J12706" s="14" t="str">
        <f>HYPERLINK("https://www.boe.es/gazeta/dias/1839/05/11/pdfs/GMD-1839-1638.pdf#page=4","Abrir facsímil")</f>
        <v>Abrir facsímil</v>
      </c>
      <c r="K12706" s="12" t="s">
        <v>65</v>
      </c>
    </row>
    <row r="12707" spans="1:11" ht="40.049999999999997" customHeight="1" x14ac:dyDescent="0.25">
      <c r="A12707" s="11" t="s">
        <v>24836</v>
      </c>
      <c r="B12707" s="11" t="s">
        <v>24836</v>
      </c>
      <c r="C12707" s="11" t="s">
        <v>17</v>
      </c>
      <c r="D12707" s="11" t="s">
        <v>18</v>
      </c>
      <c r="E12707" s="12" t="s">
        <v>804</v>
      </c>
      <c r="F12707" s="12" t="s">
        <v>805</v>
      </c>
      <c r="G12707" s="12" t="s">
        <v>40</v>
      </c>
      <c r="H12707" s="11" t="s">
        <v>22</v>
      </c>
      <c r="I12707" s="13" t="s">
        <v>24837</v>
      </c>
      <c r="J12707" s="14" t="str">
        <f>HYPERLINK("https://www.boe.es/gazeta/dias/1839/01/08/pdfs/GMD-1839-1515.pdf#page=2","Abrir facsímil")</f>
        <v>Abrir facsímil</v>
      </c>
      <c r="K12707" s="12" t="s">
        <v>24</v>
      </c>
    </row>
    <row r="12708" spans="1:11" ht="40.049999999999997" customHeight="1" x14ac:dyDescent="0.25">
      <c r="A12708" s="11" t="s">
        <v>24838</v>
      </c>
      <c r="B12708" s="11" t="s">
        <v>24838</v>
      </c>
      <c r="C12708" s="11" t="s">
        <v>80</v>
      </c>
      <c r="D12708" s="11" t="s">
        <v>18</v>
      </c>
      <c r="E12708" s="12" t="s">
        <v>519</v>
      </c>
      <c r="F12708" s="12" t="s">
        <v>520</v>
      </c>
      <c r="G12708" s="12" t="s">
        <v>21</v>
      </c>
      <c r="H12708" s="11" t="s">
        <v>63</v>
      </c>
      <c r="I12708" s="13" t="s">
        <v>24839</v>
      </c>
      <c r="J12708" s="14" t="str">
        <f>HYPERLINK("https://www.boe.es/gazeta/dias/1839/02/23/pdfs/GMD-1839-1561.pdf#page=4","Abrir facsímil")</f>
        <v>Abrir facsímil</v>
      </c>
      <c r="K12708" s="12" t="s">
        <v>65</v>
      </c>
    </row>
    <row r="12709" spans="1:11" ht="40.049999999999997" customHeight="1" x14ac:dyDescent="0.25">
      <c r="A12709" s="11" t="s">
        <v>24840</v>
      </c>
      <c r="B12709" s="11" t="s">
        <v>24840</v>
      </c>
      <c r="C12709" s="11" t="s">
        <v>17</v>
      </c>
      <c r="D12709" s="11" t="s">
        <v>18</v>
      </c>
      <c r="E12709" s="12" t="s">
        <v>918</v>
      </c>
      <c r="F12709" s="12" t="s">
        <v>919</v>
      </c>
      <c r="G12709" s="12" t="s">
        <v>29</v>
      </c>
      <c r="H12709" s="11" t="s">
        <v>63</v>
      </c>
      <c r="I12709" s="13" t="s">
        <v>24841</v>
      </c>
      <c r="J12709" s="14" t="str">
        <f>HYPERLINK("https://www.boe.es/gazeta/dias/1839/12/07/pdfs/GMD-1839-1854.pdf#page=1","Abrir facsímil")</f>
        <v>Abrir facsímil</v>
      </c>
      <c r="K12709" s="12" t="s">
        <v>65</v>
      </c>
    </row>
    <row r="12710" spans="1:11" ht="40.049999999999997" customHeight="1" x14ac:dyDescent="0.25">
      <c r="A12710" s="11" t="s">
        <v>24842</v>
      </c>
      <c r="B12710" s="11" t="s">
        <v>24842</v>
      </c>
      <c r="C12710" s="11" t="s">
        <v>101</v>
      </c>
      <c r="D12710" s="11" t="s">
        <v>102</v>
      </c>
      <c r="E12710" s="12" t="s">
        <v>1366</v>
      </c>
      <c r="F12710" s="12" t="s">
        <v>1367</v>
      </c>
      <c r="G12710" s="12" t="s">
        <v>29</v>
      </c>
      <c r="H12710" s="11" t="s">
        <v>63</v>
      </c>
      <c r="I12710" s="13" t="s">
        <v>24843</v>
      </c>
      <c r="J12710" s="14" t="str">
        <f>HYPERLINK("https://www.boe.es/gazeta/dias/1839/09/09/pdfs/GMD-1839-1762.pdf#page=1","Abrir facsímil")</f>
        <v>Abrir facsímil</v>
      </c>
      <c r="K12710" s="12" t="s">
        <v>65</v>
      </c>
    </row>
    <row r="12711" spans="1:11" ht="40.049999999999997" customHeight="1" x14ac:dyDescent="0.25">
      <c r="A12711" s="11" t="s">
        <v>24844</v>
      </c>
      <c r="B12711" s="11" t="s">
        <v>24844</v>
      </c>
      <c r="C12711" s="11" t="s">
        <v>101</v>
      </c>
      <c r="D12711" s="11" t="s">
        <v>102</v>
      </c>
      <c r="E12711" s="12" t="s">
        <v>2320</v>
      </c>
      <c r="F12711" s="12" t="s">
        <v>2321</v>
      </c>
      <c r="G12711" s="12" t="s">
        <v>46</v>
      </c>
      <c r="H12711" s="11" t="s">
        <v>63</v>
      </c>
      <c r="I12711" s="13" t="s">
        <v>24845</v>
      </c>
      <c r="J12711" s="14" t="str">
        <f>HYPERLINK("https://www.boe.es/gazeta/dias/1839/11/13/pdfs/GMD-1839-1830.pdf#page=3","Abrir facsímil")</f>
        <v>Abrir facsímil</v>
      </c>
      <c r="K12711" s="12" t="s">
        <v>65</v>
      </c>
    </row>
    <row r="12712" spans="1:11" ht="40.049999999999997" customHeight="1" x14ac:dyDescent="0.25">
      <c r="A12712" s="11" t="s">
        <v>24846</v>
      </c>
      <c r="B12712" s="11" t="s">
        <v>24846</v>
      </c>
      <c r="C12712" s="11" t="s">
        <v>17</v>
      </c>
      <c r="D12712" s="11" t="s">
        <v>18</v>
      </c>
      <c r="E12712" s="12" t="s">
        <v>798</v>
      </c>
      <c r="F12712" s="12" t="s">
        <v>799</v>
      </c>
      <c r="G12712" s="12" t="s">
        <v>40</v>
      </c>
      <c r="H12712" s="11" t="s">
        <v>63</v>
      </c>
      <c r="I12712" s="13" t="s">
        <v>24847</v>
      </c>
      <c r="J12712" s="14" t="str">
        <f>HYPERLINK("https://www.boe.es/gazeta/dias/1839/09/03/pdfs/GMD-1839-1755.pdf#page=2","Abrir facsímil")</f>
        <v>Abrir facsímil</v>
      </c>
      <c r="K12712" s="12" t="s">
        <v>65</v>
      </c>
    </row>
    <row r="12713" spans="1:11" ht="40.049999999999997" customHeight="1" x14ac:dyDescent="0.25">
      <c r="A12713" s="11" t="s">
        <v>24846</v>
      </c>
      <c r="B12713" s="11" t="s">
        <v>24846</v>
      </c>
      <c r="C12713" s="11" t="s">
        <v>137</v>
      </c>
      <c r="D12713" s="11" t="s">
        <v>18</v>
      </c>
      <c r="E12713" s="12" t="s">
        <v>804</v>
      </c>
      <c r="F12713" s="12" t="s">
        <v>805</v>
      </c>
      <c r="G12713" s="12" t="s">
        <v>29</v>
      </c>
      <c r="H12713" s="11" t="s">
        <v>63</v>
      </c>
      <c r="I12713" s="13" t="s">
        <v>24848</v>
      </c>
      <c r="J12713" s="14" t="str">
        <f>HYPERLINK("https://www.boe.es/gazeta/dias/1839/01/08/pdfs/GMD-1839-1515.pdf#page=1","Abrir facsímil")</f>
        <v>Abrir facsímil</v>
      </c>
      <c r="K12713" s="12" t="s">
        <v>65</v>
      </c>
    </row>
    <row r="12714" spans="1:11" ht="40.049999999999997" customHeight="1" x14ac:dyDescent="0.25">
      <c r="A12714" s="11" t="s">
        <v>24846</v>
      </c>
      <c r="B12714" s="11" t="s">
        <v>24846</v>
      </c>
      <c r="C12714" s="11" t="s">
        <v>17</v>
      </c>
      <c r="D12714" s="11" t="s">
        <v>18</v>
      </c>
      <c r="E12714" s="12" t="s">
        <v>1012</v>
      </c>
      <c r="F12714" s="12" t="s">
        <v>1013</v>
      </c>
      <c r="G12714" s="12" t="s">
        <v>46</v>
      </c>
      <c r="H12714" s="11" t="s">
        <v>63</v>
      </c>
      <c r="I12714" s="13" t="s">
        <v>24849</v>
      </c>
      <c r="J12714" s="14" t="str">
        <f>HYPERLINK("https://www.boe.es/gazeta/dias/1839/11/22/pdfs/GMD-1839-1839.pdf#page=3","Abrir facsímil")</f>
        <v>Abrir facsímil</v>
      </c>
      <c r="K12714" s="12" t="s">
        <v>65</v>
      </c>
    </row>
    <row r="12715" spans="1:11" ht="40.049999999999997" customHeight="1" x14ac:dyDescent="0.25">
      <c r="A12715" s="11" t="s">
        <v>24850</v>
      </c>
      <c r="B12715" s="11" t="s">
        <v>24850</v>
      </c>
      <c r="C12715" s="11" t="s">
        <v>17</v>
      </c>
      <c r="D12715" s="11" t="s">
        <v>18</v>
      </c>
      <c r="E12715" s="12" t="s">
        <v>258</v>
      </c>
      <c r="F12715" s="12" t="s">
        <v>259</v>
      </c>
      <c r="G12715" s="12" t="s">
        <v>40</v>
      </c>
      <c r="H12715" s="11" t="s">
        <v>63</v>
      </c>
      <c r="I12715" s="13" t="s">
        <v>24851</v>
      </c>
      <c r="J12715" s="14" t="str">
        <f>HYPERLINK("https://www.boe.es/gazeta/dias/1839/01/02/pdfs/GMD-1839-1509.pdf#page=2","Abrir facsímil")</f>
        <v>Abrir facsímil</v>
      </c>
      <c r="K12715" s="12" t="s">
        <v>65</v>
      </c>
    </row>
    <row r="12716" spans="1:11" ht="40.049999999999997" customHeight="1" x14ac:dyDescent="0.25">
      <c r="A12716" s="11" t="s">
        <v>24852</v>
      </c>
      <c r="B12716" s="11" t="s">
        <v>24852</v>
      </c>
      <c r="C12716" s="11" t="s">
        <v>101</v>
      </c>
      <c r="D12716" s="11" t="s">
        <v>102</v>
      </c>
      <c r="E12716" s="12" t="s">
        <v>4055</v>
      </c>
      <c r="F12716" s="12" t="s">
        <v>4056</v>
      </c>
      <c r="G12716" s="12" t="s">
        <v>40</v>
      </c>
      <c r="H12716" s="11" t="s">
        <v>63</v>
      </c>
      <c r="I12716" s="13" t="s">
        <v>24853</v>
      </c>
      <c r="J12716" s="14" t="str">
        <f>HYPERLINK("https://www.boe.es/gazeta/dias/1839/03/07/pdfs/GMD-1839-1573.pdf#page=2","Abrir facsímil")</f>
        <v>Abrir facsímil</v>
      </c>
      <c r="K12716" s="12" t="s">
        <v>65</v>
      </c>
    </row>
    <row r="12717" spans="1:11" ht="40.049999999999997" customHeight="1" x14ac:dyDescent="0.25">
      <c r="A12717" s="11" t="s">
        <v>24854</v>
      </c>
      <c r="B12717" s="11" t="s">
        <v>24854</v>
      </c>
      <c r="C12717" s="11" t="s">
        <v>17</v>
      </c>
      <c r="D12717" s="11" t="s">
        <v>18</v>
      </c>
      <c r="E12717" s="12" t="s">
        <v>1988</v>
      </c>
      <c r="F12717" s="12" t="s">
        <v>1989</v>
      </c>
      <c r="G12717" s="12" t="s">
        <v>40</v>
      </c>
      <c r="H12717" s="11" t="s">
        <v>63</v>
      </c>
      <c r="I12717" s="13" t="s">
        <v>24855</v>
      </c>
      <c r="J12717" s="14" t="str">
        <f>HYPERLINK("https://www.boe.es/gazeta/dias/1839/10/29/pdfs/GMD-1839-1815.pdf#page=2","Abrir facsímil")</f>
        <v>Abrir facsímil</v>
      </c>
      <c r="K12717" s="12" t="s">
        <v>65</v>
      </c>
    </row>
    <row r="12718" spans="1:11" ht="40.049999999999997" customHeight="1" x14ac:dyDescent="0.25">
      <c r="A12718" s="11" t="s">
        <v>24856</v>
      </c>
      <c r="B12718" s="11" t="s">
        <v>24856</v>
      </c>
      <c r="C12718" s="11" t="s">
        <v>59</v>
      </c>
      <c r="D12718" s="11" t="s">
        <v>60</v>
      </c>
      <c r="E12718" s="12" t="s">
        <v>907</v>
      </c>
      <c r="F12718" s="12" t="s">
        <v>908</v>
      </c>
      <c r="G12718" s="12" t="s">
        <v>29</v>
      </c>
      <c r="H12718" s="11" t="s">
        <v>63</v>
      </c>
      <c r="I12718" s="13" t="s">
        <v>24857</v>
      </c>
      <c r="J12718" s="14" t="str">
        <f>HYPERLINK("https://www.boe.es/gazeta/dias/1839/07/31/pdfs/GMD-1839-1720.pdf#page=1","Abrir facsímil")</f>
        <v>Abrir facsímil</v>
      </c>
      <c r="K12718" s="12" t="s">
        <v>65</v>
      </c>
    </row>
    <row r="12719" spans="1:11" ht="40.049999999999997" customHeight="1" x14ac:dyDescent="0.25">
      <c r="A12719" s="11" t="s">
        <v>24858</v>
      </c>
      <c r="B12719" s="11" t="s">
        <v>24858</v>
      </c>
      <c r="C12719" s="11" t="s">
        <v>59</v>
      </c>
      <c r="D12719" s="11" t="s">
        <v>60</v>
      </c>
      <c r="E12719" s="12" t="s">
        <v>1374</v>
      </c>
      <c r="F12719" s="12" t="s">
        <v>1375</v>
      </c>
      <c r="G12719" s="12" t="s">
        <v>46</v>
      </c>
      <c r="H12719" s="11" t="s">
        <v>63</v>
      </c>
      <c r="I12719" s="13" t="s">
        <v>24859</v>
      </c>
      <c r="J12719" s="14" t="str">
        <f>HYPERLINK("https://www.boe.es/gazeta/dias/1839/07/20/pdfs/GMD-1839-1708.pdf#page=3","Abrir facsímil")</f>
        <v>Abrir facsímil</v>
      </c>
      <c r="K12719" s="12" t="s">
        <v>65</v>
      </c>
    </row>
    <row r="12720" spans="1:11" ht="40.049999999999997" customHeight="1" x14ac:dyDescent="0.25">
      <c r="A12720" s="11" t="s">
        <v>24860</v>
      </c>
      <c r="B12720" s="11" t="s">
        <v>24860</v>
      </c>
      <c r="C12720" s="11" t="s">
        <v>17</v>
      </c>
      <c r="D12720" s="11" t="s">
        <v>18</v>
      </c>
      <c r="E12720" s="12" t="s">
        <v>1391</v>
      </c>
      <c r="F12720" s="12" t="s">
        <v>1392</v>
      </c>
      <c r="G12720" s="12" t="s">
        <v>40</v>
      </c>
      <c r="H12720" s="11" t="s">
        <v>63</v>
      </c>
      <c r="I12720" s="13" t="s">
        <v>24861</v>
      </c>
      <c r="J12720" s="14" t="str">
        <f>HYPERLINK("https://www.boe.es/gazeta/dias/1839/05/12/pdfs/GMD-1839-1639.pdf#page=2","Abrir facsímil")</f>
        <v>Abrir facsímil</v>
      </c>
      <c r="K12720" s="12" t="s">
        <v>65</v>
      </c>
    </row>
    <row r="12721" spans="1:11" ht="40.049999999999997" customHeight="1" x14ac:dyDescent="0.25">
      <c r="A12721" s="11" t="s">
        <v>24860</v>
      </c>
      <c r="B12721" s="11" t="s">
        <v>24860</v>
      </c>
      <c r="C12721" s="11" t="s">
        <v>17</v>
      </c>
      <c r="D12721" s="11" t="s">
        <v>18</v>
      </c>
      <c r="E12721" s="12" t="s">
        <v>1378</v>
      </c>
      <c r="F12721" s="12" t="s">
        <v>1379</v>
      </c>
      <c r="G12721" s="12" t="s">
        <v>21</v>
      </c>
      <c r="H12721" s="11" t="s">
        <v>63</v>
      </c>
      <c r="I12721" s="13" t="s">
        <v>24862</v>
      </c>
      <c r="J12721" s="14" t="str">
        <f>HYPERLINK("https://www.boe.es/gazeta/dias/1839/05/18/pdfs/GMD-1839-1645.pdf#page=4","Abrir facsímil")</f>
        <v>Abrir facsímil</v>
      </c>
      <c r="K12721" s="12" t="s">
        <v>65</v>
      </c>
    </row>
    <row r="12722" spans="1:11" ht="40.049999999999997" customHeight="1" x14ac:dyDescent="0.25">
      <c r="A12722" s="11" t="s">
        <v>24860</v>
      </c>
      <c r="B12722" s="11" t="s">
        <v>24860</v>
      </c>
      <c r="C12722" s="11" t="s">
        <v>17</v>
      </c>
      <c r="D12722" s="11" t="s">
        <v>18</v>
      </c>
      <c r="E12722" s="12" t="s">
        <v>685</v>
      </c>
      <c r="F12722" s="12" t="s">
        <v>686</v>
      </c>
      <c r="G12722" s="12" t="s">
        <v>21</v>
      </c>
      <c r="H12722" s="11" t="s">
        <v>63</v>
      </c>
      <c r="I12722" s="13" t="s">
        <v>24863</v>
      </c>
      <c r="J12722" s="14" t="str">
        <f>HYPERLINK("https://www.boe.es/gazeta/dias/1839/06/18/pdfs/GMD-1839-1676.pdf#page=4","Abrir facsímil")</f>
        <v>Abrir facsímil</v>
      </c>
      <c r="K12722" s="12" t="s">
        <v>65</v>
      </c>
    </row>
    <row r="12723" spans="1:11" ht="40.049999999999997" customHeight="1" x14ac:dyDescent="0.25">
      <c r="A12723" s="11" t="s">
        <v>24864</v>
      </c>
      <c r="B12723" s="11" t="s">
        <v>24865</v>
      </c>
      <c r="C12723" s="11" t="s">
        <v>17</v>
      </c>
      <c r="D12723" s="11" t="s">
        <v>18</v>
      </c>
      <c r="E12723" s="12" t="s">
        <v>320</v>
      </c>
      <c r="F12723" s="12" t="s">
        <v>321</v>
      </c>
      <c r="G12723" s="12" t="s">
        <v>29</v>
      </c>
      <c r="H12723" s="11" t="s">
        <v>63</v>
      </c>
      <c r="I12723" s="13" t="s">
        <v>24866</v>
      </c>
      <c r="J12723" s="14" t="str">
        <f>HYPERLINK("https://www.boe.es/gazeta/dias/1839/05/11/pdfs/GMD-1839-1638.pdf#page=1","Abrir facsímil")</f>
        <v>Abrir facsímil</v>
      </c>
      <c r="K12723" s="12" t="s">
        <v>65</v>
      </c>
    </row>
    <row r="12724" spans="1:11" ht="40.049999999999997" customHeight="1" x14ac:dyDescent="0.25">
      <c r="A12724" s="11" t="s">
        <v>24864</v>
      </c>
      <c r="B12724" s="11" t="s">
        <v>24865</v>
      </c>
      <c r="C12724" s="11" t="s">
        <v>17</v>
      </c>
      <c r="D12724" s="11" t="s">
        <v>18</v>
      </c>
      <c r="E12724" s="12" t="s">
        <v>1644</v>
      </c>
      <c r="F12724" s="12" t="s">
        <v>1645</v>
      </c>
      <c r="G12724" s="12" t="s">
        <v>29</v>
      </c>
      <c r="H12724" s="11" t="s">
        <v>63</v>
      </c>
      <c r="I12724" s="13" t="s">
        <v>24867</v>
      </c>
      <c r="J12724" s="14" t="str">
        <f>HYPERLINK("https://www.boe.es/gazeta/dias/1839/04/16/pdfs/GMD-1839-1613.pdf#page=1","Abrir facsímil")</f>
        <v>Abrir facsímil</v>
      </c>
      <c r="K12724" s="12" t="s">
        <v>65</v>
      </c>
    </row>
    <row r="12725" spans="1:11" ht="40.049999999999997" customHeight="1" x14ac:dyDescent="0.25">
      <c r="A12725" s="11" t="s">
        <v>24868</v>
      </c>
      <c r="B12725" s="11" t="s">
        <v>24869</v>
      </c>
      <c r="C12725" s="11" t="s">
        <v>17</v>
      </c>
      <c r="D12725" s="11" t="s">
        <v>18</v>
      </c>
      <c r="E12725" s="12" t="s">
        <v>3668</v>
      </c>
      <c r="F12725" s="12" t="s">
        <v>3669</v>
      </c>
      <c r="G12725" s="12" t="s">
        <v>29</v>
      </c>
      <c r="H12725" s="11" t="s">
        <v>63</v>
      </c>
      <c r="I12725" s="13" t="s">
        <v>24870</v>
      </c>
      <c r="J12725" s="14" t="str">
        <f>HYPERLINK("https://www.boe.es/gazeta/dias/1839/05/19/pdfs/GMD-1839-1646.pdf#page=1","Abrir facsímil")</f>
        <v>Abrir facsímil</v>
      </c>
      <c r="K12725" s="12" t="s">
        <v>65</v>
      </c>
    </row>
    <row r="12726" spans="1:11" ht="40.049999999999997" customHeight="1" x14ac:dyDescent="0.25">
      <c r="A12726" s="11" t="s">
        <v>24868</v>
      </c>
      <c r="B12726" s="11" t="s">
        <v>24869</v>
      </c>
      <c r="C12726" s="11" t="s">
        <v>137</v>
      </c>
      <c r="D12726" s="11" t="s">
        <v>18</v>
      </c>
      <c r="E12726" s="12" t="s">
        <v>280</v>
      </c>
      <c r="F12726" s="12" t="s">
        <v>281</v>
      </c>
      <c r="G12726" s="12" t="s">
        <v>29</v>
      </c>
      <c r="H12726" s="11" t="s">
        <v>63</v>
      </c>
      <c r="I12726" s="13" t="s">
        <v>24871</v>
      </c>
      <c r="J12726" s="14" t="str">
        <f>HYPERLINK("https://www.boe.es/gazeta/dias/1839/08/21/pdfs/GMD-1839-1742.pdf#page=1","Abrir facsímil")</f>
        <v>Abrir facsímil</v>
      </c>
      <c r="K12726" s="12" t="s">
        <v>65</v>
      </c>
    </row>
    <row r="12727" spans="1:11" ht="40.049999999999997" customHeight="1" x14ac:dyDescent="0.25">
      <c r="A12727" s="11" t="s">
        <v>24872</v>
      </c>
      <c r="B12727" s="11" t="s">
        <v>24873</v>
      </c>
      <c r="C12727" s="11" t="s">
        <v>80</v>
      </c>
      <c r="D12727" s="11" t="s">
        <v>18</v>
      </c>
      <c r="E12727" s="12" t="s">
        <v>1123</v>
      </c>
      <c r="F12727" s="12" t="s">
        <v>1124</v>
      </c>
      <c r="G12727" s="12" t="s">
        <v>21</v>
      </c>
      <c r="H12727" s="11" t="s">
        <v>63</v>
      </c>
      <c r="I12727" s="13" t="s">
        <v>24874</v>
      </c>
      <c r="J12727" s="14" t="str">
        <f>HYPERLINK("https://www.boe.es/gazeta/dias/1839/08/10/pdfs/GMD-1839-1730.pdf#page=4","Abrir facsímil")</f>
        <v>Abrir facsímil</v>
      </c>
      <c r="K12727" s="12" t="s">
        <v>65</v>
      </c>
    </row>
    <row r="12728" spans="1:11" ht="40.049999999999997" customHeight="1" x14ac:dyDescent="0.25">
      <c r="A12728" s="11" t="s">
        <v>24875</v>
      </c>
      <c r="B12728" s="11" t="s">
        <v>24876</v>
      </c>
      <c r="C12728" s="11" t="s">
        <v>17</v>
      </c>
      <c r="D12728" s="11" t="s">
        <v>18</v>
      </c>
      <c r="E12728" s="12" t="s">
        <v>486</v>
      </c>
      <c r="F12728" s="12" t="s">
        <v>487</v>
      </c>
      <c r="G12728" s="12" t="s">
        <v>40</v>
      </c>
      <c r="H12728" s="11" t="s">
        <v>63</v>
      </c>
      <c r="I12728" s="13" t="s">
        <v>24877</v>
      </c>
      <c r="J12728" s="14" t="str">
        <f>HYPERLINK("https://www.boe.es/gazeta/dias/1839/04/19/pdfs/GMD-1839-1616.pdf#page=2","Abrir facsímil")</f>
        <v>Abrir facsímil</v>
      </c>
      <c r="K12728" s="12" t="s">
        <v>65</v>
      </c>
    </row>
    <row r="12729" spans="1:11" ht="40.049999999999997" customHeight="1" x14ac:dyDescent="0.25">
      <c r="A12729" s="11" t="s">
        <v>24878</v>
      </c>
      <c r="B12729" s="11" t="s">
        <v>24878</v>
      </c>
      <c r="C12729" s="11" t="s">
        <v>17</v>
      </c>
      <c r="D12729" s="11" t="s">
        <v>18</v>
      </c>
      <c r="E12729" s="12" t="s">
        <v>4921</v>
      </c>
      <c r="F12729" s="12" t="s">
        <v>4922</v>
      </c>
      <c r="G12729" s="12" t="s">
        <v>40</v>
      </c>
      <c r="H12729" s="11" t="s">
        <v>63</v>
      </c>
      <c r="I12729" s="13" t="s">
        <v>24879</v>
      </c>
      <c r="J12729" s="14" t="str">
        <f>HYPERLINK("https://www.boe.es/gazeta/dias/1839/11/05/pdfs/GMD-1839-1822.pdf#page=2","Abrir facsímil")</f>
        <v>Abrir facsímil</v>
      </c>
      <c r="K12729" s="12" t="s">
        <v>65</v>
      </c>
    </row>
    <row r="12730" spans="1:11" ht="40.049999999999997" customHeight="1" x14ac:dyDescent="0.25">
      <c r="A12730" s="11" t="s">
        <v>24880</v>
      </c>
      <c r="B12730" s="11" t="s">
        <v>24881</v>
      </c>
      <c r="C12730" s="11" t="s">
        <v>17</v>
      </c>
      <c r="D12730" s="11" t="s">
        <v>18</v>
      </c>
      <c r="E12730" s="12" t="s">
        <v>453</v>
      </c>
      <c r="F12730" s="12" t="s">
        <v>454</v>
      </c>
      <c r="G12730" s="12" t="s">
        <v>21</v>
      </c>
      <c r="H12730" s="11" t="s">
        <v>22</v>
      </c>
      <c r="I12730" s="13" t="s">
        <v>24882</v>
      </c>
      <c r="J12730" s="14" t="str">
        <f>HYPERLINK("https://www.boe.es/gazeta/dias/1839/02/07/pdfs/GMD-1839-1545.pdf#page=4","Abrir facsímil")</f>
        <v>Abrir facsímil</v>
      </c>
      <c r="K12730" s="12" t="s">
        <v>24</v>
      </c>
    </row>
    <row r="12731" spans="1:11" ht="40.049999999999997" customHeight="1" x14ac:dyDescent="0.25">
      <c r="A12731" s="11" t="s">
        <v>24883</v>
      </c>
      <c r="B12731" s="11" t="s">
        <v>24883</v>
      </c>
      <c r="C12731" s="11" t="s">
        <v>17</v>
      </c>
      <c r="D12731" s="11" t="s">
        <v>18</v>
      </c>
      <c r="E12731" s="12" t="s">
        <v>929</v>
      </c>
      <c r="F12731" s="12" t="s">
        <v>930</v>
      </c>
      <c r="G12731" s="12" t="s">
        <v>40</v>
      </c>
      <c r="H12731" s="11" t="s">
        <v>22</v>
      </c>
      <c r="I12731" s="13" t="s">
        <v>24884</v>
      </c>
      <c r="J12731" s="14" t="str">
        <f>HYPERLINK("https://www.boe.es/gazeta/dias/1839/01/31/pdfs/GMD-1839-1538.pdf#page=2","Abrir facsímil")</f>
        <v>Abrir facsímil</v>
      </c>
      <c r="K12731" s="12" t="s">
        <v>24</v>
      </c>
    </row>
    <row r="12732" spans="1:11" ht="40.049999999999997" customHeight="1" x14ac:dyDescent="0.25">
      <c r="A12732" s="11" t="s">
        <v>24885</v>
      </c>
      <c r="B12732" s="11" t="s">
        <v>24886</v>
      </c>
      <c r="C12732" s="11" t="s">
        <v>59</v>
      </c>
      <c r="D12732" s="11" t="s">
        <v>60</v>
      </c>
      <c r="E12732" s="12" t="s">
        <v>287</v>
      </c>
      <c r="F12732" s="12" t="s">
        <v>288</v>
      </c>
      <c r="G12732" s="12" t="s">
        <v>21</v>
      </c>
      <c r="H12732" s="11" t="s">
        <v>22</v>
      </c>
      <c r="I12732" s="13" t="s">
        <v>24887</v>
      </c>
      <c r="J12732" s="14" t="str">
        <f>HYPERLINK("https://www.boe.es/gazeta/dias/1839/11/27/pdfs/GMD-1839-1844.pdf#page=4","Abrir facsímil")</f>
        <v>Abrir facsímil</v>
      </c>
      <c r="K12732" s="12" t="s">
        <v>24</v>
      </c>
    </row>
    <row r="12733" spans="1:11" ht="40.049999999999997" customHeight="1" x14ac:dyDescent="0.25">
      <c r="A12733" s="11" t="s">
        <v>24888</v>
      </c>
      <c r="B12733" s="11" t="s">
        <v>24888</v>
      </c>
      <c r="C12733" s="11" t="s">
        <v>59</v>
      </c>
      <c r="D12733" s="11" t="s">
        <v>60</v>
      </c>
      <c r="E12733" s="12" t="s">
        <v>700</v>
      </c>
      <c r="F12733" s="12" t="s">
        <v>701</v>
      </c>
      <c r="G12733" s="12" t="s">
        <v>29</v>
      </c>
      <c r="H12733" s="11" t="s">
        <v>63</v>
      </c>
      <c r="I12733" s="13" t="s">
        <v>24889</v>
      </c>
      <c r="J12733" s="14" t="str">
        <f>HYPERLINK("https://www.boe.es/gazeta/dias/1839/09/01/pdfs/GMD-1839-1753.pdf#page=1","Abrir facsímil")</f>
        <v>Abrir facsímil</v>
      </c>
      <c r="K12733" s="12" t="s">
        <v>65</v>
      </c>
    </row>
    <row r="12734" spans="1:11" ht="40.049999999999997" customHeight="1" x14ac:dyDescent="0.25">
      <c r="A12734" s="11" t="s">
        <v>24888</v>
      </c>
      <c r="B12734" s="11" t="s">
        <v>24888</v>
      </c>
      <c r="C12734" s="11" t="s">
        <v>101</v>
      </c>
      <c r="D12734" s="11" t="s">
        <v>102</v>
      </c>
      <c r="E12734" s="12" t="s">
        <v>222</v>
      </c>
      <c r="F12734" s="12" t="s">
        <v>223</v>
      </c>
      <c r="G12734" s="12" t="s">
        <v>29</v>
      </c>
      <c r="H12734" s="11" t="s">
        <v>63</v>
      </c>
      <c r="I12734" s="13" t="s">
        <v>24890</v>
      </c>
      <c r="J12734" s="14" t="str">
        <f>HYPERLINK("https://www.boe.es/gazeta/dias/1839/06/22/pdfs/GMD-1839-1680.pdf#page=1","Abrir facsímil")</f>
        <v>Abrir facsímil</v>
      </c>
      <c r="K12734" s="12" t="s">
        <v>65</v>
      </c>
    </row>
    <row r="12735" spans="1:11" ht="40.049999999999997" customHeight="1" x14ac:dyDescent="0.25">
      <c r="A12735" s="11" t="s">
        <v>24891</v>
      </c>
      <c r="B12735" s="11" t="s">
        <v>24892</v>
      </c>
      <c r="C12735" s="11" t="s">
        <v>17</v>
      </c>
      <c r="D12735" s="11" t="s">
        <v>18</v>
      </c>
      <c r="E12735" s="12" t="s">
        <v>3224</v>
      </c>
      <c r="F12735" s="12" t="s">
        <v>3225</v>
      </c>
      <c r="G12735" s="12" t="s">
        <v>46</v>
      </c>
      <c r="H12735" s="11" t="s">
        <v>63</v>
      </c>
      <c r="I12735" s="13" t="s">
        <v>24893</v>
      </c>
      <c r="J12735" s="14" t="str">
        <f>HYPERLINK("https://www.boe.es/gazeta/dias/1839/06/03/pdfs/GMD-1839-1661.pdf#page=3","Abrir facsímil")</f>
        <v>Abrir facsímil</v>
      </c>
      <c r="K12735" s="12" t="s">
        <v>65</v>
      </c>
    </row>
    <row r="12736" spans="1:11" ht="40.049999999999997" customHeight="1" x14ac:dyDescent="0.25">
      <c r="A12736" s="11" t="s">
        <v>24894</v>
      </c>
      <c r="B12736" s="11" t="s">
        <v>24895</v>
      </c>
      <c r="C12736" s="11" t="s">
        <v>101</v>
      </c>
      <c r="D12736" s="11" t="s">
        <v>43</v>
      </c>
      <c r="E12736" s="12" t="s">
        <v>1867</v>
      </c>
      <c r="F12736" s="12" t="s">
        <v>1868</v>
      </c>
      <c r="G12736" s="12" t="s">
        <v>40</v>
      </c>
      <c r="H12736" s="11" t="s">
        <v>63</v>
      </c>
      <c r="I12736" s="13" t="s">
        <v>24896</v>
      </c>
      <c r="J12736" s="14" t="str">
        <f>HYPERLINK("https://www.boe.es/gazeta/dias/1839/01/30/pdfs/GMD-1839-1537.pdf#page=2","Abrir facsímil")</f>
        <v>Abrir facsímil</v>
      </c>
      <c r="K12736" s="12" t="s">
        <v>65</v>
      </c>
    </row>
    <row r="12737" spans="1:11" ht="40.049999999999997" customHeight="1" x14ac:dyDescent="0.25">
      <c r="A12737" s="11" t="s">
        <v>24897</v>
      </c>
      <c r="B12737" s="11" t="s">
        <v>24898</v>
      </c>
      <c r="C12737" s="11" t="s">
        <v>17</v>
      </c>
      <c r="D12737" s="11" t="s">
        <v>18</v>
      </c>
      <c r="E12737" s="12" t="s">
        <v>779</v>
      </c>
      <c r="F12737" s="12" t="s">
        <v>780</v>
      </c>
      <c r="G12737" s="12" t="s">
        <v>29</v>
      </c>
      <c r="H12737" s="11" t="s">
        <v>63</v>
      </c>
      <c r="I12737" s="13" t="s">
        <v>24899</v>
      </c>
      <c r="J12737" s="14" t="str">
        <f>HYPERLINK("https://www.boe.es/gazeta/dias/1839/02/03/pdfs/GMD-1839-1541.pdf#page=1","Abrir facsímil")</f>
        <v>Abrir facsímil</v>
      </c>
      <c r="K12737" s="12" t="s">
        <v>65</v>
      </c>
    </row>
    <row r="12738" spans="1:11" ht="40.049999999999997" customHeight="1" x14ac:dyDescent="0.25">
      <c r="A12738" s="11" t="s">
        <v>24900</v>
      </c>
      <c r="B12738" s="11" t="s">
        <v>24901</v>
      </c>
      <c r="C12738" s="11" t="s">
        <v>137</v>
      </c>
      <c r="D12738" s="11" t="s">
        <v>18</v>
      </c>
      <c r="E12738" s="12" t="s">
        <v>862</v>
      </c>
      <c r="F12738" s="12" t="s">
        <v>863</v>
      </c>
      <c r="G12738" s="12" t="s">
        <v>46</v>
      </c>
      <c r="H12738" s="11" t="s">
        <v>63</v>
      </c>
      <c r="I12738" s="13" t="s">
        <v>24902</v>
      </c>
      <c r="J12738" s="14" t="str">
        <f>HYPERLINK("https://www.boe.es/gazeta/dias/1839/10/28/pdfs/GMD-1839-1814.pdf#page=3","Abrir facsímil")</f>
        <v>Abrir facsímil</v>
      </c>
      <c r="K12738" s="12" t="s">
        <v>65</v>
      </c>
    </row>
    <row r="12739" spans="1:11" ht="40.049999999999997" customHeight="1" x14ac:dyDescent="0.25">
      <c r="A12739" s="11" t="s">
        <v>24903</v>
      </c>
      <c r="B12739" s="11" t="s">
        <v>24904</v>
      </c>
      <c r="C12739" s="11" t="s">
        <v>17</v>
      </c>
      <c r="D12739" s="11" t="s">
        <v>18</v>
      </c>
      <c r="E12739" s="12" t="s">
        <v>299</v>
      </c>
      <c r="F12739" s="12" t="s">
        <v>300</v>
      </c>
      <c r="G12739" s="12" t="s">
        <v>29</v>
      </c>
      <c r="H12739" s="11" t="s">
        <v>63</v>
      </c>
      <c r="I12739" s="13" t="s">
        <v>24905</v>
      </c>
      <c r="J12739" s="14" t="str">
        <f>HYPERLINK("https://www.boe.es/gazeta/dias/1839/02/14/pdfs/GMD-1839-1552.pdf#page=1","Abrir facsímil")</f>
        <v>Abrir facsímil</v>
      </c>
      <c r="K12739" s="12" t="s">
        <v>65</v>
      </c>
    </row>
    <row r="12740" spans="1:11" ht="40.049999999999997" customHeight="1" x14ac:dyDescent="0.25">
      <c r="A12740" s="11" t="s">
        <v>24906</v>
      </c>
      <c r="B12740" s="11" t="s">
        <v>24907</v>
      </c>
      <c r="C12740" s="11" t="s">
        <v>17</v>
      </c>
      <c r="D12740" s="11" t="s">
        <v>18</v>
      </c>
      <c r="E12740" s="12" t="s">
        <v>168</v>
      </c>
      <c r="F12740" s="12" t="s">
        <v>169</v>
      </c>
      <c r="G12740" s="12" t="s">
        <v>21</v>
      </c>
      <c r="H12740" s="11" t="s">
        <v>63</v>
      </c>
      <c r="I12740" s="13" t="s">
        <v>24908</v>
      </c>
      <c r="J12740" s="14" t="str">
        <f>HYPERLINK("https://www.boe.es/gazeta/dias/1839/07/12/pdfs/GMD-1839-1700.pdf#page=4","Abrir facsímil")</f>
        <v>Abrir facsímil</v>
      </c>
      <c r="K12740" s="12" t="s">
        <v>65</v>
      </c>
    </row>
    <row r="12741" spans="1:11" ht="40.049999999999997" customHeight="1" x14ac:dyDescent="0.25">
      <c r="A12741" s="11" t="s">
        <v>24909</v>
      </c>
      <c r="B12741" s="11" t="s">
        <v>24910</v>
      </c>
      <c r="C12741" s="11" t="s">
        <v>17</v>
      </c>
      <c r="D12741" s="11" t="s">
        <v>18</v>
      </c>
      <c r="E12741" s="12" t="s">
        <v>68</v>
      </c>
      <c r="F12741" s="12" t="s">
        <v>69</v>
      </c>
      <c r="G12741" s="12" t="s">
        <v>29</v>
      </c>
      <c r="H12741" s="11" t="s">
        <v>63</v>
      </c>
      <c r="I12741" s="13" t="s">
        <v>24911</v>
      </c>
      <c r="J12741" s="14" t="str">
        <f>HYPERLINK("https://www.boe.es/gazeta/dias/1839/02/09/pdfs/GMD-1839-1547.pdf#page=1","Abrir facsímil")</f>
        <v>Abrir facsímil</v>
      </c>
      <c r="K12741" s="12" t="s">
        <v>65</v>
      </c>
    </row>
    <row r="12742" spans="1:11" ht="40.049999999999997" customHeight="1" x14ac:dyDescent="0.25">
      <c r="A12742" s="11" t="s">
        <v>24912</v>
      </c>
      <c r="B12742" s="11" t="s">
        <v>24913</v>
      </c>
      <c r="C12742" s="11" t="s">
        <v>101</v>
      </c>
      <c r="D12742" s="11" t="s">
        <v>43</v>
      </c>
      <c r="E12742" s="12" t="s">
        <v>160</v>
      </c>
      <c r="F12742" s="12" t="s">
        <v>161</v>
      </c>
      <c r="G12742" s="12" t="s">
        <v>40</v>
      </c>
      <c r="H12742" s="11" t="s">
        <v>63</v>
      </c>
      <c r="I12742" s="13" t="s">
        <v>24914</v>
      </c>
      <c r="J12742" s="14" t="str">
        <f>HYPERLINK("https://www.boe.es/gazeta/dias/1839/01/10/pdfs/GMD-1839-1517.pdf#page=2","Abrir facsímil")</f>
        <v>Abrir facsímil</v>
      </c>
      <c r="K12742" s="12" t="s">
        <v>65</v>
      </c>
    </row>
    <row r="12743" spans="1:11" ht="40.049999999999997" customHeight="1" x14ac:dyDescent="0.25">
      <c r="A12743" s="11" t="s">
        <v>24915</v>
      </c>
      <c r="B12743" s="11" t="s">
        <v>24915</v>
      </c>
      <c r="C12743" s="11" t="s">
        <v>101</v>
      </c>
      <c r="D12743" s="11" t="s">
        <v>43</v>
      </c>
      <c r="E12743" s="12" t="s">
        <v>1929</v>
      </c>
      <c r="F12743" s="12" t="s">
        <v>1930</v>
      </c>
      <c r="G12743" s="12" t="s">
        <v>46</v>
      </c>
      <c r="H12743" s="11" t="s">
        <v>22</v>
      </c>
      <c r="I12743" s="13" t="s">
        <v>24916</v>
      </c>
      <c r="J12743" s="14" t="str">
        <f>HYPERLINK("https://www.boe.es/gazeta/dias/1839/02/01/pdfs/GMD-1839-1539.pdf#page=3","Abrir facsímil")</f>
        <v>Abrir facsímil</v>
      </c>
      <c r="K12743" s="12" t="s">
        <v>24</v>
      </c>
    </row>
    <row r="12744" spans="1:11" ht="40.049999999999997" customHeight="1" x14ac:dyDescent="0.25">
      <c r="A12744" s="11" t="s">
        <v>24915</v>
      </c>
      <c r="B12744" s="11" t="s">
        <v>24915</v>
      </c>
      <c r="C12744" s="11" t="s">
        <v>17</v>
      </c>
      <c r="D12744" s="11" t="s">
        <v>18</v>
      </c>
      <c r="E12744" s="12" t="s">
        <v>291</v>
      </c>
      <c r="F12744" s="12" t="s">
        <v>292</v>
      </c>
      <c r="G12744" s="12" t="s">
        <v>40</v>
      </c>
      <c r="H12744" s="11" t="s">
        <v>22</v>
      </c>
      <c r="I12744" s="13" t="s">
        <v>24917</v>
      </c>
      <c r="J12744" s="14" t="str">
        <f>HYPERLINK("https://www.boe.es/gazeta/dias/1839/09/04/pdfs/GMD-1839-1757.pdf#page=2","Abrir facsímil")</f>
        <v>Abrir facsímil</v>
      </c>
      <c r="K12744" s="12" t="s">
        <v>24</v>
      </c>
    </row>
    <row r="12745" spans="1:11" ht="40.049999999999997" customHeight="1" x14ac:dyDescent="0.25">
      <c r="A12745" s="11" t="s">
        <v>24915</v>
      </c>
      <c r="B12745" s="11" t="s">
        <v>24915</v>
      </c>
      <c r="C12745" s="11" t="s">
        <v>17</v>
      </c>
      <c r="D12745" s="11" t="s">
        <v>18</v>
      </c>
      <c r="E12745" s="12" t="s">
        <v>49</v>
      </c>
      <c r="F12745" s="12" t="s">
        <v>50</v>
      </c>
      <c r="G12745" s="12" t="s">
        <v>21</v>
      </c>
      <c r="H12745" s="11" t="s">
        <v>22</v>
      </c>
      <c r="I12745" s="13" t="s">
        <v>24918</v>
      </c>
      <c r="J12745" s="14" t="str">
        <f>HYPERLINK("https://www.boe.es/gazeta/dias/1839/01/05/pdfs/GMD-1839-1512.pdf#page=4","Abrir facsímil")</f>
        <v>Abrir facsímil</v>
      </c>
      <c r="K12745" s="12" t="s">
        <v>24</v>
      </c>
    </row>
    <row r="12746" spans="1:11" ht="40.049999999999997" customHeight="1" x14ac:dyDescent="0.25">
      <c r="A12746" s="11" t="s">
        <v>24915</v>
      </c>
      <c r="B12746" s="11" t="s">
        <v>24915</v>
      </c>
      <c r="C12746" s="11" t="s">
        <v>17</v>
      </c>
      <c r="D12746" s="11" t="s">
        <v>18</v>
      </c>
      <c r="E12746" s="12" t="s">
        <v>54</v>
      </c>
      <c r="F12746" s="12" t="s">
        <v>55</v>
      </c>
      <c r="G12746" s="12" t="s">
        <v>40</v>
      </c>
      <c r="H12746" s="11" t="s">
        <v>22</v>
      </c>
      <c r="I12746" s="13" t="s">
        <v>24919</v>
      </c>
      <c r="J12746" s="14" t="str">
        <f>HYPERLINK("https://www.boe.es/gazeta/dias/1839/10/05/pdfs/GMD-1839-1791.pdf#page=2","Abrir facsímil")</f>
        <v>Abrir facsímil</v>
      </c>
      <c r="K12746" s="12" t="s">
        <v>24</v>
      </c>
    </row>
    <row r="12747" spans="1:11" ht="40.049999999999997" customHeight="1" x14ac:dyDescent="0.25">
      <c r="A12747" s="11" t="s">
        <v>24915</v>
      </c>
      <c r="B12747" s="11" t="s">
        <v>24915</v>
      </c>
      <c r="C12747" s="11" t="s">
        <v>17</v>
      </c>
      <c r="D12747" s="11" t="s">
        <v>18</v>
      </c>
      <c r="E12747" s="12" t="s">
        <v>2738</v>
      </c>
      <c r="F12747" s="12" t="s">
        <v>2739</v>
      </c>
      <c r="G12747" s="12" t="s">
        <v>46</v>
      </c>
      <c r="H12747" s="11" t="s">
        <v>22</v>
      </c>
      <c r="I12747" s="13" t="s">
        <v>24920</v>
      </c>
      <c r="J12747" s="14" t="str">
        <f>HYPERLINK("https://www.boe.es/gazeta/dias/1839/09/06/pdfs/GMD-1839-1759.pdf#page=3","Abrir facsímil")</f>
        <v>Abrir facsímil</v>
      </c>
      <c r="K12747" s="12" t="s">
        <v>24</v>
      </c>
    </row>
    <row r="12748" spans="1:11" ht="40.049999999999997" customHeight="1" x14ac:dyDescent="0.25">
      <c r="A12748" s="11" t="s">
        <v>24915</v>
      </c>
      <c r="B12748" s="11" t="s">
        <v>24915</v>
      </c>
      <c r="C12748" s="11" t="s">
        <v>17</v>
      </c>
      <c r="D12748" s="11" t="s">
        <v>18</v>
      </c>
      <c r="E12748" s="12" t="s">
        <v>303</v>
      </c>
      <c r="F12748" s="12" t="s">
        <v>304</v>
      </c>
      <c r="G12748" s="12" t="s">
        <v>40</v>
      </c>
      <c r="H12748" s="11" t="s">
        <v>22</v>
      </c>
      <c r="I12748" s="13" t="s">
        <v>24921</v>
      </c>
      <c r="J12748" s="14" t="str">
        <f>HYPERLINK("https://www.boe.es/gazeta/dias/1839/10/06/pdfs/GMD-1839-1792.pdf#page=2","Abrir facsímil")</f>
        <v>Abrir facsímil</v>
      </c>
      <c r="K12748" s="12" t="s">
        <v>24</v>
      </c>
    </row>
    <row r="12749" spans="1:11" ht="40.049999999999997" customHeight="1" x14ac:dyDescent="0.25">
      <c r="A12749" s="11" t="s">
        <v>24915</v>
      </c>
      <c r="B12749" s="11" t="s">
        <v>24915</v>
      </c>
      <c r="C12749" s="11" t="s">
        <v>17</v>
      </c>
      <c r="D12749" s="11" t="s">
        <v>18</v>
      </c>
      <c r="E12749" s="12" t="s">
        <v>647</v>
      </c>
      <c r="F12749" s="12" t="s">
        <v>648</v>
      </c>
      <c r="G12749" s="12" t="s">
        <v>566</v>
      </c>
      <c r="H12749" s="11" t="s">
        <v>22</v>
      </c>
      <c r="I12749" s="13" t="s">
        <v>24922</v>
      </c>
      <c r="J12749" s="14" t="str">
        <f>HYPERLINK("https://www.boe.es/gazeta/dias/1839/10/08/pdfs/GMD-1839-1794.pdf#page=5","Abrir facsímil")</f>
        <v>Abrir facsímil</v>
      </c>
      <c r="K12749" s="12" t="s">
        <v>24</v>
      </c>
    </row>
    <row r="12750" spans="1:11" ht="40.049999999999997" customHeight="1" x14ac:dyDescent="0.25">
      <c r="A12750" s="11" t="s">
        <v>24915</v>
      </c>
      <c r="B12750" s="11" t="s">
        <v>24915</v>
      </c>
      <c r="C12750" s="11" t="s">
        <v>17</v>
      </c>
      <c r="D12750" s="11" t="s">
        <v>18</v>
      </c>
      <c r="E12750" s="12" t="s">
        <v>269</v>
      </c>
      <c r="F12750" s="12" t="s">
        <v>270</v>
      </c>
      <c r="G12750" s="12" t="s">
        <v>46</v>
      </c>
      <c r="H12750" s="11" t="s">
        <v>22</v>
      </c>
      <c r="I12750" s="13" t="s">
        <v>24923</v>
      </c>
      <c r="J12750" s="14" t="str">
        <f>HYPERLINK("https://www.boe.es/gazeta/dias/1839/02/10/pdfs/GMD-1839-1548.pdf#page=3","Abrir facsímil")</f>
        <v>Abrir facsímil</v>
      </c>
      <c r="K12750" s="12" t="s">
        <v>24</v>
      </c>
    </row>
    <row r="12751" spans="1:11" ht="40.049999999999997" customHeight="1" x14ac:dyDescent="0.25">
      <c r="A12751" s="11" t="s">
        <v>24924</v>
      </c>
      <c r="B12751" s="11" t="s">
        <v>24924</v>
      </c>
      <c r="C12751" s="11" t="s">
        <v>17</v>
      </c>
      <c r="D12751" s="11" t="s">
        <v>18</v>
      </c>
      <c r="E12751" s="12" t="s">
        <v>483</v>
      </c>
      <c r="F12751" s="12" t="s">
        <v>484</v>
      </c>
      <c r="G12751" s="12" t="s">
        <v>21</v>
      </c>
      <c r="H12751" s="11" t="s">
        <v>63</v>
      </c>
      <c r="I12751" s="13" t="s">
        <v>24925</v>
      </c>
      <c r="J12751" s="14" t="str">
        <f>HYPERLINK("https://www.boe.es/gazeta/dias/1839/11/18/pdfs/GMD-1839-1835.pdf#page=4","Abrir facsímil")</f>
        <v>Abrir facsímil</v>
      </c>
      <c r="K12751" s="12" t="s">
        <v>65</v>
      </c>
    </row>
    <row r="12752" spans="1:11" ht="40.049999999999997" customHeight="1" x14ac:dyDescent="0.25">
      <c r="A12752" s="11" t="s">
        <v>24915</v>
      </c>
      <c r="B12752" s="11" t="s">
        <v>24915</v>
      </c>
      <c r="C12752" s="11" t="s">
        <v>101</v>
      </c>
      <c r="D12752" s="11" t="s">
        <v>43</v>
      </c>
      <c r="E12752" s="12" t="s">
        <v>1108</v>
      </c>
      <c r="F12752" s="12" t="s">
        <v>1109</v>
      </c>
      <c r="G12752" s="12" t="s">
        <v>46</v>
      </c>
      <c r="H12752" s="11" t="s">
        <v>22</v>
      </c>
      <c r="I12752" s="13" t="s">
        <v>24926</v>
      </c>
      <c r="J12752" s="14" t="str">
        <f>HYPERLINK("https://www.boe.es/gazeta/dias/1839/09/21/pdfs/GMD-1839-1776.pdf#page=3","Abrir facsímil")</f>
        <v>Abrir facsímil</v>
      </c>
      <c r="K12752" s="12" t="s">
        <v>24</v>
      </c>
    </row>
    <row r="12753" spans="1:11" ht="40.049999999999997" customHeight="1" x14ac:dyDescent="0.25">
      <c r="A12753" s="11" t="s">
        <v>24915</v>
      </c>
      <c r="B12753" s="11" t="s">
        <v>24915</v>
      </c>
      <c r="C12753" s="11" t="s">
        <v>137</v>
      </c>
      <c r="D12753" s="11" t="s">
        <v>18</v>
      </c>
      <c r="E12753" s="12" t="s">
        <v>1108</v>
      </c>
      <c r="F12753" s="12" t="s">
        <v>1109</v>
      </c>
      <c r="G12753" s="12" t="s">
        <v>21</v>
      </c>
      <c r="H12753" s="11" t="s">
        <v>22</v>
      </c>
      <c r="I12753" s="13" t="s">
        <v>24927</v>
      </c>
      <c r="J12753" s="14" t="str">
        <f>HYPERLINK("https://www.boe.es/gazeta/dias/1839/09/21/pdfs/GMD-1839-1776.pdf#page=4","Abrir facsímil")</f>
        <v>Abrir facsímil</v>
      </c>
      <c r="K12753" s="12" t="s">
        <v>24</v>
      </c>
    </row>
    <row r="12754" spans="1:11" ht="40.049999999999997" customHeight="1" x14ac:dyDescent="0.25">
      <c r="A12754" s="11" t="s">
        <v>24915</v>
      </c>
      <c r="B12754" s="11" t="s">
        <v>24915</v>
      </c>
      <c r="C12754" s="11" t="s">
        <v>17</v>
      </c>
      <c r="D12754" s="11" t="s">
        <v>18</v>
      </c>
      <c r="E12754" s="12" t="s">
        <v>276</v>
      </c>
      <c r="F12754" s="12" t="s">
        <v>277</v>
      </c>
      <c r="G12754" s="12" t="s">
        <v>46</v>
      </c>
      <c r="H12754" s="11" t="s">
        <v>22</v>
      </c>
      <c r="I12754" s="13" t="s">
        <v>24928</v>
      </c>
      <c r="J12754" s="14" t="str">
        <f>HYPERLINK("https://www.boe.es/gazeta/dias/1839/09/24/pdfs/GMD-1839-1780.pdf#page=3","Abrir facsímil")</f>
        <v>Abrir facsímil</v>
      </c>
      <c r="K12754" s="12" t="s">
        <v>24</v>
      </c>
    </row>
    <row r="12755" spans="1:11" ht="40.049999999999997" customHeight="1" x14ac:dyDescent="0.25">
      <c r="A12755" s="11" t="s">
        <v>24915</v>
      </c>
      <c r="B12755" s="11" t="s">
        <v>24915</v>
      </c>
      <c r="C12755" s="11" t="s">
        <v>17</v>
      </c>
      <c r="D12755" s="11" t="s">
        <v>18</v>
      </c>
      <c r="E12755" s="12" t="s">
        <v>650</v>
      </c>
      <c r="F12755" s="12" t="s">
        <v>651</v>
      </c>
      <c r="G12755" s="12" t="s">
        <v>40</v>
      </c>
      <c r="H12755" s="11" t="s">
        <v>22</v>
      </c>
      <c r="I12755" s="13" t="s">
        <v>24929</v>
      </c>
      <c r="J12755" s="14" t="str">
        <f>HYPERLINK("https://www.boe.es/gazeta/dias/1839/10/25/pdfs/GMD-1839-1811.pdf#page=2","Abrir facsímil")</f>
        <v>Abrir facsímil</v>
      </c>
      <c r="K12755" s="12" t="s">
        <v>24</v>
      </c>
    </row>
    <row r="12756" spans="1:11" ht="40.049999999999997" customHeight="1" x14ac:dyDescent="0.25">
      <c r="A12756" s="11" t="s">
        <v>24915</v>
      </c>
      <c r="B12756" s="11" t="s">
        <v>24915</v>
      </c>
      <c r="C12756" s="11" t="s">
        <v>101</v>
      </c>
      <c r="D12756" s="11" t="s">
        <v>43</v>
      </c>
      <c r="E12756" s="12" t="s">
        <v>929</v>
      </c>
      <c r="F12756" s="12" t="s">
        <v>930</v>
      </c>
      <c r="G12756" s="12" t="s">
        <v>46</v>
      </c>
      <c r="H12756" s="11" t="s">
        <v>22</v>
      </c>
      <c r="I12756" s="13" t="s">
        <v>24930</v>
      </c>
      <c r="J12756" s="14" t="str">
        <f>HYPERLINK("https://www.boe.es/gazeta/dias/1839/01/31/pdfs/GMD-1839-1538.pdf#page=3","Abrir facsímil")</f>
        <v>Abrir facsímil</v>
      </c>
      <c r="K12756" s="12" t="s">
        <v>24</v>
      </c>
    </row>
    <row r="12757" spans="1:11" ht="40.049999999999997" customHeight="1" x14ac:dyDescent="0.25">
      <c r="A12757" s="11" t="s">
        <v>24931</v>
      </c>
      <c r="B12757" s="11" t="s">
        <v>24931</v>
      </c>
      <c r="C12757" s="11" t="s">
        <v>101</v>
      </c>
      <c r="D12757" s="11" t="s">
        <v>43</v>
      </c>
      <c r="E12757" s="12" t="s">
        <v>262</v>
      </c>
      <c r="F12757" s="12" t="s">
        <v>263</v>
      </c>
      <c r="G12757" s="12" t="s">
        <v>29</v>
      </c>
      <c r="H12757" s="11" t="s">
        <v>63</v>
      </c>
      <c r="I12757" s="13" t="s">
        <v>24932</v>
      </c>
      <c r="J12757" s="14" t="str">
        <f>HYPERLINK("https://www.boe.es/gazeta/dias/1839/01/01/pdfs/GMD-1839-1508.pdf#page=1","Abrir facsímil")</f>
        <v>Abrir facsímil</v>
      </c>
      <c r="K12757" s="12" t="s">
        <v>65</v>
      </c>
    </row>
    <row r="12758" spans="1:11" ht="40.049999999999997" customHeight="1" x14ac:dyDescent="0.25">
      <c r="A12758" s="11" t="s">
        <v>24933</v>
      </c>
      <c r="B12758" s="11" t="s">
        <v>24933</v>
      </c>
      <c r="C12758" s="11" t="s">
        <v>17</v>
      </c>
      <c r="D12758" s="11" t="s">
        <v>18</v>
      </c>
      <c r="E12758" s="12" t="s">
        <v>1929</v>
      </c>
      <c r="F12758" s="12" t="s">
        <v>1930</v>
      </c>
      <c r="G12758" s="12" t="s">
        <v>46</v>
      </c>
      <c r="H12758" s="11" t="s">
        <v>22</v>
      </c>
      <c r="I12758" s="13" t="s">
        <v>24934</v>
      </c>
      <c r="J12758" s="14" t="str">
        <f>HYPERLINK("https://www.boe.es/gazeta/dias/1839/02/01/pdfs/GMD-1839-1539.pdf#page=3","Abrir facsímil")</f>
        <v>Abrir facsímil</v>
      </c>
      <c r="K12758" s="12" t="s">
        <v>24</v>
      </c>
    </row>
    <row r="12759" spans="1:11" ht="40.049999999999997" customHeight="1" x14ac:dyDescent="0.25">
      <c r="A12759" s="11" t="s">
        <v>24933</v>
      </c>
      <c r="B12759" s="11" t="s">
        <v>24933</v>
      </c>
      <c r="C12759" s="11" t="s">
        <v>17</v>
      </c>
      <c r="D12759" s="11" t="s">
        <v>18</v>
      </c>
      <c r="E12759" s="12" t="s">
        <v>154</v>
      </c>
      <c r="F12759" s="12" t="s">
        <v>155</v>
      </c>
      <c r="G12759" s="12" t="s">
        <v>46</v>
      </c>
      <c r="H12759" s="11" t="s">
        <v>22</v>
      </c>
      <c r="I12759" s="13" t="s">
        <v>24935</v>
      </c>
      <c r="J12759" s="14" t="str">
        <f>HYPERLINK("https://www.boe.es/gazeta/dias/1839/02/02/pdfs/GMD-1839-1540.pdf#page=3","Abrir facsímil")</f>
        <v>Abrir facsímil</v>
      </c>
      <c r="K12759" s="12" t="s">
        <v>24</v>
      </c>
    </row>
    <row r="12760" spans="1:11" ht="40.049999999999997" customHeight="1" x14ac:dyDescent="0.25">
      <c r="A12760" s="11" t="s">
        <v>24931</v>
      </c>
      <c r="B12760" s="11" t="s">
        <v>24931</v>
      </c>
      <c r="C12760" s="11" t="s">
        <v>101</v>
      </c>
      <c r="D12760" s="11" t="s">
        <v>102</v>
      </c>
      <c r="E12760" s="12" t="s">
        <v>2165</v>
      </c>
      <c r="F12760" s="12" t="s">
        <v>2166</v>
      </c>
      <c r="G12760" s="12" t="s">
        <v>40</v>
      </c>
      <c r="H12760" s="11" t="s">
        <v>63</v>
      </c>
      <c r="I12760" s="13" t="s">
        <v>24936</v>
      </c>
      <c r="J12760" s="14" t="str">
        <f>HYPERLINK("https://www.boe.es/gazeta/dias/1839/01/06/pdfs/GMD-1839-1513.pdf#page=2","Abrir facsímil")</f>
        <v>Abrir facsímil</v>
      </c>
      <c r="K12760" s="12" t="s">
        <v>65</v>
      </c>
    </row>
    <row r="12761" spans="1:11" ht="40.049999999999997" customHeight="1" x14ac:dyDescent="0.25">
      <c r="A12761" s="11" t="s">
        <v>24933</v>
      </c>
      <c r="B12761" s="11" t="s">
        <v>24933</v>
      </c>
      <c r="C12761" s="11" t="s">
        <v>101</v>
      </c>
      <c r="D12761" s="11" t="s">
        <v>43</v>
      </c>
      <c r="E12761" s="12" t="s">
        <v>157</v>
      </c>
      <c r="F12761" s="12" t="s">
        <v>158</v>
      </c>
      <c r="G12761" s="12" t="s">
        <v>46</v>
      </c>
      <c r="H12761" s="11" t="s">
        <v>22</v>
      </c>
      <c r="I12761" s="13" t="s">
        <v>24937</v>
      </c>
      <c r="J12761" s="14" t="str">
        <f>HYPERLINK("https://www.boe.es/gazeta/dias/1839/02/08/pdfs/GMD-1839-1546.pdf#page=3","Abrir facsímil")</f>
        <v>Abrir facsímil</v>
      </c>
      <c r="K12761" s="12" t="s">
        <v>24</v>
      </c>
    </row>
    <row r="12762" spans="1:11" ht="40.049999999999997" customHeight="1" x14ac:dyDescent="0.25">
      <c r="A12762" s="11" t="s">
        <v>24931</v>
      </c>
      <c r="B12762" s="11" t="s">
        <v>24931</v>
      </c>
      <c r="C12762" s="11" t="s">
        <v>101</v>
      </c>
      <c r="D12762" s="11" t="s">
        <v>43</v>
      </c>
      <c r="E12762" s="12" t="s">
        <v>157</v>
      </c>
      <c r="F12762" s="12" t="s">
        <v>158</v>
      </c>
      <c r="G12762" s="12" t="s">
        <v>21</v>
      </c>
      <c r="H12762" s="11" t="s">
        <v>63</v>
      </c>
      <c r="I12762" s="13" t="s">
        <v>24938</v>
      </c>
      <c r="J12762" s="14" t="str">
        <f>HYPERLINK("https://www.boe.es/gazeta/dias/1839/02/08/pdfs/GMD-1839-1546.pdf#page=4","Abrir facsímil")</f>
        <v>Abrir facsímil</v>
      </c>
      <c r="K12762" s="12" t="s">
        <v>65</v>
      </c>
    </row>
    <row r="12763" spans="1:11" ht="40.049999999999997" customHeight="1" x14ac:dyDescent="0.25">
      <c r="A12763" s="11" t="s">
        <v>24933</v>
      </c>
      <c r="B12763" s="11" t="s">
        <v>24933</v>
      </c>
      <c r="C12763" s="11" t="s">
        <v>17</v>
      </c>
      <c r="D12763" s="11" t="s">
        <v>18</v>
      </c>
      <c r="E12763" s="12" t="s">
        <v>2050</v>
      </c>
      <c r="F12763" s="12" t="s">
        <v>2051</v>
      </c>
      <c r="G12763" s="12" t="s">
        <v>46</v>
      </c>
      <c r="H12763" s="11" t="s">
        <v>22</v>
      </c>
      <c r="I12763" s="13" t="s">
        <v>24939</v>
      </c>
      <c r="J12763" s="14" t="str">
        <f>HYPERLINK("https://www.boe.es/gazeta/dias/1839/01/09/pdfs/GMD-1839-1516.pdf#page=3","Abrir facsímil")</f>
        <v>Abrir facsímil</v>
      </c>
      <c r="K12763" s="12" t="s">
        <v>24</v>
      </c>
    </row>
    <row r="12764" spans="1:11" ht="40.049999999999997" customHeight="1" x14ac:dyDescent="0.25">
      <c r="A12764" s="11" t="s">
        <v>24933</v>
      </c>
      <c r="B12764" s="11" t="s">
        <v>24933</v>
      </c>
      <c r="C12764" s="11" t="s">
        <v>17</v>
      </c>
      <c r="D12764" s="11" t="s">
        <v>18</v>
      </c>
      <c r="E12764" s="12" t="s">
        <v>181</v>
      </c>
      <c r="F12764" s="12" t="s">
        <v>182</v>
      </c>
      <c r="G12764" s="12" t="s">
        <v>46</v>
      </c>
      <c r="H12764" s="11" t="s">
        <v>22</v>
      </c>
      <c r="I12764" s="13" t="s">
        <v>24940</v>
      </c>
      <c r="J12764" s="14" t="str">
        <f>HYPERLINK("https://www.boe.es/gazeta/dias/1839/01/11/pdfs/GMD-1839-1518.pdf#page=3","Abrir facsímil")</f>
        <v>Abrir facsímil</v>
      </c>
      <c r="K12764" s="12" t="s">
        <v>24</v>
      </c>
    </row>
    <row r="12765" spans="1:11" ht="40.049999999999997" customHeight="1" x14ac:dyDescent="0.25">
      <c r="A12765" s="11" t="s">
        <v>24933</v>
      </c>
      <c r="B12765" s="11" t="s">
        <v>24933</v>
      </c>
      <c r="C12765" s="11" t="s">
        <v>101</v>
      </c>
      <c r="D12765" s="11" t="s">
        <v>43</v>
      </c>
      <c r="E12765" s="12" t="s">
        <v>185</v>
      </c>
      <c r="F12765" s="12" t="s">
        <v>186</v>
      </c>
      <c r="G12765" s="12" t="s">
        <v>40</v>
      </c>
      <c r="H12765" s="11" t="s">
        <v>22</v>
      </c>
      <c r="I12765" s="13" t="s">
        <v>24941</v>
      </c>
      <c r="J12765" s="14" t="str">
        <f>HYPERLINK("https://www.boe.es/gazeta/dias/1839/01/15/pdfs/GMD-1839-1522.pdf#page=2","Abrir facsímil")</f>
        <v>Abrir facsímil</v>
      </c>
      <c r="K12765" s="12" t="s">
        <v>24</v>
      </c>
    </row>
    <row r="12766" spans="1:11" ht="40.049999999999997" customHeight="1" x14ac:dyDescent="0.25">
      <c r="A12766" s="11" t="s">
        <v>24931</v>
      </c>
      <c r="B12766" s="11" t="s">
        <v>24931</v>
      </c>
      <c r="C12766" s="11" t="s">
        <v>17</v>
      </c>
      <c r="D12766" s="11" t="s">
        <v>18</v>
      </c>
      <c r="E12766" s="12" t="s">
        <v>929</v>
      </c>
      <c r="F12766" s="12" t="s">
        <v>930</v>
      </c>
      <c r="G12766" s="12" t="s">
        <v>46</v>
      </c>
      <c r="H12766" s="11" t="s">
        <v>63</v>
      </c>
      <c r="I12766" s="13" t="s">
        <v>24942</v>
      </c>
      <c r="J12766" s="14" t="str">
        <f>HYPERLINK("https://www.boe.es/gazeta/dias/1839/01/31/pdfs/GMD-1839-1538.pdf#page=3","Abrir facsímil")</f>
        <v>Abrir facsímil</v>
      </c>
      <c r="K12766" s="12" t="s">
        <v>65</v>
      </c>
    </row>
    <row r="12767" spans="1:11" ht="40.049999999999997" customHeight="1" x14ac:dyDescent="0.25">
      <c r="A12767" s="11" t="s">
        <v>24943</v>
      </c>
      <c r="B12767" s="11" t="s">
        <v>24944</v>
      </c>
      <c r="C12767" s="11" t="s">
        <v>137</v>
      </c>
      <c r="D12767" s="11" t="s">
        <v>18</v>
      </c>
      <c r="E12767" s="12" t="s">
        <v>1628</v>
      </c>
      <c r="F12767" s="12" t="s">
        <v>1629</v>
      </c>
      <c r="G12767" s="12" t="s">
        <v>40</v>
      </c>
      <c r="H12767" s="11" t="s">
        <v>63</v>
      </c>
      <c r="I12767" s="13" t="s">
        <v>24945</v>
      </c>
      <c r="J12767" s="14" t="str">
        <f>HYPERLINK("https://www.boe.es/gazeta/dias/1839/03/10/pdfs/GMD-1839-1576.pdf#page=2","Abrir facsímil")</f>
        <v>Abrir facsímil</v>
      </c>
      <c r="K12767" s="12" t="s">
        <v>65</v>
      </c>
    </row>
    <row r="12768" spans="1:11" ht="40.049999999999997" customHeight="1" x14ac:dyDescent="0.25">
      <c r="A12768" s="11" t="s">
        <v>24946</v>
      </c>
      <c r="B12768" s="11" t="s">
        <v>24946</v>
      </c>
      <c r="C12768" s="11" t="s">
        <v>17</v>
      </c>
      <c r="D12768" s="11" t="s">
        <v>18</v>
      </c>
      <c r="E12768" s="12" t="s">
        <v>103</v>
      </c>
      <c r="F12768" s="12" t="s">
        <v>104</v>
      </c>
      <c r="G12768" s="12" t="s">
        <v>21</v>
      </c>
      <c r="H12768" s="11" t="s">
        <v>22</v>
      </c>
      <c r="I12768" s="13" t="s">
        <v>24947</v>
      </c>
      <c r="J12768" s="14" t="str">
        <f>HYPERLINK("https://www.boe.es/gazeta/dias/1839/10/12/pdfs/GMD-1839-1798.pdf#page=4","Abrir facsímil")</f>
        <v>Abrir facsímil</v>
      </c>
      <c r="K12768" s="12" t="s">
        <v>24</v>
      </c>
    </row>
    <row r="12769" spans="1:11" ht="40.049999999999997" customHeight="1" x14ac:dyDescent="0.25">
      <c r="A12769" s="11" t="s">
        <v>24948</v>
      </c>
      <c r="B12769" s="11" t="s">
        <v>24948</v>
      </c>
      <c r="C12769" s="11" t="s">
        <v>17</v>
      </c>
      <c r="D12769" s="11" t="s">
        <v>18</v>
      </c>
      <c r="E12769" s="12" t="s">
        <v>513</v>
      </c>
      <c r="F12769" s="12" t="s">
        <v>514</v>
      </c>
      <c r="G12769" s="12" t="s">
        <v>46</v>
      </c>
      <c r="H12769" s="11" t="s">
        <v>63</v>
      </c>
      <c r="I12769" s="13" t="s">
        <v>24949</v>
      </c>
      <c r="J12769" s="14" t="str">
        <f>HYPERLINK("https://www.boe.es/gazeta/dias/1839/03/17/pdfs/GMD-1839-1583.pdf#page=3","Abrir facsímil")</f>
        <v>Abrir facsímil</v>
      </c>
      <c r="K12769" s="12" t="s">
        <v>65</v>
      </c>
    </row>
    <row r="12770" spans="1:11" ht="40.049999999999997" customHeight="1" x14ac:dyDescent="0.25">
      <c r="A12770" s="11" t="s">
        <v>24948</v>
      </c>
      <c r="B12770" s="11" t="s">
        <v>24948</v>
      </c>
      <c r="C12770" s="11" t="s">
        <v>80</v>
      </c>
      <c r="D12770" s="11" t="s">
        <v>18</v>
      </c>
      <c r="E12770" s="12" t="s">
        <v>1072</v>
      </c>
      <c r="F12770" s="12" t="s">
        <v>1073</v>
      </c>
      <c r="G12770" s="12" t="s">
        <v>40</v>
      </c>
      <c r="H12770" s="11" t="s">
        <v>63</v>
      </c>
      <c r="I12770" s="13" t="s">
        <v>24950</v>
      </c>
      <c r="J12770" s="14" t="str">
        <f>HYPERLINK("https://www.boe.es/gazeta/dias/1839/01/18/pdfs/GMD-1839-1525.pdf#page=2","Abrir facsímil")</f>
        <v>Abrir facsímil</v>
      </c>
      <c r="K12770" s="12" t="s">
        <v>65</v>
      </c>
    </row>
    <row r="12771" spans="1:11" ht="40.049999999999997" customHeight="1" x14ac:dyDescent="0.25">
      <c r="A12771" s="11" t="s">
        <v>24948</v>
      </c>
      <c r="B12771" s="11" t="s">
        <v>24948</v>
      </c>
      <c r="C12771" s="11" t="s">
        <v>17</v>
      </c>
      <c r="D12771" s="11" t="s">
        <v>18</v>
      </c>
      <c r="E12771" s="12" t="s">
        <v>1679</v>
      </c>
      <c r="F12771" s="12" t="s">
        <v>1680</v>
      </c>
      <c r="G12771" s="12" t="s">
        <v>46</v>
      </c>
      <c r="H12771" s="11" t="s">
        <v>63</v>
      </c>
      <c r="I12771" s="13" t="s">
        <v>24951</v>
      </c>
      <c r="J12771" s="14" t="str">
        <f>HYPERLINK("https://www.boe.es/gazeta/dias/1839/01/26/pdfs/GMD-1839-1533.pdf#page=3","Abrir facsímil")</f>
        <v>Abrir facsímil</v>
      </c>
      <c r="K12771" s="12" t="s">
        <v>65</v>
      </c>
    </row>
    <row r="12772" spans="1:11" ht="40.049999999999997" customHeight="1" x14ac:dyDescent="0.25">
      <c r="A12772" s="11" t="s">
        <v>24952</v>
      </c>
      <c r="B12772" s="11" t="s">
        <v>24953</v>
      </c>
      <c r="C12772" s="11" t="s">
        <v>137</v>
      </c>
      <c r="D12772" s="11" t="s">
        <v>18</v>
      </c>
      <c r="E12772" s="12" t="s">
        <v>496</v>
      </c>
      <c r="F12772" s="12" t="s">
        <v>497</v>
      </c>
      <c r="G12772" s="12" t="s">
        <v>46</v>
      </c>
      <c r="H12772" s="11" t="s">
        <v>63</v>
      </c>
      <c r="I12772" s="13" t="s">
        <v>24954</v>
      </c>
      <c r="J12772" s="14" t="str">
        <f>HYPERLINK("https://www.boe.es/gazeta/dias/1839/11/23/pdfs/GMD-1839-1840.pdf#page=3","Abrir facsímil")</f>
        <v>Abrir facsímil</v>
      </c>
      <c r="K12772" s="12" t="s">
        <v>65</v>
      </c>
    </row>
    <row r="12773" spans="1:11" ht="40.049999999999997" customHeight="1" x14ac:dyDescent="0.25">
      <c r="A12773" s="11" t="s">
        <v>24952</v>
      </c>
      <c r="B12773" s="11" t="s">
        <v>24953</v>
      </c>
      <c r="C12773" s="11" t="s">
        <v>17</v>
      </c>
      <c r="D12773" s="11" t="s">
        <v>18</v>
      </c>
      <c r="E12773" s="12" t="s">
        <v>246</v>
      </c>
      <c r="F12773" s="12" t="s">
        <v>247</v>
      </c>
      <c r="G12773" s="12" t="s">
        <v>21</v>
      </c>
      <c r="H12773" s="11" t="s">
        <v>63</v>
      </c>
      <c r="I12773" s="13" t="s">
        <v>24955</v>
      </c>
      <c r="J12773" s="14" t="str">
        <f>HYPERLINK("https://www.boe.es/gazeta/dias/1839/11/24/pdfs/GMD-1839-1841.pdf#page=4","Abrir facsímil")</f>
        <v>Abrir facsímil</v>
      </c>
      <c r="K12773" s="12" t="s">
        <v>65</v>
      </c>
    </row>
    <row r="12774" spans="1:11" ht="40.049999999999997" customHeight="1" x14ac:dyDescent="0.25">
      <c r="A12774" s="11" t="s">
        <v>24956</v>
      </c>
      <c r="B12774" s="11" t="s">
        <v>24957</v>
      </c>
      <c r="C12774" s="11" t="s">
        <v>17</v>
      </c>
      <c r="D12774" s="11" t="s">
        <v>18</v>
      </c>
      <c r="E12774" s="12" t="s">
        <v>1136</v>
      </c>
      <c r="F12774" s="12" t="s">
        <v>1137</v>
      </c>
      <c r="G12774" s="12" t="s">
        <v>46</v>
      </c>
      <c r="H12774" s="11" t="s">
        <v>63</v>
      </c>
      <c r="I12774" s="13" t="s">
        <v>24958</v>
      </c>
      <c r="J12774" s="14" t="str">
        <f>HYPERLINK("https://www.boe.es/gazeta/dias/1839/04/03/pdfs/GMD-1839-1600.pdf#page=3","Abrir facsímil")</f>
        <v>Abrir facsímil</v>
      </c>
      <c r="K12774" s="12" t="s">
        <v>65</v>
      </c>
    </row>
    <row r="12775" spans="1:11" ht="40.049999999999997" customHeight="1" x14ac:dyDescent="0.25">
      <c r="A12775" s="11" t="s">
        <v>24959</v>
      </c>
      <c r="B12775" s="11" t="s">
        <v>24960</v>
      </c>
      <c r="C12775" s="11" t="s">
        <v>137</v>
      </c>
      <c r="D12775" s="11" t="s">
        <v>18</v>
      </c>
      <c r="E12775" s="12" t="s">
        <v>94</v>
      </c>
      <c r="F12775" s="12" t="s">
        <v>95</v>
      </c>
      <c r="G12775" s="12" t="s">
        <v>29</v>
      </c>
      <c r="H12775" s="11" t="s">
        <v>63</v>
      </c>
      <c r="I12775" s="13" t="s">
        <v>24961</v>
      </c>
      <c r="J12775" s="14" t="str">
        <f>HYPERLINK("https://www.boe.es/gazeta/dias/1839/02/24/pdfs/GMD-1839-1562.pdf#page=1","Abrir facsímil")</f>
        <v>Abrir facsímil</v>
      </c>
      <c r="K12775" s="12" t="s">
        <v>65</v>
      </c>
    </row>
    <row r="12776" spans="1:11" ht="40.049999999999997" customHeight="1" x14ac:dyDescent="0.25">
      <c r="A12776" s="11" t="s">
        <v>24962</v>
      </c>
      <c r="B12776" s="11" t="s">
        <v>24963</v>
      </c>
      <c r="C12776" s="11" t="s">
        <v>80</v>
      </c>
      <c r="D12776" s="11" t="s">
        <v>18</v>
      </c>
      <c r="E12776" s="12" t="s">
        <v>217</v>
      </c>
      <c r="F12776" s="12" t="s">
        <v>218</v>
      </c>
      <c r="G12776" s="12" t="s">
        <v>46</v>
      </c>
      <c r="H12776" s="11" t="s">
        <v>63</v>
      </c>
      <c r="I12776" s="13" t="s">
        <v>24964</v>
      </c>
      <c r="J12776" s="14" t="str">
        <f>HYPERLINK("https://www.boe.es/gazeta/dias/1839/08/06/pdfs/GMD-1839-1726.pdf#page=3","Abrir facsímil")</f>
        <v>Abrir facsímil</v>
      </c>
      <c r="K12776" s="12" t="s">
        <v>65</v>
      </c>
    </row>
    <row r="12777" spans="1:11" ht="40.049999999999997" customHeight="1" x14ac:dyDescent="0.25">
      <c r="A12777" s="11" t="s">
        <v>24965</v>
      </c>
      <c r="B12777" s="11" t="s">
        <v>24966</v>
      </c>
      <c r="C12777" s="11" t="s">
        <v>101</v>
      </c>
      <c r="D12777" s="11" t="s">
        <v>43</v>
      </c>
      <c r="E12777" s="12" t="s">
        <v>522</v>
      </c>
      <c r="F12777" s="12" t="s">
        <v>523</v>
      </c>
      <c r="G12777" s="12" t="s">
        <v>40</v>
      </c>
      <c r="H12777" s="11" t="s">
        <v>63</v>
      </c>
      <c r="I12777" s="13" t="s">
        <v>24967</v>
      </c>
      <c r="J12777" s="14" t="str">
        <f>HYPERLINK("https://www.boe.es/gazeta/dias/1839/08/27/pdfs/GMD-1839-1748.pdf#page=2","Abrir facsímil")</f>
        <v>Abrir facsímil</v>
      </c>
      <c r="K12777" s="12" t="s">
        <v>65</v>
      </c>
    </row>
    <row r="12778" spans="1:11" ht="40.049999999999997" customHeight="1" x14ac:dyDescent="0.25">
      <c r="A12778" s="11" t="s">
        <v>24968</v>
      </c>
      <c r="B12778" s="11" t="s">
        <v>24968</v>
      </c>
      <c r="C12778" s="11" t="s">
        <v>137</v>
      </c>
      <c r="D12778" s="11" t="s">
        <v>18</v>
      </c>
      <c r="E12778" s="12" t="s">
        <v>798</v>
      </c>
      <c r="F12778" s="12" t="s">
        <v>799</v>
      </c>
      <c r="G12778" s="12" t="s">
        <v>40</v>
      </c>
      <c r="H12778" s="11" t="s">
        <v>63</v>
      </c>
      <c r="I12778" s="13" t="s">
        <v>24969</v>
      </c>
      <c r="J12778" s="14" t="str">
        <f>HYPERLINK("https://www.boe.es/gazeta/dias/1839/09/03/pdfs/GMD-1839-1755.pdf#page=2","Abrir facsímil")</f>
        <v>Abrir facsímil</v>
      </c>
      <c r="K12778" s="12" t="s">
        <v>65</v>
      </c>
    </row>
    <row r="12779" spans="1:11" ht="40.049999999999997" customHeight="1" x14ac:dyDescent="0.25">
      <c r="A12779" s="11" t="s">
        <v>24970</v>
      </c>
      <c r="B12779" s="11" t="s">
        <v>24970</v>
      </c>
      <c r="C12779" s="11" t="s">
        <v>17</v>
      </c>
      <c r="D12779" s="11" t="s">
        <v>18</v>
      </c>
      <c r="E12779" s="12" t="s">
        <v>751</v>
      </c>
      <c r="F12779" s="12" t="s">
        <v>752</v>
      </c>
      <c r="G12779" s="12" t="s">
        <v>46</v>
      </c>
      <c r="H12779" s="11" t="s">
        <v>22</v>
      </c>
      <c r="I12779" s="13" t="s">
        <v>24971</v>
      </c>
      <c r="J12779" s="14" t="str">
        <f>HYPERLINK("https://www.boe.es/gazeta/dias/1839/02/05/pdfs/GMD-1839-1543.pdf#page=3","Abrir facsímil")</f>
        <v>Abrir facsímil</v>
      </c>
      <c r="K12779" s="12" t="s">
        <v>24</v>
      </c>
    </row>
    <row r="12780" spans="1:11" ht="40.049999999999997" customHeight="1" x14ac:dyDescent="0.25">
      <c r="A12780" s="11" t="s">
        <v>24968</v>
      </c>
      <c r="B12780" s="11" t="s">
        <v>24968</v>
      </c>
      <c r="C12780" s="11" t="s">
        <v>17</v>
      </c>
      <c r="D12780" s="11" t="s">
        <v>18</v>
      </c>
      <c r="E12780" s="12" t="s">
        <v>54</v>
      </c>
      <c r="F12780" s="12" t="s">
        <v>55</v>
      </c>
      <c r="G12780" s="12" t="s">
        <v>40</v>
      </c>
      <c r="H12780" s="11" t="s">
        <v>63</v>
      </c>
      <c r="I12780" s="13" t="s">
        <v>24972</v>
      </c>
      <c r="J12780" s="14" t="str">
        <f>HYPERLINK("https://www.boe.es/gazeta/dias/1839/10/05/pdfs/GMD-1839-1791.pdf#page=2","Abrir facsímil")</f>
        <v>Abrir facsímil</v>
      </c>
      <c r="K12780" s="12" t="s">
        <v>65</v>
      </c>
    </row>
    <row r="12781" spans="1:11" ht="40.049999999999997" customHeight="1" x14ac:dyDescent="0.25">
      <c r="A12781" s="11" t="s">
        <v>24968</v>
      </c>
      <c r="B12781" s="11" t="s">
        <v>24968</v>
      </c>
      <c r="C12781" s="11" t="s">
        <v>101</v>
      </c>
      <c r="D12781" s="11" t="s">
        <v>43</v>
      </c>
      <c r="E12781" s="12" t="s">
        <v>303</v>
      </c>
      <c r="F12781" s="12" t="s">
        <v>304</v>
      </c>
      <c r="G12781" s="12" t="s">
        <v>40</v>
      </c>
      <c r="H12781" s="11" t="s">
        <v>63</v>
      </c>
      <c r="I12781" s="13" t="s">
        <v>24973</v>
      </c>
      <c r="J12781" s="14" t="str">
        <f>HYPERLINK("https://www.boe.es/gazeta/dias/1839/10/06/pdfs/GMD-1839-1792.pdf#page=2","Abrir facsímil")</f>
        <v>Abrir facsímil</v>
      </c>
      <c r="K12781" s="12" t="s">
        <v>65</v>
      </c>
    </row>
    <row r="12782" spans="1:11" ht="40.049999999999997" customHeight="1" x14ac:dyDescent="0.25">
      <c r="A12782" s="11" t="s">
        <v>24970</v>
      </c>
      <c r="B12782" s="11" t="s">
        <v>24970</v>
      </c>
      <c r="C12782" s="11" t="s">
        <v>17</v>
      </c>
      <c r="D12782" s="11" t="s">
        <v>18</v>
      </c>
      <c r="E12782" s="12" t="s">
        <v>647</v>
      </c>
      <c r="F12782" s="12" t="s">
        <v>648</v>
      </c>
      <c r="G12782" s="12" t="s">
        <v>40</v>
      </c>
      <c r="H12782" s="11" t="s">
        <v>22</v>
      </c>
      <c r="I12782" s="13" t="s">
        <v>24974</v>
      </c>
      <c r="J12782" s="14" t="str">
        <f>HYPERLINK("https://www.boe.es/gazeta/dias/1839/10/08/pdfs/GMD-1839-1794.pdf#page=2","Abrir facsímil")</f>
        <v>Abrir facsímil</v>
      </c>
      <c r="K12782" s="12" t="s">
        <v>24</v>
      </c>
    </row>
    <row r="12783" spans="1:11" ht="40.049999999999997" customHeight="1" x14ac:dyDescent="0.25">
      <c r="A12783" s="11" t="s">
        <v>24968</v>
      </c>
      <c r="B12783" s="11" t="s">
        <v>24968</v>
      </c>
      <c r="C12783" s="11" t="s">
        <v>17</v>
      </c>
      <c r="D12783" s="11" t="s">
        <v>18</v>
      </c>
      <c r="E12783" s="12" t="s">
        <v>647</v>
      </c>
      <c r="F12783" s="12" t="s">
        <v>648</v>
      </c>
      <c r="G12783" s="12" t="s">
        <v>21</v>
      </c>
      <c r="H12783" s="11" t="s">
        <v>63</v>
      </c>
      <c r="I12783" s="13" t="s">
        <v>24975</v>
      </c>
      <c r="J12783" s="14" t="str">
        <f>HYPERLINK("https://www.boe.es/gazeta/dias/1839/10/08/pdfs/GMD-1839-1794.pdf#page=4","Abrir facsímil")</f>
        <v>Abrir facsímil</v>
      </c>
      <c r="K12783" s="12" t="s">
        <v>65</v>
      </c>
    </row>
    <row r="12784" spans="1:11" ht="40.049999999999997" customHeight="1" x14ac:dyDescent="0.25">
      <c r="A12784" s="11" t="s">
        <v>24970</v>
      </c>
      <c r="B12784" s="11" t="s">
        <v>24970</v>
      </c>
      <c r="C12784" s="11" t="s">
        <v>17</v>
      </c>
      <c r="D12784" s="11" t="s">
        <v>18</v>
      </c>
      <c r="E12784" s="12" t="s">
        <v>561</v>
      </c>
      <c r="F12784" s="12" t="s">
        <v>562</v>
      </c>
      <c r="G12784" s="12" t="s">
        <v>46</v>
      </c>
      <c r="H12784" s="11" t="s">
        <v>22</v>
      </c>
      <c r="I12784" s="13" t="s">
        <v>24976</v>
      </c>
      <c r="J12784" s="14" t="str">
        <f>HYPERLINK("https://www.boe.es/gazeta/dias/1839/09/11/pdfs/GMD-1839-1764.pdf#page=3","Abrir facsímil")</f>
        <v>Abrir facsímil</v>
      </c>
      <c r="K12784" s="12" t="s">
        <v>24</v>
      </c>
    </row>
    <row r="12785" spans="1:11" ht="40.049999999999997" customHeight="1" x14ac:dyDescent="0.25">
      <c r="A12785" s="11" t="s">
        <v>24970</v>
      </c>
      <c r="B12785" s="11" t="s">
        <v>24970</v>
      </c>
      <c r="C12785" s="11" t="s">
        <v>17</v>
      </c>
      <c r="D12785" s="11" t="s">
        <v>18</v>
      </c>
      <c r="E12785" s="12" t="s">
        <v>254</v>
      </c>
      <c r="F12785" s="12" t="s">
        <v>255</v>
      </c>
      <c r="G12785" s="12" t="s">
        <v>46</v>
      </c>
      <c r="H12785" s="11" t="s">
        <v>22</v>
      </c>
      <c r="I12785" s="13" t="s">
        <v>24977</v>
      </c>
      <c r="J12785" s="14" t="str">
        <f>HYPERLINK("https://www.boe.es/gazeta/dias/1839/09/12/pdfs/GMD-1839-1765.pdf#page=3","Abrir facsímil")</f>
        <v>Abrir facsímil</v>
      </c>
      <c r="K12785" s="12" t="s">
        <v>24</v>
      </c>
    </row>
    <row r="12786" spans="1:11" ht="40.049999999999997" customHeight="1" x14ac:dyDescent="0.25">
      <c r="A12786" s="11" t="s">
        <v>24968</v>
      </c>
      <c r="B12786" s="11" t="s">
        <v>24968</v>
      </c>
      <c r="C12786" s="11" t="s">
        <v>101</v>
      </c>
      <c r="D12786" s="11" t="s">
        <v>43</v>
      </c>
      <c r="E12786" s="12" t="s">
        <v>233</v>
      </c>
      <c r="F12786" s="12" t="s">
        <v>234</v>
      </c>
      <c r="G12786" s="12" t="s">
        <v>21</v>
      </c>
      <c r="H12786" s="11" t="s">
        <v>63</v>
      </c>
      <c r="I12786" s="13" t="s">
        <v>24978</v>
      </c>
      <c r="J12786" s="14" t="str">
        <f>HYPERLINK("https://www.boe.es/gazeta/dias/1839/09/17/pdfs/GMD-1839-1770.pdf#page=4","Abrir facsímil")</f>
        <v>Abrir facsímil</v>
      </c>
      <c r="K12786" s="12" t="s">
        <v>65</v>
      </c>
    </row>
    <row r="12787" spans="1:11" ht="40.049999999999997" customHeight="1" x14ac:dyDescent="0.25">
      <c r="A12787" s="11" t="s">
        <v>24968</v>
      </c>
      <c r="B12787" s="11" t="s">
        <v>24968</v>
      </c>
      <c r="C12787" s="11" t="s">
        <v>17</v>
      </c>
      <c r="D12787" s="11" t="s">
        <v>18</v>
      </c>
      <c r="E12787" s="12" t="s">
        <v>1108</v>
      </c>
      <c r="F12787" s="12" t="s">
        <v>1109</v>
      </c>
      <c r="G12787" s="12" t="s">
        <v>21</v>
      </c>
      <c r="H12787" s="11" t="s">
        <v>63</v>
      </c>
      <c r="I12787" s="13" t="s">
        <v>24979</v>
      </c>
      <c r="J12787" s="14" t="str">
        <f>HYPERLINK("https://www.boe.es/gazeta/dias/1839/09/21/pdfs/GMD-1839-1776.pdf#page=4","Abrir facsímil")</f>
        <v>Abrir facsímil</v>
      </c>
      <c r="K12787" s="12" t="s">
        <v>65</v>
      </c>
    </row>
    <row r="12788" spans="1:11" ht="40.049999999999997" customHeight="1" x14ac:dyDescent="0.25">
      <c r="A12788" s="11" t="s">
        <v>24968</v>
      </c>
      <c r="B12788" s="11" t="s">
        <v>24968</v>
      </c>
      <c r="C12788" s="11" t="s">
        <v>137</v>
      </c>
      <c r="D12788" s="11" t="s">
        <v>18</v>
      </c>
      <c r="E12788" s="12" t="s">
        <v>775</v>
      </c>
      <c r="F12788" s="12" t="s">
        <v>776</v>
      </c>
      <c r="G12788" s="12" t="s">
        <v>46</v>
      </c>
      <c r="H12788" s="11" t="s">
        <v>63</v>
      </c>
      <c r="I12788" s="13" t="s">
        <v>24980</v>
      </c>
      <c r="J12788" s="14" t="str">
        <f>HYPERLINK("https://www.boe.es/gazeta/dias/1839/02/25/pdfs/GMD-1839-1563.pdf#page=3","Abrir facsímil")</f>
        <v>Abrir facsímil</v>
      </c>
      <c r="K12788" s="12" t="s">
        <v>65</v>
      </c>
    </row>
    <row r="12789" spans="1:11" ht="40.049999999999997" customHeight="1" x14ac:dyDescent="0.25">
      <c r="A12789" s="11" t="s">
        <v>24970</v>
      </c>
      <c r="B12789" s="11" t="s">
        <v>24970</v>
      </c>
      <c r="C12789" s="11" t="s">
        <v>101</v>
      </c>
      <c r="D12789" s="11" t="s">
        <v>43</v>
      </c>
      <c r="E12789" s="12" t="s">
        <v>650</v>
      </c>
      <c r="F12789" s="12" t="s">
        <v>651</v>
      </c>
      <c r="G12789" s="12" t="s">
        <v>40</v>
      </c>
      <c r="H12789" s="11" t="s">
        <v>22</v>
      </c>
      <c r="I12789" s="13" t="s">
        <v>24981</v>
      </c>
      <c r="J12789" s="14" t="str">
        <f>HYPERLINK("https://www.boe.es/gazeta/dias/1839/10/25/pdfs/GMD-1839-1811.pdf#page=2","Abrir facsímil")</f>
        <v>Abrir facsímil</v>
      </c>
      <c r="K12789" s="12" t="s">
        <v>24</v>
      </c>
    </row>
    <row r="12790" spans="1:11" ht="40.049999999999997" customHeight="1" x14ac:dyDescent="0.25">
      <c r="A12790" s="11" t="s">
        <v>24982</v>
      </c>
      <c r="B12790" s="11" t="s">
        <v>24983</v>
      </c>
      <c r="C12790" s="11" t="s">
        <v>80</v>
      </c>
      <c r="D12790" s="11" t="s">
        <v>18</v>
      </c>
      <c r="E12790" s="12" t="s">
        <v>258</v>
      </c>
      <c r="F12790" s="12" t="s">
        <v>259</v>
      </c>
      <c r="G12790" s="12" t="s">
        <v>21</v>
      </c>
      <c r="H12790" s="11" t="s">
        <v>22</v>
      </c>
      <c r="I12790" s="13" t="s">
        <v>24984</v>
      </c>
      <c r="J12790" s="14" t="str">
        <f>HYPERLINK("https://www.boe.es/gazeta/dias/1839/01/02/pdfs/GMD-1839-1509.pdf#page=4","Abrir facsímil")</f>
        <v>Abrir facsímil</v>
      </c>
      <c r="K12790" s="12" t="s">
        <v>24</v>
      </c>
    </row>
    <row r="12791" spans="1:11" ht="40.049999999999997" customHeight="1" x14ac:dyDescent="0.25">
      <c r="A12791" s="11" t="s">
        <v>24985</v>
      </c>
      <c r="B12791" s="11" t="s">
        <v>24985</v>
      </c>
      <c r="C12791" s="11" t="s">
        <v>17</v>
      </c>
      <c r="D12791" s="11" t="s">
        <v>18</v>
      </c>
      <c r="E12791" s="12" t="s">
        <v>596</v>
      </c>
      <c r="F12791" s="12" t="s">
        <v>597</v>
      </c>
      <c r="G12791" s="12" t="s">
        <v>46</v>
      </c>
      <c r="H12791" s="11" t="s">
        <v>22</v>
      </c>
      <c r="I12791" s="13" t="s">
        <v>24986</v>
      </c>
      <c r="J12791" s="14" t="str">
        <f>HYPERLINK("https://www.boe.es/gazeta/dias/1839/01/23/pdfs/GMD-1839-1530.pdf#page=3","Abrir facsímil")</f>
        <v>Abrir facsímil</v>
      </c>
      <c r="K12791" s="12" t="s">
        <v>24</v>
      </c>
    </row>
    <row r="12792" spans="1:11" ht="40.049999999999997" customHeight="1" x14ac:dyDescent="0.25">
      <c r="A12792" s="11" t="s">
        <v>24987</v>
      </c>
      <c r="B12792" s="11" t="s">
        <v>24988</v>
      </c>
      <c r="C12792" s="11" t="s">
        <v>17</v>
      </c>
      <c r="D12792" s="11" t="s">
        <v>18</v>
      </c>
      <c r="E12792" s="12" t="s">
        <v>381</v>
      </c>
      <c r="F12792" s="12" t="s">
        <v>382</v>
      </c>
      <c r="G12792" s="12" t="s">
        <v>29</v>
      </c>
      <c r="H12792" s="11" t="s">
        <v>63</v>
      </c>
      <c r="I12792" s="13" t="s">
        <v>24989</v>
      </c>
      <c r="J12792" s="14" t="str">
        <f>HYPERLINK("https://www.boe.es/gazeta/dias/1839/06/02/pdfs/GMD-1839-1660.pdf#page=1","Abrir facsímil")</f>
        <v>Abrir facsímil</v>
      </c>
      <c r="K12792" s="12" t="s">
        <v>65</v>
      </c>
    </row>
    <row r="12793" spans="1:11" ht="40.049999999999997" customHeight="1" x14ac:dyDescent="0.25">
      <c r="A12793" s="11" t="s">
        <v>24987</v>
      </c>
      <c r="B12793" s="11" t="s">
        <v>24988</v>
      </c>
      <c r="C12793" s="11" t="s">
        <v>59</v>
      </c>
      <c r="D12793" s="11" t="s">
        <v>60</v>
      </c>
      <c r="E12793" s="12" t="s">
        <v>163</v>
      </c>
      <c r="F12793" s="12" t="s">
        <v>164</v>
      </c>
      <c r="G12793" s="12" t="s">
        <v>21</v>
      </c>
      <c r="H12793" s="11" t="s">
        <v>63</v>
      </c>
      <c r="I12793" s="13" t="s">
        <v>24990</v>
      </c>
      <c r="J12793" s="14" t="str">
        <f>HYPERLINK("https://www.boe.es/gazeta/dias/1839/01/13/pdfs/GMD-1839-1520.pdf#page=4","Abrir facsímil")</f>
        <v>Abrir facsímil</v>
      </c>
      <c r="K12793" s="12" t="s">
        <v>65</v>
      </c>
    </row>
    <row r="12794" spans="1:11" ht="40.049999999999997" customHeight="1" x14ac:dyDescent="0.25">
      <c r="A12794" s="11" t="s">
        <v>24991</v>
      </c>
      <c r="B12794" s="11" t="s">
        <v>24992</v>
      </c>
      <c r="C12794" s="11" t="s">
        <v>17</v>
      </c>
      <c r="D12794" s="11" t="s">
        <v>18</v>
      </c>
      <c r="E12794" s="12" t="s">
        <v>116</v>
      </c>
      <c r="F12794" s="12" t="s">
        <v>117</v>
      </c>
      <c r="G12794" s="12" t="s">
        <v>40</v>
      </c>
      <c r="H12794" s="11" t="s">
        <v>63</v>
      </c>
      <c r="I12794" s="13" t="s">
        <v>24993</v>
      </c>
      <c r="J12794" s="14" t="str">
        <f>HYPERLINK("https://www.boe.es/gazeta/dias/1839/10/10/pdfs/GMD-1839-1796.pdf#page=2","Abrir facsímil")</f>
        <v>Abrir facsímil</v>
      </c>
      <c r="K12794" s="12" t="s">
        <v>65</v>
      </c>
    </row>
    <row r="12795" spans="1:11" ht="40.049999999999997" customHeight="1" x14ac:dyDescent="0.25">
      <c r="A12795" s="11" t="s">
        <v>24994</v>
      </c>
      <c r="B12795" s="11" t="s">
        <v>24995</v>
      </c>
      <c r="C12795" s="11" t="s">
        <v>59</v>
      </c>
      <c r="D12795" s="11" t="s">
        <v>60</v>
      </c>
      <c r="E12795" s="12" t="s">
        <v>1012</v>
      </c>
      <c r="F12795" s="12" t="s">
        <v>1013</v>
      </c>
      <c r="G12795" s="12" t="s">
        <v>46</v>
      </c>
      <c r="H12795" s="11" t="s">
        <v>63</v>
      </c>
      <c r="I12795" s="13" t="s">
        <v>24996</v>
      </c>
      <c r="J12795" s="14" t="str">
        <f>HYPERLINK("https://www.boe.es/gazeta/dias/1839/11/22/pdfs/GMD-1839-1839.pdf#page=3","Abrir facsímil")</f>
        <v>Abrir facsímil</v>
      </c>
      <c r="K12795" s="12" t="s">
        <v>65</v>
      </c>
    </row>
    <row r="12796" spans="1:11" ht="40.049999999999997" customHeight="1" x14ac:dyDescent="0.25">
      <c r="A12796" s="11" t="s">
        <v>24997</v>
      </c>
      <c r="B12796" s="11" t="s">
        <v>24998</v>
      </c>
      <c r="C12796" s="11" t="s">
        <v>17</v>
      </c>
      <c r="D12796" s="11" t="s">
        <v>18</v>
      </c>
      <c r="E12796" s="12" t="s">
        <v>862</v>
      </c>
      <c r="F12796" s="12" t="s">
        <v>863</v>
      </c>
      <c r="G12796" s="12" t="s">
        <v>29</v>
      </c>
      <c r="H12796" s="11" t="s">
        <v>63</v>
      </c>
      <c r="I12796" s="13" t="s">
        <v>24999</v>
      </c>
      <c r="J12796" s="14" t="str">
        <f>HYPERLINK("https://www.boe.es/gazeta/dias/1839/10/28/pdfs/GMD-1839-1814.pdf#page=1","Abrir facsímil")</f>
        <v>Abrir facsímil</v>
      </c>
      <c r="K12796" s="12" t="s">
        <v>65</v>
      </c>
    </row>
    <row r="12797" spans="1:11" ht="40.049999999999997" customHeight="1" x14ac:dyDescent="0.25">
      <c r="A12797" s="11" t="s">
        <v>25000</v>
      </c>
      <c r="B12797" s="11" t="s">
        <v>25001</v>
      </c>
      <c r="C12797" s="11" t="s">
        <v>17</v>
      </c>
      <c r="D12797" s="11" t="s">
        <v>18</v>
      </c>
      <c r="E12797" s="12" t="s">
        <v>1672</v>
      </c>
      <c r="F12797" s="12" t="s">
        <v>1673</v>
      </c>
      <c r="G12797" s="12" t="s">
        <v>40</v>
      </c>
      <c r="H12797" s="11" t="s">
        <v>22</v>
      </c>
      <c r="I12797" s="13" t="s">
        <v>25002</v>
      </c>
      <c r="J12797" s="14" t="str">
        <f>HYPERLINK("https://www.boe.es/gazeta/dias/1839/08/24/pdfs/GMD-1839-1745.pdf#page=2","Abrir facsímil")</f>
        <v>Abrir facsímil</v>
      </c>
      <c r="K12797" s="12" t="s">
        <v>24</v>
      </c>
    </row>
    <row r="12798" spans="1:11" ht="40.049999999999997" customHeight="1" x14ac:dyDescent="0.25">
      <c r="A12798" s="11" t="s">
        <v>25003</v>
      </c>
      <c r="B12798" s="11" t="s">
        <v>25004</v>
      </c>
      <c r="C12798" s="11" t="s">
        <v>17</v>
      </c>
      <c r="D12798" s="11" t="s">
        <v>18</v>
      </c>
      <c r="E12798" s="12" t="s">
        <v>1672</v>
      </c>
      <c r="F12798" s="12" t="s">
        <v>1673</v>
      </c>
      <c r="G12798" s="12" t="s">
        <v>40</v>
      </c>
      <c r="H12798" s="11" t="s">
        <v>63</v>
      </c>
      <c r="I12798" s="13" t="s">
        <v>25005</v>
      </c>
      <c r="J12798" s="14" t="str">
        <f>HYPERLINK("https://www.boe.es/gazeta/dias/1839/08/24/pdfs/GMD-1839-1745.pdf#page=2","Abrir facsímil")</f>
        <v>Abrir facsímil</v>
      </c>
      <c r="K12798" s="12" t="s">
        <v>65</v>
      </c>
    </row>
    <row r="12799" spans="1:11" ht="40.049999999999997" customHeight="1" x14ac:dyDescent="0.25">
      <c r="A12799" s="11" t="s">
        <v>25006</v>
      </c>
      <c r="B12799" s="11" t="s">
        <v>25007</v>
      </c>
      <c r="C12799" s="11" t="s">
        <v>101</v>
      </c>
      <c r="D12799" s="11" t="s">
        <v>43</v>
      </c>
      <c r="E12799" s="12" t="s">
        <v>1584</v>
      </c>
      <c r="F12799" s="12" t="s">
        <v>1585</v>
      </c>
      <c r="G12799" s="12" t="s">
        <v>46</v>
      </c>
      <c r="H12799" s="11" t="s">
        <v>63</v>
      </c>
      <c r="I12799" s="13" t="s">
        <v>25008</v>
      </c>
      <c r="J12799" s="14" t="str">
        <f>HYPERLINK("https://www.boe.es/gazeta/dias/1839/11/20/pdfs/GMD-1839-1837.pdf#page=3","Abrir facsímil")</f>
        <v>Abrir facsímil</v>
      </c>
      <c r="K12799" s="12" t="s">
        <v>65</v>
      </c>
    </row>
    <row r="12800" spans="1:11" ht="40.049999999999997" customHeight="1" x14ac:dyDescent="0.25">
      <c r="A12800" s="11" t="s">
        <v>25009</v>
      </c>
      <c r="B12800" s="11" t="s">
        <v>25009</v>
      </c>
      <c r="C12800" s="11" t="s">
        <v>137</v>
      </c>
      <c r="D12800" s="11" t="s">
        <v>18</v>
      </c>
      <c r="E12800" s="12" t="s">
        <v>49</v>
      </c>
      <c r="F12800" s="12" t="s">
        <v>50</v>
      </c>
      <c r="G12800" s="12" t="s">
        <v>21</v>
      </c>
      <c r="H12800" s="11" t="s">
        <v>63</v>
      </c>
      <c r="I12800" s="13" t="s">
        <v>25010</v>
      </c>
      <c r="J12800" s="14" t="str">
        <f>HYPERLINK("https://www.boe.es/gazeta/dias/1839/01/05/pdfs/GMD-1839-1512.pdf#page=4","Abrir facsímil")</f>
        <v>Abrir facsímil</v>
      </c>
      <c r="K12800" s="12" t="s">
        <v>65</v>
      </c>
    </row>
    <row r="12801" spans="1:11" ht="40.049999999999997" customHeight="1" x14ac:dyDescent="0.25">
      <c r="A12801" s="11" t="s">
        <v>25011</v>
      </c>
      <c r="B12801" s="11" t="s">
        <v>25012</v>
      </c>
      <c r="C12801" s="11" t="s">
        <v>101</v>
      </c>
      <c r="D12801" s="11" t="s">
        <v>43</v>
      </c>
      <c r="E12801" s="12" t="s">
        <v>81</v>
      </c>
      <c r="F12801" s="12" t="s">
        <v>82</v>
      </c>
      <c r="G12801" s="12" t="s">
        <v>40</v>
      </c>
      <c r="H12801" s="11" t="s">
        <v>22</v>
      </c>
      <c r="I12801" s="13" t="s">
        <v>25013</v>
      </c>
      <c r="J12801" s="14" t="str">
        <f>HYPERLINK("https://www.boe.es/gazeta/dias/1839/03/03/pdfs/GMD-1839-1569.pdf#page=2","Abrir facsímil")</f>
        <v>Abrir facsímil</v>
      </c>
      <c r="K12801" s="12" t="s">
        <v>24</v>
      </c>
    </row>
    <row r="12802" spans="1:11" ht="40.049999999999997" customHeight="1" x14ac:dyDescent="0.25">
      <c r="A12802" s="11" t="s">
        <v>25014</v>
      </c>
      <c r="B12802" s="11" t="s">
        <v>25014</v>
      </c>
      <c r="C12802" s="11" t="s">
        <v>59</v>
      </c>
      <c r="D12802" s="11" t="s">
        <v>60</v>
      </c>
      <c r="E12802" s="12" t="s">
        <v>1807</v>
      </c>
      <c r="F12802" s="12" t="s">
        <v>1808</v>
      </c>
      <c r="G12802" s="12" t="s">
        <v>29</v>
      </c>
      <c r="H12802" s="11" t="s">
        <v>22</v>
      </c>
      <c r="I12802" s="13" t="s">
        <v>25015</v>
      </c>
      <c r="J12802" s="14" t="str">
        <f>HYPERLINK("https://www.boe.es/gazeta/dias/1839/01/29/pdfs/GMD-1839-1536.pdf#page=1","Abrir facsímil")</f>
        <v>Abrir facsímil</v>
      </c>
      <c r="K12802" s="12" t="s">
        <v>24</v>
      </c>
    </row>
    <row r="12803" spans="1:11" ht="40.049999999999997" customHeight="1" x14ac:dyDescent="0.25">
      <c r="A12803" s="11" t="s">
        <v>25016</v>
      </c>
      <c r="B12803" s="11" t="s">
        <v>25016</v>
      </c>
      <c r="C12803" s="11" t="s">
        <v>17</v>
      </c>
      <c r="D12803" s="11" t="s">
        <v>18</v>
      </c>
      <c r="E12803" s="12" t="s">
        <v>2138</v>
      </c>
      <c r="F12803" s="12" t="s">
        <v>2139</v>
      </c>
      <c r="G12803" s="12" t="s">
        <v>46</v>
      </c>
      <c r="H12803" s="11" t="s">
        <v>22</v>
      </c>
      <c r="I12803" s="13" t="s">
        <v>25017</v>
      </c>
      <c r="J12803" s="14" t="str">
        <f>HYPERLINK("https://www.boe.es/gazeta/dias/1839/10/02/pdfs/GMD-1839-1788.pdf#page=3","Abrir facsímil")</f>
        <v>Abrir facsímil</v>
      </c>
      <c r="K12803" s="12" t="s">
        <v>24</v>
      </c>
    </row>
    <row r="12804" spans="1:11" ht="40.049999999999997" customHeight="1" x14ac:dyDescent="0.25">
      <c r="A12804" s="11" t="s">
        <v>25018</v>
      </c>
      <c r="B12804" s="11" t="s">
        <v>25018</v>
      </c>
      <c r="C12804" s="11" t="s">
        <v>59</v>
      </c>
      <c r="D12804" s="11" t="s">
        <v>60</v>
      </c>
      <c r="E12804" s="12" t="s">
        <v>44</v>
      </c>
      <c r="F12804" s="12" t="s">
        <v>45</v>
      </c>
      <c r="G12804" s="12" t="s">
        <v>40</v>
      </c>
      <c r="H12804" s="11" t="s">
        <v>22</v>
      </c>
      <c r="I12804" s="13" t="s">
        <v>25019</v>
      </c>
      <c r="J12804" s="14" t="str">
        <f>HYPERLINK("https://www.boe.es/gazeta/dias/1839/11/15/pdfs/GMD-1839-1832.pdf#page=2","Abrir facsímil")</f>
        <v>Abrir facsímil</v>
      </c>
      <c r="K12804" s="12" t="s">
        <v>24</v>
      </c>
    </row>
    <row r="12805" spans="1:11" ht="40.049999999999997" customHeight="1" x14ac:dyDescent="0.25">
      <c r="A12805" s="11" t="s">
        <v>25020</v>
      </c>
      <c r="B12805" s="11" t="s">
        <v>25021</v>
      </c>
      <c r="C12805" s="11" t="s">
        <v>17</v>
      </c>
      <c r="D12805" s="11" t="s">
        <v>18</v>
      </c>
      <c r="E12805" s="12" t="s">
        <v>3224</v>
      </c>
      <c r="F12805" s="12" t="s">
        <v>3225</v>
      </c>
      <c r="G12805" s="12" t="s">
        <v>40</v>
      </c>
      <c r="H12805" s="11" t="s">
        <v>22</v>
      </c>
      <c r="I12805" s="13" t="s">
        <v>25022</v>
      </c>
      <c r="J12805" s="14" t="str">
        <f>HYPERLINK("https://www.boe.es/gazeta/dias/1839/06/03/pdfs/GMD-1839-1661.pdf#page=2","Abrir facsímil")</f>
        <v>Abrir facsímil</v>
      </c>
      <c r="K12805" s="12" t="s">
        <v>24</v>
      </c>
    </row>
    <row r="12806" spans="1:11" ht="40.049999999999997" customHeight="1" x14ac:dyDescent="0.25">
      <c r="A12806" s="11" t="s">
        <v>25023</v>
      </c>
      <c r="B12806" s="11" t="s">
        <v>25023</v>
      </c>
      <c r="C12806" s="11" t="s">
        <v>17</v>
      </c>
      <c r="D12806" s="11" t="s">
        <v>18</v>
      </c>
      <c r="E12806" s="12" t="s">
        <v>68</v>
      </c>
      <c r="F12806" s="12" t="s">
        <v>69</v>
      </c>
      <c r="G12806" s="12" t="s">
        <v>46</v>
      </c>
      <c r="H12806" s="11" t="s">
        <v>22</v>
      </c>
      <c r="I12806" s="13" t="s">
        <v>25024</v>
      </c>
      <c r="J12806" s="14" t="str">
        <f>HYPERLINK("https://www.boe.es/gazeta/dias/1839/02/09/pdfs/GMD-1839-1547.pdf#page=3","Abrir facsímil")</f>
        <v>Abrir facsímil</v>
      </c>
      <c r="K12806" s="12" t="s">
        <v>24</v>
      </c>
    </row>
    <row r="12807" spans="1:11" ht="40.049999999999997" customHeight="1" x14ac:dyDescent="0.25">
      <c r="A12807" s="11" t="s">
        <v>25023</v>
      </c>
      <c r="B12807" s="11" t="s">
        <v>25023</v>
      </c>
      <c r="C12807" s="11" t="s">
        <v>101</v>
      </c>
      <c r="D12807" s="11" t="s">
        <v>43</v>
      </c>
      <c r="E12807" s="12" t="s">
        <v>1287</v>
      </c>
      <c r="F12807" s="12" t="s">
        <v>1288</v>
      </c>
      <c r="G12807" s="12" t="s">
        <v>40</v>
      </c>
      <c r="H12807" s="11" t="s">
        <v>22</v>
      </c>
      <c r="I12807" s="13" t="s">
        <v>25025</v>
      </c>
      <c r="J12807" s="14" t="str">
        <f>HYPERLINK("https://www.boe.es/gazeta/dias/1839/10/30/pdfs/GMD-1839-1816.pdf#page=2","Abrir facsímil")</f>
        <v>Abrir facsímil</v>
      </c>
      <c r="K12807" s="12" t="s">
        <v>24</v>
      </c>
    </row>
    <row r="12808" spans="1:11" ht="40.049999999999997" customHeight="1" x14ac:dyDescent="0.25">
      <c r="A12808" s="11" t="s">
        <v>25026</v>
      </c>
      <c r="B12808" s="11" t="s">
        <v>25027</v>
      </c>
      <c r="C12808" s="11" t="s">
        <v>80</v>
      </c>
      <c r="D12808" s="11" t="s">
        <v>18</v>
      </c>
      <c r="E12808" s="12" t="s">
        <v>462</v>
      </c>
      <c r="F12808" s="12" t="s">
        <v>463</v>
      </c>
      <c r="G12808" s="12" t="s">
        <v>21</v>
      </c>
      <c r="H12808" s="11" t="s">
        <v>22</v>
      </c>
      <c r="I12808" s="13" t="s">
        <v>25028</v>
      </c>
      <c r="J12808" s="14" t="str">
        <f>HYPERLINK("https://www.boe.es/gazeta/dias/1839/06/19/pdfs/GMD-1839-1677.pdf#page=4","Abrir facsímil")</f>
        <v>Abrir facsímil</v>
      </c>
      <c r="K12808" s="12" t="s">
        <v>24</v>
      </c>
    </row>
    <row r="12809" spans="1:11" ht="40.049999999999997" customHeight="1" x14ac:dyDescent="0.25">
      <c r="A12809" s="11" t="s">
        <v>25029</v>
      </c>
      <c r="B12809" s="11" t="s">
        <v>25030</v>
      </c>
      <c r="C12809" s="11" t="s">
        <v>17</v>
      </c>
      <c r="D12809" s="11" t="s">
        <v>18</v>
      </c>
      <c r="E12809" s="12" t="s">
        <v>1867</v>
      </c>
      <c r="F12809" s="12" t="s">
        <v>1868</v>
      </c>
      <c r="G12809" s="12" t="s">
        <v>40</v>
      </c>
      <c r="H12809" s="11" t="s">
        <v>22</v>
      </c>
      <c r="I12809" s="13" t="s">
        <v>25031</v>
      </c>
      <c r="J12809" s="14" t="str">
        <f>HYPERLINK("https://www.boe.es/gazeta/dias/1839/01/30/pdfs/GMD-1839-1537.pdf#page=2","Abrir facsímil")</f>
        <v>Abrir facsímil</v>
      </c>
      <c r="K12809" s="12" t="s">
        <v>24</v>
      </c>
    </row>
    <row r="12810" spans="1:11" ht="40.049999999999997" customHeight="1" x14ac:dyDescent="0.25">
      <c r="A12810" s="11" t="s">
        <v>25032</v>
      </c>
      <c r="B12810" s="11" t="s">
        <v>25033</v>
      </c>
      <c r="C12810" s="11" t="s">
        <v>17</v>
      </c>
      <c r="D12810" s="11" t="s">
        <v>18</v>
      </c>
      <c r="E12810" s="12" t="s">
        <v>291</v>
      </c>
      <c r="F12810" s="12" t="s">
        <v>292</v>
      </c>
      <c r="G12810" s="12" t="s">
        <v>40</v>
      </c>
      <c r="H12810" s="11" t="s">
        <v>63</v>
      </c>
      <c r="I12810" s="13" t="s">
        <v>25034</v>
      </c>
      <c r="J12810" s="14" t="str">
        <f>HYPERLINK("https://www.boe.es/gazeta/dias/1839/09/04/pdfs/GMD-1839-1757.pdf#page=2","Abrir facsímil")</f>
        <v>Abrir facsímil</v>
      </c>
      <c r="K12810" s="12" t="s">
        <v>65</v>
      </c>
    </row>
    <row r="12811" spans="1:11" ht="40.049999999999997" customHeight="1" x14ac:dyDescent="0.25">
      <c r="A12811" s="11" t="s">
        <v>25035</v>
      </c>
      <c r="B12811" s="11" t="s">
        <v>25035</v>
      </c>
      <c r="C12811" s="11" t="s">
        <v>137</v>
      </c>
      <c r="D12811" s="11" t="s">
        <v>18</v>
      </c>
      <c r="E12811" s="12" t="s">
        <v>1179</v>
      </c>
      <c r="F12811" s="12" t="s">
        <v>1180</v>
      </c>
      <c r="G12811" s="12" t="s">
        <v>40</v>
      </c>
      <c r="H12811" s="11" t="s">
        <v>63</v>
      </c>
      <c r="I12811" s="13" t="s">
        <v>25036</v>
      </c>
      <c r="J12811" s="14" t="str">
        <f>HYPERLINK("https://www.boe.es/gazeta/dias/1839/10/18/pdfs/GMD-1839-1804.pdf#page=2","Abrir facsímil")</f>
        <v>Abrir facsímil</v>
      </c>
      <c r="K12811" s="12" t="s">
        <v>65</v>
      </c>
    </row>
    <row r="12812" spans="1:11" ht="40.049999999999997" customHeight="1" x14ac:dyDescent="0.25">
      <c r="A12812" s="11" t="s">
        <v>25037</v>
      </c>
      <c r="B12812" s="11" t="s">
        <v>25037</v>
      </c>
      <c r="C12812" s="11" t="s">
        <v>17</v>
      </c>
      <c r="D12812" s="11" t="s">
        <v>18</v>
      </c>
      <c r="E12812" s="12" t="s">
        <v>503</v>
      </c>
      <c r="F12812" s="12" t="s">
        <v>504</v>
      </c>
      <c r="G12812" s="12" t="s">
        <v>46</v>
      </c>
      <c r="H12812" s="11" t="s">
        <v>63</v>
      </c>
      <c r="I12812" s="13" t="s">
        <v>25038</v>
      </c>
      <c r="J12812" s="14" t="str">
        <f>HYPERLINK("https://www.boe.es/gazeta/dias/1839/06/07/pdfs/GMD-1839-1665.pdf#page=3","Abrir facsímil")</f>
        <v>Abrir facsímil</v>
      </c>
      <c r="K12812" s="12" t="s">
        <v>65</v>
      </c>
    </row>
    <row r="12813" spans="1:11" ht="40.049999999999997" customHeight="1" x14ac:dyDescent="0.25">
      <c r="A12813" s="11" t="s">
        <v>25037</v>
      </c>
      <c r="B12813" s="11" t="s">
        <v>25037</v>
      </c>
      <c r="C12813" s="11" t="s">
        <v>17</v>
      </c>
      <c r="D12813" s="11" t="s">
        <v>18</v>
      </c>
      <c r="E12813" s="12" t="s">
        <v>280</v>
      </c>
      <c r="F12813" s="12" t="s">
        <v>281</v>
      </c>
      <c r="G12813" s="12" t="s">
        <v>29</v>
      </c>
      <c r="H12813" s="11" t="s">
        <v>63</v>
      </c>
      <c r="I12813" s="13" t="s">
        <v>25039</v>
      </c>
      <c r="J12813" s="14" t="str">
        <f>HYPERLINK("https://www.boe.es/gazeta/dias/1839/08/21/pdfs/GMD-1839-1742.pdf#page=1","Abrir facsímil")</f>
        <v>Abrir facsímil</v>
      </c>
      <c r="K12813" s="12" t="s">
        <v>65</v>
      </c>
    </row>
    <row r="12814" spans="1:11" ht="40.049999999999997" customHeight="1" x14ac:dyDescent="0.25">
      <c r="A12814" s="11" t="s">
        <v>25040</v>
      </c>
      <c r="B12814" s="11" t="s">
        <v>25040</v>
      </c>
      <c r="C12814" s="11" t="s">
        <v>17</v>
      </c>
      <c r="D12814" s="11" t="s">
        <v>18</v>
      </c>
      <c r="E12814" s="12" t="s">
        <v>1929</v>
      </c>
      <c r="F12814" s="12" t="s">
        <v>1930</v>
      </c>
      <c r="G12814" s="12" t="s">
        <v>46</v>
      </c>
      <c r="H12814" s="11" t="s">
        <v>63</v>
      </c>
      <c r="I12814" s="13" t="s">
        <v>25041</v>
      </c>
      <c r="J12814" s="14" t="str">
        <f>HYPERLINK("https://www.boe.es/gazeta/dias/1839/02/01/pdfs/GMD-1839-1539.pdf#page=3","Abrir facsímil")</f>
        <v>Abrir facsímil</v>
      </c>
      <c r="K12814" s="12" t="s">
        <v>65</v>
      </c>
    </row>
    <row r="12815" spans="1:11" ht="40.049999999999997" customHeight="1" x14ac:dyDescent="0.25">
      <c r="A12815" s="11" t="s">
        <v>25042</v>
      </c>
      <c r="B12815" s="11" t="s">
        <v>25042</v>
      </c>
      <c r="C12815" s="11" t="s">
        <v>17</v>
      </c>
      <c r="D12815" s="11" t="s">
        <v>18</v>
      </c>
      <c r="E12815" s="12" t="s">
        <v>716</v>
      </c>
      <c r="F12815" s="12" t="s">
        <v>717</v>
      </c>
      <c r="G12815" s="12" t="s">
        <v>46</v>
      </c>
      <c r="H12815" s="11" t="s">
        <v>63</v>
      </c>
      <c r="I12815" s="13" t="s">
        <v>25043</v>
      </c>
      <c r="J12815" s="14" t="str">
        <f>HYPERLINK("https://www.boe.es/gazeta/dias/1839/07/30/pdfs/GMD-1839-1719.pdf#page=3","Abrir facsímil")</f>
        <v>Abrir facsímil</v>
      </c>
      <c r="K12815" s="12" t="s">
        <v>65</v>
      </c>
    </row>
    <row r="12816" spans="1:11" ht="40.049999999999997" customHeight="1" x14ac:dyDescent="0.25">
      <c r="A12816" s="11" t="s">
        <v>25044</v>
      </c>
      <c r="B12816" s="11" t="s">
        <v>25044</v>
      </c>
      <c r="C12816" s="11" t="s">
        <v>17</v>
      </c>
      <c r="D12816" s="11" t="s">
        <v>18</v>
      </c>
      <c r="E12816" s="12" t="s">
        <v>1057</v>
      </c>
      <c r="F12816" s="12" t="s">
        <v>1058</v>
      </c>
      <c r="G12816" s="12" t="s">
        <v>566</v>
      </c>
      <c r="H12816" s="11" t="s">
        <v>63</v>
      </c>
      <c r="I12816" s="13" t="s">
        <v>25045</v>
      </c>
      <c r="J12816" s="14" t="str">
        <f>HYPERLINK("https://www.boe.es/gazeta/dias/1839/10/01/pdfs/GMD-1839-1787.pdf#page=5","Abrir facsímil")</f>
        <v>Abrir facsímil</v>
      </c>
      <c r="K12816" s="12" t="s">
        <v>65</v>
      </c>
    </row>
    <row r="12817" spans="1:11" ht="40.049999999999997" customHeight="1" x14ac:dyDescent="0.25">
      <c r="A12817" s="11" t="s">
        <v>25044</v>
      </c>
      <c r="B12817" s="11" t="s">
        <v>25044</v>
      </c>
      <c r="C12817" s="11" t="s">
        <v>17</v>
      </c>
      <c r="D12817" s="11" t="s">
        <v>18</v>
      </c>
      <c r="E12817" s="12" t="s">
        <v>369</v>
      </c>
      <c r="F12817" s="12" t="s">
        <v>370</v>
      </c>
      <c r="G12817" s="12" t="s">
        <v>40</v>
      </c>
      <c r="H12817" s="11" t="s">
        <v>63</v>
      </c>
      <c r="I12817" s="13" t="s">
        <v>25046</v>
      </c>
      <c r="J12817" s="14" t="str">
        <f>HYPERLINK("https://www.boe.es/gazeta/dias/1839/11/01/pdfs/GMD-1839-1818.pdf#page=2","Abrir facsímil")</f>
        <v>Abrir facsímil</v>
      </c>
      <c r="K12817" s="12" t="s">
        <v>65</v>
      </c>
    </row>
    <row r="12818" spans="1:11" ht="40.049999999999997" customHeight="1" x14ac:dyDescent="0.25">
      <c r="A12818" s="11" t="s">
        <v>25044</v>
      </c>
      <c r="B12818" s="11" t="s">
        <v>25044</v>
      </c>
      <c r="C12818" s="11" t="s">
        <v>137</v>
      </c>
      <c r="D12818" s="11" t="s">
        <v>18</v>
      </c>
      <c r="E12818" s="12" t="s">
        <v>132</v>
      </c>
      <c r="F12818" s="12" t="s">
        <v>133</v>
      </c>
      <c r="G12818" s="12" t="s">
        <v>21</v>
      </c>
      <c r="H12818" s="11" t="s">
        <v>63</v>
      </c>
      <c r="I12818" s="13" t="s">
        <v>25047</v>
      </c>
      <c r="J12818" s="14" t="str">
        <f>HYPERLINK("https://www.boe.es/gazeta/dias/1839/08/02/pdfs/GMD-1839-1722.pdf#page=4","Abrir facsímil")</f>
        <v>Abrir facsímil</v>
      </c>
      <c r="K12818" s="12" t="s">
        <v>65</v>
      </c>
    </row>
    <row r="12819" spans="1:11" ht="40.049999999999997" customHeight="1" x14ac:dyDescent="0.25">
      <c r="A12819" s="11" t="s">
        <v>25044</v>
      </c>
      <c r="B12819" s="11" t="s">
        <v>25044</v>
      </c>
      <c r="C12819" s="11" t="s">
        <v>17</v>
      </c>
      <c r="D12819" s="11" t="s">
        <v>18</v>
      </c>
      <c r="E12819" s="12" t="s">
        <v>883</v>
      </c>
      <c r="F12819" s="12" t="s">
        <v>884</v>
      </c>
      <c r="G12819" s="12" t="s">
        <v>46</v>
      </c>
      <c r="H12819" s="11" t="s">
        <v>63</v>
      </c>
      <c r="I12819" s="13" t="s">
        <v>25048</v>
      </c>
      <c r="J12819" s="14" t="str">
        <f>HYPERLINK("https://www.boe.es/gazeta/dias/1839/11/03/pdfs/GMD-1839-1820.pdf#page=3","Abrir facsímil")</f>
        <v>Abrir facsímil</v>
      </c>
      <c r="K12819" s="12" t="s">
        <v>65</v>
      </c>
    </row>
    <row r="12820" spans="1:11" ht="40.049999999999997" customHeight="1" x14ac:dyDescent="0.25">
      <c r="A12820" s="11" t="s">
        <v>25044</v>
      </c>
      <c r="B12820" s="11" t="s">
        <v>25044</v>
      </c>
      <c r="C12820" s="11" t="s">
        <v>101</v>
      </c>
      <c r="D12820" s="11" t="s">
        <v>102</v>
      </c>
      <c r="E12820" s="12" t="s">
        <v>7860</v>
      </c>
      <c r="F12820" s="12" t="s">
        <v>7861</v>
      </c>
      <c r="G12820" s="12" t="s">
        <v>21</v>
      </c>
      <c r="H12820" s="11" t="s">
        <v>63</v>
      </c>
      <c r="I12820" s="13" t="s">
        <v>25049</v>
      </c>
      <c r="J12820" s="14" t="str">
        <f>HYPERLINK("https://www.boe.es/gazeta/dias/1839/03/04/pdfs/GMD-1839-1570.pdf#page=4","Abrir facsímil")</f>
        <v>Abrir facsímil</v>
      </c>
      <c r="K12820" s="12" t="s">
        <v>65</v>
      </c>
    </row>
    <row r="12821" spans="1:11" ht="40.049999999999997" customHeight="1" x14ac:dyDescent="0.25">
      <c r="A12821" s="11" t="s">
        <v>25044</v>
      </c>
      <c r="B12821" s="11" t="s">
        <v>25044</v>
      </c>
      <c r="C12821" s="11" t="s">
        <v>17</v>
      </c>
      <c r="D12821" s="11" t="s">
        <v>18</v>
      </c>
      <c r="E12821" s="12" t="s">
        <v>291</v>
      </c>
      <c r="F12821" s="12" t="s">
        <v>292</v>
      </c>
      <c r="G12821" s="12" t="s">
        <v>29</v>
      </c>
      <c r="H12821" s="11" t="s">
        <v>63</v>
      </c>
      <c r="I12821" s="13" t="s">
        <v>25050</v>
      </c>
      <c r="J12821" s="14" t="str">
        <f>HYPERLINK("https://www.boe.es/gazeta/dias/1839/09/04/pdfs/GMD-1839-1757.pdf#page=1","Abrir facsímil")</f>
        <v>Abrir facsímil</v>
      </c>
      <c r="K12821" s="12" t="s">
        <v>65</v>
      </c>
    </row>
    <row r="12822" spans="1:11" ht="40.049999999999997" customHeight="1" x14ac:dyDescent="0.25">
      <c r="A12822" s="11" t="s">
        <v>25044</v>
      </c>
      <c r="B12822" s="11" t="s">
        <v>25044</v>
      </c>
      <c r="C12822" s="11" t="s">
        <v>59</v>
      </c>
      <c r="D12822" s="11" t="s">
        <v>60</v>
      </c>
      <c r="E12822" s="12" t="s">
        <v>4957</v>
      </c>
      <c r="F12822" s="12" t="s">
        <v>4958</v>
      </c>
      <c r="G12822" s="12" t="s">
        <v>40</v>
      </c>
      <c r="H12822" s="11" t="s">
        <v>63</v>
      </c>
      <c r="I12822" s="13" t="s">
        <v>25051</v>
      </c>
      <c r="J12822" s="14" t="str">
        <f>HYPERLINK("https://www.boe.es/gazeta/dias/1839/11/04/pdfs/GMD-1839-1821.pdf#page=2","Abrir facsímil")</f>
        <v>Abrir facsímil</v>
      </c>
      <c r="K12822" s="12" t="s">
        <v>65</v>
      </c>
    </row>
    <row r="12823" spans="1:11" ht="40.049999999999997" customHeight="1" x14ac:dyDescent="0.25">
      <c r="A12823" s="11" t="s">
        <v>25044</v>
      </c>
      <c r="B12823" s="11" t="s">
        <v>25044</v>
      </c>
      <c r="C12823" s="11" t="s">
        <v>80</v>
      </c>
      <c r="D12823" s="11" t="s">
        <v>18</v>
      </c>
      <c r="E12823" s="12" t="s">
        <v>202</v>
      </c>
      <c r="F12823" s="12" t="s">
        <v>203</v>
      </c>
      <c r="G12823" s="12" t="s">
        <v>21</v>
      </c>
      <c r="H12823" s="11" t="s">
        <v>63</v>
      </c>
      <c r="I12823" s="13" t="s">
        <v>25052</v>
      </c>
      <c r="J12823" s="14" t="str">
        <f>HYPERLINK("https://www.boe.es/gazeta/dias/1839/04/05/pdfs/GMD-1839-1602.pdf#page=4","Abrir facsímil")</f>
        <v>Abrir facsímil</v>
      </c>
      <c r="K12823" s="12" t="s">
        <v>65</v>
      </c>
    </row>
    <row r="12824" spans="1:11" ht="40.049999999999997" customHeight="1" x14ac:dyDescent="0.25">
      <c r="A12824" s="11" t="s">
        <v>25044</v>
      </c>
      <c r="B12824" s="11" t="s">
        <v>25044</v>
      </c>
      <c r="C12824" s="11" t="s">
        <v>17</v>
      </c>
      <c r="D12824" s="11" t="s">
        <v>18</v>
      </c>
      <c r="E12824" s="12" t="s">
        <v>54</v>
      </c>
      <c r="F12824" s="12" t="s">
        <v>55</v>
      </c>
      <c r="G12824" s="12" t="s">
        <v>46</v>
      </c>
      <c r="H12824" s="11" t="s">
        <v>63</v>
      </c>
      <c r="I12824" s="13" t="s">
        <v>25053</v>
      </c>
      <c r="J12824" s="14" t="str">
        <f>HYPERLINK("https://www.boe.es/gazeta/dias/1839/10/05/pdfs/GMD-1839-1791.pdf#page=3","Abrir facsímil")</f>
        <v>Abrir facsímil</v>
      </c>
      <c r="K12824" s="12" t="s">
        <v>65</v>
      </c>
    </row>
    <row r="12825" spans="1:11" ht="40.049999999999997" customHeight="1" x14ac:dyDescent="0.25">
      <c r="A12825" s="11" t="s">
        <v>25044</v>
      </c>
      <c r="B12825" s="11" t="s">
        <v>25044</v>
      </c>
      <c r="C12825" s="11" t="s">
        <v>17</v>
      </c>
      <c r="D12825" s="11" t="s">
        <v>18</v>
      </c>
      <c r="E12825" s="12" t="s">
        <v>54</v>
      </c>
      <c r="F12825" s="12" t="s">
        <v>55</v>
      </c>
      <c r="G12825" s="12" t="s">
        <v>21</v>
      </c>
      <c r="H12825" s="11" t="s">
        <v>63</v>
      </c>
      <c r="I12825" s="13" t="s">
        <v>25054</v>
      </c>
      <c r="J12825" s="14" t="str">
        <f>HYPERLINK("https://www.boe.es/gazeta/dias/1839/10/05/pdfs/GMD-1839-1791.pdf#page=4","Abrir facsímil")</f>
        <v>Abrir facsímil</v>
      </c>
      <c r="K12825" s="12" t="s">
        <v>65</v>
      </c>
    </row>
    <row r="12826" spans="1:11" ht="40.049999999999997" customHeight="1" x14ac:dyDescent="0.25">
      <c r="A12826" s="11" t="s">
        <v>25044</v>
      </c>
      <c r="B12826" s="11" t="s">
        <v>25044</v>
      </c>
      <c r="C12826" s="11" t="s">
        <v>17</v>
      </c>
      <c r="D12826" s="11" t="s">
        <v>18</v>
      </c>
      <c r="E12826" s="12" t="s">
        <v>1509</v>
      </c>
      <c r="F12826" s="12" t="s">
        <v>1510</v>
      </c>
      <c r="G12826" s="12" t="s">
        <v>305</v>
      </c>
      <c r="H12826" s="11" t="s">
        <v>63</v>
      </c>
      <c r="I12826" s="13" t="s">
        <v>25055</v>
      </c>
      <c r="J12826" s="14" t="str">
        <f>HYPERLINK("https://www.boe.es/gazeta/dias/1839/10/07/pdfs/GMD-1839-1793.pdf#page=6","Abrir facsímil")</f>
        <v>Abrir facsímil</v>
      </c>
      <c r="K12826" s="12" t="s">
        <v>65</v>
      </c>
    </row>
    <row r="12827" spans="1:11" ht="40.049999999999997" customHeight="1" x14ac:dyDescent="0.25">
      <c r="A12827" s="11" t="s">
        <v>25044</v>
      </c>
      <c r="B12827" s="11" t="s">
        <v>25044</v>
      </c>
      <c r="C12827" s="11" t="s">
        <v>17</v>
      </c>
      <c r="D12827" s="11" t="s">
        <v>18</v>
      </c>
      <c r="E12827" s="12" t="s">
        <v>2301</v>
      </c>
      <c r="F12827" s="12" t="s">
        <v>2302</v>
      </c>
      <c r="G12827" s="12" t="s">
        <v>21</v>
      </c>
      <c r="H12827" s="11" t="s">
        <v>63</v>
      </c>
      <c r="I12827" s="13" t="s">
        <v>25056</v>
      </c>
      <c r="J12827" s="14" t="str">
        <f>HYPERLINK("https://www.boe.es/gazeta/dias/1839/09/08/pdfs/GMD-1839-1761.pdf#page=4","Abrir facsímil")</f>
        <v>Abrir facsímil</v>
      </c>
      <c r="K12827" s="12" t="s">
        <v>65</v>
      </c>
    </row>
    <row r="12828" spans="1:11" ht="40.049999999999997" customHeight="1" x14ac:dyDescent="0.25">
      <c r="A12828" s="11" t="s">
        <v>25044</v>
      </c>
      <c r="B12828" s="11" t="s">
        <v>25044</v>
      </c>
      <c r="C12828" s="11" t="s">
        <v>80</v>
      </c>
      <c r="D12828" s="11" t="s">
        <v>18</v>
      </c>
      <c r="E12828" s="12" t="s">
        <v>269</v>
      </c>
      <c r="F12828" s="12" t="s">
        <v>270</v>
      </c>
      <c r="G12828" s="12" t="s">
        <v>21</v>
      </c>
      <c r="H12828" s="11" t="s">
        <v>63</v>
      </c>
      <c r="I12828" s="13" t="s">
        <v>25057</v>
      </c>
      <c r="J12828" s="14" t="str">
        <f>HYPERLINK("https://www.boe.es/gazeta/dias/1839/02/10/pdfs/GMD-1839-1548.pdf#page=4","Abrir facsímil")</f>
        <v>Abrir facsímil</v>
      </c>
      <c r="K12828" s="12" t="s">
        <v>65</v>
      </c>
    </row>
    <row r="12829" spans="1:11" ht="40.049999999999997" customHeight="1" x14ac:dyDescent="0.25">
      <c r="A12829" s="11" t="s">
        <v>25044</v>
      </c>
      <c r="B12829" s="11" t="s">
        <v>25044</v>
      </c>
      <c r="C12829" s="11" t="s">
        <v>80</v>
      </c>
      <c r="D12829" s="11" t="s">
        <v>18</v>
      </c>
      <c r="E12829" s="12" t="s">
        <v>116</v>
      </c>
      <c r="F12829" s="12" t="s">
        <v>117</v>
      </c>
      <c r="G12829" s="12" t="s">
        <v>40</v>
      </c>
      <c r="H12829" s="11" t="s">
        <v>63</v>
      </c>
      <c r="I12829" s="13" t="s">
        <v>25058</v>
      </c>
      <c r="J12829" s="14" t="str">
        <f>HYPERLINK("https://www.boe.es/gazeta/dias/1839/10/10/pdfs/GMD-1839-1796.pdf#page=2","Abrir facsímil")</f>
        <v>Abrir facsímil</v>
      </c>
      <c r="K12829" s="12" t="s">
        <v>65</v>
      </c>
    </row>
    <row r="12830" spans="1:11" ht="40.049999999999997" customHeight="1" x14ac:dyDescent="0.25">
      <c r="A12830" s="11" t="s">
        <v>25044</v>
      </c>
      <c r="B12830" s="11" t="s">
        <v>25044</v>
      </c>
      <c r="C12830" s="11" t="s">
        <v>17</v>
      </c>
      <c r="D12830" s="11" t="s">
        <v>18</v>
      </c>
      <c r="E12830" s="12" t="s">
        <v>561</v>
      </c>
      <c r="F12830" s="12" t="s">
        <v>562</v>
      </c>
      <c r="G12830" s="12" t="s">
        <v>29</v>
      </c>
      <c r="H12830" s="11" t="s">
        <v>63</v>
      </c>
      <c r="I12830" s="13" t="s">
        <v>25059</v>
      </c>
      <c r="J12830" s="14" t="str">
        <f>HYPERLINK("https://www.boe.es/gazeta/dias/1839/09/11/pdfs/GMD-1839-1764.pdf#page=1","Abrir facsímil")</f>
        <v>Abrir facsímil</v>
      </c>
      <c r="K12830" s="12" t="s">
        <v>65</v>
      </c>
    </row>
    <row r="12831" spans="1:11" ht="40.049999999999997" customHeight="1" x14ac:dyDescent="0.25">
      <c r="A12831" s="11" t="s">
        <v>25044</v>
      </c>
      <c r="B12831" s="11" t="s">
        <v>25044</v>
      </c>
      <c r="C12831" s="11" t="s">
        <v>17</v>
      </c>
      <c r="D12831" s="11" t="s">
        <v>18</v>
      </c>
      <c r="E12831" s="12" t="s">
        <v>561</v>
      </c>
      <c r="F12831" s="12" t="s">
        <v>562</v>
      </c>
      <c r="G12831" s="12" t="s">
        <v>40</v>
      </c>
      <c r="H12831" s="11" t="s">
        <v>63</v>
      </c>
      <c r="I12831" s="13" t="s">
        <v>25060</v>
      </c>
      <c r="J12831" s="14" t="str">
        <f>HYPERLINK("https://www.boe.es/gazeta/dias/1839/09/11/pdfs/GMD-1839-1764.pdf#page=2","Abrir facsímil")</f>
        <v>Abrir facsímil</v>
      </c>
      <c r="K12831" s="12" t="s">
        <v>65</v>
      </c>
    </row>
    <row r="12832" spans="1:11" ht="40.049999999999997" customHeight="1" x14ac:dyDescent="0.25">
      <c r="A12832" s="11" t="s">
        <v>25044</v>
      </c>
      <c r="B12832" s="11" t="s">
        <v>25044</v>
      </c>
      <c r="C12832" s="11" t="s">
        <v>17</v>
      </c>
      <c r="D12832" s="11" t="s">
        <v>18</v>
      </c>
      <c r="E12832" s="12" t="s">
        <v>192</v>
      </c>
      <c r="F12832" s="12" t="s">
        <v>193</v>
      </c>
      <c r="G12832" s="12" t="s">
        <v>40</v>
      </c>
      <c r="H12832" s="11" t="s">
        <v>63</v>
      </c>
      <c r="I12832" s="13" t="s">
        <v>25061</v>
      </c>
      <c r="J12832" s="14" t="str">
        <f>HYPERLINK("https://www.boe.es/gazeta/dias/1839/01/12/pdfs/GMD-1839-1519.pdf#page=2","Abrir facsímil")</f>
        <v>Abrir facsímil</v>
      </c>
      <c r="K12832" s="12" t="s">
        <v>65</v>
      </c>
    </row>
    <row r="12833" spans="1:11" ht="40.049999999999997" customHeight="1" x14ac:dyDescent="0.25">
      <c r="A12833" s="11" t="s">
        <v>25044</v>
      </c>
      <c r="B12833" s="11" t="s">
        <v>25044</v>
      </c>
      <c r="C12833" s="11" t="s">
        <v>137</v>
      </c>
      <c r="D12833" s="11" t="s">
        <v>18</v>
      </c>
      <c r="E12833" s="12" t="s">
        <v>4186</v>
      </c>
      <c r="F12833" s="12" t="s">
        <v>4187</v>
      </c>
      <c r="G12833" s="12" t="s">
        <v>21</v>
      </c>
      <c r="H12833" s="11" t="s">
        <v>63</v>
      </c>
      <c r="I12833" s="13" t="s">
        <v>25062</v>
      </c>
      <c r="J12833" s="14" t="str">
        <f>HYPERLINK("https://www.boe.es/gazeta/dias/1839/12/12/pdfs/GMD-1839-1859.pdf#page=4","Abrir facsímil")</f>
        <v>Abrir facsímil</v>
      </c>
      <c r="K12833" s="12" t="s">
        <v>65</v>
      </c>
    </row>
    <row r="12834" spans="1:11" ht="40.049999999999997" customHeight="1" x14ac:dyDescent="0.25">
      <c r="A12834" s="11" t="s">
        <v>25044</v>
      </c>
      <c r="B12834" s="11" t="s">
        <v>25044</v>
      </c>
      <c r="C12834" s="11" t="s">
        <v>17</v>
      </c>
      <c r="D12834" s="11" t="s">
        <v>18</v>
      </c>
      <c r="E12834" s="12" t="s">
        <v>2374</v>
      </c>
      <c r="F12834" s="12" t="s">
        <v>2375</v>
      </c>
      <c r="G12834" s="12" t="s">
        <v>29</v>
      </c>
      <c r="H12834" s="11" t="s">
        <v>63</v>
      </c>
      <c r="I12834" s="13" t="s">
        <v>25063</v>
      </c>
      <c r="J12834" s="14" t="str">
        <f>HYPERLINK("https://www.boe.es/gazeta/dias/1839/06/14/pdfs/GMD-1839-1672.pdf#page=1","Abrir facsímil")</f>
        <v>Abrir facsímil</v>
      </c>
      <c r="K12834" s="12" t="s">
        <v>65</v>
      </c>
    </row>
    <row r="12835" spans="1:11" ht="40.049999999999997" customHeight="1" x14ac:dyDescent="0.25">
      <c r="A12835" s="11" t="s">
        <v>25044</v>
      </c>
      <c r="B12835" s="11" t="s">
        <v>25044</v>
      </c>
      <c r="C12835" s="11" t="s">
        <v>17</v>
      </c>
      <c r="D12835" s="11" t="s">
        <v>18</v>
      </c>
      <c r="E12835" s="12" t="s">
        <v>230</v>
      </c>
      <c r="F12835" s="12" t="s">
        <v>231</v>
      </c>
      <c r="G12835" s="12" t="s">
        <v>21</v>
      </c>
      <c r="H12835" s="11" t="s">
        <v>63</v>
      </c>
      <c r="I12835" s="13" t="s">
        <v>25064</v>
      </c>
      <c r="J12835" s="14" t="str">
        <f>HYPERLINK("https://www.boe.es/gazeta/dias/1839/09/16/pdfs/GMD-1839-1769.pdf#page=4","Abrir facsímil")</f>
        <v>Abrir facsímil</v>
      </c>
      <c r="K12835" s="12" t="s">
        <v>65</v>
      </c>
    </row>
    <row r="12836" spans="1:11" ht="40.049999999999997" customHeight="1" x14ac:dyDescent="0.25">
      <c r="A12836" s="11" t="s">
        <v>25044</v>
      </c>
      <c r="B12836" s="11" t="s">
        <v>25044</v>
      </c>
      <c r="C12836" s="11" t="s">
        <v>80</v>
      </c>
      <c r="D12836" s="11" t="s">
        <v>173</v>
      </c>
      <c r="E12836" s="12" t="s">
        <v>756</v>
      </c>
      <c r="F12836" s="12" t="s">
        <v>757</v>
      </c>
      <c r="G12836" s="12" t="s">
        <v>21</v>
      </c>
      <c r="H12836" s="11" t="s">
        <v>63</v>
      </c>
      <c r="I12836" s="13" t="s">
        <v>25065</v>
      </c>
      <c r="J12836" s="14" t="str">
        <f>HYPERLINK("https://www.boe.es/gazeta/dias/1839/12/17/pdfs/GMD-1839-1864.pdf#page=4","Abrir facsímil")</f>
        <v>Abrir facsímil</v>
      </c>
      <c r="K12836" s="12" t="s">
        <v>65</v>
      </c>
    </row>
    <row r="12837" spans="1:11" ht="40.049999999999997" customHeight="1" x14ac:dyDescent="0.25">
      <c r="A12837" s="11" t="s">
        <v>25044</v>
      </c>
      <c r="B12837" s="11" t="s">
        <v>25044</v>
      </c>
      <c r="C12837" s="11" t="s">
        <v>59</v>
      </c>
      <c r="D12837" s="11" t="s">
        <v>60</v>
      </c>
      <c r="E12837" s="12" t="s">
        <v>2069</v>
      </c>
      <c r="F12837" s="12" t="s">
        <v>2070</v>
      </c>
      <c r="G12837" s="12" t="s">
        <v>29</v>
      </c>
      <c r="H12837" s="11" t="s">
        <v>63</v>
      </c>
      <c r="I12837" s="13" t="s">
        <v>25066</v>
      </c>
      <c r="J12837" s="14" t="str">
        <f>HYPERLINK("https://www.boe.es/gazeta/dias/1839/10/20/pdfs/GMD-1839-1806.pdf#page=1","Abrir facsímil")</f>
        <v>Abrir facsímil</v>
      </c>
      <c r="K12837" s="12" t="s">
        <v>65</v>
      </c>
    </row>
    <row r="12838" spans="1:11" ht="40.049999999999997" customHeight="1" x14ac:dyDescent="0.25">
      <c r="A12838" s="11" t="s">
        <v>25044</v>
      </c>
      <c r="B12838" s="11" t="s">
        <v>25044</v>
      </c>
      <c r="C12838" s="11" t="s">
        <v>17</v>
      </c>
      <c r="D12838" s="11" t="s">
        <v>18</v>
      </c>
      <c r="E12838" s="12" t="s">
        <v>723</v>
      </c>
      <c r="F12838" s="12" t="s">
        <v>724</v>
      </c>
      <c r="G12838" s="12" t="s">
        <v>29</v>
      </c>
      <c r="H12838" s="11" t="s">
        <v>63</v>
      </c>
      <c r="I12838" s="13" t="s">
        <v>25067</v>
      </c>
      <c r="J12838" s="14" t="str">
        <f>HYPERLINK("https://www.boe.es/gazeta/dias/1839/09/26/pdfs/GMD-1839-1782.pdf#page=1","Abrir facsímil")</f>
        <v>Abrir facsímil</v>
      </c>
      <c r="K12838" s="12" t="s">
        <v>65</v>
      </c>
    </row>
    <row r="12839" spans="1:11" ht="40.049999999999997" customHeight="1" x14ac:dyDescent="0.25">
      <c r="A12839" s="11" t="s">
        <v>25044</v>
      </c>
      <c r="B12839" s="11" t="s">
        <v>25044</v>
      </c>
      <c r="C12839" s="11" t="s">
        <v>17</v>
      </c>
      <c r="D12839" s="11" t="s">
        <v>18</v>
      </c>
      <c r="E12839" s="12" t="s">
        <v>723</v>
      </c>
      <c r="F12839" s="12" t="s">
        <v>724</v>
      </c>
      <c r="G12839" s="12" t="s">
        <v>21</v>
      </c>
      <c r="H12839" s="11" t="s">
        <v>63</v>
      </c>
      <c r="I12839" s="13" t="s">
        <v>25068</v>
      </c>
      <c r="J12839" s="14" t="str">
        <f>HYPERLINK("https://www.boe.es/gazeta/dias/1839/09/26/pdfs/GMD-1839-1782.pdf#page=4","Abrir facsímil")</f>
        <v>Abrir facsímil</v>
      </c>
      <c r="K12839" s="12" t="s">
        <v>65</v>
      </c>
    </row>
    <row r="12840" spans="1:11" ht="40.049999999999997" customHeight="1" x14ac:dyDescent="0.25">
      <c r="A12840" s="11" t="s">
        <v>25044</v>
      </c>
      <c r="B12840" s="11" t="s">
        <v>25044</v>
      </c>
      <c r="C12840" s="11" t="s">
        <v>17</v>
      </c>
      <c r="D12840" s="11" t="s">
        <v>18</v>
      </c>
      <c r="E12840" s="12" t="s">
        <v>1685</v>
      </c>
      <c r="F12840" s="12" t="s">
        <v>1686</v>
      </c>
      <c r="G12840" s="12" t="s">
        <v>46</v>
      </c>
      <c r="H12840" s="11" t="s">
        <v>63</v>
      </c>
      <c r="I12840" s="13" t="s">
        <v>25069</v>
      </c>
      <c r="J12840" s="14" t="str">
        <f>HYPERLINK("https://www.boe.es/gazeta/dias/1839/04/27/pdfs/GMD-1839-1624.pdf#page=3","Abrir facsímil")</f>
        <v>Abrir facsímil</v>
      </c>
      <c r="K12840" s="12" t="s">
        <v>65</v>
      </c>
    </row>
    <row r="12841" spans="1:11" ht="40.049999999999997" customHeight="1" x14ac:dyDescent="0.25">
      <c r="A12841" s="11" t="s">
        <v>25044</v>
      </c>
      <c r="B12841" s="11" t="s">
        <v>25044</v>
      </c>
      <c r="C12841" s="11" t="s">
        <v>101</v>
      </c>
      <c r="D12841" s="11" t="s">
        <v>43</v>
      </c>
      <c r="E12841" s="12" t="s">
        <v>1474</v>
      </c>
      <c r="F12841" s="12" t="s">
        <v>1475</v>
      </c>
      <c r="G12841" s="12" t="s">
        <v>21</v>
      </c>
      <c r="H12841" s="11" t="s">
        <v>63</v>
      </c>
      <c r="I12841" s="13" t="s">
        <v>25070</v>
      </c>
      <c r="J12841" s="14" t="str">
        <f>HYPERLINK("https://www.boe.es/gazeta/dias/1839/02/28/pdfs/GMD-1839-1566.pdf#page=4","Abrir facsímil")</f>
        <v>Abrir facsímil</v>
      </c>
      <c r="K12841" s="12" t="s">
        <v>65</v>
      </c>
    </row>
    <row r="12842" spans="1:11" ht="40.049999999999997" customHeight="1" x14ac:dyDescent="0.25">
      <c r="A12842" s="11" t="s">
        <v>25044</v>
      </c>
      <c r="B12842" s="11" t="s">
        <v>25044</v>
      </c>
      <c r="C12842" s="11" t="s">
        <v>17</v>
      </c>
      <c r="D12842" s="11" t="s">
        <v>18</v>
      </c>
      <c r="E12842" s="12" t="s">
        <v>2349</v>
      </c>
      <c r="F12842" s="12" t="s">
        <v>2350</v>
      </c>
      <c r="G12842" s="12" t="s">
        <v>40</v>
      </c>
      <c r="H12842" s="11" t="s">
        <v>63</v>
      </c>
      <c r="I12842" s="13" t="s">
        <v>25071</v>
      </c>
      <c r="J12842" s="14" t="str">
        <f>HYPERLINK("https://www.boe.es/gazeta/dias/1839/09/29/pdfs/GMD-1839-1785.pdf#page=2","Abrir facsímil")</f>
        <v>Abrir facsímil</v>
      </c>
      <c r="K12842" s="12" t="s">
        <v>65</v>
      </c>
    </row>
    <row r="12843" spans="1:11" ht="40.049999999999997" customHeight="1" x14ac:dyDescent="0.25">
      <c r="A12843" s="11" t="s">
        <v>25044</v>
      </c>
      <c r="B12843" s="11" t="s">
        <v>25044</v>
      </c>
      <c r="C12843" s="11" t="s">
        <v>137</v>
      </c>
      <c r="D12843" s="11" t="s">
        <v>18</v>
      </c>
      <c r="E12843" s="12" t="s">
        <v>951</v>
      </c>
      <c r="F12843" s="12" t="s">
        <v>952</v>
      </c>
      <c r="G12843" s="12" t="s">
        <v>21</v>
      </c>
      <c r="H12843" s="11" t="s">
        <v>63</v>
      </c>
      <c r="I12843" s="13" t="s">
        <v>25072</v>
      </c>
      <c r="J12843" s="14" t="str">
        <f>HYPERLINK("https://www.boe.es/gazeta/dias/1839/12/30/pdfs/GMD-1839-1877.pdf#page=4","Abrir facsímil")</f>
        <v>Abrir facsímil</v>
      </c>
      <c r="K12843" s="12" t="s">
        <v>65</v>
      </c>
    </row>
    <row r="12844" spans="1:11" ht="40.049999999999997" customHeight="1" x14ac:dyDescent="0.25">
      <c r="A12844" s="11" t="s">
        <v>25073</v>
      </c>
      <c r="B12844" s="11" t="s">
        <v>25074</v>
      </c>
      <c r="C12844" s="11" t="s">
        <v>17</v>
      </c>
      <c r="D12844" s="11" t="s">
        <v>18</v>
      </c>
      <c r="E12844" s="12" t="s">
        <v>462</v>
      </c>
      <c r="F12844" s="12" t="s">
        <v>463</v>
      </c>
      <c r="G12844" s="12" t="s">
        <v>46</v>
      </c>
      <c r="H12844" s="11" t="s">
        <v>22</v>
      </c>
      <c r="I12844" s="13" t="s">
        <v>25075</v>
      </c>
      <c r="J12844" s="14" t="str">
        <f>HYPERLINK("https://www.boe.es/gazeta/dias/1839/06/19/pdfs/GMD-1839-1677.pdf#page=3","Abrir facsímil")</f>
        <v>Abrir facsímil</v>
      </c>
      <c r="K12844" s="12" t="s">
        <v>24</v>
      </c>
    </row>
    <row r="12845" spans="1:11" ht="40.049999999999997" customHeight="1" x14ac:dyDescent="0.25">
      <c r="A12845" s="11" t="s">
        <v>25076</v>
      </c>
      <c r="B12845" s="11" t="s">
        <v>25077</v>
      </c>
      <c r="C12845" s="11" t="s">
        <v>101</v>
      </c>
      <c r="D12845" s="11" t="s">
        <v>43</v>
      </c>
      <c r="E12845" s="12" t="s">
        <v>462</v>
      </c>
      <c r="F12845" s="12" t="s">
        <v>463</v>
      </c>
      <c r="G12845" s="12" t="s">
        <v>46</v>
      </c>
      <c r="H12845" s="11" t="s">
        <v>22</v>
      </c>
      <c r="I12845" s="13" t="s">
        <v>25078</v>
      </c>
      <c r="J12845" s="14" t="str">
        <f>HYPERLINK("https://www.boe.es/gazeta/dias/1839/06/19/pdfs/GMD-1839-1677.pdf#page=3","Abrir facsímil")</f>
        <v>Abrir facsímil</v>
      </c>
      <c r="K12845" s="12" t="s">
        <v>24</v>
      </c>
    </row>
    <row r="12846" spans="1:11" ht="40.049999999999997" customHeight="1" x14ac:dyDescent="0.25">
      <c r="A12846" s="11" t="s">
        <v>25079</v>
      </c>
      <c r="B12846" s="11" t="s">
        <v>25080</v>
      </c>
      <c r="C12846" s="11" t="s">
        <v>101</v>
      </c>
      <c r="D12846" s="11" t="s">
        <v>102</v>
      </c>
      <c r="E12846" s="12" t="s">
        <v>320</v>
      </c>
      <c r="F12846" s="12" t="s">
        <v>321</v>
      </c>
      <c r="G12846" s="12" t="s">
        <v>21</v>
      </c>
      <c r="H12846" s="11" t="s">
        <v>22</v>
      </c>
      <c r="I12846" s="13" t="s">
        <v>25081</v>
      </c>
      <c r="J12846" s="14" t="str">
        <f>HYPERLINK("https://www.boe.es/gazeta/dias/1839/05/11/pdfs/GMD-1839-1638.pdf#page=4","Abrir facsímil")</f>
        <v>Abrir facsímil</v>
      </c>
      <c r="K12846" s="12" t="s">
        <v>24</v>
      </c>
    </row>
    <row r="12847" spans="1:11" ht="40.049999999999997" customHeight="1" x14ac:dyDescent="0.25">
      <c r="A12847" s="11" t="s">
        <v>25082</v>
      </c>
      <c r="B12847" s="11" t="s">
        <v>25082</v>
      </c>
      <c r="C12847" s="11" t="s">
        <v>80</v>
      </c>
      <c r="D12847" s="11" t="s">
        <v>18</v>
      </c>
      <c r="E12847" s="12" t="s">
        <v>1565</v>
      </c>
      <c r="F12847" s="12" t="s">
        <v>1566</v>
      </c>
      <c r="G12847" s="12" t="s">
        <v>46</v>
      </c>
      <c r="H12847" s="11" t="s">
        <v>63</v>
      </c>
      <c r="I12847" s="13" t="s">
        <v>25083</v>
      </c>
      <c r="J12847" s="14" t="str">
        <f>HYPERLINK("https://www.boe.es/gazeta/dias/1839/06/17/pdfs/GMD-1839-1675.pdf#page=3","Abrir facsímil")</f>
        <v>Abrir facsímil</v>
      </c>
      <c r="K12847" s="12" t="s">
        <v>65</v>
      </c>
    </row>
    <row r="12848" spans="1:11" ht="40.049999999999997" customHeight="1" x14ac:dyDescent="0.25">
      <c r="A12848" s="11" t="s">
        <v>25084</v>
      </c>
      <c r="B12848" s="11" t="s">
        <v>25084</v>
      </c>
      <c r="C12848" s="11" t="s">
        <v>17</v>
      </c>
      <c r="D12848" s="11" t="s">
        <v>18</v>
      </c>
      <c r="E12848" s="12" t="s">
        <v>1517</v>
      </c>
      <c r="F12848" s="12" t="s">
        <v>1518</v>
      </c>
      <c r="G12848" s="12" t="s">
        <v>21</v>
      </c>
      <c r="H12848" s="11" t="s">
        <v>63</v>
      </c>
      <c r="I12848" s="13" t="s">
        <v>25085</v>
      </c>
      <c r="J12848" s="14" t="str">
        <f>HYPERLINK("https://www.boe.es/gazeta/dias/1839/12/20/pdfs/GMD-1839-1867.pdf#page=4","Abrir facsímil")</f>
        <v>Abrir facsímil</v>
      </c>
      <c r="K12848" s="12" t="s">
        <v>65</v>
      </c>
    </row>
    <row r="12849" spans="1:11" ht="40.049999999999997" customHeight="1" x14ac:dyDescent="0.25">
      <c r="A12849" s="11" t="s">
        <v>25084</v>
      </c>
      <c r="B12849" s="11" t="s">
        <v>25084</v>
      </c>
      <c r="C12849" s="11" t="s">
        <v>17</v>
      </c>
      <c r="D12849" s="11" t="s">
        <v>18</v>
      </c>
      <c r="E12849" s="12" t="s">
        <v>2949</v>
      </c>
      <c r="F12849" s="12" t="s">
        <v>2950</v>
      </c>
      <c r="G12849" s="12" t="s">
        <v>46</v>
      </c>
      <c r="H12849" s="11" t="s">
        <v>63</v>
      </c>
      <c r="I12849" s="13" t="s">
        <v>25086</v>
      </c>
      <c r="J12849" s="14" t="str">
        <f>HYPERLINK("https://www.boe.es/gazeta/dias/1839/10/21/pdfs/GMD-1839-1807.pdf#page=3","Abrir facsímil")</f>
        <v>Abrir facsímil</v>
      </c>
      <c r="K12849" s="12" t="s">
        <v>65</v>
      </c>
    </row>
    <row r="12850" spans="1:11" ht="40.049999999999997" customHeight="1" x14ac:dyDescent="0.25">
      <c r="A12850" s="11" t="s">
        <v>25084</v>
      </c>
      <c r="B12850" s="11" t="s">
        <v>25084</v>
      </c>
      <c r="C12850" s="11" t="s">
        <v>101</v>
      </c>
      <c r="D12850" s="11" t="s">
        <v>43</v>
      </c>
      <c r="E12850" s="12" t="s">
        <v>239</v>
      </c>
      <c r="F12850" s="12" t="s">
        <v>240</v>
      </c>
      <c r="G12850" s="12" t="s">
        <v>40</v>
      </c>
      <c r="H12850" s="11" t="s">
        <v>63</v>
      </c>
      <c r="I12850" s="13" t="s">
        <v>25087</v>
      </c>
      <c r="J12850" s="14" t="str">
        <f>HYPERLINK("https://www.boe.es/gazeta/dias/1839/09/22/pdfs/GMD-1839-1777.pdf#page=2","Abrir facsímil")</f>
        <v>Abrir facsímil</v>
      </c>
      <c r="K12850" s="12" t="s">
        <v>65</v>
      </c>
    </row>
    <row r="12851" spans="1:11" ht="40.049999999999997" customHeight="1" x14ac:dyDescent="0.25">
      <c r="A12851" s="11" t="s">
        <v>25084</v>
      </c>
      <c r="B12851" s="11" t="s">
        <v>25084</v>
      </c>
      <c r="C12851" s="11" t="s">
        <v>59</v>
      </c>
      <c r="D12851" s="11" t="s">
        <v>60</v>
      </c>
      <c r="E12851" s="12" t="s">
        <v>239</v>
      </c>
      <c r="F12851" s="12" t="s">
        <v>1863</v>
      </c>
      <c r="G12851" s="12" t="s">
        <v>29</v>
      </c>
      <c r="H12851" s="11" t="s">
        <v>63</v>
      </c>
      <c r="I12851" s="13" t="s">
        <v>25088</v>
      </c>
      <c r="J12851" s="14" t="str">
        <f>HYPERLINK("https://www.boe.es/datos/pdfs/BOE//1839/1778/E00001-00001.pdf#page=1","Abrir facsímil")</f>
        <v>Abrir facsímil</v>
      </c>
      <c r="K12851" s="12" t="s">
        <v>65</v>
      </c>
    </row>
    <row r="12852" spans="1:11" ht="40.049999999999997" customHeight="1" x14ac:dyDescent="0.25">
      <c r="A12852" s="11" t="s">
        <v>25084</v>
      </c>
      <c r="B12852" s="11" t="s">
        <v>25084</v>
      </c>
      <c r="C12852" s="11" t="s">
        <v>101</v>
      </c>
      <c r="D12852" s="11" t="s">
        <v>43</v>
      </c>
      <c r="E12852" s="12" t="s">
        <v>1867</v>
      </c>
      <c r="F12852" s="12" t="s">
        <v>1868</v>
      </c>
      <c r="G12852" s="12" t="s">
        <v>46</v>
      </c>
      <c r="H12852" s="11" t="s">
        <v>63</v>
      </c>
      <c r="I12852" s="13" t="s">
        <v>25089</v>
      </c>
      <c r="J12852" s="14" t="str">
        <f>HYPERLINK("https://www.boe.es/gazeta/dias/1839/01/30/pdfs/GMD-1839-1537.pdf#page=3","Abrir facsímil")</f>
        <v>Abrir facsímil</v>
      </c>
      <c r="K12852" s="12" t="s">
        <v>65</v>
      </c>
    </row>
    <row r="12853" spans="1:11" ht="40.049999999999997" customHeight="1" x14ac:dyDescent="0.25">
      <c r="A12853" s="11" t="s">
        <v>25090</v>
      </c>
      <c r="B12853" s="11" t="s">
        <v>25091</v>
      </c>
      <c r="C12853" s="11" t="s">
        <v>17</v>
      </c>
      <c r="D12853" s="11" t="s">
        <v>18</v>
      </c>
      <c r="E12853" s="12" t="s">
        <v>157</v>
      </c>
      <c r="F12853" s="12" t="s">
        <v>158</v>
      </c>
      <c r="G12853" s="12" t="s">
        <v>40</v>
      </c>
      <c r="H12853" s="11" t="s">
        <v>22</v>
      </c>
      <c r="I12853" s="13" t="s">
        <v>25092</v>
      </c>
      <c r="J12853" s="14" t="str">
        <f>HYPERLINK("https://www.boe.es/gazeta/dias/1839/02/08/pdfs/GMD-1839-1546.pdf#page=2","Abrir facsímil")</f>
        <v>Abrir facsímil</v>
      </c>
      <c r="K12853" s="12" t="s">
        <v>24</v>
      </c>
    </row>
    <row r="12854" spans="1:11" ht="40.049999999999997" customHeight="1" x14ac:dyDescent="0.25">
      <c r="A12854" s="11" t="s">
        <v>25093</v>
      </c>
      <c r="B12854" s="11" t="s">
        <v>25094</v>
      </c>
      <c r="C12854" s="11" t="s">
        <v>17</v>
      </c>
      <c r="D12854" s="11" t="s">
        <v>18</v>
      </c>
      <c r="E12854" s="12" t="s">
        <v>375</v>
      </c>
      <c r="F12854" s="12" t="s">
        <v>376</v>
      </c>
      <c r="G12854" s="12" t="s">
        <v>40</v>
      </c>
      <c r="H12854" s="11" t="s">
        <v>63</v>
      </c>
      <c r="I12854" s="13" t="s">
        <v>25095</v>
      </c>
      <c r="J12854" s="14" t="str">
        <f>HYPERLINK("https://www.boe.es/gazeta/dias/1839/11/25/pdfs/GMD-1839-1842.pdf#page=2","Abrir facsímil")</f>
        <v>Abrir facsímil</v>
      </c>
      <c r="K12854" s="12" t="s">
        <v>65</v>
      </c>
    </row>
    <row r="12855" spans="1:11" ht="40.049999999999997" customHeight="1" x14ac:dyDescent="0.25">
      <c r="A12855" s="11" t="s">
        <v>25096</v>
      </c>
      <c r="B12855" s="11" t="s">
        <v>25097</v>
      </c>
      <c r="C12855" s="11" t="s">
        <v>17</v>
      </c>
      <c r="D12855" s="11" t="s">
        <v>18</v>
      </c>
      <c r="E12855" s="12" t="s">
        <v>1807</v>
      </c>
      <c r="F12855" s="12" t="s">
        <v>1808</v>
      </c>
      <c r="G12855" s="12" t="s">
        <v>29</v>
      </c>
      <c r="H12855" s="11" t="s">
        <v>63</v>
      </c>
      <c r="I12855" s="13" t="s">
        <v>25098</v>
      </c>
      <c r="J12855" s="14" t="str">
        <f>HYPERLINK("https://www.boe.es/gazeta/dias/1839/01/29/pdfs/GMD-1839-1536.pdf#page=1","Abrir facsímil")</f>
        <v>Abrir facsímil</v>
      </c>
      <c r="K12855" s="12" t="s">
        <v>65</v>
      </c>
    </row>
    <row r="12856" spans="1:11" ht="40.049999999999997" customHeight="1" x14ac:dyDescent="0.25">
      <c r="A12856" s="11" t="s">
        <v>25099</v>
      </c>
      <c r="B12856" s="11" t="s">
        <v>25099</v>
      </c>
      <c r="C12856" s="11" t="s">
        <v>17</v>
      </c>
      <c r="D12856" s="11" t="s">
        <v>43</v>
      </c>
      <c r="E12856" s="12" t="s">
        <v>121</v>
      </c>
      <c r="F12856" s="12" t="s">
        <v>122</v>
      </c>
      <c r="G12856" s="12" t="s">
        <v>21</v>
      </c>
      <c r="H12856" s="11" t="s">
        <v>22</v>
      </c>
      <c r="I12856" s="13" t="s">
        <v>25100</v>
      </c>
      <c r="J12856" s="14" t="str">
        <f>HYPERLINK("https://www.boe.es/gazeta/dias/1839/06/08/pdfs/GMD-1839-1666.pdf#page=4","Abrir facsímil")</f>
        <v>Abrir facsímil</v>
      </c>
      <c r="K12856" s="12" t="s">
        <v>24</v>
      </c>
    </row>
    <row r="12857" spans="1:11" ht="40.049999999999997" customHeight="1" x14ac:dyDescent="0.25">
      <c r="A12857" s="11" t="s">
        <v>25099</v>
      </c>
      <c r="B12857" s="11" t="s">
        <v>25099</v>
      </c>
      <c r="C12857" s="11" t="s">
        <v>137</v>
      </c>
      <c r="D12857" s="11" t="s">
        <v>18</v>
      </c>
      <c r="E12857" s="12" t="s">
        <v>1685</v>
      </c>
      <c r="F12857" s="12" t="s">
        <v>1686</v>
      </c>
      <c r="G12857" s="12" t="s">
        <v>21</v>
      </c>
      <c r="H12857" s="11" t="s">
        <v>22</v>
      </c>
      <c r="I12857" s="13" t="s">
        <v>25101</v>
      </c>
      <c r="J12857" s="14" t="str">
        <f>HYPERLINK("https://www.boe.es/gazeta/dias/1839/04/27/pdfs/GMD-1839-1624.pdf#page=4","Abrir facsímil")</f>
        <v>Abrir facsímil</v>
      </c>
      <c r="K12857" s="12" t="s">
        <v>24</v>
      </c>
    </row>
    <row r="12858" spans="1:11" ht="40.049999999999997" customHeight="1" x14ac:dyDescent="0.25">
      <c r="A12858" s="11" t="s">
        <v>25102</v>
      </c>
      <c r="B12858" s="11" t="s">
        <v>25102</v>
      </c>
      <c r="C12858" s="11" t="s">
        <v>17</v>
      </c>
      <c r="D12858" s="11" t="s">
        <v>18</v>
      </c>
      <c r="E12858" s="12" t="s">
        <v>934</v>
      </c>
      <c r="F12858" s="12" t="s">
        <v>935</v>
      </c>
      <c r="G12858" s="12" t="s">
        <v>46</v>
      </c>
      <c r="H12858" s="11" t="s">
        <v>22</v>
      </c>
      <c r="I12858" s="13" t="s">
        <v>25103</v>
      </c>
      <c r="J12858" s="14" t="str">
        <f>HYPERLINK("https://www.boe.es/gazeta/dias/1839/11/07/pdfs/GMD-1839-1824.pdf#page=3","Abrir facsímil")</f>
        <v>Abrir facsímil</v>
      </c>
      <c r="K12858" s="12" t="s">
        <v>24</v>
      </c>
    </row>
    <row r="12859" spans="1:11" ht="40.049999999999997" customHeight="1" x14ac:dyDescent="0.25">
      <c r="A12859" s="11" t="s">
        <v>25104</v>
      </c>
      <c r="B12859" s="11" t="s">
        <v>25104</v>
      </c>
      <c r="C12859" s="11" t="s">
        <v>17</v>
      </c>
      <c r="D12859" s="11" t="s">
        <v>18</v>
      </c>
      <c r="E12859" s="12" t="s">
        <v>544</v>
      </c>
      <c r="F12859" s="12" t="s">
        <v>545</v>
      </c>
      <c r="G12859" s="12" t="s">
        <v>46</v>
      </c>
      <c r="H12859" s="11" t="s">
        <v>22</v>
      </c>
      <c r="I12859" s="13" t="s">
        <v>25105</v>
      </c>
      <c r="J12859" s="14" t="str">
        <f>HYPERLINK("https://www.boe.es/gazeta/dias/1839/11/11/pdfs/GMD-1839-1828.pdf#page=3","Abrir facsímil")</f>
        <v>Abrir facsímil</v>
      </c>
      <c r="K12859" s="12" t="s">
        <v>24</v>
      </c>
    </row>
    <row r="12860" spans="1:11" ht="40.049999999999997" customHeight="1" x14ac:dyDescent="0.25">
      <c r="A12860" s="11" t="s">
        <v>25106</v>
      </c>
      <c r="B12860" s="11" t="s">
        <v>25106</v>
      </c>
      <c r="C12860" s="11" t="s">
        <v>101</v>
      </c>
      <c r="D12860" s="11" t="s">
        <v>102</v>
      </c>
      <c r="E12860" s="12" t="s">
        <v>1867</v>
      </c>
      <c r="F12860" s="12" t="s">
        <v>1868</v>
      </c>
      <c r="G12860" s="12" t="s">
        <v>40</v>
      </c>
      <c r="H12860" s="11" t="s">
        <v>22</v>
      </c>
      <c r="I12860" s="13" t="s">
        <v>25107</v>
      </c>
      <c r="J12860" s="14" t="str">
        <f>HYPERLINK("https://www.boe.es/gazeta/dias/1839/01/30/pdfs/GMD-1839-1537.pdf#page=2","Abrir facsímil")</f>
        <v>Abrir facsímil</v>
      </c>
      <c r="K12860" s="12" t="s">
        <v>24</v>
      </c>
    </row>
    <row r="12861" spans="1:11" ht="40.049999999999997" customHeight="1" x14ac:dyDescent="0.25">
      <c r="A12861" s="11" t="s">
        <v>25108</v>
      </c>
      <c r="B12861" s="11" t="s">
        <v>25108</v>
      </c>
      <c r="C12861" s="11" t="s">
        <v>17</v>
      </c>
      <c r="D12861" s="11" t="s">
        <v>18</v>
      </c>
      <c r="E12861" s="12" t="s">
        <v>804</v>
      </c>
      <c r="F12861" s="12" t="s">
        <v>805</v>
      </c>
      <c r="G12861" s="12" t="s">
        <v>40</v>
      </c>
      <c r="H12861" s="11" t="s">
        <v>22</v>
      </c>
      <c r="I12861" s="13" t="s">
        <v>25109</v>
      </c>
      <c r="J12861" s="14" t="str">
        <f>HYPERLINK("https://www.boe.es/gazeta/dias/1839/01/08/pdfs/GMD-1839-1515.pdf#page=2","Abrir facsímil")</f>
        <v>Abrir facsímil</v>
      </c>
      <c r="K12861" s="12" t="s">
        <v>24</v>
      </c>
    </row>
    <row r="12862" spans="1:11" ht="40.049999999999997" customHeight="1" x14ac:dyDescent="0.25">
      <c r="A12862" s="11" t="s">
        <v>25108</v>
      </c>
      <c r="B12862" s="11" t="s">
        <v>25108</v>
      </c>
      <c r="C12862" s="11" t="s">
        <v>17</v>
      </c>
      <c r="D12862" s="11" t="s">
        <v>18</v>
      </c>
      <c r="E12862" s="12" t="s">
        <v>2222</v>
      </c>
      <c r="F12862" s="12" t="s">
        <v>2223</v>
      </c>
      <c r="G12862" s="12" t="s">
        <v>40</v>
      </c>
      <c r="H12862" s="11" t="s">
        <v>22</v>
      </c>
      <c r="I12862" s="13" t="s">
        <v>25110</v>
      </c>
      <c r="J12862" s="14" t="str">
        <f>HYPERLINK("https://www.boe.es/gazeta/dias/1839/09/19/pdfs/GMD-1839-1773.pdf#page=2","Abrir facsímil")</f>
        <v>Abrir facsímil</v>
      </c>
      <c r="K12862" s="12" t="s">
        <v>24</v>
      </c>
    </row>
    <row r="12863" spans="1:11" ht="40.049999999999997" customHeight="1" x14ac:dyDescent="0.25">
      <c r="A12863" s="11" t="s">
        <v>25108</v>
      </c>
      <c r="B12863" s="11" t="s">
        <v>25108</v>
      </c>
      <c r="C12863" s="11" t="s">
        <v>17</v>
      </c>
      <c r="D12863" s="11" t="s">
        <v>18</v>
      </c>
      <c r="E12863" s="12" t="s">
        <v>2949</v>
      </c>
      <c r="F12863" s="12" t="s">
        <v>2950</v>
      </c>
      <c r="G12863" s="12" t="s">
        <v>46</v>
      </c>
      <c r="H12863" s="11" t="s">
        <v>22</v>
      </c>
      <c r="I12863" s="13" t="s">
        <v>25111</v>
      </c>
      <c r="J12863" s="14" t="str">
        <f>HYPERLINK("https://www.boe.es/gazeta/dias/1839/10/21/pdfs/GMD-1839-1807.pdf#page=3","Abrir facsímil")</f>
        <v>Abrir facsímil</v>
      </c>
      <c r="K12863" s="12" t="s">
        <v>24</v>
      </c>
    </row>
    <row r="12864" spans="1:11" ht="40.049999999999997" customHeight="1" x14ac:dyDescent="0.25">
      <c r="A12864" s="11" t="s">
        <v>25112</v>
      </c>
      <c r="B12864" s="11" t="s">
        <v>25112</v>
      </c>
      <c r="C12864" s="11" t="s">
        <v>17</v>
      </c>
      <c r="D12864" s="11" t="s">
        <v>18</v>
      </c>
      <c r="E12864" s="12" t="s">
        <v>276</v>
      </c>
      <c r="F12864" s="12" t="s">
        <v>277</v>
      </c>
      <c r="G12864" s="12" t="s">
        <v>46</v>
      </c>
      <c r="H12864" s="11" t="s">
        <v>63</v>
      </c>
      <c r="I12864" s="13" t="s">
        <v>25113</v>
      </c>
      <c r="J12864" s="14" t="str">
        <f>HYPERLINK("https://www.boe.es/gazeta/dias/1839/09/24/pdfs/GMD-1839-1780.pdf#page=3","Abrir facsímil")</f>
        <v>Abrir facsímil</v>
      </c>
      <c r="K12864" s="12" t="s">
        <v>65</v>
      </c>
    </row>
    <row r="12865" spans="1:11" ht="40.049999999999997" customHeight="1" x14ac:dyDescent="0.25">
      <c r="A12865" s="11" t="s">
        <v>25114</v>
      </c>
      <c r="B12865" s="11" t="s">
        <v>25114</v>
      </c>
      <c r="C12865" s="11" t="s">
        <v>17</v>
      </c>
      <c r="D12865" s="11" t="s">
        <v>18</v>
      </c>
      <c r="E12865" s="12" t="s">
        <v>2491</v>
      </c>
      <c r="F12865" s="12" t="s">
        <v>2492</v>
      </c>
      <c r="G12865" s="12" t="s">
        <v>21</v>
      </c>
      <c r="H12865" s="11" t="s">
        <v>63</v>
      </c>
      <c r="I12865" s="13" t="s">
        <v>25115</v>
      </c>
      <c r="J12865" s="14" t="str">
        <f>HYPERLINK("https://www.boe.es/gazeta/dias/1839/05/01/pdfs/GMD-1839-1628.pdf#page=4","Abrir facsímil")</f>
        <v>Abrir facsímil</v>
      </c>
      <c r="K12865" s="12" t="s">
        <v>65</v>
      </c>
    </row>
    <row r="12866" spans="1:11" ht="40.049999999999997" customHeight="1" x14ac:dyDescent="0.25">
      <c r="A12866" s="11" t="s">
        <v>25114</v>
      </c>
      <c r="B12866" s="11" t="s">
        <v>25114</v>
      </c>
      <c r="C12866" s="11" t="s">
        <v>17</v>
      </c>
      <c r="D12866" s="11" t="s">
        <v>18</v>
      </c>
      <c r="E12866" s="12" t="s">
        <v>1356</v>
      </c>
      <c r="F12866" s="12" t="s">
        <v>1357</v>
      </c>
      <c r="G12866" s="12" t="s">
        <v>21</v>
      </c>
      <c r="H12866" s="11" t="s">
        <v>63</v>
      </c>
      <c r="I12866" s="13" t="s">
        <v>25116</v>
      </c>
      <c r="J12866" s="14" t="str">
        <f>HYPERLINK("https://www.boe.es/gazeta/dias/1839/06/05/pdfs/GMD-1839-1663.pdf#page=4","Abrir facsímil")</f>
        <v>Abrir facsímil</v>
      </c>
      <c r="K12866" s="12" t="s">
        <v>65</v>
      </c>
    </row>
    <row r="12867" spans="1:11" ht="40.049999999999997" customHeight="1" x14ac:dyDescent="0.25">
      <c r="A12867" s="11" t="s">
        <v>25114</v>
      </c>
      <c r="B12867" s="11" t="s">
        <v>25114</v>
      </c>
      <c r="C12867" s="11" t="s">
        <v>17</v>
      </c>
      <c r="D12867" s="11" t="s">
        <v>18</v>
      </c>
      <c r="E12867" s="12" t="s">
        <v>398</v>
      </c>
      <c r="F12867" s="12" t="s">
        <v>399</v>
      </c>
      <c r="G12867" s="12" t="s">
        <v>46</v>
      </c>
      <c r="H12867" s="11" t="s">
        <v>63</v>
      </c>
      <c r="I12867" s="13" t="s">
        <v>25117</v>
      </c>
      <c r="J12867" s="14" t="str">
        <f>HYPERLINK("https://www.boe.es/gazeta/dias/1839/05/17/pdfs/GMD-1839-1644.pdf#page=3","Abrir facsímil")</f>
        <v>Abrir facsímil</v>
      </c>
      <c r="K12867" s="12" t="s">
        <v>65</v>
      </c>
    </row>
    <row r="12868" spans="1:11" ht="40.049999999999997" customHeight="1" x14ac:dyDescent="0.25">
      <c r="A12868" s="11" t="s">
        <v>25118</v>
      </c>
      <c r="B12868" s="11" t="s">
        <v>25119</v>
      </c>
      <c r="C12868" s="11" t="s">
        <v>59</v>
      </c>
      <c r="D12868" s="11" t="s">
        <v>60</v>
      </c>
      <c r="E12868" s="12" t="s">
        <v>202</v>
      </c>
      <c r="F12868" s="12" t="s">
        <v>203</v>
      </c>
      <c r="G12868" s="12" t="s">
        <v>46</v>
      </c>
      <c r="H12868" s="11" t="s">
        <v>63</v>
      </c>
      <c r="I12868" s="13" t="s">
        <v>25120</v>
      </c>
      <c r="J12868" s="14" t="str">
        <f>HYPERLINK("https://www.boe.es/gazeta/dias/1839/04/05/pdfs/GMD-1839-1602.pdf#page=3","Abrir facsímil")</f>
        <v>Abrir facsímil</v>
      </c>
      <c r="K12868" s="12" t="s">
        <v>65</v>
      </c>
    </row>
    <row r="12869" spans="1:11" ht="40.049999999999997" customHeight="1" x14ac:dyDescent="0.25">
      <c r="A12869" s="11" t="s">
        <v>25121</v>
      </c>
      <c r="B12869" s="11" t="s">
        <v>25122</v>
      </c>
      <c r="C12869" s="11" t="s">
        <v>17</v>
      </c>
      <c r="D12869" s="11" t="s">
        <v>18</v>
      </c>
      <c r="E12869" s="12" t="s">
        <v>222</v>
      </c>
      <c r="F12869" s="12" t="s">
        <v>223</v>
      </c>
      <c r="G12869" s="12" t="s">
        <v>21</v>
      </c>
      <c r="H12869" s="11" t="s">
        <v>63</v>
      </c>
      <c r="I12869" s="13" t="s">
        <v>25123</v>
      </c>
      <c r="J12869" s="14" t="str">
        <f>HYPERLINK("https://www.boe.es/gazeta/dias/1839/06/22/pdfs/GMD-1839-1680.pdf#page=4","Abrir facsímil")</f>
        <v>Abrir facsímil</v>
      </c>
      <c r="K12869" s="12" t="s">
        <v>65</v>
      </c>
    </row>
    <row r="12870" spans="1:11" ht="40.049999999999997" customHeight="1" x14ac:dyDescent="0.25">
      <c r="A12870" s="11" t="s">
        <v>25124</v>
      </c>
      <c r="B12870" s="11" t="s">
        <v>25125</v>
      </c>
      <c r="C12870" s="11" t="s">
        <v>59</v>
      </c>
      <c r="D12870" s="11" t="s">
        <v>60</v>
      </c>
      <c r="E12870" s="12" t="s">
        <v>2227</v>
      </c>
      <c r="F12870" s="12" t="s">
        <v>2228</v>
      </c>
      <c r="G12870" s="12" t="s">
        <v>46</v>
      </c>
      <c r="H12870" s="11" t="s">
        <v>63</v>
      </c>
      <c r="I12870" s="13" t="s">
        <v>25126</v>
      </c>
      <c r="J12870" s="14" t="str">
        <f>HYPERLINK("https://www.boe.es/gazeta/dias/1839/12/04/pdfs/GMD-1839-1851.pdf#page=3","Abrir facsímil")</f>
        <v>Abrir facsímil</v>
      </c>
      <c r="K12870" s="12" t="s">
        <v>65</v>
      </c>
    </row>
    <row r="12871" spans="1:11" ht="40.049999999999997" customHeight="1" x14ac:dyDescent="0.25">
      <c r="A12871" s="11" t="s">
        <v>25127</v>
      </c>
      <c r="B12871" s="11" t="s">
        <v>25128</v>
      </c>
      <c r="C12871" s="11" t="s">
        <v>80</v>
      </c>
      <c r="D12871" s="11" t="s">
        <v>18</v>
      </c>
      <c r="E12871" s="12" t="s">
        <v>1012</v>
      </c>
      <c r="F12871" s="12" t="s">
        <v>1013</v>
      </c>
      <c r="G12871" s="12" t="s">
        <v>46</v>
      </c>
      <c r="H12871" s="11" t="s">
        <v>63</v>
      </c>
      <c r="I12871" s="13" t="s">
        <v>25129</v>
      </c>
      <c r="J12871" s="14" t="str">
        <f>HYPERLINK("https://www.boe.es/gazeta/dias/1839/11/22/pdfs/GMD-1839-1839.pdf#page=3","Abrir facsímil")</f>
        <v>Abrir facsímil</v>
      </c>
      <c r="K12871" s="12" t="s">
        <v>65</v>
      </c>
    </row>
    <row r="12872" spans="1:11" ht="40.049999999999997" customHeight="1" x14ac:dyDescent="0.25">
      <c r="A12872" s="11" t="s">
        <v>25130</v>
      </c>
      <c r="B12872" s="11" t="s">
        <v>25130</v>
      </c>
      <c r="C12872" s="11" t="s">
        <v>17</v>
      </c>
      <c r="D12872" s="11" t="s">
        <v>18</v>
      </c>
      <c r="E12872" s="12" t="s">
        <v>116</v>
      </c>
      <c r="F12872" s="12" t="s">
        <v>117</v>
      </c>
      <c r="G12872" s="12" t="s">
        <v>40</v>
      </c>
      <c r="H12872" s="11" t="s">
        <v>63</v>
      </c>
      <c r="I12872" s="13" t="s">
        <v>25131</v>
      </c>
      <c r="J12872" s="14" t="str">
        <f>HYPERLINK("https://www.boe.es/gazeta/dias/1839/10/10/pdfs/GMD-1839-1796.pdf#page=2","Abrir facsímil")</f>
        <v>Abrir facsímil</v>
      </c>
      <c r="K12872" s="12" t="s">
        <v>65</v>
      </c>
    </row>
    <row r="12873" spans="1:11" ht="40.049999999999997" customHeight="1" x14ac:dyDescent="0.25">
      <c r="A12873" s="11" t="s">
        <v>25132</v>
      </c>
      <c r="B12873" s="11" t="s">
        <v>25132</v>
      </c>
      <c r="C12873" s="11" t="s">
        <v>17</v>
      </c>
      <c r="D12873" s="11" t="s">
        <v>18</v>
      </c>
      <c r="E12873" s="12" t="s">
        <v>236</v>
      </c>
      <c r="F12873" s="12" t="s">
        <v>237</v>
      </c>
      <c r="G12873" s="12" t="s">
        <v>40</v>
      </c>
      <c r="H12873" s="11" t="s">
        <v>22</v>
      </c>
      <c r="I12873" s="13" t="s">
        <v>25133</v>
      </c>
      <c r="J12873" s="14" t="str">
        <f>HYPERLINK("https://www.boe.es/gazeta/dias/1839/09/18/pdfs/GMD-1839-1771.pdf#page=2","Abrir facsímil")</f>
        <v>Abrir facsímil</v>
      </c>
      <c r="K12873" s="12" t="s">
        <v>24</v>
      </c>
    </row>
    <row r="12874" spans="1:11" ht="40.049999999999997" customHeight="1" x14ac:dyDescent="0.25">
      <c r="A12874" s="11" t="s">
        <v>25134</v>
      </c>
      <c r="B12874" s="11" t="s">
        <v>25134</v>
      </c>
      <c r="C12874" s="11" t="s">
        <v>17</v>
      </c>
      <c r="D12874" s="11" t="s">
        <v>18</v>
      </c>
      <c r="E12874" s="12" t="s">
        <v>844</v>
      </c>
      <c r="F12874" s="12" t="s">
        <v>845</v>
      </c>
      <c r="G12874" s="12" t="s">
        <v>29</v>
      </c>
      <c r="H12874" s="11" t="s">
        <v>63</v>
      </c>
      <c r="I12874" s="13" t="s">
        <v>25135</v>
      </c>
      <c r="J12874" s="14" t="str">
        <f>HYPERLINK("https://www.boe.es/gazeta/dias/1839/12/24/pdfs/GMD-1839-1871.pdf#page=1","Abrir facsímil")</f>
        <v>Abrir facsímil</v>
      </c>
      <c r="K12874" s="12" t="s">
        <v>65</v>
      </c>
    </row>
    <row r="12875" spans="1:11" ht="40.049999999999997" customHeight="1" x14ac:dyDescent="0.25">
      <c r="A12875" s="11" t="s">
        <v>25134</v>
      </c>
      <c r="B12875" s="11" t="s">
        <v>25134</v>
      </c>
      <c r="C12875" s="11" t="s">
        <v>80</v>
      </c>
      <c r="D12875" s="11" t="s">
        <v>18</v>
      </c>
      <c r="E12875" s="12" t="s">
        <v>1867</v>
      </c>
      <c r="F12875" s="12" t="s">
        <v>1868</v>
      </c>
      <c r="G12875" s="12" t="s">
        <v>46</v>
      </c>
      <c r="H12875" s="11" t="s">
        <v>63</v>
      </c>
      <c r="I12875" s="13" t="s">
        <v>25136</v>
      </c>
      <c r="J12875" s="14" t="str">
        <f>HYPERLINK("https://www.boe.es/gazeta/dias/1839/01/30/pdfs/GMD-1839-1537.pdf#page=3","Abrir facsímil")</f>
        <v>Abrir facsímil</v>
      </c>
      <c r="K12875" s="12" t="s">
        <v>65</v>
      </c>
    </row>
    <row r="12876" spans="1:11" ht="40.049999999999997" customHeight="1" x14ac:dyDescent="0.25">
      <c r="A12876" s="11" t="s">
        <v>25137</v>
      </c>
      <c r="B12876" s="11" t="s">
        <v>25138</v>
      </c>
      <c r="C12876" s="11" t="s">
        <v>137</v>
      </c>
      <c r="D12876" s="11" t="s">
        <v>18</v>
      </c>
      <c r="E12876" s="12" t="s">
        <v>258</v>
      </c>
      <c r="F12876" s="12" t="s">
        <v>259</v>
      </c>
      <c r="G12876" s="12" t="s">
        <v>40</v>
      </c>
      <c r="H12876" s="11" t="s">
        <v>63</v>
      </c>
      <c r="I12876" s="13" t="s">
        <v>25139</v>
      </c>
      <c r="J12876" s="14" t="str">
        <f>HYPERLINK("https://www.boe.es/gazeta/dias/1839/01/02/pdfs/GMD-1839-1509.pdf#page=2","Abrir facsímil")</f>
        <v>Abrir facsímil</v>
      </c>
      <c r="K12876" s="12" t="s">
        <v>65</v>
      </c>
    </row>
    <row r="12877" spans="1:11" ht="40.049999999999997" customHeight="1" x14ac:dyDescent="0.25">
      <c r="A12877" s="11" t="s">
        <v>25140</v>
      </c>
      <c r="B12877" s="11" t="s">
        <v>25141</v>
      </c>
      <c r="C12877" s="11" t="s">
        <v>101</v>
      </c>
      <c r="D12877" s="11" t="s">
        <v>43</v>
      </c>
      <c r="E12877" s="12" t="s">
        <v>794</v>
      </c>
      <c r="F12877" s="12" t="s">
        <v>795</v>
      </c>
      <c r="G12877" s="12" t="s">
        <v>46</v>
      </c>
      <c r="H12877" s="11" t="s">
        <v>22</v>
      </c>
      <c r="I12877" s="13" t="s">
        <v>25142</v>
      </c>
      <c r="J12877" s="14" t="str">
        <f>HYPERLINK("https://www.boe.es/gazeta/dias/1839/01/22/pdfs/GMD-1839-1529.pdf#page=3","Abrir facsímil")</f>
        <v>Abrir facsímil</v>
      </c>
      <c r="K12877" s="12" t="s">
        <v>24</v>
      </c>
    </row>
    <row r="12878" spans="1:11" ht="40.049999999999997" customHeight="1" x14ac:dyDescent="0.25">
      <c r="A12878" s="11" t="s">
        <v>25143</v>
      </c>
      <c r="B12878" s="11" t="s">
        <v>25144</v>
      </c>
      <c r="C12878" s="11" t="s">
        <v>17</v>
      </c>
      <c r="D12878" s="11" t="s">
        <v>43</v>
      </c>
      <c r="E12878" s="12" t="s">
        <v>1623</v>
      </c>
      <c r="F12878" s="12" t="s">
        <v>1624</v>
      </c>
      <c r="G12878" s="12" t="s">
        <v>21</v>
      </c>
      <c r="H12878" s="11" t="s">
        <v>63</v>
      </c>
      <c r="I12878" s="13" t="s">
        <v>25145</v>
      </c>
      <c r="J12878" s="14" t="str">
        <f>HYPERLINK("https://www.boe.es/gazeta/dias/1839/04/07/pdfs/GMD-1839-1604.pdf#page=4","Abrir facsímil")</f>
        <v>Abrir facsímil</v>
      </c>
      <c r="K12878" s="12" t="s">
        <v>65</v>
      </c>
    </row>
    <row r="12879" spans="1:11" ht="40.049999999999997" customHeight="1" x14ac:dyDescent="0.25">
      <c r="A12879" s="11" t="s">
        <v>25146</v>
      </c>
      <c r="B12879" s="11" t="s">
        <v>25147</v>
      </c>
      <c r="C12879" s="11" t="s">
        <v>17</v>
      </c>
      <c r="D12879" s="11" t="s">
        <v>18</v>
      </c>
      <c r="E12879" s="12" t="s">
        <v>1310</v>
      </c>
      <c r="F12879" s="12" t="s">
        <v>1311</v>
      </c>
      <c r="G12879" s="12" t="s">
        <v>40</v>
      </c>
      <c r="H12879" s="11" t="s">
        <v>63</v>
      </c>
      <c r="I12879" s="13" t="s">
        <v>25148</v>
      </c>
      <c r="J12879" s="14" t="str">
        <f>HYPERLINK("https://www.boe.es/gazeta/dias/1839/04/23/pdfs/GMD-1839-1620.pdf#page=2","Abrir facsímil")</f>
        <v>Abrir facsímil</v>
      </c>
      <c r="K12879" s="12" t="s">
        <v>65</v>
      </c>
    </row>
    <row r="12880" spans="1:11" ht="40.049999999999997" customHeight="1" x14ac:dyDescent="0.25">
      <c r="A12880" s="11" t="s">
        <v>25149</v>
      </c>
      <c r="B12880" s="11" t="s">
        <v>25149</v>
      </c>
      <c r="C12880" s="11" t="s">
        <v>17</v>
      </c>
      <c r="D12880" s="11" t="s">
        <v>18</v>
      </c>
      <c r="E12880" s="12" t="s">
        <v>779</v>
      </c>
      <c r="F12880" s="12" t="s">
        <v>780</v>
      </c>
      <c r="G12880" s="12" t="s">
        <v>29</v>
      </c>
      <c r="H12880" s="11" t="s">
        <v>63</v>
      </c>
      <c r="I12880" s="13" t="s">
        <v>25150</v>
      </c>
      <c r="J12880" s="14" t="str">
        <f>HYPERLINK("https://www.boe.es/gazeta/dias/1839/02/03/pdfs/GMD-1839-1541.pdf#page=1","Abrir facsímil")</f>
        <v>Abrir facsímil</v>
      </c>
      <c r="K12880" s="12" t="s">
        <v>65</v>
      </c>
    </row>
    <row r="12881" spans="1:11" ht="40.049999999999997" customHeight="1" x14ac:dyDescent="0.25">
      <c r="A12881" s="11" t="s">
        <v>25149</v>
      </c>
      <c r="B12881" s="11" t="s">
        <v>25149</v>
      </c>
      <c r="C12881" s="11" t="s">
        <v>17</v>
      </c>
      <c r="D12881" s="11" t="s">
        <v>18</v>
      </c>
      <c r="E12881" s="12" t="s">
        <v>324</v>
      </c>
      <c r="F12881" s="12" t="s">
        <v>325</v>
      </c>
      <c r="G12881" s="12" t="s">
        <v>21</v>
      </c>
      <c r="H12881" s="11" t="s">
        <v>63</v>
      </c>
      <c r="I12881" s="13" t="s">
        <v>25151</v>
      </c>
      <c r="J12881" s="14" t="str">
        <f>HYPERLINK("https://www.boe.es/gazeta/dias/1839/02/04/pdfs/GMD-1839-1542.pdf#page=4","Abrir facsímil")</f>
        <v>Abrir facsímil</v>
      </c>
      <c r="K12881" s="12" t="s">
        <v>65</v>
      </c>
    </row>
    <row r="12882" spans="1:11" ht="40.049999999999997" customHeight="1" x14ac:dyDescent="0.25">
      <c r="A12882" s="11" t="s">
        <v>25149</v>
      </c>
      <c r="B12882" s="11" t="s">
        <v>25149</v>
      </c>
      <c r="C12882" s="11" t="s">
        <v>101</v>
      </c>
      <c r="D12882" s="11" t="s">
        <v>43</v>
      </c>
      <c r="E12882" s="12" t="s">
        <v>197</v>
      </c>
      <c r="F12882" s="12" t="s">
        <v>198</v>
      </c>
      <c r="G12882" s="12" t="s">
        <v>40</v>
      </c>
      <c r="H12882" s="11" t="s">
        <v>63</v>
      </c>
      <c r="I12882" s="13" t="s">
        <v>25152</v>
      </c>
      <c r="J12882" s="14" t="str">
        <f>HYPERLINK("https://www.boe.es/gazeta/dias/1839/10/04/pdfs/GMD-1839-1790.pdf#page=2","Abrir facsímil")</f>
        <v>Abrir facsímil</v>
      </c>
      <c r="K12882" s="12" t="s">
        <v>65</v>
      </c>
    </row>
    <row r="12883" spans="1:11" ht="40.049999999999997" customHeight="1" x14ac:dyDescent="0.25">
      <c r="A12883" s="11" t="s">
        <v>25149</v>
      </c>
      <c r="B12883" s="11" t="s">
        <v>25149</v>
      </c>
      <c r="C12883" s="11" t="s">
        <v>17</v>
      </c>
      <c r="D12883" s="11" t="s">
        <v>18</v>
      </c>
      <c r="E12883" s="12" t="s">
        <v>548</v>
      </c>
      <c r="F12883" s="12" t="s">
        <v>549</v>
      </c>
      <c r="G12883" s="12" t="s">
        <v>40</v>
      </c>
      <c r="H12883" s="11" t="s">
        <v>63</v>
      </c>
      <c r="I12883" s="13" t="s">
        <v>25153</v>
      </c>
      <c r="J12883" s="14" t="str">
        <f>HYPERLINK("https://www.boe.es/gazeta/dias/1839/06/06/pdfs/GMD-1839-1664.pdf#page=2","Abrir facsímil")</f>
        <v>Abrir facsímil</v>
      </c>
      <c r="K12883" s="12" t="s">
        <v>65</v>
      </c>
    </row>
    <row r="12884" spans="1:11" ht="40.049999999999997" customHeight="1" x14ac:dyDescent="0.25">
      <c r="A12884" s="11" t="s">
        <v>25149</v>
      </c>
      <c r="B12884" s="11" t="s">
        <v>25149</v>
      </c>
      <c r="C12884" s="11" t="s">
        <v>17</v>
      </c>
      <c r="D12884" s="11" t="s">
        <v>18</v>
      </c>
      <c r="E12884" s="12" t="s">
        <v>157</v>
      </c>
      <c r="F12884" s="12" t="s">
        <v>158</v>
      </c>
      <c r="G12884" s="12" t="s">
        <v>29</v>
      </c>
      <c r="H12884" s="11" t="s">
        <v>63</v>
      </c>
      <c r="I12884" s="13" t="s">
        <v>25154</v>
      </c>
      <c r="J12884" s="14" t="str">
        <f>HYPERLINK("https://www.boe.es/gazeta/dias/1839/02/08/pdfs/GMD-1839-1546.pdf#page=1","Abrir facsímil")</f>
        <v>Abrir facsímil</v>
      </c>
      <c r="K12884" s="12" t="s">
        <v>65</v>
      </c>
    </row>
    <row r="12885" spans="1:11" ht="40.049999999999997" customHeight="1" x14ac:dyDescent="0.25">
      <c r="A12885" s="11" t="s">
        <v>25149</v>
      </c>
      <c r="B12885" s="11" t="s">
        <v>25149</v>
      </c>
      <c r="C12885" s="11" t="s">
        <v>80</v>
      </c>
      <c r="D12885" s="11" t="s">
        <v>18</v>
      </c>
      <c r="E12885" s="12" t="s">
        <v>121</v>
      </c>
      <c r="F12885" s="12" t="s">
        <v>122</v>
      </c>
      <c r="G12885" s="12" t="s">
        <v>46</v>
      </c>
      <c r="H12885" s="11" t="s">
        <v>63</v>
      </c>
      <c r="I12885" s="13" t="s">
        <v>25155</v>
      </c>
      <c r="J12885" s="14" t="str">
        <f>HYPERLINK("https://www.boe.es/gazeta/dias/1839/06/08/pdfs/GMD-1839-1666.pdf#page=3","Abrir facsímil")</f>
        <v>Abrir facsímil</v>
      </c>
      <c r="K12885" s="12" t="s">
        <v>65</v>
      </c>
    </row>
    <row r="12886" spans="1:11" ht="40.049999999999997" customHeight="1" x14ac:dyDescent="0.25">
      <c r="A12886" s="11" t="s">
        <v>25149</v>
      </c>
      <c r="B12886" s="11" t="s">
        <v>25149</v>
      </c>
      <c r="C12886" s="11" t="s">
        <v>17</v>
      </c>
      <c r="D12886" s="11" t="s">
        <v>18</v>
      </c>
      <c r="E12886" s="12" t="s">
        <v>647</v>
      </c>
      <c r="F12886" s="12" t="s">
        <v>648</v>
      </c>
      <c r="G12886" s="12" t="s">
        <v>566</v>
      </c>
      <c r="H12886" s="11" t="s">
        <v>63</v>
      </c>
      <c r="I12886" s="13" t="s">
        <v>25156</v>
      </c>
      <c r="J12886" s="14" t="str">
        <f>HYPERLINK("https://www.boe.es/gazeta/dias/1839/10/08/pdfs/GMD-1839-1794.pdf#page=5","Abrir facsímil")</f>
        <v>Abrir facsímil</v>
      </c>
      <c r="K12886" s="12" t="s">
        <v>65</v>
      </c>
    </row>
    <row r="12887" spans="1:11" ht="40.049999999999997" customHeight="1" x14ac:dyDescent="0.25">
      <c r="A12887" s="11" t="s">
        <v>25149</v>
      </c>
      <c r="B12887" s="11" t="s">
        <v>25149</v>
      </c>
      <c r="C12887" s="11" t="s">
        <v>80</v>
      </c>
      <c r="D12887" s="11" t="s">
        <v>18</v>
      </c>
      <c r="E12887" s="12" t="s">
        <v>61</v>
      </c>
      <c r="F12887" s="12" t="s">
        <v>62</v>
      </c>
      <c r="G12887" s="12" t="s">
        <v>29</v>
      </c>
      <c r="H12887" s="11" t="s">
        <v>63</v>
      </c>
      <c r="I12887" s="13" t="s">
        <v>25157</v>
      </c>
      <c r="J12887" s="14" t="str">
        <f>HYPERLINK("https://www.boe.es/gazeta/dias/1839/09/10/pdfs/GMD-1839-1763.pdf#page=1","Abrir facsímil")</f>
        <v>Abrir facsímil</v>
      </c>
      <c r="K12887" s="12" t="s">
        <v>65</v>
      </c>
    </row>
    <row r="12888" spans="1:11" ht="40.049999999999997" customHeight="1" x14ac:dyDescent="0.25">
      <c r="A12888" s="11" t="s">
        <v>25149</v>
      </c>
      <c r="B12888" s="11" t="s">
        <v>25149</v>
      </c>
      <c r="C12888" s="11" t="s">
        <v>17</v>
      </c>
      <c r="D12888" s="11" t="s">
        <v>18</v>
      </c>
      <c r="E12888" s="12" t="s">
        <v>116</v>
      </c>
      <c r="F12888" s="12" t="s">
        <v>117</v>
      </c>
      <c r="G12888" s="12" t="s">
        <v>21</v>
      </c>
      <c r="H12888" s="11" t="s">
        <v>63</v>
      </c>
      <c r="I12888" s="13" t="s">
        <v>25158</v>
      </c>
      <c r="J12888" s="14" t="str">
        <f>HYPERLINK("https://www.boe.es/gazeta/dias/1839/10/10/pdfs/GMD-1839-1796.pdf#page=4","Abrir facsímil")</f>
        <v>Abrir facsímil</v>
      </c>
      <c r="K12888" s="12" t="s">
        <v>65</v>
      </c>
    </row>
    <row r="12889" spans="1:11" ht="40.049999999999997" customHeight="1" x14ac:dyDescent="0.25">
      <c r="A12889" s="11" t="s">
        <v>25149</v>
      </c>
      <c r="B12889" s="11" t="s">
        <v>25149</v>
      </c>
      <c r="C12889" s="11" t="s">
        <v>17</v>
      </c>
      <c r="D12889" s="11" t="s">
        <v>18</v>
      </c>
      <c r="E12889" s="12" t="s">
        <v>333</v>
      </c>
      <c r="F12889" s="12" t="s">
        <v>334</v>
      </c>
      <c r="G12889" s="12" t="s">
        <v>40</v>
      </c>
      <c r="H12889" s="11" t="s">
        <v>63</v>
      </c>
      <c r="I12889" s="13" t="s">
        <v>25159</v>
      </c>
      <c r="J12889" s="14" t="str">
        <f>HYPERLINK("https://www.boe.es/gazeta/dias/1839/06/11/pdfs/GMD-1839-1669.pdf#page=2","Abrir facsímil")</f>
        <v>Abrir facsímil</v>
      </c>
      <c r="K12889" s="12" t="s">
        <v>65</v>
      </c>
    </row>
    <row r="12890" spans="1:11" ht="40.049999999999997" customHeight="1" x14ac:dyDescent="0.25">
      <c r="A12890" s="11" t="s">
        <v>25149</v>
      </c>
      <c r="B12890" s="11" t="s">
        <v>25149</v>
      </c>
      <c r="C12890" s="11" t="s">
        <v>59</v>
      </c>
      <c r="D12890" s="11" t="s">
        <v>60</v>
      </c>
      <c r="E12890" s="12" t="s">
        <v>561</v>
      </c>
      <c r="F12890" s="12" t="s">
        <v>562</v>
      </c>
      <c r="G12890" s="12" t="s">
        <v>40</v>
      </c>
      <c r="H12890" s="11" t="s">
        <v>63</v>
      </c>
      <c r="I12890" s="13" t="s">
        <v>25160</v>
      </c>
      <c r="J12890" s="14" t="str">
        <f>HYPERLINK("https://www.boe.es/gazeta/dias/1839/09/11/pdfs/GMD-1839-1764.pdf#page=2","Abrir facsímil")</f>
        <v>Abrir facsímil</v>
      </c>
      <c r="K12890" s="12" t="s">
        <v>65</v>
      </c>
    </row>
    <row r="12891" spans="1:11" ht="40.049999999999997" customHeight="1" x14ac:dyDescent="0.25">
      <c r="A12891" s="11" t="s">
        <v>25149</v>
      </c>
      <c r="B12891" s="11" t="s">
        <v>25149</v>
      </c>
      <c r="C12891" s="11" t="s">
        <v>17</v>
      </c>
      <c r="D12891" s="11" t="s">
        <v>18</v>
      </c>
      <c r="E12891" s="12" t="s">
        <v>1512</v>
      </c>
      <c r="F12891" s="12" t="s">
        <v>1513</v>
      </c>
      <c r="G12891" s="12" t="s">
        <v>21</v>
      </c>
      <c r="H12891" s="11" t="s">
        <v>63</v>
      </c>
      <c r="I12891" s="13" t="s">
        <v>25161</v>
      </c>
      <c r="J12891" s="14" t="str">
        <f>HYPERLINK("https://www.boe.es/gazeta/dias/1839/04/13/pdfs/GMD-1839-1610.pdf#page=4","Abrir facsímil")</f>
        <v>Abrir facsímil</v>
      </c>
      <c r="K12891" s="12" t="s">
        <v>65</v>
      </c>
    </row>
    <row r="12892" spans="1:11" ht="40.049999999999997" customHeight="1" x14ac:dyDescent="0.25">
      <c r="A12892" s="11" t="s">
        <v>25149</v>
      </c>
      <c r="B12892" s="11" t="s">
        <v>25149</v>
      </c>
      <c r="C12892" s="11" t="s">
        <v>17</v>
      </c>
      <c r="D12892" s="11" t="s">
        <v>18</v>
      </c>
      <c r="E12892" s="12" t="s">
        <v>2374</v>
      </c>
      <c r="F12892" s="12" t="s">
        <v>2375</v>
      </c>
      <c r="G12892" s="12" t="s">
        <v>29</v>
      </c>
      <c r="H12892" s="11" t="s">
        <v>63</v>
      </c>
      <c r="I12892" s="13" t="s">
        <v>25162</v>
      </c>
      <c r="J12892" s="14" t="str">
        <f>HYPERLINK("https://www.boe.es/gazeta/dias/1839/06/14/pdfs/GMD-1839-1672.pdf#page=1","Abrir facsímil")</f>
        <v>Abrir facsímil</v>
      </c>
      <c r="K12892" s="12" t="s">
        <v>65</v>
      </c>
    </row>
    <row r="12893" spans="1:11" ht="40.049999999999997" customHeight="1" x14ac:dyDescent="0.25">
      <c r="A12893" s="11" t="s">
        <v>25149</v>
      </c>
      <c r="B12893" s="11" t="s">
        <v>25149</v>
      </c>
      <c r="C12893" s="11" t="s">
        <v>17</v>
      </c>
      <c r="D12893" s="11" t="s">
        <v>18</v>
      </c>
      <c r="E12893" s="12" t="s">
        <v>870</v>
      </c>
      <c r="F12893" s="12" t="s">
        <v>871</v>
      </c>
      <c r="G12893" s="12" t="s">
        <v>21</v>
      </c>
      <c r="H12893" s="11" t="s">
        <v>63</v>
      </c>
      <c r="I12893" s="13" t="s">
        <v>25163</v>
      </c>
      <c r="J12893" s="14" t="str">
        <f>HYPERLINK("https://www.boe.es/gazeta/dias/1839/04/18/pdfs/GMD-1839-1615.pdf#page=4","Abrir facsímil")</f>
        <v>Abrir facsímil</v>
      </c>
      <c r="K12893" s="12" t="s">
        <v>65</v>
      </c>
    </row>
    <row r="12894" spans="1:11" ht="40.049999999999997" customHeight="1" x14ac:dyDescent="0.25">
      <c r="A12894" s="11" t="s">
        <v>25149</v>
      </c>
      <c r="B12894" s="11" t="s">
        <v>25149</v>
      </c>
      <c r="C12894" s="11" t="s">
        <v>17</v>
      </c>
      <c r="D12894" s="11" t="s">
        <v>18</v>
      </c>
      <c r="E12894" s="12" t="s">
        <v>685</v>
      </c>
      <c r="F12894" s="12" t="s">
        <v>686</v>
      </c>
      <c r="G12894" s="12" t="s">
        <v>21</v>
      </c>
      <c r="H12894" s="11" t="s">
        <v>63</v>
      </c>
      <c r="I12894" s="13" t="s">
        <v>25164</v>
      </c>
      <c r="J12894" s="14" t="str">
        <f>HYPERLINK("https://www.boe.es/gazeta/dias/1839/06/18/pdfs/GMD-1839-1676.pdf#page=4","Abrir facsímil")</f>
        <v>Abrir facsímil</v>
      </c>
      <c r="K12894" s="12" t="s">
        <v>65</v>
      </c>
    </row>
    <row r="12895" spans="1:11" ht="40.049999999999997" customHeight="1" x14ac:dyDescent="0.25">
      <c r="A12895" s="11" t="s">
        <v>25149</v>
      </c>
      <c r="B12895" s="11" t="s">
        <v>25149</v>
      </c>
      <c r="C12895" s="11" t="s">
        <v>17</v>
      </c>
      <c r="D12895" s="11" t="s">
        <v>18</v>
      </c>
      <c r="E12895" s="12" t="s">
        <v>433</v>
      </c>
      <c r="F12895" s="12" t="s">
        <v>434</v>
      </c>
      <c r="G12895" s="12" t="s">
        <v>46</v>
      </c>
      <c r="H12895" s="11" t="s">
        <v>63</v>
      </c>
      <c r="I12895" s="13" t="s">
        <v>25165</v>
      </c>
      <c r="J12895" s="14" t="str">
        <f>HYPERLINK("https://www.boe.es/gazeta/dias/1839/01/20/pdfs/GMD-1839-1527.pdf#page=3","Abrir facsímil")</f>
        <v>Abrir facsímil</v>
      </c>
      <c r="K12895" s="12" t="s">
        <v>65</v>
      </c>
    </row>
    <row r="12896" spans="1:11" ht="40.049999999999997" customHeight="1" x14ac:dyDescent="0.25">
      <c r="A12896" s="11" t="s">
        <v>25149</v>
      </c>
      <c r="B12896" s="11" t="s">
        <v>25149</v>
      </c>
      <c r="C12896" s="11" t="s">
        <v>17</v>
      </c>
      <c r="D12896" s="11" t="s">
        <v>18</v>
      </c>
      <c r="E12896" s="12" t="s">
        <v>794</v>
      </c>
      <c r="F12896" s="12" t="s">
        <v>795</v>
      </c>
      <c r="G12896" s="12" t="s">
        <v>40</v>
      </c>
      <c r="H12896" s="11" t="s">
        <v>63</v>
      </c>
      <c r="I12896" s="13" t="s">
        <v>25166</v>
      </c>
      <c r="J12896" s="14" t="str">
        <f>HYPERLINK("https://www.boe.es/gazeta/dias/1839/01/22/pdfs/GMD-1839-1529.pdf#page=2","Abrir facsímil")</f>
        <v>Abrir facsímil</v>
      </c>
      <c r="K12896" s="12" t="s">
        <v>65</v>
      </c>
    </row>
    <row r="12897" spans="1:11" ht="40.049999999999997" customHeight="1" x14ac:dyDescent="0.25">
      <c r="A12897" s="11" t="s">
        <v>25149</v>
      </c>
      <c r="B12897" s="11" t="s">
        <v>25149</v>
      </c>
      <c r="C12897" s="11" t="s">
        <v>101</v>
      </c>
      <c r="D12897" s="11" t="s">
        <v>43</v>
      </c>
      <c r="E12897" s="12" t="s">
        <v>519</v>
      </c>
      <c r="F12897" s="12" t="s">
        <v>520</v>
      </c>
      <c r="G12897" s="12" t="s">
        <v>21</v>
      </c>
      <c r="H12897" s="11" t="s">
        <v>63</v>
      </c>
      <c r="I12897" s="13" t="s">
        <v>25167</v>
      </c>
      <c r="J12897" s="14" t="str">
        <f>HYPERLINK("https://www.boe.es/gazeta/dias/1839/02/23/pdfs/GMD-1839-1561.pdf#page=4","Abrir facsímil")</f>
        <v>Abrir facsímil</v>
      </c>
      <c r="K12897" s="12" t="s">
        <v>65</v>
      </c>
    </row>
    <row r="12898" spans="1:11" ht="40.049999999999997" customHeight="1" x14ac:dyDescent="0.25">
      <c r="A12898" s="11" t="s">
        <v>25149</v>
      </c>
      <c r="B12898" s="11" t="s">
        <v>25149</v>
      </c>
      <c r="C12898" s="11" t="s">
        <v>101</v>
      </c>
      <c r="D12898" s="11" t="s">
        <v>102</v>
      </c>
      <c r="E12898" s="12" t="s">
        <v>276</v>
      </c>
      <c r="F12898" s="12" t="s">
        <v>277</v>
      </c>
      <c r="G12898" s="12" t="s">
        <v>46</v>
      </c>
      <c r="H12898" s="11" t="s">
        <v>63</v>
      </c>
      <c r="I12898" s="13" t="s">
        <v>25168</v>
      </c>
      <c r="J12898" s="14" t="str">
        <f>HYPERLINK("https://www.boe.es/gazeta/dias/1839/09/24/pdfs/GMD-1839-1780.pdf#page=3","Abrir facsímil")</f>
        <v>Abrir facsímil</v>
      </c>
      <c r="K12898" s="12" t="s">
        <v>65</v>
      </c>
    </row>
    <row r="12899" spans="1:11" ht="40.049999999999997" customHeight="1" x14ac:dyDescent="0.25">
      <c r="A12899" s="11" t="s">
        <v>25149</v>
      </c>
      <c r="B12899" s="11" t="s">
        <v>25149</v>
      </c>
      <c r="C12899" s="11" t="s">
        <v>59</v>
      </c>
      <c r="D12899" s="11" t="s">
        <v>60</v>
      </c>
      <c r="E12899" s="12" t="s">
        <v>1749</v>
      </c>
      <c r="F12899" s="12" t="s">
        <v>1750</v>
      </c>
      <c r="G12899" s="12" t="s">
        <v>46</v>
      </c>
      <c r="H12899" s="11" t="s">
        <v>63</v>
      </c>
      <c r="I12899" s="13" t="s">
        <v>25169</v>
      </c>
      <c r="J12899" s="14" t="str">
        <f>HYPERLINK("https://www.boe.es/gazeta/dias/1839/06/28/pdfs/GMD-1839-1686.pdf#page=3","Abrir facsímil")</f>
        <v>Abrir facsímil</v>
      </c>
      <c r="K12899" s="12" t="s">
        <v>65</v>
      </c>
    </row>
    <row r="12900" spans="1:11" ht="40.049999999999997" customHeight="1" x14ac:dyDescent="0.25">
      <c r="A12900" s="11" t="s">
        <v>25149</v>
      </c>
      <c r="B12900" s="11" t="s">
        <v>25149</v>
      </c>
      <c r="C12900" s="11" t="s">
        <v>59</v>
      </c>
      <c r="D12900" s="11" t="s">
        <v>60</v>
      </c>
      <c r="E12900" s="12" t="s">
        <v>2349</v>
      </c>
      <c r="F12900" s="12" t="s">
        <v>2350</v>
      </c>
      <c r="G12900" s="12" t="s">
        <v>21</v>
      </c>
      <c r="H12900" s="11" t="s">
        <v>63</v>
      </c>
      <c r="I12900" s="13" t="s">
        <v>25170</v>
      </c>
      <c r="J12900" s="14" t="str">
        <f>HYPERLINK("https://www.boe.es/gazeta/dias/1839/09/29/pdfs/GMD-1839-1785.pdf#page=4","Abrir facsímil")</f>
        <v>Abrir facsímil</v>
      </c>
      <c r="K12900" s="12" t="s">
        <v>65</v>
      </c>
    </row>
    <row r="12901" spans="1:11" ht="40.049999999999997" customHeight="1" x14ac:dyDescent="0.25">
      <c r="A12901" s="11" t="s">
        <v>25171</v>
      </c>
      <c r="B12901" s="11" t="s">
        <v>25172</v>
      </c>
      <c r="C12901" s="11" t="s">
        <v>17</v>
      </c>
      <c r="D12901" s="11" t="s">
        <v>18</v>
      </c>
      <c r="E12901" s="12" t="s">
        <v>154</v>
      </c>
      <c r="F12901" s="12" t="s">
        <v>155</v>
      </c>
      <c r="G12901" s="12" t="s">
        <v>29</v>
      </c>
      <c r="H12901" s="11" t="s">
        <v>63</v>
      </c>
      <c r="I12901" s="13" t="s">
        <v>25173</v>
      </c>
      <c r="J12901" s="14" t="str">
        <f>HYPERLINK("https://www.boe.es/gazeta/dias/1839/02/02/pdfs/GMD-1839-1540.pdf#page=1","Abrir facsímil")</f>
        <v>Abrir facsímil</v>
      </c>
      <c r="K12901" s="12" t="s">
        <v>65</v>
      </c>
    </row>
    <row r="12902" spans="1:11" ht="40.049999999999997" customHeight="1" x14ac:dyDescent="0.25">
      <c r="A12902" s="11" t="s">
        <v>25174</v>
      </c>
      <c r="B12902" s="11" t="s">
        <v>25175</v>
      </c>
      <c r="C12902" s="11" t="s">
        <v>17</v>
      </c>
      <c r="D12902" s="11" t="s">
        <v>18</v>
      </c>
      <c r="E12902" s="12" t="s">
        <v>258</v>
      </c>
      <c r="F12902" s="12" t="s">
        <v>259</v>
      </c>
      <c r="G12902" s="12" t="s">
        <v>46</v>
      </c>
      <c r="H12902" s="11" t="s">
        <v>22</v>
      </c>
      <c r="I12902" s="13" t="s">
        <v>25176</v>
      </c>
      <c r="J12902" s="14" t="str">
        <f>HYPERLINK("https://www.boe.es/gazeta/dias/1839/01/02/pdfs/GMD-1839-1509.pdf#page=3","Abrir facsímil")</f>
        <v>Abrir facsímil</v>
      </c>
      <c r="K12902" s="12" t="s">
        <v>24</v>
      </c>
    </row>
    <row r="12903" spans="1:11" ht="40.049999999999997" customHeight="1" x14ac:dyDescent="0.25">
      <c r="A12903" s="11" t="s">
        <v>25174</v>
      </c>
      <c r="B12903" s="11" t="s">
        <v>25175</v>
      </c>
      <c r="C12903" s="11" t="s">
        <v>17</v>
      </c>
      <c r="D12903" s="11" t="s">
        <v>18</v>
      </c>
      <c r="E12903" s="12" t="s">
        <v>49</v>
      </c>
      <c r="F12903" s="12" t="s">
        <v>50</v>
      </c>
      <c r="G12903" s="12" t="s">
        <v>29</v>
      </c>
      <c r="H12903" s="11" t="s">
        <v>22</v>
      </c>
      <c r="I12903" s="13" t="s">
        <v>25177</v>
      </c>
      <c r="J12903" s="14" t="str">
        <f>HYPERLINK("https://www.boe.es/gazeta/dias/1839/01/05/pdfs/GMD-1839-1512.pdf#page=1","Abrir facsímil")</f>
        <v>Abrir facsímil</v>
      </c>
      <c r="K12903" s="12" t="s">
        <v>24</v>
      </c>
    </row>
    <row r="12904" spans="1:11" ht="40.049999999999997" customHeight="1" x14ac:dyDescent="0.25">
      <c r="A12904" s="11" t="s">
        <v>25174</v>
      </c>
      <c r="B12904" s="11" t="s">
        <v>25175</v>
      </c>
      <c r="C12904" s="11" t="s">
        <v>17</v>
      </c>
      <c r="D12904" s="11" t="s">
        <v>18</v>
      </c>
      <c r="E12904" s="12" t="s">
        <v>2432</v>
      </c>
      <c r="F12904" s="12" t="s">
        <v>2581</v>
      </c>
      <c r="G12904" s="12" t="s">
        <v>40</v>
      </c>
      <c r="H12904" s="11" t="s">
        <v>22</v>
      </c>
      <c r="I12904" s="13" t="s">
        <v>25178</v>
      </c>
      <c r="J12904" s="14" t="str">
        <f>HYPERLINK("https://www.boe.es/gazeta/dias/1839/07/23/pdfs/GMD-1839-1711.pdf#page=2","Abrir facsímil")</f>
        <v>Abrir facsímil</v>
      </c>
      <c r="K12904" s="12" t="s">
        <v>24</v>
      </c>
    </row>
    <row r="12905" spans="1:11" ht="40.049999999999997" customHeight="1" x14ac:dyDescent="0.25">
      <c r="A12905" s="11" t="s">
        <v>25174</v>
      </c>
      <c r="B12905" s="11" t="s">
        <v>25175</v>
      </c>
      <c r="C12905" s="11" t="s">
        <v>17</v>
      </c>
      <c r="D12905" s="11" t="s">
        <v>18</v>
      </c>
      <c r="E12905" s="12" t="s">
        <v>2435</v>
      </c>
      <c r="F12905" s="12" t="s">
        <v>2436</v>
      </c>
      <c r="G12905" s="12" t="s">
        <v>40</v>
      </c>
      <c r="H12905" s="11" t="s">
        <v>22</v>
      </c>
      <c r="I12905" s="13" t="s">
        <v>25179</v>
      </c>
      <c r="J12905" s="14" t="str">
        <f>HYPERLINK("https://www.boe.es/gazeta/dias/1839/07/24/pdfs/GMD-1839-1713.pdf#page=2","Abrir facsímil")</f>
        <v>Abrir facsímil</v>
      </c>
      <c r="K12905" s="12" t="s">
        <v>24</v>
      </c>
    </row>
    <row r="12906" spans="1:11" ht="40.049999999999997" customHeight="1" x14ac:dyDescent="0.25">
      <c r="A12906" s="11" t="s">
        <v>25180</v>
      </c>
      <c r="B12906" s="11" t="s">
        <v>25181</v>
      </c>
      <c r="C12906" s="11" t="s">
        <v>80</v>
      </c>
      <c r="D12906" s="11" t="s">
        <v>18</v>
      </c>
      <c r="E12906" s="12" t="s">
        <v>230</v>
      </c>
      <c r="F12906" s="12" t="s">
        <v>231</v>
      </c>
      <c r="G12906" s="12" t="s">
        <v>21</v>
      </c>
      <c r="H12906" s="11" t="s">
        <v>63</v>
      </c>
      <c r="I12906" s="13" t="s">
        <v>25182</v>
      </c>
      <c r="J12906" s="14" t="str">
        <f>HYPERLINK("https://www.boe.es/gazeta/dias/1839/09/16/pdfs/GMD-1839-1769.pdf#page=4","Abrir facsímil")</f>
        <v>Abrir facsímil</v>
      </c>
      <c r="K12906" s="12" t="s">
        <v>65</v>
      </c>
    </row>
    <row r="12907" spans="1:11" ht="40.049999999999997" customHeight="1" x14ac:dyDescent="0.25">
      <c r="A12907" s="11" t="s">
        <v>25180</v>
      </c>
      <c r="B12907" s="11" t="s">
        <v>25181</v>
      </c>
      <c r="C12907" s="11" t="s">
        <v>59</v>
      </c>
      <c r="D12907" s="11" t="s">
        <v>60</v>
      </c>
      <c r="E12907" s="12" t="s">
        <v>4292</v>
      </c>
      <c r="F12907" s="12" t="s">
        <v>4293</v>
      </c>
      <c r="G12907" s="12" t="s">
        <v>29</v>
      </c>
      <c r="H12907" s="11" t="s">
        <v>63</v>
      </c>
      <c r="I12907" s="13" t="s">
        <v>25183</v>
      </c>
      <c r="J12907" s="14" t="str">
        <f>HYPERLINK("https://www.boe.es/gazeta/dias/1839/11/29/pdfs/GMD-1839-1846.pdf#page=1","Abrir facsímil")</f>
        <v>Abrir facsímil</v>
      </c>
      <c r="K12907" s="12" t="s">
        <v>65</v>
      </c>
    </row>
    <row r="12908" spans="1:11" ht="40.049999999999997" customHeight="1" x14ac:dyDescent="0.25">
      <c r="A12908" s="11" t="s">
        <v>25180</v>
      </c>
      <c r="B12908" s="11" t="s">
        <v>25181</v>
      </c>
      <c r="C12908" s="11" t="s">
        <v>17</v>
      </c>
      <c r="D12908" s="11" t="s">
        <v>18</v>
      </c>
      <c r="E12908" s="12" t="s">
        <v>474</v>
      </c>
      <c r="F12908" s="12" t="s">
        <v>475</v>
      </c>
      <c r="G12908" s="12" t="s">
        <v>46</v>
      </c>
      <c r="H12908" s="11" t="s">
        <v>63</v>
      </c>
      <c r="I12908" s="13" t="s">
        <v>25184</v>
      </c>
      <c r="J12908" s="14" t="str">
        <f>HYPERLINK("https://www.boe.es/gazeta/dias/1839/03/31/pdfs/GMD-1839-1597.pdf#page=3","Abrir facsímil")</f>
        <v>Abrir facsímil</v>
      </c>
      <c r="K12908" s="12" t="s">
        <v>65</v>
      </c>
    </row>
    <row r="12909" spans="1:11" ht="40.049999999999997" customHeight="1" x14ac:dyDescent="0.25">
      <c r="A12909" s="11" t="s">
        <v>25185</v>
      </c>
      <c r="B12909" s="11" t="s">
        <v>25186</v>
      </c>
      <c r="C12909" s="11" t="s">
        <v>59</v>
      </c>
      <c r="D12909" s="11" t="s">
        <v>60</v>
      </c>
      <c r="E12909" s="12" t="s">
        <v>685</v>
      </c>
      <c r="F12909" s="12" t="s">
        <v>686</v>
      </c>
      <c r="G12909" s="12" t="s">
        <v>21</v>
      </c>
      <c r="H12909" s="11" t="s">
        <v>63</v>
      </c>
      <c r="I12909" s="13" t="s">
        <v>25187</v>
      </c>
      <c r="J12909" s="14" t="str">
        <f>HYPERLINK("https://www.boe.es/gazeta/dias/1839/06/18/pdfs/GMD-1839-1676.pdf#page=4","Abrir facsímil")</f>
        <v>Abrir facsímil</v>
      </c>
      <c r="K12909" s="12" t="s">
        <v>65</v>
      </c>
    </row>
    <row r="12910" spans="1:11" ht="40.049999999999997" customHeight="1" x14ac:dyDescent="0.25">
      <c r="A12910" s="11" t="s">
        <v>25188</v>
      </c>
      <c r="B12910" s="11" t="s">
        <v>25189</v>
      </c>
      <c r="C12910" s="11" t="s">
        <v>17</v>
      </c>
      <c r="D12910" s="11" t="s">
        <v>18</v>
      </c>
      <c r="E12910" s="12" t="s">
        <v>19</v>
      </c>
      <c r="F12910" s="12" t="s">
        <v>20</v>
      </c>
      <c r="G12910" s="12" t="s">
        <v>40</v>
      </c>
      <c r="H12910" s="11" t="s">
        <v>63</v>
      </c>
      <c r="I12910" s="13" t="s">
        <v>25190</v>
      </c>
      <c r="J12910" s="14" t="str">
        <f>HYPERLINK("https://www.boe.es/gazeta/dias/1839/01/19/pdfs/GMD-1839-1526.pdf#page=2","Abrir facsímil")</f>
        <v>Abrir facsímil</v>
      </c>
      <c r="K12910" s="12" t="s">
        <v>65</v>
      </c>
    </row>
    <row r="12911" spans="1:11" ht="40.049999999999997" customHeight="1" x14ac:dyDescent="0.25">
      <c r="A12911" s="11" t="s">
        <v>25191</v>
      </c>
      <c r="B12911" s="11" t="s">
        <v>25191</v>
      </c>
      <c r="C12911" s="11" t="s">
        <v>17</v>
      </c>
      <c r="D12911" s="11" t="s">
        <v>18</v>
      </c>
      <c r="E12911" s="12" t="s">
        <v>821</v>
      </c>
      <c r="F12911" s="12" t="s">
        <v>822</v>
      </c>
      <c r="G12911" s="12" t="s">
        <v>46</v>
      </c>
      <c r="H12911" s="11" t="s">
        <v>22</v>
      </c>
      <c r="I12911" s="13" t="s">
        <v>25192</v>
      </c>
      <c r="J12911" s="14" t="str">
        <f>HYPERLINK("https://www.boe.es/gazeta/dias/1839/09/20/pdfs/GMD-1839-1775.pdf#page=3","Abrir facsímil")</f>
        <v>Abrir facsímil</v>
      </c>
      <c r="K12911" s="12" t="s">
        <v>24</v>
      </c>
    </row>
    <row r="12912" spans="1:11" ht="40.049999999999997" customHeight="1" x14ac:dyDescent="0.25">
      <c r="A12912" s="11" t="s">
        <v>25193</v>
      </c>
      <c r="B12912" s="11" t="s">
        <v>25194</v>
      </c>
      <c r="C12912" s="11" t="s">
        <v>137</v>
      </c>
      <c r="D12912" s="11" t="s">
        <v>18</v>
      </c>
      <c r="E12912" s="12" t="s">
        <v>2449</v>
      </c>
      <c r="F12912" s="12" t="s">
        <v>2450</v>
      </c>
      <c r="G12912" s="12" t="s">
        <v>40</v>
      </c>
      <c r="H12912" s="11" t="s">
        <v>22</v>
      </c>
      <c r="I12912" s="13" t="s">
        <v>25195</v>
      </c>
      <c r="J12912" s="14" t="str">
        <f>HYPERLINK("https://www.boe.es/gazeta/dias/1839/12/11/pdfs/GMD-1839-1858.pdf#page=2","Abrir facsímil")</f>
        <v>Abrir facsímil</v>
      </c>
      <c r="K12912" s="12" t="s">
        <v>24</v>
      </c>
    </row>
    <row r="12913" spans="1:11" ht="40.049999999999997" customHeight="1" x14ac:dyDescent="0.25">
      <c r="A12913" s="11" t="s">
        <v>25196</v>
      </c>
      <c r="B12913" s="11" t="s">
        <v>25196</v>
      </c>
      <c r="C12913" s="11" t="s">
        <v>59</v>
      </c>
      <c r="D12913" s="11" t="s">
        <v>60</v>
      </c>
      <c r="E12913" s="12" t="s">
        <v>2392</v>
      </c>
      <c r="F12913" s="12" t="s">
        <v>2393</v>
      </c>
      <c r="G12913" s="12" t="s">
        <v>40</v>
      </c>
      <c r="H12913" s="11" t="s">
        <v>22</v>
      </c>
      <c r="I12913" s="13" t="s">
        <v>25197</v>
      </c>
      <c r="J12913" s="14" t="str">
        <f>HYPERLINK("https://www.boe.es/gazeta/dias/1839/05/21/pdfs/GMD-1839-1648.pdf#page=2","Abrir facsímil")</f>
        <v>Abrir facsímil</v>
      </c>
      <c r="K12913" s="12" t="s">
        <v>24</v>
      </c>
    </row>
    <row r="12914" spans="1:11" ht="40.049999999999997" customHeight="1" x14ac:dyDescent="0.25">
      <c r="A12914" s="11" t="s">
        <v>25198</v>
      </c>
      <c r="B12914" s="11" t="s">
        <v>25199</v>
      </c>
      <c r="C12914" s="11" t="s">
        <v>80</v>
      </c>
      <c r="D12914" s="11" t="s">
        <v>18</v>
      </c>
      <c r="E12914" s="12" t="s">
        <v>1123</v>
      </c>
      <c r="F12914" s="12" t="s">
        <v>1124</v>
      </c>
      <c r="G12914" s="12" t="s">
        <v>21</v>
      </c>
      <c r="H12914" s="11" t="s">
        <v>63</v>
      </c>
      <c r="I12914" s="13" t="s">
        <v>25200</v>
      </c>
      <c r="J12914" s="14" t="str">
        <f>HYPERLINK("https://www.boe.es/gazeta/dias/1839/08/10/pdfs/GMD-1839-1730.pdf#page=4","Abrir facsímil")</f>
        <v>Abrir facsímil</v>
      </c>
      <c r="K12914" s="12" t="s">
        <v>65</v>
      </c>
    </row>
    <row r="12915" spans="1:11" ht="40.049999999999997" customHeight="1" x14ac:dyDescent="0.25">
      <c r="A12915" s="11" t="s">
        <v>25201</v>
      </c>
      <c r="B12915" s="11" t="s">
        <v>25202</v>
      </c>
      <c r="C12915" s="11" t="s">
        <v>80</v>
      </c>
      <c r="D12915" s="11" t="s">
        <v>173</v>
      </c>
      <c r="E12915" s="12" t="s">
        <v>89</v>
      </c>
      <c r="F12915" s="12" t="s">
        <v>90</v>
      </c>
      <c r="G12915" s="12" t="s">
        <v>21</v>
      </c>
      <c r="H12915" s="11" t="s">
        <v>63</v>
      </c>
      <c r="I12915" s="13" t="s">
        <v>25203</v>
      </c>
      <c r="J12915" s="14" t="str">
        <f>HYPERLINK("https://www.boe.es/gazeta/dias/1839/11/28/pdfs/GMD-1839-1845.pdf#page=4","Abrir facsímil")</f>
        <v>Abrir facsímil</v>
      </c>
      <c r="K12915" s="12" t="s">
        <v>65</v>
      </c>
    </row>
    <row r="12916" spans="1:11" ht="40.049999999999997" customHeight="1" x14ac:dyDescent="0.25">
      <c r="A12916" s="11" t="s">
        <v>25204</v>
      </c>
      <c r="B12916" s="11" t="s">
        <v>25204</v>
      </c>
      <c r="C12916" s="11" t="s">
        <v>17</v>
      </c>
      <c r="D12916" s="11" t="s">
        <v>18</v>
      </c>
      <c r="E12916" s="12" t="s">
        <v>1654</v>
      </c>
      <c r="F12916" s="12" t="s">
        <v>1655</v>
      </c>
      <c r="G12916" s="12" t="s">
        <v>40</v>
      </c>
      <c r="H12916" s="11" t="s">
        <v>22</v>
      </c>
      <c r="I12916" s="13" t="s">
        <v>25205</v>
      </c>
      <c r="J12916" s="14" t="str">
        <f>HYPERLINK("https://www.boe.es/gazeta/dias/1839/11/19/pdfs/GMD-1839-1836.pdf#page=2","Abrir facsímil")</f>
        <v>Abrir facsímil</v>
      </c>
      <c r="K12916" s="12" t="s">
        <v>24</v>
      </c>
    </row>
    <row r="12917" spans="1:11" ht="40.049999999999997" customHeight="1" x14ac:dyDescent="0.25">
      <c r="A12917" s="11" t="s">
        <v>25206</v>
      </c>
      <c r="B12917" s="11" t="s">
        <v>25206</v>
      </c>
      <c r="C12917" s="11" t="s">
        <v>59</v>
      </c>
      <c r="D12917" s="11" t="s">
        <v>60</v>
      </c>
      <c r="E12917" s="12" t="s">
        <v>336</v>
      </c>
      <c r="F12917" s="12" t="s">
        <v>337</v>
      </c>
      <c r="G12917" s="12" t="s">
        <v>40</v>
      </c>
      <c r="H12917" s="11" t="s">
        <v>63</v>
      </c>
      <c r="I12917" s="13" t="s">
        <v>25207</v>
      </c>
      <c r="J12917" s="14" t="str">
        <f>HYPERLINK("https://www.boe.es/gazeta/dias/1839/07/14/pdfs/GMD-1839-1702.pdf#page=2","Abrir facsímil")</f>
        <v>Abrir facsímil</v>
      </c>
      <c r="K12917" s="12" t="s">
        <v>65</v>
      </c>
    </row>
    <row r="12918" spans="1:11" ht="40.049999999999997" customHeight="1" x14ac:dyDescent="0.25">
      <c r="A12918" s="11" t="s">
        <v>25208</v>
      </c>
      <c r="B12918" s="11" t="s">
        <v>25208</v>
      </c>
      <c r="C12918" s="11" t="s">
        <v>17</v>
      </c>
      <c r="D12918" s="11" t="s">
        <v>18</v>
      </c>
      <c r="E12918" s="12" t="s">
        <v>1474</v>
      </c>
      <c r="F12918" s="12" t="s">
        <v>1475</v>
      </c>
      <c r="G12918" s="12" t="s">
        <v>40</v>
      </c>
      <c r="H12918" s="11" t="s">
        <v>63</v>
      </c>
      <c r="I12918" s="13" t="s">
        <v>25209</v>
      </c>
      <c r="J12918" s="14" t="str">
        <f>HYPERLINK("https://www.boe.es/gazeta/dias/1839/02/28/pdfs/GMD-1839-1566.pdf#page=2","Abrir facsímil")</f>
        <v>Abrir facsímil</v>
      </c>
      <c r="K12918" s="12" t="s">
        <v>65</v>
      </c>
    </row>
    <row r="12919" spans="1:11" ht="40.049999999999997" customHeight="1" x14ac:dyDescent="0.25">
      <c r="A12919" s="11" t="s">
        <v>25210</v>
      </c>
      <c r="B12919" s="11" t="s">
        <v>25211</v>
      </c>
      <c r="C12919" s="11" t="s">
        <v>17</v>
      </c>
      <c r="D12919" s="11" t="s">
        <v>18</v>
      </c>
      <c r="E12919" s="12" t="s">
        <v>3114</v>
      </c>
      <c r="F12919" s="12" t="s">
        <v>3115</v>
      </c>
      <c r="G12919" s="12" t="s">
        <v>21</v>
      </c>
      <c r="H12919" s="11" t="s">
        <v>63</v>
      </c>
      <c r="I12919" s="13" t="s">
        <v>25212</v>
      </c>
      <c r="J12919" s="14" t="str">
        <f>HYPERLINK("https://www.boe.es/gazeta/dias/1839/05/15/pdfs/GMD-1839-1642.pdf#page=4","Abrir facsímil")</f>
        <v>Abrir facsímil</v>
      </c>
      <c r="K12919" s="12" t="s">
        <v>65</v>
      </c>
    </row>
    <row r="12920" spans="1:11" ht="40.049999999999997" customHeight="1" x14ac:dyDescent="0.25">
      <c r="A12920" s="11" t="s">
        <v>25213</v>
      </c>
      <c r="B12920" s="11" t="s">
        <v>25213</v>
      </c>
      <c r="C12920" s="11" t="s">
        <v>17</v>
      </c>
      <c r="D12920" s="11" t="s">
        <v>18</v>
      </c>
      <c r="E12920" s="12" t="s">
        <v>346</v>
      </c>
      <c r="F12920" s="12" t="s">
        <v>347</v>
      </c>
      <c r="G12920" s="12" t="s">
        <v>40</v>
      </c>
      <c r="H12920" s="11" t="s">
        <v>22</v>
      </c>
      <c r="I12920" s="13" t="s">
        <v>25214</v>
      </c>
      <c r="J12920" s="14" t="str">
        <f>HYPERLINK("https://www.boe.es/gazeta/dias/1839/03/24/pdfs/GMD-1839-1590.pdf#page=2","Abrir facsímil")</f>
        <v>Abrir facsímil</v>
      </c>
      <c r="K12920" s="12" t="s">
        <v>24</v>
      </c>
    </row>
    <row r="12921" spans="1:11" ht="40.049999999999997" customHeight="1" x14ac:dyDescent="0.25">
      <c r="A12921" s="11" t="s">
        <v>25215</v>
      </c>
      <c r="B12921" s="11" t="s">
        <v>25216</v>
      </c>
      <c r="C12921" s="11" t="s">
        <v>59</v>
      </c>
      <c r="D12921" s="11" t="s">
        <v>60</v>
      </c>
      <c r="E12921" s="12" t="s">
        <v>1144</v>
      </c>
      <c r="F12921" s="12" t="s">
        <v>1145</v>
      </c>
      <c r="G12921" s="12" t="s">
        <v>40</v>
      </c>
      <c r="H12921" s="11" t="s">
        <v>63</v>
      </c>
      <c r="I12921" s="13" t="s">
        <v>25217</v>
      </c>
      <c r="J12921" s="14" t="str">
        <f>HYPERLINK("https://www.boe.es/gazeta/dias/1839/08/13/pdfs/GMD-1839-1733.pdf#page=2","Abrir facsímil")</f>
        <v>Abrir facsímil</v>
      </c>
      <c r="K12921" s="12" t="s">
        <v>65</v>
      </c>
    </row>
    <row r="12922" spans="1:11" ht="40.049999999999997" customHeight="1" x14ac:dyDescent="0.25">
      <c r="A12922" s="11" t="s">
        <v>25218</v>
      </c>
      <c r="B12922" s="11" t="s">
        <v>25219</v>
      </c>
      <c r="C12922" s="11" t="s">
        <v>59</v>
      </c>
      <c r="D12922" s="11" t="s">
        <v>60</v>
      </c>
      <c r="E12922" s="12" t="s">
        <v>4550</v>
      </c>
      <c r="F12922" s="12" t="s">
        <v>4551</v>
      </c>
      <c r="G12922" s="12" t="s">
        <v>29</v>
      </c>
      <c r="H12922" s="11" t="s">
        <v>63</v>
      </c>
      <c r="I12922" s="13" t="s">
        <v>25220</v>
      </c>
      <c r="J12922" s="14" t="str">
        <f>HYPERLINK("https://www.boe.es/gazeta/dias/1839/04/17/pdfs/GMD-1839-1614.pdf#page=1","Abrir facsímil")</f>
        <v>Abrir facsímil</v>
      </c>
      <c r="K12922" s="12" t="s">
        <v>65</v>
      </c>
    </row>
    <row r="12923" spans="1:11" ht="40.049999999999997" customHeight="1" x14ac:dyDescent="0.25">
      <c r="A12923" s="11" t="s">
        <v>25221</v>
      </c>
      <c r="B12923" s="11" t="s">
        <v>25222</v>
      </c>
      <c r="C12923" s="11" t="s">
        <v>17</v>
      </c>
      <c r="D12923" s="11" t="s">
        <v>18</v>
      </c>
      <c r="E12923" s="12" t="s">
        <v>496</v>
      </c>
      <c r="F12923" s="12" t="s">
        <v>497</v>
      </c>
      <c r="G12923" s="12" t="s">
        <v>46</v>
      </c>
      <c r="H12923" s="11" t="s">
        <v>63</v>
      </c>
      <c r="I12923" s="13" t="s">
        <v>25223</v>
      </c>
      <c r="J12923" s="14" t="str">
        <f>HYPERLINK("https://www.boe.es/gazeta/dias/1839/11/23/pdfs/GMD-1839-1840.pdf#page=3","Abrir facsímil")</f>
        <v>Abrir facsímil</v>
      </c>
      <c r="K12923" s="12" t="s">
        <v>65</v>
      </c>
    </row>
    <row r="12924" spans="1:11" ht="40.049999999999997" customHeight="1" x14ac:dyDescent="0.25">
      <c r="A12924" s="11" t="s">
        <v>25224</v>
      </c>
      <c r="B12924" s="11" t="s">
        <v>25225</v>
      </c>
      <c r="C12924" s="11" t="s">
        <v>17</v>
      </c>
      <c r="D12924" s="11" t="s">
        <v>18</v>
      </c>
      <c r="E12924" s="12" t="s">
        <v>202</v>
      </c>
      <c r="F12924" s="12" t="s">
        <v>203</v>
      </c>
      <c r="G12924" s="12" t="s">
        <v>29</v>
      </c>
      <c r="H12924" s="11" t="s">
        <v>63</v>
      </c>
      <c r="I12924" s="13" t="s">
        <v>25226</v>
      </c>
      <c r="J12924" s="14" t="str">
        <f>HYPERLINK("https://www.boe.es/gazeta/dias/1839/04/05/pdfs/GMD-1839-1602.pdf#page=1","Abrir facsímil")</f>
        <v>Abrir facsímil</v>
      </c>
      <c r="K12924" s="12" t="s">
        <v>65</v>
      </c>
    </row>
    <row r="12925" spans="1:11" ht="40.049999999999997" customHeight="1" x14ac:dyDescent="0.25">
      <c r="A12925" s="11" t="s">
        <v>25227</v>
      </c>
      <c r="B12925" s="11" t="s">
        <v>25228</v>
      </c>
      <c r="C12925" s="11" t="s">
        <v>17</v>
      </c>
      <c r="D12925" s="11" t="s">
        <v>43</v>
      </c>
      <c r="E12925" s="12" t="s">
        <v>1606</v>
      </c>
      <c r="F12925" s="12" t="s">
        <v>1607</v>
      </c>
      <c r="G12925" s="12" t="s">
        <v>21</v>
      </c>
      <c r="H12925" s="11" t="s">
        <v>63</v>
      </c>
      <c r="I12925" s="13" t="s">
        <v>25229</v>
      </c>
      <c r="J12925" s="14" t="str">
        <f>HYPERLINK("https://www.boe.es/gazeta/dias/1839/07/02/pdfs/GMD-1839-1690.pdf#page=4","Abrir facsímil")</f>
        <v>Abrir facsímil</v>
      </c>
      <c r="K12925" s="12" t="s">
        <v>65</v>
      </c>
    </row>
    <row r="12926" spans="1:11" ht="40.049999999999997" customHeight="1" x14ac:dyDescent="0.25">
      <c r="A12926" s="11" t="s">
        <v>25230</v>
      </c>
      <c r="B12926" s="11" t="s">
        <v>25231</v>
      </c>
      <c r="C12926" s="11" t="s">
        <v>17</v>
      </c>
      <c r="D12926" s="11" t="s">
        <v>18</v>
      </c>
      <c r="E12926" s="12" t="s">
        <v>1406</v>
      </c>
      <c r="F12926" s="12" t="s">
        <v>1407</v>
      </c>
      <c r="G12926" s="12" t="s">
        <v>21</v>
      </c>
      <c r="H12926" s="11" t="s">
        <v>63</v>
      </c>
      <c r="I12926" s="13" t="s">
        <v>25232</v>
      </c>
      <c r="J12926" s="14" t="str">
        <f>HYPERLINK("https://www.boe.es/gazeta/dias/1839/07/18/pdfs/GMD-1839-1706.pdf#page=4","Abrir facsímil")</f>
        <v>Abrir facsímil</v>
      </c>
      <c r="K12926" s="12" t="s">
        <v>65</v>
      </c>
    </row>
    <row r="12927" spans="1:11" ht="40.049999999999997" customHeight="1" x14ac:dyDescent="0.25">
      <c r="A12927" s="11" t="s">
        <v>25233</v>
      </c>
      <c r="B12927" s="11" t="s">
        <v>25234</v>
      </c>
      <c r="C12927" s="11" t="s">
        <v>17</v>
      </c>
      <c r="D12927" s="11" t="s">
        <v>18</v>
      </c>
      <c r="E12927" s="12" t="s">
        <v>527</v>
      </c>
      <c r="F12927" s="12" t="s">
        <v>528</v>
      </c>
      <c r="G12927" s="12" t="s">
        <v>21</v>
      </c>
      <c r="H12927" s="11" t="s">
        <v>63</v>
      </c>
      <c r="I12927" s="13" t="s">
        <v>25235</v>
      </c>
      <c r="J12927" s="14" t="str">
        <f>HYPERLINK("https://www.boe.es/gazeta/dias/1839/07/10/pdfs/GMD-1839-1698.pdf#page=4","Abrir facsímil")</f>
        <v>Abrir facsímil</v>
      </c>
      <c r="K12927" s="12" t="s">
        <v>65</v>
      </c>
    </row>
    <row r="12928" spans="1:11" ht="40.049999999999997" customHeight="1" x14ac:dyDescent="0.25">
      <c r="A12928" s="11" t="s">
        <v>25236</v>
      </c>
      <c r="B12928" s="11" t="s">
        <v>25237</v>
      </c>
      <c r="C12928" s="11" t="s">
        <v>101</v>
      </c>
      <c r="D12928" s="11" t="s">
        <v>102</v>
      </c>
      <c r="E12928" s="12" t="s">
        <v>197</v>
      </c>
      <c r="F12928" s="12" t="s">
        <v>198</v>
      </c>
      <c r="G12928" s="12" t="s">
        <v>46</v>
      </c>
      <c r="H12928" s="11" t="s">
        <v>63</v>
      </c>
      <c r="I12928" s="13" t="s">
        <v>25238</v>
      </c>
      <c r="J12928" s="14" t="str">
        <f>HYPERLINK("https://www.boe.es/gazeta/dias/1839/10/04/pdfs/GMD-1839-1790.pdf#page=3","Abrir facsímil")</f>
        <v>Abrir facsímil</v>
      </c>
      <c r="K12928" s="12" t="s">
        <v>65</v>
      </c>
    </row>
    <row r="12929" spans="1:11" ht="40.049999999999997" customHeight="1" x14ac:dyDescent="0.25">
      <c r="A12929" s="11" t="s">
        <v>25239</v>
      </c>
      <c r="B12929" s="11" t="s">
        <v>25239</v>
      </c>
      <c r="C12929" s="11" t="s">
        <v>17</v>
      </c>
      <c r="D12929" s="11" t="s">
        <v>18</v>
      </c>
      <c r="E12929" s="12" t="s">
        <v>207</v>
      </c>
      <c r="F12929" s="12" t="s">
        <v>208</v>
      </c>
      <c r="G12929" s="12" t="s">
        <v>29</v>
      </c>
      <c r="H12929" s="11" t="s">
        <v>63</v>
      </c>
      <c r="I12929" s="13" t="s">
        <v>25240</v>
      </c>
      <c r="J12929" s="14" t="str">
        <f>HYPERLINK("https://www.boe.es/gazeta/dias/1839/02/19/pdfs/GMD-1839-1557.pdf#page=1","Abrir facsímil")</f>
        <v>Abrir facsímil</v>
      </c>
      <c r="K12929" s="12" t="s">
        <v>65</v>
      </c>
    </row>
    <row r="12930" spans="1:11" ht="40.049999999999997" customHeight="1" x14ac:dyDescent="0.25">
      <c r="A12930" s="11" t="s">
        <v>25241</v>
      </c>
      <c r="B12930" s="11" t="s">
        <v>25242</v>
      </c>
      <c r="C12930" s="11" t="s">
        <v>17</v>
      </c>
      <c r="D12930" s="11" t="s">
        <v>18</v>
      </c>
      <c r="E12930" s="12" t="s">
        <v>2138</v>
      </c>
      <c r="F12930" s="12" t="s">
        <v>2139</v>
      </c>
      <c r="G12930" s="12" t="s">
        <v>305</v>
      </c>
      <c r="H12930" s="11" t="s">
        <v>63</v>
      </c>
      <c r="I12930" s="13" t="s">
        <v>25243</v>
      </c>
      <c r="J12930" s="14" t="str">
        <f>HYPERLINK("https://www.boe.es/gazeta/dias/1839/10/02/pdfs/GMD-1839-1788.pdf#page=6","Abrir facsímil")</f>
        <v>Abrir facsímil</v>
      </c>
      <c r="K12930" s="12" t="s">
        <v>65</v>
      </c>
    </row>
    <row r="12931" spans="1:11" ht="40.049999999999997" customHeight="1" x14ac:dyDescent="0.25">
      <c r="A12931" s="11" t="s">
        <v>25244</v>
      </c>
      <c r="B12931" s="11" t="s">
        <v>25245</v>
      </c>
      <c r="C12931" s="11" t="s">
        <v>137</v>
      </c>
      <c r="D12931" s="11" t="s">
        <v>18</v>
      </c>
      <c r="E12931" s="12" t="s">
        <v>138</v>
      </c>
      <c r="F12931" s="12" t="s">
        <v>139</v>
      </c>
      <c r="G12931" s="12" t="s">
        <v>21</v>
      </c>
      <c r="H12931" s="11" t="s">
        <v>63</v>
      </c>
      <c r="I12931" s="13" t="s">
        <v>25246</v>
      </c>
      <c r="J12931" s="14" t="str">
        <f>HYPERLINK("https://www.boe.es/gazeta/dias/1839/10/09/pdfs/GMD-1839-1795.pdf#page=4","Abrir facsímil")</f>
        <v>Abrir facsímil</v>
      </c>
      <c r="K12931" s="12" t="s">
        <v>65</v>
      </c>
    </row>
    <row r="12932" spans="1:11" ht="40.049999999999997" customHeight="1" x14ac:dyDescent="0.25">
      <c r="A12932" s="11" t="s">
        <v>25247</v>
      </c>
      <c r="B12932" s="11" t="s">
        <v>25248</v>
      </c>
      <c r="C12932" s="11" t="s">
        <v>17</v>
      </c>
      <c r="D12932" s="11" t="s">
        <v>18</v>
      </c>
      <c r="E12932" s="12" t="s">
        <v>500</v>
      </c>
      <c r="F12932" s="12" t="s">
        <v>501</v>
      </c>
      <c r="G12932" s="12" t="s">
        <v>21</v>
      </c>
      <c r="H12932" s="11" t="s">
        <v>63</v>
      </c>
      <c r="I12932" s="13" t="s">
        <v>25249</v>
      </c>
      <c r="J12932" s="14" t="str">
        <f>HYPERLINK("https://www.boe.es/gazeta/dias/1839/11/06/pdfs/GMD-1839-1823.pdf#page=4","Abrir facsímil")</f>
        <v>Abrir facsímil</v>
      </c>
      <c r="K12932" s="12" t="s">
        <v>65</v>
      </c>
    </row>
    <row r="12933" spans="1:11" ht="40.049999999999997" customHeight="1" x14ac:dyDescent="0.25">
      <c r="A12933" s="11" t="s">
        <v>25247</v>
      </c>
      <c r="B12933" s="11" t="s">
        <v>25248</v>
      </c>
      <c r="C12933" s="11" t="s">
        <v>17</v>
      </c>
      <c r="D12933" s="11" t="s">
        <v>18</v>
      </c>
      <c r="E12933" s="12" t="s">
        <v>1287</v>
      </c>
      <c r="F12933" s="12" t="s">
        <v>1288</v>
      </c>
      <c r="G12933" s="12" t="s">
        <v>21</v>
      </c>
      <c r="H12933" s="11" t="s">
        <v>63</v>
      </c>
      <c r="I12933" s="13" t="s">
        <v>25250</v>
      </c>
      <c r="J12933" s="14" t="str">
        <f>HYPERLINK("https://www.boe.es/gazeta/dias/1839/10/30/pdfs/GMD-1839-1816.pdf#page=4","Abrir facsímil")</f>
        <v>Abrir facsímil</v>
      </c>
      <c r="K12933" s="12" t="s">
        <v>65</v>
      </c>
    </row>
    <row r="12934" spans="1:11" ht="40.049999999999997" customHeight="1" x14ac:dyDescent="0.25">
      <c r="A12934" s="11" t="s">
        <v>25251</v>
      </c>
      <c r="B12934" s="11" t="s">
        <v>25252</v>
      </c>
      <c r="C12934" s="11" t="s">
        <v>17</v>
      </c>
      <c r="D12934" s="11" t="s">
        <v>18</v>
      </c>
      <c r="E12934" s="12" t="s">
        <v>1012</v>
      </c>
      <c r="F12934" s="12" t="s">
        <v>1013</v>
      </c>
      <c r="G12934" s="12" t="s">
        <v>46</v>
      </c>
      <c r="H12934" s="11" t="s">
        <v>63</v>
      </c>
      <c r="I12934" s="13" t="s">
        <v>25253</v>
      </c>
      <c r="J12934" s="14" t="str">
        <f>HYPERLINK("https://www.boe.es/gazeta/dias/1839/11/22/pdfs/GMD-1839-1839.pdf#page=3","Abrir facsímil")</f>
        <v>Abrir facsímil</v>
      </c>
      <c r="K12934" s="12" t="s">
        <v>65</v>
      </c>
    </row>
    <row r="12935" spans="1:11" ht="40.049999999999997" customHeight="1" x14ac:dyDescent="0.25">
      <c r="A12935" s="11" t="s">
        <v>25254</v>
      </c>
      <c r="B12935" s="11" t="s">
        <v>25254</v>
      </c>
      <c r="C12935" s="11" t="s">
        <v>17</v>
      </c>
      <c r="D12935" s="11" t="s">
        <v>18</v>
      </c>
      <c r="E12935" s="12" t="s">
        <v>1565</v>
      </c>
      <c r="F12935" s="12" t="s">
        <v>1566</v>
      </c>
      <c r="G12935" s="12" t="s">
        <v>21</v>
      </c>
      <c r="H12935" s="11" t="s">
        <v>63</v>
      </c>
      <c r="I12935" s="13" t="s">
        <v>25255</v>
      </c>
      <c r="J12935" s="14" t="str">
        <f>HYPERLINK("https://www.boe.es/gazeta/dias/1839/06/17/pdfs/GMD-1839-1675.pdf#page=4","Abrir facsímil")</f>
        <v>Abrir facsímil</v>
      </c>
      <c r="K12935" s="12" t="s">
        <v>65</v>
      </c>
    </row>
    <row r="12936" spans="1:11" ht="40.049999999999997" customHeight="1" x14ac:dyDescent="0.25">
      <c r="A12936" s="11" t="s">
        <v>25256</v>
      </c>
      <c r="B12936" s="11" t="s">
        <v>25257</v>
      </c>
      <c r="C12936" s="11" t="s">
        <v>17</v>
      </c>
      <c r="D12936" s="11" t="s">
        <v>18</v>
      </c>
      <c r="E12936" s="12" t="s">
        <v>111</v>
      </c>
      <c r="F12936" s="12" t="s">
        <v>112</v>
      </c>
      <c r="G12936" s="12" t="s">
        <v>21</v>
      </c>
      <c r="H12936" s="11" t="s">
        <v>63</v>
      </c>
      <c r="I12936" s="13" t="s">
        <v>25258</v>
      </c>
      <c r="J12936" s="14" t="str">
        <f>HYPERLINK("https://www.boe.es/gazeta/dias/1839/07/25/pdfs/GMD-1839-1714.pdf#page=4","Abrir facsímil")</f>
        <v>Abrir facsímil</v>
      </c>
      <c r="K12936" s="12" t="s">
        <v>65</v>
      </c>
    </row>
    <row r="12937" spans="1:11" ht="40.049999999999997" customHeight="1" x14ac:dyDescent="0.25">
      <c r="A12937" s="11" t="s">
        <v>25259</v>
      </c>
      <c r="B12937" s="11" t="s">
        <v>25260</v>
      </c>
      <c r="C12937" s="11" t="s">
        <v>17</v>
      </c>
      <c r="D12937" s="11" t="s">
        <v>18</v>
      </c>
      <c r="E12937" s="12" t="s">
        <v>266</v>
      </c>
      <c r="F12937" s="12" t="s">
        <v>267</v>
      </c>
      <c r="G12937" s="12" t="s">
        <v>21</v>
      </c>
      <c r="H12937" s="11" t="s">
        <v>63</v>
      </c>
      <c r="I12937" s="13" t="s">
        <v>25261</v>
      </c>
      <c r="J12937" s="14" t="str">
        <f>HYPERLINK("https://www.boe.es/gazeta/dias/1839/01/03/pdfs/GMD-1839-1510.pdf#page=4","Abrir facsímil")</f>
        <v>Abrir facsímil</v>
      </c>
      <c r="K12937" s="12" t="s">
        <v>65</v>
      </c>
    </row>
    <row r="12938" spans="1:11" ht="40.049999999999997" customHeight="1" x14ac:dyDescent="0.25">
      <c r="A12938" s="11" t="s">
        <v>25262</v>
      </c>
      <c r="B12938" s="11" t="s">
        <v>25262</v>
      </c>
      <c r="C12938" s="11" t="s">
        <v>17</v>
      </c>
      <c r="D12938" s="11" t="s">
        <v>18</v>
      </c>
      <c r="E12938" s="12" t="s">
        <v>2415</v>
      </c>
      <c r="F12938" s="12" t="s">
        <v>2416</v>
      </c>
      <c r="G12938" s="12" t="s">
        <v>21</v>
      </c>
      <c r="H12938" s="11" t="s">
        <v>63</v>
      </c>
      <c r="I12938" s="13" t="s">
        <v>25263</v>
      </c>
      <c r="J12938" s="14" t="str">
        <f>HYPERLINK("https://www.boe.es/gazeta/dias/1839/12/22/pdfs/GMD-1839-1869.pdf#page=4","Abrir facsímil")</f>
        <v>Abrir facsímil</v>
      </c>
      <c r="K12938" s="12" t="s">
        <v>65</v>
      </c>
    </row>
    <row r="12939" spans="1:11" ht="40.049999999999997" customHeight="1" x14ac:dyDescent="0.25">
      <c r="A12939" s="11" t="s">
        <v>25262</v>
      </c>
      <c r="B12939" s="11" t="s">
        <v>25262</v>
      </c>
      <c r="C12939" s="11" t="s">
        <v>80</v>
      </c>
      <c r="D12939" s="11" t="s">
        <v>18</v>
      </c>
      <c r="E12939" s="12" t="s">
        <v>844</v>
      </c>
      <c r="F12939" s="12" t="s">
        <v>845</v>
      </c>
      <c r="G12939" s="12" t="s">
        <v>21</v>
      </c>
      <c r="H12939" s="11" t="s">
        <v>63</v>
      </c>
      <c r="I12939" s="13" t="s">
        <v>25264</v>
      </c>
      <c r="J12939" s="14" t="str">
        <f>HYPERLINK("https://www.boe.es/gazeta/dias/1839/12/24/pdfs/GMD-1839-1871.pdf#page=4","Abrir facsímil")</f>
        <v>Abrir facsímil</v>
      </c>
      <c r="K12939" s="12" t="s">
        <v>65</v>
      </c>
    </row>
    <row r="12940" spans="1:11" ht="40.049999999999997" customHeight="1" x14ac:dyDescent="0.25">
      <c r="A12940" s="11" t="s">
        <v>25265</v>
      </c>
      <c r="B12940" s="11" t="s">
        <v>25266</v>
      </c>
      <c r="C12940" s="11" t="s">
        <v>17</v>
      </c>
      <c r="D12940" s="11" t="s">
        <v>18</v>
      </c>
      <c r="E12940" s="12" t="s">
        <v>462</v>
      </c>
      <c r="F12940" s="12" t="s">
        <v>463</v>
      </c>
      <c r="G12940" s="12" t="s">
        <v>46</v>
      </c>
      <c r="H12940" s="11" t="s">
        <v>22</v>
      </c>
      <c r="I12940" s="13" t="s">
        <v>25267</v>
      </c>
      <c r="J12940" s="14" t="str">
        <f>HYPERLINK("https://www.boe.es/gazeta/dias/1839/06/19/pdfs/GMD-1839-1677.pdf#page=3","Abrir facsímil")</f>
        <v>Abrir facsímil</v>
      </c>
      <c r="K12940" s="12" t="s">
        <v>24</v>
      </c>
    </row>
    <row r="12941" spans="1:11" ht="40.049999999999997" customHeight="1" x14ac:dyDescent="0.25">
      <c r="A12941" s="11" t="s">
        <v>25268</v>
      </c>
      <c r="B12941" s="11" t="s">
        <v>25269</v>
      </c>
      <c r="C12941" s="11" t="s">
        <v>17</v>
      </c>
      <c r="D12941" s="11" t="s">
        <v>18</v>
      </c>
      <c r="E12941" s="12" t="s">
        <v>462</v>
      </c>
      <c r="F12941" s="12" t="s">
        <v>463</v>
      </c>
      <c r="G12941" s="12" t="s">
        <v>46</v>
      </c>
      <c r="H12941" s="11" t="s">
        <v>63</v>
      </c>
      <c r="I12941" s="13" t="s">
        <v>25270</v>
      </c>
      <c r="J12941" s="14" t="str">
        <f>HYPERLINK("https://www.boe.es/gazeta/dias/1839/06/19/pdfs/GMD-1839-1677.pdf#page=3","Abrir facsímil")</f>
        <v>Abrir facsímil</v>
      </c>
      <c r="K12941" s="12" t="s">
        <v>65</v>
      </c>
    </row>
    <row r="12942" spans="1:11" ht="40.049999999999997" customHeight="1" x14ac:dyDescent="0.25">
      <c r="A12942" s="11" t="s">
        <v>25271</v>
      </c>
      <c r="B12942" s="11" t="s">
        <v>25272</v>
      </c>
      <c r="C12942" s="11" t="s">
        <v>80</v>
      </c>
      <c r="D12942" s="11" t="s">
        <v>18</v>
      </c>
      <c r="E12942" s="12" t="s">
        <v>1284</v>
      </c>
      <c r="F12942" s="12" t="s">
        <v>1285</v>
      </c>
      <c r="G12942" s="12" t="s">
        <v>21</v>
      </c>
      <c r="H12942" s="11" t="s">
        <v>63</v>
      </c>
      <c r="I12942" s="13" t="s">
        <v>25273</v>
      </c>
      <c r="J12942" s="14" t="str">
        <f>HYPERLINK("https://www.boe.es/gazeta/dias/1839/03/27/pdfs/GMD-1839-1593.pdf#page=4","Abrir facsímil")</f>
        <v>Abrir facsímil</v>
      </c>
      <c r="K12942" s="12" t="s">
        <v>65</v>
      </c>
    </row>
    <row r="12943" spans="1:11" ht="40.049999999999997" customHeight="1" x14ac:dyDescent="0.25">
      <c r="A12943" s="11" t="s">
        <v>25274</v>
      </c>
      <c r="B12943" s="11" t="s">
        <v>25274</v>
      </c>
      <c r="C12943" s="11" t="s">
        <v>101</v>
      </c>
      <c r="D12943" s="11" t="s">
        <v>102</v>
      </c>
      <c r="E12943" s="12" t="s">
        <v>1159</v>
      </c>
      <c r="F12943" s="12" t="s">
        <v>1160</v>
      </c>
      <c r="G12943" s="12" t="s">
        <v>21</v>
      </c>
      <c r="H12943" s="11" t="s">
        <v>63</v>
      </c>
      <c r="I12943" s="13" t="s">
        <v>25275</v>
      </c>
      <c r="J12943" s="14" t="str">
        <f>HYPERLINK("https://www.boe.es/gazeta/dias/1839/11/26/pdfs/GMD-1839-1843.pdf#page=4","Abrir facsímil")</f>
        <v>Abrir facsímil</v>
      </c>
      <c r="K12943" s="12" t="s">
        <v>65</v>
      </c>
    </row>
    <row r="12944" spans="1:11" ht="40.049999999999997" customHeight="1" x14ac:dyDescent="0.25">
      <c r="A12944" s="11" t="s">
        <v>25276</v>
      </c>
      <c r="B12944" s="11" t="s">
        <v>25276</v>
      </c>
      <c r="C12944" s="11" t="s">
        <v>59</v>
      </c>
      <c r="D12944" s="11" t="s">
        <v>60</v>
      </c>
      <c r="E12944" s="12" t="s">
        <v>365</v>
      </c>
      <c r="F12944" s="12" t="s">
        <v>366</v>
      </c>
      <c r="G12944" s="12" t="s">
        <v>46</v>
      </c>
      <c r="H12944" s="11" t="s">
        <v>63</v>
      </c>
      <c r="I12944" s="13" t="s">
        <v>25277</v>
      </c>
      <c r="J12944" s="14" t="str">
        <f>HYPERLINK("https://www.boe.es/gazeta/dias/1839/08/14/pdfs/GMD-1839-1734.pdf#page=3","Abrir facsímil")</f>
        <v>Abrir facsímil</v>
      </c>
      <c r="K12944" s="12" t="s">
        <v>65</v>
      </c>
    </row>
    <row r="12945" spans="1:11" ht="40.049999999999997" customHeight="1" x14ac:dyDescent="0.25">
      <c r="A12945" s="11" t="s">
        <v>25278</v>
      </c>
      <c r="B12945" s="11" t="s">
        <v>25278</v>
      </c>
      <c r="C12945" s="11" t="s">
        <v>17</v>
      </c>
      <c r="D12945" s="11" t="s">
        <v>18</v>
      </c>
      <c r="E12945" s="12" t="s">
        <v>568</v>
      </c>
      <c r="F12945" s="12" t="s">
        <v>569</v>
      </c>
      <c r="G12945" s="12" t="s">
        <v>40</v>
      </c>
      <c r="H12945" s="11" t="s">
        <v>63</v>
      </c>
      <c r="I12945" s="13" t="s">
        <v>25279</v>
      </c>
      <c r="J12945" s="14" t="str">
        <f>HYPERLINK("https://www.boe.es/gazeta/dias/1839/10/23/pdfs/GMD-1839-1809.pdf#page=2","Abrir facsímil")</f>
        <v>Abrir facsímil</v>
      </c>
      <c r="K12945" s="12" t="s">
        <v>65</v>
      </c>
    </row>
    <row r="12946" spans="1:11" ht="40.049999999999997" customHeight="1" x14ac:dyDescent="0.25">
      <c r="A12946" s="11" t="s">
        <v>25280</v>
      </c>
      <c r="B12946" s="11" t="s">
        <v>25281</v>
      </c>
      <c r="C12946" s="11" t="s">
        <v>17</v>
      </c>
      <c r="D12946" s="11" t="s">
        <v>18</v>
      </c>
      <c r="E12946" s="12" t="s">
        <v>700</v>
      </c>
      <c r="F12946" s="12" t="s">
        <v>701</v>
      </c>
      <c r="G12946" s="12" t="s">
        <v>46</v>
      </c>
      <c r="H12946" s="11" t="s">
        <v>22</v>
      </c>
      <c r="I12946" s="13" t="s">
        <v>25282</v>
      </c>
      <c r="J12946" s="14" t="str">
        <f>HYPERLINK("https://www.boe.es/gazeta/dias/1839/09/01/pdfs/GMD-1839-1753.pdf#page=3","Abrir facsímil")</f>
        <v>Abrir facsímil</v>
      </c>
      <c r="K12946" s="12" t="s">
        <v>24</v>
      </c>
    </row>
    <row r="12947" spans="1:11" ht="40.049999999999997" customHeight="1" x14ac:dyDescent="0.25">
      <c r="A12947" s="11" t="s">
        <v>25280</v>
      </c>
      <c r="B12947" s="11" t="s">
        <v>25281</v>
      </c>
      <c r="C12947" s="11" t="s">
        <v>59</v>
      </c>
      <c r="D12947" s="11" t="s">
        <v>60</v>
      </c>
      <c r="E12947" s="12" t="s">
        <v>346</v>
      </c>
      <c r="F12947" s="12" t="s">
        <v>347</v>
      </c>
      <c r="G12947" s="12" t="s">
        <v>21</v>
      </c>
      <c r="H12947" s="11" t="s">
        <v>22</v>
      </c>
      <c r="I12947" s="13" t="s">
        <v>25283</v>
      </c>
      <c r="J12947" s="14" t="str">
        <f>HYPERLINK("https://www.boe.es/gazeta/dias/1839/03/24/pdfs/GMD-1839-1590.pdf#page=4","Abrir facsímil")</f>
        <v>Abrir facsímil</v>
      </c>
      <c r="K12947" s="12" t="s">
        <v>24</v>
      </c>
    </row>
    <row r="12948" spans="1:11" ht="40.049999999999997" customHeight="1" x14ac:dyDescent="0.25">
      <c r="A12948" s="11" t="s">
        <v>25284</v>
      </c>
      <c r="B12948" s="11" t="s">
        <v>25284</v>
      </c>
      <c r="C12948" s="11" t="s">
        <v>17</v>
      </c>
      <c r="D12948" s="11" t="s">
        <v>18</v>
      </c>
      <c r="E12948" s="12" t="s">
        <v>2155</v>
      </c>
      <c r="F12948" s="12" t="s">
        <v>2156</v>
      </c>
      <c r="G12948" s="12" t="s">
        <v>21</v>
      </c>
      <c r="H12948" s="11" t="s">
        <v>63</v>
      </c>
      <c r="I12948" s="13" t="s">
        <v>25285</v>
      </c>
      <c r="J12948" s="14" t="str">
        <f>HYPERLINK("https://www.boe.es/gazeta/dias/1839/01/17/pdfs/GMD-1839-1524.pdf#page=4","Abrir facsímil")</f>
        <v>Abrir facsímil</v>
      </c>
      <c r="K12948" s="12" t="s">
        <v>65</v>
      </c>
    </row>
    <row r="12949" spans="1:11" ht="40.049999999999997" customHeight="1" x14ac:dyDescent="0.25">
      <c r="A12949" s="11" t="s">
        <v>25286</v>
      </c>
      <c r="B12949" s="11" t="s">
        <v>25286</v>
      </c>
      <c r="C12949" s="11" t="s">
        <v>101</v>
      </c>
      <c r="D12949" s="11" t="s">
        <v>43</v>
      </c>
      <c r="E12949" s="12" t="s">
        <v>596</v>
      </c>
      <c r="F12949" s="12" t="s">
        <v>597</v>
      </c>
      <c r="G12949" s="12" t="s">
        <v>21</v>
      </c>
      <c r="H12949" s="11" t="s">
        <v>63</v>
      </c>
      <c r="I12949" s="13" t="s">
        <v>25287</v>
      </c>
      <c r="J12949" s="14" t="str">
        <f>HYPERLINK("https://www.boe.es/gazeta/dias/1839/01/23/pdfs/GMD-1839-1530.pdf#page=4","Abrir facsímil")</f>
        <v>Abrir facsímil</v>
      </c>
      <c r="K12949" s="12" t="s">
        <v>65</v>
      </c>
    </row>
    <row r="12950" spans="1:11" ht="40.049999999999997" customHeight="1" x14ac:dyDescent="0.25">
      <c r="A12950" s="11" t="s">
        <v>25288</v>
      </c>
      <c r="B12950" s="11" t="s">
        <v>25288</v>
      </c>
      <c r="C12950" s="11" t="s">
        <v>80</v>
      </c>
      <c r="D12950" s="11" t="s">
        <v>18</v>
      </c>
      <c r="E12950" s="12" t="s">
        <v>1565</v>
      </c>
      <c r="F12950" s="12" t="s">
        <v>1566</v>
      </c>
      <c r="G12950" s="12" t="s">
        <v>29</v>
      </c>
      <c r="H12950" s="11" t="s">
        <v>63</v>
      </c>
      <c r="I12950" s="13" t="s">
        <v>25289</v>
      </c>
      <c r="J12950" s="14" t="str">
        <f>HYPERLINK("https://www.boe.es/gazeta/dias/1839/06/17/pdfs/GMD-1839-1675.pdf#page=1","Abrir facsímil")</f>
        <v>Abrir facsímil</v>
      </c>
      <c r="K12950" s="12" t="s">
        <v>65</v>
      </c>
    </row>
    <row r="12951" spans="1:11" ht="40.049999999999997" customHeight="1" x14ac:dyDescent="0.25">
      <c r="A12951" s="11" t="s">
        <v>25288</v>
      </c>
      <c r="B12951" s="11" t="s">
        <v>25288</v>
      </c>
      <c r="C12951" s="11" t="s">
        <v>17</v>
      </c>
      <c r="D12951" s="11" t="s">
        <v>18</v>
      </c>
      <c r="E12951" s="12" t="s">
        <v>222</v>
      </c>
      <c r="F12951" s="12" t="s">
        <v>223</v>
      </c>
      <c r="G12951" s="12" t="s">
        <v>29</v>
      </c>
      <c r="H12951" s="11" t="s">
        <v>63</v>
      </c>
      <c r="I12951" s="13" t="s">
        <v>25290</v>
      </c>
      <c r="J12951" s="14" t="str">
        <f>HYPERLINK("https://www.boe.es/gazeta/dias/1839/06/22/pdfs/GMD-1839-1680.pdf#page=1","Abrir facsímil")</f>
        <v>Abrir facsímil</v>
      </c>
      <c r="K12951" s="12" t="s">
        <v>65</v>
      </c>
    </row>
    <row r="12952" spans="1:11" ht="40.049999999999997" customHeight="1" x14ac:dyDescent="0.25">
      <c r="A12952" s="11" t="s">
        <v>25291</v>
      </c>
      <c r="B12952" s="11" t="s">
        <v>25292</v>
      </c>
      <c r="C12952" s="11" t="s">
        <v>17</v>
      </c>
      <c r="D12952" s="11" t="s">
        <v>43</v>
      </c>
      <c r="E12952" s="12" t="s">
        <v>3705</v>
      </c>
      <c r="F12952" s="12" t="s">
        <v>3706</v>
      </c>
      <c r="G12952" s="12" t="s">
        <v>21</v>
      </c>
      <c r="H12952" s="11" t="s">
        <v>63</v>
      </c>
      <c r="I12952" s="13" t="s">
        <v>25293</v>
      </c>
      <c r="J12952" s="14" t="str">
        <f>HYPERLINK("https://www.boe.es/gazeta/dias/1839/03/09/pdfs/GMD-1839-1575.pdf#page=4","Abrir facsímil")</f>
        <v>Abrir facsímil</v>
      </c>
      <c r="K12952" s="12" t="s">
        <v>65</v>
      </c>
    </row>
    <row r="12953" spans="1:11" ht="40.049999999999997" customHeight="1" x14ac:dyDescent="0.25">
      <c r="A12953" s="11" t="s">
        <v>25294</v>
      </c>
      <c r="B12953" s="11" t="s">
        <v>25294</v>
      </c>
      <c r="C12953" s="11" t="s">
        <v>17</v>
      </c>
      <c r="D12953" s="11" t="s">
        <v>18</v>
      </c>
      <c r="E12953" s="12" t="s">
        <v>2210</v>
      </c>
      <c r="F12953" s="12" t="s">
        <v>2211</v>
      </c>
      <c r="G12953" s="12" t="s">
        <v>29</v>
      </c>
      <c r="H12953" s="11" t="s">
        <v>63</v>
      </c>
      <c r="I12953" s="13" t="s">
        <v>25295</v>
      </c>
      <c r="J12953" s="14" t="str">
        <f>HYPERLINK("https://www.boe.es/gazeta/dias/1839/09/05/pdfs/GMD-1839-1758.pdf#page=1","Abrir facsímil")</f>
        <v>Abrir facsímil</v>
      </c>
      <c r="K12953" s="12" t="s">
        <v>65</v>
      </c>
    </row>
    <row r="12954" spans="1:11" ht="40.049999999999997" customHeight="1" x14ac:dyDescent="0.25">
      <c r="A12954" s="11" t="s">
        <v>25296</v>
      </c>
      <c r="B12954" s="11" t="s">
        <v>25297</v>
      </c>
      <c r="C12954" s="11" t="s">
        <v>59</v>
      </c>
      <c r="D12954" s="11" t="s">
        <v>60</v>
      </c>
      <c r="E12954" s="12" t="s">
        <v>1460</v>
      </c>
      <c r="F12954" s="12" t="s">
        <v>1461</v>
      </c>
      <c r="G12954" s="12" t="s">
        <v>46</v>
      </c>
      <c r="H12954" s="11" t="s">
        <v>22</v>
      </c>
      <c r="I12954" s="13" t="s">
        <v>25298</v>
      </c>
      <c r="J12954" s="14" t="str">
        <f>HYPERLINK("https://www.boe.es/gazeta/dias/1839/03/01/pdfs/GMD-1839-1567.pdf#page=3","Abrir facsímil")</f>
        <v>Abrir facsímil</v>
      </c>
      <c r="K12954" s="12" t="s">
        <v>24</v>
      </c>
    </row>
    <row r="12955" spans="1:11" ht="40.049999999999997" customHeight="1" x14ac:dyDescent="0.25">
      <c r="A12955" s="11" t="s">
        <v>25296</v>
      </c>
      <c r="B12955" s="11" t="s">
        <v>25297</v>
      </c>
      <c r="C12955" s="11" t="s">
        <v>17</v>
      </c>
      <c r="D12955" s="11" t="s">
        <v>18</v>
      </c>
      <c r="E12955" s="12" t="s">
        <v>375</v>
      </c>
      <c r="F12955" s="12" t="s">
        <v>376</v>
      </c>
      <c r="G12955" s="12" t="s">
        <v>21</v>
      </c>
      <c r="H12955" s="11" t="s">
        <v>22</v>
      </c>
      <c r="I12955" s="13" t="s">
        <v>25299</v>
      </c>
      <c r="J12955" s="14" t="str">
        <f>HYPERLINK("https://www.boe.es/gazeta/dias/1839/11/25/pdfs/GMD-1839-1842.pdf#page=4","Abrir facsímil")</f>
        <v>Abrir facsímil</v>
      </c>
      <c r="K12955" s="12" t="s">
        <v>24</v>
      </c>
    </row>
    <row r="12956" spans="1:11" ht="40.049999999999997" customHeight="1" x14ac:dyDescent="0.25">
      <c r="A12956" s="11" t="s">
        <v>25300</v>
      </c>
      <c r="B12956" s="11" t="s">
        <v>25301</v>
      </c>
      <c r="C12956" s="11" t="s">
        <v>17</v>
      </c>
      <c r="D12956" s="11" t="s">
        <v>18</v>
      </c>
      <c r="E12956" s="12" t="s">
        <v>222</v>
      </c>
      <c r="F12956" s="12" t="s">
        <v>223</v>
      </c>
      <c r="G12956" s="12" t="s">
        <v>21</v>
      </c>
      <c r="H12956" s="11" t="s">
        <v>63</v>
      </c>
      <c r="I12956" s="13" t="s">
        <v>25302</v>
      </c>
      <c r="J12956" s="14" t="str">
        <f>HYPERLINK("https://www.boe.es/gazeta/dias/1839/06/22/pdfs/GMD-1839-1680.pdf#page=4","Abrir facsímil")</f>
        <v>Abrir facsímil</v>
      </c>
      <c r="K12956" s="12" t="s">
        <v>65</v>
      </c>
    </row>
    <row r="12957" spans="1:11" ht="40.049999999999997" customHeight="1" x14ac:dyDescent="0.25">
      <c r="A12957" s="11" t="s">
        <v>25303</v>
      </c>
      <c r="B12957" s="11" t="s">
        <v>25303</v>
      </c>
      <c r="C12957" s="11" t="s">
        <v>17</v>
      </c>
      <c r="D12957" s="11" t="s">
        <v>18</v>
      </c>
      <c r="E12957" s="12" t="s">
        <v>606</v>
      </c>
      <c r="F12957" s="12" t="s">
        <v>607</v>
      </c>
      <c r="G12957" s="12" t="s">
        <v>29</v>
      </c>
      <c r="H12957" s="11" t="s">
        <v>63</v>
      </c>
      <c r="I12957" s="13" t="s">
        <v>25304</v>
      </c>
      <c r="J12957" s="14" t="str">
        <f>HYPERLINK("https://www.boe.es/gazeta/dias/1839/04/02/pdfs/GMD-1839-1599.pdf#page=1","Abrir facsímil")</f>
        <v>Abrir facsímil</v>
      </c>
      <c r="K12957" s="12" t="s">
        <v>65</v>
      </c>
    </row>
    <row r="12958" spans="1:11" ht="40.049999999999997" customHeight="1" x14ac:dyDescent="0.25">
      <c r="A12958" s="11" t="s">
        <v>25303</v>
      </c>
      <c r="B12958" s="11" t="s">
        <v>25303</v>
      </c>
      <c r="C12958" s="11" t="s">
        <v>80</v>
      </c>
      <c r="D12958" s="11" t="s">
        <v>18</v>
      </c>
      <c r="E12958" s="12" t="s">
        <v>4044</v>
      </c>
      <c r="F12958" s="12" t="s">
        <v>4045</v>
      </c>
      <c r="G12958" s="12" t="s">
        <v>29</v>
      </c>
      <c r="H12958" s="11" t="s">
        <v>63</v>
      </c>
      <c r="I12958" s="13" t="s">
        <v>25305</v>
      </c>
      <c r="J12958" s="14" t="str">
        <f>HYPERLINK("https://www.boe.es/gazeta/dias/1839/01/07/pdfs/GMD-1839-1514.pdf#page=1","Abrir facsímil")</f>
        <v>Abrir facsímil</v>
      </c>
      <c r="K12958" s="12" t="s">
        <v>65</v>
      </c>
    </row>
    <row r="12959" spans="1:11" ht="40.049999999999997" customHeight="1" x14ac:dyDescent="0.25">
      <c r="A12959" s="11" t="s">
        <v>25303</v>
      </c>
      <c r="B12959" s="11" t="s">
        <v>25303</v>
      </c>
      <c r="C12959" s="11" t="s">
        <v>59</v>
      </c>
      <c r="D12959" s="11" t="s">
        <v>60</v>
      </c>
      <c r="E12959" s="12" t="s">
        <v>299</v>
      </c>
      <c r="F12959" s="12" t="s">
        <v>300</v>
      </c>
      <c r="G12959" s="12" t="s">
        <v>46</v>
      </c>
      <c r="H12959" s="11" t="s">
        <v>63</v>
      </c>
      <c r="I12959" s="13" t="s">
        <v>25306</v>
      </c>
      <c r="J12959" s="14" t="str">
        <f>HYPERLINK("https://www.boe.es/gazeta/dias/1839/02/14/pdfs/GMD-1839-1552.pdf#page=3","Abrir facsímil")</f>
        <v>Abrir facsímil</v>
      </c>
      <c r="K12959" s="12" t="s">
        <v>65</v>
      </c>
    </row>
    <row r="12960" spans="1:11" ht="40.049999999999997" customHeight="1" x14ac:dyDescent="0.25">
      <c r="A12960" s="11" t="s">
        <v>25307</v>
      </c>
      <c r="B12960" s="11" t="s">
        <v>25307</v>
      </c>
      <c r="C12960" s="11" t="s">
        <v>17</v>
      </c>
      <c r="D12960" s="11" t="s">
        <v>18</v>
      </c>
      <c r="E12960" s="12" t="s">
        <v>592</v>
      </c>
      <c r="F12960" s="12" t="s">
        <v>593</v>
      </c>
      <c r="G12960" s="12" t="s">
        <v>21</v>
      </c>
      <c r="H12960" s="11" t="s">
        <v>63</v>
      </c>
      <c r="I12960" s="13" t="s">
        <v>25308</v>
      </c>
      <c r="J12960" s="14" t="str">
        <f>HYPERLINK("https://www.boe.es/gazeta/dias/1839/09/14/pdfs/GMD-1839-1767.pdf#page=4","Abrir facsímil")</f>
        <v>Abrir facsímil</v>
      </c>
      <c r="K12960" s="12" t="s">
        <v>65</v>
      </c>
    </row>
    <row r="12961" spans="1:11" ht="40.049999999999997" customHeight="1" x14ac:dyDescent="0.25">
      <c r="A12961" s="11" t="s">
        <v>25309</v>
      </c>
      <c r="B12961" s="11" t="s">
        <v>25309</v>
      </c>
      <c r="C12961" s="11" t="s">
        <v>17</v>
      </c>
      <c r="D12961" s="11" t="s">
        <v>18</v>
      </c>
      <c r="E12961" s="12" t="s">
        <v>1236</v>
      </c>
      <c r="F12961" s="12" t="s">
        <v>1237</v>
      </c>
      <c r="G12961" s="12" t="s">
        <v>40</v>
      </c>
      <c r="H12961" s="11" t="s">
        <v>22</v>
      </c>
      <c r="I12961" s="13" t="s">
        <v>25310</v>
      </c>
      <c r="J12961" s="14" t="str">
        <f>HYPERLINK("https://www.boe.es/gazeta/dias/1839/10/16/pdfs/GMD-1839-1802.pdf#page=2","Abrir facsímil")</f>
        <v>Abrir facsímil</v>
      </c>
      <c r="K12961" s="12" t="s">
        <v>24</v>
      </c>
    </row>
    <row r="12962" spans="1:11" ht="40.049999999999997" customHeight="1" x14ac:dyDescent="0.25">
      <c r="A12962" s="11" t="s">
        <v>25311</v>
      </c>
      <c r="B12962" s="11" t="s">
        <v>25311</v>
      </c>
      <c r="C12962" s="11" t="s">
        <v>17</v>
      </c>
      <c r="D12962" s="11" t="s">
        <v>18</v>
      </c>
      <c r="E12962" s="12" t="s">
        <v>2829</v>
      </c>
      <c r="F12962" s="12" t="s">
        <v>2830</v>
      </c>
      <c r="G12962" s="12" t="s">
        <v>21</v>
      </c>
      <c r="H12962" s="11" t="s">
        <v>63</v>
      </c>
      <c r="I12962" s="13" t="s">
        <v>25312</v>
      </c>
      <c r="J12962" s="14" t="str">
        <f>HYPERLINK("https://www.boe.es/gazeta/dias/1839/07/01/pdfs/GMD-1839-1689.pdf#page=4","Abrir facsímil")</f>
        <v>Abrir facsímil</v>
      </c>
      <c r="K12962" s="12" t="s">
        <v>65</v>
      </c>
    </row>
    <row r="12963" spans="1:11" ht="40.049999999999997" customHeight="1" x14ac:dyDescent="0.25">
      <c r="A12963" s="11" t="s">
        <v>25313</v>
      </c>
      <c r="B12963" s="11" t="s">
        <v>25314</v>
      </c>
      <c r="C12963" s="11" t="s">
        <v>17</v>
      </c>
      <c r="D12963" s="11" t="s">
        <v>18</v>
      </c>
      <c r="E12963" s="12" t="s">
        <v>668</v>
      </c>
      <c r="F12963" s="12" t="s">
        <v>669</v>
      </c>
      <c r="G12963" s="12" t="s">
        <v>29</v>
      </c>
      <c r="H12963" s="11" t="s">
        <v>63</v>
      </c>
      <c r="I12963" s="13" t="s">
        <v>25315</v>
      </c>
      <c r="J12963" s="14" t="str">
        <f>HYPERLINK("https://www.boe.es/gazeta/dias/1839/03/28/pdfs/GMD-1839-1594.pdf#page=1","Abrir facsímil")</f>
        <v>Abrir facsímil</v>
      </c>
      <c r="K12963" s="12" t="s">
        <v>65</v>
      </c>
    </row>
    <row r="12964" spans="1:11" ht="40.049999999999997" customHeight="1" x14ac:dyDescent="0.25">
      <c r="A12964" s="11" t="s">
        <v>25316</v>
      </c>
      <c r="B12964" s="11" t="s">
        <v>25316</v>
      </c>
      <c r="C12964" s="11" t="s">
        <v>59</v>
      </c>
      <c r="D12964" s="11" t="s">
        <v>60</v>
      </c>
      <c r="E12964" s="12" t="s">
        <v>2491</v>
      </c>
      <c r="F12964" s="12" t="s">
        <v>2492</v>
      </c>
      <c r="G12964" s="12" t="s">
        <v>29</v>
      </c>
      <c r="H12964" s="11" t="s">
        <v>63</v>
      </c>
      <c r="I12964" s="13" t="s">
        <v>25317</v>
      </c>
      <c r="J12964" s="14" t="str">
        <f>HYPERLINK("https://www.boe.es/gazeta/dias/1839/05/01/pdfs/GMD-1839-1628.pdf#page=1","Abrir facsímil")</f>
        <v>Abrir facsímil</v>
      </c>
      <c r="K12964" s="12" t="s">
        <v>65</v>
      </c>
    </row>
    <row r="12965" spans="1:11" ht="40.049999999999997" customHeight="1" x14ac:dyDescent="0.25">
      <c r="A12965" s="11" t="s">
        <v>25316</v>
      </c>
      <c r="B12965" s="11" t="s">
        <v>25316</v>
      </c>
      <c r="C12965" s="11" t="s">
        <v>17</v>
      </c>
      <c r="D12965" s="11" t="s">
        <v>18</v>
      </c>
      <c r="E12965" s="12" t="s">
        <v>700</v>
      </c>
      <c r="F12965" s="12" t="s">
        <v>701</v>
      </c>
      <c r="G12965" s="12" t="s">
        <v>29</v>
      </c>
      <c r="H12965" s="11" t="s">
        <v>63</v>
      </c>
      <c r="I12965" s="13" t="s">
        <v>25318</v>
      </c>
      <c r="J12965" s="14" t="str">
        <f>HYPERLINK("https://www.boe.es/gazeta/dias/1839/09/01/pdfs/GMD-1839-1753.pdf#page=1","Abrir facsímil")</f>
        <v>Abrir facsímil</v>
      </c>
      <c r="K12965" s="12" t="s">
        <v>65</v>
      </c>
    </row>
    <row r="12966" spans="1:11" ht="40.049999999999997" customHeight="1" x14ac:dyDescent="0.25">
      <c r="A12966" s="11" t="s">
        <v>25316</v>
      </c>
      <c r="B12966" s="11" t="s">
        <v>25316</v>
      </c>
      <c r="C12966" s="11" t="s">
        <v>17</v>
      </c>
      <c r="D12966" s="11" t="s">
        <v>18</v>
      </c>
      <c r="E12966" s="12" t="s">
        <v>154</v>
      </c>
      <c r="F12966" s="12" t="s">
        <v>155</v>
      </c>
      <c r="G12966" s="12" t="s">
        <v>40</v>
      </c>
      <c r="H12966" s="11" t="s">
        <v>63</v>
      </c>
      <c r="I12966" s="13" t="s">
        <v>25319</v>
      </c>
      <c r="J12966" s="14" t="str">
        <f>HYPERLINK("https://www.boe.es/gazeta/dias/1839/02/02/pdfs/GMD-1839-1540.pdf#page=2","Abrir facsímil")</f>
        <v>Abrir facsímil</v>
      </c>
      <c r="K12966" s="12" t="s">
        <v>65</v>
      </c>
    </row>
    <row r="12967" spans="1:11" ht="40.049999999999997" customHeight="1" x14ac:dyDescent="0.25">
      <c r="A12967" s="11" t="s">
        <v>25316</v>
      </c>
      <c r="B12967" s="11" t="s">
        <v>25316</v>
      </c>
      <c r="C12967" s="11" t="s">
        <v>17</v>
      </c>
      <c r="D12967" s="11" t="s">
        <v>18</v>
      </c>
      <c r="E12967" s="12" t="s">
        <v>704</v>
      </c>
      <c r="F12967" s="12" t="s">
        <v>705</v>
      </c>
      <c r="G12967" s="12" t="s">
        <v>46</v>
      </c>
      <c r="H12967" s="11" t="s">
        <v>63</v>
      </c>
      <c r="I12967" s="13" t="s">
        <v>25320</v>
      </c>
      <c r="J12967" s="14" t="str">
        <f>HYPERLINK("https://www.boe.es/gazeta/dias/1839/03/02/pdfs/GMD-1839-1568.pdf#page=3","Abrir facsímil")</f>
        <v>Abrir facsímil</v>
      </c>
      <c r="K12967" s="12" t="s">
        <v>65</v>
      </c>
    </row>
    <row r="12968" spans="1:11" ht="40.049999999999997" customHeight="1" x14ac:dyDescent="0.25">
      <c r="A12968" s="11" t="s">
        <v>25316</v>
      </c>
      <c r="B12968" s="11" t="s">
        <v>25316</v>
      </c>
      <c r="C12968" s="11" t="s">
        <v>137</v>
      </c>
      <c r="D12968" s="11" t="s">
        <v>18</v>
      </c>
      <c r="E12968" s="12" t="s">
        <v>779</v>
      </c>
      <c r="F12968" s="12" t="s">
        <v>780</v>
      </c>
      <c r="G12968" s="12" t="s">
        <v>29</v>
      </c>
      <c r="H12968" s="11" t="s">
        <v>63</v>
      </c>
      <c r="I12968" s="13" t="s">
        <v>25321</v>
      </c>
      <c r="J12968" s="14" t="str">
        <f>HYPERLINK("https://www.boe.es/gazeta/dias/1839/02/03/pdfs/GMD-1839-1541.pdf#page=1","Abrir facsímil")</f>
        <v>Abrir facsímil</v>
      </c>
      <c r="K12968" s="12" t="s">
        <v>65</v>
      </c>
    </row>
    <row r="12969" spans="1:11" ht="40.049999999999997" customHeight="1" x14ac:dyDescent="0.25">
      <c r="A12969" s="11" t="s">
        <v>25316</v>
      </c>
      <c r="B12969" s="11" t="s">
        <v>25316</v>
      </c>
      <c r="C12969" s="11" t="s">
        <v>17</v>
      </c>
      <c r="D12969" s="11" t="s">
        <v>18</v>
      </c>
      <c r="E12969" s="12" t="s">
        <v>1467</v>
      </c>
      <c r="F12969" s="12" t="s">
        <v>1468</v>
      </c>
      <c r="G12969" s="12" t="s">
        <v>29</v>
      </c>
      <c r="H12969" s="11" t="s">
        <v>63</v>
      </c>
      <c r="I12969" s="13" t="s">
        <v>25322</v>
      </c>
      <c r="J12969" s="14" t="str">
        <f>HYPERLINK("https://www.boe.es/gazeta/dias/1839/03/05/pdfs/GMD-1839-1571.pdf#page=1","Abrir facsímil")</f>
        <v>Abrir facsímil</v>
      </c>
      <c r="K12969" s="12" t="s">
        <v>65</v>
      </c>
    </row>
    <row r="12970" spans="1:11" ht="40.049999999999997" customHeight="1" x14ac:dyDescent="0.25">
      <c r="A12970" s="11" t="s">
        <v>25316</v>
      </c>
      <c r="B12970" s="11" t="s">
        <v>25316</v>
      </c>
      <c r="C12970" s="11" t="s">
        <v>17</v>
      </c>
      <c r="D12970" s="11" t="s">
        <v>18</v>
      </c>
      <c r="E12970" s="12" t="s">
        <v>2210</v>
      </c>
      <c r="F12970" s="12" t="s">
        <v>2211</v>
      </c>
      <c r="G12970" s="12" t="s">
        <v>40</v>
      </c>
      <c r="H12970" s="11" t="s">
        <v>63</v>
      </c>
      <c r="I12970" s="13" t="s">
        <v>25323</v>
      </c>
      <c r="J12970" s="14" t="str">
        <f>HYPERLINK("https://www.boe.es/gazeta/dias/1839/09/05/pdfs/GMD-1839-1758.pdf#page=2","Abrir facsímil")</f>
        <v>Abrir facsímil</v>
      </c>
      <c r="K12970" s="12" t="s">
        <v>65</v>
      </c>
    </row>
    <row r="12971" spans="1:11" ht="40.049999999999997" customHeight="1" x14ac:dyDescent="0.25">
      <c r="A12971" s="11" t="s">
        <v>25316</v>
      </c>
      <c r="B12971" s="11" t="s">
        <v>25316</v>
      </c>
      <c r="C12971" s="11" t="s">
        <v>17</v>
      </c>
      <c r="D12971" s="11" t="s">
        <v>18</v>
      </c>
      <c r="E12971" s="12" t="s">
        <v>448</v>
      </c>
      <c r="F12971" s="12" t="s">
        <v>449</v>
      </c>
      <c r="G12971" s="12" t="s">
        <v>29</v>
      </c>
      <c r="H12971" s="11" t="s">
        <v>63</v>
      </c>
      <c r="I12971" s="13" t="s">
        <v>25324</v>
      </c>
      <c r="J12971" s="14" t="str">
        <f>HYPERLINK("https://www.boe.es/gazeta/dias/1839/02/06/pdfs/GMD-1839-1544.pdf#page=1","Abrir facsímil")</f>
        <v>Abrir facsímil</v>
      </c>
      <c r="K12971" s="12" t="s">
        <v>65</v>
      </c>
    </row>
    <row r="12972" spans="1:11" ht="40.049999999999997" customHeight="1" x14ac:dyDescent="0.25">
      <c r="A12972" s="11" t="s">
        <v>25316</v>
      </c>
      <c r="B12972" s="11" t="s">
        <v>25316</v>
      </c>
      <c r="C12972" s="11" t="s">
        <v>137</v>
      </c>
      <c r="D12972" s="11" t="s">
        <v>18</v>
      </c>
      <c r="E12972" s="12" t="s">
        <v>4044</v>
      </c>
      <c r="F12972" s="12" t="s">
        <v>4045</v>
      </c>
      <c r="G12972" s="12" t="s">
        <v>29</v>
      </c>
      <c r="H12972" s="11" t="s">
        <v>63</v>
      </c>
      <c r="I12972" s="13" t="s">
        <v>25325</v>
      </c>
      <c r="J12972" s="14" t="str">
        <f>HYPERLINK("https://www.boe.es/gazeta/dias/1839/01/07/pdfs/GMD-1839-1514.pdf#page=1","Abrir facsímil")</f>
        <v>Abrir facsímil</v>
      </c>
      <c r="K12972" s="12" t="s">
        <v>65</v>
      </c>
    </row>
    <row r="12973" spans="1:11" ht="40.049999999999997" customHeight="1" x14ac:dyDescent="0.25">
      <c r="A12973" s="11" t="s">
        <v>25316</v>
      </c>
      <c r="B12973" s="11" t="s">
        <v>25316</v>
      </c>
      <c r="C12973" s="11" t="s">
        <v>17</v>
      </c>
      <c r="D12973" s="11" t="s">
        <v>18</v>
      </c>
      <c r="E12973" s="12" t="s">
        <v>503</v>
      </c>
      <c r="F12973" s="12" t="s">
        <v>504</v>
      </c>
      <c r="G12973" s="12" t="s">
        <v>40</v>
      </c>
      <c r="H12973" s="11" t="s">
        <v>63</v>
      </c>
      <c r="I12973" s="13" t="s">
        <v>25326</v>
      </c>
      <c r="J12973" s="14" t="str">
        <f>HYPERLINK("https://www.boe.es/gazeta/dias/1839/06/07/pdfs/GMD-1839-1665.pdf#page=2","Abrir facsímil")</f>
        <v>Abrir facsímil</v>
      </c>
      <c r="K12973" s="12" t="s">
        <v>65</v>
      </c>
    </row>
    <row r="12974" spans="1:11" ht="40.049999999999997" customHeight="1" x14ac:dyDescent="0.25">
      <c r="A12974" s="11" t="s">
        <v>25316</v>
      </c>
      <c r="B12974" s="11" t="s">
        <v>25316</v>
      </c>
      <c r="C12974" s="11" t="s">
        <v>17</v>
      </c>
      <c r="D12974" s="11" t="s">
        <v>18</v>
      </c>
      <c r="E12974" s="12" t="s">
        <v>68</v>
      </c>
      <c r="F12974" s="12" t="s">
        <v>69</v>
      </c>
      <c r="G12974" s="12" t="s">
        <v>40</v>
      </c>
      <c r="H12974" s="11" t="s">
        <v>63</v>
      </c>
      <c r="I12974" s="13" t="s">
        <v>25327</v>
      </c>
      <c r="J12974" s="14" t="str">
        <f>HYPERLINK("https://www.boe.es/gazeta/dias/1839/02/09/pdfs/GMD-1839-1547.pdf#page=2","Abrir facsímil")</f>
        <v>Abrir facsímil</v>
      </c>
      <c r="K12974" s="12" t="s">
        <v>65</v>
      </c>
    </row>
    <row r="12975" spans="1:11" ht="40.049999999999997" customHeight="1" x14ac:dyDescent="0.25">
      <c r="A12975" s="11" t="s">
        <v>25316</v>
      </c>
      <c r="B12975" s="11" t="s">
        <v>25316</v>
      </c>
      <c r="C12975" s="11" t="s">
        <v>17</v>
      </c>
      <c r="D12975" s="11" t="s">
        <v>18</v>
      </c>
      <c r="E12975" s="12" t="s">
        <v>160</v>
      </c>
      <c r="F12975" s="12" t="s">
        <v>161</v>
      </c>
      <c r="G12975" s="12" t="s">
        <v>29</v>
      </c>
      <c r="H12975" s="11" t="s">
        <v>63</v>
      </c>
      <c r="I12975" s="13" t="s">
        <v>25328</v>
      </c>
      <c r="J12975" s="14" t="str">
        <f>HYPERLINK("https://www.boe.es/gazeta/dias/1839/01/10/pdfs/GMD-1839-1517.pdf#page=1","Abrir facsímil")</f>
        <v>Abrir facsímil</v>
      </c>
      <c r="K12975" s="12" t="s">
        <v>65</v>
      </c>
    </row>
    <row r="12976" spans="1:11" ht="40.049999999999997" customHeight="1" x14ac:dyDescent="0.25">
      <c r="A12976" s="11" t="s">
        <v>25316</v>
      </c>
      <c r="B12976" s="11" t="s">
        <v>25316</v>
      </c>
      <c r="C12976" s="11" t="s">
        <v>17</v>
      </c>
      <c r="D12976" s="11" t="s">
        <v>18</v>
      </c>
      <c r="E12976" s="12" t="s">
        <v>1512</v>
      </c>
      <c r="F12976" s="12" t="s">
        <v>1513</v>
      </c>
      <c r="G12976" s="12" t="s">
        <v>40</v>
      </c>
      <c r="H12976" s="11" t="s">
        <v>63</v>
      </c>
      <c r="I12976" s="13" t="s">
        <v>25329</v>
      </c>
      <c r="J12976" s="14" t="str">
        <f>HYPERLINK("https://www.boe.es/gazeta/dias/1839/04/13/pdfs/GMD-1839-1610.pdf#page=2","Abrir facsímil")</f>
        <v>Abrir facsímil</v>
      </c>
      <c r="K12976" s="12" t="s">
        <v>65</v>
      </c>
    </row>
    <row r="12977" spans="1:11" ht="40.049999999999997" customHeight="1" x14ac:dyDescent="0.25">
      <c r="A12977" s="11" t="s">
        <v>25316</v>
      </c>
      <c r="B12977" s="11" t="s">
        <v>25316</v>
      </c>
      <c r="C12977" s="11" t="s">
        <v>17</v>
      </c>
      <c r="D12977" s="11" t="s">
        <v>18</v>
      </c>
      <c r="E12977" s="12" t="s">
        <v>2262</v>
      </c>
      <c r="F12977" s="12" t="s">
        <v>2263</v>
      </c>
      <c r="G12977" s="12" t="s">
        <v>29</v>
      </c>
      <c r="H12977" s="11" t="s">
        <v>63</v>
      </c>
      <c r="I12977" s="13" t="s">
        <v>25330</v>
      </c>
      <c r="J12977" s="14" t="str">
        <f>HYPERLINK("https://www.boe.es/gazeta/dias/1839/03/16/pdfs/GMD-1839-1582.pdf#page=1","Abrir facsímil")</f>
        <v>Abrir facsímil</v>
      </c>
      <c r="K12977" s="12" t="s">
        <v>65</v>
      </c>
    </row>
    <row r="12978" spans="1:11" ht="40.049999999999997" customHeight="1" x14ac:dyDescent="0.25">
      <c r="A12978" s="11" t="s">
        <v>25316</v>
      </c>
      <c r="B12978" s="11" t="s">
        <v>25316</v>
      </c>
      <c r="C12978" s="11" t="s">
        <v>17</v>
      </c>
      <c r="D12978" s="11" t="s">
        <v>18</v>
      </c>
      <c r="E12978" s="12" t="s">
        <v>1027</v>
      </c>
      <c r="F12978" s="12" t="s">
        <v>1028</v>
      </c>
      <c r="G12978" s="12" t="s">
        <v>29</v>
      </c>
      <c r="H12978" s="11" t="s">
        <v>63</v>
      </c>
      <c r="I12978" s="13" t="s">
        <v>25331</v>
      </c>
      <c r="J12978" s="14" t="str">
        <f>HYPERLINK("https://www.boe.es/gazeta/dias/1839/08/16/pdfs/GMD-1839-1736.pdf#page=1","Abrir facsímil")</f>
        <v>Abrir facsímil</v>
      </c>
      <c r="K12978" s="12" t="s">
        <v>65</v>
      </c>
    </row>
    <row r="12979" spans="1:11" ht="40.049999999999997" customHeight="1" x14ac:dyDescent="0.25">
      <c r="A12979" s="11" t="s">
        <v>25316</v>
      </c>
      <c r="B12979" s="11" t="s">
        <v>25316</v>
      </c>
      <c r="C12979" s="11" t="s">
        <v>17</v>
      </c>
      <c r="D12979" s="11" t="s">
        <v>18</v>
      </c>
      <c r="E12979" s="12" t="s">
        <v>433</v>
      </c>
      <c r="F12979" s="12" t="s">
        <v>434</v>
      </c>
      <c r="G12979" s="12" t="s">
        <v>40</v>
      </c>
      <c r="H12979" s="11" t="s">
        <v>63</v>
      </c>
      <c r="I12979" s="13" t="s">
        <v>25332</v>
      </c>
      <c r="J12979" s="14" t="str">
        <f>HYPERLINK("https://www.boe.es/gazeta/dias/1839/01/20/pdfs/GMD-1839-1527.pdf#page=2","Abrir facsímil")</f>
        <v>Abrir facsímil</v>
      </c>
      <c r="K12979" s="12" t="s">
        <v>65</v>
      </c>
    </row>
    <row r="12980" spans="1:11" ht="40.049999999999997" customHeight="1" x14ac:dyDescent="0.25">
      <c r="A12980" s="11" t="s">
        <v>25316</v>
      </c>
      <c r="B12980" s="11" t="s">
        <v>25316</v>
      </c>
      <c r="C12980" s="11" t="s">
        <v>17</v>
      </c>
      <c r="D12980" s="11" t="s">
        <v>18</v>
      </c>
      <c r="E12980" s="12" t="s">
        <v>643</v>
      </c>
      <c r="F12980" s="12" t="s">
        <v>644</v>
      </c>
      <c r="G12980" s="12" t="s">
        <v>40</v>
      </c>
      <c r="H12980" s="11" t="s">
        <v>63</v>
      </c>
      <c r="I12980" s="13" t="s">
        <v>25333</v>
      </c>
      <c r="J12980" s="14" t="str">
        <f>HYPERLINK("https://www.boe.es/gazeta/dias/1839/03/20/pdfs/GMD-1839-1586.pdf#page=2","Abrir facsímil")</f>
        <v>Abrir facsímil</v>
      </c>
      <c r="K12980" s="12" t="s">
        <v>65</v>
      </c>
    </row>
    <row r="12981" spans="1:11" ht="40.049999999999997" customHeight="1" x14ac:dyDescent="0.25">
      <c r="A12981" s="11" t="s">
        <v>25316</v>
      </c>
      <c r="B12981" s="11" t="s">
        <v>25316</v>
      </c>
      <c r="C12981" s="11" t="s">
        <v>17</v>
      </c>
      <c r="D12981" s="11" t="s">
        <v>18</v>
      </c>
      <c r="E12981" s="12" t="s">
        <v>1794</v>
      </c>
      <c r="F12981" s="12" t="s">
        <v>1795</v>
      </c>
      <c r="G12981" s="12" t="s">
        <v>40</v>
      </c>
      <c r="H12981" s="11" t="s">
        <v>63</v>
      </c>
      <c r="I12981" s="13" t="s">
        <v>25334</v>
      </c>
      <c r="J12981" s="14" t="str">
        <f>HYPERLINK("https://www.boe.es/gazeta/dias/1839/02/22/pdfs/GMD-1839-1560.pdf#page=2","Abrir facsímil")</f>
        <v>Abrir facsímil</v>
      </c>
      <c r="K12981" s="12" t="s">
        <v>65</v>
      </c>
    </row>
    <row r="12982" spans="1:11" ht="40.049999999999997" customHeight="1" x14ac:dyDescent="0.25">
      <c r="A12982" s="11" t="s">
        <v>25316</v>
      </c>
      <c r="B12982" s="11" t="s">
        <v>25316</v>
      </c>
      <c r="C12982" s="11" t="s">
        <v>80</v>
      </c>
      <c r="D12982" s="11" t="s">
        <v>18</v>
      </c>
      <c r="E12982" s="12" t="s">
        <v>360</v>
      </c>
      <c r="F12982" s="12" t="s">
        <v>361</v>
      </c>
      <c r="G12982" s="12" t="s">
        <v>21</v>
      </c>
      <c r="H12982" s="11" t="s">
        <v>63</v>
      </c>
      <c r="I12982" s="13" t="s">
        <v>25335</v>
      </c>
      <c r="J12982" s="14" t="str">
        <f>HYPERLINK("https://www.boe.es/gazeta/dias/1839/08/22/pdfs/GMD-1839-1743.pdf#page=4","Abrir facsímil")</f>
        <v>Abrir facsímil</v>
      </c>
      <c r="K12982" s="12" t="s">
        <v>65</v>
      </c>
    </row>
    <row r="12983" spans="1:11" ht="40.049999999999997" customHeight="1" x14ac:dyDescent="0.25">
      <c r="A12983" s="11" t="s">
        <v>25316</v>
      </c>
      <c r="B12983" s="11" t="s">
        <v>25316</v>
      </c>
      <c r="C12983" s="11" t="s">
        <v>17</v>
      </c>
      <c r="D12983" s="11" t="s">
        <v>18</v>
      </c>
      <c r="E12983" s="12" t="s">
        <v>664</v>
      </c>
      <c r="F12983" s="12" t="s">
        <v>665</v>
      </c>
      <c r="G12983" s="12" t="s">
        <v>29</v>
      </c>
      <c r="H12983" s="11" t="s">
        <v>63</v>
      </c>
      <c r="I12983" s="13" t="s">
        <v>25336</v>
      </c>
      <c r="J12983" s="14" t="str">
        <f>HYPERLINK("https://www.boe.es/gazeta/dias/1839/01/24/pdfs/GMD-1839-1531.pdf#page=1","Abrir facsímil")</f>
        <v>Abrir facsímil</v>
      </c>
      <c r="K12983" s="12" t="s">
        <v>65</v>
      </c>
    </row>
    <row r="12984" spans="1:11" ht="40.049999999999997" customHeight="1" x14ac:dyDescent="0.25">
      <c r="A12984" s="11" t="s">
        <v>25316</v>
      </c>
      <c r="B12984" s="11" t="s">
        <v>25316</v>
      </c>
      <c r="C12984" s="11" t="s">
        <v>17</v>
      </c>
      <c r="D12984" s="11" t="s">
        <v>18</v>
      </c>
      <c r="E12984" s="12" t="s">
        <v>94</v>
      </c>
      <c r="F12984" s="12" t="s">
        <v>95</v>
      </c>
      <c r="G12984" s="12" t="s">
        <v>29</v>
      </c>
      <c r="H12984" s="11" t="s">
        <v>63</v>
      </c>
      <c r="I12984" s="13" t="s">
        <v>25337</v>
      </c>
      <c r="J12984" s="14" t="str">
        <f>HYPERLINK("https://www.boe.es/gazeta/dias/1839/02/24/pdfs/GMD-1839-1562.pdf#page=1","Abrir facsímil")</f>
        <v>Abrir facsímil</v>
      </c>
      <c r="K12984" s="12" t="s">
        <v>65</v>
      </c>
    </row>
    <row r="12985" spans="1:11" ht="40.049999999999997" customHeight="1" x14ac:dyDescent="0.25">
      <c r="A12985" s="11" t="s">
        <v>25316</v>
      </c>
      <c r="B12985" s="11" t="s">
        <v>25316</v>
      </c>
      <c r="C12985" s="11" t="s">
        <v>80</v>
      </c>
      <c r="D12985" s="11" t="s">
        <v>18</v>
      </c>
      <c r="E12985" s="12" t="s">
        <v>1909</v>
      </c>
      <c r="F12985" s="12" t="s">
        <v>1910</v>
      </c>
      <c r="G12985" s="12" t="s">
        <v>21</v>
      </c>
      <c r="H12985" s="11" t="s">
        <v>63</v>
      </c>
      <c r="I12985" s="13" t="s">
        <v>25338</v>
      </c>
      <c r="J12985" s="14" t="str">
        <f>HYPERLINK("https://www.boe.es/gazeta/dias/1839/10/27/pdfs/GMD-1839-1813.pdf#page=4","Abrir facsímil")</f>
        <v>Abrir facsímil</v>
      </c>
      <c r="K12985" s="12" t="s">
        <v>65</v>
      </c>
    </row>
    <row r="12986" spans="1:11" ht="40.049999999999997" customHeight="1" x14ac:dyDescent="0.25">
      <c r="A12986" s="11" t="s">
        <v>25316</v>
      </c>
      <c r="B12986" s="11" t="s">
        <v>25316</v>
      </c>
      <c r="C12986" s="11" t="s">
        <v>137</v>
      </c>
      <c r="D12986" s="11" t="s">
        <v>18</v>
      </c>
      <c r="E12986" s="12" t="s">
        <v>912</v>
      </c>
      <c r="F12986" s="12" t="s">
        <v>913</v>
      </c>
      <c r="G12986" s="12" t="s">
        <v>40</v>
      </c>
      <c r="H12986" s="11" t="s">
        <v>63</v>
      </c>
      <c r="I12986" s="13" t="s">
        <v>25339</v>
      </c>
      <c r="J12986" s="14" t="str">
        <f>HYPERLINK("https://www.boe.es/gazeta/dias/1839/04/30/pdfs/GMD-1839-1627.pdf#page=2","Abrir facsímil")</f>
        <v>Abrir facsímil</v>
      </c>
      <c r="K12986" s="12" t="s">
        <v>65</v>
      </c>
    </row>
    <row r="12987" spans="1:11" ht="40.049999999999997" customHeight="1" x14ac:dyDescent="0.25">
      <c r="A12987" s="11" t="s">
        <v>25340</v>
      </c>
      <c r="B12987" s="11" t="s">
        <v>25341</v>
      </c>
      <c r="C12987" s="11" t="s">
        <v>101</v>
      </c>
      <c r="D12987" s="11" t="s">
        <v>43</v>
      </c>
      <c r="E12987" s="12" t="s">
        <v>2482</v>
      </c>
      <c r="F12987" s="12" t="s">
        <v>2483</v>
      </c>
      <c r="G12987" s="12" t="s">
        <v>29</v>
      </c>
      <c r="H12987" s="11" t="s">
        <v>63</v>
      </c>
      <c r="I12987" s="13" t="s">
        <v>25342</v>
      </c>
      <c r="J12987" s="14" t="str">
        <f>HYPERLINK("https://www.boe.es/gazeta/dias/1839/07/07/pdfs/GMD-1839-1695.pdf#page=1","Abrir facsímil")</f>
        <v>Abrir facsímil</v>
      </c>
      <c r="K12987" s="12" t="s">
        <v>65</v>
      </c>
    </row>
    <row r="12988" spans="1:11" ht="40.049999999999997" customHeight="1" x14ac:dyDescent="0.25">
      <c r="A12988" s="11" t="s">
        <v>25343</v>
      </c>
      <c r="B12988" s="11" t="s">
        <v>25344</v>
      </c>
      <c r="C12988" s="11" t="s">
        <v>59</v>
      </c>
      <c r="D12988" s="11" t="s">
        <v>60</v>
      </c>
      <c r="E12988" s="12" t="s">
        <v>1374</v>
      </c>
      <c r="F12988" s="12" t="s">
        <v>1375</v>
      </c>
      <c r="G12988" s="12" t="s">
        <v>29</v>
      </c>
      <c r="H12988" s="11" t="s">
        <v>63</v>
      </c>
      <c r="I12988" s="13" t="s">
        <v>25345</v>
      </c>
      <c r="J12988" s="14" t="str">
        <f>HYPERLINK("https://www.boe.es/gazeta/dias/1839/07/20/pdfs/GMD-1839-1708.pdf#page=1","Abrir facsímil")</f>
        <v>Abrir facsímil</v>
      </c>
      <c r="K12988" s="12" t="s">
        <v>65</v>
      </c>
    </row>
    <row r="12989" spans="1:11" ht="40.049999999999997" customHeight="1" x14ac:dyDescent="0.25">
      <c r="A12989" s="11" t="s">
        <v>25346</v>
      </c>
      <c r="B12989" s="11" t="s">
        <v>25347</v>
      </c>
      <c r="C12989" s="11" t="s">
        <v>137</v>
      </c>
      <c r="D12989" s="11" t="s">
        <v>18</v>
      </c>
      <c r="E12989" s="12" t="s">
        <v>606</v>
      </c>
      <c r="F12989" s="12" t="s">
        <v>607</v>
      </c>
      <c r="G12989" s="12" t="s">
        <v>29</v>
      </c>
      <c r="H12989" s="11" t="s">
        <v>63</v>
      </c>
      <c r="I12989" s="13" t="s">
        <v>25348</v>
      </c>
      <c r="J12989" s="14" t="str">
        <f>HYPERLINK("https://www.boe.es/gazeta/dias/1839/04/02/pdfs/GMD-1839-1599.pdf#page=1","Abrir facsímil")</f>
        <v>Abrir facsímil</v>
      </c>
      <c r="K12989" s="12" t="s">
        <v>65</v>
      </c>
    </row>
    <row r="12990" spans="1:11" ht="40.049999999999997" customHeight="1" x14ac:dyDescent="0.25">
      <c r="A12990" s="11" t="s">
        <v>25349</v>
      </c>
      <c r="B12990" s="11" t="s">
        <v>25349</v>
      </c>
      <c r="C12990" s="11" t="s">
        <v>80</v>
      </c>
      <c r="D12990" s="11" t="s">
        <v>18</v>
      </c>
      <c r="E12990" s="12" t="s">
        <v>111</v>
      </c>
      <c r="F12990" s="12" t="s">
        <v>112</v>
      </c>
      <c r="G12990" s="12" t="s">
        <v>40</v>
      </c>
      <c r="H12990" s="11" t="s">
        <v>22</v>
      </c>
      <c r="I12990" s="13" t="s">
        <v>25350</v>
      </c>
      <c r="J12990" s="14" t="str">
        <f>HYPERLINK("https://www.boe.es/gazeta/dias/1839/07/25/pdfs/GMD-1839-1714.pdf#page=2","Abrir facsímil")</f>
        <v>Abrir facsímil</v>
      </c>
      <c r="K12990" s="12" t="s">
        <v>24</v>
      </c>
    </row>
    <row r="12991" spans="1:11" ht="40.049999999999997" customHeight="1" x14ac:dyDescent="0.25">
      <c r="A12991" s="11" t="s">
        <v>25351</v>
      </c>
      <c r="B12991" s="11" t="s">
        <v>25351</v>
      </c>
      <c r="C12991" s="11" t="s">
        <v>101</v>
      </c>
      <c r="D12991" s="11" t="s">
        <v>102</v>
      </c>
      <c r="E12991" s="12" t="s">
        <v>834</v>
      </c>
      <c r="F12991" s="12" t="s">
        <v>835</v>
      </c>
      <c r="G12991" s="12" t="s">
        <v>46</v>
      </c>
      <c r="H12991" s="11" t="s">
        <v>63</v>
      </c>
      <c r="I12991" s="13" t="s">
        <v>25352</v>
      </c>
      <c r="J12991" s="14" t="str">
        <f>HYPERLINK("https://www.boe.es/gazeta/dias/1839/08/17/pdfs/GMD-1839-1737.pdf#page=3","Abrir facsímil")</f>
        <v>Abrir facsímil</v>
      </c>
      <c r="K12991" s="12" t="s">
        <v>65</v>
      </c>
    </row>
    <row r="12992" spans="1:11" ht="40.049999999999997" customHeight="1" x14ac:dyDescent="0.25">
      <c r="A12992" s="11" t="s">
        <v>25353</v>
      </c>
      <c r="B12992" s="11" t="s">
        <v>25353</v>
      </c>
      <c r="C12992" s="11" t="s">
        <v>80</v>
      </c>
      <c r="D12992" s="11" t="s">
        <v>18</v>
      </c>
      <c r="E12992" s="12" t="s">
        <v>2205</v>
      </c>
      <c r="F12992" s="12" t="s">
        <v>2206</v>
      </c>
      <c r="G12992" s="12" t="s">
        <v>21</v>
      </c>
      <c r="H12992" s="11" t="s">
        <v>22</v>
      </c>
      <c r="I12992" s="13" t="s">
        <v>25354</v>
      </c>
      <c r="J12992" s="14" t="str">
        <f>HYPERLINK("https://www.boe.es/gazeta/dias/1839/07/11/pdfs/GMD-1839-1699.pdf#page=4","Abrir facsímil")</f>
        <v>Abrir facsímil</v>
      </c>
      <c r="K12992" s="12" t="s">
        <v>24</v>
      </c>
    </row>
    <row r="12993" spans="1:11" ht="40.049999999999997" customHeight="1" x14ac:dyDescent="0.25">
      <c r="A12993" s="11" t="s">
        <v>25355</v>
      </c>
      <c r="B12993" s="11" t="s">
        <v>25356</v>
      </c>
      <c r="C12993" s="11" t="s">
        <v>17</v>
      </c>
      <c r="D12993" s="11" t="s">
        <v>18</v>
      </c>
      <c r="E12993" s="12" t="s">
        <v>1772</v>
      </c>
      <c r="F12993" s="12" t="s">
        <v>1773</v>
      </c>
      <c r="G12993" s="12" t="s">
        <v>21</v>
      </c>
      <c r="H12993" s="11" t="s">
        <v>63</v>
      </c>
      <c r="I12993" s="13" t="s">
        <v>25357</v>
      </c>
      <c r="J12993" s="14" t="str">
        <f>HYPERLINK("https://www.boe.es/gazeta/dias/1839/05/07/pdfs/GMD-1839-1634.pdf#page=4","Abrir facsímil")</f>
        <v>Abrir facsímil</v>
      </c>
      <c r="K12993" s="12" t="s">
        <v>65</v>
      </c>
    </row>
    <row r="12994" spans="1:11" ht="40.049999999999997" customHeight="1" x14ac:dyDescent="0.25">
      <c r="A12994" s="11" t="s">
        <v>25358</v>
      </c>
      <c r="B12994" s="11" t="s">
        <v>25359</v>
      </c>
      <c r="C12994" s="11" t="s">
        <v>17</v>
      </c>
      <c r="D12994" s="11" t="s">
        <v>18</v>
      </c>
      <c r="E12994" s="12" t="s">
        <v>1144</v>
      </c>
      <c r="F12994" s="12" t="s">
        <v>1145</v>
      </c>
      <c r="G12994" s="12" t="s">
        <v>40</v>
      </c>
      <c r="H12994" s="11" t="s">
        <v>63</v>
      </c>
      <c r="I12994" s="13" t="s">
        <v>25360</v>
      </c>
      <c r="J12994" s="14" t="str">
        <f>HYPERLINK("https://www.boe.es/gazeta/dias/1839/08/13/pdfs/GMD-1839-1733.pdf#page=2","Abrir facsímil")</f>
        <v>Abrir facsímil</v>
      </c>
      <c r="K12994" s="12" t="s">
        <v>65</v>
      </c>
    </row>
    <row r="12995" spans="1:11" ht="40.049999999999997" customHeight="1" x14ac:dyDescent="0.25">
      <c r="A12995" s="11" t="s">
        <v>25361</v>
      </c>
      <c r="B12995" s="11" t="s">
        <v>25362</v>
      </c>
      <c r="C12995" s="11" t="s">
        <v>17</v>
      </c>
      <c r="D12995" s="11" t="s">
        <v>18</v>
      </c>
      <c r="E12995" s="12" t="s">
        <v>474</v>
      </c>
      <c r="F12995" s="12" t="s">
        <v>475</v>
      </c>
      <c r="G12995" s="12" t="s">
        <v>21</v>
      </c>
      <c r="H12995" s="11" t="s">
        <v>63</v>
      </c>
      <c r="I12995" s="13" t="s">
        <v>25363</v>
      </c>
      <c r="J12995" s="14" t="str">
        <f>HYPERLINK("https://www.boe.es/gazeta/dias/1839/03/31/pdfs/GMD-1839-1597.pdf#page=4","Abrir facsímil")</f>
        <v>Abrir facsímil</v>
      </c>
      <c r="K12995" s="12" t="s">
        <v>65</v>
      </c>
    </row>
    <row r="12996" spans="1:11" ht="40.049999999999997" customHeight="1" x14ac:dyDescent="0.25">
      <c r="A12996" s="11" t="s">
        <v>25364</v>
      </c>
      <c r="B12996" s="11" t="s">
        <v>25364</v>
      </c>
      <c r="C12996" s="11" t="s">
        <v>17</v>
      </c>
      <c r="D12996" s="11" t="s">
        <v>18</v>
      </c>
      <c r="E12996" s="12" t="s">
        <v>330</v>
      </c>
      <c r="F12996" s="12" t="s">
        <v>331</v>
      </c>
      <c r="G12996" s="12" t="s">
        <v>21</v>
      </c>
      <c r="H12996" s="11" t="s">
        <v>63</v>
      </c>
      <c r="I12996" s="13" t="s">
        <v>25365</v>
      </c>
      <c r="J12996" s="14" t="str">
        <f>HYPERLINK("https://www.boe.es/gazeta/dias/1839/04/11/pdfs/GMD-1839-1608.pdf#page=4","Abrir facsímil")</f>
        <v>Abrir facsímil</v>
      </c>
      <c r="K12996" s="12" t="s">
        <v>65</v>
      </c>
    </row>
    <row r="12997" spans="1:11" ht="40.049999999999997" customHeight="1" x14ac:dyDescent="0.25">
      <c r="A12997" s="11" t="s">
        <v>25366</v>
      </c>
      <c r="B12997" s="11" t="s">
        <v>25366</v>
      </c>
      <c r="C12997" s="11" t="s">
        <v>80</v>
      </c>
      <c r="D12997" s="11" t="s">
        <v>18</v>
      </c>
      <c r="E12997" s="12" t="s">
        <v>510</v>
      </c>
      <c r="F12997" s="12" t="s">
        <v>511</v>
      </c>
      <c r="G12997" s="12" t="s">
        <v>40</v>
      </c>
      <c r="H12997" s="11" t="s">
        <v>63</v>
      </c>
      <c r="I12997" s="13" t="s">
        <v>25367</v>
      </c>
      <c r="J12997" s="14" t="str">
        <f>HYPERLINK("https://www.boe.es/gazeta/dias/1839/05/13/pdfs/GMD-1839-1640.pdf#page=2","Abrir facsímil")</f>
        <v>Abrir facsímil</v>
      </c>
      <c r="K12997" s="12" t="s">
        <v>65</v>
      </c>
    </row>
    <row r="12998" spans="1:11" ht="40.049999999999997" customHeight="1" x14ac:dyDescent="0.25">
      <c r="A12998" s="11" t="s">
        <v>25368</v>
      </c>
      <c r="B12998" s="11" t="s">
        <v>25369</v>
      </c>
      <c r="C12998" s="11" t="s">
        <v>80</v>
      </c>
      <c r="D12998" s="11" t="s">
        <v>18</v>
      </c>
      <c r="E12998" s="12" t="s">
        <v>1611</v>
      </c>
      <c r="F12998" s="12" t="s">
        <v>1612</v>
      </c>
      <c r="G12998" s="12" t="s">
        <v>21</v>
      </c>
      <c r="H12998" s="11" t="s">
        <v>63</v>
      </c>
      <c r="I12998" s="13" t="s">
        <v>25370</v>
      </c>
      <c r="J12998" s="14" t="str">
        <f>HYPERLINK("https://www.boe.es/gazeta/dias/1839/05/03/pdfs/GMD-1839-1630.pdf#page=4","Abrir facsímil")</f>
        <v>Abrir facsímil</v>
      </c>
      <c r="K12998" s="12" t="s">
        <v>65</v>
      </c>
    </row>
    <row r="12999" spans="1:11" ht="40.049999999999997" customHeight="1" x14ac:dyDescent="0.25">
      <c r="A12999" s="11" t="s">
        <v>25371</v>
      </c>
      <c r="B12999" s="11" t="s">
        <v>25372</v>
      </c>
      <c r="C12999" s="11" t="s">
        <v>59</v>
      </c>
      <c r="D12999" s="11" t="s">
        <v>60</v>
      </c>
      <c r="E12999" s="12" t="s">
        <v>770</v>
      </c>
      <c r="F12999" s="12" t="s">
        <v>771</v>
      </c>
      <c r="G12999" s="12" t="s">
        <v>21</v>
      </c>
      <c r="H12999" s="11" t="s">
        <v>63</v>
      </c>
      <c r="I12999" s="13" t="s">
        <v>25373</v>
      </c>
      <c r="J12999" s="14" t="str">
        <f>HYPERLINK("https://www.boe.es/gazeta/dias/1839/12/05/pdfs/GMD-1839-1852.pdf#page=4","Abrir facsímil")</f>
        <v>Abrir facsímil</v>
      </c>
      <c r="K12999" s="12" t="s">
        <v>65</v>
      </c>
    </row>
    <row r="13000" spans="1:11" ht="40.049999999999997" customHeight="1" x14ac:dyDescent="0.25">
      <c r="A13000" s="11" t="s">
        <v>25374</v>
      </c>
      <c r="B13000" s="11" t="s">
        <v>25374</v>
      </c>
      <c r="C13000" s="11" t="s">
        <v>80</v>
      </c>
      <c r="D13000" s="11" t="s">
        <v>18</v>
      </c>
      <c r="E13000" s="12" t="s">
        <v>258</v>
      </c>
      <c r="F13000" s="12" t="s">
        <v>259</v>
      </c>
      <c r="G13000" s="12" t="s">
        <v>21</v>
      </c>
      <c r="H13000" s="11" t="s">
        <v>63</v>
      </c>
      <c r="I13000" s="13" t="s">
        <v>25375</v>
      </c>
      <c r="J13000" s="14" t="str">
        <f>HYPERLINK("https://www.boe.es/gazeta/dias/1839/01/02/pdfs/GMD-1839-1509.pdf#page=4","Abrir facsímil")</f>
        <v>Abrir facsímil</v>
      </c>
      <c r="K13000" s="12" t="s">
        <v>65</v>
      </c>
    </row>
    <row r="13001" spans="1:11" ht="40.049999999999997" customHeight="1" x14ac:dyDescent="0.25">
      <c r="A13001" s="11" t="s">
        <v>25376</v>
      </c>
      <c r="B13001" s="11" t="s">
        <v>25377</v>
      </c>
      <c r="C13001" s="11" t="s">
        <v>17</v>
      </c>
      <c r="D13001" s="11" t="s">
        <v>18</v>
      </c>
      <c r="E13001" s="12" t="s">
        <v>1562</v>
      </c>
      <c r="F13001" s="12" t="s">
        <v>1563</v>
      </c>
      <c r="G13001" s="12" t="s">
        <v>21</v>
      </c>
      <c r="H13001" s="11" t="s">
        <v>63</v>
      </c>
      <c r="I13001" s="13" t="s">
        <v>25378</v>
      </c>
      <c r="J13001" s="14" t="str">
        <f>HYPERLINK("https://www.boe.es/gazeta/dias/1839/04/08/pdfs/GMD-1839-1605.pdf#page=4","Abrir facsímil")</f>
        <v>Abrir facsímil</v>
      </c>
      <c r="K13001" s="12" t="s">
        <v>65</v>
      </c>
    </row>
    <row r="13002" spans="1:11" ht="40.049999999999997" customHeight="1" x14ac:dyDescent="0.25">
      <c r="A13002" s="11" t="s">
        <v>25376</v>
      </c>
      <c r="B13002" s="11" t="s">
        <v>25377</v>
      </c>
      <c r="C13002" s="11" t="s">
        <v>137</v>
      </c>
      <c r="D13002" s="11" t="s">
        <v>18</v>
      </c>
      <c r="E13002" s="12" t="s">
        <v>2881</v>
      </c>
      <c r="F13002" s="12" t="s">
        <v>2882</v>
      </c>
      <c r="G13002" s="12" t="s">
        <v>21</v>
      </c>
      <c r="H13002" s="11" t="s">
        <v>63</v>
      </c>
      <c r="I13002" s="13" t="s">
        <v>25379</v>
      </c>
      <c r="J13002" s="14" t="str">
        <f>HYPERLINK("https://www.boe.es/gazeta/dias/1839/05/08/pdfs/GMD-1839-1635.pdf#page=4","Abrir facsímil")</f>
        <v>Abrir facsímil</v>
      </c>
      <c r="K13002" s="12" t="s">
        <v>65</v>
      </c>
    </row>
    <row r="13003" spans="1:11" ht="40.049999999999997" customHeight="1" x14ac:dyDescent="0.25">
      <c r="A13003" s="11" t="s">
        <v>25376</v>
      </c>
      <c r="B13003" s="11" t="s">
        <v>25377</v>
      </c>
      <c r="C13003" s="11" t="s">
        <v>137</v>
      </c>
      <c r="D13003" s="11" t="s">
        <v>18</v>
      </c>
      <c r="E13003" s="12" t="s">
        <v>984</v>
      </c>
      <c r="F13003" s="12" t="s">
        <v>985</v>
      </c>
      <c r="G13003" s="12" t="s">
        <v>21</v>
      </c>
      <c r="H13003" s="11" t="s">
        <v>63</v>
      </c>
      <c r="I13003" s="13" t="s">
        <v>25380</v>
      </c>
      <c r="J13003" s="14" t="str">
        <f>HYPERLINK("https://www.boe.es/gazeta/dias/1839/04/10/pdfs/GMD-1839-1607.pdf#page=4","Abrir facsímil")</f>
        <v>Abrir facsímil</v>
      </c>
      <c r="K13003" s="12" t="s">
        <v>65</v>
      </c>
    </row>
    <row r="13004" spans="1:11" ht="40.049999999999997" customHeight="1" x14ac:dyDescent="0.25">
      <c r="A13004" s="11" t="s">
        <v>25376</v>
      </c>
      <c r="B13004" s="11" t="s">
        <v>25377</v>
      </c>
      <c r="C13004" s="11" t="s">
        <v>17</v>
      </c>
      <c r="D13004" s="11" t="s">
        <v>18</v>
      </c>
      <c r="E13004" s="12" t="s">
        <v>116</v>
      </c>
      <c r="F13004" s="12" t="s">
        <v>117</v>
      </c>
      <c r="G13004" s="12" t="s">
        <v>46</v>
      </c>
      <c r="H13004" s="11" t="s">
        <v>63</v>
      </c>
      <c r="I13004" s="13" t="s">
        <v>25381</v>
      </c>
      <c r="J13004" s="14" t="str">
        <f>HYPERLINK("https://www.boe.es/gazeta/dias/1839/10/10/pdfs/GMD-1839-1796.pdf#page=3","Abrir facsímil")</f>
        <v>Abrir facsímil</v>
      </c>
      <c r="K13004" s="12" t="s">
        <v>65</v>
      </c>
    </row>
    <row r="13005" spans="1:11" ht="40.049999999999997" customHeight="1" x14ac:dyDescent="0.25">
      <c r="A13005" s="11" t="s">
        <v>25376</v>
      </c>
      <c r="B13005" s="11" t="s">
        <v>25377</v>
      </c>
      <c r="C13005" s="11" t="s">
        <v>137</v>
      </c>
      <c r="D13005" s="11" t="s">
        <v>18</v>
      </c>
      <c r="E13005" s="12" t="s">
        <v>4108</v>
      </c>
      <c r="F13005" s="12" t="s">
        <v>4109</v>
      </c>
      <c r="G13005" s="12" t="s">
        <v>29</v>
      </c>
      <c r="H13005" s="11" t="s">
        <v>63</v>
      </c>
      <c r="I13005" s="13" t="s">
        <v>25382</v>
      </c>
      <c r="J13005" s="14" t="str">
        <f>HYPERLINK("https://www.boe.es/gazeta/dias/1839/03/23/pdfs/GMD-1839-1589.pdf#page=1","Abrir facsímil")</f>
        <v>Abrir facsímil</v>
      </c>
      <c r="K13005" s="12" t="s">
        <v>65</v>
      </c>
    </row>
    <row r="13006" spans="1:11" ht="40.049999999999997" customHeight="1" x14ac:dyDescent="0.25">
      <c r="A13006" s="11" t="s">
        <v>25376</v>
      </c>
      <c r="B13006" s="11" t="s">
        <v>25377</v>
      </c>
      <c r="C13006" s="11" t="s">
        <v>80</v>
      </c>
      <c r="D13006" s="11" t="s">
        <v>18</v>
      </c>
      <c r="E13006" s="12" t="s">
        <v>125</v>
      </c>
      <c r="F13006" s="12" t="s">
        <v>126</v>
      </c>
      <c r="G13006" s="12" t="s">
        <v>46</v>
      </c>
      <c r="H13006" s="11" t="s">
        <v>63</v>
      </c>
      <c r="I13006" s="13" t="s">
        <v>25383</v>
      </c>
      <c r="J13006" s="14" t="str">
        <f>HYPERLINK("https://www.boe.es/gazeta/dias/1839/05/23/pdfs/GMD-1839-1650.pdf#page=3","Abrir facsímil")</f>
        <v>Abrir facsímil</v>
      </c>
      <c r="K13006" s="12" t="s">
        <v>65</v>
      </c>
    </row>
    <row r="13007" spans="1:11" ht="40.049999999999997" customHeight="1" x14ac:dyDescent="0.25">
      <c r="A13007" s="11" t="s">
        <v>25376</v>
      </c>
      <c r="B13007" s="11" t="s">
        <v>25377</v>
      </c>
      <c r="C13007" s="11" t="s">
        <v>80</v>
      </c>
      <c r="D13007" s="11" t="s">
        <v>18</v>
      </c>
      <c r="E13007" s="12" t="s">
        <v>2463</v>
      </c>
      <c r="F13007" s="12" t="s">
        <v>2464</v>
      </c>
      <c r="G13007" s="12" t="s">
        <v>21</v>
      </c>
      <c r="H13007" s="11" t="s">
        <v>63</v>
      </c>
      <c r="I13007" s="13" t="s">
        <v>25384</v>
      </c>
      <c r="J13007" s="14" t="str">
        <f>HYPERLINK("https://www.boe.es/gazeta/dias/1839/04/26/pdfs/GMD-1839-1623.pdf#page=4","Abrir facsímil")</f>
        <v>Abrir facsímil</v>
      </c>
      <c r="K13007" s="12" t="s">
        <v>65</v>
      </c>
    </row>
    <row r="13008" spans="1:11" ht="40.049999999999997" customHeight="1" x14ac:dyDescent="0.25">
      <c r="A13008" s="11" t="s">
        <v>25385</v>
      </c>
      <c r="B13008" s="11" t="s">
        <v>25386</v>
      </c>
      <c r="C13008" s="11" t="s">
        <v>80</v>
      </c>
      <c r="D13008" s="11" t="s">
        <v>18</v>
      </c>
      <c r="E13008" s="12" t="s">
        <v>1794</v>
      </c>
      <c r="F13008" s="12" t="s">
        <v>1795</v>
      </c>
      <c r="G13008" s="12" t="s">
        <v>40</v>
      </c>
      <c r="H13008" s="11" t="s">
        <v>63</v>
      </c>
      <c r="I13008" s="13" t="s">
        <v>25387</v>
      </c>
      <c r="J13008" s="14" t="str">
        <f>HYPERLINK("https://www.boe.es/gazeta/dias/1839/02/22/pdfs/GMD-1839-1560.pdf#page=2","Abrir facsímil")</f>
        <v>Abrir facsímil</v>
      </c>
      <c r="K13008" s="12" t="s">
        <v>65</v>
      </c>
    </row>
    <row r="13009" spans="1:11" ht="40.049999999999997" customHeight="1" x14ac:dyDescent="0.25">
      <c r="A13009" s="11" t="s">
        <v>25388</v>
      </c>
      <c r="B13009" s="11" t="s">
        <v>25389</v>
      </c>
      <c r="C13009" s="11" t="s">
        <v>101</v>
      </c>
      <c r="D13009" s="11" t="s">
        <v>43</v>
      </c>
      <c r="E13009" s="12" t="s">
        <v>1779</v>
      </c>
      <c r="F13009" s="12" t="s">
        <v>1780</v>
      </c>
      <c r="G13009" s="12" t="s">
        <v>21</v>
      </c>
      <c r="H13009" s="11" t="s">
        <v>22</v>
      </c>
      <c r="I13009" s="13" t="s">
        <v>25390</v>
      </c>
      <c r="J13009" s="14" t="str">
        <f>HYPERLINK("https://www.boe.es/gazeta/dias/1839/03/18/pdfs/GMD-1839-1584.pdf#page=4","Abrir facsímil")</f>
        <v>Abrir facsímil</v>
      </c>
      <c r="K13009" s="12" t="s">
        <v>24</v>
      </c>
    </row>
    <row r="13010" spans="1:11" ht="40.049999999999997" customHeight="1" x14ac:dyDescent="0.25">
      <c r="A13010" s="11" t="s">
        <v>25391</v>
      </c>
      <c r="B13010" s="11" t="s">
        <v>25392</v>
      </c>
      <c r="C13010" s="11" t="s">
        <v>80</v>
      </c>
      <c r="D13010" s="11" t="s">
        <v>18</v>
      </c>
      <c r="E13010" s="12" t="s">
        <v>1685</v>
      </c>
      <c r="F13010" s="12" t="s">
        <v>1686</v>
      </c>
      <c r="G13010" s="12" t="s">
        <v>46</v>
      </c>
      <c r="H13010" s="11" t="s">
        <v>63</v>
      </c>
      <c r="I13010" s="13" t="s">
        <v>25393</v>
      </c>
      <c r="J13010" s="14" t="str">
        <f>HYPERLINK("https://www.boe.es/gazeta/dias/1839/04/27/pdfs/GMD-1839-1624.pdf#page=3","Abrir facsímil")</f>
        <v>Abrir facsímil</v>
      </c>
      <c r="K13010" s="12" t="s">
        <v>65</v>
      </c>
    </row>
    <row r="13011" spans="1:11" ht="40.049999999999997" customHeight="1" x14ac:dyDescent="0.25">
      <c r="A13011" s="11" t="s">
        <v>25394</v>
      </c>
      <c r="B13011" s="11" t="s">
        <v>25394</v>
      </c>
      <c r="C13011" s="11" t="s">
        <v>17</v>
      </c>
      <c r="D13011" s="11" t="s">
        <v>18</v>
      </c>
      <c r="E13011" s="12" t="s">
        <v>108</v>
      </c>
      <c r="F13011" s="12" t="s">
        <v>109</v>
      </c>
      <c r="G13011" s="12" t="s">
        <v>46</v>
      </c>
      <c r="H13011" s="11" t="s">
        <v>22</v>
      </c>
      <c r="I13011" s="13" t="s">
        <v>25395</v>
      </c>
      <c r="J13011" s="14" t="str">
        <f>HYPERLINK("https://www.boe.es/gazeta/dias/1839/01/04/pdfs/GMD-1839-1511.pdf#page=3","Abrir facsímil")</f>
        <v>Abrir facsímil</v>
      </c>
      <c r="K13011" s="12" t="s">
        <v>24</v>
      </c>
    </row>
    <row r="13012" spans="1:11" ht="40.049999999999997" customHeight="1" x14ac:dyDescent="0.25">
      <c r="A13012" s="11" t="s">
        <v>25396</v>
      </c>
      <c r="B13012" s="11" t="s">
        <v>25397</v>
      </c>
      <c r="C13012" s="11" t="s">
        <v>17</v>
      </c>
      <c r="D13012" s="11" t="s">
        <v>18</v>
      </c>
      <c r="E13012" s="12" t="s">
        <v>258</v>
      </c>
      <c r="F13012" s="12" t="s">
        <v>259</v>
      </c>
      <c r="G13012" s="12" t="s">
        <v>40</v>
      </c>
      <c r="H13012" s="11" t="s">
        <v>63</v>
      </c>
      <c r="I13012" s="13" t="s">
        <v>25398</v>
      </c>
      <c r="J13012" s="14" t="str">
        <f>HYPERLINK("https://www.boe.es/gazeta/dias/1839/01/02/pdfs/GMD-1839-1509.pdf#page=2","Abrir facsímil")</f>
        <v>Abrir facsímil</v>
      </c>
      <c r="K13012" s="12" t="s">
        <v>65</v>
      </c>
    </row>
    <row r="13013" spans="1:11" ht="40.049999999999997" customHeight="1" x14ac:dyDescent="0.25">
      <c r="A13013" s="11" t="s">
        <v>25399</v>
      </c>
      <c r="B13013" s="11" t="s">
        <v>25400</v>
      </c>
      <c r="C13013" s="11" t="s">
        <v>17</v>
      </c>
      <c r="D13013" s="11" t="s">
        <v>18</v>
      </c>
      <c r="E13013" s="12" t="s">
        <v>258</v>
      </c>
      <c r="F13013" s="12" t="s">
        <v>259</v>
      </c>
      <c r="G13013" s="12" t="s">
        <v>46</v>
      </c>
      <c r="H13013" s="11" t="s">
        <v>22</v>
      </c>
      <c r="I13013" s="13" t="s">
        <v>25401</v>
      </c>
      <c r="J13013" s="14" t="str">
        <f>HYPERLINK("https://www.boe.es/gazeta/dias/1839/01/02/pdfs/GMD-1839-1509.pdf#page=3","Abrir facsímil")</f>
        <v>Abrir facsímil</v>
      </c>
      <c r="K13013" s="12" t="s">
        <v>24</v>
      </c>
    </row>
    <row r="13014" spans="1:11" ht="40.049999999999997" customHeight="1" x14ac:dyDescent="0.25">
      <c r="A13014" s="11" t="s">
        <v>25402</v>
      </c>
      <c r="B13014" s="11" t="s">
        <v>25402</v>
      </c>
      <c r="C13014" s="11" t="s">
        <v>80</v>
      </c>
      <c r="D13014" s="11" t="s">
        <v>18</v>
      </c>
      <c r="E13014" s="12" t="s">
        <v>38</v>
      </c>
      <c r="F13014" s="12" t="s">
        <v>39</v>
      </c>
      <c r="G13014" s="12" t="s">
        <v>29</v>
      </c>
      <c r="H13014" s="11" t="s">
        <v>63</v>
      </c>
      <c r="I13014" s="13" t="s">
        <v>25403</v>
      </c>
      <c r="J13014" s="14" t="str">
        <f>HYPERLINK("https://www.boe.es/gazeta/dias/1839/08/08/pdfs/GMD-1839-1728.pdf#page=1","Abrir facsímil")</f>
        <v>Abrir facsímil</v>
      </c>
      <c r="K13014" s="12" t="s">
        <v>65</v>
      </c>
    </row>
    <row r="13015" spans="1:11" ht="40.049999999999997" customHeight="1" x14ac:dyDescent="0.25">
      <c r="A13015" s="11" t="s">
        <v>25404</v>
      </c>
      <c r="B13015" s="11" t="s">
        <v>25405</v>
      </c>
      <c r="C13015" s="11" t="s">
        <v>80</v>
      </c>
      <c r="D13015" s="11" t="s">
        <v>18</v>
      </c>
      <c r="E13015" s="12" t="s">
        <v>462</v>
      </c>
      <c r="F13015" s="12" t="s">
        <v>463</v>
      </c>
      <c r="G13015" s="12" t="s">
        <v>21</v>
      </c>
      <c r="H13015" s="11" t="s">
        <v>63</v>
      </c>
      <c r="I13015" s="13" t="s">
        <v>25406</v>
      </c>
      <c r="J13015" s="14" t="str">
        <f>HYPERLINK("https://www.boe.es/gazeta/dias/1839/06/19/pdfs/GMD-1839-1677.pdf#page=4","Abrir facsímil")</f>
        <v>Abrir facsímil</v>
      </c>
      <c r="K13015" s="12" t="s">
        <v>65</v>
      </c>
    </row>
    <row r="13016" spans="1:11" ht="40.049999999999997" customHeight="1" x14ac:dyDescent="0.25">
      <c r="A13016" s="11" t="s">
        <v>25407</v>
      </c>
      <c r="B13016" s="11" t="s">
        <v>25408</v>
      </c>
      <c r="C13016" s="11" t="s">
        <v>17</v>
      </c>
      <c r="D13016" s="11" t="s">
        <v>18</v>
      </c>
      <c r="E13016" s="12" t="s">
        <v>1144</v>
      </c>
      <c r="F13016" s="12" t="s">
        <v>1145</v>
      </c>
      <c r="G13016" s="12" t="s">
        <v>40</v>
      </c>
      <c r="H13016" s="11" t="s">
        <v>63</v>
      </c>
      <c r="I13016" s="13" t="s">
        <v>25409</v>
      </c>
      <c r="J13016" s="14" t="str">
        <f>HYPERLINK("https://www.boe.es/gazeta/dias/1839/08/13/pdfs/GMD-1839-1733.pdf#page=2","Abrir facsímil")</f>
        <v>Abrir facsímil</v>
      </c>
      <c r="K13016" s="12" t="s">
        <v>65</v>
      </c>
    </row>
    <row r="13017" spans="1:11" ht="40.049999999999997" customHeight="1" x14ac:dyDescent="0.25">
      <c r="A13017" s="11" t="s">
        <v>25410</v>
      </c>
      <c r="B13017" s="11" t="s">
        <v>25411</v>
      </c>
      <c r="C13017" s="11" t="s">
        <v>17</v>
      </c>
      <c r="D13017" s="11" t="s">
        <v>18</v>
      </c>
      <c r="E13017" s="12" t="s">
        <v>291</v>
      </c>
      <c r="F13017" s="12" t="s">
        <v>292</v>
      </c>
      <c r="G13017" s="12" t="s">
        <v>46</v>
      </c>
      <c r="H13017" s="11" t="s">
        <v>63</v>
      </c>
      <c r="I13017" s="13" t="s">
        <v>25412</v>
      </c>
      <c r="J13017" s="14" t="str">
        <f>HYPERLINK("https://www.boe.es/gazeta/dias/1839/09/04/pdfs/GMD-1839-1757.pdf#page=3","Abrir facsímil")</f>
        <v>Abrir facsímil</v>
      </c>
      <c r="K13017" s="12" t="s">
        <v>65</v>
      </c>
    </row>
    <row r="13018" spans="1:11" ht="40.049999999999997" customHeight="1" x14ac:dyDescent="0.25">
      <c r="A13018" s="11" t="s">
        <v>25413</v>
      </c>
      <c r="B13018" s="11" t="s">
        <v>25413</v>
      </c>
      <c r="C13018" s="11" t="s">
        <v>17</v>
      </c>
      <c r="D13018" s="11" t="s">
        <v>18</v>
      </c>
      <c r="E13018" s="12" t="s">
        <v>596</v>
      </c>
      <c r="F13018" s="12" t="s">
        <v>597</v>
      </c>
      <c r="G13018" s="12" t="s">
        <v>21</v>
      </c>
      <c r="H13018" s="11" t="s">
        <v>22</v>
      </c>
      <c r="I13018" s="13" t="s">
        <v>25414</v>
      </c>
      <c r="J13018" s="14" t="str">
        <f>HYPERLINK("https://www.boe.es/gazeta/dias/1839/01/23/pdfs/GMD-1839-1530.pdf#page=4","Abrir facsímil")</f>
        <v>Abrir facsímil</v>
      </c>
      <c r="K13018" s="12" t="s">
        <v>24</v>
      </c>
    </row>
    <row r="13019" spans="1:11" ht="40.049999999999997" customHeight="1" x14ac:dyDescent="0.25">
      <c r="A13019" s="11" t="s">
        <v>25415</v>
      </c>
      <c r="B13019" s="11" t="s">
        <v>25415</v>
      </c>
      <c r="C13019" s="11" t="s">
        <v>17</v>
      </c>
      <c r="D13019" s="11" t="s">
        <v>18</v>
      </c>
      <c r="E13019" s="12" t="s">
        <v>1685</v>
      </c>
      <c r="F13019" s="12" t="s">
        <v>1686</v>
      </c>
      <c r="G13019" s="12" t="s">
        <v>40</v>
      </c>
      <c r="H13019" s="11" t="s">
        <v>63</v>
      </c>
      <c r="I13019" s="13" t="s">
        <v>25416</v>
      </c>
      <c r="J13019" s="14" t="str">
        <f>HYPERLINK("https://www.boe.es/gazeta/dias/1839/04/27/pdfs/GMD-1839-1624.pdf#page=2","Abrir facsímil")</f>
        <v>Abrir facsímil</v>
      </c>
      <c r="K13019" s="12" t="s">
        <v>65</v>
      </c>
    </row>
    <row r="13020" spans="1:11" ht="40.049999999999997" customHeight="1" x14ac:dyDescent="0.25">
      <c r="A13020" s="11" t="s">
        <v>25415</v>
      </c>
      <c r="B13020" s="11" t="s">
        <v>25415</v>
      </c>
      <c r="C13020" s="11" t="s">
        <v>101</v>
      </c>
      <c r="D13020" s="11" t="s">
        <v>43</v>
      </c>
      <c r="E13020" s="12" t="s">
        <v>2522</v>
      </c>
      <c r="F13020" s="12" t="s">
        <v>2523</v>
      </c>
      <c r="G13020" s="12" t="s">
        <v>40</v>
      </c>
      <c r="H13020" s="11" t="s">
        <v>63</v>
      </c>
      <c r="I13020" s="13" t="s">
        <v>25417</v>
      </c>
      <c r="J13020" s="14" t="str">
        <f>HYPERLINK("https://www.boe.es/gazeta/dias/1839/12/29/pdfs/GMD-1839-1876.pdf#page=2","Abrir facsímil")</f>
        <v>Abrir facsímil</v>
      </c>
      <c r="K13020" s="12" t="s">
        <v>65</v>
      </c>
    </row>
    <row r="13021" spans="1:11" ht="40.049999999999997" customHeight="1" x14ac:dyDescent="0.25">
      <c r="A13021" s="11" t="s">
        <v>25418</v>
      </c>
      <c r="B13021" s="11" t="s">
        <v>25419</v>
      </c>
      <c r="C13021" s="11" t="s">
        <v>17</v>
      </c>
      <c r="D13021" s="11" t="s">
        <v>18</v>
      </c>
      <c r="E13021" s="12" t="s">
        <v>704</v>
      </c>
      <c r="F13021" s="12" t="s">
        <v>705</v>
      </c>
      <c r="G13021" s="12" t="s">
        <v>46</v>
      </c>
      <c r="H13021" s="11" t="s">
        <v>63</v>
      </c>
      <c r="I13021" s="13" t="s">
        <v>25420</v>
      </c>
      <c r="J13021" s="14" t="str">
        <f>HYPERLINK("https://www.boe.es/gazeta/dias/1839/03/02/pdfs/GMD-1839-1568.pdf#page=3","Abrir facsímil")</f>
        <v>Abrir facsímil</v>
      </c>
      <c r="K13021" s="12" t="s">
        <v>65</v>
      </c>
    </row>
    <row r="13022" spans="1:11" ht="40.049999999999997" customHeight="1" x14ac:dyDescent="0.25">
      <c r="A13022" s="11" t="s">
        <v>25421</v>
      </c>
      <c r="B13022" s="11" t="s">
        <v>25422</v>
      </c>
      <c r="C13022" s="11" t="s">
        <v>17</v>
      </c>
      <c r="D13022" s="11" t="s">
        <v>18</v>
      </c>
      <c r="E13022" s="12" t="s">
        <v>222</v>
      </c>
      <c r="F13022" s="12" t="s">
        <v>223</v>
      </c>
      <c r="G13022" s="12" t="s">
        <v>21</v>
      </c>
      <c r="H13022" s="11" t="s">
        <v>63</v>
      </c>
      <c r="I13022" s="13" t="s">
        <v>25423</v>
      </c>
      <c r="J13022" s="14" t="str">
        <f>HYPERLINK("https://www.boe.es/gazeta/dias/1839/06/22/pdfs/GMD-1839-1680.pdf#page=4","Abrir facsímil")</f>
        <v>Abrir facsímil</v>
      </c>
      <c r="K13022" s="12" t="s">
        <v>65</v>
      </c>
    </row>
    <row r="13023" spans="1:11" ht="40.049999999999997" customHeight="1" x14ac:dyDescent="0.25">
      <c r="A13023" s="11" t="s">
        <v>25424</v>
      </c>
      <c r="B13023" s="11" t="s">
        <v>25424</v>
      </c>
      <c r="C13023" s="11" t="s">
        <v>137</v>
      </c>
      <c r="D13023" s="11" t="s">
        <v>18</v>
      </c>
      <c r="E13023" s="12" t="s">
        <v>883</v>
      </c>
      <c r="F13023" s="12" t="s">
        <v>884</v>
      </c>
      <c r="G13023" s="12" t="s">
        <v>46</v>
      </c>
      <c r="H13023" s="11" t="s">
        <v>63</v>
      </c>
      <c r="I13023" s="13" t="s">
        <v>25425</v>
      </c>
      <c r="J13023" s="14" t="str">
        <f>HYPERLINK("https://www.boe.es/gazeta/dias/1839/11/03/pdfs/GMD-1839-1820.pdf#page=3","Abrir facsímil")</f>
        <v>Abrir facsímil</v>
      </c>
      <c r="K13023" s="12" t="s">
        <v>65</v>
      </c>
    </row>
    <row r="13024" spans="1:11" ht="40.049999999999997" customHeight="1" x14ac:dyDescent="0.25">
      <c r="A13024" s="11" t="s">
        <v>25424</v>
      </c>
      <c r="B13024" s="11" t="s">
        <v>25424</v>
      </c>
      <c r="C13024" s="11" t="s">
        <v>137</v>
      </c>
      <c r="D13024" s="11" t="s">
        <v>18</v>
      </c>
      <c r="E13024" s="12" t="s">
        <v>3705</v>
      </c>
      <c r="F13024" s="12" t="s">
        <v>3706</v>
      </c>
      <c r="G13024" s="12" t="s">
        <v>29</v>
      </c>
      <c r="H13024" s="11" t="s">
        <v>63</v>
      </c>
      <c r="I13024" s="13" t="s">
        <v>25426</v>
      </c>
      <c r="J13024" s="14" t="str">
        <f>HYPERLINK("https://www.boe.es/gazeta/dias/1839/03/09/pdfs/GMD-1839-1575.pdf#page=1","Abrir facsímil")</f>
        <v>Abrir facsímil</v>
      </c>
      <c r="K13024" s="12" t="s">
        <v>65</v>
      </c>
    </row>
    <row r="13025" spans="1:11" ht="40.049999999999997" customHeight="1" x14ac:dyDescent="0.25">
      <c r="A13025" s="11" t="s">
        <v>25427</v>
      </c>
      <c r="B13025" s="11" t="s">
        <v>25428</v>
      </c>
      <c r="C13025" s="11" t="s">
        <v>137</v>
      </c>
      <c r="D13025" s="11" t="s">
        <v>18</v>
      </c>
      <c r="E13025" s="12" t="s">
        <v>3705</v>
      </c>
      <c r="F13025" s="12" t="s">
        <v>3706</v>
      </c>
      <c r="G13025" s="12" t="s">
        <v>29</v>
      </c>
      <c r="H13025" s="11" t="s">
        <v>22</v>
      </c>
      <c r="I13025" s="13" t="s">
        <v>25429</v>
      </c>
      <c r="J13025" s="14" t="str">
        <f>HYPERLINK("https://www.boe.es/gazeta/dias/1839/03/09/pdfs/GMD-1839-1575.pdf#page=1","Abrir facsímil")</f>
        <v>Abrir facsímil</v>
      </c>
      <c r="K13025" s="12" t="s">
        <v>24</v>
      </c>
    </row>
    <row r="13026" spans="1:11" ht="40.049999999999997" customHeight="1" x14ac:dyDescent="0.25">
      <c r="A13026" s="11" t="s">
        <v>25430</v>
      </c>
      <c r="B13026" s="11" t="s">
        <v>25430</v>
      </c>
      <c r="C13026" s="11" t="s">
        <v>17</v>
      </c>
      <c r="D13026" s="11" t="s">
        <v>18</v>
      </c>
      <c r="E13026" s="12" t="s">
        <v>2222</v>
      </c>
      <c r="F13026" s="12" t="s">
        <v>2223</v>
      </c>
      <c r="G13026" s="12" t="s">
        <v>40</v>
      </c>
      <c r="H13026" s="11" t="s">
        <v>63</v>
      </c>
      <c r="I13026" s="13" t="s">
        <v>25431</v>
      </c>
      <c r="J13026" s="14" t="str">
        <f>HYPERLINK("https://www.boe.es/gazeta/dias/1839/09/19/pdfs/GMD-1839-1773.pdf#page=2","Abrir facsímil")</f>
        <v>Abrir facsímil</v>
      </c>
      <c r="K13026" s="12" t="s">
        <v>65</v>
      </c>
    </row>
    <row r="13027" spans="1:11" ht="40.049999999999997" customHeight="1" x14ac:dyDescent="0.25">
      <c r="A13027" s="11" t="s">
        <v>25430</v>
      </c>
      <c r="B13027" s="11" t="s">
        <v>25430</v>
      </c>
      <c r="C13027" s="11" t="s">
        <v>17</v>
      </c>
      <c r="D13027" s="11" t="s">
        <v>18</v>
      </c>
      <c r="E13027" s="12" t="s">
        <v>1108</v>
      </c>
      <c r="F13027" s="12" t="s">
        <v>1109</v>
      </c>
      <c r="G13027" s="12" t="s">
        <v>40</v>
      </c>
      <c r="H13027" s="11" t="s">
        <v>63</v>
      </c>
      <c r="I13027" s="13" t="s">
        <v>25432</v>
      </c>
      <c r="J13027" s="14" t="str">
        <f>HYPERLINK("https://www.boe.es/gazeta/dias/1839/09/21/pdfs/GMD-1839-1776.pdf#page=2","Abrir facsímil")</f>
        <v>Abrir facsímil</v>
      </c>
      <c r="K13027" s="12" t="s">
        <v>65</v>
      </c>
    </row>
    <row r="13028" spans="1:11" ht="40.049999999999997" customHeight="1" x14ac:dyDescent="0.25">
      <c r="A13028" s="11" t="s">
        <v>25433</v>
      </c>
      <c r="B13028" s="11" t="s">
        <v>25434</v>
      </c>
      <c r="C13028" s="11" t="s">
        <v>17</v>
      </c>
      <c r="D13028" s="11" t="s">
        <v>18</v>
      </c>
      <c r="E13028" s="12" t="s">
        <v>1108</v>
      </c>
      <c r="F13028" s="12" t="s">
        <v>1109</v>
      </c>
      <c r="G13028" s="12" t="s">
        <v>40</v>
      </c>
      <c r="H13028" s="11" t="s">
        <v>63</v>
      </c>
      <c r="I13028" s="13" t="s">
        <v>25435</v>
      </c>
      <c r="J13028" s="14" t="str">
        <f>HYPERLINK("https://www.boe.es/gazeta/dias/1839/09/21/pdfs/GMD-1839-1776.pdf#page=2","Abrir facsímil")</f>
        <v>Abrir facsímil</v>
      </c>
      <c r="K13028" s="12" t="s">
        <v>65</v>
      </c>
    </row>
    <row r="13029" spans="1:11" ht="40.049999999999997" customHeight="1" x14ac:dyDescent="0.25">
      <c r="A13029" s="11" t="s">
        <v>25436</v>
      </c>
      <c r="B13029" s="11" t="s">
        <v>25437</v>
      </c>
      <c r="C13029" s="11" t="s">
        <v>17</v>
      </c>
      <c r="D13029" s="11" t="s">
        <v>18</v>
      </c>
      <c r="E13029" s="12" t="s">
        <v>1108</v>
      </c>
      <c r="F13029" s="12" t="s">
        <v>1109</v>
      </c>
      <c r="G13029" s="12" t="s">
        <v>40</v>
      </c>
      <c r="H13029" s="11" t="s">
        <v>63</v>
      </c>
      <c r="I13029" s="13" t="s">
        <v>25438</v>
      </c>
      <c r="J13029" s="14" t="str">
        <f>HYPERLINK("https://www.boe.es/gazeta/dias/1839/09/21/pdfs/GMD-1839-1776.pdf#page=2","Abrir facsímil")</f>
        <v>Abrir facsímil</v>
      </c>
      <c r="K13029" s="12" t="s">
        <v>65</v>
      </c>
    </row>
    <row r="13030" spans="1:11" ht="40.049999999999997" customHeight="1" x14ac:dyDescent="0.25">
      <c r="A13030" s="11" t="s">
        <v>25439</v>
      </c>
      <c r="B13030" s="11" t="s">
        <v>25439</v>
      </c>
      <c r="C13030" s="11" t="s">
        <v>17</v>
      </c>
      <c r="D13030" s="11" t="s">
        <v>18</v>
      </c>
      <c r="E13030" s="12" t="s">
        <v>7860</v>
      </c>
      <c r="F13030" s="12" t="s">
        <v>7861</v>
      </c>
      <c r="G13030" s="12" t="s">
        <v>29</v>
      </c>
      <c r="H13030" s="11" t="s">
        <v>63</v>
      </c>
      <c r="I13030" s="13" t="s">
        <v>25440</v>
      </c>
      <c r="J13030" s="14" t="str">
        <f>HYPERLINK("https://www.boe.es/gazeta/dias/1839/03/04/pdfs/GMD-1839-1570.pdf#page=1","Abrir facsímil")</f>
        <v>Abrir facsímil</v>
      </c>
      <c r="K13030" s="12" t="s">
        <v>65</v>
      </c>
    </row>
    <row r="13031" spans="1:11" ht="40.049999999999997" customHeight="1" x14ac:dyDescent="0.25">
      <c r="A13031" s="11" t="s">
        <v>25441</v>
      </c>
      <c r="B13031" s="11" t="s">
        <v>25441</v>
      </c>
      <c r="C13031" s="11" t="s">
        <v>101</v>
      </c>
      <c r="D13031" s="11" t="s">
        <v>43</v>
      </c>
      <c r="E13031" s="12" t="s">
        <v>1284</v>
      </c>
      <c r="F13031" s="12" t="s">
        <v>1285</v>
      </c>
      <c r="G13031" s="12" t="s">
        <v>40</v>
      </c>
      <c r="H13031" s="11" t="s">
        <v>63</v>
      </c>
      <c r="I13031" s="13" t="s">
        <v>25442</v>
      </c>
      <c r="J13031" s="14" t="str">
        <f>HYPERLINK("https://www.boe.es/gazeta/dias/1839/03/27/pdfs/GMD-1839-1593.pdf#page=2","Abrir facsímil")</f>
        <v>Abrir facsímil</v>
      </c>
      <c r="K13031" s="12" t="s">
        <v>65</v>
      </c>
    </row>
    <row r="13032" spans="1:11" ht="40.049999999999997" customHeight="1" x14ac:dyDescent="0.25">
      <c r="A13032" s="11" t="s">
        <v>25443</v>
      </c>
      <c r="B13032" s="11" t="s">
        <v>25443</v>
      </c>
      <c r="C13032" s="11" t="s">
        <v>80</v>
      </c>
      <c r="D13032" s="11" t="s">
        <v>18</v>
      </c>
      <c r="E13032" s="12" t="s">
        <v>453</v>
      </c>
      <c r="F13032" s="12" t="s">
        <v>454</v>
      </c>
      <c r="G13032" s="12" t="s">
        <v>29</v>
      </c>
      <c r="H13032" s="11" t="s">
        <v>22</v>
      </c>
      <c r="I13032" s="13" t="s">
        <v>25444</v>
      </c>
      <c r="J13032" s="14" t="str">
        <f>HYPERLINK("https://www.boe.es/gazeta/dias/1839/02/07/pdfs/GMD-1839-1545.pdf#page=1","Abrir facsímil")</f>
        <v>Abrir facsímil</v>
      </c>
      <c r="K13032" s="12" t="s">
        <v>24</v>
      </c>
    </row>
    <row r="13033" spans="1:11" ht="40.049999999999997" customHeight="1" x14ac:dyDescent="0.25">
      <c r="A13033" s="11" t="s">
        <v>25445</v>
      </c>
      <c r="B13033" s="11" t="s">
        <v>25446</v>
      </c>
      <c r="C13033" s="11" t="s">
        <v>137</v>
      </c>
      <c r="D13033" s="11" t="s">
        <v>18</v>
      </c>
      <c r="E13033" s="12" t="s">
        <v>1749</v>
      </c>
      <c r="F13033" s="12" t="s">
        <v>1750</v>
      </c>
      <c r="G13033" s="12" t="s">
        <v>46</v>
      </c>
      <c r="H13033" s="11" t="s">
        <v>63</v>
      </c>
      <c r="I13033" s="13" t="s">
        <v>25447</v>
      </c>
      <c r="J13033" s="14" t="str">
        <f>HYPERLINK("https://www.boe.es/gazeta/dias/1839/06/28/pdfs/GMD-1839-1686.pdf#page=3","Abrir facsímil")</f>
        <v>Abrir facsímil</v>
      </c>
      <c r="K13033" s="12" t="s">
        <v>65</v>
      </c>
    </row>
    <row r="13034" spans="1:11" ht="40.049999999999997" customHeight="1" x14ac:dyDescent="0.25">
      <c r="A13034" s="11" t="s">
        <v>25448</v>
      </c>
      <c r="B13034" s="11" t="s">
        <v>25449</v>
      </c>
      <c r="C13034" s="11" t="s">
        <v>17</v>
      </c>
      <c r="D13034" s="11" t="s">
        <v>18</v>
      </c>
      <c r="E13034" s="12" t="s">
        <v>197</v>
      </c>
      <c r="F13034" s="12" t="s">
        <v>198</v>
      </c>
      <c r="G13034" s="12" t="s">
        <v>46</v>
      </c>
      <c r="H13034" s="11" t="s">
        <v>63</v>
      </c>
      <c r="I13034" s="13" t="s">
        <v>25450</v>
      </c>
      <c r="J13034" s="14" t="str">
        <f>HYPERLINK("https://www.boe.es/gazeta/dias/1839/10/04/pdfs/GMD-1839-1790.pdf#page=3","Abrir facsímil")</f>
        <v>Abrir facsímil</v>
      </c>
      <c r="K13034" s="12" t="s">
        <v>65</v>
      </c>
    </row>
    <row r="13035" spans="1:11" ht="40.049999999999997" customHeight="1" x14ac:dyDescent="0.25">
      <c r="A13035" s="11" t="s">
        <v>25451</v>
      </c>
      <c r="B13035" s="11" t="s">
        <v>25452</v>
      </c>
      <c r="C13035" s="11" t="s">
        <v>80</v>
      </c>
      <c r="D13035" s="11" t="s">
        <v>18</v>
      </c>
      <c r="E13035" s="12" t="s">
        <v>632</v>
      </c>
      <c r="F13035" s="12" t="s">
        <v>633</v>
      </c>
      <c r="G13035" s="12" t="s">
        <v>29</v>
      </c>
      <c r="H13035" s="11" t="s">
        <v>63</v>
      </c>
      <c r="I13035" s="13" t="s">
        <v>25453</v>
      </c>
      <c r="J13035" s="14" t="str">
        <f>HYPERLINK("https://www.boe.es/gazeta/dias/1839/04/06/pdfs/GMD-1839-1603.pdf#page=1","Abrir facsímil")</f>
        <v>Abrir facsímil</v>
      </c>
      <c r="K13035" s="12" t="s">
        <v>65</v>
      </c>
    </row>
    <row r="13036" spans="1:11" ht="40.049999999999997" customHeight="1" x14ac:dyDescent="0.25">
      <c r="A13036" s="11" t="s">
        <v>25454</v>
      </c>
      <c r="B13036" s="11" t="s">
        <v>25455</v>
      </c>
      <c r="C13036" s="11" t="s">
        <v>17</v>
      </c>
      <c r="D13036" s="11" t="s">
        <v>18</v>
      </c>
      <c r="E13036" s="12" t="s">
        <v>202</v>
      </c>
      <c r="F13036" s="12" t="s">
        <v>203</v>
      </c>
      <c r="G13036" s="12" t="s">
        <v>40</v>
      </c>
      <c r="H13036" s="11" t="s">
        <v>63</v>
      </c>
      <c r="I13036" s="13" t="s">
        <v>25456</v>
      </c>
      <c r="J13036" s="14" t="str">
        <f>HYPERLINK("https://www.boe.es/gazeta/dias/1839/04/05/pdfs/GMD-1839-1602.pdf#page=2","Abrir facsímil")</f>
        <v>Abrir facsímil</v>
      </c>
      <c r="K13036" s="12" t="s">
        <v>65</v>
      </c>
    </row>
    <row r="13037" spans="1:11" ht="40.049999999999997" customHeight="1" x14ac:dyDescent="0.25">
      <c r="A13037" s="11" t="s">
        <v>25457</v>
      </c>
      <c r="B13037" s="11" t="s">
        <v>25458</v>
      </c>
      <c r="C13037" s="11" t="s">
        <v>59</v>
      </c>
      <c r="D13037" s="11" t="s">
        <v>60</v>
      </c>
      <c r="E13037" s="12" t="s">
        <v>291</v>
      </c>
      <c r="F13037" s="12" t="s">
        <v>292</v>
      </c>
      <c r="G13037" s="12" t="s">
        <v>29</v>
      </c>
      <c r="H13037" s="11" t="s">
        <v>63</v>
      </c>
      <c r="I13037" s="13" t="s">
        <v>25459</v>
      </c>
      <c r="J13037" s="14" t="str">
        <f>HYPERLINK("https://www.boe.es/gazeta/dias/1839/09/04/pdfs/GMD-1839-1757.pdf#page=1","Abrir facsímil")</f>
        <v>Abrir facsímil</v>
      </c>
      <c r="K13037" s="12" t="s">
        <v>65</v>
      </c>
    </row>
    <row r="13038" spans="1:11" ht="40.049999999999997" customHeight="1" x14ac:dyDescent="0.25">
      <c r="A13038" s="11" t="s">
        <v>25457</v>
      </c>
      <c r="B13038" s="11" t="s">
        <v>25458</v>
      </c>
      <c r="C13038" s="11" t="s">
        <v>17</v>
      </c>
      <c r="D13038" s="11" t="s">
        <v>18</v>
      </c>
      <c r="E13038" s="12" t="s">
        <v>1679</v>
      </c>
      <c r="F13038" s="12" t="s">
        <v>1680</v>
      </c>
      <c r="G13038" s="12" t="s">
        <v>29</v>
      </c>
      <c r="H13038" s="11" t="s">
        <v>63</v>
      </c>
      <c r="I13038" s="13" t="s">
        <v>25460</v>
      </c>
      <c r="J13038" s="14" t="str">
        <f>HYPERLINK("https://www.boe.es/gazeta/dias/1839/01/26/pdfs/GMD-1839-1533.pdf#page=1","Abrir facsímil")</f>
        <v>Abrir facsímil</v>
      </c>
      <c r="K13038" s="12" t="s">
        <v>65</v>
      </c>
    </row>
    <row r="13039" spans="1:11" ht="40.049999999999997" customHeight="1" x14ac:dyDescent="0.25">
      <c r="A13039" s="11" t="s">
        <v>25461</v>
      </c>
      <c r="B13039" s="11" t="s">
        <v>25461</v>
      </c>
      <c r="C13039" s="11" t="s">
        <v>80</v>
      </c>
      <c r="D13039" s="11" t="s">
        <v>18</v>
      </c>
      <c r="E13039" s="12" t="s">
        <v>1057</v>
      </c>
      <c r="F13039" s="12" t="s">
        <v>1058</v>
      </c>
      <c r="G13039" s="12" t="s">
        <v>305</v>
      </c>
      <c r="H13039" s="11" t="s">
        <v>22</v>
      </c>
      <c r="I13039" s="13" t="s">
        <v>25462</v>
      </c>
      <c r="J13039" s="14" t="str">
        <f>HYPERLINK("https://www.boe.es/gazeta/dias/1839/10/01/pdfs/GMD-1839-1787.pdf#page=6","Abrir facsímil")</f>
        <v>Abrir facsímil</v>
      </c>
      <c r="K13039" s="12" t="s">
        <v>24</v>
      </c>
    </row>
    <row r="13040" spans="1:11" ht="40.049999999999997" customHeight="1" x14ac:dyDescent="0.25">
      <c r="A13040" s="11" t="s">
        <v>25461</v>
      </c>
      <c r="B13040" s="11" t="s">
        <v>25461</v>
      </c>
      <c r="C13040" s="11" t="s">
        <v>17</v>
      </c>
      <c r="D13040" s="11" t="s">
        <v>18</v>
      </c>
      <c r="E13040" s="12" t="s">
        <v>606</v>
      </c>
      <c r="F13040" s="12" t="s">
        <v>607</v>
      </c>
      <c r="G13040" s="12" t="s">
        <v>21</v>
      </c>
      <c r="H13040" s="11" t="s">
        <v>22</v>
      </c>
      <c r="I13040" s="13" t="s">
        <v>25463</v>
      </c>
      <c r="J13040" s="14" t="str">
        <f>HYPERLINK("https://www.boe.es/gazeta/dias/1839/04/02/pdfs/GMD-1839-1599.pdf#page=4","Abrir facsímil")</f>
        <v>Abrir facsímil</v>
      </c>
      <c r="K13040" s="12" t="s">
        <v>24</v>
      </c>
    </row>
    <row r="13041" spans="1:11" ht="40.049999999999997" customHeight="1" x14ac:dyDescent="0.25">
      <c r="A13041" s="11" t="s">
        <v>25461</v>
      </c>
      <c r="B13041" s="11" t="s">
        <v>25461</v>
      </c>
      <c r="C13041" s="11" t="s">
        <v>17</v>
      </c>
      <c r="D13041" s="11" t="s">
        <v>18</v>
      </c>
      <c r="E13041" s="12" t="s">
        <v>587</v>
      </c>
      <c r="F13041" s="12" t="s">
        <v>588</v>
      </c>
      <c r="G13041" s="12" t="s">
        <v>40</v>
      </c>
      <c r="H13041" s="11" t="s">
        <v>22</v>
      </c>
      <c r="I13041" s="13" t="s">
        <v>25464</v>
      </c>
      <c r="J13041" s="14" t="str">
        <f>HYPERLINK("https://www.boe.es/gazeta/dias/1839/05/02/pdfs/GMD-1839-1629.pdf#page=2","Abrir facsímil")</f>
        <v>Abrir facsímil</v>
      </c>
      <c r="K13041" s="12" t="s">
        <v>24</v>
      </c>
    </row>
    <row r="13042" spans="1:11" ht="40.049999999999997" customHeight="1" x14ac:dyDescent="0.25">
      <c r="A13042" s="11" t="s">
        <v>25461</v>
      </c>
      <c r="B13042" s="11" t="s">
        <v>25461</v>
      </c>
      <c r="C13042" s="11" t="s">
        <v>80</v>
      </c>
      <c r="D13042" s="11" t="s">
        <v>18</v>
      </c>
      <c r="E13042" s="12" t="s">
        <v>381</v>
      </c>
      <c r="F13042" s="12" t="s">
        <v>382</v>
      </c>
      <c r="G13042" s="12" t="s">
        <v>21</v>
      </c>
      <c r="H13042" s="11" t="s">
        <v>22</v>
      </c>
      <c r="I13042" s="13" t="s">
        <v>25465</v>
      </c>
      <c r="J13042" s="14" t="str">
        <f>HYPERLINK("https://www.boe.es/gazeta/dias/1839/06/02/pdfs/GMD-1839-1660.pdf#page=4","Abrir facsímil")</f>
        <v>Abrir facsímil</v>
      </c>
      <c r="K13042" s="12" t="s">
        <v>24</v>
      </c>
    </row>
    <row r="13043" spans="1:11" ht="40.049999999999997" customHeight="1" x14ac:dyDescent="0.25">
      <c r="A13043" s="11" t="s">
        <v>25461</v>
      </c>
      <c r="B13043" s="11" t="s">
        <v>25461</v>
      </c>
      <c r="C13043" s="11" t="s">
        <v>80</v>
      </c>
      <c r="D13043" s="11" t="s">
        <v>18</v>
      </c>
      <c r="E13043" s="12" t="s">
        <v>2138</v>
      </c>
      <c r="F13043" s="12" t="s">
        <v>2139</v>
      </c>
      <c r="G13043" s="12" t="s">
        <v>305</v>
      </c>
      <c r="H13043" s="11" t="s">
        <v>22</v>
      </c>
      <c r="I13043" s="13" t="s">
        <v>25466</v>
      </c>
      <c r="J13043" s="14" t="str">
        <f>HYPERLINK("https://www.boe.es/gazeta/dias/1839/10/02/pdfs/GMD-1839-1788.pdf#page=6","Abrir facsímil")</f>
        <v>Abrir facsímil</v>
      </c>
      <c r="K13043" s="12" t="s">
        <v>24</v>
      </c>
    </row>
    <row r="13044" spans="1:11" ht="40.049999999999997" customHeight="1" x14ac:dyDescent="0.25">
      <c r="A13044" s="11" t="s">
        <v>25461</v>
      </c>
      <c r="B13044" s="11" t="s">
        <v>25461</v>
      </c>
      <c r="C13044" s="11" t="s">
        <v>17</v>
      </c>
      <c r="D13044" s="11" t="s">
        <v>18</v>
      </c>
      <c r="E13044" s="12" t="s">
        <v>4451</v>
      </c>
      <c r="F13044" s="12" t="s">
        <v>4452</v>
      </c>
      <c r="G13044" s="12" t="s">
        <v>21</v>
      </c>
      <c r="H13044" s="11" t="s">
        <v>22</v>
      </c>
      <c r="I13044" s="13" t="s">
        <v>25467</v>
      </c>
      <c r="J13044" s="14" t="str">
        <f>HYPERLINK("https://www.boe.es/gazeta/dias/1839/12/02/pdfs/GMD-1839-1849.pdf#page=4","Abrir facsímil")</f>
        <v>Abrir facsímil</v>
      </c>
      <c r="K13044" s="12" t="s">
        <v>24</v>
      </c>
    </row>
    <row r="13045" spans="1:11" ht="40.049999999999997" customHeight="1" x14ac:dyDescent="0.25">
      <c r="A13045" s="11" t="s">
        <v>25461</v>
      </c>
      <c r="B13045" s="11" t="s">
        <v>25461</v>
      </c>
      <c r="C13045" s="11" t="s">
        <v>101</v>
      </c>
      <c r="D13045" s="11" t="s">
        <v>43</v>
      </c>
      <c r="E13045" s="12" t="s">
        <v>779</v>
      </c>
      <c r="F13045" s="12" t="s">
        <v>780</v>
      </c>
      <c r="G13045" s="12" t="s">
        <v>46</v>
      </c>
      <c r="H13045" s="11" t="s">
        <v>22</v>
      </c>
      <c r="I13045" s="13" t="s">
        <v>25468</v>
      </c>
      <c r="J13045" s="14" t="str">
        <f>HYPERLINK("https://www.boe.es/gazeta/dias/1839/02/03/pdfs/GMD-1839-1541.pdf#page=3","Abrir facsímil")</f>
        <v>Abrir facsímil</v>
      </c>
      <c r="K13045" s="12" t="s">
        <v>24</v>
      </c>
    </row>
    <row r="13046" spans="1:11" ht="40.049999999999997" customHeight="1" x14ac:dyDescent="0.25">
      <c r="A13046" s="11" t="s">
        <v>25461</v>
      </c>
      <c r="B13046" s="11" t="s">
        <v>25461</v>
      </c>
      <c r="C13046" s="11" t="s">
        <v>17</v>
      </c>
      <c r="D13046" s="11" t="s">
        <v>18</v>
      </c>
      <c r="E13046" s="12" t="s">
        <v>779</v>
      </c>
      <c r="F13046" s="12" t="s">
        <v>780</v>
      </c>
      <c r="G13046" s="12" t="s">
        <v>21</v>
      </c>
      <c r="H13046" s="11" t="s">
        <v>22</v>
      </c>
      <c r="I13046" s="13" t="s">
        <v>25469</v>
      </c>
      <c r="J13046" s="14" t="str">
        <f>HYPERLINK("https://www.boe.es/gazeta/dias/1839/02/03/pdfs/GMD-1839-1541.pdf#page=4","Abrir facsímil")</f>
        <v>Abrir facsímil</v>
      </c>
      <c r="K13046" s="12" t="s">
        <v>24</v>
      </c>
    </row>
    <row r="13047" spans="1:11" ht="40.049999999999997" customHeight="1" x14ac:dyDescent="0.25">
      <c r="A13047" s="11" t="s">
        <v>25461</v>
      </c>
      <c r="B13047" s="11" t="s">
        <v>25461</v>
      </c>
      <c r="C13047" s="11" t="s">
        <v>80</v>
      </c>
      <c r="D13047" s="11" t="s">
        <v>18</v>
      </c>
      <c r="E13047" s="12" t="s">
        <v>1611</v>
      </c>
      <c r="F13047" s="12" t="s">
        <v>1612</v>
      </c>
      <c r="G13047" s="12" t="s">
        <v>21</v>
      </c>
      <c r="H13047" s="11" t="s">
        <v>22</v>
      </c>
      <c r="I13047" s="13" t="s">
        <v>25470</v>
      </c>
      <c r="J13047" s="14" t="str">
        <f>HYPERLINK("https://www.boe.es/gazeta/dias/1839/05/03/pdfs/GMD-1839-1630.pdf#page=4","Abrir facsímil")</f>
        <v>Abrir facsímil</v>
      </c>
      <c r="K13047" s="12" t="s">
        <v>24</v>
      </c>
    </row>
    <row r="13048" spans="1:11" ht="40.049999999999997" customHeight="1" x14ac:dyDescent="0.25">
      <c r="A13048" s="11" t="s">
        <v>25461</v>
      </c>
      <c r="B13048" s="11" t="s">
        <v>25461</v>
      </c>
      <c r="C13048" s="11" t="s">
        <v>17</v>
      </c>
      <c r="D13048" s="11" t="s">
        <v>18</v>
      </c>
      <c r="E13048" s="12" t="s">
        <v>4957</v>
      </c>
      <c r="F13048" s="12" t="s">
        <v>4958</v>
      </c>
      <c r="G13048" s="12" t="s">
        <v>21</v>
      </c>
      <c r="H13048" s="11" t="s">
        <v>22</v>
      </c>
      <c r="I13048" s="13" t="s">
        <v>25471</v>
      </c>
      <c r="J13048" s="14" t="str">
        <f>HYPERLINK("https://www.boe.es/gazeta/dias/1839/11/04/pdfs/GMD-1839-1821.pdf#page=4","Abrir facsímil")</f>
        <v>Abrir facsímil</v>
      </c>
      <c r="K13048" s="12" t="s">
        <v>24</v>
      </c>
    </row>
    <row r="13049" spans="1:11" ht="40.049999999999997" customHeight="1" x14ac:dyDescent="0.25">
      <c r="A13049" s="11" t="s">
        <v>25461</v>
      </c>
      <c r="B13049" s="11" t="s">
        <v>25461</v>
      </c>
      <c r="C13049" s="11" t="s">
        <v>17</v>
      </c>
      <c r="D13049" s="11" t="s">
        <v>18</v>
      </c>
      <c r="E13049" s="12" t="s">
        <v>1356</v>
      </c>
      <c r="F13049" s="12" t="s">
        <v>1357</v>
      </c>
      <c r="G13049" s="12" t="s">
        <v>21</v>
      </c>
      <c r="H13049" s="11" t="s">
        <v>22</v>
      </c>
      <c r="I13049" s="13" t="s">
        <v>25472</v>
      </c>
      <c r="J13049" s="14" t="str">
        <f>HYPERLINK("https://www.boe.es/gazeta/dias/1839/06/05/pdfs/GMD-1839-1663.pdf#page=4","Abrir facsímil")</f>
        <v>Abrir facsímil</v>
      </c>
      <c r="K13049" s="12" t="s">
        <v>24</v>
      </c>
    </row>
    <row r="13050" spans="1:11" ht="40.049999999999997" customHeight="1" x14ac:dyDescent="0.25">
      <c r="A13050" s="11" t="s">
        <v>25461</v>
      </c>
      <c r="B13050" s="11" t="s">
        <v>25461</v>
      </c>
      <c r="C13050" s="11" t="s">
        <v>80</v>
      </c>
      <c r="D13050" s="11" t="s">
        <v>18</v>
      </c>
      <c r="E13050" s="12" t="s">
        <v>327</v>
      </c>
      <c r="F13050" s="12" t="s">
        <v>328</v>
      </c>
      <c r="G13050" s="12" t="s">
        <v>40</v>
      </c>
      <c r="H13050" s="11" t="s">
        <v>22</v>
      </c>
      <c r="I13050" s="13" t="s">
        <v>25473</v>
      </c>
      <c r="J13050" s="14" t="str">
        <f>HYPERLINK("https://www.boe.es/gazeta/dias/1839/08/05/pdfs/GMD-1839-1725.pdf#page=2","Abrir facsímil")</f>
        <v>Abrir facsímil</v>
      </c>
      <c r="K13050" s="12" t="s">
        <v>24</v>
      </c>
    </row>
    <row r="13051" spans="1:11" ht="40.049999999999997" customHeight="1" x14ac:dyDescent="0.25">
      <c r="A13051" s="11" t="s">
        <v>25461</v>
      </c>
      <c r="B13051" s="11" t="s">
        <v>25461</v>
      </c>
      <c r="C13051" s="11" t="s">
        <v>17</v>
      </c>
      <c r="D13051" s="11" t="s">
        <v>18</v>
      </c>
      <c r="E13051" s="12" t="s">
        <v>998</v>
      </c>
      <c r="F13051" s="12" t="s">
        <v>999</v>
      </c>
      <c r="G13051" s="12" t="s">
        <v>40</v>
      </c>
      <c r="H13051" s="11" t="s">
        <v>22</v>
      </c>
      <c r="I13051" s="13" t="s">
        <v>25474</v>
      </c>
      <c r="J13051" s="14" t="str">
        <f>HYPERLINK("https://www.boe.es/gazeta/dias/1839/05/06/pdfs/GMD-1839-1633.pdf#page=2","Abrir facsímil")</f>
        <v>Abrir facsímil</v>
      </c>
      <c r="K13051" s="12" t="s">
        <v>24</v>
      </c>
    </row>
    <row r="13052" spans="1:11" ht="40.049999999999997" customHeight="1" x14ac:dyDescent="0.25">
      <c r="A13052" s="11" t="s">
        <v>25461</v>
      </c>
      <c r="B13052" s="11" t="s">
        <v>25461</v>
      </c>
      <c r="C13052" s="11" t="s">
        <v>17</v>
      </c>
      <c r="D13052" s="11" t="s">
        <v>18</v>
      </c>
      <c r="E13052" s="12" t="s">
        <v>1772</v>
      </c>
      <c r="F13052" s="12" t="s">
        <v>1773</v>
      </c>
      <c r="G13052" s="12" t="s">
        <v>21</v>
      </c>
      <c r="H13052" s="11" t="s">
        <v>22</v>
      </c>
      <c r="I13052" s="13" t="s">
        <v>25475</v>
      </c>
      <c r="J13052" s="14" t="str">
        <f>HYPERLINK("https://www.boe.es/gazeta/dias/1839/05/07/pdfs/GMD-1839-1634.pdf#page=4","Abrir facsímil")</f>
        <v>Abrir facsímil</v>
      </c>
      <c r="K13052" s="12" t="s">
        <v>24</v>
      </c>
    </row>
    <row r="13053" spans="1:11" ht="40.049999999999997" customHeight="1" x14ac:dyDescent="0.25">
      <c r="A13053" s="11" t="s">
        <v>25461</v>
      </c>
      <c r="B13053" s="11" t="s">
        <v>25461</v>
      </c>
      <c r="C13053" s="11" t="s">
        <v>17</v>
      </c>
      <c r="D13053" s="11" t="s">
        <v>18</v>
      </c>
      <c r="E13053" s="12" t="s">
        <v>2482</v>
      </c>
      <c r="F13053" s="12" t="s">
        <v>2483</v>
      </c>
      <c r="G13053" s="12" t="s">
        <v>21</v>
      </c>
      <c r="H13053" s="11" t="s">
        <v>22</v>
      </c>
      <c r="I13053" s="13" t="s">
        <v>25476</v>
      </c>
      <c r="J13053" s="14" t="str">
        <f>HYPERLINK("https://www.boe.es/gazeta/dias/1839/07/07/pdfs/GMD-1839-1695.pdf#page=4","Abrir facsímil")</f>
        <v>Abrir facsímil</v>
      </c>
      <c r="K13053" s="12" t="s">
        <v>24</v>
      </c>
    </row>
    <row r="13054" spans="1:11" ht="40.049999999999997" customHeight="1" x14ac:dyDescent="0.25">
      <c r="A13054" s="11" t="s">
        <v>25461</v>
      </c>
      <c r="B13054" s="11" t="s">
        <v>25461</v>
      </c>
      <c r="C13054" s="11" t="s">
        <v>101</v>
      </c>
      <c r="D13054" s="11" t="s">
        <v>102</v>
      </c>
      <c r="E13054" s="12" t="s">
        <v>918</v>
      </c>
      <c r="F13054" s="12" t="s">
        <v>919</v>
      </c>
      <c r="G13054" s="12" t="s">
        <v>21</v>
      </c>
      <c r="H13054" s="11" t="s">
        <v>22</v>
      </c>
      <c r="I13054" s="13" t="s">
        <v>25477</v>
      </c>
      <c r="J13054" s="14" t="str">
        <f>HYPERLINK("https://www.boe.es/gazeta/dias/1839/12/07/pdfs/GMD-1839-1854.pdf#page=4","Abrir facsímil")</f>
        <v>Abrir facsímil</v>
      </c>
      <c r="K13054" s="12" t="s">
        <v>24</v>
      </c>
    </row>
    <row r="13055" spans="1:11" ht="40.049999999999997" customHeight="1" x14ac:dyDescent="0.25">
      <c r="A13055" s="11" t="s">
        <v>25461</v>
      </c>
      <c r="B13055" s="11" t="s">
        <v>25461</v>
      </c>
      <c r="C13055" s="11" t="s">
        <v>17</v>
      </c>
      <c r="D13055" s="11" t="s">
        <v>18</v>
      </c>
      <c r="E13055" s="12" t="s">
        <v>2507</v>
      </c>
      <c r="F13055" s="12" t="s">
        <v>2508</v>
      </c>
      <c r="G13055" s="12" t="s">
        <v>46</v>
      </c>
      <c r="H13055" s="11" t="s">
        <v>22</v>
      </c>
      <c r="I13055" s="13" t="s">
        <v>25478</v>
      </c>
      <c r="J13055" s="14" t="str">
        <f>HYPERLINK("https://www.boe.es/gazeta/dias/1839/03/08/pdfs/GMD-1839-1574.pdf#page=3","Abrir facsímil")</f>
        <v>Abrir facsímil</v>
      </c>
      <c r="K13055" s="12" t="s">
        <v>24</v>
      </c>
    </row>
    <row r="13056" spans="1:11" ht="40.049999999999997" customHeight="1" x14ac:dyDescent="0.25">
      <c r="A13056" s="11" t="s">
        <v>25461</v>
      </c>
      <c r="B13056" s="11" t="s">
        <v>25461</v>
      </c>
      <c r="C13056" s="11" t="s">
        <v>80</v>
      </c>
      <c r="D13056" s="11" t="s">
        <v>173</v>
      </c>
      <c r="E13056" s="12" t="s">
        <v>68</v>
      </c>
      <c r="F13056" s="12" t="s">
        <v>69</v>
      </c>
      <c r="G13056" s="12" t="s">
        <v>21</v>
      </c>
      <c r="H13056" s="11" t="s">
        <v>22</v>
      </c>
      <c r="I13056" s="13" t="s">
        <v>25479</v>
      </c>
      <c r="J13056" s="14" t="str">
        <f>HYPERLINK("https://www.boe.es/gazeta/dias/1839/02/09/pdfs/GMD-1839-1547.pdf#page=4","Abrir facsímil")</f>
        <v>Abrir facsímil</v>
      </c>
      <c r="K13056" s="12" t="s">
        <v>24</v>
      </c>
    </row>
    <row r="13057" spans="1:11" ht="40.049999999999997" customHeight="1" x14ac:dyDescent="0.25">
      <c r="A13057" s="11" t="s">
        <v>25461</v>
      </c>
      <c r="B13057" s="11" t="s">
        <v>25461</v>
      </c>
      <c r="C13057" s="11" t="s">
        <v>17</v>
      </c>
      <c r="D13057" s="11" t="s">
        <v>18</v>
      </c>
      <c r="E13057" s="12" t="s">
        <v>744</v>
      </c>
      <c r="F13057" s="12" t="s">
        <v>745</v>
      </c>
      <c r="G13057" s="12" t="s">
        <v>46</v>
      </c>
      <c r="H13057" s="11" t="s">
        <v>22</v>
      </c>
      <c r="I13057" s="13" t="s">
        <v>25480</v>
      </c>
      <c r="J13057" s="14" t="str">
        <f>HYPERLINK("https://www.boe.es/gazeta/dias/1839/12/09/pdfs/GMD-1839-1856.pdf#page=3","Abrir facsímil")</f>
        <v>Abrir facsímil</v>
      </c>
      <c r="K13057" s="12" t="s">
        <v>24</v>
      </c>
    </row>
    <row r="13058" spans="1:11" ht="40.049999999999997" customHeight="1" x14ac:dyDescent="0.25">
      <c r="A13058" s="11" t="s">
        <v>25461</v>
      </c>
      <c r="B13058" s="11" t="s">
        <v>25461</v>
      </c>
      <c r="C13058" s="11" t="s">
        <v>17</v>
      </c>
      <c r="D13058" s="11" t="s">
        <v>18</v>
      </c>
      <c r="E13058" s="12" t="s">
        <v>116</v>
      </c>
      <c r="F13058" s="12" t="s">
        <v>117</v>
      </c>
      <c r="G13058" s="12" t="s">
        <v>46</v>
      </c>
      <c r="H13058" s="11" t="s">
        <v>22</v>
      </c>
      <c r="I13058" s="13" t="s">
        <v>25481</v>
      </c>
      <c r="J13058" s="14" t="str">
        <f>HYPERLINK("https://www.boe.es/gazeta/dias/1839/10/10/pdfs/GMD-1839-1796.pdf#page=3","Abrir facsímil")</f>
        <v>Abrir facsímil</v>
      </c>
      <c r="K13058" s="12" t="s">
        <v>24</v>
      </c>
    </row>
    <row r="13059" spans="1:11" ht="40.049999999999997" customHeight="1" x14ac:dyDescent="0.25">
      <c r="A13059" s="11" t="s">
        <v>25461</v>
      </c>
      <c r="B13059" s="11" t="s">
        <v>25461</v>
      </c>
      <c r="C13059" s="11" t="s">
        <v>17</v>
      </c>
      <c r="D13059" s="11" t="s">
        <v>18</v>
      </c>
      <c r="E13059" s="12" t="s">
        <v>168</v>
      </c>
      <c r="F13059" s="12" t="s">
        <v>169</v>
      </c>
      <c r="G13059" s="12" t="s">
        <v>21</v>
      </c>
      <c r="H13059" s="11" t="s">
        <v>22</v>
      </c>
      <c r="I13059" s="13" t="s">
        <v>25482</v>
      </c>
      <c r="J13059" s="14" t="str">
        <f>HYPERLINK("https://www.boe.es/gazeta/dias/1839/07/12/pdfs/GMD-1839-1700.pdf#page=4","Abrir facsímil")</f>
        <v>Abrir facsímil</v>
      </c>
      <c r="K13059" s="12" t="s">
        <v>24</v>
      </c>
    </row>
    <row r="13060" spans="1:11" ht="40.049999999999997" customHeight="1" x14ac:dyDescent="0.25">
      <c r="A13060" s="11" t="s">
        <v>25461</v>
      </c>
      <c r="B13060" s="11" t="s">
        <v>25461</v>
      </c>
      <c r="C13060" s="11" t="s">
        <v>80</v>
      </c>
      <c r="D13060" s="11" t="s">
        <v>173</v>
      </c>
      <c r="E13060" s="12" t="s">
        <v>4186</v>
      </c>
      <c r="F13060" s="12" t="s">
        <v>4187</v>
      </c>
      <c r="G13060" s="12" t="s">
        <v>46</v>
      </c>
      <c r="H13060" s="11" t="s">
        <v>22</v>
      </c>
      <c r="I13060" s="13" t="s">
        <v>25483</v>
      </c>
      <c r="J13060" s="14" t="str">
        <f>HYPERLINK("https://www.boe.es/gazeta/dias/1839/12/12/pdfs/GMD-1839-1859.pdf#page=3","Abrir facsímil")</f>
        <v>Abrir facsímil</v>
      </c>
      <c r="K13060" s="12" t="s">
        <v>24</v>
      </c>
    </row>
    <row r="13061" spans="1:11" ht="40.049999999999997" customHeight="1" x14ac:dyDescent="0.25">
      <c r="A13061" s="11" t="s">
        <v>25461</v>
      </c>
      <c r="B13061" s="11" t="s">
        <v>25461</v>
      </c>
      <c r="C13061" s="11" t="s">
        <v>80</v>
      </c>
      <c r="D13061" s="11" t="s">
        <v>18</v>
      </c>
      <c r="E13061" s="12" t="s">
        <v>4186</v>
      </c>
      <c r="F13061" s="12" t="s">
        <v>4187</v>
      </c>
      <c r="G13061" s="12" t="s">
        <v>21</v>
      </c>
      <c r="H13061" s="11" t="s">
        <v>22</v>
      </c>
      <c r="I13061" s="13" t="s">
        <v>25484</v>
      </c>
      <c r="J13061" s="14" t="str">
        <f>HYPERLINK("https://www.boe.es/gazeta/dias/1839/12/12/pdfs/GMD-1839-1859.pdf#page=4","Abrir facsímil")</f>
        <v>Abrir facsímil</v>
      </c>
      <c r="K13061" s="12" t="s">
        <v>24</v>
      </c>
    </row>
    <row r="13062" spans="1:11" ht="40.049999999999997" customHeight="1" x14ac:dyDescent="0.25">
      <c r="A13062" s="11" t="s">
        <v>25461</v>
      </c>
      <c r="B13062" s="11" t="s">
        <v>25461</v>
      </c>
      <c r="C13062" s="11" t="s">
        <v>137</v>
      </c>
      <c r="D13062" s="11" t="s">
        <v>18</v>
      </c>
      <c r="E13062" s="12" t="s">
        <v>4189</v>
      </c>
      <c r="F13062" s="12" t="s">
        <v>4190</v>
      </c>
      <c r="G13062" s="12" t="s">
        <v>46</v>
      </c>
      <c r="H13062" s="11" t="s">
        <v>22</v>
      </c>
      <c r="I13062" s="13" t="s">
        <v>25485</v>
      </c>
      <c r="J13062" s="14" t="str">
        <f>HYPERLINK("https://www.boe.es/gazeta/dias/1839/02/13/pdfs/GMD-1839-1551.pdf#page=3","Abrir facsímil")</f>
        <v>Abrir facsímil</v>
      </c>
      <c r="K13062" s="12" t="s">
        <v>24</v>
      </c>
    </row>
    <row r="13063" spans="1:11" ht="40.049999999999997" customHeight="1" x14ac:dyDescent="0.25">
      <c r="A13063" s="11" t="s">
        <v>25461</v>
      </c>
      <c r="B13063" s="11" t="s">
        <v>25461</v>
      </c>
      <c r="C13063" s="11" t="s">
        <v>17</v>
      </c>
      <c r="D13063" s="11" t="s">
        <v>18</v>
      </c>
      <c r="E13063" s="12" t="s">
        <v>510</v>
      </c>
      <c r="F13063" s="12" t="s">
        <v>511</v>
      </c>
      <c r="G13063" s="12" t="s">
        <v>21</v>
      </c>
      <c r="H13063" s="11" t="s">
        <v>22</v>
      </c>
      <c r="I13063" s="13" t="s">
        <v>25486</v>
      </c>
      <c r="J13063" s="14" t="str">
        <f>HYPERLINK("https://www.boe.es/gazeta/dias/1839/05/13/pdfs/GMD-1839-1640.pdf#page=4","Abrir facsímil")</f>
        <v>Abrir facsímil</v>
      </c>
      <c r="K13063" s="12" t="s">
        <v>24</v>
      </c>
    </row>
    <row r="13064" spans="1:11" ht="40.049999999999997" customHeight="1" x14ac:dyDescent="0.25">
      <c r="A13064" s="11" t="s">
        <v>25461</v>
      </c>
      <c r="B13064" s="11" t="s">
        <v>25461</v>
      </c>
      <c r="C13064" s="11" t="s">
        <v>17</v>
      </c>
      <c r="D13064" s="11" t="s">
        <v>18</v>
      </c>
      <c r="E13064" s="12" t="s">
        <v>33</v>
      </c>
      <c r="F13064" s="12" t="s">
        <v>34</v>
      </c>
      <c r="G13064" s="12" t="s">
        <v>21</v>
      </c>
      <c r="H13064" s="11" t="s">
        <v>22</v>
      </c>
      <c r="I13064" s="13" t="s">
        <v>25487</v>
      </c>
      <c r="J13064" s="14" t="str">
        <f>HYPERLINK("https://www.boe.es/gazeta/dias/1839/12/13/pdfs/GMD-1839-1860.pdf#page=4","Abrir facsímil")</f>
        <v>Abrir facsímil</v>
      </c>
      <c r="K13064" s="12" t="s">
        <v>24</v>
      </c>
    </row>
    <row r="13065" spans="1:11" ht="40.049999999999997" customHeight="1" x14ac:dyDescent="0.25">
      <c r="A13065" s="11" t="s">
        <v>25461</v>
      </c>
      <c r="B13065" s="11" t="s">
        <v>25461</v>
      </c>
      <c r="C13065" s="11" t="s">
        <v>17</v>
      </c>
      <c r="D13065" s="11" t="s">
        <v>18</v>
      </c>
      <c r="E13065" s="12" t="s">
        <v>5399</v>
      </c>
      <c r="F13065" s="12" t="s">
        <v>5400</v>
      </c>
      <c r="G13065" s="12" t="s">
        <v>21</v>
      </c>
      <c r="H13065" s="11" t="s">
        <v>22</v>
      </c>
      <c r="I13065" s="13" t="s">
        <v>25488</v>
      </c>
      <c r="J13065" s="14" t="str">
        <f>HYPERLINK("https://www.boe.es/gazeta/dias/1839/10/14/pdfs/GMD-1839-1800.pdf#page=4","Abrir facsímil")</f>
        <v>Abrir facsímil</v>
      </c>
      <c r="K13065" s="12" t="s">
        <v>24</v>
      </c>
    </row>
    <row r="13066" spans="1:11" ht="40.049999999999997" customHeight="1" x14ac:dyDescent="0.25">
      <c r="A13066" s="11" t="s">
        <v>25461</v>
      </c>
      <c r="B13066" s="11" t="s">
        <v>25461</v>
      </c>
      <c r="C13066" s="11" t="s">
        <v>80</v>
      </c>
      <c r="D13066" s="11" t="s">
        <v>18</v>
      </c>
      <c r="E13066" s="12" t="s">
        <v>2995</v>
      </c>
      <c r="F13066" s="12" t="s">
        <v>2996</v>
      </c>
      <c r="G13066" s="12" t="s">
        <v>46</v>
      </c>
      <c r="H13066" s="11" t="s">
        <v>22</v>
      </c>
      <c r="I13066" s="13" t="s">
        <v>25489</v>
      </c>
      <c r="J13066" s="14" t="str">
        <f>HYPERLINK("https://www.boe.es/gazeta/dias/1839/06/16/pdfs/GMD-1839-1674.pdf#page=3","Abrir facsímil")</f>
        <v>Abrir facsímil</v>
      </c>
      <c r="K13066" s="12" t="s">
        <v>24</v>
      </c>
    </row>
    <row r="13067" spans="1:11" ht="40.049999999999997" customHeight="1" x14ac:dyDescent="0.25">
      <c r="A13067" s="11" t="s">
        <v>25461</v>
      </c>
      <c r="B13067" s="11" t="s">
        <v>25461</v>
      </c>
      <c r="C13067" s="11" t="s">
        <v>17</v>
      </c>
      <c r="D13067" s="11" t="s">
        <v>18</v>
      </c>
      <c r="E13067" s="12" t="s">
        <v>230</v>
      </c>
      <c r="F13067" s="12" t="s">
        <v>231</v>
      </c>
      <c r="G13067" s="12" t="s">
        <v>21</v>
      </c>
      <c r="H13067" s="11" t="s">
        <v>22</v>
      </c>
      <c r="I13067" s="13" t="s">
        <v>25490</v>
      </c>
      <c r="J13067" s="14" t="str">
        <f>HYPERLINK("https://www.boe.es/gazeta/dias/1839/09/16/pdfs/GMD-1839-1769.pdf#page=4","Abrir facsímil")</f>
        <v>Abrir facsímil</v>
      </c>
      <c r="K13067" s="12" t="s">
        <v>24</v>
      </c>
    </row>
    <row r="13068" spans="1:11" ht="40.049999999999997" customHeight="1" x14ac:dyDescent="0.25">
      <c r="A13068" s="11" t="s">
        <v>25461</v>
      </c>
      <c r="B13068" s="11" t="s">
        <v>25461</v>
      </c>
      <c r="C13068" s="11" t="s">
        <v>17</v>
      </c>
      <c r="D13068" s="11" t="s">
        <v>18</v>
      </c>
      <c r="E13068" s="12" t="s">
        <v>1725</v>
      </c>
      <c r="F13068" s="12" t="s">
        <v>1726</v>
      </c>
      <c r="G13068" s="12" t="s">
        <v>21</v>
      </c>
      <c r="H13068" s="11" t="s">
        <v>22</v>
      </c>
      <c r="I13068" s="13" t="s">
        <v>25491</v>
      </c>
      <c r="J13068" s="14" t="str">
        <f>HYPERLINK("https://www.boe.es/gazeta/dias/1839/11/17/pdfs/GMD-1839-1834.pdf#page=4","Abrir facsímil")</f>
        <v>Abrir facsímil</v>
      </c>
      <c r="K13068" s="12" t="s">
        <v>24</v>
      </c>
    </row>
    <row r="13069" spans="1:11" ht="40.049999999999997" customHeight="1" x14ac:dyDescent="0.25">
      <c r="A13069" s="11" t="s">
        <v>25461</v>
      </c>
      <c r="B13069" s="11" t="s">
        <v>25461</v>
      </c>
      <c r="C13069" s="11" t="s">
        <v>80</v>
      </c>
      <c r="D13069" s="11" t="s">
        <v>18</v>
      </c>
      <c r="E13069" s="12" t="s">
        <v>19</v>
      </c>
      <c r="F13069" s="12" t="s">
        <v>20</v>
      </c>
      <c r="G13069" s="12" t="s">
        <v>21</v>
      </c>
      <c r="H13069" s="11" t="s">
        <v>22</v>
      </c>
      <c r="I13069" s="13" t="s">
        <v>25492</v>
      </c>
      <c r="J13069" s="14" t="str">
        <f>HYPERLINK("https://www.boe.es/gazeta/dias/1839/01/19/pdfs/GMD-1839-1526.pdf#page=4","Abrir facsímil")</f>
        <v>Abrir facsímil</v>
      </c>
      <c r="K13069" s="12" t="s">
        <v>24</v>
      </c>
    </row>
    <row r="13070" spans="1:11" ht="40.049999999999997" customHeight="1" x14ac:dyDescent="0.25">
      <c r="A13070" s="11" t="s">
        <v>25461</v>
      </c>
      <c r="B13070" s="11" t="s">
        <v>25461</v>
      </c>
      <c r="C13070" s="11" t="s">
        <v>17</v>
      </c>
      <c r="D13070" s="11" t="s">
        <v>18</v>
      </c>
      <c r="E13070" s="12" t="s">
        <v>462</v>
      </c>
      <c r="F13070" s="12" t="s">
        <v>463</v>
      </c>
      <c r="G13070" s="12" t="s">
        <v>46</v>
      </c>
      <c r="H13070" s="11" t="s">
        <v>22</v>
      </c>
      <c r="I13070" s="13" t="s">
        <v>25493</v>
      </c>
      <c r="J13070" s="14" t="str">
        <f>HYPERLINK("https://www.boe.es/gazeta/dias/1839/06/19/pdfs/GMD-1839-1677.pdf#page=3","Abrir facsímil")</f>
        <v>Abrir facsímil</v>
      </c>
      <c r="K13070" s="12" t="s">
        <v>24</v>
      </c>
    </row>
    <row r="13071" spans="1:11" ht="40.049999999999997" customHeight="1" x14ac:dyDescent="0.25">
      <c r="A13071" s="11" t="s">
        <v>25461</v>
      </c>
      <c r="B13071" s="11" t="s">
        <v>25461</v>
      </c>
      <c r="C13071" s="11" t="s">
        <v>137</v>
      </c>
      <c r="D13071" s="11" t="s">
        <v>18</v>
      </c>
      <c r="E13071" s="12" t="s">
        <v>2222</v>
      </c>
      <c r="F13071" s="12" t="s">
        <v>2223</v>
      </c>
      <c r="G13071" s="12" t="s">
        <v>21</v>
      </c>
      <c r="H13071" s="11" t="s">
        <v>22</v>
      </c>
      <c r="I13071" s="13" t="s">
        <v>25494</v>
      </c>
      <c r="J13071" s="14" t="str">
        <f>HYPERLINK("https://www.boe.es/gazeta/dias/1839/09/19/pdfs/GMD-1839-1773.pdf#page=4","Abrir facsímil")</f>
        <v>Abrir facsímil</v>
      </c>
      <c r="K13071" s="12" t="s">
        <v>24</v>
      </c>
    </row>
    <row r="13072" spans="1:11" ht="40.049999999999997" customHeight="1" x14ac:dyDescent="0.25">
      <c r="A13072" s="11" t="s">
        <v>25461</v>
      </c>
      <c r="B13072" s="11" t="s">
        <v>25461</v>
      </c>
      <c r="C13072" s="11" t="s">
        <v>80</v>
      </c>
      <c r="D13072" s="11" t="s">
        <v>18</v>
      </c>
      <c r="E13072" s="12" t="s">
        <v>1374</v>
      </c>
      <c r="F13072" s="12" t="s">
        <v>1375</v>
      </c>
      <c r="G13072" s="12" t="s">
        <v>21</v>
      </c>
      <c r="H13072" s="11" t="s">
        <v>22</v>
      </c>
      <c r="I13072" s="13" t="s">
        <v>25495</v>
      </c>
      <c r="J13072" s="14" t="str">
        <f>HYPERLINK("https://www.boe.es/gazeta/dias/1839/07/20/pdfs/GMD-1839-1708.pdf#page=4","Abrir facsímil")</f>
        <v>Abrir facsímil</v>
      </c>
      <c r="K13072" s="12" t="s">
        <v>24</v>
      </c>
    </row>
    <row r="13073" spans="1:11" ht="40.049999999999997" customHeight="1" x14ac:dyDescent="0.25">
      <c r="A13073" s="11" t="s">
        <v>25461</v>
      </c>
      <c r="B13073" s="11" t="s">
        <v>25461</v>
      </c>
      <c r="C13073" s="11" t="s">
        <v>80</v>
      </c>
      <c r="D13073" s="11" t="s">
        <v>18</v>
      </c>
      <c r="E13073" s="12" t="s">
        <v>469</v>
      </c>
      <c r="F13073" s="12" t="s">
        <v>470</v>
      </c>
      <c r="G13073" s="12" t="s">
        <v>21</v>
      </c>
      <c r="H13073" s="11" t="s">
        <v>22</v>
      </c>
      <c r="I13073" s="13" t="s">
        <v>25496</v>
      </c>
      <c r="J13073" s="14" t="str">
        <f>HYPERLINK("https://www.boe.es/gazeta/dias/1839/08/20/pdfs/GMD-1839-1741.pdf#page=4","Abrir facsímil")</f>
        <v>Abrir facsímil</v>
      </c>
      <c r="K13073" s="12" t="s">
        <v>24</v>
      </c>
    </row>
    <row r="13074" spans="1:11" ht="40.049999999999997" customHeight="1" x14ac:dyDescent="0.25">
      <c r="A13074" s="11" t="s">
        <v>25461</v>
      </c>
      <c r="B13074" s="11" t="s">
        <v>25461</v>
      </c>
      <c r="C13074" s="11" t="s">
        <v>137</v>
      </c>
      <c r="D13074" s="11" t="s">
        <v>18</v>
      </c>
      <c r="E13074" s="12" t="s">
        <v>2069</v>
      </c>
      <c r="F13074" s="12" t="s">
        <v>2070</v>
      </c>
      <c r="G13074" s="12" t="s">
        <v>305</v>
      </c>
      <c r="H13074" s="11" t="s">
        <v>22</v>
      </c>
      <c r="I13074" s="13" t="s">
        <v>25497</v>
      </c>
      <c r="J13074" s="14" t="str">
        <f>HYPERLINK("https://www.boe.es/gazeta/dias/1839/10/20/pdfs/GMD-1839-1806.pdf#page=6","Abrir facsímil")</f>
        <v>Abrir facsímil</v>
      </c>
      <c r="K13074" s="12" t="s">
        <v>24</v>
      </c>
    </row>
    <row r="13075" spans="1:11" ht="40.049999999999997" customHeight="1" x14ac:dyDescent="0.25">
      <c r="A13075" s="11" t="s">
        <v>25461</v>
      </c>
      <c r="B13075" s="11" t="s">
        <v>25461</v>
      </c>
      <c r="C13075" s="11" t="s">
        <v>80</v>
      </c>
      <c r="D13075" s="11" t="s">
        <v>18</v>
      </c>
      <c r="E13075" s="12" t="s">
        <v>611</v>
      </c>
      <c r="F13075" s="12" t="s">
        <v>612</v>
      </c>
      <c r="G13075" s="12" t="s">
        <v>21</v>
      </c>
      <c r="H13075" s="11" t="s">
        <v>22</v>
      </c>
      <c r="I13075" s="13" t="s">
        <v>25498</v>
      </c>
      <c r="J13075" s="14" t="str">
        <f>HYPERLINK("https://www.boe.es/gazeta/dias/1839/07/22/pdfs/GMD-1839-1710.pdf#page=4","Abrir facsímil")</f>
        <v>Abrir facsímil</v>
      </c>
      <c r="K13075" s="12" t="s">
        <v>24</v>
      </c>
    </row>
    <row r="13076" spans="1:11" ht="40.049999999999997" customHeight="1" x14ac:dyDescent="0.25">
      <c r="A13076" s="11" t="s">
        <v>25461</v>
      </c>
      <c r="B13076" s="11" t="s">
        <v>25461</v>
      </c>
      <c r="C13076" s="11" t="s">
        <v>17</v>
      </c>
      <c r="D13076" s="11" t="s">
        <v>18</v>
      </c>
      <c r="E13076" s="12" t="s">
        <v>239</v>
      </c>
      <c r="F13076" s="12" t="s">
        <v>240</v>
      </c>
      <c r="G13076" s="12" t="s">
        <v>21</v>
      </c>
      <c r="H13076" s="11" t="s">
        <v>22</v>
      </c>
      <c r="I13076" s="13" t="s">
        <v>25499</v>
      </c>
      <c r="J13076" s="14" t="str">
        <f>HYPERLINK("https://www.boe.es/gazeta/dias/1839/09/22/pdfs/GMD-1839-1777.pdf#page=4","Abrir facsímil")</f>
        <v>Abrir facsímil</v>
      </c>
      <c r="K13076" s="12" t="s">
        <v>24</v>
      </c>
    </row>
    <row r="13077" spans="1:11" ht="40.049999999999997" customHeight="1" x14ac:dyDescent="0.25">
      <c r="A13077" s="11" t="s">
        <v>25461</v>
      </c>
      <c r="B13077" s="11" t="s">
        <v>25461</v>
      </c>
      <c r="C13077" s="11" t="s">
        <v>80</v>
      </c>
      <c r="D13077" s="11" t="s">
        <v>18</v>
      </c>
      <c r="E13077" s="12" t="s">
        <v>2415</v>
      </c>
      <c r="F13077" s="12" t="s">
        <v>2416</v>
      </c>
      <c r="G13077" s="12" t="s">
        <v>21</v>
      </c>
      <c r="H13077" s="11" t="s">
        <v>22</v>
      </c>
      <c r="I13077" s="13" t="s">
        <v>25500</v>
      </c>
      <c r="J13077" s="14" t="str">
        <f>HYPERLINK("https://www.boe.es/gazeta/dias/1839/12/22/pdfs/GMD-1839-1869.pdf#page=4","Abrir facsímil")</f>
        <v>Abrir facsímil</v>
      </c>
      <c r="K13077" s="12" t="s">
        <v>24</v>
      </c>
    </row>
    <row r="13078" spans="1:11" ht="40.049999999999997" customHeight="1" x14ac:dyDescent="0.25">
      <c r="A13078" s="11" t="s">
        <v>25461</v>
      </c>
      <c r="B13078" s="11" t="s">
        <v>25461</v>
      </c>
      <c r="C13078" s="11" t="s">
        <v>80</v>
      </c>
      <c r="D13078" s="11" t="s">
        <v>18</v>
      </c>
      <c r="E13078" s="12" t="s">
        <v>125</v>
      </c>
      <c r="F13078" s="12" t="s">
        <v>126</v>
      </c>
      <c r="G13078" s="12" t="s">
        <v>46</v>
      </c>
      <c r="H13078" s="11" t="s">
        <v>22</v>
      </c>
      <c r="I13078" s="13" t="s">
        <v>25501</v>
      </c>
      <c r="J13078" s="14" t="str">
        <f>HYPERLINK("https://www.boe.es/gazeta/dias/1839/05/23/pdfs/GMD-1839-1650.pdf#page=3","Abrir facsímil")</f>
        <v>Abrir facsímil</v>
      </c>
      <c r="K13078" s="12" t="s">
        <v>24</v>
      </c>
    </row>
    <row r="13079" spans="1:11" ht="40.049999999999997" customHeight="1" x14ac:dyDescent="0.25">
      <c r="A13079" s="11" t="s">
        <v>25461</v>
      </c>
      <c r="B13079" s="11" t="s">
        <v>25461</v>
      </c>
      <c r="C13079" s="11" t="s">
        <v>80</v>
      </c>
      <c r="D13079" s="11" t="s">
        <v>18</v>
      </c>
      <c r="E13079" s="12" t="s">
        <v>2432</v>
      </c>
      <c r="F13079" s="12" t="s">
        <v>2581</v>
      </c>
      <c r="G13079" s="12" t="s">
        <v>21</v>
      </c>
      <c r="H13079" s="11" t="s">
        <v>22</v>
      </c>
      <c r="I13079" s="13" t="s">
        <v>25502</v>
      </c>
      <c r="J13079" s="14" t="str">
        <f>HYPERLINK("https://www.boe.es/gazeta/dias/1839/07/23/pdfs/GMD-1839-1711.pdf#page=4","Abrir facsímil")</f>
        <v>Abrir facsímil</v>
      </c>
      <c r="K13079" s="12" t="s">
        <v>24</v>
      </c>
    </row>
    <row r="13080" spans="1:11" ht="40.049999999999997" customHeight="1" x14ac:dyDescent="0.25">
      <c r="A13080" s="11" t="s">
        <v>25461</v>
      </c>
      <c r="B13080" s="11" t="s">
        <v>25461</v>
      </c>
      <c r="C13080" s="11" t="s">
        <v>80</v>
      </c>
      <c r="D13080" s="11" t="s">
        <v>18</v>
      </c>
      <c r="E13080" s="12" t="s">
        <v>1497</v>
      </c>
      <c r="F13080" s="12" t="s">
        <v>1498</v>
      </c>
      <c r="G13080" s="12" t="s">
        <v>46</v>
      </c>
      <c r="H13080" s="11" t="s">
        <v>22</v>
      </c>
      <c r="I13080" s="13" t="s">
        <v>25503</v>
      </c>
      <c r="J13080" s="14" t="str">
        <f>HYPERLINK("https://www.boe.es/gazeta/dias/1839/08/23/pdfs/GMD-1839-1744.pdf#page=3","Abrir facsímil")</f>
        <v>Abrir facsímil</v>
      </c>
      <c r="K13080" s="12" t="s">
        <v>24</v>
      </c>
    </row>
    <row r="13081" spans="1:11" ht="40.049999999999997" customHeight="1" x14ac:dyDescent="0.25">
      <c r="A13081" s="11" t="s">
        <v>25461</v>
      </c>
      <c r="B13081" s="11" t="s">
        <v>25461</v>
      </c>
      <c r="C13081" s="11" t="s">
        <v>137</v>
      </c>
      <c r="D13081" s="11" t="s">
        <v>18</v>
      </c>
      <c r="E13081" s="12" t="s">
        <v>1079</v>
      </c>
      <c r="F13081" s="12" t="s">
        <v>1080</v>
      </c>
      <c r="G13081" s="12" t="s">
        <v>46</v>
      </c>
      <c r="H13081" s="11" t="s">
        <v>22</v>
      </c>
      <c r="I13081" s="13" t="s">
        <v>25504</v>
      </c>
      <c r="J13081" s="14" t="str">
        <f>HYPERLINK("https://www.boe.es/gazeta/dias/1839/05/24/pdfs/GMD-1839-1651.pdf#page=3","Abrir facsímil")</f>
        <v>Abrir facsímil</v>
      </c>
      <c r="K13081" s="12" t="s">
        <v>24</v>
      </c>
    </row>
    <row r="13082" spans="1:11" ht="40.049999999999997" customHeight="1" x14ac:dyDescent="0.25">
      <c r="A13082" s="11" t="s">
        <v>25461</v>
      </c>
      <c r="B13082" s="11" t="s">
        <v>25461</v>
      </c>
      <c r="C13082" s="11" t="s">
        <v>17</v>
      </c>
      <c r="D13082" s="11" t="s">
        <v>18</v>
      </c>
      <c r="E13082" s="12" t="s">
        <v>246</v>
      </c>
      <c r="F13082" s="12" t="s">
        <v>247</v>
      </c>
      <c r="G13082" s="12" t="s">
        <v>46</v>
      </c>
      <c r="H13082" s="11" t="s">
        <v>22</v>
      </c>
      <c r="I13082" s="13" t="s">
        <v>25505</v>
      </c>
      <c r="J13082" s="14" t="str">
        <f>HYPERLINK("https://www.boe.es/gazeta/dias/1839/11/24/pdfs/GMD-1839-1841.pdf#page=3","Abrir facsímil")</f>
        <v>Abrir facsímil</v>
      </c>
      <c r="K13082" s="12" t="s">
        <v>24</v>
      </c>
    </row>
    <row r="13083" spans="1:11" ht="40.049999999999997" customHeight="1" x14ac:dyDescent="0.25">
      <c r="A13083" s="11" t="s">
        <v>25461</v>
      </c>
      <c r="B13083" s="11" t="s">
        <v>25461</v>
      </c>
      <c r="C13083" s="11" t="s">
        <v>80</v>
      </c>
      <c r="D13083" s="11" t="s">
        <v>18</v>
      </c>
      <c r="E13083" s="12" t="s">
        <v>1729</v>
      </c>
      <c r="F13083" s="12" t="s">
        <v>1730</v>
      </c>
      <c r="G13083" s="12" t="s">
        <v>21</v>
      </c>
      <c r="H13083" s="11" t="s">
        <v>22</v>
      </c>
      <c r="I13083" s="13" t="s">
        <v>25506</v>
      </c>
      <c r="J13083" s="14" t="str">
        <f>HYPERLINK("https://www.boe.es/gazeta/dias/1839/04/25/pdfs/GMD-1839-1622.pdf#page=4","Abrir facsímil")</f>
        <v>Abrir facsímil</v>
      </c>
      <c r="K13083" s="12" t="s">
        <v>24</v>
      </c>
    </row>
    <row r="13084" spans="1:11" ht="40.049999999999997" customHeight="1" x14ac:dyDescent="0.25">
      <c r="A13084" s="11" t="s">
        <v>25461</v>
      </c>
      <c r="B13084" s="11" t="s">
        <v>25461</v>
      </c>
      <c r="C13084" s="11" t="s">
        <v>101</v>
      </c>
      <c r="D13084" s="11" t="s">
        <v>43</v>
      </c>
      <c r="E13084" s="12" t="s">
        <v>650</v>
      </c>
      <c r="F13084" s="12" t="s">
        <v>651</v>
      </c>
      <c r="G13084" s="12" t="s">
        <v>21</v>
      </c>
      <c r="H13084" s="11" t="s">
        <v>22</v>
      </c>
      <c r="I13084" s="13" t="s">
        <v>25507</v>
      </c>
      <c r="J13084" s="14" t="str">
        <f>HYPERLINK("https://www.boe.es/gazeta/dias/1839/10/25/pdfs/GMD-1839-1811.pdf#page=4","Abrir facsímil")</f>
        <v>Abrir facsímil</v>
      </c>
      <c r="K13084" s="12" t="s">
        <v>24</v>
      </c>
    </row>
    <row r="13085" spans="1:11" ht="40.049999999999997" customHeight="1" x14ac:dyDescent="0.25">
      <c r="A13085" s="11" t="s">
        <v>25461</v>
      </c>
      <c r="B13085" s="11" t="s">
        <v>25461</v>
      </c>
      <c r="C13085" s="11" t="s">
        <v>17</v>
      </c>
      <c r="D13085" s="11" t="s">
        <v>18</v>
      </c>
      <c r="E13085" s="12" t="s">
        <v>677</v>
      </c>
      <c r="F13085" s="12" t="s">
        <v>678</v>
      </c>
      <c r="G13085" s="12" t="s">
        <v>21</v>
      </c>
      <c r="H13085" s="11" t="s">
        <v>22</v>
      </c>
      <c r="I13085" s="13" t="s">
        <v>25508</v>
      </c>
      <c r="J13085" s="14" t="str">
        <f>HYPERLINK("https://www.boe.es/gazeta/dias/1839/04/28/pdfs/GMD-1839-1625.pdf#page=4","Abrir facsímil")</f>
        <v>Abrir facsímil</v>
      </c>
      <c r="K13085" s="12" t="s">
        <v>24</v>
      </c>
    </row>
    <row r="13086" spans="1:11" ht="40.049999999999997" customHeight="1" x14ac:dyDescent="0.25">
      <c r="A13086" s="11" t="s">
        <v>25461</v>
      </c>
      <c r="B13086" s="11" t="s">
        <v>25461</v>
      </c>
      <c r="C13086" s="11" t="s">
        <v>80</v>
      </c>
      <c r="D13086" s="11" t="s">
        <v>18</v>
      </c>
      <c r="E13086" s="12" t="s">
        <v>1749</v>
      </c>
      <c r="F13086" s="12" t="s">
        <v>1750</v>
      </c>
      <c r="G13086" s="12" t="s">
        <v>21</v>
      </c>
      <c r="H13086" s="11" t="s">
        <v>22</v>
      </c>
      <c r="I13086" s="13" t="s">
        <v>25509</v>
      </c>
      <c r="J13086" s="14" t="str">
        <f>HYPERLINK("https://www.boe.es/gazeta/dias/1839/06/28/pdfs/GMD-1839-1686.pdf#page=4","Abrir facsímil")</f>
        <v>Abrir facsímil</v>
      </c>
      <c r="K13086" s="12" t="s">
        <v>24</v>
      </c>
    </row>
    <row r="13087" spans="1:11" ht="40.049999999999997" customHeight="1" x14ac:dyDescent="0.25">
      <c r="A13087" s="11" t="s">
        <v>25461</v>
      </c>
      <c r="B13087" s="11" t="s">
        <v>25461</v>
      </c>
      <c r="C13087" s="11" t="s">
        <v>17</v>
      </c>
      <c r="D13087" s="11" t="s">
        <v>18</v>
      </c>
      <c r="E13087" s="12" t="s">
        <v>27</v>
      </c>
      <c r="F13087" s="12" t="s">
        <v>28</v>
      </c>
      <c r="G13087" s="12" t="s">
        <v>21</v>
      </c>
      <c r="H13087" s="11" t="s">
        <v>22</v>
      </c>
      <c r="I13087" s="13" t="s">
        <v>25510</v>
      </c>
      <c r="J13087" s="14" t="str">
        <f>HYPERLINK("https://www.boe.es/gazeta/dias/1839/07/28/pdfs/GMD-1839-1717.pdf#page=4","Abrir facsímil")</f>
        <v>Abrir facsímil</v>
      </c>
      <c r="K13087" s="12" t="s">
        <v>24</v>
      </c>
    </row>
    <row r="13088" spans="1:11" ht="40.049999999999997" customHeight="1" x14ac:dyDescent="0.25">
      <c r="A13088" s="11" t="s">
        <v>25461</v>
      </c>
      <c r="B13088" s="11" t="s">
        <v>25461</v>
      </c>
      <c r="C13088" s="11" t="s">
        <v>80</v>
      </c>
      <c r="D13088" s="11" t="s">
        <v>18</v>
      </c>
      <c r="E13088" s="12" t="s">
        <v>89</v>
      </c>
      <c r="F13088" s="12" t="s">
        <v>90</v>
      </c>
      <c r="G13088" s="12" t="s">
        <v>21</v>
      </c>
      <c r="H13088" s="11" t="s">
        <v>22</v>
      </c>
      <c r="I13088" s="13" t="s">
        <v>25511</v>
      </c>
      <c r="J13088" s="14" t="str">
        <f>HYPERLINK("https://www.boe.es/gazeta/dias/1839/11/28/pdfs/GMD-1839-1845.pdf#page=4","Abrir facsímil")</f>
        <v>Abrir facsímil</v>
      </c>
      <c r="K13088" s="12" t="s">
        <v>24</v>
      </c>
    </row>
    <row r="13089" spans="1:11" ht="40.049999999999997" customHeight="1" x14ac:dyDescent="0.25">
      <c r="A13089" s="11" t="s">
        <v>25461</v>
      </c>
      <c r="B13089" s="11" t="s">
        <v>25461</v>
      </c>
      <c r="C13089" s="11" t="s">
        <v>80</v>
      </c>
      <c r="D13089" s="11" t="s">
        <v>18</v>
      </c>
      <c r="E13089" s="12" t="s">
        <v>489</v>
      </c>
      <c r="F13089" s="12" t="s">
        <v>490</v>
      </c>
      <c r="G13089" s="12" t="s">
        <v>21</v>
      </c>
      <c r="H13089" s="11" t="s">
        <v>22</v>
      </c>
      <c r="I13089" s="13" t="s">
        <v>25512</v>
      </c>
      <c r="J13089" s="14" t="str">
        <f>HYPERLINK("https://www.boe.es/gazeta/dias/1839/06/29/pdfs/GMD-1839-1687.pdf#page=4","Abrir facsímil")</f>
        <v>Abrir facsímil</v>
      </c>
      <c r="K13089" s="12" t="s">
        <v>24</v>
      </c>
    </row>
    <row r="13090" spans="1:11" ht="40.049999999999997" customHeight="1" x14ac:dyDescent="0.25">
      <c r="A13090" s="11" t="s">
        <v>25461</v>
      </c>
      <c r="B13090" s="11" t="s">
        <v>25461</v>
      </c>
      <c r="C13090" s="11" t="s">
        <v>17</v>
      </c>
      <c r="D13090" s="11" t="s">
        <v>18</v>
      </c>
      <c r="E13090" s="12" t="s">
        <v>1523</v>
      </c>
      <c r="F13090" s="12" t="s">
        <v>1524</v>
      </c>
      <c r="G13090" s="12" t="s">
        <v>21</v>
      </c>
      <c r="H13090" s="11" t="s">
        <v>22</v>
      </c>
      <c r="I13090" s="13" t="s">
        <v>25513</v>
      </c>
      <c r="J13090" s="14" t="str">
        <f>HYPERLINK("https://www.boe.es/gazeta/dias/1839/08/29/pdfs/GMD-1839-1750.pdf#page=4","Abrir facsímil")</f>
        <v>Abrir facsímil</v>
      </c>
      <c r="K13090" s="12" t="s">
        <v>24</v>
      </c>
    </row>
    <row r="13091" spans="1:11" ht="40.049999999999997" customHeight="1" x14ac:dyDescent="0.25">
      <c r="A13091" s="11" t="s">
        <v>25461</v>
      </c>
      <c r="B13091" s="11" t="s">
        <v>25461</v>
      </c>
      <c r="C13091" s="11" t="s">
        <v>80</v>
      </c>
      <c r="D13091" s="11" t="s">
        <v>18</v>
      </c>
      <c r="E13091" s="12" t="s">
        <v>912</v>
      </c>
      <c r="F13091" s="12" t="s">
        <v>913</v>
      </c>
      <c r="G13091" s="12" t="s">
        <v>21</v>
      </c>
      <c r="H13091" s="11" t="s">
        <v>22</v>
      </c>
      <c r="I13091" s="13" t="s">
        <v>25514</v>
      </c>
      <c r="J13091" s="14" t="str">
        <f>HYPERLINK("https://www.boe.es/gazeta/dias/1839/04/30/pdfs/GMD-1839-1627.pdf#page=4","Abrir facsímil")</f>
        <v>Abrir facsímil</v>
      </c>
      <c r="K13091" s="12" t="s">
        <v>24</v>
      </c>
    </row>
    <row r="13092" spans="1:11" ht="40.049999999999997" customHeight="1" x14ac:dyDescent="0.25">
      <c r="A13092" s="11" t="s">
        <v>25461</v>
      </c>
      <c r="B13092" s="11" t="s">
        <v>25461</v>
      </c>
      <c r="C13092" s="11" t="s">
        <v>59</v>
      </c>
      <c r="D13092" s="11" t="s">
        <v>60</v>
      </c>
      <c r="E13092" s="12" t="s">
        <v>1692</v>
      </c>
      <c r="F13092" s="12" t="s">
        <v>1693</v>
      </c>
      <c r="G13092" s="12" t="s">
        <v>21</v>
      </c>
      <c r="H13092" s="11" t="s">
        <v>22</v>
      </c>
      <c r="I13092" s="13" t="s">
        <v>25515</v>
      </c>
      <c r="J13092" s="14" t="str">
        <f>HYPERLINK("https://www.boe.es/gazeta/dias/1839/05/30/pdfs/GMD-1839-1657.pdf#page=4","Abrir facsímil")</f>
        <v>Abrir facsímil</v>
      </c>
      <c r="K13092" s="12" t="s">
        <v>24</v>
      </c>
    </row>
    <row r="13093" spans="1:11" ht="40.049999999999997" customHeight="1" x14ac:dyDescent="0.25">
      <c r="A13093" s="11" t="s">
        <v>25461</v>
      </c>
      <c r="B13093" s="11" t="s">
        <v>25461</v>
      </c>
      <c r="C13093" s="11" t="s">
        <v>17</v>
      </c>
      <c r="D13093" s="11" t="s">
        <v>18</v>
      </c>
      <c r="E13093" s="12" t="s">
        <v>907</v>
      </c>
      <c r="F13093" s="12" t="s">
        <v>908</v>
      </c>
      <c r="G13093" s="12" t="s">
        <v>46</v>
      </c>
      <c r="H13093" s="11" t="s">
        <v>22</v>
      </c>
      <c r="I13093" s="13" t="s">
        <v>25516</v>
      </c>
      <c r="J13093" s="14" t="str">
        <f>HYPERLINK("https://www.boe.es/gazeta/dias/1839/07/31/pdfs/GMD-1839-1720.pdf#page=3","Abrir facsímil")</f>
        <v>Abrir facsímil</v>
      </c>
      <c r="K13093" s="12" t="s">
        <v>24</v>
      </c>
    </row>
    <row r="13094" spans="1:11" ht="40.049999999999997" customHeight="1" x14ac:dyDescent="0.25">
      <c r="A13094" s="11" t="s">
        <v>25517</v>
      </c>
      <c r="B13094" s="11" t="s">
        <v>25518</v>
      </c>
      <c r="C13094" s="11" t="s">
        <v>137</v>
      </c>
      <c r="D13094" s="11" t="s">
        <v>18</v>
      </c>
      <c r="E13094" s="12" t="s">
        <v>1584</v>
      </c>
      <c r="F13094" s="12" t="s">
        <v>1585</v>
      </c>
      <c r="G13094" s="12" t="s">
        <v>46</v>
      </c>
      <c r="H13094" s="11" t="s">
        <v>63</v>
      </c>
      <c r="I13094" s="13" t="s">
        <v>25519</v>
      </c>
      <c r="J13094" s="14" t="str">
        <f>HYPERLINK("https://www.boe.es/gazeta/dias/1839/11/20/pdfs/GMD-1839-1837.pdf#page=3","Abrir facsímil")</f>
        <v>Abrir facsímil</v>
      </c>
      <c r="K13094" s="12" t="s">
        <v>65</v>
      </c>
    </row>
    <row r="13095" spans="1:11" ht="40.049999999999997" customHeight="1" x14ac:dyDescent="0.25">
      <c r="A13095" s="11" t="s">
        <v>25520</v>
      </c>
      <c r="B13095" s="11" t="s">
        <v>25521</v>
      </c>
      <c r="C13095" s="11" t="s">
        <v>17</v>
      </c>
      <c r="D13095" s="11" t="s">
        <v>18</v>
      </c>
      <c r="E13095" s="12" t="s">
        <v>320</v>
      </c>
      <c r="F13095" s="12" t="s">
        <v>321</v>
      </c>
      <c r="G13095" s="12" t="s">
        <v>21</v>
      </c>
      <c r="H13095" s="11" t="s">
        <v>63</v>
      </c>
      <c r="I13095" s="13" t="s">
        <v>25522</v>
      </c>
      <c r="J13095" s="14" t="str">
        <f>HYPERLINK("https://www.boe.es/gazeta/dias/1839/05/11/pdfs/GMD-1839-1638.pdf#page=4","Abrir facsímil")</f>
        <v>Abrir facsímil</v>
      </c>
      <c r="K13095" s="12" t="s">
        <v>65</v>
      </c>
    </row>
    <row r="13096" spans="1:11" ht="40.049999999999997" customHeight="1" x14ac:dyDescent="0.25">
      <c r="A13096" s="11" t="s">
        <v>25523</v>
      </c>
      <c r="B13096" s="11" t="s">
        <v>25524</v>
      </c>
      <c r="C13096" s="11" t="s">
        <v>17</v>
      </c>
      <c r="D13096" s="11" t="s">
        <v>18</v>
      </c>
      <c r="E13096" s="12" t="s">
        <v>2432</v>
      </c>
      <c r="F13096" s="12" t="s">
        <v>2581</v>
      </c>
      <c r="G13096" s="12" t="s">
        <v>29</v>
      </c>
      <c r="H13096" s="11" t="s">
        <v>63</v>
      </c>
      <c r="I13096" s="13" t="s">
        <v>25525</v>
      </c>
      <c r="J13096" s="14" t="str">
        <f>HYPERLINK("https://www.boe.es/gazeta/dias/1839/07/23/pdfs/GMD-1839-1711.pdf#page=1","Abrir facsímil")</f>
        <v>Abrir facsímil</v>
      </c>
      <c r="K13096" s="12" t="s">
        <v>65</v>
      </c>
    </row>
    <row r="13097" spans="1:11" ht="40.049999999999997" customHeight="1" x14ac:dyDescent="0.25">
      <c r="A13097" s="11" t="s">
        <v>25526</v>
      </c>
      <c r="B13097" s="11" t="s">
        <v>25527</v>
      </c>
      <c r="C13097" s="11" t="s">
        <v>80</v>
      </c>
      <c r="D13097" s="11" t="s">
        <v>18</v>
      </c>
      <c r="E13097" s="12" t="s">
        <v>1663</v>
      </c>
      <c r="F13097" s="12" t="s">
        <v>1664</v>
      </c>
      <c r="G13097" s="12" t="s">
        <v>21</v>
      </c>
      <c r="H13097" s="11" t="s">
        <v>63</v>
      </c>
      <c r="I13097" s="13" t="s">
        <v>25528</v>
      </c>
      <c r="J13097" s="14" t="str">
        <f>HYPERLINK("https://www.boe.es/gazeta/dias/1839/03/22/pdfs/GMD-1839-1588.pdf#page=4","Abrir facsímil")</f>
        <v>Abrir facsímil</v>
      </c>
      <c r="K13097" s="12" t="s">
        <v>65</v>
      </c>
    </row>
    <row r="13098" spans="1:11" ht="40.049999999999997" customHeight="1" x14ac:dyDescent="0.25">
      <c r="A13098" s="11" t="s">
        <v>25529</v>
      </c>
      <c r="B13098" s="11" t="s">
        <v>25530</v>
      </c>
      <c r="C13098" s="11" t="s">
        <v>17</v>
      </c>
      <c r="D13098" s="11" t="s">
        <v>18</v>
      </c>
      <c r="E13098" s="12" t="s">
        <v>76</v>
      </c>
      <c r="F13098" s="12" t="s">
        <v>77</v>
      </c>
      <c r="G13098" s="12" t="s">
        <v>46</v>
      </c>
      <c r="H13098" s="11" t="s">
        <v>63</v>
      </c>
      <c r="I13098" s="13" t="s">
        <v>25531</v>
      </c>
      <c r="J13098" s="14" t="str">
        <f>HYPERLINK("https://www.boe.es/gazeta/dias/1839/03/13/pdfs/GMD-1839-1579.pdf#page=3","Abrir facsímil")</f>
        <v>Abrir facsímil</v>
      </c>
      <c r="K13098" s="12" t="s">
        <v>65</v>
      </c>
    </row>
    <row r="13099" spans="1:11" ht="40.049999999999997" customHeight="1" x14ac:dyDescent="0.25">
      <c r="A13099" s="11" t="s">
        <v>25532</v>
      </c>
      <c r="B13099" s="11" t="s">
        <v>25532</v>
      </c>
      <c r="C13099" s="11" t="s">
        <v>59</v>
      </c>
      <c r="D13099" s="11" t="s">
        <v>60</v>
      </c>
      <c r="E13099" s="12" t="s">
        <v>2021</v>
      </c>
      <c r="F13099" s="12" t="s">
        <v>2022</v>
      </c>
      <c r="G13099" s="12" t="s">
        <v>40</v>
      </c>
      <c r="H13099" s="11" t="s">
        <v>63</v>
      </c>
      <c r="I13099" s="13" t="s">
        <v>25533</v>
      </c>
      <c r="J13099" s="14" t="str">
        <f>HYPERLINK("https://www.boe.es/gazeta/dias/1839/02/17/pdfs/GMD-1839-1555.pdf#page=2","Abrir facsímil")</f>
        <v>Abrir facsímil</v>
      </c>
      <c r="K13099" s="12" t="s">
        <v>65</v>
      </c>
    </row>
    <row r="13100" spans="1:11" ht="40.049999999999997" customHeight="1" x14ac:dyDescent="0.25">
      <c r="A13100" s="11" t="s">
        <v>25532</v>
      </c>
      <c r="B13100" s="11" t="s">
        <v>25532</v>
      </c>
      <c r="C13100" s="11" t="s">
        <v>101</v>
      </c>
      <c r="D13100" s="11" t="s">
        <v>43</v>
      </c>
      <c r="E13100" s="12" t="s">
        <v>664</v>
      </c>
      <c r="F13100" s="12" t="s">
        <v>665</v>
      </c>
      <c r="G13100" s="12" t="s">
        <v>46</v>
      </c>
      <c r="H13100" s="11" t="s">
        <v>63</v>
      </c>
      <c r="I13100" s="13" t="s">
        <v>25534</v>
      </c>
      <c r="J13100" s="14" t="str">
        <f>HYPERLINK("https://www.boe.es/gazeta/dias/1839/01/24/pdfs/GMD-1839-1531.pdf#page=3","Abrir facsímil")</f>
        <v>Abrir facsímil</v>
      </c>
      <c r="K13100" s="12" t="s">
        <v>65</v>
      </c>
    </row>
    <row r="13101" spans="1:11" ht="40.049999999999997" customHeight="1" x14ac:dyDescent="0.25">
      <c r="A13101" s="11" t="s">
        <v>25535</v>
      </c>
      <c r="B13101" s="11" t="s">
        <v>25536</v>
      </c>
      <c r="C13101" s="11" t="s">
        <v>17</v>
      </c>
      <c r="D13101" s="11" t="s">
        <v>18</v>
      </c>
      <c r="E13101" s="12" t="s">
        <v>1474</v>
      </c>
      <c r="F13101" s="12" t="s">
        <v>1475</v>
      </c>
      <c r="G13101" s="12" t="s">
        <v>40</v>
      </c>
      <c r="H13101" s="11" t="s">
        <v>63</v>
      </c>
      <c r="I13101" s="13" t="s">
        <v>25537</v>
      </c>
      <c r="J13101" s="14" t="str">
        <f>HYPERLINK("https://www.boe.es/gazeta/dias/1839/02/28/pdfs/GMD-1839-1566.pdf#page=2","Abrir facsímil")</f>
        <v>Abrir facsímil</v>
      </c>
      <c r="K13101" s="12" t="s">
        <v>65</v>
      </c>
    </row>
    <row r="13102" spans="1:11" ht="40.049999999999997" customHeight="1" x14ac:dyDescent="0.25">
      <c r="A13102" s="11" t="s">
        <v>25538</v>
      </c>
      <c r="B13102" s="11" t="s">
        <v>25539</v>
      </c>
      <c r="C13102" s="11" t="s">
        <v>17</v>
      </c>
      <c r="D13102" s="11" t="s">
        <v>18</v>
      </c>
      <c r="E13102" s="12" t="s">
        <v>54</v>
      </c>
      <c r="F13102" s="12" t="s">
        <v>55</v>
      </c>
      <c r="G13102" s="12" t="s">
        <v>21</v>
      </c>
      <c r="H13102" s="11" t="s">
        <v>22</v>
      </c>
      <c r="I13102" s="13" t="s">
        <v>25540</v>
      </c>
      <c r="J13102" s="14" t="str">
        <f>HYPERLINK("https://www.boe.es/gazeta/dias/1839/10/05/pdfs/GMD-1839-1791.pdf#page=4","Abrir facsímil")</f>
        <v>Abrir facsímil</v>
      </c>
      <c r="K13102" s="12" t="s">
        <v>24</v>
      </c>
    </row>
    <row r="13103" spans="1:11" ht="40.049999999999997" customHeight="1" x14ac:dyDescent="0.25">
      <c r="A13103" s="11" t="s">
        <v>25541</v>
      </c>
      <c r="B13103" s="11" t="s">
        <v>25542</v>
      </c>
      <c r="C13103" s="11" t="s">
        <v>17</v>
      </c>
      <c r="D13103" s="11" t="s">
        <v>18</v>
      </c>
      <c r="E13103" s="12" t="s">
        <v>4292</v>
      </c>
      <c r="F13103" s="12" t="s">
        <v>4293</v>
      </c>
      <c r="G13103" s="12" t="s">
        <v>21</v>
      </c>
      <c r="H13103" s="11" t="s">
        <v>22</v>
      </c>
      <c r="I13103" s="13" t="s">
        <v>25543</v>
      </c>
      <c r="J13103" s="14" t="str">
        <f>HYPERLINK("https://www.boe.es/gazeta/dias/1839/11/29/pdfs/GMD-1839-1846.pdf#page=4","Abrir facsímil")</f>
        <v>Abrir facsímil</v>
      </c>
      <c r="K13103" s="12" t="s">
        <v>24</v>
      </c>
    </row>
    <row r="13104" spans="1:11" ht="40.049999999999997" customHeight="1" x14ac:dyDescent="0.25">
      <c r="A13104" s="11" t="s">
        <v>25544</v>
      </c>
      <c r="B13104" s="11" t="s">
        <v>25545</v>
      </c>
      <c r="C13104" s="11" t="s">
        <v>80</v>
      </c>
      <c r="D13104" s="11" t="s">
        <v>18</v>
      </c>
      <c r="E13104" s="12" t="s">
        <v>951</v>
      </c>
      <c r="F13104" s="12" t="s">
        <v>952</v>
      </c>
      <c r="G13104" s="12" t="s">
        <v>21</v>
      </c>
      <c r="H13104" s="11" t="s">
        <v>63</v>
      </c>
      <c r="I13104" s="13" t="s">
        <v>25546</v>
      </c>
      <c r="J13104" s="14" t="str">
        <f>HYPERLINK("https://www.boe.es/gazeta/dias/1839/12/30/pdfs/GMD-1839-1877.pdf#page=4","Abrir facsímil")</f>
        <v>Abrir facsímil</v>
      </c>
      <c r="K13104" s="12" t="s">
        <v>65</v>
      </c>
    </row>
    <row r="13105" spans="1:11" ht="40.049999999999997" customHeight="1" x14ac:dyDescent="0.25">
      <c r="A13105" s="11" t="s">
        <v>25547</v>
      </c>
      <c r="B13105" s="11" t="s">
        <v>25548</v>
      </c>
      <c r="C13105" s="11" t="s">
        <v>17</v>
      </c>
      <c r="D13105" s="11" t="s">
        <v>18</v>
      </c>
      <c r="E13105" s="12" t="s">
        <v>68</v>
      </c>
      <c r="F13105" s="12" t="s">
        <v>69</v>
      </c>
      <c r="G13105" s="12" t="s">
        <v>29</v>
      </c>
      <c r="H13105" s="11" t="s">
        <v>63</v>
      </c>
      <c r="I13105" s="13" t="s">
        <v>25549</v>
      </c>
      <c r="J13105" s="14" t="str">
        <f>HYPERLINK("https://www.boe.es/gazeta/dias/1839/02/09/pdfs/GMD-1839-1547.pdf#page=1","Abrir facsímil")</f>
        <v>Abrir facsímil</v>
      </c>
      <c r="K13105" s="12" t="s">
        <v>65</v>
      </c>
    </row>
    <row r="13106" spans="1:11" ht="40.049999999999997" customHeight="1" x14ac:dyDescent="0.25">
      <c r="A13106" s="11" t="s">
        <v>25550</v>
      </c>
      <c r="B13106" s="11" t="s">
        <v>25550</v>
      </c>
      <c r="C13106" s="11" t="s">
        <v>17</v>
      </c>
      <c r="D13106" s="11" t="s">
        <v>18</v>
      </c>
      <c r="E13106" s="12" t="s">
        <v>280</v>
      </c>
      <c r="F13106" s="12" t="s">
        <v>281</v>
      </c>
      <c r="G13106" s="12" t="s">
        <v>46</v>
      </c>
      <c r="H13106" s="11" t="s">
        <v>63</v>
      </c>
      <c r="I13106" s="13" t="s">
        <v>25551</v>
      </c>
      <c r="J13106" s="14" t="str">
        <f>HYPERLINK("https://www.boe.es/gazeta/dias/1839/08/21/pdfs/GMD-1839-1742.pdf#page=3","Abrir facsímil")</f>
        <v>Abrir facsímil</v>
      </c>
      <c r="K13106" s="12" t="s">
        <v>65</v>
      </c>
    </row>
    <row r="13107" spans="1:11" ht="40.049999999999997" customHeight="1" x14ac:dyDescent="0.25">
      <c r="A13107" s="11" t="s">
        <v>25552</v>
      </c>
      <c r="B13107" s="11" t="s">
        <v>25552</v>
      </c>
      <c r="C13107" s="11" t="s">
        <v>80</v>
      </c>
      <c r="D13107" s="11" t="s">
        <v>18</v>
      </c>
      <c r="E13107" s="12" t="s">
        <v>7860</v>
      </c>
      <c r="F13107" s="12" t="s">
        <v>7861</v>
      </c>
      <c r="G13107" s="12" t="s">
        <v>29</v>
      </c>
      <c r="H13107" s="11" t="s">
        <v>63</v>
      </c>
      <c r="I13107" s="13" t="s">
        <v>25553</v>
      </c>
      <c r="J13107" s="14" t="str">
        <f>HYPERLINK("https://www.boe.es/gazeta/dias/1839/03/04/pdfs/GMD-1839-1570.pdf#page=1","Abrir facsímil")</f>
        <v>Abrir facsímil</v>
      </c>
      <c r="K13107" s="12" t="s">
        <v>65</v>
      </c>
    </row>
    <row r="13108" spans="1:11" ht="40.049999999999997" customHeight="1" x14ac:dyDescent="0.25">
      <c r="A13108" s="11" t="s">
        <v>25552</v>
      </c>
      <c r="B13108" s="11" t="s">
        <v>25552</v>
      </c>
      <c r="C13108" s="11" t="s">
        <v>17</v>
      </c>
      <c r="D13108" s="11" t="s">
        <v>18</v>
      </c>
      <c r="E13108" s="12" t="s">
        <v>1628</v>
      </c>
      <c r="F13108" s="12" t="s">
        <v>1629</v>
      </c>
      <c r="G13108" s="12" t="s">
        <v>46</v>
      </c>
      <c r="H13108" s="11" t="s">
        <v>63</v>
      </c>
      <c r="I13108" s="13" t="s">
        <v>25554</v>
      </c>
      <c r="J13108" s="14" t="str">
        <f>HYPERLINK("https://www.boe.es/gazeta/dias/1839/03/10/pdfs/GMD-1839-1576.pdf#page=3","Abrir facsímil")</f>
        <v>Abrir facsímil</v>
      </c>
      <c r="K13108" s="12" t="s">
        <v>65</v>
      </c>
    </row>
    <row r="13109" spans="1:11" ht="40.049999999999997" customHeight="1" x14ac:dyDescent="0.25">
      <c r="A13109" s="11" t="s">
        <v>25552</v>
      </c>
      <c r="B13109" s="11" t="s">
        <v>25552</v>
      </c>
      <c r="C13109" s="11" t="s">
        <v>17</v>
      </c>
      <c r="D13109" s="11" t="s">
        <v>18</v>
      </c>
      <c r="E13109" s="12" t="s">
        <v>474</v>
      </c>
      <c r="F13109" s="12" t="s">
        <v>475</v>
      </c>
      <c r="G13109" s="12" t="s">
        <v>40</v>
      </c>
      <c r="H13109" s="11" t="s">
        <v>63</v>
      </c>
      <c r="I13109" s="13" t="s">
        <v>25555</v>
      </c>
      <c r="J13109" s="14" t="str">
        <f>HYPERLINK("https://www.boe.es/gazeta/dias/1839/03/31/pdfs/GMD-1839-1597.pdf#page=2","Abrir facsímil")</f>
        <v>Abrir facsímil</v>
      </c>
      <c r="K13109" s="12" t="s">
        <v>65</v>
      </c>
    </row>
    <row r="13110" spans="1:11" ht="40.049999999999997" customHeight="1" x14ac:dyDescent="0.25">
      <c r="A13110" s="11" t="s">
        <v>25556</v>
      </c>
      <c r="B13110" s="11" t="s">
        <v>25557</v>
      </c>
      <c r="C13110" s="11" t="s">
        <v>137</v>
      </c>
      <c r="D13110" s="11" t="s">
        <v>18</v>
      </c>
      <c r="E13110" s="12" t="s">
        <v>1144</v>
      </c>
      <c r="F13110" s="12" t="s">
        <v>1145</v>
      </c>
      <c r="G13110" s="12" t="s">
        <v>40</v>
      </c>
      <c r="H13110" s="11" t="s">
        <v>63</v>
      </c>
      <c r="I13110" s="13" t="s">
        <v>25558</v>
      </c>
      <c r="J13110" s="14" t="str">
        <f>HYPERLINK("https://www.boe.es/gazeta/dias/1839/08/13/pdfs/GMD-1839-1733.pdf#page=2","Abrir facsímil")</f>
        <v>Abrir facsímil</v>
      </c>
      <c r="K13110" s="12" t="s">
        <v>65</v>
      </c>
    </row>
    <row r="13111" spans="1:11" ht="40.049999999999997" customHeight="1" x14ac:dyDescent="0.25">
      <c r="A13111" s="11" t="s">
        <v>25559</v>
      </c>
      <c r="B13111" s="11" t="s">
        <v>25559</v>
      </c>
      <c r="C13111" s="11" t="s">
        <v>17</v>
      </c>
      <c r="D13111" s="11" t="s">
        <v>18</v>
      </c>
      <c r="E13111" s="12" t="s">
        <v>1528</v>
      </c>
      <c r="F13111" s="12" t="s">
        <v>1529</v>
      </c>
      <c r="G13111" s="12" t="s">
        <v>21</v>
      </c>
      <c r="H13111" s="11" t="s">
        <v>63</v>
      </c>
      <c r="I13111" s="13" t="s">
        <v>25560</v>
      </c>
      <c r="J13111" s="14" t="str">
        <f>HYPERLINK("https://www.boe.es/gazeta/dias/1839/12/15/pdfs/GMD-1839-1862.pdf#page=4","Abrir facsímil")</f>
        <v>Abrir facsímil</v>
      </c>
      <c r="K13111" s="12" t="s">
        <v>65</v>
      </c>
    </row>
    <row r="13112" spans="1:11" ht="40.049999999999997" customHeight="1" x14ac:dyDescent="0.25">
      <c r="A13112" s="11" t="s">
        <v>25561</v>
      </c>
      <c r="B13112" s="11" t="s">
        <v>25561</v>
      </c>
      <c r="C13112" s="11" t="s">
        <v>17</v>
      </c>
      <c r="D13112" s="11" t="s">
        <v>18</v>
      </c>
      <c r="E13112" s="12" t="s">
        <v>1517</v>
      </c>
      <c r="F13112" s="12" t="s">
        <v>1518</v>
      </c>
      <c r="G13112" s="12" t="s">
        <v>46</v>
      </c>
      <c r="H13112" s="11" t="s">
        <v>63</v>
      </c>
      <c r="I13112" s="13" t="s">
        <v>25562</v>
      </c>
      <c r="J13112" s="14" t="str">
        <f>HYPERLINK("https://www.boe.es/gazeta/dias/1839/12/20/pdfs/GMD-1839-1867.pdf#page=3","Abrir facsímil")</f>
        <v>Abrir facsímil</v>
      </c>
      <c r="K13112" s="12" t="s">
        <v>65</v>
      </c>
    </row>
    <row r="13113" spans="1:11" ht="40.049999999999997" customHeight="1" x14ac:dyDescent="0.25">
      <c r="A13113" s="11" t="s">
        <v>25563</v>
      </c>
      <c r="B13113" s="11" t="s">
        <v>25564</v>
      </c>
      <c r="C13113" s="11" t="s">
        <v>17</v>
      </c>
      <c r="D13113" s="11" t="s">
        <v>18</v>
      </c>
      <c r="E13113" s="12" t="s">
        <v>1517</v>
      </c>
      <c r="F13113" s="12" t="s">
        <v>1518</v>
      </c>
      <c r="G13113" s="12" t="s">
        <v>46</v>
      </c>
      <c r="H13113" s="11" t="s">
        <v>63</v>
      </c>
      <c r="I13113" s="13" t="s">
        <v>25565</v>
      </c>
      <c r="J13113" s="14" t="str">
        <f>HYPERLINK("https://www.boe.es/gazeta/dias/1839/12/20/pdfs/GMD-1839-1867.pdf#page=3","Abrir facsímil")</f>
        <v>Abrir facsímil</v>
      </c>
      <c r="K13113" s="12" t="s">
        <v>65</v>
      </c>
    </row>
    <row r="13114" spans="1:11" ht="40.049999999999997" customHeight="1" x14ac:dyDescent="0.25">
      <c r="A13114" s="11" t="s">
        <v>25566</v>
      </c>
      <c r="B13114" s="11" t="s">
        <v>25566</v>
      </c>
      <c r="C13114" s="11" t="s">
        <v>80</v>
      </c>
      <c r="D13114" s="11" t="s">
        <v>18</v>
      </c>
      <c r="E13114" s="12" t="s">
        <v>230</v>
      </c>
      <c r="F13114" s="12" t="s">
        <v>231</v>
      </c>
      <c r="G13114" s="12" t="s">
        <v>21</v>
      </c>
      <c r="H13114" s="11" t="s">
        <v>63</v>
      </c>
      <c r="I13114" s="13" t="s">
        <v>25567</v>
      </c>
      <c r="J13114" s="14" t="str">
        <f>HYPERLINK("https://www.boe.es/gazeta/dias/1839/09/16/pdfs/GMD-1839-1769.pdf#page=4","Abrir facsímil")</f>
        <v>Abrir facsímil</v>
      </c>
      <c r="K13114" s="12" t="s">
        <v>65</v>
      </c>
    </row>
    <row r="13115" spans="1:11" ht="40.049999999999997" customHeight="1" x14ac:dyDescent="0.25">
      <c r="A13115" s="11" t="s">
        <v>25568</v>
      </c>
      <c r="B13115" s="11" t="s">
        <v>25569</v>
      </c>
      <c r="C13115" s="11" t="s">
        <v>59</v>
      </c>
      <c r="D13115" s="11" t="s">
        <v>60</v>
      </c>
      <c r="E13115" s="12" t="s">
        <v>202</v>
      </c>
      <c r="F13115" s="12" t="s">
        <v>203</v>
      </c>
      <c r="G13115" s="12" t="s">
        <v>46</v>
      </c>
      <c r="H13115" s="11" t="s">
        <v>63</v>
      </c>
      <c r="I13115" s="13" t="s">
        <v>25570</v>
      </c>
      <c r="J13115" s="14" t="str">
        <f>HYPERLINK("https://www.boe.es/gazeta/dias/1839/04/05/pdfs/GMD-1839-1602.pdf#page=3","Abrir facsímil")</f>
        <v>Abrir facsímil</v>
      </c>
      <c r="K13115" s="12" t="s">
        <v>65</v>
      </c>
    </row>
    <row r="13116" spans="1:11" ht="40.049999999999997" customHeight="1" x14ac:dyDescent="0.25">
      <c r="A13116" s="11" t="s">
        <v>25571</v>
      </c>
      <c r="B13116" s="11" t="s">
        <v>25571</v>
      </c>
      <c r="C13116" s="11" t="s">
        <v>17</v>
      </c>
      <c r="D13116" s="11" t="s">
        <v>18</v>
      </c>
      <c r="E13116" s="12" t="s">
        <v>2210</v>
      </c>
      <c r="F13116" s="12" t="s">
        <v>2211</v>
      </c>
      <c r="G13116" s="12" t="s">
        <v>40</v>
      </c>
      <c r="H13116" s="11" t="s">
        <v>22</v>
      </c>
      <c r="I13116" s="13" t="s">
        <v>25572</v>
      </c>
      <c r="J13116" s="14" t="str">
        <f>HYPERLINK("https://www.boe.es/gazeta/dias/1839/09/05/pdfs/GMD-1839-1758.pdf#page=2","Abrir facsímil")</f>
        <v>Abrir facsímil</v>
      </c>
      <c r="K13116" s="12" t="s">
        <v>24</v>
      </c>
    </row>
    <row r="13117" spans="1:11" ht="40.049999999999997" customHeight="1" x14ac:dyDescent="0.25">
      <c r="A13117" s="11" t="s">
        <v>25571</v>
      </c>
      <c r="B13117" s="11" t="s">
        <v>25571</v>
      </c>
      <c r="C13117" s="11" t="s">
        <v>17</v>
      </c>
      <c r="D13117" s="11" t="s">
        <v>18</v>
      </c>
      <c r="E13117" s="12" t="s">
        <v>1988</v>
      </c>
      <c r="F13117" s="12" t="s">
        <v>1989</v>
      </c>
      <c r="G13117" s="12" t="s">
        <v>40</v>
      </c>
      <c r="H13117" s="11" t="s">
        <v>22</v>
      </c>
      <c r="I13117" s="13" t="s">
        <v>25573</v>
      </c>
      <c r="J13117" s="14" t="str">
        <f>HYPERLINK("https://www.boe.es/gazeta/dias/1839/10/29/pdfs/GMD-1839-1815.pdf#page=2","Abrir facsímil")</f>
        <v>Abrir facsímil</v>
      </c>
      <c r="K13117" s="12" t="s">
        <v>24</v>
      </c>
    </row>
    <row r="13118" spans="1:11" ht="40.049999999999997" customHeight="1" x14ac:dyDescent="0.25">
      <c r="A13118" s="11" t="s">
        <v>25574</v>
      </c>
      <c r="B13118" s="11" t="s">
        <v>25575</v>
      </c>
      <c r="C13118" s="11" t="s">
        <v>17</v>
      </c>
      <c r="D13118" s="11" t="s">
        <v>18</v>
      </c>
      <c r="E13118" s="12" t="s">
        <v>116</v>
      </c>
      <c r="F13118" s="12" t="s">
        <v>117</v>
      </c>
      <c r="G13118" s="12" t="s">
        <v>40</v>
      </c>
      <c r="H13118" s="11" t="s">
        <v>63</v>
      </c>
      <c r="I13118" s="13" t="s">
        <v>25576</v>
      </c>
      <c r="J13118" s="14" t="str">
        <f>HYPERLINK("https://www.boe.es/gazeta/dias/1839/10/10/pdfs/GMD-1839-1796.pdf#page=2","Abrir facsímil")</f>
        <v>Abrir facsímil</v>
      </c>
      <c r="K13118" s="12" t="s">
        <v>65</v>
      </c>
    </row>
    <row r="13119" spans="1:11" ht="40.049999999999997" customHeight="1" x14ac:dyDescent="0.25">
      <c r="A13119" s="11" t="s">
        <v>25577</v>
      </c>
      <c r="B13119" s="11" t="s">
        <v>25577</v>
      </c>
      <c r="C13119" s="11" t="s">
        <v>17</v>
      </c>
      <c r="D13119" s="11" t="s">
        <v>18</v>
      </c>
      <c r="E13119" s="12" t="s">
        <v>2210</v>
      </c>
      <c r="F13119" s="12" t="s">
        <v>2211</v>
      </c>
      <c r="G13119" s="12" t="s">
        <v>46</v>
      </c>
      <c r="H13119" s="11" t="s">
        <v>63</v>
      </c>
      <c r="I13119" s="13" t="s">
        <v>25578</v>
      </c>
      <c r="J13119" s="14" t="str">
        <f>HYPERLINK("https://www.boe.es/gazeta/dias/1839/09/05/pdfs/GMD-1839-1758.pdf#page=3","Abrir facsímil")</f>
        <v>Abrir facsímil</v>
      </c>
      <c r="K13119" s="12" t="s">
        <v>65</v>
      </c>
    </row>
    <row r="13120" spans="1:11" ht="40.049999999999997" customHeight="1" x14ac:dyDescent="0.25">
      <c r="A13120" s="11" t="s">
        <v>25577</v>
      </c>
      <c r="B13120" s="11" t="s">
        <v>25577</v>
      </c>
      <c r="C13120" s="11" t="s">
        <v>17</v>
      </c>
      <c r="D13120" s="11" t="s">
        <v>18</v>
      </c>
      <c r="E13120" s="12" t="s">
        <v>946</v>
      </c>
      <c r="F13120" s="12" t="s">
        <v>947</v>
      </c>
      <c r="G13120" s="12" t="s">
        <v>21</v>
      </c>
      <c r="H13120" s="11" t="s">
        <v>63</v>
      </c>
      <c r="I13120" s="13" t="s">
        <v>25579</v>
      </c>
      <c r="J13120" s="14" t="str">
        <f>HYPERLINK("https://www.boe.es/gazeta/dias/1839/04/15/pdfs/GMD-1839-1612.pdf#page=4","Abrir facsímil")</f>
        <v>Abrir facsímil</v>
      </c>
      <c r="K13120" s="12" t="s">
        <v>65</v>
      </c>
    </row>
    <row r="13121" spans="1:11" ht="40.049999999999997" customHeight="1" x14ac:dyDescent="0.25">
      <c r="A13121" s="11" t="s">
        <v>25577</v>
      </c>
      <c r="B13121" s="11" t="s">
        <v>25577</v>
      </c>
      <c r="C13121" s="11" t="s">
        <v>137</v>
      </c>
      <c r="D13121" s="11" t="s">
        <v>18</v>
      </c>
      <c r="E13121" s="12" t="s">
        <v>230</v>
      </c>
      <c r="F13121" s="12" t="s">
        <v>231</v>
      </c>
      <c r="G13121" s="12" t="s">
        <v>46</v>
      </c>
      <c r="H13121" s="11" t="s">
        <v>63</v>
      </c>
      <c r="I13121" s="13" t="s">
        <v>25580</v>
      </c>
      <c r="J13121" s="14" t="str">
        <f>HYPERLINK("https://www.boe.es/gazeta/dias/1839/09/16/pdfs/GMD-1839-1769.pdf#page=3","Abrir facsímil")</f>
        <v>Abrir facsímil</v>
      </c>
      <c r="K13121" s="12" t="s">
        <v>65</v>
      </c>
    </row>
    <row r="13122" spans="1:11" ht="40.049999999999997" customHeight="1" x14ac:dyDescent="0.25">
      <c r="A13122" s="11" t="s">
        <v>25577</v>
      </c>
      <c r="B13122" s="11" t="s">
        <v>25577</v>
      </c>
      <c r="C13122" s="11" t="s">
        <v>17</v>
      </c>
      <c r="D13122" s="11" t="s">
        <v>18</v>
      </c>
      <c r="E13122" s="12" t="s">
        <v>2069</v>
      </c>
      <c r="F13122" s="12" t="s">
        <v>2070</v>
      </c>
      <c r="G13122" s="12" t="s">
        <v>21</v>
      </c>
      <c r="H13122" s="11" t="s">
        <v>63</v>
      </c>
      <c r="I13122" s="13" t="s">
        <v>25581</v>
      </c>
      <c r="J13122" s="14" t="str">
        <f>HYPERLINK("https://www.boe.es/gazeta/dias/1839/10/20/pdfs/GMD-1839-1806.pdf#page=4","Abrir facsímil")</f>
        <v>Abrir facsímil</v>
      </c>
      <c r="K13122" s="12" t="s">
        <v>65</v>
      </c>
    </row>
    <row r="13123" spans="1:11" ht="40.049999999999997" customHeight="1" x14ac:dyDescent="0.25">
      <c r="A13123" s="11" t="s">
        <v>25577</v>
      </c>
      <c r="B13123" s="11" t="s">
        <v>25577</v>
      </c>
      <c r="C13123" s="11" t="s">
        <v>17</v>
      </c>
      <c r="D13123" s="11" t="s">
        <v>18</v>
      </c>
      <c r="E13123" s="12" t="s">
        <v>496</v>
      </c>
      <c r="F13123" s="12" t="s">
        <v>497</v>
      </c>
      <c r="G13123" s="12" t="s">
        <v>21</v>
      </c>
      <c r="H13123" s="11" t="s">
        <v>63</v>
      </c>
      <c r="I13123" s="13" t="s">
        <v>25582</v>
      </c>
      <c r="J13123" s="14" t="str">
        <f>HYPERLINK("https://www.boe.es/gazeta/dias/1839/11/23/pdfs/GMD-1839-1840.pdf#page=4","Abrir facsímil")</f>
        <v>Abrir facsímil</v>
      </c>
      <c r="K13123" s="12" t="s">
        <v>65</v>
      </c>
    </row>
    <row r="13124" spans="1:11" ht="40.049999999999997" customHeight="1" x14ac:dyDescent="0.25">
      <c r="A13124" s="11" t="s">
        <v>25577</v>
      </c>
      <c r="B13124" s="11" t="s">
        <v>25577</v>
      </c>
      <c r="C13124" s="11" t="s">
        <v>101</v>
      </c>
      <c r="D13124" s="11" t="s">
        <v>43</v>
      </c>
      <c r="E13124" s="12" t="s">
        <v>650</v>
      </c>
      <c r="F13124" s="12" t="s">
        <v>651</v>
      </c>
      <c r="G13124" s="12" t="s">
        <v>40</v>
      </c>
      <c r="H13124" s="11" t="s">
        <v>63</v>
      </c>
      <c r="I13124" s="13" t="s">
        <v>25583</v>
      </c>
      <c r="J13124" s="14" t="str">
        <f>HYPERLINK("https://www.boe.es/gazeta/dias/1839/10/25/pdfs/GMD-1839-1811.pdf#page=2","Abrir facsímil")</f>
        <v>Abrir facsímil</v>
      </c>
      <c r="K13124" s="12" t="s">
        <v>65</v>
      </c>
    </row>
    <row r="13125" spans="1:11" ht="40.049999999999997" customHeight="1" x14ac:dyDescent="0.25">
      <c r="A13125" s="11" t="s">
        <v>25584</v>
      </c>
      <c r="B13125" s="11" t="s">
        <v>25584</v>
      </c>
      <c r="C13125" s="11" t="s">
        <v>59</v>
      </c>
      <c r="D13125" s="11" t="s">
        <v>60</v>
      </c>
      <c r="E13125" s="12" t="s">
        <v>668</v>
      </c>
      <c r="F13125" s="12" t="s">
        <v>669</v>
      </c>
      <c r="G13125" s="12" t="s">
        <v>40</v>
      </c>
      <c r="H13125" s="11" t="s">
        <v>63</v>
      </c>
      <c r="I13125" s="13" t="s">
        <v>25585</v>
      </c>
      <c r="J13125" s="14" t="str">
        <f>HYPERLINK("https://www.boe.es/gazeta/dias/1839/03/28/pdfs/GMD-1839-1594.pdf#page=2","Abrir facsímil")</f>
        <v>Abrir facsímil</v>
      </c>
      <c r="K13125" s="12" t="s">
        <v>65</v>
      </c>
    </row>
    <row r="13126" spans="1:11" ht="40.049999999999997" customHeight="1" x14ac:dyDescent="0.25">
      <c r="A13126" s="11" t="s">
        <v>25586</v>
      </c>
      <c r="B13126" s="11" t="s">
        <v>25586</v>
      </c>
      <c r="C13126" s="11" t="s">
        <v>80</v>
      </c>
      <c r="D13126" s="11" t="s">
        <v>18</v>
      </c>
      <c r="E13126" s="12" t="s">
        <v>713</v>
      </c>
      <c r="F13126" s="12" t="s">
        <v>714</v>
      </c>
      <c r="G13126" s="12" t="s">
        <v>40</v>
      </c>
      <c r="H13126" s="11" t="s">
        <v>63</v>
      </c>
      <c r="I13126" s="13" t="s">
        <v>25587</v>
      </c>
      <c r="J13126" s="14" t="str">
        <f>HYPERLINK("https://www.boe.es/gazeta/dias/1839/12/18/pdfs/GMD-1839-1865.pdf#page=2","Abrir facsímil")</f>
        <v>Abrir facsímil</v>
      </c>
      <c r="K13126" s="12" t="s">
        <v>65</v>
      </c>
    </row>
    <row r="13127" spans="1:11" ht="40.049999999999997" customHeight="1" x14ac:dyDescent="0.25">
      <c r="A13127" s="11" t="s">
        <v>25588</v>
      </c>
      <c r="B13127" s="11" t="s">
        <v>25588</v>
      </c>
      <c r="C13127" s="11" t="s">
        <v>17</v>
      </c>
      <c r="D13127" s="11" t="s">
        <v>18</v>
      </c>
      <c r="E13127" s="12" t="s">
        <v>782</v>
      </c>
      <c r="F13127" s="12" t="s">
        <v>783</v>
      </c>
      <c r="G13127" s="12" t="s">
        <v>46</v>
      </c>
      <c r="H13127" s="11" t="s">
        <v>63</v>
      </c>
      <c r="I13127" s="13" t="s">
        <v>25589</v>
      </c>
      <c r="J13127" s="14" t="str">
        <f>HYPERLINK("https://www.boe.es/gazeta/dias/1839/05/09/pdfs/GMD-1839-1636.pdf#page=3","Abrir facsímil")</f>
        <v>Abrir facsímil</v>
      </c>
      <c r="K13127" s="12" t="s">
        <v>65</v>
      </c>
    </row>
    <row r="13128" spans="1:11" ht="40.049999999999997" customHeight="1" x14ac:dyDescent="0.25">
      <c r="A13128" s="11" t="s">
        <v>25588</v>
      </c>
      <c r="B13128" s="11" t="s">
        <v>25588</v>
      </c>
      <c r="C13128" s="11" t="s">
        <v>59</v>
      </c>
      <c r="D13128" s="11" t="s">
        <v>60</v>
      </c>
      <c r="E13128" s="12" t="s">
        <v>2349</v>
      </c>
      <c r="F13128" s="12" t="s">
        <v>2350</v>
      </c>
      <c r="G13128" s="12" t="s">
        <v>305</v>
      </c>
      <c r="H13128" s="11" t="s">
        <v>63</v>
      </c>
      <c r="I13128" s="13" t="s">
        <v>25590</v>
      </c>
      <c r="J13128" s="14" t="str">
        <f>HYPERLINK("https://www.boe.es/gazeta/dias/1839/09/29/pdfs/GMD-1839-1785.pdf#page=6","Abrir facsímil")</f>
        <v>Abrir facsímil</v>
      </c>
      <c r="K13128" s="12" t="s">
        <v>65</v>
      </c>
    </row>
    <row r="13129" spans="1:11" ht="40.049999999999997" customHeight="1" x14ac:dyDescent="0.25">
      <c r="A13129" s="11" t="s">
        <v>25591</v>
      </c>
      <c r="B13129" s="11" t="s">
        <v>25592</v>
      </c>
      <c r="C13129" s="11" t="s">
        <v>17</v>
      </c>
      <c r="D13129" s="11" t="s">
        <v>18</v>
      </c>
      <c r="E13129" s="12" t="s">
        <v>1310</v>
      </c>
      <c r="F13129" s="12" t="s">
        <v>1311</v>
      </c>
      <c r="G13129" s="12" t="s">
        <v>40</v>
      </c>
      <c r="H13129" s="11" t="s">
        <v>22</v>
      </c>
      <c r="I13129" s="13" t="s">
        <v>25593</v>
      </c>
      <c r="J13129" s="14" t="str">
        <f>HYPERLINK("https://www.boe.es/gazeta/dias/1839/04/23/pdfs/GMD-1839-1620.pdf#page=2","Abrir facsímil")</f>
        <v>Abrir facsímil</v>
      </c>
      <c r="K13129" s="12" t="s">
        <v>24</v>
      </c>
    </row>
    <row r="13130" spans="1:11" ht="40.049999999999997" customHeight="1" x14ac:dyDescent="0.25">
      <c r="A13130" s="11" t="s">
        <v>25594</v>
      </c>
      <c r="B13130" s="11" t="s">
        <v>25595</v>
      </c>
      <c r="C13130" s="11" t="s">
        <v>17</v>
      </c>
      <c r="D13130" s="11" t="s">
        <v>18</v>
      </c>
      <c r="E13130" s="12" t="s">
        <v>243</v>
      </c>
      <c r="F13130" s="12" t="s">
        <v>244</v>
      </c>
      <c r="G13130" s="12" t="s">
        <v>40</v>
      </c>
      <c r="H13130" s="11" t="s">
        <v>63</v>
      </c>
      <c r="I13130" s="13" t="s">
        <v>25596</v>
      </c>
      <c r="J13130" s="14" t="str">
        <f>HYPERLINK("https://www.boe.es/gazeta/dias/1839/09/23/pdfs/GMD-1839-1779.pdf#page=2","Abrir facsímil")</f>
        <v>Abrir facsímil</v>
      </c>
      <c r="K13130" s="12" t="s">
        <v>65</v>
      </c>
    </row>
    <row r="13131" spans="1:11" ht="40.049999999999997" customHeight="1" x14ac:dyDescent="0.25">
      <c r="A13131" s="11" t="s">
        <v>25594</v>
      </c>
      <c r="B13131" s="11" t="s">
        <v>25595</v>
      </c>
      <c r="C13131" s="11" t="s">
        <v>17</v>
      </c>
      <c r="D13131" s="11" t="s">
        <v>18</v>
      </c>
      <c r="E13131" s="12" t="s">
        <v>616</v>
      </c>
      <c r="F13131" s="12" t="s">
        <v>617</v>
      </c>
      <c r="G13131" s="12" t="s">
        <v>29</v>
      </c>
      <c r="H13131" s="11" t="s">
        <v>63</v>
      </c>
      <c r="I13131" s="13" t="s">
        <v>25597</v>
      </c>
      <c r="J13131" s="14" t="str">
        <f>HYPERLINK("https://www.boe.es/gazeta/dias/1839/05/29/pdfs/GMD-1839-1656.pdf#page=1","Abrir facsímil")</f>
        <v>Abrir facsímil</v>
      </c>
      <c r="K13131" s="12" t="s">
        <v>65</v>
      </c>
    </row>
    <row r="13132" spans="1:11" ht="40.049999999999997" customHeight="1" x14ac:dyDescent="0.25">
      <c r="A13132" s="11" t="s">
        <v>25598</v>
      </c>
      <c r="B13132" s="11" t="s">
        <v>25598</v>
      </c>
      <c r="C13132" s="11" t="s">
        <v>17</v>
      </c>
      <c r="D13132" s="11" t="s">
        <v>18</v>
      </c>
      <c r="E13132" s="12" t="s">
        <v>448</v>
      </c>
      <c r="F13132" s="12" t="s">
        <v>449</v>
      </c>
      <c r="G13132" s="12" t="s">
        <v>40</v>
      </c>
      <c r="H13132" s="11" t="s">
        <v>22</v>
      </c>
      <c r="I13132" s="13" t="s">
        <v>25599</v>
      </c>
      <c r="J13132" s="14" t="str">
        <f>HYPERLINK("https://www.boe.es/gazeta/dias/1839/02/06/pdfs/GMD-1839-1544.pdf#page=2","Abrir facsímil")</f>
        <v>Abrir facsímil</v>
      </c>
      <c r="K13132" s="12" t="s">
        <v>24</v>
      </c>
    </row>
    <row r="13133" spans="1:11" ht="40.049999999999997" customHeight="1" x14ac:dyDescent="0.25">
      <c r="A13133" s="11" t="s">
        <v>25600</v>
      </c>
      <c r="B13133" s="11" t="s">
        <v>25601</v>
      </c>
      <c r="C13133" s="11" t="s">
        <v>80</v>
      </c>
      <c r="D13133" s="11" t="s">
        <v>18</v>
      </c>
      <c r="E13133" s="12" t="s">
        <v>76</v>
      </c>
      <c r="F13133" s="12" t="s">
        <v>77</v>
      </c>
      <c r="G13133" s="12" t="s">
        <v>46</v>
      </c>
      <c r="H13133" s="11" t="s">
        <v>63</v>
      </c>
      <c r="I13133" s="13" t="s">
        <v>25602</v>
      </c>
      <c r="J13133" s="14" t="str">
        <f>HYPERLINK("https://www.boe.es/gazeta/dias/1839/03/13/pdfs/GMD-1839-1579.pdf#page=3","Abrir facsímil")</f>
        <v>Abrir facsímil</v>
      </c>
      <c r="K13133" s="12" t="s">
        <v>65</v>
      </c>
    </row>
    <row r="13134" spans="1:11" ht="40.049999999999997" customHeight="1" x14ac:dyDescent="0.25">
      <c r="A13134" s="11" t="s">
        <v>25603</v>
      </c>
      <c r="B13134" s="11" t="s">
        <v>25604</v>
      </c>
      <c r="C13134" s="11" t="s">
        <v>59</v>
      </c>
      <c r="D13134" s="11" t="s">
        <v>60</v>
      </c>
      <c r="E13134" s="12" t="s">
        <v>1072</v>
      </c>
      <c r="F13134" s="12" t="s">
        <v>1073</v>
      </c>
      <c r="G13134" s="12" t="s">
        <v>46</v>
      </c>
      <c r="H13134" s="11" t="s">
        <v>63</v>
      </c>
      <c r="I13134" s="13" t="s">
        <v>25605</v>
      </c>
      <c r="J13134" s="14" t="str">
        <f>HYPERLINK("https://www.boe.es/gazeta/dias/1839/01/18/pdfs/GMD-1839-1525.pdf#page=3","Abrir facsímil")</f>
        <v>Abrir facsímil</v>
      </c>
      <c r="K13134" s="12" t="s">
        <v>65</v>
      </c>
    </row>
    <row r="13135" spans="1:11" ht="40.049999999999997" customHeight="1" x14ac:dyDescent="0.25">
      <c r="A13135" s="11" t="s">
        <v>25606</v>
      </c>
      <c r="B13135" s="11" t="s">
        <v>25607</v>
      </c>
      <c r="C13135" s="11" t="s">
        <v>137</v>
      </c>
      <c r="D13135" s="11" t="s">
        <v>18</v>
      </c>
      <c r="E13135" s="12" t="s">
        <v>3614</v>
      </c>
      <c r="F13135" s="12" t="s">
        <v>3615</v>
      </c>
      <c r="G13135" s="12" t="s">
        <v>29</v>
      </c>
      <c r="H13135" s="11" t="s">
        <v>63</v>
      </c>
      <c r="I13135" s="13" t="s">
        <v>25608</v>
      </c>
      <c r="J13135" s="14" t="str">
        <f>HYPERLINK("https://www.boe.es/gazeta/dias/1839/04/04/pdfs/GMD-1839-1601.pdf#page=1","Abrir facsímil")</f>
        <v>Abrir facsímil</v>
      </c>
      <c r="K13135" s="12" t="s">
        <v>65</v>
      </c>
    </row>
    <row r="13136" spans="1:11" ht="40.049999999999997" customHeight="1" x14ac:dyDescent="0.25">
      <c r="A13136" s="11" t="s">
        <v>25609</v>
      </c>
      <c r="B13136" s="11" t="s">
        <v>25610</v>
      </c>
      <c r="C13136" s="11" t="s">
        <v>17</v>
      </c>
      <c r="D13136" s="11" t="s">
        <v>18</v>
      </c>
      <c r="E13136" s="12" t="s">
        <v>3601</v>
      </c>
      <c r="F13136" s="12" t="s">
        <v>3602</v>
      </c>
      <c r="G13136" s="12" t="s">
        <v>29</v>
      </c>
      <c r="H13136" s="11" t="s">
        <v>63</v>
      </c>
      <c r="I13136" s="13" t="s">
        <v>25611</v>
      </c>
      <c r="J13136" s="14" t="str">
        <f>HYPERLINK("https://www.boe.es/gazeta/dias/1839/03/21/pdfs/GMD-1839-1587.pdf#page=1","Abrir facsímil")</f>
        <v>Abrir facsímil</v>
      </c>
      <c r="K13136" s="12" t="s">
        <v>65</v>
      </c>
    </row>
    <row r="13137" spans="1:11" ht="40.049999999999997" customHeight="1" x14ac:dyDescent="0.25">
      <c r="A13137" s="11" t="s">
        <v>25612</v>
      </c>
      <c r="B13137" s="11" t="s">
        <v>25613</v>
      </c>
      <c r="C13137" s="11" t="s">
        <v>59</v>
      </c>
      <c r="D13137" s="11" t="s">
        <v>60</v>
      </c>
      <c r="E13137" s="12" t="s">
        <v>202</v>
      </c>
      <c r="F13137" s="12" t="s">
        <v>203</v>
      </c>
      <c r="G13137" s="12" t="s">
        <v>46</v>
      </c>
      <c r="H13137" s="11" t="s">
        <v>63</v>
      </c>
      <c r="I13137" s="13" t="s">
        <v>25614</v>
      </c>
      <c r="J13137" s="14" t="str">
        <f>HYPERLINK("https://www.boe.es/gazeta/dias/1839/04/05/pdfs/GMD-1839-1602.pdf#page=3","Abrir facsímil")</f>
        <v>Abrir facsímil</v>
      </c>
      <c r="K13137" s="12" t="s">
        <v>65</v>
      </c>
    </row>
    <row r="13138" spans="1:11" ht="40.049999999999997" customHeight="1" x14ac:dyDescent="0.25">
      <c r="A13138" s="11" t="s">
        <v>25615</v>
      </c>
      <c r="B13138" s="11" t="s">
        <v>25615</v>
      </c>
      <c r="C13138" s="11" t="s">
        <v>80</v>
      </c>
      <c r="D13138" s="11" t="s">
        <v>18</v>
      </c>
      <c r="E13138" s="12" t="s">
        <v>4475</v>
      </c>
      <c r="F13138" s="12" t="s">
        <v>4476</v>
      </c>
      <c r="G13138" s="12" t="s">
        <v>46</v>
      </c>
      <c r="H13138" s="11" t="s">
        <v>63</v>
      </c>
      <c r="I13138" s="13" t="s">
        <v>25616</v>
      </c>
      <c r="J13138" s="14" t="str">
        <f>HYPERLINK("https://www.boe.es/gazeta/dias/1839/07/04/pdfs/GMD-1839-1692.pdf#page=3","Abrir facsímil")</f>
        <v>Abrir facsímil</v>
      </c>
      <c r="K13138" s="12" t="s">
        <v>65</v>
      </c>
    </row>
    <row r="13139" spans="1:11" ht="40.049999999999997" customHeight="1" x14ac:dyDescent="0.25">
      <c r="A13139" s="11" t="s">
        <v>25615</v>
      </c>
      <c r="B13139" s="11" t="s">
        <v>25615</v>
      </c>
      <c r="C13139" s="11" t="s">
        <v>80</v>
      </c>
      <c r="D13139" s="11" t="s">
        <v>18</v>
      </c>
      <c r="E13139" s="12" t="s">
        <v>934</v>
      </c>
      <c r="F13139" s="12" t="s">
        <v>935</v>
      </c>
      <c r="G13139" s="12" t="s">
        <v>40</v>
      </c>
      <c r="H13139" s="11" t="s">
        <v>63</v>
      </c>
      <c r="I13139" s="13" t="s">
        <v>25617</v>
      </c>
      <c r="J13139" s="14" t="str">
        <f>HYPERLINK("https://www.boe.es/gazeta/dias/1839/11/07/pdfs/GMD-1839-1824.pdf#page=2","Abrir facsímil")</f>
        <v>Abrir facsímil</v>
      </c>
      <c r="K13139" s="12" t="s">
        <v>65</v>
      </c>
    </row>
    <row r="13140" spans="1:11" ht="40.049999999999997" customHeight="1" x14ac:dyDescent="0.25">
      <c r="A13140" s="11" t="s">
        <v>25618</v>
      </c>
      <c r="B13140" s="11" t="s">
        <v>25618</v>
      </c>
      <c r="C13140" s="11" t="s">
        <v>80</v>
      </c>
      <c r="D13140" s="11" t="s">
        <v>18</v>
      </c>
      <c r="E13140" s="12" t="s">
        <v>516</v>
      </c>
      <c r="F13140" s="12" t="s">
        <v>517</v>
      </c>
      <c r="G13140" s="12" t="s">
        <v>40</v>
      </c>
      <c r="H13140" s="11" t="s">
        <v>63</v>
      </c>
      <c r="I13140" s="13" t="s">
        <v>25619</v>
      </c>
      <c r="J13140" s="14" t="str">
        <f>HYPERLINK("https://www.boe.es/gazeta/dias/1839/06/21/pdfs/GMD-1839-1679.pdf#page=2","Abrir facsímil")</f>
        <v>Abrir facsímil</v>
      </c>
      <c r="K13140" s="12" t="s">
        <v>65</v>
      </c>
    </row>
    <row r="13141" spans="1:11" ht="40.049999999999997" customHeight="1" x14ac:dyDescent="0.25">
      <c r="A13141" s="11" t="s">
        <v>25620</v>
      </c>
      <c r="B13141" s="11" t="s">
        <v>25620</v>
      </c>
      <c r="C13141" s="11" t="s">
        <v>17</v>
      </c>
      <c r="D13141" s="11" t="s">
        <v>18</v>
      </c>
      <c r="E13141" s="12" t="s">
        <v>76</v>
      </c>
      <c r="F13141" s="12" t="s">
        <v>77</v>
      </c>
      <c r="G13141" s="12" t="s">
        <v>40</v>
      </c>
      <c r="H13141" s="11" t="s">
        <v>63</v>
      </c>
      <c r="I13141" s="13" t="s">
        <v>25621</v>
      </c>
      <c r="J13141" s="14" t="str">
        <f>HYPERLINK("https://www.boe.es/gazeta/dias/1839/03/13/pdfs/GMD-1839-1579.pdf#page=2","Abrir facsímil")</f>
        <v>Abrir facsímil</v>
      </c>
      <c r="K13141" s="12" t="s">
        <v>65</v>
      </c>
    </row>
    <row r="13142" spans="1:11" ht="40.049999999999997" customHeight="1" x14ac:dyDescent="0.25">
      <c r="A13142" s="11" t="s">
        <v>25622</v>
      </c>
      <c r="B13142" s="11" t="s">
        <v>25623</v>
      </c>
      <c r="C13142" s="11" t="s">
        <v>17</v>
      </c>
      <c r="D13142" s="11" t="s">
        <v>18</v>
      </c>
      <c r="E13142" s="12" t="s">
        <v>76</v>
      </c>
      <c r="F13142" s="12" t="s">
        <v>77</v>
      </c>
      <c r="G13142" s="12" t="s">
        <v>46</v>
      </c>
      <c r="H13142" s="11" t="s">
        <v>63</v>
      </c>
      <c r="I13142" s="13" t="s">
        <v>25624</v>
      </c>
      <c r="J13142" s="14" t="str">
        <f>HYPERLINK("https://www.boe.es/gazeta/dias/1839/03/13/pdfs/GMD-1839-1579.pdf#page=3","Abrir facsímil")</f>
        <v>Abrir facsímil</v>
      </c>
      <c r="K13142" s="12" t="s">
        <v>65</v>
      </c>
    </row>
    <row r="13143" spans="1:11" ht="40.049999999999997" customHeight="1" x14ac:dyDescent="0.25">
      <c r="A13143" s="11" t="s">
        <v>25625</v>
      </c>
      <c r="B13143" s="11" t="s">
        <v>25626</v>
      </c>
      <c r="C13143" s="11" t="s">
        <v>59</v>
      </c>
      <c r="D13143" s="11" t="s">
        <v>60</v>
      </c>
      <c r="E13143" s="12" t="s">
        <v>3566</v>
      </c>
      <c r="F13143" s="12" t="s">
        <v>3567</v>
      </c>
      <c r="G13143" s="12" t="s">
        <v>29</v>
      </c>
      <c r="H13143" s="11" t="s">
        <v>63</v>
      </c>
      <c r="I13143" s="13" t="s">
        <v>25627</v>
      </c>
      <c r="J13143" s="14" t="str">
        <f>HYPERLINK("https://www.boe.es/gazeta/dias/1839/07/06/pdfs/GMD-1839-1694.pdf#page=1","Abrir facsímil")</f>
        <v>Abrir facsímil</v>
      </c>
      <c r="K13143" s="12" t="s">
        <v>65</v>
      </c>
    </row>
    <row r="13144" spans="1:11" ht="40.049999999999997" customHeight="1" x14ac:dyDescent="0.25">
      <c r="A13144" s="11" t="s">
        <v>25625</v>
      </c>
      <c r="B13144" s="11" t="s">
        <v>25626</v>
      </c>
      <c r="C13144" s="11" t="s">
        <v>80</v>
      </c>
      <c r="D13144" s="11" t="s">
        <v>18</v>
      </c>
      <c r="E13144" s="12" t="s">
        <v>121</v>
      </c>
      <c r="F13144" s="12" t="s">
        <v>122</v>
      </c>
      <c r="G13144" s="12" t="s">
        <v>29</v>
      </c>
      <c r="H13144" s="11" t="s">
        <v>63</v>
      </c>
      <c r="I13144" s="13" t="s">
        <v>25628</v>
      </c>
      <c r="J13144" s="14" t="str">
        <f>HYPERLINK("https://www.boe.es/gazeta/dias/1839/06/08/pdfs/GMD-1839-1666.pdf#page=1","Abrir facsímil")</f>
        <v>Abrir facsímil</v>
      </c>
      <c r="K13144" s="12" t="s">
        <v>65</v>
      </c>
    </row>
    <row r="13145" spans="1:11" ht="40.049999999999997" customHeight="1" x14ac:dyDescent="0.25">
      <c r="A13145" s="11" t="s">
        <v>25625</v>
      </c>
      <c r="B13145" s="11" t="s">
        <v>25626</v>
      </c>
      <c r="C13145" s="11" t="s">
        <v>17</v>
      </c>
      <c r="D13145" s="11" t="s">
        <v>18</v>
      </c>
      <c r="E13145" s="12" t="s">
        <v>416</v>
      </c>
      <c r="F13145" s="12" t="s">
        <v>417</v>
      </c>
      <c r="G13145" s="12" t="s">
        <v>29</v>
      </c>
      <c r="H13145" s="11" t="s">
        <v>63</v>
      </c>
      <c r="I13145" s="13" t="s">
        <v>25629</v>
      </c>
      <c r="J13145" s="14" t="str">
        <f>HYPERLINK("https://www.boe.es/gazeta/dias/1839/10/24/pdfs/GMD-1839-1810.pdf#page=1","Abrir facsímil")</f>
        <v>Abrir facsímil</v>
      </c>
      <c r="K13145" s="12" t="s">
        <v>65</v>
      </c>
    </row>
    <row r="13146" spans="1:11" ht="40.049999999999997" customHeight="1" x14ac:dyDescent="0.25">
      <c r="A13146" s="11" t="s">
        <v>25630</v>
      </c>
      <c r="B13146" s="11" t="s">
        <v>25631</v>
      </c>
      <c r="C13146" s="11" t="s">
        <v>137</v>
      </c>
      <c r="D13146" s="11" t="s">
        <v>18</v>
      </c>
      <c r="E13146" s="12" t="s">
        <v>785</v>
      </c>
      <c r="F13146" s="12" t="s">
        <v>786</v>
      </c>
      <c r="G13146" s="12" t="s">
        <v>21</v>
      </c>
      <c r="H13146" s="11" t="s">
        <v>63</v>
      </c>
      <c r="I13146" s="13" t="s">
        <v>25632</v>
      </c>
      <c r="J13146" s="14" t="str">
        <f>HYPERLINK("https://www.boe.es/gazeta/dias/1839/07/13/pdfs/GMD-1839-1701.pdf#page=4","Abrir facsímil")</f>
        <v>Abrir facsímil</v>
      </c>
      <c r="K13146" s="12" t="s">
        <v>65</v>
      </c>
    </row>
    <row r="13147" spans="1:11" ht="40.049999999999997" customHeight="1" x14ac:dyDescent="0.25">
      <c r="A13147" s="11" t="s">
        <v>25633</v>
      </c>
      <c r="B13147" s="11" t="s">
        <v>25633</v>
      </c>
      <c r="C13147" s="11" t="s">
        <v>59</v>
      </c>
      <c r="D13147" s="11" t="s">
        <v>60</v>
      </c>
      <c r="E13147" s="12" t="s">
        <v>212</v>
      </c>
      <c r="F13147" s="12" t="s">
        <v>213</v>
      </c>
      <c r="G13147" s="12" t="s">
        <v>40</v>
      </c>
      <c r="H13147" s="11" t="s">
        <v>63</v>
      </c>
      <c r="I13147" s="13" t="s">
        <v>25634</v>
      </c>
      <c r="J13147" s="14" t="str">
        <f>HYPERLINK("https://www.boe.es/gazeta/dias/1839/10/03/pdfs/GMD-1839-1789.pdf#page=2","Abrir facsímil")</f>
        <v>Abrir facsímil</v>
      </c>
      <c r="K13147" s="12" t="s">
        <v>65</v>
      </c>
    </row>
    <row r="13148" spans="1:11" ht="40.049999999999997" customHeight="1" x14ac:dyDescent="0.25">
      <c r="A13148" s="11" t="s">
        <v>25633</v>
      </c>
      <c r="B13148" s="11" t="s">
        <v>25633</v>
      </c>
      <c r="C13148" s="11" t="s">
        <v>17</v>
      </c>
      <c r="D13148" s="11" t="s">
        <v>18</v>
      </c>
      <c r="E13148" s="12" t="s">
        <v>3114</v>
      </c>
      <c r="F13148" s="12" t="s">
        <v>3115</v>
      </c>
      <c r="G13148" s="12" t="s">
        <v>40</v>
      </c>
      <c r="H13148" s="11" t="s">
        <v>63</v>
      </c>
      <c r="I13148" s="13" t="s">
        <v>25635</v>
      </c>
      <c r="J13148" s="14" t="str">
        <f>HYPERLINK("https://www.boe.es/gazeta/dias/1839/05/15/pdfs/GMD-1839-1642.pdf#page=2","Abrir facsímil")</f>
        <v>Abrir facsímil</v>
      </c>
      <c r="K13148" s="12" t="s">
        <v>65</v>
      </c>
    </row>
    <row r="13149" spans="1:11" ht="40.049999999999997" customHeight="1" x14ac:dyDescent="0.25">
      <c r="A13149" s="11" t="s">
        <v>25636</v>
      </c>
      <c r="B13149" s="11" t="s">
        <v>25637</v>
      </c>
      <c r="C13149" s="11" t="s">
        <v>17</v>
      </c>
      <c r="D13149" s="11" t="s">
        <v>18</v>
      </c>
      <c r="E13149" s="12" t="s">
        <v>1123</v>
      </c>
      <c r="F13149" s="12" t="s">
        <v>1124</v>
      </c>
      <c r="G13149" s="12" t="s">
        <v>40</v>
      </c>
      <c r="H13149" s="11" t="s">
        <v>63</v>
      </c>
      <c r="I13149" s="13" t="s">
        <v>25638</v>
      </c>
      <c r="J13149" s="14" t="str">
        <f>HYPERLINK("https://www.boe.es/gazeta/dias/1839/08/10/pdfs/GMD-1839-1730.pdf#page=2","Abrir facsímil")</f>
        <v>Abrir facsímil</v>
      </c>
      <c r="K13149" s="12" t="s">
        <v>65</v>
      </c>
    </row>
    <row r="13150" spans="1:11" ht="40.049999999999997" customHeight="1" x14ac:dyDescent="0.25">
      <c r="A13150" s="11" t="s">
        <v>25639</v>
      </c>
      <c r="B13150" s="11" t="s">
        <v>25639</v>
      </c>
      <c r="C13150" s="11" t="s">
        <v>17</v>
      </c>
      <c r="D13150" s="11" t="s">
        <v>18</v>
      </c>
      <c r="E13150" s="12" t="s">
        <v>1374</v>
      </c>
      <c r="F13150" s="12" t="s">
        <v>1375</v>
      </c>
      <c r="G13150" s="12" t="s">
        <v>29</v>
      </c>
      <c r="H13150" s="11" t="s">
        <v>63</v>
      </c>
      <c r="I13150" s="13" t="s">
        <v>25640</v>
      </c>
      <c r="J13150" s="14" t="str">
        <f>HYPERLINK("https://www.boe.es/gazeta/dias/1839/07/20/pdfs/GMD-1839-1708.pdf#page=1","Abrir facsímil")</f>
        <v>Abrir facsímil</v>
      </c>
      <c r="K13150" s="12" t="s">
        <v>65</v>
      </c>
    </row>
    <row r="13151" spans="1:11" ht="40.049999999999997" customHeight="1" x14ac:dyDescent="0.25">
      <c r="A13151" s="11" t="s">
        <v>25639</v>
      </c>
      <c r="B13151" s="11" t="s">
        <v>25639</v>
      </c>
      <c r="C13151" s="11" t="s">
        <v>59</v>
      </c>
      <c r="D13151" s="11" t="s">
        <v>60</v>
      </c>
      <c r="E13151" s="12" t="s">
        <v>1374</v>
      </c>
      <c r="F13151" s="12" t="s">
        <v>1375</v>
      </c>
      <c r="G13151" s="12" t="s">
        <v>40</v>
      </c>
      <c r="H13151" s="11" t="s">
        <v>63</v>
      </c>
      <c r="I13151" s="13" t="s">
        <v>25641</v>
      </c>
      <c r="J13151" s="14" t="str">
        <f>HYPERLINK("https://www.boe.es/gazeta/dias/1839/07/20/pdfs/GMD-1839-1708.pdf#page=2","Abrir facsímil")</f>
        <v>Abrir facsímil</v>
      </c>
      <c r="K13151" s="12" t="s">
        <v>65</v>
      </c>
    </row>
    <row r="13152" spans="1:11" ht="40.049999999999997" customHeight="1" x14ac:dyDescent="0.25">
      <c r="A13152" s="11" t="s">
        <v>25642</v>
      </c>
      <c r="B13152" s="11" t="s">
        <v>25642</v>
      </c>
      <c r="C13152" s="11" t="s">
        <v>80</v>
      </c>
      <c r="D13152" s="11" t="s">
        <v>18</v>
      </c>
      <c r="E13152" s="12" t="s">
        <v>1057</v>
      </c>
      <c r="F13152" s="12" t="s">
        <v>1058</v>
      </c>
      <c r="G13152" s="12" t="s">
        <v>46</v>
      </c>
      <c r="H13152" s="11" t="s">
        <v>63</v>
      </c>
      <c r="I13152" s="13" t="s">
        <v>25643</v>
      </c>
      <c r="J13152" s="14" t="str">
        <f>HYPERLINK("https://www.boe.es/gazeta/dias/1839/10/01/pdfs/GMD-1839-1787.pdf#page=3","Abrir facsímil")</f>
        <v>Abrir facsímil</v>
      </c>
      <c r="K13152" s="12" t="s">
        <v>65</v>
      </c>
    </row>
    <row r="13153" spans="1:11" ht="40.049999999999997" customHeight="1" x14ac:dyDescent="0.25">
      <c r="A13153" s="11" t="s">
        <v>25642</v>
      </c>
      <c r="B13153" s="11" t="s">
        <v>25642</v>
      </c>
      <c r="C13153" s="11" t="s">
        <v>17</v>
      </c>
      <c r="D13153" s="11" t="s">
        <v>18</v>
      </c>
      <c r="E13153" s="12" t="s">
        <v>369</v>
      </c>
      <c r="F13153" s="12" t="s">
        <v>370</v>
      </c>
      <c r="G13153" s="12" t="s">
        <v>40</v>
      </c>
      <c r="H13153" s="11" t="s">
        <v>63</v>
      </c>
      <c r="I13153" s="13" t="s">
        <v>25644</v>
      </c>
      <c r="J13153" s="14" t="str">
        <f>HYPERLINK("https://www.boe.es/gazeta/dias/1839/11/01/pdfs/GMD-1839-1818.pdf#page=2","Abrir facsímil")</f>
        <v>Abrir facsímil</v>
      </c>
      <c r="K13153" s="12" t="s">
        <v>65</v>
      </c>
    </row>
    <row r="13154" spans="1:11" ht="40.049999999999997" customHeight="1" x14ac:dyDescent="0.25">
      <c r="A13154" s="11" t="s">
        <v>25642</v>
      </c>
      <c r="B13154" s="11" t="s">
        <v>25642</v>
      </c>
      <c r="C13154" s="11" t="s">
        <v>80</v>
      </c>
      <c r="D13154" s="11" t="s">
        <v>18</v>
      </c>
      <c r="E13154" s="12" t="s">
        <v>798</v>
      </c>
      <c r="F13154" s="12" t="s">
        <v>799</v>
      </c>
      <c r="G13154" s="12" t="s">
        <v>40</v>
      </c>
      <c r="H13154" s="11" t="s">
        <v>63</v>
      </c>
      <c r="I13154" s="13" t="s">
        <v>25645</v>
      </c>
      <c r="J13154" s="14" t="str">
        <f>HYPERLINK("https://www.boe.es/gazeta/dias/1839/09/03/pdfs/GMD-1839-1755.pdf#page=2","Abrir facsímil")</f>
        <v>Abrir facsímil</v>
      </c>
      <c r="K13154" s="12" t="s">
        <v>65</v>
      </c>
    </row>
    <row r="13155" spans="1:11" ht="40.049999999999997" customHeight="1" x14ac:dyDescent="0.25">
      <c r="A13155" s="11" t="s">
        <v>25642</v>
      </c>
      <c r="B13155" s="11" t="s">
        <v>25642</v>
      </c>
      <c r="C13155" s="11" t="s">
        <v>17</v>
      </c>
      <c r="D13155" s="11" t="s">
        <v>18</v>
      </c>
      <c r="E13155" s="12" t="s">
        <v>197</v>
      </c>
      <c r="F13155" s="12" t="s">
        <v>198</v>
      </c>
      <c r="G13155" s="12" t="s">
        <v>40</v>
      </c>
      <c r="H13155" s="11" t="s">
        <v>63</v>
      </c>
      <c r="I13155" s="13" t="s">
        <v>25646</v>
      </c>
      <c r="J13155" s="14" t="str">
        <f>HYPERLINK("https://www.boe.es/gazeta/dias/1839/10/04/pdfs/GMD-1839-1790.pdf#page=2","Abrir facsímil")</f>
        <v>Abrir facsímil</v>
      </c>
      <c r="K13155" s="12" t="s">
        <v>65</v>
      </c>
    </row>
    <row r="13156" spans="1:11" ht="40.049999999999997" customHeight="1" x14ac:dyDescent="0.25">
      <c r="A13156" s="11" t="s">
        <v>25642</v>
      </c>
      <c r="B13156" s="11" t="s">
        <v>25642</v>
      </c>
      <c r="C13156" s="11" t="s">
        <v>101</v>
      </c>
      <c r="D13156" s="11" t="s">
        <v>43</v>
      </c>
      <c r="E13156" s="12" t="s">
        <v>2210</v>
      </c>
      <c r="F13156" s="12" t="s">
        <v>2211</v>
      </c>
      <c r="G13156" s="12" t="s">
        <v>46</v>
      </c>
      <c r="H13156" s="11" t="s">
        <v>63</v>
      </c>
      <c r="I13156" s="13" t="s">
        <v>25647</v>
      </c>
      <c r="J13156" s="14" t="str">
        <f>HYPERLINK("https://www.boe.es/gazeta/dias/1839/09/05/pdfs/GMD-1839-1758.pdf#page=3","Abrir facsímil")</f>
        <v>Abrir facsímil</v>
      </c>
      <c r="K13156" s="12" t="s">
        <v>65</v>
      </c>
    </row>
    <row r="13157" spans="1:11" ht="40.049999999999997" customHeight="1" x14ac:dyDescent="0.25">
      <c r="A13157" s="11" t="s">
        <v>25648</v>
      </c>
      <c r="B13157" s="11" t="s">
        <v>25648</v>
      </c>
      <c r="C13157" s="11" t="s">
        <v>101</v>
      </c>
      <c r="D13157" s="11" t="s">
        <v>43</v>
      </c>
      <c r="E13157" s="12" t="s">
        <v>303</v>
      </c>
      <c r="F13157" s="12" t="s">
        <v>304</v>
      </c>
      <c r="G13157" s="12" t="s">
        <v>29</v>
      </c>
      <c r="H13157" s="11" t="s">
        <v>22</v>
      </c>
      <c r="I13157" s="13" t="s">
        <v>25649</v>
      </c>
      <c r="J13157" s="14" t="str">
        <f>HYPERLINK("https://www.boe.es/gazeta/dias/1839/10/06/pdfs/GMD-1839-1792.pdf#page=1","Abrir facsímil")</f>
        <v>Abrir facsímil</v>
      </c>
      <c r="K13157" s="12" t="s">
        <v>24</v>
      </c>
    </row>
    <row r="13158" spans="1:11" ht="40.049999999999997" customHeight="1" x14ac:dyDescent="0.25">
      <c r="A13158" s="11" t="s">
        <v>25642</v>
      </c>
      <c r="B13158" s="11" t="s">
        <v>25642</v>
      </c>
      <c r="C13158" s="11" t="s">
        <v>17</v>
      </c>
      <c r="D13158" s="11" t="s">
        <v>18</v>
      </c>
      <c r="E13158" s="12" t="s">
        <v>303</v>
      </c>
      <c r="F13158" s="12" t="s">
        <v>304</v>
      </c>
      <c r="G13158" s="12" t="s">
        <v>40</v>
      </c>
      <c r="H13158" s="11" t="s">
        <v>63</v>
      </c>
      <c r="I13158" s="13" t="s">
        <v>25650</v>
      </c>
      <c r="J13158" s="14" t="str">
        <f>HYPERLINK("https://www.boe.es/gazeta/dias/1839/10/06/pdfs/GMD-1839-1792.pdf#page=2","Abrir facsímil")</f>
        <v>Abrir facsímil</v>
      </c>
      <c r="K13158" s="12" t="s">
        <v>65</v>
      </c>
    </row>
    <row r="13159" spans="1:11" ht="40.049999999999997" customHeight="1" x14ac:dyDescent="0.25">
      <c r="A13159" s="11" t="s">
        <v>25642</v>
      </c>
      <c r="B13159" s="11" t="s">
        <v>25642</v>
      </c>
      <c r="C13159" s="11" t="s">
        <v>17</v>
      </c>
      <c r="D13159" s="11" t="s">
        <v>18</v>
      </c>
      <c r="E13159" s="12" t="s">
        <v>1631</v>
      </c>
      <c r="F13159" s="12" t="s">
        <v>1632</v>
      </c>
      <c r="G13159" s="12" t="s">
        <v>21</v>
      </c>
      <c r="H13159" s="11" t="s">
        <v>63</v>
      </c>
      <c r="I13159" s="13" t="s">
        <v>25651</v>
      </c>
      <c r="J13159" s="14" t="str">
        <f>HYPERLINK("https://www.boe.es/gazeta/dias/1839/05/10/pdfs/GMD-1839-1637.pdf#page=4","Abrir facsímil")</f>
        <v>Abrir facsímil</v>
      </c>
      <c r="K13159" s="12" t="s">
        <v>65</v>
      </c>
    </row>
    <row r="13160" spans="1:11" ht="40.049999999999997" customHeight="1" x14ac:dyDescent="0.25">
      <c r="A13160" s="11" t="s">
        <v>25642</v>
      </c>
      <c r="B13160" s="11" t="s">
        <v>25642</v>
      </c>
      <c r="C13160" s="11" t="s">
        <v>101</v>
      </c>
      <c r="D13160" s="11" t="s">
        <v>43</v>
      </c>
      <c r="E13160" s="12" t="s">
        <v>561</v>
      </c>
      <c r="F13160" s="12" t="s">
        <v>562</v>
      </c>
      <c r="G13160" s="12" t="s">
        <v>46</v>
      </c>
      <c r="H13160" s="11" t="s">
        <v>63</v>
      </c>
      <c r="I13160" s="13" t="s">
        <v>25652</v>
      </c>
      <c r="J13160" s="14" t="str">
        <f>HYPERLINK("https://www.boe.es/gazeta/dias/1839/09/11/pdfs/GMD-1839-1764.pdf#page=3","Abrir facsímil")</f>
        <v>Abrir facsímil</v>
      </c>
      <c r="K13160" s="12" t="s">
        <v>65</v>
      </c>
    </row>
    <row r="13161" spans="1:11" ht="40.049999999999997" customHeight="1" x14ac:dyDescent="0.25">
      <c r="A13161" s="11" t="s">
        <v>25648</v>
      </c>
      <c r="B13161" s="11" t="s">
        <v>25648</v>
      </c>
      <c r="C13161" s="11" t="s">
        <v>137</v>
      </c>
      <c r="D13161" s="11" t="s">
        <v>18</v>
      </c>
      <c r="E13161" s="12" t="s">
        <v>1100</v>
      </c>
      <c r="F13161" s="12" t="s">
        <v>1101</v>
      </c>
      <c r="G13161" s="12" t="s">
        <v>46</v>
      </c>
      <c r="H13161" s="11" t="s">
        <v>22</v>
      </c>
      <c r="I13161" s="13" t="s">
        <v>25653</v>
      </c>
      <c r="J13161" s="14" t="str">
        <f>HYPERLINK("https://www.boe.es/gazeta/dias/1839/09/13/pdfs/GMD-1839-1766.pdf#page=3","Abrir facsímil")</f>
        <v>Abrir facsímil</v>
      </c>
      <c r="K13161" s="12" t="s">
        <v>24</v>
      </c>
    </row>
    <row r="13162" spans="1:11" ht="40.049999999999997" customHeight="1" x14ac:dyDescent="0.25">
      <c r="A13162" s="11" t="s">
        <v>25648</v>
      </c>
      <c r="B13162" s="11" t="s">
        <v>25648</v>
      </c>
      <c r="C13162" s="11" t="s">
        <v>17</v>
      </c>
      <c r="D13162" s="11" t="s">
        <v>18</v>
      </c>
      <c r="E13162" s="12" t="s">
        <v>2650</v>
      </c>
      <c r="F13162" s="12" t="s">
        <v>2651</v>
      </c>
      <c r="G13162" s="12" t="s">
        <v>40</v>
      </c>
      <c r="H13162" s="11" t="s">
        <v>22</v>
      </c>
      <c r="I13162" s="13" t="s">
        <v>25654</v>
      </c>
      <c r="J13162" s="14" t="str">
        <f>HYPERLINK("https://www.boe.es/gazeta/dias/1839/09/15/pdfs/GMD-1839-1768.pdf#page=2","Abrir facsímil")</f>
        <v>Abrir facsímil</v>
      </c>
      <c r="K13162" s="12" t="s">
        <v>24</v>
      </c>
    </row>
    <row r="13163" spans="1:11" ht="40.049999999999997" customHeight="1" x14ac:dyDescent="0.25">
      <c r="A13163" s="11" t="s">
        <v>25642</v>
      </c>
      <c r="B13163" s="11" t="s">
        <v>25642</v>
      </c>
      <c r="C13163" s="11" t="s">
        <v>17</v>
      </c>
      <c r="D13163" s="11" t="s">
        <v>18</v>
      </c>
      <c r="E13163" s="12" t="s">
        <v>1236</v>
      </c>
      <c r="F13163" s="12" t="s">
        <v>1237</v>
      </c>
      <c r="G13163" s="12" t="s">
        <v>40</v>
      </c>
      <c r="H13163" s="11" t="s">
        <v>63</v>
      </c>
      <c r="I13163" s="13" t="s">
        <v>25655</v>
      </c>
      <c r="J13163" s="14" t="str">
        <f>HYPERLINK("https://www.boe.es/gazeta/dias/1839/10/16/pdfs/GMD-1839-1802.pdf#page=2","Abrir facsímil")</f>
        <v>Abrir facsímil</v>
      </c>
      <c r="K13163" s="12" t="s">
        <v>65</v>
      </c>
    </row>
    <row r="13164" spans="1:11" ht="40.049999999999997" customHeight="1" x14ac:dyDescent="0.25">
      <c r="A13164" s="11" t="s">
        <v>25648</v>
      </c>
      <c r="B13164" s="11" t="s">
        <v>25648</v>
      </c>
      <c r="C13164" s="11" t="s">
        <v>17</v>
      </c>
      <c r="D13164" s="11" t="s">
        <v>18</v>
      </c>
      <c r="E13164" s="12" t="s">
        <v>2222</v>
      </c>
      <c r="F13164" s="12" t="s">
        <v>2223</v>
      </c>
      <c r="G13164" s="12" t="s">
        <v>46</v>
      </c>
      <c r="H13164" s="11" t="s">
        <v>22</v>
      </c>
      <c r="I13164" s="13" t="s">
        <v>25656</v>
      </c>
      <c r="J13164" s="14" t="str">
        <f>HYPERLINK("https://www.boe.es/gazeta/dias/1839/09/19/pdfs/GMD-1839-1773.pdf#page=3","Abrir facsímil")</f>
        <v>Abrir facsímil</v>
      </c>
      <c r="K13164" s="12" t="s">
        <v>24</v>
      </c>
    </row>
    <row r="13165" spans="1:11" ht="40.049999999999997" customHeight="1" x14ac:dyDescent="0.25">
      <c r="A13165" s="11" t="s">
        <v>25648</v>
      </c>
      <c r="B13165" s="11" t="s">
        <v>25648</v>
      </c>
      <c r="C13165" s="11" t="s">
        <v>17</v>
      </c>
      <c r="D13165" s="11" t="s">
        <v>18</v>
      </c>
      <c r="E13165" s="12" t="s">
        <v>1076</v>
      </c>
      <c r="F13165" s="12" t="s">
        <v>1077</v>
      </c>
      <c r="G13165" s="12" t="s">
        <v>21</v>
      </c>
      <c r="H13165" s="11" t="s">
        <v>22</v>
      </c>
      <c r="I13165" s="13" t="s">
        <v>25657</v>
      </c>
      <c r="J13165" s="14" t="str">
        <f>HYPERLINK("https://www.boe.es/gazeta/dias/1839/10/19/pdfs/GMD-1839-1805.pdf#page=4","Abrir facsímil")</f>
        <v>Abrir facsímil</v>
      </c>
      <c r="K13165" s="12" t="s">
        <v>24</v>
      </c>
    </row>
    <row r="13166" spans="1:11" ht="40.049999999999997" customHeight="1" x14ac:dyDescent="0.25">
      <c r="A13166" s="11" t="s">
        <v>25642</v>
      </c>
      <c r="B13166" s="11" t="s">
        <v>25642</v>
      </c>
      <c r="C13166" s="11" t="s">
        <v>17</v>
      </c>
      <c r="D13166" s="11" t="s">
        <v>18</v>
      </c>
      <c r="E13166" s="12" t="s">
        <v>239</v>
      </c>
      <c r="F13166" s="12" t="s">
        <v>240</v>
      </c>
      <c r="G13166" s="12" t="s">
        <v>40</v>
      </c>
      <c r="H13166" s="11" t="s">
        <v>63</v>
      </c>
      <c r="I13166" s="13" t="s">
        <v>25658</v>
      </c>
      <c r="J13166" s="14" t="str">
        <f>HYPERLINK("https://www.boe.es/gazeta/dias/1839/09/22/pdfs/GMD-1839-1777.pdf#page=2","Abrir facsímil")</f>
        <v>Abrir facsímil</v>
      </c>
      <c r="K13166" s="12" t="s">
        <v>65</v>
      </c>
    </row>
    <row r="13167" spans="1:11" ht="40.049999999999997" customHeight="1" x14ac:dyDescent="0.25">
      <c r="A13167" s="11" t="s">
        <v>25648</v>
      </c>
      <c r="B13167" s="11" t="s">
        <v>25648</v>
      </c>
      <c r="C13167" s="11" t="s">
        <v>17</v>
      </c>
      <c r="D13167" s="11" t="s">
        <v>18</v>
      </c>
      <c r="E13167" s="12" t="s">
        <v>1988</v>
      </c>
      <c r="F13167" s="12" t="s">
        <v>1989</v>
      </c>
      <c r="G13167" s="12" t="s">
        <v>21</v>
      </c>
      <c r="H13167" s="11" t="s">
        <v>22</v>
      </c>
      <c r="I13167" s="13" t="s">
        <v>25659</v>
      </c>
      <c r="J13167" s="14" t="str">
        <f>HYPERLINK("https://www.boe.es/gazeta/dias/1839/10/29/pdfs/GMD-1839-1815.pdf#page=4","Abrir facsímil")</f>
        <v>Abrir facsímil</v>
      </c>
      <c r="K13167" s="12" t="s">
        <v>24</v>
      </c>
    </row>
    <row r="13168" spans="1:11" ht="40.049999999999997" customHeight="1" x14ac:dyDescent="0.25">
      <c r="A13168" s="11" t="s">
        <v>25642</v>
      </c>
      <c r="B13168" s="11" t="s">
        <v>25642</v>
      </c>
      <c r="C13168" s="11" t="s">
        <v>101</v>
      </c>
      <c r="D13168" s="11" t="s">
        <v>43</v>
      </c>
      <c r="E13168" s="12" t="s">
        <v>1287</v>
      </c>
      <c r="F13168" s="12" t="s">
        <v>1288</v>
      </c>
      <c r="G13168" s="12" t="s">
        <v>46</v>
      </c>
      <c r="H13168" s="11" t="s">
        <v>63</v>
      </c>
      <c r="I13168" s="13" t="s">
        <v>25660</v>
      </c>
      <c r="J13168" s="14" t="str">
        <f>HYPERLINK("https://www.boe.es/gazeta/dias/1839/10/30/pdfs/GMD-1839-1816.pdf#page=3","Abrir facsímil")</f>
        <v>Abrir facsímil</v>
      </c>
      <c r="K13168" s="12" t="s">
        <v>65</v>
      </c>
    </row>
    <row r="13169" spans="1:11" ht="40.049999999999997" customHeight="1" x14ac:dyDescent="0.25">
      <c r="A13169" s="11" t="s">
        <v>25661</v>
      </c>
      <c r="B13169" s="11" t="s">
        <v>25661</v>
      </c>
      <c r="C13169" s="11" t="s">
        <v>59</v>
      </c>
      <c r="D13169" s="11" t="s">
        <v>60</v>
      </c>
      <c r="E13169" s="12" t="s">
        <v>68</v>
      </c>
      <c r="F13169" s="12" t="s">
        <v>69</v>
      </c>
      <c r="G13169" s="12" t="s">
        <v>21</v>
      </c>
      <c r="H13169" s="11" t="s">
        <v>63</v>
      </c>
      <c r="I13169" s="13" t="s">
        <v>25662</v>
      </c>
      <c r="J13169" s="14" t="str">
        <f>HYPERLINK("https://www.boe.es/gazeta/dias/1839/02/09/pdfs/GMD-1839-1547.pdf#page=4","Abrir facsímil")</f>
        <v>Abrir facsímil</v>
      </c>
      <c r="K13169" s="12" t="s">
        <v>65</v>
      </c>
    </row>
    <row r="13170" spans="1:11" ht="40.049999999999997" customHeight="1" x14ac:dyDescent="0.25">
      <c r="A13170" s="11" t="s">
        <v>25663</v>
      </c>
      <c r="B13170" s="11" t="s">
        <v>25663</v>
      </c>
      <c r="C13170" s="11" t="s">
        <v>17</v>
      </c>
      <c r="D13170" s="11" t="s">
        <v>18</v>
      </c>
      <c r="E13170" s="12" t="s">
        <v>1433</v>
      </c>
      <c r="F13170" s="12" t="s">
        <v>1434</v>
      </c>
      <c r="G13170" s="12" t="s">
        <v>21</v>
      </c>
      <c r="H13170" s="11" t="s">
        <v>22</v>
      </c>
      <c r="I13170" s="13" t="s">
        <v>25664</v>
      </c>
      <c r="J13170" s="14" t="str">
        <f>HYPERLINK("https://www.boe.es/gazeta/dias/1839/10/22/pdfs/GMD-1839-1808.pdf#page=4","Abrir facsímil")</f>
        <v>Abrir facsímil</v>
      </c>
      <c r="K13170" s="12" t="s">
        <v>24</v>
      </c>
    </row>
    <row r="13171" spans="1:11" ht="40.049999999999997" customHeight="1" x14ac:dyDescent="0.25">
      <c r="A13171" s="11" t="s">
        <v>25665</v>
      </c>
      <c r="B13171" s="11" t="s">
        <v>25665</v>
      </c>
      <c r="C13171" s="11" t="s">
        <v>17</v>
      </c>
      <c r="D13171" s="11" t="s">
        <v>18</v>
      </c>
      <c r="E13171" s="12" t="s">
        <v>1509</v>
      </c>
      <c r="F13171" s="12" t="s">
        <v>1510</v>
      </c>
      <c r="G13171" s="12" t="s">
        <v>305</v>
      </c>
      <c r="H13171" s="11" t="s">
        <v>63</v>
      </c>
      <c r="I13171" s="13" t="s">
        <v>25666</v>
      </c>
      <c r="J13171" s="14" t="str">
        <f>HYPERLINK("https://www.boe.es/gazeta/dias/1839/10/07/pdfs/GMD-1839-1793.pdf#page=6","Abrir facsímil")</f>
        <v>Abrir facsímil</v>
      </c>
      <c r="K13171" s="12" t="s">
        <v>65</v>
      </c>
    </row>
    <row r="13172" spans="1:11" ht="40.049999999999997" customHeight="1" x14ac:dyDescent="0.25">
      <c r="A13172" s="11" t="s">
        <v>25665</v>
      </c>
      <c r="B13172" s="11" t="s">
        <v>25665</v>
      </c>
      <c r="C13172" s="11" t="s">
        <v>101</v>
      </c>
      <c r="D13172" s="11" t="s">
        <v>43</v>
      </c>
      <c r="E13172" s="12" t="s">
        <v>782</v>
      </c>
      <c r="F13172" s="12" t="s">
        <v>783</v>
      </c>
      <c r="G13172" s="12" t="s">
        <v>40</v>
      </c>
      <c r="H13172" s="11" t="s">
        <v>63</v>
      </c>
      <c r="I13172" s="13" t="s">
        <v>25667</v>
      </c>
      <c r="J13172" s="14" t="str">
        <f>HYPERLINK("https://www.boe.es/gazeta/dias/1839/05/09/pdfs/GMD-1839-1636.pdf#page=2","Abrir facsímil")</f>
        <v>Abrir facsímil</v>
      </c>
      <c r="K13172" s="12" t="s">
        <v>65</v>
      </c>
    </row>
    <row r="13173" spans="1:11" ht="40.049999999999997" customHeight="1" x14ac:dyDescent="0.25">
      <c r="A13173" s="11" t="s">
        <v>25665</v>
      </c>
      <c r="B13173" s="11" t="s">
        <v>25665</v>
      </c>
      <c r="C13173" s="11" t="s">
        <v>80</v>
      </c>
      <c r="D13173" s="11" t="s">
        <v>18</v>
      </c>
      <c r="E13173" s="12" t="s">
        <v>1001</v>
      </c>
      <c r="F13173" s="12" t="s">
        <v>1002</v>
      </c>
      <c r="G13173" s="12" t="s">
        <v>21</v>
      </c>
      <c r="H13173" s="11" t="s">
        <v>63</v>
      </c>
      <c r="I13173" s="13" t="s">
        <v>25668</v>
      </c>
      <c r="J13173" s="14" t="str">
        <f>HYPERLINK("https://www.boe.es/gazeta/dias/1839/07/09/pdfs/GMD-1839-1697.pdf#page=4","Abrir facsímil")</f>
        <v>Abrir facsímil</v>
      </c>
      <c r="K13173" s="12" t="s">
        <v>65</v>
      </c>
    </row>
    <row r="13174" spans="1:11" ht="40.049999999999997" customHeight="1" x14ac:dyDescent="0.25">
      <c r="A13174" s="11" t="s">
        <v>25665</v>
      </c>
      <c r="B13174" s="11" t="s">
        <v>25665</v>
      </c>
      <c r="C13174" s="11" t="s">
        <v>17</v>
      </c>
      <c r="D13174" s="11" t="s">
        <v>18</v>
      </c>
      <c r="E13174" s="12" t="s">
        <v>1027</v>
      </c>
      <c r="F13174" s="12" t="s">
        <v>1028</v>
      </c>
      <c r="G13174" s="12" t="s">
        <v>21</v>
      </c>
      <c r="H13174" s="11" t="s">
        <v>63</v>
      </c>
      <c r="I13174" s="13" t="s">
        <v>25669</v>
      </c>
      <c r="J13174" s="14" t="str">
        <f>HYPERLINK("https://www.boe.es/gazeta/dias/1839/08/16/pdfs/GMD-1839-1736.pdf#page=4","Abrir facsímil")</f>
        <v>Abrir facsímil</v>
      </c>
      <c r="K13174" s="12" t="s">
        <v>65</v>
      </c>
    </row>
    <row r="13175" spans="1:11" ht="40.049999999999997" customHeight="1" x14ac:dyDescent="0.25">
      <c r="A13175" s="11" t="s">
        <v>25670</v>
      </c>
      <c r="B13175" s="11" t="s">
        <v>25670</v>
      </c>
      <c r="C13175" s="11" t="s">
        <v>17</v>
      </c>
      <c r="D13175" s="11" t="s">
        <v>18</v>
      </c>
      <c r="E13175" s="12" t="s">
        <v>3705</v>
      </c>
      <c r="F13175" s="12" t="s">
        <v>3706</v>
      </c>
      <c r="G13175" s="12" t="s">
        <v>29</v>
      </c>
      <c r="H13175" s="11" t="s">
        <v>63</v>
      </c>
      <c r="I13175" s="13" t="s">
        <v>25671</v>
      </c>
      <c r="J13175" s="14" t="str">
        <f>HYPERLINK("https://www.boe.es/gazeta/dias/1839/03/09/pdfs/GMD-1839-1575.pdf#page=1","Abrir facsímil")</f>
        <v>Abrir facsímil</v>
      </c>
      <c r="K13175" s="12" t="s">
        <v>65</v>
      </c>
    </row>
    <row r="13176" spans="1:11" ht="40.049999999999997" customHeight="1" x14ac:dyDescent="0.25">
      <c r="A13176" s="11" t="s">
        <v>25672</v>
      </c>
      <c r="B13176" s="11" t="s">
        <v>25672</v>
      </c>
      <c r="C13176" s="11" t="s">
        <v>17</v>
      </c>
      <c r="D13176" s="11" t="s">
        <v>18</v>
      </c>
      <c r="E13176" s="12" t="s">
        <v>929</v>
      </c>
      <c r="F13176" s="12" t="s">
        <v>930</v>
      </c>
      <c r="G13176" s="12" t="s">
        <v>40</v>
      </c>
      <c r="H13176" s="11" t="s">
        <v>22</v>
      </c>
      <c r="I13176" s="13" t="s">
        <v>25673</v>
      </c>
      <c r="J13176" s="14" t="str">
        <f>HYPERLINK("https://www.boe.es/gazeta/dias/1839/01/31/pdfs/GMD-1839-1538.pdf#page=2","Abrir facsímil")</f>
        <v>Abrir facsímil</v>
      </c>
      <c r="K13176" s="12" t="s">
        <v>24</v>
      </c>
    </row>
    <row r="13177" spans="1:11" ht="40.049999999999997" customHeight="1" x14ac:dyDescent="0.25">
      <c r="A13177" s="11" t="s">
        <v>25674</v>
      </c>
      <c r="B13177" s="11" t="s">
        <v>25675</v>
      </c>
      <c r="C13177" s="11" t="s">
        <v>80</v>
      </c>
      <c r="D13177" s="11" t="s">
        <v>18</v>
      </c>
      <c r="E13177" s="12" t="s">
        <v>4044</v>
      </c>
      <c r="F13177" s="12" t="s">
        <v>4045</v>
      </c>
      <c r="G13177" s="12" t="s">
        <v>29</v>
      </c>
      <c r="H13177" s="11" t="s">
        <v>63</v>
      </c>
      <c r="I13177" s="13" t="s">
        <v>25676</v>
      </c>
      <c r="J13177" s="14" t="str">
        <f>HYPERLINK("https://www.boe.es/gazeta/dias/1839/01/07/pdfs/GMD-1839-1514.pdf#page=1","Abrir facsímil")</f>
        <v>Abrir facsímil</v>
      </c>
      <c r="K13177" s="12" t="s">
        <v>65</v>
      </c>
    </row>
    <row r="13178" spans="1:11" ht="40.049999999999997" customHeight="1" x14ac:dyDescent="0.25">
      <c r="A13178" s="11" t="s">
        <v>25677</v>
      </c>
      <c r="B13178" s="11" t="s">
        <v>25678</v>
      </c>
      <c r="C13178" s="11" t="s">
        <v>17</v>
      </c>
      <c r="D13178" s="11" t="s">
        <v>18</v>
      </c>
      <c r="E13178" s="12" t="s">
        <v>239</v>
      </c>
      <c r="F13178" s="12" t="s">
        <v>240</v>
      </c>
      <c r="G13178" s="12" t="s">
        <v>29</v>
      </c>
      <c r="H13178" s="11" t="s">
        <v>63</v>
      </c>
      <c r="I13178" s="13" t="s">
        <v>25679</v>
      </c>
      <c r="J13178" s="14" t="str">
        <f>HYPERLINK("https://www.boe.es/gazeta/dias/1839/09/22/pdfs/GMD-1839-1777.pdf#page=1","Abrir facsímil")</f>
        <v>Abrir facsímil</v>
      </c>
      <c r="K13178" s="12" t="s">
        <v>65</v>
      </c>
    </row>
    <row r="13179" spans="1:11" ht="40.049999999999997" customHeight="1" x14ac:dyDescent="0.25">
      <c r="A13179" s="11" t="s">
        <v>25680</v>
      </c>
      <c r="B13179" s="11" t="s">
        <v>25681</v>
      </c>
      <c r="C13179" s="11" t="s">
        <v>80</v>
      </c>
      <c r="D13179" s="11" t="s">
        <v>18</v>
      </c>
      <c r="E13179" s="12" t="s">
        <v>2440</v>
      </c>
      <c r="F13179" s="12" t="s">
        <v>2441</v>
      </c>
      <c r="G13179" s="12" t="s">
        <v>21</v>
      </c>
      <c r="H13179" s="11" t="s">
        <v>63</v>
      </c>
      <c r="I13179" s="13" t="s">
        <v>25682</v>
      </c>
      <c r="J13179" s="14" t="str">
        <f>HYPERLINK("https://www.boe.es/gazeta/dias/1839/12/01/pdfs/GMD-1839-1848.pdf#page=4","Abrir facsímil")</f>
        <v>Abrir facsímil</v>
      </c>
      <c r="K13179" s="12" t="s">
        <v>65</v>
      </c>
    </row>
    <row r="13180" spans="1:11" ht="40.049999999999997" customHeight="1" x14ac:dyDescent="0.25">
      <c r="A13180" s="11" t="s">
        <v>25683</v>
      </c>
      <c r="B13180" s="11" t="s">
        <v>25684</v>
      </c>
      <c r="C13180" s="11" t="s">
        <v>59</v>
      </c>
      <c r="D13180" s="11" t="s">
        <v>60</v>
      </c>
      <c r="E13180" s="12" t="s">
        <v>291</v>
      </c>
      <c r="F13180" s="12" t="s">
        <v>292</v>
      </c>
      <c r="G13180" s="12" t="s">
        <v>21</v>
      </c>
      <c r="H13180" s="11" t="s">
        <v>63</v>
      </c>
      <c r="I13180" s="13" t="s">
        <v>25685</v>
      </c>
      <c r="J13180" s="14" t="str">
        <f>HYPERLINK("https://www.boe.es/gazeta/dias/1839/09/04/pdfs/GMD-1839-1757.pdf#page=4","Abrir facsímil")</f>
        <v>Abrir facsímil</v>
      </c>
      <c r="K13180" s="12" t="s">
        <v>65</v>
      </c>
    </row>
    <row r="13181" spans="1:11" ht="40.049999999999997" customHeight="1" x14ac:dyDescent="0.25">
      <c r="A13181" s="11" t="s">
        <v>25686</v>
      </c>
      <c r="B13181" s="11" t="s">
        <v>25687</v>
      </c>
      <c r="C13181" s="11" t="s">
        <v>80</v>
      </c>
      <c r="D13181" s="11" t="s">
        <v>173</v>
      </c>
      <c r="E13181" s="12" t="s">
        <v>246</v>
      </c>
      <c r="F13181" s="12" t="s">
        <v>247</v>
      </c>
      <c r="G13181" s="12" t="s">
        <v>21</v>
      </c>
      <c r="H13181" s="11" t="s">
        <v>63</v>
      </c>
      <c r="I13181" s="13" t="s">
        <v>25688</v>
      </c>
      <c r="J13181" s="14" t="str">
        <f>HYPERLINK("https://www.boe.es/gazeta/dias/1839/11/24/pdfs/GMD-1839-1841.pdf#page=4","Abrir facsímil")</f>
        <v>Abrir facsímil</v>
      </c>
      <c r="K13181" s="12" t="s">
        <v>65</v>
      </c>
    </row>
    <row r="13182" spans="1:11" ht="40.049999999999997" customHeight="1" x14ac:dyDescent="0.25">
      <c r="A13182" s="11" t="s">
        <v>25689</v>
      </c>
      <c r="B13182" s="11" t="s">
        <v>25690</v>
      </c>
      <c r="C13182" s="11" t="s">
        <v>17</v>
      </c>
      <c r="D13182" s="11" t="s">
        <v>18</v>
      </c>
      <c r="E13182" s="12" t="s">
        <v>1027</v>
      </c>
      <c r="F13182" s="12" t="s">
        <v>1028</v>
      </c>
      <c r="G13182" s="12" t="s">
        <v>21</v>
      </c>
      <c r="H13182" s="11" t="s">
        <v>63</v>
      </c>
      <c r="I13182" s="13" t="s">
        <v>25691</v>
      </c>
      <c r="J13182" s="14" t="str">
        <f>HYPERLINK("https://www.boe.es/gazeta/dias/1839/08/16/pdfs/GMD-1839-1736.pdf#page=4","Abrir facsímil")</f>
        <v>Abrir facsímil</v>
      </c>
      <c r="K13182" s="12" t="s">
        <v>65</v>
      </c>
    </row>
    <row r="13183" spans="1:11" ht="40.049999999999997" customHeight="1" x14ac:dyDescent="0.25">
      <c r="A13183" s="11" t="s">
        <v>25692</v>
      </c>
      <c r="B13183" s="11" t="s">
        <v>25692</v>
      </c>
      <c r="C13183" s="11" t="s">
        <v>80</v>
      </c>
      <c r="D13183" s="11" t="s">
        <v>18</v>
      </c>
      <c r="E13183" s="12" t="s">
        <v>3614</v>
      </c>
      <c r="F13183" s="12" t="s">
        <v>3615</v>
      </c>
      <c r="G13183" s="12" t="s">
        <v>21</v>
      </c>
      <c r="H13183" s="11" t="s">
        <v>63</v>
      </c>
      <c r="I13183" s="13" t="s">
        <v>25693</v>
      </c>
      <c r="J13183" s="14" t="str">
        <f>HYPERLINK("https://www.boe.es/gazeta/dias/1839/04/04/pdfs/GMD-1839-1601.pdf#page=4","Abrir facsímil")</f>
        <v>Abrir facsímil</v>
      </c>
      <c r="K13183" s="12" t="s">
        <v>65</v>
      </c>
    </row>
    <row r="13184" spans="1:11" ht="40.049999999999997" customHeight="1" x14ac:dyDescent="0.25">
      <c r="A13184" s="11" t="s">
        <v>25692</v>
      </c>
      <c r="B13184" s="11" t="s">
        <v>25692</v>
      </c>
      <c r="C13184" s="11" t="s">
        <v>59</v>
      </c>
      <c r="D13184" s="11" t="s">
        <v>60</v>
      </c>
      <c r="E13184" s="12" t="s">
        <v>291</v>
      </c>
      <c r="F13184" s="12" t="s">
        <v>292</v>
      </c>
      <c r="G13184" s="12" t="s">
        <v>29</v>
      </c>
      <c r="H13184" s="11" t="s">
        <v>63</v>
      </c>
      <c r="I13184" s="13" t="s">
        <v>25694</v>
      </c>
      <c r="J13184" s="14" t="str">
        <f>HYPERLINK("https://www.boe.es/gazeta/dias/1839/09/04/pdfs/GMD-1839-1757.pdf#page=1","Abrir facsímil")</f>
        <v>Abrir facsímil</v>
      </c>
      <c r="K13184" s="12" t="s">
        <v>65</v>
      </c>
    </row>
    <row r="13185" spans="1:11" ht="40.049999999999997" customHeight="1" x14ac:dyDescent="0.25">
      <c r="A13185" s="11" t="s">
        <v>25692</v>
      </c>
      <c r="B13185" s="11" t="s">
        <v>25692</v>
      </c>
      <c r="C13185" s="11" t="s">
        <v>59</v>
      </c>
      <c r="D13185" s="11" t="s">
        <v>60</v>
      </c>
      <c r="E13185" s="12" t="s">
        <v>76</v>
      </c>
      <c r="F13185" s="12" t="s">
        <v>77</v>
      </c>
      <c r="G13185" s="12" t="s">
        <v>21</v>
      </c>
      <c r="H13185" s="11" t="s">
        <v>63</v>
      </c>
      <c r="I13185" s="13" t="s">
        <v>25695</v>
      </c>
      <c r="J13185" s="14" t="str">
        <f>HYPERLINK("https://www.boe.es/gazeta/dias/1839/03/13/pdfs/GMD-1839-1579.pdf#page=4","Abrir facsímil")</f>
        <v>Abrir facsímil</v>
      </c>
      <c r="K13185" s="12" t="s">
        <v>65</v>
      </c>
    </row>
    <row r="13186" spans="1:11" ht="40.049999999999997" customHeight="1" x14ac:dyDescent="0.25">
      <c r="A13186" s="11" t="s">
        <v>25692</v>
      </c>
      <c r="B13186" s="11" t="s">
        <v>25692</v>
      </c>
      <c r="C13186" s="11" t="s">
        <v>80</v>
      </c>
      <c r="D13186" s="11" t="s">
        <v>18</v>
      </c>
      <c r="E13186" s="12" t="s">
        <v>395</v>
      </c>
      <c r="F13186" s="12" t="s">
        <v>396</v>
      </c>
      <c r="G13186" s="12" t="s">
        <v>46</v>
      </c>
      <c r="H13186" s="11" t="s">
        <v>63</v>
      </c>
      <c r="I13186" s="13" t="s">
        <v>25696</v>
      </c>
      <c r="J13186" s="14" t="str">
        <f>HYPERLINK("https://www.boe.es/gazeta/dias/1839/03/15/pdfs/GMD-1839-1581.pdf#page=3","Abrir facsímil")</f>
        <v>Abrir facsímil</v>
      </c>
      <c r="K13186" s="12" t="s">
        <v>65</v>
      </c>
    </row>
    <row r="13187" spans="1:11" ht="40.049999999999997" customHeight="1" x14ac:dyDescent="0.25">
      <c r="A13187" s="11" t="s">
        <v>25692</v>
      </c>
      <c r="B13187" s="11" t="s">
        <v>25692</v>
      </c>
      <c r="C13187" s="11" t="s">
        <v>80</v>
      </c>
      <c r="D13187" s="11" t="s">
        <v>18</v>
      </c>
      <c r="E13187" s="12" t="s">
        <v>1301</v>
      </c>
      <c r="F13187" s="12" t="s">
        <v>1302</v>
      </c>
      <c r="G13187" s="12" t="s">
        <v>21</v>
      </c>
      <c r="H13187" s="11" t="s">
        <v>63</v>
      </c>
      <c r="I13187" s="13" t="s">
        <v>25697</v>
      </c>
      <c r="J13187" s="14" t="str">
        <f>HYPERLINK("https://www.boe.es/gazeta/dias/1839/11/16/pdfs/GMD-1839-1833.pdf#page=4","Abrir facsímil")</f>
        <v>Abrir facsímil</v>
      </c>
      <c r="K13187" s="12" t="s">
        <v>65</v>
      </c>
    </row>
    <row r="13188" spans="1:11" ht="40.049999999999997" customHeight="1" x14ac:dyDescent="0.25">
      <c r="A13188" s="11" t="s">
        <v>25692</v>
      </c>
      <c r="B13188" s="11" t="s">
        <v>25692</v>
      </c>
      <c r="C13188" s="11" t="s">
        <v>17</v>
      </c>
      <c r="D13188" s="11" t="s">
        <v>18</v>
      </c>
      <c r="E13188" s="12" t="s">
        <v>643</v>
      </c>
      <c r="F13188" s="12" t="s">
        <v>644</v>
      </c>
      <c r="G13188" s="12" t="s">
        <v>21</v>
      </c>
      <c r="H13188" s="11" t="s">
        <v>63</v>
      </c>
      <c r="I13188" s="13" t="s">
        <v>25698</v>
      </c>
      <c r="J13188" s="14" t="str">
        <f>HYPERLINK("https://www.boe.es/gazeta/dias/1839/03/20/pdfs/GMD-1839-1586.pdf#page=4","Abrir facsímil")</f>
        <v>Abrir facsímil</v>
      </c>
      <c r="K13188" s="12" t="s">
        <v>65</v>
      </c>
    </row>
    <row r="13189" spans="1:11" ht="40.049999999999997" customHeight="1" x14ac:dyDescent="0.25">
      <c r="A13189" s="11" t="s">
        <v>25699</v>
      </c>
      <c r="B13189" s="11" t="s">
        <v>25700</v>
      </c>
      <c r="C13189" s="11" t="s">
        <v>17</v>
      </c>
      <c r="D13189" s="11" t="s">
        <v>18</v>
      </c>
      <c r="E13189" s="12" t="s">
        <v>108</v>
      </c>
      <c r="F13189" s="12" t="s">
        <v>109</v>
      </c>
      <c r="G13189" s="12" t="s">
        <v>29</v>
      </c>
      <c r="H13189" s="11" t="s">
        <v>63</v>
      </c>
      <c r="I13189" s="13" t="s">
        <v>25701</v>
      </c>
      <c r="J13189" s="14" t="str">
        <f>HYPERLINK("https://www.boe.es/gazeta/dias/1839/01/04/pdfs/GMD-1839-1511.pdf#page=1","Abrir facsímil")</f>
        <v>Abrir facsímil</v>
      </c>
      <c r="K13189" s="12" t="s">
        <v>65</v>
      </c>
    </row>
    <row r="13190" spans="1:11" ht="40.049999999999997" customHeight="1" x14ac:dyDescent="0.25">
      <c r="A13190" s="11" t="s">
        <v>25699</v>
      </c>
      <c r="B13190" s="11" t="s">
        <v>25700</v>
      </c>
      <c r="C13190" s="11" t="s">
        <v>17</v>
      </c>
      <c r="D13190" s="11" t="s">
        <v>18</v>
      </c>
      <c r="E13190" s="12" t="s">
        <v>76</v>
      </c>
      <c r="F13190" s="12" t="s">
        <v>77</v>
      </c>
      <c r="G13190" s="12" t="s">
        <v>46</v>
      </c>
      <c r="H13190" s="11" t="s">
        <v>63</v>
      </c>
      <c r="I13190" s="13" t="s">
        <v>25702</v>
      </c>
      <c r="J13190" s="14" t="str">
        <f>HYPERLINK("https://www.boe.es/gazeta/dias/1839/03/13/pdfs/GMD-1839-1579.pdf#page=3","Abrir facsímil")</f>
        <v>Abrir facsímil</v>
      </c>
      <c r="K13190" s="12" t="s">
        <v>65</v>
      </c>
    </row>
    <row r="13191" spans="1:11" ht="40.049999999999997" customHeight="1" x14ac:dyDescent="0.25">
      <c r="A13191" s="11" t="s">
        <v>25703</v>
      </c>
      <c r="B13191" s="11" t="s">
        <v>25704</v>
      </c>
      <c r="C13191" s="11" t="s">
        <v>59</v>
      </c>
      <c r="D13191" s="11" t="s">
        <v>60</v>
      </c>
      <c r="E13191" s="12" t="s">
        <v>84</v>
      </c>
      <c r="F13191" s="12" t="s">
        <v>85</v>
      </c>
      <c r="G13191" s="12" t="s">
        <v>21</v>
      </c>
      <c r="H13191" s="11" t="s">
        <v>22</v>
      </c>
      <c r="I13191" s="13" t="s">
        <v>25705</v>
      </c>
      <c r="J13191" s="14" t="str">
        <f>HYPERLINK("https://www.boe.es/gazeta/dias/1839/03/11/pdfs/GMD-1839-1577.pdf#page=4","Abrir facsímil")</f>
        <v>Abrir facsímil</v>
      </c>
      <c r="K13191" s="12" t="s">
        <v>24</v>
      </c>
    </row>
    <row r="13192" spans="1:11" ht="40.049999999999997" customHeight="1" x14ac:dyDescent="0.25">
      <c r="A13192" s="11" t="s">
        <v>25706</v>
      </c>
      <c r="B13192" s="11" t="s">
        <v>25707</v>
      </c>
      <c r="C13192" s="11" t="s">
        <v>80</v>
      </c>
      <c r="D13192" s="11" t="s">
        <v>18</v>
      </c>
      <c r="E13192" s="12" t="s">
        <v>1891</v>
      </c>
      <c r="F13192" s="12" t="s">
        <v>1892</v>
      </c>
      <c r="G13192" s="12" t="s">
        <v>21</v>
      </c>
      <c r="H13192" s="11" t="s">
        <v>22</v>
      </c>
      <c r="I13192" s="13" t="s">
        <v>25708</v>
      </c>
      <c r="J13192" s="14" t="str">
        <f>HYPERLINK("https://www.boe.es/gazeta/dias/1839/12/14/pdfs/GMD-1839-1861.pdf#page=4","Abrir facsímil")</f>
        <v>Abrir facsímil</v>
      </c>
      <c r="K13192" s="12" t="s">
        <v>24</v>
      </c>
    </row>
    <row r="13193" spans="1:11" ht="40.049999999999997" customHeight="1" x14ac:dyDescent="0.25">
      <c r="A13193" s="11" t="s">
        <v>25709</v>
      </c>
      <c r="B13193" s="11" t="s">
        <v>25710</v>
      </c>
      <c r="C13193" s="11" t="s">
        <v>17</v>
      </c>
      <c r="D13193" s="11" t="s">
        <v>18</v>
      </c>
      <c r="E13193" s="12" t="s">
        <v>1891</v>
      </c>
      <c r="F13193" s="12" t="s">
        <v>1892</v>
      </c>
      <c r="G13193" s="12" t="s">
        <v>21</v>
      </c>
      <c r="H13193" s="11" t="s">
        <v>22</v>
      </c>
      <c r="I13193" s="13" t="s">
        <v>25711</v>
      </c>
      <c r="J13193" s="14" t="str">
        <f>HYPERLINK("https://www.boe.es/gazeta/dias/1839/12/14/pdfs/GMD-1839-1861.pdf#page=4","Abrir facsímil")</f>
        <v>Abrir facsímil</v>
      </c>
      <c r="K13193" s="12" t="s">
        <v>24</v>
      </c>
    </row>
    <row r="13194" spans="1:11" ht="40.049999999999997" customHeight="1" x14ac:dyDescent="0.25">
      <c r="A13194" s="11" t="s">
        <v>25712</v>
      </c>
      <c r="B13194" s="11" t="s">
        <v>25713</v>
      </c>
      <c r="C13194" s="11" t="s">
        <v>101</v>
      </c>
      <c r="D13194" s="11" t="s">
        <v>102</v>
      </c>
      <c r="E13194" s="12" t="s">
        <v>621</v>
      </c>
      <c r="F13194" s="12" t="s">
        <v>622</v>
      </c>
      <c r="G13194" s="12" t="s">
        <v>21</v>
      </c>
      <c r="H13194" s="11" t="s">
        <v>22</v>
      </c>
      <c r="I13194" s="13" t="s">
        <v>25714</v>
      </c>
      <c r="J13194" s="14" t="str">
        <f>HYPERLINK("https://www.boe.es/gazeta/dias/1839/04/14/pdfs/GMD-1839-1611.pdf#page=4","Abrir facsímil")</f>
        <v>Abrir facsímil</v>
      </c>
      <c r="K13194" s="12" t="s">
        <v>24</v>
      </c>
    </row>
    <row r="13195" spans="1:11" ht="40.049999999999997" customHeight="1" x14ac:dyDescent="0.25">
      <c r="A13195" s="11" t="s">
        <v>25712</v>
      </c>
      <c r="B13195" s="11" t="s">
        <v>25713</v>
      </c>
      <c r="C13195" s="11" t="s">
        <v>17</v>
      </c>
      <c r="D13195" s="11" t="s">
        <v>18</v>
      </c>
      <c r="E13195" s="12" t="s">
        <v>1159</v>
      </c>
      <c r="F13195" s="12" t="s">
        <v>1160</v>
      </c>
      <c r="G13195" s="12" t="s">
        <v>21</v>
      </c>
      <c r="H13195" s="11" t="s">
        <v>22</v>
      </c>
      <c r="I13195" s="13" t="s">
        <v>25715</v>
      </c>
      <c r="J13195" s="14" t="str">
        <f>HYPERLINK("https://www.boe.es/gazeta/dias/1839/11/26/pdfs/GMD-1839-1843.pdf#page=4","Abrir facsímil")</f>
        <v>Abrir facsímil</v>
      </c>
      <c r="K13195" s="12" t="s">
        <v>24</v>
      </c>
    </row>
    <row r="13196" spans="1:11" ht="40.049999999999997" customHeight="1" x14ac:dyDescent="0.25">
      <c r="A13196" s="11" t="s">
        <v>25716</v>
      </c>
      <c r="B13196" s="11" t="s">
        <v>25717</v>
      </c>
      <c r="C13196" s="11" t="s">
        <v>17</v>
      </c>
      <c r="D13196" s="11" t="s">
        <v>43</v>
      </c>
      <c r="E13196" s="12" t="s">
        <v>3705</v>
      </c>
      <c r="F13196" s="12" t="s">
        <v>3706</v>
      </c>
      <c r="G13196" s="12" t="s">
        <v>21</v>
      </c>
      <c r="H13196" s="11" t="s">
        <v>63</v>
      </c>
      <c r="I13196" s="13" t="s">
        <v>25718</v>
      </c>
      <c r="J13196" s="14" t="str">
        <f>HYPERLINK("https://www.boe.es/gazeta/dias/1839/03/09/pdfs/GMD-1839-1575.pdf#page=4","Abrir facsímil")</f>
        <v>Abrir facsímil</v>
      </c>
      <c r="K13196" s="12" t="s">
        <v>65</v>
      </c>
    </row>
    <row r="13197" spans="1:11" ht="40.049999999999997" customHeight="1" x14ac:dyDescent="0.25">
      <c r="A13197" s="11" t="s">
        <v>25719</v>
      </c>
      <c r="B13197" s="11" t="s">
        <v>25720</v>
      </c>
      <c r="C13197" s="11" t="s">
        <v>17</v>
      </c>
      <c r="D13197" s="11" t="s">
        <v>18</v>
      </c>
      <c r="E13197" s="12" t="s">
        <v>770</v>
      </c>
      <c r="F13197" s="12" t="s">
        <v>771</v>
      </c>
      <c r="G13197" s="12" t="s">
        <v>40</v>
      </c>
      <c r="H13197" s="11" t="s">
        <v>63</v>
      </c>
      <c r="I13197" s="13" t="s">
        <v>25721</v>
      </c>
      <c r="J13197" s="14" t="str">
        <f>HYPERLINK("https://www.boe.es/gazeta/dias/1839/12/05/pdfs/GMD-1839-1852.pdf#page=2","Abrir facsímil")</f>
        <v>Abrir facsímil</v>
      </c>
      <c r="K13197" s="12" t="s">
        <v>65</v>
      </c>
    </row>
    <row r="13198" spans="1:11" ht="40.049999999999997" customHeight="1" x14ac:dyDescent="0.25">
      <c r="A13198" s="11" t="s">
        <v>25719</v>
      </c>
      <c r="B13198" s="11" t="s">
        <v>25720</v>
      </c>
      <c r="C13198" s="11" t="s">
        <v>80</v>
      </c>
      <c r="D13198" s="11" t="s">
        <v>18</v>
      </c>
      <c r="E13198" s="12" t="s">
        <v>192</v>
      </c>
      <c r="F13198" s="12" t="s">
        <v>193</v>
      </c>
      <c r="G13198" s="12" t="s">
        <v>40</v>
      </c>
      <c r="H13198" s="11" t="s">
        <v>63</v>
      </c>
      <c r="I13198" s="13" t="s">
        <v>25722</v>
      </c>
      <c r="J13198" s="14" t="str">
        <f>HYPERLINK("https://www.boe.es/gazeta/dias/1839/01/12/pdfs/GMD-1839-1519.pdf#page=2","Abrir facsímil")</f>
        <v>Abrir facsímil</v>
      </c>
      <c r="K13198" s="12" t="s">
        <v>65</v>
      </c>
    </row>
    <row r="13199" spans="1:11" ht="40.049999999999997" customHeight="1" x14ac:dyDescent="0.25">
      <c r="A13199" s="11" t="s">
        <v>25723</v>
      </c>
      <c r="B13199" s="11" t="s">
        <v>25724</v>
      </c>
      <c r="C13199" s="11" t="s">
        <v>80</v>
      </c>
      <c r="D13199" s="11" t="s">
        <v>18</v>
      </c>
      <c r="E13199" s="12" t="s">
        <v>1520</v>
      </c>
      <c r="F13199" s="12" t="s">
        <v>1521</v>
      </c>
      <c r="G13199" s="12" t="s">
        <v>40</v>
      </c>
      <c r="H13199" s="11" t="s">
        <v>63</v>
      </c>
      <c r="I13199" s="13" t="s">
        <v>25725</v>
      </c>
      <c r="J13199" s="14" t="str">
        <f>HYPERLINK("https://www.boe.es/gazeta/dias/1839/12/27/pdfs/GMD-1839-1874.pdf#page=2","Abrir facsímil")</f>
        <v>Abrir facsímil</v>
      </c>
      <c r="K13199" s="12" t="s">
        <v>65</v>
      </c>
    </row>
    <row r="13200" spans="1:11" ht="40.049999999999997" customHeight="1" x14ac:dyDescent="0.25">
      <c r="A13200" s="11" t="s">
        <v>25726</v>
      </c>
      <c r="B13200" s="11" t="s">
        <v>25727</v>
      </c>
      <c r="C13200" s="11" t="s">
        <v>59</v>
      </c>
      <c r="D13200" s="11" t="s">
        <v>60</v>
      </c>
      <c r="E13200" s="12" t="s">
        <v>582</v>
      </c>
      <c r="F13200" s="12" t="s">
        <v>583</v>
      </c>
      <c r="G13200" s="12" t="s">
        <v>21</v>
      </c>
      <c r="H13200" s="11" t="s">
        <v>63</v>
      </c>
      <c r="I13200" s="13" t="s">
        <v>25728</v>
      </c>
      <c r="J13200" s="14" t="str">
        <f>HYPERLINK("https://www.boe.es/gazeta/dias/1839/11/09/pdfs/GMD-1839-1826.pdf#page=4","Abrir facsímil")</f>
        <v>Abrir facsímil</v>
      </c>
      <c r="K13200" s="12" t="s">
        <v>65</v>
      </c>
    </row>
    <row r="13201" spans="1:11" ht="40.049999999999997" customHeight="1" x14ac:dyDescent="0.25">
      <c r="A13201" s="11" t="s">
        <v>25729</v>
      </c>
      <c r="B13201" s="11" t="s">
        <v>25730</v>
      </c>
      <c r="C13201" s="11" t="s">
        <v>80</v>
      </c>
      <c r="D13201" s="11" t="s">
        <v>173</v>
      </c>
      <c r="E13201" s="12" t="s">
        <v>192</v>
      </c>
      <c r="F13201" s="12" t="s">
        <v>193</v>
      </c>
      <c r="G13201" s="12" t="s">
        <v>40</v>
      </c>
      <c r="H13201" s="11" t="s">
        <v>63</v>
      </c>
      <c r="I13201" s="13" t="s">
        <v>25731</v>
      </c>
      <c r="J13201" s="14" t="str">
        <f>HYPERLINK("https://www.boe.es/gazeta/dias/1839/01/12/pdfs/GMD-1839-1519.pdf#page=2","Abrir facsímil")</f>
        <v>Abrir facsímil</v>
      </c>
      <c r="K13201" s="12" t="s">
        <v>65</v>
      </c>
    </row>
    <row r="13202" spans="1:11" ht="40.049999999999997" customHeight="1" x14ac:dyDescent="0.25">
      <c r="A13202" s="11" t="s">
        <v>25732</v>
      </c>
      <c r="B13202" s="11" t="s">
        <v>25733</v>
      </c>
      <c r="C13202" s="11" t="s">
        <v>80</v>
      </c>
      <c r="D13202" s="11" t="s">
        <v>18</v>
      </c>
      <c r="E13202" s="12" t="s">
        <v>516</v>
      </c>
      <c r="F13202" s="12" t="s">
        <v>517</v>
      </c>
      <c r="G13202" s="12" t="s">
        <v>21</v>
      </c>
      <c r="H13202" s="11" t="s">
        <v>63</v>
      </c>
      <c r="I13202" s="13" t="s">
        <v>25734</v>
      </c>
      <c r="J13202" s="14" t="str">
        <f>HYPERLINK("https://www.boe.es/gazeta/dias/1839/06/21/pdfs/GMD-1839-1679.pdf#page=4","Abrir facsímil")</f>
        <v>Abrir facsímil</v>
      </c>
      <c r="K13202" s="12" t="s">
        <v>65</v>
      </c>
    </row>
    <row r="13203" spans="1:11" ht="40.049999999999997" customHeight="1" x14ac:dyDescent="0.25">
      <c r="A13203" s="11" t="s">
        <v>25735</v>
      </c>
      <c r="B13203" s="11" t="s">
        <v>25736</v>
      </c>
      <c r="C13203" s="11" t="s">
        <v>137</v>
      </c>
      <c r="D13203" s="11" t="s">
        <v>18</v>
      </c>
      <c r="E13203" s="12" t="s">
        <v>197</v>
      </c>
      <c r="F13203" s="12" t="s">
        <v>198</v>
      </c>
      <c r="G13203" s="12" t="s">
        <v>46</v>
      </c>
      <c r="H13203" s="11" t="s">
        <v>63</v>
      </c>
      <c r="I13203" s="13" t="s">
        <v>25737</v>
      </c>
      <c r="J13203" s="14" t="str">
        <f>HYPERLINK("https://www.boe.es/gazeta/dias/1839/10/04/pdfs/GMD-1839-1790.pdf#page=3","Abrir facsímil")</f>
        <v>Abrir facsímil</v>
      </c>
      <c r="K13203" s="12" t="s">
        <v>65</v>
      </c>
    </row>
    <row r="13204" spans="1:11" ht="40.049999999999997" customHeight="1" x14ac:dyDescent="0.25">
      <c r="A13204" s="11" t="s">
        <v>25738</v>
      </c>
      <c r="B13204" s="11" t="s">
        <v>25739</v>
      </c>
      <c r="C13204" s="11" t="s">
        <v>17</v>
      </c>
      <c r="D13204" s="11" t="s">
        <v>18</v>
      </c>
      <c r="E13204" s="12" t="s">
        <v>38</v>
      </c>
      <c r="F13204" s="12" t="s">
        <v>39</v>
      </c>
      <c r="G13204" s="12" t="s">
        <v>40</v>
      </c>
      <c r="H13204" s="11" t="s">
        <v>63</v>
      </c>
      <c r="I13204" s="13" t="s">
        <v>25740</v>
      </c>
      <c r="J13204" s="14" t="str">
        <f>HYPERLINK("https://www.boe.es/gazeta/dias/1839/08/08/pdfs/GMD-1839-1728.pdf#page=2","Abrir facsímil")</f>
        <v>Abrir facsímil</v>
      </c>
      <c r="K13204" s="12" t="s">
        <v>65</v>
      </c>
    </row>
    <row r="13205" spans="1:11" ht="40.049999999999997" customHeight="1" x14ac:dyDescent="0.25">
      <c r="A13205" s="11" t="s">
        <v>25738</v>
      </c>
      <c r="B13205" s="11" t="s">
        <v>25739</v>
      </c>
      <c r="C13205" s="11" t="s">
        <v>17</v>
      </c>
      <c r="D13205" s="11" t="s">
        <v>18</v>
      </c>
      <c r="E13205" s="12" t="s">
        <v>1663</v>
      </c>
      <c r="F13205" s="12" t="s">
        <v>1664</v>
      </c>
      <c r="G13205" s="12" t="s">
        <v>21</v>
      </c>
      <c r="H13205" s="11" t="s">
        <v>63</v>
      </c>
      <c r="I13205" s="13" t="s">
        <v>25741</v>
      </c>
      <c r="J13205" s="14" t="str">
        <f>HYPERLINK("https://www.boe.es/gazeta/dias/1839/03/22/pdfs/GMD-1839-1588.pdf#page=4","Abrir facsímil")</f>
        <v>Abrir facsímil</v>
      </c>
      <c r="K13205" s="12" t="s">
        <v>65</v>
      </c>
    </row>
    <row r="13206" spans="1:11" ht="40.049999999999997" customHeight="1" x14ac:dyDescent="0.25">
      <c r="A13206" s="11" t="s">
        <v>25742</v>
      </c>
      <c r="B13206" s="11" t="s">
        <v>25743</v>
      </c>
      <c r="C13206" s="11" t="s">
        <v>80</v>
      </c>
      <c r="D13206" s="11" t="s">
        <v>18</v>
      </c>
      <c r="E13206" s="12" t="s">
        <v>81</v>
      </c>
      <c r="F13206" s="12" t="s">
        <v>82</v>
      </c>
      <c r="G13206" s="12" t="s">
        <v>40</v>
      </c>
      <c r="H13206" s="11" t="s">
        <v>63</v>
      </c>
      <c r="I13206" s="13" t="s">
        <v>25744</v>
      </c>
      <c r="J13206" s="14" t="str">
        <f>HYPERLINK("https://www.boe.es/gazeta/dias/1839/03/03/pdfs/GMD-1839-1569.pdf#page=2","Abrir facsímil")</f>
        <v>Abrir facsímil</v>
      </c>
      <c r="K13206" s="12" t="s">
        <v>65</v>
      </c>
    </row>
    <row r="13207" spans="1:11" ht="40.049999999999997" customHeight="1" x14ac:dyDescent="0.25">
      <c r="A13207" s="11" t="s">
        <v>25745</v>
      </c>
      <c r="B13207" s="11" t="s">
        <v>25745</v>
      </c>
      <c r="C13207" s="11" t="s">
        <v>17</v>
      </c>
      <c r="D13207" s="11" t="s">
        <v>18</v>
      </c>
      <c r="E13207" s="12" t="s">
        <v>1479</v>
      </c>
      <c r="F13207" s="12" t="s">
        <v>1480</v>
      </c>
      <c r="G13207" s="12" t="s">
        <v>21</v>
      </c>
      <c r="H13207" s="11" t="s">
        <v>22</v>
      </c>
      <c r="I13207" s="13" t="s">
        <v>25746</v>
      </c>
      <c r="J13207" s="14" t="str">
        <f>HYPERLINK("https://www.boe.es/gazeta/dias/1839/04/09/pdfs/GMD-1839-1606.pdf#page=4","Abrir facsímil")</f>
        <v>Abrir facsímil</v>
      </c>
      <c r="K13207" s="12" t="s">
        <v>24</v>
      </c>
    </row>
    <row r="13208" spans="1:11" ht="40.049999999999997" customHeight="1" x14ac:dyDescent="0.25">
      <c r="A13208" s="11" t="s">
        <v>25747</v>
      </c>
      <c r="B13208" s="11" t="s">
        <v>25747</v>
      </c>
      <c r="C13208" s="11" t="s">
        <v>17</v>
      </c>
      <c r="D13208" s="11" t="s">
        <v>18</v>
      </c>
      <c r="E13208" s="12" t="s">
        <v>929</v>
      </c>
      <c r="F13208" s="12" t="s">
        <v>930</v>
      </c>
      <c r="G13208" s="12" t="s">
        <v>40</v>
      </c>
      <c r="H13208" s="11" t="s">
        <v>22</v>
      </c>
      <c r="I13208" s="13" t="s">
        <v>25748</v>
      </c>
      <c r="J13208" s="14" t="str">
        <f>HYPERLINK("https://www.boe.es/gazeta/dias/1839/01/31/pdfs/GMD-1839-1538.pdf#page=2","Abrir facsímil")</f>
        <v>Abrir facsímil</v>
      </c>
      <c r="K13208" s="12" t="s">
        <v>24</v>
      </c>
    </row>
    <row r="13209" spans="1:11" ht="40.049999999999997" customHeight="1" x14ac:dyDescent="0.25">
      <c r="A13209" s="11" t="s">
        <v>25749</v>
      </c>
      <c r="B13209" s="11" t="s">
        <v>25749</v>
      </c>
      <c r="C13209" s="11" t="s">
        <v>17</v>
      </c>
      <c r="D13209" s="11" t="s">
        <v>18</v>
      </c>
      <c r="E13209" s="12" t="s">
        <v>5399</v>
      </c>
      <c r="F13209" s="12" t="s">
        <v>5400</v>
      </c>
      <c r="G13209" s="12" t="s">
        <v>40</v>
      </c>
      <c r="H13209" s="11" t="s">
        <v>63</v>
      </c>
      <c r="I13209" s="13" t="s">
        <v>25750</v>
      </c>
      <c r="J13209" s="14" t="str">
        <f>HYPERLINK("https://www.boe.es/gazeta/dias/1839/10/14/pdfs/GMD-1839-1800.pdf#page=2","Abrir facsímil")</f>
        <v>Abrir facsímil</v>
      </c>
      <c r="K13209" s="12" t="s">
        <v>65</v>
      </c>
    </row>
    <row r="13210" spans="1:11" ht="40.049999999999997" customHeight="1" x14ac:dyDescent="0.25">
      <c r="A13210" s="11" t="s">
        <v>25751</v>
      </c>
      <c r="B13210" s="11" t="s">
        <v>25752</v>
      </c>
      <c r="C13210" s="11" t="s">
        <v>17</v>
      </c>
      <c r="D13210" s="11" t="s">
        <v>18</v>
      </c>
      <c r="E13210" s="12" t="s">
        <v>1512</v>
      </c>
      <c r="F13210" s="12" t="s">
        <v>1513</v>
      </c>
      <c r="G13210" s="12" t="s">
        <v>46</v>
      </c>
      <c r="H13210" s="11" t="s">
        <v>63</v>
      </c>
      <c r="I13210" s="13" t="s">
        <v>25753</v>
      </c>
      <c r="J13210" s="14" t="str">
        <f>HYPERLINK("https://www.boe.es/gazeta/dias/1839/04/13/pdfs/GMD-1839-1610.pdf#page=3","Abrir facsímil")</f>
        <v>Abrir facsímil</v>
      </c>
      <c r="K13210" s="12" t="s">
        <v>65</v>
      </c>
    </row>
    <row r="13211" spans="1:11" ht="40.049999999999997" customHeight="1" x14ac:dyDescent="0.25">
      <c r="A13211" s="11" t="s">
        <v>25754</v>
      </c>
      <c r="B13211" s="11" t="s">
        <v>25755</v>
      </c>
      <c r="C13211" s="11" t="s">
        <v>101</v>
      </c>
      <c r="D13211" s="11" t="s">
        <v>102</v>
      </c>
      <c r="E13211" s="12" t="s">
        <v>883</v>
      </c>
      <c r="F13211" s="12" t="s">
        <v>884</v>
      </c>
      <c r="G13211" s="12" t="s">
        <v>29</v>
      </c>
      <c r="H13211" s="11" t="s">
        <v>63</v>
      </c>
      <c r="I13211" s="13" t="s">
        <v>25756</v>
      </c>
      <c r="J13211" s="14" t="str">
        <f>HYPERLINK("https://www.boe.es/gazeta/dias/1839/11/03/pdfs/GMD-1839-1820.pdf#page=1","Abrir facsímil")</f>
        <v>Abrir facsímil</v>
      </c>
      <c r="K13211" s="12" t="s">
        <v>65</v>
      </c>
    </row>
    <row r="13212" spans="1:11" ht="40.049999999999997" customHeight="1" x14ac:dyDescent="0.25">
      <c r="A13212" s="11" t="s">
        <v>25757</v>
      </c>
      <c r="B13212" s="11" t="s">
        <v>25758</v>
      </c>
      <c r="C13212" s="11" t="s">
        <v>17</v>
      </c>
      <c r="D13212" s="11" t="s">
        <v>18</v>
      </c>
      <c r="E13212" s="12" t="s">
        <v>438</v>
      </c>
      <c r="F13212" s="12" t="s">
        <v>439</v>
      </c>
      <c r="G13212" s="12" t="s">
        <v>21</v>
      </c>
      <c r="H13212" s="11" t="s">
        <v>63</v>
      </c>
      <c r="I13212" s="13" t="s">
        <v>25759</v>
      </c>
      <c r="J13212" s="14" t="str">
        <f>HYPERLINK("https://www.boe.es/gazeta/dias/1839/07/17/pdfs/GMD-1839-1705.pdf#page=4","Abrir facsímil")</f>
        <v>Abrir facsímil</v>
      </c>
      <c r="K13212" s="12" t="s">
        <v>65</v>
      </c>
    </row>
    <row r="13213" spans="1:11" ht="40.049999999999997" customHeight="1" x14ac:dyDescent="0.25">
      <c r="A13213" s="11" t="s">
        <v>25760</v>
      </c>
      <c r="B13213" s="11" t="s">
        <v>25761</v>
      </c>
      <c r="C13213" s="11" t="s">
        <v>17</v>
      </c>
      <c r="D13213" s="11" t="s">
        <v>18</v>
      </c>
      <c r="E13213" s="12" t="s">
        <v>276</v>
      </c>
      <c r="F13213" s="12" t="s">
        <v>277</v>
      </c>
      <c r="G13213" s="12" t="s">
        <v>21</v>
      </c>
      <c r="H13213" s="11" t="s">
        <v>63</v>
      </c>
      <c r="I13213" s="13" t="s">
        <v>25762</v>
      </c>
      <c r="J13213" s="14" t="str">
        <f>HYPERLINK("https://www.boe.es/gazeta/dias/1839/09/24/pdfs/GMD-1839-1780.pdf#page=4","Abrir facsímil")</f>
        <v>Abrir facsímil</v>
      </c>
      <c r="K13213" s="12" t="s">
        <v>65</v>
      </c>
    </row>
    <row r="13214" spans="1:11" ht="40.049999999999997" customHeight="1" x14ac:dyDescent="0.25">
      <c r="A13214" s="11" t="s">
        <v>25763</v>
      </c>
      <c r="B13214" s="11" t="s">
        <v>25764</v>
      </c>
      <c r="C13214" s="11" t="s">
        <v>80</v>
      </c>
      <c r="D13214" s="11" t="s">
        <v>18</v>
      </c>
      <c r="E13214" s="12" t="s">
        <v>138</v>
      </c>
      <c r="F13214" s="12" t="s">
        <v>139</v>
      </c>
      <c r="G13214" s="12" t="s">
        <v>21</v>
      </c>
      <c r="H13214" s="11" t="s">
        <v>63</v>
      </c>
      <c r="I13214" s="13" t="s">
        <v>25765</v>
      </c>
      <c r="J13214" s="14" t="str">
        <f>HYPERLINK("https://www.boe.es/gazeta/dias/1839/10/09/pdfs/GMD-1839-1795.pdf#page=4","Abrir facsímil")</f>
        <v>Abrir facsímil</v>
      </c>
      <c r="K13214" s="12" t="s">
        <v>65</v>
      </c>
    </row>
    <row r="13215" spans="1:11" ht="40.049999999999997" customHeight="1" x14ac:dyDescent="0.25">
      <c r="A13215" s="11" t="s">
        <v>25766</v>
      </c>
      <c r="B13215" s="11" t="s">
        <v>25766</v>
      </c>
      <c r="C13215" s="11" t="s">
        <v>80</v>
      </c>
      <c r="D13215" s="11" t="s">
        <v>18</v>
      </c>
      <c r="E13215" s="12" t="s">
        <v>798</v>
      </c>
      <c r="F13215" s="12" t="s">
        <v>799</v>
      </c>
      <c r="G13215" s="12" t="s">
        <v>40</v>
      </c>
      <c r="H13215" s="11" t="s">
        <v>63</v>
      </c>
      <c r="I13215" s="13" t="s">
        <v>25767</v>
      </c>
      <c r="J13215" s="14" t="str">
        <f>HYPERLINK("https://www.boe.es/gazeta/dias/1839/09/03/pdfs/GMD-1839-1755.pdf#page=2","Abrir facsímil")</f>
        <v>Abrir facsímil</v>
      </c>
      <c r="K13215" s="12" t="s">
        <v>65</v>
      </c>
    </row>
    <row r="13216" spans="1:11" ht="40.049999999999997" customHeight="1" x14ac:dyDescent="0.25">
      <c r="A13216" s="11" t="s">
        <v>25768</v>
      </c>
      <c r="B13216" s="11" t="s">
        <v>25769</v>
      </c>
      <c r="C13216" s="11" t="s">
        <v>17</v>
      </c>
      <c r="D13216" s="11" t="s">
        <v>18</v>
      </c>
      <c r="E13216" s="12" t="s">
        <v>181</v>
      </c>
      <c r="F13216" s="12" t="s">
        <v>182</v>
      </c>
      <c r="G13216" s="12" t="s">
        <v>29</v>
      </c>
      <c r="H13216" s="11" t="s">
        <v>63</v>
      </c>
      <c r="I13216" s="13" t="s">
        <v>25770</v>
      </c>
      <c r="J13216" s="14" t="str">
        <f>HYPERLINK("https://www.boe.es/gazeta/dias/1839/01/11/pdfs/GMD-1839-1518.pdf#page=1","Abrir facsímil")</f>
        <v>Abrir facsímil</v>
      </c>
      <c r="K13216" s="12" t="s">
        <v>65</v>
      </c>
    </row>
    <row r="13217" spans="1:11" ht="40.049999999999997" customHeight="1" x14ac:dyDescent="0.25">
      <c r="A13217" s="11" t="s">
        <v>25771</v>
      </c>
      <c r="B13217" s="11" t="s">
        <v>25772</v>
      </c>
      <c r="C13217" s="11" t="s">
        <v>17</v>
      </c>
      <c r="D13217" s="11" t="s">
        <v>18</v>
      </c>
      <c r="E13217" s="12" t="s">
        <v>197</v>
      </c>
      <c r="F13217" s="12" t="s">
        <v>198</v>
      </c>
      <c r="G13217" s="12" t="s">
        <v>46</v>
      </c>
      <c r="H13217" s="11" t="s">
        <v>63</v>
      </c>
      <c r="I13217" s="13" t="s">
        <v>25773</v>
      </c>
      <c r="J13217" s="14" t="str">
        <f>HYPERLINK("https://www.boe.es/gazeta/dias/1839/10/04/pdfs/GMD-1839-1790.pdf#page=3","Abrir facsímil")</f>
        <v>Abrir facsímil</v>
      </c>
      <c r="K13217" s="12" t="s">
        <v>65</v>
      </c>
    </row>
    <row r="13218" spans="1:11" ht="40.049999999999997" customHeight="1" x14ac:dyDescent="0.25">
      <c r="A13218" s="11" t="s">
        <v>25774</v>
      </c>
      <c r="B13218" s="11" t="s">
        <v>25775</v>
      </c>
      <c r="C13218" s="11" t="s">
        <v>17</v>
      </c>
      <c r="D13218" s="11" t="s">
        <v>18</v>
      </c>
      <c r="E13218" s="12" t="s">
        <v>507</v>
      </c>
      <c r="F13218" s="12" t="s">
        <v>508</v>
      </c>
      <c r="G13218" s="12" t="s">
        <v>46</v>
      </c>
      <c r="H13218" s="11" t="s">
        <v>63</v>
      </c>
      <c r="I13218" s="13" t="s">
        <v>25776</v>
      </c>
      <c r="J13218" s="14" t="str">
        <f>HYPERLINK("https://www.boe.es/gazeta/dias/1839/08/12/pdfs/GMD-1839-1732.pdf#page=3","Abrir facsímil")</f>
        <v>Abrir facsímil</v>
      </c>
      <c r="K13218" s="12" t="s">
        <v>65</v>
      </c>
    </row>
    <row r="13219" spans="1:11" ht="40.049999999999997" customHeight="1" x14ac:dyDescent="0.25">
      <c r="A13219" s="11" t="s">
        <v>25777</v>
      </c>
      <c r="B13219" s="11" t="s">
        <v>25777</v>
      </c>
      <c r="C13219" s="11" t="s">
        <v>17</v>
      </c>
      <c r="D13219" s="11" t="s">
        <v>18</v>
      </c>
      <c r="E13219" s="12" t="s">
        <v>1551</v>
      </c>
      <c r="F13219" s="12" t="s">
        <v>1552</v>
      </c>
      <c r="G13219" s="12" t="s">
        <v>40</v>
      </c>
      <c r="H13219" s="11" t="s">
        <v>63</v>
      </c>
      <c r="I13219" s="13" t="s">
        <v>25778</v>
      </c>
      <c r="J13219" s="14" t="str">
        <f>HYPERLINK("https://www.boe.es/gazeta/dias/1839/06/30/pdfs/GMD-1839-1688.pdf#page=2","Abrir facsímil")</f>
        <v>Abrir facsímil</v>
      </c>
      <c r="K13219" s="12" t="s">
        <v>65</v>
      </c>
    </row>
    <row r="13220" spans="1:11" ht="40.049999999999997" customHeight="1" x14ac:dyDescent="0.25">
      <c r="A13220" s="11" t="s">
        <v>25779</v>
      </c>
      <c r="B13220" s="11" t="s">
        <v>25779</v>
      </c>
      <c r="C13220" s="11" t="s">
        <v>17</v>
      </c>
      <c r="D13220" s="11" t="s">
        <v>18</v>
      </c>
      <c r="E13220" s="12" t="s">
        <v>291</v>
      </c>
      <c r="F13220" s="12" t="s">
        <v>292</v>
      </c>
      <c r="G13220" s="12" t="s">
        <v>29</v>
      </c>
      <c r="H13220" s="11" t="s">
        <v>63</v>
      </c>
      <c r="I13220" s="13" t="s">
        <v>25780</v>
      </c>
      <c r="J13220" s="14" t="str">
        <f>HYPERLINK("https://www.boe.es/gazeta/dias/1839/09/04/pdfs/GMD-1839-1757.pdf#page=1","Abrir facsímil")</f>
        <v>Abrir facsímil</v>
      </c>
      <c r="K13220" s="12" t="s">
        <v>65</v>
      </c>
    </row>
    <row r="13221" spans="1:11" ht="40.049999999999997" customHeight="1" x14ac:dyDescent="0.25">
      <c r="A13221" s="11" t="s">
        <v>25781</v>
      </c>
      <c r="B13221" s="11" t="s">
        <v>25781</v>
      </c>
      <c r="C13221" s="11" t="s">
        <v>17</v>
      </c>
      <c r="D13221" s="11" t="s">
        <v>18</v>
      </c>
      <c r="E13221" s="12" t="s">
        <v>907</v>
      </c>
      <c r="F13221" s="12" t="s">
        <v>908</v>
      </c>
      <c r="G13221" s="12" t="s">
        <v>40</v>
      </c>
      <c r="H13221" s="11" t="s">
        <v>63</v>
      </c>
      <c r="I13221" s="13" t="s">
        <v>25782</v>
      </c>
      <c r="J13221" s="14" t="str">
        <f>HYPERLINK("https://www.boe.es/gazeta/dias/1839/07/31/pdfs/GMD-1839-1720.pdf#page=2","Abrir facsímil")</f>
        <v>Abrir facsímil</v>
      </c>
      <c r="K13221" s="12" t="s">
        <v>65</v>
      </c>
    </row>
    <row r="13222" spans="1:11" ht="40.049999999999997" customHeight="1" x14ac:dyDescent="0.25">
      <c r="A13222" s="11" t="s">
        <v>25783</v>
      </c>
      <c r="B13222" s="11" t="s">
        <v>25784</v>
      </c>
      <c r="C13222" s="11" t="s">
        <v>17</v>
      </c>
      <c r="D13222" s="11" t="s">
        <v>18</v>
      </c>
      <c r="E13222" s="12" t="s">
        <v>2507</v>
      </c>
      <c r="F13222" s="12" t="s">
        <v>2508</v>
      </c>
      <c r="G13222" s="12" t="s">
        <v>46</v>
      </c>
      <c r="H13222" s="11" t="s">
        <v>22</v>
      </c>
      <c r="I13222" s="13" t="s">
        <v>25785</v>
      </c>
      <c r="J13222" s="14" t="str">
        <f>HYPERLINK("https://www.boe.es/gazeta/dias/1839/03/08/pdfs/GMD-1839-1574.pdf#page=3","Abrir facsímil")</f>
        <v>Abrir facsímil</v>
      </c>
      <c r="K13222" s="12" t="s">
        <v>24</v>
      </c>
    </row>
    <row r="13223" spans="1:11" ht="40.049999999999997" customHeight="1" x14ac:dyDescent="0.25">
      <c r="A13223" s="11" t="s">
        <v>25786</v>
      </c>
      <c r="B13223" s="11" t="s">
        <v>25787</v>
      </c>
      <c r="C13223" s="11" t="s">
        <v>80</v>
      </c>
      <c r="D13223" s="11" t="s">
        <v>173</v>
      </c>
      <c r="E13223" s="12" t="s">
        <v>303</v>
      </c>
      <c r="F13223" s="12" t="s">
        <v>304</v>
      </c>
      <c r="G13223" s="12" t="s">
        <v>305</v>
      </c>
      <c r="H13223" s="11" t="s">
        <v>63</v>
      </c>
      <c r="I13223" s="13" t="s">
        <v>25788</v>
      </c>
      <c r="J13223" s="14" t="str">
        <f>HYPERLINK("https://www.boe.es/gazeta/dias/1839/10/06/pdfs/GMD-1839-1792.pdf#page=6","Abrir facsímil")</f>
        <v>Abrir facsímil</v>
      </c>
      <c r="K13223" s="12" t="s">
        <v>65</v>
      </c>
    </row>
    <row r="13224" spans="1:11" ht="40.049999999999997" customHeight="1" x14ac:dyDescent="0.25">
      <c r="A13224" s="11" t="s">
        <v>25789</v>
      </c>
      <c r="B13224" s="11" t="s">
        <v>25790</v>
      </c>
      <c r="C13224" s="11" t="s">
        <v>101</v>
      </c>
      <c r="D13224" s="11" t="s">
        <v>102</v>
      </c>
      <c r="E13224" s="12" t="s">
        <v>291</v>
      </c>
      <c r="F13224" s="12" t="s">
        <v>292</v>
      </c>
      <c r="G13224" s="12" t="s">
        <v>46</v>
      </c>
      <c r="H13224" s="11" t="s">
        <v>63</v>
      </c>
      <c r="I13224" s="13" t="s">
        <v>25791</v>
      </c>
      <c r="J13224" s="14" t="str">
        <f>HYPERLINK("https://www.boe.es/gazeta/dias/1839/09/04/pdfs/GMD-1839-1757.pdf#page=3","Abrir facsímil")</f>
        <v>Abrir facsímil</v>
      </c>
      <c r="K13224" s="12" t="s">
        <v>65</v>
      </c>
    </row>
    <row r="13225" spans="1:11" ht="40.049999999999997" customHeight="1" x14ac:dyDescent="0.25">
      <c r="A13225" s="11" t="s">
        <v>25792</v>
      </c>
      <c r="B13225" s="11" t="s">
        <v>25793</v>
      </c>
      <c r="C13225" s="11" t="s">
        <v>101</v>
      </c>
      <c r="D13225" s="11" t="s">
        <v>43</v>
      </c>
      <c r="E13225" s="12" t="s">
        <v>132</v>
      </c>
      <c r="F13225" s="12" t="s">
        <v>133</v>
      </c>
      <c r="G13225" s="12" t="s">
        <v>21</v>
      </c>
      <c r="H13225" s="11" t="s">
        <v>63</v>
      </c>
      <c r="I13225" s="13" t="s">
        <v>25794</v>
      </c>
      <c r="J13225" s="14" t="str">
        <f>HYPERLINK("https://www.boe.es/gazeta/dias/1839/08/02/pdfs/GMD-1839-1722.pdf#page=4","Abrir facsímil")</f>
        <v>Abrir facsímil</v>
      </c>
      <c r="K13225" s="12" t="s">
        <v>65</v>
      </c>
    </row>
    <row r="13226" spans="1:11" ht="40.049999999999997" customHeight="1" x14ac:dyDescent="0.25">
      <c r="A13226" s="11" t="s">
        <v>25795</v>
      </c>
      <c r="B13226" s="11" t="s">
        <v>25796</v>
      </c>
      <c r="C13226" s="11" t="s">
        <v>17</v>
      </c>
      <c r="D13226" s="11" t="s">
        <v>18</v>
      </c>
      <c r="E13226" s="12" t="s">
        <v>621</v>
      </c>
      <c r="F13226" s="12" t="s">
        <v>622</v>
      </c>
      <c r="G13226" s="12" t="s">
        <v>29</v>
      </c>
      <c r="H13226" s="11" t="s">
        <v>63</v>
      </c>
      <c r="I13226" s="13" t="s">
        <v>25797</v>
      </c>
      <c r="J13226" s="14" t="str">
        <f>HYPERLINK("https://www.boe.es/gazeta/dias/1839/04/14/pdfs/GMD-1839-1611.pdf#page=1","Abrir facsímil")</f>
        <v>Abrir facsímil</v>
      </c>
      <c r="K13226" s="12" t="s">
        <v>65</v>
      </c>
    </row>
    <row r="13227" spans="1:11" ht="40.049999999999997" customHeight="1" x14ac:dyDescent="0.25">
      <c r="A13227" s="11" t="s">
        <v>25798</v>
      </c>
      <c r="B13227" s="11" t="s">
        <v>25798</v>
      </c>
      <c r="C13227" s="11" t="s">
        <v>17</v>
      </c>
      <c r="D13227" s="11" t="s">
        <v>18</v>
      </c>
      <c r="E13227" s="12" t="s">
        <v>1008</v>
      </c>
      <c r="F13227" s="12" t="s">
        <v>1009</v>
      </c>
      <c r="G13227" s="12" t="s">
        <v>40</v>
      </c>
      <c r="H13227" s="11" t="s">
        <v>63</v>
      </c>
      <c r="I13227" s="13" t="s">
        <v>25799</v>
      </c>
      <c r="J13227" s="14" t="str">
        <f>HYPERLINK("https://www.boe.es/gazeta/dias/1839/09/07/pdfs/GMD-1839-1760.pdf#page=2","Abrir facsímil")</f>
        <v>Abrir facsímil</v>
      </c>
      <c r="K13227" s="12" t="s">
        <v>65</v>
      </c>
    </row>
    <row r="13228" spans="1:11" ht="40.049999999999997" customHeight="1" x14ac:dyDescent="0.25">
      <c r="A13228" s="11" t="s">
        <v>25798</v>
      </c>
      <c r="B13228" s="11" t="s">
        <v>25798</v>
      </c>
      <c r="C13228" s="11" t="s">
        <v>17</v>
      </c>
      <c r="D13228" s="11" t="s">
        <v>18</v>
      </c>
      <c r="E13228" s="12" t="s">
        <v>756</v>
      </c>
      <c r="F13228" s="12" t="s">
        <v>757</v>
      </c>
      <c r="G13228" s="12" t="s">
        <v>40</v>
      </c>
      <c r="H13228" s="11" t="s">
        <v>63</v>
      </c>
      <c r="I13228" s="13" t="s">
        <v>25800</v>
      </c>
      <c r="J13228" s="14" t="str">
        <f>HYPERLINK("https://www.boe.es/gazeta/dias/1839/12/17/pdfs/GMD-1839-1864.pdf#page=2","Abrir facsímil")</f>
        <v>Abrir facsímil</v>
      </c>
      <c r="K13228" s="12" t="s">
        <v>65</v>
      </c>
    </row>
    <row r="13229" spans="1:11" ht="40.049999999999997" customHeight="1" x14ac:dyDescent="0.25">
      <c r="A13229" s="11" t="s">
        <v>25798</v>
      </c>
      <c r="B13229" s="11" t="s">
        <v>25798</v>
      </c>
      <c r="C13229" s="11" t="s">
        <v>17</v>
      </c>
      <c r="D13229" s="11" t="s">
        <v>18</v>
      </c>
      <c r="E13229" s="12" t="s">
        <v>295</v>
      </c>
      <c r="F13229" s="12" t="s">
        <v>296</v>
      </c>
      <c r="G13229" s="12" t="s">
        <v>40</v>
      </c>
      <c r="H13229" s="11" t="s">
        <v>63</v>
      </c>
      <c r="I13229" s="13" t="s">
        <v>25801</v>
      </c>
      <c r="J13229" s="14" t="str">
        <f>HYPERLINK("https://www.boe.es/gazeta/dias/1839/08/19/pdfs/GMD-1839-1740.pdf#page=2","Abrir facsímil")</f>
        <v>Abrir facsímil</v>
      </c>
      <c r="K13229" s="12" t="s">
        <v>65</v>
      </c>
    </row>
    <row r="13230" spans="1:11" ht="40.049999999999997" customHeight="1" x14ac:dyDescent="0.25">
      <c r="A13230" s="11" t="s">
        <v>25798</v>
      </c>
      <c r="B13230" s="11" t="s">
        <v>25798</v>
      </c>
      <c r="C13230" s="11" t="s">
        <v>59</v>
      </c>
      <c r="D13230" s="11" t="s">
        <v>60</v>
      </c>
      <c r="E13230" s="12" t="s">
        <v>1551</v>
      </c>
      <c r="F13230" s="12" t="s">
        <v>1552</v>
      </c>
      <c r="G13230" s="12" t="s">
        <v>29</v>
      </c>
      <c r="H13230" s="11" t="s">
        <v>63</v>
      </c>
      <c r="I13230" s="13" t="s">
        <v>25802</v>
      </c>
      <c r="J13230" s="14" t="str">
        <f>HYPERLINK("https://www.boe.es/gazeta/dias/1839/06/30/pdfs/GMD-1839-1688.pdf#page=1","Abrir facsímil")</f>
        <v>Abrir facsímil</v>
      </c>
      <c r="K13230" s="12" t="s">
        <v>65</v>
      </c>
    </row>
    <row r="13231" spans="1:11" ht="40.049999999999997" customHeight="1" x14ac:dyDescent="0.25">
      <c r="A13231" s="11" t="s">
        <v>25803</v>
      </c>
      <c r="B13231" s="11" t="s">
        <v>25804</v>
      </c>
      <c r="C13231" s="11" t="s">
        <v>17</v>
      </c>
      <c r="D13231" s="11" t="s">
        <v>18</v>
      </c>
      <c r="E13231" s="12" t="s">
        <v>108</v>
      </c>
      <c r="F13231" s="12" t="s">
        <v>109</v>
      </c>
      <c r="G13231" s="12" t="s">
        <v>29</v>
      </c>
      <c r="H13231" s="11" t="s">
        <v>63</v>
      </c>
      <c r="I13231" s="13" t="s">
        <v>25805</v>
      </c>
      <c r="J13231" s="14" t="str">
        <f>HYPERLINK("https://www.boe.es/gazeta/dias/1839/01/04/pdfs/GMD-1839-1511.pdf#page=1","Abrir facsímil")</f>
        <v>Abrir facsímil</v>
      </c>
      <c r="K13231" s="12" t="s">
        <v>65</v>
      </c>
    </row>
    <row r="13232" spans="1:11" ht="40.049999999999997" customHeight="1" x14ac:dyDescent="0.25">
      <c r="A13232" s="11" t="s">
        <v>25806</v>
      </c>
      <c r="B13232" s="11" t="s">
        <v>25807</v>
      </c>
      <c r="C13232" s="11" t="s">
        <v>59</v>
      </c>
      <c r="D13232" s="11" t="s">
        <v>60</v>
      </c>
      <c r="E13232" s="12" t="s">
        <v>489</v>
      </c>
      <c r="F13232" s="12" t="s">
        <v>490</v>
      </c>
      <c r="G13232" s="12" t="s">
        <v>21</v>
      </c>
      <c r="H13232" s="11" t="s">
        <v>63</v>
      </c>
      <c r="I13232" s="13" t="s">
        <v>25808</v>
      </c>
      <c r="J13232" s="14" t="str">
        <f>HYPERLINK("https://www.boe.es/gazeta/dias/1839/06/29/pdfs/GMD-1839-1687.pdf#page=4","Abrir facsímil")</f>
        <v>Abrir facsímil</v>
      </c>
      <c r="K13232" s="12" t="s">
        <v>65</v>
      </c>
    </row>
    <row r="13233" spans="1:11" ht="40.049999999999997" customHeight="1" x14ac:dyDescent="0.25">
      <c r="A13233" s="11" t="s">
        <v>25809</v>
      </c>
      <c r="B13233" s="11" t="s">
        <v>25809</v>
      </c>
      <c r="C13233" s="11" t="s">
        <v>17</v>
      </c>
      <c r="D13233" s="11" t="s">
        <v>18</v>
      </c>
      <c r="E13233" s="12" t="s">
        <v>1159</v>
      </c>
      <c r="F13233" s="12" t="s">
        <v>1160</v>
      </c>
      <c r="G13233" s="12" t="s">
        <v>46</v>
      </c>
      <c r="H13233" s="11" t="s">
        <v>63</v>
      </c>
      <c r="I13233" s="13" t="s">
        <v>25810</v>
      </c>
      <c r="J13233" s="14" t="str">
        <f>HYPERLINK("https://www.boe.es/gazeta/dias/1839/11/26/pdfs/GMD-1839-1843.pdf#page=3","Abrir facsímil")</f>
        <v>Abrir facsímil</v>
      </c>
      <c r="K13233" s="12" t="s">
        <v>65</v>
      </c>
    </row>
    <row r="13234" spans="1:11" ht="40.049999999999997" customHeight="1" x14ac:dyDescent="0.25">
      <c r="A13234" s="11" t="s">
        <v>25811</v>
      </c>
      <c r="B13234" s="11" t="s">
        <v>25812</v>
      </c>
      <c r="C13234" s="11" t="s">
        <v>17</v>
      </c>
      <c r="D13234" s="11" t="s">
        <v>43</v>
      </c>
      <c r="E13234" s="12" t="s">
        <v>1159</v>
      </c>
      <c r="F13234" s="12" t="s">
        <v>1160</v>
      </c>
      <c r="G13234" s="12" t="s">
        <v>46</v>
      </c>
      <c r="H13234" s="11" t="s">
        <v>63</v>
      </c>
      <c r="I13234" s="13" t="s">
        <v>25813</v>
      </c>
      <c r="J13234" s="14" t="str">
        <f>HYPERLINK("https://www.boe.es/gazeta/dias/1839/11/26/pdfs/GMD-1839-1843.pdf#page=3","Abrir facsímil")</f>
        <v>Abrir facsímil</v>
      </c>
      <c r="K13234" s="12" t="s">
        <v>65</v>
      </c>
    </row>
    <row r="13235" spans="1:11" ht="40.049999999999997" customHeight="1" x14ac:dyDescent="0.25">
      <c r="A13235" s="11" t="s">
        <v>25814</v>
      </c>
      <c r="B13235" s="11" t="s">
        <v>25814</v>
      </c>
      <c r="C13235" s="11" t="s">
        <v>101</v>
      </c>
      <c r="D13235" s="11" t="s">
        <v>43</v>
      </c>
      <c r="E13235" s="12" t="s">
        <v>507</v>
      </c>
      <c r="F13235" s="12" t="s">
        <v>508</v>
      </c>
      <c r="G13235" s="12" t="s">
        <v>40</v>
      </c>
      <c r="H13235" s="11" t="s">
        <v>63</v>
      </c>
      <c r="I13235" s="13" t="s">
        <v>25815</v>
      </c>
      <c r="J13235" s="14" t="str">
        <f>HYPERLINK("https://www.boe.es/gazeta/dias/1839/08/12/pdfs/GMD-1839-1732.pdf#page=2","Abrir facsímil")</f>
        <v>Abrir facsímil</v>
      </c>
      <c r="K13235" s="12" t="s">
        <v>65</v>
      </c>
    </row>
    <row r="13236" spans="1:11" ht="40.049999999999997" customHeight="1" x14ac:dyDescent="0.25">
      <c r="A13236" s="11" t="s">
        <v>25816</v>
      </c>
      <c r="B13236" s="11" t="s">
        <v>25817</v>
      </c>
      <c r="C13236" s="11" t="s">
        <v>80</v>
      </c>
      <c r="D13236" s="11" t="s">
        <v>18</v>
      </c>
      <c r="E13236" s="12" t="s">
        <v>330</v>
      </c>
      <c r="F13236" s="12" t="s">
        <v>331</v>
      </c>
      <c r="G13236" s="12" t="s">
        <v>21</v>
      </c>
      <c r="H13236" s="11" t="s">
        <v>63</v>
      </c>
      <c r="I13236" s="13" t="s">
        <v>25818</v>
      </c>
      <c r="J13236" s="14" t="str">
        <f>HYPERLINK("https://www.boe.es/gazeta/dias/1839/04/11/pdfs/GMD-1839-1608.pdf#page=4","Abrir facsímil")</f>
        <v>Abrir facsímil</v>
      </c>
      <c r="K13236" s="12" t="s">
        <v>65</v>
      </c>
    </row>
    <row r="13237" spans="1:11" ht="40.049999999999997" customHeight="1" x14ac:dyDescent="0.25">
      <c r="A13237" s="11" t="s">
        <v>25819</v>
      </c>
      <c r="B13237" s="11" t="s">
        <v>25819</v>
      </c>
      <c r="C13237" s="11" t="s">
        <v>17</v>
      </c>
      <c r="D13237" s="11" t="s">
        <v>18</v>
      </c>
      <c r="E13237" s="12" t="s">
        <v>1100</v>
      </c>
      <c r="F13237" s="12" t="s">
        <v>1101</v>
      </c>
      <c r="G13237" s="12" t="s">
        <v>21</v>
      </c>
      <c r="H13237" s="11" t="s">
        <v>63</v>
      </c>
      <c r="I13237" s="13" t="s">
        <v>25820</v>
      </c>
      <c r="J13237" s="14" t="str">
        <f>HYPERLINK("https://www.boe.es/gazeta/dias/1839/09/13/pdfs/GMD-1839-1766.pdf#page=4","Abrir facsímil")</f>
        <v>Abrir facsímil</v>
      </c>
      <c r="K13237" s="12" t="s">
        <v>65</v>
      </c>
    </row>
    <row r="13238" spans="1:11" ht="40.049999999999997" customHeight="1" x14ac:dyDescent="0.25">
      <c r="A13238" s="11" t="s">
        <v>25821</v>
      </c>
      <c r="B13238" s="11" t="s">
        <v>25822</v>
      </c>
      <c r="C13238" s="11" t="s">
        <v>17</v>
      </c>
      <c r="D13238" s="11" t="s">
        <v>18</v>
      </c>
      <c r="E13238" s="12" t="s">
        <v>168</v>
      </c>
      <c r="F13238" s="12" t="s">
        <v>169</v>
      </c>
      <c r="G13238" s="12" t="s">
        <v>21</v>
      </c>
      <c r="H13238" s="11" t="s">
        <v>22</v>
      </c>
      <c r="I13238" s="13" t="s">
        <v>25823</v>
      </c>
      <c r="J13238" s="14" t="str">
        <f>HYPERLINK("https://www.boe.es/gazeta/dias/1839/07/12/pdfs/GMD-1839-1700.pdf#page=4","Abrir facsímil")</f>
        <v>Abrir facsímil</v>
      </c>
      <c r="K13238" s="12" t="s">
        <v>24</v>
      </c>
    </row>
    <row r="13239" spans="1:11" ht="40.049999999999997" customHeight="1" x14ac:dyDescent="0.25">
      <c r="A13239" s="11" t="s">
        <v>25824</v>
      </c>
      <c r="B13239" s="11" t="s">
        <v>25825</v>
      </c>
      <c r="C13239" s="11" t="s">
        <v>59</v>
      </c>
      <c r="D13239" s="11" t="s">
        <v>60</v>
      </c>
      <c r="E13239" s="12" t="s">
        <v>770</v>
      </c>
      <c r="F13239" s="12" t="s">
        <v>771</v>
      </c>
      <c r="G13239" s="12" t="s">
        <v>21</v>
      </c>
      <c r="H13239" s="11" t="s">
        <v>63</v>
      </c>
      <c r="I13239" s="13" t="s">
        <v>25826</v>
      </c>
      <c r="J13239" s="14" t="str">
        <f>HYPERLINK("https://www.boe.es/gazeta/dias/1839/12/05/pdfs/GMD-1839-1852.pdf#page=4","Abrir facsímil")</f>
        <v>Abrir facsímil</v>
      </c>
      <c r="K13239" s="12" t="s">
        <v>65</v>
      </c>
    </row>
    <row r="13240" spans="1:11" ht="40.049999999999997" customHeight="1" x14ac:dyDescent="0.25">
      <c r="A13240" s="11" t="s">
        <v>25827</v>
      </c>
      <c r="B13240" s="11" t="s">
        <v>25827</v>
      </c>
      <c r="C13240" s="11" t="s">
        <v>17</v>
      </c>
      <c r="D13240" s="11" t="s">
        <v>18</v>
      </c>
      <c r="E13240" s="12" t="s">
        <v>700</v>
      </c>
      <c r="F13240" s="12" t="s">
        <v>701</v>
      </c>
      <c r="G13240" s="12" t="s">
        <v>21</v>
      </c>
      <c r="H13240" s="11" t="s">
        <v>22</v>
      </c>
      <c r="I13240" s="13" t="s">
        <v>25828</v>
      </c>
      <c r="J13240" s="14" t="str">
        <f>HYPERLINK("https://www.boe.es/gazeta/dias/1839/09/01/pdfs/GMD-1839-1753.pdf#page=4","Abrir facsímil")</f>
        <v>Abrir facsímil</v>
      </c>
      <c r="K13240" s="12" t="s">
        <v>24</v>
      </c>
    </row>
    <row r="13241" spans="1:11" ht="40.049999999999997" customHeight="1" x14ac:dyDescent="0.25">
      <c r="A13241" s="11" t="s">
        <v>25827</v>
      </c>
      <c r="B13241" s="11" t="s">
        <v>25827</v>
      </c>
      <c r="C13241" s="11" t="s">
        <v>101</v>
      </c>
      <c r="D13241" s="11" t="s">
        <v>43</v>
      </c>
      <c r="E13241" s="12" t="s">
        <v>1813</v>
      </c>
      <c r="F13241" s="12" t="s">
        <v>1814</v>
      </c>
      <c r="G13241" s="12" t="s">
        <v>21</v>
      </c>
      <c r="H13241" s="11" t="s">
        <v>22</v>
      </c>
      <c r="I13241" s="13" t="s">
        <v>25829</v>
      </c>
      <c r="J13241" s="14" t="str">
        <f>HYPERLINK("https://www.boe.es/gazeta/dias/1839/09/02/pdfs/GMD-1839-1754.pdf#page=4","Abrir facsímil")</f>
        <v>Abrir facsímil</v>
      </c>
      <c r="K13241" s="12" t="s">
        <v>24</v>
      </c>
    </row>
    <row r="13242" spans="1:11" ht="40.049999999999997" customHeight="1" x14ac:dyDescent="0.25">
      <c r="A13242" s="11" t="s">
        <v>25827</v>
      </c>
      <c r="B13242" s="11" t="s">
        <v>25827</v>
      </c>
      <c r="C13242" s="11" t="s">
        <v>101</v>
      </c>
      <c r="D13242" s="11" t="s">
        <v>43</v>
      </c>
      <c r="E13242" s="12" t="s">
        <v>291</v>
      </c>
      <c r="F13242" s="12" t="s">
        <v>292</v>
      </c>
      <c r="G13242" s="12" t="s">
        <v>21</v>
      </c>
      <c r="H13242" s="11" t="s">
        <v>22</v>
      </c>
      <c r="I13242" s="13" t="s">
        <v>25830</v>
      </c>
      <c r="J13242" s="14" t="str">
        <f>HYPERLINK("https://www.boe.es/gazeta/dias/1839/09/04/pdfs/GMD-1839-1757.pdf#page=4","Abrir facsímil")</f>
        <v>Abrir facsímil</v>
      </c>
      <c r="K13242" s="12" t="s">
        <v>24</v>
      </c>
    </row>
    <row r="13243" spans="1:11" ht="40.049999999999997" customHeight="1" x14ac:dyDescent="0.25">
      <c r="A13243" s="11" t="s">
        <v>25831</v>
      </c>
      <c r="B13243" s="11" t="s">
        <v>25831</v>
      </c>
      <c r="C13243" s="11" t="s">
        <v>17</v>
      </c>
      <c r="D13243" s="11" t="s">
        <v>43</v>
      </c>
      <c r="E13243" s="12" t="s">
        <v>496</v>
      </c>
      <c r="F13243" s="12" t="s">
        <v>497</v>
      </c>
      <c r="G13243" s="12" t="s">
        <v>46</v>
      </c>
      <c r="H13243" s="11" t="s">
        <v>63</v>
      </c>
      <c r="I13243" s="13" t="s">
        <v>25832</v>
      </c>
      <c r="J13243" s="14" t="str">
        <f>HYPERLINK("https://www.boe.es/gazeta/dias/1839/11/23/pdfs/GMD-1839-1840.pdf#page=3","Abrir facsímil")</f>
        <v>Abrir facsímil</v>
      </c>
      <c r="K13243" s="12" t="s">
        <v>65</v>
      </c>
    </row>
    <row r="13244" spans="1:11" ht="40.049999999999997" customHeight="1" x14ac:dyDescent="0.25">
      <c r="A13244" s="11" t="s">
        <v>25833</v>
      </c>
      <c r="B13244" s="11" t="s">
        <v>25833</v>
      </c>
      <c r="C13244" s="11" t="s">
        <v>17</v>
      </c>
      <c r="D13244" s="11" t="s">
        <v>18</v>
      </c>
      <c r="E13244" s="12" t="s">
        <v>1679</v>
      </c>
      <c r="F13244" s="12" t="s">
        <v>1680</v>
      </c>
      <c r="G13244" s="12" t="s">
        <v>46</v>
      </c>
      <c r="H13244" s="11" t="s">
        <v>63</v>
      </c>
      <c r="I13244" s="13" t="s">
        <v>25834</v>
      </c>
      <c r="J13244" s="14" t="str">
        <f>HYPERLINK("https://www.boe.es/gazeta/dias/1839/01/26/pdfs/GMD-1839-1533.pdf#page=3","Abrir facsímil")</f>
        <v>Abrir facsímil</v>
      </c>
      <c r="K13244" s="12" t="s">
        <v>65</v>
      </c>
    </row>
    <row r="13245" spans="1:11" ht="40.049999999999997" customHeight="1" x14ac:dyDescent="0.25">
      <c r="A13245" s="11" t="s">
        <v>25835</v>
      </c>
      <c r="B13245" s="11" t="s">
        <v>25835</v>
      </c>
      <c r="C13245" s="11" t="s">
        <v>80</v>
      </c>
      <c r="D13245" s="11" t="s">
        <v>18</v>
      </c>
      <c r="E13245" s="12" t="s">
        <v>3614</v>
      </c>
      <c r="F13245" s="12" t="s">
        <v>3615</v>
      </c>
      <c r="G13245" s="12" t="s">
        <v>46</v>
      </c>
      <c r="H13245" s="11" t="s">
        <v>63</v>
      </c>
      <c r="I13245" s="13" t="s">
        <v>25836</v>
      </c>
      <c r="J13245" s="14" t="str">
        <f>HYPERLINK("https://www.boe.es/gazeta/dias/1839/04/04/pdfs/GMD-1839-1601.pdf#page=3","Abrir facsímil")</f>
        <v>Abrir facsímil</v>
      </c>
      <c r="K13245" s="12" t="s">
        <v>65</v>
      </c>
    </row>
    <row r="13246" spans="1:11" ht="40.049999999999997" customHeight="1" x14ac:dyDescent="0.25">
      <c r="A13246" s="11" t="s">
        <v>25837</v>
      </c>
      <c r="B13246" s="11" t="s">
        <v>25838</v>
      </c>
      <c r="C13246" s="11" t="s">
        <v>17</v>
      </c>
      <c r="D13246" s="11" t="s">
        <v>18</v>
      </c>
      <c r="E13246" s="12" t="s">
        <v>4047</v>
      </c>
      <c r="F13246" s="12" t="s">
        <v>4048</v>
      </c>
      <c r="G13246" s="12" t="s">
        <v>46</v>
      </c>
      <c r="H13246" s="11" t="s">
        <v>22</v>
      </c>
      <c r="I13246" s="13" t="s">
        <v>25839</v>
      </c>
      <c r="J13246" s="14" t="str">
        <f>HYPERLINK("https://www.boe.es/gazeta/dias/1839/03/26/pdfs/GMD-1839-1592.pdf#page=3","Abrir facsímil")</f>
        <v>Abrir facsímil</v>
      </c>
      <c r="K13246" s="12" t="s">
        <v>24</v>
      </c>
    </row>
    <row r="13247" spans="1:11" ht="40.049999999999997" customHeight="1" x14ac:dyDescent="0.25">
      <c r="A13247" s="11" t="s">
        <v>25840</v>
      </c>
      <c r="B13247" s="11" t="s">
        <v>25840</v>
      </c>
      <c r="C13247" s="11" t="s">
        <v>17</v>
      </c>
      <c r="D13247" s="11" t="s">
        <v>18</v>
      </c>
      <c r="E13247" s="12" t="s">
        <v>611</v>
      </c>
      <c r="F13247" s="12" t="s">
        <v>612</v>
      </c>
      <c r="G13247" s="12" t="s">
        <v>46</v>
      </c>
      <c r="H13247" s="11" t="s">
        <v>63</v>
      </c>
      <c r="I13247" s="13" t="s">
        <v>25841</v>
      </c>
      <c r="J13247" s="14" t="str">
        <f>HYPERLINK("https://www.boe.es/gazeta/dias/1839/07/22/pdfs/GMD-1839-1710.pdf#page=3","Abrir facsímil")</f>
        <v>Abrir facsímil</v>
      </c>
      <c r="K13247" s="12" t="s">
        <v>65</v>
      </c>
    </row>
    <row r="13248" spans="1:11" ht="40.049999999999997" customHeight="1" x14ac:dyDescent="0.25">
      <c r="A13248" s="11" t="s">
        <v>25842</v>
      </c>
      <c r="B13248" s="11" t="s">
        <v>25842</v>
      </c>
      <c r="C13248" s="11" t="s">
        <v>17</v>
      </c>
      <c r="D13248" s="11" t="s">
        <v>18</v>
      </c>
      <c r="E13248" s="12" t="s">
        <v>1779</v>
      </c>
      <c r="F13248" s="12" t="s">
        <v>1780</v>
      </c>
      <c r="G13248" s="12" t="s">
        <v>21</v>
      </c>
      <c r="H13248" s="11" t="s">
        <v>63</v>
      </c>
      <c r="I13248" s="13" t="s">
        <v>25843</v>
      </c>
      <c r="J13248" s="14" t="str">
        <f>HYPERLINK("https://www.boe.es/gazeta/dias/1839/03/18/pdfs/GMD-1839-1584.pdf#page=4","Abrir facsímil")</f>
        <v>Abrir facsímil</v>
      </c>
      <c r="K13248" s="12" t="s">
        <v>65</v>
      </c>
    </row>
    <row r="13249" spans="1:11" ht="40.049999999999997" customHeight="1" x14ac:dyDescent="0.25">
      <c r="A13249" s="11" t="s">
        <v>25844</v>
      </c>
      <c r="B13249" s="11" t="s">
        <v>25844</v>
      </c>
      <c r="C13249" s="11" t="s">
        <v>101</v>
      </c>
      <c r="D13249" s="11" t="s">
        <v>102</v>
      </c>
      <c r="E13249" s="12" t="s">
        <v>2227</v>
      </c>
      <c r="F13249" s="12" t="s">
        <v>2228</v>
      </c>
      <c r="G13249" s="12" t="s">
        <v>40</v>
      </c>
      <c r="H13249" s="11" t="s">
        <v>63</v>
      </c>
      <c r="I13249" s="13" t="s">
        <v>25845</v>
      </c>
      <c r="J13249" s="14" t="str">
        <f>HYPERLINK("https://www.boe.es/gazeta/dias/1839/12/04/pdfs/GMD-1839-1851.pdf#page=2","Abrir facsímil")</f>
        <v>Abrir facsímil</v>
      </c>
      <c r="K13249" s="12" t="s">
        <v>65</v>
      </c>
    </row>
    <row r="13250" spans="1:11" ht="40.049999999999997" customHeight="1" x14ac:dyDescent="0.25">
      <c r="A13250" s="11" t="s">
        <v>25844</v>
      </c>
      <c r="B13250" s="11" t="s">
        <v>25844</v>
      </c>
      <c r="C13250" s="11" t="s">
        <v>80</v>
      </c>
      <c r="D13250" s="11" t="s">
        <v>18</v>
      </c>
      <c r="E13250" s="12" t="s">
        <v>713</v>
      </c>
      <c r="F13250" s="12" t="s">
        <v>714</v>
      </c>
      <c r="G13250" s="12" t="s">
        <v>40</v>
      </c>
      <c r="H13250" s="11" t="s">
        <v>63</v>
      </c>
      <c r="I13250" s="13" t="s">
        <v>25846</v>
      </c>
      <c r="J13250" s="14" t="str">
        <f>HYPERLINK("https://www.boe.es/gazeta/dias/1839/12/18/pdfs/GMD-1839-1865.pdf#page=2","Abrir facsímil")</f>
        <v>Abrir facsímil</v>
      </c>
      <c r="K13250" s="12" t="s">
        <v>65</v>
      </c>
    </row>
    <row r="13251" spans="1:11" ht="40.049999999999997" customHeight="1" x14ac:dyDescent="0.25">
      <c r="A13251" s="11" t="s">
        <v>25844</v>
      </c>
      <c r="B13251" s="11" t="s">
        <v>25844</v>
      </c>
      <c r="C13251" s="11" t="s">
        <v>101</v>
      </c>
      <c r="D13251" s="11" t="s">
        <v>102</v>
      </c>
      <c r="E13251" s="12" t="s">
        <v>111</v>
      </c>
      <c r="F13251" s="12" t="s">
        <v>112</v>
      </c>
      <c r="G13251" s="12" t="s">
        <v>29</v>
      </c>
      <c r="H13251" s="11" t="s">
        <v>63</v>
      </c>
      <c r="I13251" s="13" t="s">
        <v>25847</v>
      </c>
      <c r="J13251" s="14" t="str">
        <f>HYPERLINK("https://www.boe.es/gazeta/dias/1839/07/25/pdfs/GMD-1839-1714.pdf#page=1","Abrir facsímil")</f>
        <v>Abrir facsímil</v>
      </c>
      <c r="K13251" s="12" t="s">
        <v>65</v>
      </c>
    </row>
    <row r="13252" spans="1:11" ht="40.049999999999997" customHeight="1" x14ac:dyDescent="0.25">
      <c r="A13252" s="11" t="s">
        <v>25848</v>
      </c>
      <c r="B13252" s="11" t="s">
        <v>25849</v>
      </c>
      <c r="C13252" s="11" t="s">
        <v>80</v>
      </c>
      <c r="D13252" s="11" t="s">
        <v>18</v>
      </c>
      <c r="E13252" s="12" t="s">
        <v>1520</v>
      </c>
      <c r="F13252" s="12" t="s">
        <v>1521</v>
      </c>
      <c r="G13252" s="12" t="s">
        <v>21</v>
      </c>
      <c r="H13252" s="11" t="s">
        <v>63</v>
      </c>
      <c r="I13252" s="13" t="s">
        <v>25850</v>
      </c>
      <c r="J13252" s="14" t="str">
        <f>HYPERLINK("https://www.boe.es/gazeta/dias/1839/12/27/pdfs/GMD-1839-1874.pdf#page=4","Abrir facsímil")</f>
        <v>Abrir facsímil</v>
      </c>
      <c r="K13252" s="12" t="s">
        <v>65</v>
      </c>
    </row>
    <row r="13253" spans="1:11" ht="40.049999999999997" customHeight="1" x14ac:dyDescent="0.25">
      <c r="A13253" s="11" t="s">
        <v>25851</v>
      </c>
      <c r="B13253" s="11" t="s">
        <v>25852</v>
      </c>
      <c r="C13253" s="11" t="s">
        <v>17</v>
      </c>
      <c r="D13253" s="11" t="s">
        <v>18</v>
      </c>
      <c r="E13253" s="12" t="s">
        <v>1027</v>
      </c>
      <c r="F13253" s="12" t="s">
        <v>1028</v>
      </c>
      <c r="G13253" s="12" t="s">
        <v>21</v>
      </c>
      <c r="H13253" s="11" t="s">
        <v>63</v>
      </c>
      <c r="I13253" s="13" t="s">
        <v>25853</v>
      </c>
      <c r="J13253" s="14" t="str">
        <f>HYPERLINK("https://www.boe.es/gazeta/dias/1839/08/16/pdfs/GMD-1839-1736.pdf#page=4","Abrir facsímil")</f>
        <v>Abrir facsímil</v>
      </c>
      <c r="K13253" s="12" t="s">
        <v>65</v>
      </c>
    </row>
    <row r="13254" spans="1:11" ht="40.049999999999997" customHeight="1" x14ac:dyDescent="0.25">
      <c r="A13254" s="11" t="s">
        <v>25854</v>
      </c>
      <c r="B13254" s="11" t="s">
        <v>25854</v>
      </c>
      <c r="C13254" s="11" t="s">
        <v>101</v>
      </c>
      <c r="D13254" s="11" t="s">
        <v>43</v>
      </c>
      <c r="E13254" s="12" t="s">
        <v>809</v>
      </c>
      <c r="F13254" s="12" t="s">
        <v>810</v>
      </c>
      <c r="G13254" s="12" t="s">
        <v>46</v>
      </c>
      <c r="H13254" s="11" t="s">
        <v>63</v>
      </c>
      <c r="I13254" s="13" t="s">
        <v>25855</v>
      </c>
      <c r="J13254" s="14" t="str">
        <f>HYPERLINK("https://www.boe.es/gazeta/dias/1839/02/11/pdfs/GMD-1839-1549.pdf#page=3","Abrir facsímil")</f>
        <v>Abrir facsímil</v>
      </c>
      <c r="K13254" s="12" t="s">
        <v>65</v>
      </c>
    </row>
    <row r="13255" spans="1:11" ht="40.049999999999997" customHeight="1" x14ac:dyDescent="0.25">
      <c r="A13255" s="11" t="s">
        <v>25856</v>
      </c>
      <c r="B13255" s="11" t="s">
        <v>25856</v>
      </c>
      <c r="C13255" s="11" t="s">
        <v>80</v>
      </c>
      <c r="D13255" s="11" t="s">
        <v>18</v>
      </c>
      <c r="E13255" s="12" t="s">
        <v>4957</v>
      </c>
      <c r="F13255" s="12" t="s">
        <v>4958</v>
      </c>
      <c r="G13255" s="12" t="s">
        <v>21</v>
      </c>
      <c r="H13255" s="11" t="s">
        <v>63</v>
      </c>
      <c r="I13255" s="13" t="s">
        <v>25857</v>
      </c>
      <c r="J13255" s="14" t="str">
        <f>HYPERLINK("https://www.boe.es/gazeta/dias/1839/11/04/pdfs/GMD-1839-1821.pdf#page=4","Abrir facsímil")</f>
        <v>Abrir facsímil</v>
      </c>
      <c r="K13255" s="12" t="s">
        <v>65</v>
      </c>
    </row>
    <row r="13256" spans="1:11" ht="40.049999999999997" customHeight="1" x14ac:dyDescent="0.25">
      <c r="A13256" s="11" t="s">
        <v>25856</v>
      </c>
      <c r="B13256" s="11" t="s">
        <v>25856</v>
      </c>
      <c r="C13256" s="11" t="s">
        <v>101</v>
      </c>
      <c r="D13256" s="11" t="s">
        <v>102</v>
      </c>
      <c r="E13256" s="12" t="s">
        <v>1490</v>
      </c>
      <c r="F13256" s="12" t="s">
        <v>1491</v>
      </c>
      <c r="G13256" s="12" t="s">
        <v>46</v>
      </c>
      <c r="H13256" s="11" t="s">
        <v>63</v>
      </c>
      <c r="I13256" s="13" t="s">
        <v>25858</v>
      </c>
      <c r="J13256" s="14" t="str">
        <f>HYPERLINK("https://www.boe.es/gazeta/dias/1839/02/27/pdfs/GMD-1839-1565.pdf#page=3","Abrir facsímil")</f>
        <v>Abrir facsímil</v>
      </c>
      <c r="K13256" s="12" t="s">
        <v>65</v>
      </c>
    </row>
    <row r="13257" spans="1:11" ht="40.049999999999997" customHeight="1" x14ac:dyDescent="0.25">
      <c r="A13257" s="11" t="s">
        <v>25859</v>
      </c>
      <c r="B13257" s="11" t="s">
        <v>25860</v>
      </c>
      <c r="C13257" s="11" t="s">
        <v>17</v>
      </c>
      <c r="D13257" s="11" t="s">
        <v>18</v>
      </c>
      <c r="E13257" s="12" t="s">
        <v>1490</v>
      </c>
      <c r="F13257" s="12" t="s">
        <v>1491</v>
      </c>
      <c r="G13257" s="12" t="s">
        <v>46</v>
      </c>
      <c r="H13257" s="11" t="s">
        <v>63</v>
      </c>
      <c r="I13257" s="13" t="s">
        <v>25861</v>
      </c>
      <c r="J13257" s="14" t="str">
        <f>HYPERLINK("https://www.boe.es/gazeta/dias/1839/02/27/pdfs/GMD-1839-1565.pdf#page=3","Abrir facsímil")</f>
        <v>Abrir facsímil</v>
      </c>
      <c r="K13257" s="12" t="s">
        <v>65</v>
      </c>
    </row>
    <row r="13258" spans="1:11" ht="40.049999999999997" customHeight="1" x14ac:dyDescent="0.25">
      <c r="A13258" s="11" t="s">
        <v>25862</v>
      </c>
      <c r="B13258" s="11" t="s">
        <v>25862</v>
      </c>
      <c r="C13258" s="11" t="s">
        <v>80</v>
      </c>
      <c r="D13258" s="11" t="s">
        <v>18</v>
      </c>
      <c r="E13258" s="12" t="s">
        <v>236</v>
      </c>
      <c r="F13258" s="12" t="s">
        <v>237</v>
      </c>
      <c r="G13258" s="12" t="s">
        <v>21</v>
      </c>
      <c r="H13258" s="11" t="s">
        <v>63</v>
      </c>
      <c r="I13258" s="13" t="s">
        <v>25863</v>
      </c>
      <c r="J13258" s="14" t="str">
        <f>HYPERLINK("https://www.boe.es/gazeta/dias/1839/09/18/pdfs/GMD-1839-1771.pdf#page=4","Abrir facsímil")</f>
        <v>Abrir facsímil</v>
      </c>
      <c r="K13258" s="12" t="s">
        <v>65</v>
      </c>
    </row>
    <row r="13259" spans="1:11" ht="40.049999999999997" customHeight="1" x14ac:dyDescent="0.25">
      <c r="A13259" s="11" t="s">
        <v>25864</v>
      </c>
      <c r="B13259" s="11" t="s">
        <v>25864</v>
      </c>
      <c r="C13259" s="11" t="s">
        <v>17</v>
      </c>
      <c r="D13259" s="11" t="s">
        <v>18</v>
      </c>
      <c r="E13259" s="12" t="s">
        <v>611</v>
      </c>
      <c r="F13259" s="12" t="s">
        <v>612</v>
      </c>
      <c r="G13259" s="12" t="s">
        <v>21</v>
      </c>
      <c r="H13259" s="11" t="s">
        <v>63</v>
      </c>
      <c r="I13259" s="13" t="s">
        <v>25865</v>
      </c>
      <c r="J13259" s="14" t="str">
        <f>HYPERLINK("https://www.boe.es/gazeta/dias/1839/07/22/pdfs/GMD-1839-1710.pdf#page=4","Abrir facsímil")</f>
        <v>Abrir facsímil</v>
      </c>
      <c r="K13259" s="12" t="s">
        <v>65</v>
      </c>
    </row>
    <row r="13260" spans="1:11" ht="40.049999999999997" customHeight="1" x14ac:dyDescent="0.25">
      <c r="A13260" s="11" t="s">
        <v>25866</v>
      </c>
      <c r="B13260" s="11" t="s">
        <v>25867</v>
      </c>
      <c r="C13260" s="11" t="s">
        <v>17</v>
      </c>
      <c r="D13260" s="11" t="s">
        <v>18</v>
      </c>
      <c r="E13260" s="12" t="s">
        <v>611</v>
      </c>
      <c r="F13260" s="12" t="s">
        <v>612</v>
      </c>
      <c r="G13260" s="12" t="s">
        <v>21</v>
      </c>
      <c r="H13260" s="11" t="s">
        <v>63</v>
      </c>
      <c r="I13260" s="13" t="s">
        <v>25868</v>
      </c>
      <c r="J13260" s="14" t="str">
        <f>HYPERLINK("https://www.boe.es/gazeta/dias/1839/07/22/pdfs/GMD-1839-1710.pdf#page=4","Abrir facsímil")</f>
        <v>Abrir facsímil</v>
      </c>
      <c r="K13260" s="12" t="s">
        <v>65</v>
      </c>
    </row>
    <row r="13261" spans="1:11" ht="40.049999999999997" customHeight="1" x14ac:dyDescent="0.25">
      <c r="A13261" s="11" t="s">
        <v>25869</v>
      </c>
      <c r="B13261" s="11" t="s">
        <v>25869</v>
      </c>
      <c r="C13261" s="11" t="s">
        <v>17</v>
      </c>
      <c r="D13261" s="11" t="s">
        <v>18</v>
      </c>
      <c r="E13261" s="12" t="s">
        <v>1588</v>
      </c>
      <c r="F13261" s="12" t="s">
        <v>1589</v>
      </c>
      <c r="G13261" s="12" t="s">
        <v>29</v>
      </c>
      <c r="H13261" s="11" t="s">
        <v>63</v>
      </c>
      <c r="I13261" s="13" t="s">
        <v>25870</v>
      </c>
      <c r="J13261" s="14" t="str">
        <f>HYPERLINK("https://www.boe.es/gazeta/dias/1839/07/27/pdfs/GMD-1839-1716.pdf#page=1","Abrir facsímil")</f>
        <v>Abrir facsímil</v>
      </c>
      <c r="K13261" s="12" t="s">
        <v>65</v>
      </c>
    </row>
    <row r="13262" spans="1:11" ht="40.049999999999997" customHeight="1" x14ac:dyDescent="0.25">
      <c r="A13262" s="11" t="s">
        <v>25871</v>
      </c>
      <c r="B13262" s="11" t="s">
        <v>25871</v>
      </c>
      <c r="C13262" s="11" t="s">
        <v>17</v>
      </c>
      <c r="D13262" s="11" t="s">
        <v>18</v>
      </c>
      <c r="E13262" s="12" t="s">
        <v>1479</v>
      </c>
      <c r="F13262" s="12" t="s">
        <v>1480</v>
      </c>
      <c r="G13262" s="12" t="s">
        <v>40</v>
      </c>
      <c r="H13262" s="11" t="s">
        <v>63</v>
      </c>
      <c r="I13262" s="13" t="s">
        <v>25872</v>
      </c>
      <c r="J13262" s="14" t="str">
        <f>HYPERLINK("https://www.boe.es/gazeta/dias/1839/04/09/pdfs/GMD-1839-1606.pdf#page=2","Abrir facsímil")</f>
        <v>Abrir facsímil</v>
      </c>
      <c r="K13262" s="12" t="s">
        <v>65</v>
      </c>
    </row>
    <row r="13263" spans="1:11" ht="40.049999999999997" customHeight="1" x14ac:dyDescent="0.25">
      <c r="A13263" s="11" t="s">
        <v>25873</v>
      </c>
      <c r="B13263" s="11" t="s">
        <v>25873</v>
      </c>
      <c r="C13263" s="11" t="s">
        <v>101</v>
      </c>
      <c r="D13263" s="11" t="s">
        <v>43</v>
      </c>
      <c r="E13263" s="12" t="s">
        <v>1520</v>
      </c>
      <c r="F13263" s="12" t="s">
        <v>1521</v>
      </c>
      <c r="G13263" s="12" t="s">
        <v>40</v>
      </c>
      <c r="H13263" s="11" t="s">
        <v>63</v>
      </c>
      <c r="I13263" s="13" t="s">
        <v>25874</v>
      </c>
      <c r="J13263" s="14" t="str">
        <f>HYPERLINK("https://www.boe.es/gazeta/dias/1839/12/27/pdfs/GMD-1839-1874.pdf#page=2","Abrir facsímil")</f>
        <v>Abrir facsímil</v>
      </c>
      <c r="K13263" s="12" t="s">
        <v>65</v>
      </c>
    </row>
    <row r="13264" spans="1:11" ht="40.049999999999997" customHeight="1" x14ac:dyDescent="0.25">
      <c r="A13264" s="11" t="s">
        <v>25875</v>
      </c>
      <c r="B13264" s="11" t="s">
        <v>25876</v>
      </c>
      <c r="C13264" s="11" t="s">
        <v>17</v>
      </c>
      <c r="D13264" s="11" t="s">
        <v>18</v>
      </c>
      <c r="E13264" s="12" t="s">
        <v>1588</v>
      </c>
      <c r="F13264" s="12" t="s">
        <v>1589</v>
      </c>
      <c r="G13264" s="12" t="s">
        <v>29</v>
      </c>
      <c r="H13264" s="11" t="s">
        <v>63</v>
      </c>
      <c r="I13264" s="13" t="s">
        <v>25877</v>
      </c>
      <c r="J13264" s="14" t="str">
        <f>HYPERLINK("https://www.boe.es/gazeta/dias/1839/07/27/pdfs/GMD-1839-1716.pdf#page=1","Abrir facsímil")</f>
        <v>Abrir facsímil</v>
      </c>
      <c r="K13264" s="12" t="s">
        <v>65</v>
      </c>
    </row>
    <row r="13265" spans="1:11" ht="40.049999999999997" customHeight="1" x14ac:dyDescent="0.25">
      <c r="A13265" s="11" t="s">
        <v>25878</v>
      </c>
      <c r="B13265" s="11" t="s">
        <v>25878</v>
      </c>
      <c r="C13265" s="11" t="s">
        <v>80</v>
      </c>
      <c r="D13265" s="11" t="s">
        <v>18</v>
      </c>
      <c r="E13265" s="12" t="s">
        <v>848</v>
      </c>
      <c r="F13265" s="12" t="s">
        <v>849</v>
      </c>
      <c r="G13265" s="12" t="s">
        <v>21</v>
      </c>
      <c r="H13265" s="11" t="s">
        <v>63</v>
      </c>
      <c r="I13265" s="13" t="s">
        <v>25879</v>
      </c>
      <c r="J13265" s="14" t="str">
        <f>HYPERLINK("https://www.boe.es/gazeta/dias/1839/08/04/pdfs/GMD-1839-1724.pdf#page=4","Abrir facsímil")</f>
        <v>Abrir facsímil</v>
      </c>
      <c r="K13265" s="12" t="s">
        <v>65</v>
      </c>
    </row>
    <row r="13266" spans="1:11" ht="40.049999999999997" customHeight="1" x14ac:dyDescent="0.25">
      <c r="A13266" s="11" t="s">
        <v>25878</v>
      </c>
      <c r="B13266" s="11" t="s">
        <v>25878</v>
      </c>
      <c r="C13266" s="11" t="s">
        <v>59</v>
      </c>
      <c r="D13266" s="11" t="s">
        <v>60</v>
      </c>
      <c r="E13266" s="12" t="s">
        <v>1648</v>
      </c>
      <c r="F13266" s="12" t="s">
        <v>1649</v>
      </c>
      <c r="G13266" s="12" t="s">
        <v>29</v>
      </c>
      <c r="H13266" s="11" t="s">
        <v>63</v>
      </c>
      <c r="I13266" s="13" t="s">
        <v>25880</v>
      </c>
      <c r="J13266" s="14" t="str">
        <f>HYPERLINK("https://www.boe.es/gazeta/dias/1839/08/18/pdfs/GMD-1839-1738.pdf#page=1","Abrir facsímil")</f>
        <v>Abrir facsímil</v>
      </c>
      <c r="K13266" s="12" t="s">
        <v>65</v>
      </c>
    </row>
    <row r="13267" spans="1:11" ht="40.049999999999997" customHeight="1" x14ac:dyDescent="0.25">
      <c r="A13267" s="11" t="s">
        <v>25881</v>
      </c>
      <c r="B13267" s="11" t="s">
        <v>25882</v>
      </c>
      <c r="C13267" s="11" t="s">
        <v>17</v>
      </c>
      <c r="D13267" s="11" t="s">
        <v>18</v>
      </c>
      <c r="E13267" s="12" t="s">
        <v>1356</v>
      </c>
      <c r="F13267" s="12" t="s">
        <v>1357</v>
      </c>
      <c r="G13267" s="12" t="s">
        <v>46</v>
      </c>
      <c r="H13267" s="11" t="s">
        <v>63</v>
      </c>
      <c r="I13267" s="13" t="s">
        <v>25883</v>
      </c>
      <c r="J13267" s="14" t="str">
        <f>HYPERLINK("https://www.boe.es/gazeta/dias/1839/06/05/pdfs/GMD-1839-1663.pdf#page=3","Abrir facsímil")</f>
        <v>Abrir facsímil</v>
      </c>
      <c r="K13267" s="12" t="s">
        <v>65</v>
      </c>
    </row>
    <row r="13268" spans="1:11" ht="40.049999999999997" customHeight="1" x14ac:dyDescent="0.25">
      <c r="A13268" s="11" t="s">
        <v>25884</v>
      </c>
      <c r="B13268" s="11" t="s">
        <v>25884</v>
      </c>
      <c r="C13268" s="11" t="s">
        <v>101</v>
      </c>
      <c r="D13268" s="11" t="s">
        <v>102</v>
      </c>
      <c r="E13268" s="12" t="s">
        <v>1144</v>
      </c>
      <c r="F13268" s="12" t="s">
        <v>1145</v>
      </c>
      <c r="G13268" s="12" t="s">
        <v>29</v>
      </c>
      <c r="H13268" s="11" t="s">
        <v>63</v>
      </c>
      <c r="I13268" s="13" t="s">
        <v>25885</v>
      </c>
      <c r="J13268" s="14" t="str">
        <f>HYPERLINK("https://www.boe.es/gazeta/dias/1839/08/13/pdfs/GMD-1839-1733.pdf#page=1","Abrir facsímil")</f>
        <v>Abrir facsímil</v>
      </c>
      <c r="K13268" s="12" t="s">
        <v>65</v>
      </c>
    </row>
    <row r="13269" spans="1:11" ht="40.049999999999997" customHeight="1" x14ac:dyDescent="0.25">
      <c r="A13269" s="11" t="s">
        <v>25886</v>
      </c>
      <c r="B13269" s="11" t="s">
        <v>25886</v>
      </c>
      <c r="C13269" s="11" t="s">
        <v>59</v>
      </c>
      <c r="D13269" s="11" t="s">
        <v>60</v>
      </c>
      <c r="E13269" s="12" t="s">
        <v>798</v>
      </c>
      <c r="F13269" s="12" t="s">
        <v>799</v>
      </c>
      <c r="G13269" s="12" t="s">
        <v>29</v>
      </c>
      <c r="H13269" s="11" t="s">
        <v>63</v>
      </c>
      <c r="I13269" s="13" t="s">
        <v>25887</v>
      </c>
      <c r="J13269" s="14" t="str">
        <f>HYPERLINK("https://www.boe.es/gazeta/dias/1839/09/03/pdfs/GMD-1839-1755.pdf#page=1","Abrir facsímil")</f>
        <v>Abrir facsímil</v>
      </c>
      <c r="K13269" s="12" t="s">
        <v>65</v>
      </c>
    </row>
    <row r="13270" spans="1:11" ht="40.049999999999997" customHeight="1" x14ac:dyDescent="0.25">
      <c r="A13270" s="11" t="s">
        <v>25886</v>
      </c>
      <c r="B13270" s="11" t="s">
        <v>25886</v>
      </c>
      <c r="C13270" s="11" t="s">
        <v>17</v>
      </c>
      <c r="D13270" s="11" t="s">
        <v>18</v>
      </c>
      <c r="E13270" s="12" t="s">
        <v>883</v>
      </c>
      <c r="F13270" s="12" t="s">
        <v>884</v>
      </c>
      <c r="G13270" s="12" t="s">
        <v>29</v>
      </c>
      <c r="H13270" s="11" t="s">
        <v>63</v>
      </c>
      <c r="I13270" s="13" t="s">
        <v>25888</v>
      </c>
      <c r="J13270" s="14" t="str">
        <f>HYPERLINK("https://www.boe.es/gazeta/dias/1839/11/03/pdfs/GMD-1839-1820.pdf#page=1","Abrir facsímil")</f>
        <v>Abrir facsímil</v>
      </c>
      <c r="K13270" s="12" t="s">
        <v>65</v>
      </c>
    </row>
    <row r="13271" spans="1:11" ht="40.049999999999997" customHeight="1" x14ac:dyDescent="0.25">
      <c r="A13271" s="11" t="s">
        <v>25886</v>
      </c>
      <c r="B13271" s="11" t="s">
        <v>25886</v>
      </c>
      <c r="C13271" s="11" t="s">
        <v>17</v>
      </c>
      <c r="D13271" s="11" t="s">
        <v>18</v>
      </c>
      <c r="E13271" s="12" t="s">
        <v>1332</v>
      </c>
      <c r="F13271" s="12" t="s">
        <v>1333</v>
      </c>
      <c r="G13271" s="12" t="s">
        <v>40</v>
      </c>
      <c r="H13271" s="11" t="s">
        <v>63</v>
      </c>
      <c r="I13271" s="13" t="s">
        <v>25889</v>
      </c>
      <c r="J13271" s="14" t="str">
        <f>HYPERLINK("https://www.boe.es/gazeta/dias/1839/05/04/pdfs/GMD-1839-1631.pdf#page=2","Abrir facsímil")</f>
        <v>Abrir facsímil</v>
      </c>
      <c r="K13271" s="12" t="s">
        <v>65</v>
      </c>
    </row>
    <row r="13272" spans="1:11" ht="40.049999999999997" customHeight="1" x14ac:dyDescent="0.25">
      <c r="A13272" s="11" t="s">
        <v>25886</v>
      </c>
      <c r="B13272" s="11" t="s">
        <v>25886</v>
      </c>
      <c r="C13272" s="11" t="s">
        <v>59</v>
      </c>
      <c r="D13272" s="11" t="s">
        <v>60</v>
      </c>
      <c r="E13272" s="12" t="s">
        <v>1388</v>
      </c>
      <c r="F13272" s="12" t="s">
        <v>1389</v>
      </c>
      <c r="G13272" s="12" t="s">
        <v>40</v>
      </c>
      <c r="H13272" s="11" t="s">
        <v>63</v>
      </c>
      <c r="I13272" s="13" t="s">
        <v>25890</v>
      </c>
      <c r="J13272" s="14" t="str">
        <f>HYPERLINK("https://www.boe.es/gazeta/dias/1839/06/04/pdfs/GMD-1839-1662.pdf#page=2","Abrir facsímil")</f>
        <v>Abrir facsímil</v>
      </c>
      <c r="K13272" s="12" t="s">
        <v>65</v>
      </c>
    </row>
    <row r="13273" spans="1:11" ht="40.049999999999997" customHeight="1" x14ac:dyDescent="0.25">
      <c r="A13273" s="11" t="s">
        <v>25886</v>
      </c>
      <c r="B13273" s="11" t="s">
        <v>25886</v>
      </c>
      <c r="C13273" s="11" t="s">
        <v>59</v>
      </c>
      <c r="D13273" s="11" t="s">
        <v>60</v>
      </c>
      <c r="E13273" s="12" t="s">
        <v>327</v>
      </c>
      <c r="F13273" s="12" t="s">
        <v>328</v>
      </c>
      <c r="G13273" s="12" t="s">
        <v>29</v>
      </c>
      <c r="H13273" s="11" t="s">
        <v>63</v>
      </c>
      <c r="I13273" s="13" t="s">
        <v>25891</v>
      </c>
      <c r="J13273" s="14" t="str">
        <f>HYPERLINK("https://www.boe.es/gazeta/dias/1839/08/05/pdfs/GMD-1839-1725.pdf#page=1","Abrir facsímil")</f>
        <v>Abrir facsímil</v>
      </c>
      <c r="K13273" s="12" t="s">
        <v>65</v>
      </c>
    </row>
    <row r="13274" spans="1:11" ht="40.049999999999997" customHeight="1" x14ac:dyDescent="0.25">
      <c r="A13274" s="11" t="s">
        <v>25886</v>
      </c>
      <c r="B13274" s="11" t="s">
        <v>25886</v>
      </c>
      <c r="C13274" s="11" t="s">
        <v>80</v>
      </c>
      <c r="D13274" s="11" t="s">
        <v>18</v>
      </c>
      <c r="E13274" s="12" t="s">
        <v>934</v>
      </c>
      <c r="F13274" s="12" t="s">
        <v>935</v>
      </c>
      <c r="G13274" s="12" t="s">
        <v>29</v>
      </c>
      <c r="H13274" s="11" t="s">
        <v>63</v>
      </c>
      <c r="I13274" s="13" t="s">
        <v>25892</v>
      </c>
      <c r="J13274" s="14" t="str">
        <f>HYPERLINK("https://www.boe.es/gazeta/dias/1839/11/07/pdfs/GMD-1839-1824.pdf#page=1","Abrir facsímil")</f>
        <v>Abrir facsímil</v>
      </c>
      <c r="K13274" s="12" t="s">
        <v>65</v>
      </c>
    </row>
    <row r="13275" spans="1:11" ht="40.049999999999997" customHeight="1" x14ac:dyDescent="0.25">
      <c r="A13275" s="11" t="s">
        <v>25886</v>
      </c>
      <c r="B13275" s="11" t="s">
        <v>25886</v>
      </c>
      <c r="C13275" s="11" t="s">
        <v>59</v>
      </c>
      <c r="D13275" s="11" t="s">
        <v>60</v>
      </c>
      <c r="E13275" s="12" t="s">
        <v>395</v>
      </c>
      <c r="F13275" s="12" t="s">
        <v>396</v>
      </c>
      <c r="G13275" s="12" t="s">
        <v>40</v>
      </c>
      <c r="H13275" s="11" t="s">
        <v>63</v>
      </c>
      <c r="I13275" s="13" t="s">
        <v>25893</v>
      </c>
      <c r="J13275" s="14" t="str">
        <f>HYPERLINK("https://www.boe.es/gazeta/dias/1839/03/15/pdfs/GMD-1839-1581.pdf#page=2","Abrir facsímil")</f>
        <v>Abrir facsímil</v>
      </c>
      <c r="K13275" s="12" t="s">
        <v>65</v>
      </c>
    </row>
    <row r="13276" spans="1:11" ht="40.049999999999997" customHeight="1" x14ac:dyDescent="0.25">
      <c r="A13276" s="11" t="s">
        <v>25886</v>
      </c>
      <c r="B13276" s="11" t="s">
        <v>25886</v>
      </c>
      <c r="C13276" s="11" t="s">
        <v>17</v>
      </c>
      <c r="D13276" s="11" t="s">
        <v>18</v>
      </c>
      <c r="E13276" s="12" t="s">
        <v>44</v>
      </c>
      <c r="F13276" s="12" t="s">
        <v>45</v>
      </c>
      <c r="G13276" s="12" t="s">
        <v>29</v>
      </c>
      <c r="H13276" s="11" t="s">
        <v>63</v>
      </c>
      <c r="I13276" s="13" t="s">
        <v>25894</v>
      </c>
      <c r="J13276" s="14" t="str">
        <f>HYPERLINK("https://www.boe.es/gazeta/dias/1839/11/15/pdfs/GMD-1839-1832.pdf#page=1","Abrir facsímil")</f>
        <v>Abrir facsímil</v>
      </c>
      <c r="K13276" s="12" t="s">
        <v>65</v>
      </c>
    </row>
    <row r="13277" spans="1:11" ht="40.049999999999997" customHeight="1" x14ac:dyDescent="0.25">
      <c r="A13277" s="11" t="s">
        <v>25886</v>
      </c>
      <c r="B13277" s="11" t="s">
        <v>25886</v>
      </c>
      <c r="C13277" s="11" t="s">
        <v>80</v>
      </c>
      <c r="D13277" s="11" t="s">
        <v>18</v>
      </c>
      <c r="E13277" s="12" t="s">
        <v>1528</v>
      </c>
      <c r="F13277" s="12" t="s">
        <v>1529</v>
      </c>
      <c r="G13277" s="12" t="s">
        <v>40</v>
      </c>
      <c r="H13277" s="11" t="s">
        <v>63</v>
      </c>
      <c r="I13277" s="13" t="s">
        <v>25895</v>
      </c>
      <c r="J13277" s="14" t="str">
        <f>HYPERLINK("https://www.boe.es/gazeta/dias/1839/12/15/pdfs/GMD-1839-1862.pdf#page=2","Abrir facsímil")</f>
        <v>Abrir facsímil</v>
      </c>
      <c r="K13277" s="12" t="s">
        <v>65</v>
      </c>
    </row>
    <row r="13278" spans="1:11" ht="40.049999999999997" customHeight="1" x14ac:dyDescent="0.25">
      <c r="A13278" s="11" t="s">
        <v>25886</v>
      </c>
      <c r="B13278" s="11" t="s">
        <v>25886</v>
      </c>
      <c r="C13278" s="11" t="s">
        <v>101</v>
      </c>
      <c r="D13278" s="11" t="s">
        <v>43</v>
      </c>
      <c r="E13278" s="12" t="s">
        <v>2378</v>
      </c>
      <c r="F13278" s="12" t="s">
        <v>2379</v>
      </c>
      <c r="G13278" s="12" t="s">
        <v>40</v>
      </c>
      <c r="H13278" s="11" t="s">
        <v>63</v>
      </c>
      <c r="I13278" s="13" t="s">
        <v>25896</v>
      </c>
      <c r="J13278" s="14" t="str">
        <f>HYPERLINK("https://www.boe.es/gazeta/dias/1839/06/20/pdfs/GMD-1839-1678.pdf#page=2","Abrir facsímil")</f>
        <v>Abrir facsímil</v>
      </c>
      <c r="K13278" s="12" t="s">
        <v>65</v>
      </c>
    </row>
    <row r="13279" spans="1:11" ht="40.049999999999997" customHeight="1" x14ac:dyDescent="0.25">
      <c r="A13279" s="11" t="s">
        <v>25886</v>
      </c>
      <c r="B13279" s="11" t="s">
        <v>25886</v>
      </c>
      <c r="C13279" s="11" t="s">
        <v>17</v>
      </c>
      <c r="D13279" s="11" t="s">
        <v>18</v>
      </c>
      <c r="E13279" s="12" t="s">
        <v>2069</v>
      </c>
      <c r="F13279" s="12" t="s">
        <v>2070</v>
      </c>
      <c r="G13279" s="12" t="s">
        <v>40</v>
      </c>
      <c r="H13279" s="11" t="s">
        <v>63</v>
      </c>
      <c r="I13279" s="13" t="s">
        <v>25897</v>
      </c>
      <c r="J13279" s="14" t="str">
        <f>HYPERLINK("https://www.boe.es/gazeta/dias/1839/10/20/pdfs/GMD-1839-1806.pdf#page=2","Abrir facsímil")</f>
        <v>Abrir facsímil</v>
      </c>
      <c r="K13279" s="12" t="s">
        <v>65</v>
      </c>
    </row>
    <row r="13280" spans="1:11" ht="40.049999999999997" customHeight="1" x14ac:dyDescent="0.25">
      <c r="A13280" s="11" t="s">
        <v>25886</v>
      </c>
      <c r="B13280" s="11" t="s">
        <v>25886</v>
      </c>
      <c r="C13280" s="11" t="s">
        <v>17</v>
      </c>
      <c r="D13280" s="11" t="s">
        <v>18</v>
      </c>
      <c r="E13280" s="12" t="s">
        <v>1517</v>
      </c>
      <c r="F13280" s="12" t="s">
        <v>1518</v>
      </c>
      <c r="G13280" s="12" t="s">
        <v>29</v>
      </c>
      <c r="H13280" s="11" t="s">
        <v>63</v>
      </c>
      <c r="I13280" s="13" t="s">
        <v>25898</v>
      </c>
      <c r="J13280" s="14" t="str">
        <f>HYPERLINK("https://www.boe.es/gazeta/dias/1839/12/20/pdfs/GMD-1839-1867.pdf#page=1","Abrir facsímil")</f>
        <v>Abrir facsímil</v>
      </c>
      <c r="K13280" s="12" t="s">
        <v>65</v>
      </c>
    </row>
    <row r="13281" spans="1:11" ht="40.049999999999997" customHeight="1" x14ac:dyDescent="0.25">
      <c r="A13281" s="11" t="s">
        <v>25886</v>
      </c>
      <c r="B13281" s="11" t="s">
        <v>25886</v>
      </c>
      <c r="C13281" s="11" t="s">
        <v>17</v>
      </c>
      <c r="D13281" s="11" t="s">
        <v>18</v>
      </c>
      <c r="E13281" s="12" t="s">
        <v>857</v>
      </c>
      <c r="F13281" s="12" t="s">
        <v>858</v>
      </c>
      <c r="G13281" s="12" t="s">
        <v>40</v>
      </c>
      <c r="H13281" s="11" t="s">
        <v>63</v>
      </c>
      <c r="I13281" s="13" t="s">
        <v>25899</v>
      </c>
      <c r="J13281" s="14" t="str">
        <f>HYPERLINK("https://www.boe.es/gazeta/dias/1839/11/21/pdfs/GMD-1839-1838.pdf#page=2","Abrir facsímil")</f>
        <v>Abrir facsímil</v>
      </c>
      <c r="K13281" s="12" t="s">
        <v>65</v>
      </c>
    </row>
    <row r="13282" spans="1:11" ht="40.049999999999997" customHeight="1" x14ac:dyDescent="0.25">
      <c r="A13282" s="11" t="s">
        <v>25886</v>
      </c>
      <c r="B13282" s="11" t="s">
        <v>25886</v>
      </c>
      <c r="C13282" s="11" t="s">
        <v>59</v>
      </c>
      <c r="D13282" s="11" t="s">
        <v>60</v>
      </c>
      <c r="E13282" s="12" t="s">
        <v>222</v>
      </c>
      <c r="F13282" s="12" t="s">
        <v>223</v>
      </c>
      <c r="G13282" s="12" t="s">
        <v>46</v>
      </c>
      <c r="H13282" s="11" t="s">
        <v>63</v>
      </c>
      <c r="I13282" s="13" t="s">
        <v>25900</v>
      </c>
      <c r="J13282" s="14" t="str">
        <f>HYPERLINK("https://www.boe.es/gazeta/dias/1839/06/22/pdfs/GMD-1839-1680.pdf#page=3","Abrir facsímil")</f>
        <v>Abrir facsímil</v>
      </c>
      <c r="K13282" s="12" t="s">
        <v>65</v>
      </c>
    </row>
    <row r="13283" spans="1:11" ht="40.049999999999997" customHeight="1" x14ac:dyDescent="0.25">
      <c r="A13283" s="11" t="s">
        <v>25886</v>
      </c>
      <c r="B13283" s="11" t="s">
        <v>25886</v>
      </c>
      <c r="C13283" s="11" t="s">
        <v>59</v>
      </c>
      <c r="D13283" s="11" t="s">
        <v>60</v>
      </c>
      <c r="E13283" s="12" t="s">
        <v>246</v>
      </c>
      <c r="F13283" s="12" t="s">
        <v>247</v>
      </c>
      <c r="G13283" s="12" t="s">
        <v>29</v>
      </c>
      <c r="H13283" s="11" t="s">
        <v>63</v>
      </c>
      <c r="I13283" s="13" t="s">
        <v>25901</v>
      </c>
      <c r="J13283" s="14" t="str">
        <f>HYPERLINK("https://www.boe.es/gazeta/dias/1839/11/24/pdfs/GMD-1839-1841.pdf#page=1","Abrir facsímil")</f>
        <v>Abrir facsímil</v>
      </c>
      <c r="K13283" s="12" t="s">
        <v>65</v>
      </c>
    </row>
    <row r="13284" spans="1:11" ht="40.049999999999997" customHeight="1" x14ac:dyDescent="0.25">
      <c r="A13284" s="11" t="s">
        <v>25886</v>
      </c>
      <c r="B13284" s="11" t="s">
        <v>25886</v>
      </c>
      <c r="C13284" s="11" t="s">
        <v>80</v>
      </c>
      <c r="D13284" s="11" t="s">
        <v>18</v>
      </c>
      <c r="E13284" s="12" t="s">
        <v>1729</v>
      </c>
      <c r="F13284" s="12" t="s">
        <v>1730</v>
      </c>
      <c r="G13284" s="12" t="s">
        <v>29</v>
      </c>
      <c r="H13284" s="11" t="s">
        <v>63</v>
      </c>
      <c r="I13284" s="13" t="s">
        <v>25902</v>
      </c>
      <c r="J13284" s="14" t="str">
        <f>HYPERLINK("https://www.boe.es/gazeta/dias/1839/04/25/pdfs/GMD-1839-1622.pdf#page=1","Abrir facsímil")</f>
        <v>Abrir facsímil</v>
      </c>
      <c r="K13284" s="12" t="s">
        <v>65</v>
      </c>
    </row>
    <row r="13285" spans="1:11" ht="40.049999999999997" customHeight="1" x14ac:dyDescent="0.25">
      <c r="A13285" s="11" t="s">
        <v>25886</v>
      </c>
      <c r="B13285" s="11" t="s">
        <v>25886</v>
      </c>
      <c r="C13285" s="11" t="s">
        <v>17</v>
      </c>
      <c r="D13285" s="11" t="s">
        <v>18</v>
      </c>
      <c r="E13285" s="12" t="s">
        <v>1118</v>
      </c>
      <c r="F13285" s="12" t="s">
        <v>1119</v>
      </c>
      <c r="G13285" s="12" t="s">
        <v>29</v>
      </c>
      <c r="H13285" s="11" t="s">
        <v>63</v>
      </c>
      <c r="I13285" s="13" t="s">
        <v>25903</v>
      </c>
      <c r="J13285" s="14" t="str">
        <f>HYPERLINK("https://www.boe.es/gazeta/dias/1839/08/30/pdfs/GMD-1839-1751.pdf#page=1","Abrir facsímil")</f>
        <v>Abrir facsímil</v>
      </c>
      <c r="K13285" s="12" t="s">
        <v>65</v>
      </c>
    </row>
    <row r="13286" spans="1:11" ht="40.049999999999997" customHeight="1" x14ac:dyDescent="0.25">
      <c r="A13286" s="11" t="s">
        <v>25904</v>
      </c>
      <c r="B13286" s="11" t="s">
        <v>25904</v>
      </c>
      <c r="C13286" s="11" t="s">
        <v>17</v>
      </c>
      <c r="D13286" s="11" t="s">
        <v>18</v>
      </c>
      <c r="E13286" s="12" t="s">
        <v>486</v>
      </c>
      <c r="F13286" s="12" t="s">
        <v>487</v>
      </c>
      <c r="G13286" s="12" t="s">
        <v>29</v>
      </c>
      <c r="H13286" s="11" t="s">
        <v>63</v>
      </c>
      <c r="I13286" s="13" t="s">
        <v>25905</v>
      </c>
      <c r="J13286" s="14" t="str">
        <f>HYPERLINK("https://www.boe.es/gazeta/dias/1839/04/19/pdfs/GMD-1839-1616.pdf#page=1","Abrir facsímil")</f>
        <v>Abrir facsímil</v>
      </c>
      <c r="K13286" s="12" t="s">
        <v>65</v>
      </c>
    </row>
    <row r="13287" spans="1:11" ht="40.049999999999997" customHeight="1" x14ac:dyDescent="0.25">
      <c r="A13287" s="11" t="s">
        <v>25906</v>
      </c>
      <c r="B13287" s="11" t="s">
        <v>25906</v>
      </c>
      <c r="C13287" s="11" t="s">
        <v>17</v>
      </c>
      <c r="D13287" s="11" t="s">
        <v>18</v>
      </c>
      <c r="E13287" s="12" t="s">
        <v>2205</v>
      </c>
      <c r="F13287" s="12" t="s">
        <v>2206</v>
      </c>
      <c r="G13287" s="12" t="s">
        <v>40</v>
      </c>
      <c r="H13287" s="11" t="s">
        <v>63</v>
      </c>
      <c r="I13287" s="13" t="s">
        <v>25907</v>
      </c>
      <c r="J13287" s="14" t="str">
        <f>HYPERLINK("https://www.boe.es/gazeta/dias/1839/07/11/pdfs/GMD-1839-1699.pdf#page=2","Abrir facsímil")</f>
        <v>Abrir facsímil</v>
      </c>
      <c r="K13287" s="12" t="s">
        <v>65</v>
      </c>
    </row>
    <row r="13288" spans="1:11" ht="40.049999999999997" customHeight="1" x14ac:dyDescent="0.25">
      <c r="A13288" s="11" t="s">
        <v>25908</v>
      </c>
      <c r="B13288" s="11" t="s">
        <v>25908</v>
      </c>
      <c r="C13288" s="11" t="s">
        <v>17</v>
      </c>
      <c r="D13288" s="11" t="s">
        <v>18</v>
      </c>
      <c r="E13288" s="12" t="s">
        <v>826</v>
      </c>
      <c r="F13288" s="12" t="s">
        <v>827</v>
      </c>
      <c r="G13288" s="12" t="s">
        <v>21</v>
      </c>
      <c r="H13288" s="11" t="s">
        <v>63</v>
      </c>
      <c r="I13288" s="13" t="s">
        <v>25909</v>
      </c>
      <c r="J13288" s="14" t="str">
        <f>HYPERLINK("https://www.boe.es/gazeta/dias/1839/09/25/pdfs/GMD-1839-1781.pdf#page=4","Abrir facsímil")</f>
        <v>Abrir facsímil</v>
      </c>
      <c r="K13288" s="12" t="s">
        <v>65</v>
      </c>
    </row>
    <row r="13289" spans="1:11" ht="40.049999999999997" customHeight="1" x14ac:dyDescent="0.25">
      <c r="A13289" s="11" t="s">
        <v>25910</v>
      </c>
      <c r="B13289" s="11" t="s">
        <v>25910</v>
      </c>
      <c r="C13289" s="11" t="s">
        <v>17</v>
      </c>
      <c r="D13289" s="11" t="s">
        <v>18</v>
      </c>
      <c r="E13289" s="12" t="s">
        <v>276</v>
      </c>
      <c r="F13289" s="12" t="s">
        <v>277</v>
      </c>
      <c r="G13289" s="12" t="s">
        <v>21</v>
      </c>
      <c r="H13289" s="11" t="s">
        <v>63</v>
      </c>
      <c r="I13289" s="13" t="s">
        <v>25911</v>
      </c>
      <c r="J13289" s="14" t="str">
        <f>HYPERLINK("https://www.boe.es/gazeta/dias/1839/09/24/pdfs/GMD-1839-1780.pdf#page=4","Abrir facsímil")</f>
        <v>Abrir facsímil</v>
      </c>
      <c r="K13289" s="12" t="s">
        <v>65</v>
      </c>
    </row>
    <row r="13290" spans="1:11" ht="40.049999999999997" customHeight="1" x14ac:dyDescent="0.25">
      <c r="A13290" s="11" t="s">
        <v>25912</v>
      </c>
      <c r="B13290" s="11" t="s">
        <v>25913</v>
      </c>
      <c r="C13290" s="11" t="s">
        <v>17</v>
      </c>
      <c r="D13290" s="11" t="s">
        <v>18</v>
      </c>
      <c r="E13290" s="12" t="s">
        <v>474</v>
      </c>
      <c r="F13290" s="12" t="s">
        <v>475</v>
      </c>
      <c r="G13290" s="12" t="s">
        <v>21</v>
      </c>
      <c r="H13290" s="11" t="s">
        <v>63</v>
      </c>
      <c r="I13290" s="13" t="s">
        <v>25914</v>
      </c>
      <c r="J13290" s="14" t="str">
        <f>HYPERLINK("https://www.boe.es/gazeta/dias/1839/03/31/pdfs/GMD-1839-1597.pdf#page=4","Abrir facsímil")</f>
        <v>Abrir facsímil</v>
      </c>
      <c r="K13290" s="12" t="s">
        <v>65</v>
      </c>
    </row>
    <row r="13291" spans="1:11" ht="40.049999999999997" customHeight="1" x14ac:dyDescent="0.25">
      <c r="A13291" s="11" t="s">
        <v>25915</v>
      </c>
      <c r="B13291" s="11" t="s">
        <v>25916</v>
      </c>
      <c r="C13291" s="11" t="s">
        <v>17</v>
      </c>
      <c r="D13291" s="11" t="s">
        <v>18</v>
      </c>
      <c r="E13291" s="12" t="s">
        <v>1523</v>
      </c>
      <c r="F13291" s="12" t="s">
        <v>1524</v>
      </c>
      <c r="G13291" s="12" t="s">
        <v>21</v>
      </c>
      <c r="H13291" s="11" t="s">
        <v>22</v>
      </c>
      <c r="I13291" s="13" t="s">
        <v>25917</v>
      </c>
      <c r="J13291" s="14" t="str">
        <f>HYPERLINK("https://www.boe.es/gazeta/dias/1839/08/29/pdfs/GMD-1839-1750.pdf#page=4","Abrir facsímil")</f>
        <v>Abrir facsímil</v>
      </c>
      <c r="K13291" s="12" t="s">
        <v>24</v>
      </c>
    </row>
    <row r="13292" spans="1:11" ht="40.049999999999997" customHeight="1" x14ac:dyDescent="0.25">
      <c r="A13292" s="11" t="s">
        <v>25918</v>
      </c>
      <c r="B13292" s="11" t="s">
        <v>25919</v>
      </c>
      <c r="C13292" s="11" t="s">
        <v>80</v>
      </c>
      <c r="D13292" s="11" t="s">
        <v>18</v>
      </c>
      <c r="E13292" s="12" t="s">
        <v>1433</v>
      </c>
      <c r="F13292" s="12" t="s">
        <v>1434</v>
      </c>
      <c r="G13292" s="12" t="s">
        <v>21</v>
      </c>
      <c r="H13292" s="11" t="s">
        <v>22</v>
      </c>
      <c r="I13292" s="13" t="s">
        <v>25920</v>
      </c>
      <c r="J13292" s="14" t="str">
        <f>HYPERLINK("https://www.boe.es/gazeta/dias/1839/10/22/pdfs/GMD-1839-1808.pdf#page=4","Abrir facsímil")</f>
        <v>Abrir facsímil</v>
      </c>
      <c r="K13292" s="12" t="s">
        <v>24</v>
      </c>
    </row>
    <row r="13293" spans="1:11" ht="40.049999999999997" customHeight="1" x14ac:dyDescent="0.25">
      <c r="A13293" s="11" t="s">
        <v>25921</v>
      </c>
      <c r="B13293" s="11" t="s">
        <v>25922</v>
      </c>
      <c r="C13293" s="11" t="s">
        <v>17</v>
      </c>
      <c r="D13293" s="11" t="s">
        <v>18</v>
      </c>
      <c r="E13293" s="12" t="s">
        <v>2155</v>
      </c>
      <c r="F13293" s="12" t="s">
        <v>2156</v>
      </c>
      <c r="G13293" s="12" t="s">
        <v>40</v>
      </c>
      <c r="H13293" s="11" t="s">
        <v>22</v>
      </c>
      <c r="I13293" s="13" t="s">
        <v>25923</v>
      </c>
      <c r="J13293" s="14" t="str">
        <f>HYPERLINK("https://www.boe.es/gazeta/dias/1839/01/17/pdfs/GMD-1839-1524.pdf#page=2","Abrir facsímil")</f>
        <v>Abrir facsímil</v>
      </c>
      <c r="K13293" s="12" t="s">
        <v>24</v>
      </c>
    </row>
    <row r="13294" spans="1:11" ht="40.049999999999997" customHeight="1" x14ac:dyDescent="0.25">
      <c r="A13294" s="11" t="s">
        <v>25924</v>
      </c>
      <c r="B13294" s="11" t="s">
        <v>25925</v>
      </c>
      <c r="C13294" s="11" t="s">
        <v>17</v>
      </c>
      <c r="D13294" s="11" t="s">
        <v>18</v>
      </c>
      <c r="E13294" s="12" t="s">
        <v>54</v>
      </c>
      <c r="F13294" s="12" t="s">
        <v>55</v>
      </c>
      <c r="G13294" s="12" t="s">
        <v>46</v>
      </c>
      <c r="H13294" s="11" t="s">
        <v>22</v>
      </c>
      <c r="I13294" s="13" t="s">
        <v>25926</v>
      </c>
      <c r="J13294" s="14" t="str">
        <f>HYPERLINK("https://www.boe.es/gazeta/dias/1839/10/05/pdfs/GMD-1839-1791.pdf#page=3","Abrir facsímil")</f>
        <v>Abrir facsímil</v>
      </c>
      <c r="K13294" s="12" t="s">
        <v>24</v>
      </c>
    </row>
    <row r="13295" spans="1:11" ht="40.049999999999997" customHeight="1" x14ac:dyDescent="0.25">
      <c r="A13295" s="11" t="s">
        <v>25927</v>
      </c>
      <c r="B13295" s="11" t="s">
        <v>25928</v>
      </c>
      <c r="C13295" s="11" t="s">
        <v>101</v>
      </c>
      <c r="D13295" s="11" t="s">
        <v>102</v>
      </c>
      <c r="E13295" s="12" t="s">
        <v>148</v>
      </c>
      <c r="F13295" s="12" t="s">
        <v>149</v>
      </c>
      <c r="G13295" s="12" t="s">
        <v>40</v>
      </c>
      <c r="H13295" s="11" t="s">
        <v>22</v>
      </c>
      <c r="I13295" s="13" t="s">
        <v>25929</v>
      </c>
      <c r="J13295" s="14" t="str">
        <f>HYPERLINK("https://www.boe.es/gazeta/dias/1839/07/16/pdfs/GMD-1839-1704.pdf#page=2","Abrir facsímil")</f>
        <v>Abrir facsímil</v>
      </c>
      <c r="K13295" s="12" t="s">
        <v>24</v>
      </c>
    </row>
    <row r="13296" spans="1:11" ht="40.049999999999997" customHeight="1" x14ac:dyDescent="0.25">
      <c r="A13296" s="11" t="s">
        <v>25930</v>
      </c>
      <c r="B13296" s="11" t="s">
        <v>25931</v>
      </c>
      <c r="C13296" s="11" t="s">
        <v>17</v>
      </c>
      <c r="D13296" s="11" t="s">
        <v>18</v>
      </c>
      <c r="E13296" s="12" t="s">
        <v>574</v>
      </c>
      <c r="F13296" s="12" t="s">
        <v>575</v>
      </c>
      <c r="G13296" s="12" t="s">
        <v>40</v>
      </c>
      <c r="H13296" s="11" t="s">
        <v>63</v>
      </c>
      <c r="I13296" s="13" t="s">
        <v>25932</v>
      </c>
      <c r="J13296" s="14" t="str">
        <f>HYPERLINK("https://www.boe.es/gazeta/dias/1839/09/28/pdfs/GMD-1839-1784.pdf#page=2","Abrir facsímil")</f>
        <v>Abrir facsímil</v>
      </c>
      <c r="K13296" s="12" t="s">
        <v>65</v>
      </c>
    </row>
    <row r="13297" spans="1:11" ht="40.049999999999997" customHeight="1" x14ac:dyDescent="0.25">
      <c r="A13297" s="11" t="s">
        <v>25933</v>
      </c>
      <c r="B13297" s="11" t="s">
        <v>25934</v>
      </c>
      <c r="C13297" s="11" t="s">
        <v>137</v>
      </c>
      <c r="D13297" s="11" t="s">
        <v>18</v>
      </c>
      <c r="E13297" s="12" t="s">
        <v>375</v>
      </c>
      <c r="F13297" s="12" t="s">
        <v>376</v>
      </c>
      <c r="G13297" s="12" t="s">
        <v>21</v>
      </c>
      <c r="H13297" s="11" t="s">
        <v>63</v>
      </c>
      <c r="I13297" s="13" t="s">
        <v>25935</v>
      </c>
      <c r="J13297" s="14" t="str">
        <f>HYPERLINK("https://www.boe.es/gazeta/dias/1839/11/25/pdfs/GMD-1839-1842.pdf#page=4","Abrir facsímil")</f>
        <v>Abrir facsímil</v>
      </c>
      <c r="K13297" s="12" t="s">
        <v>65</v>
      </c>
    </row>
    <row r="13298" spans="1:11" ht="40.049999999999997" customHeight="1" x14ac:dyDescent="0.25">
      <c r="A13298" s="11" t="s">
        <v>25936</v>
      </c>
      <c r="B13298" s="11" t="s">
        <v>25937</v>
      </c>
      <c r="C13298" s="11" t="s">
        <v>80</v>
      </c>
      <c r="D13298" s="11" t="s">
        <v>18</v>
      </c>
      <c r="E13298" s="12" t="s">
        <v>1663</v>
      </c>
      <c r="F13298" s="12" t="s">
        <v>1664</v>
      </c>
      <c r="G13298" s="12" t="s">
        <v>29</v>
      </c>
      <c r="H13298" s="11" t="s">
        <v>63</v>
      </c>
      <c r="I13298" s="13" t="s">
        <v>25938</v>
      </c>
      <c r="J13298" s="14" t="str">
        <f>HYPERLINK("https://www.boe.es/gazeta/dias/1839/03/22/pdfs/GMD-1839-1588.pdf#page=1","Abrir facsímil")</f>
        <v>Abrir facsímil</v>
      </c>
      <c r="K13298" s="12" t="s">
        <v>65</v>
      </c>
    </row>
    <row r="13299" spans="1:11" ht="40.049999999999997" customHeight="1" x14ac:dyDescent="0.25">
      <c r="A13299" s="11" t="s">
        <v>25936</v>
      </c>
      <c r="B13299" s="11" t="s">
        <v>25937</v>
      </c>
      <c r="C13299" s="11" t="s">
        <v>59</v>
      </c>
      <c r="D13299" s="11" t="s">
        <v>60</v>
      </c>
      <c r="E13299" s="12" t="s">
        <v>2463</v>
      </c>
      <c r="F13299" s="12" t="s">
        <v>2464</v>
      </c>
      <c r="G13299" s="12" t="s">
        <v>21</v>
      </c>
      <c r="H13299" s="11" t="s">
        <v>63</v>
      </c>
      <c r="I13299" s="13" t="s">
        <v>25939</v>
      </c>
      <c r="J13299" s="14" t="str">
        <f>HYPERLINK("https://www.boe.es/gazeta/dias/1839/04/26/pdfs/GMD-1839-1623.pdf#page=4","Abrir facsímil")</f>
        <v>Abrir facsímil</v>
      </c>
      <c r="K13299" s="12" t="s">
        <v>65</v>
      </c>
    </row>
    <row r="13300" spans="1:11" ht="40.049999999999997" customHeight="1" x14ac:dyDescent="0.25">
      <c r="A13300" s="11" t="s">
        <v>25940</v>
      </c>
      <c r="B13300" s="11" t="s">
        <v>25941</v>
      </c>
      <c r="C13300" s="11" t="s">
        <v>17</v>
      </c>
      <c r="D13300" s="11" t="s">
        <v>18</v>
      </c>
      <c r="E13300" s="12" t="s">
        <v>690</v>
      </c>
      <c r="F13300" s="12" t="s">
        <v>691</v>
      </c>
      <c r="G13300" s="12" t="s">
        <v>46</v>
      </c>
      <c r="H13300" s="11" t="s">
        <v>63</v>
      </c>
      <c r="I13300" s="13" t="s">
        <v>25942</v>
      </c>
      <c r="J13300" s="14" t="str">
        <f>HYPERLINK("https://www.boe.es/gazeta/dias/1839/12/08/pdfs/GMD-1839-1855.pdf#page=3","Abrir facsímil")</f>
        <v>Abrir facsímil</v>
      </c>
      <c r="K13300" s="12" t="s">
        <v>65</v>
      </c>
    </row>
    <row r="13301" spans="1:11" ht="40.049999999999997" customHeight="1" x14ac:dyDescent="0.25">
      <c r="A13301" s="11" t="s">
        <v>25943</v>
      </c>
      <c r="B13301" s="11" t="s">
        <v>25943</v>
      </c>
      <c r="C13301" s="11" t="s">
        <v>17</v>
      </c>
      <c r="D13301" s="11" t="s">
        <v>18</v>
      </c>
      <c r="E13301" s="12" t="s">
        <v>108</v>
      </c>
      <c r="F13301" s="12" t="s">
        <v>109</v>
      </c>
      <c r="G13301" s="12" t="s">
        <v>21</v>
      </c>
      <c r="H13301" s="11" t="s">
        <v>63</v>
      </c>
      <c r="I13301" s="13" t="s">
        <v>25944</v>
      </c>
      <c r="J13301" s="14" t="str">
        <f>HYPERLINK("https://www.boe.es/gazeta/dias/1839/01/04/pdfs/GMD-1839-1511.pdf#page=4","Abrir facsímil")</f>
        <v>Abrir facsímil</v>
      </c>
      <c r="K13301" s="12" t="s">
        <v>65</v>
      </c>
    </row>
    <row r="13302" spans="1:11" ht="40.049999999999997" customHeight="1" x14ac:dyDescent="0.25">
      <c r="A13302" s="11" t="s">
        <v>25943</v>
      </c>
      <c r="B13302" s="11" t="s">
        <v>25943</v>
      </c>
      <c r="C13302" s="11" t="s">
        <v>17</v>
      </c>
      <c r="D13302" s="11" t="s">
        <v>18</v>
      </c>
      <c r="E13302" s="12" t="s">
        <v>483</v>
      </c>
      <c r="F13302" s="12" t="s">
        <v>484</v>
      </c>
      <c r="G13302" s="12" t="s">
        <v>40</v>
      </c>
      <c r="H13302" s="11" t="s">
        <v>63</v>
      </c>
      <c r="I13302" s="13" t="s">
        <v>25945</v>
      </c>
      <c r="J13302" s="14" t="str">
        <f>HYPERLINK("https://www.boe.es/gazeta/dias/1839/11/18/pdfs/GMD-1839-1835.pdf#page=2","Abrir facsímil")</f>
        <v>Abrir facsímil</v>
      </c>
      <c r="K13302" s="12" t="s">
        <v>65</v>
      </c>
    </row>
    <row r="13303" spans="1:11" ht="40.049999999999997" customHeight="1" x14ac:dyDescent="0.25">
      <c r="A13303" s="11" t="s">
        <v>25946</v>
      </c>
      <c r="B13303" s="11" t="s">
        <v>25947</v>
      </c>
      <c r="C13303" s="11" t="s">
        <v>59</v>
      </c>
      <c r="D13303" s="11" t="s">
        <v>60</v>
      </c>
      <c r="E13303" s="12" t="s">
        <v>61</v>
      </c>
      <c r="F13303" s="12" t="s">
        <v>62</v>
      </c>
      <c r="G13303" s="12" t="s">
        <v>29</v>
      </c>
      <c r="H13303" s="11" t="s">
        <v>63</v>
      </c>
      <c r="I13303" s="13" t="s">
        <v>25948</v>
      </c>
      <c r="J13303" s="14" t="str">
        <f>HYPERLINK("https://www.boe.es/gazeta/dias/1839/09/10/pdfs/GMD-1839-1763.pdf#page=1","Abrir facsímil")</f>
        <v>Abrir facsímil</v>
      </c>
      <c r="K13303" s="12" t="s">
        <v>65</v>
      </c>
    </row>
    <row r="13304" spans="1:11" ht="40.049999999999997" customHeight="1" x14ac:dyDescent="0.25">
      <c r="A13304" s="11" t="s">
        <v>25949</v>
      </c>
      <c r="B13304" s="11" t="s">
        <v>25949</v>
      </c>
      <c r="C13304" s="11" t="s">
        <v>17</v>
      </c>
      <c r="D13304" s="11" t="s">
        <v>18</v>
      </c>
      <c r="E13304" s="12" t="s">
        <v>1929</v>
      </c>
      <c r="F13304" s="12" t="s">
        <v>1930</v>
      </c>
      <c r="G13304" s="12" t="s">
        <v>40</v>
      </c>
      <c r="H13304" s="11" t="s">
        <v>22</v>
      </c>
      <c r="I13304" s="13" t="s">
        <v>25950</v>
      </c>
      <c r="J13304" s="14" t="str">
        <f>HYPERLINK("https://www.boe.es/gazeta/dias/1839/02/01/pdfs/GMD-1839-1539.pdf#page=2","Abrir facsímil")</f>
        <v>Abrir facsímil</v>
      </c>
      <c r="K13304" s="12" t="s">
        <v>24</v>
      </c>
    </row>
    <row r="13305" spans="1:11" ht="40.049999999999997" customHeight="1" x14ac:dyDescent="0.25">
      <c r="A13305" s="11" t="s">
        <v>25949</v>
      </c>
      <c r="B13305" s="11" t="s">
        <v>25949</v>
      </c>
      <c r="C13305" s="11" t="s">
        <v>17</v>
      </c>
      <c r="D13305" s="11" t="s">
        <v>18</v>
      </c>
      <c r="E13305" s="12" t="s">
        <v>154</v>
      </c>
      <c r="F13305" s="12" t="s">
        <v>155</v>
      </c>
      <c r="G13305" s="12" t="s">
        <v>40</v>
      </c>
      <c r="H13305" s="11" t="s">
        <v>22</v>
      </c>
      <c r="I13305" s="13" t="s">
        <v>25951</v>
      </c>
      <c r="J13305" s="14" t="str">
        <f>HYPERLINK("https://www.boe.es/gazeta/dias/1839/02/02/pdfs/GMD-1839-1540.pdf#page=2","Abrir facsímil")</f>
        <v>Abrir facsímil</v>
      </c>
      <c r="K13305" s="12" t="s">
        <v>24</v>
      </c>
    </row>
    <row r="13306" spans="1:11" ht="40.049999999999997" customHeight="1" x14ac:dyDescent="0.25">
      <c r="A13306" s="11" t="s">
        <v>25952</v>
      </c>
      <c r="B13306" s="11" t="s">
        <v>25952</v>
      </c>
      <c r="C13306" s="11" t="s">
        <v>17</v>
      </c>
      <c r="D13306" s="11" t="s">
        <v>18</v>
      </c>
      <c r="E13306" s="12" t="s">
        <v>453</v>
      </c>
      <c r="F13306" s="12" t="s">
        <v>454</v>
      </c>
      <c r="G13306" s="12" t="s">
        <v>21</v>
      </c>
      <c r="H13306" s="11" t="s">
        <v>63</v>
      </c>
      <c r="I13306" s="13" t="s">
        <v>25953</v>
      </c>
      <c r="J13306" s="14" t="str">
        <f>HYPERLINK("https://www.boe.es/gazeta/dias/1839/02/07/pdfs/GMD-1839-1545.pdf#page=4","Abrir facsímil")</f>
        <v>Abrir facsímil</v>
      </c>
      <c r="K13306" s="12" t="s">
        <v>65</v>
      </c>
    </row>
    <row r="13307" spans="1:11" ht="40.049999999999997" customHeight="1" x14ac:dyDescent="0.25">
      <c r="A13307" s="11" t="s">
        <v>25949</v>
      </c>
      <c r="B13307" s="11" t="s">
        <v>25949</v>
      </c>
      <c r="C13307" s="11" t="s">
        <v>17</v>
      </c>
      <c r="D13307" s="11" t="s">
        <v>18</v>
      </c>
      <c r="E13307" s="12" t="s">
        <v>1909</v>
      </c>
      <c r="F13307" s="12" t="s">
        <v>1910</v>
      </c>
      <c r="G13307" s="12" t="s">
        <v>40</v>
      </c>
      <c r="H13307" s="11" t="s">
        <v>22</v>
      </c>
      <c r="I13307" s="13" t="s">
        <v>25954</v>
      </c>
      <c r="J13307" s="14" t="str">
        <f>HYPERLINK("https://www.boe.es/gazeta/dias/1839/10/27/pdfs/GMD-1839-1813.pdf#page=2","Abrir facsímil")</f>
        <v>Abrir facsímil</v>
      </c>
      <c r="K13307" s="12" t="s">
        <v>24</v>
      </c>
    </row>
    <row r="13308" spans="1:11" ht="40.049999999999997" customHeight="1" x14ac:dyDescent="0.25">
      <c r="A13308" s="11" t="s">
        <v>25955</v>
      </c>
      <c r="B13308" s="11" t="s">
        <v>25955</v>
      </c>
      <c r="C13308" s="11" t="s">
        <v>17</v>
      </c>
      <c r="D13308" s="11" t="s">
        <v>18</v>
      </c>
      <c r="E13308" s="12" t="s">
        <v>2415</v>
      </c>
      <c r="F13308" s="12" t="s">
        <v>2416</v>
      </c>
      <c r="G13308" s="12" t="s">
        <v>21</v>
      </c>
      <c r="H13308" s="11" t="s">
        <v>63</v>
      </c>
      <c r="I13308" s="13" t="s">
        <v>25956</v>
      </c>
      <c r="J13308" s="14" t="str">
        <f>HYPERLINK("https://www.boe.es/gazeta/dias/1839/12/22/pdfs/GMD-1839-1869.pdf#page=4","Abrir facsímil")</f>
        <v>Abrir facsímil</v>
      </c>
      <c r="K13308" s="12" t="s">
        <v>65</v>
      </c>
    </row>
    <row r="13309" spans="1:11" ht="40.049999999999997" customHeight="1" x14ac:dyDescent="0.25">
      <c r="A13309" s="11" t="s">
        <v>25957</v>
      </c>
      <c r="B13309" s="11" t="s">
        <v>25957</v>
      </c>
      <c r="C13309" s="11" t="s">
        <v>17</v>
      </c>
      <c r="D13309" s="11" t="s">
        <v>18</v>
      </c>
      <c r="E13309" s="12" t="s">
        <v>2165</v>
      </c>
      <c r="F13309" s="12" t="s">
        <v>2166</v>
      </c>
      <c r="G13309" s="12" t="s">
        <v>46</v>
      </c>
      <c r="H13309" s="11" t="s">
        <v>22</v>
      </c>
      <c r="I13309" s="13" t="s">
        <v>25958</v>
      </c>
      <c r="J13309" s="14" t="str">
        <f>HYPERLINK("https://www.boe.es/gazeta/dias/1839/01/06/pdfs/GMD-1839-1513.pdf#page=3","Abrir facsímil")</f>
        <v>Abrir facsímil</v>
      </c>
      <c r="K13309" s="12" t="s">
        <v>24</v>
      </c>
    </row>
    <row r="13310" spans="1:11" ht="40.049999999999997" customHeight="1" x14ac:dyDescent="0.25">
      <c r="A13310" s="11" t="s">
        <v>25959</v>
      </c>
      <c r="B13310" s="11" t="s">
        <v>25959</v>
      </c>
      <c r="C13310" s="11" t="s">
        <v>101</v>
      </c>
      <c r="D13310" s="11" t="s">
        <v>43</v>
      </c>
      <c r="E13310" s="12" t="s">
        <v>1236</v>
      </c>
      <c r="F13310" s="12" t="s">
        <v>1237</v>
      </c>
      <c r="G13310" s="12" t="s">
        <v>21</v>
      </c>
      <c r="H13310" s="11" t="s">
        <v>63</v>
      </c>
      <c r="I13310" s="13" t="s">
        <v>25960</v>
      </c>
      <c r="J13310" s="14" t="str">
        <f>HYPERLINK("https://www.boe.es/gazeta/dias/1839/10/16/pdfs/GMD-1839-1802.pdf#page=4","Abrir facsímil")</f>
        <v>Abrir facsímil</v>
      </c>
      <c r="K13310" s="12" t="s">
        <v>65</v>
      </c>
    </row>
    <row r="13311" spans="1:11" ht="40.049999999999997" customHeight="1" x14ac:dyDescent="0.25">
      <c r="A13311" s="11" t="s">
        <v>25959</v>
      </c>
      <c r="B13311" s="11" t="s">
        <v>25959</v>
      </c>
      <c r="C13311" s="11" t="s">
        <v>17</v>
      </c>
      <c r="D13311" s="11" t="s">
        <v>18</v>
      </c>
      <c r="E13311" s="12" t="s">
        <v>2069</v>
      </c>
      <c r="F13311" s="12" t="s">
        <v>2070</v>
      </c>
      <c r="G13311" s="12" t="s">
        <v>46</v>
      </c>
      <c r="H13311" s="11" t="s">
        <v>63</v>
      </c>
      <c r="I13311" s="13" t="s">
        <v>25961</v>
      </c>
      <c r="J13311" s="14" t="str">
        <f>HYPERLINK("https://www.boe.es/gazeta/dias/1839/10/20/pdfs/GMD-1839-1806.pdf#page=3","Abrir facsímil")</f>
        <v>Abrir facsímil</v>
      </c>
      <c r="K13311" s="12" t="s">
        <v>65</v>
      </c>
    </row>
    <row r="13312" spans="1:11" ht="40.049999999999997" customHeight="1" x14ac:dyDescent="0.25">
      <c r="A13312" s="11" t="s">
        <v>25957</v>
      </c>
      <c r="B13312" s="11" t="s">
        <v>25957</v>
      </c>
      <c r="C13312" s="11" t="s">
        <v>17</v>
      </c>
      <c r="D13312" s="11" t="s">
        <v>18</v>
      </c>
      <c r="E13312" s="12" t="s">
        <v>1086</v>
      </c>
      <c r="F13312" s="12" t="s">
        <v>1087</v>
      </c>
      <c r="G13312" s="12" t="s">
        <v>40</v>
      </c>
      <c r="H13312" s="11" t="s">
        <v>22</v>
      </c>
      <c r="I13312" s="13" t="s">
        <v>25962</v>
      </c>
      <c r="J13312" s="14" t="str">
        <f>HYPERLINK("https://www.boe.es/gazeta/dias/1839/10/26/pdfs/GMD-1839-1812.pdf#page=2","Abrir facsímil")</f>
        <v>Abrir facsímil</v>
      </c>
      <c r="K13312" s="12" t="s">
        <v>24</v>
      </c>
    </row>
    <row r="13313" spans="1:11" ht="40.049999999999997" customHeight="1" x14ac:dyDescent="0.25">
      <c r="A13313" s="11" t="s">
        <v>25963</v>
      </c>
      <c r="B13313" s="11" t="s">
        <v>25964</v>
      </c>
      <c r="C13313" s="11" t="s">
        <v>80</v>
      </c>
      <c r="D13313" s="11" t="s">
        <v>18</v>
      </c>
      <c r="E13313" s="12" t="s">
        <v>1446</v>
      </c>
      <c r="F13313" s="12" t="s">
        <v>1447</v>
      </c>
      <c r="G13313" s="12" t="s">
        <v>21</v>
      </c>
      <c r="H13313" s="11" t="s">
        <v>63</v>
      </c>
      <c r="I13313" s="13" t="s">
        <v>25965</v>
      </c>
      <c r="J13313" s="14" t="str">
        <f>HYPERLINK("https://www.boe.es/gazeta/dias/1839/08/25/pdfs/GMD-1839-1746.pdf#page=4","Abrir facsímil")</f>
        <v>Abrir facsímil</v>
      </c>
      <c r="K13313" s="12" t="s">
        <v>65</v>
      </c>
    </row>
    <row r="13314" spans="1:11" ht="40.049999999999997" customHeight="1" x14ac:dyDescent="0.25">
      <c r="A13314" s="11" t="s">
        <v>25966</v>
      </c>
      <c r="B13314" s="11" t="s">
        <v>25967</v>
      </c>
      <c r="C13314" s="11" t="s">
        <v>17</v>
      </c>
      <c r="D13314" s="11" t="s">
        <v>18</v>
      </c>
      <c r="E13314" s="12" t="s">
        <v>1027</v>
      </c>
      <c r="F13314" s="12" t="s">
        <v>1028</v>
      </c>
      <c r="G13314" s="12" t="s">
        <v>29</v>
      </c>
      <c r="H13314" s="11" t="s">
        <v>63</v>
      </c>
      <c r="I13314" s="13" t="s">
        <v>25968</v>
      </c>
      <c r="J13314" s="14" t="str">
        <f>HYPERLINK("https://www.boe.es/gazeta/dias/1839/08/16/pdfs/GMD-1839-1736.pdf#page=1","Abrir facsímil")</f>
        <v>Abrir facsímil</v>
      </c>
      <c r="K13314" s="12" t="s">
        <v>65</v>
      </c>
    </row>
    <row r="13315" spans="1:11" ht="40.049999999999997" customHeight="1" x14ac:dyDescent="0.25">
      <c r="A13315" s="11" t="s">
        <v>25969</v>
      </c>
      <c r="B13315" s="11" t="s">
        <v>25970</v>
      </c>
      <c r="C13315" s="11" t="s">
        <v>17</v>
      </c>
      <c r="D13315" s="11" t="s">
        <v>18</v>
      </c>
      <c r="E13315" s="12" t="s">
        <v>438</v>
      </c>
      <c r="F13315" s="12" t="s">
        <v>439</v>
      </c>
      <c r="G13315" s="12" t="s">
        <v>21</v>
      </c>
      <c r="H13315" s="11" t="s">
        <v>63</v>
      </c>
      <c r="I13315" s="13" t="s">
        <v>25971</v>
      </c>
      <c r="J13315" s="14" t="str">
        <f>HYPERLINK("https://www.boe.es/gazeta/dias/1839/07/17/pdfs/GMD-1839-1705.pdf#page=4","Abrir facsímil")</f>
        <v>Abrir facsímil</v>
      </c>
      <c r="K13315" s="12" t="s">
        <v>65</v>
      </c>
    </row>
    <row r="13316" spans="1:11" ht="40.049999999999997" customHeight="1" x14ac:dyDescent="0.25">
      <c r="A13316" s="11" t="s">
        <v>25972</v>
      </c>
      <c r="B13316" s="11" t="s">
        <v>25972</v>
      </c>
      <c r="C13316" s="11" t="s">
        <v>17</v>
      </c>
      <c r="D13316" s="11" t="s">
        <v>18</v>
      </c>
      <c r="E13316" s="12" t="s">
        <v>2449</v>
      </c>
      <c r="F13316" s="12" t="s">
        <v>2450</v>
      </c>
      <c r="G13316" s="12" t="s">
        <v>29</v>
      </c>
      <c r="H13316" s="11" t="s">
        <v>63</v>
      </c>
      <c r="I13316" s="13" t="s">
        <v>25973</v>
      </c>
      <c r="J13316" s="14" t="str">
        <f>HYPERLINK("https://www.boe.es/gazeta/dias/1839/12/11/pdfs/GMD-1839-1858.pdf#page=1","Abrir facsímil")</f>
        <v>Abrir facsímil</v>
      </c>
      <c r="K13316" s="12" t="s">
        <v>65</v>
      </c>
    </row>
    <row r="13317" spans="1:11" ht="40.049999999999997" customHeight="1" x14ac:dyDescent="0.25">
      <c r="A13317" s="11" t="s">
        <v>25972</v>
      </c>
      <c r="B13317" s="11" t="s">
        <v>25972</v>
      </c>
      <c r="C13317" s="11" t="s">
        <v>17</v>
      </c>
      <c r="D13317" s="11" t="s">
        <v>18</v>
      </c>
      <c r="E13317" s="12" t="s">
        <v>951</v>
      </c>
      <c r="F13317" s="12" t="s">
        <v>952</v>
      </c>
      <c r="G13317" s="12" t="s">
        <v>29</v>
      </c>
      <c r="H13317" s="11" t="s">
        <v>63</v>
      </c>
      <c r="I13317" s="13" t="s">
        <v>25974</v>
      </c>
      <c r="J13317" s="14" t="str">
        <f>HYPERLINK("https://www.boe.es/gazeta/dias/1839/12/30/pdfs/GMD-1839-1877.pdf#page=1","Abrir facsímil")</f>
        <v>Abrir facsímil</v>
      </c>
      <c r="K13317" s="12" t="s">
        <v>65</v>
      </c>
    </row>
    <row r="13318" spans="1:11" ht="40.049999999999997" customHeight="1" x14ac:dyDescent="0.25">
      <c r="A13318" s="11" t="s">
        <v>25975</v>
      </c>
      <c r="B13318" s="11" t="s">
        <v>25975</v>
      </c>
      <c r="C13318" s="11" t="s">
        <v>101</v>
      </c>
      <c r="D13318" s="11" t="s">
        <v>43</v>
      </c>
      <c r="E13318" s="12" t="s">
        <v>1929</v>
      </c>
      <c r="F13318" s="12" t="s">
        <v>1930</v>
      </c>
      <c r="G13318" s="12" t="s">
        <v>46</v>
      </c>
      <c r="H13318" s="11" t="s">
        <v>63</v>
      </c>
      <c r="I13318" s="13" t="s">
        <v>25976</v>
      </c>
      <c r="J13318" s="14" t="str">
        <f>HYPERLINK("https://www.boe.es/gazeta/dias/1839/02/01/pdfs/GMD-1839-1539.pdf#page=3","Abrir facsímil")</f>
        <v>Abrir facsímil</v>
      </c>
      <c r="K13318" s="12" t="s">
        <v>65</v>
      </c>
    </row>
    <row r="13319" spans="1:11" ht="40.049999999999997" customHeight="1" x14ac:dyDescent="0.25">
      <c r="A13319" s="11" t="s">
        <v>25977</v>
      </c>
      <c r="B13319" s="11" t="s">
        <v>25978</v>
      </c>
      <c r="C13319" s="11" t="s">
        <v>137</v>
      </c>
      <c r="D13319" s="11" t="s">
        <v>18</v>
      </c>
      <c r="E13319" s="12" t="s">
        <v>76</v>
      </c>
      <c r="F13319" s="12" t="s">
        <v>77</v>
      </c>
      <c r="G13319" s="12" t="s">
        <v>40</v>
      </c>
      <c r="H13319" s="11" t="s">
        <v>63</v>
      </c>
      <c r="I13319" s="13" t="s">
        <v>25979</v>
      </c>
      <c r="J13319" s="14" t="str">
        <f>HYPERLINK("https://www.boe.es/gazeta/dias/1839/03/13/pdfs/GMD-1839-1579.pdf#page=2","Abrir facsímil")</f>
        <v>Abrir facsímil</v>
      </c>
      <c r="K13319" s="12" t="s">
        <v>65</v>
      </c>
    </row>
    <row r="13320" spans="1:11" ht="40.049999999999997" customHeight="1" x14ac:dyDescent="0.25">
      <c r="A13320" s="11" t="s">
        <v>25980</v>
      </c>
      <c r="B13320" s="11" t="s">
        <v>25980</v>
      </c>
      <c r="C13320" s="11" t="s">
        <v>101</v>
      </c>
      <c r="D13320" s="11" t="s">
        <v>102</v>
      </c>
      <c r="E13320" s="12" t="s">
        <v>2738</v>
      </c>
      <c r="F13320" s="12" t="s">
        <v>2739</v>
      </c>
      <c r="G13320" s="12" t="s">
        <v>29</v>
      </c>
      <c r="H13320" s="11" t="s">
        <v>63</v>
      </c>
      <c r="I13320" s="13" t="s">
        <v>25981</v>
      </c>
      <c r="J13320" s="14" t="str">
        <f>HYPERLINK("https://www.boe.es/gazeta/dias/1839/09/06/pdfs/GMD-1839-1759.pdf#page=1","Abrir facsímil")</f>
        <v>Abrir facsímil</v>
      </c>
      <c r="K13320" s="12" t="s">
        <v>65</v>
      </c>
    </row>
    <row r="13321" spans="1:11" ht="40.049999999999997" customHeight="1" x14ac:dyDescent="0.25">
      <c r="A13321" s="11" t="s">
        <v>25980</v>
      </c>
      <c r="B13321" s="11" t="s">
        <v>25980</v>
      </c>
      <c r="C13321" s="11" t="s">
        <v>59</v>
      </c>
      <c r="D13321" s="11" t="s">
        <v>60</v>
      </c>
      <c r="E13321" s="12" t="s">
        <v>503</v>
      </c>
      <c r="F13321" s="12" t="s">
        <v>504</v>
      </c>
      <c r="G13321" s="12" t="s">
        <v>46</v>
      </c>
      <c r="H13321" s="11" t="s">
        <v>63</v>
      </c>
      <c r="I13321" s="13" t="s">
        <v>25982</v>
      </c>
      <c r="J13321" s="14" t="str">
        <f>HYPERLINK("https://www.boe.es/gazeta/dias/1839/06/07/pdfs/GMD-1839-1665.pdf#page=3","Abrir facsímil")</f>
        <v>Abrir facsímil</v>
      </c>
      <c r="K13321" s="12" t="s">
        <v>65</v>
      </c>
    </row>
    <row r="13322" spans="1:11" ht="40.049999999999997" customHeight="1" x14ac:dyDescent="0.25">
      <c r="A13322" s="11" t="s">
        <v>25980</v>
      </c>
      <c r="B13322" s="11" t="s">
        <v>25980</v>
      </c>
      <c r="C13322" s="11" t="s">
        <v>101</v>
      </c>
      <c r="D13322" s="11" t="s">
        <v>102</v>
      </c>
      <c r="E13322" s="12" t="s">
        <v>690</v>
      </c>
      <c r="F13322" s="12" t="s">
        <v>691</v>
      </c>
      <c r="G13322" s="12" t="s">
        <v>29</v>
      </c>
      <c r="H13322" s="11" t="s">
        <v>63</v>
      </c>
      <c r="I13322" s="13" t="s">
        <v>25983</v>
      </c>
      <c r="J13322" s="14" t="str">
        <f>HYPERLINK("https://www.boe.es/gazeta/dias/1839/12/08/pdfs/GMD-1839-1855.pdf#page=1","Abrir facsímil")</f>
        <v>Abrir facsímil</v>
      </c>
      <c r="K13322" s="12" t="s">
        <v>65</v>
      </c>
    </row>
    <row r="13323" spans="1:11" ht="40.049999999999997" customHeight="1" x14ac:dyDescent="0.25">
      <c r="A13323" s="11" t="s">
        <v>25980</v>
      </c>
      <c r="B13323" s="11" t="s">
        <v>25980</v>
      </c>
      <c r="C13323" s="11" t="s">
        <v>137</v>
      </c>
      <c r="D13323" s="11" t="s">
        <v>18</v>
      </c>
      <c r="E13323" s="12" t="s">
        <v>984</v>
      </c>
      <c r="F13323" s="12" t="s">
        <v>985</v>
      </c>
      <c r="G13323" s="12" t="s">
        <v>40</v>
      </c>
      <c r="H13323" s="11" t="s">
        <v>63</v>
      </c>
      <c r="I13323" s="13" t="s">
        <v>25984</v>
      </c>
      <c r="J13323" s="14" t="str">
        <f>HYPERLINK("https://www.boe.es/gazeta/dias/1839/04/10/pdfs/GMD-1839-1607.pdf#page=2","Abrir facsímil")</f>
        <v>Abrir facsímil</v>
      </c>
      <c r="K13323" s="12" t="s">
        <v>65</v>
      </c>
    </row>
    <row r="13324" spans="1:11" ht="40.049999999999997" customHeight="1" x14ac:dyDescent="0.25">
      <c r="A13324" s="11" t="s">
        <v>25980</v>
      </c>
      <c r="B13324" s="11" t="s">
        <v>25980</v>
      </c>
      <c r="C13324" s="11" t="s">
        <v>101</v>
      </c>
      <c r="D13324" s="11" t="s">
        <v>102</v>
      </c>
      <c r="E13324" s="12" t="s">
        <v>3766</v>
      </c>
      <c r="F13324" s="12" t="s">
        <v>3767</v>
      </c>
      <c r="G13324" s="12" t="s">
        <v>40</v>
      </c>
      <c r="H13324" s="11" t="s">
        <v>63</v>
      </c>
      <c r="I13324" s="13" t="s">
        <v>25985</v>
      </c>
      <c r="J13324" s="14" t="str">
        <f>HYPERLINK("https://www.boe.es/gazeta/dias/1839/06/10/pdfs/GMD-1839-1668.pdf#page=2","Abrir facsímil")</f>
        <v>Abrir facsímil</v>
      </c>
      <c r="K13324" s="12" t="s">
        <v>65</v>
      </c>
    </row>
    <row r="13325" spans="1:11" ht="40.049999999999997" customHeight="1" x14ac:dyDescent="0.25">
      <c r="A13325" s="11" t="s">
        <v>25980</v>
      </c>
      <c r="B13325" s="11" t="s">
        <v>25980</v>
      </c>
      <c r="C13325" s="11" t="s">
        <v>101</v>
      </c>
      <c r="D13325" s="11" t="s">
        <v>102</v>
      </c>
      <c r="E13325" s="12" t="s">
        <v>621</v>
      </c>
      <c r="F13325" s="12" t="s">
        <v>622</v>
      </c>
      <c r="G13325" s="12" t="s">
        <v>40</v>
      </c>
      <c r="H13325" s="11" t="s">
        <v>63</v>
      </c>
      <c r="I13325" s="13" t="s">
        <v>25986</v>
      </c>
      <c r="J13325" s="14" t="str">
        <f>HYPERLINK("https://www.boe.es/gazeta/dias/1839/04/14/pdfs/GMD-1839-1611.pdf#page=2","Abrir facsímil")</f>
        <v>Abrir facsímil</v>
      </c>
      <c r="K13325" s="12" t="s">
        <v>65</v>
      </c>
    </row>
    <row r="13326" spans="1:11" ht="40.049999999999997" customHeight="1" x14ac:dyDescent="0.25">
      <c r="A13326" s="11" t="s">
        <v>25987</v>
      </c>
      <c r="B13326" s="11" t="s">
        <v>25987</v>
      </c>
      <c r="C13326" s="11" t="s">
        <v>101</v>
      </c>
      <c r="D13326" s="11" t="s">
        <v>102</v>
      </c>
      <c r="E13326" s="12" t="s">
        <v>5806</v>
      </c>
      <c r="F13326" s="12" t="s">
        <v>5807</v>
      </c>
      <c r="G13326" s="12" t="s">
        <v>29</v>
      </c>
      <c r="H13326" s="11" t="s">
        <v>22</v>
      </c>
      <c r="I13326" s="13" t="s">
        <v>25988</v>
      </c>
      <c r="J13326" s="14" t="str">
        <f>HYPERLINK("https://www.boe.es/gazeta/dias/1839/02/16/pdfs/GMD-1839-1554.pdf#page=1","Abrir facsímil")</f>
        <v>Abrir facsímil</v>
      </c>
      <c r="K13326" s="12" t="s">
        <v>24</v>
      </c>
    </row>
    <row r="13327" spans="1:11" ht="40.049999999999997" customHeight="1" x14ac:dyDescent="0.25">
      <c r="A13327" s="11" t="s">
        <v>25989</v>
      </c>
      <c r="B13327" s="11" t="s">
        <v>25990</v>
      </c>
      <c r="C13327" s="11" t="s">
        <v>17</v>
      </c>
      <c r="D13327" s="11" t="s">
        <v>43</v>
      </c>
      <c r="E13327" s="12" t="s">
        <v>1012</v>
      </c>
      <c r="F13327" s="12" t="s">
        <v>1013</v>
      </c>
      <c r="G13327" s="12" t="s">
        <v>29</v>
      </c>
      <c r="H13327" s="11" t="s">
        <v>63</v>
      </c>
      <c r="I13327" s="13" t="s">
        <v>25991</v>
      </c>
      <c r="J13327" s="14" t="str">
        <f>HYPERLINK("https://www.boe.es/gazeta/dias/1839/11/22/pdfs/GMD-1839-1839.pdf#page=1","Abrir facsímil")</f>
        <v>Abrir facsímil</v>
      </c>
      <c r="K13327" s="12" t="s">
        <v>65</v>
      </c>
    </row>
    <row r="13328" spans="1:11" ht="40.049999999999997" customHeight="1" x14ac:dyDescent="0.25">
      <c r="A13328" s="11" t="s">
        <v>25992</v>
      </c>
      <c r="B13328" s="11" t="s">
        <v>25992</v>
      </c>
      <c r="C13328" s="11" t="s">
        <v>101</v>
      </c>
      <c r="D13328" s="11" t="s">
        <v>43</v>
      </c>
      <c r="E13328" s="12" t="s">
        <v>1729</v>
      </c>
      <c r="F13328" s="12" t="s">
        <v>1730</v>
      </c>
      <c r="G13328" s="12" t="s">
        <v>29</v>
      </c>
      <c r="H13328" s="11" t="s">
        <v>63</v>
      </c>
      <c r="I13328" s="13" t="s">
        <v>25993</v>
      </c>
      <c r="J13328" s="14" t="str">
        <f>HYPERLINK("https://www.boe.es/gazeta/dias/1839/04/25/pdfs/GMD-1839-1622.pdf#page=1","Abrir facsímil")</f>
        <v>Abrir facsímil</v>
      </c>
      <c r="K13328" s="12" t="s">
        <v>65</v>
      </c>
    </row>
    <row r="13329" spans="1:11" ht="40.049999999999997" customHeight="1" x14ac:dyDescent="0.25">
      <c r="A13329" s="11" t="s">
        <v>25994</v>
      </c>
      <c r="B13329" s="11" t="s">
        <v>25994</v>
      </c>
      <c r="C13329" s="11" t="s">
        <v>137</v>
      </c>
      <c r="D13329" s="11" t="s">
        <v>18</v>
      </c>
      <c r="E13329" s="12" t="s">
        <v>462</v>
      </c>
      <c r="F13329" s="12" t="s">
        <v>463</v>
      </c>
      <c r="G13329" s="12" t="s">
        <v>40</v>
      </c>
      <c r="H13329" s="11" t="s">
        <v>63</v>
      </c>
      <c r="I13329" s="13" t="s">
        <v>25995</v>
      </c>
      <c r="J13329" s="14" t="str">
        <f>HYPERLINK("https://www.boe.es/gazeta/dias/1839/06/19/pdfs/GMD-1839-1677.pdf#page=2","Abrir facsímil")</f>
        <v>Abrir facsímil</v>
      </c>
      <c r="K13329" s="12" t="s">
        <v>65</v>
      </c>
    </row>
    <row r="13330" spans="1:11" ht="40.049999999999997" customHeight="1" x14ac:dyDescent="0.25">
      <c r="A13330" s="11" t="s">
        <v>25996</v>
      </c>
      <c r="B13330" s="11" t="s">
        <v>25996</v>
      </c>
      <c r="C13330" s="11" t="s">
        <v>17</v>
      </c>
      <c r="D13330" s="11" t="s">
        <v>18</v>
      </c>
      <c r="E13330" s="12" t="s">
        <v>568</v>
      </c>
      <c r="F13330" s="12" t="s">
        <v>569</v>
      </c>
      <c r="G13330" s="12" t="s">
        <v>40</v>
      </c>
      <c r="H13330" s="11" t="s">
        <v>63</v>
      </c>
      <c r="I13330" s="13" t="s">
        <v>25997</v>
      </c>
      <c r="J13330" s="14" t="str">
        <f>HYPERLINK("https://www.boe.es/gazeta/dias/1839/10/23/pdfs/GMD-1839-1809.pdf#page=2","Abrir facsímil")</f>
        <v>Abrir facsímil</v>
      </c>
      <c r="K13330" s="12" t="s">
        <v>65</v>
      </c>
    </row>
    <row r="13331" spans="1:11" ht="40.049999999999997" customHeight="1" x14ac:dyDescent="0.25">
      <c r="A13331" s="11" t="s">
        <v>25998</v>
      </c>
      <c r="B13331" s="11" t="s">
        <v>25999</v>
      </c>
      <c r="C13331" s="11" t="s">
        <v>137</v>
      </c>
      <c r="D13331" s="11" t="s">
        <v>18</v>
      </c>
      <c r="E13331" s="12" t="s">
        <v>185</v>
      </c>
      <c r="F13331" s="12" t="s">
        <v>186</v>
      </c>
      <c r="G13331" s="12" t="s">
        <v>21</v>
      </c>
      <c r="H13331" s="11" t="s">
        <v>63</v>
      </c>
      <c r="I13331" s="13" t="s">
        <v>26000</v>
      </c>
      <c r="J13331" s="14" t="str">
        <f>HYPERLINK("https://www.boe.es/gazeta/dias/1839/01/15/pdfs/GMD-1839-1522.pdf#page=4","Abrir facsímil")</f>
        <v>Abrir facsímil</v>
      </c>
      <c r="K13331" s="12" t="s">
        <v>65</v>
      </c>
    </row>
    <row r="13332" spans="1:11" ht="40.049999999999997" customHeight="1" x14ac:dyDescent="0.25">
      <c r="A13332" s="11" t="s">
        <v>26001</v>
      </c>
      <c r="B13332" s="11" t="s">
        <v>26002</v>
      </c>
      <c r="C13332" s="11" t="s">
        <v>101</v>
      </c>
      <c r="D13332" s="11" t="s">
        <v>43</v>
      </c>
      <c r="E13332" s="12" t="s">
        <v>269</v>
      </c>
      <c r="F13332" s="12" t="s">
        <v>270</v>
      </c>
      <c r="G13332" s="12" t="s">
        <v>46</v>
      </c>
      <c r="H13332" s="11" t="s">
        <v>22</v>
      </c>
      <c r="I13332" s="13" t="s">
        <v>26003</v>
      </c>
      <c r="J13332" s="14" t="str">
        <f>HYPERLINK("https://www.boe.es/gazeta/dias/1839/02/10/pdfs/GMD-1839-1548.pdf#page=3","Abrir facsímil")</f>
        <v>Abrir facsímil</v>
      </c>
      <c r="K13332" s="12" t="s">
        <v>24</v>
      </c>
    </row>
    <row r="13333" spans="1:11" ht="40.049999999999997" customHeight="1" x14ac:dyDescent="0.25">
      <c r="A13333" s="11" t="s">
        <v>26004</v>
      </c>
      <c r="B13333" s="11" t="s">
        <v>26005</v>
      </c>
      <c r="C13333" s="11" t="s">
        <v>17</v>
      </c>
      <c r="D13333" s="11" t="s">
        <v>18</v>
      </c>
      <c r="E13333" s="12" t="s">
        <v>54</v>
      </c>
      <c r="F13333" s="12" t="s">
        <v>55</v>
      </c>
      <c r="G13333" s="12" t="s">
        <v>305</v>
      </c>
      <c r="H13333" s="11" t="s">
        <v>22</v>
      </c>
      <c r="I13333" s="13" t="s">
        <v>26006</v>
      </c>
      <c r="J13333" s="14" t="str">
        <f>HYPERLINK("https://www.boe.es/gazeta/dias/1839/10/05/pdfs/GMD-1839-1791.pdf#page=6","Abrir facsímil")</f>
        <v>Abrir facsímil</v>
      </c>
      <c r="K13333" s="12" t="s">
        <v>24</v>
      </c>
    </row>
    <row r="13334" spans="1:11" ht="40.049999999999997" customHeight="1" x14ac:dyDescent="0.25">
      <c r="A13334" s="11" t="s">
        <v>26007</v>
      </c>
      <c r="B13334" s="11" t="s">
        <v>26008</v>
      </c>
      <c r="C13334" s="11" t="s">
        <v>101</v>
      </c>
      <c r="D13334" s="11" t="s">
        <v>43</v>
      </c>
      <c r="E13334" s="12" t="s">
        <v>262</v>
      </c>
      <c r="F13334" s="12" t="s">
        <v>263</v>
      </c>
      <c r="G13334" s="12" t="s">
        <v>40</v>
      </c>
      <c r="H13334" s="11" t="s">
        <v>22</v>
      </c>
      <c r="I13334" s="13" t="s">
        <v>26009</v>
      </c>
      <c r="J13334" s="14" t="str">
        <f>HYPERLINK("https://www.boe.es/gazeta/dias/1839/01/01/pdfs/GMD-1839-1508.pdf#page=2","Abrir facsímil")</f>
        <v>Abrir facsímil</v>
      </c>
      <c r="K13334" s="12" t="s">
        <v>24</v>
      </c>
    </row>
    <row r="13335" spans="1:11" ht="40.049999999999997" customHeight="1" x14ac:dyDescent="0.25">
      <c r="A13335" s="11" t="s">
        <v>26010</v>
      </c>
      <c r="B13335" s="11" t="s">
        <v>26011</v>
      </c>
      <c r="C13335" s="11" t="s">
        <v>137</v>
      </c>
      <c r="D13335" s="11" t="s">
        <v>18</v>
      </c>
      <c r="E13335" s="12" t="s">
        <v>653</v>
      </c>
      <c r="F13335" s="12" t="s">
        <v>654</v>
      </c>
      <c r="G13335" s="12" t="s">
        <v>40</v>
      </c>
      <c r="H13335" s="11" t="s">
        <v>22</v>
      </c>
      <c r="I13335" s="13" t="s">
        <v>26012</v>
      </c>
      <c r="J13335" s="14" t="str">
        <f>HYPERLINK("https://www.boe.es/gazeta/dias/1839/10/31/pdfs/GMD-1839-1817.pdf#page=2","Abrir facsímil")</f>
        <v>Abrir facsímil</v>
      </c>
      <c r="K13335" s="12" t="s">
        <v>24</v>
      </c>
    </row>
    <row r="13336" spans="1:11" ht="40.049999999999997" customHeight="1" x14ac:dyDescent="0.25">
      <c r="A13336" s="11" t="s">
        <v>26013</v>
      </c>
      <c r="B13336" s="11" t="s">
        <v>26014</v>
      </c>
      <c r="C13336" s="11" t="s">
        <v>17</v>
      </c>
      <c r="D13336" s="11" t="s">
        <v>18</v>
      </c>
      <c r="E13336" s="12" t="s">
        <v>2507</v>
      </c>
      <c r="F13336" s="12" t="s">
        <v>2508</v>
      </c>
      <c r="G13336" s="12" t="s">
        <v>29</v>
      </c>
      <c r="H13336" s="11" t="s">
        <v>22</v>
      </c>
      <c r="I13336" s="13" t="s">
        <v>26015</v>
      </c>
      <c r="J13336" s="14" t="str">
        <f>HYPERLINK("https://www.boe.es/gazeta/dias/1839/03/08/pdfs/GMD-1839-1574.pdf#page=1","Abrir facsímil")</f>
        <v>Abrir facsímil</v>
      </c>
      <c r="K13336" s="12" t="s">
        <v>24</v>
      </c>
    </row>
    <row r="13337" spans="1:11" ht="40.049999999999997" customHeight="1" x14ac:dyDescent="0.25">
      <c r="A13337" s="11" t="s">
        <v>26016</v>
      </c>
      <c r="B13337" s="11" t="s">
        <v>26017</v>
      </c>
      <c r="C13337" s="11" t="s">
        <v>17</v>
      </c>
      <c r="D13337" s="11" t="s">
        <v>18</v>
      </c>
      <c r="E13337" s="12" t="s">
        <v>2222</v>
      </c>
      <c r="F13337" s="12" t="s">
        <v>2223</v>
      </c>
      <c r="G13337" s="12" t="s">
        <v>21</v>
      </c>
      <c r="H13337" s="11" t="s">
        <v>22</v>
      </c>
      <c r="I13337" s="13" t="s">
        <v>26018</v>
      </c>
      <c r="J13337" s="14" t="str">
        <f>HYPERLINK("https://www.boe.es/gazeta/dias/1839/09/19/pdfs/GMD-1839-1773.pdf#page=4","Abrir facsímil")</f>
        <v>Abrir facsímil</v>
      </c>
      <c r="K13337" s="12" t="s">
        <v>24</v>
      </c>
    </row>
    <row r="13338" spans="1:11" ht="40.049999999999997" customHeight="1" x14ac:dyDescent="0.25">
      <c r="A13338" s="11" t="s">
        <v>26019</v>
      </c>
      <c r="B13338" s="11" t="s">
        <v>26020</v>
      </c>
      <c r="C13338" s="11" t="s">
        <v>17</v>
      </c>
      <c r="D13338" s="11" t="s">
        <v>18</v>
      </c>
      <c r="E13338" s="12" t="s">
        <v>1374</v>
      </c>
      <c r="F13338" s="12" t="s">
        <v>1375</v>
      </c>
      <c r="G13338" s="12" t="s">
        <v>21</v>
      </c>
      <c r="H13338" s="11" t="s">
        <v>22</v>
      </c>
      <c r="I13338" s="13" t="s">
        <v>26021</v>
      </c>
      <c r="J13338" s="14" t="str">
        <f>HYPERLINK("https://www.boe.es/gazeta/dias/1839/07/20/pdfs/GMD-1839-1708.pdf#page=4","Abrir facsímil")</f>
        <v>Abrir facsímil</v>
      </c>
      <c r="K13338" s="12" t="s">
        <v>24</v>
      </c>
    </row>
    <row r="13339" spans="1:11" ht="40.049999999999997" customHeight="1" x14ac:dyDescent="0.25">
      <c r="A13339" s="11" t="s">
        <v>26022</v>
      </c>
      <c r="B13339" s="11" t="s">
        <v>26023</v>
      </c>
      <c r="C13339" s="11" t="s">
        <v>17</v>
      </c>
      <c r="D13339" s="11" t="s">
        <v>18</v>
      </c>
      <c r="E13339" s="12" t="s">
        <v>2435</v>
      </c>
      <c r="F13339" s="12" t="s">
        <v>2436</v>
      </c>
      <c r="G13339" s="12" t="s">
        <v>21</v>
      </c>
      <c r="H13339" s="11" t="s">
        <v>22</v>
      </c>
      <c r="I13339" s="13" t="s">
        <v>26024</v>
      </c>
      <c r="J13339" s="14" t="str">
        <f>HYPERLINK("https://www.boe.es/gazeta/dias/1839/07/24/pdfs/GMD-1839-1713.pdf#page=4","Abrir facsímil")</f>
        <v>Abrir facsímil</v>
      </c>
      <c r="K13339" s="12" t="s">
        <v>24</v>
      </c>
    </row>
    <row r="13340" spans="1:11" ht="40.049999999999997" customHeight="1" x14ac:dyDescent="0.25">
      <c r="A13340" s="11" t="s">
        <v>26025</v>
      </c>
      <c r="B13340" s="11" t="s">
        <v>26026</v>
      </c>
      <c r="C13340" s="11" t="s">
        <v>101</v>
      </c>
      <c r="D13340" s="11" t="s">
        <v>43</v>
      </c>
      <c r="E13340" s="12" t="s">
        <v>794</v>
      </c>
      <c r="F13340" s="12" t="s">
        <v>795</v>
      </c>
      <c r="G13340" s="12" t="s">
        <v>46</v>
      </c>
      <c r="H13340" s="11" t="s">
        <v>22</v>
      </c>
      <c r="I13340" s="13" t="s">
        <v>26027</v>
      </c>
      <c r="J13340" s="14" t="str">
        <f>HYPERLINK("https://www.boe.es/gazeta/dias/1839/01/22/pdfs/GMD-1839-1529.pdf#page=3","Abrir facsímil")</f>
        <v>Abrir facsímil</v>
      </c>
      <c r="K13340" s="12" t="s">
        <v>24</v>
      </c>
    </row>
    <row r="13341" spans="1:11" ht="40.049999999999997" customHeight="1" x14ac:dyDescent="0.25">
      <c r="A13341" s="11" t="s">
        <v>26028</v>
      </c>
      <c r="B13341" s="11" t="s">
        <v>26029</v>
      </c>
      <c r="C13341" s="11" t="s">
        <v>17</v>
      </c>
      <c r="D13341" s="11" t="s">
        <v>18</v>
      </c>
      <c r="E13341" s="12" t="s">
        <v>1057</v>
      </c>
      <c r="F13341" s="12" t="s">
        <v>1058</v>
      </c>
      <c r="G13341" s="12" t="s">
        <v>46</v>
      </c>
      <c r="H13341" s="11" t="s">
        <v>22</v>
      </c>
      <c r="I13341" s="13" t="s">
        <v>26030</v>
      </c>
      <c r="J13341" s="14" t="str">
        <f>HYPERLINK("https://www.boe.es/gazeta/dias/1839/10/01/pdfs/GMD-1839-1787.pdf#page=3","Abrir facsímil")</f>
        <v>Abrir facsímil</v>
      </c>
      <c r="K13341" s="12" t="s">
        <v>24</v>
      </c>
    </row>
    <row r="13342" spans="1:11" ht="40.049999999999997" customHeight="1" x14ac:dyDescent="0.25">
      <c r="A13342" s="11" t="s">
        <v>26028</v>
      </c>
      <c r="B13342" s="11" t="s">
        <v>26029</v>
      </c>
      <c r="C13342" s="11" t="s">
        <v>17</v>
      </c>
      <c r="D13342" s="11" t="s">
        <v>18</v>
      </c>
      <c r="E13342" s="12" t="s">
        <v>1703</v>
      </c>
      <c r="F13342" s="12" t="s">
        <v>1704</v>
      </c>
      <c r="G13342" s="12" t="s">
        <v>21</v>
      </c>
      <c r="H13342" s="11" t="s">
        <v>22</v>
      </c>
      <c r="I13342" s="13" t="s">
        <v>26031</v>
      </c>
      <c r="J13342" s="14" t="str">
        <f>HYPERLINK("https://www.boe.es/gazeta/dias/1839/01/21/pdfs/GMD-1839-1528.pdf#page=4","Abrir facsímil")</f>
        <v>Abrir facsímil</v>
      </c>
      <c r="K13342" s="12" t="s">
        <v>24</v>
      </c>
    </row>
    <row r="13343" spans="1:11" ht="40.049999999999997" customHeight="1" x14ac:dyDescent="0.25">
      <c r="A13343" s="11" t="s">
        <v>26028</v>
      </c>
      <c r="B13343" s="11" t="s">
        <v>26029</v>
      </c>
      <c r="C13343" s="11" t="s">
        <v>137</v>
      </c>
      <c r="D13343" s="11" t="s">
        <v>18</v>
      </c>
      <c r="E13343" s="12" t="s">
        <v>653</v>
      </c>
      <c r="F13343" s="12" t="s">
        <v>654</v>
      </c>
      <c r="G13343" s="12" t="s">
        <v>46</v>
      </c>
      <c r="H13343" s="11" t="s">
        <v>22</v>
      </c>
      <c r="I13343" s="13" t="s">
        <v>26032</v>
      </c>
      <c r="J13343" s="14" t="str">
        <f>HYPERLINK("https://www.boe.es/gazeta/dias/1839/10/31/pdfs/GMD-1839-1817.pdf#page=3","Abrir facsímil")</f>
        <v>Abrir facsímil</v>
      </c>
      <c r="K13343" s="12" t="s">
        <v>24</v>
      </c>
    </row>
    <row r="13344" spans="1:11" ht="40.049999999999997" customHeight="1" x14ac:dyDescent="0.25">
      <c r="A13344" s="11" t="s">
        <v>26033</v>
      </c>
      <c r="B13344" s="11" t="s">
        <v>26034</v>
      </c>
      <c r="C13344" s="11" t="s">
        <v>137</v>
      </c>
      <c r="D13344" s="11" t="s">
        <v>18</v>
      </c>
      <c r="E13344" s="12" t="s">
        <v>653</v>
      </c>
      <c r="F13344" s="12" t="s">
        <v>654</v>
      </c>
      <c r="G13344" s="12" t="s">
        <v>40</v>
      </c>
      <c r="H13344" s="11" t="s">
        <v>22</v>
      </c>
      <c r="I13344" s="13" t="s">
        <v>26035</v>
      </c>
      <c r="J13344" s="14" t="str">
        <f>HYPERLINK("https://www.boe.es/gazeta/dias/1839/10/31/pdfs/GMD-1839-1817.pdf#page=2","Abrir facsímil")</f>
        <v>Abrir facsímil</v>
      </c>
      <c r="K13344" s="12" t="s">
        <v>24</v>
      </c>
    </row>
    <row r="13345" spans="1:11" ht="40.049999999999997" customHeight="1" x14ac:dyDescent="0.25">
      <c r="A13345" s="11" t="s">
        <v>26036</v>
      </c>
      <c r="B13345" s="11" t="s">
        <v>26037</v>
      </c>
      <c r="C13345" s="11" t="s">
        <v>17</v>
      </c>
      <c r="D13345" s="11" t="s">
        <v>18</v>
      </c>
      <c r="E13345" s="12" t="s">
        <v>239</v>
      </c>
      <c r="F13345" s="12" t="s">
        <v>240</v>
      </c>
      <c r="G13345" s="12" t="s">
        <v>29</v>
      </c>
      <c r="H13345" s="11" t="s">
        <v>63</v>
      </c>
      <c r="I13345" s="13" t="s">
        <v>26038</v>
      </c>
      <c r="J13345" s="14" t="str">
        <f>HYPERLINK("https://www.boe.es/gazeta/dias/1839/09/22/pdfs/GMD-1839-1777.pdf#page=1","Abrir facsímil")</f>
        <v>Abrir facsímil</v>
      </c>
      <c r="K13345" s="12" t="s">
        <v>65</v>
      </c>
    </row>
    <row r="13346" spans="1:11" ht="40.049999999999997" customHeight="1" x14ac:dyDescent="0.25">
      <c r="A13346" s="11" t="s">
        <v>26039</v>
      </c>
      <c r="B13346" s="11" t="s">
        <v>26040</v>
      </c>
      <c r="C13346" s="11" t="s">
        <v>80</v>
      </c>
      <c r="D13346" s="11" t="s">
        <v>18</v>
      </c>
      <c r="E13346" s="12" t="s">
        <v>4292</v>
      </c>
      <c r="F13346" s="12" t="s">
        <v>4293</v>
      </c>
      <c r="G13346" s="12" t="s">
        <v>40</v>
      </c>
      <c r="H13346" s="11" t="s">
        <v>63</v>
      </c>
      <c r="I13346" s="13" t="s">
        <v>26041</v>
      </c>
      <c r="J13346" s="14" t="str">
        <f>HYPERLINK("https://www.boe.es/gazeta/dias/1839/11/29/pdfs/GMD-1839-1846.pdf#page=2","Abrir facsímil")</f>
        <v>Abrir facsímil</v>
      </c>
      <c r="K13346" s="12" t="s">
        <v>65</v>
      </c>
    </row>
    <row r="13347" spans="1:11" ht="40.049999999999997" customHeight="1" x14ac:dyDescent="0.25">
      <c r="A13347" s="11" t="s">
        <v>26042</v>
      </c>
      <c r="B13347" s="11" t="s">
        <v>26043</v>
      </c>
      <c r="C13347" s="11" t="s">
        <v>80</v>
      </c>
      <c r="D13347" s="11" t="s">
        <v>18</v>
      </c>
      <c r="E13347" s="12" t="s">
        <v>785</v>
      </c>
      <c r="F13347" s="12" t="s">
        <v>786</v>
      </c>
      <c r="G13347" s="12" t="s">
        <v>40</v>
      </c>
      <c r="H13347" s="11" t="s">
        <v>63</v>
      </c>
      <c r="I13347" s="13" t="s">
        <v>26044</v>
      </c>
      <c r="J13347" s="14" t="str">
        <f>HYPERLINK("https://www.boe.es/gazeta/dias/1839/07/13/pdfs/GMD-1839-1701.pdf#page=2","Abrir facsímil")</f>
        <v>Abrir facsímil</v>
      </c>
      <c r="K13347" s="12" t="s">
        <v>65</v>
      </c>
    </row>
    <row r="13348" spans="1:11" ht="40.049999999999997" customHeight="1" x14ac:dyDescent="0.25">
      <c r="A13348" s="11" t="s">
        <v>26045</v>
      </c>
      <c r="B13348" s="11" t="s">
        <v>26045</v>
      </c>
      <c r="C13348" s="11" t="s">
        <v>17</v>
      </c>
      <c r="D13348" s="11" t="s">
        <v>18</v>
      </c>
      <c r="E13348" s="12" t="s">
        <v>303</v>
      </c>
      <c r="F13348" s="12" t="s">
        <v>304</v>
      </c>
      <c r="G13348" s="12" t="s">
        <v>46</v>
      </c>
      <c r="H13348" s="11" t="s">
        <v>63</v>
      </c>
      <c r="I13348" s="13" t="s">
        <v>26046</v>
      </c>
      <c r="J13348" s="14" t="str">
        <f>HYPERLINK("https://www.boe.es/gazeta/dias/1839/10/06/pdfs/GMD-1839-1792.pdf#page=3","Abrir facsímil")</f>
        <v>Abrir facsímil</v>
      </c>
      <c r="K13348" s="12" t="s">
        <v>65</v>
      </c>
    </row>
    <row r="13349" spans="1:11" ht="40.049999999999997" customHeight="1" x14ac:dyDescent="0.25">
      <c r="A13349" s="11" t="s">
        <v>26047</v>
      </c>
      <c r="B13349" s="11" t="s">
        <v>26047</v>
      </c>
      <c r="C13349" s="11" t="s">
        <v>17</v>
      </c>
      <c r="D13349" s="11" t="s">
        <v>18</v>
      </c>
      <c r="E13349" s="12" t="s">
        <v>233</v>
      </c>
      <c r="F13349" s="12" t="s">
        <v>234</v>
      </c>
      <c r="G13349" s="12" t="s">
        <v>29</v>
      </c>
      <c r="H13349" s="11" t="s">
        <v>63</v>
      </c>
      <c r="I13349" s="13" t="s">
        <v>26048</v>
      </c>
      <c r="J13349" s="14" t="str">
        <f>HYPERLINK("https://www.boe.es/gazeta/dias/1839/09/17/pdfs/GMD-1839-1770.pdf#page=1","Abrir facsímil")</f>
        <v>Abrir facsímil</v>
      </c>
      <c r="K13349" s="12" t="s">
        <v>65</v>
      </c>
    </row>
    <row r="13350" spans="1:11" ht="40.049999999999997" customHeight="1" x14ac:dyDescent="0.25">
      <c r="A13350" s="11" t="s">
        <v>26049</v>
      </c>
      <c r="B13350" s="11" t="s">
        <v>26050</v>
      </c>
      <c r="C13350" s="11" t="s">
        <v>59</v>
      </c>
      <c r="D13350" s="11" t="s">
        <v>60</v>
      </c>
      <c r="E13350" s="12" t="s">
        <v>108</v>
      </c>
      <c r="F13350" s="12" t="s">
        <v>109</v>
      </c>
      <c r="G13350" s="12" t="s">
        <v>40</v>
      </c>
      <c r="H13350" s="11" t="s">
        <v>63</v>
      </c>
      <c r="I13350" s="13" t="s">
        <v>26051</v>
      </c>
      <c r="J13350" s="14" t="str">
        <f>HYPERLINK("https://www.boe.es/gazeta/dias/1839/01/04/pdfs/GMD-1839-1511.pdf#page=2","Abrir facsímil")</f>
        <v>Abrir facsímil</v>
      </c>
      <c r="K13350" s="12" t="s">
        <v>65</v>
      </c>
    </row>
    <row r="13351" spans="1:11" ht="40.049999999999997" customHeight="1" x14ac:dyDescent="0.25">
      <c r="A13351" s="11" t="s">
        <v>26052</v>
      </c>
      <c r="B13351" s="11" t="s">
        <v>26052</v>
      </c>
      <c r="C13351" s="11" t="s">
        <v>80</v>
      </c>
      <c r="D13351" s="11" t="s">
        <v>18</v>
      </c>
      <c r="E13351" s="12" t="s">
        <v>160</v>
      </c>
      <c r="F13351" s="12" t="s">
        <v>161</v>
      </c>
      <c r="G13351" s="12" t="s">
        <v>46</v>
      </c>
      <c r="H13351" s="11" t="s">
        <v>63</v>
      </c>
      <c r="I13351" s="13" t="s">
        <v>26053</v>
      </c>
      <c r="J13351" s="14" t="str">
        <f>HYPERLINK("https://www.boe.es/gazeta/dias/1839/01/10/pdfs/GMD-1839-1517.pdf#page=3","Abrir facsímil")</f>
        <v>Abrir facsímil</v>
      </c>
      <c r="K13351" s="12" t="s">
        <v>65</v>
      </c>
    </row>
    <row r="13352" spans="1:11" ht="40.049999999999997" customHeight="1" x14ac:dyDescent="0.25">
      <c r="A13352" s="11" t="s">
        <v>26052</v>
      </c>
      <c r="B13352" s="11" t="s">
        <v>26052</v>
      </c>
      <c r="C13352" s="11" t="s">
        <v>59</v>
      </c>
      <c r="D13352" s="11" t="s">
        <v>60</v>
      </c>
      <c r="E13352" s="12" t="s">
        <v>4189</v>
      </c>
      <c r="F13352" s="12" t="s">
        <v>4190</v>
      </c>
      <c r="G13352" s="12" t="s">
        <v>29</v>
      </c>
      <c r="H13352" s="11" t="s">
        <v>63</v>
      </c>
      <c r="I13352" s="13" t="s">
        <v>26054</v>
      </c>
      <c r="J13352" s="14" t="str">
        <f>HYPERLINK("https://www.boe.es/gazeta/dias/1839/02/13/pdfs/GMD-1839-1551.pdf#page=1","Abrir facsímil")</f>
        <v>Abrir facsímil</v>
      </c>
      <c r="K13352" s="12" t="s">
        <v>65</v>
      </c>
    </row>
    <row r="13353" spans="1:11" ht="40.049999999999997" customHeight="1" x14ac:dyDescent="0.25">
      <c r="A13353" s="11" t="s">
        <v>26055</v>
      </c>
      <c r="B13353" s="11" t="s">
        <v>26056</v>
      </c>
      <c r="C13353" s="11" t="s">
        <v>17</v>
      </c>
      <c r="D13353" s="11" t="s">
        <v>18</v>
      </c>
      <c r="E13353" s="12" t="s">
        <v>303</v>
      </c>
      <c r="F13353" s="12" t="s">
        <v>304</v>
      </c>
      <c r="G13353" s="12" t="s">
        <v>305</v>
      </c>
      <c r="H13353" s="11" t="s">
        <v>63</v>
      </c>
      <c r="I13353" s="13" t="s">
        <v>26057</v>
      </c>
      <c r="J13353" s="14" t="str">
        <f>HYPERLINK("https://www.boe.es/gazeta/dias/1839/10/06/pdfs/GMD-1839-1792.pdf#page=6","Abrir facsímil")</f>
        <v>Abrir facsímil</v>
      </c>
      <c r="K13353" s="12" t="s">
        <v>65</v>
      </c>
    </row>
    <row r="13354" spans="1:11" ht="40.049999999999997" customHeight="1" x14ac:dyDescent="0.25">
      <c r="A13354" s="11" t="s">
        <v>26058</v>
      </c>
      <c r="B13354" s="11" t="s">
        <v>26059</v>
      </c>
      <c r="C13354" s="11" t="s">
        <v>17</v>
      </c>
      <c r="D13354" s="11" t="s">
        <v>18</v>
      </c>
      <c r="E13354" s="12" t="s">
        <v>1388</v>
      </c>
      <c r="F13354" s="12" t="s">
        <v>1389</v>
      </c>
      <c r="G13354" s="12" t="s">
        <v>21</v>
      </c>
      <c r="H13354" s="11" t="s">
        <v>63</v>
      </c>
      <c r="I13354" s="13" t="s">
        <v>26060</v>
      </c>
      <c r="J13354" s="14" t="str">
        <f>HYPERLINK("https://www.boe.es/gazeta/dias/1839/06/04/pdfs/GMD-1839-1662.pdf#page=4","Abrir facsímil")</f>
        <v>Abrir facsímil</v>
      </c>
      <c r="K13354" s="12" t="s">
        <v>65</v>
      </c>
    </row>
    <row r="13355" spans="1:11" ht="40.049999999999997" customHeight="1" x14ac:dyDescent="0.25">
      <c r="A13355" s="11" t="s">
        <v>26061</v>
      </c>
      <c r="B13355" s="11" t="s">
        <v>26062</v>
      </c>
      <c r="C13355" s="11" t="s">
        <v>17</v>
      </c>
      <c r="D13355" s="11" t="s">
        <v>18</v>
      </c>
      <c r="E13355" s="12" t="s">
        <v>1623</v>
      </c>
      <c r="F13355" s="12" t="s">
        <v>1624</v>
      </c>
      <c r="G13355" s="12" t="s">
        <v>40</v>
      </c>
      <c r="H13355" s="11" t="s">
        <v>63</v>
      </c>
      <c r="I13355" s="13" t="s">
        <v>26063</v>
      </c>
      <c r="J13355" s="14" t="str">
        <f>HYPERLINK("https://www.boe.es/gazeta/dias/1839/04/07/pdfs/GMD-1839-1604.pdf#page=2","Abrir facsímil")</f>
        <v>Abrir facsímil</v>
      </c>
      <c r="K13355" s="12" t="s">
        <v>65</v>
      </c>
    </row>
    <row r="13356" spans="1:11" ht="40.049999999999997" customHeight="1" x14ac:dyDescent="0.25">
      <c r="A13356" s="11" t="s">
        <v>26064</v>
      </c>
      <c r="B13356" s="11" t="s">
        <v>26065</v>
      </c>
      <c r="C13356" s="11" t="s">
        <v>80</v>
      </c>
      <c r="D13356" s="11" t="s">
        <v>18</v>
      </c>
      <c r="E13356" s="12" t="s">
        <v>1391</v>
      </c>
      <c r="F13356" s="12" t="s">
        <v>1392</v>
      </c>
      <c r="G13356" s="12" t="s">
        <v>29</v>
      </c>
      <c r="H13356" s="11" t="s">
        <v>63</v>
      </c>
      <c r="I13356" s="13" t="s">
        <v>26066</v>
      </c>
      <c r="J13356" s="14" t="str">
        <f>HYPERLINK("https://www.boe.es/gazeta/dias/1839/05/12/pdfs/GMD-1839-1639.pdf#page=1","Abrir facsímil")</f>
        <v>Abrir facsímil</v>
      </c>
      <c r="K13356" s="12" t="s">
        <v>65</v>
      </c>
    </row>
    <row r="13357" spans="1:11" ht="40.049999999999997" customHeight="1" x14ac:dyDescent="0.25">
      <c r="A13357" s="11" t="s">
        <v>26067</v>
      </c>
      <c r="B13357" s="11" t="s">
        <v>26067</v>
      </c>
      <c r="C13357" s="11" t="s">
        <v>17</v>
      </c>
      <c r="D13357" s="11" t="s">
        <v>18</v>
      </c>
      <c r="E13357" s="12" t="s">
        <v>4528</v>
      </c>
      <c r="F13357" s="12" t="s">
        <v>4529</v>
      </c>
      <c r="G13357" s="12" t="s">
        <v>46</v>
      </c>
      <c r="H13357" s="11" t="s">
        <v>63</v>
      </c>
      <c r="I13357" s="13" t="s">
        <v>26068</v>
      </c>
      <c r="J13357" s="14" t="str">
        <f>HYPERLINK("https://www.boe.es/gazeta/dias/1839/01/28/pdfs/GMD-1839-1535.pdf#page=3","Abrir facsímil")</f>
        <v>Abrir facsímil</v>
      </c>
      <c r="K13357" s="12" t="s">
        <v>65</v>
      </c>
    </row>
    <row r="13358" spans="1:11" ht="40.049999999999997" customHeight="1" x14ac:dyDescent="0.25">
      <c r="A13358" s="11" t="s">
        <v>26069</v>
      </c>
      <c r="B13358" s="11" t="s">
        <v>26069</v>
      </c>
      <c r="C13358" s="11" t="s">
        <v>17</v>
      </c>
      <c r="D13358" s="11" t="s">
        <v>18</v>
      </c>
      <c r="E13358" s="12" t="s">
        <v>3224</v>
      </c>
      <c r="F13358" s="12" t="s">
        <v>3225</v>
      </c>
      <c r="G13358" s="12" t="s">
        <v>40</v>
      </c>
      <c r="H13358" s="11" t="s">
        <v>63</v>
      </c>
      <c r="I13358" s="13" t="s">
        <v>26070</v>
      </c>
      <c r="J13358" s="14" t="str">
        <f>HYPERLINK("https://www.boe.es/gazeta/dias/1839/06/03/pdfs/GMD-1839-1661.pdf#page=2","Abrir facsímil")</f>
        <v>Abrir facsímil</v>
      </c>
      <c r="K13358" s="12" t="s">
        <v>65</v>
      </c>
    </row>
    <row r="13359" spans="1:11" ht="40.049999999999997" customHeight="1" x14ac:dyDescent="0.25">
      <c r="A13359" s="11" t="s">
        <v>26069</v>
      </c>
      <c r="B13359" s="11" t="s">
        <v>26069</v>
      </c>
      <c r="C13359" s="11" t="s">
        <v>17</v>
      </c>
      <c r="D13359" s="11" t="s">
        <v>18</v>
      </c>
      <c r="E13359" s="12" t="s">
        <v>1388</v>
      </c>
      <c r="F13359" s="12" t="s">
        <v>1389</v>
      </c>
      <c r="G13359" s="12" t="s">
        <v>46</v>
      </c>
      <c r="H13359" s="11" t="s">
        <v>63</v>
      </c>
      <c r="I13359" s="13" t="s">
        <v>26071</v>
      </c>
      <c r="J13359" s="14" t="str">
        <f>HYPERLINK("https://www.boe.es/gazeta/dias/1839/06/04/pdfs/GMD-1839-1662.pdf#page=3","Abrir facsímil")</f>
        <v>Abrir facsímil</v>
      </c>
      <c r="K13359" s="12" t="s">
        <v>65</v>
      </c>
    </row>
    <row r="13360" spans="1:11" ht="40.049999999999997" customHeight="1" x14ac:dyDescent="0.25">
      <c r="A13360" s="11" t="s">
        <v>26069</v>
      </c>
      <c r="B13360" s="11" t="s">
        <v>26069</v>
      </c>
      <c r="C13360" s="11" t="s">
        <v>17</v>
      </c>
      <c r="D13360" s="11" t="s">
        <v>18</v>
      </c>
      <c r="E13360" s="12" t="s">
        <v>1388</v>
      </c>
      <c r="F13360" s="12" t="s">
        <v>1389</v>
      </c>
      <c r="G13360" s="12" t="s">
        <v>21</v>
      </c>
      <c r="H13360" s="11" t="s">
        <v>63</v>
      </c>
      <c r="I13360" s="13" t="s">
        <v>26072</v>
      </c>
      <c r="J13360" s="14" t="str">
        <f>HYPERLINK("https://www.boe.es/gazeta/dias/1839/06/04/pdfs/GMD-1839-1662.pdf#page=4","Abrir facsímil")</f>
        <v>Abrir facsímil</v>
      </c>
      <c r="K13360" s="12" t="s">
        <v>65</v>
      </c>
    </row>
    <row r="13361" spans="1:11" ht="40.049999999999997" customHeight="1" x14ac:dyDescent="0.25">
      <c r="A13361" s="11" t="s">
        <v>26073</v>
      </c>
      <c r="B13361" s="11" t="s">
        <v>26074</v>
      </c>
      <c r="C13361" s="11" t="s">
        <v>17</v>
      </c>
      <c r="D13361" s="11" t="s">
        <v>18</v>
      </c>
      <c r="E13361" s="12" t="s">
        <v>3224</v>
      </c>
      <c r="F13361" s="12" t="s">
        <v>3225</v>
      </c>
      <c r="G13361" s="12" t="s">
        <v>40</v>
      </c>
      <c r="H13361" s="11" t="s">
        <v>22</v>
      </c>
      <c r="I13361" s="13" t="s">
        <v>26075</v>
      </c>
      <c r="J13361" s="14" t="str">
        <f>HYPERLINK("https://www.boe.es/gazeta/dias/1839/06/03/pdfs/GMD-1839-1661.pdf#page=2","Abrir facsímil")</f>
        <v>Abrir facsímil</v>
      </c>
      <c r="K13361" s="12" t="s">
        <v>24</v>
      </c>
    </row>
    <row r="13362" spans="1:11" ht="40.049999999999997" customHeight="1" x14ac:dyDescent="0.25">
      <c r="A13362" s="11" t="s">
        <v>26076</v>
      </c>
      <c r="B13362" s="11" t="s">
        <v>26077</v>
      </c>
      <c r="C13362" s="11" t="s">
        <v>101</v>
      </c>
      <c r="D13362" s="11" t="s">
        <v>43</v>
      </c>
      <c r="E13362" s="12" t="s">
        <v>1069</v>
      </c>
      <c r="F13362" s="12" t="s">
        <v>1070</v>
      </c>
      <c r="G13362" s="12" t="s">
        <v>21</v>
      </c>
      <c r="H13362" s="11" t="s">
        <v>63</v>
      </c>
      <c r="I13362" s="13" t="s">
        <v>26078</v>
      </c>
      <c r="J13362" s="14" t="str">
        <f>HYPERLINK("https://www.boe.es/gazeta/dias/1839/10/15/pdfs/GMD-1839-1801.pdf#page=4","Abrir facsímil")</f>
        <v>Abrir facsímil</v>
      </c>
      <c r="K13362" s="12" t="s">
        <v>65</v>
      </c>
    </row>
    <row r="13363" spans="1:11" ht="40.049999999999997" customHeight="1" x14ac:dyDescent="0.25">
      <c r="A13363" s="11" t="s">
        <v>26079</v>
      </c>
      <c r="B13363" s="11" t="s">
        <v>26079</v>
      </c>
      <c r="C13363" s="11" t="s">
        <v>17</v>
      </c>
      <c r="D13363" s="11" t="s">
        <v>18</v>
      </c>
      <c r="E13363" s="12" t="s">
        <v>4528</v>
      </c>
      <c r="F13363" s="12" t="s">
        <v>4529</v>
      </c>
      <c r="G13363" s="12" t="s">
        <v>46</v>
      </c>
      <c r="H13363" s="11" t="s">
        <v>63</v>
      </c>
      <c r="I13363" s="13" t="s">
        <v>26080</v>
      </c>
      <c r="J13363" s="14" t="str">
        <f>HYPERLINK("https://www.boe.es/gazeta/dias/1839/01/28/pdfs/GMD-1839-1535.pdf#page=3","Abrir facsímil")</f>
        <v>Abrir facsímil</v>
      </c>
      <c r="K13363" s="12" t="s">
        <v>65</v>
      </c>
    </row>
    <row r="13364" spans="1:11" ht="40.049999999999997" customHeight="1" x14ac:dyDescent="0.25">
      <c r="A13364" s="11" t="s">
        <v>26081</v>
      </c>
      <c r="B13364" s="11" t="s">
        <v>26081</v>
      </c>
      <c r="C13364" s="11" t="s">
        <v>17</v>
      </c>
      <c r="D13364" s="11" t="s">
        <v>18</v>
      </c>
      <c r="E13364" s="12" t="s">
        <v>611</v>
      </c>
      <c r="F13364" s="12" t="s">
        <v>612</v>
      </c>
      <c r="G13364" s="12" t="s">
        <v>46</v>
      </c>
      <c r="H13364" s="11" t="s">
        <v>63</v>
      </c>
      <c r="I13364" s="13" t="s">
        <v>26082</v>
      </c>
      <c r="J13364" s="14" t="str">
        <f>HYPERLINK("https://www.boe.es/gazeta/dias/1839/07/22/pdfs/GMD-1839-1710.pdf#page=3","Abrir facsímil")</f>
        <v>Abrir facsímil</v>
      </c>
      <c r="K13364" s="12" t="s">
        <v>65</v>
      </c>
    </row>
    <row r="13365" spans="1:11" ht="40.049999999999997" customHeight="1" x14ac:dyDescent="0.25">
      <c r="A13365" s="11" t="s">
        <v>26083</v>
      </c>
      <c r="B13365" s="11" t="s">
        <v>26083</v>
      </c>
      <c r="C13365" s="11" t="s">
        <v>17</v>
      </c>
      <c r="D13365" s="11" t="s">
        <v>18</v>
      </c>
      <c r="E13365" s="12" t="s">
        <v>125</v>
      </c>
      <c r="F13365" s="12" t="s">
        <v>126</v>
      </c>
      <c r="G13365" s="12" t="s">
        <v>46</v>
      </c>
      <c r="H13365" s="11" t="s">
        <v>63</v>
      </c>
      <c r="I13365" s="13" t="s">
        <v>26084</v>
      </c>
      <c r="J13365" s="14" t="str">
        <f>HYPERLINK("https://www.boe.es/gazeta/dias/1839/05/23/pdfs/GMD-1839-1650.pdf#page=3","Abrir facsímil")</f>
        <v>Abrir facsímil</v>
      </c>
      <c r="K13365" s="12" t="s">
        <v>65</v>
      </c>
    </row>
    <row r="13366" spans="1:11" ht="40.049999999999997" customHeight="1" x14ac:dyDescent="0.25">
      <c r="A13366" s="11" t="s">
        <v>26083</v>
      </c>
      <c r="B13366" s="11" t="s">
        <v>26083</v>
      </c>
      <c r="C13366" s="11" t="s">
        <v>17</v>
      </c>
      <c r="D13366" s="11" t="s">
        <v>18</v>
      </c>
      <c r="E13366" s="12" t="s">
        <v>4463</v>
      </c>
      <c r="F13366" s="12" t="s">
        <v>4464</v>
      </c>
      <c r="G13366" s="12" t="s">
        <v>40</v>
      </c>
      <c r="H13366" s="11" t="s">
        <v>63</v>
      </c>
      <c r="I13366" s="13" t="s">
        <v>26085</v>
      </c>
      <c r="J13366" s="14" t="str">
        <f>HYPERLINK("https://www.boe.es/gazeta/dias/1839/08/28/pdfs/GMD-1839-1749.pdf#page=2","Abrir facsímil")</f>
        <v>Abrir facsímil</v>
      </c>
      <c r="K13366" s="12" t="s">
        <v>65</v>
      </c>
    </row>
    <row r="13367" spans="1:11" ht="40.049999999999997" customHeight="1" x14ac:dyDescent="0.25">
      <c r="A13367" s="11" t="s">
        <v>26086</v>
      </c>
      <c r="B13367" s="11" t="s">
        <v>26087</v>
      </c>
      <c r="C13367" s="11" t="s">
        <v>59</v>
      </c>
      <c r="D13367" s="11" t="s">
        <v>60</v>
      </c>
      <c r="E13367" s="12" t="s">
        <v>785</v>
      </c>
      <c r="F13367" s="12" t="s">
        <v>786</v>
      </c>
      <c r="G13367" s="12" t="s">
        <v>29</v>
      </c>
      <c r="H13367" s="11" t="s">
        <v>63</v>
      </c>
      <c r="I13367" s="13" t="s">
        <v>26088</v>
      </c>
      <c r="J13367" s="14" t="str">
        <f>HYPERLINK("https://www.boe.es/gazeta/dias/1839/07/13/pdfs/GMD-1839-1701.pdf#page=1","Abrir facsímil")</f>
        <v>Abrir facsímil</v>
      </c>
      <c r="K13367" s="12" t="s">
        <v>65</v>
      </c>
    </row>
    <row r="13368" spans="1:11" ht="40.049999999999997" customHeight="1" x14ac:dyDescent="0.25">
      <c r="A13368" s="11" t="s">
        <v>26086</v>
      </c>
      <c r="B13368" s="11" t="s">
        <v>26087</v>
      </c>
      <c r="C13368" s="11" t="s">
        <v>17</v>
      </c>
      <c r="D13368" s="11" t="s">
        <v>18</v>
      </c>
      <c r="E13368" s="12" t="s">
        <v>1696</v>
      </c>
      <c r="F13368" s="12" t="s">
        <v>1697</v>
      </c>
      <c r="G13368" s="12" t="s">
        <v>40</v>
      </c>
      <c r="H13368" s="11" t="s">
        <v>63</v>
      </c>
      <c r="I13368" s="13" t="s">
        <v>26089</v>
      </c>
      <c r="J13368" s="14" t="str">
        <f>HYPERLINK("https://www.boe.es/gazeta/dias/1839/08/31/pdfs/GMD-1839-1752.pdf#page=2","Abrir facsímil")</f>
        <v>Abrir facsímil</v>
      </c>
      <c r="K13368" s="12" t="s">
        <v>65</v>
      </c>
    </row>
    <row r="13369" spans="1:11" ht="40.049999999999997" customHeight="1" x14ac:dyDescent="0.25">
      <c r="A13369" s="11" t="s">
        <v>26090</v>
      </c>
      <c r="B13369" s="11" t="s">
        <v>26090</v>
      </c>
      <c r="C13369" s="11" t="s">
        <v>17</v>
      </c>
      <c r="D13369" s="11" t="s">
        <v>18</v>
      </c>
      <c r="E13369" s="12" t="s">
        <v>1537</v>
      </c>
      <c r="F13369" s="12" t="s">
        <v>1538</v>
      </c>
      <c r="G13369" s="12" t="s">
        <v>40</v>
      </c>
      <c r="H13369" s="11" t="s">
        <v>63</v>
      </c>
      <c r="I13369" s="13" t="s">
        <v>26091</v>
      </c>
      <c r="J13369" s="14" t="str">
        <f>HYPERLINK("https://www.boe.es/gazeta/dias/1839/12/16/pdfs/GMD-1839-1863.pdf#page=2","Abrir facsímil")</f>
        <v>Abrir facsímil</v>
      </c>
      <c r="K13369" s="12" t="s">
        <v>65</v>
      </c>
    </row>
    <row r="13370" spans="1:11" ht="40.049999999999997" customHeight="1" x14ac:dyDescent="0.25">
      <c r="A13370" s="11" t="s">
        <v>26090</v>
      </c>
      <c r="B13370" s="11" t="s">
        <v>26090</v>
      </c>
      <c r="C13370" s="11" t="s">
        <v>101</v>
      </c>
      <c r="D13370" s="11" t="s">
        <v>102</v>
      </c>
      <c r="E13370" s="12" t="s">
        <v>1909</v>
      </c>
      <c r="F13370" s="12" t="s">
        <v>1910</v>
      </c>
      <c r="G13370" s="12" t="s">
        <v>29</v>
      </c>
      <c r="H13370" s="11" t="s">
        <v>63</v>
      </c>
      <c r="I13370" s="13" t="s">
        <v>26092</v>
      </c>
      <c r="J13370" s="14" t="str">
        <f>HYPERLINK("https://www.boe.es/gazeta/dias/1839/10/27/pdfs/GMD-1839-1813.pdf#page=1","Abrir facsímil")</f>
        <v>Abrir facsímil</v>
      </c>
      <c r="K13370" s="12" t="s">
        <v>65</v>
      </c>
    </row>
    <row r="13371" spans="1:11" ht="40.049999999999997" customHeight="1" x14ac:dyDescent="0.25">
      <c r="A13371" s="11" t="s">
        <v>26093</v>
      </c>
      <c r="B13371" s="11" t="s">
        <v>26093</v>
      </c>
      <c r="C13371" s="11" t="s">
        <v>80</v>
      </c>
      <c r="D13371" s="11" t="s">
        <v>18</v>
      </c>
      <c r="E13371" s="12" t="s">
        <v>4921</v>
      </c>
      <c r="F13371" s="12" t="s">
        <v>4922</v>
      </c>
      <c r="G13371" s="12" t="s">
        <v>40</v>
      </c>
      <c r="H13371" s="11" t="s">
        <v>63</v>
      </c>
      <c r="I13371" s="13" t="s">
        <v>26094</v>
      </c>
      <c r="J13371" s="14" t="str">
        <f>HYPERLINK("https://www.boe.es/gazeta/dias/1839/11/05/pdfs/GMD-1839-1822.pdf#page=2","Abrir facsímil")</f>
        <v>Abrir facsímil</v>
      </c>
      <c r="K13371" s="12" t="s">
        <v>65</v>
      </c>
    </row>
    <row r="13372" spans="1:11" ht="40.049999999999997" customHeight="1" x14ac:dyDescent="0.25">
      <c r="A13372" s="11" t="s">
        <v>26095</v>
      </c>
      <c r="B13372" s="11" t="s">
        <v>26096</v>
      </c>
      <c r="C13372" s="11" t="s">
        <v>80</v>
      </c>
      <c r="D13372" s="11" t="s">
        <v>18</v>
      </c>
      <c r="E13372" s="12" t="s">
        <v>544</v>
      </c>
      <c r="F13372" s="12" t="s">
        <v>545</v>
      </c>
      <c r="G13372" s="12" t="s">
        <v>40</v>
      </c>
      <c r="H13372" s="11" t="s">
        <v>63</v>
      </c>
      <c r="I13372" s="13" t="s">
        <v>26097</v>
      </c>
      <c r="J13372" s="14" t="str">
        <f>HYPERLINK("https://www.boe.es/gazeta/dias/1839/11/11/pdfs/GMD-1839-1828.pdf#page=2","Abrir facsímil")</f>
        <v>Abrir facsímil</v>
      </c>
      <c r="K13372" s="12" t="s">
        <v>65</v>
      </c>
    </row>
    <row r="13373" spans="1:11" ht="40.049999999999997" customHeight="1" x14ac:dyDescent="0.25">
      <c r="A13373" s="11" t="s">
        <v>26098</v>
      </c>
      <c r="B13373" s="11" t="s">
        <v>26098</v>
      </c>
      <c r="C13373" s="11" t="s">
        <v>101</v>
      </c>
      <c r="D13373" s="11" t="s">
        <v>43</v>
      </c>
      <c r="E13373" s="12" t="s">
        <v>2435</v>
      </c>
      <c r="F13373" s="12" t="s">
        <v>2436</v>
      </c>
      <c r="G13373" s="12" t="s">
        <v>40</v>
      </c>
      <c r="H13373" s="11" t="s">
        <v>63</v>
      </c>
      <c r="I13373" s="13" t="s">
        <v>26099</v>
      </c>
      <c r="J13373" s="14" t="str">
        <f>HYPERLINK("https://www.boe.es/gazeta/dias/1839/07/24/pdfs/GMD-1839-1713.pdf#page=2","Abrir facsímil")</f>
        <v>Abrir facsímil</v>
      </c>
      <c r="K13373" s="12" t="s">
        <v>65</v>
      </c>
    </row>
    <row r="13374" spans="1:11" ht="40.049999999999997" customHeight="1" x14ac:dyDescent="0.25">
      <c r="A13374" s="11" t="s">
        <v>26100</v>
      </c>
      <c r="B13374" s="11" t="s">
        <v>26100</v>
      </c>
      <c r="C13374" s="11" t="s">
        <v>80</v>
      </c>
      <c r="D13374" s="11" t="s">
        <v>173</v>
      </c>
      <c r="E13374" s="12" t="s">
        <v>4475</v>
      </c>
      <c r="F13374" s="12" t="s">
        <v>4476</v>
      </c>
      <c r="G13374" s="12" t="s">
        <v>21</v>
      </c>
      <c r="H13374" s="11" t="s">
        <v>63</v>
      </c>
      <c r="I13374" s="13" t="s">
        <v>26101</v>
      </c>
      <c r="J13374" s="14" t="str">
        <f>HYPERLINK("https://www.boe.es/gazeta/dias/1839/07/04/pdfs/GMD-1839-1692.pdf#page=4","Abrir facsímil")</f>
        <v>Abrir facsímil</v>
      </c>
      <c r="K13374" s="12" t="s">
        <v>65</v>
      </c>
    </row>
    <row r="13375" spans="1:11" ht="40.049999999999997" customHeight="1" x14ac:dyDescent="0.25">
      <c r="A13375" s="11" t="s">
        <v>26102</v>
      </c>
      <c r="B13375" s="11" t="s">
        <v>26103</v>
      </c>
      <c r="C13375" s="11" t="s">
        <v>17</v>
      </c>
      <c r="D13375" s="11" t="s">
        <v>18</v>
      </c>
      <c r="E13375" s="12" t="s">
        <v>1654</v>
      </c>
      <c r="F13375" s="12" t="s">
        <v>1655</v>
      </c>
      <c r="G13375" s="12" t="s">
        <v>21</v>
      </c>
      <c r="H13375" s="11" t="s">
        <v>63</v>
      </c>
      <c r="I13375" s="13" t="s">
        <v>26104</v>
      </c>
      <c r="J13375" s="14" t="str">
        <f>HYPERLINK("https://www.boe.es/gazeta/dias/1839/11/19/pdfs/GMD-1839-1836.pdf#page=4","Abrir facsímil")</f>
        <v>Abrir facsímil</v>
      </c>
      <c r="K13375" s="12" t="s">
        <v>65</v>
      </c>
    </row>
    <row r="13376" spans="1:11" ht="40.049999999999997" customHeight="1" x14ac:dyDescent="0.25">
      <c r="A13376" s="11" t="s">
        <v>26105</v>
      </c>
      <c r="B13376" s="11" t="s">
        <v>26106</v>
      </c>
      <c r="C13376" s="11" t="s">
        <v>80</v>
      </c>
      <c r="D13376" s="11" t="s">
        <v>18</v>
      </c>
      <c r="E13376" s="12" t="s">
        <v>3391</v>
      </c>
      <c r="F13376" s="12" t="s">
        <v>3392</v>
      </c>
      <c r="G13376" s="12" t="s">
        <v>21</v>
      </c>
      <c r="H13376" s="11" t="s">
        <v>63</v>
      </c>
      <c r="I13376" s="13" t="s">
        <v>26107</v>
      </c>
      <c r="J13376" s="14" t="str">
        <f>HYPERLINK("https://www.boe.es/gazeta/dias/1839/12/31/pdfs/GMD-1839-1878.pdf#page=4","Abrir facsímil")</f>
        <v>Abrir facsímil</v>
      </c>
      <c r="K13376" s="12" t="s">
        <v>65</v>
      </c>
    </row>
    <row r="13377" spans="1:11" ht="40.049999999999997" customHeight="1" x14ac:dyDescent="0.25">
      <c r="A13377" s="11" t="s">
        <v>26108</v>
      </c>
      <c r="B13377" s="11" t="s">
        <v>26108</v>
      </c>
      <c r="C13377" s="11" t="s">
        <v>137</v>
      </c>
      <c r="D13377" s="11" t="s">
        <v>18</v>
      </c>
      <c r="E13377" s="12" t="s">
        <v>826</v>
      </c>
      <c r="F13377" s="12" t="s">
        <v>827</v>
      </c>
      <c r="G13377" s="12" t="s">
        <v>21</v>
      </c>
      <c r="H13377" s="11" t="s">
        <v>63</v>
      </c>
      <c r="I13377" s="13" t="s">
        <v>26109</v>
      </c>
      <c r="J13377" s="14" t="str">
        <f>HYPERLINK("https://www.boe.es/gazeta/dias/1839/09/25/pdfs/GMD-1839-1781.pdf#page=4","Abrir facsímil")</f>
        <v>Abrir facsímil</v>
      </c>
      <c r="K13377" s="12" t="s">
        <v>65</v>
      </c>
    </row>
    <row r="13378" spans="1:11" ht="40.049999999999997" customHeight="1" x14ac:dyDescent="0.25">
      <c r="A13378" s="11" t="s">
        <v>26110</v>
      </c>
      <c r="B13378" s="11" t="s">
        <v>26111</v>
      </c>
      <c r="C13378" s="11" t="s">
        <v>17</v>
      </c>
      <c r="D13378" s="11" t="s">
        <v>18</v>
      </c>
      <c r="E13378" s="12" t="s">
        <v>744</v>
      </c>
      <c r="F13378" s="12" t="s">
        <v>745</v>
      </c>
      <c r="G13378" s="12" t="s">
        <v>29</v>
      </c>
      <c r="H13378" s="11" t="s">
        <v>63</v>
      </c>
      <c r="I13378" s="13" t="s">
        <v>26112</v>
      </c>
      <c r="J13378" s="14" t="str">
        <f>HYPERLINK("https://www.boe.es/gazeta/dias/1839/12/09/pdfs/GMD-1839-1856.pdf#page=1","Abrir facsímil")</f>
        <v>Abrir facsímil</v>
      </c>
      <c r="K13378" s="12" t="s">
        <v>65</v>
      </c>
    </row>
    <row r="13379" spans="1:11" ht="40.049999999999997" customHeight="1" x14ac:dyDescent="0.25">
      <c r="A13379" s="11" t="s">
        <v>26113</v>
      </c>
      <c r="B13379" s="11" t="s">
        <v>26114</v>
      </c>
      <c r="C13379" s="11" t="s">
        <v>17</v>
      </c>
      <c r="D13379" s="11" t="s">
        <v>18</v>
      </c>
      <c r="E13379" s="12" t="s">
        <v>369</v>
      </c>
      <c r="F13379" s="12" t="s">
        <v>370</v>
      </c>
      <c r="G13379" s="12" t="s">
        <v>46</v>
      </c>
      <c r="H13379" s="11" t="s">
        <v>63</v>
      </c>
      <c r="I13379" s="13" t="s">
        <v>26115</v>
      </c>
      <c r="J13379" s="14" t="str">
        <f>HYPERLINK("https://www.boe.es/gazeta/dias/1839/11/01/pdfs/GMD-1839-1818.pdf#page=3","Abrir facsímil")</f>
        <v>Abrir facsímil</v>
      </c>
      <c r="K13379" s="12" t="s">
        <v>65</v>
      </c>
    </row>
    <row r="13380" spans="1:11" ht="40.049999999999997" customHeight="1" x14ac:dyDescent="0.25">
      <c r="A13380" s="11" t="s">
        <v>26116</v>
      </c>
      <c r="B13380" s="11" t="s">
        <v>26116</v>
      </c>
      <c r="C13380" s="11" t="s">
        <v>17</v>
      </c>
      <c r="D13380" s="11" t="s">
        <v>18</v>
      </c>
      <c r="E13380" s="12" t="s">
        <v>510</v>
      </c>
      <c r="F13380" s="12" t="s">
        <v>511</v>
      </c>
      <c r="G13380" s="12" t="s">
        <v>46</v>
      </c>
      <c r="H13380" s="11" t="s">
        <v>63</v>
      </c>
      <c r="I13380" s="13" t="s">
        <v>26117</v>
      </c>
      <c r="J13380" s="14" t="str">
        <f>HYPERLINK("https://www.boe.es/gazeta/dias/1839/05/13/pdfs/GMD-1839-1640.pdf#page=3","Abrir facsímil")</f>
        <v>Abrir facsímil</v>
      </c>
      <c r="K13380" s="12" t="s">
        <v>65</v>
      </c>
    </row>
    <row r="13381" spans="1:11" ht="40.049999999999997" customHeight="1" x14ac:dyDescent="0.25">
      <c r="A13381" s="11" t="s">
        <v>26118</v>
      </c>
      <c r="B13381" s="11" t="s">
        <v>26119</v>
      </c>
      <c r="C13381" s="11" t="s">
        <v>17</v>
      </c>
      <c r="D13381" s="11" t="s">
        <v>18</v>
      </c>
      <c r="E13381" s="12" t="s">
        <v>775</v>
      </c>
      <c r="F13381" s="12" t="s">
        <v>776</v>
      </c>
      <c r="G13381" s="12" t="s">
        <v>29</v>
      </c>
      <c r="H13381" s="11" t="s">
        <v>63</v>
      </c>
      <c r="I13381" s="13" t="s">
        <v>26120</v>
      </c>
      <c r="J13381" s="14" t="str">
        <f>HYPERLINK("https://www.boe.es/gazeta/dias/1839/02/25/pdfs/GMD-1839-1563.pdf#page=1","Abrir facsímil")</f>
        <v>Abrir facsímil</v>
      </c>
      <c r="K13381" s="12" t="s">
        <v>65</v>
      </c>
    </row>
    <row r="13382" spans="1:11" ht="40.049999999999997" customHeight="1" x14ac:dyDescent="0.25">
      <c r="A13382" s="11" t="s">
        <v>26121</v>
      </c>
      <c r="B13382" s="11" t="s">
        <v>26121</v>
      </c>
      <c r="C13382" s="11" t="s">
        <v>101</v>
      </c>
      <c r="D13382" s="11" t="s">
        <v>43</v>
      </c>
      <c r="E13382" s="12" t="s">
        <v>254</v>
      </c>
      <c r="F13382" s="12" t="s">
        <v>255</v>
      </c>
      <c r="G13382" s="12" t="s">
        <v>40</v>
      </c>
      <c r="H13382" s="11" t="s">
        <v>63</v>
      </c>
      <c r="I13382" s="13" t="s">
        <v>26122</v>
      </c>
      <c r="J13382" s="14" t="str">
        <f>HYPERLINK("https://www.boe.es/gazeta/dias/1839/09/12/pdfs/GMD-1839-1765.pdf#page=2","Abrir facsímil")</f>
        <v>Abrir facsímil</v>
      </c>
      <c r="K13382" s="12" t="s">
        <v>65</v>
      </c>
    </row>
    <row r="13383" spans="1:11" ht="40.049999999999997" customHeight="1" x14ac:dyDescent="0.25">
      <c r="A13383" s="11" t="s">
        <v>26123</v>
      </c>
      <c r="B13383" s="11" t="s">
        <v>26124</v>
      </c>
      <c r="C13383" s="11" t="s">
        <v>101</v>
      </c>
      <c r="D13383" s="11" t="s">
        <v>43</v>
      </c>
      <c r="E13383" s="12" t="s">
        <v>1179</v>
      </c>
      <c r="F13383" s="12" t="s">
        <v>1180</v>
      </c>
      <c r="G13383" s="12" t="s">
        <v>40</v>
      </c>
      <c r="H13383" s="11" t="s">
        <v>63</v>
      </c>
      <c r="I13383" s="13" t="s">
        <v>26125</v>
      </c>
      <c r="J13383" s="14" t="str">
        <f>HYPERLINK("https://www.boe.es/gazeta/dias/1839/10/18/pdfs/GMD-1839-1804.pdf#page=2","Abrir facsímil")</f>
        <v>Abrir facsímil</v>
      </c>
      <c r="K13383" s="12" t="s">
        <v>65</v>
      </c>
    </row>
    <row r="13384" spans="1:11" ht="40.049999999999997" customHeight="1" x14ac:dyDescent="0.25">
      <c r="A13384" s="11" t="s">
        <v>26126</v>
      </c>
      <c r="B13384" s="11" t="s">
        <v>26127</v>
      </c>
      <c r="C13384" s="11" t="s">
        <v>17</v>
      </c>
      <c r="D13384" s="11" t="s">
        <v>18</v>
      </c>
      <c r="E13384" s="12" t="s">
        <v>1703</v>
      </c>
      <c r="F13384" s="12" t="s">
        <v>1704</v>
      </c>
      <c r="G13384" s="12" t="s">
        <v>46</v>
      </c>
      <c r="H13384" s="11" t="s">
        <v>63</v>
      </c>
      <c r="I13384" s="13" t="s">
        <v>26128</v>
      </c>
      <c r="J13384" s="14" t="str">
        <f>HYPERLINK("https://www.boe.es/gazeta/dias/1839/01/21/pdfs/GMD-1839-1528.pdf#page=3","Abrir facsímil")</f>
        <v>Abrir facsímil</v>
      </c>
      <c r="K13384" s="12" t="s">
        <v>65</v>
      </c>
    </row>
    <row r="13385" spans="1:11" ht="40.049999999999997" customHeight="1" x14ac:dyDescent="0.25">
      <c r="A13385" s="11" t="s">
        <v>26129</v>
      </c>
      <c r="B13385" s="11" t="s">
        <v>26129</v>
      </c>
      <c r="C13385" s="11" t="s">
        <v>101</v>
      </c>
      <c r="D13385" s="11" t="s">
        <v>43</v>
      </c>
      <c r="E13385" s="12" t="s">
        <v>61</v>
      </c>
      <c r="F13385" s="12" t="s">
        <v>62</v>
      </c>
      <c r="G13385" s="12" t="s">
        <v>40</v>
      </c>
      <c r="H13385" s="11" t="s">
        <v>22</v>
      </c>
      <c r="I13385" s="13" t="s">
        <v>26130</v>
      </c>
      <c r="J13385" s="14" t="str">
        <f>HYPERLINK("https://www.boe.es/gazeta/dias/1839/09/10/pdfs/GMD-1839-1763.pdf#page=2","Abrir facsímil")</f>
        <v>Abrir facsímil</v>
      </c>
      <c r="K13385" s="12" t="s">
        <v>24</v>
      </c>
    </row>
    <row r="13386" spans="1:11" ht="40.049999999999997" customHeight="1" x14ac:dyDescent="0.25">
      <c r="A13386" s="11" t="s">
        <v>26131</v>
      </c>
      <c r="B13386" s="11" t="s">
        <v>26131</v>
      </c>
      <c r="C13386" s="11" t="s">
        <v>17</v>
      </c>
      <c r="D13386" s="11" t="s">
        <v>18</v>
      </c>
      <c r="E13386" s="12" t="s">
        <v>785</v>
      </c>
      <c r="F13386" s="12" t="s">
        <v>786</v>
      </c>
      <c r="G13386" s="12" t="s">
        <v>46</v>
      </c>
      <c r="H13386" s="11" t="s">
        <v>63</v>
      </c>
      <c r="I13386" s="13" t="s">
        <v>26132</v>
      </c>
      <c r="J13386" s="14" t="str">
        <f>HYPERLINK("https://www.boe.es/gazeta/dias/1839/07/13/pdfs/GMD-1839-1701.pdf#page=3","Abrir facsímil")</f>
        <v>Abrir facsímil</v>
      </c>
      <c r="K13386" s="12" t="s">
        <v>65</v>
      </c>
    </row>
    <row r="13387" spans="1:11" ht="40.049999999999997" customHeight="1" x14ac:dyDescent="0.25">
      <c r="A13387" s="11" t="s">
        <v>26133</v>
      </c>
      <c r="B13387" s="11" t="s">
        <v>26134</v>
      </c>
      <c r="C13387" s="11" t="s">
        <v>17</v>
      </c>
      <c r="D13387" s="11" t="s">
        <v>18</v>
      </c>
      <c r="E13387" s="12" t="s">
        <v>197</v>
      </c>
      <c r="F13387" s="12" t="s">
        <v>198</v>
      </c>
      <c r="G13387" s="12" t="s">
        <v>46</v>
      </c>
      <c r="H13387" s="11" t="s">
        <v>63</v>
      </c>
      <c r="I13387" s="13" t="s">
        <v>26135</v>
      </c>
      <c r="J13387" s="14" t="str">
        <f>HYPERLINK("https://www.boe.es/gazeta/dias/1839/10/04/pdfs/GMD-1839-1790.pdf#page=3","Abrir facsímil")</f>
        <v>Abrir facsímil</v>
      </c>
      <c r="K13387" s="12" t="s">
        <v>65</v>
      </c>
    </row>
    <row r="13388" spans="1:11" ht="40.049999999999997" customHeight="1" x14ac:dyDescent="0.25">
      <c r="A13388" s="11" t="s">
        <v>26136</v>
      </c>
      <c r="B13388" s="11" t="s">
        <v>26137</v>
      </c>
      <c r="C13388" s="11" t="s">
        <v>80</v>
      </c>
      <c r="D13388" s="11" t="s">
        <v>18</v>
      </c>
      <c r="E13388" s="12" t="s">
        <v>409</v>
      </c>
      <c r="F13388" s="12" t="s">
        <v>410</v>
      </c>
      <c r="G13388" s="12" t="s">
        <v>29</v>
      </c>
      <c r="H13388" s="11" t="s">
        <v>63</v>
      </c>
      <c r="I13388" s="13" t="s">
        <v>26138</v>
      </c>
      <c r="J13388" s="14" t="str">
        <f>HYPERLINK("https://www.boe.es/gazeta/dias/1839/07/05/pdfs/GMD-1839-1693.pdf#page=1","Abrir facsímil")</f>
        <v>Abrir facsímil</v>
      </c>
      <c r="K13388" s="12" t="s">
        <v>65</v>
      </c>
    </row>
    <row r="13389" spans="1:11" ht="40.049999999999997" customHeight="1" x14ac:dyDescent="0.25">
      <c r="A13389" s="11" t="s">
        <v>26136</v>
      </c>
      <c r="B13389" s="11" t="s">
        <v>26137</v>
      </c>
      <c r="C13389" s="11" t="s">
        <v>17</v>
      </c>
      <c r="D13389" s="11" t="s">
        <v>18</v>
      </c>
      <c r="E13389" s="12" t="s">
        <v>1366</v>
      </c>
      <c r="F13389" s="12" t="s">
        <v>1367</v>
      </c>
      <c r="G13389" s="12" t="s">
        <v>46</v>
      </c>
      <c r="H13389" s="11" t="s">
        <v>63</v>
      </c>
      <c r="I13389" s="13" t="s">
        <v>26139</v>
      </c>
      <c r="J13389" s="14" t="str">
        <f>HYPERLINK("https://www.boe.es/gazeta/dias/1839/09/09/pdfs/GMD-1839-1762.pdf#page=3","Abrir facsímil")</f>
        <v>Abrir facsímil</v>
      </c>
      <c r="K13389" s="12" t="s">
        <v>65</v>
      </c>
    </row>
    <row r="13390" spans="1:11" ht="40.049999999999997" customHeight="1" x14ac:dyDescent="0.25">
      <c r="A13390" s="11" t="s">
        <v>26136</v>
      </c>
      <c r="B13390" s="11" t="s">
        <v>26137</v>
      </c>
      <c r="C13390" s="11" t="s">
        <v>80</v>
      </c>
      <c r="D13390" s="11" t="s">
        <v>18</v>
      </c>
      <c r="E13390" s="12" t="s">
        <v>903</v>
      </c>
      <c r="F13390" s="12" t="s">
        <v>904</v>
      </c>
      <c r="G13390" s="12" t="s">
        <v>40</v>
      </c>
      <c r="H13390" s="11" t="s">
        <v>63</v>
      </c>
      <c r="I13390" s="13" t="s">
        <v>26140</v>
      </c>
      <c r="J13390" s="14" t="str">
        <f>HYPERLINK("https://www.boe.es/gazeta/dias/1839/03/14/pdfs/GMD-1839-1580.pdf#page=2","Abrir facsímil")</f>
        <v>Abrir facsímil</v>
      </c>
      <c r="K13390" s="12" t="s">
        <v>65</v>
      </c>
    </row>
    <row r="13391" spans="1:11" ht="40.049999999999997" customHeight="1" x14ac:dyDescent="0.25">
      <c r="A13391" s="11" t="s">
        <v>26141</v>
      </c>
      <c r="B13391" s="11" t="s">
        <v>26142</v>
      </c>
      <c r="C13391" s="11" t="s">
        <v>17</v>
      </c>
      <c r="D13391" s="11" t="s">
        <v>43</v>
      </c>
      <c r="E13391" s="12" t="s">
        <v>888</v>
      </c>
      <c r="F13391" s="12" t="s">
        <v>889</v>
      </c>
      <c r="G13391" s="12" t="s">
        <v>21</v>
      </c>
      <c r="H13391" s="11" t="s">
        <v>22</v>
      </c>
      <c r="I13391" s="13" t="s">
        <v>26143</v>
      </c>
      <c r="J13391" s="14" t="str">
        <f>HYPERLINK("https://www.boe.es/gazeta/dias/1839/05/14/pdfs/GMD-1839-1641.pdf#page=4","Abrir facsímil")</f>
        <v>Abrir facsímil</v>
      </c>
      <c r="K13391" s="12" t="s">
        <v>24</v>
      </c>
    </row>
    <row r="13392" spans="1:11" ht="40.049999999999997" customHeight="1" x14ac:dyDescent="0.25">
      <c r="A13392" s="11" t="s">
        <v>26144</v>
      </c>
      <c r="B13392" s="11" t="s">
        <v>26145</v>
      </c>
      <c r="C13392" s="11" t="s">
        <v>137</v>
      </c>
      <c r="D13392" s="11" t="s">
        <v>18</v>
      </c>
      <c r="E13392" s="12" t="s">
        <v>2449</v>
      </c>
      <c r="F13392" s="12" t="s">
        <v>2450</v>
      </c>
      <c r="G13392" s="12" t="s">
        <v>40</v>
      </c>
      <c r="H13392" s="11" t="s">
        <v>63</v>
      </c>
      <c r="I13392" s="13" t="s">
        <v>26146</v>
      </c>
      <c r="J13392" s="14" t="str">
        <f>HYPERLINK("https://www.boe.es/gazeta/dias/1839/12/11/pdfs/GMD-1839-1858.pdf#page=2","Abrir facsímil")</f>
        <v>Abrir facsímil</v>
      </c>
      <c r="K13392" s="12" t="s">
        <v>65</v>
      </c>
    </row>
    <row r="13393" spans="1:11" ht="40.049999999999997" customHeight="1" x14ac:dyDescent="0.25">
      <c r="A13393" s="11" t="s">
        <v>26147</v>
      </c>
      <c r="B13393" s="11" t="s">
        <v>26148</v>
      </c>
      <c r="C13393" s="11" t="s">
        <v>80</v>
      </c>
      <c r="D13393" s="11" t="s">
        <v>18</v>
      </c>
      <c r="E13393" s="12" t="s">
        <v>1356</v>
      </c>
      <c r="F13393" s="12" t="s">
        <v>1357</v>
      </c>
      <c r="G13393" s="12" t="s">
        <v>21</v>
      </c>
      <c r="H13393" s="11" t="s">
        <v>63</v>
      </c>
      <c r="I13393" s="13" t="s">
        <v>26149</v>
      </c>
      <c r="J13393" s="14" t="str">
        <f>HYPERLINK("https://www.boe.es/gazeta/dias/1839/06/05/pdfs/GMD-1839-1663.pdf#page=4","Abrir facsímil")</f>
        <v>Abrir facsímil</v>
      </c>
      <c r="K13393" s="12" t="s">
        <v>65</v>
      </c>
    </row>
    <row r="13394" spans="1:11" ht="40.049999999999997" customHeight="1" x14ac:dyDescent="0.25">
      <c r="A13394" s="11" t="s">
        <v>26150</v>
      </c>
      <c r="B13394" s="11" t="s">
        <v>26151</v>
      </c>
      <c r="C13394" s="11" t="s">
        <v>17</v>
      </c>
      <c r="D13394" s="11" t="s">
        <v>18</v>
      </c>
      <c r="E13394" s="12" t="s">
        <v>372</v>
      </c>
      <c r="F13394" s="12" t="s">
        <v>373</v>
      </c>
      <c r="G13394" s="12" t="s">
        <v>46</v>
      </c>
      <c r="H13394" s="11" t="s">
        <v>63</v>
      </c>
      <c r="I13394" s="13" t="s">
        <v>26152</v>
      </c>
      <c r="J13394" s="14" t="str">
        <f>HYPERLINK("https://www.boe.es/gazeta/dias/1839/11/08/pdfs/GMD-1839-1825.pdf#page=3","Abrir facsímil")</f>
        <v>Abrir facsímil</v>
      </c>
      <c r="K13394" s="12" t="s">
        <v>65</v>
      </c>
    </row>
    <row r="13395" spans="1:11" ht="40.049999999999997" customHeight="1" x14ac:dyDescent="0.25">
      <c r="A13395" s="11" t="s">
        <v>26153</v>
      </c>
      <c r="B13395" s="11" t="s">
        <v>26154</v>
      </c>
      <c r="C13395" s="11" t="s">
        <v>17</v>
      </c>
      <c r="D13395" s="11" t="s">
        <v>18</v>
      </c>
      <c r="E13395" s="12" t="s">
        <v>647</v>
      </c>
      <c r="F13395" s="12" t="s">
        <v>648</v>
      </c>
      <c r="G13395" s="12" t="s">
        <v>21</v>
      </c>
      <c r="H13395" s="11" t="s">
        <v>63</v>
      </c>
      <c r="I13395" s="13" t="s">
        <v>26155</v>
      </c>
      <c r="J13395" s="14" t="str">
        <f>HYPERLINK("https://www.boe.es/gazeta/dias/1839/10/08/pdfs/GMD-1839-1794.pdf#page=4","Abrir facsímil")</f>
        <v>Abrir facsímil</v>
      </c>
      <c r="K13395" s="12" t="s">
        <v>65</v>
      </c>
    </row>
    <row r="13396" spans="1:11" ht="40.049999999999997" customHeight="1" x14ac:dyDescent="0.25">
      <c r="A13396" s="11" t="s">
        <v>26156</v>
      </c>
      <c r="B13396" s="11" t="s">
        <v>26156</v>
      </c>
      <c r="C13396" s="11" t="s">
        <v>17</v>
      </c>
      <c r="D13396" s="11" t="s">
        <v>18</v>
      </c>
      <c r="E13396" s="12" t="s">
        <v>500</v>
      </c>
      <c r="F13396" s="12" t="s">
        <v>501</v>
      </c>
      <c r="G13396" s="12" t="s">
        <v>46</v>
      </c>
      <c r="H13396" s="11" t="s">
        <v>63</v>
      </c>
      <c r="I13396" s="13" t="s">
        <v>26157</v>
      </c>
      <c r="J13396" s="14" t="str">
        <f>HYPERLINK("https://www.boe.es/gazeta/dias/1839/11/06/pdfs/GMD-1839-1823.pdf#page=3","Abrir facsímil")</f>
        <v>Abrir facsímil</v>
      </c>
      <c r="K13396" s="12" t="s">
        <v>65</v>
      </c>
    </row>
    <row r="13397" spans="1:11" ht="40.049999999999997" customHeight="1" x14ac:dyDescent="0.25">
      <c r="A13397" s="11" t="s">
        <v>26158</v>
      </c>
      <c r="B13397" s="11" t="s">
        <v>26158</v>
      </c>
      <c r="C13397" s="11" t="s">
        <v>137</v>
      </c>
      <c r="D13397" s="11" t="s">
        <v>18</v>
      </c>
      <c r="E13397" s="12" t="s">
        <v>1614</v>
      </c>
      <c r="F13397" s="12" t="s">
        <v>1615</v>
      </c>
      <c r="G13397" s="12" t="s">
        <v>46</v>
      </c>
      <c r="H13397" s="11" t="s">
        <v>63</v>
      </c>
      <c r="I13397" s="13" t="s">
        <v>26159</v>
      </c>
      <c r="J13397" s="14" t="str">
        <f>HYPERLINK("https://www.boe.es/gazeta/dias/1839/07/03/pdfs/GMD-1839-1691.pdf#page=3","Abrir facsímil")</f>
        <v>Abrir facsímil</v>
      </c>
      <c r="K13397" s="12" t="s">
        <v>65</v>
      </c>
    </row>
    <row r="13398" spans="1:11" ht="40.049999999999997" customHeight="1" x14ac:dyDescent="0.25">
      <c r="A13398" s="11" t="s">
        <v>26160</v>
      </c>
      <c r="B13398" s="11" t="s">
        <v>26160</v>
      </c>
      <c r="C13398" s="11" t="s">
        <v>17</v>
      </c>
      <c r="D13398" s="11" t="s">
        <v>18</v>
      </c>
      <c r="E13398" s="12" t="s">
        <v>2435</v>
      </c>
      <c r="F13398" s="12" t="s">
        <v>2436</v>
      </c>
      <c r="G13398" s="12" t="s">
        <v>21</v>
      </c>
      <c r="H13398" s="11" t="s">
        <v>63</v>
      </c>
      <c r="I13398" s="13" t="s">
        <v>26161</v>
      </c>
      <c r="J13398" s="14" t="str">
        <f>HYPERLINK("https://www.boe.es/gazeta/dias/1839/07/24/pdfs/GMD-1839-1713.pdf#page=4","Abrir facsímil")</f>
        <v>Abrir facsímil</v>
      </c>
      <c r="K13398" s="12" t="s">
        <v>65</v>
      </c>
    </row>
    <row r="13399" spans="1:11" ht="40.049999999999997" customHeight="1" x14ac:dyDescent="0.25">
      <c r="A13399" s="11" t="s">
        <v>26162</v>
      </c>
      <c r="B13399" s="11" t="s">
        <v>26162</v>
      </c>
      <c r="C13399" s="11" t="s">
        <v>17</v>
      </c>
      <c r="D13399" s="11" t="s">
        <v>18</v>
      </c>
      <c r="E13399" s="12" t="s">
        <v>883</v>
      </c>
      <c r="F13399" s="12" t="s">
        <v>884</v>
      </c>
      <c r="G13399" s="12" t="s">
        <v>21</v>
      </c>
      <c r="H13399" s="11" t="s">
        <v>63</v>
      </c>
      <c r="I13399" s="13" t="s">
        <v>26163</v>
      </c>
      <c r="J13399" s="14" t="str">
        <f>HYPERLINK("https://www.boe.es/gazeta/dias/1839/11/03/pdfs/GMD-1839-1820.pdf#page=4","Abrir facsímil")</f>
        <v>Abrir facsímil</v>
      </c>
      <c r="K13399" s="12" t="s">
        <v>65</v>
      </c>
    </row>
    <row r="13400" spans="1:11" ht="40.049999999999997" customHeight="1" x14ac:dyDescent="0.25">
      <c r="A13400" s="11" t="s">
        <v>26164</v>
      </c>
      <c r="B13400" s="11" t="s">
        <v>26165</v>
      </c>
      <c r="C13400" s="11" t="s">
        <v>17</v>
      </c>
      <c r="D13400" s="11" t="s">
        <v>18</v>
      </c>
      <c r="E13400" s="12" t="s">
        <v>664</v>
      </c>
      <c r="F13400" s="12" t="s">
        <v>665</v>
      </c>
      <c r="G13400" s="12" t="s">
        <v>29</v>
      </c>
      <c r="H13400" s="11" t="s">
        <v>63</v>
      </c>
      <c r="I13400" s="13" t="s">
        <v>26166</v>
      </c>
      <c r="J13400" s="14" t="str">
        <f>HYPERLINK("https://www.boe.es/gazeta/dias/1839/01/24/pdfs/GMD-1839-1531.pdf#page=1","Abrir facsímil")</f>
        <v>Abrir facsímil</v>
      </c>
      <c r="K13400" s="12" t="s">
        <v>65</v>
      </c>
    </row>
    <row r="13401" spans="1:11" ht="40.049999999999997" customHeight="1" x14ac:dyDescent="0.25">
      <c r="A13401" s="11" t="s">
        <v>26167</v>
      </c>
      <c r="B13401" s="11" t="s">
        <v>26168</v>
      </c>
      <c r="C13401" s="11" t="s">
        <v>17</v>
      </c>
      <c r="D13401" s="11" t="s">
        <v>43</v>
      </c>
      <c r="E13401" s="12" t="s">
        <v>2919</v>
      </c>
      <c r="F13401" s="12" t="s">
        <v>2920</v>
      </c>
      <c r="G13401" s="12" t="s">
        <v>21</v>
      </c>
      <c r="H13401" s="11" t="s">
        <v>63</v>
      </c>
      <c r="I13401" s="13" t="s">
        <v>26169</v>
      </c>
      <c r="J13401" s="14" t="str">
        <f>HYPERLINK("https://www.boe.es/gazeta/dias/1839/11/12/pdfs/GMD-1839-1829.pdf#page=4","Abrir facsímil")</f>
        <v>Abrir facsímil</v>
      </c>
      <c r="K13401" s="12" t="s">
        <v>65</v>
      </c>
    </row>
    <row r="13402" spans="1:11" ht="40.049999999999997" customHeight="1" x14ac:dyDescent="0.25">
      <c r="A13402" s="11" t="s">
        <v>26170</v>
      </c>
      <c r="B13402" s="11" t="s">
        <v>26170</v>
      </c>
      <c r="C13402" s="11" t="s">
        <v>101</v>
      </c>
      <c r="D13402" s="11" t="s">
        <v>43</v>
      </c>
      <c r="E13402" s="12" t="s">
        <v>2155</v>
      </c>
      <c r="F13402" s="12" t="s">
        <v>2156</v>
      </c>
      <c r="G13402" s="12" t="s">
        <v>46</v>
      </c>
      <c r="H13402" s="11" t="s">
        <v>63</v>
      </c>
      <c r="I13402" s="13" t="s">
        <v>26171</v>
      </c>
      <c r="J13402" s="14" t="str">
        <f>HYPERLINK("https://www.boe.es/gazeta/dias/1839/01/17/pdfs/GMD-1839-1524.pdf#page=3","Abrir facsímil")</f>
        <v>Abrir facsímil</v>
      </c>
      <c r="K13402" s="12" t="s">
        <v>65</v>
      </c>
    </row>
    <row r="13403" spans="1:11" ht="40.049999999999997" customHeight="1" x14ac:dyDescent="0.25">
      <c r="A13403" s="11" t="s">
        <v>26172</v>
      </c>
      <c r="B13403" s="11" t="s">
        <v>26172</v>
      </c>
      <c r="C13403" s="11" t="s">
        <v>137</v>
      </c>
      <c r="D13403" s="11" t="s">
        <v>18</v>
      </c>
      <c r="E13403" s="12" t="s">
        <v>185</v>
      </c>
      <c r="F13403" s="12" t="s">
        <v>186</v>
      </c>
      <c r="G13403" s="12" t="s">
        <v>40</v>
      </c>
      <c r="H13403" s="11" t="s">
        <v>63</v>
      </c>
      <c r="I13403" s="13" t="s">
        <v>26173</v>
      </c>
      <c r="J13403" s="14" t="str">
        <f>HYPERLINK("https://www.boe.es/gazeta/dias/1839/01/15/pdfs/GMD-1839-1522.pdf#page=2","Abrir facsímil")</f>
        <v>Abrir facsímil</v>
      </c>
      <c r="K13403" s="12" t="s">
        <v>65</v>
      </c>
    </row>
    <row r="13404" spans="1:11" ht="40.049999999999997" customHeight="1" x14ac:dyDescent="0.25">
      <c r="A13404" s="11" t="s">
        <v>26174</v>
      </c>
      <c r="B13404" s="11" t="s">
        <v>26174</v>
      </c>
      <c r="C13404" s="11" t="s">
        <v>17</v>
      </c>
      <c r="D13404" s="11" t="s">
        <v>18</v>
      </c>
      <c r="E13404" s="12" t="s">
        <v>1072</v>
      </c>
      <c r="F13404" s="12" t="s">
        <v>1073</v>
      </c>
      <c r="G13404" s="12" t="s">
        <v>40</v>
      </c>
      <c r="H13404" s="11" t="s">
        <v>22</v>
      </c>
      <c r="I13404" s="13" t="s">
        <v>26175</v>
      </c>
      <c r="J13404" s="14" t="str">
        <f>HYPERLINK("https://www.boe.es/gazeta/dias/1839/01/18/pdfs/GMD-1839-1525.pdf#page=2","Abrir facsímil")</f>
        <v>Abrir facsímil</v>
      </c>
      <c r="K13404" s="12" t="s">
        <v>24</v>
      </c>
    </row>
    <row r="13405" spans="1:11" ht="40.049999999999997" customHeight="1" x14ac:dyDescent="0.25">
      <c r="A13405" s="11" t="s">
        <v>26172</v>
      </c>
      <c r="B13405" s="11" t="s">
        <v>26172</v>
      </c>
      <c r="C13405" s="11" t="s">
        <v>17</v>
      </c>
      <c r="D13405" s="11" t="s">
        <v>18</v>
      </c>
      <c r="E13405" s="12" t="s">
        <v>1867</v>
      </c>
      <c r="F13405" s="12" t="s">
        <v>1868</v>
      </c>
      <c r="G13405" s="12" t="s">
        <v>46</v>
      </c>
      <c r="H13405" s="11" t="s">
        <v>63</v>
      </c>
      <c r="I13405" s="13" t="s">
        <v>26176</v>
      </c>
      <c r="J13405" s="14" t="str">
        <f>HYPERLINK("https://www.boe.es/gazeta/dias/1839/01/30/pdfs/GMD-1839-1537.pdf#page=3","Abrir facsímil")</f>
        <v>Abrir facsímil</v>
      </c>
      <c r="K13405" s="12" t="s">
        <v>65</v>
      </c>
    </row>
    <row r="13406" spans="1:11" ht="40.049999999999997" customHeight="1" x14ac:dyDescent="0.25">
      <c r="A13406" s="11" t="s">
        <v>26177</v>
      </c>
      <c r="B13406" s="11" t="s">
        <v>26178</v>
      </c>
      <c r="C13406" s="11" t="s">
        <v>17</v>
      </c>
      <c r="D13406" s="11" t="s">
        <v>18</v>
      </c>
      <c r="E13406" s="12" t="s">
        <v>1657</v>
      </c>
      <c r="F13406" s="12" t="s">
        <v>1658</v>
      </c>
      <c r="G13406" s="12" t="s">
        <v>21</v>
      </c>
      <c r="H13406" s="11" t="s">
        <v>63</v>
      </c>
      <c r="I13406" s="13" t="s">
        <v>26179</v>
      </c>
      <c r="J13406" s="14" t="str">
        <f>HYPERLINK("https://www.boe.es/gazeta/dias/1839/02/21/pdfs/GMD-1839-1559.pdf#page=4","Abrir facsímil")</f>
        <v>Abrir facsímil</v>
      </c>
      <c r="K13406" s="12" t="s">
        <v>65</v>
      </c>
    </row>
    <row r="13407" spans="1:11" ht="40.049999999999997" customHeight="1" x14ac:dyDescent="0.25">
      <c r="A13407" s="11" t="s">
        <v>26180</v>
      </c>
      <c r="B13407" s="11" t="s">
        <v>26180</v>
      </c>
      <c r="C13407" s="11" t="s">
        <v>80</v>
      </c>
      <c r="D13407" s="11" t="s">
        <v>18</v>
      </c>
      <c r="E13407" s="12" t="s">
        <v>163</v>
      </c>
      <c r="F13407" s="12" t="s">
        <v>164</v>
      </c>
      <c r="G13407" s="12" t="s">
        <v>21</v>
      </c>
      <c r="H13407" s="11" t="s">
        <v>63</v>
      </c>
      <c r="I13407" s="13" t="s">
        <v>26181</v>
      </c>
      <c r="J13407" s="14" t="str">
        <f>HYPERLINK("https://www.boe.es/gazeta/dias/1839/01/13/pdfs/GMD-1839-1520.pdf#page=4","Abrir facsímil")</f>
        <v>Abrir facsímil</v>
      </c>
      <c r="K13407" s="12" t="s">
        <v>65</v>
      </c>
    </row>
    <row r="13408" spans="1:11" ht="40.049999999999997" customHeight="1" x14ac:dyDescent="0.25">
      <c r="A13408" s="11" t="s">
        <v>26180</v>
      </c>
      <c r="B13408" s="11" t="s">
        <v>26180</v>
      </c>
      <c r="C13408" s="11" t="s">
        <v>59</v>
      </c>
      <c r="D13408" s="11" t="s">
        <v>60</v>
      </c>
      <c r="E13408" s="12" t="s">
        <v>2320</v>
      </c>
      <c r="F13408" s="12" t="s">
        <v>2321</v>
      </c>
      <c r="G13408" s="12" t="s">
        <v>21</v>
      </c>
      <c r="H13408" s="11" t="s">
        <v>63</v>
      </c>
      <c r="I13408" s="13" t="s">
        <v>26182</v>
      </c>
      <c r="J13408" s="14" t="str">
        <f>HYPERLINK("https://www.boe.es/gazeta/dias/1839/11/13/pdfs/GMD-1839-1830.pdf#page=4","Abrir facsímil")</f>
        <v>Abrir facsímil</v>
      </c>
      <c r="K13408" s="12" t="s">
        <v>65</v>
      </c>
    </row>
    <row r="13409" spans="1:11" ht="40.049999999999997" customHeight="1" x14ac:dyDescent="0.25">
      <c r="A13409" s="11" t="s">
        <v>26180</v>
      </c>
      <c r="B13409" s="11" t="s">
        <v>26180</v>
      </c>
      <c r="C13409" s="11" t="s">
        <v>59</v>
      </c>
      <c r="D13409" s="11" t="s">
        <v>60</v>
      </c>
      <c r="E13409" s="12" t="s">
        <v>513</v>
      </c>
      <c r="F13409" s="12" t="s">
        <v>514</v>
      </c>
      <c r="G13409" s="12" t="s">
        <v>21</v>
      </c>
      <c r="H13409" s="11" t="s">
        <v>63</v>
      </c>
      <c r="I13409" s="13" t="s">
        <v>26183</v>
      </c>
      <c r="J13409" s="14" t="str">
        <f>HYPERLINK("https://www.boe.es/gazeta/dias/1839/03/17/pdfs/GMD-1839-1583.pdf#page=4","Abrir facsímil")</f>
        <v>Abrir facsímil</v>
      </c>
      <c r="K13409" s="12" t="s">
        <v>65</v>
      </c>
    </row>
    <row r="13410" spans="1:11" ht="40.049999999999997" customHeight="1" x14ac:dyDescent="0.25">
      <c r="A13410" s="11" t="s">
        <v>26180</v>
      </c>
      <c r="B13410" s="11" t="s">
        <v>26180</v>
      </c>
      <c r="C13410" s="11" t="s">
        <v>80</v>
      </c>
      <c r="D13410" s="11" t="s">
        <v>18</v>
      </c>
      <c r="E13410" s="12" t="s">
        <v>834</v>
      </c>
      <c r="F13410" s="12" t="s">
        <v>835</v>
      </c>
      <c r="G13410" s="12" t="s">
        <v>21</v>
      </c>
      <c r="H13410" s="11" t="s">
        <v>63</v>
      </c>
      <c r="I13410" s="13" t="s">
        <v>26184</v>
      </c>
      <c r="J13410" s="14" t="str">
        <f>HYPERLINK("https://www.boe.es/gazeta/dias/1839/08/17/pdfs/GMD-1839-1737.pdf#page=4","Abrir facsímil")</f>
        <v>Abrir facsímil</v>
      </c>
      <c r="K13410" s="12" t="s">
        <v>65</v>
      </c>
    </row>
    <row r="13411" spans="1:11" ht="40.049999999999997" customHeight="1" x14ac:dyDescent="0.25">
      <c r="A13411" s="11" t="s">
        <v>26180</v>
      </c>
      <c r="B13411" s="11" t="s">
        <v>26180</v>
      </c>
      <c r="C13411" s="11" t="s">
        <v>17</v>
      </c>
      <c r="D13411" s="11" t="s">
        <v>18</v>
      </c>
      <c r="E13411" s="12" t="s">
        <v>1648</v>
      </c>
      <c r="F13411" s="12" t="s">
        <v>1649</v>
      </c>
      <c r="G13411" s="12" t="s">
        <v>21</v>
      </c>
      <c r="H13411" s="11" t="s">
        <v>63</v>
      </c>
      <c r="I13411" s="13" t="s">
        <v>26185</v>
      </c>
      <c r="J13411" s="14" t="str">
        <f>HYPERLINK("https://www.boe.es/gazeta/dias/1839/08/18/pdfs/GMD-1839-1738.pdf#page=4","Abrir facsímil")</f>
        <v>Abrir facsímil</v>
      </c>
      <c r="K13411" s="12" t="s">
        <v>65</v>
      </c>
    </row>
    <row r="13412" spans="1:11" ht="40.049999999999997" customHeight="1" x14ac:dyDescent="0.25">
      <c r="A13412" s="11" t="s">
        <v>26180</v>
      </c>
      <c r="B13412" s="11" t="s">
        <v>26180</v>
      </c>
      <c r="C13412" s="11" t="s">
        <v>17</v>
      </c>
      <c r="D13412" s="11" t="s">
        <v>18</v>
      </c>
      <c r="E13412" s="12" t="s">
        <v>1310</v>
      </c>
      <c r="F13412" s="12" t="s">
        <v>1311</v>
      </c>
      <c r="G13412" s="12" t="s">
        <v>40</v>
      </c>
      <c r="H13412" s="11" t="s">
        <v>63</v>
      </c>
      <c r="I13412" s="13" t="s">
        <v>26186</v>
      </c>
      <c r="J13412" s="14" t="str">
        <f>HYPERLINK("https://www.boe.es/gazeta/dias/1839/04/23/pdfs/GMD-1839-1620.pdf#page=2","Abrir facsímil")</f>
        <v>Abrir facsímil</v>
      </c>
      <c r="K13412" s="12" t="s">
        <v>65</v>
      </c>
    </row>
    <row r="13413" spans="1:11" ht="40.049999999999997" customHeight="1" x14ac:dyDescent="0.25">
      <c r="A13413" s="11" t="s">
        <v>26180</v>
      </c>
      <c r="B13413" s="11" t="s">
        <v>26180</v>
      </c>
      <c r="C13413" s="11" t="s">
        <v>80</v>
      </c>
      <c r="D13413" s="11" t="s">
        <v>18</v>
      </c>
      <c r="E13413" s="12" t="s">
        <v>111</v>
      </c>
      <c r="F13413" s="12" t="s">
        <v>112</v>
      </c>
      <c r="G13413" s="12" t="s">
        <v>21</v>
      </c>
      <c r="H13413" s="11" t="s">
        <v>63</v>
      </c>
      <c r="I13413" s="13" t="s">
        <v>26187</v>
      </c>
      <c r="J13413" s="14" t="str">
        <f>HYPERLINK("https://www.boe.es/gazeta/dias/1839/07/25/pdfs/GMD-1839-1714.pdf#page=4","Abrir facsímil")</f>
        <v>Abrir facsímil</v>
      </c>
      <c r="K13413" s="12" t="s">
        <v>65</v>
      </c>
    </row>
    <row r="13414" spans="1:11" ht="40.049999999999997" customHeight="1" x14ac:dyDescent="0.25">
      <c r="A13414" s="11" t="s">
        <v>26180</v>
      </c>
      <c r="B13414" s="11" t="s">
        <v>26180</v>
      </c>
      <c r="C13414" s="11" t="s">
        <v>17</v>
      </c>
      <c r="D13414" s="11" t="s">
        <v>18</v>
      </c>
      <c r="E13414" s="12" t="s">
        <v>375</v>
      </c>
      <c r="F13414" s="12" t="s">
        <v>376</v>
      </c>
      <c r="G13414" s="12" t="s">
        <v>21</v>
      </c>
      <c r="H13414" s="11" t="s">
        <v>63</v>
      </c>
      <c r="I13414" s="13" t="s">
        <v>26188</v>
      </c>
      <c r="J13414" s="14" t="str">
        <f>HYPERLINK("https://www.boe.es/gazeta/dias/1839/11/25/pdfs/GMD-1839-1842.pdf#page=4","Abrir facsímil")</f>
        <v>Abrir facsímil</v>
      </c>
      <c r="K13414" s="12" t="s">
        <v>65</v>
      </c>
    </row>
    <row r="13415" spans="1:11" ht="40.049999999999997" customHeight="1" x14ac:dyDescent="0.25">
      <c r="A13415" s="11" t="s">
        <v>26180</v>
      </c>
      <c r="B13415" s="11" t="s">
        <v>26180</v>
      </c>
      <c r="C13415" s="11" t="s">
        <v>17</v>
      </c>
      <c r="D13415" s="11" t="s">
        <v>18</v>
      </c>
      <c r="E13415" s="12" t="s">
        <v>929</v>
      </c>
      <c r="F13415" s="12" t="s">
        <v>930</v>
      </c>
      <c r="G13415" s="12" t="s">
        <v>21</v>
      </c>
      <c r="H13415" s="11" t="s">
        <v>63</v>
      </c>
      <c r="I13415" s="13" t="s">
        <v>26189</v>
      </c>
      <c r="J13415" s="14" t="str">
        <f>HYPERLINK("https://www.boe.es/gazeta/dias/1839/01/31/pdfs/GMD-1839-1538.pdf#page=4","Abrir facsímil")</f>
        <v>Abrir facsímil</v>
      </c>
      <c r="K13415" s="12" t="s">
        <v>65</v>
      </c>
    </row>
    <row r="13416" spans="1:11" ht="40.049999999999997" customHeight="1" x14ac:dyDescent="0.25">
      <c r="A13416" s="11" t="s">
        <v>26190</v>
      </c>
      <c r="B13416" s="11" t="s">
        <v>26191</v>
      </c>
      <c r="C13416" s="11" t="s">
        <v>80</v>
      </c>
      <c r="D13416" s="11" t="s">
        <v>18</v>
      </c>
      <c r="E13416" s="12" t="s">
        <v>621</v>
      </c>
      <c r="F13416" s="12" t="s">
        <v>622</v>
      </c>
      <c r="G13416" s="12" t="s">
        <v>21</v>
      </c>
      <c r="H13416" s="11" t="s">
        <v>63</v>
      </c>
      <c r="I13416" s="13" t="s">
        <v>26192</v>
      </c>
      <c r="J13416" s="14" t="str">
        <f>HYPERLINK("https://www.boe.es/gazeta/dias/1839/04/14/pdfs/GMD-1839-1611.pdf#page=4","Abrir facsímil")</f>
        <v>Abrir facsímil</v>
      </c>
      <c r="K13416" s="12" t="s">
        <v>65</v>
      </c>
    </row>
    <row r="13417" spans="1:11" ht="40.049999999999997" customHeight="1" x14ac:dyDescent="0.25">
      <c r="A13417" s="11" t="s">
        <v>26190</v>
      </c>
      <c r="B13417" s="11" t="s">
        <v>26191</v>
      </c>
      <c r="C13417" s="11" t="s">
        <v>59</v>
      </c>
      <c r="D13417" s="11" t="s">
        <v>60</v>
      </c>
      <c r="E13417" s="12" t="s">
        <v>1252</v>
      </c>
      <c r="F13417" s="12" t="s">
        <v>1253</v>
      </c>
      <c r="G13417" s="12" t="s">
        <v>21</v>
      </c>
      <c r="H13417" s="11" t="s">
        <v>63</v>
      </c>
      <c r="I13417" s="13" t="s">
        <v>26193</v>
      </c>
      <c r="J13417" s="14" t="str">
        <f>HYPERLINK("https://www.boe.es/gazeta/dias/1839/06/15/pdfs/GMD-1839-1673.pdf#page=4","Abrir facsímil")</f>
        <v>Abrir facsímil</v>
      </c>
      <c r="K13417" s="12" t="s">
        <v>65</v>
      </c>
    </row>
    <row r="13418" spans="1:11" ht="40.049999999999997" customHeight="1" x14ac:dyDescent="0.25">
      <c r="A13418" s="11" t="s">
        <v>26190</v>
      </c>
      <c r="B13418" s="11" t="s">
        <v>26191</v>
      </c>
      <c r="C13418" s="11" t="s">
        <v>17</v>
      </c>
      <c r="D13418" s="11" t="s">
        <v>18</v>
      </c>
      <c r="E13418" s="12" t="s">
        <v>2995</v>
      </c>
      <c r="F13418" s="12" t="s">
        <v>2996</v>
      </c>
      <c r="G13418" s="12" t="s">
        <v>21</v>
      </c>
      <c r="H13418" s="11" t="s">
        <v>63</v>
      </c>
      <c r="I13418" s="13" t="s">
        <v>26194</v>
      </c>
      <c r="J13418" s="14" t="str">
        <f>HYPERLINK("https://www.boe.es/gazeta/dias/1839/06/16/pdfs/GMD-1839-1674.pdf#page=4","Abrir facsímil")</f>
        <v>Abrir facsímil</v>
      </c>
      <c r="K13418" s="12" t="s">
        <v>65</v>
      </c>
    </row>
    <row r="13419" spans="1:11" ht="40.049999999999997" customHeight="1" x14ac:dyDescent="0.25">
      <c r="A13419" s="11" t="s">
        <v>26195</v>
      </c>
      <c r="B13419" s="11" t="s">
        <v>26195</v>
      </c>
      <c r="C13419" s="11" t="s">
        <v>80</v>
      </c>
      <c r="D13419" s="11" t="s">
        <v>18</v>
      </c>
      <c r="E13419" s="12" t="s">
        <v>116</v>
      </c>
      <c r="F13419" s="12" t="s">
        <v>117</v>
      </c>
      <c r="G13419" s="12" t="s">
        <v>21</v>
      </c>
      <c r="H13419" s="11" t="s">
        <v>63</v>
      </c>
      <c r="I13419" s="13" t="s">
        <v>26196</v>
      </c>
      <c r="J13419" s="14" t="str">
        <f>HYPERLINK("https://www.boe.es/gazeta/dias/1839/10/10/pdfs/GMD-1839-1796.pdf#page=4","Abrir facsímil")</f>
        <v>Abrir facsímil</v>
      </c>
      <c r="K13419" s="12" t="s">
        <v>65</v>
      </c>
    </row>
    <row r="13420" spans="1:11" ht="40.049999999999997" customHeight="1" x14ac:dyDescent="0.25">
      <c r="A13420" s="11" t="s">
        <v>26197</v>
      </c>
      <c r="B13420" s="11" t="s">
        <v>26198</v>
      </c>
      <c r="C13420" s="11" t="s">
        <v>17</v>
      </c>
      <c r="D13420" s="11" t="s">
        <v>18</v>
      </c>
      <c r="E13420" s="12" t="s">
        <v>892</v>
      </c>
      <c r="F13420" s="12" t="s">
        <v>893</v>
      </c>
      <c r="G13420" s="12" t="s">
        <v>21</v>
      </c>
      <c r="H13420" s="11" t="s">
        <v>63</v>
      </c>
      <c r="I13420" s="13" t="s">
        <v>26199</v>
      </c>
      <c r="J13420" s="14" t="str">
        <f>HYPERLINK("https://www.boe.es/gazeta/dias/1839/12/28/pdfs/GMD-1839-1875.pdf#page=4","Abrir facsímil")</f>
        <v>Abrir facsímil</v>
      </c>
      <c r="K13420" s="12" t="s">
        <v>65</v>
      </c>
    </row>
    <row r="13421" spans="1:11" ht="40.049999999999997" customHeight="1" x14ac:dyDescent="0.25">
      <c r="A13421" s="11" t="s">
        <v>26200</v>
      </c>
      <c r="B13421" s="11" t="s">
        <v>26201</v>
      </c>
      <c r="C13421" s="11" t="s">
        <v>17</v>
      </c>
      <c r="D13421" s="11" t="s">
        <v>18</v>
      </c>
      <c r="E13421" s="12" t="s">
        <v>68</v>
      </c>
      <c r="F13421" s="12" t="s">
        <v>69</v>
      </c>
      <c r="G13421" s="12" t="s">
        <v>29</v>
      </c>
      <c r="H13421" s="11" t="s">
        <v>63</v>
      </c>
      <c r="I13421" s="13" t="s">
        <v>26202</v>
      </c>
      <c r="J13421" s="14" t="str">
        <f>HYPERLINK("https://www.boe.es/gazeta/dias/1839/02/09/pdfs/GMD-1839-1547.pdf#page=1","Abrir facsímil")</f>
        <v>Abrir facsímil</v>
      </c>
      <c r="K13421" s="12" t="s">
        <v>65</v>
      </c>
    </row>
    <row r="13422" spans="1:11" ht="40.049999999999997" customHeight="1" x14ac:dyDescent="0.25">
      <c r="A13422" s="11" t="s">
        <v>26203</v>
      </c>
      <c r="B13422" s="11" t="s">
        <v>26203</v>
      </c>
      <c r="C13422" s="11" t="s">
        <v>17</v>
      </c>
      <c r="D13422" s="11" t="s">
        <v>18</v>
      </c>
      <c r="E13422" s="12" t="s">
        <v>2301</v>
      </c>
      <c r="F13422" s="12" t="s">
        <v>2302</v>
      </c>
      <c r="G13422" s="12" t="s">
        <v>40</v>
      </c>
      <c r="H13422" s="11" t="s">
        <v>63</v>
      </c>
      <c r="I13422" s="13" t="s">
        <v>26204</v>
      </c>
      <c r="J13422" s="14" t="str">
        <f>HYPERLINK("https://www.boe.es/gazeta/dias/1839/09/08/pdfs/GMD-1839-1761.pdf#page=2","Abrir facsímil")</f>
        <v>Abrir facsímil</v>
      </c>
      <c r="K13422" s="12" t="s">
        <v>65</v>
      </c>
    </row>
    <row r="13423" spans="1:11" ht="40.049999999999997" customHeight="1" x14ac:dyDescent="0.25">
      <c r="A13423" s="11" t="s">
        <v>26203</v>
      </c>
      <c r="B13423" s="11" t="s">
        <v>26203</v>
      </c>
      <c r="C13423" s="11" t="s">
        <v>101</v>
      </c>
      <c r="D13423" s="11" t="s">
        <v>43</v>
      </c>
      <c r="E13423" s="12" t="s">
        <v>756</v>
      </c>
      <c r="F13423" s="12" t="s">
        <v>757</v>
      </c>
      <c r="G13423" s="12" t="s">
        <v>29</v>
      </c>
      <c r="H13423" s="11" t="s">
        <v>63</v>
      </c>
      <c r="I13423" s="13" t="s">
        <v>26205</v>
      </c>
      <c r="J13423" s="14" t="str">
        <f>HYPERLINK("https://www.boe.es/gazeta/dias/1839/12/17/pdfs/GMD-1839-1864.pdf#page=1","Abrir facsímil")</f>
        <v>Abrir facsímil</v>
      </c>
      <c r="K13423" s="12" t="s">
        <v>65</v>
      </c>
    </row>
    <row r="13424" spans="1:11" ht="40.049999999999997" customHeight="1" x14ac:dyDescent="0.25">
      <c r="A13424" s="11" t="s">
        <v>26206</v>
      </c>
      <c r="B13424" s="11" t="s">
        <v>26207</v>
      </c>
      <c r="C13424" s="11" t="s">
        <v>17</v>
      </c>
      <c r="D13424" s="11" t="s">
        <v>18</v>
      </c>
      <c r="E13424" s="12" t="s">
        <v>1008</v>
      </c>
      <c r="F13424" s="12" t="s">
        <v>1009</v>
      </c>
      <c r="G13424" s="12" t="s">
        <v>29</v>
      </c>
      <c r="H13424" s="11" t="s">
        <v>63</v>
      </c>
      <c r="I13424" s="13" t="s">
        <v>26208</v>
      </c>
      <c r="J13424" s="14" t="str">
        <f>HYPERLINK("https://www.boe.es/gazeta/dias/1839/09/07/pdfs/GMD-1839-1760.pdf#page=1","Abrir facsímil")</f>
        <v>Abrir facsímil</v>
      </c>
      <c r="K13424" s="12" t="s">
        <v>65</v>
      </c>
    </row>
    <row r="13425" spans="1:11" ht="40.049999999999997" customHeight="1" x14ac:dyDescent="0.25">
      <c r="A13425" s="11" t="s">
        <v>26209</v>
      </c>
      <c r="B13425" s="11" t="s">
        <v>26210</v>
      </c>
      <c r="C13425" s="11" t="s">
        <v>17</v>
      </c>
      <c r="D13425" s="11" t="s">
        <v>18</v>
      </c>
      <c r="E13425" s="12" t="s">
        <v>239</v>
      </c>
      <c r="F13425" s="12" t="s">
        <v>240</v>
      </c>
      <c r="G13425" s="12" t="s">
        <v>46</v>
      </c>
      <c r="H13425" s="11" t="s">
        <v>63</v>
      </c>
      <c r="I13425" s="13" t="s">
        <v>26211</v>
      </c>
      <c r="J13425" s="14" t="str">
        <f>HYPERLINK("https://www.boe.es/gazeta/dias/1839/09/22/pdfs/GMD-1839-1777.pdf#page=3","Abrir facsímil")</f>
        <v>Abrir facsímil</v>
      </c>
      <c r="K13425" s="12" t="s">
        <v>65</v>
      </c>
    </row>
    <row r="13426" spans="1:11" ht="40.049999999999997" customHeight="1" x14ac:dyDescent="0.25">
      <c r="A13426" s="11" t="s">
        <v>26212</v>
      </c>
      <c r="B13426" s="11" t="s">
        <v>26212</v>
      </c>
      <c r="C13426" s="11" t="s">
        <v>101</v>
      </c>
      <c r="D13426" s="11" t="s">
        <v>43</v>
      </c>
      <c r="E13426" s="12" t="s">
        <v>409</v>
      </c>
      <c r="F13426" s="12" t="s">
        <v>410</v>
      </c>
      <c r="G13426" s="12" t="s">
        <v>46</v>
      </c>
      <c r="H13426" s="11" t="s">
        <v>63</v>
      </c>
      <c r="I13426" s="13" t="s">
        <v>26213</v>
      </c>
      <c r="J13426" s="14" t="str">
        <f>HYPERLINK("https://www.boe.es/gazeta/dias/1839/07/05/pdfs/GMD-1839-1693.pdf#page=3","Abrir facsímil")</f>
        <v>Abrir facsímil</v>
      </c>
      <c r="K13426" s="12" t="s">
        <v>65</v>
      </c>
    </row>
    <row r="13427" spans="1:11" ht="40.049999999999997" customHeight="1" x14ac:dyDescent="0.25">
      <c r="A13427" s="11" t="s">
        <v>26214</v>
      </c>
      <c r="B13427" s="11" t="s">
        <v>26215</v>
      </c>
      <c r="C13427" s="11" t="s">
        <v>80</v>
      </c>
      <c r="D13427" s="11" t="s">
        <v>18</v>
      </c>
      <c r="E13427" s="12" t="s">
        <v>409</v>
      </c>
      <c r="F13427" s="12" t="s">
        <v>410</v>
      </c>
      <c r="G13427" s="12" t="s">
        <v>46</v>
      </c>
      <c r="H13427" s="11" t="s">
        <v>63</v>
      </c>
      <c r="I13427" s="13" t="s">
        <v>26216</v>
      </c>
      <c r="J13427" s="14" t="str">
        <f>HYPERLINK("https://www.boe.es/gazeta/dias/1839/07/05/pdfs/GMD-1839-1693.pdf#page=3","Abrir facsímil")</f>
        <v>Abrir facsímil</v>
      </c>
      <c r="K13427" s="12" t="s">
        <v>65</v>
      </c>
    </row>
    <row r="13428" spans="1:11" ht="40.049999999999997" customHeight="1" x14ac:dyDescent="0.25">
      <c r="A13428" s="11" t="s">
        <v>26217</v>
      </c>
      <c r="B13428" s="11" t="s">
        <v>26217</v>
      </c>
      <c r="C13428" s="11" t="s">
        <v>59</v>
      </c>
      <c r="D13428" s="11" t="s">
        <v>60</v>
      </c>
      <c r="E13428" s="12" t="s">
        <v>409</v>
      </c>
      <c r="F13428" s="12" t="s">
        <v>410</v>
      </c>
      <c r="G13428" s="12" t="s">
        <v>46</v>
      </c>
      <c r="H13428" s="11" t="s">
        <v>63</v>
      </c>
      <c r="I13428" s="13" t="s">
        <v>26218</v>
      </c>
      <c r="J13428" s="14" t="str">
        <f>HYPERLINK("https://www.boe.es/gazeta/dias/1839/07/05/pdfs/GMD-1839-1693.pdf#page=3","Abrir facsímil")</f>
        <v>Abrir facsímil</v>
      </c>
      <c r="K13428" s="12" t="s">
        <v>65</v>
      </c>
    </row>
    <row r="13429" spans="1:11" ht="40.049999999999997" customHeight="1" x14ac:dyDescent="0.25">
      <c r="A13429" s="11" t="s">
        <v>26217</v>
      </c>
      <c r="B13429" s="11" t="s">
        <v>26217</v>
      </c>
      <c r="C13429" s="11" t="s">
        <v>17</v>
      </c>
      <c r="D13429" s="11" t="s">
        <v>18</v>
      </c>
      <c r="E13429" s="12" t="s">
        <v>272</v>
      </c>
      <c r="F13429" s="12" t="s">
        <v>273</v>
      </c>
      <c r="G13429" s="12" t="s">
        <v>46</v>
      </c>
      <c r="H13429" s="11" t="s">
        <v>63</v>
      </c>
      <c r="I13429" s="13" t="s">
        <v>26219</v>
      </c>
      <c r="J13429" s="14" t="str">
        <f>HYPERLINK("https://www.boe.es/gazeta/dias/1839/02/12/pdfs/GMD-1839-1550.pdf#page=3","Abrir facsímil")</f>
        <v>Abrir facsímil</v>
      </c>
      <c r="K13429" s="12" t="s">
        <v>65</v>
      </c>
    </row>
    <row r="13430" spans="1:11" ht="40.049999999999997" customHeight="1" x14ac:dyDescent="0.25">
      <c r="A13430" s="11" t="s">
        <v>26217</v>
      </c>
      <c r="B13430" s="11" t="s">
        <v>26217</v>
      </c>
      <c r="C13430" s="11" t="s">
        <v>17</v>
      </c>
      <c r="D13430" s="11" t="s">
        <v>18</v>
      </c>
      <c r="E13430" s="12" t="s">
        <v>713</v>
      </c>
      <c r="F13430" s="12" t="s">
        <v>714</v>
      </c>
      <c r="G13430" s="12" t="s">
        <v>46</v>
      </c>
      <c r="H13430" s="11" t="s">
        <v>63</v>
      </c>
      <c r="I13430" s="13" t="s">
        <v>26220</v>
      </c>
      <c r="J13430" s="14" t="str">
        <f>HYPERLINK("https://www.boe.es/gazeta/dias/1839/12/18/pdfs/GMD-1839-1865.pdf#page=3","Abrir facsímil")</f>
        <v>Abrir facsímil</v>
      </c>
      <c r="K13430" s="12" t="s">
        <v>65</v>
      </c>
    </row>
    <row r="13431" spans="1:11" ht="40.049999999999997" customHeight="1" x14ac:dyDescent="0.25">
      <c r="A13431" s="11" t="s">
        <v>26221</v>
      </c>
      <c r="B13431" s="11" t="s">
        <v>26222</v>
      </c>
      <c r="C13431" s="11" t="s">
        <v>17</v>
      </c>
      <c r="D13431" s="11" t="s">
        <v>18</v>
      </c>
      <c r="E13431" s="12" t="s">
        <v>1179</v>
      </c>
      <c r="F13431" s="12" t="s">
        <v>1180</v>
      </c>
      <c r="G13431" s="12" t="s">
        <v>566</v>
      </c>
      <c r="H13431" s="11" t="s">
        <v>63</v>
      </c>
      <c r="I13431" s="13" t="s">
        <v>26223</v>
      </c>
      <c r="J13431" s="14" t="str">
        <f>HYPERLINK("https://www.boe.es/gazeta/dias/1839/10/18/pdfs/GMD-1839-1804.pdf#page=5","Abrir facsímil")</f>
        <v>Abrir facsímil</v>
      </c>
      <c r="K13431" s="12" t="s">
        <v>65</v>
      </c>
    </row>
    <row r="13432" spans="1:11" ht="40.049999999999997" customHeight="1" x14ac:dyDescent="0.25">
      <c r="A13432" s="11" t="s">
        <v>26221</v>
      </c>
      <c r="B13432" s="11" t="s">
        <v>26222</v>
      </c>
      <c r="C13432" s="11" t="s">
        <v>17</v>
      </c>
      <c r="D13432" s="11" t="s">
        <v>18</v>
      </c>
      <c r="E13432" s="12" t="s">
        <v>246</v>
      </c>
      <c r="F13432" s="12" t="s">
        <v>247</v>
      </c>
      <c r="G13432" s="12" t="s">
        <v>21</v>
      </c>
      <c r="H13432" s="11" t="s">
        <v>63</v>
      </c>
      <c r="I13432" s="13" t="s">
        <v>26224</v>
      </c>
      <c r="J13432" s="14" t="str">
        <f>HYPERLINK("https://www.boe.es/gazeta/dias/1839/11/24/pdfs/GMD-1839-1841.pdf#page=4","Abrir facsímil")</f>
        <v>Abrir facsímil</v>
      </c>
      <c r="K13432" s="12" t="s">
        <v>65</v>
      </c>
    </row>
    <row r="13433" spans="1:11" ht="40.049999999999997" customHeight="1" x14ac:dyDescent="0.25">
      <c r="A13433" s="11" t="s">
        <v>26221</v>
      </c>
      <c r="B13433" s="11" t="s">
        <v>26222</v>
      </c>
      <c r="C13433" s="11" t="s">
        <v>17</v>
      </c>
      <c r="D13433" s="11" t="s">
        <v>18</v>
      </c>
      <c r="E13433" s="12" t="s">
        <v>2522</v>
      </c>
      <c r="F13433" s="12" t="s">
        <v>2523</v>
      </c>
      <c r="G13433" s="12" t="s">
        <v>21</v>
      </c>
      <c r="H13433" s="11" t="s">
        <v>63</v>
      </c>
      <c r="I13433" s="13" t="s">
        <v>26225</v>
      </c>
      <c r="J13433" s="14" t="str">
        <f>HYPERLINK("https://www.boe.es/gazeta/dias/1839/12/29/pdfs/GMD-1839-1876.pdf#page=4","Abrir facsímil")</f>
        <v>Abrir facsímil</v>
      </c>
      <c r="K13433" s="12" t="s">
        <v>65</v>
      </c>
    </row>
    <row r="13434" spans="1:11" ht="40.049999999999997" customHeight="1" x14ac:dyDescent="0.25">
      <c r="A13434" s="11" t="s">
        <v>26226</v>
      </c>
      <c r="B13434" s="11" t="s">
        <v>26227</v>
      </c>
      <c r="C13434" s="11" t="s">
        <v>17</v>
      </c>
      <c r="D13434" s="11" t="s">
        <v>18</v>
      </c>
      <c r="E13434" s="12" t="s">
        <v>736</v>
      </c>
      <c r="F13434" s="12" t="s">
        <v>737</v>
      </c>
      <c r="G13434" s="12" t="s">
        <v>40</v>
      </c>
      <c r="H13434" s="11" t="s">
        <v>63</v>
      </c>
      <c r="I13434" s="13" t="s">
        <v>26228</v>
      </c>
      <c r="J13434" s="14" t="str">
        <f>HYPERLINK("https://www.boe.es/gazeta/dias/1839/10/13/pdfs/GMD-1839-1799.pdf#page=2","Abrir facsímil")</f>
        <v>Abrir facsímil</v>
      </c>
      <c r="K13434" s="12" t="s">
        <v>65</v>
      </c>
    </row>
    <row r="13435" spans="1:11" ht="40.049999999999997" customHeight="1" x14ac:dyDescent="0.25">
      <c r="A13435" s="11" t="s">
        <v>26226</v>
      </c>
      <c r="B13435" s="11" t="s">
        <v>26227</v>
      </c>
      <c r="C13435" s="11" t="s">
        <v>17</v>
      </c>
      <c r="D13435" s="11" t="s">
        <v>18</v>
      </c>
      <c r="E13435" s="12" t="s">
        <v>621</v>
      </c>
      <c r="F13435" s="12" t="s">
        <v>622</v>
      </c>
      <c r="G13435" s="12" t="s">
        <v>46</v>
      </c>
      <c r="H13435" s="11" t="s">
        <v>63</v>
      </c>
      <c r="I13435" s="13" t="s">
        <v>26229</v>
      </c>
      <c r="J13435" s="14" t="str">
        <f>HYPERLINK("https://www.boe.es/gazeta/dias/1839/04/14/pdfs/GMD-1839-1611.pdf#page=3","Abrir facsímil")</f>
        <v>Abrir facsímil</v>
      </c>
      <c r="K13435" s="12" t="s">
        <v>65</v>
      </c>
    </row>
    <row r="13436" spans="1:11" ht="40.049999999999997" customHeight="1" x14ac:dyDescent="0.25">
      <c r="A13436" s="11" t="s">
        <v>26230</v>
      </c>
      <c r="B13436" s="11" t="s">
        <v>26231</v>
      </c>
      <c r="C13436" s="11" t="s">
        <v>80</v>
      </c>
      <c r="D13436" s="11" t="s">
        <v>18</v>
      </c>
      <c r="E13436" s="12" t="s">
        <v>287</v>
      </c>
      <c r="F13436" s="12" t="s">
        <v>288</v>
      </c>
      <c r="G13436" s="12" t="s">
        <v>46</v>
      </c>
      <c r="H13436" s="11" t="s">
        <v>63</v>
      </c>
      <c r="I13436" s="13" t="s">
        <v>26232</v>
      </c>
      <c r="J13436" s="14" t="str">
        <f>HYPERLINK("https://www.boe.es/gazeta/dias/1839/11/27/pdfs/GMD-1839-1844.pdf#page=3","Abrir facsímil")</f>
        <v>Abrir facsímil</v>
      </c>
      <c r="K13436" s="12" t="s">
        <v>65</v>
      </c>
    </row>
    <row r="13437" spans="1:11" ht="40.049999999999997" customHeight="1" x14ac:dyDescent="0.25">
      <c r="A13437" s="11" t="s">
        <v>26233</v>
      </c>
      <c r="B13437" s="11" t="s">
        <v>26234</v>
      </c>
      <c r="C13437" s="11" t="s">
        <v>137</v>
      </c>
      <c r="D13437" s="11" t="s">
        <v>18</v>
      </c>
      <c r="E13437" s="12" t="s">
        <v>1474</v>
      </c>
      <c r="F13437" s="12" t="s">
        <v>1475</v>
      </c>
      <c r="G13437" s="12" t="s">
        <v>46</v>
      </c>
      <c r="H13437" s="11" t="s">
        <v>63</v>
      </c>
      <c r="I13437" s="13" t="s">
        <v>26235</v>
      </c>
      <c r="J13437" s="14" t="str">
        <f>HYPERLINK("https://www.boe.es/gazeta/dias/1839/02/28/pdfs/GMD-1839-1566.pdf#page=3","Abrir facsímil")</f>
        <v>Abrir facsímil</v>
      </c>
      <c r="K13437" s="12" t="s">
        <v>65</v>
      </c>
    </row>
    <row r="13438" spans="1:11" ht="40.049999999999997" customHeight="1" x14ac:dyDescent="0.25">
      <c r="A13438" s="11" t="s">
        <v>26236</v>
      </c>
      <c r="B13438" s="11" t="s">
        <v>26237</v>
      </c>
      <c r="C13438" s="11" t="s">
        <v>59</v>
      </c>
      <c r="D13438" s="11" t="s">
        <v>60</v>
      </c>
      <c r="E13438" s="12" t="s">
        <v>1269</v>
      </c>
      <c r="F13438" s="12" t="s">
        <v>1270</v>
      </c>
      <c r="G13438" s="12" t="s">
        <v>21</v>
      </c>
      <c r="H13438" s="11" t="s">
        <v>63</v>
      </c>
      <c r="I13438" s="13" t="s">
        <v>26238</v>
      </c>
      <c r="J13438" s="14" t="str">
        <f>HYPERLINK("https://www.boe.es/gazeta/dias/1839/04/29/pdfs/GMD-1839-1626.pdf#page=4","Abrir facsímil")</f>
        <v>Abrir facsímil</v>
      </c>
      <c r="K13438" s="12" t="s">
        <v>65</v>
      </c>
    </row>
    <row r="13439" spans="1:11" ht="40.049999999999997" customHeight="1" x14ac:dyDescent="0.25">
      <c r="A13439" s="11" t="s">
        <v>26239</v>
      </c>
      <c r="B13439" s="11" t="s">
        <v>26240</v>
      </c>
      <c r="C13439" s="11" t="s">
        <v>17</v>
      </c>
      <c r="D13439" s="11" t="s">
        <v>18</v>
      </c>
      <c r="E13439" s="12" t="s">
        <v>4292</v>
      </c>
      <c r="F13439" s="12" t="s">
        <v>4293</v>
      </c>
      <c r="G13439" s="12" t="s">
        <v>29</v>
      </c>
      <c r="H13439" s="11" t="s">
        <v>63</v>
      </c>
      <c r="I13439" s="13" t="s">
        <v>26241</v>
      </c>
      <c r="J13439" s="14" t="str">
        <f>HYPERLINK("https://www.boe.es/gazeta/dias/1839/11/29/pdfs/GMD-1839-1846.pdf#page=1","Abrir facsímil")</f>
        <v>Abrir facsímil</v>
      </c>
      <c r="K13439" s="12" t="s">
        <v>65</v>
      </c>
    </row>
    <row r="13440" spans="1:11" ht="40.049999999999997" customHeight="1" x14ac:dyDescent="0.25">
      <c r="A13440" s="11" t="s">
        <v>26242</v>
      </c>
      <c r="B13440" s="11" t="s">
        <v>26243</v>
      </c>
      <c r="C13440" s="11" t="s">
        <v>101</v>
      </c>
      <c r="D13440" s="11" t="s">
        <v>43</v>
      </c>
      <c r="E13440" s="12" t="s">
        <v>1414</v>
      </c>
      <c r="F13440" s="12" t="s">
        <v>1415</v>
      </c>
      <c r="G13440" s="12" t="s">
        <v>21</v>
      </c>
      <c r="H13440" s="11" t="s">
        <v>63</v>
      </c>
      <c r="I13440" s="13" t="s">
        <v>26244</v>
      </c>
      <c r="J13440" s="14" t="str">
        <f>HYPERLINK("https://www.boe.es/gazeta/dias/1839/06/12/pdfs/GMD-1839-1670.pdf#page=4","Abrir facsímil")</f>
        <v>Abrir facsímil</v>
      </c>
      <c r="K13440" s="12" t="s">
        <v>65</v>
      </c>
    </row>
    <row r="13441" spans="1:11" ht="40.049999999999997" customHeight="1" x14ac:dyDescent="0.25">
      <c r="A13441" s="11" t="s">
        <v>26245</v>
      </c>
      <c r="B13441" s="11" t="s">
        <v>26245</v>
      </c>
      <c r="C13441" s="11" t="s">
        <v>17</v>
      </c>
      <c r="D13441" s="11" t="s">
        <v>18</v>
      </c>
      <c r="E13441" s="12" t="s">
        <v>2320</v>
      </c>
      <c r="F13441" s="12" t="s">
        <v>2321</v>
      </c>
      <c r="G13441" s="12" t="s">
        <v>21</v>
      </c>
      <c r="H13441" s="11" t="s">
        <v>63</v>
      </c>
      <c r="I13441" s="13" t="s">
        <v>26246</v>
      </c>
      <c r="J13441" s="14" t="str">
        <f>HYPERLINK("https://www.boe.es/gazeta/dias/1839/11/13/pdfs/GMD-1839-1830.pdf#page=4","Abrir facsímil")</f>
        <v>Abrir facsímil</v>
      </c>
      <c r="K13441" s="12" t="s">
        <v>65</v>
      </c>
    </row>
    <row r="13442" spans="1:11" ht="40.049999999999997" customHeight="1" x14ac:dyDescent="0.25">
      <c r="A13442" s="11" t="s">
        <v>26247</v>
      </c>
      <c r="B13442" s="11" t="s">
        <v>26247</v>
      </c>
      <c r="C13442" s="11" t="s">
        <v>17</v>
      </c>
      <c r="D13442" s="11" t="s">
        <v>18</v>
      </c>
      <c r="E13442" s="12" t="s">
        <v>1772</v>
      </c>
      <c r="F13442" s="12" t="s">
        <v>1773</v>
      </c>
      <c r="G13442" s="12" t="s">
        <v>29</v>
      </c>
      <c r="H13442" s="11" t="s">
        <v>63</v>
      </c>
      <c r="I13442" s="13" t="s">
        <v>26248</v>
      </c>
      <c r="J13442" s="14" t="str">
        <f>HYPERLINK("https://www.boe.es/gazeta/dias/1839/05/07/pdfs/GMD-1839-1634.pdf#page=1","Abrir facsímil")</f>
        <v>Abrir facsímil</v>
      </c>
      <c r="K13442" s="12" t="s">
        <v>65</v>
      </c>
    </row>
    <row r="13443" spans="1:11" ht="40.049999999999997" customHeight="1" x14ac:dyDescent="0.25">
      <c r="A13443" s="11" t="s">
        <v>26247</v>
      </c>
      <c r="B13443" s="11" t="s">
        <v>26247</v>
      </c>
      <c r="C13443" s="11" t="s">
        <v>80</v>
      </c>
      <c r="D13443" s="11" t="s">
        <v>18</v>
      </c>
      <c r="E13443" s="12" t="s">
        <v>272</v>
      </c>
      <c r="F13443" s="12" t="s">
        <v>273</v>
      </c>
      <c r="G13443" s="12" t="s">
        <v>21</v>
      </c>
      <c r="H13443" s="11" t="s">
        <v>63</v>
      </c>
      <c r="I13443" s="13" t="s">
        <v>26249</v>
      </c>
      <c r="J13443" s="14" t="str">
        <f>HYPERLINK("https://www.boe.es/gazeta/dias/1839/02/12/pdfs/GMD-1839-1550.pdf#page=4","Abrir facsímil")</f>
        <v>Abrir facsímil</v>
      </c>
      <c r="K13443" s="12" t="s">
        <v>65</v>
      </c>
    </row>
    <row r="13444" spans="1:11" ht="40.049999999999997" customHeight="1" x14ac:dyDescent="0.25">
      <c r="A13444" s="11" t="s">
        <v>26247</v>
      </c>
      <c r="B13444" s="11" t="s">
        <v>26247</v>
      </c>
      <c r="C13444" s="11" t="s">
        <v>17</v>
      </c>
      <c r="D13444" s="11" t="s">
        <v>18</v>
      </c>
      <c r="E13444" s="12" t="s">
        <v>1588</v>
      </c>
      <c r="F13444" s="12" t="s">
        <v>1589</v>
      </c>
      <c r="G13444" s="12" t="s">
        <v>40</v>
      </c>
      <c r="H13444" s="11" t="s">
        <v>63</v>
      </c>
      <c r="I13444" s="13" t="s">
        <v>26250</v>
      </c>
      <c r="J13444" s="14" t="str">
        <f>HYPERLINK("https://www.boe.es/gazeta/dias/1839/07/27/pdfs/GMD-1839-1716.pdf#page=2","Abrir facsímil")</f>
        <v>Abrir facsímil</v>
      </c>
      <c r="K13444" s="12" t="s">
        <v>65</v>
      </c>
    </row>
    <row r="13445" spans="1:11" ht="40.049999999999997" customHeight="1" x14ac:dyDescent="0.25">
      <c r="A13445" s="11" t="s">
        <v>26251</v>
      </c>
      <c r="B13445" s="11" t="s">
        <v>26252</v>
      </c>
      <c r="C13445" s="11" t="s">
        <v>17</v>
      </c>
      <c r="D13445" s="11" t="s">
        <v>18</v>
      </c>
      <c r="E13445" s="12" t="s">
        <v>388</v>
      </c>
      <c r="F13445" s="12" t="s">
        <v>389</v>
      </c>
      <c r="G13445" s="12" t="s">
        <v>21</v>
      </c>
      <c r="H13445" s="11" t="s">
        <v>63</v>
      </c>
      <c r="I13445" s="13" t="s">
        <v>26253</v>
      </c>
      <c r="J13445" s="14" t="str">
        <f>HYPERLINK("https://www.boe.es/gazeta/dias/1839/08/07/pdfs/GMD-1839-1727.pdf#page=4","Abrir facsímil")</f>
        <v>Abrir facsímil</v>
      </c>
      <c r="K13445" s="12" t="s">
        <v>65</v>
      </c>
    </row>
    <row r="13446" spans="1:11" ht="40.049999999999997" customHeight="1" x14ac:dyDescent="0.25">
      <c r="A13446" s="11" t="s">
        <v>26254</v>
      </c>
      <c r="B13446" s="11" t="s">
        <v>26254</v>
      </c>
      <c r="C13446" s="11" t="s">
        <v>17</v>
      </c>
      <c r="D13446" s="11" t="s">
        <v>18</v>
      </c>
      <c r="E13446" s="12" t="s">
        <v>433</v>
      </c>
      <c r="F13446" s="12" t="s">
        <v>434</v>
      </c>
      <c r="G13446" s="12" t="s">
        <v>46</v>
      </c>
      <c r="H13446" s="11" t="s">
        <v>63</v>
      </c>
      <c r="I13446" s="13" t="s">
        <v>26255</v>
      </c>
      <c r="J13446" s="14" t="str">
        <f>HYPERLINK("https://www.boe.es/gazeta/dias/1839/01/20/pdfs/GMD-1839-1527.pdf#page=3","Abrir facsímil")</f>
        <v>Abrir facsímil</v>
      </c>
      <c r="K13446" s="12" t="s">
        <v>65</v>
      </c>
    </row>
    <row r="13447" spans="1:11" ht="40.049999999999997" customHeight="1" x14ac:dyDescent="0.25">
      <c r="A13447" s="11" t="s">
        <v>26256</v>
      </c>
      <c r="B13447" s="11" t="s">
        <v>26257</v>
      </c>
      <c r="C13447" s="11" t="s">
        <v>17</v>
      </c>
      <c r="D13447" s="11" t="s">
        <v>18</v>
      </c>
      <c r="E13447" s="12" t="s">
        <v>258</v>
      </c>
      <c r="F13447" s="12" t="s">
        <v>259</v>
      </c>
      <c r="G13447" s="12" t="s">
        <v>46</v>
      </c>
      <c r="H13447" s="11" t="s">
        <v>22</v>
      </c>
      <c r="I13447" s="13" t="s">
        <v>26258</v>
      </c>
      <c r="J13447" s="14" t="str">
        <f>HYPERLINK("https://www.boe.es/gazeta/dias/1839/01/02/pdfs/GMD-1839-1509.pdf#page=3","Abrir facsímil")</f>
        <v>Abrir facsímil</v>
      </c>
      <c r="K13447" s="12" t="s">
        <v>24</v>
      </c>
    </row>
    <row r="13448" spans="1:11" ht="40.049999999999997" customHeight="1" x14ac:dyDescent="0.25">
      <c r="A13448" s="11" t="s">
        <v>26259</v>
      </c>
      <c r="B13448" s="11" t="s">
        <v>26260</v>
      </c>
      <c r="C13448" s="11" t="s">
        <v>80</v>
      </c>
      <c r="D13448" s="11" t="s">
        <v>18</v>
      </c>
      <c r="E13448" s="12" t="s">
        <v>2270</v>
      </c>
      <c r="F13448" s="12" t="s">
        <v>2271</v>
      </c>
      <c r="G13448" s="12" t="s">
        <v>21</v>
      </c>
      <c r="H13448" s="11" t="s">
        <v>63</v>
      </c>
      <c r="I13448" s="13" t="s">
        <v>26261</v>
      </c>
      <c r="J13448" s="14" t="str">
        <f>HYPERLINK("https://www.boe.es/gazeta/dias/1839/06/13/pdfs/GMD-1839-1671.pdf#page=4","Abrir facsímil")</f>
        <v>Abrir facsímil</v>
      </c>
      <c r="K13448" s="12" t="s">
        <v>65</v>
      </c>
    </row>
    <row r="13449" spans="1:11" ht="40.049999999999997" customHeight="1" x14ac:dyDescent="0.25">
      <c r="A13449" s="11" t="s">
        <v>26262</v>
      </c>
      <c r="B13449" s="11" t="s">
        <v>26263</v>
      </c>
      <c r="C13449" s="11" t="s">
        <v>80</v>
      </c>
      <c r="D13449" s="11" t="s">
        <v>18</v>
      </c>
      <c r="E13449" s="12" t="s">
        <v>4108</v>
      </c>
      <c r="F13449" s="12" t="s">
        <v>4109</v>
      </c>
      <c r="G13449" s="12" t="s">
        <v>46</v>
      </c>
      <c r="H13449" s="11" t="s">
        <v>63</v>
      </c>
      <c r="I13449" s="13" t="s">
        <v>26264</v>
      </c>
      <c r="J13449" s="14" t="str">
        <f>HYPERLINK("https://www.boe.es/gazeta/dias/1839/03/23/pdfs/GMD-1839-1589.pdf#page=3","Abrir facsímil")</f>
        <v>Abrir facsímil</v>
      </c>
      <c r="K13449" s="12" t="s">
        <v>65</v>
      </c>
    </row>
    <row r="13450" spans="1:11" ht="40.049999999999997" customHeight="1" x14ac:dyDescent="0.25">
      <c r="A13450" s="11" t="s">
        <v>26265</v>
      </c>
      <c r="B13450" s="11" t="s">
        <v>26266</v>
      </c>
      <c r="C13450" s="11" t="s">
        <v>80</v>
      </c>
      <c r="D13450" s="11" t="s">
        <v>18</v>
      </c>
      <c r="E13450" s="12" t="s">
        <v>1772</v>
      </c>
      <c r="F13450" s="12" t="s">
        <v>1773</v>
      </c>
      <c r="G13450" s="12" t="s">
        <v>21</v>
      </c>
      <c r="H13450" s="11" t="s">
        <v>63</v>
      </c>
      <c r="I13450" s="13" t="s">
        <v>26267</v>
      </c>
      <c r="J13450" s="14" t="str">
        <f>HYPERLINK("https://www.boe.es/gazeta/dias/1839/05/07/pdfs/GMD-1839-1634.pdf#page=4","Abrir facsímil")</f>
        <v>Abrir facsímil</v>
      </c>
      <c r="K13450" s="12" t="s">
        <v>65</v>
      </c>
    </row>
    <row r="13451" spans="1:11" ht="40.049999999999997" customHeight="1" x14ac:dyDescent="0.25">
      <c r="A13451" s="11" t="s">
        <v>26268</v>
      </c>
      <c r="B13451" s="11" t="s">
        <v>26269</v>
      </c>
      <c r="C13451" s="11" t="s">
        <v>17</v>
      </c>
      <c r="D13451" s="11" t="s">
        <v>18</v>
      </c>
      <c r="E13451" s="12" t="s">
        <v>1079</v>
      </c>
      <c r="F13451" s="12" t="s">
        <v>1080</v>
      </c>
      <c r="G13451" s="12" t="s">
        <v>21</v>
      </c>
      <c r="H13451" s="11" t="s">
        <v>22</v>
      </c>
      <c r="I13451" s="13" t="s">
        <v>26270</v>
      </c>
      <c r="J13451" s="14" t="str">
        <f>HYPERLINK("https://www.boe.es/gazeta/dias/1839/05/24/pdfs/GMD-1839-1651.pdf#page=4","Abrir facsímil")</f>
        <v>Abrir facsímil</v>
      </c>
      <c r="K13451" s="12" t="s">
        <v>24</v>
      </c>
    </row>
    <row r="13452" spans="1:11" ht="40.049999999999997" customHeight="1" x14ac:dyDescent="0.25">
      <c r="A13452" s="11" t="s">
        <v>26271</v>
      </c>
      <c r="B13452" s="11" t="s">
        <v>26272</v>
      </c>
      <c r="C13452" s="11" t="s">
        <v>80</v>
      </c>
      <c r="D13452" s="11" t="s">
        <v>18</v>
      </c>
      <c r="E13452" s="12" t="s">
        <v>1079</v>
      </c>
      <c r="F13452" s="12" t="s">
        <v>1080</v>
      </c>
      <c r="G13452" s="12" t="s">
        <v>21</v>
      </c>
      <c r="H13452" s="11" t="s">
        <v>63</v>
      </c>
      <c r="I13452" s="13" t="s">
        <v>26273</v>
      </c>
      <c r="J13452" s="14" t="str">
        <f>HYPERLINK("https://www.boe.es/gazeta/dias/1839/05/24/pdfs/GMD-1839-1651.pdf#page=4","Abrir facsímil")</f>
        <v>Abrir facsímil</v>
      </c>
      <c r="K13452" s="12" t="s">
        <v>65</v>
      </c>
    </row>
    <row r="13453" spans="1:11" ht="40.049999999999997" customHeight="1" x14ac:dyDescent="0.25">
      <c r="A13453" s="11" t="s">
        <v>26274</v>
      </c>
      <c r="B13453" s="11" t="s">
        <v>26275</v>
      </c>
      <c r="C13453" s="11" t="s">
        <v>17</v>
      </c>
      <c r="D13453" s="11" t="s">
        <v>18</v>
      </c>
      <c r="E13453" s="12" t="s">
        <v>258</v>
      </c>
      <c r="F13453" s="12" t="s">
        <v>259</v>
      </c>
      <c r="G13453" s="12" t="s">
        <v>21</v>
      </c>
      <c r="H13453" s="11" t="s">
        <v>22</v>
      </c>
      <c r="I13453" s="13" t="s">
        <v>26276</v>
      </c>
      <c r="J13453" s="14" t="str">
        <f>HYPERLINK("https://www.boe.es/gazeta/dias/1839/01/02/pdfs/GMD-1839-1509.pdf#page=4","Abrir facsímil")</f>
        <v>Abrir facsímil</v>
      </c>
      <c r="K13453" s="12" t="s">
        <v>24</v>
      </c>
    </row>
    <row r="13454" spans="1:11" ht="40.049999999999997" customHeight="1" x14ac:dyDescent="0.25">
      <c r="A13454" s="11" t="s">
        <v>26277</v>
      </c>
      <c r="B13454" s="11" t="s">
        <v>26278</v>
      </c>
      <c r="C13454" s="11" t="s">
        <v>17</v>
      </c>
      <c r="D13454" s="11" t="s">
        <v>18</v>
      </c>
      <c r="E13454" s="12" t="s">
        <v>462</v>
      </c>
      <c r="F13454" s="12" t="s">
        <v>463</v>
      </c>
      <c r="G13454" s="12" t="s">
        <v>46</v>
      </c>
      <c r="H13454" s="11" t="s">
        <v>63</v>
      </c>
      <c r="I13454" s="13" t="s">
        <v>26279</v>
      </c>
      <c r="J13454" s="14" t="str">
        <f>HYPERLINK("https://www.boe.es/gazeta/dias/1839/06/19/pdfs/GMD-1839-1677.pdf#page=3","Abrir facsímil")</f>
        <v>Abrir facsímil</v>
      </c>
      <c r="K13454" s="12" t="s">
        <v>65</v>
      </c>
    </row>
    <row r="13455" spans="1:11" ht="40.049999999999997" customHeight="1" x14ac:dyDescent="0.25">
      <c r="A13455" s="11" t="s">
        <v>26280</v>
      </c>
      <c r="B13455" s="11" t="s">
        <v>26281</v>
      </c>
      <c r="C13455" s="11" t="s">
        <v>59</v>
      </c>
      <c r="D13455" s="11" t="s">
        <v>60</v>
      </c>
      <c r="E13455" s="12" t="s">
        <v>202</v>
      </c>
      <c r="F13455" s="12" t="s">
        <v>203</v>
      </c>
      <c r="G13455" s="12" t="s">
        <v>40</v>
      </c>
      <c r="H13455" s="11" t="s">
        <v>63</v>
      </c>
      <c r="I13455" s="13" t="s">
        <v>26282</v>
      </c>
      <c r="J13455" s="14" t="str">
        <f>HYPERLINK("https://www.boe.es/gazeta/dias/1839/04/05/pdfs/GMD-1839-1602.pdf#page=2","Abrir facsímil")</f>
        <v>Abrir facsímil</v>
      </c>
      <c r="K13455" s="12" t="s">
        <v>65</v>
      </c>
    </row>
    <row r="13456" spans="1:11" ht="40.049999999999997" customHeight="1" x14ac:dyDescent="0.25">
      <c r="A13456" s="11" t="s">
        <v>26283</v>
      </c>
      <c r="B13456" s="11" t="s">
        <v>26283</v>
      </c>
      <c r="C13456" s="11" t="s">
        <v>80</v>
      </c>
      <c r="D13456" s="11" t="s">
        <v>18</v>
      </c>
      <c r="E13456" s="12" t="s">
        <v>1813</v>
      </c>
      <c r="F13456" s="12" t="s">
        <v>1814</v>
      </c>
      <c r="G13456" s="12" t="s">
        <v>46</v>
      </c>
      <c r="H13456" s="11" t="s">
        <v>63</v>
      </c>
      <c r="I13456" s="13" t="s">
        <v>26284</v>
      </c>
      <c r="J13456" s="14" t="str">
        <f>HYPERLINK("https://www.boe.es/gazeta/dias/1839/09/02/pdfs/GMD-1839-1754.pdf#page=3","Abrir facsímil")</f>
        <v>Abrir facsímil</v>
      </c>
      <c r="K13456" s="12" t="s">
        <v>65</v>
      </c>
    </row>
    <row r="13457" spans="1:11" ht="40.049999999999997" customHeight="1" x14ac:dyDescent="0.25">
      <c r="A13457" s="11" t="s">
        <v>26285</v>
      </c>
      <c r="B13457" s="11" t="s">
        <v>26285</v>
      </c>
      <c r="C13457" s="11" t="s">
        <v>17</v>
      </c>
      <c r="D13457" s="11" t="s">
        <v>18</v>
      </c>
      <c r="E13457" s="12" t="s">
        <v>385</v>
      </c>
      <c r="F13457" s="12" t="s">
        <v>386</v>
      </c>
      <c r="G13457" s="12" t="s">
        <v>21</v>
      </c>
      <c r="H13457" s="11" t="s">
        <v>63</v>
      </c>
      <c r="I13457" s="13" t="s">
        <v>26286</v>
      </c>
      <c r="J13457" s="14" t="str">
        <f>HYPERLINK("https://www.boe.es/gazeta/dias/1839/08/01/pdfs/GMD-1839-1721.pdf#page=4","Abrir facsímil")</f>
        <v>Abrir facsímil</v>
      </c>
      <c r="K13457" s="12" t="s">
        <v>65</v>
      </c>
    </row>
    <row r="13458" spans="1:11" ht="40.049999999999997" customHeight="1" x14ac:dyDescent="0.25">
      <c r="A13458" s="11" t="s">
        <v>26285</v>
      </c>
      <c r="B13458" s="11" t="s">
        <v>26285</v>
      </c>
      <c r="C13458" s="11" t="s">
        <v>17</v>
      </c>
      <c r="D13458" s="11" t="s">
        <v>18</v>
      </c>
      <c r="E13458" s="12" t="s">
        <v>108</v>
      </c>
      <c r="F13458" s="12" t="s">
        <v>109</v>
      </c>
      <c r="G13458" s="12" t="s">
        <v>46</v>
      </c>
      <c r="H13458" s="11" t="s">
        <v>63</v>
      </c>
      <c r="I13458" s="13" t="s">
        <v>26287</v>
      </c>
      <c r="J13458" s="14" t="str">
        <f>HYPERLINK("https://www.boe.es/gazeta/dias/1839/01/04/pdfs/GMD-1839-1511.pdf#page=3","Abrir facsímil")</f>
        <v>Abrir facsímil</v>
      </c>
      <c r="K13458" s="12" t="s">
        <v>65</v>
      </c>
    </row>
    <row r="13459" spans="1:11" ht="40.049999999999997" customHeight="1" x14ac:dyDescent="0.25">
      <c r="A13459" s="11" t="s">
        <v>26285</v>
      </c>
      <c r="B13459" s="11" t="s">
        <v>26285</v>
      </c>
      <c r="C13459" s="11" t="s">
        <v>101</v>
      </c>
      <c r="D13459" s="11" t="s">
        <v>43</v>
      </c>
      <c r="E13459" s="12" t="s">
        <v>2210</v>
      </c>
      <c r="F13459" s="12" t="s">
        <v>2211</v>
      </c>
      <c r="G13459" s="12" t="s">
        <v>46</v>
      </c>
      <c r="H13459" s="11" t="s">
        <v>63</v>
      </c>
      <c r="I13459" s="13" t="s">
        <v>26288</v>
      </c>
      <c r="J13459" s="14" t="str">
        <f>HYPERLINK("https://www.boe.es/gazeta/dias/1839/09/05/pdfs/GMD-1839-1758.pdf#page=3","Abrir facsímil")</f>
        <v>Abrir facsímil</v>
      </c>
      <c r="K13459" s="12" t="s">
        <v>65</v>
      </c>
    </row>
    <row r="13460" spans="1:11" ht="40.049999999999997" customHeight="1" x14ac:dyDescent="0.25">
      <c r="A13460" s="11" t="s">
        <v>26289</v>
      </c>
      <c r="B13460" s="11" t="s">
        <v>26289</v>
      </c>
      <c r="C13460" s="11" t="s">
        <v>17</v>
      </c>
      <c r="D13460" s="11" t="s">
        <v>18</v>
      </c>
      <c r="E13460" s="12" t="s">
        <v>2165</v>
      </c>
      <c r="F13460" s="12" t="s">
        <v>2166</v>
      </c>
      <c r="G13460" s="12" t="s">
        <v>46</v>
      </c>
      <c r="H13460" s="11" t="s">
        <v>22</v>
      </c>
      <c r="I13460" s="13" t="s">
        <v>26290</v>
      </c>
      <c r="J13460" s="14" t="str">
        <f>HYPERLINK("https://www.boe.es/gazeta/dias/1839/01/06/pdfs/GMD-1839-1513.pdf#page=3","Abrir facsímil")</f>
        <v>Abrir facsímil</v>
      </c>
      <c r="K13460" s="12" t="s">
        <v>24</v>
      </c>
    </row>
    <row r="13461" spans="1:11" ht="40.049999999999997" customHeight="1" x14ac:dyDescent="0.25">
      <c r="A13461" s="11" t="s">
        <v>26285</v>
      </c>
      <c r="B13461" s="11" t="s">
        <v>26285</v>
      </c>
      <c r="C13461" s="11" t="s">
        <v>101</v>
      </c>
      <c r="D13461" s="11" t="s">
        <v>43</v>
      </c>
      <c r="E13461" s="12" t="s">
        <v>2165</v>
      </c>
      <c r="F13461" s="12" t="s">
        <v>2166</v>
      </c>
      <c r="G13461" s="12" t="s">
        <v>21</v>
      </c>
      <c r="H13461" s="11" t="s">
        <v>63</v>
      </c>
      <c r="I13461" s="13" t="s">
        <v>26291</v>
      </c>
      <c r="J13461" s="14" t="str">
        <f>HYPERLINK("https://www.boe.es/gazeta/dias/1839/01/06/pdfs/GMD-1839-1513.pdf#page=4","Abrir facsímil")</f>
        <v>Abrir facsímil</v>
      </c>
      <c r="K13461" s="12" t="s">
        <v>65</v>
      </c>
    </row>
    <row r="13462" spans="1:11" ht="40.049999999999997" customHeight="1" x14ac:dyDescent="0.25">
      <c r="A13462" s="11" t="s">
        <v>26285</v>
      </c>
      <c r="B13462" s="11" t="s">
        <v>26285</v>
      </c>
      <c r="C13462" s="11" t="s">
        <v>80</v>
      </c>
      <c r="D13462" s="11" t="s">
        <v>18</v>
      </c>
      <c r="E13462" s="12" t="s">
        <v>2738</v>
      </c>
      <c r="F13462" s="12" t="s">
        <v>2739</v>
      </c>
      <c r="G13462" s="12" t="s">
        <v>21</v>
      </c>
      <c r="H13462" s="11" t="s">
        <v>63</v>
      </c>
      <c r="I13462" s="13" t="s">
        <v>26292</v>
      </c>
      <c r="J13462" s="14" t="str">
        <f>HYPERLINK("https://www.boe.es/gazeta/dias/1839/09/06/pdfs/GMD-1839-1759.pdf#page=4","Abrir facsímil")</f>
        <v>Abrir facsímil</v>
      </c>
      <c r="K13462" s="12" t="s">
        <v>65</v>
      </c>
    </row>
    <row r="13463" spans="1:11" ht="40.049999999999997" customHeight="1" x14ac:dyDescent="0.25">
      <c r="A13463" s="11" t="s">
        <v>26285</v>
      </c>
      <c r="B13463" s="11" t="s">
        <v>26285</v>
      </c>
      <c r="C13463" s="11" t="s">
        <v>17</v>
      </c>
      <c r="D13463" s="11" t="s">
        <v>18</v>
      </c>
      <c r="E13463" s="12" t="s">
        <v>1623</v>
      </c>
      <c r="F13463" s="12" t="s">
        <v>1624</v>
      </c>
      <c r="G13463" s="12" t="s">
        <v>21</v>
      </c>
      <c r="H13463" s="11" t="s">
        <v>63</v>
      </c>
      <c r="I13463" s="13" t="s">
        <v>26293</v>
      </c>
      <c r="J13463" s="14" t="str">
        <f>HYPERLINK("https://www.boe.es/gazeta/dias/1839/04/07/pdfs/GMD-1839-1604.pdf#page=4","Abrir facsímil")</f>
        <v>Abrir facsímil</v>
      </c>
      <c r="K13463" s="12" t="s">
        <v>65</v>
      </c>
    </row>
    <row r="13464" spans="1:11" ht="40.049999999999997" customHeight="1" x14ac:dyDescent="0.25">
      <c r="A13464" s="11" t="s">
        <v>26285</v>
      </c>
      <c r="B13464" s="11" t="s">
        <v>26285</v>
      </c>
      <c r="C13464" s="11" t="s">
        <v>137</v>
      </c>
      <c r="D13464" s="11" t="s">
        <v>18</v>
      </c>
      <c r="E13464" s="12" t="s">
        <v>157</v>
      </c>
      <c r="F13464" s="12" t="s">
        <v>158</v>
      </c>
      <c r="G13464" s="12" t="s">
        <v>40</v>
      </c>
      <c r="H13464" s="11" t="s">
        <v>63</v>
      </c>
      <c r="I13464" s="13" t="s">
        <v>26294</v>
      </c>
      <c r="J13464" s="14" t="str">
        <f>HYPERLINK("https://www.boe.es/gazeta/dias/1839/02/08/pdfs/GMD-1839-1546.pdf#page=2","Abrir facsímil")</f>
        <v>Abrir facsímil</v>
      </c>
      <c r="K13464" s="12" t="s">
        <v>65</v>
      </c>
    </row>
    <row r="13465" spans="1:11" ht="40.049999999999997" customHeight="1" x14ac:dyDescent="0.25">
      <c r="A13465" s="11" t="s">
        <v>26285</v>
      </c>
      <c r="B13465" s="11" t="s">
        <v>26285</v>
      </c>
      <c r="C13465" s="11" t="s">
        <v>101</v>
      </c>
      <c r="D13465" s="11" t="s">
        <v>102</v>
      </c>
      <c r="E13465" s="12" t="s">
        <v>1479</v>
      </c>
      <c r="F13465" s="12" t="s">
        <v>1480</v>
      </c>
      <c r="G13465" s="12" t="s">
        <v>21</v>
      </c>
      <c r="H13465" s="11" t="s">
        <v>63</v>
      </c>
      <c r="I13465" s="13" t="s">
        <v>26295</v>
      </c>
      <c r="J13465" s="14" t="str">
        <f>HYPERLINK("https://www.boe.es/gazeta/dias/1839/04/09/pdfs/GMD-1839-1606.pdf#page=4","Abrir facsímil")</f>
        <v>Abrir facsímil</v>
      </c>
      <c r="K13465" s="12" t="s">
        <v>65</v>
      </c>
    </row>
    <row r="13466" spans="1:11" ht="40.049999999999997" customHeight="1" x14ac:dyDescent="0.25">
      <c r="A13466" s="11" t="s">
        <v>26285</v>
      </c>
      <c r="B13466" s="11" t="s">
        <v>26285</v>
      </c>
      <c r="C13466" s="11" t="s">
        <v>59</v>
      </c>
      <c r="D13466" s="11" t="s">
        <v>60</v>
      </c>
      <c r="E13466" s="12" t="s">
        <v>984</v>
      </c>
      <c r="F13466" s="12" t="s">
        <v>985</v>
      </c>
      <c r="G13466" s="12" t="s">
        <v>46</v>
      </c>
      <c r="H13466" s="11" t="s">
        <v>63</v>
      </c>
      <c r="I13466" s="13" t="s">
        <v>26296</v>
      </c>
      <c r="J13466" s="14" t="str">
        <f>HYPERLINK("https://www.boe.es/gazeta/dias/1839/04/10/pdfs/GMD-1839-1607.pdf#page=3","Abrir facsímil")</f>
        <v>Abrir facsímil</v>
      </c>
      <c r="K13466" s="12" t="s">
        <v>65</v>
      </c>
    </row>
    <row r="13467" spans="1:11" ht="40.049999999999997" customHeight="1" x14ac:dyDescent="0.25">
      <c r="A13467" s="11" t="s">
        <v>26285</v>
      </c>
      <c r="B13467" s="11" t="s">
        <v>26285</v>
      </c>
      <c r="C13467" s="11" t="s">
        <v>101</v>
      </c>
      <c r="D13467" s="11" t="s">
        <v>43</v>
      </c>
      <c r="E13467" s="12" t="s">
        <v>61</v>
      </c>
      <c r="F13467" s="12" t="s">
        <v>62</v>
      </c>
      <c r="G13467" s="12" t="s">
        <v>40</v>
      </c>
      <c r="H13467" s="11" t="s">
        <v>63</v>
      </c>
      <c r="I13467" s="13" t="s">
        <v>26297</v>
      </c>
      <c r="J13467" s="14" t="str">
        <f>HYPERLINK("https://www.boe.es/gazeta/dias/1839/09/10/pdfs/GMD-1839-1763.pdf#page=2","Abrir facsímil")</f>
        <v>Abrir facsímil</v>
      </c>
      <c r="K13467" s="12" t="s">
        <v>65</v>
      </c>
    </row>
    <row r="13468" spans="1:11" ht="40.049999999999997" customHeight="1" x14ac:dyDescent="0.25">
      <c r="A13468" s="11" t="s">
        <v>26285</v>
      </c>
      <c r="B13468" s="11" t="s">
        <v>26285</v>
      </c>
      <c r="C13468" s="11" t="s">
        <v>17</v>
      </c>
      <c r="D13468" s="11" t="s">
        <v>18</v>
      </c>
      <c r="E13468" s="12" t="s">
        <v>163</v>
      </c>
      <c r="F13468" s="12" t="s">
        <v>164</v>
      </c>
      <c r="G13468" s="12" t="s">
        <v>46</v>
      </c>
      <c r="H13468" s="11" t="s">
        <v>63</v>
      </c>
      <c r="I13468" s="13" t="s">
        <v>26298</v>
      </c>
      <c r="J13468" s="14" t="str">
        <f>HYPERLINK("https://www.boe.es/gazeta/dias/1839/01/13/pdfs/GMD-1839-1520.pdf#page=3","Abrir facsímil")</f>
        <v>Abrir facsímil</v>
      </c>
      <c r="K13468" s="12" t="s">
        <v>65</v>
      </c>
    </row>
    <row r="13469" spans="1:11" ht="40.049999999999997" customHeight="1" x14ac:dyDescent="0.25">
      <c r="A13469" s="11" t="s">
        <v>26285</v>
      </c>
      <c r="B13469" s="11" t="s">
        <v>26285</v>
      </c>
      <c r="C13469" s="11" t="s">
        <v>17</v>
      </c>
      <c r="D13469" s="11" t="s">
        <v>18</v>
      </c>
      <c r="E13469" s="12" t="s">
        <v>1236</v>
      </c>
      <c r="F13469" s="12" t="s">
        <v>1237</v>
      </c>
      <c r="G13469" s="12" t="s">
        <v>40</v>
      </c>
      <c r="H13469" s="11" t="s">
        <v>63</v>
      </c>
      <c r="I13469" s="13" t="s">
        <v>26299</v>
      </c>
      <c r="J13469" s="14" t="str">
        <f>HYPERLINK("https://www.boe.es/gazeta/dias/1839/10/16/pdfs/GMD-1839-1802.pdf#page=2","Abrir facsímil")</f>
        <v>Abrir facsímil</v>
      </c>
      <c r="K13469" s="12" t="s">
        <v>65</v>
      </c>
    </row>
    <row r="13470" spans="1:11" ht="40.049999999999997" customHeight="1" x14ac:dyDescent="0.25">
      <c r="A13470" s="11" t="s">
        <v>26285</v>
      </c>
      <c r="B13470" s="11" t="s">
        <v>26285</v>
      </c>
      <c r="C13470" s="11" t="s">
        <v>17</v>
      </c>
      <c r="D13470" s="11" t="s">
        <v>18</v>
      </c>
      <c r="E13470" s="12" t="s">
        <v>1537</v>
      </c>
      <c r="F13470" s="12" t="s">
        <v>1538</v>
      </c>
      <c r="G13470" s="12" t="s">
        <v>40</v>
      </c>
      <c r="H13470" s="11" t="s">
        <v>63</v>
      </c>
      <c r="I13470" s="13" t="s">
        <v>26300</v>
      </c>
      <c r="J13470" s="14" t="str">
        <f>HYPERLINK("https://www.boe.es/gazeta/dias/1839/12/16/pdfs/GMD-1839-1863.pdf#page=2","Abrir facsímil")</f>
        <v>Abrir facsímil</v>
      </c>
      <c r="K13470" s="12" t="s">
        <v>65</v>
      </c>
    </row>
    <row r="13471" spans="1:11" ht="40.049999999999997" customHeight="1" x14ac:dyDescent="0.25">
      <c r="A13471" s="11" t="s">
        <v>26285</v>
      </c>
      <c r="B13471" s="11" t="s">
        <v>26285</v>
      </c>
      <c r="C13471" s="11" t="s">
        <v>17</v>
      </c>
      <c r="D13471" s="11" t="s">
        <v>18</v>
      </c>
      <c r="E13471" s="12" t="s">
        <v>2021</v>
      </c>
      <c r="F13471" s="12" t="s">
        <v>2022</v>
      </c>
      <c r="G13471" s="12" t="s">
        <v>29</v>
      </c>
      <c r="H13471" s="11" t="s">
        <v>63</v>
      </c>
      <c r="I13471" s="13" t="s">
        <v>26301</v>
      </c>
      <c r="J13471" s="14" t="str">
        <f>HYPERLINK("https://www.boe.es/gazeta/dias/1839/02/17/pdfs/GMD-1839-1555.pdf#page=1","Abrir facsímil")</f>
        <v>Abrir facsímil</v>
      </c>
      <c r="K13471" s="12" t="s">
        <v>65</v>
      </c>
    </row>
    <row r="13472" spans="1:11" ht="40.049999999999997" customHeight="1" x14ac:dyDescent="0.25">
      <c r="A13472" s="11" t="s">
        <v>26285</v>
      </c>
      <c r="B13472" s="11" t="s">
        <v>26285</v>
      </c>
      <c r="C13472" s="11" t="s">
        <v>101</v>
      </c>
      <c r="D13472" s="11" t="s">
        <v>43</v>
      </c>
      <c r="E13472" s="12" t="s">
        <v>1179</v>
      </c>
      <c r="F13472" s="12" t="s">
        <v>1180</v>
      </c>
      <c r="G13472" s="12" t="s">
        <v>21</v>
      </c>
      <c r="H13472" s="11" t="s">
        <v>63</v>
      </c>
      <c r="I13472" s="13" t="s">
        <v>26302</v>
      </c>
      <c r="J13472" s="14" t="str">
        <f>HYPERLINK("https://www.boe.es/gazeta/dias/1839/10/18/pdfs/GMD-1839-1804.pdf#page=4","Abrir facsímil")</f>
        <v>Abrir facsímil</v>
      </c>
      <c r="K13472" s="12" t="s">
        <v>65</v>
      </c>
    </row>
    <row r="13473" spans="1:11" ht="40.049999999999997" customHeight="1" x14ac:dyDescent="0.25">
      <c r="A13473" s="11" t="s">
        <v>26285</v>
      </c>
      <c r="B13473" s="11" t="s">
        <v>26285</v>
      </c>
      <c r="C13473" s="11" t="s">
        <v>137</v>
      </c>
      <c r="D13473" s="11" t="s">
        <v>18</v>
      </c>
      <c r="E13473" s="12" t="s">
        <v>713</v>
      </c>
      <c r="F13473" s="12" t="s">
        <v>714</v>
      </c>
      <c r="G13473" s="12" t="s">
        <v>21</v>
      </c>
      <c r="H13473" s="11" t="s">
        <v>63</v>
      </c>
      <c r="I13473" s="13" t="s">
        <v>26303</v>
      </c>
      <c r="J13473" s="14" t="str">
        <f>HYPERLINK("https://www.boe.es/gazeta/dias/1839/12/18/pdfs/GMD-1839-1865.pdf#page=4","Abrir facsímil")</f>
        <v>Abrir facsímil</v>
      </c>
      <c r="K13473" s="12" t="s">
        <v>65</v>
      </c>
    </row>
    <row r="13474" spans="1:11" ht="40.049999999999997" customHeight="1" x14ac:dyDescent="0.25">
      <c r="A13474" s="11" t="s">
        <v>26285</v>
      </c>
      <c r="B13474" s="11" t="s">
        <v>26285</v>
      </c>
      <c r="C13474" s="11" t="s">
        <v>17</v>
      </c>
      <c r="D13474" s="11" t="s">
        <v>18</v>
      </c>
      <c r="E13474" s="12" t="s">
        <v>239</v>
      </c>
      <c r="F13474" s="12" t="s">
        <v>240</v>
      </c>
      <c r="G13474" s="12" t="s">
        <v>40</v>
      </c>
      <c r="H13474" s="11" t="s">
        <v>63</v>
      </c>
      <c r="I13474" s="13" t="s">
        <v>26304</v>
      </c>
      <c r="J13474" s="14" t="str">
        <f>HYPERLINK("https://www.boe.es/gazeta/dias/1839/09/22/pdfs/GMD-1839-1777.pdf#page=2","Abrir facsímil")</f>
        <v>Abrir facsímil</v>
      </c>
      <c r="K13474" s="12" t="s">
        <v>65</v>
      </c>
    </row>
    <row r="13475" spans="1:11" ht="40.049999999999997" customHeight="1" x14ac:dyDescent="0.25">
      <c r="A13475" s="11" t="s">
        <v>26285</v>
      </c>
      <c r="B13475" s="11" t="s">
        <v>26285</v>
      </c>
      <c r="C13475" s="11" t="s">
        <v>17</v>
      </c>
      <c r="D13475" s="11" t="s">
        <v>18</v>
      </c>
      <c r="E13475" s="12" t="s">
        <v>2415</v>
      </c>
      <c r="F13475" s="12" t="s">
        <v>2416</v>
      </c>
      <c r="G13475" s="12" t="s">
        <v>46</v>
      </c>
      <c r="H13475" s="11" t="s">
        <v>63</v>
      </c>
      <c r="I13475" s="13" t="s">
        <v>26305</v>
      </c>
      <c r="J13475" s="14" t="str">
        <f>HYPERLINK("https://www.boe.es/gazeta/dias/1839/12/22/pdfs/GMD-1839-1869.pdf#page=3","Abrir facsímil")</f>
        <v>Abrir facsímil</v>
      </c>
      <c r="K13475" s="12" t="s">
        <v>65</v>
      </c>
    </row>
    <row r="13476" spans="1:11" ht="40.049999999999997" customHeight="1" x14ac:dyDescent="0.25">
      <c r="A13476" s="11" t="s">
        <v>26285</v>
      </c>
      <c r="B13476" s="11" t="s">
        <v>26285</v>
      </c>
      <c r="C13476" s="11" t="s">
        <v>137</v>
      </c>
      <c r="D13476" s="11" t="s">
        <v>18</v>
      </c>
      <c r="E13476" s="12" t="s">
        <v>416</v>
      </c>
      <c r="F13476" s="12" t="s">
        <v>417</v>
      </c>
      <c r="G13476" s="12" t="s">
        <v>40</v>
      </c>
      <c r="H13476" s="11" t="s">
        <v>63</v>
      </c>
      <c r="I13476" s="13" t="s">
        <v>26306</v>
      </c>
      <c r="J13476" s="14" t="str">
        <f>HYPERLINK("https://www.boe.es/gazeta/dias/1839/10/24/pdfs/GMD-1839-1810.pdf#page=2","Abrir facsímil")</f>
        <v>Abrir facsímil</v>
      </c>
      <c r="K13476" s="12" t="s">
        <v>65</v>
      </c>
    </row>
    <row r="13477" spans="1:11" ht="40.049999999999997" customHeight="1" x14ac:dyDescent="0.25">
      <c r="A13477" s="11" t="s">
        <v>26285</v>
      </c>
      <c r="B13477" s="11" t="s">
        <v>26285</v>
      </c>
      <c r="C13477" s="11" t="s">
        <v>17</v>
      </c>
      <c r="D13477" s="11" t="s">
        <v>18</v>
      </c>
      <c r="E13477" s="12" t="s">
        <v>926</v>
      </c>
      <c r="F13477" s="12" t="s">
        <v>927</v>
      </c>
      <c r="G13477" s="12" t="s">
        <v>21</v>
      </c>
      <c r="H13477" s="11" t="s">
        <v>63</v>
      </c>
      <c r="I13477" s="13" t="s">
        <v>26307</v>
      </c>
      <c r="J13477" s="14" t="str">
        <f>HYPERLINK("https://www.boe.es/gazeta/dias/1839/01/25/pdfs/GMD-1839-1532.pdf#page=4","Abrir facsímil")</f>
        <v>Abrir facsímil</v>
      </c>
      <c r="K13477" s="12" t="s">
        <v>65</v>
      </c>
    </row>
    <row r="13478" spans="1:11" ht="40.049999999999997" customHeight="1" x14ac:dyDescent="0.25">
      <c r="A13478" s="11" t="s">
        <v>26285</v>
      </c>
      <c r="B13478" s="11" t="s">
        <v>26285</v>
      </c>
      <c r="C13478" s="11" t="s">
        <v>80</v>
      </c>
      <c r="D13478" s="11" t="s">
        <v>18</v>
      </c>
      <c r="E13478" s="12" t="s">
        <v>1183</v>
      </c>
      <c r="F13478" s="12" t="s">
        <v>1184</v>
      </c>
      <c r="G13478" s="12" t="s">
        <v>21</v>
      </c>
      <c r="H13478" s="11" t="s">
        <v>63</v>
      </c>
      <c r="I13478" s="13" t="s">
        <v>26308</v>
      </c>
      <c r="J13478" s="14" t="str">
        <f>HYPERLINK("https://www.boe.es/gazeta/dias/1839/07/26/pdfs/GMD-1839-1715.pdf#page=4","Abrir facsímil")</f>
        <v>Abrir facsímil</v>
      </c>
      <c r="K13478" s="12" t="s">
        <v>65</v>
      </c>
    </row>
    <row r="13479" spans="1:11" ht="40.049999999999997" customHeight="1" x14ac:dyDescent="0.25">
      <c r="A13479" s="11" t="s">
        <v>26285</v>
      </c>
      <c r="B13479" s="11" t="s">
        <v>26285</v>
      </c>
      <c r="C13479" s="11" t="s">
        <v>17</v>
      </c>
      <c r="D13479" s="11" t="s">
        <v>18</v>
      </c>
      <c r="E13479" s="12" t="s">
        <v>284</v>
      </c>
      <c r="F13479" s="12" t="s">
        <v>285</v>
      </c>
      <c r="G13479" s="12" t="s">
        <v>46</v>
      </c>
      <c r="H13479" s="11" t="s">
        <v>63</v>
      </c>
      <c r="I13479" s="13" t="s">
        <v>26309</v>
      </c>
      <c r="J13479" s="14" t="str">
        <f>HYPERLINK("https://www.boe.es/gazeta/dias/1839/01/27/pdfs/GMD-1839-1534.pdf#page=3","Abrir facsímil")</f>
        <v>Abrir facsímil</v>
      </c>
      <c r="K13479" s="12" t="s">
        <v>65</v>
      </c>
    </row>
    <row r="13480" spans="1:11" ht="40.049999999999997" customHeight="1" x14ac:dyDescent="0.25">
      <c r="A13480" s="11" t="s">
        <v>26285</v>
      </c>
      <c r="B13480" s="11" t="s">
        <v>26285</v>
      </c>
      <c r="C13480" s="11" t="s">
        <v>59</v>
      </c>
      <c r="D13480" s="11" t="s">
        <v>60</v>
      </c>
      <c r="E13480" s="12" t="s">
        <v>1520</v>
      </c>
      <c r="F13480" s="12" t="s">
        <v>1521</v>
      </c>
      <c r="G13480" s="12" t="s">
        <v>29</v>
      </c>
      <c r="H13480" s="11" t="s">
        <v>63</v>
      </c>
      <c r="I13480" s="13" t="s">
        <v>26310</v>
      </c>
      <c r="J13480" s="14" t="str">
        <f>HYPERLINK("https://www.boe.es/gazeta/dias/1839/12/27/pdfs/GMD-1839-1874.pdf#page=1","Abrir facsímil")</f>
        <v>Abrir facsímil</v>
      </c>
      <c r="K13480" s="12" t="s">
        <v>65</v>
      </c>
    </row>
    <row r="13481" spans="1:11" ht="40.049999999999997" customHeight="1" x14ac:dyDescent="0.25">
      <c r="A13481" s="11" t="s">
        <v>26289</v>
      </c>
      <c r="B13481" s="11" t="s">
        <v>26289</v>
      </c>
      <c r="C13481" s="11" t="s">
        <v>17</v>
      </c>
      <c r="D13481" s="11" t="s">
        <v>18</v>
      </c>
      <c r="E13481" s="12" t="s">
        <v>1807</v>
      </c>
      <c r="F13481" s="12" t="s">
        <v>1808</v>
      </c>
      <c r="G13481" s="12" t="s">
        <v>40</v>
      </c>
      <c r="H13481" s="11" t="s">
        <v>22</v>
      </c>
      <c r="I13481" s="13" t="s">
        <v>26311</v>
      </c>
      <c r="J13481" s="14" t="str">
        <f>HYPERLINK("https://www.boe.es/gazeta/dias/1839/01/29/pdfs/GMD-1839-1536.pdf#page=2","Abrir facsímil")</f>
        <v>Abrir facsímil</v>
      </c>
      <c r="K13481" s="12" t="s">
        <v>24</v>
      </c>
    </row>
    <row r="13482" spans="1:11" ht="40.049999999999997" customHeight="1" x14ac:dyDescent="0.25">
      <c r="A13482" s="11" t="s">
        <v>26285</v>
      </c>
      <c r="B13482" s="11" t="s">
        <v>26285</v>
      </c>
      <c r="C13482" s="11" t="s">
        <v>17</v>
      </c>
      <c r="D13482" s="11" t="s">
        <v>18</v>
      </c>
      <c r="E13482" s="12" t="s">
        <v>1988</v>
      </c>
      <c r="F13482" s="12" t="s">
        <v>1989</v>
      </c>
      <c r="G13482" s="12" t="s">
        <v>40</v>
      </c>
      <c r="H13482" s="11" t="s">
        <v>63</v>
      </c>
      <c r="I13482" s="13" t="s">
        <v>26312</v>
      </c>
      <c r="J13482" s="14" t="str">
        <f>HYPERLINK("https://www.boe.es/gazeta/dias/1839/10/29/pdfs/GMD-1839-1815.pdf#page=2","Abrir facsímil")</f>
        <v>Abrir facsímil</v>
      </c>
      <c r="K13482" s="12" t="s">
        <v>65</v>
      </c>
    </row>
    <row r="13483" spans="1:11" ht="40.049999999999997" customHeight="1" x14ac:dyDescent="0.25">
      <c r="A13483" s="11" t="s">
        <v>26313</v>
      </c>
      <c r="B13483" s="11" t="s">
        <v>26314</v>
      </c>
      <c r="C13483" s="11" t="s">
        <v>80</v>
      </c>
      <c r="D13483" s="11" t="s">
        <v>173</v>
      </c>
      <c r="E13483" s="12" t="s">
        <v>1019</v>
      </c>
      <c r="F13483" s="12" t="s">
        <v>1020</v>
      </c>
      <c r="G13483" s="12" t="s">
        <v>21</v>
      </c>
      <c r="H13483" s="11" t="s">
        <v>63</v>
      </c>
      <c r="I13483" s="13" t="s">
        <v>26315</v>
      </c>
      <c r="J13483" s="14" t="str">
        <f>HYPERLINK("https://www.boe.es/gazeta/dias/1839/07/15/pdfs/GMD-1839-1703.pdf#page=4","Abrir facsímil")</f>
        <v>Abrir facsímil</v>
      </c>
      <c r="K13483" s="12" t="s">
        <v>65</v>
      </c>
    </row>
    <row r="13484" spans="1:11" ht="40.049999999999997" customHeight="1" x14ac:dyDescent="0.25">
      <c r="A13484" s="11" t="s">
        <v>26313</v>
      </c>
      <c r="B13484" s="11" t="s">
        <v>26314</v>
      </c>
      <c r="C13484" s="11" t="s">
        <v>80</v>
      </c>
      <c r="D13484" s="11" t="s">
        <v>18</v>
      </c>
      <c r="E13484" s="12" t="s">
        <v>89</v>
      </c>
      <c r="F13484" s="12" t="s">
        <v>90</v>
      </c>
      <c r="G13484" s="12" t="s">
        <v>21</v>
      </c>
      <c r="H13484" s="11" t="s">
        <v>63</v>
      </c>
      <c r="I13484" s="13" t="s">
        <v>26316</v>
      </c>
      <c r="J13484" s="14" t="str">
        <f>HYPERLINK("https://www.boe.es/gazeta/dias/1839/11/28/pdfs/GMD-1839-1845.pdf#page=4","Abrir facsímil")</f>
        <v>Abrir facsímil</v>
      </c>
      <c r="K13484" s="12" t="s">
        <v>65</v>
      </c>
    </row>
    <row r="13485" spans="1:11" ht="40.049999999999997" customHeight="1" x14ac:dyDescent="0.25">
      <c r="A13485" s="11" t="s">
        <v>26317</v>
      </c>
      <c r="B13485" s="11" t="s">
        <v>26318</v>
      </c>
      <c r="C13485" s="11" t="s">
        <v>137</v>
      </c>
      <c r="D13485" s="11" t="s">
        <v>18</v>
      </c>
      <c r="E13485" s="12" t="s">
        <v>1012</v>
      </c>
      <c r="F13485" s="12" t="s">
        <v>1013</v>
      </c>
      <c r="G13485" s="12" t="s">
        <v>29</v>
      </c>
      <c r="H13485" s="11" t="s">
        <v>63</v>
      </c>
      <c r="I13485" s="13" t="s">
        <v>26319</v>
      </c>
      <c r="J13485" s="14" t="str">
        <f>HYPERLINK("https://www.boe.es/gazeta/dias/1839/11/22/pdfs/GMD-1839-1839.pdf#page=1","Abrir facsímil")</f>
        <v>Abrir facsímil</v>
      </c>
      <c r="K13485" s="12" t="s">
        <v>65</v>
      </c>
    </row>
    <row r="13486" spans="1:11" ht="40.049999999999997" customHeight="1" x14ac:dyDescent="0.25">
      <c r="A13486" s="11" t="s">
        <v>26320</v>
      </c>
      <c r="B13486" s="11" t="s">
        <v>26321</v>
      </c>
      <c r="C13486" s="11" t="s">
        <v>80</v>
      </c>
      <c r="D13486" s="11" t="s">
        <v>18</v>
      </c>
      <c r="E13486" s="12" t="s">
        <v>1909</v>
      </c>
      <c r="F13486" s="12" t="s">
        <v>1910</v>
      </c>
      <c r="G13486" s="12" t="s">
        <v>21</v>
      </c>
      <c r="H13486" s="11" t="s">
        <v>63</v>
      </c>
      <c r="I13486" s="13" t="s">
        <v>26322</v>
      </c>
      <c r="J13486" s="14" t="str">
        <f>HYPERLINK("https://www.boe.es/gazeta/dias/1839/10/27/pdfs/GMD-1839-1813.pdf#page=4","Abrir facsímil")</f>
        <v>Abrir facsímil</v>
      </c>
      <c r="K13486" s="12" t="s">
        <v>65</v>
      </c>
    </row>
    <row r="13487" spans="1:11" ht="40.049999999999997" customHeight="1" x14ac:dyDescent="0.25">
      <c r="A13487" s="11" t="s">
        <v>26323</v>
      </c>
      <c r="B13487" s="11" t="s">
        <v>26324</v>
      </c>
      <c r="C13487" s="11" t="s">
        <v>17</v>
      </c>
      <c r="D13487" s="11" t="s">
        <v>18</v>
      </c>
      <c r="E13487" s="12" t="s">
        <v>704</v>
      </c>
      <c r="F13487" s="12" t="s">
        <v>705</v>
      </c>
      <c r="G13487" s="12" t="s">
        <v>29</v>
      </c>
      <c r="H13487" s="11" t="s">
        <v>63</v>
      </c>
      <c r="I13487" s="13" t="s">
        <v>26325</v>
      </c>
      <c r="J13487" s="14" t="str">
        <f>HYPERLINK("https://www.boe.es/gazeta/dias/1839/03/02/pdfs/GMD-1839-1568.pdf#page=1","Abrir facsímil")</f>
        <v>Abrir facsímil</v>
      </c>
      <c r="K13487" s="12" t="s">
        <v>65</v>
      </c>
    </row>
    <row r="13488" spans="1:11" ht="40.049999999999997" customHeight="1" x14ac:dyDescent="0.25">
      <c r="A13488" s="11" t="s">
        <v>26323</v>
      </c>
      <c r="B13488" s="11" t="s">
        <v>26324</v>
      </c>
      <c r="C13488" s="11" t="s">
        <v>137</v>
      </c>
      <c r="D13488" s="11" t="s">
        <v>18</v>
      </c>
      <c r="E13488" s="12" t="s">
        <v>782</v>
      </c>
      <c r="F13488" s="12" t="s">
        <v>783</v>
      </c>
      <c r="G13488" s="12" t="s">
        <v>21</v>
      </c>
      <c r="H13488" s="11" t="s">
        <v>63</v>
      </c>
      <c r="I13488" s="13" t="s">
        <v>26326</v>
      </c>
      <c r="J13488" s="14" t="str">
        <f>HYPERLINK("https://www.boe.es/gazeta/dias/1839/05/09/pdfs/GMD-1839-1636.pdf#page=4","Abrir facsímil")</f>
        <v>Abrir facsímil</v>
      </c>
      <c r="K13488" s="12" t="s">
        <v>65</v>
      </c>
    </row>
    <row r="13489" spans="1:11" ht="40.049999999999997" customHeight="1" x14ac:dyDescent="0.25">
      <c r="A13489" s="11" t="s">
        <v>26323</v>
      </c>
      <c r="B13489" s="11" t="s">
        <v>26324</v>
      </c>
      <c r="C13489" s="11" t="s">
        <v>17</v>
      </c>
      <c r="D13489" s="11" t="s">
        <v>18</v>
      </c>
      <c r="E13489" s="12" t="s">
        <v>5806</v>
      </c>
      <c r="F13489" s="12" t="s">
        <v>5807</v>
      </c>
      <c r="G13489" s="12" t="s">
        <v>29</v>
      </c>
      <c r="H13489" s="11" t="s">
        <v>63</v>
      </c>
      <c r="I13489" s="13" t="s">
        <v>26327</v>
      </c>
      <c r="J13489" s="14" t="str">
        <f>HYPERLINK("https://www.boe.es/gazeta/dias/1839/02/16/pdfs/GMD-1839-1554.pdf#page=1","Abrir facsímil")</f>
        <v>Abrir facsímil</v>
      </c>
      <c r="K13489" s="12" t="s">
        <v>65</v>
      </c>
    </row>
    <row r="13490" spans="1:11" ht="40.049999999999997" customHeight="1" x14ac:dyDescent="0.25">
      <c r="A13490" s="11" t="s">
        <v>26328</v>
      </c>
      <c r="B13490" s="11" t="s">
        <v>26329</v>
      </c>
      <c r="C13490" s="11" t="s">
        <v>80</v>
      </c>
      <c r="D13490" s="11" t="s">
        <v>18</v>
      </c>
      <c r="E13490" s="12" t="s">
        <v>222</v>
      </c>
      <c r="F13490" s="12" t="s">
        <v>223</v>
      </c>
      <c r="G13490" s="12" t="s">
        <v>21</v>
      </c>
      <c r="H13490" s="11" t="s">
        <v>63</v>
      </c>
      <c r="I13490" s="13" t="s">
        <v>26330</v>
      </c>
      <c r="J13490" s="14" t="str">
        <f>HYPERLINK("https://www.boe.es/gazeta/dias/1839/06/22/pdfs/GMD-1839-1680.pdf#page=4","Abrir facsímil")</f>
        <v>Abrir facsímil</v>
      </c>
      <c r="K13490" s="12" t="s">
        <v>65</v>
      </c>
    </row>
    <row r="13491" spans="1:11" ht="40.049999999999997" customHeight="1" x14ac:dyDescent="0.25">
      <c r="A13491" s="11" t="s">
        <v>26331</v>
      </c>
      <c r="B13491" s="11" t="s">
        <v>26332</v>
      </c>
      <c r="C13491" s="11" t="s">
        <v>101</v>
      </c>
      <c r="D13491" s="11" t="s">
        <v>43</v>
      </c>
      <c r="E13491" s="12" t="s">
        <v>160</v>
      </c>
      <c r="F13491" s="12" t="s">
        <v>161</v>
      </c>
      <c r="G13491" s="12" t="s">
        <v>40</v>
      </c>
      <c r="H13491" s="11" t="s">
        <v>63</v>
      </c>
      <c r="I13491" s="13" t="s">
        <v>26333</v>
      </c>
      <c r="J13491" s="14" t="str">
        <f>HYPERLINK("https://www.boe.es/gazeta/dias/1839/01/10/pdfs/GMD-1839-1517.pdf#page=2","Abrir facsímil")</f>
        <v>Abrir facsímil</v>
      </c>
      <c r="K13491" s="12" t="s">
        <v>65</v>
      </c>
    </row>
    <row r="13492" spans="1:11" ht="40.049999999999997" customHeight="1" x14ac:dyDescent="0.25">
      <c r="A13492" s="11" t="s">
        <v>26334</v>
      </c>
      <c r="B13492" s="11" t="s">
        <v>26335</v>
      </c>
      <c r="C13492" s="11" t="s">
        <v>17</v>
      </c>
      <c r="D13492" s="11" t="s">
        <v>18</v>
      </c>
      <c r="E13492" s="12" t="s">
        <v>258</v>
      </c>
      <c r="F13492" s="12" t="s">
        <v>259</v>
      </c>
      <c r="G13492" s="12" t="s">
        <v>21</v>
      </c>
      <c r="H13492" s="11" t="s">
        <v>63</v>
      </c>
      <c r="I13492" s="13" t="s">
        <v>26336</v>
      </c>
      <c r="J13492" s="14" t="str">
        <f>HYPERLINK("https://www.boe.es/gazeta/dias/1839/01/02/pdfs/GMD-1839-1509.pdf#page=4","Abrir facsímil")</f>
        <v>Abrir facsímil</v>
      </c>
      <c r="K13492" s="12" t="s">
        <v>65</v>
      </c>
    </row>
    <row r="13493" spans="1:11" ht="40.049999999999997" customHeight="1" x14ac:dyDescent="0.25">
      <c r="A13493" s="11" t="s">
        <v>26337</v>
      </c>
      <c r="B13493" s="11" t="s">
        <v>26338</v>
      </c>
      <c r="C13493" s="11" t="s">
        <v>17</v>
      </c>
      <c r="D13493" s="11" t="s">
        <v>18</v>
      </c>
      <c r="E13493" s="12" t="s">
        <v>1537</v>
      </c>
      <c r="F13493" s="12" t="s">
        <v>1538</v>
      </c>
      <c r="G13493" s="12" t="s">
        <v>40</v>
      </c>
      <c r="H13493" s="11" t="s">
        <v>63</v>
      </c>
      <c r="I13493" s="13" t="s">
        <v>26339</v>
      </c>
      <c r="J13493" s="14" t="str">
        <f>HYPERLINK("https://www.boe.es/gazeta/dias/1839/12/16/pdfs/GMD-1839-1863.pdf#page=2","Abrir facsímil")</f>
        <v>Abrir facsímil</v>
      </c>
      <c r="K13493" s="12" t="s">
        <v>65</v>
      </c>
    </row>
    <row r="13494" spans="1:11" ht="40.049999999999997" customHeight="1" x14ac:dyDescent="0.25">
      <c r="A13494" s="11" t="s">
        <v>26340</v>
      </c>
      <c r="B13494" s="11" t="s">
        <v>26340</v>
      </c>
      <c r="C13494" s="11" t="s">
        <v>17</v>
      </c>
      <c r="D13494" s="11" t="s">
        <v>18</v>
      </c>
      <c r="E13494" s="12" t="s">
        <v>197</v>
      </c>
      <c r="F13494" s="12" t="s">
        <v>198</v>
      </c>
      <c r="G13494" s="12" t="s">
        <v>46</v>
      </c>
      <c r="H13494" s="11" t="s">
        <v>63</v>
      </c>
      <c r="I13494" s="13" t="s">
        <v>26341</v>
      </c>
      <c r="J13494" s="14" t="str">
        <f>HYPERLINK("https://www.boe.es/gazeta/dias/1839/10/04/pdfs/GMD-1839-1790.pdf#page=3","Abrir facsímil")</f>
        <v>Abrir facsímil</v>
      </c>
      <c r="K13494" s="12" t="s">
        <v>65</v>
      </c>
    </row>
    <row r="13495" spans="1:11" ht="40.049999999999997" customHeight="1" x14ac:dyDescent="0.25">
      <c r="A13495" s="11" t="s">
        <v>26342</v>
      </c>
      <c r="B13495" s="11" t="s">
        <v>26343</v>
      </c>
      <c r="C13495" s="11" t="s">
        <v>101</v>
      </c>
      <c r="D13495" s="11" t="s">
        <v>102</v>
      </c>
      <c r="E13495" s="12" t="s">
        <v>857</v>
      </c>
      <c r="F13495" s="12" t="s">
        <v>858</v>
      </c>
      <c r="G13495" s="12" t="s">
        <v>29</v>
      </c>
      <c r="H13495" s="11" t="s">
        <v>63</v>
      </c>
      <c r="I13495" s="13" t="s">
        <v>26344</v>
      </c>
      <c r="J13495" s="14" t="str">
        <f>HYPERLINK("https://www.boe.es/gazeta/dias/1839/11/21/pdfs/GMD-1839-1838.pdf#page=1","Abrir facsímil")</f>
        <v>Abrir facsímil</v>
      </c>
      <c r="K13495" s="12" t="s">
        <v>65</v>
      </c>
    </row>
    <row r="13496" spans="1:11" ht="40.049999999999997" customHeight="1" x14ac:dyDescent="0.25">
      <c r="A13496" s="11" t="s">
        <v>26345</v>
      </c>
      <c r="B13496" s="11" t="s">
        <v>26346</v>
      </c>
      <c r="C13496" s="11" t="s">
        <v>17</v>
      </c>
      <c r="D13496" s="11" t="s">
        <v>18</v>
      </c>
      <c r="E13496" s="12" t="s">
        <v>2374</v>
      </c>
      <c r="F13496" s="12" t="s">
        <v>2375</v>
      </c>
      <c r="G13496" s="12" t="s">
        <v>46</v>
      </c>
      <c r="H13496" s="11" t="s">
        <v>63</v>
      </c>
      <c r="I13496" s="13" t="s">
        <v>26347</v>
      </c>
      <c r="J13496" s="14" t="str">
        <f>HYPERLINK("https://www.boe.es/gazeta/dias/1839/06/14/pdfs/GMD-1839-1672.pdf#page=3","Abrir facsímil")</f>
        <v>Abrir facsímil</v>
      </c>
      <c r="K13496" s="12" t="s">
        <v>65</v>
      </c>
    </row>
    <row r="13497" spans="1:11" ht="40.049999999999997" customHeight="1" x14ac:dyDescent="0.25">
      <c r="A13497" s="11" t="s">
        <v>26348</v>
      </c>
      <c r="B13497" s="11" t="s">
        <v>26349</v>
      </c>
      <c r="C13497" s="11" t="s">
        <v>17</v>
      </c>
      <c r="D13497" s="11" t="s">
        <v>18</v>
      </c>
      <c r="E13497" s="12" t="s">
        <v>258</v>
      </c>
      <c r="F13497" s="12" t="s">
        <v>259</v>
      </c>
      <c r="G13497" s="12" t="s">
        <v>21</v>
      </c>
      <c r="H13497" s="11" t="s">
        <v>63</v>
      </c>
      <c r="I13497" s="13" t="s">
        <v>26350</v>
      </c>
      <c r="J13497" s="14" t="str">
        <f>HYPERLINK("https://www.boe.es/gazeta/dias/1839/01/02/pdfs/GMD-1839-1509.pdf#page=4","Abrir facsímil")</f>
        <v>Abrir facsímil</v>
      </c>
      <c r="K13497" s="12" t="s">
        <v>65</v>
      </c>
    </row>
    <row r="13498" spans="1:11" ht="40.049999999999997" customHeight="1" x14ac:dyDescent="0.25">
      <c r="A13498" s="11" t="s">
        <v>26351</v>
      </c>
      <c r="B13498" s="11" t="s">
        <v>26351</v>
      </c>
      <c r="C13498" s="11" t="s">
        <v>17</v>
      </c>
      <c r="D13498" s="11" t="s">
        <v>18</v>
      </c>
      <c r="E13498" s="12" t="s">
        <v>647</v>
      </c>
      <c r="F13498" s="12" t="s">
        <v>648</v>
      </c>
      <c r="G13498" s="12" t="s">
        <v>40</v>
      </c>
      <c r="H13498" s="11" t="s">
        <v>63</v>
      </c>
      <c r="I13498" s="13" t="s">
        <v>26352</v>
      </c>
      <c r="J13498" s="14" t="str">
        <f>HYPERLINK("https://www.boe.es/gazeta/dias/1839/10/08/pdfs/GMD-1839-1794.pdf#page=2","Abrir facsímil")</f>
        <v>Abrir facsímil</v>
      </c>
      <c r="K13498" s="12" t="s">
        <v>65</v>
      </c>
    </row>
    <row r="13499" spans="1:11" ht="40.049999999999997" customHeight="1" x14ac:dyDescent="0.25">
      <c r="A13499" s="11" t="s">
        <v>26351</v>
      </c>
      <c r="B13499" s="11" t="s">
        <v>26351</v>
      </c>
      <c r="C13499" s="11" t="s">
        <v>101</v>
      </c>
      <c r="D13499" s="11" t="s">
        <v>43</v>
      </c>
      <c r="E13499" s="12" t="s">
        <v>592</v>
      </c>
      <c r="F13499" s="12" t="s">
        <v>593</v>
      </c>
      <c r="G13499" s="12" t="s">
        <v>46</v>
      </c>
      <c r="H13499" s="11" t="s">
        <v>63</v>
      </c>
      <c r="I13499" s="13" t="s">
        <v>26353</v>
      </c>
      <c r="J13499" s="14" t="str">
        <f>HYPERLINK("https://www.boe.es/gazeta/dias/1839/09/14/pdfs/GMD-1839-1767.pdf#page=3","Abrir facsímil")</f>
        <v>Abrir facsímil</v>
      </c>
      <c r="K13499" s="12" t="s">
        <v>65</v>
      </c>
    </row>
    <row r="13500" spans="1:11" ht="40.049999999999997" customHeight="1" x14ac:dyDescent="0.25">
      <c r="A13500" s="11" t="s">
        <v>26351</v>
      </c>
      <c r="B13500" s="11" t="s">
        <v>26351</v>
      </c>
      <c r="C13500" s="11" t="s">
        <v>101</v>
      </c>
      <c r="D13500" s="11" t="s">
        <v>43</v>
      </c>
      <c r="E13500" s="12" t="s">
        <v>2222</v>
      </c>
      <c r="F13500" s="12" t="s">
        <v>2223</v>
      </c>
      <c r="G13500" s="12" t="s">
        <v>46</v>
      </c>
      <c r="H13500" s="11" t="s">
        <v>63</v>
      </c>
      <c r="I13500" s="13" t="s">
        <v>26354</v>
      </c>
      <c r="J13500" s="14" t="str">
        <f>HYPERLINK("https://www.boe.es/gazeta/dias/1839/09/19/pdfs/GMD-1839-1773.pdf#page=3","Abrir facsímil")</f>
        <v>Abrir facsímil</v>
      </c>
      <c r="K13500" s="12" t="s">
        <v>65</v>
      </c>
    </row>
    <row r="13501" spans="1:11" ht="40.049999999999997" customHeight="1" x14ac:dyDescent="0.25">
      <c r="A13501" s="11" t="s">
        <v>26355</v>
      </c>
      <c r="B13501" s="11" t="s">
        <v>26356</v>
      </c>
      <c r="C13501" s="11" t="s">
        <v>80</v>
      </c>
      <c r="D13501" s="11" t="s">
        <v>18</v>
      </c>
      <c r="E13501" s="12" t="s">
        <v>621</v>
      </c>
      <c r="F13501" s="12" t="s">
        <v>622</v>
      </c>
      <c r="G13501" s="12" t="s">
        <v>29</v>
      </c>
      <c r="H13501" s="11" t="s">
        <v>63</v>
      </c>
      <c r="I13501" s="13" t="s">
        <v>26357</v>
      </c>
      <c r="J13501" s="14" t="str">
        <f>HYPERLINK("https://www.boe.es/gazeta/dias/1839/04/14/pdfs/GMD-1839-1611.pdf#page=1","Abrir facsímil")</f>
        <v>Abrir facsímil</v>
      </c>
      <c r="K13501" s="12" t="s">
        <v>65</v>
      </c>
    </row>
    <row r="13502" spans="1:11" ht="40.049999999999997" customHeight="1" x14ac:dyDescent="0.25">
      <c r="A13502" s="11" t="s">
        <v>26358</v>
      </c>
      <c r="B13502" s="11" t="s">
        <v>26359</v>
      </c>
      <c r="C13502" s="11" t="s">
        <v>137</v>
      </c>
      <c r="D13502" s="11" t="s">
        <v>18</v>
      </c>
      <c r="E13502" s="12" t="s">
        <v>141</v>
      </c>
      <c r="F13502" s="12" t="s">
        <v>142</v>
      </c>
      <c r="G13502" s="12" t="s">
        <v>21</v>
      </c>
      <c r="H13502" s="11" t="s">
        <v>63</v>
      </c>
      <c r="I13502" s="13" t="s">
        <v>26360</v>
      </c>
      <c r="J13502" s="14" t="str">
        <f>HYPERLINK("https://www.boe.es/gazeta/dias/1839/11/10/pdfs/GMD-1839-1827.pdf#page=4","Abrir facsímil")</f>
        <v>Abrir facsímil</v>
      </c>
      <c r="K13502" s="12" t="s">
        <v>65</v>
      </c>
    </row>
    <row r="13503" spans="1:11" ht="40.049999999999997" customHeight="1" x14ac:dyDescent="0.25">
      <c r="A13503" s="11" t="s">
        <v>26361</v>
      </c>
      <c r="B13503" s="11" t="s">
        <v>26361</v>
      </c>
      <c r="C13503" s="11" t="s">
        <v>101</v>
      </c>
      <c r="D13503" s="11" t="s">
        <v>43</v>
      </c>
      <c r="E13503" s="12" t="s">
        <v>1867</v>
      </c>
      <c r="F13503" s="12" t="s">
        <v>1868</v>
      </c>
      <c r="G13503" s="12" t="s">
        <v>46</v>
      </c>
      <c r="H13503" s="11" t="s">
        <v>22</v>
      </c>
      <c r="I13503" s="13" t="s">
        <v>26362</v>
      </c>
      <c r="J13503" s="14" t="str">
        <f>HYPERLINK("https://www.boe.es/gazeta/dias/1839/01/30/pdfs/GMD-1839-1537.pdf#page=3","Abrir facsímil")</f>
        <v>Abrir facsímil</v>
      </c>
      <c r="K13503" s="12" t="s">
        <v>24</v>
      </c>
    </row>
    <row r="13504" spans="1:11" ht="40.049999999999997" customHeight="1" x14ac:dyDescent="0.25">
      <c r="A13504" s="11" t="s">
        <v>26363</v>
      </c>
      <c r="B13504" s="11" t="s">
        <v>26363</v>
      </c>
      <c r="C13504" s="11" t="s">
        <v>17</v>
      </c>
      <c r="D13504" s="11" t="s">
        <v>18</v>
      </c>
      <c r="E13504" s="12" t="s">
        <v>826</v>
      </c>
      <c r="F13504" s="12" t="s">
        <v>827</v>
      </c>
      <c r="G13504" s="12" t="s">
        <v>46</v>
      </c>
      <c r="H13504" s="11" t="s">
        <v>22</v>
      </c>
      <c r="I13504" s="13" t="s">
        <v>26364</v>
      </c>
      <c r="J13504" s="14" t="str">
        <f>HYPERLINK("https://www.boe.es/gazeta/dias/1839/09/25/pdfs/GMD-1839-1781.pdf#page=3","Abrir facsímil")</f>
        <v>Abrir facsímil</v>
      </c>
      <c r="K13504" s="12" t="s">
        <v>24</v>
      </c>
    </row>
    <row r="13505" spans="1:11" ht="40.049999999999997" customHeight="1" x14ac:dyDescent="0.25">
      <c r="A13505" s="11" t="s">
        <v>26365</v>
      </c>
      <c r="B13505" s="11" t="s">
        <v>26365</v>
      </c>
      <c r="C13505" s="11" t="s">
        <v>17</v>
      </c>
      <c r="D13505" s="11" t="s">
        <v>18</v>
      </c>
      <c r="E13505" s="12" t="s">
        <v>108</v>
      </c>
      <c r="F13505" s="12" t="s">
        <v>109</v>
      </c>
      <c r="G13505" s="12" t="s">
        <v>46</v>
      </c>
      <c r="H13505" s="11" t="s">
        <v>22</v>
      </c>
      <c r="I13505" s="13" t="s">
        <v>26366</v>
      </c>
      <c r="J13505" s="14" t="str">
        <f>HYPERLINK("https://www.boe.es/gazeta/dias/1839/01/04/pdfs/GMD-1839-1511.pdf#page=3","Abrir facsímil")</f>
        <v>Abrir facsímil</v>
      </c>
      <c r="K13505" s="12" t="s">
        <v>24</v>
      </c>
    </row>
    <row r="13506" spans="1:11" ht="40.049999999999997" customHeight="1" x14ac:dyDescent="0.25">
      <c r="A13506" s="11" t="s">
        <v>26365</v>
      </c>
      <c r="B13506" s="11" t="s">
        <v>26365</v>
      </c>
      <c r="C13506" s="11" t="s">
        <v>17</v>
      </c>
      <c r="D13506" s="11" t="s">
        <v>18</v>
      </c>
      <c r="E13506" s="12" t="s">
        <v>826</v>
      </c>
      <c r="F13506" s="12" t="s">
        <v>827</v>
      </c>
      <c r="G13506" s="12" t="s">
        <v>46</v>
      </c>
      <c r="H13506" s="11" t="s">
        <v>22</v>
      </c>
      <c r="I13506" s="13" t="s">
        <v>26367</v>
      </c>
      <c r="J13506" s="14" t="str">
        <f>HYPERLINK("https://www.boe.es/gazeta/dias/1839/09/25/pdfs/GMD-1839-1781.pdf#page=3","Abrir facsímil")</f>
        <v>Abrir facsímil</v>
      </c>
      <c r="K13506" s="12" t="s">
        <v>24</v>
      </c>
    </row>
    <row r="13507" spans="1:11" ht="40.049999999999997" customHeight="1" x14ac:dyDescent="0.25">
      <c r="A13507" s="11" t="s">
        <v>26365</v>
      </c>
      <c r="B13507" s="11" t="s">
        <v>26365</v>
      </c>
      <c r="C13507" s="11" t="s">
        <v>17</v>
      </c>
      <c r="D13507" s="11" t="s">
        <v>18</v>
      </c>
      <c r="E13507" s="12" t="s">
        <v>571</v>
      </c>
      <c r="F13507" s="12" t="s">
        <v>572</v>
      </c>
      <c r="G13507" s="12" t="s">
        <v>46</v>
      </c>
      <c r="H13507" s="11" t="s">
        <v>22</v>
      </c>
      <c r="I13507" s="13" t="s">
        <v>26368</v>
      </c>
      <c r="J13507" s="14" t="str">
        <f>HYPERLINK("https://www.boe.es/gazeta/dias/1839/09/27/pdfs/GMD-1839-1783.pdf#page=3","Abrir facsímil")</f>
        <v>Abrir facsímil</v>
      </c>
      <c r="K13507" s="12" t="s">
        <v>24</v>
      </c>
    </row>
    <row r="13508" spans="1:11" ht="40.049999999999997" customHeight="1" x14ac:dyDescent="0.25">
      <c r="A13508" s="11" t="s">
        <v>26365</v>
      </c>
      <c r="B13508" s="11" t="s">
        <v>26365</v>
      </c>
      <c r="C13508" s="11" t="s">
        <v>101</v>
      </c>
      <c r="D13508" s="11" t="s">
        <v>43</v>
      </c>
      <c r="E13508" s="12" t="s">
        <v>2349</v>
      </c>
      <c r="F13508" s="12" t="s">
        <v>2350</v>
      </c>
      <c r="G13508" s="12" t="s">
        <v>46</v>
      </c>
      <c r="H13508" s="11" t="s">
        <v>22</v>
      </c>
      <c r="I13508" s="13" t="s">
        <v>26369</v>
      </c>
      <c r="J13508" s="14" t="str">
        <f>HYPERLINK("https://www.boe.es/gazeta/dias/1839/09/29/pdfs/GMD-1839-1785.pdf#page=3","Abrir facsímil")</f>
        <v>Abrir facsímil</v>
      </c>
      <c r="K13508" s="12" t="s">
        <v>24</v>
      </c>
    </row>
    <row r="13509" spans="1:11" ht="40.049999999999997" customHeight="1" x14ac:dyDescent="0.25">
      <c r="A13509" s="11" t="s">
        <v>26370</v>
      </c>
      <c r="B13509" s="11" t="s">
        <v>26370</v>
      </c>
      <c r="C13509" s="11" t="s">
        <v>17</v>
      </c>
      <c r="D13509" s="11" t="s">
        <v>18</v>
      </c>
      <c r="E13509" s="12" t="s">
        <v>254</v>
      </c>
      <c r="F13509" s="12" t="s">
        <v>255</v>
      </c>
      <c r="G13509" s="12" t="s">
        <v>46</v>
      </c>
      <c r="H13509" s="11" t="s">
        <v>22</v>
      </c>
      <c r="I13509" s="13" t="s">
        <v>26371</v>
      </c>
      <c r="J13509" s="14" t="str">
        <f>HYPERLINK("https://www.boe.es/gazeta/dias/1839/09/12/pdfs/GMD-1839-1765.pdf#page=3","Abrir facsímil")</f>
        <v>Abrir facsímil</v>
      </c>
      <c r="K13509" s="12" t="s">
        <v>24</v>
      </c>
    </row>
    <row r="13510" spans="1:11" ht="40.049999999999997" customHeight="1" x14ac:dyDescent="0.25">
      <c r="A13510" s="11" t="s">
        <v>26372</v>
      </c>
      <c r="B13510" s="11" t="s">
        <v>26372</v>
      </c>
      <c r="C13510" s="11" t="s">
        <v>101</v>
      </c>
      <c r="D13510" s="11" t="s">
        <v>43</v>
      </c>
      <c r="E13510" s="12" t="s">
        <v>571</v>
      </c>
      <c r="F13510" s="12" t="s">
        <v>572</v>
      </c>
      <c r="G13510" s="12" t="s">
        <v>46</v>
      </c>
      <c r="H13510" s="11" t="s">
        <v>22</v>
      </c>
      <c r="I13510" s="13" t="s">
        <v>26373</v>
      </c>
      <c r="J13510" s="14" t="str">
        <f>HYPERLINK("https://www.boe.es/gazeta/dias/1839/09/27/pdfs/GMD-1839-1783.pdf#page=3","Abrir facsímil")</f>
        <v>Abrir facsímil</v>
      </c>
      <c r="K13510" s="12" t="s">
        <v>24</v>
      </c>
    </row>
    <row r="13511" spans="1:11" ht="40.049999999999997" customHeight="1" x14ac:dyDescent="0.25">
      <c r="A13511" s="11" t="s">
        <v>26374</v>
      </c>
      <c r="B13511" s="11" t="s">
        <v>26374</v>
      </c>
      <c r="C13511" s="11" t="s">
        <v>101</v>
      </c>
      <c r="D13511" s="11" t="s">
        <v>43</v>
      </c>
      <c r="E13511" s="12" t="s">
        <v>262</v>
      </c>
      <c r="F13511" s="12" t="s">
        <v>263</v>
      </c>
      <c r="G13511" s="12" t="s">
        <v>21</v>
      </c>
      <c r="H13511" s="11" t="s">
        <v>63</v>
      </c>
      <c r="I13511" s="13" t="s">
        <v>26375</v>
      </c>
      <c r="J13511" s="14" t="str">
        <f>HYPERLINK("https://www.boe.es/gazeta/dias/1839/01/01/pdfs/GMD-1839-1508.pdf#page=4","Abrir facsímil")</f>
        <v>Abrir facsímil</v>
      </c>
      <c r="K13511" s="12" t="s">
        <v>65</v>
      </c>
    </row>
    <row r="13512" spans="1:11" ht="40.049999999999997" customHeight="1" x14ac:dyDescent="0.25">
      <c r="A13512" s="11" t="s">
        <v>26376</v>
      </c>
      <c r="B13512" s="11" t="s">
        <v>26376</v>
      </c>
      <c r="C13512" s="11" t="s">
        <v>17</v>
      </c>
      <c r="D13512" s="11" t="s">
        <v>43</v>
      </c>
      <c r="E13512" s="12" t="s">
        <v>1929</v>
      </c>
      <c r="F13512" s="12" t="s">
        <v>1930</v>
      </c>
      <c r="G13512" s="12" t="s">
        <v>46</v>
      </c>
      <c r="H13512" s="11" t="s">
        <v>22</v>
      </c>
      <c r="I13512" s="13" t="s">
        <v>26377</v>
      </c>
      <c r="J13512" s="14" t="str">
        <f>HYPERLINK("https://www.boe.es/gazeta/dias/1839/02/01/pdfs/GMD-1839-1539.pdf#page=3","Abrir facsímil")</f>
        <v>Abrir facsímil</v>
      </c>
      <c r="K13512" s="12" t="s">
        <v>24</v>
      </c>
    </row>
    <row r="13513" spans="1:11" ht="40.049999999999997" customHeight="1" x14ac:dyDescent="0.25">
      <c r="A13513" s="11" t="s">
        <v>26374</v>
      </c>
      <c r="B13513" s="11" t="s">
        <v>26374</v>
      </c>
      <c r="C13513" s="11" t="s">
        <v>17</v>
      </c>
      <c r="D13513" s="11" t="s">
        <v>18</v>
      </c>
      <c r="E13513" s="12" t="s">
        <v>154</v>
      </c>
      <c r="F13513" s="12" t="s">
        <v>155</v>
      </c>
      <c r="G13513" s="12" t="s">
        <v>46</v>
      </c>
      <c r="H13513" s="11" t="s">
        <v>63</v>
      </c>
      <c r="I13513" s="13" t="s">
        <v>26378</v>
      </c>
      <c r="J13513" s="14" t="str">
        <f>HYPERLINK("https://www.boe.es/gazeta/dias/1839/02/02/pdfs/GMD-1839-1540.pdf#page=3","Abrir facsímil")</f>
        <v>Abrir facsímil</v>
      </c>
      <c r="K13513" s="12" t="s">
        <v>65</v>
      </c>
    </row>
    <row r="13514" spans="1:11" ht="40.049999999999997" customHeight="1" x14ac:dyDescent="0.25">
      <c r="A13514" s="11" t="s">
        <v>26374</v>
      </c>
      <c r="B13514" s="11" t="s">
        <v>26374</v>
      </c>
      <c r="C13514" s="11" t="s">
        <v>17</v>
      </c>
      <c r="D13514" s="11" t="s">
        <v>18</v>
      </c>
      <c r="E13514" s="12" t="s">
        <v>266</v>
      </c>
      <c r="F13514" s="12" t="s">
        <v>267</v>
      </c>
      <c r="G13514" s="12" t="s">
        <v>46</v>
      </c>
      <c r="H13514" s="11" t="s">
        <v>63</v>
      </c>
      <c r="I13514" s="13" t="s">
        <v>26379</v>
      </c>
      <c r="J13514" s="14" t="str">
        <f>HYPERLINK("https://www.boe.es/gazeta/dias/1839/01/03/pdfs/GMD-1839-1510.pdf#page=3","Abrir facsímil")</f>
        <v>Abrir facsímil</v>
      </c>
      <c r="K13514" s="12" t="s">
        <v>65</v>
      </c>
    </row>
    <row r="13515" spans="1:11" ht="40.049999999999997" customHeight="1" x14ac:dyDescent="0.25">
      <c r="A13515" s="11" t="s">
        <v>26374</v>
      </c>
      <c r="B13515" s="11" t="s">
        <v>26374</v>
      </c>
      <c r="C13515" s="11" t="s">
        <v>17</v>
      </c>
      <c r="D13515" s="11" t="s">
        <v>18</v>
      </c>
      <c r="E13515" s="12" t="s">
        <v>266</v>
      </c>
      <c r="F13515" s="12" t="s">
        <v>267</v>
      </c>
      <c r="G13515" s="12" t="s">
        <v>21</v>
      </c>
      <c r="H13515" s="11" t="s">
        <v>63</v>
      </c>
      <c r="I13515" s="13" t="s">
        <v>26380</v>
      </c>
      <c r="J13515" s="14" t="str">
        <f>HYPERLINK("https://www.boe.es/gazeta/dias/1839/01/03/pdfs/GMD-1839-1510.pdf#page=4","Abrir facsímil")</f>
        <v>Abrir facsímil</v>
      </c>
      <c r="K13515" s="12" t="s">
        <v>65</v>
      </c>
    </row>
    <row r="13516" spans="1:11" ht="40.049999999999997" customHeight="1" x14ac:dyDescent="0.25">
      <c r="A13516" s="11" t="s">
        <v>26374</v>
      </c>
      <c r="B13516" s="11" t="s">
        <v>26374</v>
      </c>
      <c r="C13516" s="11" t="s">
        <v>17</v>
      </c>
      <c r="D13516" s="11" t="s">
        <v>18</v>
      </c>
      <c r="E13516" s="12" t="s">
        <v>798</v>
      </c>
      <c r="F13516" s="12" t="s">
        <v>799</v>
      </c>
      <c r="G13516" s="12" t="s">
        <v>40</v>
      </c>
      <c r="H13516" s="11" t="s">
        <v>63</v>
      </c>
      <c r="I13516" s="13" t="s">
        <v>26381</v>
      </c>
      <c r="J13516" s="14" t="str">
        <f>HYPERLINK("https://www.boe.es/gazeta/dias/1839/09/03/pdfs/GMD-1839-1755.pdf#page=2","Abrir facsímil")</f>
        <v>Abrir facsímil</v>
      </c>
      <c r="K13516" s="12" t="s">
        <v>65</v>
      </c>
    </row>
    <row r="13517" spans="1:11" ht="40.049999999999997" customHeight="1" x14ac:dyDescent="0.25">
      <c r="A13517" s="11" t="s">
        <v>26374</v>
      </c>
      <c r="B13517" s="11" t="s">
        <v>26374</v>
      </c>
      <c r="C13517" s="11" t="s">
        <v>17</v>
      </c>
      <c r="D13517" s="11" t="s">
        <v>18</v>
      </c>
      <c r="E13517" s="12" t="s">
        <v>108</v>
      </c>
      <c r="F13517" s="12" t="s">
        <v>109</v>
      </c>
      <c r="G13517" s="12" t="s">
        <v>46</v>
      </c>
      <c r="H13517" s="11" t="s">
        <v>63</v>
      </c>
      <c r="I13517" s="13" t="s">
        <v>26382</v>
      </c>
      <c r="J13517" s="14" t="str">
        <f>HYPERLINK("https://www.boe.es/gazeta/dias/1839/01/04/pdfs/GMD-1839-1511.pdf#page=3","Abrir facsímil")</f>
        <v>Abrir facsímil</v>
      </c>
      <c r="K13517" s="12" t="s">
        <v>65</v>
      </c>
    </row>
    <row r="13518" spans="1:11" ht="40.049999999999997" customHeight="1" x14ac:dyDescent="0.25">
      <c r="A13518" s="11" t="s">
        <v>26374</v>
      </c>
      <c r="B13518" s="11" t="s">
        <v>26374</v>
      </c>
      <c r="C13518" s="11" t="s">
        <v>17</v>
      </c>
      <c r="D13518" s="11" t="s">
        <v>18</v>
      </c>
      <c r="E13518" s="12" t="s">
        <v>49</v>
      </c>
      <c r="F13518" s="12" t="s">
        <v>50</v>
      </c>
      <c r="G13518" s="12" t="s">
        <v>46</v>
      </c>
      <c r="H13518" s="11" t="s">
        <v>63</v>
      </c>
      <c r="I13518" s="13" t="s">
        <v>26383</v>
      </c>
      <c r="J13518" s="14" t="str">
        <f>HYPERLINK("https://www.boe.es/gazeta/dias/1839/01/05/pdfs/GMD-1839-1512.pdf#page=3","Abrir facsímil")</f>
        <v>Abrir facsímil</v>
      </c>
      <c r="K13518" s="12" t="s">
        <v>65</v>
      </c>
    </row>
    <row r="13519" spans="1:11" ht="40.049999999999997" customHeight="1" x14ac:dyDescent="0.25">
      <c r="A13519" s="11" t="s">
        <v>26374</v>
      </c>
      <c r="B13519" s="11" t="s">
        <v>26374</v>
      </c>
      <c r="C13519" s="11" t="s">
        <v>101</v>
      </c>
      <c r="D13519" s="11" t="s">
        <v>43</v>
      </c>
      <c r="E13519" s="12" t="s">
        <v>2210</v>
      </c>
      <c r="F13519" s="12" t="s">
        <v>2211</v>
      </c>
      <c r="G13519" s="12" t="s">
        <v>46</v>
      </c>
      <c r="H13519" s="11" t="s">
        <v>63</v>
      </c>
      <c r="I13519" s="13" t="s">
        <v>26384</v>
      </c>
      <c r="J13519" s="14" t="str">
        <f>HYPERLINK("https://www.boe.es/gazeta/dias/1839/09/05/pdfs/GMD-1839-1758.pdf#page=3","Abrir facsímil")</f>
        <v>Abrir facsímil</v>
      </c>
      <c r="K13519" s="12" t="s">
        <v>65</v>
      </c>
    </row>
    <row r="13520" spans="1:11" ht="40.049999999999997" customHeight="1" x14ac:dyDescent="0.25">
      <c r="A13520" s="11" t="s">
        <v>26376</v>
      </c>
      <c r="B13520" s="11" t="s">
        <v>26376</v>
      </c>
      <c r="C13520" s="11" t="s">
        <v>17</v>
      </c>
      <c r="D13520" s="11" t="s">
        <v>18</v>
      </c>
      <c r="E13520" s="12" t="s">
        <v>54</v>
      </c>
      <c r="F13520" s="12" t="s">
        <v>55</v>
      </c>
      <c r="G13520" s="12" t="s">
        <v>21</v>
      </c>
      <c r="H13520" s="11" t="s">
        <v>22</v>
      </c>
      <c r="I13520" s="13" t="s">
        <v>26385</v>
      </c>
      <c r="J13520" s="14" t="str">
        <f>HYPERLINK("https://www.boe.es/gazeta/dias/1839/10/05/pdfs/GMD-1839-1791.pdf#page=4","Abrir facsímil")</f>
        <v>Abrir facsímil</v>
      </c>
      <c r="K13520" s="12" t="s">
        <v>24</v>
      </c>
    </row>
    <row r="13521" spans="1:11" ht="40.049999999999997" customHeight="1" x14ac:dyDescent="0.25">
      <c r="A13521" s="11" t="s">
        <v>26374</v>
      </c>
      <c r="B13521" s="11" t="s">
        <v>26374</v>
      </c>
      <c r="C13521" s="11" t="s">
        <v>17</v>
      </c>
      <c r="D13521" s="11" t="s">
        <v>18</v>
      </c>
      <c r="E13521" s="12" t="s">
        <v>54</v>
      </c>
      <c r="F13521" s="12" t="s">
        <v>55</v>
      </c>
      <c r="G13521" s="12" t="s">
        <v>566</v>
      </c>
      <c r="H13521" s="11" t="s">
        <v>63</v>
      </c>
      <c r="I13521" s="13" t="s">
        <v>26386</v>
      </c>
      <c r="J13521" s="14" t="str">
        <f>HYPERLINK("https://www.boe.es/gazeta/dias/1839/10/05/pdfs/GMD-1839-1791.pdf#page=5","Abrir facsímil")</f>
        <v>Abrir facsímil</v>
      </c>
      <c r="K13521" s="12" t="s">
        <v>65</v>
      </c>
    </row>
    <row r="13522" spans="1:11" ht="40.049999999999997" customHeight="1" x14ac:dyDescent="0.25">
      <c r="A13522" s="11" t="s">
        <v>26374</v>
      </c>
      <c r="B13522" s="11" t="s">
        <v>26374</v>
      </c>
      <c r="C13522" s="11" t="s">
        <v>17</v>
      </c>
      <c r="D13522" s="11" t="s">
        <v>18</v>
      </c>
      <c r="E13522" s="12" t="s">
        <v>2165</v>
      </c>
      <c r="F13522" s="12" t="s">
        <v>2166</v>
      </c>
      <c r="G13522" s="12" t="s">
        <v>46</v>
      </c>
      <c r="H13522" s="11" t="s">
        <v>63</v>
      </c>
      <c r="I13522" s="13" t="s">
        <v>26387</v>
      </c>
      <c r="J13522" s="14" t="str">
        <f>HYPERLINK("https://www.boe.es/gazeta/dias/1839/01/06/pdfs/GMD-1839-1513.pdf#page=3","Abrir facsímil")</f>
        <v>Abrir facsímil</v>
      </c>
      <c r="K13522" s="12" t="s">
        <v>65</v>
      </c>
    </row>
    <row r="13523" spans="1:11" ht="40.049999999999997" customHeight="1" x14ac:dyDescent="0.25">
      <c r="A13523" s="11" t="s">
        <v>26374</v>
      </c>
      <c r="B13523" s="11" t="s">
        <v>26374</v>
      </c>
      <c r="C13523" s="11" t="s">
        <v>101</v>
      </c>
      <c r="D13523" s="11" t="s">
        <v>43</v>
      </c>
      <c r="E13523" s="12" t="s">
        <v>2165</v>
      </c>
      <c r="F13523" s="12" t="s">
        <v>2166</v>
      </c>
      <c r="G13523" s="12" t="s">
        <v>21</v>
      </c>
      <c r="H13523" s="11" t="s">
        <v>63</v>
      </c>
      <c r="I13523" s="13" t="s">
        <v>26388</v>
      </c>
      <c r="J13523" s="14" t="str">
        <f>HYPERLINK("https://www.boe.es/gazeta/dias/1839/01/06/pdfs/GMD-1839-1513.pdf#page=4","Abrir facsímil")</f>
        <v>Abrir facsímil</v>
      </c>
      <c r="K13523" s="12" t="s">
        <v>65</v>
      </c>
    </row>
    <row r="13524" spans="1:11" ht="40.049999999999997" customHeight="1" x14ac:dyDescent="0.25">
      <c r="A13524" s="11" t="s">
        <v>26374</v>
      </c>
      <c r="B13524" s="11" t="s">
        <v>26374</v>
      </c>
      <c r="C13524" s="11" t="s">
        <v>17</v>
      </c>
      <c r="D13524" s="11" t="s">
        <v>18</v>
      </c>
      <c r="E13524" s="12" t="s">
        <v>2738</v>
      </c>
      <c r="F13524" s="12" t="s">
        <v>2739</v>
      </c>
      <c r="G13524" s="12" t="s">
        <v>40</v>
      </c>
      <c r="H13524" s="11" t="s">
        <v>63</v>
      </c>
      <c r="I13524" s="13" t="s">
        <v>26389</v>
      </c>
      <c r="J13524" s="14" t="str">
        <f>HYPERLINK("https://www.boe.es/gazeta/dias/1839/09/06/pdfs/GMD-1839-1759.pdf#page=2","Abrir facsímil")</f>
        <v>Abrir facsímil</v>
      </c>
      <c r="K13524" s="12" t="s">
        <v>65</v>
      </c>
    </row>
    <row r="13525" spans="1:11" ht="40.049999999999997" customHeight="1" x14ac:dyDescent="0.25">
      <c r="A13525" s="11" t="s">
        <v>26374</v>
      </c>
      <c r="B13525" s="11" t="s">
        <v>26374</v>
      </c>
      <c r="C13525" s="11" t="s">
        <v>17</v>
      </c>
      <c r="D13525" s="11" t="s">
        <v>18</v>
      </c>
      <c r="E13525" s="12" t="s">
        <v>303</v>
      </c>
      <c r="F13525" s="12" t="s">
        <v>304</v>
      </c>
      <c r="G13525" s="12" t="s">
        <v>46</v>
      </c>
      <c r="H13525" s="11" t="s">
        <v>63</v>
      </c>
      <c r="I13525" s="13" t="s">
        <v>26390</v>
      </c>
      <c r="J13525" s="14" t="str">
        <f>HYPERLINK("https://www.boe.es/gazeta/dias/1839/10/06/pdfs/GMD-1839-1792.pdf#page=3","Abrir facsímil")</f>
        <v>Abrir facsímil</v>
      </c>
      <c r="K13525" s="12" t="s">
        <v>65</v>
      </c>
    </row>
    <row r="13526" spans="1:11" ht="40.049999999999997" customHeight="1" x14ac:dyDescent="0.25">
      <c r="A13526" s="11" t="s">
        <v>26374</v>
      </c>
      <c r="B13526" s="11" t="s">
        <v>26374</v>
      </c>
      <c r="C13526" s="11" t="s">
        <v>137</v>
      </c>
      <c r="D13526" s="11" t="s">
        <v>18</v>
      </c>
      <c r="E13526" s="12" t="s">
        <v>1008</v>
      </c>
      <c r="F13526" s="12" t="s">
        <v>1009</v>
      </c>
      <c r="G13526" s="12" t="s">
        <v>46</v>
      </c>
      <c r="H13526" s="11" t="s">
        <v>63</v>
      </c>
      <c r="I13526" s="13" t="s">
        <v>26391</v>
      </c>
      <c r="J13526" s="14" t="str">
        <f>HYPERLINK("https://www.boe.es/gazeta/dias/1839/09/07/pdfs/GMD-1839-1760.pdf#page=3","Abrir facsímil")</f>
        <v>Abrir facsímil</v>
      </c>
      <c r="K13526" s="12" t="s">
        <v>65</v>
      </c>
    </row>
    <row r="13527" spans="1:11" ht="40.049999999999997" customHeight="1" x14ac:dyDescent="0.25">
      <c r="A13527" s="11" t="s">
        <v>26374</v>
      </c>
      <c r="B13527" s="11" t="s">
        <v>26374</v>
      </c>
      <c r="C13527" s="11" t="s">
        <v>137</v>
      </c>
      <c r="D13527" s="11" t="s">
        <v>18</v>
      </c>
      <c r="E13527" s="12" t="s">
        <v>1509</v>
      </c>
      <c r="F13527" s="12" t="s">
        <v>1510</v>
      </c>
      <c r="G13527" s="12" t="s">
        <v>46</v>
      </c>
      <c r="H13527" s="11" t="s">
        <v>63</v>
      </c>
      <c r="I13527" s="13" t="s">
        <v>26392</v>
      </c>
      <c r="J13527" s="14" t="str">
        <f>HYPERLINK("https://www.boe.es/gazeta/dias/1839/10/07/pdfs/GMD-1839-1793.pdf#page=3","Abrir facsímil")</f>
        <v>Abrir facsímil</v>
      </c>
      <c r="K13527" s="12" t="s">
        <v>65</v>
      </c>
    </row>
    <row r="13528" spans="1:11" ht="40.049999999999997" customHeight="1" x14ac:dyDescent="0.25">
      <c r="A13528" s="11" t="s">
        <v>26376</v>
      </c>
      <c r="B13528" s="11" t="s">
        <v>26376</v>
      </c>
      <c r="C13528" s="11" t="s">
        <v>101</v>
      </c>
      <c r="D13528" s="11" t="s">
        <v>43</v>
      </c>
      <c r="E13528" s="12" t="s">
        <v>157</v>
      </c>
      <c r="F13528" s="12" t="s">
        <v>158</v>
      </c>
      <c r="G13528" s="12" t="s">
        <v>21</v>
      </c>
      <c r="H13528" s="11" t="s">
        <v>22</v>
      </c>
      <c r="I13528" s="13" t="s">
        <v>26393</v>
      </c>
      <c r="J13528" s="14" t="str">
        <f>HYPERLINK("https://www.boe.es/gazeta/dias/1839/02/08/pdfs/GMD-1839-1546.pdf#page=4","Abrir facsímil")</f>
        <v>Abrir facsímil</v>
      </c>
      <c r="K13528" s="12" t="s">
        <v>24</v>
      </c>
    </row>
    <row r="13529" spans="1:11" ht="40.049999999999997" customHeight="1" x14ac:dyDescent="0.25">
      <c r="A13529" s="11" t="s">
        <v>26376</v>
      </c>
      <c r="B13529" s="11" t="s">
        <v>26376</v>
      </c>
      <c r="C13529" s="11" t="s">
        <v>17</v>
      </c>
      <c r="D13529" s="11" t="s">
        <v>18</v>
      </c>
      <c r="E13529" s="12" t="s">
        <v>647</v>
      </c>
      <c r="F13529" s="12" t="s">
        <v>648</v>
      </c>
      <c r="G13529" s="12" t="s">
        <v>29</v>
      </c>
      <c r="H13529" s="11" t="s">
        <v>22</v>
      </c>
      <c r="I13529" s="13" t="s">
        <v>26394</v>
      </c>
      <c r="J13529" s="14" t="str">
        <f>HYPERLINK("https://www.boe.es/gazeta/dias/1839/10/08/pdfs/GMD-1839-1794.pdf#page=1","Abrir facsímil")</f>
        <v>Abrir facsímil</v>
      </c>
      <c r="K13529" s="12" t="s">
        <v>24</v>
      </c>
    </row>
    <row r="13530" spans="1:11" ht="40.049999999999997" customHeight="1" x14ac:dyDescent="0.25">
      <c r="A13530" s="11" t="s">
        <v>26374</v>
      </c>
      <c r="B13530" s="11" t="s">
        <v>26374</v>
      </c>
      <c r="C13530" s="11" t="s">
        <v>17</v>
      </c>
      <c r="D13530" s="11" t="s">
        <v>18</v>
      </c>
      <c r="E13530" s="12" t="s">
        <v>647</v>
      </c>
      <c r="F13530" s="12" t="s">
        <v>648</v>
      </c>
      <c r="G13530" s="12" t="s">
        <v>40</v>
      </c>
      <c r="H13530" s="11" t="s">
        <v>63</v>
      </c>
      <c r="I13530" s="13" t="s">
        <v>26395</v>
      </c>
      <c r="J13530" s="14" t="str">
        <f>HYPERLINK("https://www.boe.es/gazeta/dias/1839/10/08/pdfs/GMD-1839-1794.pdf#page=2","Abrir facsímil")</f>
        <v>Abrir facsímil</v>
      </c>
      <c r="K13530" s="12" t="s">
        <v>65</v>
      </c>
    </row>
    <row r="13531" spans="1:11" ht="40.049999999999997" customHeight="1" x14ac:dyDescent="0.25">
      <c r="A13531" s="11" t="s">
        <v>26374</v>
      </c>
      <c r="B13531" s="11" t="s">
        <v>26374</v>
      </c>
      <c r="C13531" s="11" t="s">
        <v>17</v>
      </c>
      <c r="D13531" s="11" t="s">
        <v>18</v>
      </c>
      <c r="E13531" s="12" t="s">
        <v>647</v>
      </c>
      <c r="F13531" s="12" t="s">
        <v>648</v>
      </c>
      <c r="G13531" s="12" t="s">
        <v>46</v>
      </c>
      <c r="H13531" s="11" t="s">
        <v>63</v>
      </c>
      <c r="I13531" s="13" t="s">
        <v>26396</v>
      </c>
      <c r="J13531" s="14" t="str">
        <f>HYPERLINK("https://www.boe.es/gazeta/dias/1839/10/08/pdfs/GMD-1839-1794.pdf#page=3","Abrir facsímil")</f>
        <v>Abrir facsímil</v>
      </c>
      <c r="K13531" s="12" t="s">
        <v>65</v>
      </c>
    </row>
    <row r="13532" spans="1:11" ht="40.049999999999997" customHeight="1" x14ac:dyDescent="0.25">
      <c r="A13532" s="11" t="s">
        <v>26374</v>
      </c>
      <c r="B13532" s="11" t="s">
        <v>26374</v>
      </c>
      <c r="C13532" s="11" t="s">
        <v>17</v>
      </c>
      <c r="D13532" s="11" t="s">
        <v>18</v>
      </c>
      <c r="E13532" s="12" t="s">
        <v>647</v>
      </c>
      <c r="F13532" s="12" t="s">
        <v>648</v>
      </c>
      <c r="G13532" s="12" t="s">
        <v>21</v>
      </c>
      <c r="H13532" s="11" t="s">
        <v>63</v>
      </c>
      <c r="I13532" s="13" t="s">
        <v>26397</v>
      </c>
      <c r="J13532" s="14" t="str">
        <f>HYPERLINK("https://www.boe.es/gazeta/dias/1839/10/08/pdfs/GMD-1839-1794.pdf#page=4","Abrir facsímil")</f>
        <v>Abrir facsímil</v>
      </c>
      <c r="K13532" s="12" t="s">
        <v>65</v>
      </c>
    </row>
    <row r="13533" spans="1:11" ht="40.049999999999997" customHeight="1" x14ac:dyDescent="0.25">
      <c r="A13533" s="11" t="s">
        <v>26374</v>
      </c>
      <c r="B13533" s="11" t="s">
        <v>26374</v>
      </c>
      <c r="C13533" s="11" t="s">
        <v>137</v>
      </c>
      <c r="D13533" s="11" t="s">
        <v>18</v>
      </c>
      <c r="E13533" s="12" t="s">
        <v>647</v>
      </c>
      <c r="F13533" s="12" t="s">
        <v>648</v>
      </c>
      <c r="G13533" s="12" t="s">
        <v>566</v>
      </c>
      <c r="H13533" s="11" t="s">
        <v>63</v>
      </c>
      <c r="I13533" s="13" t="s">
        <v>26398</v>
      </c>
      <c r="J13533" s="14" t="str">
        <f>HYPERLINK("https://www.boe.es/gazeta/dias/1839/10/08/pdfs/GMD-1839-1794.pdf#page=5","Abrir facsímil")</f>
        <v>Abrir facsímil</v>
      </c>
      <c r="K13533" s="12" t="s">
        <v>65</v>
      </c>
    </row>
    <row r="13534" spans="1:11" ht="40.049999999999997" customHeight="1" x14ac:dyDescent="0.25">
      <c r="A13534" s="11" t="s">
        <v>26374</v>
      </c>
      <c r="B13534" s="11" t="s">
        <v>26374</v>
      </c>
      <c r="C13534" s="11" t="s">
        <v>17</v>
      </c>
      <c r="D13534" s="11" t="s">
        <v>18</v>
      </c>
      <c r="E13534" s="12" t="s">
        <v>647</v>
      </c>
      <c r="F13534" s="12" t="s">
        <v>648</v>
      </c>
      <c r="G13534" s="12" t="s">
        <v>305</v>
      </c>
      <c r="H13534" s="11" t="s">
        <v>63</v>
      </c>
      <c r="I13534" s="13" t="s">
        <v>26399</v>
      </c>
      <c r="J13534" s="14" t="str">
        <f>HYPERLINK("https://www.boe.es/gazeta/dias/1839/10/08/pdfs/GMD-1839-1794.pdf#page=6","Abrir facsímil")</f>
        <v>Abrir facsímil</v>
      </c>
      <c r="K13534" s="12" t="s">
        <v>65</v>
      </c>
    </row>
    <row r="13535" spans="1:11" ht="40.049999999999997" customHeight="1" x14ac:dyDescent="0.25">
      <c r="A13535" s="11" t="s">
        <v>26374</v>
      </c>
      <c r="B13535" s="11" t="s">
        <v>26374</v>
      </c>
      <c r="C13535" s="11" t="s">
        <v>137</v>
      </c>
      <c r="D13535" s="11" t="s">
        <v>18</v>
      </c>
      <c r="E13535" s="12" t="s">
        <v>647</v>
      </c>
      <c r="F13535" s="12" t="s">
        <v>648</v>
      </c>
      <c r="G13535" s="12" t="s">
        <v>5567</v>
      </c>
      <c r="H13535" s="11" t="s">
        <v>63</v>
      </c>
      <c r="I13535" s="13" t="s">
        <v>26400</v>
      </c>
      <c r="J13535" s="14" t="str">
        <f>HYPERLINK("https://www.boe.es/gazeta/dias/1839/10/08/pdfs/GMD-1839-1794.pdf#page=7","Abrir facsímil")</f>
        <v>Abrir facsímil</v>
      </c>
      <c r="K13535" s="12" t="s">
        <v>65</v>
      </c>
    </row>
    <row r="13536" spans="1:11" ht="40.049999999999997" customHeight="1" x14ac:dyDescent="0.25">
      <c r="A13536" s="11" t="s">
        <v>26376</v>
      </c>
      <c r="B13536" s="11" t="s">
        <v>26376</v>
      </c>
      <c r="C13536" s="11" t="s">
        <v>101</v>
      </c>
      <c r="D13536" s="11" t="s">
        <v>43</v>
      </c>
      <c r="E13536" s="12" t="s">
        <v>61</v>
      </c>
      <c r="F13536" s="12" t="s">
        <v>62</v>
      </c>
      <c r="G13536" s="12" t="s">
        <v>40</v>
      </c>
      <c r="H13536" s="11" t="s">
        <v>22</v>
      </c>
      <c r="I13536" s="13" t="s">
        <v>26401</v>
      </c>
      <c r="J13536" s="14" t="str">
        <f>HYPERLINK("https://www.boe.es/gazeta/dias/1839/09/10/pdfs/GMD-1839-1763.pdf#page=2","Abrir facsímil")</f>
        <v>Abrir facsímil</v>
      </c>
      <c r="K13536" s="12" t="s">
        <v>24</v>
      </c>
    </row>
    <row r="13537" spans="1:11" ht="40.049999999999997" customHeight="1" x14ac:dyDescent="0.25">
      <c r="A13537" s="11" t="s">
        <v>26374</v>
      </c>
      <c r="B13537" s="11" t="s">
        <v>26374</v>
      </c>
      <c r="C13537" s="11" t="s">
        <v>17</v>
      </c>
      <c r="D13537" s="11" t="s">
        <v>18</v>
      </c>
      <c r="E13537" s="12" t="s">
        <v>181</v>
      </c>
      <c r="F13537" s="12" t="s">
        <v>182</v>
      </c>
      <c r="G13537" s="12" t="s">
        <v>29</v>
      </c>
      <c r="H13537" s="11" t="s">
        <v>63</v>
      </c>
      <c r="I13537" s="13" t="s">
        <v>26402</v>
      </c>
      <c r="J13537" s="14" t="str">
        <f>HYPERLINK("https://www.boe.es/gazeta/dias/1839/01/11/pdfs/GMD-1839-1518.pdf#page=1","Abrir facsímil")</f>
        <v>Abrir facsímil</v>
      </c>
      <c r="K13537" s="12" t="s">
        <v>65</v>
      </c>
    </row>
    <row r="13538" spans="1:11" ht="40.049999999999997" customHeight="1" x14ac:dyDescent="0.25">
      <c r="A13538" s="11" t="s">
        <v>26374</v>
      </c>
      <c r="B13538" s="11" t="s">
        <v>26374</v>
      </c>
      <c r="C13538" s="11" t="s">
        <v>17</v>
      </c>
      <c r="D13538" s="11" t="s">
        <v>18</v>
      </c>
      <c r="E13538" s="12" t="s">
        <v>181</v>
      </c>
      <c r="F13538" s="12" t="s">
        <v>182</v>
      </c>
      <c r="G13538" s="12" t="s">
        <v>40</v>
      </c>
      <c r="H13538" s="11" t="s">
        <v>63</v>
      </c>
      <c r="I13538" s="13" t="s">
        <v>26403</v>
      </c>
      <c r="J13538" s="14" t="str">
        <f>HYPERLINK("https://www.boe.es/gazeta/dias/1839/01/11/pdfs/GMD-1839-1518.pdf#page=2","Abrir facsímil")</f>
        <v>Abrir facsímil</v>
      </c>
      <c r="K13538" s="12" t="s">
        <v>65</v>
      </c>
    </row>
    <row r="13539" spans="1:11" ht="40.049999999999997" customHeight="1" x14ac:dyDescent="0.25">
      <c r="A13539" s="11" t="s">
        <v>26374</v>
      </c>
      <c r="B13539" s="11" t="s">
        <v>26374</v>
      </c>
      <c r="C13539" s="11" t="s">
        <v>17</v>
      </c>
      <c r="D13539" s="11" t="s">
        <v>18</v>
      </c>
      <c r="E13539" s="12" t="s">
        <v>561</v>
      </c>
      <c r="F13539" s="12" t="s">
        <v>562</v>
      </c>
      <c r="G13539" s="12" t="s">
        <v>40</v>
      </c>
      <c r="H13539" s="11" t="s">
        <v>63</v>
      </c>
      <c r="I13539" s="13" t="s">
        <v>26404</v>
      </c>
      <c r="J13539" s="14" t="str">
        <f>HYPERLINK("https://www.boe.es/gazeta/dias/1839/09/11/pdfs/GMD-1839-1764.pdf#page=2","Abrir facsímil")</f>
        <v>Abrir facsímil</v>
      </c>
      <c r="K13539" s="12" t="s">
        <v>65</v>
      </c>
    </row>
    <row r="13540" spans="1:11" ht="40.049999999999997" customHeight="1" x14ac:dyDescent="0.25">
      <c r="A13540" s="11" t="s">
        <v>26374</v>
      </c>
      <c r="B13540" s="11" t="s">
        <v>26374</v>
      </c>
      <c r="C13540" s="11" t="s">
        <v>80</v>
      </c>
      <c r="D13540" s="11" t="s">
        <v>18</v>
      </c>
      <c r="E13540" s="12" t="s">
        <v>2107</v>
      </c>
      <c r="F13540" s="12" t="s">
        <v>2108</v>
      </c>
      <c r="G13540" s="12" t="s">
        <v>46</v>
      </c>
      <c r="H13540" s="11" t="s">
        <v>63</v>
      </c>
      <c r="I13540" s="13" t="s">
        <v>26405</v>
      </c>
      <c r="J13540" s="14" t="str">
        <f>HYPERLINK("https://www.boe.es/gazeta/dias/1839/10/11/pdfs/GMD-1839-1797.pdf#page=3","Abrir facsímil")</f>
        <v>Abrir facsímil</v>
      </c>
      <c r="K13540" s="12" t="s">
        <v>65</v>
      </c>
    </row>
    <row r="13541" spans="1:11" ht="40.049999999999997" customHeight="1" x14ac:dyDescent="0.25">
      <c r="A13541" s="11" t="s">
        <v>26374</v>
      </c>
      <c r="B13541" s="11" t="s">
        <v>26374</v>
      </c>
      <c r="C13541" s="11" t="s">
        <v>17</v>
      </c>
      <c r="D13541" s="11" t="s">
        <v>18</v>
      </c>
      <c r="E13541" s="12" t="s">
        <v>192</v>
      </c>
      <c r="F13541" s="12" t="s">
        <v>193</v>
      </c>
      <c r="G13541" s="12" t="s">
        <v>21</v>
      </c>
      <c r="H13541" s="11" t="s">
        <v>63</v>
      </c>
      <c r="I13541" s="13" t="s">
        <v>26406</v>
      </c>
      <c r="J13541" s="14" t="str">
        <f>HYPERLINK("https://www.boe.es/gazeta/dias/1839/01/12/pdfs/GMD-1839-1519.pdf#page=4","Abrir facsímil")</f>
        <v>Abrir facsímil</v>
      </c>
      <c r="K13541" s="12" t="s">
        <v>65</v>
      </c>
    </row>
    <row r="13542" spans="1:11" ht="40.049999999999997" customHeight="1" x14ac:dyDescent="0.25">
      <c r="A13542" s="11" t="s">
        <v>26374</v>
      </c>
      <c r="B13542" s="11" t="s">
        <v>26374</v>
      </c>
      <c r="C13542" s="11" t="s">
        <v>17</v>
      </c>
      <c r="D13542" s="11" t="s">
        <v>18</v>
      </c>
      <c r="E13542" s="12" t="s">
        <v>254</v>
      </c>
      <c r="F13542" s="12" t="s">
        <v>255</v>
      </c>
      <c r="G13542" s="12" t="s">
        <v>40</v>
      </c>
      <c r="H13542" s="11" t="s">
        <v>63</v>
      </c>
      <c r="I13542" s="13" t="s">
        <v>26407</v>
      </c>
      <c r="J13542" s="14" t="str">
        <f>HYPERLINK("https://www.boe.es/gazeta/dias/1839/09/12/pdfs/GMD-1839-1765.pdf#page=2","Abrir facsímil")</f>
        <v>Abrir facsímil</v>
      </c>
      <c r="K13542" s="12" t="s">
        <v>65</v>
      </c>
    </row>
    <row r="13543" spans="1:11" ht="40.049999999999997" customHeight="1" x14ac:dyDescent="0.25">
      <c r="A13543" s="11" t="s">
        <v>26374</v>
      </c>
      <c r="B13543" s="11" t="s">
        <v>26374</v>
      </c>
      <c r="C13543" s="11" t="s">
        <v>17</v>
      </c>
      <c r="D13543" s="11" t="s">
        <v>18</v>
      </c>
      <c r="E13543" s="12" t="s">
        <v>254</v>
      </c>
      <c r="F13543" s="12" t="s">
        <v>255</v>
      </c>
      <c r="G13543" s="12" t="s">
        <v>46</v>
      </c>
      <c r="H13543" s="11" t="s">
        <v>63</v>
      </c>
      <c r="I13543" s="13" t="s">
        <v>26408</v>
      </c>
      <c r="J13543" s="14" t="str">
        <f>HYPERLINK("https://www.boe.es/gazeta/dias/1839/09/12/pdfs/GMD-1839-1765.pdf#page=3","Abrir facsímil")</f>
        <v>Abrir facsímil</v>
      </c>
      <c r="K13543" s="12" t="s">
        <v>65</v>
      </c>
    </row>
    <row r="13544" spans="1:11" ht="40.049999999999997" customHeight="1" x14ac:dyDescent="0.25">
      <c r="A13544" s="11" t="s">
        <v>26374</v>
      </c>
      <c r="B13544" s="11" t="s">
        <v>26374</v>
      </c>
      <c r="C13544" s="11" t="s">
        <v>101</v>
      </c>
      <c r="D13544" s="11" t="s">
        <v>43</v>
      </c>
      <c r="E13544" s="12" t="s">
        <v>163</v>
      </c>
      <c r="F13544" s="12" t="s">
        <v>164</v>
      </c>
      <c r="G13544" s="12" t="s">
        <v>46</v>
      </c>
      <c r="H13544" s="11" t="s">
        <v>63</v>
      </c>
      <c r="I13544" s="13" t="s">
        <v>26409</v>
      </c>
      <c r="J13544" s="14" t="str">
        <f>HYPERLINK("https://www.boe.es/gazeta/dias/1839/01/13/pdfs/GMD-1839-1520.pdf#page=3","Abrir facsímil")</f>
        <v>Abrir facsímil</v>
      </c>
      <c r="K13544" s="12" t="s">
        <v>65</v>
      </c>
    </row>
    <row r="13545" spans="1:11" ht="40.049999999999997" customHeight="1" x14ac:dyDescent="0.25">
      <c r="A13545" s="11" t="s">
        <v>26374</v>
      </c>
      <c r="B13545" s="11" t="s">
        <v>26374</v>
      </c>
      <c r="C13545" s="11" t="s">
        <v>59</v>
      </c>
      <c r="D13545" s="11" t="s">
        <v>60</v>
      </c>
      <c r="E13545" s="12" t="s">
        <v>1100</v>
      </c>
      <c r="F13545" s="12" t="s">
        <v>1101</v>
      </c>
      <c r="G13545" s="12" t="s">
        <v>29</v>
      </c>
      <c r="H13545" s="11" t="s">
        <v>63</v>
      </c>
      <c r="I13545" s="13" t="s">
        <v>26410</v>
      </c>
      <c r="J13545" s="14" t="str">
        <f>HYPERLINK("https://www.boe.es/gazeta/dias/1839/09/13/pdfs/GMD-1839-1766.pdf#page=1","Abrir facsímil")</f>
        <v>Abrir facsímil</v>
      </c>
      <c r="K13545" s="12" t="s">
        <v>65</v>
      </c>
    </row>
    <row r="13546" spans="1:11" ht="40.049999999999997" customHeight="1" x14ac:dyDescent="0.25">
      <c r="A13546" s="11" t="s">
        <v>26376</v>
      </c>
      <c r="B13546" s="11" t="s">
        <v>26376</v>
      </c>
      <c r="C13546" s="11" t="s">
        <v>17</v>
      </c>
      <c r="D13546" s="11" t="s">
        <v>18</v>
      </c>
      <c r="E13546" s="12" t="s">
        <v>592</v>
      </c>
      <c r="F13546" s="12" t="s">
        <v>593</v>
      </c>
      <c r="G13546" s="12" t="s">
        <v>40</v>
      </c>
      <c r="H13546" s="11" t="s">
        <v>22</v>
      </c>
      <c r="I13546" s="13" t="s">
        <v>26411</v>
      </c>
      <c r="J13546" s="14" t="str">
        <f>HYPERLINK("https://www.boe.es/gazeta/dias/1839/09/14/pdfs/GMD-1839-1767.pdf#page=2","Abrir facsímil")</f>
        <v>Abrir facsímil</v>
      </c>
      <c r="K13546" s="12" t="s">
        <v>24</v>
      </c>
    </row>
    <row r="13547" spans="1:11" ht="40.049999999999997" customHeight="1" x14ac:dyDescent="0.25">
      <c r="A13547" s="11" t="s">
        <v>26376</v>
      </c>
      <c r="B13547" s="11" t="s">
        <v>26376</v>
      </c>
      <c r="C13547" s="11" t="s">
        <v>17</v>
      </c>
      <c r="D13547" s="11" t="s">
        <v>18</v>
      </c>
      <c r="E13547" s="12" t="s">
        <v>592</v>
      </c>
      <c r="F13547" s="12" t="s">
        <v>593</v>
      </c>
      <c r="G13547" s="12" t="s">
        <v>21</v>
      </c>
      <c r="H13547" s="11" t="s">
        <v>22</v>
      </c>
      <c r="I13547" s="13" t="s">
        <v>26412</v>
      </c>
      <c r="J13547" s="14" t="str">
        <f>HYPERLINK("https://www.boe.es/gazeta/dias/1839/09/14/pdfs/GMD-1839-1767.pdf#page=4","Abrir facsímil")</f>
        <v>Abrir facsímil</v>
      </c>
      <c r="K13547" s="12" t="s">
        <v>24</v>
      </c>
    </row>
    <row r="13548" spans="1:11" ht="40.049999999999997" customHeight="1" x14ac:dyDescent="0.25">
      <c r="A13548" s="11" t="s">
        <v>26374</v>
      </c>
      <c r="B13548" s="11" t="s">
        <v>26374</v>
      </c>
      <c r="C13548" s="11" t="s">
        <v>137</v>
      </c>
      <c r="D13548" s="11" t="s">
        <v>18</v>
      </c>
      <c r="E13548" s="12" t="s">
        <v>175</v>
      </c>
      <c r="F13548" s="12" t="s">
        <v>176</v>
      </c>
      <c r="G13548" s="12" t="s">
        <v>46</v>
      </c>
      <c r="H13548" s="11" t="s">
        <v>63</v>
      </c>
      <c r="I13548" s="13" t="s">
        <v>26413</v>
      </c>
      <c r="J13548" s="14" t="str">
        <f>HYPERLINK("https://www.boe.es/gazeta/dias/1839/01/16/pdfs/GMD-1839-1523.pdf#page=3","Abrir facsímil")</f>
        <v>Abrir facsímil</v>
      </c>
      <c r="K13548" s="12" t="s">
        <v>65</v>
      </c>
    </row>
    <row r="13549" spans="1:11" ht="40.049999999999997" customHeight="1" x14ac:dyDescent="0.25">
      <c r="A13549" s="11" t="s">
        <v>26376</v>
      </c>
      <c r="B13549" s="11" t="s">
        <v>26376</v>
      </c>
      <c r="C13549" s="11" t="s">
        <v>17</v>
      </c>
      <c r="D13549" s="11" t="s">
        <v>18</v>
      </c>
      <c r="E13549" s="12" t="s">
        <v>1236</v>
      </c>
      <c r="F13549" s="12" t="s">
        <v>1237</v>
      </c>
      <c r="G13549" s="12" t="s">
        <v>29</v>
      </c>
      <c r="H13549" s="11" t="s">
        <v>22</v>
      </c>
      <c r="I13549" s="13" t="s">
        <v>26414</v>
      </c>
      <c r="J13549" s="14" t="str">
        <f>HYPERLINK("https://www.boe.es/gazeta/dias/1839/10/16/pdfs/GMD-1839-1802.pdf#page=1","Abrir facsímil")</f>
        <v>Abrir facsímil</v>
      </c>
      <c r="K13549" s="12" t="s">
        <v>24</v>
      </c>
    </row>
    <row r="13550" spans="1:11" ht="40.049999999999997" customHeight="1" x14ac:dyDescent="0.25">
      <c r="A13550" s="11" t="s">
        <v>26374</v>
      </c>
      <c r="B13550" s="11" t="s">
        <v>26374</v>
      </c>
      <c r="C13550" s="11" t="s">
        <v>101</v>
      </c>
      <c r="D13550" s="11" t="s">
        <v>43</v>
      </c>
      <c r="E13550" s="12" t="s">
        <v>1179</v>
      </c>
      <c r="F13550" s="12" t="s">
        <v>1180</v>
      </c>
      <c r="G13550" s="12" t="s">
        <v>21</v>
      </c>
      <c r="H13550" s="11" t="s">
        <v>63</v>
      </c>
      <c r="I13550" s="13" t="s">
        <v>26415</v>
      </c>
      <c r="J13550" s="14" t="str">
        <f>HYPERLINK("https://www.boe.es/gazeta/dias/1839/10/18/pdfs/GMD-1839-1804.pdf#page=4","Abrir facsímil")</f>
        <v>Abrir facsímil</v>
      </c>
      <c r="K13550" s="12" t="s">
        <v>65</v>
      </c>
    </row>
    <row r="13551" spans="1:11" ht="40.049999999999997" customHeight="1" x14ac:dyDescent="0.25">
      <c r="A13551" s="11" t="s">
        <v>26376</v>
      </c>
      <c r="B13551" s="11" t="s">
        <v>26376</v>
      </c>
      <c r="C13551" s="11" t="s">
        <v>17</v>
      </c>
      <c r="D13551" s="11" t="s">
        <v>18</v>
      </c>
      <c r="E13551" s="12" t="s">
        <v>2222</v>
      </c>
      <c r="F13551" s="12" t="s">
        <v>2223</v>
      </c>
      <c r="G13551" s="12" t="s">
        <v>46</v>
      </c>
      <c r="H13551" s="11" t="s">
        <v>22</v>
      </c>
      <c r="I13551" s="13" t="s">
        <v>26416</v>
      </c>
      <c r="J13551" s="14" t="str">
        <f>HYPERLINK("https://www.boe.es/gazeta/dias/1839/09/19/pdfs/GMD-1839-1773.pdf#page=3","Abrir facsímil")</f>
        <v>Abrir facsímil</v>
      </c>
      <c r="K13551" s="12" t="s">
        <v>24</v>
      </c>
    </row>
    <row r="13552" spans="1:11" ht="40.049999999999997" customHeight="1" x14ac:dyDescent="0.25">
      <c r="A13552" s="11" t="s">
        <v>26374</v>
      </c>
      <c r="B13552" s="11" t="s">
        <v>26374</v>
      </c>
      <c r="C13552" s="11" t="s">
        <v>17</v>
      </c>
      <c r="D13552" s="11" t="s">
        <v>18</v>
      </c>
      <c r="E13552" s="12" t="s">
        <v>2415</v>
      </c>
      <c r="F13552" s="12" t="s">
        <v>2416</v>
      </c>
      <c r="G13552" s="12" t="s">
        <v>46</v>
      </c>
      <c r="H13552" s="11" t="s">
        <v>63</v>
      </c>
      <c r="I13552" s="13" t="s">
        <v>26417</v>
      </c>
      <c r="J13552" s="14" t="str">
        <f>HYPERLINK("https://www.boe.es/gazeta/dias/1839/12/22/pdfs/GMD-1839-1869.pdf#page=3","Abrir facsímil")</f>
        <v>Abrir facsímil</v>
      </c>
      <c r="K13552" s="12" t="s">
        <v>65</v>
      </c>
    </row>
    <row r="13553" spans="1:11" ht="40.049999999999997" customHeight="1" x14ac:dyDescent="0.25">
      <c r="A13553" s="11" t="s">
        <v>26374</v>
      </c>
      <c r="B13553" s="11" t="s">
        <v>26374</v>
      </c>
      <c r="C13553" s="11" t="s">
        <v>59</v>
      </c>
      <c r="D13553" s="11" t="s">
        <v>60</v>
      </c>
      <c r="E13553" s="12" t="s">
        <v>596</v>
      </c>
      <c r="F13553" s="12" t="s">
        <v>597</v>
      </c>
      <c r="G13553" s="12" t="s">
        <v>21</v>
      </c>
      <c r="H13553" s="11" t="s">
        <v>63</v>
      </c>
      <c r="I13553" s="13" t="s">
        <v>26418</v>
      </c>
      <c r="J13553" s="14" t="str">
        <f>HYPERLINK("https://www.boe.es/gazeta/dias/1839/01/23/pdfs/GMD-1839-1530.pdf#page=4","Abrir facsímil")</f>
        <v>Abrir facsímil</v>
      </c>
      <c r="K13553" s="12" t="s">
        <v>65</v>
      </c>
    </row>
    <row r="13554" spans="1:11" ht="40.049999999999997" customHeight="1" x14ac:dyDescent="0.25">
      <c r="A13554" s="11" t="s">
        <v>26374</v>
      </c>
      <c r="B13554" s="11" t="s">
        <v>26374</v>
      </c>
      <c r="C13554" s="11" t="s">
        <v>137</v>
      </c>
      <c r="D13554" s="11" t="s">
        <v>18</v>
      </c>
      <c r="E13554" s="12" t="s">
        <v>416</v>
      </c>
      <c r="F13554" s="12" t="s">
        <v>417</v>
      </c>
      <c r="G13554" s="12" t="s">
        <v>40</v>
      </c>
      <c r="H13554" s="11" t="s">
        <v>63</v>
      </c>
      <c r="I13554" s="13" t="s">
        <v>26419</v>
      </c>
      <c r="J13554" s="14" t="str">
        <f>HYPERLINK("https://www.boe.es/gazeta/dias/1839/10/24/pdfs/GMD-1839-1810.pdf#page=2","Abrir facsímil")</f>
        <v>Abrir facsímil</v>
      </c>
      <c r="K13554" s="12" t="s">
        <v>65</v>
      </c>
    </row>
    <row r="13555" spans="1:11" ht="40.049999999999997" customHeight="1" x14ac:dyDescent="0.25">
      <c r="A13555" s="11" t="s">
        <v>26374</v>
      </c>
      <c r="B13555" s="11" t="s">
        <v>26374</v>
      </c>
      <c r="C13555" s="11" t="s">
        <v>101</v>
      </c>
      <c r="D13555" s="11" t="s">
        <v>43</v>
      </c>
      <c r="E13555" s="12" t="s">
        <v>826</v>
      </c>
      <c r="F13555" s="12" t="s">
        <v>827</v>
      </c>
      <c r="G13555" s="12" t="s">
        <v>46</v>
      </c>
      <c r="H13555" s="11" t="s">
        <v>63</v>
      </c>
      <c r="I13555" s="13" t="s">
        <v>26420</v>
      </c>
      <c r="J13555" s="14" t="str">
        <f>HYPERLINK("https://www.boe.es/gazeta/dias/1839/09/25/pdfs/GMD-1839-1781.pdf#page=3","Abrir facsímil")</f>
        <v>Abrir facsímil</v>
      </c>
      <c r="K13555" s="12" t="s">
        <v>65</v>
      </c>
    </row>
    <row r="13556" spans="1:11" ht="40.049999999999997" customHeight="1" x14ac:dyDescent="0.25">
      <c r="A13556" s="11" t="s">
        <v>26376</v>
      </c>
      <c r="B13556" s="11" t="s">
        <v>26376</v>
      </c>
      <c r="C13556" s="11" t="s">
        <v>101</v>
      </c>
      <c r="D13556" s="11" t="s">
        <v>102</v>
      </c>
      <c r="E13556" s="12" t="s">
        <v>1679</v>
      </c>
      <c r="F13556" s="12" t="s">
        <v>1680</v>
      </c>
      <c r="G13556" s="12" t="s">
        <v>46</v>
      </c>
      <c r="H13556" s="11" t="s">
        <v>22</v>
      </c>
      <c r="I13556" s="13" t="s">
        <v>26421</v>
      </c>
      <c r="J13556" s="14" t="str">
        <f>HYPERLINK("https://www.boe.es/gazeta/dias/1839/01/26/pdfs/GMD-1839-1533.pdf#page=3","Abrir facsímil")</f>
        <v>Abrir facsímil</v>
      </c>
      <c r="K13556" s="12" t="s">
        <v>24</v>
      </c>
    </row>
    <row r="13557" spans="1:11" ht="40.049999999999997" customHeight="1" x14ac:dyDescent="0.25">
      <c r="A13557" s="11" t="s">
        <v>26374</v>
      </c>
      <c r="B13557" s="11" t="s">
        <v>26374</v>
      </c>
      <c r="C13557" s="11" t="s">
        <v>17</v>
      </c>
      <c r="D13557" s="11" t="s">
        <v>18</v>
      </c>
      <c r="E13557" s="12" t="s">
        <v>1679</v>
      </c>
      <c r="F13557" s="12" t="s">
        <v>1680</v>
      </c>
      <c r="G13557" s="12" t="s">
        <v>21</v>
      </c>
      <c r="H13557" s="11" t="s">
        <v>63</v>
      </c>
      <c r="I13557" s="13" t="s">
        <v>26422</v>
      </c>
      <c r="J13557" s="14" t="str">
        <f>HYPERLINK("https://www.boe.es/gazeta/dias/1839/01/26/pdfs/GMD-1839-1533.pdf#page=4","Abrir facsímil")</f>
        <v>Abrir facsímil</v>
      </c>
      <c r="K13557" s="12" t="s">
        <v>65</v>
      </c>
    </row>
    <row r="13558" spans="1:11" ht="40.049999999999997" customHeight="1" x14ac:dyDescent="0.25">
      <c r="A13558" s="11" t="s">
        <v>26374</v>
      </c>
      <c r="B13558" s="11" t="s">
        <v>26374</v>
      </c>
      <c r="C13558" s="11" t="s">
        <v>17</v>
      </c>
      <c r="D13558" s="11" t="s">
        <v>18</v>
      </c>
      <c r="E13558" s="12" t="s">
        <v>1183</v>
      </c>
      <c r="F13558" s="12" t="s">
        <v>1184</v>
      </c>
      <c r="G13558" s="12" t="s">
        <v>21</v>
      </c>
      <c r="H13558" s="11" t="s">
        <v>63</v>
      </c>
      <c r="I13558" s="13" t="s">
        <v>26423</v>
      </c>
      <c r="J13558" s="14" t="str">
        <f>HYPERLINK("https://www.boe.es/gazeta/dias/1839/07/26/pdfs/GMD-1839-1715.pdf#page=4","Abrir facsímil")</f>
        <v>Abrir facsímil</v>
      </c>
      <c r="K13558" s="12" t="s">
        <v>65</v>
      </c>
    </row>
    <row r="13559" spans="1:11" ht="40.049999999999997" customHeight="1" x14ac:dyDescent="0.25">
      <c r="A13559" s="11" t="s">
        <v>26374</v>
      </c>
      <c r="B13559" s="11" t="s">
        <v>26374</v>
      </c>
      <c r="C13559" s="11" t="s">
        <v>17</v>
      </c>
      <c r="D13559" s="11" t="s">
        <v>18</v>
      </c>
      <c r="E13559" s="12" t="s">
        <v>1682</v>
      </c>
      <c r="F13559" s="12" t="s">
        <v>1683</v>
      </c>
      <c r="G13559" s="12" t="s">
        <v>40</v>
      </c>
      <c r="H13559" s="11" t="s">
        <v>63</v>
      </c>
      <c r="I13559" s="13" t="s">
        <v>26424</v>
      </c>
      <c r="J13559" s="14" t="str">
        <f>HYPERLINK("https://www.boe.es/gazeta/dias/1839/12/26/pdfs/GMD-1839-1873.pdf#page=2","Abrir facsímil")</f>
        <v>Abrir facsímil</v>
      </c>
      <c r="K13559" s="12" t="s">
        <v>65</v>
      </c>
    </row>
    <row r="13560" spans="1:11" ht="40.049999999999997" customHeight="1" x14ac:dyDescent="0.25">
      <c r="A13560" s="11" t="s">
        <v>26376</v>
      </c>
      <c r="B13560" s="11" t="s">
        <v>26376</v>
      </c>
      <c r="C13560" s="11" t="s">
        <v>101</v>
      </c>
      <c r="D13560" s="11" t="s">
        <v>43</v>
      </c>
      <c r="E13560" s="12" t="s">
        <v>284</v>
      </c>
      <c r="F13560" s="12" t="s">
        <v>285</v>
      </c>
      <c r="G13560" s="12" t="s">
        <v>46</v>
      </c>
      <c r="H13560" s="11" t="s">
        <v>22</v>
      </c>
      <c r="I13560" s="13" t="s">
        <v>26425</v>
      </c>
      <c r="J13560" s="14" t="str">
        <f>HYPERLINK("https://www.boe.es/gazeta/dias/1839/01/27/pdfs/GMD-1839-1534.pdf#page=3","Abrir facsímil")</f>
        <v>Abrir facsímil</v>
      </c>
      <c r="K13560" s="12" t="s">
        <v>24</v>
      </c>
    </row>
    <row r="13561" spans="1:11" ht="40.049999999999997" customHeight="1" x14ac:dyDescent="0.25">
      <c r="A13561" s="11" t="s">
        <v>26374</v>
      </c>
      <c r="B13561" s="11" t="s">
        <v>26374</v>
      </c>
      <c r="C13561" s="11" t="s">
        <v>59</v>
      </c>
      <c r="D13561" s="11" t="s">
        <v>60</v>
      </c>
      <c r="E13561" s="12" t="s">
        <v>571</v>
      </c>
      <c r="F13561" s="12" t="s">
        <v>572</v>
      </c>
      <c r="G13561" s="12" t="s">
        <v>40</v>
      </c>
      <c r="H13561" s="11" t="s">
        <v>63</v>
      </c>
      <c r="I13561" s="13" t="s">
        <v>26426</v>
      </c>
      <c r="J13561" s="14" t="str">
        <f>HYPERLINK("https://www.boe.es/gazeta/dias/1839/09/27/pdfs/GMD-1839-1783.pdf#page=2","Abrir facsímil")</f>
        <v>Abrir facsímil</v>
      </c>
      <c r="K13561" s="12" t="s">
        <v>65</v>
      </c>
    </row>
    <row r="13562" spans="1:11" ht="40.049999999999997" customHeight="1" x14ac:dyDescent="0.25">
      <c r="A13562" s="11" t="s">
        <v>26374</v>
      </c>
      <c r="B13562" s="11" t="s">
        <v>26374</v>
      </c>
      <c r="C13562" s="11" t="s">
        <v>80</v>
      </c>
      <c r="D13562" s="11" t="s">
        <v>18</v>
      </c>
      <c r="E13562" s="12" t="s">
        <v>862</v>
      </c>
      <c r="F13562" s="12" t="s">
        <v>863</v>
      </c>
      <c r="G13562" s="12" t="s">
        <v>566</v>
      </c>
      <c r="H13562" s="11" t="s">
        <v>63</v>
      </c>
      <c r="I13562" s="13" t="s">
        <v>26427</v>
      </c>
      <c r="J13562" s="14" t="str">
        <f>HYPERLINK("https://www.boe.es/gazeta/dias/1839/10/28/pdfs/GMD-1839-1814.pdf#page=5","Abrir facsímil")</f>
        <v>Abrir facsímil</v>
      </c>
      <c r="K13562" s="12" t="s">
        <v>65</v>
      </c>
    </row>
    <row r="13563" spans="1:11" ht="40.049999999999997" customHeight="1" x14ac:dyDescent="0.25">
      <c r="A13563" s="11" t="s">
        <v>26374</v>
      </c>
      <c r="B13563" s="11" t="s">
        <v>26374</v>
      </c>
      <c r="C13563" s="11" t="s">
        <v>101</v>
      </c>
      <c r="D13563" s="11" t="s">
        <v>43</v>
      </c>
      <c r="E13563" s="12" t="s">
        <v>1807</v>
      </c>
      <c r="F13563" s="12" t="s">
        <v>1808</v>
      </c>
      <c r="G13563" s="12" t="s">
        <v>46</v>
      </c>
      <c r="H13563" s="11" t="s">
        <v>63</v>
      </c>
      <c r="I13563" s="13" t="s">
        <v>26428</v>
      </c>
      <c r="J13563" s="14" t="str">
        <f>HYPERLINK("https://www.boe.es/gazeta/dias/1839/01/29/pdfs/GMD-1839-1536.pdf#page=3","Abrir facsímil")</f>
        <v>Abrir facsímil</v>
      </c>
      <c r="K13563" s="12" t="s">
        <v>65</v>
      </c>
    </row>
    <row r="13564" spans="1:11" ht="40.049999999999997" customHeight="1" x14ac:dyDescent="0.25">
      <c r="A13564" s="11" t="s">
        <v>26376</v>
      </c>
      <c r="B13564" s="11" t="s">
        <v>26376</v>
      </c>
      <c r="C13564" s="11" t="s">
        <v>101</v>
      </c>
      <c r="D13564" s="11" t="s">
        <v>43</v>
      </c>
      <c r="E13564" s="12" t="s">
        <v>2349</v>
      </c>
      <c r="F13564" s="12" t="s">
        <v>2350</v>
      </c>
      <c r="G13564" s="12" t="s">
        <v>46</v>
      </c>
      <c r="H13564" s="11" t="s">
        <v>22</v>
      </c>
      <c r="I13564" s="13" t="s">
        <v>26429</v>
      </c>
      <c r="J13564" s="14" t="str">
        <f>HYPERLINK("https://www.boe.es/gazeta/dias/1839/09/29/pdfs/GMD-1839-1785.pdf#page=3","Abrir facsímil")</f>
        <v>Abrir facsímil</v>
      </c>
      <c r="K13564" s="12" t="s">
        <v>24</v>
      </c>
    </row>
    <row r="13565" spans="1:11" ht="40.049999999999997" customHeight="1" x14ac:dyDescent="0.25">
      <c r="A13565" s="11" t="s">
        <v>26374</v>
      </c>
      <c r="B13565" s="11" t="s">
        <v>26374</v>
      </c>
      <c r="C13565" s="11" t="s">
        <v>17</v>
      </c>
      <c r="D13565" s="11" t="s">
        <v>18</v>
      </c>
      <c r="E13565" s="12" t="s">
        <v>1988</v>
      </c>
      <c r="F13565" s="12" t="s">
        <v>1989</v>
      </c>
      <c r="G13565" s="12" t="s">
        <v>305</v>
      </c>
      <c r="H13565" s="11" t="s">
        <v>63</v>
      </c>
      <c r="I13565" s="13" t="s">
        <v>26430</v>
      </c>
      <c r="J13565" s="14" t="str">
        <f>HYPERLINK("https://www.boe.es/gazeta/dias/1839/10/29/pdfs/GMD-1839-1815.pdf#page=6","Abrir facsímil")</f>
        <v>Abrir facsímil</v>
      </c>
      <c r="K13565" s="12" t="s">
        <v>65</v>
      </c>
    </row>
    <row r="13566" spans="1:11" ht="40.049999999999997" customHeight="1" x14ac:dyDescent="0.25">
      <c r="A13566" s="11" t="s">
        <v>26431</v>
      </c>
      <c r="B13566" s="11" t="s">
        <v>26432</v>
      </c>
      <c r="C13566" s="11" t="s">
        <v>17</v>
      </c>
      <c r="D13566" s="11" t="s">
        <v>18</v>
      </c>
      <c r="E13566" s="12" t="s">
        <v>239</v>
      </c>
      <c r="F13566" s="12" t="s">
        <v>240</v>
      </c>
      <c r="G13566" s="12" t="s">
        <v>29</v>
      </c>
      <c r="H13566" s="11" t="s">
        <v>63</v>
      </c>
      <c r="I13566" s="13" t="s">
        <v>26433</v>
      </c>
      <c r="J13566" s="14" t="str">
        <f>HYPERLINK("https://www.boe.es/gazeta/dias/1839/09/22/pdfs/GMD-1839-1777.pdf#page=1","Abrir facsímil")</f>
        <v>Abrir facsímil</v>
      </c>
      <c r="K13566" s="12" t="s">
        <v>65</v>
      </c>
    </row>
    <row r="13567" spans="1:11" ht="40.049999999999997" customHeight="1" x14ac:dyDescent="0.25">
      <c r="A13567" s="11" t="s">
        <v>26434</v>
      </c>
      <c r="B13567" s="11" t="s">
        <v>26435</v>
      </c>
      <c r="C13567" s="11" t="s">
        <v>17</v>
      </c>
      <c r="D13567" s="11" t="s">
        <v>18</v>
      </c>
      <c r="E13567" s="12" t="s">
        <v>369</v>
      </c>
      <c r="F13567" s="12" t="s">
        <v>370</v>
      </c>
      <c r="G13567" s="12" t="s">
        <v>40</v>
      </c>
      <c r="H13567" s="11" t="s">
        <v>63</v>
      </c>
      <c r="I13567" s="13" t="s">
        <v>26436</v>
      </c>
      <c r="J13567" s="14" t="str">
        <f>HYPERLINK("https://www.boe.es/gazeta/dias/1839/11/01/pdfs/GMD-1839-1818.pdf#page=2","Abrir facsímil")</f>
        <v>Abrir facsímil</v>
      </c>
      <c r="K13567" s="12" t="s">
        <v>65</v>
      </c>
    </row>
    <row r="13568" spans="1:11" ht="40.049999999999997" customHeight="1" x14ac:dyDescent="0.25">
      <c r="A13568" s="11" t="s">
        <v>26434</v>
      </c>
      <c r="B13568" s="11" t="s">
        <v>26435</v>
      </c>
      <c r="C13568" s="11" t="s">
        <v>17</v>
      </c>
      <c r="D13568" s="11" t="s">
        <v>18</v>
      </c>
      <c r="E13568" s="12" t="s">
        <v>1108</v>
      </c>
      <c r="F13568" s="12" t="s">
        <v>1109</v>
      </c>
      <c r="G13568" s="12" t="s">
        <v>46</v>
      </c>
      <c r="H13568" s="11" t="s">
        <v>63</v>
      </c>
      <c r="I13568" s="13" t="s">
        <v>26437</v>
      </c>
      <c r="J13568" s="14" t="str">
        <f>HYPERLINK("https://www.boe.es/gazeta/dias/1839/09/21/pdfs/GMD-1839-1776.pdf#page=3","Abrir facsímil")</f>
        <v>Abrir facsímil</v>
      </c>
      <c r="K13568" s="12" t="s">
        <v>65</v>
      </c>
    </row>
    <row r="13569" spans="1:11" ht="40.049999999999997" customHeight="1" x14ac:dyDescent="0.25">
      <c r="A13569" s="11" t="s">
        <v>26438</v>
      </c>
      <c r="B13569" s="11" t="s">
        <v>26438</v>
      </c>
      <c r="C13569" s="11" t="s">
        <v>17</v>
      </c>
      <c r="D13569" s="11" t="s">
        <v>18</v>
      </c>
      <c r="E13569" s="12" t="s">
        <v>54</v>
      </c>
      <c r="F13569" s="12" t="s">
        <v>55</v>
      </c>
      <c r="G13569" s="12" t="s">
        <v>566</v>
      </c>
      <c r="H13569" s="11" t="s">
        <v>22</v>
      </c>
      <c r="I13569" s="13" t="s">
        <v>26439</v>
      </c>
      <c r="J13569" s="14" t="str">
        <f>HYPERLINK("https://www.boe.es/gazeta/dias/1839/10/05/pdfs/GMD-1839-1791.pdf#page=5","Abrir facsímil")</f>
        <v>Abrir facsímil</v>
      </c>
      <c r="K13569" s="12" t="s">
        <v>24</v>
      </c>
    </row>
    <row r="13570" spans="1:11" ht="40.049999999999997" customHeight="1" x14ac:dyDescent="0.25">
      <c r="A13570" s="11" t="s">
        <v>26440</v>
      </c>
      <c r="B13570" s="11" t="s">
        <v>26441</v>
      </c>
      <c r="C13570" s="11" t="s">
        <v>80</v>
      </c>
      <c r="D13570" s="11" t="s">
        <v>18</v>
      </c>
      <c r="E13570" s="12" t="s">
        <v>217</v>
      </c>
      <c r="F13570" s="12" t="s">
        <v>218</v>
      </c>
      <c r="G13570" s="12" t="s">
        <v>46</v>
      </c>
      <c r="H13570" s="11" t="s">
        <v>22</v>
      </c>
      <c r="I13570" s="13" t="s">
        <v>26442</v>
      </c>
      <c r="J13570" s="14" t="str">
        <f>HYPERLINK("https://www.boe.es/gazeta/dias/1839/08/06/pdfs/GMD-1839-1726.pdf#page=3","Abrir facsímil")</f>
        <v>Abrir facsímil</v>
      </c>
      <c r="K13570" s="12" t="s">
        <v>24</v>
      </c>
    </row>
    <row r="13571" spans="1:11" ht="40.049999999999997" customHeight="1" x14ac:dyDescent="0.25">
      <c r="A13571" s="11" t="s">
        <v>26443</v>
      </c>
      <c r="B13571" s="11" t="s">
        <v>26444</v>
      </c>
      <c r="C13571" s="11" t="s">
        <v>59</v>
      </c>
      <c r="D13571" s="11" t="s">
        <v>60</v>
      </c>
      <c r="E13571" s="12" t="s">
        <v>527</v>
      </c>
      <c r="F13571" s="12" t="s">
        <v>528</v>
      </c>
      <c r="G13571" s="12" t="s">
        <v>21</v>
      </c>
      <c r="H13571" s="11" t="s">
        <v>63</v>
      </c>
      <c r="I13571" s="13" t="s">
        <v>26445</v>
      </c>
      <c r="J13571" s="14" t="str">
        <f>HYPERLINK("https://www.boe.es/gazeta/dias/1839/07/10/pdfs/GMD-1839-1698.pdf#page=4","Abrir facsímil")</f>
        <v>Abrir facsímil</v>
      </c>
      <c r="K13571" s="12" t="s">
        <v>65</v>
      </c>
    </row>
    <row r="13572" spans="1:11" ht="40.049999999999997" customHeight="1" x14ac:dyDescent="0.25">
      <c r="A13572" s="11" t="s">
        <v>26446</v>
      </c>
      <c r="B13572" s="11" t="s">
        <v>26447</v>
      </c>
      <c r="C13572" s="11" t="s">
        <v>101</v>
      </c>
      <c r="D13572" s="11" t="s">
        <v>43</v>
      </c>
      <c r="E13572" s="12" t="s">
        <v>1414</v>
      </c>
      <c r="F13572" s="12" t="s">
        <v>1415</v>
      </c>
      <c r="G13572" s="12" t="s">
        <v>21</v>
      </c>
      <c r="H13572" s="11" t="s">
        <v>63</v>
      </c>
      <c r="I13572" s="13" t="s">
        <v>26448</v>
      </c>
      <c r="J13572" s="14" t="str">
        <f>HYPERLINK("https://www.boe.es/gazeta/dias/1839/06/12/pdfs/GMD-1839-1670.pdf#page=4","Abrir facsímil")</f>
        <v>Abrir facsímil</v>
      </c>
      <c r="K13572" s="12" t="s">
        <v>65</v>
      </c>
    </row>
    <row r="13573" spans="1:11" ht="40.049999999999997" customHeight="1" x14ac:dyDescent="0.25">
      <c r="A13573" s="11" t="s">
        <v>26449</v>
      </c>
      <c r="B13573" s="11" t="s">
        <v>26450</v>
      </c>
      <c r="C13573" s="11" t="s">
        <v>59</v>
      </c>
      <c r="D13573" s="11" t="s">
        <v>60</v>
      </c>
      <c r="E13573" s="12" t="s">
        <v>817</v>
      </c>
      <c r="F13573" s="12" t="s">
        <v>818</v>
      </c>
      <c r="G13573" s="12" t="s">
        <v>21</v>
      </c>
      <c r="H13573" s="11" t="s">
        <v>63</v>
      </c>
      <c r="I13573" s="13" t="s">
        <v>26451</v>
      </c>
      <c r="J13573" s="14" t="str">
        <f>HYPERLINK("https://www.boe.es/gazeta/dias/1839/05/28/pdfs/GMD-1839-1655.pdf#page=4","Abrir facsímil")</f>
        <v>Abrir facsímil</v>
      </c>
      <c r="K13573" s="12" t="s">
        <v>65</v>
      </c>
    </row>
    <row r="13574" spans="1:11" ht="40.049999999999997" customHeight="1" x14ac:dyDescent="0.25">
      <c r="A13574" s="11" t="s">
        <v>26452</v>
      </c>
      <c r="B13574" s="11" t="s">
        <v>26453</v>
      </c>
      <c r="C13574" s="11" t="s">
        <v>137</v>
      </c>
      <c r="D13574" s="11" t="s">
        <v>18</v>
      </c>
      <c r="E13574" s="12" t="s">
        <v>946</v>
      </c>
      <c r="F13574" s="12" t="s">
        <v>947</v>
      </c>
      <c r="G13574" s="12" t="s">
        <v>21</v>
      </c>
      <c r="H13574" s="11" t="s">
        <v>63</v>
      </c>
      <c r="I13574" s="13" t="s">
        <v>26454</v>
      </c>
      <c r="J13574" s="14" t="str">
        <f>HYPERLINK("https://www.boe.es/gazeta/dias/1839/04/15/pdfs/GMD-1839-1612.pdf#page=4","Abrir facsímil")</f>
        <v>Abrir facsímil</v>
      </c>
      <c r="K13574" s="12" t="s">
        <v>65</v>
      </c>
    </row>
    <row r="13575" spans="1:11" ht="40.049999999999997" customHeight="1" x14ac:dyDescent="0.25">
      <c r="A13575" s="11" t="s">
        <v>26455</v>
      </c>
      <c r="B13575" s="11" t="s">
        <v>26456</v>
      </c>
      <c r="C13575" s="11" t="s">
        <v>137</v>
      </c>
      <c r="D13575" s="11" t="s">
        <v>18</v>
      </c>
      <c r="E13575" s="12" t="s">
        <v>1772</v>
      </c>
      <c r="F13575" s="12" t="s">
        <v>1773</v>
      </c>
      <c r="G13575" s="12" t="s">
        <v>21</v>
      </c>
      <c r="H13575" s="11" t="s">
        <v>63</v>
      </c>
      <c r="I13575" s="13" t="s">
        <v>26457</v>
      </c>
      <c r="J13575" s="14" t="str">
        <f>HYPERLINK("https://www.boe.es/gazeta/dias/1839/05/07/pdfs/GMD-1839-1634.pdf#page=4","Abrir facsímil")</f>
        <v>Abrir facsímil</v>
      </c>
      <c r="K13575" s="12" t="s">
        <v>65</v>
      </c>
    </row>
    <row r="13576" spans="1:11" ht="40.049999999999997" customHeight="1" x14ac:dyDescent="0.25">
      <c r="A13576" s="11" t="s">
        <v>26455</v>
      </c>
      <c r="B13576" s="11" t="s">
        <v>26456</v>
      </c>
      <c r="C13576" s="11" t="s">
        <v>80</v>
      </c>
      <c r="D13576" s="11" t="s">
        <v>18</v>
      </c>
      <c r="E13576" s="12" t="s">
        <v>479</v>
      </c>
      <c r="F13576" s="12" t="s">
        <v>480</v>
      </c>
      <c r="G13576" s="12" t="s">
        <v>21</v>
      </c>
      <c r="H13576" s="11" t="s">
        <v>63</v>
      </c>
      <c r="I13576" s="13" t="s">
        <v>26458</v>
      </c>
      <c r="J13576" s="14" t="str">
        <f>HYPERLINK("https://www.boe.es/gazeta/dias/1839/06/24/pdfs/GMD-1839-1682.pdf#page=4","Abrir facsímil")</f>
        <v>Abrir facsímil</v>
      </c>
      <c r="K13576" s="12" t="s">
        <v>65</v>
      </c>
    </row>
    <row r="13577" spans="1:11" ht="40.049999999999997" customHeight="1" x14ac:dyDescent="0.25">
      <c r="A13577" s="11" t="s">
        <v>26455</v>
      </c>
      <c r="B13577" s="11" t="s">
        <v>26456</v>
      </c>
      <c r="C13577" s="11" t="s">
        <v>59</v>
      </c>
      <c r="D13577" s="11" t="s">
        <v>60</v>
      </c>
      <c r="E13577" s="12" t="s">
        <v>355</v>
      </c>
      <c r="F13577" s="12" t="s">
        <v>356</v>
      </c>
      <c r="G13577" s="12" t="s">
        <v>21</v>
      </c>
      <c r="H13577" s="11" t="s">
        <v>63</v>
      </c>
      <c r="I13577" s="13" t="s">
        <v>26459</v>
      </c>
      <c r="J13577" s="14" t="str">
        <f>HYPERLINK("https://www.boe.es/gazeta/dias/1839/05/31/pdfs/GMD-1839-1658.pdf#page=4","Abrir facsímil")</f>
        <v>Abrir facsímil</v>
      </c>
      <c r="K13577" s="12" t="s">
        <v>65</v>
      </c>
    </row>
    <row r="13578" spans="1:11" ht="40.049999999999997" customHeight="1" x14ac:dyDescent="0.25">
      <c r="A13578" s="11" t="s">
        <v>26460</v>
      </c>
      <c r="B13578" s="11" t="s">
        <v>26460</v>
      </c>
      <c r="C13578" s="11" t="s">
        <v>17</v>
      </c>
      <c r="D13578" s="11" t="s">
        <v>18</v>
      </c>
      <c r="E13578" s="12" t="s">
        <v>266</v>
      </c>
      <c r="F13578" s="12" t="s">
        <v>267</v>
      </c>
      <c r="G13578" s="12" t="s">
        <v>21</v>
      </c>
      <c r="H13578" s="11" t="s">
        <v>63</v>
      </c>
      <c r="I13578" s="13" t="s">
        <v>26461</v>
      </c>
      <c r="J13578" s="14" t="str">
        <f>HYPERLINK("https://www.boe.es/gazeta/dias/1839/01/03/pdfs/GMD-1839-1510.pdf#page=4","Abrir facsímil")</f>
        <v>Abrir facsímil</v>
      </c>
      <c r="K13578" s="12" t="s">
        <v>65</v>
      </c>
    </row>
    <row r="13579" spans="1:11" ht="40.049999999999997" customHeight="1" x14ac:dyDescent="0.25">
      <c r="A13579" s="11" t="s">
        <v>26462</v>
      </c>
      <c r="B13579" s="11" t="s">
        <v>26463</v>
      </c>
      <c r="C13579" s="11" t="s">
        <v>17</v>
      </c>
      <c r="D13579" s="11" t="s">
        <v>18</v>
      </c>
      <c r="E13579" s="12" t="s">
        <v>1123</v>
      </c>
      <c r="F13579" s="12" t="s">
        <v>1124</v>
      </c>
      <c r="G13579" s="12" t="s">
        <v>21</v>
      </c>
      <c r="H13579" s="11" t="s">
        <v>63</v>
      </c>
      <c r="I13579" s="13" t="s">
        <v>26464</v>
      </c>
      <c r="J13579" s="14" t="str">
        <f>HYPERLINK("https://www.boe.es/gazeta/dias/1839/08/10/pdfs/GMD-1839-1730.pdf#page=4","Abrir facsímil")</f>
        <v>Abrir facsímil</v>
      </c>
      <c r="K13579" s="12" t="s">
        <v>65</v>
      </c>
    </row>
    <row r="13580" spans="1:11" ht="40.049999999999997" customHeight="1" x14ac:dyDescent="0.25">
      <c r="A13580" s="11" t="s">
        <v>26465</v>
      </c>
      <c r="B13580" s="11" t="s">
        <v>26465</v>
      </c>
      <c r="C13580" s="11" t="s">
        <v>17</v>
      </c>
      <c r="D13580" s="11" t="s">
        <v>18</v>
      </c>
      <c r="E13580" s="12" t="s">
        <v>262</v>
      </c>
      <c r="F13580" s="12" t="s">
        <v>263</v>
      </c>
      <c r="G13580" s="12" t="s">
        <v>40</v>
      </c>
      <c r="H13580" s="11" t="s">
        <v>63</v>
      </c>
      <c r="I13580" s="13" t="s">
        <v>26466</v>
      </c>
      <c r="J13580" s="14" t="str">
        <f>HYPERLINK("https://www.boe.es/gazeta/dias/1839/01/01/pdfs/GMD-1839-1508.pdf#page=2","Abrir facsímil")</f>
        <v>Abrir facsímil</v>
      </c>
      <c r="K13580" s="12" t="s">
        <v>65</v>
      </c>
    </row>
    <row r="13581" spans="1:11" ht="40.049999999999997" customHeight="1" x14ac:dyDescent="0.25">
      <c r="A13581" s="11" t="s">
        <v>26465</v>
      </c>
      <c r="B13581" s="11" t="s">
        <v>26465</v>
      </c>
      <c r="C13581" s="11" t="s">
        <v>101</v>
      </c>
      <c r="D13581" s="11" t="s">
        <v>43</v>
      </c>
      <c r="E13581" s="12" t="s">
        <v>262</v>
      </c>
      <c r="F13581" s="12" t="s">
        <v>263</v>
      </c>
      <c r="G13581" s="12" t="s">
        <v>46</v>
      </c>
      <c r="H13581" s="11" t="s">
        <v>63</v>
      </c>
      <c r="I13581" s="13" t="s">
        <v>26467</v>
      </c>
      <c r="J13581" s="14" t="str">
        <f>HYPERLINK("https://www.boe.es/gazeta/dias/1839/01/01/pdfs/GMD-1839-1508.pdf#page=3","Abrir facsímil")</f>
        <v>Abrir facsímil</v>
      </c>
      <c r="K13581" s="12" t="s">
        <v>65</v>
      </c>
    </row>
    <row r="13582" spans="1:11" ht="40.049999999999997" customHeight="1" x14ac:dyDescent="0.25">
      <c r="A13582" s="11" t="s">
        <v>26465</v>
      </c>
      <c r="B13582" s="11" t="s">
        <v>26465</v>
      </c>
      <c r="C13582" s="11" t="s">
        <v>17</v>
      </c>
      <c r="D13582" s="11" t="s">
        <v>18</v>
      </c>
      <c r="E13582" s="12" t="s">
        <v>266</v>
      </c>
      <c r="F13582" s="12" t="s">
        <v>267</v>
      </c>
      <c r="G13582" s="12" t="s">
        <v>21</v>
      </c>
      <c r="H13582" s="11" t="s">
        <v>63</v>
      </c>
      <c r="I13582" s="13" t="s">
        <v>26468</v>
      </c>
      <c r="J13582" s="14" t="str">
        <f>HYPERLINK("https://www.boe.es/gazeta/dias/1839/01/03/pdfs/GMD-1839-1510.pdf#page=4","Abrir facsímil")</f>
        <v>Abrir facsímil</v>
      </c>
      <c r="K13582" s="12" t="s">
        <v>65</v>
      </c>
    </row>
    <row r="13583" spans="1:11" ht="40.049999999999997" customHeight="1" x14ac:dyDescent="0.25">
      <c r="A13583" s="11" t="s">
        <v>26469</v>
      </c>
      <c r="B13583" s="11" t="s">
        <v>26469</v>
      </c>
      <c r="C13583" s="11" t="s">
        <v>101</v>
      </c>
      <c r="D13583" s="11" t="s">
        <v>43</v>
      </c>
      <c r="E13583" s="12" t="s">
        <v>723</v>
      </c>
      <c r="F13583" s="12" t="s">
        <v>724</v>
      </c>
      <c r="G13583" s="12" t="s">
        <v>40</v>
      </c>
      <c r="H13583" s="11" t="s">
        <v>63</v>
      </c>
      <c r="I13583" s="13" t="s">
        <v>26470</v>
      </c>
      <c r="J13583" s="14" t="str">
        <f>HYPERLINK("https://www.boe.es/gazeta/dias/1839/09/26/pdfs/GMD-1839-1782.pdf#page=2","Abrir facsímil")</f>
        <v>Abrir facsímil</v>
      </c>
      <c r="K13583" s="12" t="s">
        <v>65</v>
      </c>
    </row>
    <row r="13584" spans="1:11" ht="40.049999999999997" customHeight="1" x14ac:dyDescent="0.25">
      <c r="A13584" s="11" t="s">
        <v>26471</v>
      </c>
      <c r="B13584" s="11" t="s">
        <v>26472</v>
      </c>
      <c r="C13584" s="11" t="s">
        <v>17</v>
      </c>
      <c r="D13584" s="11" t="s">
        <v>18</v>
      </c>
      <c r="E13584" s="12" t="s">
        <v>577</v>
      </c>
      <c r="F13584" s="12" t="s">
        <v>578</v>
      </c>
      <c r="G13584" s="12" t="s">
        <v>40</v>
      </c>
      <c r="H13584" s="11" t="s">
        <v>63</v>
      </c>
      <c r="I13584" s="13" t="s">
        <v>26473</v>
      </c>
      <c r="J13584" s="14" t="str">
        <f>HYPERLINK("https://www.boe.es/gazeta/dias/1839/09/30/pdfs/GMD-1839-1786.pdf#page=2","Abrir facsímil")</f>
        <v>Abrir facsímil</v>
      </c>
      <c r="K13584" s="12" t="s">
        <v>65</v>
      </c>
    </row>
    <row r="13585" spans="1:11" ht="40.049999999999997" customHeight="1" x14ac:dyDescent="0.25">
      <c r="A13585" s="11" t="s">
        <v>26474</v>
      </c>
      <c r="B13585" s="11" t="s">
        <v>26475</v>
      </c>
      <c r="C13585" s="11" t="s">
        <v>17</v>
      </c>
      <c r="D13585" s="11" t="s">
        <v>18</v>
      </c>
      <c r="E13585" s="12" t="s">
        <v>160</v>
      </c>
      <c r="F13585" s="12" t="s">
        <v>161</v>
      </c>
      <c r="G13585" s="12" t="s">
        <v>40</v>
      </c>
      <c r="H13585" s="11" t="s">
        <v>63</v>
      </c>
      <c r="I13585" s="13" t="s">
        <v>26476</v>
      </c>
      <c r="J13585" s="14" t="str">
        <f>HYPERLINK("https://www.boe.es/gazeta/dias/1839/01/10/pdfs/GMD-1839-1517.pdf#page=2","Abrir facsímil")</f>
        <v>Abrir facsímil</v>
      </c>
      <c r="K13585" s="12" t="s">
        <v>65</v>
      </c>
    </row>
    <row r="13586" spans="1:11" ht="40.049999999999997" customHeight="1" x14ac:dyDescent="0.25">
      <c r="A13586" s="11" t="s">
        <v>26477</v>
      </c>
      <c r="B13586" s="11" t="s">
        <v>26477</v>
      </c>
      <c r="C13586" s="11" t="s">
        <v>101</v>
      </c>
      <c r="D13586" s="11" t="s">
        <v>43</v>
      </c>
      <c r="E13586" s="12" t="s">
        <v>157</v>
      </c>
      <c r="F13586" s="12" t="s">
        <v>158</v>
      </c>
      <c r="G13586" s="12" t="s">
        <v>40</v>
      </c>
      <c r="H13586" s="11" t="s">
        <v>22</v>
      </c>
      <c r="I13586" s="13" t="s">
        <v>26478</v>
      </c>
      <c r="J13586" s="14" t="str">
        <f>HYPERLINK("https://www.boe.es/gazeta/dias/1839/02/08/pdfs/GMD-1839-1546.pdf#page=2","Abrir facsímil")</f>
        <v>Abrir facsímil</v>
      </c>
      <c r="K13586" s="12" t="s">
        <v>24</v>
      </c>
    </row>
    <row r="13587" spans="1:11" ht="40.049999999999997" customHeight="1" x14ac:dyDescent="0.25">
      <c r="A13587" s="11" t="s">
        <v>26479</v>
      </c>
      <c r="B13587" s="11" t="s">
        <v>26479</v>
      </c>
      <c r="C13587" s="11" t="s">
        <v>17</v>
      </c>
      <c r="D13587" s="11" t="s">
        <v>18</v>
      </c>
      <c r="E13587" s="12" t="s">
        <v>1909</v>
      </c>
      <c r="F13587" s="12" t="s">
        <v>1910</v>
      </c>
      <c r="G13587" s="12" t="s">
        <v>40</v>
      </c>
      <c r="H13587" s="11" t="s">
        <v>22</v>
      </c>
      <c r="I13587" s="13" t="s">
        <v>26480</v>
      </c>
      <c r="J13587" s="14" t="str">
        <f>HYPERLINK("https://www.boe.es/gazeta/dias/1839/10/27/pdfs/GMD-1839-1813.pdf#page=2","Abrir facsímil")</f>
        <v>Abrir facsímil</v>
      </c>
      <c r="K13587" s="12" t="s">
        <v>24</v>
      </c>
    </row>
    <row r="13588" spans="1:11" ht="40.049999999999997" customHeight="1" x14ac:dyDescent="0.25">
      <c r="A13588" s="11" t="s">
        <v>26481</v>
      </c>
      <c r="B13588" s="11" t="s">
        <v>26481</v>
      </c>
      <c r="C13588" s="11" t="s">
        <v>17</v>
      </c>
      <c r="D13588" s="11" t="s">
        <v>18</v>
      </c>
      <c r="E13588" s="12" t="s">
        <v>453</v>
      </c>
      <c r="F13588" s="12" t="s">
        <v>454</v>
      </c>
      <c r="G13588" s="12" t="s">
        <v>29</v>
      </c>
      <c r="H13588" s="11" t="s">
        <v>22</v>
      </c>
      <c r="I13588" s="13" t="s">
        <v>26482</v>
      </c>
      <c r="J13588" s="14" t="str">
        <f>HYPERLINK("https://www.boe.es/gazeta/dias/1839/02/07/pdfs/GMD-1839-1545.pdf#page=1","Abrir facsímil")</f>
        <v>Abrir facsímil</v>
      </c>
      <c r="K13588" s="12" t="s">
        <v>24</v>
      </c>
    </row>
    <row r="13589" spans="1:11" ht="40.049999999999997" customHeight="1" x14ac:dyDescent="0.25">
      <c r="A13589" s="11" t="s">
        <v>26483</v>
      </c>
      <c r="B13589" s="11" t="s">
        <v>26483</v>
      </c>
      <c r="C13589" s="11" t="s">
        <v>17</v>
      </c>
      <c r="D13589" s="11" t="s">
        <v>18</v>
      </c>
      <c r="E13589" s="12" t="s">
        <v>870</v>
      </c>
      <c r="F13589" s="12" t="s">
        <v>871</v>
      </c>
      <c r="G13589" s="12" t="s">
        <v>29</v>
      </c>
      <c r="H13589" s="11" t="s">
        <v>63</v>
      </c>
      <c r="I13589" s="13" t="s">
        <v>26484</v>
      </c>
      <c r="J13589" s="14" t="str">
        <f>HYPERLINK("https://www.boe.es/gazeta/dias/1839/04/18/pdfs/GMD-1839-1615.pdf#page=1","Abrir facsímil")</f>
        <v>Abrir facsímil</v>
      </c>
      <c r="K13589" s="12" t="s">
        <v>65</v>
      </c>
    </row>
    <row r="13590" spans="1:11" ht="40.049999999999997" customHeight="1" x14ac:dyDescent="0.25">
      <c r="A13590" s="11" t="s">
        <v>26483</v>
      </c>
      <c r="B13590" s="11" t="s">
        <v>26483</v>
      </c>
      <c r="C13590" s="11" t="s">
        <v>17</v>
      </c>
      <c r="D13590" s="11" t="s">
        <v>18</v>
      </c>
      <c r="E13590" s="12" t="s">
        <v>483</v>
      </c>
      <c r="F13590" s="12" t="s">
        <v>484</v>
      </c>
      <c r="G13590" s="12" t="s">
        <v>29</v>
      </c>
      <c r="H13590" s="11" t="s">
        <v>63</v>
      </c>
      <c r="I13590" s="13" t="s">
        <v>26485</v>
      </c>
      <c r="J13590" s="14" t="str">
        <f>HYPERLINK("https://www.boe.es/gazeta/dias/1839/11/18/pdfs/GMD-1839-1835.pdf#page=1","Abrir facsímil")</f>
        <v>Abrir facsímil</v>
      </c>
      <c r="K13590" s="12" t="s">
        <v>65</v>
      </c>
    </row>
    <row r="13591" spans="1:11" ht="40.049999999999997" customHeight="1" x14ac:dyDescent="0.25">
      <c r="A13591" s="11" t="s">
        <v>26483</v>
      </c>
      <c r="B13591" s="11" t="s">
        <v>26483</v>
      </c>
      <c r="C13591" s="11" t="s">
        <v>101</v>
      </c>
      <c r="D13591" s="11" t="s">
        <v>102</v>
      </c>
      <c r="E13591" s="12" t="s">
        <v>2415</v>
      </c>
      <c r="F13591" s="12" t="s">
        <v>2416</v>
      </c>
      <c r="G13591" s="12" t="s">
        <v>29</v>
      </c>
      <c r="H13591" s="11" t="s">
        <v>63</v>
      </c>
      <c r="I13591" s="13" t="s">
        <v>26486</v>
      </c>
      <c r="J13591" s="14" t="str">
        <f>HYPERLINK("https://www.boe.es/gazeta/dias/1839/12/22/pdfs/GMD-1839-1869.pdf#page=1","Abrir facsímil")</f>
        <v>Abrir facsímil</v>
      </c>
      <c r="K13591" s="12" t="s">
        <v>65</v>
      </c>
    </row>
    <row r="13592" spans="1:11" ht="40.049999999999997" customHeight="1" x14ac:dyDescent="0.25">
      <c r="A13592" s="11" t="s">
        <v>26487</v>
      </c>
      <c r="B13592" s="11" t="s">
        <v>26488</v>
      </c>
      <c r="C13592" s="11" t="s">
        <v>17</v>
      </c>
      <c r="D13592" s="11" t="s">
        <v>18</v>
      </c>
      <c r="E13592" s="12" t="s">
        <v>1144</v>
      </c>
      <c r="F13592" s="12" t="s">
        <v>1145</v>
      </c>
      <c r="G13592" s="12" t="s">
        <v>40</v>
      </c>
      <c r="H13592" s="11" t="s">
        <v>63</v>
      </c>
      <c r="I13592" s="13" t="s">
        <v>26489</v>
      </c>
      <c r="J13592" s="14" t="str">
        <f>HYPERLINK("https://www.boe.es/gazeta/dias/1839/08/13/pdfs/GMD-1839-1733.pdf#page=2","Abrir facsímil")</f>
        <v>Abrir facsímil</v>
      </c>
      <c r="K13592" s="12" t="s">
        <v>65</v>
      </c>
    </row>
    <row r="13593" spans="1:11" ht="40.049999999999997" customHeight="1" x14ac:dyDescent="0.25">
      <c r="A13593" s="11" t="s">
        <v>26490</v>
      </c>
      <c r="B13593" s="11" t="s">
        <v>26490</v>
      </c>
      <c r="C13593" s="11" t="s">
        <v>17</v>
      </c>
      <c r="D13593" s="11" t="s">
        <v>18</v>
      </c>
      <c r="E13593" s="12" t="s">
        <v>1374</v>
      </c>
      <c r="F13593" s="12" t="s">
        <v>1375</v>
      </c>
      <c r="G13593" s="12" t="s">
        <v>40</v>
      </c>
      <c r="H13593" s="11" t="s">
        <v>63</v>
      </c>
      <c r="I13593" s="13" t="s">
        <v>26491</v>
      </c>
      <c r="J13593" s="14" t="str">
        <f>HYPERLINK("https://www.boe.es/gazeta/dias/1839/07/20/pdfs/GMD-1839-1708.pdf#page=2","Abrir facsímil")</f>
        <v>Abrir facsímil</v>
      </c>
      <c r="K13593" s="12" t="s">
        <v>65</v>
      </c>
    </row>
    <row r="13594" spans="1:11" ht="40.049999999999997" customHeight="1" x14ac:dyDescent="0.25">
      <c r="A13594" s="11" t="s">
        <v>26492</v>
      </c>
      <c r="B13594" s="11" t="s">
        <v>26493</v>
      </c>
      <c r="C13594" s="11" t="s">
        <v>17</v>
      </c>
      <c r="D13594" s="11" t="s">
        <v>43</v>
      </c>
      <c r="E13594" s="12" t="s">
        <v>303</v>
      </c>
      <c r="F13594" s="12" t="s">
        <v>304</v>
      </c>
      <c r="G13594" s="12" t="s">
        <v>305</v>
      </c>
      <c r="H13594" s="11" t="s">
        <v>63</v>
      </c>
      <c r="I13594" s="13" t="s">
        <v>26494</v>
      </c>
      <c r="J13594" s="14" t="str">
        <f>HYPERLINK("https://www.boe.es/gazeta/dias/1839/10/06/pdfs/GMD-1839-1792.pdf#page=6","Abrir facsímil")</f>
        <v>Abrir facsímil</v>
      </c>
      <c r="K13594" s="12" t="s">
        <v>65</v>
      </c>
    </row>
    <row r="13595" spans="1:11" ht="40.049999999999997" customHeight="1" x14ac:dyDescent="0.25">
      <c r="A13595" s="11" t="s">
        <v>26492</v>
      </c>
      <c r="B13595" s="11" t="s">
        <v>26493</v>
      </c>
      <c r="C13595" s="11" t="s">
        <v>80</v>
      </c>
      <c r="D13595" s="11" t="s">
        <v>173</v>
      </c>
      <c r="E13595" s="12" t="s">
        <v>138</v>
      </c>
      <c r="F13595" s="12" t="s">
        <v>139</v>
      </c>
      <c r="G13595" s="12" t="s">
        <v>46</v>
      </c>
      <c r="H13595" s="11" t="s">
        <v>63</v>
      </c>
      <c r="I13595" s="13" t="s">
        <v>26495</v>
      </c>
      <c r="J13595" s="14" t="str">
        <f>HYPERLINK("https://www.boe.es/gazeta/dias/1839/10/09/pdfs/GMD-1839-1795.pdf#page=3","Abrir facsímil")</f>
        <v>Abrir facsímil</v>
      </c>
      <c r="K13595" s="12" t="s">
        <v>65</v>
      </c>
    </row>
    <row r="13596" spans="1:11" ht="40.049999999999997" customHeight="1" x14ac:dyDescent="0.25">
      <c r="A13596" s="11" t="s">
        <v>26496</v>
      </c>
      <c r="B13596" s="11" t="s">
        <v>26497</v>
      </c>
      <c r="C13596" s="11" t="s">
        <v>17</v>
      </c>
      <c r="D13596" s="11" t="s">
        <v>18</v>
      </c>
      <c r="E13596" s="12" t="s">
        <v>303</v>
      </c>
      <c r="F13596" s="12" t="s">
        <v>304</v>
      </c>
      <c r="G13596" s="12" t="s">
        <v>305</v>
      </c>
      <c r="H13596" s="11" t="s">
        <v>63</v>
      </c>
      <c r="I13596" s="13" t="s">
        <v>26498</v>
      </c>
      <c r="J13596" s="14" t="str">
        <f>HYPERLINK("https://www.boe.es/gazeta/dias/1839/10/06/pdfs/GMD-1839-1792.pdf#page=6","Abrir facsímil")</f>
        <v>Abrir facsímil</v>
      </c>
      <c r="K13596" s="12" t="s">
        <v>65</v>
      </c>
    </row>
    <row r="13597" spans="1:11" ht="40.049999999999997" customHeight="1" x14ac:dyDescent="0.25">
      <c r="A13597" s="11" t="s">
        <v>26499</v>
      </c>
      <c r="B13597" s="11" t="s">
        <v>26500</v>
      </c>
      <c r="C13597" s="11" t="s">
        <v>17</v>
      </c>
      <c r="D13597" s="11" t="s">
        <v>18</v>
      </c>
      <c r="E13597" s="12" t="s">
        <v>474</v>
      </c>
      <c r="F13597" s="12" t="s">
        <v>475</v>
      </c>
      <c r="G13597" s="12" t="s">
        <v>21</v>
      </c>
      <c r="H13597" s="11" t="s">
        <v>63</v>
      </c>
      <c r="I13597" s="13" t="s">
        <v>26501</v>
      </c>
      <c r="J13597" s="14" t="str">
        <f>HYPERLINK("https://www.boe.es/gazeta/dias/1839/03/31/pdfs/GMD-1839-1597.pdf#page=4","Abrir facsímil")</f>
        <v>Abrir facsímil</v>
      </c>
      <c r="K13597" s="12" t="s">
        <v>65</v>
      </c>
    </row>
    <row r="13598" spans="1:11" ht="40.049999999999997" customHeight="1" x14ac:dyDescent="0.25">
      <c r="A13598" s="11" t="s">
        <v>26502</v>
      </c>
      <c r="B13598" s="11" t="s">
        <v>26502</v>
      </c>
      <c r="C13598" s="11" t="s">
        <v>17</v>
      </c>
      <c r="D13598" s="11" t="s">
        <v>18</v>
      </c>
      <c r="E13598" s="12" t="s">
        <v>2851</v>
      </c>
      <c r="F13598" s="12" t="s">
        <v>2852</v>
      </c>
      <c r="G13598" s="12" t="s">
        <v>46</v>
      </c>
      <c r="H13598" s="11" t="s">
        <v>63</v>
      </c>
      <c r="I13598" s="13" t="s">
        <v>26503</v>
      </c>
      <c r="J13598" s="14" t="str">
        <f>HYPERLINK("https://www.boe.es/gazeta/dias/1839/05/16/pdfs/GMD-1839-1643.pdf#page=3","Abrir facsímil")</f>
        <v>Abrir facsímil</v>
      </c>
      <c r="K13598" s="12" t="s">
        <v>65</v>
      </c>
    </row>
    <row r="13599" spans="1:11" ht="40.049999999999997" customHeight="1" x14ac:dyDescent="0.25">
      <c r="A13599" s="11" t="s">
        <v>26502</v>
      </c>
      <c r="B13599" s="11" t="s">
        <v>26502</v>
      </c>
      <c r="C13599" s="11" t="s">
        <v>137</v>
      </c>
      <c r="D13599" s="11" t="s">
        <v>18</v>
      </c>
      <c r="E13599" s="12" t="s">
        <v>2021</v>
      </c>
      <c r="F13599" s="12" t="s">
        <v>2022</v>
      </c>
      <c r="G13599" s="12" t="s">
        <v>40</v>
      </c>
      <c r="H13599" s="11" t="s">
        <v>63</v>
      </c>
      <c r="I13599" s="13" t="s">
        <v>26504</v>
      </c>
      <c r="J13599" s="14" t="str">
        <f>HYPERLINK("https://www.boe.es/gazeta/dias/1839/02/17/pdfs/GMD-1839-1555.pdf#page=2","Abrir facsímil")</f>
        <v>Abrir facsímil</v>
      </c>
      <c r="K13599" s="12" t="s">
        <v>65</v>
      </c>
    </row>
    <row r="13600" spans="1:11" ht="40.049999999999997" customHeight="1" x14ac:dyDescent="0.25">
      <c r="A13600" s="11" t="s">
        <v>26505</v>
      </c>
      <c r="B13600" s="11" t="s">
        <v>26506</v>
      </c>
      <c r="C13600" s="11" t="s">
        <v>101</v>
      </c>
      <c r="D13600" s="11" t="s">
        <v>102</v>
      </c>
      <c r="E13600" s="12" t="s">
        <v>1614</v>
      </c>
      <c r="F13600" s="12" t="s">
        <v>1615</v>
      </c>
      <c r="G13600" s="12" t="s">
        <v>29</v>
      </c>
      <c r="H13600" s="11" t="s">
        <v>63</v>
      </c>
      <c r="I13600" s="13" t="s">
        <v>26507</v>
      </c>
      <c r="J13600" s="14" t="str">
        <f>HYPERLINK("https://www.boe.es/gazeta/dias/1839/07/03/pdfs/GMD-1839-1691.pdf#page=1","Abrir facsímil")</f>
        <v>Abrir facsímil</v>
      </c>
      <c r="K13600" s="12" t="s">
        <v>65</v>
      </c>
    </row>
    <row r="13601" spans="1:11" ht="40.049999999999997" customHeight="1" x14ac:dyDescent="0.25">
      <c r="A13601" s="11" t="s">
        <v>26508</v>
      </c>
      <c r="B13601" s="11" t="s">
        <v>26508</v>
      </c>
      <c r="C13601" s="11" t="s">
        <v>80</v>
      </c>
      <c r="D13601" s="11" t="s">
        <v>18</v>
      </c>
      <c r="E13601" s="12" t="s">
        <v>1332</v>
      </c>
      <c r="F13601" s="12" t="s">
        <v>1333</v>
      </c>
      <c r="G13601" s="12" t="s">
        <v>29</v>
      </c>
      <c r="H13601" s="11" t="s">
        <v>63</v>
      </c>
      <c r="I13601" s="13" t="s">
        <v>26509</v>
      </c>
      <c r="J13601" s="14" t="str">
        <f>HYPERLINK("https://www.boe.es/gazeta/dias/1839/05/04/pdfs/GMD-1839-1631.pdf#page=1","Abrir facsímil")</f>
        <v>Abrir facsímil</v>
      </c>
      <c r="K13601" s="12" t="s">
        <v>65</v>
      </c>
    </row>
    <row r="13602" spans="1:11" ht="40.049999999999997" customHeight="1" x14ac:dyDescent="0.25">
      <c r="A13602" s="11" t="s">
        <v>26510</v>
      </c>
      <c r="B13602" s="11" t="s">
        <v>26511</v>
      </c>
      <c r="C13602" s="11" t="s">
        <v>17</v>
      </c>
      <c r="D13602" s="11" t="s">
        <v>18</v>
      </c>
      <c r="E13602" s="12" t="s">
        <v>1654</v>
      </c>
      <c r="F13602" s="12" t="s">
        <v>1655</v>
      </c>
      <c r="G13602" s="12" t="s">
        <v>21</v>
      </c>
      <c r="H13602" s="11" t="s">
        <v>63</v>
      </c>
      <c r="I13602" s="13" t="s">
        <v>26512</v>
      </c>
      <c r="J13602" s="14" t="str">
        <f>HYPERLINK("https://www.boe.es/gazeta/dias/1839/11/19/pdfs/GMD-1839-1836.pdf#page=4","Abrir facsímil")</f>
        <v>Abrir facsímil</v>
      </c>
      <c r="K13602" s="12" t="s">
        <v>65</v>
      </c>
    </row>
    <row r="13603" spans="1:11" ht="40.049999999999997" customHeight="1" x14ac:dyDescent="0.25">
      <c r="A13603" s="11" t="s">
        <v>26513</v>
      </c>
      <c r="B13603" s="11" t="s">
        <v>26514</v>
      </c>
      <c r="C13603" s="11" t="s">
        <v>17</v>
      </c>
      <c r="D13603" s="11" t="s">
        <v>18</v>
      </c>
      <c r="E13603" s="12" t="s">
        <v>1497</v>
      </c>
      <c r="F13603" s="12" t="s">
        <v>1498</v>
      </c>
      <c r="G13603" s="12" t="s">
        <v>21</v>
      </c>
      <c r="H13603" s="11" t="s">
        <v>63</v>
      </c>
      <c r="I13603" s="13" t="s">
        <v>26515</v>
      </c>
      <c r="J13603" s="14" t="str">
        <f>HYPERLINK("https://www.boe.es/gazeta/dias/1839/08/23/pdfs/GMD-1839-1744.pdf#page=4","Abrir facsímil")</f>
        <v>Abrir facsímil</v>
      </c>
      <c r="K13603" s="12" t="s">
        <v>65</v>
      </c>
    </row>
    <row r="13604" spans="1:11" ht="40.049999999999997" customHeight="1" x14ac:dyDescent="0.25">
      <c r="A13604" s="11" t="s">
        <v>26516</v>
      </c>
      <c r="B13604" s="11" t="s">
        <v>26516</v>
      </c>
      <c r="C13604" s="11" t="s">
        <v>17</v>
      </c>
      <c r="D13604" s="11" t="s">
        <v>18</v>
      </c>
      <c r="E13604" s="12" t="s">
        <v>175</v>
      </c>
      <c r="F13604" s="12" t="s">
        <v>176</v>
      </c>
      <c r="G13604" s="12" t="s">
        <v>40</v>
      </c>
      <c r="H13604" s="11" t="s">
        <v>63</v>
      </c>
      <c r="I13604" s="13" t="s">
        <v>26517</v>
      </c>
      <c r="J13604" s="14" t="str">
        <f>HYPERLINK("https://www.boe.es/gazeta/dias/1839/01/16/pdfs/GMD-1839-1523.pdf#page=2","Abrir facsímil")</f>
        <v>Abrir facsímil</v>
      </c>
      <c r="K13604" s="12" t="s">
        <v>65</v>
      </c>
    </row>
    <row r="13605" spans="1:11" ht="40.049999999999997" customHeight="1" x14ac:dyDescent="0.25">
      <c r="A13605" s="11" t="s">
        <v>26518</v>
      </c>
      <c r="B13605" s="11" t="s">
        <v>26518</v>
      </c>
      <c r="C13605" s="11" t="s">
        <v>17</v>
      </c>
      <c r="D13605" s="11" t="s">
        <v>18</v>
      </c>
      <c r="E13605" s="12" t="s">
        <v>3224</v>
      </c>
      <c r="F13605" s="12" t="s">
        <v>3225</v>
      </c>
      <c r="G13605" s="12" t="s">
        <v>40</v>
      </c>
      <c r="H13605" s="11" t="s">
        <v>63</v>
      </c>
      <c r="I13605" s="13" t="s">
        <v>26519</v>
      </c>
      <c r="J13605" s="14" t="str">
        <f>HYPERLINK("https://www.boe.es/gazeta/dias/1839/06/03/pdfs/GMD-1839-1661.pdf#page=2","Abrir facsímil")</f>
        <v>Abrir facsímil</v>
      </c>
      <c r="K13605" s="12" t="s">
        <v>65</v>
      </c>
    </row>
    <row r="13606" spans="1:11" ht="40.049999999999997" customHeight="1" x14ac:dyDescent="0.25">
      <c r="A13606" s="11" t="s">
        <v>26518</v>
      </c>
      <c r="B13606" s="11" t="s">
        <v>26518</v>
      </c>
      <c r="C13606" s="11" t="s">
        <v>17</v>
      </c>
      <c r="D13606" s="11" t="s">
        <v>18</v>
      </c>
      <c r="E13606" s="12" t="s">
        <v>883</v>
      </c>
      <c r="F13606" s="12" t="s">
        <v>884</v>
      </c>
      <c r="G13606" s="12" t="s">
        <v>46</v>
      </c>
      <c r="H13606" s="11" t="s">
        <v>63</v>
      </c>
      <c r="I13606" s="13" t="s">
        <v>26520</v>
      </c>
      <c r="J13606" s="14" t="str">
        <f>HYPERLINK("https://www.boe.es/gazeta/dias/1839/11/03/pdfs/GMD-1839-1820.pdf#page=3","Abrir facsímil")</f>
        <v>Abrir facsímil</v>
      </c>
      <c r="K13606" s="12" t="s">
        <v>65</v>
      </c>
    </row>
    <row r="13607" spans="1:11" ht="40.049999999999997" customHeight="1" x14ac:dyDescent="0.25">
      <c r="A13607" s="11" t="s">
        <v>26518</v>
      </c>
      <c r="B13607" s="11" t="s">
        <v>26518</v>
      </c>
      <c r="C13607" s="11" t="s">
        <v>17</v>
      </c>
      <c r="D13607" s="11" t="s">
        <v>18</v>
      </c>
      <c r="E13607" s="12" t="s">
        <v>303</v>
      </c>
      <c r="F13607" s="12" t="s">
        <v>304</v>
      </c>
      <c r="G13607" s="12" t="s">
        <v>305</v>
      </c>
      <c r="H13607" s="11" t="s">
        <v>63</v>
      </c>
      <c r="I13607" s="13" t="s">
        <v>26521</v>
      </c>
      <c r="J13607" s="14" t="str">
        <f>HYPERLINK("https://www.boe.es/gazeta/dias/1839/10/06/pdfs/GMD-1839-1792.pdf#page=6","Abrir facsímil")</f>
        <v>Abrir facsímil</v>
      </c>
      <c r="K13607" s="12" t="s">
        <v>65</v>
      </c>
    </row>
    <row r="13608" spans="1:11" ht="40.049999999999997" customHeight="1" x14ac:dyDescent="0.25">
      <c r="A13608" s="11" t="s">
        <v>26518</v>
      </c>
      <c r="B13608" s="11" t="s">
        <v>26518</v>
      </c>
      <c r="C13608" s="11" t="s">
        <v>17</v>
      </c>
      <c r="D13608" s="11" t="s">
        <v>18</v>
      </c>
      <c r="E13608" s="12" t="s">
        <v>33</v>
      </c>
      <c r="F13608" s="12" t="s">
        <v>34</v>
      </c>
      <c r="G13608" s="12" t="s">
        <v>29</v>
      </c>
      <c r="H13608" s="11" t="s">
        <v>63</v>
      </c>
      <c r="I13608" s="13" t="s">
        <v>26522</v>
      </c>
      <c r="J13608" s="14" t="str">
        <f>HYPERLINK("https://www.boe.es/gazeta/dias/1839/12/13/pdfs/GMD-1839-1860.pdf#page=1","Abrir facsímil")</f>
        <v>Abrir facsímil</v>
      </c>
      <c r="K13608" s="12" t="s">
        <v>65</v>
      </c>
    </row>
    <row r="13609" spans="1:11" ht="40.049999999999997" customHeight="1" x14ac:dyDescent="0.25">
      <c r="A13609" s="11" t="s">
        <v>26518</v>
      </c>
      <c r="B13609" s="11" t="s">
        <v>26518</v>
      </c>
      <c r="C13609" s="11" t="s">
        <v>17</v>
      </c>
      <c r="D13609" s="11" t="s">
        <v>18</v>
      </c>
      <c r="E13609" s="12" t="s">
        <v>2374</v>
      </c>
      <c r="F13609" s="12" t="s">
        <v>2375</v>
      </c>
      <c r="G13609" s="12" t="s">
        <v>29</v>
      </c>
      <c r="H13609" s="11" t="s">
        <v>63</v>
      </c>
      <c r="I13609" s="13" t="s">
        <v>26523</v>
      </c>
      <c r="J13609" s="14" t="str">
        <f>HYPERLINK("https://www.boe.es/gazeta/dias/1839/06/14/pdfs/GMD-1839-1672.pdf#page=1","Abrir facsímil")</f>
        <v>Abrir facsímil</v>
      </c>
      <c r="K13609" s="12" t="s">
        <v>65</v>
      </c>
    </row>
    <row r="13610" spans="1:11" ht="40.049999999999997" customHeight="1" x14ac:dyDescent="0.25">
      <c r="A13610" s="11" t="s">
        <v>26518</v>
      </c>
      <c r="B13610" s="11" t="s">
        <v>26518</v>
      </c>
      <c r="C13610" s="11" t="s">
        <v>17</v>
      </c>
      <c r="D13610" s="11" t="s">
        <v>18</v>
      </c>
      <c r="E13610" s="12" t="s">
        <v>395</v>
      </c>
      <c r="F13610" s="12" t="s">
        <v>396</v>
      </c>
      <c r="G13610" s="12" t="s">
        <v>29</v>
      </c>
      <c r="H13610" s="11" t="s">
        <v>63</v>
      </c>
      <c r="I13610" s="13" t="s">
        <v>26524</v>
      </c>
      <c r="J13610" s="14" t="str">
        <f>HYPERLINK("https://www.boe.es/gazeta/dias/1839/03/15/pdfs/GMD-1839-1581.pdf#page=1","Abrir facsímil")</f>
        <v>Abrir facsímil</v>
      </c>
      <c r="K13610" s="12" t="s">
        <v>65</v>
      </c>
    </row>
    <row r="13611" spans="1:11" ht="40.049999999999997" customHeight="1" x14ac:dyDescent="0.25">
      <c r="A13611" s="11" t="s">
        <v>26518</v>
      </c>
      <c r="B13611" s="11" t="s">
        <v>26518</v>
      </c>
      <c r="C13611" s="11" t="s">
        <v>59</v>
      </c>
      <c r="D13611" s="11" t="s">
        <v>60</v>
      </c>
      <c r="E13611" s="12" t="s">
        <v>834</v>
      </c>
      <c r="F13611" s="12" t="s">
        <v>835</v>
      </c>
      <c r="G13611" s="12" t="s">
        <v>40</v>
      </c>
      <c r="H13611" s="11" t="s">
        <v>63</v>
      </c>
      <c r="I13611" s="13" t="s">
        <v>26525</v>
      </c>
      <c r="J13611" s="14" t="str">
        <f>HYPERLINK("https://www.boe.es/gazeta/dias/1839/08/17/pdfs/GMD-1839-1737.pdf#page=2","Abrir facsímil")</f>
        <v>Abrir facsímil</v>
      </c>
      <c r="K13611" s="12" t="s">
        <v>65</v>
      </c>
    </row>
    <row r="13612" spans="1:11" ht="40.049999999999997" customHeight="1" x14ac:dyDescent="0.25">
      <c r="A13612" s="11" t="s">
        <v>26518</v>
      </c>
      <c r="B13612" s="11" t="s">
        <v>26518</v>
      </c>
      <c r="C13612" s="11" t="s">
        <v>80</v>
      </c>
      <c r="D13612" s="11" t="s">
        <v>18</v>
      </c>
      <c r="E13612" s="12" t="s">
        <v>2069</v>
      </c>
      <c r="F13612" s="12" t="s">
        <v>2070</v>
      </c>
      <c r="G13612" s="12" t="s">
        <v>305</v>
      </c>
      <c r="H13612" s="11" t="s">
        <v>63</v>
      </c>
      <c r="I13612" s="13" t="s">
        <v>26526</v>
      </c>
      <c r="J13612" s="14" t="str">
        <f>HYPERLINK("https://www.boe.es/gazeta/dias/1839/10/20/pdfs/GMD-1839-1806.pdf#page=6","Abrir facsímil")</f>
        <v>Abrir facsímil</v>
      </c>
      <c r="K13612" s="12" t="s">
        <v>65</v>
      </c>
    </row>
    <row r="13613" spans="1:11" ht="40.049999999999997" customHeight="1" x14ac:dyDescent="0.25">
      <c r="A13613" s="11" t="s">
        <v>26518</v>
      </c>
      <c r="B13613" s="11" t="s">
        <v>26518</v>
      </c>
      <c r="C13613" s="11" t="s">
        <v>59</v>
      </c>
      <c r="D13613" s="11" t="s">
        <v>60</v>
      </c>
      <c r="E13613" s="12" t="s">
        <v>474</v>
      </c>
      <c r="F13613" s="12" t="s">
        <v>475</v>
      </c>
      <c r="G13613" s="12" t="s">
        <v>21</v>
      </c>
      <c r="H13613" s="11" t="s">
        <v>63</v>
      </c>
      <c r="I13613" s="13" t="s">
        <v>26527</v>
      </c>
      <c r="J13613" s="14" t="str">
        <f>HYPERLINK("https://www.boe.es/gazeta/dias/1839/03/31/pdfs/GMD-1839-1597.pdf#page=4","Abrir facsímil")</f>
        <v>Abrir facsímil</v>
      </c>
      <c r="K13613" s="12" t="s">
        <v>65</v>
      </c>
    </row>
    <row r="13614" spans="1:11" ht="40.049999999999997" customHeight="1" x14ac:dyDescent="0.25">
      <c r="A13614" s="11" t="s">
        <v>26528</v>
      </c>
      <c r="B13614" s="11" t="s">
        <v>26529</v>
      </c>
      <c r="C13614" s="11" t="s">
        <v>17</v>
      </c>
      <c r="D13614" s="11" t="s">
        <v>18</v>
      </c>
      <c r="E13614" s="12" t="s">
        <v>258</v>
      </c>
      <c r="F13614" s="12" t="s">
        <v>259</v>
      </c>
      <c r="G13614" s="12" t="s">
        <v>46</v>
      </c>
      <c r="H13614" s="11" t="s">
        <v>22</v>
      </c>
      <c r="I13614" s="13" t="s">
        <v>26530</v>
      </c>
      <c r="J13614" s="14" t="str">
        <f>HYPERLINK("https://www.boe.es/gazeta/dias/1839/01/02/pdfs/GMD-1839-1509.pdf#page=3","Abrir facsímil")</f>
        <v>Abrir facsímil</v>
      </c>
      <c r="K13614" s="12" t="s">
        <v>24</v>
      </c>
    </row>
    <row r="13615" spans="1:11" ht="40.049999999999997" customHeight="1" x14ac:dyDescent="0.25">
      <c r="A13615" s="11" t="s">
        <v>26531</v>
      </c>
      <c r="B13615" s="11" t="s">
        <v>26532</v>
      </c>
      <c r="C13615" s="11" t="s">
        <v>80</v>
      </c>
      <c r="D13615" s="11" t="s">
        <v>18</v>
      </c>
      <c r="E13615" s="12" t="s">
        <v>522</v>
      </c>
      <c r="F13615" s="12" t="s">
        <v>523</v>
      </c>
      <c r="G13615" s="12" t="s">
        <v>40</v>
      </c>
      <c r="H13615" s="11" t="s">
        <v>63</v>
      </c>
      <c r="I13615" s="13" t="s">
        <v>26533</v>
      </c>
      <c r="J13615" s="14" t="str">
        <f>HYPERLINK("https://www.boe.es/gazeta/dias/1839/08/27/pdfs/GMD-1839-1748.pdf#page=2","Abrir facsímil")</f>
        <v>Abrir facsímil</v>
      </c>
      <c r="K13615" s="12" t="s">
        <v>65</v>
      </c>
    </row>
    <row r="13616" spans="1:11" ht="40.049999999999997" customHeight="1" x14ac:dyDescent="0.25">
      <c r="A13616" s="11" t="s">
        <v>26534</v>
      </c>
      <c r="B13616" s="11" t="s">
        <v>26534</v>
      </c>
      <c r="C13616" s="11" t="s">
        <v>137</v>
      </c>
      <c r="D13616" s="11" t="s">
        <v>18</v>
      </c>
      <c r="E13616" s="12" t="s">
        <v>192</v>
      </c>
      <c r="F13616" s="12" t="s">
        <v>193</v>
      </c>
      <c r="G13616" s="12" t="s">
        <v>21</v>
      </c>
      <c r="H13616" s="11" t="s">
        <v>22</v>
      </c>
      <c r="I13616" s="13" t="s">
        <v>26535</v>
      </c>
      <c r="J13616" s="14" t="str">
        <f>HYPERLINK("https://www.boe.es/gazeta/dias/1839/01/12/pdfs/GMD-1839-1519.pdf#page=4","Abrir facsímil")</f>
        <v>Abrir facsímil</v>
      </c>
      <c r="K13616" s="12" t="s">
        <v>24</v>
      </c>
    </row>
    <row r="13617" spans="1:11" ht="40.049999999999997" customHeight="1" x14ac:dyDescent="0.25">
      <c r="A13617" s="11" t="s">
        <v>26536</v>
      </c>
      <c r="B13617" s="11" t="s">
        <v>26536</v>
      </c>
      <c r="C13617" s="11" t="s">
        <v>17</v>
      </c>
      <c r="D13617" s="11" t="s">
        <v>18</v>
      </c>
      <c r="E13617" s="12" t="s">
        <v>571</v>
      </c>
      <c r="F13617" s="12" t="s">
        <v>572</v>
      </c>
      <c r="G13617" s="12" t="s">
        <v>40</v>
      </c>
      <c r="H13617" s="11" t="s">
        <v>22</v>
      </c>
      <c r="I13617" s="13" t="s">
        <v>26537</v>
      </c>
      <c r="J13617" s="14" t="str">
        <f>HYPERLINK("https://www.boe.es/gazeta/dias/1839/09/27/pdfs/GMD-1839-1783.pdf#page=2","Abrir facsímil")</f>
        <v>Abrir facsímil</v>
      </c>
      <c r="K13617" s="12" t="s">
        <v>24</v>
      </c>
    </row>
    <row r="13618" spans="1:11" ht="40.049999999999997" customHeight="1" x14ac:dyDescent="0.25">
      <c r="A13618" s="11" t="s">
        <v>26538</v>
      </c>
      <c r="B13618" s="11" t="s">
        <v>26538</v>
      </c>
      <c r="C13618" s="11" t="s">
        <v>59</v>
      </c>
      <c r="D13618" s="11" t="s">
        <v>60</v>
      </c>
      <c r="E13618" s="12" t="s">
        <v>385</v>
      </c>
      <c r="F13618" s="12" t="s">
        <v>386</v>
      </c>
      <c r="G13618" s="12" t="s">
        <v>40</v>
      </c>
      <c r="H13618" s="11" t="s">
        <v>63</v>
      </c>
      <c r="I13618" s="13" t="s">
        <v>26539</v>
      </c>
      <c r="J13618" s="14" t="str">
        <f>HYPERLINK("https://www.boe.es/gazeta/dias/1839/08/01/pdfs/GMD-1839-1721.pdf#page=2","Abrir facsímil")</f>
        <v>Abrir facsímil</v>
      </c>
      <c r="K13618" s="12" t="s">
        <v>65</v>
      </c>
    </row>
    <row r="13619" spans="1:11" ht="40.049999999999997" customHeight="1" x14ac:dyDescent="0.25">
      <c r="A13619" s="11" t="s">
        <v>26538</v>
      </c>
      <c r="B13619" s="11" t="s">
        <v>26538</v>
      </c>
      <c r="C13619" s="11" t="s">
        <v>59</v>
      </c>
      <c r="D13619" s="11" t="s">
        <v>60</v>
      </c>
      <c r="E13619" s="12" t="s">
        <v>587</v>
      </c>
      <c r="F13619" s="12" t="s">
        <v>588</v>
      </c>
      <c r="G13619" s="12" t="s">
        <v>21</v>
      </c>
      <c r="H13619" s="11" t="s">
        <v>63</v>
      </c>
      <c r="I13619" s="13" t="s">
        <v>26540</v>
      </c>
      <c r="J13619" s="14" t="str">
        <f>HYPERLINK("https://www.boe.es/gazeta/dias/1839/05/02/pdfs/GMD-1839-1629.pdf#page=4","Abrir facsímil")</f>
        <v>Abrir facsímil</v>
      </c>
      <c r="K13619" s="12" t="s">
        <v>65</v>
      </c>
    </row>
    <row r="13620" spans="1:11" ht="40.049999999999997" customHeight="1" x14ac:dyDescent="0.25">
      <c r="A13620" s="11" t="s">
        <v>26538</v>
      </c>
      <c r="B13620" s="11" t="s">
        <v>26538</v>
      </c>
      <c r="C13620" s="11" t="s">
        <v>59</v>
      </c>
      <c r="D13620" s="11" t="s">
        <v>60</v>
      </c>
      <c r="E13620" s="12" t="s">
        <v>1813</v>
      </c>
      <c r="F13620" s="12" t="s">
        <v>1814</v>
      </c>
      <c r="G13620" s="12" t="s">
        <v>40</v>
      </c>
      <c r="H13620" s="11" t="s">
        <v>63</v>
      </c>
      <c r="I13620" s="13" t="s">
        <v>26541</v>
      </c>
      <c r="J13620" s="14" t="str">
        <f>HYPERLINK("https://www.boe.es/gazeta/dias/1839/09/02/pdfs/GMD-1839-1754.pdf#page=2","Abrir facsímil")</f>
        <v>Abrir facsímil</v>
      </c>
      <c r="K13620" s="12" t="s">
        <v>65</v>
      </c>
    </row>
    <row r="13621" spans="1:11" ht="40.049999999999997" customHeight="1" x14ac:dyDescent="0.25">
      <c r="A13621" s="11" t="s">
        <v>26538</v>
      </c>
      <c r="B13621" s="11" t="s">
        <v>26538</v>
      </c>
      <c r="C13621" s="11" t="s">
        <v>17</v>
      </c>
      <c r="D13621" s="11" t="s">
        <v>18</v>
      </c>
      <c r="E13621" s="12" t="s">
        <v>2069</v>
      </c>
      <c r="F13621" s="12" t="s">
        <v>2070</v>
      </c>
      <c r="G13621" s="12" t="s">
        <v>305</v>
      </c>
      <c r="H13621" s="11" t="s">
        <v>63</v>
      </c>
      <c r="I13621" s="13" t="s">
        <v>26542</v>
      </c>
      <c r="J13621" s="14" t="str">
        <f>HYPERLINK("https://www.boe.es/gazeta/dias/1839/10/20/pdfs/GMD-1839-1806.pdf#page=6","Abrir facsímil")</f>
        <v>Abrir facsímil</v>
      </c>
      <c r="K13621" s="12" t="s">
        <v>65</v>
      </c>
    </row>
    <row r="13622" spans="1:11" ht="40.049999999999997" customHeight="1" x14ac:dyDescent="0.25">
      <c r="A13622" s="11" t="s">
        <v>26538</v>
      </c>
      <c r="B13622" s="11" t="s">
        <v>26538</v>
      </c>
      <c r="C13622" s="11" t="s">
        <v>101</v>
      </c>
      <c r="D13622" s="11" t="s">
        <v>43</v>
      </c>
      <c r="E13622" s="12" t="s">
        <v>568</v>
      </c>
      <c r="F13622" s="12" t="s">
        <v>569</v>
      </c>
      <c r="G13622" s="12" t="s">
        <v>21</v>
      </c>
      <c r="H13622" s="11" t="s">
        <v>63</v>
      </c>
      <c r="I13622" s="13" t="s">
        <v>26543</v>
      </c>
      <c r="J13622" s="14" t="str">
        <f>HYPERLINK("https://www.boe.es/gazeta/dias/1839/10/23/pdfs/GMD-1839-1809.pdf#page=4","Abrir facsímil")</f>
        <v>Abrir facsímil</v>
      </c>
      <c r="K13622" s="12" t="s">
        <v>65</v>
      </c>
    </row>
    <row r="13623" spans="1:11" ht="40.049999999999997" customHeight="1" x14ac:dyDescent="0.25">
      <c r="A13623" s="11" t="s">
        <v>26544</v>
      </c>
      <c r="B13623" s="11" t="s">
        <v>26545</v>
      </c>
      <c r="C13623" s="11" t="s">
        <v>17</v>
      </c>
      <c r="D13623" s="11" t="s">
        <v>18</v>
      </c>
      <c r="E13623" s="12" t="s">
        <v>258</v>
      </c>
      <c r="F13623" s="12" t="s">
        <v>259</v>
      </c>
      <c r="G13623" s="12" t="s">
        <v>46</v>
      </c>
      <c r="H13623" s="11" t="s">
        <v>22</v>
      </c>
      <c r="I13623" s="13" t="s">
        <v>26546</v>
      </c>
      <c r="J13623" s="14" t="str">
        <f>HYPERLINK("https://www.boe.es/gazeta/dias/1839/01/02/pdfs/GMD-1839-1509.pdf#page=3","Abrir facsímil")</f>
        <v>Abrir facsímil</v>
      </c>
      <c r="K13623" s="12" t="s">
        <v>24</v>
      </c>
    </row>
    <row r="13624" spans="1:11" ht="40.049999999999997" customHeight="1" x14ac:dyDescent="0.25">
      <c r="A13624" s="11" t="s">
        <v>26547</v>
      </c>
      <c r="B13624" s="11" t="s">
        <v>26548</v>
      </c>
      <c r="C13624" s="11" t="s">
        <v>80</v>
      </c>
      <c r="D13624" s="11" t="s">
        <v>18</v>
      </c>
      <c r="E13624" s="12" t="s">
        <v>1623</v>
      </c>
      <c r="F13624" s="12" t="s">
        <v>1624</v>
      </c>
      <c r="G13624" s="12" t="s">
        <v>40</v>
      </c>
      <c r="H13624" s="11" t="s">
        <v>63</v>
      </c>
      <c r="I13624" s="13" t="s">
        <v>26549</v>
      </c>
      <c r="J13624" s="14" t="str">
        <f>HYPERLINK("https://www.boe.es/gazeta/dias/1839/04/07/pdfs/GMD-1839-1604.pdf#page=2","Abrir facsímil")</f>
        <v>Abrir facsímil</v>
      </c>
      <c r="K13624" s="12" t="s">
        <v>65</v>
      </c>
    </row>
    <row r="13625" spans="1:11" ht="40.049999999999997" customHeight="1" x14ac:dyDescent="0.25">
      <c r="A13625" s="11" t="s">
        <v>26550</v>
      </c>
      <c r="B13625" s="11" t="s">
        <v>26551</v>
      </c>
      <c r="C13625" s="11" t="s">
        <v>101</v>
      </c>
      <c r="D13625" s="11" t="s">
        <v>102</v>
      </c>
      <c r="E13625" s="12" t="s">
        <v>1623</v>
      </c>
      <c r="F13625" s="12" t="s">
        <v>1624</v>
      </c>
      <c r="G13625" s="12" t="s">
        <v>40</v>
      </c>
      <c r="H13625" s="11" t="s">
        <v>63</v>
      </c>
      <c r="I13625" s="13" t="s">
        <v>26552</v>
      </c>
      <c r="J13625" s="14" t="str">
        <f>HYPERLINK("https://www.boe.es/gazeta/dias/1839/04/07/pdfs/GMD-1839-1604.pdf#page=2","Abrir facsímil")</f>
        <v>Abrir facsímil</v>
      </c>
      <c r="K13625" s="12" t="s">
        <v>65</v>
      </c>
    </row>
    <row r="13626" spans="1:11" ht="40.049999999999997" customHeight="1" x14ac:dyDescent="0.25">
      <c r="A13626" s="11" t="s">
        <v>26553</v>
      </c>
      <c r="B13626" s="11" t="s">
        <v>26553</v>
      </c>
      <c r="C13626" s="11" t="s">
        <v>137</v>
      </c>
      <c r="D13626" s="11" t="s">
        <v>18</v>
      </c>
      <c r="E13626" s="12" t="s">
        <v>239</v>
      </c>
      <c r="F13626" s="12" t="s">
        <v>240</v>
      </c>
      <c r="G13626" s="12" t="s">
        <v>40</v>
      </c>
      <c r="H13626" s="11" t="s">
        <v>63</v>
      </c>
      <c r="I13626" s="13" t="s">
        <v>26554</v>
      </c>
      <c r="J13626" s="14" t="str">
        <f>HYPERLINK("https://www.boe.es/gazeta/dias/1839/09/22/pdfs/GMD-1839-1777.pdf#page=2","Abrir facsímil")</f>
        <v>Abrir facsímil</v>
      </c>
      <c r="K13626" s="12" t="s">
        <v>65</v>
      </c>
    </row>
    <row r="13627" spans="1:11" ht="40.049999999999997" customHeight="1" x14ac:dyDescent="0.25">
      <c r="A13627" s="11" t="s">
        <v>26555</v>
      </c>
      <c r="B13627" s="11" t="s">
        <v>26556</v>
      </c>
      <c r="C13627" s="11" t="s">
        <v>59</v>
      </c>
      <c r="D13627" s="11" t="s">
        <v>60</v>
      </c>
      <c r="E13627" s="12" t="s">
        <v>1467</v>
      </c>
      <c r="F13627" s="12" t="s">
        <v>1468</v>
      </c>
      <c r="G13627" s="12" t="s">
        <v>46</v>
      </c>
      <c r="H13627" s="11" t="s">
        <v>63</v>
      </c>
      <c r="I13627" s="13" t="s">
        <v>26557</v>
      </c>
      <c r="J13627" s="14" t="str">
        <f>HYPERLINK("https://www.boe.es/gazeta/dias/1839/03/05/pdfs/GMD-1839-1571.pdf#page=3","Abrir facsímil")</f>
        <v>Abrir facsímil</v>
      </c>
      <c r="K13627" s="12" t="s">
        <v>65</v>
      </c>
    </row>
    <row r="13628" spans="1:11" ht="40.049999999999997" customHeight="1" x14ac:dyDescent="0.25">
      <c r="A13628" s="11" t="s">
        <v>26558</v>
      </c>
      <c r="B13628" s="11" t="s">
        <v>26559</v>
      </c>
      <c r="C13628" s="11" t="s">
        <v>17</v>
      </c>
      <c r="D13628" s="11" t="s">
        <v>18</v>
      </c>
      <c r="E13628" s="12" t="s">
        <v>821</v>
      </c>
      <c r="F13628" s="12" t="s">
        <v>822</v>
      </c>
      <c r="G13628" s="12" t="s">
        <v>21</v>
      </c>
      <c r="H13628" s="11" t="s">
        <v>63</v>
      </c>
      <c r="I13628" s="13" t="s">
        <v>26560</v>
      </c>
      <c r="J13628" s="14" t="str">
        <f>HYPERLINK("https://www.boe.es/gazeta/dias/1839/09/20/pdfs/GMD-1839-1775.pdf#page=4","Abrir facsímil")</f>
        <v>Abrir facsímil</v>
      </c>
      <c r="K13628" s="12" t="s">
        <v>65</v>
      </c>
    </row>
    <row r="13629" spans="1:11" ht="40.049999999999997" customHeight="1" x14ac:dyDescent="0.25">
      <c r="A13629" s="11" t="s">
        <v>26561</v>
      </c>
      <c r="B13629" s="11" t="s">
        <v>26562</v>
      </c>
      <c r="C13629" s="11" t="s">
        <v>17</v>
      </c>
      <c r="D13629" s="11" t="s">
        <v>18</v>
      </c>
      <c r="E13629" s="12" t="s">
        <v>695</v>
      </c>
      <c r="F13629" s="12" t="s">
        <v>696</v>
      </c>
      <c r="G13629" s="12" t="s">
        <v>21</v>
      </c>
      <c r="H13629" s="11" t="s">
        <v>63</v>
      </c>
      <c r="I13629" s="13" t="s">
        <v>26563</v>
      </c>
      <c r="J13629" s="14" t="str">
        <f>HYPERLINK("https://www.boe.es/gazeta/dias/1839/12/19/pdfs/GMD-1839-1866.pdf#page=4","Abrir facsímil")</f>
        <v>Abrir facsímil</v>
      </c>
      <c r="K13629" s="12" t="s">
        <v>65</v>
      </c>
    </row>
    <row r="13630" spans="1:11" ht="40.049999999999997" customHeight="1" x14ac:dyDescent="0.25">
      <c r="A13630" s="11" t="s">
        <v>26564</v>
      </c>
      <c r="B13630" s="11" t="s">
        <v>26565</v>
      </c>
      <c r="C13630" s="11" t="s">
        <v>80</v>
      </c>
      <c r="D13630" s="11" t="s">
        <v>18</v>
      </c>
      <c r="E13630" s="12" t="s">
        <v>381</v>
      </c>
      <c r="F13630" s="12" t="s">
        <v>382</v>
      </c>
      <c r="G13630" s="12" t="s">
        <v>21</v>
      </c>
      <c r="H13630" s="11" t="s">
        <v>63</v>
      </c>
      <c r="I13630" s="13" t="s">
        <v>26566</v>
      </c>
      <c r="J13630" s="14" t="str">
        <f>HYPERLINK("https://www.boe.es/gazeta/dias/1839/06/02/pdfs/GMD-1839-1660.pdf#page=4","Abrir facsímil")</f>
        <v>Abrir facsímil</v>
      </c>
      <c r="K13630" s="12" t="s">
        <v>65</v>
      </c>
    </row>
    <row r="13631" spans="1:11" ht="40.049999999999997" customHeight="1" x14ac:dyDescent="0.25">
      <c r="A13631" s="11" t="s">
        <v>26564</v>
      </c>
      <c r="B13631" s="11" t="s">
        <v>26565</v>
      </c>
      <c r="C13631" s="11" t="s">
        <v>80</v>
      </c>
      <c r="D13631" s="11" t="s">
        <v>18</v>
      </c>
      <c r="E13631" s="12" t="s">
        <v>798</v>
      </c>
      <c r="F13631" s="12" t="s">
        <v>799</v>
      </c>
      <c r="G13631" s="12" t="s">
        <v>21</v>
      </c>
      <c r="H13631" s="11" t="s">
        <v>63</v>
      </c>
      <c r="I13631" s="13" t="s">
        <v>26567</v>
      </c>
      <c r="J13631" s="14" t="str">
        <f>HYPERLINK("https://www.boe.es/gazeta/dias/1839/09/03/pdfs/GMD-1839-1755.pdf#page=4","Abrir facsímil")</f>
        <v>Abrir facsímil</v>
      </c>
      <c r="K13631" s="12" t="s">
        <v>65</v>
      </c>
    </row>
    <row r="13632" spans="1:11" ht="40.049999999999997" customHeight="1" x14ac:dyDescent="0.25">
      <c r="A13632" s="11" t="s">
        <v>26564</v>
      </c>
      <c r="B13632" s="11" t="s">
        <v>26565</v>
      </c>
      <c r="C13632" s="11" t="s">
        <v>80</v>
      </c>
      <c r="D13632" s="11" t="s">
        <v>18</v>
      </c>
      <c r="E13632" s="12" t="s">
        <v>544</v>
      </c>
      <c r="F13632" s="12" t="s">
        <v>545</v>
      </c>
      <c r="G13632" s="12" t="s">
        <v>21</v>
      </c>
      <c r="H13632" s="11" t="s">
        <v>63</v>
      </c>
      <c r="I13632" s="13" t="s">
        <v>26568</v>
      </c>
      <c r="J13632" s="14" t="str">
        <f>HYPERLINK("https://www.boe.es/gazeta/dias/1839/11/11/pdfs/GMD-1839-1828.pdf#page=4","Abrir facsímil")</f>
        <v>Abrir facsímil</v>
      </c>
      <c r="K13632" s="12" t="s">
        <v>65</v>
      </c>
    </row>
    <row r="13633" spans="1:11" ht="40.049999999999997" customHeight="1" x14ac:dyDescent="0.25">
      <c r="A13633" s="11" t="s">
        <v>26569</v>
      </c>
      <c r="B13633" s="11" t="s">
        <v>26570</v>
      </c>
      <c r="C13633" s="11" t="s">
        <v>137</v>
      </c>
      <c r="D13633" s="11" t="s">
        <v>18</v>
      </c>
      <c r="E13633" s="12" t="s">
        <v>704</v>
      </c>
      <c r="F13633" s="12" t="s">
        <v>705</v>
      </c>
      <c r="G13633" s="12" t="s">
        <v>46</v>
      </c>
      <c r="H13633" s="11" t="s">
        <v>63</v>
      </c>
      <c r="I13633" s="13" t="s">
        <v>26571</v>
      </c>
      <c r="J13633" s="14" t="str">
        <f>HYPERLINK("https://www.boe.es/gazeta/dias/1839/03/02/pdfs/GMD-1839-1568.pdf#page=3","Abrir facsímil")</f>
        <v>Abrir facsímil</v>
      </c>
      <c r="K13633" s="12" t="s">
        <v>65</v>
      </c>
    </row>
    <row r="13634" spans="1:11" ht="40.049999999999997" customHeight="1" x14ac:dyDescent="0.25">
      <c r="A13634" s="11" t="s">
        <v>26569</v>
      </c>
      <c r="B13634" s="11" t="s">
        <v>26570</v>
      </c>
      <c r="C13634" s="11" t="s">
        <v>17</v>
      </c>
      <c r="D13634" s="11" t="s">
        <v>18</v>
      </c>
      <c r="E13634" s="12" t="s">
        <v>157</v>
      </c>
      <c r="F13634" s="12" t="s">
        <v>158</v>
      </c>
      <c r="G13634" s="12" t="s">
        <v>29</v>
      </c>
      <c r="H13634" s="11" t="s">
        <v>63</v>
      </c>
      <c r="I13634" s="13" t="s">
        <v>26572</v>
      </c>
      <c r="J13634" s="14" t="str">
        <f>HYPERLINK("https://www.boe.es/gazeta/dias/1839/02/08/pdfs/GMD-1839-1546.pdf#page=1","Abrir facsímil")</f>
        <v>Abrir facsímil</v>
      </c>
      <c r="K13634" s="12" t="s">
        <v>65</v>
      </c>
    </row>
    <row r="13635" spans="1:11" ht="40.049999999999997" customHeight="1" x14ac:dyDescent="0.25">
      <c r="A13635" s="11" t="s">
        <v>26569</v>
      </c>
      <c r="B13635" s="11" t="s">
        <v>26570</v>
      </c>
      <c r="C13635" s="11" t="s">
        <v>80</v>
      </c>
      <c r="D13635" s="11" t="s">
        <v>18</v>
      </c>
      <c r="E13635" s="12" t="s">
        <v>1490</v>
      </c>
      <c r="F13635" s="12" t="s">
        <v>1491</v>
      </c>
      <c r="G13635" s="12" t="s">
        <v>46</v>
      </c>
      <c r="H13635" s="11" t="s">
        <v>63</v>
      </c>
      <c r="I13635" s="13" t="s">
        <v>26573</v>
      </c>
      <c r="J13635" s="14" t="str">
        <f>HYPERLINK("https://www.boe.es/gazeta/dias/1839/02/27/pdfs/GMD-1839-1565.pdf#page=3","Abrir facsímil")</f>
        <v>Abrir facsímil</v>
      </c>
      <c r="K13635" s="12" t="s">
        <v>65</v>
      </c>
    </row>
    <row r="13636" spans="1:11" ht="40.049999999999997" customHeight="1" x14ac:dyDescent="0.25">
      <c r="A13636" s="11" t="s">
        <v>26574</v>
      </c>
      <c r="B13636" s="11" t="s">
        <v>26575</v>
      </c>
      <c r="C13636" s="11" t="s">
        <v>80</v>
      </c>
      <c r="D13636" s="11" t="s">
        <v>18</v>
      </c>
      <c r="E13636" s="12" t="s">
        <v>1123</v>
      </c>
      <c r="F13636" s="12" t="s">
        <v>1124</v>
      </c>
      <c r="G13636" s="12" t="s">
        <v>21</v>
      </c>
      <c r="H13636" s="11" t="s">
        <v>63</v>
      </c>
      <c r="I13636" s="13" t="s">
        <v>26576</v>
      </c>
      <c r="J13636" s="14" t="str">
        <f>HYPERLINK("https://www.boe.es/gazeta/dias/1839/08/10/pdfs/GMD-1839-1730.pdf#page=4","Abrir facsímil")</f>
        <v>Abrir facsímil</v>
      </c>
      <c r="K13636" s="12" t="s">
        <v>65</v>
      </c>
    </row>
    <row r="13637" spans="1:11" ht="40.049999999999997" customHeight="1" x14ac:dyDescent="0.25">
      <c r="A13637" s="11" t="s">
        <v>26574</v>
      </c>
      <c r="B13637" s="11" t="s">
        <v>26575</v>
      </c>
      <c r="C13637" s="11" t="s">
        <v>17</v>
      </c>
      <c r="D13637" s="11" t="s">
        <v>18</v>
      </c>
      <c r="E13637" s="12" t="s">
        <v>438</v>
      </c>
      <c r="F13637" s="12" t="s">
        <v>439</v>
      </c>
      <c r="G13637" s="12" t="s">
        <v>21</v>
      </c>
      <c r="H13637" s="11" t="s">
        <v>63</v>
      </c>
      <c r="I13637" s="13" t="s">
        <v>26577</v>
      </c>
      <c r="J13637" s="14" t="str">
        <f>HYPERLINK("https://www.boe.es/gazeta/dias/1839/07/17/pdfs/GMD-1839-1705.pdf#page=4","Abrir facsímil")</f>
        <v>Abrir facsímil</v>
      </c>
      <c r="K13637" s="12" t="s">
        <v>65</v>
      </c>
    </row>
    <row r="13638" spans="1:11" ht="40.049999999999997" customHeight="1" x14ac:dyDescent="0.25">
      <c r="A13638" s="11" t="s">
        <v>26574</v>
      </c>
      <c r="B13638" s="11" t="s">
        <v>26575</v>
      </c>
      <c r="C13638" s="11" t="s">
        <v>17</v>
      </c>
      <c r="D13638" s="11" t="s">
        <v>18</v>
      </c>
      <c r="E13638" s="12" t="s">
        <v>685</v>
      </c>
      <c r="F13638" s="12" t="s">
        <v>686</v>
      </c>
      <c r="G13638" s="12" t="s">
        <v>21</v>
      </c>
      <c r="H13638" s="11" t="s">
        <v>63</v>
      </c>
      <c r="I13638" s="13" t="s">
        <v>26578</v>
      </c>
      <c r="J13638" s="14" t="str">
        <f>HYPERLINK("https://www.boe.es/gazeta/dias/1839/06/18/pdfs/GMD-1839-1676.pdf#page=4","Abrir facsímil")</f>
        <v>Abrir facsímil</v>
      </c>
      <c r="K13638" s="12" t="s">
        <v>65</v>
      </c>
    </row>
    <row r="13639" spans="1:11" ht="40.049999999999997" customHeight="1" x14ac:dyDescent="0.25">
      <c r="A13639" s="11" t="s">
        <v>26574</v>
      </c>
      <c r="B13639" s="11" t="s">
        <v>26575</v>
      </c>
      <c r="C13639" s="11" t="s">
        <v>80</v>
      </c>
      <c r="D13639" s="11" t="s">
        <v>18</v>
      </c>
      <c r="E13639" s="12" t="s">
        <v>1663</v>
      </c>
      <c r="F13639" s="12" t="s">
        <v>1664</v>
      </c>
      <c r="G13639" s="12" t="s">
        <v>21</v>
      </c>
      <c r="H13639" s="11" t="s">
        <v>63</v>
      </c>
      <c r="I13639" s="13" t="s">
        <v>26579</v>
      </c>
      <c r="J13639" s="14" t="str">
        <f>HYPERLINK("https://www.boe.es/gazeta/dias/1839/03/22/pdfs/GMD-1839-1588.pdf#page=4","Abrir facsímil")</f>
        <v>Abrir facsímil</v>
      </c>
      <c r="K13639" s="12" t="s">
        <v>65</v>
      </c>
    </row>
    <row r="13640" spans="1:11" ht="40.049999999999997" customHeight="1" x14ac:dyDescent="0.25">
      <c r="A13640" s="11" t="s">
        <v>26580</v>
      </c>
      <c r="B13640" s="11" t="s">
        <v>26581</v>
      </c>
      <c r="C13640" s="11" t="s">
        <v>80</v>
      </c>
      <c r="D13640" s="11" t="s">
        <v>18</v>
      </c>
      <c r="E13640" s="12" t="s">
        <v>1663</v>
      </c>
      <c r="F13640" s="12" t="s">
        <v>1664</v>
      </c>
      <c r="G13640" s="12" t="s">
        <v>21</v>
      </c>
      <c r="H13640" s="11" t="s">
        <v>63</v>
      </c>
      <c r="I13640" s="13" t="s">
        <v>26582</v>
      </c>
      <c r="J13640" s="14" t="str">
        <f>HYPERLINK("https://www.boe.es/gazeta/dias/1839/03/22/pdfs/GMD-1839-1588.pdf#page=4","Abrir facsímil")</f>
        <v>Abrir facsímil</v>
      </c>
      <c r="K13640" s="12" t="s">
        <v>65</v>
      </c>
    </row>
    <row r="13641" spans="1:11" ht="40.049999999999997" customHeight="1" x14ac:dyDescent="0.25">
      <c r="A13641" s="11" t="s">
        <v>26583</v>
      </c>
      <c r="B13641" s="11" t="s">
        <v>26584</v>
      </c>
      <c r="C13641" s="11" t="s">
        <v>17</v>
      </c>
      <c r="D13641" s="11" t="s">
        <v>18</v>
      </c>
      <c r="E13641" s="12" t="s">
        <v>756</v>
      </c>
      <c r="F13641" s="12" t="s">
        <v>757</v>
      </c>
      <c r="G13641" s="12" t="s">
        <v>21</v>
      </c>
      <c r="H13641" s="11" t="s">
        <v>63</v>
      </c>
      <c r="I13641" s="13" t="s">
        <v>26585</v>
      </c>
      <c r="J13641" s="14" t="str">
        <f>HYPERLINK("https://www.boe.es/gazeta/dias/1839/12/17/pdfs/GMD-1839-1864.pdf#page=4","Abrir facsímil")</f>
        <v>Abrir facsímil</v>
      </c>
      <c r="K13641" s="12" t="s">
        <v>65</v>
      </c>
    </row>
    <row r="13642" spans="1:11" ht="40.049999999999997" customHeight="1" x14ac:dyDescent="0.25">
      <c r="A13642" s="11" t="s">
        <v>26586</v>
      </c>
      <c r="B13642" s="11" t="s">
        <v>26587</v>
      </c>
      <c r="C13642" s="11" t="s">
        <v>59</v>
      </c>
      <c r="D13642" s="11" t="s">
        <v>60</v>
      </c>
      <c r="E13642" s="12" t="s">
        <v>489</v>
      </c>
      <c r="F13642" s="12" t="s">
        <v>490</v>
      </c>
      <c r="G13642" s="12" t="s">
        <v>21</v>
      </c>
      <c r="H13642" s="11" t="s">
        <v>63</v>
      </c>
      <c r="I13642" s="13" t="s">
        <v>26588</v>
      </c>
      <c r="J13642" s="14" t="str">
        <f>HYPERLINK("https://www.boe.es/gazeta/dias/1839/06/29/pdfs/GMD-1839-1687.pdf#page=4","Abrir facsímil")</f>
        <v>Abrir facsímil</v>
      </c>
      <c r="K13642" s="12" t="s">
        <v>65</v>
      </c>
    </row>
    <row r="13643" spans="1:11" ht="40.049999999999997" customHeight="1" x14ac:dyDescent="0.25">
      <c r="A13643" s="11" t="s">
        <v>26589</v>
      </c>
      <c r="B13643" s="11" t="s">
        <v>26590</v>
      </c>
      <c r="C13643" s="11" t="s">
        <v>17</v>
      </c>
      <c r="D13643" s="11" t="s">
        <v>18</v>
      </c>
      <c r="E13643" s="12" t="s">
        <v>1144</v>
      </c>
      <c r="F13643" s="12" t="s">
        <v>1145</v>
      </c>
      <c r="G13643" s="12" t="s">
        <v>40</v>
      </c>
      <c r="H13643" s="11" t="s">
        <v>63</v>
      </c>
      <c r="I13643" s="13" t="s">
        <v>26591</v>
      </c>
      <c r="J13643" s="14" t="str">
        <f>HYPERLINK("https://www.boe.es/gazeta/dias/1839/08/13/pdfs/GMD-1839-1733.pdf#page=2","Abrir facsímil")</f>
        <v>Abrir facsímil</v>
      </c>
      <c r="K13643" s="12" t="s">
        <v>65</v>
      </c>
    </row>
    <row r="13644" spans="1:11" ht="40.049999999999997" customHeight="1" x14ac:dyDescent="0.25">
      <c r="A13644" s="11" t="s">
        <v>26592</v>
      </c>
      <c r="B13644" s="11" t="s">
        <v>26593</v>
      </c>
      <c r="C13644" s="11" t="s">
        <v>17</v>
      </c>
      <c r="D13644" s="11" t="s">
        <v>18</v>
      </c>
      <c r="E13644" s="12" t="s">
        <v>695</v>
      </c>
      <c r="F13644" s="12" t="s">
        <v>696</v>
      </c>
      <c r="G13644" s="12" t="s">
        <v>46</v>
      </c>
      <c r="H13644" s="11" t="s">
        <v>63</v>
      </c>
      <c r="I13644" s="13" t="s">
        <v>26594</v>
      </c>
      <c r="J13644" s="14" t="str">
        <f>HYPERLINK("https://www.boe.es/gazeta/dias/1839/12/19/pdfs/GMD-1839-1866.pdf#page=3","Abrir facsímil")</f>
        <v>Abrir facsímil</v>
      </c>
      <c r="K13644" s="12" t="s">
        <v>65</v>
      </c>
    </row>
    <row r="13645" spans="1:11" ht="40.049999999999997" customHeight="1" x14ac:dyDescent="0.25">
      <c r="A13645" s="11" t="s">
        <v>26595</v>
      </c>
      <c r="B13645" s="11" t="s">
        <v>26596</v>
      </c>
      <c r="C13645" s="11" t="s">
        <v>59</v>
      </c>
      <c r="D13645" s="11" t="s">
        <v>60</v>
      </c>
      <c r="E13645" s="12" t="s">
        <v>202</v>
      </c>
      <c r="F13645" s="12" t="s">
        <v>203</v>
      </c>
      <c r="G13645" s="12" t="s">
        <v>46</v>
      </c>
      <c r="H13645" s="11" t="s">
        <v>63</v>
      </c>
      <c r="I13645" s="13" t="s">
        <v>26597</v>
      </c>
      <c r="J13645" s="14" t="str">
        <f>HYPERLINK("https://www.boe.es/gazeta/dias/1839/04/05/pdfs/GMD-1839-1602.pdf#page=3","Abrir facsímil")</f>
        <v>Abrir facsímil</v>
      </c>
      <c r="K13645" s="12" t="s">
        <v>65</v>
      </c>
    </row>
    <row r="13646" spans="1:11" ht="40.049999999999997" customHeight="1" x14ac:dyDescent="0.25">
      <c r="A13646" s="11" t="s">
        <v>26598</v>
      </c>
      <c r="B13646" s="11" t="s">
        <v>26599</v>
      </c>
      <c r="C13646" s="11" t="s">
        <v>17</v>
      </c>
      <c r="D13646" s="11" t="s">
        <v>18</v>
      </c>
      <c r="E13646" s="12" t="s">
        <v>1414</v>
      </c>
      <c r="F13646" s="12" t="s">
        <v>1415</v>
      </c>
      <c r="G13646" s="12" t="s">
        <v>21</v>
      </c>
      <c r="H13646" s="11" t="s">
        <v>63</v>
      </c>
      <c r="I13646" s="13" t="s">
        <v>26600</v>
      </c>
      <c r="J13646" s="14" t="str">
        <f>HYPERLINK("https://www.boe.es/gazeta/dias/1839/06/12/pdfs/GMD-1839-1670.pdf#page=4","Abrir facsímil")</f>
        <v>Abrir facsímil</v>
      </c>
      <c r="K13646" s="12" t="s">
        <v>65</v>
      </c>
    </row>
    <row r="13647" spans="1:11" ht="40.049999999999997" customHeight="1" x14ac:dyDescent="0.25">
      <c r="A13647" s="11" t="s">
        <v>26601</v>
      </c>
      <c r="B13647" s="11" t="s">
        <v>26601</v>
      </c>
      <c r="C13647" s="11" t="s">
        <v>101</v>
      </c>
      <c r="D13647" s="11" t="s">
        <v>102</v>
      </c>
      <c r="E13647" s="12" t="s">
        <v>276</v>
      </c>
      <c r="F13647" s="12" t="s">
        <v>277</v>
      </c>
      <c r="G13647" s="12" t="s">
        <v>46</v>
      </c>
      <c r="H13647" s="11" t="s">
        <v>63</v>
      </c>
      <c r="I13647" s="13" t="s">
        <v>26602</v>
      </c>
      <c r="J13647" s="14" t="str">
        <f>HYPERLINK("https://www.boe.es/gazeta/dias/1839/09/24/pdfs/GMD-1839-1780.pdf#page=3","Abrir facsímil")</f>
        <v>Abrir facsímil</v>
      </c>
      <c r="K13647" s="12" t="s">
        <v>65</v>
      </c>
    </row>
    <row r="13648" spans="1:11" ht="40.049999999999997" customHeight="1" x14ac:dyDescent="0.25">
      <c r="A13648" s="11" t="s">
        <v>26603</v>
      </c>
      <c r="B13648" s="11" t="s">
        <v>26603</v>
      </c>
      <c r="C13648" s="11" t="s">
        <v>59</v>
      </c>
      <c r="D13648" s="11" t="s">
        <v>60</v>
      </c>
      <c r="E13648" s="12" t="s">
        <v>2069</v>
      </c>
      <c r="F13648" s="12" t="s">
        <v>2070</v>
      </c>
      <c r="G13648" s="12" t="s">
        <v>305</v>
      </c>
      <c r="H13648" s="11" t="s">
        <v>63</v>
      </c>
      <c r="I13648" s="13" t="s">
        <v>26604</v>
      </c>
      <c r="J13648" s="14" t="str">
        <f>HYPERLINK("https://www.boe.es/gazeta/dias/1839/10/20/pdfs/GMD-1839-1806.pdf#page=6","Abrir facsímil")</f>
        <v>Abrir facsímil</v>
      </c>
      <c r="K13648" s="12" t="s">
        <v>65</v>
      </c>
    </row>
    <row r="13649" spans="1:11" ht="40.049999999999997" customHeight="1" x14ac:dyDescent="0.25">
      <c r="A13649" s="11" t="s">
        <v>26605</v>
      </c>
      <c r="B13649" s="11" t="s">
        <v>26605</v>
      </c>
      <c r="C13649" s="11" t="s">
        <v>17</v>
      </c>
      <c r="D13649" s="11" t="s">
        <v>18</v>
      </c>
      <c r="E13649" s="12" t="s">
        <v>826</v>
      </c>
      <c r="F13649" s="12" t="s">
        <v>827</v>
      </c>
      <c r="G13649" s="12" t="s">
        <v>21</v>
      </c>
      <c r="H13649" s="11" t="s">
        <v>63</v>
      </c>
      <c r="I13649" s="13" t="s">
        <v>26606</v>
      </c>
      <c r="J13649" s="14" t="str">
        <f>HYPERLINK("https://www.boe.es/gazeta/dias/1839/09/25/pdfs/GMD-1839-1781.pdf#page=4","Abrir facsímil")</f>
        <v>Abrir facsímil</v>
      </c>
      <c r="K13649" s="12" t="s">
        <v>65</v>
      </c>
    </row>
    <row r="13650" spans="1:11" ht="40.049999999999997" customHeight="1" x14ac:dyDescent="0.25">
      <c r="A13650" s="11" t="s">
        <v>26607</v>
      </c>
      <c r="B13650" s="11" t="s">
        <v>26608</v>
      </c>
      <c r="C13650" s="11" t="s">
        <v>17</v>
      </c>
      <c r="D13650" s="11" t="s">
        <v>18</v>
      </c>
      <c r="E13650" s="12" t="s">
        <v>1895</v>
      </c>
      <c r="F13650" s="12" t="s">
        <v>1896</v>
      </c>
      <c r="G13650" s="12" t="s">
        <v>21</v>
      </c>
      <c r="H13650" s="11" t="s">
        <v>63</v>
      </c>
      <c r="I13650" s="13" t="s">
        <v>26609</v>
      </c>
      <c r="J13650" s="14" t="str">
        <f>HYPERLINK("https://www.boe.es/gazeta/dias/1839/12/23/pdfs/GMD-1839-1870.pdf#page=4","Abrir facsímil")</f>
        <v>Abrir facsímil</v>
      </c>
      <c r="K13650" s="12" t="s">
        <v>65</v>
      </c>
    </row>
    <row r="13651" spans="1:11" ht="40.049999999999997" customHeight="1" x14ac:dyDescent="0.25">
      <c r="A13651" s="11" t="s">
        <v>26610</v>
      </c>
      <c r="B13651" s="11" t="s">
        <v>26611</v>
      </c>
      <c r="C13651" s="11" t="s">
        <v>80</v>
      </c>
      <c r="D13651" s="11" t="s">
        <v>18</v>
      </c>
      <c r="E13651" s="12" t="s">
        <v>695</v>
      </c>
      <c r="F13651" s="12" t="s">
        <v>696</v>
      </c>
      <c r="G13651" s="12" t="s">
        <v>21</v>
      </c>
      <c r="H13651" s="11" t="s">
        <v>63</v>
      </c>
      <c r="I13651" s="13" t="s">
        <v>26612</v>
      </c>
      <c r="J13651" s="14" t="str">
        <f>HYPERLINK("https://www.boe.es/gazeta/dias/1839/12/19/pdfs/GMD-1839-1866.pdf#page=4","Abrir facsímil")</f>
        <v>Abrir facsímil</v>
      </c>
      <c r="K13651" s="12" t="s">
        <v>65</v>
      </c>
    </row>
    <row r="13652" spans="1:11" ht="40.049999999999997" customHeight="1" x14ac:dyDescent="0.25">
      <c r="A13652" s="11" t="s">
        <v>26610</v>
      </c>
      <c r="B13652" s="11" t="s">
        <v>26611</v>
      </c>
      <c r="C13652" s="11" t="s">
        <v>80</v>
      </c>
      <c r="D13652" s="11" t="s">
        <v>18</v>
      </c>
      <c r="E13652" s="12" t="s">
        <v>844</v>
      </c>
      <c r="F13652" s="12" t="s">
        <v>845</v>
      </c>
      <c r="G13652" s="12" t="s">
        <v>21</v>
      </c>
      <c r="H13652" s="11" t="s">
        <v>63</v>
      </c>
      <c r="I13652" s="13" t="s">
        <v>26613</v>
      </c>
      <c r="J13652" s="14" t="str">
        <f>HYPERLINK("https://www.boe.es/gazeta/dias/1839/12/24/pdfs/GMD-1839-1871.pdf#page=4","Abrir facsímil")</f>
        <v>Abrir facsímil</v>
      </c>
      <c r="K13652" s="12" t="s">
        <v>65</v>
      </c>
    </row>
    <row r="13653" spans="1:11" ht="40.049999999999997" customHeight="1" x14ac:dyDescent="0.25">
      <c r="A13653" s="11" t="s">
        <v>26614</v>
      </c>
      <c r="B13653" s="11" t="s">
        <v>26615</v>
      </c>
      <c r="C13653" s="11" t="s">
        <v>17</v>
      </c>
      <c r="D13653" s="11" t="s">
        <v>18</v>
      </c>
      <c r="E13653" s="12" t="s">
        <v>2962</v>
      </c>
      <c r="F13653" s="12" t="s">
        <v>2963</v>
      </c>
      <c r="G13653" s="12" t="s">
        <v>21</v>
      </c>
      <c r="H13653" s="11" t="s">
        <v>63</v>
      </c>
      <c r="I13653" s="13" t="s">
        <v>26616</v>
      </c>
      <c r="J13653" s="14" t="str">
        <f>HYPERLINK("https://www.boe.es/gazeta/dias/1839/12/21/pdfs/GMD-1839-1868.pdf#page=4","Abrir facsímil")</f>
        <v>Abrir facsímil</v>
      </c>
      <c r="K13653" s="12" t="s">
        <v>65</v>
      </c>
    </row>
    <row r="13654" spans="1:11" ht="40.049999999999997" customHeight="1" x14ac:dyDescent="0.25">
      <c r="A13654" s="11" t="s">
        <v>26617</v>
      </c>
      <c r="B13654" s="11" t="s">
        <v>26618</v>
      </c>
      <c r="C13654" s="11" t="s">
        <v>17</v>
      </c>
      <c r="D13654" s="11" t="s">
        <v>18</v>
      </c>
      <c r="E13654" s="12" t="s">
        <v>653</v>
      </c>
      <c r="F13654" s="12" t="s">
        <v>654</v>
      </c>
      <c r="G13654" s="12" t="s">
        <v>40</v>
      </c>
      <c r="H13654" s="11" t="s">
        <v>63</v>
      </c>
      <c r="I13654" s="13" t="s">
        <v>26619</v>
      </c>
      <c r="J13654" s="14" t="str">
        <f>HYPERLINK("https://www.boe.es/gazeta/dias/1839/10/31/pdfs/GMD-1839-1817.pdf#page=2","Abrir facsímil")</f>
        <v>Abrir facsímil</v>
      </c>
      <c r="K13654" s="12" t="s">
        <v>65</v>
      </c>
    </row>
    <row r="13655" spans="1:11" ht="40.049999999999997" customHeight="1" x14ac:dyDescent="0.25">
      <c r="A13655" s="11" t="s">
        <v>26620</v>
      </c>
      <c r="B13655" s="11" t="s">
        <v>26621</v>
      </c>
      <c r="C13655" s="11" t="s">
        <v>59</v>
      </c>
      <c r="D13655" s="11" t="s">
        <v>60</v>
      </c>
      <c r="E13655" s="12" t="s">
        <v>1663</v>
      </c>
      <c r="F13655" s="12" t="s">
        <v>1664</v>
      </c>
      <c r="G13655" s="12" t="s">
        <v>21</v>
      </c>
      <c r="H13655" s="11" t="s">
        <v>63</v>
      </c>
      <c r="I13655" s="13" t="s">
        <v>26622</v>
      </c>
      <c r="J13655" s="14" t="str">
        <f>HYPERLINK("https://www.boe.es/gazeta/dias/1839/03/22/pdfs/GMD-1839-1588.pdf#page=4","Abrir facsímil")</f>
        <v>Abrir facsímil</v>
      </c>
      <c r="K13655" s="12" t="s">
        <v>65</v>
      </c>
    </row>
    <row r="13656" spans="1:11" ht="40.049999999999997" customHeight="1" x14ac:dyDescent="0.25">
      <c r="A13656" s="11" t="s">
        <v>26623</v>
      </c>
      <c r="B13656" s="11" t="s">
        <v>26623</v>
      </c>
      <c r="C13656" s="11" t="s">
        <v>17</v>
      </c>
      <c r="D13656" s="11" t="s">
        <v>18</v>
      </c>
      <c r="E13656" s="12" t="s">
        <v>1584</v>
      </c>
      <c r="F13656" s="12" t="s">
        <v>1585</v>
      </c>
      <c r="G13656" s="12" t="s">
        <v>40</v>
      </c>
      <c r="H13656" s="11" t="s">
        <v>63</v>
      </c>
      <c r="I13656" s="13" t="s">
        <v>26624</v>
      </c>
      <c r="J13656" s="14" t="str">
        <f>HYPERLINK("https://www.boe.es/gazeta/dias/1839/11/20/pdfs/GMD-1839-1837.pdf#page=2","Abrir facsímil")</f>
        <v>Abrir facsímil</v>
      </c>
      <c r="K13656" s="12" t="s">
        <v>65</v>
      </c>
    </row>
    <row r="13657" spans="1:11" ht="40.049999999999997" customHeight="1" x14ac:dyDescent="0.25">
      <c r="A13657" s="11" t="s">
        <v>26625</v>
      </c>
      <c r="B13657" s="11" t="s">
        <v>26625</v>
      </c>
      <c r="C13657" s="11" t="s">
        <v>17</v>
      </c>
      <c r="D13657" s="11" t="s">
        <v>18</v>
      </c>
      <c r="E13657" s="12" t="s">
        <v>284</v>
      </c>
      <c r="F13657" s="12" t="s">
        <v>285</v>
      </c>
      <c r="G13657" s="12" t="s">
        <v>46</v>
      </c>
      <c r="H13657" s="11" t="s">
        <v>63</v>
      </c>
      <c r="I13657" s="13" t="s">
        <v>26626</v>
      </c>
      <c r="J13657" s="14" t="str">
        <f>HYPERLINK("https://www.boe.es/gazeta/dias/1839/01/27/pdfs/GMD-1839-1534.pdf#page=3","Abrir facsímil")</f>
        <v>Abrir facsímil</v>
      </c>
      <c r="K13657" s="12" t="s">
        <v>65</v>
      </c>
    </row>
    <row r="13658" spans="1:11" ht="40.049999999999997" customHeight="1" x14ac:dyDescent="0.25">
      <c r="A13658" s="11" t="s">
        <v>26627</v>
      </c>
      <c r="B13658" s="11" t="s">
        <v>26628</v>
      </c>
      <c r="C13658" s="11" t="s">
        <v>137</v>
      </c>
      <c r="D13658" s="11" t="s">
        <v>18</v>
      </c>
      <c r="E13658" s="12" t="s">
        <v>388</v>
      </c>
      <c r="F13658" s="12" t="s">
        <v>389</v>
      </c>
      <c r="G13658" s="12" t="s">
        <v>21</v>
      </c>
      <c r="H13658" s="11" t="s">
        <v>63</v>
      </c>
      <c r="I13658" s="13" t="s">
        <v>26629</v>
      </c>
      <c r="J13658" s="14" t="str">
        <f>HYPERLINK("https://www.boe.es/gazeta/dias/1839/08/07/pdfs/GMD-1839-1727.pdf#page=4","Abrir facsímil")</f>
        <v>Abrir facsímil</v>
      </c>
      <c r="K13658" s="12" t="s">
        <v>65</v>
      </c>
    </row>
    <row r="13659" spans="1:11" ht="40.049999999999997" customHeight="1" x14ac:dyDescent="0.25">
      <c r="A13659" s="11" t="s">
        <v>26630</v>
      </c>
      <c r="B13659" s="11" t="s">
        <v>26630</v>
      </c>
      <c r="C13659" s="11" t="s">
        <v>101</v>
      </c>
      <c r="D13659" s="11" t="s">
        <v>43</v>
      </c>
      <c r="E13659" s="12" t="s">
        <v>1236</v>
      </c>
      <c r="F13659" s="12" t="s">
        <v>1237</v>
      </c>
      <c r="G13659" s="12" t="s">
        <v>29</v>
      </c>
      <c r="H13659" s="11" t="s">
        <v>63</v>
      </c>
      <c r="I13659" s="13" t="s">
        <v>26631</v>
      </c>
      <c r="J13659" s="14" t="str">
        <f>HYPERLINK("https://www.boe.es/gazeta/dias/1839/10/16/pdfs/GMD-1839-1802.pdf#page=1","Abrir facsímil")</f>
        <v>Abrir facsímil</v>
      </c>
      <c r="K13659" s="12" t="s">
        <v>65</v>
      </c>
    </row>
    <row r="13660" spans="1:11" ht="40.049999999999997" customHeight="1" x14ac:dyDescent="0.25">
      <c r="A13660" s="11" t="s">
        <v>26632</v>
      </c>
      <c r="B13660" s="11" t="s">
        <v>26633</v>
      </c>
      <c r="C13660" s="11" t="s">
        <v>80</v>
      </c>
      <c r="D13660" s="11" t="s">
        <v>18</v>
      </c>
      <c r="E13660" s="12" t="s">
        <v>330</v>
      </c>
      <c r="F13660" s="12" t="s">
        <v>331</v>
      </c>
      <c r="G13660" s="12" t="s">
        <v>21</v>
      </c>
      <c r="H13660" s="11" t="s">
        <v>63</v>
      </c>
      <c r="I13660" s="13" t="s">
        <v>26634</v>
      </c>
      <c r="J13660" s="14" t="str">
        <f>HYPERLINK("https://www.boe.es/gazeta/dias/1839/04/11/pdfs/GMD-1839-1608.pdf#page=4","Abrir facsímil")</f>
        <v>Abrir facsímil</v>
      </c>
      <c r="K13660" s="12" t="s">
        <v>65</v>
      </c>
    </row>
    <row r="13661" spans="1:11" ht="40.049999999999997" customHeight="1" x14ac:dyDescent="0.25">
      <c r="A13661" s="11" t="s">
        <v>26635</v>
      </c>
      <c r="B13661" s="11" t="s">
        <v>26636</v>
      </c>
      <c r="C13661" s="11" t="s">
        <v>80</v>
      </c>
      <c r="D13661" s="11" t="s">
        <v>18</v>
      </c>
      <c r="E13661" s="12" t="s">
        <v>775</v>
      </c>
      <c r="F13661" s="12" t="s">
        <v>776</v>
      </c>
      <c r="G13661" s="12" t="s">
        <v>21</v>
      </c>
      <c r="H13661" s="11" t="s">
        <v>63</v>
      </c>
      <c r="I13661" s="13" t="s">
        <v>26637</v>
      </c>
      <c r="J13661" s="14" t="str">
        <f>HYPERLINK("https://www.boe.es/gazeta/dias/1839/02/25/pdfs/GMD-1839-1563.pdf#page=4","Abrir facsímil")</f>
        <v>Abrir facsímil</v>
      </c>
      <c r="K13661" s="12" t="s">
        <v>65</v>
      </c>
    </row>
    <row r="13662" spans="1:11" ht="40.049999999999997" customHeight="1" x14ac:dyDescent="0.25">
      <c r="A13662" s="11" t="s">
        <v>26638</v>
      </c>
      <c r="B13662" s="11" t="s">
        <v>26639</v>
      </c>
      <c r="C13662" s="11" t="s">
        <v>17</v>
      </c>
      <c r="D13662" s="11" t="s">
        <v>18</v>
      </c>
      <c r="E13662" s="12" t="s">
        <v>1008</v>
      </c>
      <c r="F13662" s="12" t="s">
        <v>1009</v>
      </c>
      <c r="G13662" s="12" t="s">
        <v>46</v>
      </c>
      <c r="H13662" s="11" t="s">
        <v>22</v>
      </c>
      <c r="I13662" s="13" t="s">
        <v>26640</v>
      </c>
      <c r="J13662" s="14" t="str">
        <f>HYPERLINK("https://www.boe.es/gazeta/dias/1839/09/07/pdfs/GMD-1839-1760.pdf#page=3","Abrir facsímil")</f>
        <v>Abrir facsímil</v>
      </c>
      <c r="K13662" s="12" t="s">
        <v>24</v>
      </c>
    </row>
    <row r="13663" spans="1:11" ht="40.049999999999997" customHeight="1" x14ac:dyDescent="0.25">
      <c r="A13663" s="11" t="s">
        <v>26641</v>
      </c>
      <c r="B13663" s="11" t="s">
        <v>26641</v>
      </c>
      <c r="C13663" s="11" t="s">
        <v>17</v>
      </c>
      <c r="D13663" s="11" t="s">
        <v>18</v>
      </c>
      <c r="E13663" s="12" t="s">
        <v>3009</v>
      </c>
      <c r="F13663" s="12" t="s">
        <v>3010</v>
      </c>
      <c r="G13663" s="12" t="s">
        <v>40</v>
      </c>
      <c r="H13663" s="11" t="s">
        <v>22</v>
      </c>
      <c r="I13663" s="13" t="s">
        <v>26642</v>
      </c>
      <c r="J13663" s="14" t="str">
        <f>HYPERLINK("https://www.boe.es/gazeta/dias/1839/04/20/pdfs/GMD-1839-1617.pdf#page=2","Abrir facsímil")</f>
        <v>Abrir facsímil</v>
      </c>
      <c r="K13663" s="12" t="s">
        <v>24</v>
      </c>
    </row>
    <row r="13664" spans="1:11" ht="40.049999999999997" customHeight="1" x14ac:dyDescent="0.25">
      <c r="A13664" s="11" t="s">
        <v>26643</v>
      </c>
      <c r="B13664" s="11" t="s">
        <v>26643</v>
      </c>
      <c r="C13664" s="11" t="s">
        <v>17</v>
      </c>
      <c r="D13664" s="11" t="s">
        <v>18</v>
      </c>
      <c r="E13664" s="12" t="s">
        <v>3705</v>
      </c>
      <c r="F13664" s="12" t="s">
        <v>3706</v>
      </c>
      <c r="G13664" s="12" t="s">
        <v>29</v>
      </c>
      <c r="H13664" s="11" t="s">
        <v>63</v>
      </c>
      <c r="I13664" s="13" t="s">
        <v>26644</v>
      </c>
      <c r="J13664" s="14" t="str">
        <f>HYPERLINK("https://www.boe.es/gazeta/dias/1839/03/09/pdfs/GMD-1839-1575.pdf#page=1","Abrir facsímil")</f>
        <v>Abrir facsímil</v>
      </c>
      <c r="K13664" s="12" t="s">
        <v>65</v>
      </c>
    </row>
    <row r="13665" spans="1:11" ht="40.049999999999997" customHeight="1" x14ac:dyDescent="0.25">
      <c r="A13665" s="11" t="s">
        <v>26643</v>
      </c>
      <c r="B13665" s="11" t="s">
        <v>26643</v>
      </c>
      <c r="C13665" s="11" t="s">
        <v>17</v>
      </c>
      <c r="D13665" s="11" t="s">
        <v>18</v>
      </c>
      <c r="E13665" s="12" t="s">
        <v>1663</v>
      </c>
      <c r="F13665" s="12" t="s">
        <v>1664</v>
      </c>
      <c r="G13665" s="12" t="s">
        <v>29</v>
      </c>
      <c r="H13665" s="11" t="s">
        <v>63</v>
      </c>
      <c r="I13665" s="13" t="s">
        <v>26645</v>
      </c>
      <c r="J13665" s="14" t="str">
        <f>HYPERLINK("https://www.boe.es/gazeta/dias/1839/03/22/pdfs/GMD-1839-1588.pdf#page=1","Abrir facsímil")</f>
        <v>Abrir facsímil</v>
      </c>
      <c r="K13665" s="12" t="s">
        <v>65</v>
      </c>
    </row>
    <row r="13666" spans="1:11" ht="40.049999999999997" customHeight="1" x14ac:dyDescent="0.25">
      <c r="A13666" s="11" t="s">
        <v>26643</v>
      </c>
      <c r="B13666" s="11" t="s">
        <v>26643</v>
      </c>
      <c r="C13666" s="11" t="s">
        <v>17</v>
      </c>
      <c r="D13666" s="11" t="s">
        <v>18</v>
      </c>
      <c r="E13666" s="12" t="s">
        <v>1663</v>
      </c>
      <c r="F13666" s="12" t="s">
        <v>1664</v>
      </c>
      <c r="G13666" s="12" t="s">
        <v>21</v>
      </c>
      <c r="H13666" s="11" t="s">
        <v>63</v>
      </c>
      <c r="I13666" s="13" t="s">
        <v>26646</v>
      </c>
      <c r="J13666" s="14" t="str">
        <f>HYPERLINK("https://www.boe.es/gazeta/dias/1839/03/22/pdfs/GMD-1839-1588.pdf#page=4","Abrir facsímil")</f>
        <v>Abrir facsímil</v>
      </c>
      <c r="K13666" s="12" t="s">
        <v>65</v>
      </c>
    </row>
    <row r="13667" spans="1:11" ht="40.049999999999997" customHeight="1" x14ac:dyDescent="0.25">
      <c r="A13667" s="11" t="s">
        <v>26643</v>
      </c>
      <c r="B13667" s="11" t="s">
        <v>26643</v>
      </c>
      <c r="C13667" s="11" t="s">
        <v>80</v>
      </c>
      <c r="D13667" s="11" t="s">
        <v>18</v>
      </c>
      <c r="E13667" s="12" t="s">
        <v>346</v>
      </c>
      <c r="F13667" s="12" t="s">
        <v>347</v>
      </c>
      <c r="G13667" s="12" t="s">
        <v>21</v>
      </c>
      <c r="H13667" s="11" t="s">
        <v>63</v>
      </c>
      <c r="I13667" s="13" t="s">
        <v>26647</v>
      </c>
      <c r="J13667" s="14" t="str">
        <f>HYPERLINK("https://www.boe.es/gazeta/dias/1839/03/24/pdfs/GMD-1839-1590.pdf#page=4","Abrir facsímil")</f>
        <v>Abrir facsímil</v>
      </c>
      <c r="K13667" s="12" t="s">
        <v>65</v>
      </c>
    </row>
    <row r="13668" spans="1:11" ht="40.049999999999997" customHeight="1" x14ac:dyDescent="0.25">
      <c r="A13668" s="11" t="s">
        <v>26643</v>
      </c>
      <c r="B13668" s="11" t="s">
        <v>26643</v>
      </c>
      <c r="C13668" s="11" t="s">
        <v>80</v>
      </c>
      <c r="D13668" s="11" t="s">
        <v>18</v>
      </c>
      <c r="E13668" s="12" t="s">
        <v>668</v>
      </c>
      <c r="F13668" s="12" t="s">
        <v>669</v>
      </c>
      <c r="G13668" s="12" t="s">
        <v>21</v>
      </c>
      <c r="H13668" s="11" t="s">
        <v>63</v>
      </c>
      <c r="I13668" s="13" t="s">
        <v>26648</v>
      </c>
      <c r="J13668" s="14" t="str">
        <f>HYPERLINK("https://www.boe.es/gazeta/dias/1839/03/28/pdfs/GMD-1839-1594.pdf#page=4","Abrir facsímil")</f>
        <v>Abrir facsímil</v>
      </c>
      <c r="K13668" s="12" t="s">
        <v>65</v>
      </c>
    </row>
    <row r="13669" spans="1:11" ht="40.049999999999997" customHeight="1" x14ac:dyDescent="0.25">
      <c r="A13669" s="11" t="s">
        <v>26649</v>
      </c>
      <c r="B13669" s="11" t="s">
        <v>26650</v>
      </c>
      <c r="C13669" s="11" t="s">
        <v>59</v>
      </c>
      <c r="D13669" s="11" t="s">
        <v>60</v>
      </c>
      <c r="E13669" s="12" t="s">
        <v>1663</v>
      </c>
      <c r="F13669" s="12" t="s">
        <v>1664</v>
      </c>
      <c r="G13669" s="12" t="s">
        <v>29</v>
      </c>
      <c r="H13669" s="11" t="s">
        <v>63</v>
      </c>
      <c r="I13669" s="13" t="s">
        <v>26651</v>
      </c>
      <c r="J13669" s="14" t="str">
        <f>HYPERLINK("https://www.boe.es/gazeta/dias/1839/03/22/pdfs/GMD-1839-1588.pdf#page=1","Abrir facsímil")</f>
        <v>Abrir facsímil</v>
      </c>
      <c r="K13669" s="12" t="s">
        <v>65</v>
      </c>
    </row>
    <row r="13670" spans="1:11" ht="40.049999999999997" customHeight="1" x14ac:dyDescent="0.25">
      <c r="A13670" s="11" t="s">
        <v>26652</v>
      </c>
      <c r="B13670" s="11" t="s">
        <v>26652</v>
      </c>
      <c r="C13670" s="11" t="s">
        <v>80</v>
      </c>
      <c r="D13670" s="11" t="s">
        <v>18</v>
      </c>
      <c r="E13670" s="12" t="s">
        <v>7119</v>
      </c>
      <c r="F13670" s="12" t="s">
        <v>7120</v>
      </c>
      <c r="G13670" s="12" t="s">
        <v>46</v>
      </c>
      <c r="H13670" s="11" t="s">
        <v>63</v>
      </c>
      <c r="I13670" s="13" t="s">
        <v>26653</v>
      </c>
      <c r="J13670" s="14" t="str">
        <f>HYPERLINK("https://www.boe.es/gazeta/dias/1839/05/22/pdfs/GMD-1839-1649.pdf#page=3","Abrir facsímil")</f>
        <v>Abrir facsímil</v>
      </c>
      <c r="K13670" s="12" t="s">
        <v>65</v>
      </c>
    </row>
    <row r="13671" spans="1:11" ht="40.049999999999997" customHeight="1" x14ac:dyDescent="0.25">
      <c r="A13671" s="11" t="s">
        <v>26654</v>
      </c>
      <c r="B13671" s="11" t="s">
        <v>26655</v>
      </c>
      <c r="C13671" s="11" t="s">
        <v>17</v>
      </c>
      <c r="D13671" s="11" t="s">
        <v>18</v>
      </c>
      <c r="E13671" s="12" t="s">
        <v>385</v>
      </c>
      <c r="F13671" s="12" t="s">
        <v>386</v>
      </c>
      <c r="G13671" s="12" t="s">
        <v>29</v>
      </c>
      <c r="H13671" s="11" t="s">
        <v>63</v>
      </c>
      <c r="I13671" s="13" t="s">
        <v>26656</v>
      </c>
      <c r="J13671" s="14" t="str">
        <f>HYPERLINK("https://www.boe.es/gazeta/dias/1839/08/01/pdfs/GMD-1839-1721.pdf#page=1","Abrir facsímil")</f>
        <v>Abrir facsímil</v>
      </c>
      <c r="K13671" s="12" t="s">
        <v>65</v>
      </c>
    </row>
    <row r="13672" spans="1:11" ht="40.049999999999997" customHeight="1" x14ac:dyDescent="0.25">
      <c r="A13672" s="11" t="s">
        <v>26657</v>
      </c>
      <c r="B13672" s="11" t="s">
        <v>26657</v>
      </c>
      <c r="C13672" s="11" t="s">
        <v>17</v>
      </c>
      <c r="D13672" s="11" t="s">
        <v>18</v>
      </c>
      <c r="E13672" s="12" t="s">
        <v>1891</v>
      </c>
      <c r="F13672" s="12" t="s">
        <v>1892</v>
      </c>
      <c r="G13672" s="12" t="s">
        <v>46</v>
      </c>
      <c r="H13672" s="11" t="s">
        <v>63</v>
      </c>
      <c r="I13672" s="13" t="s">
        <v>26658</v>
      </c>
      <c r="J13672" s="14" t="str">
        <f>HYPERLINK("https://www.boe.es/gazeta/dias/1839/12/14/pdfs/GMD-1839-1861.pdf#page=3","Abrir facsímil")</f>
        <v>Abrir facsímil</v>
      </c>
      <c r="K13672" s="12" t="s">
        <v>65</v>
      </c>
    </row>
    <row r="13673" spans="1:11" ht="40.049999999999997" customHeight="1" x14ac:dyDescent="0.25">
      <c r="A13673" s="11" t="s">
        <v>26657</v>
      </c>
      <c r="B13673" s="11" t="s">
        <v>26657</v>
      </c>
      <c r="C13673" s="11" t="s">
        <v>17</v>
      </c>
      <c r="D13673" s="11" t="s">
        <v>18</v>
      </c>
      <c r="E13673" s="12" t="s">
        <v>44</v>
      </c>
      <c r="F13673" s="12" t="s">
        <v>45</v>
      </c>
      <c r="G13673" s="12" t="s">
        <v>40</v>
      </c>
      <c r="H13673" s="11" t="s">
        <v>63</v>
      </c>
      <c r="I13673" s="13" t="s">
        <v>26659</v>
      </c>
      <c r="J13673" s="14" t="str">
        <f>HYPERLINK("https://www.boe.es/gazeta/dias/1839/11/15/pdfs/GMD-1839-1832.pdf#page=2","Abrir facsímil")</f>
        <v>Abrir facsímil</v>
      </c>
      <c r="K13673" s="12" t="s">
        <v>65</v>
      </c>
    </row>
    <row r="13674" spans="1:11" ht="40.049999999999997" customHeight="1" x14ac:dyDescent="0.25">
      <c r="A13674" s="11" t="s">
        <v>26660</v>
      </c>
      <c r="B13674" s="11" t="s">
        <v>26661</v>
      </c>
      <c r="C13674" s="11" t="s">
        <v>17</v>
      </c>
      <c r="D13674" s="11" t="s">
        <v>43</v>
      </c>
      <c r="E13674" s="12" t="s">
        <v>4451</v>
      </c>
      <c r="F13674" s="12" t="s">
        <v>4452</v>
      </c>
      <c r="G13674" s="12" t="s">
        <v>21</v>
      </c>
      <c r="H13674" s="11" t="s">
        <v>63</v>
      </c>
      <c r="I13674" s="13" t="s">
        <v>26662</v>
      </c>
      <c r="J13674" s="14" t="str">
        <f>HYPERLINK("https://www.boe.es/gazeta/dias/1839/12/02/pdfs/GMD-1839-1849.pdf#page=4","Abrir facsímil")</f>
        <v>Abrir facsímil</v>
      </c>
      <c r="K13674" s="12" t="s">
        <v>65</v>
      </c>
    </row>
    <row r="13675" spans="1:11" ht="40.049999999999997" customHeight="1" x14ac:dyDescent="0.25">
      <c r="A13675" s="11" t="s">
        <v>26663</v>
      </c>
      <c r="B13675" s="11" t="s">
        <v>26663</v>
      </c>
      <c r="C13675" s="11" t="s">
        <v>17</v>
      </c>
      <c r="D13675" s="11" t="s">
        <v>18</v>
      </c>
      <c r="E13675" s="12" t="s">
        <v>343</v>
      </c>
      <c r="F13675" s="12" t="s">
        <v>344</v>
      </c>
      <c r="G13675" s="12" t="s">
        <v>40</v>
      </c>
      <c r="H13675" s="11" t="s">
        <v>63</v>
      </c>
      <c r="I13675" s="13" t="s">
        <v>26664</v>
      </c>
      <c r="J13675" s="14" t="str">
        <f>HYPERLINK("https://www.boe.es/gazeta/dias/1839/05/20/pdfs/GMD-1839-1647.pdf#page=2","Abrir facsímil")</f>
        <v>Abrir facsímil</v>
      </c>
      <c r="K13675" s="12" t="s">
        <v>65</v>
      </c>
    </row>
    <row r="13676" spans="1:11" ht="40.049999999999997" customHeight="1" x14ac:dyDescent="0.25">
      <c r="A13676" s="11" t="s">
        <v>26665</v>
      </c>
      <c r="B13676" s="11" t="s">
        <v>26665</v>
      </c>
      <c r="C13676" s="11" t="s">
        <v>137</v>
      </c>
      <c r="D13676" s="11" t="s">
        <v>18</v>
      </c>
      <c r="E13676" s="12" t="s">
        <v>5806</v>
      </c>
      <c r="F13676" s="12" t="s">
        <v>5807</v>
      </c>
      <c r="G13676" s="12" t="s">
        <v>40</v>
      </c>
      <c r="H13676" s="11" t="s">
        <v>63</v>
      </c>
      <c r="I13676" s="13" t="s">
        <v>26666</v>
      </c>
      <c r="J13676" s="14" t="str">
        <f>HYPERLINK("https://www.boe.es/gazeta/dias/1839/02/16/pdfs/GMD-1839-1554.pdf#page=2","Abrir facsímil")</f>
        <v>Abrir facsímil</v>
      </c>
      <c r="K13676" s="12" t="s">
        <v>65</v>
      </c>
    </row>
    <row r="13677" spans="1:11" ht="40.049999999999997" customHeight="1" x14ac:dyDescent="0.25">
      <c r="A13677" s="11" t="s">
        <v>26667</v>
      </c>
      <c r="B13677" s="11" t="s">
        <v>26667</v>
      </c>
      <c r="C13677" s="11" t="s">
        <v>59</v>
      </c>
      <c r="D13677" s="11" t="s">
        <v>60</v>
      </c>
      <c r="E13677" s="12" t="s">
        <v>664</v>
      </c>
      <c r="F13677" s="12" t="s">
        <v>665</v>
      </c>
      <c r="G13677" s="12" t="s">
        <v>46</v>
      </c>
      <c r="H13677" s="11" t="s">
        <v>63</v>
      </c>
      <c r="I13677" s="13" t="s">
        <v>26668</v>
      </c>
      <c r="J13677" s="14" t="str">
        <f>HYPERLINK("https://www.boe.es/gazeta/dias/1839/01/24/pdfs/GMD-1839-1531.pdf#page=3","Abrir facsímil")</f>
        <v>Abrir facsímil</v>
      </c>
      <c r="K13677" s="12" t="s">
        <v>65</v>
      </c>
    </row>
    <row r="13678" spans="1:11" ht="40.049999999999997" customHeight="1" x14ac:dyDescent="0.25">
      <c r="A13678" s="11" t="s">
        <v>26669</v>
      </c>
      <c r="B13678" s="11" t="s">
        <v>26669</v>
      </c>
      <c r="C13678" s="11" t="s">
        <v>17</v>
      </c>
      <c r="D13678" s="11" t="s">
        <v>18</v>
      </c>
      <c r="E13678" s="12" t="s">
        <v>1628</v>
      </c>
      <c r="F13678" s="12" t="s">
        <v>1629</v>
      </c>
      <c r="G13678" s="12" t="s">
        <v>40</v>
      </c>
      <c r="H13678" s="11" t="s">
        <v>63</v>
      </c>
      <c r="I13678" s="13" t="s">
        <v>26670</v>
      </c>
      <c r="J13678" s="14" t="str">
        <f>HYPERLINK("https://www.boe.es/gazeta/dias/1839/03/10/pdfs/GMD-1839-1576.pdf#page=2","Abrir facsímil")</f>
        <v>Abrir facsímil</v>
      </c>
      <c r="K13678" s="12" t="s">
        <v>65</v>
      </c>
    </row>
    <row r="13679" spans="1:11" ht="40.049999999999997" customHeight="1" x14ac:dyDescent="0.25">
      <c r="A13679" s="11" t="s">
        <v>26671</v>
      </c>
      <c r="B13679" s="11" t="s">
        <v>26672</v>
      </c>
      <c r="C13679" s="11" t="s">
        <v>17</v>
      </c>
      <c r="D13679" s="11" t="s">
        <v>18</v>
      </c>
      <c r="E13679" s="12" t="s">
        <v>779</v>
      </c>
      <c r="F13679" s="12" t="s">
        <v>780</v>
      </c>
      <c r="G13679" s="12" t="s">
        <v>29</v>
      </c>
      <c r="H13679" s="11" t="s">
        <v>63</v>
      </c>
      <c r="I13679" s="13" t="s">
        <v>26673</v>
      </c>
      <c r="J13679" s="14" t="str">
        <f>HYPERLINK("https://www.boe.es/gazeta/dias/1839/02/03/pdfs/GMD-1839-1541.pdf#page=1","Abrir facsímil")</f>
        <v>Abrir facsímil</v>
      </c>
      <c r="K13679" s="12" t="s">
        <v>65</v>
      </c>
    </row>
    <row r="13680" spans="1:11" ht="40.049999999999997" customHeight="1" x14ac:dyDescent="0.25">
      <c r="A13680" s="11" t="s">
        <v>26674</v>
      </c>
      <c r="B13680" s="11" t="s">
        <v>26674</v>
      </c>
      <c r="C13680" s="11" t="s">
        <v>101</v>
      </c>
      <c r="D13680" s="11" t="s">
        <v>102</v>
      </c>
      <c r="E13680" s="12" t="s">
        <v>2378</v>
      </c>
      <c r="F13680" s="12" t="s">
        <v>2379</v>
      </c>
      <c r="G13680" s="12" t="s">
        <v>29</v>
      </c>
      <c r="H13680" s="11" t="s">
        <v>63</v>
      </c>
      <c r="I13680" s="13" t="s">
        <v>26675</v>
      </c>
      <c r="J13680" s="14" t="str">
        <f>HYPERLINK("https://www.boe.es/gazeta/dias/1839/06/20/pdfs/GMD-1839-1678.pdf#page=1","Abrir facsímil")</f>
        <v>Abrir facsímil</v>
      </c>
      <c r="K13680" s="12" t="s">
        <v>65</v>
      </c>
    </row>
    <row r="13681" spans="1:11" ht="40.049999999999997" customHeight="1" x14ac:dyDescent="0.25">
      <c r="A13681" s="11" t="s">
        <v>26676</v>
      </c>
      <c r="B13681" s="11" t="s">
        <v>26677</v>
      </c>
      <c r="C13681" s="11" t="s">
        <v>17</v>
      </c>
      <c r="D13681" s="11" t="s">
        <v>18</v>
      </c>
      <c r="E13681" s="12" t="s">
        <v>116</v>
      </c>
      <c r="F13681" s="12" t="s">
        <v>117</v>
      </c>
      <c r="G13681" s="12" t="s">
        <v>40</v>
      </c>
      <c r="H13681" s="11" t="s">
        <v>63</v>
      </c>
      <c r="I13681" s="13" t="s">
        <v>26678</v>
      </c>
      <c r="J13681" s="14" t="str">
        <f>HYPERLINK("https://www.boe.es/gazeta/dias/1839/10/10/pdfs/GMD-1839-1796.pdf#page=2","Abrir facsímil")</f>
        <v>Abrir facsímil</v>
      </c>
      <c r="K13681" s="12" t="s">
        <v>65</v>
      </c>
    </row>
    <row r="13682" spans="1:11" ht="40.049999999999997" customHeight="1" x14ac:dyDescent="0.25">
      <c r="A13682" s="11" t="s">
        <v>26679</v>
      </c>
      <c r="B13682" s="11" t="s">
        <v>26680</v>
      </c>
      <c r="C13682" s="11" t="s">
        <v>17</v>
      </c>
      <c r="D13682" s="11" t="s">
        <v>18</v>
      </c>
      <c r="E13682" s="12" t="s">
        <v>291</v>
      </c>
      <c r="F13682" s="12" t="s">
        <v>292</v>
      </c>
      <c r="G13682" s="12" t="s">
        <v>46</v>
      </c>
      <c r="H13682" s="11" t="s">
        <v>63</v>
      </c>
      <c r="I13682" s="13" t="s">
        <v>26681</v>
      </c>
      <c r="J13682" s="14" t="str">
        <f>HYPERLINK("https://www.boe.es/gazeta/dias/1839/09/04/pdfs/GMD-1839-1757.pdf#page=3","Abrir facsímil")</f>
        <v>Abrir facsímil</v>
      </c>
      <c r="K13682" s="12" t="s">
        <v>65</v>
      </c>
    </row>
    <row r="13683" spans="1:11" ht="40.049999999999997" customHeight="1" x14ac:dyDescent="0.25">
      <c r="A13683" s="11" t="s">
        <v>26682</v>
      </c>
      <c r="B13683" s="11" t="s">
        <v>26682</v>
      </c>
      <c r="C13683" s="11" t="s">
        <v>101</v>
      </c>
      <c r="D13683" s="11" t="s">
        <v>102</v>
      </c>
      <c r="E13683" s="12" t="s">
        <v>2021</v>
      </c>
      <c r="F13683" s="12" t="s">
        <v>2022</v>
      </c>
      <c r="G13683" s="12" t="s">
        <v>40</v>
      </c>
      <c r="H13683" s="11" t="s">
        <v>63</v>
      </c>
      <c r="I13683" s="13" t="s">
        <v>26683</v>
      </c>
      <c r="J13683" s="14" t="str">
        <f>HYPERLINK("https://www.boe.es/gazeta/dias/1839/02/17/pdfs/GMD-1839-1555.pdf#page=2","Abrir facsímil")</f>
        <v>Abrir facsímil</v>
      </c>
      <c r="K13683" s="12" t="s">
        <v>65</v>
      </c>
    </row>
    <row r="13684" spans="1:11" ht="40.049999999999997" customHeight="1" x14ac:dyDescent="0.25">
      <c r="A13684" s="11" t="s">
        <v>26684</v>
      </c>
      <c r="B13684" s="11" t="s">
        <v>26684</v>
      </c>
      <c r="C13684" s="11" t="s">
        <v>101</v>
      </c>
      <c r="D13684" s="11" t="s">
        <v>102</v>
      </c>
      <c r="E13684" s="12" t="s">
        <v>2021</v>
      </c>
      <c r="F13684" s="12" t="s">
        <v>2022</v>
      </c>
      <c r="G13684" s="12" t="s">
        <v>40</v>
      </c>
      <c r="H13684" s="11" t="s">
        <v>63</v>
      </c>
      <c r="I13684" s="13" t="s">
        <v>26685</v>
      </c>
      <c r="J13684" s="14" t="str">
        <f>HYPERLINK("https://www.boe.es/gazeta/dias/1839/02/17/pdfs/GMD-1839-1555.pdf#page=2","Abrir facsímil")</f>
        <v>Abrir facsímil</v>
      </c>
      <c r="K13684" s="12" t="s">
        <v>65</v>
      </c>
    </row>
    <row r="13685" spans="1:11" ht="40.049999999999997" customHeight="1" x14ac:dyDescent="0.25">
      <c r="A13685" s="11" t="s">
        <v>26686</v>
      </c>
      <c r="B13685" s="11" t="s">
        <v>26686</v>
      </c>
      <c r="C13685" s="11" t="s">
        <v>59</v>
      </c>
      <c r="D13685" s="11" t="s">
        <v>60</v>
      </c>
      <c r="E13685" s="12" t="s">
        <v>94</v>
      </c>
      <c r="F13685" s="12" t="s">
        <v>95</v>
      </c>
      <c r="G13685" s="12" t="s">
        <v>46</v>
      </c>
      <c r="H13685" s="11" t="s">
        <v>63</v>
      </c>
      <c r="I13685" s="13" t="s">
        <v>26687</v>
      </c>
      <c r="J13685" s="14" t="str">
        <f>HYPERLINK("https://www.boe.es/gazeta/dias/1839/02/24/pdfs/GMD-1839-1562.pdf#page=3","Abrir facsímil")</f>
        <v>Abrir facsímil</v>
      </c>
      <c r="K13685" s="12" t="s">
        <v>65</v>
      </c>
    </row>
    <row r="13686" spans="1:11" ht="40.049999999999997" customHeight="1" x14ac:dyDescent="0.25">
      <c r="A13686" s="11" t="s">
        <v>26688</v>
      </c>
      <c r="B13686" s="11" t="s">
        <v>26689</v>
      </c>
      <c r="C13686" s="11" t="s">
        <v>17</v>
      </c>
      <c r="D13686" s="11" t="s">
        <v>18</v>
      </c>
      <c r="E13686" s="12" t="s">
        <v>1008</v>
      </c>
      <c r="F13686" s="12" t="s">
        <v>1009</v>
      </c>
      <c r="G13686" s="12" t="s">
        <v>46</v>
      </c>
      <c r="H13686" s="11" t="s">
        <v>22</v>
      </c>
      <c r="I13686" s="13" t="s">
        <v>26690</v>
      </c>
      <c r="J13686" s="14" t="str">
        <f>HYPERLINK("https://www.boe.es/gazeta/dias/1839/09/07/pdfs/GMD-1839-1760.pdf#page=3","Abrir facsímil")</f>
        <v>Abrir facsímil</v>
      </c>
      <c r="K13686" s="12" t="s">
        <v>24</v>
      </c>
    </row>
    <row r="13687" spans="1:11" ht="40.049999999999997" customHeight="1" x14ac:dyDescent="0.25">
      <c r="A13687" s="11" t="s">
        <v>26691</v>
      </c>
      <c r="B13687" s="11" t="s">
        <v>26692</v>
      </c>
      <c r="C13687" s="11" t="s">
        <v>101</v>
      </c>
      <c r="D13687" s="11" t="s">
        <v>102</v>
      </c>
      <c r="E13687" s="12" t="s">
        <v>1179</v>
      </c>
      <c r="F13687" s="12" t="s">
        <v>1180</v>
      </c>
      <c r="G13687" s="12" t="s">
        <v>566</v>
      </c>
      <c r="H13687" s="11" t="s">
        <v>22</v>
      </c>
      <c r="I13687" s="13" t="s">
        <v>26693</v>
      </c>
      <c r="J13687" s="14" t="str">
        <f>HYPERLINK("https://www.boe.es/gazeta/dias/1839/10/18/pdfs/GMD-1839-1804.pdf#page=5","Abrir facsímil")</f>
        <v>Abrir facsímil</v>
      </c>
      <c r="K13687" s="12" t="s">
        <v>24</v>
      </c>
    </row>
    <row r="13688" spans="1:11" ht="40.049999999999997" customHeight="1" x14ac:dyDescent="0.25">
      <c r="A13688" s="11" t="s">
        <v>26694</v>
      </c>
      <c r="B13688" s="11" t="s">
        <v>26694</v>
      </c>
      <c r="C13688" s="11" t="s">
        <v>17</v>
      </c>
      <c r="D13688" s="11" t="s">
        <v>18</v>
      </c>
      <c r="E13688" s="12" t="s">
        <v>2301</v>
      </c>
      <c r="F13688" s="12" t="s">
        <v>2302</v>
      </c>
      <c r="G13688" s="12" t="s">
        <v>40</v>
      </c>
      <c r="H13688" s="11" t="s">
        <v>63</v>
      </c>
      <c r="I13688" s="13" t="s">
        <v>26695</v>
      </c>
      <c r="J13688" s="14" t="str">
        <f>HYPERLINK("https://www.boe.es/gazeta/dias/1839/09/08/pdfs/GMD-1839-1761.pdf#page=2","Abrir facsímil")</f>
        <v>Abrir facsímil</v>
      </c>
      <c r="K13688" s="12" t="s">
        <v>65</v>
      </c>
    </row>
    <row r="13689" spans="1:11" ht="40.049999999999997" customHeight="1" x14ac:dyDescent="0.25">
      <c r="A13689" s="11" t="s">
        <v>26696</v>
      </c>
      <c r="B13689" s="11" t="s">
        <v>26696</v>
      </c>
      <c r="C13689" s="11" t="s">
        <v>17</v>
      </c>
      <c r="D13689" s="11" t="s">
        <v>18</v>
      </c>
      <c r="E13689" s="12" t="s">
        <v>1813</v>
      </c>
      <c r="F13689" s="12" t="s">
        <v>1814</v>
      </c>
      <c r="G13689" s="12" t="s">
        <v>21</v>
      </c>
      <c r="H13689" s="11" t="s">
        <v>63</v>
      </c>
      <c r="I13689" s="13" t="s">
        <v>26697</v>
      </c>
      <c r="J13689" s="14" t="str">
        <f>HYPERLINK("https://www.boe.es/gazeta/dias/1839/09/02/pdfs/GMD-1839-1754.pdf#page=4","Abrir facsímil")</f>
        <v>Abrir facsímil</v>
      </c>
      <c r="K13689" s="12" t="s">
        <v>65</v>
      </c>
    </row>
    <row r="13690" spans="1:11" ht="40.049999999999997" customHeight="1" x14ac:dyDescent="0.25">
      <c r="A13690" s="11" t="s">
        <v>26698</v>
      </c>
      <c r="B13690" s="11" t="s">
        <v>26699</v>
      </c>
      <c r="C13690" s="11" t="s">
        <v>80</v>
      </c>
      <c r="D13690" s="11" t="s">
        <v>18</v>
      </c>
      <c r="E13690" s="12" t="s">
        <v>1019</v>
      </c>
      <c r="F13690" s="12" t="s">
        <v>1020</v>
      </c>
      <c r="G13690" s="12" t="s">
        <v>21</v>
      </c>
      <c r="H13690" s="11" t="s">
        <v>63</v>
      </c>
      <c r="I13690" s="13" t="s">
        <v>26700</v>
      </c>
      <c r="J13690" s="14" t="str">
        <f>HYPERLINK("https://www.boe.es/gazeta/dias/1839/07/15/pdfs/GMD-1839-1703.pdf#page=4","Abrir facsímil")</f>
        <v>Abrir facsímil</v>
      </c>
      <c r="K13690" s="12" t="s">
        <v>65</v>
      </c>
    </row>
    <row r="13691" spans="1:11" ht="40.049999999999997" customHeight="1" x14ac:dyDescent="0.25">
      <c r="A13691" s="11" t="s">
        <v>26701</v>
      </c>
      <c r="B13691" s="11" t="s">
        <v>26702</v>
      </c>
      <c r="C13691" s="11" t="s">
        <v>80</v>
      </c>
      <c r="D13691" s="11" t="s">
        <v>18</v>
      </c>
      <c r="E13691" s="12" t="s">
        <v>1520</v>
      </c>
      <c r="F13691" s="12" t="s">
        <v>1521</v>
      </c>
      <c r="G13691" s="12" t="s">
        <v>21</v>
      </c>
      <c r="H13691" s="11" t="s">
        <v>63</v>
      </c>
      <c r="I13691" s="13" t="s">
        <v>26703</v>
      </c>
      <c r="J13691" s="14" t="str">
        <f>HYPERLINK("https://www.boe.es/gazeta/dias/1839/12/27/pdfs/GMD-1839-1874.pdf#page=4","Abrir facsímil")</f>
        <v>Abrir facsímil</v>
      </c>
      <c r="K13691" s="12" t="s">
        <v>65</v>
      </c>
    </row>
    <row r="13692" spans="1:11" ht="40.049999999999997" customHeight="1" x14ac:dyDescent="0.25">
      <c r="A13692" s="11" t="s">
        <v>26704</v>
      </c>
      <c r="B13692" s="11" t="s">
        <v>26705</v>
      </c>
      <c r="C13692" s="11" t="s">
        <v>101</v>
      </c>
      <c r="D13692" s="11" t="s">
        <v>43</v>
      </c>
      <c r="E13692" s="12" t="s">
        <v>561</v>
      </c>
      <c r="F13692" s="12" t="s">
        <v>562</v>
      </c>
      <c r="G13692" s="12" t="s">
        <v>46</v>
      </c>
      <c r="H13692" s="11" t="s">
        <v>63</v>
      </c>
      <c r="I13692" s="13" t="s">
        <v>26706</v>
      </c>
      <c r="J13692" s="14" t="str">
        <f>HYPERLINK("https://www.boe.es/gazeta/dias/1839/09/11/pdfs/GMD-1839-1764.pdf#page=3","Abrir facsímil")</f>
        <v>Abrir facsímil</v>
      </c>
      <c r="K13692" s="12" t="s">
        <v>65</v>
      </c>
    </row>
    <row r="13693" spans="1:11" ht="40.049999999999997" customHeight="1" x14ac:dyDescent="0.25">
      <c r="A13693" s="11" t="s">
        <v>26707</v>
      </c>
      <c r="B13693" s="11" t="s">
        <v>26708</v>
      </c>
      <c r="C13693" s="11" t="s">
        <v>59</v>
      </c>
      <c r="D13693" s="11" t="s">
        <v>60</v>
      </c>
      <c r="E13693" s="12" t="s">
        <v>668</v>
      </c>
      <c r="F13693" s="12" t="s">
        <v>669</v>
      </c>
      <c r="G13693" s="12" t="s">
        <v>21</v>
      </c>
      <c r="H13693" s="11" t="s">
        <v>63</v>
      </c>
      <c r="I13693" s="13" t="s">
        <v>26709</v>
      </c>
      <c r="J13693" s="14" t="str">
        <f>HYPERLINK("https://www.boe.es/gazeta/dias/1839/03/28/pdfs/GMD-1839-1594.pdf#page=4","Abrir facsímil")</f>
        <v>Abrir facsímil</v>
      </c>
      <c r="K13693" s="12" t="s">
        <v>65</v>
      </c>
    </row>
    <row r="13694" spans="1:11" ht="40.049999999999997" customHeight="1" x14ac:dyDescent="0.25">
      <c r="A13694" s="11" t="s">
        <v>26710</v>
      </c>
      <c r="B13694" s="11" t="s">
        <v>26711</v>
      </c>
      <c r="C13694" s="11" t="s">
        <v>17</v>
      </c>
      <c r="D13694" s="11" t="s">
        <v>18</v>
      </c>
      <c r="E13694" s="12" t="s">
        <v>68</v>
      </c>
      <c r="F13694" s="12" t="s">
        <v>69</v>
      </c>
      <c r="G13694" s="12" t="s">
        <v>40</v>
      </c>
      <c r="H13694" s="11" t="s">
        <v>63</v>
      </c>
      <c r="I13694" s="13" t="s">
        <v>26712</v>
      </c>
      <c r="J13694" s="14" t="str">
        <f>HYPERLINK("https://www.boe.es/gazeta/dias/1839/02/09/pdfs/GMD-1839-1547.pdf#page=2","Abrir facsímil")</f>
        <v>Abrir facsímil</v>
      </c>
      <c r="K13694" s="12" t="s">
        <v>65</v>
      </c>
    </row>
    <row r="13695" spans="1:11" ht="40.049999999999997" customHeight="1" x14ac:dyDescent="0.25">
      <c r="A13695" s="11" t="s">
        <v>26713</v>
      </c>
      <c r="B13695" s="11" t="s">
        <v>26714</v>
      </c>
      <c r="C13695" s="11" t="s">
        <v>17</v>
      </c>
      <c r="D13695" s="11" t="s">
        <v>18</v>
      </c>
      <c r="E13695" s="12" t="s">
        <v>912</v>
      </c>
      <c r="F13695" s="12" t="s">
        <v>913</v>
      </c>
      <c r="G13695" s="12" t="s">
        <v>46</v>
      </c>
      <c r="H13695" s="11" t="s">
        <v>63</v>
      </c>
      <c r="I13695" s="13" t="s">
        <v>26715</v>
      </c>
      <c r="J13695" s="14" t="str">
        <f>HYPERLINK("https://www.boe.es/gazeta/dias/1839/04/30/pdfs/GMD-1839-1627.pdf#page=3","Abrir facsímil")</f>
        <v>Abrir facsímil</v>
      </c>
      <c r="K13695" s="12" t="s">
        <v>65</v>
      </c>
    </row>
    <row r="13696" spans="1:11" ht="40.049999999999997" customHeight="1" x14ac:dyDescent="0.25">
      <c r="A13696" s="11" t="s">
        <v>26716</v>
      </c>
      <c r="B13696" s="11" t="s">
        <v>26717</v>
      </c>
      <c r="C13696" s="11" t="s">
        <v>17</v>
      </c>
      <c r="D13696" s="11" t="s">
        <v>18</v>
      </c>
      <c r="E13696" s="12" t="s">
        <v>49</v>
      </c>
      <c r="F13696" s="12" t="s">
        <v>50</v>
      </c>
      <c r="G13696" s="12" t="s">
        <v>29</v>
      </c>
      <c r="H13696" s="11" t="s">
        <v>63</v>
      </c>
      <c r="I13696" s="13" t="s">
        <v>26718</v>
      </c>
      <c r="J13696" s="14" t="str">
        <f>HYPERLINK("https://www.boe.es/gazeta/dias/1839/01/05/pdfs/GMD-1839-1512.pdf#page=1","Abrir facsímil")</f>
        <v>Abrir facsímil</v>
      </c>
      <c r="K13696" s="12" t="s">
        <v>65</v>
      </c>
    </row>
    <row r="13697" spans="1:11" ht="40.049999999999997" customHeight="1" x14ac:dyDescent="0.25">
      <c r="A13697" s="11" t="s">
        <v>26719</v>
      </c>
      <c r="B13697" s="11" t="s">
        <v>26720</v>
      </c>
      <c r="C13697" s="11" t="s">
        <v>59</v>
      </c>
      <c r="D13697" s="11" t="s">
        <v>60</v>
      </c>
      <c r="E13697" s="12" t="s">
        <v>571</v>
      </c>
      <c r="F13697" s="12" t="s">
        <v>572</v>
      </c>
      <c r="G13697" s="12" t="s">
        <v>40</v>
      </c>
      <c r="H13697" s="11" t="s">
        <v>63</v>
      </c>
      <c r="I13697" s="13" t="s">
        <v>26721</v>
      </c>
      <c r="J13697" s="14" t="str">
        <f>HYPERLINK("https://www.boe.es/gazeta/dias/1839/09/27/pdfs/GMD-1839-1783.pdf#page=2","Abrir facsímil")</f>
        <v>Abrir facsímil</v>
      </c>
      <c r="K13697" s="12" t="s">
        <v>65</v>
      </c>
    </row>
    <row r="13698" spans="1:11" ht="40.049999999999997" customHeight="1" x14ac:dyDescent="0.25">
      <c r="A13698" s="11" t="s">
        <v>26722</v>
      </c>
      <c r="B13698" s="11" t="s">
        <v>26723</v>
      </c>
      <c r="C13698" s="11" t="s">
        <v>137</v>
      </c>
      <c r="D13698" s="11" t="s">
        <v>18</v>
      </c>
      <c r="E13698" s="12" t="s">
        <v>2069</v>
      </c>
      <c r="F13698" s="12" t="s">
        <v>2070</v>
      </c>
      <c r="G13698" s="12" t="s">
        <v>305</v>
      </c>
      <c r="H13698" s="11" t="s">
        <v>63</v>
      </c>
      <c r="I13698" s="13" t="s">
        <v>26724</v>
      </c>
      <c r="J13698" s="14" t="str">
        <f>HYPERLINK("https://www.boe.es/gazeta/dias/1839/10/20/pdfs/GMD-1839-1806.pdf#page=6","Abrir facsímil")</f>
        <v>Abrir facsímil</v>
      </c>
      <c r="K13698" s="12" t="s">
        <v>65</v>
      </c>
    </row>
    <row r="13699" spans="1:11" ht="40.049999999999997" customHeight="1" x14ac:dyDescent="0.25">
      <c r="A13699" s="11" t="s">
        <v>26725</v>
      </c>
      <c r="B13699" s="11" t="s">
        <v>26726</v>
      </c>
      <c r="C13699" s="11" t="s">
        <v>101</v>
      </c>
      <c r="D13699" s="11" t="s">
        <v>43</v>
      </c>
      <c r="E13699" s="12" t="s">
        <v>68</v>
      </c>
      <c r="F13699" s="12" t="s">
        <v>69</v>
      </c>
      <c r="G13699" s="12" t="s">
        <v>46</v>
      </c>
      <c r="H13699" s="11" t="s">
        <v>63</v>
      </c>
      <c r="I13699" s="13" t="s">
        <v>26727</v>
      </c>
      <c r="J13699" s="14" t="str">
        <f>HYPERLINK("https://www.boe.es/gazeta/dias/1839/02/09/pdfs/GMD-1839-1547.pdf#page=3","Abrir facsímil")</f>
        <v>Abrir facsímil</v>
      </c>
      <c r="K13699" s="12" t="s">
        <v>65</v>
      </c>
    </row>
    <row r="13700" spans="1:11" ht="40.049999999999997" customHeight="1" x14ac:dyDescent="0.25">
      <c r="A13700" s="11" t="s">
        <v>26728</v>
      </c>
      <c r="B13700" s="11" t="s">
        <v>26729</v>
      </c>
      <c r="C13700" s="11" t="s">
        <v>80</v>
      </c>
      <c r="D13700" s="11" t="s">
        <v>18</v>
      </c>
      <c r="E13700" s="12" t="s">
        <v>2301</v>
      </c>
      <c r="F13700" s="12" t="s">
        <v>2302</v>
      </c>
      <c r="G13700" s="12" t="s">
        <v>21</v>
      </c>
      <c r="H13700" s="11" t="s">
        <v>63</v>
      </c>
      <c r="I13700" s="13" t="s">
        <v>26730</v>
      </c>
      <c r="J13700" s="14" t="str">
        <f>HYPERLINK("https://www.boe.es/gazeta/dias/1839/09/08/pdfs/GMD-1839-1761.pdf#page=4","Abrir facsímil")</f>
        <v>Abrir facsímil</v>
      </c>
      <c r="K13700" s="12" t="s">
        <v>65</v>
      </c>
    </row>
    <row r="13701" spans="1:11" ht="40.049999999999997" customHeight="1" x14ac:dyDescent="0.25">
      <c r="A13701" s="11" t="s">
        <v>26731</v>
      </c>
      <c r="B13701" s="11" t="s">
        <v>26732</v>
      </c>
      <c r="C13701" s="11" t="s">
        <v>17</v>
      </c>
      <c r="D13701" s="11" t="s">
        <v>18</v>
      </c>
      <c r="E13701" s="12" t="s">
        <v>1144</v>
      </c>
      <c r="F13701" s="12" t="s">
        <v>1145</v>
      </c>
      <c r="G13701" s="12" t="s">
        <v>40</v>
      </c>
      <c r="H13701" s="11" t="s">
        <v>63</v>
      </c>
      <c r="I13701" s="13" t="s">
        <v>26733</v>
      </c>
      <c r="J13701" s="14" t="str">
        <f>HYPERLINK("https://www.boe.es/gazeta/dias/1839/08/13/pdfs/GMD-1839-1733.pdf#page=2","Abrir facsímil")</f>
        <v>Abrir facsímil</v>
      </c>
      <c r="K13701" s="12" t="s">
        <v>65</v>
      </c>
    </row>
    <row r="13702" spans="1:11" ht="40.049999999999997" customHeight="1" x14ac:dyDescent="0.25">
      <c r="A13702" s="11" t="s">
        <v>26734</v>
      </c>
      <c r="B13702" s="11" t="s">
        <v>26735</v>
      </c>
      <c r="C13702" s="11" t="s">
        <v>17</v>
      </c>
      <c r="D13702" s="11" t="s">
        <v>18</v>
      </c>
      <c r="E13702" s="12" t="s">
        <v>1139</v>
      </c>
      <c r="F13702" s="12" t="s">
        <v>1140</v>
      </c>
      <c r="G13702" s="12" t="s">
        <v>29</v>
      </c>
      <c r="H13702" s="11" t="s">
        <v>63</v>
      </c>
      <c r="I13702" s="13" t="s">
        <v>26736</v>
      </c>
      <c r="J13702" s="14" t="str">
        <f>HYPERLINK("https://www.boe.es/gazeta/dias/1839/02/15/pdfs/GMD-1839-1553.pdf#page=1","Abrir facsímil")</f>
        <v>Abrir facsímil</v>
      </c>
      <c r="K13702" s="12" t="s">
        <v>65</v>
      </c>
    </row>
    <row r="13703" spans="1:11" ht="40.049999999999997" customHeight="1" x14ac:dyDescent="0.25">
      <c r="A13703" s="11" t="s">
        <v>26737</v>
      </c>
      <c r="B13703" s="11" t="s">
        <v>26738</v>
      </c>
      <c r="C13703" s="11" t="s">
        <v>80</v>
      </c>
      <c r="D13703" s="11" t="s">
        <v>18</v>
      </c>
      <c r="E13703" s="12" t="s">
        <v>469</v>
      </c>
      <c r="F13703" s="12" t="s">
        <v>470</v>
      </c>
      <c r="G13703" s="12" t="s">
        <v>21</v>
      </c>
      <c r="H13703" s="11" t="s">
        <v>63</v>
      </c>
      <c r="I13703" s="13" t="s">
        <v>26739</v>
      </c>
      <c r="J13703" s="14" t="str">
        <f>HYPERLINK("https://www.boe.es/gazeta/dias/1839/08/20/pdfs/GMD-1839-1741.pdf#page=4","Abrir facsímil")</f>
        <v>Abrir facsímil</v>
      </c>
      <c r="K13703" s="12" t="s">
        <v>65</v>
      </c>
    </row>
    <row r="13704" spans="1:11" ht="40.049999999999997" customHeight="1" x14ac:dyDescent="0.25">
      <c r="A13704" s="11" t="s">
        <v>26740</v>
      </c>
      <c r="B13704" s="11" t="s">
        <v>26741</v>
      </c>
      <c r="C13704" s="11" t="s">
        <v>17</v>
      </c>
      <c r="D13704" s="11" t="s">
        <v>18</v>
      </c>
      <c r="E13704" s="12" t="s">
        <v>236</v>
      </c>
      <c r="F13704" s="12" t="s">
        <v>237</v>
      </c>
      <c r="G13704" s="12" t="s">
        <v>21</v>
      </c>
      <c r="H13704" s="11" t="s">
        <v>22</v>
      </c>
      <c r="I13704" s="13" t="s">
        <v>26742</v>
      </c>
      <c r="J13704" s="14" t="str">
        <f>HYPERLINK("https://www.boe.es/gazeta/dias/1839/09/18/pdfs/GMD-1839-1771.pdf#page=4","Abrir facsímil")</f>
        <v>Abrir facsímil</v>
      </c>
      <c r="K13704" s="12" t="s">
        <v>24</v>
      </c>
    </row>
    <row r="13705" spans="1:11" ht="40.049999999999997" customHeight="1" x14ac:dyDescent="0.25">
      <c r="A13705" s="11" t="s">
        <v>26743</v>
      </c>
      <c r="B13705" s="11" t="s">
        <v>26744</v>
      </c>
      <c r="C13705" s="11" t="s">
        <v>17</v>
      </c>
      <c r="D13705" s="11" t="s">
        <v>18</v>
      </c>
      <c r="E13705" s="12" t="s">
        <v>736</v>
      </c>
      <c r="F13705" s="12" t="s">
        <v>737</v>
      </c>
      <c r="G13705" s="12" t="s">
        <v>21</v>
      </c>
      <c r="H13705" s="11" t="s">
        <v>63</v>
      </c>
      <c r="I13705" s="13" t="s">
        <v>26745</v>
      </c>
      <c r="J13705" s="14" t="str">
        <f>HYPERLINK("https://www.boe.es/gazeta/dias/1839/10/13/pdfs/GMD-1839-1799.pdf#page=4","Abrir facsímil")</f>
        <v>Abrir facsímil</v>
      </c>
      <c r="K13705" s="12" t="s">
        <v>65</v>
      </c>
    </row>
    <row r="13706" spans="1:11" ht="40.049999999999997" customHeight="1" x14ac:dyDescent="0.25">
      <c r="A13706" s="11" t="s">
        <v>26746</v>
      </c>
      <c r="B13706" s="11" t="s">
        <v>26747</v>
      </c>
      <c r="C13706" s="11" t="s">
        <v>17</v>
      </c>
      <c r="D13706" s="11" t="s">
        <v>18</v>
      </c>
      <c r="E13706" s="12" t="s">
        <v>226</v>
      </c>
      <c r="F13706" s="12" t="s">
        <v>227</v>
      </c>
      <c r="G13706" s="12" t="s">
        <v>21</v>
      </c>
      <c r="H13706" s="11" t="s">
        <v>63</v>
      </c>
      <c r="I13706" s="13" t="s">
        <v>26748</v>
      </c>
      <c r="J13706" s="14" t="str">
        <f>HYPERLINK("https://www.boe.es/gazeta/dias/1839/06/09/pdfs/GMD-1839-1667.pdf#page=4","Abrir facsímil")</f>
        <v>Abrir facsímil</v>
      </c>
      <c r="K13706" s="12" t="s">
        <v>65</v>
      </c>
    </row>
    <row r="13707" spans="1:11" ht="40.049999999999997" customHeight="1" x14ac:dyDescent="0.25">
      <c r="A13707" s="11" t="s">
        <v>26749</v>
      </c>
      <c r="B13707" s="11" t="s">
        <v>26750</v>
      </c>
      <c r="C13707" s="11" t="s">
        <v>17</v>
      </c>
      <c r="D13707" s="11" t="s">
        <v>18</v>
      </c>
      <c r="E13707" s="12" t="s">
        <v>1867</v>
      </c>
      <c r="F13707" s="12" t="s">
        <v>1868</v>
      </c>
      <c r="G13707" s="12" t="s">
        <v>40</v>
      </c>
      <c r="H13707" s="11" t="s">
        <v>63</v>
      </c>
      <c r="I13707" s="13" t="s">
        <v>26751</v>
      </c>
      <c r="J13707" s="14" t="str">
        <f>HYPERLINK("https://www.boe.es/gazeta/dias/1839/01/30/pdfs/GMD-1839-1537.pdf#page=2","Abrir facsímil")</f>
        <v>Abrir facsímil</v>
      </c>
      <c r="K13707" s="12" t="s">
        <v>65</v>
      </c>
    </row>
    <row r="13708" spans="1:11" ht="40.049999999999997" customHeight="1" x14ac:dyDescent="0.25">
      <c r="A13708" s="11" t="s">
        <v>26752</v>
      </c>
      <c r="B13708" s="11" t="s">
        <v>26753</v>
      </c>
      <c r="C13708" s="11" t="s">
        <v>17</v>
      </c>
      <c r="D13708" s="11" t="s">
        <v>18</v>
      </c>
      <c r="E13708" s="12" t="s">
        <v>998</v>
      </c>
      <c r="F13708" s="12" t="s">
        <v>999</v>
      </c>
      <c r="G13708" s="12" t="s">
        <v>21</v>
      </c>
      <c r="H13708" s="11" t="s">
        <v>63</v>
      </c>
      <c r="I13708" s="13" t="s">
        <v>26754</v>
      </c>
      <c r="J13708" s="14" t="str">
        <f>HYPERLINK("https://www.boe.es/gazeta/dias/1839/05/06/pdfs/GMD-1839-1633.pdf#page=4","Abrir facsímil")</f>
        <v>Abrir facsímil</v>
      </c>
      <c r="K13708" s="12" t="s">
        <v>65</v>
      </c>
    </row>
    <row r="13709" spans="1:11" ht="40.049999999999997" customHeight="1" x14ac:dyDescent="0.25">
      <c r="A13709" s="11" t="s">
        <v>26755</v>
      </c>
      <c r="B13709" s="11" t="s">
        <v>26756</v>
      </c>
      <c r="C13709" s="11" t="s">
        <v>80</v>
      </c>
      <c r="D13709" s="11" t="s">
        <v>18</v>
      </c>
      <c r="E13709" s="12" t="s">
        <v>163</v>
      </c>
      <c r="F13709" s="12" t="s">
        <v>164</v>
      </c>
      <c r="G13709" s="12" t="s">
        <v>21</v>
      </c>
      <c r="H13709" s="11" t="s">
        <v>63</v>
      </c>
      <c r="I13709" s="13" t="s">
        <v>26757</v>
      </c>
      <c r="J13709" s="14" t="str">
        <f>HYPERLINK("https://www.boe.es/gazeta/dias/1839/01/13/pdfs/GMD-1839-1520.pdf#page=4","Abrir facsímil")</f>
        <v>Abrir facsímil</v>
      </c>
      <c r="K13709" s="12" t="s">
        <v>65</v>
      </c>
    </row>
    <row r="13710" spans="1:11" ht="40.049999999999997" customHeight="1" x14ac:dyDescent="0.25">
      <c r="A13710" s="11" t="s">
        <v>26758</v>
      </c>
      <c r="B13710" s="11" t="s">
        <v>26759</v>
      </c>
      <c r="C13710" s="11" t="s">
        <v>17</v>
      </c>
      <c r="D13710" s="11" t="s">
        <v>18</v>
      </c>
      <c r="E13710" s="12" t="s">
        <v>1467</v>
      </c>
      <c r="F13710" s="12" t="s">
        <v>1468</v>
      </c>
      <c r="G13710" s="12" t="s">
        <v>46</v>
      </c>
      <c r="H13710" s="11" t="s">
        <v>63</v>
      </c>
      <c r="I13710" s="13" t="s">
        <v>26760</v>
      </c>
      <c r="J13710" s="14" t="str">
        <f>HYPERLINK("https://www.boe.es/gazeta/dias/1839/03/05/pdfs/GMD-1839-1571.pdf#page=3","Abrir facsímil")</f>
        <v>Abrir facsímil</v>
      </c>
      <c r="K13710" s="12" t="s">
        <v>65</v>
      </c>
    </row>
    <row r="13711" spans="1:11" ht="40.049999999999997" customHeight="1" x14ac:dyDescent="0.25">
      <c r="A13711" s="11" t="s">
        <v>26761</v>
      </c>
      <c r="B13711" s="11" t="s">
        <v>26762</v>
      </c>
      <c r="C13711" s="11" t="s">
        <v>17</v>
      </c>
      <c r="D13711" s="11" t="s">
        <v>18</v>
      </c>
      <c r="E13711" s="12" t="s">
        <v>1159</v>
      </c>
      <c r="F13711" s="12" t="s">
        <v>1160</v>
      </c>
      <c r="G13711" s="12" t="s">
        <v>21</v>
      </c>
      <c r="H13711" s="11" t="s">
        <v>63</v>
      </c>
      <c r="I13711" s="13" t="s">
        <v>26763</v>
      </c>
      <c r="J13711" s="14" t="str">
        <f>HYPERLINK("https://www.boe.es/gazeta/dias/1839/11/26/pdfs/GMD-1839-1843.pdf#page=4","Abrir facsímil")</f>
        <v>Abrir facsímil</v>
      </c>
      <c r="K13711" s="12" t="s">
        <v>65</v>
      </c>
    </row>
    <row r="13712" spans="1:11" ht="40.049999999999997" customHeight="1" x14ac:dyDescent="0.25">
      <c r="A13712" s="11" t="s">
        <v>26764</v>
      </c>
      <c r="B13712" s="11" t="s">
        <v>26765</v>
      </c>
      <c r="C13712" s="11" t="s">
        <v>59</v>
      </c>
      <c r="D13712" s="11" t="s">
        <v>60</v>
      </c>
      <c r="E13712" s="12" t="s">
        <v>1366</v>
      </c>
      <c r="F13712" s="12" t="s">
        <v>1367</v>
      </c>
      <c r="G13712" s="12" t="s">
        <v>46</v>
      </c>
      <c r="H13712" s="11" t="s">
        <v>63</v>
      </c>
      <c r="I13712" s="13" t="s">
        <v>26766</v>
      </c>
      <c r="J13712" s="14" t="str">
        <f>HYPERLINK("https://www.boe.es/gazeta/dias/1839/09/09/pdfs/GMD-1839-1762.pdf#page=3","Abrir facsímil")</f>
        <v>Abrir facsímil</v>
      </c>
      <c r="K13712" s="12" t="s">
        <v>65</v>
      </c>
    </row>
    <row r="13713" spans="1:11" ht="40.049999999999997" customHeight="1" x14ac:dyDescent="0.25">
      <c r="A13713" s="11" t="s">
        <v>26767</v>
      </c>
      <c r="B13713" s="11" t="s">
        <v>26768</v>
      </c>
      <c r="C13713" s="11" t="s">
        <v>137</v>
      </c>
      <c r="D13713" s="11" t="s">
        <v>18</v>
      </c>
      <c r="E13713" s="12" t="s">
        <v>2522</v>
      </c>
      <c r="F13713" s="12" t="s">
        <v>2523</v>
      </c>
      <c r="G13713" s="12" t="s">
        <v>29</v>
      </c>
      <c r="H13713" s="11" t="s">
        <v>63</v>
      </c>
      <c r="I13713" s="13" t="s">
        <v>26769</v>
      </c>
      <c r="J13713" s="14" t="str">
        <f>HYPERLINK("https://www.boe.es/gazeta/dias/1839/12/29/pdfs/GMD-1839-1876.pdf#page=1","Abrir facsímil")</f>
        <v>Abrir facsímil</v>
      </c>
      <c r="K13713" s="12" t="s">
        <v>65</v>
      </c>
    </row>
    <row r="13714" spans="1:11" ht="40.049999999999997" customHeight="1" x14ac:dyDescent="0.25">
      <c r="A13714" s="11" t="s">
        <v>26770</v>
      </c>
      <c r="B13714" s="11" t="s">
        <v>26771</v>
      </c>
      <c r="C13714" s="11" t="s">
        <v>80</v>
      </c>
      <c r="D13714" s="11" t="s">
        <v>18</v>
      </c>
      <c r="E13714" s="12" t="s">
        <v>834</v>
      </c>
      <c r="F13714" s="12" t="s">
        <v>835</v>
      </c>
      <c r="G13714" s="12" t="s">
        <v>21</v>
      </c>
      <c r="H13714" s="11" t="s">
        <v>63</v>
      </c>
      <c r="I13714" s="13" t="s">
        <v>26772</v>
      </c>
      <c r="J13714" s="14" t="str">
        <f>HYPERLINK("https://www.boe.es/gazeta/dias/1839/08/17/pdfs/GMD-1839-1737.pdf#page=4","Abrir facsímil")</f>
        <v>Abrir facsímil</v>
      </c>
      <c r="K13714" s="12" t="s">
        <v>65</v>
      </c>
    </row>
    <row r="13715" spans="1:11" ht="40.049999999999997" customHeight="1" x14ac:dyDescent="0.25">
      <c r="A13715" s="11" t="s">
        <v>26773</v>
      </c>
      <c r="B13715" s="11" t="s">
        <v>26774</v>
      </c>
      <c r="C13715" s="11" t="s">
        <v>80</v>
      </c>
      <c r="D13715" s="11" t="s">
        <v>18</v>
      </c>
      <c r="E13715" s="12" t="s">
        <v>2415</v>
      </c>
      <c r="F13715" s="12" t="s">
        <v>2416</v>
      </c>
      <c r="G13715" s="12" t="s">
        <v>21</v>
      </c>
      <c r="H13715" s="11" t="s">
        <v>63</v>
      </c>
      <c r="I13715" s="13" t="s">
        <v>26775</v>
      </c>
      <c r="J13715" s="14" t="str">
        <f>HYPERLINK("https://www.boe.es/gazeta/dias/1839/12/22/pdfs/GMD-1839-1869.pdf#page=4","Abrir facsímil")</f>
        <v>Abrir facsímil</v>
      </c>
      <c r="K13715" s="12" t="s">
        <v>65</v>
      </c>
    </row>
    <row r="13716" spans="1:11" ht="40.049999999999997" customHeight="1" x14ac:dyDescent="0.25">
      <c r="A13716" s="11" t="s">
        <v>26773</v>
      </c>
      <c r="B13716" s="11" t="s">
        <v>26774</v>
      </c>
      <c r="C13716" s="11" t="s">
        <v>80</v>
      </c>
      <c r="D13716" s="11" t="s">
        <v>18</v>
      </c>
      <c r="E13716" s="12" t="s">
        <v>892</v>
      </c>
      <c r="F13716" s="12" t="s">
        <v>893</v>
      </c>
      <c r="G13716" s="12" t="s">
        <v>21</v>
      </c>
      <c r="H13716" s="11" t="s">
        <v>63</v>
      </c>
      <c r="I13716" s="13" t="s">
        <v>26776</v>
      </c>
      <c r="J13716" s="14" t="str">
        <f>HYPERLINK("https://www.boe.es/gazeta/dias/1839/12/28/pdfs/GMD-1839-1875.pdf#page=4","Abrir facsímil")</f>
        <v>Abrir facsímil</v>
      </c>
      <c r="K13716" s="12" t="s">
        <v>65</v>
      </c>
    </row>
    <row r="13717" spans="1:11" ht="40.049999999999997" customHeight="1" x14ac:dyDescent="0.25">
      <c r="A13717" s="11" t="s">
        <v>26773</v>
      </c>
      <c r="B13717" s="11" t="s">
        <v>26774</v>
      </c>
      <c r="C13717" s="11" t="s">
        <v>80</v>
      </c>
      <c r="D13717" s="11" t="s">
        <v>18</v>
      </c>
      <c r="E13717" s="12" t="s">
        <v>2522</v>
      </c>
      <c r="F13717" s="12" t="s">
        <v>2523</v>
      </c>
      <c r="G13717" s="12" t="s">
        <v>21</v>
      </c>
      <c r="H13717" s="11" t="s">
        <v>63</v>
      </c>
      <c r="I13717" s="13" t="s">
        <v>26777</v>
      </c>
      <c r="J13717" s="14" t="str">
        <f>HYPERLINK("https://www.boe.es/gazeta/dias/1839/12/29/pdfs/GMD-1839-1876.pdf#page=4","Abrir facsímil")</f>
        <v>Abrir facsímil</v>
      </c>
      <c r="K13717" s="12" t="s">
        <v>65</v>
      </c>
    </row>
    <row r="13718" spans="1:11" ht="40.049999999999997" customHeight="1" x14ac:dyDescent="0.25">
      <c r="A13718" s="11" t="s">
        <v>26773</v>
      </c>
      <c r="B13718" s="11" t="s">
        <v>26774</v>
      </c>
      <c r="C13718" s="11" t="s">
        <v>80</v>
      </c>
      <c r="D13718" s="11" t="s">
        <v>18</v>
      </c>
      <c r="E13718" s="12" t="s">
        <v>951</v>
      </c>
      <c r="F13718" s="12" t="s">
        <v>952</v>
      </c>
      <c r="G13718" s="12" t="s">
        <v>21</v>
      </c>
      <c r="H13718" s="11" t="s">
        <v>63</v>
      </c>
      <c r="I13718" s="13" t="s">
        <v>26778</v>
      </c>
      <c r="J13718" s="14" t="str">
        <f>HYPERLINK("https://www.boe.es/gazeta/dias/1839/12/30/pdfs/GMD-1839-1877.pdf#page=4","Abrir facsímil")</f>
        <v>Abrir facsímil</v>
      </c>
      <c r="K13718" s="12" t="s">
        <v>65</v>
      </c>
    </row>
    <row r="13719" spans="1:11" ht="40.049999999999997" customHeight="1" x14ac:dyDescent="0.25">
      <c r="A13719" s="11" t="s">
        <v>26773</v>
      </c>
      <c r="B13719" s="11" t="s">
        <v>26774</v>
      </c>
      <c r="C13719" s="11" t="s">
        <v>80</v>
      </c>
      <c r="D13719" s="11" t="s">
        <v>18</v>
      </c>
      <c r="E13719" s="12" t="s">
        <v>3391</v>
      </c>
      <c r="F13719" s="12" t="s">
        <v>3392</v>
      </c>
      <c r="G13719" s="12" t="s">
        <v>21</v>
      </c>
      <c r="H13719" s="11" t="s">
        <v>63</v>
      </c>
      <c r="I13719" s="13" t="s">
        <v>26779</v>
      </c>
      <c r="J13719" s="14" t="str">
        <f>HYPERLINK("https://www.boe.es/gazeta/dias/1839/12/31/pdfs/GMD-1839-1878.pdf#page=4","Abrir facsímil")</f>
        <v>Abrir facsímil</v>
      </c>
      <c r="K13719" s="12" t="s">
        <v>65</v>
      </c>
    </row>
    <row r="13720" spans="1:11" ht="40.049999999999997" customHeight="1" x14ac:dyDescent="0.25">
      <c r="A13720" s="11" t="s">
        <v>26780</v>
      </c>
      <c r="B13720" s="11" t="s">
        <v>26781</v>
      </c>
      <c r="C13720" s="11" t="s">
        <v>80</v>
      </c>
      <c r="D13720" s="11" t="s">
        <v>18</v>
      </c>
      <c r="E13720" s="12" t="s">
        <v>844</v>
      </c>
      <c r="F13720" s="12" t="s">
        <v>845</v>
      </c>
      <c r="G13720" s="12" t="s">
        <v>21</v>
      </c>
      <c r="H13720" s="11" t="s">
        <v>63</v>
      </c>
      <c r="I13720" s="13" t="s">
        <v>26782</v>
      </c>
      <c r="J13720" s="14" t="str">
        <f>HYPERLINK("https://www.boe.es/gazeta/dias/1839/12/24/pdfs/GMD-1839-1871.pdf#page=4","Abrir facsímil")</f>
        <v>Abrir facsímil</v>
      </c>
      <c r="K13720" s="12" t="s">
        <v>65</v>
      </c>
    </row>
    <row r="13721" spans="1:11" ht="40.049999999999997" customHeight="1" x14ac:dyDescent="0.25">
      <c r="A13721" s="11" t="s">
        <v>26783</v>
      </c>
      <c r="B13721" s="11" t="s">
        <v>26784</v>
      </c>
      <c r="C13721" s="11" t="s">
        <v>80</v>
      </c>
      <c r="D13721" s="11" t="s">
        <v>18</v>
      </c>
      <c r="E13721" s="12" t="s">
        <v>1433</v>
      </c>
      <c r="F13721" s="12" t="s">
        <v>1434</v>
      </c>
      <c r="G13721" s="12" t="s">
        <v>21</v>
      </c>
      <c r="H13721" s="11" t="s">
        <v>63</v>
      </c>
      <c r="I13721" s="13" t="s">
        <v>26785</v>
      </c>
      <c r="J13721" s="14" t="str">
        <f>HYPERLINK("https://www.boe.es/gazeta/dias/1839/10/22/pdfs/GMD-1839-1808.pdf#page=4","Abrir facsímil")</f>
        <v>Abrir facsímil</v>
      </c>
      <c r="K13721" s="12" t="s">
        <v>65</v>
      </c>
    </row>
    <row r="13722" spans="1:11" ht="40.049999999999997" customHeight="1" x14ac:dyDescent="0.25">
      <c r="A13722" s="11" t="s">
        <v>26786</v>
      </c>
      <c r="B13722" s="11" t="s">
        <v>26787</v>
      </c>
      <c r="C13722" s="11" t="s">
        <v>17</v>
      </c>
      <c r="D13722" s="11" t="s">
        <v>18</v>
      </c>
      <c r="E13722" s="12" t="s">
        <v>544</v>
      </c>
      <c r="F13722" s="12" t="s">
        <v>545</v>
      </c>
      <c r="G13722" s="12" t="s">
        <v>46</v>
      </c>
      <c r="H13722" s="11" t="s">
        <v>22</v>
      </c>
      <c r="I13722" s="13" t="s">
        <v>26788</v>
      </c>
      <c r="J13722" s="14" t="str">
        <f>HYPERLINK("https://www.boe.es/gazeta/dias/1839/11/11/pdfs/GMD-1839-1828.pdf#page=3","Abrir facsímil")</f>
        <v>Abrir facsímil</v>
      </c>
      <c r="K13722" s="12" t="s">
        <v>24</v>
      </c>
    </row>
    <row r="13723" spans="1:11" ht="40.049999999999997" customHeight="1" x14ac:dyDescent="0.25">
      <c r="A13723" s="11" t="s">
        <v>26789</v>
      </c>
      <c r="B13723" s="11" t="s">
        <v>26790</v>
      </c>
      <c r="C13723" s="11" t="s">
        <v>17</v>
      </c>
      <c r="D13723" s="11" t="s">
        <v>18</v>
      </c>
      <c r="E13723" s="12" t="s">
        <v>426</v>
      </c>
      <c r="F13723" s="12" t="s">
        <v>427</v>
      </c>
      <c r="G13723" s="12" t="s">
        <v>21</v>
      </c>
      <c r="H13723" s="11" t="s">
        <v>63</v>
      </c>
      <c r="I13723" s="13" t="s">
        <v>26791</v>
      </c>
      <c r="J13723" s="14" t="str">
        <f>HYPERLINK("https://www.boe.es/gazeta/dias/1839/08/11/pdfs/GMD-1839-1731.pdf#page=4","Abrir facsímil")</f>
        <v>Abrir facsímil</v>
      </c>
      <c r="K13723" s="12" t="s">
        <v>65</v>
      </c>
    </row>
    <row r="13724" spans="1:11" ht="40.049999999999997" customHeight="1" x14ac:dyDescent="0.25">
      <c r="A13724" s="11" t="s">
        <v>26792</v>
      </c>
      <c r="B13724" s="11" t="s">
        <v>26793</v>
      </c>
      <c r="C13724" s="11" t="s">
        <v>80</v>
      </c>
      <c r="D13724" s="11" t="s">
        <v>18</v>
      </c>
      <c r="E13724" s="12" t="s">
        <v>243</v>
      </c>
      <c r="F13724" s="12" t="s">
        <v>244</v>
      </c>
      <c r="G13724" s="12" t="s">
        <v>21</v>
      </c>
      <c r="H13724" s="11" t="s">
        <v>63</v>
      </c>
      <c r="I13724" s="13" t="s">
        <v>26794</v>
      </c>
      <c r="J13724" s="14" t="str">
        <f>HYPERLINK("https://www.boe.es/gazeta/dias/1839/09/23/pdfs/GMD-1839-1779.pdf#page=4","Abrir facsímil")</f>
        <v>Abrir facsímil</v>
      </c>
      <c r="K13724" s="12" t="s">
        <v>65</v>
      </c>
    </row>
    <row r="13725" spans="1:11" ht="40.049999999999997" customHeight="1" x14ac:dyDescent="0.25">
      <c r="A13725" s="11" t="s">
        <v>26795</v>
      </c>
      <c r="B13725" s="11" t="s">
        <v>26796</v>
      </c>
      <c r="C13725" s="11" t="s">
        <v>17</v>
      </c>
      <c r="D13725" s="11" t="s">
        <v>18</v>
      </c>
      <c r="E13725" s="12" t="s">
        <v>163</v>
      </c>
      <c r="F13725" s="12" t="s">
        <v>164</v>
      </c>
      <c r="G13725" s="12" t="s">
        <v>29</v>
      </c>
      <c r="H13725" s="11" t="s">
        <v>63</v>
      </c>
      <c r="I13725" s="13" t="s">
        <v>26797</v>
      </c>
      <c r="J13725" s="14" t="str">
        <f>HYPERLINK("https://www.boe.es/gazeta/dias/1839/01/13/pdfs/GMD-1839-1520.pdf#page=1","Abrir facsímil")</f>
        <v>Abrir facsímil</v>
      </c>
      <c r="K13725" s="12" t="s">
        <v>65</v>
      </c>
    </row>
    <row r="13726" spans="1:11" ht="40.049999999999997" customHeight="1" x14ac:dyDescent="0.25">
      <c r="A13726" s="11" t="s">
        <v>26798</v>
      </c>
      <c r="B13726" s="11" t="s">
        <v>26799</v>
      </c>
      <c r="C13726" s="11" t="s">
        <v>101</v>
      </c>
      <c r="D13726" s="11" t="s">
        <v>43</v>
      </c>
      <c r="E13726" s="12" t="s">
        <v>561</v>
      </c>
      <c r="F13726" s="12" t="s">
        <v>562</v>
      </c>
      <c r="G13726" s="12" t="s">
        <v>40</v>
      </c>
      <c r="H13726" s="11" t="s">
        <v>63</v>
      </c>
      <c r="I13726" s="13" t="s">
        <v>26800</v>
      </c>
      <c r="J13726" s="14" t="str">
        <f>HYPERLINK("https://www.boe.es/gazeta/dias/1839/09/11/pdfs/GMD-1839-1764.pdf#page=2","Abrir facsímil")</f>
        <v>Abrir facsímil</v>
      </c>
      <c r="K13726" s="12" t="s">
        <v>65</v>
      </c>
    </row>
    <row r="13727" spans="1:11" ht="40.049999999999997" customHeight="1" x14ac:dyDescent="0.25">
      <c r="A13727" s="11" t="s">
        <v>26801</v>
      </c>
      <c r="B13727" s="11" t="s">
        <v>26802</v>
      </c>
      <c r="C13727" s="11" t="s">
        <v>17</v>
      </c>
      <c r="D13727" s="11" t="s">
        <v>18</v>
      </c>
      <c r="E13727" s="12" t="s">
        <v>295</v>
      </c>
      <c r="F13727" s="12" t="s">
        <v>296</v>
      </c>
      <c r="G13727" s="12" t="s">
        <v>40</v>
      </c>
      <c r="H13727" s="11" t="s">
        <v>63</v>
      </c>
      <c r="I13727" s="13" t="s">
        <v>26803</v>
      </c>
      <c r="J13727" s="14" t="str">
        <f>HYPERLINK("https://www.boe.es/gazeta/dias/1839/08/19/pdfs/GMD-1839-1740.pdf#page=2","Abrir facsímil")</f>
        <v>Abrir facsímil</v>
      </c>
      <c r="K13727" s="12" t="s">
        <v>65</v>
      </c>
    </row>
    <row r="13728" spans="1:11" ht="40.049999999999997" customHeight="1" x14ac:dyDescent="0.25">
      <c r="A13728" s="11" t="s">
        <v>26804</v>
      </c>
      <c r="B13728" s="11" t="s">
        <v>26805</v>
      </c>
      <c r="C13728" s="11" t="s">
        <v>101</v>
      </c>
      <c r="D13728" s="11" t="s">
        <v>43</v>
      </c>
      <c r="E13728" s="12" t="s">
        <v>433</v>
      </c>
      <c r="F13728" s="12" t="s">
        <v>434</v>
      </c>
      <c r="G13728" s="12" t="s">
        <v>46</v>
      </c>
      <c r="H13728" s="11" t="s">
        <v>63</v>
      </c>
      <c r="I13728" s="13" t="s">
        <v>26806</v>
      </c>
      <c r="J13728" s="14" t="str">
        <f>HYPERLINK("https://www.boe.es/gazeta/dias/1839/01/20/pdfs/GMD-1839-1527.pdf#page=3","Abrir facsímil")</f>
        <v>Abrir facsímil</v>
      </c>
      <c r="K13728" s="12" t="s">
        <v>65</v>
      </c>
    </row>
    <row r="13729" spans="1:11" ht="40.049999999999997" customHeight="1" x14ac:dyDescent="0.25">
      <c r="A13729" s="11" t="s">
        <v>26807</v>
      </c>
      <c r="B13729" s="11" t="s">
        <v>26808</v>
      </c>
      <c r="C13729" s="11" t="s">
        <v>59</v>
      </c>
      <c r="D13729" s="11" t="s">
        <v>60</v>
      </c>
      <c r="E13729" s="12" t="s">
        <v>2522</v>
      </c>
      <c r="F13729" s="12" t="s">
        <v>2523</v>
      </c>
      <c r="G13729" s="12" t="s">
        <v>40</v>
      </c>
      <c r="H13729" s="11" t="s">
        <v>63</v>
      </c>
      <c r="I13729" s="13" t="s">
        <v>26809</v>
      </c>
      <c r="J13729" s="14" t="str">
        <f>HYPERLINK("https://www.boe.es/gazeta/dias/1839/12/29/pdfs/GMD-1839-1876.pdf#page=2","Abrir facsímil")</f>
        <v>Abrir facsímil</v>
      </c>
      <c r="K13729" s="12" t="s">
        <v>65</v>
      </c>
    </row>
    <row r="13730" spans="1:11" ht="40.049999999999997" customHeight="1" x14ac:dyDescent="0.25">
      <c r="A13730" s="11" t="s">
        <v>26810</v>
      </c>
      <c r="B13730" s="11" t="s">
        <v>26811</v>
      </c>
      <c r="C13730" s="11" t="s">
        <v>17</v>
      </c>
      <c r="D13730" s="11" t="s">
        <v>18</v>
      </c>
      <c r="E13730" s="12" t="s">
        <v>782</v>
      </c>
      <c r="F13730" s="12" t="s">
        <v>783</v>
      </c>
      <c r="G13730" s="12" t="s">
        <v>29</v>
      </c>
      <c r="H13730" s="11" t="s">
        <v>63</v>
      </c>
      <c r="I13730" s="13" t="s">
        <v>26812</v>
      </c>
      <c r="J13730" s="14" t="str">
        <f>HYPERLINK("https://www.boe.es/gazeta/dias/1839/05/09/pdfs/GMD-1839-1636.pdf#page=1","Abrir facsímil")</f>
        <v>Abrir facsímil</v>
      </c>
      <c r="K13730" s="12" t="s">
        <v>65</v>
      </c>
    </row>
    <row r="13731" spans="1:11" ht="40.049999999999997" customHeight="1" x14ac:dyDescent="0.25">
      <c r="A13731" s="11" t="s">
        <v>26813</v>
      </c>
      <c r="B13731" s="11" t="s">
        <v>26814</v>
      </c>
      <c r="C13731" s="11" t="s">
        <v>17</v>
      </c>
      <c r="D13731" s="11" t="s">
        <v>18</v>
      </c>
      <c r="E13731" s="12" t="s">
        <v>1628</v>
      </c>
      <c r="F13731" s="12" t="s">
        <v>1629</v>
      </c>
      <c r="G13731" s="12" t="s">
        <v>40</v>
      </c>
      <c r="H13731" s="11" t="s">
        <v>63</v>
      </c>
      <c r="I13731" s="13" t="s">
        <v>26815</v>
      </c>
      <c r="J13731" s="14" t="str">
        <f>HYPERLINK("https://www.boe.es/gazeta/dias/1839/03/10/pdfs/GMD-1839-1576.pdf#page=2","Abrir facsímil")</f>
        <v>Abrir facsímil</v>
      </c>
      <c r="K13731" s="12" t="s">
        <v>65</v>
      </c>
    </row>
    <row r="13732" spans="1:11" ht="40.049999999999997" customHeight="1" x14ac:dyDescent="0.25">
      <c r="A13732" s="11" t="s">
        <v>26816</v>
      </c>
      <c r="B13732" s="11" t="s">
        <v>26817</v>
      </c>
      <c r="C13732" s="11" t="s">
        <v>80</v>
      </c>
      <c r="D13732" s="11" t="s">
        <v>18</v>
      </c>
      <c r="E13732" s="12" t="s">
        <v>2215</v>
      </c>
      <c r="F13732" s="12" t="s">
        <v>2216</v>
      </c>
      <c r="G13732" s="12" t="s">
        <v>21</v>
      </c>
      <c r="H13732" s="11" t="s">
        <v>63</v>
      </c>
      <c r="I13732" s="13" t="s">
        <v>26818</v>
      </c>
      <c r="J13732" s="14" t="str">
        <f>HYPERLINK("https://www.boe.es/gazeta/dias/1839/07/21/pdfs/GMD-1839-1709.pdf#page=4","Abrir facsímil")</f>
        <v>Abrir facsímil</v>
      </c>
      <c r="K13732" s="12" t="s">
        <v>65</v>
      </c>
    </row>
    <row r="13733" spans="1:11" ht="40.049999999999997" customHeight="1" x14ac:dyDescent="0.25">
      <c r="A13733" s="11" t="s">
        <v>26819</v>
      </c>
      <c r="B13733" s="11" t="s">
        <v>26820</v>
      </c>
      <c r="C13733" s="11" t="s">
        <v>17</v>
      </c>
      <c r="D13733" s="11" t="s">
        <v>18</v>
      </c>
      <c r="E13733" s="12" t="s">
        <v>19</v>
      </c>
      <c r="F13733" s="12" t="s">
        <v>20</v>
      </c>
      <c r="G13733" s="12" t="s">
        <v>40</v>
      </c>
      <c r="H13733" s="11" t="s">
        <v>63</v>
      </c>
      <c r="I13733" s="13" t="s">
        <v>26821</v>
      </c>
      <c r="J13733" s="14" t="str">
        <f>HYPERLINK("https://www.boe.es/gazeta/dias/1839/01/19/pdfs/GMD-1839-1526.pdf#page=2","Abrir facsímil")</f>
        <v>Abrir facsímil</v>
      </c>
      <c r="K13733" s="12" t="s">
        <v>65</v>
      </c>
    </row>
    <row r="13734" spans="1:11" ht="40.049999999999997" customHeight="1" x14ac:dyDescent="0.25">
      <c r="A13734" s="11" t="s">
        <v>26822</v>
      </c>
      <c r="B13734" s="11" t="s">
        <v>26823</v>
      </c>
      <c r="C13734" s="11" t="s">
        <v>101</v>
      </c>
      <c r="D13734" s="11" t="s">
        <v>43</v>
      </c>
      <c r="E13734" s="12" t="s">
        <v>1988</v>
      </c>
      <c r="F13734" s="12" t="s">
        <v>1989</v>
      </c>
      <c r="G13734" s="12" t="s">
        <v>46</v>
      </c>
      <c r="H13734" s="11" t="s">
        <v>63</v>
      </c>
      <c r="I13734" s="13" t="s">
        <v>26824</v>
      </c>
      <c r="J13734" s="14" t="str">
        <f>HYPERLINK("https://www.boe.es/gazeta/dias/1839/10/29/pdfs/GMD-1839-1815.pdf#page=3","Abrir facsímil")</f>
        <v>Abrir facsímil</v>
      </c>
      <c r="K13734" s="12" t="s">
        <v>65</v>
      </c>
    </row>
    <row r="13735" spans="1:11" ht="40.049999999999997" customHeight="1" x14ac:dyDescent="0.25">
      <c r="A13735" s="11" t="s">
        <v>26825</v>
      </c>
      <c r="B13735" s="11" t="s">
        <v>26826</v>
      </c>
      <c r="C13735" s="11" t="s">
        <v>137</v>
      </c>
      <c r="D13735" s="11" t="s">
        <v>18</v>
      </c>
      <c r="E13735" s="12" t="s">
        <v>2658</v>
      </c>
      <c r="F13735" s="12" t="s">
        <v>2659</v>
      </c>
      <c r="G13735" s="12" t="s">
        <v>40</v>
      </c>
      <c r="H13735" s="11" t="s">
        <v>22</v>
      </c>
      <c r="I13735" s="13" t="s">
        <v>26827</v>
      </c>
      <c r="J13735" s="14" t="str">
        <f>HYPERLINK("https://www.boe.es/gazeta/dias/1839/06/27/pdfs/GMD-1839-1685.pdf#page=2","Abrir facsímil")</f>
        <v>Abrir facsímil</v>
      </c>
      <c r="K13735" s="12" t="s">
        <v>24</v>
      </c>
    </row>
    <row r="13736" spans="1:11" ht="40.049999999999997" customHeight="1" x14ac:dyDescent="0.25">
      <c r="A13736" s="11" t="s">
        <v>26828</v>
      </c>
      <c r="B13736" s="11" t="s">
        <v>26828</v>
      </c>
      <c r="C13736" s="11" t="s">
        <v>17</v>
      </c>
      <c r="D13736" s="11" t="s">
        <v>18</v>
      </c>
      <c r="E13736" s="12" t="s">
        <v>1366</v>
      </c>
      <c r="F13736" s="12" t="s">
        <v>1367</v>
      </c>
      <c r="G13736" s="12" t="s">
        <v>21</v>
      </c>
      <c r="H13736" s="11" t="s">
        <v>63</v>
      </c>
      <c r="I13736" s="13" t="s">
        <v>26829</v>
      </c>
      <c r="J13736" s="14" t="str">
        <f>HYPERLINK("https://www.boe.es/gazeta/dias/1839/09/09/pdfs/GMD-1839-1762.pdf#page=4","Abrir facsímil")</f>
        <v>Abrir facsímil</v>
      </c>
      <c r="K13736" s="12" t="s">
        <v>65</v>
      </c>
    </row>
    <row r="13737" spans="1:11" ht="40.049999999999997" customHeight="1" x14ac:dyDescent="0.25">
      <c r="A13737" s="11" t="s">
        <v>26830</v>
      </c>
      <c r="B13737" s="11" t="s">
        <v>26830</v>
      </c>
      <c r="C13737" s="11" t="s">
        <v>101</v>
      </c>
      <c r="D13737" s="11" t="s">
        <v>43</v>
      </c>
      <c r="E13737" s="12" t="s">
        <v>1729</v>
      </c>
      <c r="F13737" s="12" t="s">
        <v>1730</v>
      </c>
      <c r="G13737" s="12" t="s">
        <v>40</v>
      </c>
      <c r="H13737" s="11" t="s">
        <v>63</v>
      </c>
      <c r="I13737" s="13" t="s">
        <v>26831</v>
      </c>
      <c r="J13737" s="14" t="str">
        <f>HYPERLINK("https://www.boe.es/gazeta/dias/1839/04/25/pdfs/GMD-1839-1622.pdf#page=2","Abrir facsímil")</f>
        <v>Abrir facsímil</v>
      </c>
      <c r="K13737" s="12" t="s">
        <v>65</v>
      </c>
    </row>
    <row r="13738" spans="1:11" ht="40.049999999999997" customHeight="1" x14ac:dyDescent="0.25">
      <c r="A13738" s="11" t="s">
        <v>26832</v>
      </c>
      <c r="B13738" s="11" t="s">
        <v>26832</v>
      </c>
      <c r="C13738" s="11" t="s">
        <v>80</v>
      </c>
      <c r="D13738" s="11" t="s">
        <v>18</v>
      </c>
      <c r="E13738" s="12" t="s">
        <v>2881</v>
      </c>
      <c r="F13738" s="12" t="s">
        <v>2882</v>
      </c>
      <c r="G13738" s="12" t="s">
        <v>46</v>
      </c>
      <c r="H13738" s="11" t="s">
        <v>63</v>
      </c>
      <c r="I13738" s="13" t="s">
        <v>26833</v>
      </c>
      <c r="J13738" s="14" t="str">
        <f>HYPERLINK("https://www.boe.es/gazeta/dias/1839/05/08/pdfs/GMD-1839-1635.pdf#page=3","Abrir facsímil")</f>
        <v>Abrir facsímil</v>
      </c>
      <c r="K13738" s="12" t="s">
        <v>65</v>
      </c>
    </row>
    <row r="13739" spans="1:11" ht="40.049999999999997" customHeight="1" x14ac:dyDescent="0.25">
      <c r="A13739" s="11" t="s">
        <v>26834</v>
      </c>
      <c r="B13739" s="11" t="s">
        <v>26834</v>
      </c>
      <c r="C13739" s="11" t="s">
        <v>17</v>
      </c>
      <c r="D13739" s="11" t="s">
        <v>18</v>
      </c>
      <c r="E13739" s="12" t="s">
        <v>1813</v>
      </c>
      <c r="F13739" s="12" t="s">
        <v>1814</v>
      </c>
      <c r="G13739" s="12" t="s">
        <v>40</v>
      </c>
      <c r="H13739" s="11" t="s">
        <v>63</v>
      </c>
      <c r="I13739" s="13" t="s">
        <v>26835</v>
      </c>
      <c r="J13739" s="14" t="str">
        <f>HYPERLINK("https://www.boe.es/gazeta/dias/1839/09/02/pdfs/GMD-1839-1754.pdf#page=2","Abrir facsímil")</f>
        <v>Abrir facsímil</v>
      </c>
      <c r="K13739" s="12" t="s">
        <v>65</v>
      </c>
    </row>
    <row r="13740" spans="1:11" ht="40.049999999999997" customHeight="1" x14ac:dyDescent="0.25">
      <c r="A13740" s="11" t="s">
        <v>26834</v>
      </c>
      <c r="B13740" s="11" t="s">
        <v>26834</v>
      </c>
      <c r="C13740" s="11" t="s">
        <v>17</v>
      </c>
      <c r="D13740" s="11" t="s">
        <v>18</v>
      </c>
      <c r="E13740" s="12" t="s">
        <v>266</v>
      </c>
      <c r="F13740" s="12" t="s">
        <v>267</v>
      </c>
      <c r="G13740" s="12" t="s">
        <v>40</v>
      </c>
      <c r="H13740" s="11" t="s">
        <v>63</v>
      </c>
      <c r="I13740" s="13" t="s">
        <v>26836</v>
      </c>
      <c r="J13740" s="14" t="str">
        <f>HYPERLINK("https://www.boe.es/gazeta/dias/1839/01/03/pdfs/GMD-1839-1510.pdf#page=2","Abrir facsímil")</f>
        <v>Abrir facsímil</v>
      </c>
      <c r="K13740" s="12" t="s">
        <v>65</v>
      </c>
    </row>
    <row r="13741" spans="1:11" ht="40.049999999999997" customHeight="1" x14ac:dyDescent="0.25">
      <c r="A13741" s="11" t="s">
        <v>26834</v>
      </c>
      <c r="B13741" s="11" t="s">
        <v>26834</v>
      </c>
      <c r="C13741" s="11" t="s">
        <v>137</v>
      </c>
      <c r="D13741" s="11" t="s">
        <v>18</v>
      </c>
      <c r="E13741" s="12" t="s">
        <v>4921</v>
      </c>
      <c r="F13741" s="12" t="s">
        <v>4922</v>
      </c>
      <c r="G13741" s="12" t="s">
        <v>29</v>
      </c>
      <c r="H13741" s="11" t="s">
        <v>63</v>
      </c>
      <c r="I13741" s="13" t="s">
        <v>26837</v>
      </c>
      <c r="J13741" s="14" t="str">
        <f>HYPERLINK("https://www.boe.es/gazeta/dias/1839/11/05/pdfs/GMD-1839-1822.pdf#page=1","Abrir facsímil")</f>
        <v>Abrir facsímil</v>
      </c>
      <c r="K13741" s="12" t="s">
        <v>65</v>
      </c>
    </row>
    <row r="13742" spans="1:11" ht="40.049999999999997" customHeight="1" x14ac:dyDescent="0.25">
      <c r="A13742" s="11" t="s">
        <v>26834</v>
      </c>
      <c r="B13742" s="11" t="s">
        <v>26834</v>
      </c>
      <c r="C13742" s="11" t="s">
        <v>59</v>
      </c>
      <c r="D13742" s="11" t="s">
        <v>60</v>
      </c>
      <c r="E13742" s="12" t="s">
        <v>918</v>
      </c>
      <c r="F13742" s="12" t="s">
        <v>919</v>
      </c>
      <c r="G13742" s="12" t="s">
        <v>29</v>
      </c>
      <c r="H13742" s="11" t="s">
        <v>63</v>
      </c>
      <c r="I13742" s="13" t="s">
        <v>26838</v>
      </c>
      <c r="J13742" s="14" t="str">
        <f>HYPERLINK("https://www.boe.es/gazeta/dias/1839/12/07/pdfs/GMD-1839-1854.pdf#page=1","Abrir facsímil")</f>
        <v>Abrir facsímil</v>
      </c>
      <c r="K13742" s="12" t="s">
        <v>65</v>
      </c>
    </row>
    <row r="13743" spans="1:11" ht="40.049999999999997" customHeight="1" x14ac:dyDescent="0.25">
      <c r="A13743" s="11" t="s">
        <v>26834</v>
      </c>
      <c r="B13743" s="11" t="s">
        <v>26834</v>
      </c>
      <c r="C13743" s="11" t="s">
        <v>80</v>
      </c>
      <c r="D13743" s="11" t="s">
        <v>18</v>
      </c>
      <c r="E13743" s="12" t="s">
        <v>984</v>
      </c>
      <c r="F13743" s="12" t="s">
        <v>985</v>
      </c>
      <c r="G13743" s="12" t="s">
        <v>40</v>
      </c>
      <c r="H13743" s="11" t="s">
        <v>63</v>
      </c>
      <c r="I13743" s="13" t="s">
        <v>26839</v>
      </c>
      <c r="J13743" s="14" t="str">
        <f>HYPERLINK("https://www.boe.es/gazeta/dias/1839/04/10/pdfs/GMD-1839-1607.pdf#page=2","Abrir facsímil")</f>
        <v>Abrir facsímil</v>
      </c>
      <c r="K13743" s="12" t="s">
        <v>65</v>
      </c>
    </row>
    <row r="13744" spans="1:11" ht="40.049999999999997" customHeight="1" x14ac:dyDescent="0.25">
      <c r="A13744" s="11" t="s">
        <v>26834</v>
      </c>
      <c r="B13744" s="11" t="s">
        <v>26834</v>
      </c>
      <c r="C13744" s="11" t="s">
        <v>101</v>
      </c>
      <c r="D13744" s="11" t="s">
        <v>102</v>
      </c>
      <c r="E13744" s="12" t="s">
        <v>5806</v>
      </c>
      <c r="F13744" s="12" t="s">
        <v>5807</v>
      </c>
      <c r="G13744" s="12" t="s">
        <v>40</v>
      </c>
      <c r="H13744" s="11" t="s">
        <v>63</v>
      </c>
      <c r="I13744" s="13" t="s">
        <v>26840</v>
      </c>
      <c r="J13744" s="14" t="str">
        <f>HYPERLINK("https://www.boe.es/gazeta/dias/1839/02/16/pdfs/GMD-1839-1554.pdf#page=2","Abrir facsímil")</f>
        <v>Abrir facsímil</v>
      </c>
      <c r="K13744" s="12" t="s">
        <v>65</v>
      </c>
    </row>
    <row r="13745" spans="1:11" ht="40.049999999999997" customHeight="1" x14ac:dyDescent="0.25">
      <c r="A13745" s="11" t="s">
        <v>26834</v>
      </c>
      <c r="B13745" s="11" t="s">
        <v>26834</v>
      </c>
      <c r="C13745" s="11" t="s">
        <v>17</v>
      </c>
      <c r="D13745" s="11" t="s">
        <v>18</v>
      </c>
      <c r="E13745" s="12" t="s">
        <v>1179</v>
      </c>
      <c r="F13745" s="12" t="s">
        <v>1180</v>
      </c>
      <c r="G13745" s="12" t="s">
        <v>40</v>
      </c>
      <c r="H13745" s="11" t="s">
        <v>63</v>
      </c>
      <c r="I13745" s="13" t="s">
        <v>26841</v>
      </c>
      <c r="J13745" s="14" t="str">
        <f>HYPERLINK("https://www.boe.es/gazeta/dias/1839/10/18/pdfs/GMD-1839-1804.pdf#page=2","Abrir facsímil")</f>
        <v>Abrir facsímil</v>
      </c>
      <c r="K13745" s="12" t="s">
        <v>65</v>
      </c>
    </row>
    <row r="13746" spans="1:11" ht="40.049999999999997" customHeight="1" x14ac:dyDescent="0.25">
      <c r="A13746" s="11" t="s">
        <v>26834</v>
      </c>
      <c r="B13746" s="11" t="s">
        <v>26834</v>
      </c>
      <c r="C13746" s="11" t="s">
        <v>101</v>
      </c>
      <c r="D13746" s="11" t="s">
        <v>102</v>
      </c>
      <c r="E13746" s="12" t="s">
        <v>1654</v>
      </c>
      <c r="F13746" s="12" t="s">
        <v>1655</v>
      </c>
      <c r="G13746" s="12" t="s">
        <v>29</v>
      </c>
      <c r="H13746" s="11" t="s">
        <v>63</v>
      </c>
      <c r="I13746" s="13" t="s">
        <v>26842</v>
      </c>
      <c r="J13746" s="14" t="str">
        <f>HYPERLINK("https://www.boe.es/gazeta/dias/1839/11/19/pdfs/GMD-1839-1836.pdf#page=1","Abrir facsímil")</f>
        <v>Abrir facsímil</v>
      </c>
      <c r="K13746" s="12" t="s">
        <v>65</v>
      </c>
    </row>
    <row r="13747" spans="1:11" ht="40.049999999999997" customHeight="1" x14ac:dyDescent="0.25">
      <c r="A13747" s="11" t="s">
        <v>26834</v>
      </c>
      <c r="B13747" s="11" t="s">
        <v>26834</v>
      </c>
      <c r="C13747" s="11" t="s">
        <v>17</v>
      </c>
      <c r="D13747" s="11" t="s">
        <v>18</v>
      </c>
      <c r="E13747" s="12" t="s">
        <v>2069</v>
      </c>
      <c r="F13747" s="12" t="s">
        <v>2070</v>
      </c>
      <c r="G13747" s="12" t="s">
        <v>40</v>
      </c>
      <c r="H13747" s="11" t="s">
        <v>63</v>
      </c>
      <c r="I13747" s="13" t="s">
        <v>26843</v>
      </c>
      <c r="J13747" s="14" t="str">
        <f>HYPERLINK("https://www.boe.es/gazeta/dias/1839/10/20/pdfs/GMD-1839-1806.pdf#page=2","Abrir facsímil")</f>
        <v>Abrir facsímil</v>
      </c>
      <c r="K13747" s="12" t="s">
        <v>65</v>
      </c>
    </row>
    <row r="13748" spans="1:11" ht="40.049999999999997" customHeight="1" x14ac:dyDescent="0.25">
      <c r="A13748" s="11" t="s">
        <v>26834</v>
      </c>
      <c r="B13748" s="11" t="s">
        <v>26834</v>
      </c>
      <c r="C13748" s="11" t="s">
        <v>17</v>
      </c>
      <c r="D13748" s="11" t="s">
        <v>18</v>
      </c>
      <c r="E13748" s="12" t="s">
        <v>360</v>
      </c>
      <c r="F13748" s="12" t="s">
        <v>361</v>
      </c>
      <c r="G13748" s="12" t="s">
        <v>29</v>
      </c>
      <c r="H13748" s="11" t="s">
        <v>63</v>
      </c>
      <c r="I13748" s="13" t="s">
        <v>26844</v>
      </c>
      <c r="J13748" s="14" t="str">
        <f>HYPERLINK("https://www.boe.es/gazeta/dias/1839/08/22/pdfs/GMD-1839-1743.pdf#page=1","Abrir facsímil")</f>
        <v>Abrir facsímil</v>
      </c>
      <c r="K13748" s="12" t="s">
        <v>65</v>
      </c>
    </row>
    <row r="13749" spans="1:11" ht="40.049999999999997" customHeight="1" x14ac:dyDescent="0.25">
      <c r="A13749" s="11" t="s">
        <v>26834</v>
      </c>
      <c r="B13749" s="11" t="s">
        <v>26834</v>
      </c>
      <c r="C13749" s="11" t="s">
        <v>101</v>
      </c>
      <c r="D13749" s="11" t="s">
        <v>102</v>
      </c>
      <c r="E13749" s="12" t="s">
        <v>1446</v>
      </c>
      <c r="F13749" s="12" t="s">
        <v>1447</v>
      </c>
      <c r="G13749" s="12" t="s">
        <v>40</v>
      </c>
      <c r="H13749" s="11" t="s">
        <v>63</v>
      </c>
      <c r="I13749" s="13" t="s">
        <v>26845</v>
      </c>
      <c r="J13749" s="14" t="str">
        <f>HYPERLINK("https://www.boe.es/gazeta/dias/1839/08/25/pdfs/GMD-1839-1746.pdf#page=2","Abrir facsímil")</f>
        <v>Abrir facsímil</v>
      </c>
      <c r="K13749" s="12" t="s">
        <v>65</v>
      </c>
    </row>
    <row r="13750" spans="1:11" ht="40.049999999999997" customHeight="1" x14ac:dyDescent="0.25">
      <c r="A13750" s="11" t="s">
        <v>26834</v>
      </c>
      <c r="B13750" s="11" t="s">
        <v>26834</v>
      </c>
      <c r="C13750" s="11" t="s">
        <v>17</v>
      </c>
      <c r="D13750" s="11" t="s">
        <v>18</v>
      </c>
      <c r="E13750" s="12" t="s">
        <v>826</v>
      </c>
      <c r="F13750" s="12" t="s">
        <v>827</v>
      </c>
      <c r="G13750" s="12" t="s">
        <v>40</v>
      </c>
      <c r="H13750" s="11" t="s">
        <v>63</v>
      </c>
      <c r="I13750" s="13" t="s">
        <v>26846</v>
      </c>
      <c r="J13750" s="14" t="str">
        <f>HYPERLINK("https://www.boe.es/gazeta/dias/1839/09/25/pdfs/GMD-1839-1781.pdf#page=2","Abrir facsímil")</f>
        <v>Abrir facsímil</v>
      </c>
      <c r="K13750" s="12" t="s">
        <v>65</v>
      </c>
    </row>
    <row r="13751" spans="1:11" ht="40.049999999999997" customHeight="1" x14ac:dyDescent="0.25">
      <c r="A13751" s="11" t="s">
        <v>26834</v>
      </c>
      <c r="B13751" s="11" t="s">
        <v>26834</v>
      </c>
      <c r="C13751" s="11" t="s">
        <v>17</v>
      </c>
      <c r="D13751" s="11" t="s">
        <v>43</v>
      </c>
      <c r="E13751" s="12" t="s">
        <v>2658</v>
      </c>
      <c r="F13751" s="12" t="s">
        <v>2659</v>
      </c>
      <c r="G13751" s="12" t="s">
        <v>21</v>
      </c>
      <c r="H13751" s="11" t="s">
        <v>63</v>
      </c>
      <c r="I13751" s="13" t="s">
        <v>26847</v>
      </c>
      <c r="J13751" s="14" t="str">
        <f>HYPERLINK("https://www.boe.es/gazeta/dias/1839/06/27/pdfs/GMD-1839-1685.pdf#page=4","Abrir facsímil")</f>
        <v>Abrir facsímil</v>
      </c>
      <c r="K13751" s="12" t="s">
        <v>65</v>
      </c>
    </row>
    <row r="13752" spans="1:11" ht="40.049999999999997" customHeight="1" x14ac:dyDescent="0.25">
      <c r="A13752" s="11" t="s">
        <v>26834</v>
      </c>
      <c r="B13752" s="11" t="s">
        <v>26834</v>
      </c>
      <c r="C13752" s="11" t="s">
        <v>101</v>
      </c>
      <c r="D13752" s="11" t="s">
        <v>102</v>
      </c>
      <c r="E13752" s="12" t="s">
        <v>4292</v>
      </c>
      <c r="F13752" s="12" t="s">
        <v>4293</v>
      </c>
      <c r="G13752" s="12" t="s">
        <v>40</v>
      </c>
      <c r="H13752" s="11" t="s">
        <v>63</v>
      </c>
      <c r="I13752" s="13" t="s">
        <v>26848</v>
      </c>
      <c r="J13752" s="14" t="str">
        <f>HYPERLINK("https://www.boe.es/gazeta/dias/1839/11/29/pdfs/GMD-1839-1846.pdf#page=2","Abrir facsímil")</f>
        <v>Abrir facsímil</v>
      </c>
      <c r="K13752" s="12" t="s">
        <v>65</v>
      </c>
    </row>
    <row r="13753" spans="1:11" ht="40.049999999999997" customHeight="1" x14ac:dyDescent="0.25">
      <c r="A13753" s="11" t="s">
        <v>26849</v>
      </c>
      <c r="B13753" s="11" t="s">
        <v>26850</v>
      </c>
      <c r="C13753" s="11" t="s">
        <v>137</v>
      </c>
      <c r="D13753" s="11" t="s">
        <v>18</v>
      </c>
      <c r="E13753" s="12" t="s">
        <v>1807</v>
      </c>
      <c r="F13753" s="12" t="s">
        <v>1808</v>
      </c>
      <c r="G13753" s="12" t="s">
        <v>21</v>
      </c>
      <c r="H13753" s="11" t="s">
        <v>63</v>
      </c>
      <c r="I13753" s="13" t="s">
        <v>26851</v>
      </c>
      <c r="J13753" s="14" t="str">
        <f>HYPERLINK("https://www.boe.es/gazeta/dias/1839/01/29/pdfs/GMD-1839-1536.pdf#page=4","Abrir facsímil")</f>
        <v>Abrir facsímil</v>
      </c>
      <c r="K13753" s="12" t="s">
        <v>65</v>
      </c>
    </row>
    <row r="13754" spans="1:11" ht="40.049999999999997" customHeight="1" x14ac:dyDescent="0.25">
      <c r="A13754" s="11" t="s">
        <v>26852</v>
      </c>
      <c r="B13754" s="11" t="s">
        <v>26853</v>
      </c>
      <c r="C13754" s="11" t="s">
        <v>80</v>
      </c>
      <c r="D13754" s="11" t="s">
        <v>18</v>
      </c>
      <c r="E13754" s="12" t="s">
        <v>280</v>
      </c>
      <c r="F13754" s="12" t="s">
        <v>281</v>
      </c>
      <c r="G13754" s="12" t="s">
        <v>21</v>
      </c>
      <c r="H13754" s="11" t="s">
        <v>22</v>
      </c>
      <c r="I13754" s="13" t="s">
        <v>26854</v>
      </c>
      <c r="J13754" s="14" t="str">
        <f>HYPERLINK("https://www.boe.es/gazeta/dias/1839/08/21/pdfs/GMD-1839-1742.pdf#page=4","Abrir facsímil")</f>
        <v>Abrir facsímil</v>
      </c>
      <c r="K13754" s="12" t="s">
        <v>24</v>
      </c>
    </row>
    <row r="13755" spans="1:11" ht="40.049999999999997" customHeight="1" x14ac:dyDescent="0.25">
      <c r="A13755" s="11" t="s">
        <v>26855</v>
      </c>
      <c r="B13755" s="11" t="s">
        <v>26856</v>
      </c>
      <c r="C13755" s="11" t="s">
        <v>17</v>
      </c>
      <c r="D13755" s="11" t="s">
        <v>18</v>
      </c>
      <c r="E13755" s="12" t="s">
        <v>1644</v>
      </c>
      <c r="F13755" s="12" t="s">
        <v>1645</v>
      </c>
      <c r="G13755" s="12" t="s">
        <v>40</v>
      </c>
      <c r="H13755" s="11" t="s">
        <v>63</v>
      </c>
      <c r="I13755" s="13" t="s">
        <v>26857</v>
      </c>
      <c r="J13755" s="14" t="str">
        <f>HYPERLINK("https://www.boe.es/gazeta/dias/1839/04/16/pdfs/GMD-1839-1613.pdf#page=2","Abrir facsímil")</f>
        <v>Abrir facsímil</v>
      </c>
      <c r="K13755" s="12" t="s">
        <v>65</v>
      </c>
    </row>
    <row r="13756" spans="1:11" ht="40.049999999999997" customHeight="1" x14ac:dyDescent="0.25">
      <c r="A13756" s="11" t="s">
        <v>26858</v>
      </c>
      <c r="B13756" s="11" t="s">
        <v>26859</v>
      </c>
      <c r="C13756" s="11" t="s">
        <v>17</v>
      </c>
      <c r="D13756" s="11" t="s">
        <v>18</v>
      </c>
      <c r="E13756" s="12" t="s">
        <v>1395</v>
      </c>
      <c r="F13756" s="12" t="s">
        <v>1396</v>
      </c>
      <c r="G13756" s="12" t="s">
        <v>21</v>
      </c>
      <c r="H13756" s="11" t="s">
        <v>22</v>
      </c>
      <c r="I13756" s="13" t="s">
        <v>26860</v>
      </c>
      <c r="J13756" s="14" t="str">
        <f>HYPERLINK("https://www.boe.es/gazeta/dias/1839/06/26/pdfs/GMD-1839-1684.pdf#page=4","Abrir facsímil")</f>
        <v>Abrir facsímil</v>
      </c>
      <c r="K13756" s="12" t="s">
        <v>24</v>
      </c>
    </row>
    <row r="13757" spans="1:11" ht="40.049999999999997" customHeight="1" x14ac:dyDescent="0.25">
      <c r="A13757" s="11" t="s">
        <v>26861</v>
      </c>
      <c r="B13757" s="11" t="s">
        <v>26862</v>
      </c>
      <c r="C13757" s="11" t="s">
        <v>80</v>
      </c>
      <c r="D13757" s="11" t="s">
        <v>18</v>
      </c>
      <c r="E13757" s="12" t="s">
        <v>951</v>
      </c>
      <c r="F13757" s="12" t="s">
        <v>952</v>
      </c>
      <c r="G13757" s="12" t="s">
        <v>46</v>
      </c>
      <c r="H13757" s="11" t="s">
        <v>63</v>
      </c>
      <c r="I13757" s="13" t="s">
        <v>26863</v>
      </c>
      <c r="J13757" s="14" t="str">
        <f>HYPERLINK("https://www.boe.es/gazeta/dias/1839/12/30/pdfs/GMD-1839-1877.pdf#page=3","Abrir facsímil")</f>
        <v>Abrir facsímil</v>
      </c>
      <c r="K13757" s="12" t="s">
        <v>65</v>
      </c>
    </row>
    <row r="13758" spans="1:11" ht="40.049999999999997" customHeight="1" x14ac:dyDescent="0.25">
      <c r="A13758" s="11" t="s">
        <v>26864</v>
      </c>
      <c r="B13758" s="11" t="s">
        <v>26865</v>
      </c>
      <c r="C13758" s="11" t="s">
        <v>59</v>
      </c>
      <c r="D13758" s="11" t="s">
        <v>60</v>
      </c>
      <c r="E13758" s="12" t="s">
        <v>496</v>
      </c>
      <c r="F13758" s="12" t="s">
        <v>497</v>
      </c>
      <c r="G13758" s="12" t="s">
        <v>46</v>
      </c>
      <c r="H13758" s="11" t="s">
        <v>63</v>
      </c>
      <c r="I13758" s="13" t="s">
        <v>26866</v>
      </c>
      <c r="J13758" s="14" t="str">
        <f>HYPERLINK("https://www.boe.es/gazeta/dias/1839/11/23/pdfs/GMD-1839-1840.pdf#page=3","Abrir facsímil")</f>
        <v>Abrir facsímil</v>
      </c>
      <c r="K13758" s="12" t="s">
        <v>65</v>
      </c>
    </row>
    <row r="13759" spans="1:11" ht="40.049999999999997" customHeight="1" x14ac:dyDescent="0.25">
      <c r="A13759" s="11" t="s">
        <v>26867</v>
      </c>
      <c r="B13759" s="11" t="s">
        <v>26867</v>
      </c>
      <c r="C13759" s="11" t="s">
        <v>101</v>
      </c>
      <c r="D13759" s="11" t="s">
        <v>43</v>
      </c>
      <c r="E13759" s="12" t="s">
        <v>1929</v>
      </c>
      <c r="F13759" s="12" t="s">
        <v>1930</v>
      </c>
      <c r="G13759" s="12" t="s">
        <v>40</v>
      </c>
      <c r="H13759" s="11" t="s">
        <v>63</v>
      </c>
      <c r="I13759" s="13" t="s">
        <v>26868</v>
      </c>
      <c r="J13759" s="14" t="str">
        <f>HYPERLINK("https://www.boe.es/gazeta/dias/1839/02/01/pdfs/GMD-1839-1539.pdf#page=2","Abrir facsímil")</f>
        <v>Abrir facsímil</v>
      </c>
      <c r="K13759" s="12" t="s">
        <v>65</v>
      </c>
    </row>
    <row r="13760" spans="1:11" ht="40.049999999999997" customHeight="1" x14ac:dyDescent="0.25">
      <c r="A13760" s="11" t="s">
        <v>26867</v>
      </c>
      <c r="B13760" s="11" t="s">
        <v>26867</v>
      </c>
      <c r="C13760" s="11" t="s">
        <v>137</v>
      </c>
      <c r="D13760" s="11" t="s">
        <v>18</v>
      </c>
      <c r="E13760" s="12" t="s">
        <v>226</v>
      </c>
      <c r="F13760" s="12" t="s">
        <v>227</v>
      </c>
      <c r="G13760" s="12" t="s">
        <v>29</v>
      </c>
      <c r="H13760" s="11" t="s">
        <v>63</v>
      </c>
      <c r="I13760" s="13" t="s">
        <v>26869</v>
      </c>
      <c r="J13760" s="14" t="str">
        <f>HYPERLINK("https://www.boe.es/gazeta/dias/1839/06/09/pdfs/GMD-1839-1667.pdf#page=1","Abrir facsímil")</f>
        <v>Abrir facsímil</v>
      </c>
      <c r="K13760" s="12" t="s">
        <v>65</v>
      </c>
    </row>
    <row r="13761" spans="1:11" ht="40.049999999999997" customHeight="1" x14ac:dyDescent="0.25">
      <c r="A13761" s="11" t="s">
        <v>26867</v>
      </c>
      <c r="B13761" s="11" t="s">
        <v>26867</v>
      </c>
      <c r="C13761" s="11" t="s">
        <v>17</v>
      </c>
      <c r="D13761" s="11" t="s">
        <v>18</v>
      </c>
      <c r="E13761" s="12" t="s">
        <v>1685</v>
      </c>
      <c r="F13761" s="12" t="s">
        <v>1686</v>
      </c>
      <c r="G13761" s="12" t="s">
        <v>40</v>
      </c>
      <c r="H13761" s="11" t="s">
        <v>63</v>
      </c>
      <c r="I13761" s="13" t="s">
        <v>26870</v>
      </c>
      <c r="J13761" s="14" t="str">
        <f>HYPERLINK("https://www.boe.es/gazeta/dias/1839/04/27/pdfs/GMD-1839-1624.pdf#page=2","Abrir facsímil")</f>
        <v>Abrir facsímil</v>
      </c>
      <c r="K13761" s="12" t="s">
        <v>65</v>
      </c>
    </row>
    <row r="13762" spans="1:11" ht="40.049999999999997" customHeight="1" x14ac:dyDescent="0.25">
      <c r="A13762" s="11" t="s">
        <v>26867</v>
      </c>
      <c r="B13762" s="11" t="s">
        <v>26867</v>
      </c>
      <c r="C13762" s="11" t="s">
        <v>80</v>
      </c>
      <c r="D13762" s="11" t="s">
        <v>18</v>
      </c>
      <c r="E13762" s="12" t="s">
        <v>522</v>
      </c>
      <c r="F13762" s="12" t="s">
        <v>523</v>
      </c>
      <c r="G13762" s="12" t="s">
        <v>29</v>
      </c>
      <c r="H13762" s="11" t="s">
        <v>63</v>
      </c>
      <c r="I13762" s="13" t="s">
        <v>26871</v>
      </c>
      <c r="J13762" s="14" t="str">
        <f>HYPERLINK("https://www.boe.es/gazeta/dias/1839/08/27/pdfs/GMD-1839-1748.pdf#page=1","Abrir facsímil")</f>
        <v>Abrir facsímil</v>
      </c>
      <c r="K13762" s="12" t="s">
        <v>65</v>
      </c>
    </row>
    <row r="13763" spans="1:11" ht="40.049999999999997" customHeight="1" x14ac:dyDescent="0.25">
      <c r="A13763" s="11" t="s">
        <v>26872</v>
      </c>
      <c r="B13763" s="11" t="s">
        <v>26873</v>
      </c>
      <c r="C13763" s="11" t="s">
        <v>101</v>
      </c>
      <c r="D13763" s="11" t="s">
        <v>102</v>
      </c>
      <c r="E13763" s="12" t="s">
        <v>998</v>
      </c>
      <c r="F13763" s="12" t="s">
        <v>999</v>
      </c>
      <c r="G13763" s="12" t="s">
        <v>40</v>
      </c>
      <c r="H13763" s="11" t="s">
        <v>63</v>
      </c>
      <c r="I13763" s="13" t="s">
        <v>26874</v>
      </c>
      <c r="J13763" s="14" t="str">
        <f>HYPERLINK("https://www.boe.es/gazeta/dias/1839/05/06/pdfs/GMD-1839-1633.pdf#page=2","Abrir facsímil")</f>
        <v>Abrir facsímil</v>
      </c>
      <c r="K13763" s="12" t="s">
        <v>65</v>
      </c>
    </row>
    <row r="13764" spans="1:11" ht="40.049999999999997" customHeight="1" x14ac:dyDescent="0.25">
      <c r="A13764" s="11" t="s">
        <v>26875</v>
      </c>
      <c r="B13764" s="11" t="s">
        <v>26876</v>
      </c>
      <c r="C13764" s="11" t="s">
        <v>17</v>
      </c>
      <c r="D13764" s="11" t="s">
        <v>18</v>
      </c>
      <c r="E13764" s="12" t="s">
        <v>1685</v>
      </c>
      <c r="F13764" s="12" t="s">
        <v>1686</v>
      </c>
      <c r="G13764" s="12" t="s">
        <v>40</v>
      </c>
      <c r="H13764" s="11" t="s">
        <v>63</v>
      </c>
      <c r="I13764" s="13" t="s">
        <v>26877</v>
      </c>
      <c r="J13764" s="14" t="str">
        <f>HYPERLINK("https://www.boe.es/gazeta/dias/1839/04/27/pdfs/GMD-1839-1624.pdf#page=2","Abrir facsímil")</f>
        <v>Abrir facsímil</v>
      </c>
      <c r="K13764" s="12" t="s">
        <v>65</v>
      </c>
    </row>
    <row r="13765" spans="1:11" ht="40.049999999999997" customHeight="1" x14ac:dyDescent="0.25">
      <c r="A13765" s="11" t="s">
        <v>26878</v>
      </c>
      <c r="B13765" s="11" t="s">
        <v>26879</v>
      </c>
      <c r="C13765" s="11" t="s">
        <v>137</v>
      </c>
      <c r="D13765" s="11" t="s">
        <v>18</v>
      </c>
      <c r="E13765" s="12" t="s">
        <v>592</v>
      </c>
      <c r="F13765" s="12" t="s">
        <v>593</v>
      </c>
      <c r="G13765" s="12" t="s">
        <v>29</v>
      </c>
      <c r="H13765" s="11" t="s">
        <v>63</v>
      </c>
      <c r="I13765" s="13" t="s">
        <v>26880</v>
      </c>
      <c r="J13765" s="14" t="str">
        <f>HYPERLINK("https://www.boe.es/gazeta/dias/1839/09/14/pdfs/GMD-1839-1767.pdf#page=1","Abrir facsímil")</f>
        <v>Abrir facsímil</v>
      </c>
      <c r="K13765" s="12" t="s">
        <v>65</v>
      </c>
    </row>
    <row r="13766" spans="1:11" ht="40.049999999999997" customHeight="1" x14ac:dyDescent="0.25">
      <c r="A13766" s="11" t="s">
        <v>26881</v>
      </c>
      <c r="B13766" s="11" t="s">
        <v>26881</v>
      </c>
      <c r="C13766" s="11" t="s">
        <v>101</v>
      </c>
      <c r="D13766" s="11" t="s">
        <v>102</v>
      </c>
      <c r="E13766" s="12" t="s">
        <v>1139</v>
      </c>
      <c r="F13766" s="12" t="s">
        <v>1140</v>
      </c>
      <c r="G13766" s="12" t="s">
        <v>40</v>
      </c>
      <c r="H13766" s="11" t="s">
        <v>63</v>
      </c>
      <c r="I13766" s="13" t="s">
        <v>26882</v>
      </c>
      <c r="J13766" s="14" t="str">
        <f>HYPERLINK("https://www.boe.es/gazeta/dias/1839/02/15/pdfs/GMD-1839-1553.pdf#page=2","Abrir facsímil")</f>
        <v>Abrir facsímil</v>
      </c>
      <c r="K13766" s="12" t="s">
        <v>65</v>
      </c>
    </row>
    <row r="13767" spans="1:11" ht="40.049999999999997" customHeight="1" x14ac:dyDescent="0.25">
      <c r="A13767" s="11" t="s">
        <v>26881</v>
      </c>
      <c r="B13767" s="11" t="s">
        <v>26881</v>
      </c>
      <c r="C13767" s="11" t="s">
        <v>101</v>
      </c>
      <c r="D13767" s="11" t="s">
        <v>102</v>
      </c>
      <c r="E13767" s="12" t="s">
        <v>207</v>
      </c>
      <c r="F13767" s="12" t="s">
        <v>208</v>
      </c>
      <c r="G13767" s="12" t="s">
        <v>29</v>
      </c>
      <c r="H13767" s="11" t="s">
        <v>63</v>
      </c>
      <c r="I13767" s="13" t="s">
        <v>26883</v>
      </c>
      <c r="J13767" s="14" t="str">
        <f>HYPERLINK("https://www.boe.es/gazeta/dias/1839/02/19/pdfs/GMD-1839-1557.pdf#page=1","Abrir facsímil")</f>
        <v>Abrir facsímil</v>
      </c>
      <c r="K13767" s="12" t="s">
        <v>65</v>
      </c>
    </row>
    <row r="13768" spans="1:11" ht="40.049999999999997" customHeight="1" x14ac:dyDescent="0.25">
      <c r="A13768" s="11" t="s">
        <v>26884</v>
      </c>
      <c r="B13768" s="11" t="s">
        <v>26884</v>
      </c>
      <c r="C13768" s="11" t="s">
        <v>101</v>
      </c>
      <c r="D13768" s="11" t="s">
        <v>102</v>
      </c>
      <c r="E13768" s="12" t="s">
        <v>775</v>
      </c>
      <c r="F13768" s="12" t="s">
        <v>776</v>
      </c>
      <c r="G13768" s="12" t="s">
        <v>40</v>
      </c>
      <c r="H13768" s="11" t="s">
        <v>63</v>
      </c>
      <c r="I13768" s="13" t="s">
        <v>26885</v>
      </c>
      <c r="J13768" s="14" t="str">
        <f>HYPERLINK("https://www.boe.es/gazeta/dias/1839/02/25/pdfs/GMD-1839-1563.pdf#page=2","Abrir facsímil")</f>
        <v>Abrir facsímil</v>
      </c>
      <c r="K13768" s="12" t="s">
        <v>65</v>
      </c>
    </row>
    <row r="13769" spans="1:11" ht="40.049999999999997" customHeight="1" x14ac:dyDescent="0.25">
      <c r="A13769" s="11" t="s">
        <v>26886</v>
      </c>
      <c r="B13769" s="11" t="s">
        <v>26887</v>
      </c>
      <c r="C13769" s="11" t="s">
        <v>17</v>
      </c>
      <c r="D13769" s="11" t="s">
        <v>18</v>
      </c>
      <c r="E13769" s="12" t="s">
        <v>1891</v>
      </c>
      <c r="F13769" s="12" t="s">
        <v>1892</v>
      </c>
      <c r="G13769" s="12" t="s">
        <v>21</v>
      </c>
      <c r="H13769" s="11" t="s">
        <v>63</v>
      </c>
      <c r="I13769" s="13" t="s">
        <v>26888</v>
      </c>
      <c r="J13769" s="14" t="str">
        <f>HYPERLINK("https://www.boe.es/gazeta/dias/1839/12/14/pdfs/GMD-1839-1861.pdf#page=4","Abrir facsímil")</f>
        <v>Abrir facsímil</v>
      </c>
      <c r="K13769" s="12" t="s">
        <v>65</v>
      </c>
    </row>
    <row r="13770" spans="1:11" ht="40.049999999999997" customHeight="1" x14ac:dyDescent="0.25">
      <c r="A13770" s="11" t="s">
        <v>26886</v>
      </c>
      <c r="B13770" s="11" t="s">
        <v>26887</v>
      </c>
      <c r="C13770" s="11" t="s">
        <v>80</v>
      </c>
      <c r="D13770" s="11" t="s">
        <v>18</v>
      </c>
      <c r="E13770" s="12" t="s">
        <v>246</v>
      </c>
      <c r="F13770" s="12" t="s">
        <v>247</v>
      </c>
      <c r="G13770" s="12" t="s">
        <v>21</v>
      </c>
      <c r="H13770" s="11" t="s">
        <v>63</v>
      </c>
      <c r="I13770" s="13" t="s">
        <v>26889</v>
      </c>
      <c r="J13770" s="14" t="str">
        <f>HYPERLINK("https://www.boe.es/gazeta/dias/1839/11/24/pdfs/GMD-1839-1841.pdf#page=4","Abrir facsímil")</f>
        <v>Abrir facsímil</v>
      </c>
      <c r="K13770" s="12" t="s">
        <v>65</v>
      </c>
    </row>
    <row r="13771" spans="1:11" ht="40.049999999999997" customHeight="1" x14ac:dyDescent="0.25">
      <c r="A13771" s="11" t="s">
        <v>26890</v>
      </c>
      <c r="B13771" s="11" t="s">
        <v>26891</v>
      </c>
      <c r="C13771" s="11" t="s">
        <v>80</v>
      </c>
      <c r="D13771" s="11" t="s">
        <v>18</v>
      </c>
      <c r="E13771" s="12" t="s">
        <v>1497</v>
      </c>
      <c r="F13771" s="12" t="s">
        <v>1498</v>
      </c>
      <c r="G13771" s="12" t="s">
        <v>21</v>
      </c>
      <c r="H13771" s="11" t="s">
        <v>63</v>
      </c>
      <c r="I13771" s="13" t="s">
        <v>26892</v>
      </c>
      <c r="J13771" s="14" t="str">
        <f>HYPERLINK("https://www.boe.es/gazeta/dias/1839/08/23/pdfs/GMD-1839-1744.pdf#page=4","Abrir facsímil")</f>
        <v>Abrir facsímil</v>
      </c>
      <c r="K13771" s="12" t="s">
        <v>65</v>
      </c>
    </row>
    <row r="13772" spans="1:11" ht="40.049999999999997" customHeight="1" x14ac:dyDescent="0.25">
      <c r="A13772" s="11" t="s">
        <v>26893</v>
      </c>
      <c r="B13772" s="11" t="s">
        <v>26894</v>
      </c>
      <c r="C13772" s="11" t="s">
        <v>80</v>
      </c>
      <c r="D13772" s="11" t="s">
        <v>18</v>
      </c>
      <c r="E13772" s="12" t="s">
        <v>202</v>
      </c>
      <c r="F13772" s="12" t="s">
        <v>203</v>
      </c>
      <c r="G13772" s="12" t="s">
        <v>46</v>
      </c>
      <c r="H13772" s="11" t="s">
        <v>63</v>
      </c>
      <c r="I13772" s="13" t="s">
        <v>26895</v>
      </c>
      <c r="J13772" s="14" t="str">
        <f>HYPERLINK("https://www.boe.es/gazeta/dias/1839/04/05/pdfs/GMD-1839-1602.pdf#page=3","Abrir facsímil")</f>
        <v>Abrir facsímil</v>
      </c>
      <c r="K13772" s="12" t="s">
        <v>65</v>
      </c>
    </row>
    <row r="13773" spans="1:11" ht="40.049999999999997" customHeight="1" x14ac:dyDescent="0.25">
      <c r="A13773" s="11" t="s">
        <v>26893</v>
      </c>
      <c r="B13773" s="11" t="s">
        <v>26894</v>
      </c>
      <c r="C13773" s="11" t="s">
        <v>17</v>
      </c>
      <c r="D13773" s="11" t="s">
        <v>18</v>
      </c>
      <c r="E13773" s="12" t="s">
        <v>1497</v>
      </c>
      <c r="F13773" s="12" t="s">
        <v>1498</v>
      </c>
      <c r="G13773" s="12" t="s">
        <v>21</v>
      </c>
      <c r="H13773" s="11" t="s">
        <v>63</v>
      </c>
      <c r="I13773" s="13" t="s">
        <v>26896</v>
      </c>
      <c r="J13773" s="14" t="str">
        <f>HYPERLINK("https://www.boe.es/gazeta/dias/1839/08/23/pdfs/GMD-1839-1744.pdf#page=4","Abrir facsímil")</f>
        <v>Abrir facsímil</v>
      </c>
      <c r="K13773" s="12" t="s">
        <v>65</v>
      </c>
    </row>
    <row r="13774" spans="1:11" ht="40.049999999999997" customHeight="1" x14ac:dyDescent="0.25">
      <c r="A13774" s="11" t="s">
        <v>26897</v>
      </c>
      <c r="B13774" s="11" t="s">
        <v>26898</v>
      </c>
      <c r="C13774" s="11" t="s">
        <v>80</v>
      </c>
      <c r="D13774" s="11" t="s">
        <v>18</v>
      </c>
      <c r="E13774" s="12" t="s">
        <v>690</v>
      </c>
      <c r="F13774" s="12" t="s">
        <v>691</v>
      </c>
      <c r="G13774" s="12" t="s">
        <v>21</v>
      </c>
      <c r="H13774" s="11" t="s">
        <v>63</v>
      </c>
      <c r="I13774" s="13" t="s">
        <v>26899</v>
      </c>
      <c r="J13774" s="14" t="str">
        <f>HYPERLINK("https://www.boe.es/gazeta/dias/1839/12/08/pdfs/GMD-1839-1855.pdf#page=4","Abrir facsímil")</f>
        <v>Abrir facsímil</v>
      </c>
      <c r="K13774" s="12" t="s">
        <v>65</v>
      </c>
    </row>
    <row r="13775" spans="1:11" ht="40.049999999999997" customHeight="1" x14ac:dyDescent="0.25">
      <c r="A13775" s="11" t="s">
        <v>26900</v>
      </c>
      <c r="B13775" s="11" t="s">
        <v>26900</v>
      </c>
      <c r="C13775" s="11" t="s">
        <v>101</v>
      </c>
      <c r="D13775" s="11" t="s">
        <v>43</v>
      </c>
      <c r="E13775" s="12" t="s">
        <v>49</v>
      </c>
      <c r="F13775" s="12" t="s">
        <v>50</v>
      </c>
      <c r="G13775" s="12" t="s">
        <v>21</v>
      </c>
      <c r="H13775" s="11" t="s">
        <v>63</v>
      </c>
      <c r="I13775" s="13" t="s">
        <v>26901</v>
      </c>
      <c r="J13775" s="14" t="str">
        <f>HYPERLINK("https://www.boe.es/gazeta/dias/1839/01/05/pdfs/GMD-1839-1512.pdf#page=4","Abrir facsímil")</f>
        <v>Abrir facsímil</v>
      </c>
      <c r="K13775" s="12" t="s">
        <v>65</v>
      </c>
    </row>
    <row r="13776" spans="1:11" ht="40.049999999999997" customHeight="1" x14ac:dyDescent="0.25">
      <c r="A13776" s="11" t="s">
        <v>26900</v>
      </c>
      <c r="B13776" s="11" t="s">
        <v>26900</v>
      </c>
      <c r="C13776" s="11" t="s">
        <v>101</v>
      </c>
      <c r="D13776" s="11" t="s">
        <v>102</v>
      </c>
      <c r="E13776" s="12" t="s">
        <v>2738</v>
      </c>
      <c r="F13776" s="12" t="s">
        <v>2739</v>
      </c>
      <c r="G13776" s="12" t="s">
        <v>40</v>
      </c>
      <c r="H13776" s="11" t="s">
        <v>63</v>
      </c>
      <c r="I13776" s="13" t="s">
        <v>26902</v>
      </c>
      <c r="J13776" s="14" t="str">
        <f>HYPERLINK("https://www.boe.es/gazeta/dias/1839/09/06/pdfs/GMD-1839-1759.pdf#page=2","Abrir facsímil")</f>
        <v>Abrir facsímil</v>
      </c>
      <c r="K13776" s="12" t="s">
        <v>65</v>
      </c>
    </row>
    <row r="13777" spans="1:11" ht="40.049999999999997" customHeight="1" x14ac:dyDescent="0.25">
      <c r="A13777" s="11" t="s">
        <v>26900</v>
      </c>
      <c r="B13777" s="11" t="s">
        <v>26900</v>
      </c>
      <c r="C13777" s="11" t="s">
        <v>80</v>
      </c>
      <c r="D13777" s="11" t="s">
        <v>18</v>
      </c>
      <c r="E13777" s="12" t="s">
        <v>3705</v>
      </c>
      <c r="F13777" s="12" t="s">
        <v>3706</v>
      </c>
      <c r="G13777" s="12" t="s">
        <v>46</v>
      </c>
      <c r="H13777" s="11" t="s">
        <v>63</v>
      </c>
      <c r="I13777" s="13" t="s">
        <v>26903</v>
      </c>
      <c r="J13777" s="14" t="str">
        <f>HYPERLINK("https://www.boe.es/gazeta/dias/1839/03/09/pdfs/GMD-1839-1575.pdf#page=3","Abrir facsímil")</f>
        <v>Abrir facsímil</v>
      </c>
      <c r="K13777" s="12" t="s">
        <v>65</v>
      </c>
    </row>
    <row r="13778" spans="1:11" ht="40.049999999999997" customHeight="1" x14ac:dyDescent="0.25">
      <c r="A13778" s="11" t="s">
        <v>26900</v>
      </c>
      <c r="B13778" s="11" t="s">
        <v>26900</v>
      </c>
      <c r="C13778" s="11" t="s">
        <v>59</v>
      </c>
      <c r="D13778" s="11" t="s">
        <v>60</v>
      </c>
      <c r="E13778" s="12" t="s">
        <v>2452</v>
      </c>
      <c r="F13778" s="12" t="s">
        <v>2453</v>
      </c>
      <c r="G13778" s="12" t="s">
        <v>46</v>
      </c>
      <c r="H13778" s="11" t="s">
        <v>63</v>
      </c>
      <c r="I13778" s="13" t="s">
        <v>26904</v>
      </c>
      <c r="J13778" s="14" t="str">
        <f>HYPERLINK("https://www.boe.es/gazeta/dias/1839/11/14/pdfs/GMD-1839-1831.pdf#page=3","Abrir facsímil")</f>
        <v>Abrir facsímil</v>
      </c>
      <c r="K13778" s="12" t="s">
        <v>65</v>
      </c>
    </row>
    <row r="13779" spans="1:11" ht="40.049999999999997" customHeight="1" x14ac:dyDescent="0.25">
      <c r="A13779" s="11" t="s">
        <v>26900</v>
      </c>
      <c r="B13779" s="11" t="s">
        <v>26900</v>
      </c>
      <c r="C13779" s="11" t="s">
        <v>101</v>
      </c>
      <c r="D13779" s="11" t="s">
        <v>43</v>
      </c>
      <c r="E13779" s="12" t="s">
        <v>185</v>
      </c>
      <c r="F13779" s="12" t="s">
        <v>186</v>
      </c>
      <c r="G13779" s="12" t="s">
        <v>29</v>
      </c>
      <c r="H13779" s="11" t="s">
        <v>63</v>
      </c>
      <c r="I13779" s="13" t="s">
        <v>26905</v>
      </c>
      <c r="J13779" s="14" t="str">
        <f>HYPERLINK("https://www.boe.es/gazeta/dias/1839/01/15/pdfs/GMD-1839-1522.pdf#page=1","Abrir facsímil")</f>
        <v>Abrir facsímil</v>
      </c>
      <c r="K13779" s="12" t="s">
        <v>65</v>
      </c>
    </row>
    <row r="13780" spans="1:11" ht="40.049999999999997" customHeight="1" x14ac:dyDescent="0.25">
      <c r="A13780" s="11" t="s">
        <v>26900</v>
      </c>
      <c r="B13780" s="11" t="s">
        <v>26900</v>
      </c>
      <c r="C13780" s="11" t="s">
        <v>101</v>
      </c>
      <c r="D13780" s="11" t="s">
        <v>43</v>
      </c>
      <c r="E13780" s="12" t="s">
        <v>19</v>
      </c>
      <c r="F13780" s="12" t="s">
        <v>20</v>
      </c>
      <c r="G13780" s="12" t="s">
        <v>40</v>
      </c>
      <c r="H13780" s="11" t="s">
        <v>63</v>
      </c>
      <c r="I13780" s="13" t="s">
        <v>26906</v>
      </c>
      <c r="J13780" s="14" t="str">
        <f>HYPERLINK("https://www.boe.es/gazeta/dias/1839/01/19/pdfs/GMD-1839-1526.pdf#page=2","Abrir facsímil")</f>
        <v>Abrir facsímil</v>
      </c>
      <c r="K13780" s="12" t="s">
        <v>65</v>
      </c>
    </row>
    <row r="13781" spans="1:11" ht="40.049999999999997" customHeight="1" x14ac:dyDescent="0.25">
      <c r="A13781" s="11" t="s">
        <v>26900</v>
      </c>
      <c r="B13781" s="11" t="s">
        <v>26900</v>
      </c>
      <c r="C13781" s="11" t="s">
        <v>17</v>
      </c>
      <c r="D13781" s="11" t="s">
        <v>18</v>
      </c>
      <c r="E13781" s="12" t="s">
        <v>207</v>
      </c>
      <c r="F13781" s="12" t="s">
        <v>208</v>
      </c>
      <c r="G13781" s="12" t="s">
        <v>29</v>
      </c>
      <c r="H13781" s="11" t="s">
        <v>63</v>
      </c>
      <c r="I13781" s="13" t="s">
        <v>26907</v>
      </c>
      <c r="J13781" s="14" t="str">
        <f>HYPERLINK("https://www.boe.es/gazeta/dias/1839/02/19/pdfs/GMD-1839-1557.pdf#page=1","Abrir facsímil")</f>
        <v>Abrir facsímil</v>
      </c>
      <c r="K13781" s="12" t="s">
        <v>65</v>
      </c>
    </row>
    <row r="13782" spans="1:11" ht="40.049999999999997" customHeight="1" x14ac:dyDescent="0.25">
      <c r="A13782" s="11" t="s">
        <v>26908</v>
      </c>
      <c r="B13782" s="11" t="s">
        <v>26908</v>
      </c>
      <c r="C13782" s="11" t="s">
        <v>17</v>
      </c>
      <c r="D13782" s="11" t="s">
        <v>18</v>
      </c>
      <c r="E13782" s="12" t="s">
        <v>2069</v>
      </c>
      <c r="F13782" s="12" t="s">
        <v>2070</v>
      </c>
      <c r="G13782" s="12" t="s">
        <v>46</v>
      </c>
      <c r="H13782" s="11" t="s">
        <v>63</v>
      </c>
      <c r="I13782" s="13" t="s">
        <v>26909</v>
      </c>
      <c r="J13782" s="14" t="str">
        <f>HYPERLINK("https://www.boe.es/gazeta/dias/1839/10/20/pdfs/GMD-1839-1806.pdf#page=3","Abrir facsímil")</f>
        <v>Abrir facsímil</v>
      </c>
      <c r="K13782" s="12" t="s">
        <v>65</v>
      </c>
    </row>
    <row r="13783" spans="1:11" ht="40.049999999999997" customHeight="1" x14ac:dyDescent="0.25">
      <c r="A13783" s="11" t="s">
        <v>26910</v>
      </c>
      <c r="B13783" s="11" t="s">
        <v>26910</v>
      </c>
      <c r="C13783" s="11" t="s">
        <v>17</v>
      </c>
      <c r="D13783" s="11" t="s">
        <v>18</v>
      </c>
      <c r="E13783" s="12" t="s">
        <v>606</v>
      </c>
      <c r="F13783" s="12" t="s">
        <v>607</v>
      </c>
      <c r="G13783" s="12" t="s">
        <v>40</v>
      </c>
      <c r="H13783" s="11" t="s">
        <v>63</v>
      </c>
      <c r="I13783" s="13" t="s">
        <v>26911</v>
      </c>
      <c r="J13783" s="14" t="str">
        <f>HYPERLINK("https://www.boe.es/gazeta/dias/1839/04/02/pdfs/GMD-1839-1599.pdf#page=2","Abrir facsímil")</f>
        <v>Abrir facsímil</v>
      </c>
      <c r="K13783" s="12" t="s">
        <v>65</v>
      </c>
    </row>
    <row r="13784" spans="1:11" ht="40.049999999999997" customHeight="1" x14ac:dyDescent="0.25">
      <c r="A13784" s="11" t="s">
        <v>26910</v>
      </c>
      <c r="B13784" s="11" t="s">
        <v>26910</v>
      </c>
      <c r="C13784" s="11" t="s">
        <v>17</v>
      </c>
      <c r="D13784" s="11" t="s">
        <v>18</v>
      </c>
      <c r="E13784" s="12" t="s">
        <v>381</v>
      </c>
      <c r="F13784" s="12" t="s">
        <v>382</v>
      </c>
      <c r="G13784" s="12" t="s">
        <v>21</v>
      </c>
      <c r="H13784" s="11" t="s">
        <v>63</v>
      </c>
      <c r="I13784" s="13" t="s">
        <v>26912</v>
      </c>
      <c r="J13784" s="14" t="str">
        <f>HYPERLINK("https://www.boe.es/gazeta/dias/1839/06/02/pdfs/GMD-1839-1660.pdf#page=4","Abrir facsímil")</f>
        <v>Abrir facsímil</v>
      </c>
      <c r="K13784" s="12" t="s">
        <v>65</v>
      </c>
    </row>
    <row r="13785" spans="1:11" ht="40.049999999999997" customHeight="1" x14ac:dyDescent="0.25">
      <c r="A13785" s="11" t="s">
        <v>26910</v>
      </c>
      <c r="B13785" s="11" t="s">
        <v>26910</v>
      </c>
      <c r="C13785" s="11" t="s">
        <v>17</v>
      </c>
      <c r="D13785" s="11" t="s">
        <v>18</v>
      </c>
      <c r="E13785" s="12" t="s">
        <v>49</v>
      </c>
      <c r="F13785" s="12" t="s">
        <v>50</v>
      </c>
      <c r="G13785" s="12" t="s">
        <v>21</v>
      </c>
      <c r="H13785" s="11" t="s">
        <v>63</v>
      </c>
      <c r="I13785" s="13" t="s">
        <v>26913</v>
      </c>
      <c r="J13785" s="14" t="str">
        <f>HYPERLINK("https://www.boe.es/gazeta/dias/1839/01/05/pdfs/GMD-1839-1512.pdf#page=4","Abrir facsímil")</f>
        <v>Abrir facsímil</v>
      </c>
      <c r="K13785" s="12" t="s">
        <v>65</v>
      </c>
    </row>
    <row r="13786" spans="1:11" ht="40.049999999999997" customHeight="1" x14ac:dyDescent="0.25">
      <c r="A13786" s="11" t="s">
        <v>26910</v>
      </c>
      <c r="B13786" s="11" t="s">
        <v>26910</v>
      </c>
      <c r="C13786" s="11" t="s">
        <v>17</v>
      </c>
      <c r="D13786" s="11" t="s">
        <v>18</v>
      </c>
      <c r="E13786" s="12" t="s">
        <v>4550</v>
      </c>
      <c r="F13786" s="12" t="s">
        <v>4551</v>
      </c>
      <c r="G13786" s="12" t="s">
        <v>29</v>
      </c>
      <c r="H13786" s="11" t="s">
        <v>63</v>
      </c>
      <c r="I13786" s="13" t="s">
        <v>26914</v>
      </c>
      <c r="J13786" s="14" t="str">
        <f>HYPERLINK("https://www.boe.es/gazeta/dias/1839/04/17/pdfs/GMD-1839-1614.pdf#page=1","Abrir facsímil")</f>
        <v>Abrir facsímil</v>
      </c>
      <c r="K13786" s="12" t="s">
        <v>65</v>
      </c>
    </row>
    <row r="13787" spans="1:11" ht="40.049999999999997" customHeight="1" x14ac:dyDescent="0.25">
      <c r="A13787" s="11" t="s">
        <v>26910</v>
      </c>
      <c r="B13787" s="11" t="s">
        <v>26910</v>
      </c>
      <c r="C13787" s="11" t="s">
        <v>101</v>
      </c>
      <c r="D13787" s="11" t="s">
        <v>102</v>
      </c>
      <c r="E13787" s="12" t="s">
        <v>1779</v>
      </c>
      <c r="F13787" s="12" t="s">
        <v>1780</v>
      </c>
      <c r="G13787" s="12" t="s">
        <v>40</v>
      </c>
      <c r="H13787" s="11" t="s">
        <v>63</v>
      </c>
      <c r="I13787" s="13" t="s">
        <v>26915</v>
      </c>
      <c r="J13787" s="14" t="str">
        <f>HYPERLINK("https://www.boe.es/gazeta/dias/1839/03/18/pdfs/GMD-1839-1584.pdf#page=2","Abrir facsímil")</f>
        <v>Abrir facsímil</v>
      </c>
      <c r="K13787" s="12" t="s">
        <v>65</v>
      </c>
    </row>
    <row r="13788" spans="1:11" ht="40.049999999999997" customHeight="1" x14ac:dyDescent="0.25">
      <c r="A13788" s="11" t="s">
        <v>26910</v>
      </c>
      <c r="B13788" s="11" t="s">
        <v>26910</v>
      </c>
      <c r="C13788" s="11" t="s">
        <v>17</v>
      </c>
      <c r="D13788" s="11" t="s">
        <v>18</v>
      </c>
      <c r="E13788" s="12" t="s">
        <v>522</v>
      </c>
      <c r="F13788" s="12" t="s">
        <v>523</v>
      </c>
      <c r="G13788" s="12" t="s">
        <v>566</v>
      </c>
      <c r="H13788" s="11" t="s">
        <v>63</v>
      </c>
      <c r="I13788" s="13" t="s">
        <v>26916</v>
      </c>
      <c r="J13788" s="14" t="str">
        <f>HYPERLINK("https://www.boe.es/gazeta/dias/1839/08/27/pdfs/GMD-1839-1748.pdf#page=5","Abrir facsímil")</f>
        <v>Abrir facsímil</v>
      </c>
      <c r="K13788" s="12" t="s">
        <v>65</v>
      </c>
    </row>
    <row r="13789" spans="1:11" ht="40.049999999999997" customHeight="1" x14ac:dyDescent="0.25">
      <c r="A13789" s="11" t="s">
        <v>26917</v>
      </c>
      <c r="B13789" s="11" t="s">
        <v>26917</v>
      </c>
      <c r="C13789" s="11" t="s">
        <v>59</v>
      </c>
      <c r="D13789" s="11" t="s">
        <v>60</v>
      </c>
      <c r="E13789" s="12" t="s">
        <v>984</v>
      </c>
      <c r="F13789" s="12" t="s">
        <v>985</v>
      </c>
      <c r="G13789" s="12" t="s">
        <v>29</v>
      </c>
      <c r="H13789" s="11" t="s">
        <v>63</v>
      </c>
      <c r="I13789" s="13" t="s">
        <v>26918</v>
      </c>
      <c r="J13789" s="14" t="str">
        <f>HYPERLINK("https://www.boe.es/gazeta/dias/1839/04/10/pdfs/GMD-1839-1607.pdf#page=1","Abrir facsímil")</f>
        <v>Abrir facsímil</v>
      </c>
      <c r="K13789" s="12" t="s">
        <v>65</v>
      </c>
    </row>
    <row r="13790" spans="1:11" ht="40.049999999999997" customHeight="1" x14ac:dyDescent="0.25">
      <c r="A13790" s="11" t="s">
        <v>26919</v>
      </c>
      <c r="B13790" s="11" t="s">
        <v>26919</v>
      </c>
      <c r="C13790" s="11" t="s">
        <v>101</v>
      </c>
      <c r="D13790" s="11" t="s">
        <v>43</v>
      </c>
      <c r="E13790" s="12" t="s">
        <v>1929</v>
      </c>
      <c r="F13790" s="12" t="s">
        <v>1930</v>
      </c>
      <c r="G13790" s="12" t="s">
        <v>46</v>
      </c>
      <c r="H13790" s="11" t="s">
        <v>63</v>
      </c>
      <c r="I13790" s="13" t="s">
        <v>26920</v>
      </c>
      <c r="J13790" s="14" t="str">
        <f>HYPERLINK("https://www.boe.es/gazeta/dias/1839/02/01/pdfs/GMD-1839-1539.pdf#page=3","Abrir facsímil")</f>
        <v>Abrir facsímil</v>
      </c>
      <c r="K13790" s="12" t="s">
        <v>65</v>
      </c>
    </row>
    <row r="13791" spans="1:11" ht="40.049999999999997" customHeight="1" x14ac:dyDescent="0.25">
      <c r="A13791" s="11" t="s">
        <v>26919</v>
      </c>
      <c r="B13791" s="11" t="s">
        <v>26919</v>
      </c>
      <c r="C13791" s="11" t="s">
        <v>137</v>
      </c>
      <c r="D13791" s="11" t="s">
        <v>18</v>
      </c>
      <c r="E13791" s="12" t="s">
        <v>1057</v>
      </c>
      <c r="F13791" s="12" t="s">
        <v>1058</v>
      </c>
      <c r="G13791" s="12" t="s">
        <v>46</v>
      </c>
      <c r="H13791" s="11" t="s">
        <v>63</v>
      </c>
      <c r="I13791" s="13" t="s">
        <v>26921</v>
      </c>
      <c r="J13791" s="14" t="str">
        <f>HYPERLINK("https://www.boe.es/gazeta/dias/1839/10/01/pdfs/GMD-1839-1787.pdf#page=3","Abrir facsímil")</f>
        <v>Abrir facsímil</v>
      </c>
      <c r="K13791" s="12" t="s">
        <v>65</v>
      </c>
    </row>
    <row r="13792" spans="1:11" ht="40.049999999999997" customHeight="1" x14ac:dyDescent="0.25">
      <c r="A13792" s="11" t="s">
        <v>26919</v>
      </c>
      <c r="B13792" s="11" t="s">
        <v>26919</v>
      </c>
      <c r="C13792" s="11" t="s">
        <v>17</v>
      </c>
      <c r="D13792" s="11" t="s">
        <v>18</v>
      </c>
      <c r="E13792" s="12" t="s">
        <v>258</v>
      </c>
      <c r="F13792" s="12" t="s">
        <v>259</v>
      </c>
      <c r="G13792" s="12" t="s">
        <v>21</v>
      </c>
      <c r="H13792" s="11" t="s">
        <v>63</v>
      </c>
      <c r="I13792" s="13" t="s">
        <v>26922</v>
      </c>
      <c r="J13792" s="14" t="str">
        <f>HYPERLINK("https://www.boe.es/gazeta/dias/1839/01/02/pdfs/GMD-1839-1509.pdf#page=4","Abrir facsímil")</f>
        <v>Abrir facsímil</v>
      </c>
      <c r="K13792" s="12" t="s">
        <v>65</v>
      </c>
    </row>
    <row r="13793" spans="1:11" ht="40.049999999999997" customHeight="1" x14ac:dyDescent="0.25">
      <c r="A13793" s="11" t="s">
        <v>26919</v>
      </c>
      <c r="B13793" s="11" t="s">
        <v>26919</v>
      </c>
      <c r="C13793" s="11" t="s">
        <v>137</v>
      </c>
      <c r="D13793" s="11" t="s">
        <v>18</v>
      </c>
      <c r="E13793" s="12" t="s">
        <v>154</v>
      </c>
      <c r="F13793" s="12" t="s">
        <v>155</v>
      </c>
      <c r="G13793" s="12" t="s">
        <v>29</v>
      </c>
      <c r="H13793" s="11" t="s">
        <v>63</v>
      </c>
      <c r="I13793" s="13" t="s">
        <v>26923</v>
      </c>
      <c r="J13793" s="14" t="str">
        <f>HYPERLINK("https://www.boe.es/gazeta/dias/1839/02/02/pdfs/GMD-1839-1540.pdf#page=1","Abrir facsímil")</f>
        <v>Abrir facsímil</v>
      </c>
      <c r="K13793" s="12" t="s">
        <v>65</v>
      </c>
    </row>
    <row r="13794" spans="1:11" ht="40.049999999999997" customHeight="1" x14ac:dyDescent="0.25">
      <c r="A13794" s="11" t="s">
        <v>26919</v>
      </c>
      <c r="B13794" s="11" t="s">
        <v>26919</v>
      </c>
      <c r="C13794" s="11" t="s">
        <v>17</v>
      </c>
      <c r="D13794" s="11" t="s">
        <v>18</v>
      </c>
      <c r="E13794" s="12" t="s">
        <v>779</v>
      </c>
      <c r="F13794" s="12" t="s">
        <v>780</v>
      </c>
      <c r="G13794" s="12" t="s">
        <v>40</v>
      </c>
      <c r="H13794" s="11" t="s">
        <v>63</v>
      </c>
      <c r="I13794" s="13" t="s">
        <v>26924</v>
      </c>
      <c r="J13794" s="14" t="str">
        <f>HYPERLINK("https://www.boe.es/gazeta/dias/1839/02/03/pdfs/GMD-1839-1541.pdf#page=2","Abrir facsímil")</f>
        <v>Abrir facsímil</v>
      </c>
      <c r="K13794" s="12" t="s">
        <v>65</v>
      </c>
    </row>
    <row r="13795" spans="1:11" ht="40.049999999999997" customHeight="1" x14ac:dyDescent="0.25">
      <c r="A13795" s="11" t="s">
        <v>26919</v>
      </c>
      <c r="B13795" s="11" t="s">
        <v>26919</v>
      </c>
      <c r="C13795" s="11" t="s">
        <v>17</v>
      </c>
      <c r="D13795" s="11" t="s">
        <v>18</v>
      </c>
      <c r="E13795" s="12" t="s">
        <v>798</v>
      </c>
      <c r="F13795" s="12" t="s">
        <v>799</v>
      </c>
      <c r="G13795" s="12" t="s">
        <v>40</v>
      </c>
      <c r="H13795" s="11" t="s">
        <v>63</v>
      </c>
      <c r="I13795" s="13" t="s">
        <v>26925</v>
      </c>
      <c r="J13795" s="14" t="str">
        <f>HYPERLINK("https://www.boe.es/gazeta/dias/1839/09/03/pdfs/GMD-1839-1755.pdf#page=2","Abrir facsímil")</f>
        <v>Abrir facsímil</v>
      </c>
      <c r="K13795" s="12" t="s">
        <v>65</v>
      </c>
    </row>
    <row r="13796" spans="1:11" ht="40.049999999999997" customHeight="1" x14ac:dyDescent="0.25">
      <c r="A13796" s="11" t="s">
        <v>26919</v>
      </c>
      <c r="B13796" s="11" t="s">
        <v>26919</v>
      </c>
      <c r="C13796" s="11" t="s">
        <v>101</v>
      </c>
      <c r="D13796" s="11" t="s">
        <v>43</v>
      </c>
      <c r="E13796" s="12" t="s">
        <v>49</v>
      </c>
      <c r="F13796" s="12" t="s">
        <v>50</v>
      </c>
      <c r="G13796" s="12" t="s">
        <v>46</v>
      </c>
      <c r="H13796" s="11" t="s">
        <v>63</v>
      </c>
      <c r="I13796" s="13" t="s">
        <v>26926</v>
      </c>
      <c r="J13796" s="14" t="str">
        <f>HYPERLINK("https://www.boe.es/gazeta/dias/1839/01/05/pdfs/GMD-1839-1512.pdf#page=3","Abrir facsímil")</f>
        <v>Abrir facsímil</v>
      </c>
      <c r="K13796" s="12" t="s">
        <v>65</v>
      </c>
    </row>
    <row r="13797" spans="1:11" ht="40.049999999999997" customHeight="1" x14ac:dyDescent="0.25">
      <c r="A13797" s="11" t="s">
        <v>26919</v>
      </c>
      <c r="B13797" s="11" t="s">
        <v>26919</v>
      </c>
      <c r="C13797" s="11" t="s">
        <v>17</v>
      </c>
      <c r="D13797" s="11" t="s">
        <v>18</v>
      </c>
      <c r="E13797" s="12" t="s">
        <v>54</v>
      </c>
      <c r="F13797" s="12" t="s">
        <v>55</v>
      </c>
      <c r="G13797" s="12" t="s">
        <v>46</v>
      </c>
      <c r="H13797" s="11" t="s">
        <v>63</v>
      </c>
      <c r="I13797" s="13" t="s">
        <v>26927</v>
      </c>
      <c r="J13797" s="14" t="str">
        <f>HYPERLINK("https://www.boe.es/gazeta/dias/1839/10/05/pdfs/GMD-1839-1791.pdf#page=3","Abrir facsímil")</f>
        <v>Abrir facsímil</v>
      </c>
      <c r="K13797" s="12" t="s">
        <v>65</v>
      </c>
    </row>
    <row r="13798" spans="1:11" ht="40.049999999999997" customHeight="1" x14ac:dyDescent="0.25">
      <c r="A13798" s="11" t="s">
        <v>26919</v>
      </c>
      <c r="B13798" s="11" t="s">
        <v>26919</v>
      </c>
      <c r="C13798" s="11" t="s">
        <v>17</v>
      </c>
      <c r="D13798" s="11" t="s">
        <v>18</v>
      </c>
      <c r="E13798" s="12" t="s">
        <v>2165</v>
      </c>
      <c r="F13798" s="12" t="s">
        <v>2166</v>
      </c>
      <c r="G13798" s="12" t="s">
        <v>46</v>
      </c>
      <c r="H13798" s="11" t="s">
        <v>63</v>
      </c>
      <c r="I13798" s="13" t="s">
        <v>26928</v>
      </c>
      <c r="J13798" s="14" t="str">
        <f>HYPERLINK("https://www.boe.es/gazeta/dias/1839/01/06/pdfs/GMD-1839-1513.pdf#page=3","Abrir facsímil")</f>
        <v>Abrir facsímil</v>
      </c>
      <c r="K13798" s="12" t="s">
        <v>65</v>
      </c>
    </row>
    <row r="13799" spans="1:11" ht="40.049999999999997" customHeight="1" x14ac:dyDescent="0.25">
      <c r="A13799" s="11" t="s">
        <v>26919</v>
      </c>
      <c r="B13799" s="11" t="s">
        <v>26919</v>
      </c>
      <c r="C13799" s="11" t="s">
        <v>80</v>
      </c>
      <c r="D13799" s="11" t="s">
        <v>18</v>
      </c>
      <c r="E13799" s="12" t="s">
        <v>217</v>
      </c>
      <c r="F13799" s="12" t="s">
        <v>218</v>
      </c>
      <c r="G13799" s="12" t="s">
        <v>46</v>
      </c>
      <c r="H13799" s="11" t="s">
        <v>63</v>
      </c>
      <c r="I13799" s="13" t="s">
        <v>26929</v>
      </c>
      <c r="J13799" s="14" t="str">
        <f>HYPERLINK("https://www.boe.es/gazeta/dias/1839/08/06/pdfs/GMD-1839-1726.pdf#page=3","Abrir facsímil")</f>
        <v>Abrir facsímil</v>
      </c>
      <c r="K13799" s="12" t="s">
        <v>65</v>
      </c>
    </row>
    <row r="13800" spans="1:11" ht="40.049999999999997" customHeight="1" x14ac:dyDescent="0.25">
      <c r="A13800" s="11" t="s">
        <v>26919</v>
      </c>
      <c r="B13800" s="11" t="s">
        <v>26919</v>
      </c>
      <c r="C13800" s="11" t="s">
        <v>101</v>
      </c>
      <c r="D13800" s="11" t="s">
        <v>43</v>
      </c>
      <c r="E13800" s="12" t="s">
        <v>1008</v>
      </c>
      <c r="F13800" s="12" t="s">
        <v>1009</v>
      </c>
      <c r="G13800" s="12" t="s">
        <v>46</v>
      </c>
      <c r="H13800" s="11" t="s">
        <v>63</v>
      </c>
      <c r="I13800" s="13" t="s">
        <v>26930</v>
      </c>
      <c r="J13800" s="14" t="str">
        <f>HYPERLINK("https://www.boe.es/gazeta/dias/1839/09/07/pdfs/GMD-1839-1760.pdf#page=3","Abrir facsímil")</f>
        <v>Abrir facsímil</v>
      </c>
      <c r="K13800" s="12" t="s">
        <v>65</v>
      </c>
    </row>
    <row r="13801" spans="1:11" ht="40.049999999999997" customHeight="1" x14ac:dyDescent="0.25">
      <c r="A13801" s="11" t="s">
        <v>26919</v>
      </c>
      <c r="B13801" s="11" t="s">
        <v>26919</v>
      </c>
      <c r="C13801" s="11" t="s">
        <v>80</v>
      </c>
      <c r="D13801" s="11" t="s">
        <v>18</v>
      </c>
      <c r="E13801" s="12" t="s">
        <v>157</v>
      </c>
      <c r="F13801" s="12" t="s">
        <v>158</v>
      </c>
      <c r="G13801" s="12" t="s">
        <v>46</v>
      </c>
      <c r="H13801" s="11" t="s">
        <v>63</v>
      </c>
      <c r="I13801" s="13" t="s">
        <v>26931</v>
      </c>
      <c r="J13801" s="14" t="str">
        <f>HYPERLINK("https://www.boe.es/gazeta/dias/1839/02/08/pdfs/GMD-1839-1546.pdf#page=3","Abrir facsímil")</f>
        <v>Abrir facsímil</v>
      </c>
      <c r="K13801" s="12" t="s">
        <v>65</v>
      </c>
    </row>
    <row r="13802" spans="1:11" ht="40.049999999999997" customHeight="1" x14ac:dyDescent="0.25">
      <c r="A13802" s="11" t="s">
        <v>26919</v>
      </c>
      <c r="B13802" s="11" t="s">
        <v>26919</v>
      </c>
      <c r="C13802" s="11" t="s">
        <v>137</v>
      </c>
      <c r="D13802" s="11" t="s">
        <v>18</v>
      </c>
      <c r="E13802" s="12" t="s">
        <v>647</v>
      </c>
      <c r="F13802" s="12" t="s">
        <v>648</v>
      </c>
      <c r="G13802" s="12" t="s">
        <v>5567</v>
      </c>
      <c r="H13802" s="11" t="s">
        <v>63</v>
      </c>
      <c r="I13802" s="13" t="s">
        <v>26932</v>
      </c>
      <c r="J13802" s="14" t="str">
        <f>HYPERLINK("https://www.boe.es/gazeta/dias/1839/10/08/pdfs/GMD-1839-1794.pdf#page=7","Abrir facsímil")</f>
        <v>Abrir facsímil</v>
      </c>
      <c r="K13802" s="12" t="s">
        <v>65</v>
      </c>
    </row>
    <row r="13803" spans="1:11" ht="40.049999999999997" customHeight="1" x14ac:dyDescent="0.25">
      <c r="A13803" s="11" t="s">
        <v>26919</v>
      </c>
      <c r="B13803" s="11" t="s">
        <v>26919</v>
      </c>
      <c r="C13803" s="11" t="s">
        <v>17</v>
      </c>
      <c r="D13803" s="11" t="s">
        <v>18</v>
      </c>
      <c r="E13803" s="12" t="s">
        <v>2050</v>
      </c>
      <c r="F13803" s="12" t="s">
        <v>2051</v>
      </c>
      <c r="G13803" s="12" t="s">
        <v>46</v>
      </c>
      <c r="H13803" s="11" t="s">
        <v>63</v>
      </c>
      <c r="I13803" s="13" t="s">
        <v>26933</v>
      </c>
      <c r="J13803" s="14" t="str">
        <f>HYPERLINK("https://www.boe.es/gazeta/dias/1839/01/09/pdfs/GMD-1839-1516.pdf#page=3","Abrir facsímil")</f>
        <v>Abrir facsímil</v>
      </c>
      <c r="K13803" s="12" t="s">
        <v>65</v>
      </c>
    </row>
    <row r="13804" spans="1:11" ht="40.049999999999997" customHeight="1" x14ac:dyDescent="0.25">
      <c r="A13804" s="11" t="s">
        <v>26919</v>
      </c>
      <c r="B13804" s="11" t="s">
        <v>26919</v>
      </c>
      <c r="C13804" s="11" t="s">
        <v>17</v>
      </c>
      <c r="D13804" s="11" t="s">
        <v>18</v>
      </c>
      <c r="E13804" s="12" t="s">
        <v>1366</v>
      </c>
      <c r="F13804" s="12" t="s">
        <v>1367</v>
      </c>
      <c r="G13804" s="12" t="s">
        <v>46</v>
      </c>
      <c r="H13804" s="11" t="s">
        <v>63</v>
      </c>
      <c r="I13804" s="13" t="s">
        <v>26934</v>
      </c>
      <c r="J13804" s="14" t="str">
        <f>HYPERLINK("https://www.boe.es/gazeta/dias/1839/09/09/pdfs/GMD-1839-1762.pdf#page=3","Abrir facsímil")</f>
        <v>Abrir facsímil</v>
      </c>
      <c r="K13804" s="12" t="s">
        <v>65</v>
      </c>
    </row>
    <row r="13805" spans="1:11" ht="40.049999999999997" customHeight="1" x14ac:dyDescent="0.25">
      <c r="A13805" s="11" t="s">
        <v>26919</v>
      </c>
      <c r="B13805" s="11" t="s">
        <v>26919</v>
      </c>
      <c r="C13805" s="11" t="s">
        <v>17</v>
      </c>
      <c r="D13805" s="11" t="s">
        <v>18</v>
      </c>
      <c r="E13805" s="12" t="s">
        <v>160</v>
      </c>
      <c r="F13805" s="12" t="s">
        <v>161</v>
      </c>
      <c r="G13805" s="12" t="s">
        <v>29</v>
      </c>
      <c r="H13805" s="11" t="s">
        <v>63</v>
      </c>
      <c r="I13805" s="13" t="s">
        <v>26935</v>
      </c>
      <c r="J13805" s="14" t="str">
        <f>HYPERLINK("https://www.boe.es/gazeta/dias/1839/01/10/pdfs/GMD-1839-1517.pdf#page=1","Abrir facsímil")</f>
        <v>Abrir facsímil</v>
      </c>
      <c r="K13805" s="12" t="s">
        <v>65</v>
      </c>
    </row>
    <row r="13806" spans="1:11" ht="40.049999999999997" customHeight="1" x14ac:dyDescent="0.25">
      <c r="A13806" s="11" t="s">
        <v>26919</v>
      </c>
      <c r="B13806" s="11" t="s">
        <v>26919</v>
      </c>
      <c r="C13806" s="11" t="s">
        <v>17</v>
      </c>
      <c r="D13806" s="11" t="s">
        <v>18</v>
      </c>
      <c r="E13806" s="12" t="s">
        <v>561</v>
      </c>
      <c r="F13806" s="12" t="s">
        <v>562</v>
      </c>
      <c r="G13806" s="12" t="s">
        <v>40</v>
      </c>
      <c r="H13806" s="11" t="s">
        <v>63</v>
      </c>
      <c r="I13806" s="13" t="s">
        <v>26936</v>
      </c>
      <c r="J13806" s="14" t="str">
        <f>HYPERLINK("https://www.boe.es/gazeta/dias/1839/09/11/pdfs/GMD-1839-1764.pdf#page=2","Abrir facsímil")</f>
        <v>Abrir facsímil</v>
      </c>
      <c r="K13806" s="12" t="s">
        <v>65</v>
      </c>
    </row>
    <row r="13807" spans="1:11" ht="40.049999999999997" customHeight="1" x14ac:dyDescent="0.25">
      <c r="A13807" s="11" t="s">
        <v>26919</v>
      </c>
      <c r="B13807" s="11" t="s">
        <v>26919</v>
      </c>
      <c r="C13807" s="11" t="s">
        <v>101</v>
      </c>
      <c r="D13807" s="11" t="s">
        <v>43</v>
      </c>
      <c r="E13807" s="12" t="s">
        <v>103</v>
      </c>
      <c r="F13807" s="12" t="s">
        <v>104</v>
      </c>
      <c r="G13807" s="12" t="s">
        <v>46</v>
      </c>
      <c r="H13807" s="11" t="s">
        <v>63</v>
      </c>
      <c r="I13807" s="13" t="s">
        <v>26937</v>
      </c>
      <c r="J13807" s="14" t="str">
        <f>HYPERLINK("https://www.boe.es/gazeta/dias/1839/10/12/pdfs/GMD-1839-1798.pdf#page=3","Abrir facsímil")</f>
        <v>Abrir facsímil</v>
      </c>
      <c r="K13807" s="12" t="s">
        <v>65</v>
      </c>
    </row>
    <row r="13808" spans="1:11" ht="40.049999999999997" customHeight="1" x14ac:dyDescent="0.25">
      <c r="A13808" s="11" t="s">
        <v>26919</v>
      </c>
      <c r="B13808" s="11" t="s">
        <v>26919</v>
      </c>
      <c r="C13808" s="11" t="s">
        <v>101</v>
      </c>
      <c r="D13808" s="11" t="s">
        <v>43</v>
      </c>
      <c r="E13808" s="12" t="s">
        <v>1100</v>
      </c>
      <c r="F13808" s="12" t="s">
        <v>1101</v>
      </c>
      <c r="G13808" s="12" t="s">
        <v>29</v>
      </c>
      <c r="H13808" s="11" t="s">
        <v>63</v>
      </c>
      <c r="I13808" s="13" t="s">
        <v>26938</v>
      </c>
      <c r="J13808" s="14" t="str">
        <f>HYPERLINK("https://www.boe.es/gazeta/dias/1839/09/13/pdfs/GMD-1839-1766.pdf#page=1","Abrir facsímil")</f>
        <v>Abrir facsímil</v>
      </c>
      <c r="K13808" s="12" t="s">
        <v>65</v>
      </c>
    </row>
    <row r="13809" spans="1:11" ht="40.049999999999997" customHeight="1" x14ac:dyDescent="0.25">
      <c r="A13809" s="11" t="s">
        <v>26919</v>
      </c>
      <c r="B13809" s="11" t="s">
        <v>26919</v>
      </c>
      <c r="C13809" s="11" t="s">
        <v>17</v>
      </c>
      <c r="D13809" s="11" t="s">
        <v>18</v>
      </c>
      <c r="E13809" s="12" t="s">
        <v>592</v>
      </c>
      <c r="F13809" s="12" t="s">
        <v>593</v>
      </c>
      <c r="G13809" s="12" t="s">
        <v>40</v>
      </c>
      <c r="H13809" s="11" t="s">
        <v>63</v>
      </c>
      <c r="I13809" s="13" t="s">
        <v>26939</v>
      </c>
      <c r="J13809" s="14" t="str">
        <f>HYPERLINK("https://www.boe.es/gazeta/dias/1839/09/14/pdfs/GMD-1839-1767.pdf#page=2","Abrir facsímil")</f>
        <v>Abrir facsímil</v>
      </c>
      <c r="K13809" s="12" t="s">
        <v>65</v>
      </c>
    </row>
    <row r="13810" spans="1:11" ht="40.049999999999997" customHeight="1" x14ac:dyDescent="0.25">
      <c r="A13810" s="11" t="s">
        <v>26919</v>
      </c>
      <c r="B13810" s="11" t="s">
        <v>26919</v>
      </c>
      <c r="C13810" s="11" t="s">
        <v>17</v>
      </c>
      <c r="D13810" s="11" t="s">
        <v>43</v>
      </c>
      <c r="E13810" s="12" t="s">
        <v>185</v>
      </c>
      <c r="F13810" s="12" t="s">
        <v>186</v>
      </c>
      <c r="G13810" s="12" t="s">
        <v>29</v>
      </c>
      <c r="H13810" s="11" t="s">
        <v>63</v>
      </c>
      <c r="I13810" s="13" t="s">
        <v>26940</v>
      </c>
      <c r="J13810" s="14" t="str">
        <f>HYPERLINK("https://www.boe.es/gazeta/dias/1839/01/15/pdfs/GMD-1839-1522.pdf#page=1","Abrir facsímil")</f>
        <v>Abrir facsímil</v>
      </c>
      <c r="K13810" s="12" t="s">
        <v>65</v>
      </c>
    </row>
    <row r="13811" spans="1:11" ht="40.049999999999997" customHeight="1" x14ac:dyDescent="0.25">
      <c r="A13811" s="11" t="s">
        <v>26919</v>
      </c>
      <c r="B13811" s="11" t="s">
        <v>26919</v>
      </c>
      <c r="C13811" s="11" t="s">
        <v>80</v>
      </c>
      <c r="D13811" s="11" t="s">
        <v>18</v>
      </c>
      <c r="E13811" s="12" t="s">
        <v>1019</v>
      </c>
      <c r="F13811" s="12" t="s">
        <v>1020</v>
      </c>
      <c r="G13811" s="12" t="s">
        <v>46</v>
      </c>
      <c r="H13811" s="11" t="s">
        <v>63</v>
      </c>
      <c r="I13811" s="13" t="s">
        <v>26941</v>
      </c>
      <c r="J13811" s="14" t="str">
        <f>HYPERLINK("https://www.boe.es/gazeta/dias/1839/07/15/pdfs/GMD-1839-1703.pdf#page=3","Abrir facsímil")</f>
        <v>Abrir facsímil</v>
      </c>
      <c r="K13811" s="12" t="s">
        <v>65</v>
      </c>
    </row>
    <row r="13812" spans="1:11" ht="40.049999999999997" customHeight="1" x14ac:dyDescent="0.25">
      <c r="A13812" s="11" t="s">
        <v>26919</v>
      </c>
      <c r="B13812" s="11" t="s">
        <v>26919</v>
      </c>
      <c r="C13812" s="11" t="s">
        <v>17</v>
      </c>
      <c r="D13812" s="11" t="s">
        <v>18</v>
      </c>
      <c r="E13812" s="12" t="s">
        <v>2650</v>
      </c>
      <c r="F13812" s="12" t="s">
        <v>2651</v>
      </c>
      <c r="G13812" s="12" t="s">
        <v>29</v>
      </c>
      <c r="H13812" s="11" t="s">
        <v>63</v>
      </c>
      <c r="I13812" s="13" t="s">
        <v>26942</v>
      </c>
      <c r="J13812" s="14" t="str">
        <f>HYPERLINK("https://www.boe.es/gazeta/dias/1839/09/15/pdfs/GMD-1839-1768.pdf#page=1","Abrir facsímil")</f>
        <v>Abrir facsímil</v>
      </c>
      <c r="K13812" s="12" t="s">
        <v>65</v>
      </c>
    </row>
    <row r="13813" spans="1:11" ht="40.049999999999997" customHeight="1" x14ac:dyDescent="0.25">
      <c r="A13813" s="11" t="s">
        <v>26919</v>
      </c>
      <c r="B13813" s="11" t="s">
        <v>26919</v>
      </c>
      <c r="C13813" s="11" t="s">
        <v>17</v>
      </c>
      <c r="D13813" s="11" t="s">
        <v>18</v>
      </c>
      <c r="E13813" s="12" t="s">
        <v>1644</v>
      </c>
      <c r="F13813" s="12" t="s">
        <v>1645</v>
      </c>
      <c r="G13813" s="12" t="s">
        <v>46</v>
      </c>
      <c r="H13813" s="11" t="s">
        <v>63</v>
      </c>
      <c r="I13813" s="13" t="s">
        <v>26943</v>
      </c>
      <c r="J13813" s="14" t="str">
        <f>HYPERLINK("https://www.boe.es/gazeta/dias/1839/04/16/pdfs/GMD-1839-1613.pdf#page=3","Abrir facsímil")</f>
        <v>Abrir facsímil</v>
      </c>
      <c r="K13813" s="12" t="s">
        <v>65</v>
      </c>
    </row>
    <row r="13814" spans="1:11" ht="40.049999999999997" customHeight="1" x14ac:dyDescent="0.25">
      <c r="A13814" s="11" t="s">
        <v>26919</v>
      </c>
      <c r="B13814" s="11" t="s">
        <v>26919</v>
      </c>
      <c r="C13814" s="11" t="s">
        <v>17</v>
      </c>
      <c r="D13814" s="11" t="s">
        <v>18</v>
      </c>
      <c r="E13814" s="12" t="s">
        <v>1236</v>
      </c>
      <c r="F13814" s="12" t="s">
        <v>1237</v>
      </c>
      <c r="G13814" s="12" t="s">
        <v>40</v>
      </c>
      <c r="H13814" s="11" t="s">
        <v>63</v>
      </c>
      <c r="I13814" s="13" t="s">
        <v>26944</v>
      </c>
      <c r="J13814" s="14" t="str">
        <f>HYPERLINK("https://www.boe.es/gazeta/dias/1839/10/16/pdfs/GMD-1839-1802.pdf#page=2","Abrir facsímil")</f>
        <v>Abrir facsímil</v>
      </c>
      <c r="K13814" s="12" t="s">
        <v>65</v>
      </c>
    </row>
    <row r="13815" spans="1:11" ht="40.049999999999997" customHeight="1" x14ac:dyDescent="0.25">
      <c r="A13815" s="11" t="s">
        <v>26919</v>
      </c>
      <c r="B13815" s="11" t="s">
        <v>26919</v>
      </c>
      <c r="C13815" s="11" t="s">
        <v>17</v>
      </c>
      <c r="D13815" s="11" t="s">
        <v>18</v>
      </c>
      <c r="E13815" s="12" t="s">
        <v>233</v>
      </c>
      <c r="F13815" s="12" t="s">
        <v>234</v>
      </c>
      <c r="G13815" s="12" t="s">
        <v>40</v>
      </c>
      <c r="H13815" s="11" t="s">
        <v>63</v>
      </c>
      <c r="I13815" s="13" t="s">
        <v>26945</v>
      </c>
      <c r="J13815" s="14" t="str">
        <f>HYPERLINK("https://www.boe.es/gazeta/dias/1839/09/17/pdfs/GMD-1839-1770.pdf#page=2","Abrir facsímil")</f>
        <v>Abrir facsímil</v>
      </c>
      <c r="K13815" s="12" t="s">
        <v>65</v>
      </c>
    </row>
    <row r="13816" spans="1:11" ht="40.049999999999997" customHeight="1" x14ac:dyDescent="0.25">
      <c r="A13816" s="11" t="s">
        <v>26919</v>
      </c>
      <c r="B13816" s="11" t="s">
        <v>26919</v>
      </c>
      <c r="C13816" s="11" t="s">
        <v>137</v>
      </c>
      <c r="D13816" s="11" t="s">
        <v>18</v>
      </c>
      <c r="E13816" s="12" t="s">
        <v>236</v>
      </c>
      <c r="F13816" s="12" t="s">
        <v>237</v>
      </c>
      <c r="G13816" s="12" t="s">
        <v>46</v>
      </c>
      <c r="H13816" s="11" t="s">
        <v>63</v>
      </c>
      <c r="I13816" s="13" t="s">
        <v>26946</v>
      </c>
      <c r="J13816" s="14" t="str">
        <f>HYPERLINK("https://www.boe.es/gazeta/dias/1839/09/18/pdfs/GMD-1839-1771.pdf#page=3","Abrir facsímil")</f>
        <v>Abrir facsímil</v>
      </c>
      <c r="K13816" s="12" t="s">
        <v>65</v>
      </c>
    </row>
    <row r="13817" spans="1:11" ht="40.049999999999997" customHeight="1" x14ac:dyDescent="0.25">
      <c r="A13817" s="11" t="s">
        <v>26919</v>
      </c>
      <c r="B13817" s="11" t="s">
        <v>26919</v>
      </c>
      <c r="C13817" s="11" t="s">
        <v>17</v>
      </c>
      <c r="D13817" s="11" t="s">
        <v>18</v>
      </c>
      <c r="E13817" s="12" t="s">
        <v>19</v>
      </c>
      <c r="F13817" s="12" t="s">
        <v>20</v>
      </c>
      <c r="G13817" s="12" t="s">
        <v>21</v>
      </c>
      <c r="H13817" s="11" t="s">
        <v>63</v>
      </c>
      <c r="I13817" s="13" t="s">
        <v>26947</v>
      </c>
      <c r="J13817" s="14" t="str">
        <f>HYPERLINK("https://www.boe.es/gazeta/dias/1839/01/19/pdfs/GMD-1839-1526.pdf#page=4","Abrir facsímil")</f>
        <v>Abrir facsímil</v>
      </c>
      <c r="K13817" s="12" t="s">
        <v>65</v>
      </c>
    </row>
    <row r="13818" spans="1:11" ht="40.049999999999997" customHeight="1" x14ac:dyDescent="0.25">
      <c r="A13818" s="11" t="s">
        <v>26919</v>
      </c>
      <c r="B13818" s="11" t="s">
        <v>26919</v>
      </c>
      <c r="C13818" s="11" t="s">
        <v>17</v>
      </c>
      <c r="D13818" s="11" t="s">
        <v>18</v>
      </c>
      <c r="E13818" s="12" t="s">
        <v>433</v>
      </c>
      <c r="F13818" s="12" t="s">
        <v>434</v>
      </c>
      <c r="G13818" s="12" t="s">
        <v>40</v>
      </c>
      <c r="H13818" s="11" t="s">
        <v>63</v>
      </c>
      <c r="I13818" s="13" t="s">
        <v>26948</v>
      </c>
      <c r="J13818" s="14" t="str">
        <f>HYPERLINK("https://www.boe.es/gazeta/dias/1839/01/20/pdfs/GMD-1839-1527.pdf#page=2","Abrir facsímil")</f>
        <v>Abrir facsímil</v>
      </c>
      <c r="K13818" s="12" t="s">
        <v>65</v>
      </c>
    </row>
    <row r="13819" spans="1:11" ht="40.049999999999997" customHeight="1" x14ac:dyDescent="0.25">
      <c r="A13819" s="11" t="s">
        <v>26919</v>
      </c>
      <c r="B13819" s="11" t="s">
        <v>26919</v>
      </c>
      <c r="C13819" s="11" t="s">
        <v>59</v>
      </c>
      <c r="D13819" s="11" t="s">
        <v>60</v>
      </c>
      <c r="E13819" s="12" t="s">
        <v>821</v>
      </c>
      <c r="F13819" s="12" t="s">
        <v>822</v>
      </c>
      <c r="G13819" s="12" t="s">
        <v>40</v>
      </c>
      <c r="H13819" s="11" t="s">
        <v>63</v>
      </c>
      <c r="I13819" s="13" t="s">
        <v>26949</v>
      </c>
      <c r="J13819" s="14" t="str">
        <f>HYPERLINK("https://www.boe.es/gazeta/dias/1839/09/20/pdfs/GMD-1839-1775.pdf#page=2","Abrir facsímil")</f>
        <v>Abrir facsímil</v>
      </c>
      <c r="K13819" s="12" t="s">
        <v>65</v>
      </c>
    </row>
    <row r="13820" spans="1:11" ht="40.049999999999997" customHeight="1" x14ac:dyDescent="0.25">
      <c r="A13820" s="11" t="s">
        <v>26919</v>
      </c>
      <c r="B13820" s="11" t="s">
        <v>26919</v>
      </c>
      <c r="C13820" s="11" t="s">
        <v>17</v>
      </c>
      <c r="D13820" s="11" t="s">
        <v>18</v>
      </c>
      <c r="E13820" s="12" t="s">
        <v>821</v>
      </c>
      <c r="F13820" s="12" t="s">
        <v>822</v>
      </c>
      <c r="G13820" s="12" t="s">
        <v>46</v>
      </c>
      <c r="H13820" s="11" t="s">
        <v>63</v>
      </c>
      <c r="I13820" s="13" t="s">
        <v>26950</v>
      </c>
      <c r="J13820" s="14" t="str">
        <f>HYPERLINK("https://www.boe.es/gazeta/dias/1839/09/20/pdfs/GMD-1839-1775.pdf#page=3","Abrir facsímil")</f>
        <v>Abrir facsímil</v>
      </c>
      <c r="K13820" s="12" t="s">
        <v>65</v>
      </c>
    </row>
    <row r="13821" spans="1:11" ht="40.049999999999997" customHeight="1" x14ac:dyDescent="0.25">
      <c r="A13821" s="11" t="s">
        <v>26919</v>
      </c>
      <c r="B13821" s="11" t="s">
        <v>26919</v>
      </c>
      <c r="C13821" s="11" t="s">
        <v>17</v>
      </c>
      <c r="D13821" s="11" t="s">
        <v>18</v>
      </c>
      <c r="E13821" s="12" t="s">
        <v>2069</v>
      </c>
      <c r="F13821" s="12" t="s">
        <v>2070</v>
      </c>
      <c r="G13821" s="12" t="s">
        <v>566</v>
      </c>
      <c r="H13821" s="11" t="s">
        <v>63</v>
      </c>
      <c r="I13821" s="13" t="s">
        <v>26951</v>
      </c>
      <c r="J13821" s="14" t="str">
        <f>HYPERLINK("https://www.boe.es/gazeta/dias/1839/10/20/pdfs/GMD-1839-1806.pdf#page=5","Abrir facsímil")</f>
        <v>Abrir facsímil</v>
      </c>
      <c r="K13821" s="12" t="s">
        <v>65</v>
      </c>
    </row>
    <row r="13822" spans="1:11" ht="40.049999999999997" customHeight="1" x14ac:dyDescent="0.25">
      <c r="A13822" s="11" t="s">
        <v>26919</v>
      </c>
      <c r="B13822" s="11" t="s">
        <v>26919</v>
      </c>
      <c r="C13822" s="11" t="s">
        <v>101</v>
      </c>
      <c r="D13822" s="11" t="s">
        <v>43</v>
      </c>
      <c r="E13822" s="12" t="s">
        <v>794</v>
      </c>
      <c r="F13822" s="12" t="s">
        <v>795</v>
      </c>
      <c r="G13822" s="12" t="s">
        <v>46</v>
      </c>
      <c r="H13822" s="11" t="s">
        <v>63</v>
      </c>
      <c r="I13822" s="13" t="s">
        <v>26952</v>
      </c>
      <c r="J13822" s="14" t="str">
        <f>HYPERLINK("https://www.boe.es/gazeta/dias/1839/01/22/pdfs/GMD-1839-1529.pdf#page=3","Abrir facsímil")</f>
        <v>Abrir facsímil</v>
      </c>
      <c r="K13822" s="12" t="s">
        <v>65</v>
      </c>
    </row>
    <row r="13823" spans="1:11" ht="40.049999999999997" customHeight="1" x14ac:dyDescent="0.25">
      <c r="A13823" s="11" t="s">
        <v>26919</v>
      </c>
      <c r="B13823" s="11" t="s">
        <v>26919</v>
      </c>
      <c r="C13823" s="11" t="s">
        <v>59</v>
      </c>
      <c r="D13823" s="11" t="s">
        <v>60</v>
      </c>
      <c r="E13823" s="12" t="s">
        <v>243</v>
      </c>
      <c r="F13823" s="12" t="s">
        <v>244</v>
      </c>
      <c r="G13823" s="12" t="s">
        <v>46</v>
      </c>
      <c r="H13823" s="11" t="s">
        <v>63</v>
      </c>
      <c r="I13823" s="13" t="s">
        <v>26953</v>
      </c>
      <c r="J13823" s="14" t="str">
        <f>HYPERLINK("https://www.boe.es/gazeta/dias/1839/09/23/pdfs/GMD-1839-1779.pdf#page=3","Abrir facsímil")</f>
        <v>Abrir facsímil</v>
      </c>
      <c r="K13823" s="12" t="s">
        <v>65</v>
      </c>
    </row>
    <row r="13824" spans="1:11" ht="40.049999999999997" customHeight="1" x14ac:dyDescent="0.25">
      <c r="A13824" s="11" t="s">
        <v>26919</v>
      </c>
      <c r="B13824" s="11" t="s">
        <v>26919</v>
      </c>
      <c r="C13824" s="11" t="s">
        <v>17</v>
      </c>
      <c r="D13824" s="11" t="s">
        <v>18</v>
      </c>
      <c r="E13824" s="12" t="s">
        <v>346</v>
      </c>
      <c r="F13824" s="12" t="s">
        <v>347</v>
      </c>
      <c r="G13824" s="12" t="s">
        <v>29</v>
      </c>
      <c r="H13824" s="11" t="s">
        <v>63</v>
      </c>
      <c r="I13824" s="13" t="s">
        <v>26954</v>
      </c>
      <c r="J13824" s="14" t="str">
        <f>HYPERLINK("https://www.boe.es/gazeta/dias/1839/03/24/pdfs/GMD-1839-1590.pdf#page=1","Abrir facsímil")</f>
        <v>Abrir facsímil</v>
      </c>
      <c r="K13824" s="12" t="s">
        <v>65</v>
      </c>
    </row>
    <row r="13825" spans="1:11" ht="40.049999999999997" customHeight="1" x14ac:dyDescent="0.25">
      <c r="A13825" s="11" t="s">
        <v>26919</v>
      </c>
      <c r="B13825" s="11" t="s">
        <v>26919</v>
      </c>
      <c r="C13825" s="11" t="s">
        <v>17</v>
      </c>
      <c r="D13825" s="11" t="s">
        <v>18</v>
      </c>
      <c r="E13825" s="12" t="s">
        <v>276</v>
      </c>
      <c r="F13825" s="12" t="s">
        <v>277</v>
      </c>
      <c r="G13825" s="12" t="s">
        <v>46</v>
      </c>
      <c r="H13825" s="11" t="s">
        <v>63</v>
      </c>
      <c r="I13825" s="13" t="s">
        <v>26955</v>
      </c>
      <c r="J13825" s="14" t="str">
        <f>HYPERLINK("https://www.boe.es/gazeta/dias/1839/09/24/pdfs/GMD-1839-1780.pdf#page=3","Abrir facsímil")</f>
        <v>Abrir facsímil</v>
      </c>
      <c r="K13825" s="12" t="s">
        <v>65</v>
      </c>
    </row>
    <row r="13826" spans="1:11" ht="40.049999999999997" customHeight="1" x14ac:dyDescent="0.25">
      <c r="A13826" s="11" t="s">
        <v>26956</v>
      </c>
      <c r="B13826" s="11" t="s">
        <v>26956</v>
      </c>
      <c r="C13826" s="11" t="s">
        <v>101</v>
      </c>
      <c r="D13826" s="11" t="s">
        <v>43</v>
      </c>
      <c r="E13826" s="12" t="s">
        <v>571</v>
      </c>
      <c r="F13826" s="12" t="s">
        <v>572</v>
      </c>
      <c r="G13826" s="12" t="s">
        <v>46</v>
      </c>
      <c r="H13826" s="11" t="s">
        <v>22</v>
      </c>
      <c r="I13826" s="13" t="s">
        <v>26957</v>
      </c>
      <c r="J13826" s="14" t="str">
        <f>HYPERLINK("https://www.boe.es/gazeta/dias/1839/09/27/pdfs/GMD-1839-1783.pdf#page=3","Abrir facsímil")</f>
        <v>Abrir facsímil</v>
      </c>
      <c r="K13826" s="12" t="s">
        <v>24</v>
      </c>
    </row>
    <row r="13827" spans="1:11" ht="40.049999999999997" customHeight="1" x14ac:dyDescent="0.25">
      <c r="A13827" s="11" t="s">
        <v>26919</v>
      </c>
      <c r="B13827" s="11" t="s">
        <v>26919</v>
      </c>
      <c r="C13827" s="11" t="s">
        <v>17</v>
      </c>
      <c r="D13827" s="11" t="s">
        <v>18</v>
      </c>
      <c r="E13827" s="12" t="s">
        <v>668</v>
      </c>
      <c r="F13827" s="12" t="s">
        <v>669</v>
      </c>
      <c r="G13827" s="12" t="s">
        <v>29</v>
      </c>
      <c r="H13827" s="11" t="s">
        <v>63</v>
      </c>
      <c r="I13827" s="13" t="s">
        <v>26958</v>
      </c>
      <c r="J13827" s="14" t="str">
        <f>HYPERLINK("https://www.boe.es/gazeta/dias/1839/03/28/pdfs/GMD-1839-1594.pdf#page=1","Abrir facsímil")</f>
        <v>Abrir facsímil</v>
      </c>
      <c r="K13827" s="12" t="s">
        <v>65</v>
      </c>
    </row>
    <row r="13828" spans="1:11" ht="40.049999999999997" customHeight="1" x14ac:dyDescent="0.25">
      <c r="A13828" s="11" t="s">
        <v>26919</v>
      </c>
      <c r="B13828" s="11" t="s">
        <v>26919</v>
      </c>
      <c r="C13828" s="11" t="s">
        <v>80</v>
      </c>
      <c r="D13828" s="11" t="s">
        <v>18</v>
      </c>
      <c r="E13828" s="12" t="s">
        <v>489</v>
      </c>
      <c r="F13828" s="12" t="s">
        <v>490</v>
      </c>
      <c r="G13828" s="12" t="s">
        <v>29</v>
      </c>
      <c r="H13828" s="11" t="s">
        <v>63</v>
      </c>
      <c r="I13828" s="13" t="s">
        <v>26959</v>
      </c>
      <c r="J13828" s="14" t="str">
        <f>HYPERLINK("https://www.boe.es/gazeta/dias/1839/06/29/pdfs/GMD-1839-1687.pdf#page=1","Abrir facsímil")</f>
        <v>Abrir facsímil</v>
      </c>
      <c r="K13828" s="12" t="s">
        <v>65</v>
      </c>
    </row>
    <row r="13829" spans="1:11" ht="40.049999999999997" customHeight="1" x14ac:dyDescent="0.25">
      <c r="A13829" s="11" t="s">
        <v>26919</v>
      </c>
      <c r="B13829" s="11" t="s">
        <v>26919</v>
      </c>
      <c r="C13829" s="11" t="s">
        <v>17</v>
      </c>
      <c r="D13829" s="11" t="s">
        <v>18</v>
      </c>
      <c r="E13829" s="12" t="s">
        <v>1523</v>
      </c>
      <c r="F13829" s="12" t="s">
        <v>1524</v>
      </c>
      <c r="G13829" s="12" t="s">
        <v>29</v>
      </c>
      <c r="H13829" s="11" t="s">
        <v>63</v>
      </c>
      <c r="I13829" s="13" t="s">
        <v>26960</v>
      </c>
      <c r="J13829" s="14" t="str">
        <f>HYPERLINK("https://www.boe.es/gazeta/dias/1839/08/29/pdfs/GMD-1839-1750.pdf#page=1","Abrir facsímil")</f>
        <v>Abrir facsímil</v>
      </c>
      <c r="K13829" s="12" t="s">
        <v>65</v>
      </c>
    </row>
    <row r="13830" spans="1:11" ht="40.049999999999997" customHeight="1" x14ac:dyDescent="0.25">
      <c r="A13830" s="11" t="s">
        <v>26919</v>
      </c>
      <c r="B13830" s="11" t="s">
        <v>26919</v>
      </c>
      <c r="C13830" s="11" t="s">
        <v>17</v>
      </c>
      <c r="D13830" s="11" t="s">
        <v>18</v>
      </c>
      <c r="E13830" s="12" t="s">
        <v>2349</v>
      </c>
      <c r="F13830" s="12" t="s">
        <v>2350</v>
      </c>
      <c r="G13830" s="12" t="s">
        <v>21</v>
      </c>
      <c r="H13830" s="11" t="s">
        <v>63</v>
      </c>
      <c r="I13830" s="13" t="s">
        <v>26961</v>
      </c>
      <c r="J13830" s="14" t="str">
        <f>HYPERLINK("https://www.boe.es/gazeta/dias/1839/09/29/pdfs/GMD-1839-1785.pdf#page=4","Abrir facsímil")</f>
        <v>Abrir facsímil</v>
      </c>
      <c r="K13830" s="12" t="s">
        <v>65</v>
      </c>
    </row>
    <row r="13831" spans="1:11" ht="40.049999999999997" customHeight="1" x14ac:dyDescent="0.25">
      <c r="A13831" s="11" t="s">
        <v>26919</v>
      </c>
      <c r="B13831" s="11" t="s">
        <v>26919</v>
      </c>
      <c r="C13831" s="11" t="s">
        <v>17</v>
      </c>
      <c r="D13831" s="11" t="s">
        <v>18</v>
      </c>
      <c r="E13831" s="12" t="s">
        <v>4292</v>
      </c>
      <c r="F13831" s="12" t="s">
        <v>4293</v>
      </c>
      <c r="G13831" s="12" t="s">
        <v>29</v>
      </c>
      <c r="H13831" s="11" t="s">
        <v>63</v>
      </c>
      <c r="I13831" s="13" t="s">
        <v>26962</v>
      </c>
      <c r="J13831" s="14" t="str">
        <f>HYPERLINK("https://www.boe.es/gazeta/dias/1839/11/29/pdfs/GMD-1839-1846.pdf#page=1","Abrir facsímil")</f>
        <v>Abrir facsímil</v>
      </c>
      <c r="K13831" s="12" t="s">
        <v>65</v>
      </c>
    </row>
    <row r="13832" spans="1:11" ht="40.049999999999997" customHeight="1" x14ac:dyDescent="0.25">
      <c r="A13832" s="11" t="s">
        <v>26919</v>
      </c>
      <c r="B13832" s="11" t="s">
        <v>26919</v>
      </c>
      <c r="C13832" s="11" t="s">
        <v>137</v>
      </c>
      <c r="D13832" s="11" t="s">
        <v>18</v>
      </c>
      <c r="E13832" s="12" t="s">
        <v>1118</v>
      </c>
      <c r="F13832" s="12" t="s">
        <v>1119</v>
      </c>
      <c r="G13832" s="12" t="s">
        <v>21</v>
      </c>
      <c r="H13832" s="11" t="s">
        <v>63</v>
      </c>
      <c r="I13832" s="13" t="s">
        <v>26963</v>
      </c>
      <c r="J13832" s="14" t="str">
        <f>HYPERLINK("https://www.boe.es/gazeta/dias/1839/08/30/pdfs/GMD-1839-1751.pdf#page=4","Abrir facsímil")</f>
        <v>Abrir facsímil</v>
      </c>
      <c r="K13832" s="12" t="s">
        <v>65</v>
      </c>
    </row>
    <row r="13833" spans="1:11" ht="40.049999999999997" customHeight="1" x14ac:dyDescent="0.25">
      <c r="A13833" s="11" t="s">
        <v>26964</v>
      </c>
      <c r="B13833" s="11" t="s">
        <v>26965</v>
      </c>
      <c r="C13833" s="11" t="s">
        <v>17</v>
      </c>
      <c r="D13833" s="11" t="s">
        <v>18</v>
      </c>
      <c r="E13833" s="12" t="s">
        <v>258</v>
      </c>
      <c r="F13833" s="12" t="s">
        <v>259</v>
      </c>
      <c r="G13833" s="12" t="s">
        <v>21</v>
      </c>
      <c r="H13833" s="11" t="s">
        <v>63</v>
      </c>
      <c r="I13833" s="13" t="s">
        <v>26966</v>
      </c>
      <c r="J13833" s="14" t="str">
        <f>HYPERLINK("https://www.boe.es/gazeta/dias/1839/01/02/pdfs/GMD-1839-1509.pdf#page=4","Abrir facsímil")</f>
        <v>Abrir facsímil</v>
      </c>
      <c r="K13833" s="12" t="s">
        <v>65</v>
      </c>
    </row>
    <row r="13834" spans="1:11" ht="40.049999999999997" customHeight="1" x14ac:dyDescent="0.25">
      <c r="A13834" s="11" t="s">
        <v>26967</v>
      </c>
      <c r="B13834" s="11" t="s">
        <v>26968</v>
      </c>
      <c r="C13834" s="11" t="s">
        <v>17</v>
      </c>
      <c r="D13834" s="11" t="s">
        <v>18</v>
      </c>
      <c r="E13834" s="12" t="s">
        <v>258</v>
      </c>
      <c r="F13834" s="12" t="s">
        <v>259</v>
      </c>
      <c r="G13834" s="12" t="s">
        <v>21</v>
      </c>
      <c r="H13834" s="11" t="s">
        <v>63</v>
      </c>
      <c r="I13834" s="13" t="s">
        <v>26969</v>
      </c>
      <c r="J13834" s="14" t="str">
        <f>HYPERLINK("https://www.boe.es/gazeta/dias/1839/01/02/pdfs/GMD-1839-1509.pdf#page=4","Abrir facsímil")</f>
        <v>Abrir facsímil</v>
      </c>
      <c r="K13834" s="12" t="s">
        <v>65</v>
      </c>
    </row>
    <row r="13835" spans="1:11" ht="40.049999999999997" customHeight="1" x14ac:dyDescent="0.25">
      <c r="A13835" s="11" t="s">
        <v>26970</v>
      </c>
      <c r="B13835" s="11" t="s">
        <v>26971</v>
      </c>
      <c r="C13835" s="11" t="s">
        <v>17</v>
      </c>
      <c r="D13835" s="11" t="s">
        <v>43</v>
      </c>
      <c r="E13835" s="12" t="s">
        <v>258</v>
      </c>
      <c r="F13835" s="12" t="s">
        <v>259</v>
      </c>
      <c r="G13835" s="12" t="s">
        <v>21</v>
      </c>
      <c r="H13835" s="11" t="s">
        <v>63</v>
      </c>
      <c r="I13835" s="13" t="s">
        <v>26972</v>
      </c>
      <c r="J13835" s="14" t="str">
        <f>HYPERLINK("https://www.boe.es/gazeta/dias/1839/01/02/pdfs/GMD-1839-1509.pdf#page=4","Abrir facsímil")</f>
        <v>Abrir facsímil</v>
      </c>
      <c r="K13835" s="12" t="s">
        <v>65</v>
      </c>
    </row>
    <row r="13836" spans="1:11" ht="40.049999999999997" customHeight="1" x14ac:dyDescent="0.25">
      <c r="A13836" s="11" t="s">
        <v>26973</v>
      </c>
      <c r="B13836" s="11" t="s">
        <v>26973</v>
      </c>
      <c r="C13836" s="11" t="s">
        <v>101</v>
      </c>
      <c r="D13836" s="11" t="s">
        <v>43</v>
      </c>
      <c r="E13836" s="12" t="s">
        <v>2050</v>
      </c>
      <c r="F13836" s="12" t="s">
        <v>2051</v>
      </c>
      <c r="G13836" s="12" t="s">
        <v>21</v>
      </c>
      <c r="H13836" s="11" t="s">
        <v>63</v>
      </c>
      <c r="I13836" s="13" t="s">
        <v>26974</v>
      </c>
      <c r="J13836" s="14" t="str">
        <f>HYPERLINK("https://www.boe.es/gazeta/dias/1839/01/09/pdfs/GMD-1839-1516.pdf#page=4","Abrir facsímil")</f>
        <v>Abrir facsímil</v>
      </c>
      <c r="K13836" s="12" t="s">
        <v>65</v>
      </c>
    </row>
    <row r="13837" spans="1:11" ht="40.049999999999997" customHeight="1" x14ac:dyDescent="0.25">
      <c r="A13837" s="11" t="s">
        <v>26975</v>
      </c>
      <c r="B13837" s="11" t="s">
        <v>26975</v>
      </c>
      <c r="C13837" s="11" t="s">
        <v>101</v>
      </c>
      <c r="D13837" s="11" t="s">
        <v>43</v>
      </c>
      <c r="E13837" s="12" t="s">
        <v>1287</v>
      </c>
      <c r="F13837" s="12" t="s">
        <v>1288</v>
      </c>
      <c r="G13837" s="12" t="s">
        <v>46</v>
      </c>
      <c r="H13837" s="11" t="s">
        <v>63</v>
      </c>
      <c r="I13837" s="13" t="s">
        <v>26976</v>
      </c>
      <c r="J13837" s="14" t="str">
        <f>HYPERLINK("https://www.boe.es/gazeta/dias/1839/10/30/pdfs/GMD-1839-1816.pdf#page=3","Abrir facsímil")</f>
        <v>Abrir facsímil</v>
      </c>
      <c r="K13837" s="12" t="s">
        <v>65</v>
      </c>
    </row>
    <row r="13838" spans="1:11" ht="40.049999999999997" customHeight="1" x14ac:dyDescent="0.25">
      <c r="A13838" s="11" t="s">
        <v>26977</v>
      </c>
      <c r="B13838" s="11" t="s">
        <v>26978</v>
      </c>
      <c r="C13838" s="11" t="s">
        <v>137</v>
      </c>
      <c r="D13838" s="11" t="s">
        <v>18</v>
      </c>
      <c r="E13838" s="12" t="s">
        <v>246</v>
      </c>
      <c r="F13838" s="12" t="s">
        <v>247</v>
      </c>
      <c r="G13838" s="12" t="s">
        <v>21</v>
      </c>
      <c r="H13838" s="11" t="s">
        <v>63</v>
      </c>
      <c r="I13838" s="13" t="s">
        <v>26979</v>
      </c>
      <c r="J13838" s="14" t="str">
        <f>HYPERLINK("https://www.boe.es/gazeta/dias/1839/11/24/pdfs/GMD-1839-1841.pdf#page=4","Abrir facsímil")</f>
        <v>Abrir facsímil</v>
      </c>
      <c r="K13838" s="12" t="s">
        <v>65</v>
      </c>
    </row>
    <row r="13839" spans="1:11" ht="40.049999999999997" customHeight="1" x14ac:dyDescent="0.25">
      <c r="A13839" s="11" t="s">
        <v>26980</v>
      </c>
      <c r="B13839" s="11" t="s">
        <v>26980</v>
      </c>
      <c r="C13839" s="11" t="s">
        <v>59</v>
      </c>
      <c r="D13839" s="11" t="s">
        <v>60</v>
      </c>
      <c r="E13839" s="12" t="s">
        <v>1682</v>
      </c>
      <c r="F13839" s="12" t="s">
        <v>1683</v>
      </c>
      <c r="G13839" s="12" t="s">
        <v>29</v>
      </c>
      <c r="H13839" s="11" t="s">
        <v>63</v>
      </c>
      <c r="I13839" s="13" t="s">
        <v>26981</v>
      </c>
      <c r="J13839" s="14" t="str">
        <f>HYPERLINK("https://www.boe.es/gazeta/dias/1839/12/26/pdfs/GMD-1839-1873.pdf#page=1","Abrir facsímil")</f>
        <v>Abrir facsímil</v>
      </c>
      <c r="K13839" s="12" t="s">
        <v>65</v>
      </c>
    </row>
    <row r="13840" spans="1:11" ht="40.049999999999997" customHeight="1" x14ac:dyDescent="0.25">
      <c r="A13840" s="11" t="s">
        <v>26982</v>
      </c>
      <c r="B13840" s="11" t="s">
        <v>26982</v>
      </c>
      <c r="C13840" s="11" t="s">
        <v>59</v>
      </c>
      <c r="D13840" s="11" t="s">
        <v>60</v>
      </c>
      <c r="E13840" s="12" t="s">
        <v>1528</v>
      </c>
      <c r="F13840" s="12" t="s">
        <v>1529</v>
      </c>
      <c r="G13840" s="12" t="s">
        <v>46</v>
      </c>
      <c r="H13840" s="11" t="s">
        <v>63</v>
      </c>
      <c r="I13840" s="13" t="s">
        <v>26983</v>
      </c>
      <c r="J13840" s="14" t="str">
        <f>HYPERLINK("https://www.boe.es/gazeta/dias/1839/12/15/pdfs/GMD-1839-1862.pdf#page=3","Abrir facsímil")</f>
        <v>Abrir facsímil</v>
      </c>
      <c r="K13840" s="12" t="s">
        <v>65</v>
      </c>
    </row>
    <row r="13841" spans="1:11" ht="40.049999999999997" customHeight="1" x14ac:dyDescent="0.25">
      <c r="A13841" s="11" t="s">
        <v>26984</v>
      </c>
      <c r="B13841" s="11" t="s">
        <v>26984</v>
      </c>
      <c r="C13841" s="11" t="s">
        <v>101</v>
      </c>
      <c r="D13841" s="11" t="s">
        <v>43</v>
      </c>
      <c r="E13841" s="12" t="s">
        <v>779</v>
      </c>
      <c r="F13841" s="12" t="s">
        <v>780</v>
      </c>
      <c r="G13841" s="12" t="s">
        <v>40</v>
      </c>
      <c r="H13841" s="11" t="s">
        <v>63</v>
      </c>
      <c r="I13841" s="13" t="s">
        <v>26985</v>
      </c>
      <c r="J13841" s="14" t="str">
        <f>HYPERLINK("https://www.boe.es/gazeta/dias/1839/02/03/pdfs/GMD-1839-1541.pdf#page=2","Abrir facsímil")</f>
        <v>Abrir facsímil</v>
      </c>
      <c r="K13841" s="12" t="s">
        <v>65</v>
      </c>
    </row>
    <row r="13842" spans="1:11" ht="40.049999999999997" customHeight="1" x14ac:dyDescent="0.25">
      <c r="A13842" s="11" t="s">
        <v>26984</v>
      </c>
      <c r="B13842" s="11" t="s">
        <v>26984</v>
      </c>
      <c r="C13842" s="11" t="s">
        <v>59</v>
      </c>
      <c r="D13842" s="11" t="s">
        <v>60</v>
      </c>
      <c r="E13842" s="12" t="s">
        <v>2452</v>
      </c>
      <c r="F13842" s="12" t="s">
        <v>2453</v>
      </c>
      <c r="G13842" s="12" t="s">
        <v>46</v>
      </c>
      <c r="H13842" s="11" t="s">
        <v>63</v>
      </c>
      <c r="I13842" s="13" t="s">
        <v>26986</v>
      </c>
      <c r="J13842" s="14" t="str">
        <f>HYPERLINK("https://www.boe.es/gazeta/dias/1839/11/14/pdfs/GMD-1839-1831.pdf#page=3","Abrir facsímil")</f>
        <v>Abrir facsímil</v>
      </c>
      <c r="K13842" s="12" t="s">
        <v>65</v>
      </c>
    </row>
    <row r="13843" spans="1:11" ht="40.049999999999997" customHeight="1" x14ac:dyDescent="0.25">
      <c r="A13843" s="11" t="s">
        <v>26984</v>
      </c>
      <c r="B13843" s="11" t="s">
        <v>26984</v>
      </c>
      <c r="C13843" s="11" t="s">
        <v>59</v>
      </c>
      <c r="D13843" s="11" t="s">
        <v>60</v>
      </c>
      <c r="E13843" s="12" t="s">
        <v>513</v>
      </c>
      <c r="F13843" s="12" t="s">
        <v>514</v>
      </c>
      <c r="G13843" s="12" t="s">
        <v>40</v>
      </c>
      <c r="H13843" s="11" t="s">
        <v>63</v>
      </c>
      <c r="I13843" s="13" t="s">
        <v>26987</v>
      </c>
      <c r="J13843" s="14" t="str">
        <f>HYPERLINK("https://www.boe.es/gazeta/dias/1839/03/17/pdfs/GMD-1839-1583.pdf#page=2","Abrir facsímil")</f>
        <v>Abrir facsímil</v>
      </c>
      <c r="K13843" s="12" t="s">
        <v>65</v>
      </c>
    </row>
    <row r="13844" spans="1:11" ht="40.049999999999997" customHeight="1" x14ac:dyDescent="0.25">
      <c r="A13844" s="11" t="s">
        <v>26984</v>
      </c>
      <c r="B13844" s="11" t="s">
        <v>26984</v>
      </c>
      <c r="C13844" s="11" t="s">
        <v>101</v>
      </c>
      <c r="D13844" s="11" t="s">
        <v>43</v>
      </c>
      <c r="E13844" s="12" t="s">
        <v>1657</v>
      </c>
      <c r="F13844" s="12" t="s">
        <v>1658</v>
      </c>
      <c r="G13844" s="12" t="s">
        <v>40</v>
      </c>
      <c r="H13844" s="11" t="s">
        <v>63</v>
      </c>
      <c r="I13844" s="13" t="s">
        <v>26988</v>
      </c>
      <c r="J13844" s="14" t="str">
        <f>HYPERLINK("https://www.boe.es/gazeta/dias/1839/02/21/pdfs/GMD-1839-1559.pdf#page=2","Abrir facsímil")</f>
        <v>Abrir facsímil</v>
      </c>
      <c r="K13844" s="12" t="s">
        <v>65</v>
      </c>
    </row>
    <row r="13845" spans="1:11" ht="40.049999999999997" customHeight="1" x14ac:dyDescent="0.25">
      <c r="A13845" s="11" t="s">
        <v>26989</v>
      </c>
      <c r="B13845" s="11" t="s">
        <v>26989</v>
      </c>
      <c r="C13845" s="11" t="s">
        <v>17</v>
      </c>
      <c r="D13845" s="11" t="s">
        <v>18</v>
      </c>
      <c r="E13845" s="12" t="s">
        <v>420</v>
      </c>
      <c r="F13845" s="12" t="s">
        <v>421</v>
      </c>
      <c r="G13845" s="12" t="s">
        <v>46</v>
      </c>
      <c r="H13845" s="11" t="s">
        <v>63</v>
      </c>
      <c r="I13845" s="13" t="s">
        <v>26990</v>
      </c>
      <c r="J13845" s="14" t="str">
        <f>HYPERLINK("https://www.boe.es/gazeta/dias/1839/03/12/pdfs/GMD-1839-1578.pdf#page=3","Abrir facsímil")</f>
        <v>Abrir facsímil</v>
      </c>
      <c r="K13845" s="12" t="s">
        <v>65</v>
      </c>
    </row>
    <row r="13846" spans="1:11" ht="40.049999999999997" customHeight="1" x14ac:dyDescent="0.25">
      <c r="A13846" s="11" t="s">
        <v>26989</v>
      </c>
      <c r="B13846" s="11" t="s">
        <v>26989</v>
      </c>
      <c r="C13846" s="11" t="s">
        <v>17</v>
      </c>
      <c r="D13846" s="11" t="s">
        <v>18</v>
      </c>
      <c r="E13846" s="12" t="s">
        <v>821</v>
      </c>
      <c r="F13846" s="12" t="s">
        <v>822</v>
      </c>
      <c r="G13846" s="12" t="s">
        <v>21</v>
      </c>
      <c r="H13846" s="11" t="s">
        <v>63</v>
      </c>
      <c r="I13846" s="13" t="s">
        <v>26991</v>
      </c>
      <c r="J13846" s="14" t="str">
        <f>HYPERLINK("https://www.boe.es/gazeta/dias/1839/09/20/pdfs/GMD-1839-1775.pdf#page=4","Abrir facsímil")</f>
        <v>Abrir facsímil</v>
      </c>
      <c r="K13846" s="12" t="s">
        <v>65</v>
      </c>
    </row>
    <row r="13847" spans="1:11" ht="40.049999999999997" customHeight="1" x14ac:dyDescent="0.25">
      <c r="A13847" s="11" t="s">
        <v>26989</v>
      </c>
      <c r="B13847" s="11" t="s">
        <v>26989</v>
      </c>
      <c r="C13847" s="11" t="s">
        <v>101</v>
      </c>
      <c r="D13847" s="11" t="s">
        <v>43</v>
      </c>
      <c r="E13847" s="12" t="s">
        <v>1663</v>
      </c>
      <c r="F13847" s="12" t="s">
        <v>1664</v>
      </c>
      <c r="G13847" s="12" t="s">
        <v>40</v>
      </c>
      <c r="H13847" s="11" t="s">
        <v>63</v>
      </c>
      <c r="I13847" s="13" t="s">
        <v>26992</v>
      </c>
      <c r="J13847" s="14" t="str">
        <f>HYPERLINK("https://www.boe.es/gazeta/dias/1839/03/22/pdfs/GMD-1839-1588.pdf#page=2","Abrir facsímil")</f>
        <v>Abrir facsímil</v>
      </c>
      <c r="K13847" s="12" t="s">
        <v>65</v>
      </c>
    </row>
    <row r="13848" spans="1:11" ht="40.049999999999997" customHeight="1" x14ac:dyDescent="0.25">
      <c r="A13848" s="11" t="s">
        <v>26993</v>
      </c>
      <c r="B13848" s="11" t="s">
        <v>26994</v>
      </c>
      <c r="C13848" s="11" t="s">
        <v>17</v>
      </c>
      <c r="D13848" s="11" t="s">
        <v>18</v>
      </c>
      <c r="E13848" s="12" t="s">
        <v>375</v>
      </c>
      <c r="F13848" s="12" t="s">
        <v>376</v>
      </c>
      <c r="G13848" s="12" t="s">
        <v>21</v>
      </c>
      <c r="H13848" s="11" t="s">
        <v>63</v>
      </c>
      <c r="I13848" s="13" t="s">
        <v>26995</v>
      </c>
      <c r="J13848" s="14" t="str">
        <f>HYPERLINK("https://www.boe.es/gazeta/dias/1839/11/25/pdfs/GMD-1839-1842.pdf#page=4","Abrir facsímil")</f>
        <v>Abrir facsímil</v>
      </c>
      <c r="K13848" s="12" t="s">
        <v>65</v>
      </c>
    </row>
    <row r="13849" spans="1:11" ht="40.049999999999997" customHeight="1" x14ac:dyDescent="0.25">
      <c r="A13849" s="11" t="s">
        <v>26996</v>
      </c>
      <c r="B13849" s="11" t="s">
        <v>26997</v>
      </c>
      <c r="C13849" s="11" t="s">
        <v>17</v>
      </c>
      <c r="D13849" s="11" t="s">
        <v>18</v>
      </c>
      <c r="E13849" s="12" t="s">
        <v>462</v>
      </c>
      <c r="F13849" s="12" t="s">
        <v>463</v>
      </c>
      <c r="G13849" s="12" t="s">
        <v>46</v>
      </c>
      <c r="H13849" s="11" t="s">
        <v>22</v>
      </c>
      <c r="I13849" s="13" t="s">
        <v>26998</v>
      </c>
      <c r="J13849" s="14" t="str">
        <f>HYPERLINK("https://www.boe.es/gazeta/dias/1839/06/19/pdfs/GMD-1839-1677.pdf#page=3","Abrir facsímil")</f>
        <v>Abrir facsímil</v>
      </c>
      <c r="K13849" s="12" t="s">
        <v>24</v>
      </c>
    </row>
    <row r="13850" spans="1:11" ht="40.049999999999997" customHeight="1" x14ac:dyDescent="0.25">
      <c r="A13850" s="11" t="s">
        <v>26999</v>
      </c>
      <c r="B13850" s="11" t="s">
        <v>27000</v>
      </c>
      <c r="C13850" s="11" t="s">
        <v>137</v>
      </c>
      <c r="D13850" s="11" t="s">
        <v>18</v>
      </c>
      <c r="E13850" s="12" t="s">
        <v>700</v>
      </c>
      <c r="F13850" s="12" t="s">
        <v>701</v>
      </c>
      <c r="G13850" s="12" t="s">
        <v>29</v>
      </c>
      <c r="H13850" s="11" t="s">
        <v>63</v>
      </c>
      <c r="I13850" s="13" t="s">
        <v>27001</v>
      </c>
      <c r="J13850" s="14" t="str">
        <f>HYPERLINK("https://www.boe.es/gazeta/dias/1839/09/01/pdfs/GMD-1839-1753.pdf#page=1","Abrir facsímil")</f>
        <v>Abrir facsímil</v>
      </c>
      <c r="K13850" s="12" t="s">
        <v>65</v>
      </c>
    </row>
    <row r="13851" spans="1:11" ht="40.049999999999997" customHeight="1" x14ac:dyDescent="0.25">
      <c r="A13851" s="11" t="s">
        <v>27002</v>
      </c>
      <c r="B13851" s="11" t="s">
        <v>27003</v>
      </c>
      <c r="C13851" s="11" t="s">
        <v>80</v>
      </c>
      <c r="D13851" s="11" t="s">
        <v>18</v>
      </c>
      <c r="E13851" s="12" t="s">
        <v>280</v>
      </c>
      <c r="F13851" s="12" t="s">
        <v>281</v>
      </c>
      <c r="G13851" s="12" t="s">
        <v>46</v>
      </c>
      <c r="H13851" s="11" t="s">
        <v>63</v>
      </c>
      <c r="I13851" s="13" t="s">
        <v>27004</v>
      </c>
      <c r="J13851" s="14" t="str">
        <f>HYPERLINK("https://www.boe.es/gazeta/dias/1839/08/21/pdfs/GMD-1839-1742.pdf#page=3","Abrir facsímil")</f>
        <v>Abrir facsímil</v>
      </c>
      <c r="K13851" s="12" t="s">
        <v>65</v>
      </c>
    </row>
    <row r="13852" spans="1:11" ht="40.049999999999997" customHeight="1" x14ac:dyDescent="0.25">
      <c r="A13852" s="11" t="s">
        <v>27005</v>
      </c>
      <c r="B13852" s="11" t="s">
        <v>27005</v>
      </c>
      <c r="C13852" s="11" t="s">
        <v>17</v>
      </c>
      <c r="D13852" s="11" t="s">
        <v>18</v>
      </c>
      <c r="E13852" s="12" t="s">
        <v>420</v>
      </c>
      <c r="F13852" s="12" t="s">
        <v>421</v>
      </c>
      <c r="G13852" s="12" t="s">
        <v>46</v>
      </c>
      <c r="H13852" s="11" t="s">
        <v>63</v>
      </c>
      <c r="I13852" s="13" t="s">
        <v>27006</v>
      </c>
      <c r="J13852" s="14" t="str">
        <f>HYPERLINK("https://www.boe.es/gazeta/dias/1839/03/12/pdfs/GMD-1839-1578.pdf#page=3","Abrir facsímil")</f>
        <v>Abrir facsímil</v>
      </c>
      <c r="K13852" s="12" t="s">
        <v>65</v>
      </c>
    </row>
    <row r="13853" spans="1:11" ht="40.049999999999997" customHeight="1" x14ac:dyDescent="0.25">
      <c r="A13853" s="11" t="s">
        <v>27007</v>
      </c>
      <c r="B13853" s="11" t="s">
        <v>27007</v>
      </c>
      <c r="C13853" s="11" t="s">
        <v>17</v>
      </c>
      <c r="D13853" s="11" t="s">
        <v>18</v>
      </c>
      <c r="E13853" s="12" t="s">
        <v>664</v>
      </c>
      <c r="F13853" s="12" t="s">
        <v>665</v>
      </c>
      <c r="G13853" s="12" t="s">
        <v>21</v>
      </c>
      <c r="H13853" s="11" t="s">
        <v>63</v>
      </c>
      <c r="I13853" s="13" t="s">
        <v>27008</v>
      </c>
      <c r="J13853" s="14" t="str">
        <f>HYPERLINK("https://www.boe.es/gazeta/dias/1839/01/24/pdfs/GMD-1839-1531.pdf#page=4","Abrir facsímil")</f>
        <v>Abrir facsímil</v>
      </c>
      <c r="K13853" s="12" t="s">
        <v>65</v>
      </c>
    </row>
    <row r="13854" spans="1:11" ht="40.049999999999997" customHeight="1" x14ac:dyDescent="0.25">
      <c r="A13854" s="11" t="s">
        <v>27009</v>
      </c>
      <c r="B13854" s="11" t="s">
        <v>27010</v>
      </c>
      <c r="C13854" s="11" t="s">
        <v>59</v>
      </c>
      <c r="D13854" s="11" t="s">
        <v>60</v>
      </c>
      <c r="E13854" s="12" t="s">
        <v>1123</v>
      </c>
      <c r="F13854" s="12" t="s">
        <v>1124</v>
      </c>
      <c r="G13854" s="12" t="s">
        <v>29</v>
      </c>
      <c r="H13854" s="11" t="s">
        <v>63</v>
      </c>
      <c r="I13854" s="13" t="s">
        <v>27011</v>
      </c>
      <c r="J13854" s="14" t="str">
        <f>HYPERLINK("https://www.boe.es/gazeta/dias/1839/08/10/pdfs/GMD-1839-1730.pdf#page=1","Abrir facsímil")</f>
        <v>Abrir facsímil</v>
      </c>
      <c r="K13854" s="12" t="s">
        <v>65</v>
      </c>
    </row>
    <row r="13855" spans="1:11" ht="40.049999999999997" customHeight="1" x14ac:dyDescent="0.25">
      <c r="A13855" s="11" t="s">
        <v>27012</v>
      </c>
      <c r="B13855" s="11" t="s">
        <v>27012</v>
      </c>
      <c r="C13855" s="11" t="s">
        <v>17</v>
      </c>
      <c r="D13855" s="11" t="s">
        <v>18</v>
      </c>
      <c r="E13855" s="12" t="s">
        <v>1813</v>
      </c>
      <c r="F13855" s="12" t="s">
        <v>1814</v>
      </c>
      <c r="G13855" s="12" t="s">
        <v>46</v>
      </c>
      <c r="H13855" s="11" t="s">
        <v>63</v>
      </c>
      <c r="I13855" s="13" t="s">
        <v>27013</v>
      </c>
      <c r="J13855" s="14" t="str">
        <f>HYPERLINK("https://www.boe.es/gazeta/dias/1839/09/02/pdfs/GMD-1839-1754.pdf#page=3","Abrir facsímil")</f>
        <v>Abrir facsímil</v>
      </c>
      <c r="K13855" s="12" t="s">
        <v>65</v>
      </c>
    </row>
    <row r="13856" spans="1:11" ht="40.049999999999997" customHeight="1" x14ac:dyDescent="0.25">
      <c r="A13856" s="11" t="s">
        <v>27012</v>
      </c>
      <c r="B13856" s="11" t="s">
        <v>27012</v>
      </c>
      <c r="C13856" s="11" t="s">
        <v>80</v>
      </c>
      <c r="D13856" s="11" t="s">
        <v>18</v>
      </c>
      <c r="E13856" s="12" t="s">
        <v>1813</v>
      </c>
      <c r="F13856" s="12" t="s">
        <v>1814</v>
      </c>
      <c r="G13856" s="12" t="s">
        <v>21</v>
      </c>
      <c r="H13856" s="11" t="s">
        <v>63</v>
      </c>
      <c r="I13856" s="13" t="s">
        <v>27014</v>
      </c>
      <c r="J13856" s="14" t="str">
        <f>HYPERLINK("https://www.boe.es/gazeta/dias/1839/09/02/pdfs/GMD-1839-1754.pdf#page=4","Abrir facsímil")</f>
        <v>Abrir facsímil</v>
      </c>
      <c r="K13856" s="12" t="s">
        <v>65</v>
      </c>
    </row>
    <row r="13857" spans="1:11" ht="40.049999999999997" customHeight="1" x14ac:dyDescent="0.25">
      <c r="A13857" s="11" t="s">
        <v>27012</v>
      </c>
      <c r="B13857" s="11" t="s">
        <v>27012</v>
      </c>
      <c r="C13857" s="11" t="s">
        <v>17</v>
      </c>
      <c r="D13857" s="11" t="s">
        <v>18</v>
      </c>
      <c r="E13857" s="12" t="s">
        <v>4475</v>
      </c>
      <c r="F13857" s="12" t="s">
        <v>4476</v>
      </c>
      <c r="G13857" s="12" t="s">
        <v>46</v>
      </c>
      <c r="H13857" s="11" t="s">
        <v>63</v>
      </c>
      <c r="I13857" s="13" t="s">
        <v>27015</v>
      </c>
      <c r="J13857" s="14" t="str">
        <f>HYPERLINK("https://www.boe.es/gazeta/dias/1839/07/04/pdfs/GMD-1839-1692.pdf#page=3","Abrir facsímil")</f>
        <v>Abrir facsímil</v>
      </c>
      <c r="K13857" s="12" t="s">
        <v>65</v>
      </c>
    </row>
    <row r="13858" spans="1:11" ht="40.049999999999997" customHeight="1" x14ac:dyDescent="0.25">
      <c r="A13858" s="11" t="s">
        <v>27012</v>
      </c>
      <c r="B13858" s="11" t="s">
        <v>27012</v>
      </c>
      <c r="C13858" s="11" t="s">
        <v>17</v>
      </c>
      <c r="D13858" s="11" t="s">
        <v>18</v>
      </c>
      <c r="E13858" s="12" t="s">
        <v>49</v>
      </c>
      <c r="F13858" s="12" t="s">
        <v>50</v>
      </c>
      <c r="G13858" s="12" t="s">
        <v>46</v>
      </c>
      <c r="H13858" s="11" t="s">
        <v>63</v>
      </c>
      <c r="I13858" s="13" t="s">
        <v>27016</v>
      </c>
      <c r="J13858" s="14" t="str">
        <f>HYPERLINK("https://www.boe.es/gazeta/dias/1839/01/05/pdfs/GMD-1839-1512.pdf#page=3","Abrir facsímil")</f>
        <v>Abrir facsímil</v>
      </c>
      <c r="K13858" s="12" t="s">
        <v>65</v>
      </c>
    </row>
    <row r="13859" spans="1:11" ht="40.049999999999997" customHeight="1" x14ac:dyDescent="0.25">
      <c r="A13859" s="11" t="s">
        <v>27012</v>
      </c>
      <c r="B13859" s="11" t="s">
        <v>27012</v>
      </c>
      <c r="C13859" s="11" t="s">
        <v>101</v>
      </c>
      <c r="D13859" s="11" t="s">
        <v>43</v>
      </c>
      <c r="E13859" s="12" t="s">
        <v>1019</v>
      </c>
      <c r="F13859" s="12" t="s">
        <v>1020</v>
      </c>
      <c r="G13859" s="12" t="s">
        <v>40</v>
      </c>
      <c r="H13859" s="11" t="s">
        <v>63</v>
      </c>
      <c r="I13859" s="13" t="s">
        <v>27017</v>
      </c>
      <c r="J13859" s="14" t="str">
        <f>HYPERLINK("https://www.boe.es/gazeta/dias/1839/07/15/pdfs/GMD-1839-1703.pdf#page=2","Abrir facsímil")</f>
        <v>Abrir facsímil</v>
      </c>
      <c r="K13859" s="12" t="s">
        <v>65</v>
      </c>
    </row>
    <row r="13860" spans="1:11" ht="40.049999999999997" customHeight="1" x14ac:dyDescent="0.25">
      <c r="A13860" s="11" t="s">
        <v>27012</v>
      </c>
      <c r="B13860" s="11" t="s">
        <v>27012</v>
      </c>
      <c r="C13860" s="11" t="s">
        <v>17</v>
      </c>
      <c r="D13860" s="11" t="s">
        <v>18</v>
      </c>
      <c r="E13860" s="12" t="s">
        <v>1019</v>
      </c>
      <c r="F13860" s="12" t="s">
        <v>1020</v>
      </c>
      <c r="G13860" s="12" t="s">
        <v>46</v>
      </c>
      <c r="H13860" s="11" t="s">
        <v>63</v>
      </c>
      <c r="I13860" s="13" t="s">
        <v>27018</v>
      </c>
      <c r="J13860" s="14" t="str">
        <f>HYPERLINK("https://www.boe.es/gazeta/dias/1839/07/15/pdfs/GMD-1839-1703.pdf#page=3","Abrir facsímil")</f>
        <v>Abrir facsímil</v>
      </c>
      <c r="K13860" s="12" t="s">
        <v>65</v>
      </c>
    </row>
    <row r="13861" spans="1:11" ht="40.049999999999997" customHeight="1" x14ac:dyDescent="0.25">
      <c r="A13861" s="11" t="s">
        <v>27012</v>
      </c>
      <c r="B13861" s="11" t="s">
        <v>27012</v>
      </c>
      <c r="C13861" s="11" t="s">
        <v>17</v>
      </c>
      <c r="D13861" s="11" t="s">
        <v>18</v>
      </c>
      <c r="E13861" s="12" t="s">
        <v>416</v>
      </c>
      <c r="F13861" s="12" t="s">
        <v>417</v>
      </c>
      <c r="G13861" s="12" t="s">
        <v>40</v>
      </c>
      <c r="H13861" s="11" t="s">
        <v>63</v>
      </c>
      <c r="I13861" s="13" t="s">
        <v>27019</v>
      </c>
      <c r="J13861" s="14" t="str">
        <f>HYPERLINK("https://www.boe.es/gazeta/dias/1839/10/24/pdfs/GMD-1839-1810.pdf#page=2","Abrir facsímil")</f>
        <v>Abrir facsímil</v>
      </c>
      <c r="K13861" s="12" t="s">
        <v>65</v>
      </c>
    </row>
    <row r="13862" spans="1:11" ht="40.049999999999997" customHeight="1" x14ac:dyDescent="0.25">
      <c r="A13862" s="11" t="s">
        <v>27020</v>
      </c>
      <c r="B13862" s="11" t="s">
        <v>27021</v>
      </c>
      <c r="C13862" s="11" t="s">
        <v>17</v>
      </c>
      <c r="D13862" s="11" t="s">
        <v>18</v>
      </c>
      <c r="E13862" s="12" t="s">
        <v>138</v>
      </c>
      <c r="F13862" s="12" t="s">
        <v>139</v>
      </c>
      <c r="G13862" s="12" t="s">
        <v>46</v>
      </c>
      <c r="H13862" s="11" t="s">
        <v>63</v>
      </c>
      <c r="I13862" s="13" t="s">
        <v>27022</v>
      </c>
      <c r="J13862" s="14" t="str">
        <f>HYPERLINK("https://www.boe.es/gazeta/dias/1839/10/09/pdfs/GMD-1839-1795.pdf#page=3","Abrir facsímil")</f>
        <v>Abrir facsímil</v>
      </c>
      <c r="K13862" s="12" t="s">
        <v>65</v>
      </c>
    </row>
    <row r="13863" spans="1:11" ht="40.049999999999997" customHeight="1" x14ac:dyDescent="0.25">
      <c r="A13863" s="11" t="s">
        <v>27023</v>
      </c>
      <c r="B13863" s="11" t="s">
        <v>27024</v>
      </c>
      <c r="C13863" s="11" t="s">
        <v>17</v>
      </c>
      <c r="D13863" s="11" t="s">
        <v>18</v>
      </c>
      <c r="E13863" s="12" t="s">
        <v>1565</v>
      </c>
      <c r="F13863" s="12" t="s">
        <v>1566</v>
      </c>
      <c r="G13863" s="12" t="s">
        <v>21</v>
      </c>
      <c r="H13863" s="11" t="s">
        <v>63</v>
      </c>
      <c r="I13863" s="13" t="s">
        <v>27025</v>
      </c>
      <c r="J13863" s="14" t="str">
        <f>HYPERLINK("https://www.boe.es/gazeta/dias/1839/06/17/pdfs/GMD-1839-1675.pdf#page=4","Abrir facsímil")</f>
        <v>Abrir facsímil</v>
      </c>
      <c r="K13863" s="12" t="s">
        <v>65</v>
      </c>
    </row>
    <row r="13864" spans="1:11" ht="40.049999999999997" customHeight="1" x14ac:dyDescent="0.25">
      <c r="A13864" s="11" t="s">
        <v>27026</v>
      </c>
      <c r="B13864" s="11" t="s">
        <v>27027</v>
      </c>
      <c r="C13864" s="11" t="s">
        <v>101</v>
      </c>
      <c r="D13864" s="11" t="s">
        <v>102</v>
      </c>
      <c r="E13864" s="12" t="s">
        <v>1012</v>
      </c>
      <c r="F13864" s="12" t="s">
        <v>1013</v>
      </c>
      <c r="G13864" s="12" t="s">
        <v>21</v>
      </c>
      <c r="H13864" s="11" t="s">
        <v>63</v>
      </c>
      <c r="I13864" s="13" t="s">
        <v>27028</v>
      </c>
      <c r="J13864" s="14" t="str">
        <f>HYPERLINK("https://www.boe.es/gazeta/dias/1839/11/22/pdfs/GMD-1839-1839.pdf#page=4","Abrir facsímil")</f>
        <v>Abrir facsímil</v>
      </c>
      <c r="K13864" s="12" t="s">
        <v>65</v>
      </c>
    </row>
    <row r="13865" spans="1:11" ht="40.049999999999997" customHeight="1" x14ac:dyDescent="0.25">
      <c r="A13865" s="11" t="s">
        <v>27029</v>
      </c>
      <c r="B13865" s="11" t="s">
        <v>27030</v>
      </c>
      <c r="C13865" s="11" t="s">
        <v>80</v>
      </c>
      <c r="D13865" s="11" t="s">
        <v>18</v>
      </c>
      <c r="E13865" s="12" t="s">
        <v>548</v>
      </c>
      <c r="F13865" s="12" t="s">
        <v>549</v>
      </c>
      <c r="G13865" s="12" t="s">
        <v>29</v>
      </c>
      <c r="H13865" s="11" t="s">
        <v>63</v>
      </c>
      <c r="I13865" s="13" t="s">
        <v>27031</v>
      </c>
      <c r="J13865" s="14" t="str">
        <f>HYPERLINK("https://www.boe.es/gazeta/dias/1839/06/06/pdfs/GMD-1839-1664.pdf#page=1","Abrir facsímil")</f>
        <v>Abrir facsímil</v>
      </c>
      <c r="K13865" s="12" t="s">
        <v>65</v>
      </c>
    </row>
    <row r="13866" spans="1:11" ht="40.049999999999997" customHeight="1" x14ac:dyDescent="0.25">
      <c r="A13866" s="11" t="s">
        <v>27032</v>
      </c>
      <c r="B13866" s="11" t="s">
        <v>27033</v>
      </c>
      <c r="C13866" s="11" t="s">
        <v>17</v>
      </c>
      <c r="D13866" s="11" t="s">
        <v>18</v>
      </c>
      <c r="E13866" s="12" t="s">
        <v>1374</v>
      </c>
      <c r="F13866" s="12" t="s">
        <v>1375</v>
      </c>
      <c r="G13866" s="12" t="s">
        <v>21</v>
      </c>
      <c r="H13866" s="11" t="s">
        <v>63</v>
      </c>
      <c r="I13866" s="13" t="s">
        <v>27034</v>
      </c>
      <c r="J13866" s="14" t="str">
        <f>HYPERLINK("https://www.boe.es/gazeta/dias/1839/07/20/pdfs/GMD-1839-1708.pdf#page=4","Abrir facsímil")</f>
        <v>Abrir facsímil</v>
      </c>
      <c r="K13866" s="12" t="s">
        <v>65</v>
      </c>
    </row>
    <row r="13867" spans="1:11" ht="40.049999999999997" customHeight="1" x14ac:dyDescent="0.25">
      <c r="A13867" s="11" t="s">
        <v>27032</v>
      </c>
      <c r="B13867" s="11" t="s">
        <v>27033</v>
      </c>
      <c r="C13867" s="11" t="s">
        <v>17</v>
      </c>
      <c r="D13867" s="11" t="s">
        <v>18</v>
      </c>
      <c r="E13867" s="12" t="s">
        <v>611</v>
      </c>
      <c r="F13867" s="12" t="s">
        <v>612</v>
      </c>
      <c r="G13867" s="12" t="s">
        <v>21</v>
      </c>
      <c r="H13867" s="11" t="s">
        <v>63</v>
      </c>
      <c r="I13867" s="13" t="s">
        <v>27035</v>
      </c>
      <c r="J13867" s="14" t="str">
        <f>HYPERLINK("https://www.boe.es/gazeta/dias/1839/07/22/pdfs/GMD-1839-1710.pdf#page=4","Abrir facsímil")</f>
        <v>Abrir facsímil</v>
      </c>
      <c r="K13867" s="12" t="s">
        <v>65</v>
      </c>
    </row>
    <row r="13868" spans="1:11" ht="40.049999999999997" customHeight="1" x14ac:dyDescent="0.25">
      <c r="A13868" s="11" t="s">
        <v>27036</v>
      </c>
      <c r="B13868" s="11" t="s">
        <v>27036</v>
      </c>
      <c r="C13868" s="11" t="s">
        <v>17</v>
      </c>
      <c r="D13868" s="11" t="s">
        <v>18</v>
      </c>
      <c r="E13868" s="12" t="s">
        <v>1149</v>
      </c>
      <c r="F13868" s="12" t="s">
        <v>1150</v>
      </c>
      <c r="G13868" s="12" t="s">
        <v>29</v>
      </c>
      <c r="H13868" s="11" t="s">
        <v>63</v>
      </c>
      <c r="I13868" s="13" t="s">
        <v>27037</v>
      </c>
      <c r="J13868" s="14" t="str">
        <f>HYPERLINK("https://www.boe.es/gazeta/dias/1839/06/25/pdfs/GMD-1839-1683.pdf#page=1","Abrir facsímil")</f>
        <v>Abrir facsímil</v>
      </c>
      <c r="K13868" s="12" t="s">
        <v>65</v>
      </c>
    </row>
    <row r="13869" spans="1:11" ht="40.049999999999997" customHeight="1" x14ac:dyDescent="0.25">
      <c r="A13869" s="11" t="s">
        <v>27038</v>
      </c>
      <c r="B13869" s="11" t="s">
        <v>27038</v>
      </c>
      <c r="C13869" s="11" t="s">
        <v>17</v>
      </c>
      <c r="D13869" s="11" t="s">
        <v>18</v>
      </c>
      <c r="E13869" s="12" t="s">
        <v>946</v>
      </c>
      <c r="F13869" s="12" t="s">
        <v>947</v>
      </c>
      <c r="G13869" s="12" t="s">
        <v>40</v>
      </c>
      <c r="H13869" s="11" t="s">
        <v>63</v>
      </c>
      <c r="I13869" s="13" t="s">
        <v>27039</v>
      </c>
      <c r="J13869" s="14" t="str">
        <f>HYPERLINK("https://www.boe.es/gazeta/dias/1839/04/15/pdfs/GMD-1839-1612.pdf#page=2","Abrir facsímil")</f>
        <v>Abrir facsímil</v>
      </c>
      <c r="K13869" s="12" t="s">
        <v>65</v>
      </c>
    </row>
    <row r="13870" spans="1:11" ht="40.049999999999997" customHeight="1" x14ac:dyDescent="0.25">
      <c r="A13870" s="11" t="s">
        <v>27040</v>
      </c>
      <c r="B13870" s="11" t="s">
        <v>27040</v>
      </c>
      <c r="C13870" s="11" t="s">
        <v>101</v>
      </c>
      <c r="D13870" s="11" t="s">
        <v>43</v>
      </c>
      <c r="E13870" s="12" t="s">
        <v>284</v>
      </c>
      <c r="F13870" s="12" t="s">
        <v>285</v>
      </c>
      <c r="G13870" s="12" t="s">
        <v>21</v>
      </c>
      <c r="H13870" s="11" t="s">
        <v>63</v>
      </c>
      <c r="I13870" s="13" t="s">
        <v>27041</v>
      </c>
      <c r="J13870" s="14" t="str">
        <f>HYPERLINK("https://www.boe.es/gazeta/dias/1839/01/27/pdfs/GMD-1839-1534.pdf#page=4","Abrir facsímil")</f>
        <v>Abrir facsímil</v>
      </c>
      <c r="K13870" s="12" t="s">
        <v>65</v>
      </c>
    </row>
    <row r="13871" spans="1:11" ht="40.049999999999997" customHeight="1" x14ac:dyDescent="0.25">
      <c r="A13871" s="11" t="s">
        <v>27042</v>
      </c>
      <c r="B13871" s="11" t="s">
        <v>27042</v>
      </c>
      <c r="C13871" s="11" t="s">
        <v>59</v>
      </c>
      <c r="D13871" s="11" t="s">
        <v>60</v>
      </c>
      <c r="E13871" s="12" t="s">
        <v>984</v>
      </c>
      <c r="F13871" s="12" t="s">
        <v>985</v>
      </c>
      <c r="G13871" s="12" t="s">
        <v>40</v>
      </c>
      <c r="H13871" s="11" t="s">
        <v>63</v>
      </c>
      <c r="I13871" s="13" t="s">
        <v>27043</v>
      </c>
      <c r="J13871" s="14" t="str">
        <f>HYPERLINK("https://www.boe.es/gazeta/dias/1839/04/10/pdfs/GMD-1839-1607.pdf#page=2","Abrir facsímil")</f>
        <v>Abrir facsímil</v>
      </c>
      <c r="K13871" s="12" t="s">
        <v>65</v>
      </c>
    </row>
    <row r="13872" spans="1:11" ht="40.049999999999997" customHeight="1" x14ac:dyDescent="0.25">
      <c r="A13872" s="11" t="s">
        <v>27044</v>
      </c>
      <c r="B13872" s="11" t="s">
        <v>27044</v>
      </c>
      <c r="C13872" s="11" t="s">
        <v>17</v>
      </c>
      <c r="D13872" s="11" t="s">
        <v>18</v>
      </c>
      <c r="E13872" s="12" t="s">
        <v>4957</v>
      </c>
      <c r="F13872" s="12" t="s">
        <v>4958</v>
      </c>
      <c r="G13872" s="12" t="s">
        <v>40</v>
      </c>
      <c r="H13872" s="11" t="s">
        <v>63</v>
      </c>
      <c r="I13872" s="13" t="s">
        <v>27045</v>
      </c>
      <c r="J13872" s="14" t="str">
        <f>HYPERLINK("https://www.boe.es/gazeta/dias/1839/11/04/pdfs/GMD-1839-1821.pdf#page=2","Abrir facsímil")</f>
        <v>Abrir facsímil</v>
      </c>
      <c r="K13872" s="12" t="s">
        <v>65</v>
      </c>
    </row>
    <row r="13873" spans="1:11" ht="40.049999999999997" customHeight="1" x14ac:dyDescent="0.25">
      <c r="A13873" s="11" t="s">
        <v>27046</v>
      </c>
      <c r="B13873" s="11" t="s">
        <v>27046</v>
      </c>
      <c r="C13873" s="11" t="s">
        <v>17</v>
      </c>
      <c r="D13873" s="11" t="s">
        <v>18</v>
      </c>
      <c r="E13873" s="12" t="s">
        <v>700</v>
      </c>
      <c r="F13873" s="12" t="s">
        <v>701</v>
      </c>
      <c r="G13873" s="12" t="s">
        <v>21</v>
      </c>
      <c r="H13873" s="11" t="s">
        <v>63</v>
      </c>
      <c r="I13873" s="13" t="s">
        <v>27047</v>
      </c>
      <c r="J13873" s="14" t="str">
        <f>HYPERLINK("https://www.boe.es/gazeta/dias/1839/09/01/pdfs/GMD-1839-1753.pdf#page=4","Abrir facsímil")</f>
        <v>Abrir facsímil</v>
      </c>
      <c r="K13873" s="12" t="s">
        <v>65</v>
      </c>
    </row>
    <row r="13874" spans="1:11" ht="40.049999999999997" customHeight="1" x14ac:dyDescent="0.25">
      <c r="A13874" s="11" t="s">
        <v>27046</v>
      </c>
      <c r="B13874" s="11" t="s">
        <v>27046</v>
      </c>
      <c r="C13874" s="11" t="s">
        <v>17</v>
      </c>
      <c r="D13874" s="11" t="s">
        <v>18</v>
      </c>
      <c r="E13874" s="12" t="s">
        <v>3614</v>
      </c>
      <c r="F13874" s="12" t="s">
        <v>3615</v>
      </c>
      <c r="G13874" s="12" t="s">
        <v>29</v>
      </c>
      <c r="H13874" s="11" t="s">
        <v>63</v>
      </c>
      <c r="I13874" s="13" t="s">
        <v>27048</v>
      </c>
      <c r="J13874" s="14" t="str">
        <f>HYPERLINK("https://www.boe.es/gazeta/dias/1839/04/04/pdfs/GMD-1839-1601.pdf#page=1","Abrir facsímil")</f>
        <v>Abrir facsímil</v>
      </c>
      <c r="K13874" s="12" t="s">
        <v>65</v>
      </c>
    </row>
    <row r="13875" spans="1:11" ht="40.049999999999997" customHeight="1" x14ac:dyDescent="0.25">
      <c r="A13875" s="11" t="s">
        <v>27046</v>
      </c>
      <c r="B13875" s="11" t="s">
        <v>27046</v>
      </c>
      <c r="C13875" s="11" t="s">
        <v>59</v>
      </c>
      <c r="D13875" s="11" t="s">
        <v>60</v>
      </c>
      <c r="E13875" s="12" t="s">
        <v>821</v>
      </c>
      <c r="F13875" s="12" t="s">
        <v>822</v>
      </c>
      <c r="G13875" s="12" t="s">
        <v>40</v>
      </c>
      <c r="H13875" s="11" t="s">
        <v>63</v>
      </c>
      <c r="I13875" s="13" t="s">
        <v>27049</v>
      </c>
      <c r="J13875" s="14" t="str">
        <f>HYPERLINK("https://www.boe.es/gazeta/dias/1839/09/20/pdfs/GMD-1839-1775.pdf#page=2","Abrir facsímil")</f>
        <v>Abrir facsímil</v>
      </c>
      <c r="K13875" s="12" t="s">
        <v>65</v>
      </c>
    </row>
    <row r="13876" spans="1:11" ht="40.049999999999997" customHeight="1" x14ac:dyDescent="0.25">
      <c r="A13876" s="11" t="s">
        <v>27046</v>
      </c>
      <c r="B13876" s="11" t="s">
        <v>27046</v>
      </c>
      <c r="C13876" s="11" t="s">
        <v>101</v>
      </c>
      <c r="D13876" s="11" t="s">
        <v>43</v>
      </c>
      <c r="E13876" s="12" t="s">
        <v>243</v>
      </c>
      <c r="F13876" s="12" t="s">
        <v>244</v>
      </c>
      <c r="G13876" s="12" t="s">
        <v>46</v>
      </c>
      <c r="H13876" s="11" t="s">
        <v>63</v>
      </c>
      <c r="I13876" s="13" t="s">
        <v>27050</v>
      </c>
      <c r="J13876" s="14" t="str">
        <f>HYPERLINK("https://www.boe.es/gazeta/dias/1839/09/23/pdfs/GMD-1839-1779.pdf#page=3","Abrir facsímil")</f>
        <v>Abrir facsímil</v>
      </c>
      <c r="K13876" s="12" t="s">
        <v>65</v>
      </c>
    </row>
    <row r="13877" spans="1:11" ht="40.049999999999997" customHeight="1" x14ac:dyDescent="0.25">
      <c r="A13877" s="11" t="s">
        <v>27051</v>
      </c>
      <c r="B13877" s="11" t="s">
        <v>27052</v>
      </c>
      <c r="C13877" s="11" t="s">
        <v>59</v>
      </c>
      <c r="D13877" s="11" t="s">
        <v>60</v>
      </c>
      <c r="E13877" s="12" t="s">
        <v>116</v>
      </c>
      <c r="F13877" s="12" t="s">
        <v>117</v>
      </c>
      <c r="G13877" s="12" t="s">
        <v>40</v>
      </c>
      <c r="H13877" s="11" t="s">
        <v>63</v>
      </c>
      <c r="I13877" s="13" t="s">
        <v>27053</v>
      </c>
      <c r="J13877" s="14" t="str">
        <f>HYPERLINK("https://www.boe.es/gazeta/dias/1839/10/10/pdfs/GMD-1839-1796.pdf#page=2","Abrir facsímil")</f>
        <v>Abrir facsímil</v>
      </c>
      <c r="K13877" s="12" t="s">
        <v>65</v>
      </c>
    </row>
    <row r="13878" spans="1:11" ht="40.049999999999997" customHeight="1" x14ac:dyDescent="0.25">
      <c r="A13878" s="11" t="s">
        <v>27054</v>
      </c>
      <c r="B13878" s="11" t="s">
        <v>27054</v>
      </c>
      <c r="C13878" s="11" t="s">
        <v>17</v>
      </c>
      <c r="D13878" s="11" t="s">
        <v>18</v>
      </c>
      <c r="E13878" s="12" t="s">
        <v>751</v>
      </c>
      <c r="F13878" s="12" t="s">
        <v>752</v>
      </c>
      <c r="G13878" s="12" t="s">
        <v>40</v>
      </c>
      <c r="H13878" s="11" t="s">
        <v>63</v>
      </c>
      <c r="I13878" s="13" t="s">
        <v>27055</v>
      </c>
      <c r="J13878" s="14" t="str">
        <f>HYPERLINK("https://www.boe.es/gazeta/dias/1839/02/05/pdfs/GMD-1839-1543.pdf#page=2","Abrir facsímil")</f>
        <v>Abrir facsímil</v>
      </c>
      <c r="K13878" s="12" t="s">
        <v>65</v>
      </c>
    </row>
    <row r="13879" spans="1:11" ht="40.049999999999997" customHeight="1" x14ac:dyDescent="0.25">
      <c r="A13879" s="11" t="s">
        <v>27054</v>
      </c>
      <c r="B13879" s="11" t="s">
        <v>27054</v>
      </c>
      <c r="C13879" s="11" t="s">
        <v>17</v>
      </c>
      <c r="D13879" s="11" t="s">
        <v>18</v>
      </c>
      <c r="E13879" s="12" t="s">
        <v>804</v>
      </c>
      <c r="F13879" s="12" t="s">
        <v>805</v>
      </c>
      <c r="G13879" s="12" t="s">
        <v>40</v>
      </c>
      <c r="H13879" s="11" t="s">
        <v>63</v>
      </c>
      <c r="I13879" s="13" t="s">
        <v>27056</v>
      </c>
      <c r="J13879" s="14" t="str">
        <f>HYPERLINK("https://www.boe.es/gazeta/dias/1839/01/08/pdfs/GMD-1839-1515.pdf#page=2","Abrir facsímil")</f>
        <v>Abrir facsímil</v>
      </c>
      <c r="K13879" s="12" t="s">
        <v>65</v>
      </c>
    </row>
    <row r="13880" spans="1:11" ht="40.049999999999997" customHeight="1" x14ac:dyDescent="0.25">
      <c r="A13880" s="11" t="s">
        <v>27054</v>
      </c>
      <c r="B13880" s="11" t="s">
        <v>27054</v>
      </c>
      <c r="C13880" s="11" t="s">
        <v>17</v>
      </c>
      <c r="D13880" s="11" t="s">
        <v>18</v>
      </c>
      <c r="E13880" s="12" t="s">
        <v>68</v>
      </c>
      <c r="F13880" s="12" t="s">
        <v>69</v>
      </c>
      <c r="G13880" s="12" t="s">
        <v>29</v>
      </c>
      <c r="H13880" s="11" t="s">
        <v>63</v>
      </c>
      <c r="I13880" s="13" t="s">
        <v>27057</v>
      </c>
      <c r="J13880" s="14" t="str">
        <f>HYPERLINK("https://www.boe.es/gazeta/dias/1839/02/09/pdfs/GMD-1839-1547.pdf#page=1","Abrir facsímil")</f>
        <v>Abrir facsímil</v>
      </c>
      <c r="K13880" s="12" t="s">
        <v>65</v>
      </c>
    </row>
    <row r="13881" spans="1:11" ht="40.049999999999997" customHeight="1" x14ac:dyDescent="0.25">
      <c r="A13881" s="11" t="s">
        <v>27054</v>
      </c>
      <c r="B13881" s="11" t="s">
        <v>27054</v>
      </c>
      <c r="C13881" s="11" t="s">
        <v>59</v>
      </c>
      <c r="D13881" s="11" t="s">
        <v>60</v>
      </c>
      <c r="E13881" s="12" t="s">
        <v>116</v>
      </c>
      <c r="F13881" s="12" t="s">
        <v>117</v>
      </c>
      <c r="G13881" s="12" t="s">
        <v>40</v>
      </c>
      <c r="H13881" s="11" t="s">
        <v>63</v>
      </c>
      <c r="I13881" s="13" t="s">
        <v>27058</v>
      </c>
      <c r="J13881" s="14" t="str">
        <f>HYPERLINK("https://www.boe.es/gazeta/dias/1839/10/10/pdfs/GMD-1839-1796.pdf#page=2","Abrir facsímil")</f>
        <v>Abrir facsímil</v>
      </c>
      <c r="K13881" s="12" t="s">
        <v>65</v>
      </c>
    </row>
    <row r="13882" spans="1:11" ht="40.049999999999997" customHeight="1" x14ac:dyDescent="0.25">
      <c r="A13882" s="11" t="s">
        <v>27054</v>
      </c>
      <c r="B13882" s="11" t="s">
        <v>27054</v>
      </c>
      <c r="C13882" s="11" t="s">
        <v>101</v>
      </c>
      <c r="D13882" s="11" t="s">
        <v>43</v>
      </c>
      <c r="E13882" s="12" t="s">
        <v>163</v>
      </c>
      <c r="F13882" s="12" t="s">
        <v>164</v>
      </c>
      <c r="G13882" s="12" t="s">
        <v>40</v>
      </c>
      <c r="H13882" s="11" t="s">
        <v>63</v>
      </c>
      <c r="I13882" s="13" t="s">
        <v>27059</v>
      </c>
      <c r="J13882" s="14" t="str">
        <f>HYPERLINK("https://www.boe.es/gazeta/dias/1839/01/13/pdfs/GMD-1839-1520.pdf#page=2","Abrir facsímil")</f>
        <v>Abrir facsímil</v>
      </c>
      <c r="K13882" s="12" t="s">
        <v>65</v>
      </c>
    </row>
    <row r="13883" spans="1:11" ht="40.049999999999997" customHeight="1" x14ac:dyDescent="0.25">
      <c r="A13883" s="11" t="s">
        <v>27054</v>
      </c>
      <c r="B13883" s="11" t="s">
        <v>27054</v>
      </c>
      <c r="C13883" s="11" t="s">
        <v>137</v>
      </c>
      <c r="D13883" s="11" t="s">
        <v>18</v>
      </c>
      <c r="E13883" s="12" t="s">
        <v>236</v>
      </c>
      <c r="F13883" s="12" t="s">
        <v>237</v>
      </c>
      <c r="G13883" s="12" t="s">
        <v>40</v>
      </c>
      <c r="H13883" s="11" t="s">
        <v>63</v>
      </c>
      <c r="I13883" s="13" t="s">
        <v>27060</v>
      </c>
      <c r="J13883" s="14" t="str">
        <f>HYPERLINK("https://www.boe.es/gazeta/dias/1839/09/18/pdfs/GMD-1839-1771.pdf#page=2","Abrir facsímil")</f>
        <v>Abrir facsímil</v>
      </c>
      <c r="K13883" s="12" t="s">
        <v>65</v>
      </c>
    </row>
    <row r="13884" spans="1:11" ht="40.049999999999997" customHeight="1" x14ac:dyDescent="0.25">
      <c r="A13884" s="11" t="s">
        <v>27054</v>
      </c>
      <c r="B13884" s="11" t="s">
        <v>27054</v>
      </c>
      <c r="C13884" s="11" t="s">
        <v>17</v>
      </c>
      <c r="D13884" s="11" t="s">
        <v>18</v>
      </c>
      <c r="E13884" s="12" t="s">
        <v>1108</v>
      </c>
      <c r="F13884" s="12" t="s">
        <v>1109</v>
      </c>
      <c r="G13884" s="12" t="s">
        <v>40</v>
      </c>
      <c r="H13884" s="11" t="s">
        <v>63</v>
      </c>
      <c r="I13884" s="13" t="s">
        <v>27061</v>
      </c>
      <c r="J13884" s="14" t="str">
        <f>HYPERLINK("https://www.boe.es/gazeta/dias/1839/09/21/pdfs/GMD-1839-1776.pdf#page=2","Abrir facsímil")</f>
        <v>Abrir facsímil</v>
      </c>
      <c r="K13884" s="12" t="s">
        <v>65</v>
      </c>
    </row>
    <row r="13885" spans="1:11" ht="40.049999999999997" customHeight="1" x14ac:dyDescent="0.25">
      <c r="A13885" s="11" t="s">
        <v>27054</v>
      </c>
      <c r="B13885" s="11" t="s">
        <v>27054</v>
      </c>
      <c r="C13885" s="11" t="s">
        <v>101</v>
      </c>
      <c r="D13885" s="11" t="s">
        <v>43</v>
      </c>
      <c r="E13885" s="12" t="s">
        <v>2949</v>
      </c>
      <c r="F13885" s="12" t="s">
        <v>2950</v>
      </c>
      <c r="G13885" s="12" t="s">
        <v>40</v>
      </c>
      <c r="H13885" s="11" t="s">
        <v>63</v>
      </c>
      <c r="I13885" s="13" t="s">
        <v>27062</v>
      </c>
      <c r="J13885" s="14" t="str">
        <f>HYPERLINK("https://www.boe.es/gazeta/dias/1839/10/21/pdfs/GMD-1839-1807.pdf#page=2","Abrir facsímil")</f>
        <v>Abrir facsímil</v>
      </c>
      <c r="K13885" s="12" t="s">
        <v>65</v>
      </c>
    </row>
    <row r="13886" spans="1:11" ht="40.049999999999997" customHeight="1" x14ac:dyDescent="0.25">
      <c r="A13886" s="11" t="s">
        <v>27054</v>
      </c>
      <c r="B13886" s="11" t="s">
        <v>27054</v>
      </c>
      <c r="C13886" s="11" t="s">
        <v>17</v>
      </c>
      <c r="D13886" s="11" t="s">
        <v>18</v>
      </c>
      <c r="E13886" s="12" t="s">
        <v>239</v>
      </c>
      <c r="F13886" s="12" t="s">
        <v>240</v>
      </c>
      <c r="G13886" s="12" t="s">
        <v>40</v>
      </c>
      <c r="H13886" s="11" t="s">
        <v>63</v>
      </c>
      <c r="I13886" s="13" t="s">
        <v>27063</v>
      </c>
      <c r="J13886" s="14" t="str">
        <f>HYPERLINK("https://www.boe.es/gazeta/dias/1839/09/22/pdfs/GMD-1839-1777.pdf#page=2","Abrir facsímil")</f>
        <v>Abrir facsímil</v>
      </c>
      <c r="K13886" s="12" t="s">
        <v>65</v>
      </c>
    </row>
    <row r="13887" spans="1:11" ht="40.049999999999997" customHeight="1" x14ac:dyDescent="0.25">
      <c r="A13887" s="11" t="s">
        <v>27054</v>
      </c>
      <c r="B13887" s="11" t="s">
        <v>27054</v>
      </c>
      <c r="C13887" s="11" t="s">
        <v>17</v>
      </c>
      <c r="D13887" s="11" t="s">
        <v>18</v>
      </c>
      <c r="E13887" s="12" t="s">
        <v>1433</v>
      </c>
      <c r="F13887" s="12" t="s">
        <v>1434</v>
      </c>
      <c r="G13887" s="12" t="s">
        <v>40</v>
      </c>
      <c r="H13887" s="11" t="s">
        <v>63</v>
      </c>
      <c r="I13887" s="13" t="s">
        <v>27064</v>
      </c>
      <c r="J13887" s="14" t="str">
        <f>HYPERLINK("https://www.boe.es/gazeta/dias/1839/10/22/pdfs/GMD-1839-1808.pdf#page=2","Abrir facsímil")</f>
        <v>Abrir facsímil</v>
      </c>
      <c r="K13887" s="12" t="s">
        <v>65</v>
      </c>
    </row>
    <row r="13888" spans="1:11" ht="40.049999999999997" customHeight="1" x14ac:dyDescent="0.25">
      <c r="A13888" s="11" t="s">
        <v>27054</v>
      </c>
      <c r="B13888" s="11" t="s">
        <v>27054</v>
      </c>
      <c r="C13888" s="11" t="s">
        <v>17</v>
      </c>
      <c r="D13888" s="11" t="s">
        <v>18</v>
      </c>
      <c r="E13888" s="12" t="s">
        <v>568</v>
      </c>
      <c r="F13888" s="12" t="s">
        <v>569</v>
      </c>
      <c r="G13888" s="12" t="s">
        <v>46</v>
      </c>
      <c r="H13888" s="11" t="s">
        <v>63</v>
      </c>
      <c r="I13888" s="13" t="s">
        <v>27065</v>
      </c>
      <c r="J13888" s="14" t="str">
        <f>HYPERLINK("https://www.boe.es/gazeta/dias/1839/10/23/pdfs/GMD-1839-1809.pdf#page=3","Abrir facsímil")</f>
        <v>Abrir facsímil</v>
      </c>
      <c r="K13888" s="12" t="s">
        <v>65</v>
      </c>
    </row>
    <row r="13889" spans="1:11" ht="40.049999999999997" customHeight="1" x14ac:dyDescent="0.25">
      <c r="A13889" s="11" t="s">
        <v>27054</v>
      </c>
      <c r="B13889" s="11" t="s">
        <v>27054</v>
      </c>
      <c r="C13889" s="11" t="s">
        <v>17</v>
      </c>
      <c r="D13889" s="11" t="s">
        <v>18</v>
      </c>
      <c r="E13889" s="12" t="s">
        <v>276</v>
      </c>
      <c r="F13889" s="12" t="s">
        <v>277</v>
      </c>
      <c r="G13889" s="12" t="s">
        <v>46</v>
      </c>
      <c r="H13889" s="11" t="s">
        <v>63</v>
      </c>
      <c r="I13889" s="13" t="s">
        <v>27066</v>
      </c>
      <c r="J13889" s="14" t="str">
        <f>HYPERLINK("https://www.boe.es/gazeta/dias/1839/09/24/pdfs/GMD-1839-1780.pdf#page=3","Abrir facsímil")</f>
        <v>Abrir facsímil</v>
      </c>
      <c r="K13889" s="12" t="s">
        <v>65</v>
      </c>
    </row>
    <row r="13890" spans="1:11" ht="40.049999999999997" customHeight="1" x14ac:dyDescent="0.25">
      <c r="A13890" s="11" t="s">
        <v>27067</v>
      </c>
      <c r="B13890" s="11" t="s">
        <v>27067</v>
      </c>
      <c r="C13890" s="11" t="s">
        <v>80</v>
      </c>
      <c r="D13890" s="11" t="s">
        <v>18</v>
      </c>
      <c r="E13890" s="12" t="s">
        <v>388</v>
      </c>
      <c r="F13890" s="12" t="s">
        <v>389</v>
      </c>
      <c r="G13890" s="12" t="s">
        <v>29</v>
      </c>
      <c r="H13890" s="11" t="s">
        <v>63</v>
      </c>
      <c r="I13890" s="13" t="s">
        <v>27068</v>
      </c>
      <c r="J13890" s="14" t="str">
        <f>HYPERLINK("https://www.boe.es/gazeta/dias/1839/08/07/pdfs/GMD-1839-1727.pdf#page=1","Abrir facsímil")</f>
        <v>Abrir facsímil</v>
      </c>
      <c r="K13890" s="12" t="s">
        <v>65</v>
      </c>
    </row>
    <row r="13891" spans="1:11" ht="40.049999999999997" customHeight="1" x14ac:dyDescent="0.25">
      <c r="A13891" s="11" t="s">
        <v>27069</v>
      </c>
      <c r="B13891" s="11" t="s">
        <v>27069</v>
      </c>
      <c r="C13891" s="11" t="s">
        <v>59</v>
      </c>
      <c r="D13891" s="11" t="s">
        <v>60</v>
      </c>
      <c r="E13891" s="12" t="s">
        <v>1663</v>
      </c>
      <c r="F13891" s="12" t="s">
        <v>1664</v>
      </c>
      <c r="G13891" s="12" t="s">
        <v>21</v>
      </c>
      <c r="H13891" s="11" t="s">
        <v>63</v>
      </c>
      <c r="I13891" s="13" t="s">
        <v>27070</v>
      </c>
      <c r="J13891" s="14" t="str">
        <f>HYPERLINK("https://www.boe.es/gazeta/dias/1839/03/22/pdfs/GMD-1839-1588.pdf#page=4","Abrir facsímil")</f>
        <v>Abrir facsímil</v>
      </c>
      <c r="K13891" s="12" t="s">
        <v>65</v>
      </c>
    </row>
    <row r="13892" spans="1:11" ht="40.049999999999997" customHeight="1" x14ac:dyDescent="0.25">
      <c r="A13892" s="11" t="s">
        <v>27071</v>
      </c>
      <c r="B13892" s="11" t="s">
        <v>27072</v>
      </c>
      <c r="C13892" s="11" t="s">
        <v>59</v>
      </c>
      <c r="D13892" s="11" t="s">
        <v>60</v>
      </c>
      <c r="E13892" s="12" t="s">
        <v>510</v>
      </c>
      <c r="F13892" s="12" t="s">
        <v>511</v>
      </c>
      <c r="G13892" s="12" t="s">
        <v>46</v>
      </c>
      <c r="H13892" s="11" t="s">
        <v>63</v>
      </c>
      <c r="I13892" s="13" t="s">
        <v>27073</v>
      </c>
      <c r="J13892" s="14" t="str">
        <f>HYPERLINK("https://www.boe.es/gazeta/dias/1839/05/13/pdfs/GMD-1839-1640.pdf#page=3","Abrir facsímil")</f>
        <v>Abrir facsímil</v>
      </c>
      <c r="K13892" s="12" t="s">
        <v>65</v>
      </c>
    </row>
    <row r="13893" spans="1:11" ht="40.049999999999997" customHeight="1" x14ac:dyDescent="0.25">
      <c r="A13893" s="11" t="s">
        <v>27074</v>
      </c>
      <c r="B13893" s="11" t="s">
        <v>27075</v>
      </c>
      <c r="C13893" s="11" t="s">
        <v>17</v>
      </c>
      <c r="D13893" s="11" t="s">
        <v>18</v>
      </c>
      <c r="E13893" s="12" t="s">
        <v>756</v>
      </c>
      <c r="F13893" s="12" t="s">
        <v>757</v>
      </c>
      <c r="G13893" s="12" t="s">
        <v>21</v>
      </c>
      <c r="H13893" s="11" t="s">
        <v>63</v>
      </c>
      <c r="I13893" s="13" t="s">
        <v>27076</v>
      </c>
      <c r="J13893" s="14" t="str">
        <f>HYPERLINK("https://www.boe.es/gazeta/dias/1839/12/17/pdfs/GMD-1839-1864.pdf#page=4","Abrir facsímil")</f>
        <v>Abrir facsímil</v>
      </c>
      <c r="K13893" s="12" t="s">
        <v>65</v>
      </c>
    </row>
    <row r="13894" spans="1:11" ht="40.049999999999997" customHeight="1" x14ac:dyDescent="0.25">
      <c r="A13894" s="11" t="s">
        <v>27077</v>
      </c>
      <c r="B13894" s="11" t="s">
        <v>27078</v>
      </c>
      <c r="C13894" s="11" t="s">
        <v>59</v>
      </c>
      <c r="D13894" s="11" t="s">
        <v>60</v>
      </c>
      <c r="E13894" s="12" t="s">
        <v>462</v>
      </c>
      <c r="F13894" s="12" t="s">
        <v>463</v>
      </c>
      <c r="G13894" s="12" t="s">
        <v>21</v>
      </c>
      <c r="H13894" s="11" t="s">
        <v>63</v>
      </c>
      <c r="I13894" s="13" t="s">
        <v>27079</v>
      </c>
      <c r="J13894" s="14" t="str">
        <f>HYPERLINK("https://www.boe.es/gazeta/dias/1839/06/19/pdfs/GMD-1839-1677.pdf#page=4","Abrir facsímil")</f>
        <v>Abrir facsímil</v>
      </c>
      <c r="K13894" s="12" t="s">
        <v>65</v>
      </c>
    </row>
    <row r="13895" spans="1:11" ht="40.049999999999997" customHeight="1" x14ac:dyDescent="0.25">
      <c r="A13895" s="11" t="s">
        <v>27080</v>
      </c>
      <c r="B13895" s="11" t="s">
        <v>27081</v>
      </c>
      <c r="C13895" s="11" t="s">
        <v>101</v>
      </c>
      <c r="D13895" s="11" t="s">
        <v>43</v>
      </c>
      <c r="E13895" s="12" t="s">
        <v>68</v>
      </c>
      <c r="F13895" s="12" t="s">
        <v>69</v>
      </c>
      <c r="G13895" s="12" t="s">
        <v>40</v>
      </c>
      <c r="H13895" s="11" t="s">
        <v>63</v>
      </c>
      <c r="I13895" s="13" t="s">
        <v>27082</v>
      </c>
      <c r="J13895" s="14" t="str">
        <f>HYPERLINK("https://www.boe.es/gazeta/dias/1839/02/09/pdfs/GMD-1839-1547.pdf#page=2","Abrir facsímil")</f>
        <v>Abrir facsímil</v>
      </c>
      <c r="K13895" s="12" t="s">
        <v>65</v>
      </c>
    </row>
    <row r="13896" spans="1:11" ht="40.049999999999997" customHeight="1" x14ac:dyDescent="0.25">
      <c r="A13896" s="11" t="s">
        <v>27083</v>
      </c>
      <c r="B13896" s="11" t="s">
        <v>27083</v>
      </c>
      <c r="C13896" s="11" t="s">
        <v>101</v>
      </c>
      <c r="D13896" s="11" t="s">
        <v>43</v>
      </c>
      <c r="E13896" s="12" t="s">
        <v>596</v>
      </c>
      <c r="F13896" s="12" t="s">
        <v>597</v>
      </c>
      <c r="G13896" s="12" t="s">
        <v>21</v>
      </c>
      <c r="H13896" s="11" t="s">
        <v>63</v>
      </c>
      <c r="I13896" s="13" t="s">
        <v>27084</v>
      </c>
      <c r="J13896" s="14" t="str">
        <f>HYPERLINK("https://www.boe.es/gazeta/dias/1839/01/23/pdfs/GMD-1839-1530.pdf#page=4","Abrir facsímil")</f>
        <v>Abrir facsímil</v>
      </c>
      <c r="K13896" s="12" t="s">
        <v>65</v>
      </c>
    </row>
    <row r="13897" spans="1:11" ht="40.049999999999997" customHeight="1" x14ac:dyDescent="0.25">
      <c r="A13897" s="11" t="s">
        <v>27085</v>
      </c>
      <c r="B13897" s="11" t="s">
        <v>27086</v>
      </c>
      <c r="C13897" s="11" t="s">
        <v>17</v>
      </c>
      <c r="D13897" s="11" t="s">
        <v>18</v>
      </c>
      <c r="E13897" s="12" t="s">
        <v>157</v>
      </c>
      <c r="F13897" s="12" t="s">
        <v>158</v>
      </c>
      <c r="G13897" s="12" t="s">
        <v>29</v>
      </c>
      <c r="H13897" s="11" t="s">
        <v>63</v>
      </c>
      <c r="I13897" s="13" t="s">
        <v>27087</v>
      </c>
      <c r="J13897" s="14" t="str">
        <f>HYPERLINK("https://www.boe.es/gazeta/dias/1839/02/08/pdfs/GMD-1839-1546.pdf#page=1","Abrir facsímil")</f>
        <v>Abrir facsímil</v>
      </c>
      <c r="K13897" s="12" t="s">
        <v>65</v>
      </c>
    </row>
    <row r="13898" spans="1:11" ht="40.049999999999997" customHeight="1" x14ac:dyDescent="0.25">
      <c r="A13898" s="11" t="s">
        <v>27088</v>
      </c>
      <c r="B13898" s="11" t="s">
        <v>27088</v>
      </c>
      <c r="C13898" s="11" t="s">
        <v>59</v>
      </c>
      <c r="D13898" s="11" t="s">
        <v>60</v>
      </c>
      <c r="E13898" s="12" t="s">
        <v>2050</v>
      </c>
      <c r="F13898" s="12" t="s">
        <v>2051</v>
      </c>
      <c r="G13898" s="12" t="s">
        <v>21</v>
      </c>
      <c r="H13898" s="11" t="s">
        <v>63</v>
      </c>
      <c r="I13898" s="13" t="s">
        <v>27089</v>
      </c>
      <c r="J13898" s="14" t="str">
        <f>HYPERLINK("https://www.boe.es/gazeta/dias/1839/01/09/pdfs/GMD-1839-1516.pdf#page=4","Abrir facsímil")</f>
        <v>Abrir facsímil</v>
      </c>
      <c r="K13898" s="12" t="s">
        <v>65</v>
      </c>
    </row>
    <row r="13899" spans="1:11" ht="40.049999999999997" customHeight="1" x14ac:dyDescent="0.25">
      <c r="A13899" s="11" t="s">
        <v>27090</v>
      </c>
      <c r="B13899" s="11" t="s">
        <v>27090</v>
      </c>
      <c r="C13899" s="11" t="s">
        <v>17</v>
      </c>
      <c r="D13899" s="11" t="s">
        <v>18</v>
      </c>
      <c r="E13899" s="12" t="s">
        <v>258</v>
      </c>
      <c r="F13899" s="12" t="s">
        <v>259</v>
      </c>
      <c r="G13899" s="12" t="s">
        <v>21</v>
      </c>
      <c r="H13899" s="11" t="s">
        <v>63</v>
      </c>
      <c r="I13899" s="13" t="s">
        <v>27091</v>
      </c>
      <c r="J13899" s="14" t="str">
        <f>HYPERLINK("https://www.boe.es/gazeta/dias/1839/01/02/pdfs/GMD-1839-1509.pdf#page=4","Abrir facsímil")</f>
        <v>Abrir facsímil</v>
      </c>
      <c r="K13899" s="12" t="s">
        <v>65</v>
      </c>
    </row>
    <row r="13900" spans="1:11" ht="40.049999999999997" customHeight="1" x14ac:dyDescent="0.25">
      <c r="A13900" s="11" t="s">
        <v>27092</v>
      </c>
      <c r="B13900" s="11" t="s">
        <v>27092</v>
      </c>
      <c r="C13900" s="11" t="s">
        <v>17</v>
      </c>
      <c r="D13900" s="11" t="s">
        <v>18</v>
      </c>
      <c r="E13900" s="12" t="s">
        <v>266</v>
      </c>
      <c r="F13900" s="12" t="s">
        <v>267</v>
      </c>
      <c r="G13900" s="12" t="s">
        <v>21</v>
      </c>
      <c r="H13900" s="11" t="s">
        <v>22</v>
      </c>
      <c r="I13900" s="13" t="s">
        <v>27093</v>
      </c>
      <c r="J13900" s="14" t="str">
        <f>HYPERLINK("https://www.boe.es/gazeta/dias/1839/01/03/pdfs/GMD-1839-1510.pdf#page=4","Abrir facsímil")</f>
        <v>Abrir facsímil</v>
      </c>
      <c r="K13900" s="12" t="s">
        <v>24</v>
      </c>
    </row>
    <row r="13901" spans="1:11" ht="40.049999999999997" customHeight="1" x14ac:dyDescent="0.25">
      <c r="A13901" s="11" t="s">
        <v>27092</v>
      </c>
      <c r="B13901" s="11" t="s">
        <v>27092</v>
      </c>
      <c r="C13901" s="11" t="s">
        <v>17</v>
      </c>
      <c r="D13901" s="11" t="s">
        <v>18</v>
      </c>
      <c r="E13901" s="12" t="s">
        <v>108</v>
      </c>
      <c r="F13901" s="12" t="s">
        <v>109</v>
      </c>
      <c r="G13901" s="12" t="s">
        <v>40</v>
      </c>
      <c r="H13901" s="11" t="s">
        <v>22</v>
      </c>
      <c r="I13901" s="13" t="s">
        <v>27094</v>
      </c>
      <c r="J13901" s="14" t="str">
        <f>HYPERLINK("https://www.boe.es/gazeta/dias/1839/01/04/pdfs/GMD-1839-1511.pdf#page=2","Abrir facsímil")</f>
        <v>Abrir facsímil</v>
      </c>
      <c r="K13901" s="12" t="s">
        <v>24</v>
      </c>
    </row>
    <row r="13902" spans="1:11" ht="40.049999999999997" customHeight="1" x14ac:dyDescent="0.25">
      <c r="A13902" s="11" t="s">
        <v>27092</v>
      </c>
      <c r="B13902" s="11" t="s">
        <v>27092</v>
      </c>
      <c r="C13902" s="11" t="s">
        <v>17</v>
      </c>
      <c r="D13902" s="11" t="s">
        <v>18</v>
      </c>
      <c r="E13902" s="12" t="s">
        <v>49</v>
      </c>
      <c r="F13902" s="12" t="s">
        <v>50</v>
      </c>
      <c r="G13902" s="12" t="s">
        <v>21</v>
      </c>
      <c r="H13902" s="11" t="s">
        <v>22</v>
      </c>
      <c r="I13902" s="13" t="s">
        <v>27095</v>
      </c>
      <c r="J13902" s="14" t="str">
        <f>HYPERLINK("https://www.boe.es/gazeta/dias/1839/01/05/pdfs/GMD-1839-1512.pdf#page=4","Abrir facsímil")</f>
        <v>Abrir facsímil</v>
      </c>
      <c r="K13902" s="12" t="s">
        <v>24</v>
      </c>
    </row>
    <row r="13903" spans="1:11" ht="40.049999999999997" customHeight="1" x14ac:dyDescent="0.25">
      <c r="A13903" s="11" t="s">
        <v>27092</v>
      </c>
      <c r="B13903" s="11" t="s">
        <v>27092</v>
      </c>
      <c r="C13903" s="11" t="s">
        <v>137</v>
      </c>
      <c r="D13903" s="11" t="s">
        <v>18</v>
      </c>
      <c r="E13903" s="12" t="s">
        <v>2165</v>
      </c>
      <c r="F13903" s="12" t="s">
        <v>2166</v>
      </c>
      <c r="G13903" s="12" t="s">
        <v>40</v>
      </c>
      <c r="H13903" s="11" t="s">
        <v>22</v>
      </c>
      <c r="I13903" s="13" t="s">
        <v>27096</v>
      </c>
      <c r="J13903" s="14" t="str">
        <f>HYPERLINK("https://www.boe.es/gazeta/dias/1839/01/06/pdfs/GMD-1839-1513.pdf#page=2","Abrir facsímil")</f>
        <v>Abrir facsímil</v>
      </c>
      <c r="K13903" s="12" t="s">
        <v>24</v>
      </c>
    </row>
    <row r="13904" spans="1:11" ht="40.049999999999997" customHeight="1" x14ac:dyDescent="0.25">
      <c r="A13904" s="11" t="s">
        <v>27090</v>
      </c>
      <c r="B13904" s="11" t="s">
        <v>27090</v>
      </c>
      <c r="C13904" s="11" t="s">
        <v>80</v>
      </c>
      <c r="D13904" s="11" t="s">
        <v>18</v>
      </c>
      <c r="E13904" s="12" t="s">
        <v>217</v>
      </c>
      <c r="F13904" s="12" t="s">
        <v>218</v>
      </c>
      <c r="G13904" s="12" t="s">
        <v>40</v>
      </c>
      <c r="H13904" s="11" t="s">
        <v>63</v>
      </c>
      <c r="I13904" s="13" t="s">
        <v>27097</v>
      </c>
      <c r="J13904" s="14" t="str">
        <f>HYPERLINK("https://www.boe.es/gazeta/dias/1839/08/06/pdfs/GMD-1839-1726.pdf#page=2","Abrir facsímil")</f>
        <v>Abrir facsímil</v>
      </c>
      <c r="K13904" s="12" t="s">
        <v>65</v>
      </c>
    </row>
    <row r="13905" spans="1:11" ht="40.049999999999997" customHeight="1" x14ac:dyDescent="0.25">
      <c r="A13905" s="11" t="s">
        <v>27090</v>
      </c>
      <c r="B13905" s="11" t="s">
        <v>27090</v>
      </c>
      <c r="C13905" s="11" t="s">
        <v>80</v>
      </c>
      <c r="D13905" s="11" t="s">
        <v>18</v>
      </c>
      <c r="E13905" s="12" t="s">
        <v>217</v>
      </c>
      <c r="F13905" s="12" t="s">
        <v>218</v>
      </c>
      <c r="G13905" s="12" t="s">
        <v>46</v>
      </c>
      <c r="H13905" s="11" t="s">
        <v>63</v>
      </c>
      <c r="I13905" s="13" t="s">
        <v>27098</v>
      </c>
      <c r="J13905" s="14" t="str">
        <f>HYPERLINK("https://www.boe.es/gazeta/dias/1839/08/06/pdfs/GMD-1839-1726.pdf#page=3","Abrir facsímil")</f>
        <v>Abrir facsímil</v>
      </c>
      <c r="K13905" s="12" t="s">
        <v>65</v>
      </c>
    </row>
    <row r="13906" spans="1:11" ht="40.049999999999997" customHeight="1" x14ac:dyDescent="0.25">
      <c r="A13906" s="11" t="s">
        <v>27090</v>
      </c>
      <c r="B13906" s="11" t="s">
        <v>27090</v>
      </c>
      <c r="C13906" s="11" t="s">
        <v>17</v>
      </c>
      <c r="D13906" s="11" t="s">
        <v>18</v>
      </c>
      <c r="E13906" s="12" t="s">
        <v>453</v>
      </c>
      <c r="F13906" s="12" t="s">
        <v>454</v>
      </c>
      <c r="G13906" s="12" t="s">
        <v>21</v>
      </c>
      <c r="H13906" s="11" t="s">
        <v>63</v>
      </c>
      <c r="I13906" s="13" t="s">
        <v>27099</v>
      </c>
      <c r="J13906" s="14" t="str">
        <f>HYPERLINK("https://www.boe.es/gazeta/dias/1839/02/07/pdfs/GMD-1839-1545.pdf#page=4","Abrir facsímil")</f>
        <v>Abrir facsímil</v>
      </c>
      <c r="K13906" s="12" t="s">
        <v>65</v>
      </c>
    </row>
    <row r="13907" spans="1:11" ht="40.049999999999997" customHeight="1" x14ac:dyDescent="0.25">
      <c r="A13907" s="11" t="s">
        <v>27090</v>
      </c>
      <c r="B13907" s="11" t="s">
        <v>27090</v>
      </c>
      <c r="C13907" s="11" t="s">
        <v>17</v>
      </c>
      <c r="D13907" s="11" t="s">
        <v>18</v>
      </c>
      <c r="E13907" s="12" t="s">
        <v>804</v>
      </c>
      <c r="F13907" s="12" t="s">
        <v>805</v>
      </c>
      <c r="G13907" s="12" t="s">
        <v>40</v>
      </c>
      <c r="H13907" s="11" t="s">
        <v>63</v>
      </c>
      <c r="I13907" s="13" t="s">
        <v>27100</v>
      </c>
      <c r="J13907" s="14" t="str">
        <f>HYPERLINK("https://www.boe.es/gazeta/dias/1839/01/08/pdfs/GMD-1839-1515.pdf#page=2","Abrir facsímil")</f>
        <v>Abrir facsímil</v>
      </c>
      <c r="K13907" s="12" t="s">
        <v>65</v>
      </c>
    </row>
    <row r="13908" spans="1:11" ht="40.049999999999997" customHeight="1" x14ac:dyDescent="0.25">
      <c r="A13908" s="11" t="s">
        <v>27092</v>
      </c>
      <c r="B13908" s="11" t="s">
        <v>27092</v>
      </c>
      <c r="C13908" s="11" t="s">
        <v>80</v>
      </c>
      <c r="D13908" s="11" t="s">
        <v>18</v>
      </c>
      <c r="E13908" s="12" t="s">
        <v>163</v>
      </c>
      <c r="F13908" s="12" t="s">
        <v>164</v>
      </c>
      <c r="G13908" s="12" t="s">
        <v>40</v>
      </c>
      <c r="H13908" s="11" t="s">
        <v>22</v>
      </c>
      <c r="I13908" s="13" t="s">
        <v>27101</v>
      </c>
      <c r="J13908" s="14" t="str">
        <f>HYPERLINK("https://www.boe.es/gazeta/dias/1839/01/13/pdfs/GMD-1839-1520.pdf#page=2","Abrir facsímil")</f>
        <v>Abrir facsímil</v>
      </c>
      <c r="K13908" s="12" t="s">
        <v>24</v>
      </c>
    </row>
    <row r="13909" spans="1:11" ht="40.049999999999997" customHeight="1" x14ac:dyDescent="0.25">
      <c r="A13909" s="11" t="s">
        <v>27090</v>
      </c>
      <c r="B13909" s="11" t="s">
        <v>27090</v>
      </c>
      <c r="C13909" s="11" t="s">
        <v>17</v>
      </c>
      <c r="D13909" s="11" t="s">
        <v>18</v>
      </c>
      <c r="E13909" s="12" t="s">
        <v>1374</v>
      </c>
      <c r="F13909" s="12" t="s">
        <v>1375</v>
      </c>
      <c r="G13909" s="12" t="s">
        <v>40</v>
      </c>
      <c r="H13909" s="11" t="s">
        <v>63</v>
      </c>
      <c r="I13909" s="13" t="s">
        <v>27102</v>
      </c>
      <c r="J13909" s="14" t="str">
        <f>HYPERLINK("https://www.boe.es/gazeta/dias/1839/07/20/pdfs/GMD-1839-1708.pdf#page=2","Abrir facsímil")</f>
        <v>Abrir facsímil</v>
      </c>
      <c r="K13909" s="12" t="s">
        <v>65</v>
      </c>
    </row>
    <row r="13910" spans="1:11" ht="40.049999999999997" customHeight="1" x14ac:dyDescent="0.25">
      <c r="A13910" s="11" t="s">
        <v>27092</v>
      </c>
      <c r="B13910" s="11" t="s">
        <v>27092</v>
      </c>
      <c r="C13910" s="11" t="s">
        <v>17</v>
      </c>
      <c r="D13910" s="11" t="s">
        <v>18</v>
      </c>
      <c r="E13910" s="12" t="s">
        <v>596</v>
      </c>
      <c r="F13910" s="12" t="s">
        <v>597</v>
      </c>
      <c r="G13910" s="12" t="s">
        <v>21</v>
      </c>
      <c r="H13910" s="11" t="s">
        <v>22</v>
      </c>
      <c r="I13910" s="13" t="s">
        <v>27103</v>
      </c>
      <c r="J13910" s="14" t="str">
        <f>HYPERLINK("https://www.boe.es/gazeta/dias/1839/01/23/pdfs/GMD-1839-1530.pdf#page=4","Abrir facsímil")</f>
        <v>Abrir facsímil</v>
      </c>
      <c r="K13910" s="12" t="s">
        <v>24</v>
      </c>
    </row>
    <row r="13911" spans="1:11" ht="40.049999999999997" customHeight="1" x14ac:dyDescent="0.25">
      <c r="A13911" s="11" t="s">
        <v>27090</v>
      </c>
      <c r="B13911" s="11" t="s">
        <v>27090</v>
      </c>
      <c r="C13911" s="11" t="s">
        <v>17</v>
      </c>
      <c r="D13911" s="11" t="s">
        <v>18</v>
      </c>
      <c r="E13911" s="12" t="s">
        <v>1588</v>
      </c>
      <c r="F13911" s="12" t="s">
        <v>1589</v>
      </c>
      <c r="G13911" s="12" t="s">
        <v>40</v>
      </c>
      <c r="H13911" s="11" t="s">
        <v>63</v>
      </c>
      <c r="I13911" s="13" t="s">
        <v>27104</v>
      </c>
      <c r="J13911" s="14" t="str">
        <f>HYPERLINK("https://www.boe.es/gazeta/dias/1839/07/27/pdfs/GMD-1839-1716.pdf#page=2","Abrir facsímil")</f>
        <v>Abrir facsímil</v>
      </c>
      <c r="K13911" s="12" t="s">
        <v>65</v>
      </c>
    </row>
    <row r="13912" spans="1:11" ht="40.049999999999997" customHeight="1" x14ac:dyDescent="0.25">
      <c r="A13912" s="11" t="s">
        <v>27090</v>
      </c>
      <c r="B13912" s="11" t="s">
        <v>27090</v>
      </c>
      <c r="C13912" s="11" t="s">
        <v>17</v>
      </c>
      <c r="D13912" s="11" t="s">
        <v>18</v>
      </c>
      <c r="E13912" s="12" t="s">
        <v>653</v>
      </c>
      <c r="F13912" s="12" t="s">
        <v>654</v>
      </c>
      <c r="G13912" s="12" t="s">
        <v>46</v>
      </c>
      <c r="H13912" s="11" t="s">
        <v>63</v>
      </c>
      <c r="I13912" s="13" t="s">
        <v>27105</v>
      </c>
      <c r="J13912" s="14" t="str">
        <f>HYPERLINK("https://www.boe.es/gazeta/dias/1839/10/31/pdfs/GMD-1839-1817.pdf#page=3","Abrir facsímil")</f>
        <v>Abrir facsímil</v>
      </c>
      <c r="K13912" s="12" t="s">
        <v>65</v>
      </c>
    </row>
    <row r="13913" spans="1:11" ht="40.049999999999997" customHeight="1" x14ac:dyDescent="0.25">
      <c r="A13913" s="11" t="s">
        <v>27106</v>
      </c>
      <c r="B13913" s="11" t="s">
        <v>27107</v>
      </c>
      <c r="C13913" s="11" t="s">
        <v>17</v>
      </c>
      <c r="D13913" s="11" t="s">
        <v>18</v>
      </c>
      <c r="E13913" s="12" t="s">
        <v>1891</v>
      </c>
      <c r="F13913" s="12" t="s">
        <v>1892</v>
      </c>
      <c r="G13913" s="12" t="s">
        <v>21</v>
      </c>
      <c r="H13913" s="11" t="s">
        <v>22</v>
      </c>
      <c r="I13913" s="13" t="s">
        <v>27108</v>
      </c>
      <c r="J13913" s="14" t="str">
        <f>HYPERLINK("https://www.boe.es/gazeta/dias/1839/12/14/pdfs/GMD-1839-1861.pdf#page=4","Abrir facsímil")</f>
        <v>Abrir facsímil</v>
      </c>
      <c r="K13913" s="12" t="s">
        <v>24</v>
      </c>
    </row>
    <row r="13914" spans="1:11" ht="40.049999999999997" customHeight="1" x14ac:dyDescent="0.25">
      <c r="A13914" s="11" t="s">
        <v>27109</v>
      </c>
      <c r="B13914" s="11" t="s">
        <v>27110</v>
      </c>
      <c r="C13914" s="11" t="s">
        <v>80</v>
      </c>
      <c r="D13914" s="11" t="s">
        <v>18</v>
      </c>
      <c r="E13914" s="12" t="s">
        <v>217</v>
      </c>
      <c r="F13914" s="12" t="s">
        <v>218</v>
      </c>
      <c r="G13914" s="12" t="s">
        <v>46</v>
      </c>
      <c r="H13914" s="11" t="s">
        <v>63</v>
      </c>
      <c r="I13914" s="13" t="s">
        <v>27111</v>
      </c>
      <c r="J13914" s="14" t="str">
        <f>HYPERLINK("https://www.boe.es/gazeta/dias/1839/08/06/pdfs/GMD-1839-1726.pdf#page=3","Abrir facsímil")</f>
        <v>Abrir facsímil</v>
      </c>
      <c r="K13914" s="12" t="s">
        <v>65</v>
      </c>
    </row>
    <row r="13915" spans="1:11" ht="40.049999999999997" customHeight="1" x14ac:dyDescent="0.25">
      <c r="A13915" s="11" t="s">
        <v>27112</v>
      </c>
      <c r="B13915" s="11" t="s">
        <v>27113</v>
      </c>
      <c r="C13915" s="11" t="s">
        <v>80</v>
      </c>
      <c r="D13915" s="11" t="s">
        <v>18</v>
      </c>
      <c r="E13915" s="12" t="s">
        <v>217</v>
      </c>
      <c r="F13915" s="12" t="s">
        <v>218</v>
      </c>
      <c r="G13915" s="12" t="s">
        <v>46</v>
      </c>
      <c r="H13915" s="11" t="s">
        <v>63</v>
      </c>
      <c r="I13915" s="13" t="s">
        <v>27114</v>
      </c>
      <c r="J13915" s="14" t="str">
        <f>HYPERLINK("https://www.boe.es/gazeta/dias/1839/08/06/pdfs/GMD-1839-1726.pdf#page=3","Abrir facsímil")</f>
        <v>Abrir facsímil</v>
      </c>
      <c r="K13915" s="12" t="s">
        <v>65</v>
      </c>
    </row>
    <row r="13916" spans="1:11" ht="40.049999999999997" customHeight="1" x14ac:dyDescent="0.25">
      <c r="A13916" s="11" t="s">
        <v>27115</v>
      </c>
      <c r="B13916" s="11" t="s">
        <v>27116</v>
      </c>
      <c r="C13916" s="11" t="s">
        <v>17</v>
      </c>
      <c r="D13916" s="11" t="s">
        <v>18</v>
      </c>
      <c r="E13916" s="12" t="s">
        <v>185</v>
      </c>
      <c r="F13916" s="12" t="s">
        <v>186</v>
      </c>
      <c r="G13916" s="12" t="s">
        <v>21</v>
      </c>
      <c r="H13916" s="11" t="s">
        <v>63</v>
      </c>
      <c r="I13916" s="13" t="s">
        <v>27117</v>
      </c>
      <c r="J13916" s="14" t="str">
        <f>HYPERLINK("https://www.boe.es/gazeta/dias/1839/01/15/pdfs/GMD-1839-1522.pdf#page=4","Abrir facsímil")</f>
        <v>Abrir facsímil</v>
      </c>
      <c r="K13916" s="12" t="s">
        <v>65</v>
      </c>
    </row>
    <row r="13917" spans="1:11" ht="40.049999999999997" customHeight="1" x14ac:dyDescent="0.25">
      <c r="A13917" s="11" t="s">
        <v>27118</v>
      </c>
      <c r="B13917" s="11" t="s">
        <v>27118</v>
      </c>
      <c r="C13917" s="11" t="s">
        <v>137</v>
      </c>
      <c r="D13917" s="11" t="s">
        <v>18</v>
      </c>
      <c r="E13917" s="12" t="s">
        <v>4485</v>
      </c>
      <c r="F13917" s="12" t="s">
        <v>4486</v>
      </c>
      <c r="G13917" s="12" t="s">
        <v>40</v>
      </c>
      <c r="H13917" s="11" t="s">
        <v>63</v>
      </c>
      <c r="I13917" s="13" t="s">
        <v>27119</v>
      </c>
      <c r="J13917" s="14" t="str">
        <f>HYPERLINK("https://www.boe.es/gazeta/dias/1839/07/08/pdfs/GMD-1839-1696.pdf#page=2","Abrir facsímil")</f>
        <v>Abrir facsímil</v>
      </c>
      <c r="K13917" s="12" t="s">
        <v>65</v>
      </c>
    </row>
    <row r="13918" spans="1:11" ht="40.049999999999997" customHeight="1" x14ac:dyDescent="0.25">
      <c r="A13918" s="11" t="s">
        <v>27120</v>
      </c>
      <c r="B13918" s="11" t="s">
        <v>27121</v>
      </c>
      <c r="C13918" s="11" t="s">
        <v>17</v>
      </c>
      <c r="D13918" s="11" t="s">
        <v>18</v>
      </c>
      <c r="E13918" s="12" t="s">
        <v>202</v>
      </c>
      <c r="F13918" s="12" t="s">
        <v>203</v>
      </c>
      <c r="G13918" s="12" t="s">
        <v>46</v>
      </c>
      <c r="H13918" s="11" t="s">
        <v>63</v>
      </c>
      <c r="I13918" s="13" t="s">
        <v>27122</v>
      </c>
      <c r="J13918" s="14" t="str">
        <f>HYPERLINK("https://www.boe.es/gazeta/dias/1839/04/05/pdfs/GMD-1839-1602.pdf#page=3","Abrir facsímil")</f>
        <v>Abrir facsímil</v>
      </c>
      <c r="K13918" s="12" t="s">
        <v>65</v>
      </c>
    </row>
    <row r="13919" spans="1:11" ht="40.049999999999997" customHeight="1" x14ac:dyDescent="0.25">
      <c r="A13919" s="11" t="s">
        <v>27123</v>
      </c>
      <c r="B13919" s="11" t="s">
        <v>27124</v>
      </c>
      <c r="C13919" s="11" t="s">
        <v>17</v>
      </c>
      <c r="D13919" s="11" t="s">
        <v>18</v>
      </c>
      <c r="E13919" s="12" t="s">
        <v>246</v>
      </c>
      <c r="F13919" s="12" t="s">
        <v>247</v>
      </c>
      <c r="G13919" s="12" t="s">
        <v>46</v>
      </c>
      <c r="H13919" s="11" t="s">
        <v>63</v>
      </c>
      <c r="I13919" s="13" t="s">
        <v>27125</v>
      </c>
      <c r="J13919" s="14" t="str">
        <f>HYPERLINK("https://www.boe.es/gazeta/dias/1839/11/24/pdfs/GMD-1839-1841.pdf#page=3","Abrir facsímil")</f>
        <v>Abrir facsímil</v>
      </c>
      <c r="K13919" s="12" t="s">
        <v>65</v>
      </c>
    </row>
    <row r="13920" spans="1:11" ht="40.049999999999997" customHeight="1" x14ac:dyDescent="0.25">
      <c r="A13920" s="11" t="s">
        <v>27126</v>
      </c>
      <c r="B13920" s="11" t="s">
        <v>27126</v>
      </c>
      <c r="C13920" s="11" t="s">
        <v>17</v>
      </c>
      <c r="D13920" s="11" t="s">
        <v>18</v>
      </c>
      <c r="E13920" s="12" t="s">
        <v>202</v>
      </c>
      <c r="F13920" s="12" t="s">
        <v>203</v>
      </c>
      <c r="G13920" s="12" t="s">
        <v>40</v>
      </c>
      <c r="H13920" s="11" t="s">
        <v>63</v>
      </c>
      <c r="I13920" s="13" t="s">
        <v>27127</v>
      </c>
      <c r="J13920" s="14" t="str">
        <f>HYPERLINK("https://www.boe.es/gazeta/dias/1839/04/05/pdfs/GMD-1839-1602.pdf#page=2","Abrir facsímil")</f>
        <v>Abrir facsímil</v>
      </c>
      <c r="K13920" s="12" t="s">
        <v>65</v>
      </c>
    </row>
    <row r="13921" spans="1:11" ht="40.049999999999997" customHeight="1" x14ac:dyDescent="0.25">
      <c r="A13921" s="11" t="s">
        <v>27128</v>
      </c>
      <c r="B13921" s="11" t="s">
        <v>27129</v>
      </c>
      <c r="C13921" s="11" t="s">
        <v>137</v>
      </c>
      <c r="D13921" s="11" t="s">
        <v>18</v>
      </c>
      <c r="E13921" s="12" t="s">
        <v>291</v>
      </c>
      <c r="F13921" s="12" t="s">
        <v>292</v>
      </c>
      <c r="G13921" s="12" t="s">
        <v>29</v>
      </c>
      <c r="H13921" s="11" t="s">
        <v>22</v>
      </c>
      <c r="I13921" s="13" t="s">
        <v>27130</v>
      </c>
      <c r="J13921" s="14" t="str">
        <f>HYPERLINK("https://www.boe.es/gazeta/dias/1839/09/04/pdfs/GMD-1839-1757.pdf#page=1","Abrir facsímil")</f>
        <v>Abrir facsímil</v>
      </c>
      <c r="K13921" s="12" t="s">
        <v>24</v>
      </c>
    </row>
    <row r="13922" spans="1:11" ht="40.049999999999997" customHeight="1" x14ac:dyDescent="0.25">
      <c r="A13922" s="11" t="s">
        <v>27131</v>
      </c>
      <c r="B13922" s="11" t="s">
        <v>27131</v>
      </c>
      <c r="C13922" s="11" t="s">
        <v>17</v>
      </c>
      <c r="D13922" s="11" t="s">
        <v>18</v>
      </c>
      <c r="E13922" s="12" t="s">
        <v>1779</v>
      </c>
      <c r="F13922" s="12" t="s">
        <v>1780</v>
      </c>
      <c r="G13922" s="12" t="s">
        <v>29</v>
      </c>
      <c r="H13922" s="11" t="s">
        <v>63</v>
      </c>
      <c r="I13922" s="13" t="s">
        <v>27132</v>
      </c>
      <c r="J13922" s="14" t="str">
        <f>HYPERLINK("https://www.boe.es/gazeta/dias/1839/03/18/pdfs/GMD-1839-1584.pdf#page=1","Abrir facsímil")</f>
        <v>Abrir facsímil</v>
      </c>
      <c r="K13922" s="12" t="s">
        <v>65</v>
      </c>
    </row>
    <row r="13923" spans="1:11" ht="40.049999999999997" customHeight="1" x14ac:dyDescent="0.25">
      <c r="A13923" s="11" t="s">
        <v>27131</v>
      </c>
      <c r="B13923" s="11" t="s">
        <v>27131</v>
      </c>
      <c r="C13923" s="11" t="s">
        <v>17</v>
      </c>
      <c r="D13923" s="11" t="s">
        <v>18</v>
      </c>
      <c r="E13923" s="12" t="s">
        <v>222</v>
      </c>
      <c r="F13923" s="12" t="s">
        <v>223</v>
      </c>
      <c r="G13923" s="12" t="s">
        <v>21</v>
      </c>
      <c r="H13923" s="11" t="s">
        <v>63</v>
      </c>
      <c r="I13923" s="13" t="s">
        <v>27133</v>
      </c>
      <c r="J13923" s="14" t="str">
        <f>HYPERLINK("https://www.boe.es/gazeta/dias/1839/06/22/pdfs/GMD-1839-1680.pdf#page=4","Abrir facsímil")</f>
        <v>Abrir facsímil</v>
      </c>
      <c r="K13923" s="12" t="s">
        <v>65</v>
      </c>
    </row>
    <row r="13924" spans="1:11" ht="40.049999999999997" customHeight="1" x14ac:dyDescent="0.25">
      <c r="A13924" s="11" t="s">
        <v>27134</v>
      </c>
      <c r="B13924" s="11" t="s">
        <v>27134</v>
      </c>
      <c r="C13924" s="11" t="s">
        <v>59</v>
      </c>
      <c r="D13924" s="11" t="s">
        <v>60</v>
      </c>
      <c r="E13924" s="12" t="s">
        <v>870</v>
      </c>
      <c r="F13924" s="12" t="s">
        <v>871</v>
      </c>
      <c r="G13924" s="12" t="s">
        <v>40</v>
      </c>
      <c r="H13924" s="11" t="s">
        <v>63</v>
      </c>
      <c r="I13924" s="13" t="s">
        <v>27135</v>
      </c>
      <c r="J13924" s="14" t="str">
        <f>HYPERLINK("https://www.boe.es/gazeta/dias/1839/04/18/pdfs/GMD-1839-1615.pdf#page=2","Abrir facsímil")</f>
        <v>Abrir facsímil</v>
      </c>
      <c r="K13924" s="12" t="s">
        <v>65</v>
      </c>
    </row>
    <row r="13925" spans="1:11" ht="40.049999999999997" customHeight="1" x14ac:dyDescent="0.25">
      <c r="A13925" s="11" t="s">
        <v>27136</v>
      </c>
      <c r="B13925" s="11" t="s">
        <v>27136</v>
      </c>
      <c r="C13925" s="11" t="s">
        <v>101</v>
      </c>
      <c r="D13925" s="11" t="s">
        <v>43</v>
      </c>
      <c r="E13925" s="12" t="s">
        <v>141</v>
      </c>
      <c r="F13925" s="12" t="s">
        <v>142</v>
      </c>
      <c r="G13925" s="12" t="s">
        <v>29</v>
      </c>
      <c r="H13925" s="11" t="s">
        <v>63</v>
      </c>
      <c r="I13925" s="13" t="s">
        <v>27137</v>
      </c>
      <c r="J13925" s="14" t="str">
        <f>HYPERLINK("https://www.boe.es/gazeta/dias/1839/11/10/pdfs/GMD-1839-1827.pdf#page=1","Abrir facsímil")</f>
        <v>Abrir facsímil</v>
      </c>
      <c r="K13925" s="12" t="s">
        <v>65</v>
      </c>
    </row>
    <row r="13926" spans="1:11" ht="40.049999999999997" customHeight="1" x14ac:dyDescent="0.25">
      <c r="A13926" s="11" t="s">
        <v>27136</v>
      </c>
      <c r="B13926" s="11" t="s">
        <v>27136</v>
      </c>
      <c r="C13926" s="11" t="s">
        <v>101</v>
      </c>
      <c r="D13926" s="11" t="s">
        <v>102</v>
      </c>
      <c r="E13926" s="12" t="s">
        <v>516</v>
      </c>
      <c r="F13926" s="12" t="s">
        <v>517</v>
      </c>
      <c r="G13926" s="12" t="s">
        <v>40</v>
      </c>
      <c r="H13926" s="11" t="s">
        <v>63</v>
      </c>
      <c r="I13926" s="13" t="s">
        <v>27138</v>
      </c>
      <c r="J13926" s="14" t="str">
        <f>HYPERLINK("https://www.boe.es/gazeta/dias/1839/06/21/pdfs/GMD-1839-1679.pdf#page=2","Abrir facsímil")</f>
        <v>Abrir facsímil</v>
      </c>
      <c r="K13926" s="12" t="s">
        <v>65</v>
      </c>
    </row>
    <row r="13927" spans="1:11" ht="40.049999999999997" customHeight="1" x14ac:dyDescent="0.25">
      <c r="A13927" s="11" t="s">
        <v>27136</v>
      </c>
      <c r="B13927" s="11" t="s">
        <v>27136</v>
      </c>
      <c r="C13927" s="11" t="s">
        <v>137</v>
      </c>
      <c r="D13927" s="11" t="s">
        <v>18</v>
      </c>
      <c r="E13927" s="12" t="s">
        <v>716</v>
      </c>
      <c r="F13927" s="12" t="s">
        <v>717</v>
      </c>
      <c r="G13927" s="12" t="s">
        <v>40</v>
      </c>
      <c r="H13927" s="11" t="s">
        <v>63</v>
      </c>
      <c r="I13927" s="13" t="s">
        <v>27139</v>
      </c>
      <c r="J13927" s="14" t="str">
        <f>HYPERLINK("https://www.boe.es/gazeta/dias/1839/07/30/pdfs/GMD-1839-1719.pdf#page=2","Abrir facsímil")</f>
        <v>Abrir facsímil</v>
      </c>
      <c r="K13927" s="12" t="s">
        <v>65</v>
      </c>
    </row>
    <row r="13928" spans="1:11" ht="40.049999999999997" customHeight="1" x14ac:dyDescent="0.25">
      <c r="A13928" s="11" t="s">
        <v>27140</v>
      </c>
      <c r="B13928" s="11" t="s">
        <v>27140</v>
      </c>
      <c r="C13928" s="11" t="s">
        <v>59</v>
      </c>
      <c r="D13928" s="11" t="s">
        <v>60</v>
      </c>
      <c r="E13928" s="12" t="s">
        <v>934</v>
      </c>
      <c r="F13928" s="12" t="s">
        <v>935</v>
      </c>
      <c r="G13928" s="12" t="s">
        <v>29</v>
      </c>
      <c r="H13928" s="11" t="s">
        <v>63</v>
      </c>
      <c r="I13928" s="13" t="s">
        <v>27141</v>
      </c>
      <c r="J13928" s="14" t="str">
        <f>HYPERLINK("https://www.boe.es/gazeta/dias/1839/11/07/pdfs/GMD-1839-1824.pdf#page=1","Abrir facsímil")</f>
        <v>Abrir facsímil</v>
      </c>
      <c r="K13928" s="12" t="s">
        <v>65</v>
      </c>
    </row>
    <row r="13929" spans="1:11" ht="40.049999999999997" customHeight="1" x14ac:dyDescent="0.25">
      <c r="A13929" s="11" t="s">
        <v>27142</v>
      </c>
      <c r="B13929" s="11" t="s">
        <v>27143</v>
      </c>
      <c r="C13929" s="11" t="s">
        <v>17</v>
      </c>
      <c r="D13929" s="11" t="s">
        <v>18</v>
      </c>
      <c r="E13929" s="12" t="s">
        <v>258</v>
      </c>
      <c r="F13929" s="12" t="s">
        <v>259</v>
      </c>
      <c r="G13929" s="12" t="s">
        <v>46</v>
      </c>
      <c r="H13929" s="11" t="s">
        <v>22</v>
      </c>
      <c r="I13929" s="13" t="s">
        <v>27144</v>
      </c>
      <c r="J13929" s="14" t="str">
        <f>HYPERLINK("https://www.boe.es/gazeta/dias/1839/01/02/pdfs/GMD-1839-1509.pdf#page=3","Abrir facsímil")</f>
        <v>Abrir facsímil</v>
      </c>
      <c r="K13929" s="12" t="s">
        <v>24</v>
      </c>
    </row>
    <row r="13930" spans="1:11" ht="40.049999999999997" customHeight="1" x14ac:dyDescent="0.25">
      <c r="A13930" s="11" t="s">
        <v>27145</v>
      </c>
      <c r="B13930" s="11" t="s">
        <v>27145</v>
      </c>
      <c r="C13930" s="11" t="s">
        <v>59</v>
      </c>
      <c r="D13930" s="11" t="s">
        <v>60</v>
      </c>
      <c r="E13930" s="12" t="s">
        <v>154</v>
      </c>
      <c r="F13930" s="12" t="s">
        <v>155</v>
      </c>
      <c r="G13930" s="12" t="s">
        <v>21</v>
      </c>
      <c r="H13930" s="11" t="s">
        <v>63</v>
      </c>
      <c r="I13930" s="13" t="s">
        <v>27146</v>
      </c>
      <c r="J13930" s="14" t="str">
        <f>HYPERLINK("https://www.boe.es/gazeta/dias/1839/02/02/pdfs/GMD-1839-1540.pdf#page=4","Abrir facsímil")</f>
        <v>Abrir facsímil</v>
      </c>
      <c r="K13930" s="12" t="s">
        <v>65</v>
      </c>
    </row>
    <row r="13931" spans="1:11" ht="40.049999999999997" customHeight="1" x14ac:dyDescent="0.25">
      <c r="A13931" s="11" t="s">
        <v>27147</v>
      </c>
      <c r="B13931" s="11" t="s">
        <v>27148</v>
      </c>
      <c r="C13931" s="11" t="s">
        <v>59</v>
      </c>
      <c r="D13931" s="11" t="s">
        <v>60</v>
      </c>
      <c r="E13931" s="12" t="s">
        <v>870</v>
      </c>
      <c r="F13931" s="12" t="s">
        <v>871</v>
      </c>
      <c r="G13931" s="12" t="s">
        <v>21</v>
      </c>
      <c r="H13931" s="11" t="s">
        <v>63</v>
      </c>
      <c r="I13931" s="13" t="s">
        <v>27149</v>
      </c>
      <c r="J13931" s="14" t="str">
        <f>HYPERLINK("https://www.boe.es/gazeta/dias/1839/04/18/pdfs/GMD-1839-1615.pdf#page=4","Abrir facsímil")</f>
        <v>Abrir facsímil</v>
      </c>
      <c r="K13931" s="12" t="s">
        <v>65</v>
      </c>
    </row>
    <row r="13932" spans="1:11" ht="40.049999999999997" customHeight="1" x14ac:dyDescent="0.25">
      <c r="A13932" s="11" t="s">
        <v>27150</v>
      </c>
      <c r="B13932" s="11" t="s">
        <v>27150</v>
      </c>
      <c r="C13932" s="11" t="s">
        <v>59</v>
      </c>
      <c r="D13932" s="11" t="s">
        <v>60</v>
      </c>
      <c r="E13932" s="12" t="s">
        <v>369</v>
      </c>
      <c r="F13932" s="12" t="s">
        <v>370</v>
      </c>
      <c r="G13932" s="12" t="s">
        <v>40</v>
      </c>
      <c r="H13932" s="11" t="s">
        <v>22</v>
      </c>
      <c r="I13932" s="13" t="s">
        <v>27151</v>
      </c>
      <c r="J13932" s="14" t="str">
        <f>HYPERLINK("https://www.boe.es/gazeta/dias/1839/11/01/pdfs/GMD-1839-1818.pdf#page=2","Abrir facsímil")</f>
        <v>Abrir facsímil</v>
      </c>
      <c r="K13932" s="12" t="s">
        <v>24</v>
      </c>
    </row>
    <row r="13933" spans="1:11" ht="40.049999999999997" customHeight="1" x14ac:dyDescent="0.25">
      <c r="A13933" s="11" t="s">
        <v>27152</v>
      </c>
      <c r="B13933" s="11" t="s">
        <v>27152</v>
      </c>
      <c r="C13933" s="11" t="s">
        <v>59</v>
      </c>
      <c r="D13933" s="11" t="s">
        <v>60</v>
      </c>
      <c r="E13933" s="12" t="s">
        <v>1391</v>
      </c>
      <c r="F13933" s="12" t="s">
        <v>1392</v>
      </c>
      <c r="G13933" s="12" t="s">
        <v>40</v>
      </c>
      <c r="H13933" s="11" t="s">
        <v>63</v>
      </c>
      <c r="I13933" s="13" t="s">
        <v>27153</v>
      </c>
      <c r="J13933" s="14" t="str">
        <f>HYPERLINK("https://www.boe.es/gazeta/dias/1839/05/12/pdfs/GMD-1839-1639.pdf#page=2","Abrir facsímil")</f>
        <v>Abrir facsímil</v>
      </c>
      <c r="K13933" s="12" t="s">
        <v>65</v>
      </c>
    </row>
    <row r="13934" spans="1:11" ht="40.049999999999997" customHeight="1" x14ac:dyDescent="0.25">
      <c r="A13934" s="11" t="s">
        <v>27152</v>
      </c>
      <c r="B13934" s="11" t="s">
        <v>27152</v>
      </c>
      <c r="C13934" s="11" t="s">
        <v>17</v>
      </c>
      <c r="D13934" s="11" t="s">
        <v>18</v>
      </c>
      <c r="E13934" s="12" t="s">
        <v>1374</v>
      </c>
      <c r="F13934" s="12" t="s">
        <v>1375</v>
      </c>
      <c r="G13934" s="12" t="s">
        <v>46</v>
      </c>
      <c r="H13934" s="11" t="s">
        <v>63</v>
      </c>
      <c r="I13934" s="13" t="s">
        <v>27154</v>
      </c>
      <c r="J13934" s="14" t="str">
        <f>HYPERLINK("https://www.boe.es/gazeta/dias/1839/07/20/pdfs/GMD-1839-1708.pdf#page=3","Abrir facsímil")</f>
        <v>Abrir facsímil</v>
      </c>
      <c r="K13934" s="12" t="s">
        <v>65</v>
      </c>
    </row>
    <row r="13935" spans="1:11" ht="40.049999999999997" customHeight="1" x14ac:dyDescent="0.25">
      <c r="A13935" s="11" t="s">
        <v>27150</v>
      </c>
      <c r="B13935" s="11" t="s">
        <v>27150</v>
      </c>
      <c r="C13935" s="11" t="s">
        <v>17</v>
      </c>
      <c r="D13935" s="11" t="s">
        <v>18</v>
      </c>
      <c r="E13935" s="12" t="s">
        <v>650</v>
      </c>
      <c r="F13935" s="12" t="s">
        <v>651</v>
      </c>
      <c r="G13935" s="12" t="s">
        <v>40</v>
      </c>
      <c r="H13935" s="11" t="s">
        <v>22</v>
      </c>
      <c r="I13935" s="13" t="s">
        <v>27155</v>
      </c>
      <c r="J13935" s="14" t="str">
        <f>HYPERLINK("https://www.boe.es/gazeta/dias/1839/10/25/pdfs/GMD-1839-1811.pdf#page=2","Abrir facsímil")</f>
        <v>Abrir facsímil</v>
      </c>
      <c r="K13935" s="12" t="s">
        <v>24</v>
      </c>
    </row>
    <row r="13936" spans="1:11" ht="40.049999999999997" customHeight="1" x14ac:dyDescent="0.25">
      <c r="A13936" s="11" t="s">
        <v>27156</v>
      </c>
      <c r="B13936" s="11" t="s">
        <v>27157</v>
      </c>
      <c r="C13936" s="11" t="s">
        <v>137</v>
      </c>
      <c r="D13936" s="11" t="s">
        <v>18</v>
      </c>
      <c r="E13936" s="12" t="s">
        <v>462</v>
      </c>
      <c r="F13936" s="12" t="s">
        <v>463</v>
      </c>
      <c r="G13936" s="12" t="s">
        <v>46</v>
      </c>
      <c r="H13936" s="11" t="s">
        <v>63</v>
      </c>
      <c r="I13936" s="13" t="s">
        <v>27158</v>
      </c>
      <c r="J13936" s="14" t="str">
        <f>HYPERLINK("https://www.boe.es/gazeta/dias/1839/06/19/pdfs/GMD-1839-1677.pdf#page=3","Abrir facsímil")</f>
        <v>Abrir facsímil</v>
      </c>
      <c r="K13936" s="12" t="s">
        <v>65</v>
      </c>
    </row>
    <row r="13937" spans="1:11" ht="40.049999999999997" customHeight="1" x14ac:dyDescent="0.25">
      <c r="A13937" s="11" t="s">
        <v>27159</v>
      </c>
      <c r="B13937" s="11" t="s">
        <v>27160</v>
      </c>
      <c r="C13937" s="11" t="s">
        <v>17</v>
      </c>
      <c r="D13937" s="11" t="s">
        <v>18</v>
      </c>
      <c r="E13937" s="12" t="s">
        <v>258</v>
      </c>
      <c r="F13937" s="12" t="s">
        <v>259</v>
      </c>
      <c r="G13937" s="12" t="s">
        <v>21</v>
      </c>
      <c r="H13937" s="11" t="s">
        <v>63</v>
      </c>
      <c r="I13937" s="13" t="s">
        <v>27161</v>
      </c>
      <c r="J13937" s="14" t="str">
        <f>HYPERLINK("https://www.boe.es/gazeta/dias/1839/01/02/pdfs/GMD-1839-1509.pdf#page=4","Abrir facsímil")</f>
        <v>Abrir facsímil</v>
      </c>
      <c r="K13937" s="12" t="s">
        <v>65</v>
      </c>
    </row>
    <row r="13938" spans="1:11" ht="40.049999999999997" customHeight="1" x14ac:dyDescent="0.25">
      <c r="A13938" s="11" t="s">
        <v>27159</v>
      </c>
      <c r="B13938" s="11" t="s">
        <v>27160</v>
      </c>
      <c r="C13938" s="11" t="s">
        <v>59</v>
      </c>
      <c r="D13938" s="11" t="s">
        <v>60</v>
      </c>
      <c r="E13938" s="12" t="s">
        <v>1644</v>
      </c>
      <c r="F13938" s="12" t="s">
        <v>1645</v>
      </c>
      <c r="G13938" s="12" t="s">
        <v>29</v>
      </c>
      <c r="H13938" s="11" t="s">
        <v>63</v>
      </c>
      <c r="I13938" s="13" t="s">
        <v>27162</v>
      </c>
      <c r="J13938" s="14" t="str">
        <f>HYPERLINK("https://www.boe.es/gazeta/dias/1839/04/16/pdfs/GMD-1839-1613.pdf#page=1","Abrir facsímil")</f>
        <v>Abrir facsímil</v>
      </c>
      <c r="K13938" s="12" t="s">
        <v>65</v>
      </c>
    </row>
    <row r="13939" spans="1:11" ht="40.049999999999997" customHeight="1" x14ac:dyDescent="0.25">
      <c r="A13939" s="11" t="s">
        <v>27163</v>
      </c>
      <c r="B13939" s="11" t="s">
        <v>27163</v>
      </c>
      <c r="C13939" s="11" t="s">
        <v>17</v>
      </c>
      <c r="D13939" s="11" t="s">
        <v>18</v>
      </c>
      <c r="E13939" s="12" t="s">
        <v>1086</v>
      </c>
      <c r="F13939" s="12" t="s">
        <v>1087</v>
      </c>
      <c r="G13939" s="12" t="s">
        <v>40</v>
      </c>
      <c r="H13939" s="11" t="s">
        <v>63</v>
      </c>
      <c r="I13939" s="13" t="s">
        <v>27164</v>
      </c>
      <c r="J13939" s="14" t="str">
        <f>HYPERLINK("https://www.boe.es/gazeta/dias/1839/10/26/pdfs/GMD-1839-1812.pdf#page=2","Abrir facsímil")</f>
        <v>Abrir facsímil</v>
      </c>
      <c r="K13939" s="12" t="s">
        <v>65</v>
      </c>
    </row>
    <row r="13940" spans="1:11" ht="40.049999999999997" customHeight="1" x14ac:dyDescent="0.25">
      <c r="A13940" s="11" t="s">
        <v>27165</v>
      </c>
      <c r="B13940" s="11" t="s">
        <v>27165</v>
      </c>
      <c r="C13940" s="11" t="s">
        <v>17</v>
      </c>
      <c r="D13940" s="11" t="s">
        <v>18</v>
      </c>
      <c r="E13940" s="12" t="s">
        <v>287</v>
      </c>
      <c r="F13940" s="12" t="s">
        <v>288</v>
      </c>
      <c r="G13940" s="12" t="s">
        <v>46</v>
      </c>
      <c r="H13940" s="11" t="s">
        <v>63</v>
      </c>
      <c r="I13940" s="13" t="s">
        <v>27166</v>
      </c>
      <c r="J13940" s="14" t="str">
        <f>HYPERLINK("https://www.boe.es/gazeta/dias/1839/11/27/pdfs/GMD-1839-1844.pdf#page=3","Abrir facsímil")</f>
        <v>Abrir facsímil</v>
      </c>
      <c r="K13940" s="12" t="s">
        <v>65</v>
      </c>
    </row>
    <row r="13941" spans="1:11" ht="40.049999999999997" customHeight="1" x14ac:dyDescent="0.25">
      <c r="A13941" s="11" t="s">
        <v>27167</v>
      </c>
      <c r="B13941" s="11" t="s">
        <v>27168</v>
      </c>
      <c r="C13941" s="11" t="s">
        <v>80</v>
      </c>
      <c r="D13941" s="11" t="s">
        <v>18</v>
      </c>
      <c r="E13941" s="12" t="s">
        <v>287</v>
      </c>
      <c r="F13941" s="12" t="s">
        <v>288</v>
      </c>
      <c r="G13941" s="12" t="s">
        <v>46</v>
      </c>
      <c r="H13941" s="11" t="s">
        <v>63</v>
      </c>
      <c r="I13941" s="13" t="s">
        <v>27169</v>
      </c>
      <c r="J13941" s="14" t="str">
        <f>HYPERLINK("https://www.boe.es/gazeta/dias/1839/11/27/pdfs/GMD-1839-1844.pdf#page=3","Abrir facsímil")</f>
        <v>Abrir facsímil</v>
      </c>
      <c r="K13941" s="12" t="s">
        <v>65</v>
      </c>
    </row>
    <row r="13942" spans="1:11" ht="40.049999999999997" customHeight="1" x14ac:dyDescent="0.25">
      <c r="A13942" s="11" t="s">
        <v>27170</v>
      </c>
      <c r="B13942" s="11" t="s">
        <v>27171</v>
      </c>
      <c r="C13942" s="11" t="s">
        <v>80</v>
      </c>
      <c r="D13942" s="11" t="s">
        <v>18</v>
      </c>
      <c r="E13942" s="12" t="s">
        <v>736</v>
      </c>
      <c r="F13942" s="12" t="s">
        <v>737</v>
      </c>
      <c r="G13942" s="12" t="s">
        <v>40</v>
      </c>
      <c r="H13942" s="11" t="s">
        <v>63</v>
      </c>
      <c r="I13942" s="13" t="s">
        <v>27172</v>
      </c>
      <c r="J13942" s="14" t="str">
        <f>HYPERLINK("https://www.boe.es/gazeta/dias/1839/10/13/pdfs/GMD-1839-1799.pdf#page=2","Abrir facsímil")</f>
        <v>Abrir facsímil</v>
      </c>
      <c r="K13942" s="12" t="s">
        <v>65</v>
      </c>
    </row>
    <row r="13943" spans="1:11" ht="40.049999999999997" customHeight="1" x14ac:dyDescent="0.25">
      <c r="A13943" s="11" t="s">
        <v>27173</v>
      </c>
      <c r="B13943" s="11" t="s">
        <v>27173</v>
      </c>
      <c r="C13943" s="11" t="s">
        <v>17</v>
      </c>
      <c r="D13943" s="11" t="s">
        <v>18</v>
      </c>
      <c r="E13943" s="12" t="s">
        <v>266</v>
      </c>
      <c r="F13943" s="12" t="s">
        <v>267</v>
      </c>
      <c r="G13943" s="12" t="s">
        <v>21</v>
      </c>
      <c r="H13943" s="11" t="s">
        <v>63</v>
      </c>
      <c r="I13943" s="13" t="s">
        <v>27174</v>
      </c>
      <c r="J13943" s="14" t="str">
        <f>HYPERLINK("https://www.boe.es/gazeta/dias/1839/01/03/pdfs/GMD-1839-1510.pdf#page=4","Abrir facsímil")</f>
        <v>Abrir facsímil</v>
      </c>
      <c r="K13943" s="12" t="s">
        <v>65</v>
      </c>
    </row>
    <row r="13944" spans="1:11" ht="40.049999999999997" customHeight="1" x14ac:dyDescent="0.25">
      <c r="A13944" s="11" t="s">
        <v>27175</v>
      </c>
      <c r="B13944" s="11" t="s">
        <v>27176</v>
      </c>
      <c r="C13944" s="11" t="s">
        <v>17</v>
      </c>
      <c r="D13944" s="11" t="s">
        <v>43</v>
      </c>
      <c r="E13944" s="12" t="s">
        <v>1159</v>
      </c>
      <c r="F13944" s="12" t="s">
        <v>1160</v>
      </c>
      <c r="G13944" s="12" t="s">
        <v>40</v>
      </c>
      <c r="H13944" s="11" t="s">
        <v>63</v>
      </c>
      <c r="I13944" s="13" t="s">
        <v>27177</v>
      </c>
      <c r="J13944" s="14" t="str">
        <f>HYPERLINK("https://www.boe.es/gazeta/dias/1839/11/26/pdfs/GMD-1839-1843.pdf#page=2","Abrir facsímil")</f>
        <v>Abrir facsímil</v>
      </c>
      <c r="K13944" s="12" t="s">
        <v>65</v>
      </c>
    </row>
    <row r="13945" spans="1:11" ht="40.049999999999997" customHeight="1" x14ac:dyDescent="0.25">
      <c r="A13945" s="11" t="s">
        <v>27178</v>
      </c>
      <c r="B13945" s="11" t="s">
        <v>27179</v>
      </c>
      <c r="C13945" s="11" t="s">
        <v>137</v>
      </c>
      <c r="D13945" s="11" t="s">
        <v>18</v>
      </c>
      <c r="E13945" s="12" t="s">
        <v>1012</v>
      </c>
      <c r="F13945" s="12" t="s">
        <v>1013</v>
      </c>
      <c r="G13945" s="12" t="s">
        <v>29</v>
      </c>
      <c r="H13945" s="11" t="s">
        <v>63</v>
      </c>
      <c r="I13945" s="13" t="s">
        <v>27180</v>
      </c>
      <c r="J13945" s="14" t="str">
        <f>HYPERLINK("https://www.boe.es/gazeta/dias/1839/11/22/pdfs/GMD-1839-1839.pdf#page=1","Abrir facsímil")</f>
        <v>Abrir facsímil</v>
      </c>
      <c r="K13945" s="12" t="s">
        <v>65</v>
      </c>
    </row>
    <row r="13946" spans="1:11" ht="40.049999999999997" customHeight="1" x14ac:dyDescent="0.25">
      <c r="A13946" s="11" t="s">
        <v>27181</v>
      </c>
      <c r="B13946" s="11" t="s">
        <v>27181</v>
      </c>
      <c r="C13946" s="11" t="s">
        <v>17</v>
      </c>
      <c r="D13946" s="11" t="s">
        <v>18</v>
      </c>
      <c r="E13946" s="12" t="s">
        <v>4550</v>
      </c>
      <c r="F13946" s="12" t="s">
        <v>4551</v>
      </c>
      <c r="G13946" s="12" t="s">
        <v>40</v>
      </c>
      <c r="H13946" s="11" t="s">
        <v>63</v>
      </c>
      <c r="I13946" s="13" t="s">
        <v>27182</v>
      </c>
      <c r="J13946" s="14" t="str">
        <f>HYPERLINK("https://www.boe.es/gazeta/dias/1839/04/17/pdfs/GMD-1839-1614.pdf#page=2","Abrir facsímil")</f>
        <v>Abrir facsímil</v>
      </c>
      <c r="K13946" s="12" t="s">
        <v>65</v>
      </c>
    </row>
    <row r="13947" spans="1:11" ht="40.049999999999997" customHeight="1" x14ac:dyDescent="0.25">
      <c r="A13947" s="11" t="s">
        <v>27183</v>
      </c>
      <c r="B13947" s="11" t="s">
        <v>27183</v>
      </c>
      <c r="C13947" s="11" t="s">
        <v>59</v>
      </c>
      <c r="D13947" s="11" t="s">
        <v>60</v>
      </c>
      <c r="E13947" s="12" t="s">
        <v>395</v>
      </c>
      <c r="F13947" s="12" t="s">
        <v>396</v>
      </c>
      <c r="G13947" s="12" t="s">
        <v>46</v>
      </c>
      <c r="H13947" s="11" t="s">
        <v>63</v>
      </c>
      <c r="I13947" s="13" t="s">
        <v>27184</v>
      </c>
      <c r="J13947" s="14" t="str">
        <f>HYPERLINK("https://www.boe.es/gazeta/dias/1839/03/15/pdfs/GMD-1839-1581.pdf#page=3","Abrir facsímil")</f>
        <v>Abrir facsímil</v>
      </c>
      <c r="K13947" s="12" t="s">
        <v>65</v>
      </c>
    </row>
    <row r="13948" spans="1:11" ht="40.049999999999997" customHeight="1" x14ac:dyDescent="0.25">
      <c r="A13948" s="11" t="s">
        <v>27185</v>
      </c>
      <c r="B13948" s="11" t="s">
        <v>27186</v>
      </c>
      <c r="C13948" s="11" t="s">
        <v>59</v>
      </c>
      <c r="D13948" s="11" t="s">
        <v>60</v>
      </c>
      <c r="E13948" s="12" t="s">
        <v>1929</v>
      </c>
      <c r="F13948" s="12" t="s">
        <v>1930</v>
      </c>
      <c r="G13948" s="12" t="s">
        <v>40</v>
      </c>
      <c r="H13948" s="11" t="s">
        <v>22</v>
      </c>
      <c r="I13948" s="13" t="s">
        <v>27187</v>
      </c>
      <c r="J13948" s="14" t="str">
        <f>HYPERLINK("https://www.boe.es/gazeta/dias/1839/02/01/pdfs/GMD-1839-1539.pdf#page=2","Abrir facsímil")</f>
        <v>Abrir facsímil</v>
      </c>
      <c r="K13948" s="12" t="s">
        <v>24</v>
      </c>
    </row>
    <row r="13949" spans="1:11" ht="40.049999999999997" customHeight="1" x14ac:dyDescent="0.25">
      <c r="A13949" s="11" t="s">
        <v>27185</v>
      </c>
      <c r="B13949" s="11" t="s">
        <v>27186</v>
      </c>
      <c r="C13949" s="11" t="s">
        <v>17</v>
      </c>
      <c r="D13949" s="11" t="s">
        <v>18</v>
      </c>
      <c r="E13949" s="12" t="s">
        <v>160</v>
      </c>
      <c r="F13949" s="12" t="s">
        <v>161</v>
      </c>
      <c r="G13949" s="12" t="s">
        <v>29</v>
      </c>
      <c r="H13949" s="11" t="s">
        <v>22</v>
      </c>
      <c r="I13949" s="13" t="s">
        <v>27188</v>
      </c>
      <c r="J13949" s="14" t="str">
        <f>HYPERLINK("https://www.boe.es/gazeta/dias/1839/01/10/pdfs/GMD-1839-1517.pdf#page=1","Abrir facsímil")</f>
        <v>Abrir facsímil</v>
      </c>
      <c r="K13949" s="12" t="s">
        <v>24</v>
      </c>
    </row>
    <row r="13950" spans="1:11" ht="40.049999999999997" customHeight="1" x14ac:dyDescent="0.25">
      <c r="A13950" s="11" t="s">
        <v>27189</v>
      </c>
      <c r="B13950" s="11" t="s">
        <v>27190</v>
      </c>
      <c r="C13950" s="11" t="s">
        <v>17</v>
      </c>
      <c r="D13950" s="11" t="s">
        <v>18</v>
      </c>
      <c r="E13950" s="12" t="s">
        <v>1301</v>
      </c>
      <c r="F13950" s="12" t="s">
        <v>1302</v>
      </c>
      <c r="G13950" s="12" t="s">
        <v>29</v>
      </c>
      <c r="H13950" s="11" t="s">
        <v>63</v>
      </c>
      <c r="I13950" s="13" t="s">
        <v>27191</v>
      </c>
      <c r="J13950" s="14" t="str">
        <f>HYPERLINK("https://www.boe.es/gazeta/dias/1839/11/16/pdfs/GMD-1839-1833.pdf#page=1","Abrir facsímil")</f>
        <v>Abrir facsímil</v>
      </c>
      <c r="K13950" s="12" t="s">
        <v>65</v>
      </c>
    </row>
    <row r="13951" spans="1:11" ht="40.049999999999997" customHeight="1" x14ac:dyDescent="0.25">
      <c r="A13951" s="11" t="s">
        <v>27192</v>
      </c>
      <c r="B13951" s="11" t="s">
        <v>27193</v>
      </c>
      <c r="C13951" s="11" t="s">
        <v>101</v>
      </c>
      <c r="D13951" s="11" t="s">
        <v>102</v>
      </c>
      <c r="E13951" s="12" t="s">
        <v>821</v>
      </c>
      <c r="F13951" s="12" t="s">
        <v>822</v>
      </c>
      <c r="G13951" s="12" t="s">
        <v>29</v>
      </c>
      <c r="H13951" s="11" t="s">
        <v>63</v>
      </c>
      <c r="I13951" s="13" t="s">
        <v>27194</v>
      </c>
      <c r="J13951" s="14" t="str">
        <f>HYPERLINK("https://www.boe.es/gazeta/dias/1839/09/20/pdfs/GMD-1839-1775.pdf#page=1","Abrir facsímil")</f>
        <v>Abrir facsímil</v>
      </c>
      <c r="K13951" s="12" t="s">
        <v>65</v>
      </c>
    </row>
    <row r="13952" spans="1:11" ht="40.049999999999997" customHeight="1" x14ac:dyDescent="0.25">
      <c r="A13952" s="11" t="s">
        <v>27195</v>
      </c>
      <c r="B13952" s="11" t="s">
        <v>27196</v>
      </c>
      <c r="C13952" s="11" t="s">
        <v>137</v>
      </c>
      <c r="D13952" s="11" t="s">
        <v>18</v>
      </c>
      <c r="E13952" s="12" t="s">
        <v>647</v>
      </c>
      <c r="F13952" s="12" t="s">
        <v>648</v>
      </c>
      <c r="G13952" s="12" t="s">
        <v>5567</v>
      </c>
      <c r="H13952" s="11" t="s">
        <v>63</v>
      </c>
      <c r="I13952" s="13" t="s">
        <v>27197</v>
      </c>
      <c r="J13952" s="14" t="str">
        <f>HYPERLINK("https://www.boe.es/gazeta/dias/1839/10/08/pdfs/GMD-1839-1794.pdf#page=7","Abrir facsímil")</f>
        <v>Abrir facsímil</v>
      </c>
      <c r="K13952" s="12" t="s">
        <v>65</v>
      </c>
    </row>
    <row r="13953" spans="1:11" ht="40.049999999999997" customHeight="1" x14ac:dyDescent="0.25">
      <c r="A13953" s="11" t="s">
        <v>27198</v>
      </c>
      <c r="B13953" s="11" t="s">
        <v>27198</v>
      </c>
      <c r="C13953" s="11" t="s">
        <v>17</v>
      </c>
      <c r="D13953" s="11" t="s">
        <v>18</v>
      </c>
      <c r="E13953" s="12" t="s">
        <v>258</v>
      </c>
      <c r="F13953" s="12" t="s">
        <v>259</v>
      </c>
      <c r="G13953" s="12" t="s">
        <v>21</v>
      </c>
      <c r="H13953" s="11" t="s">
        <v>63</v>
      </c>
      <c r="I13953" s="13" t="s">
        <v>27199</v>
      </c>
      <c r="J13953" s="14" t="str">
        <f>HYPERLINK("https://www.boe.es/gazeta/dias/1839/01/02/pdfs/GMD-1839-1509.pdf#page=4","Abrir facsímil")</f>
        <v>Abrir facsímil</v>
      </c>
      <c r="K13953" s="12" t="s">
        <v>65</v>
      </c>
    </row>
    <row r="13954" spans="1:11" ht="40.049999999999997" customHeight="1" x14ac:dyDescent="0.25">
      <c r="A13954" s="11" t="s">
        <v>27198</v>
      </c>
      <c r="B13954" s="11" t="s">
        <v>27198</v>
      </c>
      <c r="C13954" s="11" t="s">
        <v>17</v>
      </c>
      <c r="D13954" s="11" t="s">
        <v>18</v>
      </c>
      <c r="E13954" s="12" t="s">
        <v>54</v>
      </c>
      <c r="F13954" s="12" t="s">
        <v>55</v>
      </c>
      <c r="G13954" s="12" t="s">
        <v>21</v>
      </c>
      <c r="H13954" s="11" t="s">
        <v>63</v>
      </c>
      <c r="I13954" s="13" t="s">
        <v>27200</v>
      </c>
      <c r="J13954" s="14" t="str">
        <f>HYPERLINK("https://www.boe.es/gazeta/dias/1839/10/05/pdfs/GMD-1839-1791.pdf#page=4","Abrir facsímil")</f>
        <v>Abrir facsímil</v>
      </c>
      <c r="K13954" s="12" t="s">
        <v>65</v>
      </c>
    </row>
    <row r="13955" spans="1:11" ht="40.049999999999997" customHeight="1" x14ac:dyDescent="0.25">
      <c r="A13955" s="11" t="s">
        <v>27198</v>
      </c>
      <c r="B13955" s="11" t="s">
        <v>27198</v>
      </c>
      <c r="C13955" s="11" t="s">
        <v>137</v>
      </c>
      <c r="D13955" s="11" t="s">
        <v>18</v>
      </c>
      <c r="E13955" s="12" t="s">
        <v>230</v>
      </c>
      <c r="F13955" s="12" t="s">
        <v>231</v>
      </c>
      <c r="G13955" s="12" t="s">
        <v>29</v>
      </c>
      <c r="H13955" s="11" t="s">
        <v>63</v>
      </c>
      <c r="I13955" s="13" t="s">
        <v>27201</v>
      </c>
      <c r="J13955" s="14" t="str">
        <f>HYPERLINK("https://www.boe.es/gazeta/dias/1839/09/16/pdfs/GMD-1839-1769.pdf#page=1","Abrir facsímil")</f>
        <v>Abrir facsímil</v>
      </c>
      <c r="K13955" s="12" t="s">
        <v>65</v>
      </c>
    </row>
    <row r="13956" spans="1:11" ht="40.049999999999997" customHeight="1" x14ac:dyDescent="0.25">
      <c r="A13956" s="11" t="s">
        <v>27202</v>
      </c>
      <c r="B13956" s="11" t="s">
        <v>27203</v>
      </c>
      <c r="C13956" s="11" t="s">
        <v>101</v>
      </c>
      <c r="D13956" s="11" t="s">
        <v>43</v>
      </c>
      <c r="E13956" s="12" t="s">
        <v>108</v>
      </c>
      <c r="F13956" s="12" t="s">
        <v>109</v>
      </c>
      <c r="G13956" s="12" t="s">
        <v>40</v>
      </c>
      <c r="H13956" s="11" t="s">
        <v>63</v>
      </c>
      <c r="I13956" s="13" t="s">
        <v>27204</v>
      </c>
      <c r="J13956" s="14" t="str">
        <f>HYPERLINK("https://www.boe.es/gazeta/dias/1839/01/04/pdfs/GMD-1839-1511.pdf#page=2","Abrir facsímil")</f>
        <v>Abrir facsímil</v>
      </c>
      <c r="K13956" s="12" t="s">
        <v>65</v>
      </c>
    </row>
    <row r="13957" spans="1:11" ht="40.049999999999997" customHeight="1" x14ac:dyDescent="0.25">
      <c r="A13957" s="11" t="s">
        <v>27205</v>
      </c>
      <c r="B13957" s="11" t="s">
        <v>27206</v>
      </c>
      <c r="C13957" s="11" t="s">
        <v>101</v>
      </c>
      <c r="D13957" s="11" t="s">
        <v>43</v>
      </c>
      <c r="E13957" s="12" t="s">
        <v>108</v>
      </c>
      <c r="F13957" s="12" t="s">
        <v>109</v>
      </c>
      <c r="G13957" s="12" t="s">
        <v>40</v>
      </c>
      <c r="H13957" s="11" t="s">
        <v>63</v>
      </c>
      <c r="I13957" s="13" t="s">
        <v>27207</v>
      </c>
      <c r="J13957" s="14" t="str">
        <f>HYPERLINK("https://www.boe.es/gazeta/dias/1839/01/04/pdfs/GMD-1839-1511.pdf#page=2","Abrir facsímil")</f>
        <v>Abrir facsímil</v>
      </c>
      <c r="K13957" s="12" t="s">
        <v>65</v>
      </c>
    </row>
    <row r="13958" spans="1:11" ht="40.049999999999997" customHeight="1" x14ac:dyDescent="0.25">
      <c r="A13958" s="11" t="s">
        <v>27208</v>
      </c>
      <c r="B13958" s="11" t="s">
        <v>27209</v>
      </c>
      <c r="C13958" s="11" t="s">
        <v>101</v>
      </c>
      <c r="D13958" s="11" t="s">
        <v>43</v>
      </c>
      <c r="E13958" s="12" t="s">
        <v>236</v>
      </c>
      <c r="F13958" s="12" t="s">
        <v>237</v>
      </c>
      <c r="G13958" s="12" t="s">
        <v>46</v>
      </c>
      <c r="H13958" s="11" t="s">
        <v>63</v>
      </c>
      <c r="I13958" s="13" t="s">
        <v>27210</v>
      </c>
      <c r="J13958" s="14" t="str">
        <f>HYPERLINK("https://www.boe.es/gazeta/dias/1839/09/18/pdfs/GMD-1839-1771.pdf#page=3","Abrir facsímil")</f>
        <v>Abrir facsímil</v>
      </c>
      <c r="K13958" s="12" t="s">
        <v>65</v>
      </c>
    </row>
    <row r="13959" spans="1:11" ht="40.049999999999997" customHeight="1" x14ac:dyDescent="0.25">
      <c r="A13959" s="11" t="s">
        <v>27211</v>
      </c>
      <c r="B13959" s="11" t="s">
        <v>27212</v>
      </c>
      <c r="C13959" s="11" t="s">
        <v>137</v>
      </c>
      <c r="D13959" s="11" t="s">
        <v>18</v>
      </c>
      <c r="E13959" s="12" t="s">
        <v>54</v>
      </c>
      <c r="F13959" s="12" t="s">
        <v>55</v>
      </c>
      <c r="G13959" s="12" t="s">
        <v>21</v>
      </c>
      <c r="H13959" s="11" t="s">
        <v>63</v>
      </c>
      <c r="I13959" s="13" t="s">
        <v>27213</v>
      </c>
      <c r="J13959" s="14" t="str">
        <f>HYPERLINK("https://www.boe.es/gazeta/dias/1839/10/05/pdfs/GMD-1839-1791.pdf#page=4","Abrir facsímil")</f>
        <v>Abrir facsímil</v>
      </c>
      <c r="K13959" s="12" t="s">
        <v>65</v>
      </c>
    </row>
    <row r="13960" spans="1:11" ht="40.049999999999997" customHeight="1" x14ac:dyDescent="0.25">
      <c r="A13960" s="11" t="s">
        <v>27214</v>
      </c>
      <c r="B13960" s="11" t="s">
        <v>27214</v>
      </c>
      <c r="C13960" s="11" t="s">
        <v>17</v>
      </c>
      <c r="D13960" s="11" t="s">
        <v>18</v>
      </c>
      <c r="E13960" s="12" t="s">
        <v>2449</v>
      </c>
      <c r="F13960" s="12" t="s">
        <v>2450</v>
      </c>
      <c r="G13960" s="12" t="s">
        <v>40</v>
      </c>
      <c r="H13960" s="11" t="s">
        <v>22</v>
      </c>
      <c r="I13960" s="13" t="s">
        <v>27215</v>
      </c>
      <c r="J13960" s="14" t="str">
        <f>HYPERLINK("https://www.boe.es/gazeta/dias/1839/12/11/pdfs/GMD-1839-1858.pdf#page=2","Abrir facsímil")</f>
        <v>Abrir facsímil</v>
      </c>
      <c r="K13960" s="12" t="s">
        <v>24</v>
      </c>
    </row>
    <row r="13961" spans="1:11" ht="40.049999999999997" customHeight="1" x14ac:dyDescent="0.25">
      <c r="A13961" s="11" t="s">
        <v>27216</v>
      </c>
      <c r="B13961" s="11" t="s">
        <v>27216</v>
      </c>
      <c r="C13961" s="11" t="s">
        <v>17</v>
      </c>
      <c r="D13961" s="11" t="s">
        <v>18</v>
      </c>
      <c r="E13961" s="12" t="s">
        <v>125</v>
      </c>
      <c r="F13961" s="12" t="s">
        <v>126</v>
      </c>
      <c r="G13961" s="12" t="s">
        <v>40</v>
      </c>
      <c r="H13961" s="11" t="s">
        <v>63</v>
      </c>
      <c r="I13961" s="13" t="s">
        <v>27217</v>
      </c>
      <c r="J13961" s="14" t="str">
        <f>HYPERLINK("https://www.boe.es/gazeta/dias/1839/05/23/pdfs/GMD-1839-1650.pdf#page=2","Abrir facsímil")</f>
        <v>Abrir facsímil</v>
      </c>
      <c r="K13961" s="12" t="s">
        <v>65</v>
      </c>
    </row>
    <row r="13962" spans="1:11" ht="40.049999999999997" customHeight="1" x14ac:dyDescent="0.25">
      <c r="A13962" s="11" t="s">
        <v>27218</v>
      </c>
      <c r="B13962" s="11" t="s">
        <v>27218</v>
      </c>
      <c r="C13962" s="11" t="s">
        <v>17</v>
      </c>
      <c r="D13962" s="11" t="s">
        <v>18</v>
      </c>
      <c r="E13962" s="12" t="s">
        <v>2432</v>
      </c>
      <c r="F13962" s="12" t="s">
        <v>2433</v>
      </c>
      <c r="G13962" s="12" t="s">
        <v>29</v>
      </c>
      <c r="H13962" s="11" t="s">
        <v>63</v>
      </c>
      <c r="I13962" s="13" t="s">
        <v>27219</v>
      </c>
      <c r="J13962" s="14" t="str">
        <f>HYPERLINK("https://www.boe.es/datos/pdfs/BOE//1839/1712/E00001-00001.pdf#page=1","Abrir facsímil")</f>
        <v>Abrir facsímil</v>
      </c>
      <c r="K13962" s="12" t="s">
        <v>65</v>
      </c>
    </row>
    <row r="13963" spans="1:11" ht="40.049999999999997" customHeight="1" x14ac:dyDescent="0.25">
      <c r="A13963" s="11" t="s">
        <v>27220</v>
      </c>
      <c r="B13963" s="11" t="s">
        <v>27221</v>
      </c>
      <c r="C13963" s="11" t="s">
        <v>17</v>
      </c>
      <c r="D13963" s="11" t="s">
        <v>18</v>
      </c>
      <c r="E13963" s="12" t="s">
        <v>1123</v>
      </c>
      <c r="F13963" s="12" t="s">
        <v>1124</v>
      </c>
      <c r="G13963" s="12" t="s">
        <v>29</v>
      </c>
      <c r="H13963" s="11" t="s">
        <v>63</v>
      </c>
      <c r="I13963" s="13" t="s">
        <v>27222</v>
      </c>
      <c r="J13963" s="14" t="str">
        <f>HYPERLINK("https://www.boe.es/gazeta/dias/1839/08/10/pdfs/GMD-1839-1730.pdf#page=1","Abrir facsímil")</f>
        <v>Abrir facsímil</v>
      </c>
      <c r="K13963" s="12" t="s">
        <v>65</v>
      </c>
    </row>
    <row r="13964" spans="1:11" ht="40.049999999999997" customHeight="1" x14ac:dyDescent="0.25">
      <c r="A13964" s="11" t="s">
        <v>27223</v>
      </c>
      <c r="B13964" s="11" t="s">
        <v>27223</v>
      </c>
      <c r="C13964" s="11" t="s">
        <v>17</v>
      </c>
      <c r="D13964" s="11" t="s">
        <v>18</v>
      </c>
      <c r="E13964" s="12" t="s">
        <v>1332</v>
      </c>
      <c r="F13964" s="12" t="s">
        <v>1333</v>
      </c>
      <c r="G13964" s="12" t="s">
        <v>40</v>
      </c>
      <c r="H13964" s="11" t="s">
        <v>63</v>
      </c>
      <c r="I13964" s="13" t="s">
        <v>27224</v>
      </c>
      <c r="J13964" s="14" t="str">
        <f>HYPERLINK("https://www.boe.es/gazeta/dias/1839/05/04/pdfs/GMD-1839-1631.pdf#page=2","Abrir facsímil")</f>
        <v>Abrir facsímil</v>
      </c>
      <c r="K13964" s="12" t="s">
        <v>65</v>
      </c>
    </row>
    <row r="13965" spans="1:11" ht="40.049999999999997" customHeight="1" x14ac:dyDescent="0.25">
      <c r="A13965" s="11" t="s">
        <v>27225</v>
      </c>
      <c r="B13965" s="11" t="s">
        <v>27226</v>
      </c>
      <c r="C13965" s="11" t="s">
        <v>80</v>
      </c>
      <c r="D13965" s="11" t="s">
        <v>18</v>
      </c>
      <c r="E13965" s="12" t="s">
        <v>3391</v>
      </c>
      <c r="F13965" s="12" t="s">
        <v>3392</v>
      </c>
      <c r="G13965" s="12" t="s">
        <v>21</v>
      </c>
      <c r="H13965" s="11" t="s">
        <v>63</v>
      </c>
      <c r="I13965" s="13" t="s">
        <v>27227</v>
      </c>
      <c r="J13965" s="14" t="str">
        <f>HYPERLINK("https://www.boe.es/gazeta/dias/1839/12/31/pdfs/GMD-1839-1878.pdf#page=4","Abrir facsímil")</f>
        <v>Abrir facsímil</v>
      </c>
      <c r="K13965" s="12" t="s">
        <v>65</v>
      </c>
    </row>
    <row r="13966" spans="1:11" ht="40.049999999999997" customHeight="1" x14ac:dyDescent="0.25">
      <c r="A13966" s="11" t="s">
        <v>27228</v>
      </c>
      <c r="B13966" s="11" t="s">
        <v>27229</v>
      </c>
      <c r="C13966" s="11" t="s">
        <v>17</v>
      </c>
      <c r="D13966" s="11" t="s">
        <v>18</v>
      </c>
      <c r="E13966" s="12" t="s">
        <v>1479</v>
      </c>
      <c r="F13966" s="12" t="s">
        <v>1480</v>
      </c>
      <c r="G13966" s="12" t="s">
        <v>46</v>
      </c>
      <c r="H13966" s="11" t="s">
        <v>63</v>
      </c>
      <c r="I13966" s="13" t="s">
        <v>27230</v>
      </c>
      <c r="J13966" s="14" t="str">
        <f>HYPERLINK("https://www.boe.es/gazeta/dias/1839/04/09/pdfs/GMD-1839-1606.pdf#page=3","Abrir facsímil")</f>
        <v>Abrir facsímil</v>
      </c>
      <c r="K13966" s="12" t="s">
        <v>65</v>
      </c>
    </row>
    <row r="13967" spans="1:11" ht="40.049999999999997" customHeight="1" x14ac:dyDescent="0.25">
      <c r="A13967" s="11" t="s">
        <v>27231</v>
      </c>
      <c r="B13967" s="11" t="s">
        <v>27232</v>
      </c>
      <c r="C13967" s="11" t="s">
        <v>137</v>
      </c>
      <c r="D13967" s="11" t="s">
        <v>18</v>
      </c>
      <c r="E13967" s="12" t="s">
        <v>1388</v>
      </c>
      <c r="F13967" s="12" t="s">
        <v>1389</v>
      </c>
      <c r="G13967" s="12" t="s">
        <v>46</v>
      </c>
      <c r="H13967" s="11" t="s">
        <v>63</v>
      </c>
      <c r="I13967" s="13" t="s">
        <v>27233</v>
      </c>
      <c r="J13967" s="14" t="str">
        <f>HYPERLINK("https://www.boe.es/gazeta/dias/1839/06/04/pdfs/GMD-1839-1662.pdf#page=3","Abrir facsímil")</f>
        <v>Abrir facsímil</v>
      </c>
      <c r="K13967" s="12" t="s">
        <v>65</v>
      </c>
    </row>
    <row r="13968" spans="1:11" ht="40.049999999999997" customHeight="1" x14ac:dyDescent="0.25">
      <c r="A13968" s="11" t="s">
        <v>27234</v>
      </c>
      <c r="B13968" s="11" t="s">
        <v>27235</v>
      </c>
      <c r="C13968" s="11" t="s">
        <v>17</v>
      </c>
      <c r="D13968" s="11" t="s">
        <v>18</v>
      </c>
      <c r="E13968" s="12" t="s">
        <v>160</v>
      </c>
      <c r="F13968" s="12" t="s">
        <v>161</v>
      </c>
      <c r="G13968" s="12" t="s">
        <v>46</v>
      </c>
      <c r="H13968" s="11" t="s">
        <v>63</v>
      </c>
      <c r="I13968" s="13" t="s">
        <v>27236</v>
      </c>
      <c r="J13968" s="14" t="str">
        <f>HYPERLINK("https://www.boe.es/gazeta/dias/1839/01/10/pdfs/GMD-1839-1517.pdf#page=3","Abrir facsímil")</f>
        <v>Abrir facsímil</v>
      </c>
      <c r="K13968" s="12" t="s">
        <v>65</v>
      </c>
    </row>
    <row r="13969" spans="1:11" ht="40.049999999999997" customHeight="1" x14ac:dyDescent="0.25">
      <c r="A13969" s="11" t="s">
        <v>27237</v>
      </c>
      <c r="B13969" s="11" t="s">
        <v>27238</v>
      </c>
      <c r="C13969" s="11" t="s">
        <v>17</v>
      </c>
      <c r="D13969" s="11" t="s">
        <v>18</v>
      </c>
      <c r="E13969" s="12" t="s">
        <v>503</v>
      </c>
      <c r="F13969" s="12" t="s">
        <v>504</v>
      </c>
      <c r="G13969" s="12" t="s">
        <v>21</v>
      </c>
      <c r="H13969" s="11" t="s">
        <v>63</v>
      </c>
      <c r="I13969" s="13" t="s">
        <v>27239</v>
      </c>
      <c r="J13969" s="14" t="str">
        <f>HYPERLINK("https://www.boe.es/gazeta/dias/1839/06/07/pdfs/GMD-1839-1665.pdf#page=4","Abrir facsímil")</f>
        <v>Abrir facsímil</v>
      </c>
      <c r="K13969" s="12" t="s">
        <v>65</v>
      </c>
    </row>
    <row r="13970" spans="1:11" ht="40.049999999999997" customHeight="1" x14ac:dyDescent="0.25">
      <c r="A13970" s="11" t="s">
        <v>27240</v>
      </c>
      <c r="B13970" s="11" t="s">
        <v>27240</v>
      </c>
      <c r="C13970" s="11" t="s">
        <v>17</v>
      </c>
      <c r="D13970" s="11" t="s">
        <v>18</v>
      </c>
      <c r="E13970" s="12" t="s">
        <v>1895</v>
      </c>
      <c r="F13970" s="12" t="s">
        <v>1896</v>
      </c>
      <c r="G13970" s="12" t="s">
        <v>46</v>
      </c>
      <c r="H13970" s="11" t="s">
        <v>63</v>
      </c>
      <c r="I13970" s="13" t="s">
        <v>27241</v>
      </c>
      <c r="J13970" s="14" t="str">
        <f>HYPERLINK("https://www.boe.es/gazeta/dias/1839/12/23/pdfs/GMD-1839-1870.pdf#page=3","Abrir facsímil")</f>
        <v>Abrir facsímil</v>
      </c>
      <c r="K13970" s="12" t="s">
        <v>65</v>
      </c>
    </row>
    <row r="13971" spans="1:11" ht="40.049999999999997" customHeight="1" x14ac:dyDescent="0.25">
      <c r="A13971" s="11" t="s">
        <v>27242</v>
      </c>
      <c r="B13971" s="11" t="s">
        <v>27243</v>
      </c>
      <c r="C13971" s="11" t="s">
        <v>17</v>
      </c>
      <c r="D13971" s="11" t="s">
        <v>18</v>
      </c>
      <c r="E13971" s="12" t="s">
        <v>564</v>
      </c>
      <c r="F13971" s="12" t="s">
        <v>565</v>
      </c>
      <c r="G13971" s="12" t="s">
        <v>29</v>
      </c>
      <c r="H13971" s="11" t="s">
        <v>63</v>
      </c>
      <c r="I13971" s="13" t="s">
        <v>27244</v>
      </c>
      <c r="J13971" s="14" t="str">
        <f>HYPERLINK("https://www.boe.es/gazeta/dias/1839/10/17/pdfs/GMD-1839-1803.pdf#page=1","Abrir facsímil")</f>
        <v>Abrir facsímil</v>
      </c>
      <c r="K13971" s="12" t="s">
        <v>65</v>
      </c>
    </row>
    <row r="13972" spans="1:11" ht="40.049999999999997" customHeight="1" x14ac:dyDescent="0.25">
      <c r="A13972" s="11" t="s">
        <v>27242</v>
      </c>
      <c r="B13972" s="11" t="s">
        <v>27243</v>
      </c>
      <c r="C13972" s="11" t="s">
        <v>137</v>
      </c>
      <c r="D13972" s="11" t="s">
        <v>18</v>
      </c>
      <c r="E13972" s="12" t="s">
        <v>1685</v>
      </c>
      <c r="F13972" s="12" t="s">
        <v>1686</v>
      </c>
      <c r="G13972" s="12" t="s">
        <v>29</v>
      </c>
      <c r="H13972" s="11" t="s">
        <v>63</v>
      </c>
      <c r="I13972" s="13" t="s">
        <v>27245</v>
      </c>
      <c r="J13972" s="14" t="str">
        <f>HYPERLINK("https://www.boe.es/gazeta/dias/1839/04/27/pdfs/GMD-1839-1624.pdf#page=1","Abrir facsímil")</f>
        <v>Abrir facsímil</v>
      </c>
      <c r="K13972" s="12" t="s">
        <v>65</v>
      </c>
    </row>
    <row r="13973" spans="1:11" ht="40.049999999999997" customHeight="1" x14ac:dyDescent="0.25">
      <c r="A13973" s="11" t="s">
        <v>27246</v>
      </c>
      <c r="B13973" s="11" t="s">
        <v>27247</v>
      </c>
      <c r="C13973" s="11" t="s">
        <v>101</v>
      </c>
      <c r="D13973" s="11" t="s">
        <v>43</v>
      </c>
      <c r="E13973" s="12" t="s">
        <v>197</v>
      </c>
      <c r="F13973" s="12" t="s">
        <v>198</v>
      </c>
      <c r="G13973" s="12" t="s">
        <v>40</v>
      </c>
      <c r="H13973" s="11" t="s">
        <v>22</v>
      </c>
      <c r="I13973" s="13" t="s">
        <v>27248</v>
      </c>
      <c r="J13973" s="14" t="str">
        <f>HYPERLINK("https://www.boe.es/gazeta/dias/1839/10/04/pdfs/GMD-1839-1790.pdf#page=2","Abrir facsímil")</f>
        <v>Abrir facsímil</v>
      </c>
      <c r="K13973" s="12" t="s">
        <v>24</v>
      </c>
    </row>
    <row r="13974" spans="1:11" ht="40.049999999999997" customHeight="1" x14ac:dyDescent="0.25">
      <c r="A13974" s="11" t="s">
        <v>27246</v>
      </c>
      <c r="B13974" s="11" t="s">
        <v>27247</v>
      </c>
      <c r="C13974" s="11" t="s">
        <v>17</v>
      </c>
      <c r="D13974" s="11" t="s">
        <v>18</v>
      </c>
      <c r="E13974" s="12" t="s">
        <v>448</v>
      </c>
      <c r="F13974" s="12" t="s">
        <v>449</v>
      </c>
      <c r="G13974" s="12" t="s">
        <v>21</v>
      </c>
      <c r="H13974" s="11" t="s">
        <v>22</v>
      </c>
      <c r="I13974" s="13" t="s">
        <v>27249</v>
      </c>
      <c r="J13974" s="14" t="str">
        <f>HYPERLINK("https://www.boe.es/gazeta/dias/1839/02/06/pdfs/GMD-1839-1544.pdf#page=4","Abrir facsímil")</f>
        <v>Abrir facsímil</v>
      </c>
      <c r="K13974" s="12" t="s">
        <v>24</v>
      </c>
    </row>
    <row r="13975" spans="1:11" ht="40.049999999999997" customHeight="1" x14ac:dyDescent="0.25">
      <c r="A13975" s="11" t="s">
        <v>27246</v>
      </c>
      <c r="B13975" s="11" t="s">
        <v>27247</v>
      </c>
      <c r="C13975" s="11" t="s">
        <v>101</v>
      </c>
      <c r="D13975" s="11" t="s">
        <v>43</v>
      </c>
      <c r="E13975" s="12" t="s">
        <v>157</v>
      </c>
      <c r="F13975" s="12" t="s">
        <v>158</v>
      </c>
      <c r="G13975" s="12" t="s">
        <v>46</v>
      </c>
      <c r="H13975" s="11" t="s">
        <v>22</v>
      </c>
      <c r="I13975" s="13" t="s">
        <v>27250</v>
      </c>
      <c r="J13975" s="14" t="str">
        <f>HYPERLINK("https://www.boe.es/gazeta/dias/1839/02/08/pdfs/GMD-1839-1546.pdf#page=3","Abrir facsímil")</f>
        <v>Abrir facsímil</v>
      </c>
      <c r="K13975" s="12" t="s">
        <v>24</v>
      </c>
    </row>
    <row r="13976" spans="1:11" ht="40.049999999999997" customHeight="1" x14ac:dyDescent="0.25">
      <c r="A13976" s="11" t="s">
        <v>27246</v>
      </c>
      <c r="B13976" s="11" t="s">
        <v>27247</v>
      </c>
      <c r="C13976" s="11" t="s">
        <v>17</v>
      </c>
      <c r="D13976" s="11" t="s">
        <v>18</v>
      </c>
      <c r="E13976" s="12" t="s">
        <v>2155</v>
      </c>
      <c r="F13976" s="12" t="s">
        <v>2156</v>
      </c>
      <c r="G13976" s="12" t="s">
        <v>46</v>
      </c>
      <c r="H13976" s="11" t="s">
        <v>22</v>
      </c>
      <c r="I13976" s="13" t="s">
        <v>27251</v>
      </c>
      <c r="J13976" s="14" t="str">
        <f>HYPERLINK("https://www.boe.es/gazeta/dias/1839/01/17/pdfs/GMD-1839-1524.pdf#page=3","Abrir facsímil")</f>
        <v>Abrir facsímil</v>
      </c>
      <c r="K13976" s="12" t="s">
        <v>24</v>
      </c>
    </row>
    <row r="13977" spans="1:11" ht="40.049999999999997" customHeight="1" x14ac:dyDescent="0.25">
      <c r="A13977" s="11" t="s">
        <v>27246</v>
      </c>
      <c r="B13977" s="11" t="s">
        <v>27247</v>
      </c>
      <c r="C13977" s="11" t="s">
        <v>17</v>
      </c>
      <c r="D13977" s="11" t="s">
        <v>18</v>
      </c>
      <c r="E13977" s="12" t="s">
        <v>2069</v>
      </c>
      <c r="F13977" s="12" t="s">
        <v>2070</v>
      </c>
      <c r="G13977" s="12" t="s">
        <v>566</v>
      </c>
      <c r="H13977" s="11" t="s">
        <v>22</v>
      </c>
      <c r="I13977" s="13" t="s">
        <v>27252</v>
      </c>
      <c r="J13977" s="14" t="str">
        <f>HYPERLINK("https://www.boe.es/gazeta/dias/1839/10/20/pdfs/GMD-1839-1806.pdf#page=5","Abrir facsímil")</f>
        <v>Abrir facsímil</v>
      </c>
      <c r="K13977" s="12" t="s">
        <v>24</v>
      </c>
    </row>
    <row r="13978" spans="1:11" ht="40.049999999999997" customHeight="1" x14ac:dyDescent="0.25">
      <c r="A13978" s="11" t="s">
        <v>27246</v>
      </c>
      <c r="B13978" s="11" t="s">
        <v>27247</v>
      </c>
      <c r="C13978" s="11" t="s">
        <v>17</v>
      </c>
      <c r="D13978" s="11" t="s">
        <v>18</v>
      </c>
      <c r="E13978" s="12" t="s">
        <v>574</v>
      </c>
      <c r="F13978" s="12" t="s">
        <v>575</v>
      </c>
      <c r="G13978" s="12" t="s">
        <v>40</v>
      </c>
      <c r="H13978" s="11" t="s">
        <v>22</v>
      </c>
      <c r="I13978" s="13" t="s">
        <v>27253</v>
      </c>
      <c r="J13978" s="14" t="str">
        <f>HYPERLINK("https://www.boe.es/gazeta/dias/1839/09/28/pdfs/GMD-1839-1784.pdf#page=2","Abrir facsímil")</f>
        <v>Abrir facsímil</v>
      </c>
      <c r="K13978" s="12" t="s">
        <v>24</v>
      </c>
    </row>
    <row r="13979" spans="1:11" ht="40.049999999999997" customHeight="1" x14ac:dyDescent="0.25">
      <c r="A13979" s="11" t="s">
        <v>27254</v>
      </c>
      <c r="B13979" s="11" t="s">
        <v>27255</v>
      </c>
      <c r="C13979" s="11" t="s">
        <v>17</v>
      </c>
      <c r="D13979" s="11" t="s">
        <v>18</v>
      </c>
      <c r="E13979" s="12" t="s">
        <v>2658</v>
      </c>
      <c r="F13979" s="12" t="s">
        <v>2659</v>
      </c>
      <c r="G13979" s="12" t="s">
        <v>40</v>
      </c>
      <c r="H13979" s="11" t="s">
        <v>22</v>
      </c>
      <c r="I13979" s="13" t="s">
        <v>27256</v>
      </c>
      <c r="J13979" s="14" t="str">
        <f>HYPERLINK("https://www.boe.es/gazeta/dias/1839/06/27/pdfs/GMD-1839-1685.pdf#page=2","Abrir facsímil")</f>
        <v>Abrir facsímil</v>
      </c>
      <c r="K13979" s="12" t="s">
        <v>24</v>
      </c>
    </row>
    <row r="13980" spans="1:11" ht="40.049999999999997" customHeight="1" x14ac:dyDescent="0.25">
      <c r="A13980" s="11" t="s">
        <v>27257</v>
      </c>
      <c r="B13980" s="11" t="s">
        <v>27258</v>
      </c>
      <c r="C13980" s="11" t="s">
        <v>17</v>
      </c>
      <c r="D13980" s="11" t="s">
        <v>18</v>
      </c>
      <c r="E13980" s="12" t="s">
        <v>2658</v>
      </c>
      <c r="F13980" s="12" t="s">
        <v>2659</v>
      </c>
      <c r="G13980" s="12" t="s">
        <v>40</v>
      </c>
      <c r="H13980" s="11" t="s">
        <v>63</v>
      </c>
      <c r="I13980" s="13" t="s">
        <v>27259</v>
      </c>
      <c r="J13980" s="14" t="str">
        <f>HYPERLINK("https://www.boe.es/gazeta/dias/1839/06/27/pdfs/GMD-1839-1685.pdf#page=2","Abrir facsímil")</f>
        <v>Abrir facsímil</v>
      </c>
      <c r="K13980" s="12" t="s">
        <v>65</v>
      </c>
    </row>
    <row r="13981" spans="1:11" ht="40.049999999999997" customHeight="1" x14ac:dyDescent="0.25">
      <c r="A13981" s="11" t="s">
        <v>27260</v>
      </c>
      <c r="B13981" s="11" t="s">
        <v>27261</v>
      </c>
      <c r="C13981" s="11" t="s">
        <v>17</v>
      </c>
      <c r="D13981" s="11" t="s">
        <v>18</v>
      </c>
      <c r="E13981" s="12" t="s">
        <v>1623</v>
      </c>
      <c r="F13981" s="12" t="s">
        <v>1624</v>
      </c>
      <c r="G13981" s="12" t="s">
        <v>21</v>
      </c>
      <c r="H13981" s="11" t="s">
        <v>63</v>
      </c>
      <c r="I13981" s="13" t="s">
        <v>27262</v>
      </c>
      <c r="J13981" s="14" t="str">
        <f>HYPERLINK("https://www.boe.es/gazeta/dias/1839/04/07/pdfs/GMD-1839-1604.pdf#page=4","Abrir facsímil")</f>
        <v>Abrir facsímil</v>
      </c>
      <c r="K13981" s="12" t="s">
        <v>65</v>
      </c>
    </row>
    <row r="13982" spans="1:11" ht="40.049999999999997" customHeight="1" x14ac:dyDescent="0.25">
      <c r="A13982" s="11" t="s">
        <v>27263</v>
      </c>
      <c r="B13982" s="11" t="s">
        <v>27264</v>
      </c>
      <c r="C13982" s="11" t="s">
        <v>17</v>
      </c>
      <c r="D13982" s="11" t="s">
        <v>18</v>
      </c>
      <c r="E13982" s="12" t="s">
        <v>1287</v>
      </c>
      <c r="F13982" s="12" t="s">
        <v>1288</v>
      </c>
      <c r="G13982" s="12" t="s">
        <v>21</v>
      </c>
      <c r="H13982" s="11" t="s">
        <v>63</v>
      </c>
      <c r="I13982" s="13" t="s">
        <v>27265</v>
      </c>
      <c r="J13982" s="14" t="str">
        <f>HYPERLINK("https://www.boe.es/gazeta/dias/1839/10/30/pdfs/GMD-1839-1816.pdf#page=4","Abrir facsímil")</f>
        <v>Abrir facsímil</v>
      </c>
      <c r="K13982" s="12" t="s">
        <v>65</v>
      </c>
    </row>
    <row r="13983" spans="1:11" ht="40.049999999999997" customHeight="1" x14ac:dyDescent="0.25">
      <c r="A13983" s="11" t="s">
        <v>27266</v>
      </c>
      <c r="B13983" s="11" t="s">
        <v>27267</v>
      </c>
      <c r="C13983" s="11" t="s">
        <v>17</v>
      </c>
      <c r="D13983" s="11" t="s">
        <v>18</v>
      </c>
      <c r="E13983" s="12" t="s">
        <v>1310</v>
      </c>
      <c r="F13983" s="12" t="s">
        <v>1311</v>
      </c>
      <c r="G13983" s="12" t="s">
        <v>40</v>
      </c>
      <c r="H13983" s="11" t="s">
        <v>63</v>
      </c>
      <c r="I13983" s="13" t="s">
        <v>27268</v>
      </c>
      <c r="J13983" s="14" t="str">
        <f>HYPERLINK("https://www.boe.es/gazeta/dias/1839/04/23/pdfs/GMD-1839-1620.pdf#page=2","Abrir facsímil")</f>
        <v>Abrir facsímil</v>
      </c>
      <c r="K13983" s="12" t="s">
        <v>65</v>
      </c>
    </row>
    <row r="13984" spans="1:11" ht="40.049999999999997" customHeight="1" x14ac:dyDescent="0.25">
      <c r="A13984" s="11" t="s">
        <v>27269</v>
      </c>
      <c r="B13984" s="11" t="s">
        <v>27269</v>
      </c>
      <c r="C13984" s="11" t="s">
        <v>17</v>
      </c>
      <c r="D13984" s="11" t="s">
        <v>18</v>
      </c>
      <c r="E13984" s="12" t="s">
        <v>395</v>
      </c>
      <c r="F13984" s="12" t="s">
        <v>396</v>
      </c>
      <c r="G13984" s="12" t="s">
        <v>40</v>
      </c>
      <c r="H13984" s="11" t="s">
        <v>63</v>
      </c>
      <c r="I13984" s="13" t="s">
        <v>27270</v>
      </c>
      <c r="J13984" s="14" t="str">
        <f>HYPERLINK("https://www.boe.es/gazeta/dias/1839/03/15/pdfs/GMD-1839-1581.pdf#page=2","Abrir facsímil")</f>
        <v>Abrir facsímil</v>
      </c>
      <c r="K13984" s="12" t="s">
        <v>65</v>
      </c>
    </row>
    <row r="13985" spans="1:11" ht="40.049999999999997" customHeight="1" x14ac:dyDescent="0.25">
      <c r="A13985" s="11" t="s">
        <v>27271</v>
      </c>
      <c r="B13985" s="11" t="s">
        <v>27271</v>
      </c>
      <c r="C13985" s="11" t="s">
        <v>17</v>
      </c>
      <c r="D13985" s="11" t="s">
        <v>18</v>
      </c>
      <c r="E13985" s="12" t="s">
        <v>479</v>
      </c>
      <c r="F13985" s="12" t="s">
        <v>480</v>
      </c>
      <c r="G13985" s="12" t="s">
        <v>40</v>
      </c>
      <c r="H13985" s="11" t="s">
        <v>63</v>
      </c>
      <c r="I13985" s="13" t="s">
        <v>27272</v>
      </c>
      <c r="J13985" s="14" t="str">
        <f>HYPERLINK("https://www.boe.es/gazeta/dias/1839/06/24/pdfs/GMD-1839-1682.pdf#page=2","Abrir facsímil")</f>
        <v>Abrir facsímil</v>
      </c>
      <c r="K13985" s="12" t="s">
        <v>65</v>
      </c>
    </row>
    <row r="13986" spans="1:11" ht="40.049999999999997" customHeight="1" x14ac:dyDescent="0.25">
      <c r="A13986" s="11" t="s">
        <v>27273</v>
      </c>
      <c r="B13986" s="11" t="s">
        <v>27274</v>
      </c>
      <c r="C13986" s="11" t="s">
        <v>17</v>
      </c>
      <c r="D13986" s="11" t="s">
        <v>18</v>
      </c>
      <c r="E13986" s="12" t="s">
        <v>621</v>
      </c>
      <c r="F13986" s="12" t="s">
        <v>622</v>
      </c>
      <c r="G13986" s="12" t="s">
        <v>29</v>
      </c>
      <c r="H13986" s="11" t="s">
        <v>63</v>
      </c>
      <c r="I13986" s="13" t="s">
        <v>27275</v>
      </c>
      <c r="J13986" s="14" t="str">
        <f>HYPERLINK("https://www.boe.es/gazeta/dias/1839/04/14/pdfs/GMD-1839-1611.pdf#page=1","Abrir facsímil")</f>
        <v>Abrir facsímil</v>
      </c>
      <c r="K13986" s="12" t="s">
        <v>65</v>
      </c>
    </row>
    <row r="13987" spans="1:11" ht="40.049999999999997" customHeight="1" x14ac:dyDescent="0.25">
      <c r="A13987" s="11" t="s">
        <v>27276</v>
      </c>
      <c r="B13987" s="11" t="s">
        <v>27276</v>
      </c>
      <c r="C13987" s="11" t="s">
        <v>59</v>
      </c>
      <c r="D13987" s="11" t="s">
        <v>60</v>
      </c>
      <c r="E13987" s="12" t="s">
        <v>3601</v>
      </c>
      <c r="F13987" s="12" t="s">
        <v>3602</v>
      </c>
      <c r="G13987" s="12" t="s">
        <v>21</v>
      </c>
      <c r="H13987" s="11" t="s">
        <v>63</v>
      </c>
      <c r="I13987" s="13" t="s">
        <v>27277</v>
      </c>
      <c r="J13987" s="14" t="str">
        <f>HYPERLINK("https://www.boe.es/gazeta/dias/1839/03/21/pdfs/GMD-1839-1587.pdf#page=4","Abrir facsímil")</f>
        <v>Abrir facsímil</v>
      </c>
      <c r="K13987" s="12" t="s">
        <v>65</v>
      </c>
    </row>
    <row r="13988" spans="1:11" ht="40.049999999999997" customHeight="1" x14ac:dyDescent="0.25">
      <c r="A13988" s="11" t="s">
        <v>27278</v>
      </c>
      <c r="B13988" s="11" t="s">
        <v>27278</v>
      </c>
      <c r="C13988" s="11" t="s">
        <v>101</v>
      </c>
      <c r="D13988" s="11" t="s">
        <v>43</v>
      </c>
      <c r="E13988" s="12" t="s">
        <v>230</v>
      </c>
      <c r="F13988" s="12" t="s">
        <v>231</v>
      </c>
      <c r="G13988" s="12" t="s">
        <v>40</v>
      </c>
      <c r="H13988" s="11" t="s">
        <v>22</v>
      </c>
      <c r="I13988" s="13" t="s">
        <v>27279</v>
      </c>
      <c r="J13988" s="14" t="str">
        <f>HYPERLINK("https://www.boe.es/gazeta/dias/1839/09/16/pdfs/GMD-1839-1769.pdf#page=2","Abrir facsímil")</f>
        <v>Abrir facsímil</v>
      </c>
      <c r="K13988" s="12" t="s">
        <v>24</v>
      </c>
    </row>
    <row r="13989" spans="1:11" ht="40.049999999999997" customHeight="1" x14ac:dyDescent="0.25">
      <c r="A13989" s="11" t="s">
        <v>27280</v>
      </c>
      <c r="B13989" s="11" t="s">
        <v>27280</v>
      </c>
      <c r="C13989" s="11" t="s">
        <v>101</v>
      </c>
      <c r="D13989" s="11" t="s">
        <v>43</v>
      </c>
      <c r="E13989" s="12" t="s">
        <v>1679</v>
      </c>
      <c r="F13989" s="12" t="s">
        <v>1680</v>
      </c>
      <c r="G13989" s="12" t="s">
        <v>46</v>
      </c>
      <c r="H13989" s="11" t="s">
        <v>63</v>
      </c>
      <c r="I13989" s="13" t="s">
        <v>27281</v>
      </c>
      <c r="J13989" s="14" t="str">
        <f>HYPERLINK("https://www.boe.es/gazeta/dias/1839/01/26/pdfs/GMD-1839-1533.pdf#page=3","Abrir facsímil")</f>
        <v>Abrir facsímil</v>
      </c>
      <c r="K13989" s="12" t="s">
        <v>65</v>
      </c>
    </row>
    <row r="13990" spans="1:11" ht="40.049999999999997" customHeight="1" x14ac:dyDescent="0.25">
      <c r="A13990" s="11" t="s">
        <v>27282</v>
      </c>
      <c r="B13990" s="11" t="s">
        <v>27283</v>
      </c>
      <c r="C13990" s="11" t="s">
        <v>17</v>
      </c>
      <c r="D13990" s="11" t="s">
        <v>18</v>
      </c>
      <c r="E13990" s="12" t="s">
        <v>785</v>
      </c>
      <c r="F13990" s="12" t="s">
        <v>786</v>
      </c>
      <c r="G13990" s="12" t="s">
        <v>40</v>
      </c>
      <c r="H13990" s="11" t="s">
        <v>63</v>
      </c>
      <c r="I13990" s="13" t="s">
        <v>27284</v>
      </c>
      <c r="J13990" s="14" t="str">
        <f>HYPERLINK("https://www.boe.es/gazeta/dias/1839/07/13/pdfs/GMD-1839-1701.pdf#page=2","Abrir facsímil")</f>
        <v>Abrir facsímil</v>
      </c>
      <c r="K13990" s="12" t="s">
        <v>65</v>
      </c>
    </row>
    <row r="13991" spans="1:11" ht="40.049999999999997" customHeight="1" x14ac:dyDescent="0.25">
      <c r="A13991" s="11" t="s">
        <v>27285</v>
      </c>
      <c r="B13991" s="11" t="s">
        <v>27285</v>
      </c>
      <c r="C13991" s="11" t="s">
        <v>17</v>
      </c>
      <c r="D13991" s="11" t="s">
        <v>18</v>
      </c>
      <c r="E13991" s="12" t="s">
        <v>1179</v>
      </c>
      <c r="F13991" s="12" t="s">
        <v>1180</v>
      </c>
      <c r="G13991" s="12" t="s">
        <v>46</v>
      </c>
      <c r="H13991" s="11" t="s">
        <v>63</v>
      </c>
      <c r="I13991" s="13" t="s">
        <v>27286</v>
      </c>
      <c r="J13991" s="14" t="str">
        <f>HYPERLINK("https://www.boe.es/gazeta/dias/1839/10/18/pdfs/GMD-1839-1804.pdf#page=3","Abrir facsímil")</f>
        <v>Abrir facsímil</v>
      </c>
      <c r="K13991" s="12" t="s">
        <v>65</v>
      </c>
    </row>
    <row r="13992" spans="1:11" ht="40.049999999999997" customHeight="1" x14ac:dyDescent="0.25">
      <c r="A13992" s="11" t="s">
        <v>27287</v>
      </c>
      <c r="B13992" s="11" t="s">
        <v>27288</v>
      </c>
      <c r="C13992" s="11" t="s">
        <v>17</v>
      </c>
      <c r="D13992" s="11" t="s">
        <v>18</v>
      </c>
      <c r="E13992" s="12" t="s">
        <v>2452</v>
      </c>
      <c r="F13992" s="12" t="s">
        <v>2453</v>
      </c>
      <c r="G13992" s="12" t="s">
        <v>21</v>
      </c>
      <c r="H13992" s="11" t="s">
        <v>63</v>
      </c>
      <c r="I13992" s="13" t="s">
        <v>27289</v>
      </c>
      <c r="J13992" s="14" t="str">
        <f>HYPERLINK("https://www.boe.es/gazeta/dias/1839/11/14/pdfs/GMD-1839-1831.pdf#page=4","Abrir facsímil")</f>
        <v>Abrir facsímil</v>
      </c>
      <c r="K13992" s="12" t="s">
        <v>65</v>
      </c>
    </row>
    <row r="13993" spans="1:11" ht="40.049999999999997" customHeight="1" x14ac:dyDescent="0.25">
      <c r="A13993" s="11" t="s">
        <v>27290</v>
      </c>
      <c r="B13993" s="11" t="s">
        <v>27291</v>
      </c>
      <c r="C13993" s="11" t="s">
        <v>17</v>
      </c>
      <c r="D13993" s="11" t="s">
        <v>18</v>
      </c>
      <c r="E13993" s="12" t="s">
        <v>44</v>
      </c>
      <c r="F13993" s="12" t="s">
        <v>45</v>
      </c>
      <c r="G13993" s="12" t="s">
        <v>21</v>
      </c>
      <c r="H13993" s="11" t="s">
        <v>63</v>
      </c>
      <c r="I13993" s="13" t="s">
        <v>27292</v>
      </c>
      <c r="J13993" s="14" t="str">
        <f>HYPERLINK("https://www.boe.es/gazeta/dias/1839/11/15/pdfs/GMD-1839-1832.pdf#page=4","Abrir facsímil")</f>
        <v>Abrir facsímil</v>
      </c>
      <c r="K13993" s="12" t="s">
        <v>65</v>
      </c>
    </row>
    <row r="13994" spans="1:11" ht="40.049999999999997" customHeight="1" x14ac:dyDescent="0.25">
      <c r="A13994" s="11" t="s">
        <v>27293</v>
      </c>
      <c r="B13994" s="11" t="s">
        <v>27293</v>
      </c>
      <c r="C13994" s="11" t="s">
        <v>137</v>
      </c>
      <c r="D13994" s="11" t="s">
        <v>18</v>
      </c>
      <c r="E13994" s="12" t="s">
        <v>2069</v>
      </c>
      <c r="F13994" s="12" t="s">
        <v>2070</v>
      </c>
      <c r="G13994" s="12" t="s">
        <v>305</v>
      </c>
      <c r="H13994" s="11" t="s">
        <v>63</v>
      </c>
      <c r="I13994" s="13" t="s">
        <v>27294</v>
      </c>
      <c r="J13994" s="14" t="str">
        <f>HYPERLINK("https://www.boe.es/gazeta/dias/1839/10/20/pdfs/GMD-1839-1806.pdf#page=6","Abrir facsímil")</f>
        <v>Abrir facsímil</v>
      </c>
      <c r="K13994" s="12" t="s">
        <v>65</v>
      </c>
    </row>
    <row r="13995" spans="1:11" ht="40.049999999999997" customHeight="1" x14ac:dyDescent="0.25">
      <c r="A13995" s="11" t="s">
        <v>27295</v>
      </c>
      <c r="B13995" s="11" t="s">
        <v>27296</v>
      </c>
      <c r="C13995" s="11" t="s">
        <v>17</v>
      </c>
      <c r="D13995" s="11" t="s">
        <v>18</v>
      </c>
      <c r="E13995" s="12" t="s">
        <v>1310</v>
      </c>
      <c r="F13995" s="12" t="s">
        <v>1311</v>
      </c>
      <c r="G13995" s="12" t="s">
        <v>40</v>
      </c>
      <c r="H13995" s="11" t="s">
        <v>63</v>
      </c>
      <c r="I13995" s="13" t="s">
        <v>27297</v>
      </c>
      <c r="J13995" s="14" t="str">
        <f>HYPERLINK("https://www.boe.es/gazeta/dias/1839/04/23/pdfs/GMD-1839-1620.pdf#page=2","Abrir facsímil")</f>
        <v>Abrir facsímil</v>
      </c>
      <c r="K13995" s="12" t="s">
        <v>65</v>
      </c>
    </row>
    <row r="13996" spans="1:11" ht="40.049999999999997" customHeight="1" x14ac:dyDescent="0.25">
      <c r="A13996" s="11" t="s">
        <v>27298</v>
      </c>
      <c r="B13996" s="11" t="s">
        <v>27298</v>
      </c>
      <c r="C13996" s="11" t="s">
        <v>17</v>
      </c>
      <c r="D13996" s="11" t="s">
        <v>18</v>
      </c>
      <c r="E13996" s="12" t="s">
        <v>1310</v>
      </c>
      <c r="F13996" s="12" t="s">
        <v>1311</v>
      </c>
      <c r="G13996" s="12" t="s">
        <v>40</v>
      </c>
      <c r="H13996" s="11" t="s">
        <v>63</v>
      </c>
      <c r="I13996" s="13" t="s">
        <v>27299</v>
      </c>
      <c r="J13996" s="14" t="str">
        <f>HYPERLINK("https://www.boe.es/gazeta/dias/1839/04/23/pdfs/GMD-1839-1620.pdf#page=2","Abrir facsímil")</f>
        <v>Abrir facsímil</v>
      </c>
      <c r="K13996" s="12" t="s">
        <v>65</v>
      </c>
    </row>
    <row r="13997" spans="1:11" ht="40.049999999999997" customHeight="1" x14ac:dyDescent="0.25">
      <c r="A13997" s="11" t="s">
        <v>27298</v>
      </c>
      <c r="B13997" s="11" t="s">
        <v>27298</v>
      </c>
      <c r="C13997" s="11" t="s">
        <v>17</v>
      </c>
      <c r="D13997" s="11" t="s">
        <v>18</v>
      </c>
      <c r="E13997" s="12" t="s">
        <v>1729</v>
      </c>
      <c r="F13997" s="12" t="s">
        <v>1730</v>
      </c>
      <c r="G13997" s="12" t="s">
        <v>21</v>
      </c>
      <c r="H13997" s="11" t="s">
        <v>63</v>
      </c>
      <c r="I13997" s="13" t="s">
        <v>27300</v>
      </c>
      <c r="J13997" s="14" t="str">
        <f>HYPERLINK("https://www.boe.es/gazeta/dias/1839/04/25/pdfs/GMD-1839-1622.pdf#page=4","Abrir facsímil")</f>
        <v>Abrir facsímil</v>
      </c>
      <c r="K13997" s="12" t="s">
        <v>65</v>
      </c>
    </row>
    <row r="13998" spans="1:11" ht="40.049999999999997" customHeight="1" x14ac:dyDescent="0.25">
      <c r="A13998" s="11" t="s">
        <v>27301</v>
      </c>
      <c r="B13998" s="11" t="s">
        <v>27301</v>
      </c>
      <c r="C13998" s="11" t="s">
        <v>137</v>
      </c>
      <c r="D13998" s="11" t="s">
        <v>18</v>
      </c>
      <c r="E13998" s="12" t="s">
        <v>1813</v>
      </c>
      <c r="F13998" s="12" t="s">
        <v>1814</v>
      </c>
      <c r="G13998" s="12" t="s">
        <v>40</v>
      </c>
      <c r="H13998" s="11" t="s">
        <v>63</v>
      </c>
      <c r="I13998" s="13" t="s">
        <v>27302</v>
      </c>
      <c r="J13998" s="14" t="str">
        <f>HYPERLINK("https://www.boe.es/gazeta/dias/1839/09/02/pdfs/GMD-1839-1754.pdf#page=2","Abrir facsímil")</f>
        <v>Abrir facsímil</v>
      </c>
      <c r="K13998" s="12" t="s">
        <v>65</v>
      </c>
    </row>
    <row r="13999" spans="1:11" ht="40.049999999999997" customHeight="1" x14ac:dyDescent="0.25">
      <c r="A13999" s="11" t="s">
        <v>27301</v>
      </c>
      <c r="B13999" s="11" t="s">
        <v>27301</v>
      </c>
      <c r="C13999" s="11" t="s">
        <v>80</v>
      </c>
      <c r="D13999" s="11" t="s">
        <v>18</v>
      </c>
      <c r="E13999" s="12" t="s">
        <v>951</v>
      </c>
      <c r="F13999" s="12" t="s">
        <v>952</v>
      </c>
      <c r="G13999" s="12" t="s">
        <v>46</v>
      </c>
      <c r="H13999" s="11" t="s">
        <v>63</v>
      </c>
      <c r="I13999" s="13" t="s">
        <v>27303</v>
      </c>
      <c r="J13999" s="14" t="str">
        <f>HYPERLINK("https://www.boe.es/gazeta/dias/1839/12/30/pdfs/GMD-1839-1877.pdf#page=3","Abrir facsímil")</f>
        <v>Abrir facsímil</v>
      </c>
      <c r="K13999" s="12" t="s">
        <v>65</v>
      </c>
    </row>
    <row r="14000" spans="1:11" ht="40.049999999999997" customHeight="1" x14ac:dyDescent="0.25">
      <c r="A14000" s="11" t="s">
        <v>27304</v>
      </c>
      <c r="B14000" s="11" t="s">
        <v>27304</v>
      </c>
      <c r="C14000" s="11" t="s">
        <v>80</v>
      </c>
      <c r="D14000" s="11" t="s">
        <v>18</v>
      </c>
      <c r="E14000" s="12" t="s">
        <v>951</v>
      </c>
      <c r="F14000" s="12" t="s">
        <v>952</v>
      </c>
      <c r="G14000" s="12" t="s">
        <v>46</v>
      </c>
      <c r="H14000" s="11" t="s">
        <v>63</v>
      </c>
      <c r="I14000" s="13" t="s">
        <v>27305</v>
      </c>
      <c r="J14000" s="14" t="str">
        <f>HYPERLINK("https://www.boe.es/gazeta/dias/1839/12/30/pdfs/GMD-1839-1877.pdf#page=3","Abrir facsímil")</f>
        <v>Abrir facsímil</v>
      </c>
      <c r="K14000" s="12" t="s">
        <v>65</v>
      </c>
    </row>
    <row r="14001" spans="1:11" ht="40.049999999999997" customHeight="1" x14ac:dyDescent="0.25">
      <c r="A14001" s="11" t="s">
        <v>27306</v>
      </c>
      <c r="B14001" s="11" t="s">
        <v>27306</v>
      </c>
      <c r="C14001" s="11" t="s">
        <v>80</v>
      </c>
      <c r="D14001" s="11" t="s">
        <v>18</v>
      </c>
      <c r="E14001" s="12" t="s">
        <v>1523</v>
      </c>
      <c r="F14001" s="12" t="s">
        <v>1524</v>
      </c>
      <c r="G14001" s="12" t="s">
        <v>29</v>
      </c>
      <c r="H14001" s="11" t="s">
        <v>22</v>
      </c>
      <c r="I14001" s="13" t="s">
        <v>27307</v>
      </c>
      <c r="J14001" s="14" t="str">
        <f>HYPERLINK("https://www.boe.es/gazeta/dias/1839/08/29/pdfs/GMD-1839-1750.pdf#page=1","Abrir facsímil")</f>
        <v>Abrir facsímil</v>
      </c>
      <c r="K14001" s="12" t="s">
        <v>24</v>
      </c>
    </row>
    <row r="14002" spans="1:11" ht="40.049999999999997" customHeight="1" x14ac:dyDescent="0.25">
      <c r="A14002" s="11" t="s">
        <v>27308</v>
      </c>
      <c r="B14002" s="11" t="s">
        <v>27308</v>
      </c>
      <c r="C14002" s="11" t="s">
        <v>17</v>
      </c>
      <c r="D14002" s="11" t="s">
        <v>18</v>
      </c>
      <c r="E14002" s="12" t="s">
        <v>2491</v>
      </c>
      <c r="F14002" s="12" t="s">
        <v>2492</v>
      </c>
      <c r="G14002" s="12" t="s">
        <v>21</v>
      </c>
      <c r="H14002" s="11" t="s">
        <v>63</v>
      </c>
      <c r="I14002" s="13" t="s">
        <v>27309</v>
      </c>
      <c r="J14002" s="14" t="str">
        <f>HYPERLINK("https://www.boe.es/gazeta/dias/1839/05/01/pdfs/GMD-1839-1628.pdf#page=4","Abrir facsímil")</f>
        <v>Abrir facsímil</v>
      </c>
      <c r="K14002" s="12" t="s">
        <v>65</v>
      </c>
    </row>
    <row r="14003" spans="1:11" ht="40.049999999999997" customHeight="1" x14ac:dyDescent="0.25">
      <c r="A14003" s="11" t="s">
        <v>27310</v>
      </c>
      <c r="B14003" s="11" t="s">
        <v>27310</v>
      </c>
      <c r="C14003" s="11" t="s">
        <v>17</v>
      </c>
      <c r="D14003" s="11" t="s">
        <v>18</v>
      </c>
      <c r="E14003" s="12" t="s">
        <v>1310</v>
      </c>
      <c r="F14003" s="12" t="s">
        <v>1311</v>
      </c>
      <c r="G14003" s="12" t="s">
        <v>21</v>
      </c>
      <c r="H14003" s="11" t="s">
        <v>63</v>
      </c>
      <c r="I14003" s="13" t="s">
        <v>27311</v>
      </c>
      <c r="J14003" s="14" t="str">
        <f>HYPERLINK("https://www.boe.es/gazeta/dias/1839/04/23/pdfs/GMD-1839-1620.pdf#page=4","Abrir facsímil")</f>
        <v>Abrir facsímil</v>
      </c>
      <c r="K14003" s="12" t="s">
        <v>65</v>
      </c>
    </row>
    <row r="14004" spans="1:11" ht="40.049999999999997" customHeight="1" x14ac:dyDescent="0.25">
      <c r="A14004" s="11" t="s">
        <v>27312</v>
      </c>
      <c r="B14004" s="11" t="s">
        <v>27312</v>
      </c>
      <c r="C14004" s="11" t="s">
        <v>17</v>
      </c>
      <c r="D14004" s="11" t="s">
        <v>18</v>
      </c>
      <c r="E14004" s="12" t="s">
        <v>785</v>
      </c>
      <c r="F14004" s="12" t="s">
        <v>786</v>
      </c>
      <c r="G14004" s="12" t="s">
        <v>29</v>
      </c>
      <c r="H14004" s="11" t="s">
        <v>63</v>
      </c>
      <c r="I14004" s="13" t="s">
        <v>27313</v>
      </c>
      <c r="J14004" s="14" t="str">
        <f>HYPERLINK("https://www.boe.es/gazeta/dias/1839/07/13/pdfs/GMD-1839-1701.pdf#page=1","Abrir facsímil")</f>
        <v>Abrir facsímil</v>
      </c>
      <c r="K14004" s="12" t="s">
        <v>65</v>
      </c>
    </row>
    <row r="14005" spans="1:11" ht="40.049999999999997" customHeight="1" x14ac:dyDescent="0.25">
      <c r="A14005" s="11" t="s">
        <v>27314</v>
      </c>
      <c r="B14005" s="11" t="s">
        <v>27315</v>
      </c>
      <c r="C14005" s="11" t="s">
        <v>17</v>
      </c>
      <c r="D14005" s="11" t="s">
        <v>18</v>
      </c>
      <c r="E14005" s="12" t="s">
        <v>1391</v>
      </c>
      <c r="F14005" s="12" t="s">
        <v>1392</v>
      </c>
      <c r="G14005" s="12" t="s">
        <v>29</v>
      </c>
      <c r="H14005" s="11" t="s">
        <v>63</v>
      </c>
      <c r="I14005" s="13" t="s">
        <v>27316</v>
      </c>
      <c r="J14005" s="14" t="str">
        <f>HYPERLINK("https://www.boe.es/gazeta/dias/1839/05/12/pdfs/GMD-1839-1639.pdf#page=1","Abrir facsímil")</f>
        <v>Abrir facsímil</v>
      </c>
      <c r="K14005" s="12" t="s">
        <v>65</v>
      </c>
    </row>
    <row r="14006" spans="1:11" ht="40.049999999999997" customHeight="1" x14ac:dyDescent="0.25">
      <c r="A14006" s="11" t="s">
        <v>27317</v>
      </c>
      <c r="B14006" s="11" t="s">
        <v>27318</v>
      </c>
      <c r="C14006" s="11" t="s">
        <v>80</v>
      </c>
      <c r="D14006" s="11" t="s">
        <v>18</v>
      </c>
      <c r="E14006" s="12" t="s">
        <v>132</v>
      </c>
      <c r="F14006" s="12" t="s">
        <v>133</v>
      </c>
      <c r="G14006" s="12" t="s">
        <v>21</v>
      </c>
      <c r="H14006" s="11" t="s">
        <v>63</v>
      </c>
      <c r="I14006" s="13" t="s">
        <v>27319</v>
      </c>
      <c r="J14006" s="14" t="str">
        <f>HYPERLINK("https://www.boe.es/gazeta/dias/1839/08/02/pdfs/GMD-1839-1722.pdf#page=4","Abrir facsímil")</f>
        <v>Abrir facsímil</v>
      </c>
      <c r="K14006" s="12" t="s">
        <v>65</v>
      </c>
    </row>
    <row r="14007" spans="1:11" ht="40.049999999999997" customHeight="1" x14ac:dyDescent="0.25">
      <c r="A14007" s="11" t="s">
        <v>27317</v>
      </c>
      <c r="B14007" s="11" t="s">
        <v>27318</v>
      </c>
      <c r="C14007" s="11" t="s">
        <v>101</v>
      </c>
      <c r="D14007" s="11" t="s">
        <v>43</v>
      </c>
      <c r="E14007" s="12" t="s">
        <v>1749</v>
      </c>
      <c r="F14007" s="12" t="s">
        <v>1750</v>
      </c>
      <c r="G14007" s="12" t="s">
        <v>21</v>
      </c>
      <c r="H14007" s="11" t="s">
        <v>63</v>
      </c>
      <c r="I14007" s="13" t="s">
        <v>27320</v>
      </c>
      <c r="J14007" s="14" t="str">
        <f>HYPERLINK("https://www.boe.es/gazeta/dias/1839/06/28/pdfs/GMD-1839-1686.pdf#page=4","Abrir facsímil")</f>
        <v>Abrir facsímil</v>
      </c>
      <c r="K14007" s="12" t="s">
        <v>65</v>
      </c>
    </row>
    <row r="14008" spans="1:11" ht="40.049999999999997" customHeight="1" x14ac:dyDescent="0.25">
      <c r="A14008" s="11" t="s">
        <v>27321</v>
      </c>
      <c r="B14008" s="11" t="s">
        <v>27322</v>
      </c>
      <c r="C14008" s="11" t="s">
        <v>59</v>
      </c>
      <c r="D14008" s="11" t="s">
        <v>60</v>
      </c>
      <c r="E14008" s="12" t="s">
        <v>453</v>
      </c>
      <c r="F14008" s="12" t="s">
        <v>454</v>
      </c>
      <c r="G14008" s="12" t="s">
        <v>46</v>
      </c>
      <c r="H14008" s="11" t="s">
        <v>63</v>
      </c>
      <c r="I14008" s="13" t="s">
        <v>27323</v>
      </c>
      <c r="J14008" s="14" t="str">
        <f>HYPERLINK("https://www.boe.es/gazeta/dias/1839/02/07/pdfs/GMD-1839-1545.pdf#page=3","Abrir facsímil")</f>
        <v>Abrir facsímil</v>
      </c>
      <c r="K14008" s="12" t="s">
        <v>65</v>
      </c>
    </row>
    <row r="14009" spans="1:11" ht="40.049999999999997" customHeight="1" x14ac:dyDescent="0.25">
      <c r="A14009" s="11" t="s">
        <v>27324</v>
      </c>
      <c r="B14009" s="11" t="s">
        <v>27324</v>
      </c>
      <c r="C14009" s="11" t="s">
        <v>59</v>
      </c>
      <c r="D14009" s="11" t="s">
        <v>60</v>
      </c>
      <c r="E14009" s="12" t="s">
        <v>1001</v>
      </c>
      <c r="F14009" s="12" t="s">
        <v>1002</v>
      </c>
      <c r="G14009" s="12" t="s">
        <v>29</v>
      </c>
      <c r="H14009" s="11" t="s">
        <v>63</v>
      </c>
      <c r="I14009" s="13" t="s">
        <v>27325</v>
      </c>
      <c r="J14009" s="14" t="str">
        <f>HYPERLINK("https://www.boe.es/gazeta/dias/1839/07/09/pdfs/GMD-1839-1697.pdf#page=1","Abrir facsímil")</f>
        <v>Abrir facsímil</v>
      </c>
      <c r="K14009" s="12" t="s">
        <v>65</v>
      </c>
    </row>
    <row r="14010" spans="1:11" ht="40.049999999999997" customHeight="1" x14ac:dyDescent="0.25">
      <c r="A14010" s="11" t="s">
        <v>27326</v>
      </c>
      <c r="B14010" s="11" t="s">
        <v>27327</v>
      </c>
      <c r="C14010" s="11" t="s">
        <v>80</v>
      </c>
      <c r="D14010" s="11" t="s">
        <v>173</v>
      </c>
      <c r="E14010" s="12" t="s">
        <v>756</v>
      </c>
      <c r="F14010" s="12" t="s">
        <v>757</v>
      </c>
      <c r="G14010" s="12" t="s">
        <v>21</v>
      </c>
      <c r="H14010" s="11" t="s">
        <v>63</v>
      </c>
      <c r="I14010" s="13" t="s">
        <v>27328</v>
      </c>
      <c r="J14010" s="14" t="str">
        <f>HYPERLINK("https://www.boe.es/gazeta/dias/1839/12/17/pdfs/GMD-1839-1864.pdf#page=4","Abrir facsímil")</f>
        <v>Abrir facsímil</v>
      </c>
      <c r="K14010" s="12" t="s">
        <v>65</v>
      </c>
    </row>
    <row r="14011" spans="1:11" ht="40.049999999999997" customHeight="1" x14ac:dyDescent="0.25">
      <c r="A14011" s="11" t="s">
        <v>27329</v>
      </c>
      <c r="B14011" s="11" t="s">
        <v>27329</v>
      </c>
      <c r="C14011" s="11" t="s">
        <v>17</v>
      </c>
      <c r="D14011" s="11" t="s">
        <v>18</v>
      </c>
      <c r="E14011" s="12" t="s">
        <v>462</v>
      </c>
      <c r="F14011" s="12" t="s">
        <v>463</v>
      </c>
      <c r="G14011" s="12" t="s">
        <v>29</v>
      </c>
      <c r="H14011" s="11" t="s">
        <v>63</v>
      </c>
      <c r="I14011" s="13" t="s">
        <v>27330</v>
      </c>
      <c r="J14011" s="14" t="str">
        <f>HYPERLINK("https://www.boe.es/gazeta/dias/1839/06/19/pdfs/GMD-1839-1677.pdf#page=1","Abrir facsímil")</f>
        <v>Abrir facsímil</v>
      </c>
      <c r="K14011" s="12" t="s">
        <v>65</v>
      </c>
    </row>
    <row r="14012" spans="1:11" ht="40.049999999999997" customHeight="1" x14ac:dyDescent="0.25">
      <c r="A14012" s="11" t="s">
        <v>27331</v>
      </c>
      <c r="B14012" s="11" t="s">
        <v>27331</v>
      </c>
      <c r="C14012" s="11" t="s">
        <v>80</v>
      </c>
      <c r="D14012" s="11" t="s">
        <v>18</v>
      </c>
      <c r="E14012" s="12" t="s">
        <v>643</v>
      </c>
      <c r="F14012" s="12" t="s">
        <v>644</v>
      </c>
      <c r="G14012" s="12" t="s">
        <v>40</v>
      </c>
      <c r="H14012" s="11" t="s">
        <v>63</v>
      </c>
      <c r="I14012" s="13" t="s">
        <v>27332</v>
      </c>
      <c r="J14012" s="14" t="str">
        <f>HYPERLINK("https://www.boe.es/gazeta/dias/1839/03/20/pdfs/GMD-1839-1586.pdf#page=2","Abrir facsímil")</f>
        <v>Abrir facsímil</v>
      </c>
      <c r="K14012" s="12" t="s">
        <v>65</v>
      </c>
    </row>
    <row r="14013" spans="1:11" ht="40.049999999999997" customHeight="1" x14ac:dyDescent="0.25">
      <c r="A14013" s="11" t="s">
        <v>27333</v>
      </c>
      <c r="B14013" s="11" t="s">
        <v>27333</v>
      </c>
      <c r="C14013" s="11" t="s">
        <v>17</v>
      </c>
      <c r="D14013" s="11" t="s">
        <v>18</v>
      </c>
      <c r="E14013" s="12" t="s">
        <v>1139</v>
      </c>
      <c r="F14013" s="12" t="s">
        <v>1140</v>
      </c>
      <c r="G14013" s="12" t="s">
        <v>40</v>
      </c>
      <c r="H14013" s="11" t="s">
        <v>63</v>
      </c>
      <c r="I14013" s="13" t="s">
        <v>27334</v>
      </c>
      <c r="J14013" s="14" t="str">
        <f>HYPERLINK("https://www.boe.es/gazeta/dias/1839/02/15/pdfs/GMD-1839-1553.pdf#page=2","Abrir facsímil")</f>
        <v>Abrir facsímil</v>
      </c>
      <c r="K14013" s="12" t="s">
        <v>65</v>
      </c>
    </row>
    <row r="14014" spans="1:11" ht="40.049999999999997" customHeight="1" x14ac:dyDescent="0.25">
      <c r="A14014" s="11" t="s">
        <v>27335</v>
      </c>
      <c r="B14014" s="11" t="s">
        <v>27335</v>
      </c>
      <c r="C14014" s="11" t="s">
        <v>80</v>
      </c>
      <c r="D14014" s="11" t="s">
        <v>18</v>
      </c>
      <c r="E14014" s="12" t="s">
        <v>1139</v>
      </c>
      <c r="F14014" s="12" t="s">
        <v>1140</v>
      </c>
      <c r="G14014" s="12" t="s">
        <v>29</v>
      </c>
      <c r="H14014" s="11" t="s">
        <v>63</v>
      </c>
      <c r="I14014" s="13" t="s">
        <v>27336</v>
      </c>
      <c r="J14014" s="14" t="str">
        <f>HYPERLINK("https://www.boe.es/gazeta/dias/1839/02/15/pdfs/GMD-1839-1553.pdf#page=1","Abrir facsímil")</f>
        <v>Abrir facsímil</v>
      </c>
      <c r="K14014" s="12" t="s">
        <v>65</v>
      </c>
    </row>
    <row r="14015" spans="1:11" ht="40.049999999999997" customHeight="1" x14ac:dyDescent="0.25">
      <c r="A14015" s="11" t="s">
        <v>27337</v>
      </c>
      <c r="B14015" s="11" t="s">
        <v>27337</v>
      </c>
      <c r="C14015" s="11" t="s">
        <v>80</v>
      </c>
      <c r="D14015" s="11" t="s">
        <v>18</v>
      </c>
      <c r="E14015" s="12" t="s">
        <v>4189</v>
      </c>
      <c r="F14015" s="12" t="s">
        <v>4190</v>
      </c>
      <c r="G14015" s="12" t="s">
        <v>29</v>
      </c>
      <c r="H14015" s="11" t="s">
        <v>63</v>
      </c>
      <c r="I14015" s="13" t="s">
        <v>27338</v>
      </c>
      <c r="J14015" s="14" t="str">
        <f>HYPERLINK("https://www.boe.es/gazeta/dias/1839/02/13/pdfs/GMD-1839-1551.pdf#page=1","Abrir facsímil")</f>
        <v>Abrir facsímil</v>
      </c>
      <c r="K14015" s="12" t="s">
        <v>65</v>
      </c>
    </row>
    <row r="14016" spans="1:11" ht="40.049999999999997" customHeight="1" x14ac:dyDescent="0.25">
      <c r="A14016" s="11" t="s">
        <v>27337</v>
      </c>
      <c r="B14016" s="11" t="s">
        <v>27337</v>
      </c>
      <c r="C14016" s="11" t="s">
        <v>59</v>
      </c>
      <c r="D14016" s="11" t="s">
        <v>60</v>
      </c>
      <c r="E14016" s="12" t="s">
        <v>5806</v>
      </c>
      <c r="F14016" s="12" t="s">
        <v>5807</v>
      </c>
      <c r="G14016" s="12" t="s">
        <v>40</v>
      </c>
      <c r="H14016" s="11" t="s">
        <v>63</v>
      </c>
      <c r="I14016" s="13" t="s">
        <v>27339</v>
      </c>
      <c r="J14016" s="14" t="str">
        <f>HYPERLINK("https://www.boe.es/gazeta/dias/1839/02/16/pdfs/GMD-1839-1554.pdf#page=2","Abrir facsímil")</f>
        <v>Abrir facsímil</v>
      </c>
      <c r="K14016" s="12" t="s">
        <v>65</v>
      </c>
    </row>
    <row r="14017" spans="1:11" ht="40.049999999999997" customHeight="1" x14ac:dyDescent="0.25">
      <c r="A14017" s="11" t="s">
        <v>27337</v>
      </c>
      <c r="B14017" s="11" t="s">
        <v>27337</v>
      </c>
      <c r="C14017" s="11" t="s">
        <v>17</v>
      </c>
      <c r="D14017" s="11" t="s">
        <v>18</v>
      </c>
      <c r="E14017" s="12" t="s">
        <v>1657</v>
      </c>
      <c r="F14017" s="12" t="s">
        <v>1658</v>
      </c>
      <c r="G14017" s="12" t="s">
        <v>40</v>
      </c>
      <c r="H14017" s="11" t="s">
        <v>63</v>
      </c>
      <c r="I14017" s="13" t="s">
        <v>27340</v>
      </c>
      <c r="J14017" s="14" t="str">
        <f>HYPERLINK("https://www.boe.es/gazeta/dias/1839/02/21/pdfs/GMD-1839-1559.pdf#page=2","Abrir facsímil")</f>
        <v>Abrir facsímil</v>
      </c>
      <c r="K14017" s="12" t="s">
        <v>65</v>
      </c>
    </row>
    <row r="14018" spans="1:11" ht="40.049999999999997" customHeight="1" x14ac:dyDescent="0.25">
      <c r="A14018" s="11" t="s">
        <v>27337</v>
      </c>
      <c r="B14018" s="11" t="s">
        <v>27337</v>
      </c>
      <c r="C14018" s="11" t="s">
        <v>101</v>
      </c>
      <c r="D14018" s="11" t="s">
        <v>102</v>
      </c>
      <c r="E14018" s="12" t="s">
        <v>519</v>
      </c>
      <c r="F14018" s="12" t="s">
        <v>520</v>
      </c>
      <c r="G14018" s="12" t="s">
        <v>40</v>
      </c>
      <c r="H14018" s="11" t="s">
        <v>63</v>
      </c>
      <c r="I14018" s="13" t="s">
        <v>27341</v>
      </c>
      <c r="J14018" s="14" t="str">
        <f>HYPERLINK("https://www.boe.es/gazeta/dias/1839/02/23/pdfs/GMD-1839-1561.pdf#page=2","Abrir facsímil")</f>
        <v>Abrir facsímil</v>
      </c>
      <c r="K14018" s="12" t="s">
        <v>65</v>
      </c>
    </row>
    <row r="14019" spans="1:11" ht="40.049999999999997" customHeight="1" x14ac:dyDescent="0.25">
      <c r="A14019" s="11" t="s">
        <v>27342</v>
      </c>
      <c r="B14019" s="11" t="s">
        <v>27342</v>
      </c>
      <c r="C14019" s="11" t="s">
        <v>101</v>
      </c>
      <c r="D14019" s="11" t="s">
        <v>102</v>
      </c>
      <c r="E14019" s="12" t="s">
        <v>474</v>
      </c>
      <c r="F14019" s="12" t="s">
        <v>475</v>
      </c>
      <c r="G14019" s="12" t="s">
        <v>29</v>
      </c>
      <c r="H14019" s="11" t="s">
        <v>63</v>
      </c>
      <c r="I14019" s="13" t="s">
        <v>27343</v>
      </c>
      <c r="J14019" s="14" t="str">
        <f>HYPERLINK("https://www.boe.es/gazeta/dias/1839/03/31/pdfs/GMD-1839-1597.pdf#page=1","Abrir facsímil")</f>
        <v>Abrir facsímil</v>
      </c>
      <c r="K14019" s="12" t="s">
        <v>65</v>
      </c>
    </row>
    <row r="14020" spans="1:11" ht="40.049999999999997" customHeight="1" x14ac:dyDescent="0.25">
      <c r="A14020" s="11" t="s">
        <v>27344</v>
      </c>
      <c r="B14020" s="11" t="s">
        <v>27345</v>
      </c>
      <c r="C14020" s="11" t="s">
        <v>17</v>
      </c>
      <c r="D14020" s="11" t="s">
        <v>18</v>
      </c>
      <c r="E14020" s="12" t="s">
        <v>929</v>
      </c>
      <c r="F14020" s="12" t="s">
        <v>930</v>
      </c>
      <c r="G14020" s="12" t="s">
        <v>40</v>
      </c>
      <c r="H14020" s="11" t="s">
        <v>22</v>
      </c>
      <c r="I14020" s="13" t="s">
        <v>27346</v>
      </c>
      <c r="J14020" s="14" t="str">
        <f>HYPERLINK("https://www.boe.es/gazeta/dias/1839/01/31/pdfs/GMD-1839-1538.pdf#page=2","Abrir facsímil")</f>
        <v>Abrir facsímil</v>
      </c>
      <c r="K14020" s="12" t="s">
        <v>24</v>
      </c>
    </row>
    <row r="14021" spans="1:11" ht="40.049999999999997" customHeight="1" x14ac:dyDescent="0.25">
      <c r="A14021" s="11" t="s">
        <v>27347</v>
      </c>
      <c r="B14021" s="11" t="s">
        <v>27347</v>
      </c>
      <c r="C14021" s="11" t="s">
        <v>59</v>
      </c>
      <c r="D14021" s="11" t="s">
        <v>60</v>
      </c>
      <c r="E14021" s="12" t="s">
        <v>555</v>
      </c>
      <c r="F14021" s="12" t="s">
        <v>556</v>
      </c>
      <c r="G14021" s="12" t="s">
        <v>40</v>
      </c>
      <c r="H14021" s="11" t="s">
        <v>63</v>
      </c>
      <c r="I14021" s="13" t="s">
        <v>27348</v>
      </c>
      <c r="J14021" s="14" t="str">
        <f>HYPERLINK("https://www.boe.es/gazeta/dias/1839/07/19/pdfs/GMD-1839-1707.pdf#page=2","Abrir facsímil")</f>
        <v>Abrir facsímil</v>
      </c>
      <c r="K14021" s="12" t="s">
        <v>65</v>
      </c>
    </row>
    <row r="14022" spans="1:11" ht="40.049999999999997" customHeight="1" x14ac:dyDescent="0.25">
      <c r="A14022" s="11" t="s">
        <v>27349</v>
      </c>
      <c r="B14022" s="11" t="s">
        <v>27349</v>
      </c>
      <c r="C14022" s="11" t="s">
        <v>17</v>
      </c>
      <c r="D14022" s="11" t="s">
        <v>18</v>
      </c>
      <c r="E14022" s="12" t="s">
        <v>1446</v>
      </c>
      <c r="F14022" s="12" t="s">
        <v>1447</v>
      </c>
      <c r="G14022" s="12" t="s">
        <v>29</v>
      </c>
      <c r="H14022" s="11" t="s">
        <v>63</v>
      </c>
      <c r="I14022" s="13" t="s">
        <v>27350</v>
      </c>
      <c r="J14022" s="14" t="str">
        <f>HYPERLINK("https://www.boe.es/gazeta/dias/1839/08/25/pdfs/GMD-1839-1746.pdf#page=1","Abrir facsímil")</f>
        <v>Abrir facsímil</v>
      </c>
      <c r="K14022" s="12" t="s">
        <v>65</v>
      </c>
    </row>
    <row r="14023" spans="1:11" ht="40.049999999999997" customHeight="1" x14ac:dyDescent="0.25">
      <c r="A14023" s="11" t="s">
        <v>27351</v>
      </c>
      <c r="B14023" s="11" t="s">
        <v>27351</v>
      </c>
      <c r="C14023" s="11" t="s">
        <v>101</v>
      </c>
      <c r="D14023" s="11" t="s">
        <v>102</v>
      </c>
      <c r="E14023" s="12" t="s">
        <v>1682</v>
      </c>
      <c r="F14023" s="12" t="s">
        <v>1683</v>
      </c>
      <c r="G14023" s="12" t="s">
        <v>40</v>
      </c>
      <c r="H14023" s="11" t="s">
        <v>22</v>
      </c>
      <c r="I14023" s="13" t="s">
        <v>27352</v>
      </c>
      <c r="J14023" s="14" t="str">
        <f>HYPERLINK("https://www.boe.es/gazeta/dias/1839/12/26/pdfs/GMD-1839-1873.pdf#page=2","Abrir facsímil")</f>
        <v>Abrir facsímil</v>
      </c>
      <c r="K14023" s="12" t="s">
        <v>24</v>
      </c>
    </row>
    <row r="14024" spans="1:11" ht="40.049999999999997" customHeight="1" x14ac:dyDescent="0.25">
      <c r="A14024" s="11" t="s">
        <v>27353</v>
      </c>
      <c r="B14024" s="11" t="s">
        <v>27353</v>
      </c>
      <c r="C14024" s="11" t="s">
        <v>17</v>
      </c>
      <c r="D14024" s="11" t="s">
        <v>18</v>
      </c>
      <c r="E14024" s="12" t="s">
        <v>121</v>
      </c>
      <c r="F14024" s="12" t="s">
        <v>122</v>
      </c>
      <c r="G14024" s="12" t="s">
        <v>40</v>
      </c>
      <c r="H14024" s="11" t="s">
        <v>22</v>
      </c>
      <c r="I14024" s="13" t="s">
        <v>27354</v>
      </c>
      <c r="J14024" s="14" t="str">
        <f>HYPERLINK("https://www.boe.es/gazeta/dias/1839/06/08/pdfs/GMD-1839-1666.pdf#page=2","Abrir facsímil")</f>
        <v>Abrir facsímil</v>
      </c>
      <c r="K14024" s="12" t="s">
        <v>24</v>
      </c>
    </row>
    <row r="14025" spans="1:11" ht="40.049999999999997" customHeight="1" x14ac:dyDescent="0.25">
      <c r="A14025" s="11" t="s">
        <v>27353</v>
      </c>
      <c r="B14025" s="11" t="s">
        <v>27353</v>
      </c>
      <c r="C14025" s="11" t="s">
        <v>137</v>
      </c>
      <c r="D14025" s="11" t="s">
        <v>18</v>
      </c>
      <c r="E14025" s="12" t="s">
        <v>1685</v>
      </c>
      <c r="F14025" s="12" t="s">
        <v>1686</v>
      </c>
      <c r="G14025" s="12" t="s">
        <v>40</v>
      </c>
      <c r="H14025" s="11" t="s">
        <v>22</v>
      </c>
      <c r="I14025" s="13" t="s">
        <v>27355</v>
      </c>
      <c r="J14025" s="14" t="str">
        <f>HYPERLINK("https://www.boe.es/gazeta/dias/1839/04/27/pdfs/GMD-1839-1624.pdf#page=2","Abrir facsímil")</f>
        <v>Abrir facsímil</v>
      </c>
      <c r="K14025" s="12" t="s">
        <v>24</v>
      </c>
    </row>
    <row r="14026" spans="1:11" ht="40.049999999999997" customHeight="1" x14ac:dyDescent="0.25">
      <c r="A14026" s="11" t="s">
        <v>27356</v>
      </c>
      <c r="B14026" s="11" t="s">
        <v>27356</v>
      </c>
      <c r="C14026" s="11" t="s">
        <v>80</v>
      </c>
      <c r="D14026" s="11" t="s">
        <v>18</v>
      </c>
      <c r="E14026" s="12" t="s">
        <v>926</v>
      </c>
      <c r="F14026" s="12" t="s">
        <v>927</v>
      </c>
      <c r="G14026" s="12" t="s">
        <v>21</v>
      </c>
      <c r="H14026" s="11" t="s">
        <v>22</v>
      </c>
      <c r="I14026" s="13" t="s">
        <v>27357</v>
      </c>
      <c r="J14026" s="14" t="str">
        <f>HYPERLINK("https://www.boe.es/gazeta/dias/1839/01/25/pdfs/GMD-1839-1532.pdf#page=4","Abrir facsímil")</f>
        <v>Abrir facsímil</v>
      </c>
      <c r="K14026" s="12" t="s">
        <v>24</v>
      </c>
    </row>
    <row r="14027" spans="1:11" ht="40.049999999999997" customHeight="1" x14ac:dyDescent="0.25">
      <c r="A14027" s="11" t="s">
        <v>27358</v>
      </c>
      <c r="B14027" s="11" t="s">
        <v>27358</v>
      </c>
      <c r="C14027" s="11" t="s">
        <v>80</v>
      </c>
      <c r="D14027" s="11" t="s">
        <v>18</v>
      </c>
      <c r="E14027" s="12" t="s">
        <v>327</v>
      </c>
      <c r="F14027" s="12" t="s">
        <v>328</v>
      </c>
      <c r="G14027" s="12" t="s">
        <v>21</v>
      </c>
      <c r="H14027" s="11" t="s">
        <v>22</v>
      </c>
      <c r="I14027" s="13" t="s">
        <v>27359</v>
      </c>
      <c r="J14027" s="14" t="str">
        <f>HYPERLINK("https://www.boe.es/gazeta/dias/1839/08/05/pdfs/GMD-1839-1725.pdf#page=4","Abrir facsímil")</f>
        <v>Abrir facsímil</v>
      </c>
      <c r="K14027" s="12" t="s">
        <v>24</v>
      </c>
    </row>
    <row r="14028" spans="1:11" ht="40.049999999999997" customHeight="1" x14ac:dyDescent="0.25">
      <c r="A14028" s="11" t="s">
        <v>27358</v>
      </c>
      <c r="B14028" s="11" t="s">
        <v>27358</v>
      </c>
      <c r="C14028" s="11" t="s">
        <v>80</v>
      </c>
      <c r="D14028" s="11" t="s">
        <v>18</v>
      </c>
      <c r="E14028" s="12" t="s">
        <v>462</v>
      </c>
      <c r="F14028" s="12" t="s">
        <v>463</v>
      </c>
      <c r="G14028" s="12" t="s">
        <v>21</v>
      </c>
      <c r="H14028" s="11" t="s">
        <v>22</v>
      </c>
      <c r="I14028" s="13" t="s">
        <v>27360</v>
      </c>
      <c r="J14028" s="14" t="str">
        <f>HYPERLINK("https://www.boe.es/gazeta/dias/1839/06/19/pdfs/GMD-1839-1677.pdf#page=4","Abrir facsímil")</f>
        <v>Abrir facsímil</v>
      </c>
      <c r="K14028" s="12" t="s">
        <v>24</v>
      </c>
    </row>
    <row r="14029" spans="1:11" ht="40.049999999999997" customHeight="1" x14ac:dyDescent="0.25">
      <c r="A14029" s="11" t="s">
        <v>27358</v>
      </c>
      <c r="B14029" s="11" t="s">
        <v>27358</v>
      </c>
      <c r="C14029" s="11" t="s">
        <v>101</v>
      </c>
      <c r="D14029" s="11" t="s">
        <v>43</v>
      </c>
      <c r="E14029" s="12" t="s">
        <v>3601</v>
      </c>
      <c r="F14029" s="12" t="s">
        <v>3602</v>
      </c>
      <c r="G14029" s="12" t="s">
        <v>29</v>
      </c>
      <c r="H14029" s="11" t="s">
        <v>22</v>
      </c>
      <c r="I14029" s="13" t="s">
        <v>27361</v>
      </c>
      <c r="J14029" s="14" t="str">
        <f>HYPERLINK("https://www.boe.es/gazeta/dias/1839/03/21/pdfs/GMD-1839-1587.pdf#page=1","Abrir facsímil")</f>
        <v>Abrir facsímil</v>
      </c>
      <c r="K14029" s="12" t="s">
        <v>24</v>
      </c>
    </row>
    <row r="14030" spans="1:11" ht="40.049999999999997" customHeight="1" x14ac:dyDescent="0.25">
      <c r="A14030" s="11" t="s">
        <v>27358</v>
      </c>
      <c r="B14030" s="11" t="s">
        <v>27358</v>
      </c>
      <c r="C14030" s="11" t="s">
        <v>17</v>
      </c>
      <c r="D14030" s="11" t="s">
        <v>18</v>
      </c>
      <c r="E14030" s="12" t="s">
        <v>1490</v>
      </c>
      <c r="F14030" s="12" t="s">
        <v>1491</v>
      </c>
      <c r="G14030" s="12" t="s">
        <v>29</v>
      </c>
      <c r="H14030" s="11" t="s">
        <v>22</v>
      </c>
      <c r="I14030" s="13" t="s">
        <v>27362</v>
      </c>
      <c r="J14030" s="14" t="str">
        <f>HYPERLINK("https://www.boe.es/gazeta/dias/1839/02/27/pdfs/GMD-1839-1565.pdf#page=1","Abrir facsímil")</f>
        <v>Abrir facsímil</v>
      </c>
      <c r="K14030" s="12" t="s">
        <v>24</v>
      </c>
    </row>
    <row r="14031" spans="1:11" ht="40.049999999999997" customHeight="1" x14ac:dyDescent="0.25">
      <c r="A14031" s="11" t="s">
        <v>27358</v>
      </c>
      <c r="B14031" s="11" t="s">
        <v>27358</v>
      </c>
      <c r="C14031" s="11" t="s">
        <v>17</v>
      </c>
      <c r="D14031" s="11" t="s">
        <v>18</v>
      </c>
      <c r="E14031" s="12" t="s">
        <v>1520</v>
      </c>
      <c r="F14031" s="12" t="s">
        <v>1521</v>
      </c>
      <c r="G14031" s="12" t="s">
        <v>46</v>
      </c>
      <c r="H14031" s="11" t="s">
        <v>22</v>
      </c>
      <c r="I14031" s="13" t="s">
        <v>27363</v>
      </c>
      <c r="J14031" s="14" t="str">
        <f>HYPERLINK("https://www.boe.es/gazeta/dias/1839/12/27/pdfs/GMD-1839-1874.pdf#page=3","Abrir facsímil")</f>
        <v>Abrir facsímil</v>
      </c>
      <c r="K14031" s="12" t="s">
        <v>24</v>
      </c>
    </row>
    <row r="14032" spans="1:11" ht="40.049999999999997" customHeight="1" x14ac:dyDescent="0.25">
      <c r="A14032" s="11" t="s">
        <v>27364</v>
      </c>
      <c r="B14032" s="11" t="s">
        <v>27365</v>
      </c>
      <c r="C14032" s="11" t="s">
        <v>137</v>
      </c>
      <c r="D14032" s="11" t="s">
        <v>18</v>
      </c>
      <c r="E14032" s="12" t="s">
        <v>601</v>
      </c>
      <c r="F14032" s="12" t="s">
        <v>602</v>
      </c>
      <c r="G14032" s="12" t="s">
        <v>21</v>
      </c>
      <c r="H14032" s="11" t="s">
        <v>63</v>
      </c>
      <c r="I14032" s="13" t="s">
        <v>27366</v>
      </c>
      <c r="J14032" s="14" t="str">
        <f>HYPERLINK("https://www.boe.es/gazeta/dias/1839/04/21/pdfs/GMD-1839-1618.pdf#page=4","Abrir facsímil")</f>
        <v>Abrir facsímil</v>
      </c>
      <c r="K14032" s="12" t="s">
        <v>65</v>
      </c>
    </row>
    <row r="14033" spans="1:11" ht="40.049999999999997" customHeight="1" x14ac:dyDescent="0.25">
      <c r="A14033" s="11" t="s">
        <v>27367</v>
      </c>
      <c r="B14033" s="11" t="s">
        <v>27368</v>
      </c>
      <c r="C14033" s="11" t="s">
        <v>17</v>
      </c>
      <c r="D14033" s="11" t="s">
        <v>18</v>
      </c>
      <c r="E14033" s="12" t="s">
        <v>1565</v>
      </c>
      <c r="F14033" s="12" t="s">
        <v>1566</v>
      </c>
      <c r="G14033" s="12" t="s">
        <v>21</v>
      </c>
      <c r="H14033" s="11" t="s">
        <v>63</v>
      </c>
      <c r="I14033" s="13" t="s">
        <v>27369</v>
      </c>
      <c r="J14033" s="14" t="str">
        <f>HYPERLINK("https://www.boe.es/gazeta/dias/1839/06/17/pdfs/GMD-1839-1675.pdf#page=4","Abrir facsímil")</f>
        <v>Abrir facsímil</v>
      </c>
      <c r="K14033" s="12" t="s">
        <v>65</v>
      </c>
    </row>
    <row r="14034" spans="1:11" ht="40.049999999999997" customHeight="1" x14ac:dyDescent="0.25">
      <c r="A14034" s="11" t="s">
        <v>27370</v>
      </c>
      <c r="B14034" s="11" t="s">
        <v>27371</v>
      </c>
      <c r="C14034" s="11" t="s">
        <v>17</v>
      </c>
      <c r="D14034" s="11" t="s">
        <v>18</v>
      </c>
      <c r="E14034" s="12" t="s">
        <v>903</v>
      </c>
      <c r="F14034" s="12" t="s">
        <v>904</v>
      </c>
      <c r="G14034" s="12" t="s">
        <v>40</v>
      </c>
      <c r="H14034" s="11" t="s">
        <v>63</v>
      </c>
      <c r="I14034" s="13" t="s">
        <v>27372</v>
      </c>
      <c r="J14034" s="14" t="str">
        <f>HYPERLINK("https://www.boe.es/gazeta/dias/1839/03/14/pdfs/GMD-1839-1580.pdf#page=2","Abrir facsímil")</f>
        <v>Abrir facsímil</v>
      </c>
      <c r="K14034" s="12" t="s">
        <v>65</v>
      </c>
    </row>
    <row r="14035" spans="1:11" ht="40.049999999999997" customHeight="1" x14ac:dyDescent="0.25">
      <c r="A14035" s="11" t="s">
        <v>27373</v>
      </c>
      <c r="B14035" s="11" t="s">
        <v>27373</v>
      </c>
      <c r="C14035" s="11" t="s">
        <v>17</v>
      </c>
      <c r="D14035" s="11" t="s">
        <v>18</v>
      </c>
      <c r="E14035" s="12" t="s">
        <v>2449</v>
      </c>
      <c r="F14035" s="12" t="s">
        <v>2450</v>
      </c>
      <c r="G14035" s="12" t="s">
        <v>46</v>
      </c>
      <c r="H14035" s="11" t="s">
        <v>63</v>
      </c>
      <c r="I14035" s="13" t="s">
        <v>27374</v>
      </c>
      <c r="J14035" s="14" t="str">
        <f>HYPERLINK("https://www.boe.es/gazeta/dias/1839/12/11/pdfs/GMD-1839-1858.pdf#page=3","Abrir facsímil")</f>
        <v>Abrir facsímil</v>
      </c>
      <c r="K14035" s="12" t="s">
        <v>65</v>
      </c>
    </row>
    <row r="14036" spans="1:11" ht="40.049999999999997" customHeight="1" x14ac:dyDescent="0.25">
      <c r="A14036" s="11" t="s">
        <v>27375</v>
      </c>
      <c r="B14036" s="11" t="s">
        <v>27375</v>
      </c>
      <c r="C14036" s="11" t="s">
        <v>59</v>
      </c>
      <c r="D14036" s="11" t="s">
        <v>60</v>
      </c>
      <c r="E14036" s="12" t="s">
        <v>606</v>
      </c>
      <c r="F14036" s="12" t="s">
        <v>607</v>
      </c>
      <c r="G14036" s="12" t="s">
        <v>29</v>
      </c>
      <c r="H14036" s="11" t="s">
        <v>63</v>
      </c>
      <c r="I14036" s="13" t="s">
        <v>27376</v>
      </c>
      <c r="J14036" s="14" t="str">
        <f>HYPERLINK("https://www.boe.es/gazeta/dias/1839/04/02/pdfs/GMD-1839-1599.pdf#page=1","Abrir facsímil")</f>
        <v>Abrir facsímil</v>
      </c>
      <c r="K14036" s="12" t="s">
        <v>65</v>
      </c>
    </row>
    <row r="14037" spans="1:11" ht="40.049999999999997" customHeight="1" x14ac:dyDescent="0.25">
      <c r="A14037" s="11" t="s">
        <v>27377</v>
      </c>
      <c r="B14037" s="11" t="s">
        <v>27378</v>
      </c>
      <c r="C14037" s="11" t="s">
        <v>17</v>
      </c>
      <c r="D14037" s="11" t="s">
        <v>18</v>
      </c>
      <c r="E14037" s="12" t="s">
        <v>3224</v>
      </c>
      <c r="F14037" s="12" t="s">
        <v>3225</v>
      </c>
      <c r="G14037" s="12" t="s">
        <v>21</v>
      </c>
      <c r="H14037" s="11" t="s">
        <v>63</v>
      </c>
      <c r="I14037" s="13" t="s">
        <v>27379</v>
      </c>
      <c r="J14037" s="14" t="str">
        <f>HYPERLINK("https://www.boe.es/gazeta/dias/1839/06/03/pdfs/GMD-1839-1661.pdf#page=4","Abrir facsímil")</f>
        <v>Abrir facsímil</v>
      </c>
      <c r="K14037" s="12" t="s">
        <v>65</v>
      </c>
    </row>
    <row r="14038" spans="1:11" ht="40.049999999999997" customHeight="1" x14ac:dyDescent="0.25">
      <c r="A14038" s="11" t="s">
        <v>27380</v>
      </c>
      <c r="B14038" s="11" t="s">
        <v>27381</v>
      </c>
      <c r="C14038" s="11" t="s">
        <v>137</v>
      </c>
      <c r="D14038" s="11" t="s">
        <v>18</v>
      </c>
      <c r="E14038" s="12" t="s">
        <v>4287</v>
      </c>
      <c r="F14038" s="12" t="s">
        <v>4288</v>
      </c>
      <c r="G14038" s="12" t="s">
        <v>21</v>
      </c>
      <c r="H14038" s="11" t="s">
        <v>63</v>
      </c>
      <c r="I14038" s="13" t="s">
        <v>27382</v>
      </c>
      <c r="J14038" s="14" t="str">
        <f>HYPERLINK("https://www.boe.es/gazeta/dias/1839/06/01/pdfs/GMD-1839-1659.pdf#page=4","Abrir facsímil")</f>
        <v>Abrir facsímil</v>
      </c>
      <c r="K14038" s="12" t="s">
        <v>65</v>
      </c>
    </row>
    <row r="14039" spans="1:11" ht="40.049999999999997" customHeight="1" x14ac:dyDescent="0.25">
      <c r="A14039" s="11" t="s">
        <v>27383</v>
      </c>
      <c r="B14039" s="11" t="s">
        <v>27384</v>
      </c>
      <c r="C14039" s="11" t="s">
        <v>80</v>
      </c>
      <c r="D14039" s="11" t="s">
        <v>18</v>
      </c>
      <c r="E14039" s="12" t="s">
        <v>4472</v>
      </c>
      <c r="F14039" s="12" t="s">
        <v>4473</v>
      </c>
      <c r="G14039" s="12" t="s">
        <v>21</v>
      </c>
      <c r="H14039" s="11" t="s">
        <v>63</v>
      </c>
      <c r="I14039" s="13" t="s">
        <v>27385</v>
      </c>
      <c r="J14039" s="14" t="str">
        <f>HYPERLINK("https://www.boe.es/gazeta/dias/1839/08/03/pdfs/GMD-1839-1723.pdf#page=4","Abrir facsímil")</f>
        <v>Abrir facsímil</v>
      </c>
      <c r="K14039" s="12" t="s">
        <v>65</v>
      </c>
    </row>
    <row r="14040" spans="1:11" ht="40.049999999999997" customHeight="1" x14ac:dyDescent="0.25">
      <c r="A14040" s="11" t="s">
        <v>27386</v>
      </c>
      <c r="B14040" s="11" t="s">
        <v>27387</v>
      </c>
      <c r="C14040" s="11" t="s">
        <v>80</v>
      </c>
      <c r="D14040" s="11" t="s">
        <v>18</v>
      </c>
      <c r="E14040" s="12" t="s">
        <v>469</v>
      </c>
      <c r="F14040" s="12" t="s">
        <v>470</v>
      </c>
      <c r="G14040" s="12" t="s">
        <v>21</v>
      </c>
      <c r="H14040" s="11" t="s">
        <v>63</v>
      </c>
      <c r="I14040" s="13" t="s">
        <v>27388</v>
      </c>
      <c r="J14040" s="14" t="str">
        <f>HYPERLINK("https://www.boe.es/gazeta/dias/1839/08/20/pdfs/GMD-1839-1741.pdf#page=4","Abrir facsímil")</f>
        <v>Abrir facsímil</v>
      </c>
      <c r="K14040" s="12" t="s">
        <v>65</v>
      </c>
    </row>
    <row r="14041" spans="1:11" ht="40.049999999999997" customHeight="1" x14ac:dyDescent="0.25">
      <c r="A14041" s="11" t="s">
        <v>27386</v>
      </c>
      <c r="B14041" s="11" t="s">
        <v>27387</v>
      </c>
      <c r="C14041" s="11" t="s">
        <v>80</v>
      </c>
      <c r="D14041" s="11" t="s">
        <v>18</v>
      </c>
      <c r="E14041" s="12" t="s">
        <v>1497</v>
      </c>
      <c r="F14041" s="12" t="s">
        <v>1498</v>
      </c>
      <c r="G14041" s="12" t="s">
        <v>21</v>
      </c>
      <c r="H14041" s="11" t="s">
        <v>63</v>
      </c>
      <c r="I14041" s="13" t="s">
        <v>27389</v>
      </c>
      <c r="J14041" s="14" t="str">
        <f>HYPERLINK("https://www.boe.es/gazeta/dias/1839/08/23/pdfs/GMD-1839-1744.pdf#page=4","Abrir facsímil")</f>
        <v>Abrir facsímil</v>
      </c>
      <c r="K14041" s="12" t="s">
        <v>65</v>
      </c>
    </row>
    <row r="14042" spans="1:11" ht="40.049999999999997" customHeight="1" x14ac:dyDescent="0.25">
      <c r="A14042" s="11" t="s">
        <v>27386</v>
      </c>
      <c r="B14042" s="11" t="s">
        <v>27387</v>
      </c>
      <c r="C14042" s="11" t="s">
        <v>80</v>
      </c>
      <c r="D14042" s="11" t="s">
        <v>18</v>
      </c>
      <c r="E14042" s="12" t="s">
        <v>907</v>
      </c>
      <c r="F14042" s="12" t="s">
        <v>908</v>
      </c>
      <c r="G14042" s="12" t="s">
        <v>21</v>
      </c>
      <c r="H14042" s="11" t="s">
        <v>63</v>
      </c>
      <c r="I14042" s="13" t="s">
        <v>27390</v>
      </c>
      <c r="J14042" s="14" t="str">
        <f>HYPERLINK("https://www.boe.es/gazeta/dias/1839/07/31/pdfs/GMD-1839-1720.pdf#page=4","Abrir facsímil")</f>
        <v>Abrir facsímil</v>
      </c>
      <c r="K14042" s="12" t="s">
        <v>65</v>
      </c>
    </row>
    <row r="14043" spans="1:11" ht="40.049999999999997" customHeight="1" x14ac:dyDescent="0.25">
      <c r="A14043" s="11" t="s">
        <v>27391</v>
      </c>
      <c r="B14043" s="11" t="s">
        <v>27392</v>
      </c>
      <c r="C14043" s="11" t="s">
        <v>80</v>
      </c>
      <c r="D14043" s="11" t="s">
        <v>18</v>
      </c>
      <c r="E14043" s="12" t="s">
        <v>2435</v>
      </c>
      <c r="F14043" s="12" t="s">
        <v>2436</v>
      </c>
      <c r="G14043" s="12" t="s">
        <v>21</v>
      </c>
      <c r="H14043" s="11" t="s">
        <v>63</v>
      </c>
      <c r="I14043" s="13" t="s">
        <v>27393</v>
      </c>
      <c r="J14043" s="14" t="str">
        <f>HYPERLINK("https://www.boe.es/gazeta/dias/1839/07/24/pdfs/GMD-1839-1713.pdf#page=4","Abrir facsímil")</f>
        <v>Abrir facsímil</v>
      </c>
      <c r="K14043" s="12" t="s">
        <v>65</v>
      </c>
    </row>
    <row r="14044" spans="1:11" ht="40.049999999999997" customHeight="1" x14ac:dyDescent="0.25">
      <c r="A14044" s="11" t="s">
        <v>27394</v>
      </c>
      <c r="B14044" s="11" t="s">
        <v>27395</v>
      </c>
      <c r="C14044" s="11" t="s">
        <v>59</v>
      </c>
      <c r="D14044" s="11" t="s">
        <v>60</v>
      </c>
      <c r="E14044" s="12" t="s">
        <v>1374</v>
      </c>
      <c r="F14044" s="12" t="s">
        <v>1375</v>
      </c>
      <c r="G14044" s="12" t="s">
        <v>46</v>
      </c>
      <c r="H14044" s="11" t="s">
        <v>63</v>
      </c>
      <c r="I14044" s="13" t="s">
        <v>27396</v>
      </c>
      <c r="J14044" s="14" t="str">
        <f>HYPERLINK("https://www.boe.es/gazeta/dias/1839/07/20/pdfs/GMD-1839-1708.pdf#page=3","Abrir facsímil")</f>
        <v>Abrir facsímil</v>
      </c>
      <c r="K14044" s="12" t="s">
        <v>65</v>
      </c>
    </row>
    <row r="14045" spans="1:11" ht="40.049999999999997" customHeight="1" x14ac:dyDescent="0.25">
      <c r="A14045" s="11" t="s">
        <v>27397</v>
      </c>
      <c r="B14045" s="11" t="s">
        <v>27398</v>
      </c>
      <c r="C14045" s="11" t="s">
        <v>80</v>
      </c>
      <c r="D14045" s="11" t="s">
        <v>18</v>
      </c>
      <c r="E14045" s="12" t="s">
        <v>1909</v>
      </c>
      <c r="F14045" s="12" t="s">
        <v>1910</v>
      </c>
      <c r="G14045" s="12" t="s">
        <v>21</v>
      </c>
      <c r="H14045" s="11" t="s">
        <v>63</v>
      </c>
      <c r="I14045" s="13" t="s">
        <v>27399</v>
      </c>
      <c r="J14045" s="14" t="str">
        <f>HYPERLINK("https://www.boe.es/gazeta/dias/1839/10/27/pdfs/GMD-1839-1813.pdf#page=4","Abrir facsímil")</f>
        <v>Abrir facsímil</v>
      </c>
      <c r="K14045" s="12" t="s">
        <v>65</v>
      </c>
    </row>
    <row r="14046" spans="1:11" ht="40.049999999999997" customHeight="1" x14ac:dyDescent="0.25">
      <c r="A14046" s="11" t="s">
        <v>27400</v>
      </c>
      <c r="B14046" s="11" t="s">
        <v>27401</v>
      </c>
      <c r="C14046" s="11" t="s">
        <v>17</v>
      </c>
      <c r="D14046" s="11" t="s">
        <v>18</v>
      </c>
      <c r="E14046" s="12" t="s">
        <v>2138</v>
      </c>
      <c r="F14046" s="12" t="s">
        <v>2139</v>
      </c>
      <c r="G14046" s="12" t="s">
        <v>305</v>
      </c>
      <c r="H14046" s="11" t="s">
        <v>63</v>
      </c>
      <c r="I14046" s="13" t="s">
        <v>27402</v>
      </c>
      <c r="J14046" s="14" t="str">
        <f>HYPERLINK("https://www.boe.es/gazeta/dias/1839/10/02/pdfs/GMD-1839-1788.pdf#page=6","Abrir facsímil")</f>
        <v>Abrir facsímil</v>
      </c>
      <c r="K14046" s="12" t="s">
        <v>65</v>
      </c>
    </row>
    <row r="14047" spans="1:11" ht="40.049999999999997" customHeight="1" x14ac:dyDescent="0.25">
      <c r="A14047" s="11" t="s">
        <v>27400</v>
      </c>
      <c r="B14047" s="11" t="s">
        <v>27401</v>
      </c>
      <c r="C14047" s="11" t="s">
        <v>80</v>
      </c>
      <c r="D14047" s="11" t="s">
        <v>18</v>
      </c>
      <c r="E14047" s="12" t="s">
        <v>448</v>
      </c>
      <c r="F14047" s="12" t="s">
        <v>449</v>
      </c>
      <c r="G14047" s="12" t="s">
        <v>29</v>
      </c>
      <c r="H14047" s="11" t="s">
        <v>63</v>
      </c>
      <c r="I14047" s="13" t="s">
        <v>27403</v>
      </c>
      <c r="J14047" s="14" t="str">
        <f>HYPERLINK("https://www.boe.es/gazeta/dias/1839/02/06/pdfs/GMD-1839-1544.pdf#page=1","Abrir facsímil")</f>
        <v>Abrir facsímil</v>
      </c>
      <c r="K14047" s="12" t="s">
        <v>65</v>
      </c>
    </row>
    <row r="14048" spans="1:11" ht="40.049999999999997" customHeight="1" x14ac:dyDescent="0.25">
      <c r="A14048" s="11" t="s">
        <v>27400</v>
      </c>
      <c r="B14048" s="11" t="s">
        <v>27401</v>
      </c>
      <c r="C14048" s="11" t="s">
        <v>80</v>
      </c>
      <c r="D14048" s="11" t="s">
        <v>18</v>
      </c>
      <c r="E14048" s="12" t="s">
        <v>269</v>
      </c>
      <c r="F14048" s="12" t="s">
        <v>270</v>
      </c>
      <c r="G14048" s="12" t="s">
        <v>40</v>
      </c>
      <c r="H14048" s="11" t="s">
        <v>63</v>
      </c>
      <c r="I14048" s="13" t="s">
        <v>27404</v>
      </c>
      <c r="J14048" s="14" t="str">
        <f>HYPERLINK("https://www.boe.es/gazeta/dias/1839/02/10/pdfs/GMD-1839-1548.pdf#page=2","Abrir facsímil")</f>
        <v>Abrir facsímil</v>
      </c>
      <c r="K14048" s="12" t="s">
        <v>65</v>
      </c>
    </row>
    <row r="14049" spans="1:11" ht="40.049999999999997" customHeight="1" x14ac:dyDescent="0.25">
      <c r="A14049" s="11" t="s">
        <v>27400</v>
      </c>
      <c r="B14049" s="11" t="s">
        <v>27401</v>
      </c>
      <c r="C14049" s="11" t="s">
        <v>80</v>
      </c>
      <c r="D14049" s="11" t="s">
        <v>18</v>
      </c>
      <c r="E14049" s="12" t="s">
        <v>1406</v>
      </c>
      <c r="F14049" s="12" t="s">
        <v>1407</v>
      </c>
      <c r="G14049" s="12" t="s">
        <v>21</v>
      </c>
      <c r="H14049" s="11" t="s">
        <v>63</v>
      </c>
      <c r="I14049" s="13" t="s">
        <v>27405</v>
      </c>
      <c r="J14049" s="14" t="str">
        <f>HYPERLINK("https://www.boe.es/gazeta/dias/1839/07/18/pdfs/GMD-1839-1706.pdf#page=4","Abrir facsímil")</f>
        <v>Abrir facsímil</v>
      </c>
      <c r="K14049" s="12" t="s">
        <v>65</v>
      </c>
    </row>
    <row r="14050" spans="1:11" ht="40.049999999999997" customHeight="1" x14ac:dyDescent="0.25">
      <c r="A14050" s="11" t="s">
        <v>27406</v>
      </c>
      <c r="B14050" s="11" t="s">
        <v>27407</v>
      </c>
      <c r="C14050" s="11" t="s">
        <v>17</v>
      </c>
      <c r="D14050" s="11" t="s">
        <v>18</v>
      </c>
      <c r="E14050" s="12" t="s">
        <v>1118</v>
      </c>
      <c r="F14050" s="12" t="s">
        <v>1119</v>
      </c>
      <c r="G14050" s="12" t="s">
        <v>21</v>
      </c>
      <c r="H14050" s="11" t="s">
        <v>63</v>
      </c>
      <c r="I14050" s="13" t="s">
        <v>27408</v>
      </c>
      <c r="J14050" s="14" t="str">
        <f>HYPERLINK("https://www.boe.es/gazeta/dias/1839/08/30/pdfs/GMD-1839-1751.pdf#page=4","Abrir facsímil")</f>
        <v>Abrir facsímil</v>
      </c>
      <c r="K14050" s="12" t="s">
        <v>65</v>
      </c>
    </row>
    <row r="14051" spans="1:11" ht="40.049999999999997" customHeight="1" x14ac:dyDescent="0.25">
      <c r="A14051" s="11" t="s">
        <v>27409</v>
      </c>
      <c r="B14051" s="11" t="s">
        <v>27410</v>
      </c>
      <c r="C14051" s="11" t="s">
        <v>17</v>
      </c>
      <c r="D14051" s="11" t="s">
        <v>18</v>
      </c>
      <c r="E14051" s="12" t="s">
        <v>798</v>
      </c>
      <c r="F14051" s="12" t="s">
        <v>799</v>
      </c>
      <c r="G14051" s="12" t="s">
        <v>40</v>
      </c>
      <c r="H14051" s="11" t="s">
        <v>63</v>
      </c>
      <c r="I14051" s="13" t="s">
        <v>27411</v>
      </c>
      <c r="J14051" s="14" t="str">
        <f>HYPERLINK("https://www.boe.es/gazeta/dias/1839/09/03/pdfs/GMD-1839-1755.pdf#page=2","Abrir facsímil")</f>
        <v>Abrir facsímil</v>
      </c>
      <c r="K14051" s="12" t="s">
        <v>65</v>
      </c>
    </row>
    <row r="14052" spans="1:11" ht="40.049999999999997" customHeight="1" x14ac:dyDescent="0.25">
      <c r="A14052" s="11" t="s">
        <v>27412</v>
      </c>
      <c r="B14052" s="11" t="s">
        <v>27413</v>
      </c>
      <c r="C14052" s="11" t="s">
        <v>137</v>
      </c>
      <c r="D14052" s="11" t="s">
        <v>18</v>
      </c>
      <c r="E14052" s="12" t="s">
        <v>798</v>
      </c>
      <c r="F14052" s="12" t="s">
        <v>799</v>
      </c>
      <c r="G14052" s="12" t="s">
        <v>29</v>
      </c>
      <c r="H14052" s="11" t="s">
        <v>63</v>
      </c>
      <c r="I14052" s="13" t="s">
        <v>27414</v>
      </c>
      <c r="J14052" s="14" t="str">
        <f>HYPERLINK("https://www.boe.es/gazeta/dias/1839/09/03/pdfs/GMD-1839-1755.pdf#page=1","Abrir facsímil")</f>
        <v>Abrir facsímil</v>
      </c>
      <c r="K14052" s="12" t="s">
        <v>65</v>
      </c>
    </row>
    <row r="14053" spans="1:11" ht="40.049999999999997" customHeight="1" x14ac:dyDescent="0.25">
      <c r="A14053" s="11" t="s">
        <v>27412</v>
      </c>
      <c r="B14053" s="11" t="s">
        <v>27413</v>
      </c>
      <c r="C14053" s="11" t="s">
        <v>80</v>
      </c>
      <c r="D14053" s="11" t="s">
        <v>18</v>
      </c>
      <c r="E14053" s="12" t="s">
        <v>1118</v>
      </c>
      <c r="F14053" s="12" t="s">
        <v>1119</v>
      </c>
      <c r="G14053" s="12" t="s">
        <v>21</v>
      </c>
      <c r="H14053" s="11" t="s">
        <v>63</v>
      </c>
      <c r="I14053" s="13" t="s">
        <v>27415</v>
      </c>
      <c r="J14053" s="14" t="str">
        <f>HYPERLINK("https://www.boe.es/gazeta/dias/1839/08/30/pdfs/GMD-1839-1751.pdf#page=4","Abrir facsímil")</f>
        <v>Abrir facsímil</v>
      </c>
      <c r="K14053" s="12" t="s">
        <v>65</v>
      </c>
    </row>
    <row r="14054" spans="1:11" ht="40.049999999999997" customHeight="1" x14ac:dyDescent="0.25">
      <c r="A14054" s="11" t="s">
        <v>27416</v>
      </c>
      <c r="B14054" s="11" t="s">
        <v>27417</v>
      </c>
      <c r="C14054" s="11" t="s">
        <v>80</v>
      </c>
      <c r="D14054" s="11" t="s">
        <v>18</v>
      </c>
      <c r="E14054" s="12" t="s">
        <v>2881</v>
      </c>
      <c r="F14054" s="12" t="s">
        <v>2882</v>
      </c>
      <c r="G14054" s="12" t="s">
        <v>21</v>
      </c>
      <c r="H14054" s="11" t="s">
        <v>63</v>
      </c>
      <c r="I14054" s="13" t="s">
        <v>27418</v>
      </c>
      <c r="J14054" s="14" t="str">
        <f>HYPERLINK("https://www.boe.es/gazeta/dias/1839/05/08/pdfs/GMD-1839-1635.pdf#page=4","Abrir facsímil")</f>
        <v>Abrir facsímil</v>
      </c>
      <c r="K14054" s="12" t="s">
        <v>65</v>
      </c>
    </row>
    <row r="14055" spans="1:11" ht="40.049999999999997" customHeight="1" x14ac:dyDescent="0.25">
      <c r="A14055" s="11" t="s">
        <v>27419</v>
      </c>
      <c r="B14055" s="11" t="s">
        <v>27420</v>
      </c>
      <c r="C14055" s="11" t="s">
        <v>17</v>
      </c>
      <c r="D14055" s="11" t="s">
        <v>18</v>
      </c>
      <c r="E14055" s="12" t="s">
        <v>258</v>
      </c>
      <c r="F14055" s="12" t="s">
        <v>259</v>
      </c>
      <c r="G14055" s="12" t="s">
        <v>46</v>
      </c>
      <c r="H14055" s="11" t="s">
        <v>22</v>
      </c>
      <c r="I14055" s="13" t="s">
        <v>27421</v>
      </c>
      <c r="J14055" s="14" t="str">
        <f>HYPERLINK("https://www.boe.es/gazeta/dias/1839/01/02/pdfs/GMD-1839-1509.pdf#page=3","Abrir facsímil")</f>
        <v>Abrir facsímil</v>
      </c>
      <c r="K14055" s="12" t="s">
        <v>24</v>
      </c>
    </row>
    <row r="14056" spans="1:11" ht="40.049999999999997" customHeight="1" x14ac:dyDescent="0.25">
      <c r="A14056" s="11" t="s">
        <v>27422</v>
      </c>
      <c r="B14056" s="11" t="s">
        <v>27423</v>
      </c>
      <c r="C14056" s="11" t="s">
        <v>80</v>
      </c>
      <c r="D14056" s="11" t="s">
        <v>18</v>
      </c>
      <c r="E14056" s="12" t="s">
        <v>1414</v>
      </c>
      <c r="F14056" s="12" t="s">
        <v>1415</v>
      </c>
      <c r="G14056" s="12" t="s">
        <v>21</v>
      </c>
      <c r="H14056" s="11" t="s">
        <v>63</v>
      </c>
      <c r="I14056" s="13" t="s">
        <v>27424</v>
      </c>
      <c r="J14056" s="14" t="str">
        <f>HYPERLINK("https://www.boe.es/gazeta/dias/1839/06/12/pdfs/GMD-1839-1670.pdf#page=4","Abrir facsímil")</f>
        <v>Abrir facsímil</v>
      </c>
      <c r="K14056" s="12" t="s">
        <v>65</v>
      </c>
    </row>
    <row r="14057" spans="1:11" ht="40.049999999999997" customHeight="1" x14ac:dyDescent="0.25">
      <c r="A14057" s="11" t="s">
        <v>27425</v>
      </c>
      <c r="B14057" s="11" t="s">
        <v>27425</v>
      </c>
      <c r="C14057" s="11" t="s">
        <v>17</v>
      </c>
      <c r="D14057" s="11" t="s">
        <v>18</v>
      </c>
      <c r="E14057" s="12" t="s">
        <v>365</v>
      </c>
      <c r="F14057" s="12" t="s">
        <v>366</v>
      </c>
      <c r="G14057" s="12" t="s">
        <v>29</v>
      </c>
      <c r="H14057" s="11" t="s">
        <v>63</v>
      </c>
      <c r="I14057" s="13" t="s">
        <v>27426</v>
      </c>
      <c r="J14057" s="14" t="str">
        <f>HYPERLINK("https://www.boe.es/gazeta/dias/1839/08/14/pdfs/GMD-1839-1734.pdf#page=1","Abrir facsímil")</f>
        <v>Abrir facsímil</v>
      </c>
      <c r="K14057" s="12" t="s">
        <v>65</v>
      </c>
    </row>
    <row r="14058" spans="1:11" ht="40.049999999999997" customHeight="1" x14ac:dyDescent="0.25">
      <c r="A14058" s="11" t="s">
        <v>27427</v>
      </c>
      <c r="B14058" s="11" t="s">
        <v>27427</v>
      </c>
      <c r="C14058" s="11" t="s">
        <v>59</v>
      </c>
      <c r="D14058" s="11" t="s">
        <v>60</v>
      </c>
      <c r="E14058" s="12" t="s">
        <v>116</v>
      </c>
      <c r="F14058" s="12" t="s">
        <v>117</v>
      </c>
      <c r="G14058" s="12" t="s">
        <v>29</v>
      </c>
      <c r="H14058" s="11" t="s">
        <v>63</v>
      </c>
      <c r="I14058" s="13" t="s">
        <v>27428</v>
      </c>
      <c r="J14058" s="14" t="str">
        <f>HYPERLINK("https://www.boe.es/gazeta/dias/1839/10/10/pdfs/GMD-1839-1796.pdf#page=1","Abrir facsímil")</f>
        <v>Abrir facsímil</v>
      </c>
      <c r="K14058" s="12" t="s">
        <v>65</v>
      </c>
    </row>
    <row r="14059" spans="1:11" ht="40.049999999999997" customHeight="1" x14ac:dyDescent="0.25">
      <c r="A14059" s="11" t="s">
        <v>27429</v>
      </c>
      <c r="B14059" s="11" t="s">
        <v>27430</v>
      </c>
      <c r="C14059" s="11" t="s">
        <v>17</v>
      </c>
      <c r="D14059" s="11" t="s">
        <v>18</v>
      </c>
      <c r="E14059" s="12" t="s">
        <v>222</v>
      </c>
      <c r="F14059" s="12" t="s">
        <v>223</v>
      </c>
      <c r="G14059" s="12" t="s">
        <v>21</v>
      </c>
      <c r="H14059" s="11" t="s">
        <v>63</v>
      </c>
      <c r="I14059" s="13" t="s">
        <v>27431</v>
      </c>
      <c r="J14059" s="14" t="str">
        <f>HYPERLINK("https://www.boe.es/gazeta/dias/1839/06/22/pdfs/GMD-1839-1680.pdf#page=4","Abrir facsímil")</f>
        <v>Abrir facsímil</v>
      </c>
      <c r="K14059" s="12" t="s">
        <v>65</v>
      </c>
    </row>
    <row r="14060" spans="1:11" ht="40.049999999999997" customHeight="1" x14ac:dyDescent="0.25">
      <c r="A14060" s="11" t="s">
        <v>27432</v>
      </c>
      <c r="B14060" s="11" t="s">
        <v>27433</v>
      </c>
      <c r="C14060" s="11" t="s">
        <v>17</v>
      </c>
      <c r="D14060" s="11" t="s">
        <v>18</v>
      </c>
      <c r="E14060" s="12" t="s">
        <v>141</v>
      </c>
      <c r="F14060" s="12" t="s">
        <v>142</v>
      </c>
      <c r="G14060" s="12" t="s">
        <v>21</v>
      </c>
      <c r="H14060" s="11" t="s">
        <v>63</v>
      </c>
      <c r="I14060" s="13" t="s">
        <v>27434</v>
      </c>
      <c r="J14060" s="14" t="str">
        <f>HYPERLINK("https://www.boe.es/gazeta/dias/1839/11/10/pdfs/GMD-1839-1827.pdf#page=4","Abrir facsímil")</f>
        <v>Abrir facsímil</v>
      </c>
      <c r="K14060" s="12" t="s">
        <v>65</v>
      </c>
    </row>
    <row r="14061" spans="1:11" ht="40.049999999999997" customHeight="1" x14ac:dyDescent="0.25">
      <c r="A14061" s="11" t="s">
        <v>27435</v>
      </c>
      <c r="B14061" s="11" t="s">
        <v>27435</v>
      </c>
      <c r="C14061" s="11" t="s">
        <v>59</v>
      </c>
      <c r="D14061" s="11" t="s">
        <v>60</v>
      </c>
      <c r="E14061" s="12" t="s">
        <v>2738</v>
      </c>
      <c r="F14061" s="12" t="s">
        <v>2739</v>
      </c>
      <c r="G14061" s="12" t="s">
        <v>29</v>
      </c>
      <c r="H14061" s="11" t="s">
        <v>63</v>
      </c>
      <c r="I14061" s="13" t="s">
        <v>27436</v>
      </c>
      <c r="J14061" s="14" t="str">
        <f>HYPERLINK("https://www.boe.es/gazeta/dias/1839/09/06/pdfs/GMD-1839-1759.pdf#page=1","Abrir facsímil")</f>
        <v>Abrir facsímil</v>
      </c>
      <c r="K14061" s="12" t="s">
        <v>65</v>
      </c>
    </row>
    <row r="14062" spans="1:11" ht="40.049999999999997" customHeight="1" x14ac:dyDescent="0.25">
      <c r="A14062" s="11" t="s">
        <v>27437</v>
      </c>
      <c r="B14062" s="11" t="s">
        <v>27438</v>
      </c>
      <c r="C14062" s="11" t="s">
        <v>17</v>
      </c>
      <c r="D14062" s="11" t="s">
        <v>18</v>
      </c>
      <c r="E14062" s="12" t="s">
        <v>462</v>
      </c>
      <c r="F14062" s="12" t="s">
        <v>463</v>
      </c>
      <c r="G14062" s="12" t="s">
        <v>21</v>
      </c>
      <c r="H14062" s="11" t="s">
        <v>63</v>
      </c>
      <c r="I14062" s="13" t="s">
        <v>27439</v>
      </c>
      <c r="J14062" s="14" t="str">
        <f>HYPERLINK("https://www.boe.es/gazeta/dias/1839/06/19/pdfs/GMD-1839-1677.pdf#page=4","Abrir facsímil")</f>
        <v>Abrir facsímil</v>
      </c>
      <c r="K14062" s="12" t="s">
        <v>65</v>
      </c>
    </row>
    <row r="14063" spans="1:11" ht="40.049999999999997" customHeight="1" x14ac:dyDescent="0.25">
      <c r="A14063" s="11" t="s">
        <v>27440</v>
      </c>
      <c r="B14063" s="11" t="s">
        <v>27440</v>
      </c>
      <c r="C14063" s="11" t="s">
        <v>17</v>
      </c>
      <c r="D14063" s="11" t="s">
        <v>18</v>
      </c>
      <c r="E14063" s="12" t="s">
        <v>3668</v>
      </c>
      <c r="F14063" s="12" t="s">
        <v>3669</v>
      </c>
      <c r="G14063" s="12" t="s">
        <v>46</v>
      </c>
      <c r="H14063" s="11" t="s">
        <v>63</v>
      </c>
      <c r="I14063" s="13" t="s">
        <v>27441</v>
      </c>
      <c r="J14063" s="14" t="str">
        <f>HYPERLINK("https://www.boe.es/gazeta/dias/1839/05/19/pdfs/GMD-1839-1646.pdf#page=3","Abrir facsímil")</f>
        <v>Abrir facsímil</v>
      </c>
      <c r="K14063" s="12" t="s">
        <v>65</v>
      </c>
    </row>
    <row r="14064" spans="1:11" ht="40.049999999999997" customHeight="1" x14ac:dyDescent="0.25">
      <c r="A14064" s="11" t="s">
        <v>27442</v>
      </c>
      <c r="B14064" s="11" t="s">
        <v>27443</v>
      </c>
      <c r="C14064" s="11" t="s">
        <v>17</v>
      </c>
      <c r="D14064" s="11" t="s">
        <v>18</v>
      </c>
      <c r="E14064" s="12" t="s">
        <v>372</v>
      </c>
      <c r="F14064" s="12" t="s">
        <v>373</v>
      </c>
      <c r="G14064" s="12" t="s">
        <v>46</v>
      </c>
      <c r="H14064" s="11" t="s">
        <v>22</v>
      </c>
      <c r="I14064" s="13" t="s">
        <v>27444</v>
      </c>
      <c r="J14064" s="14" t="str">
        <f>HYPERLINK("https://www.boe.es/gazeta/dias/1839/11/08/pdfs/GMD-1839-1825.pdf#page=3","Abrir facsímil")</f>
        <v>Abrir facsímil</v>
      </c>
      <c r="K14064" s="12" t="s">
        <v>24</v>
      </c>
    </row>
    <row r="14065" spans="1:11" ht="40.049999999999997" customHeight="1" x14ac:dyDescent="0.25">
      <c r="A14065" s="11" t="s">
        <v>27445</v>
      </c>
      <c r="B14065" s="11" t="s">
        <v>27446</v>
      </c>
      <c r="C14065" s="11" t="s">
        <v>80</v>
      </c>
      <c r="D14065" s="11" t="s">
        <v>18</v>
      </c>
      <c r="E14065" s="12" t="s">
        <v>202</v>
      </c>
      <c r="F14065" s="12" t="s">
        <v>203</v>
      </c>
      <c r="G14065" s="12" t="s">
        <v>40</v>
      </c>
      <c r="H14065" s="11" t="s">
        <v>22</v>
      </c>
      <c r="I14065" s="13" t="s">
        <v>27447</v>
      </c>
      <c r="J14065" s="14" t="str">
        <f>HYPERLINK("https://www.boe.es/gazeta/dias/1839/04/05/pdfs/GMD-1839-1602.pdf#page=2","Abrir facsímil")</f>
        <v>Abrir facsímil</v>
      </c>
      <c r="K14065" s="12" t="s">
        <v>24</v>
      </c>
    </row>
    <row r="14066" spans="1:11" ht="40.049999999999997" customHeight="1" x14ac:dyDescent="0.25">
      <c r="A14066" s="11" t="s">
        <v>27445</v>
      </c>
      <c r="B14066" s="11" t="s">
        <v>27446</v>
      </c>
      <c r="C14066" s="11" t="s">
        <v>17</v>
      </c>
      <c r="D14066" s="11" t="s">
        <v>18</v>
      </c>
      <c r="E14066" s="12" t="s">
        <v>409</v>
      </c>
      <c r="F14066" s="12" t="s">
        <v>410</v>
      </c>
      <c r="G14066" s="12" t="s">
        <v>29</v>
      </c>
      <c r="H14066" s="11" t="s">
        <v>22</v>
      </c>
      <c r="I14066" s="13" t="s">
        <v>27448</v>
      </c>
      <c r="J14066" s="14" t="str">
        <f>HYPERLINK("https://www.boe.es/gazeta/dias/1839/07/05/pdfs/GMD-1839-1693.pdf#page=1","Abrir facsímil")</f>
        <v>Abrir facsímil</v>
      </c>
      <c r="K14066" s="12" t="s">
        <v>24</v>
      </c>
    </row>
    <row r="14067" spans="1:11" ht="40.049999999999997" customHeight="1" x14ac:dyDescent="0.25">
      <c r="A14067" s="11" t="s">
        <v>27445</v>
      </c>
      <c r="B14067" s="11" t="s">
        <v>27446</v>
      </c>
      <c r="C14067" s="11" t="s">
        <v>17</v>
      </c>
      <c r="D14067" s="11" t="s">
        <v>18</v>
      </c>
      <c r="E14067" s="12" t="s">
        <v>1366</v>
      </c>
      <c r="F14067" s="12" t="s">
        <v>1367</v>
      </c>
      <c r="G14067" s="12" t="s">
        <v>46</v>
      </c>
      <c r="H14067" s="11" t="s">
        <v>22</v>
      </c>
      <c r="I14067" s="13" t="s">
        <v>27449</v>
      </c>
      <c r="J14067" s="14" t="str">
        <f>HYPERLINK("https://www.boe.es/gazeta/dias/1839/09/09/pdfs/GMD-1839-1762.pdf#page=3","Abrir facsímil")</f>
        <v>Abrir facsímil</v>
      </c>
      <c r="K14067" s="12" t="s">
        <v>24</v>
      </c>
    </row>
    <row r="14068" spans="1:11" ht="40.049999999999997" customHeight="1" x14ac:dyDescent="0.25">
      <c r="A14068" s="11" t="s">
        <v>27445</v>
      </c>
      <c r="B14068" s="11" t="s">
        <v>27446</v>
      </c>
      <c r="C14068" s="11" t="s">
        <v>17</v>
      </c>
      <c r="D14068" s="11" t="s">
        <v>18</v>
      </c>
      <c r="E14068" s="12" t="s">
        <v>2449</v>
      </c>
      <c r="F14068" s="12" t="s">
        <v>2450</v>
      </c>
      <c r="G14068" s="12" t="s">
        <v>40</v>
      </c>
      <c r="H14068" s="11" t="s">
        <v>22</v>
      </c>
      <c r="I14068" s="13" t="s">
        <v>27450</v>
      </c>
      <c r="J14068" s="14" t="str">
        <f>HYPERLINK("https://www.boe.es/gazeta/dias/1839/12/11/pdfs/GMD-1839-1858.pdf#page=2","Abrir facsímil")</f>
        <v>Abrir facsímil</v>
      </c>
      <c r="K14068" s="12" t="s">
        <v>24</v>
      </c>
    </row>
    <row r="14069" spans="1:11" ht="40.049999999999997" customHeight="1" x14ac:dyDescent="0.25">
      <c r="A14069" s="11" t="s">
        <v>27445</v>
      </c>
      <c r="B14069" s="11" t="s">
        <v>27446</v>
      </c>
      <c r="C14069" s="11" t="s">
        <v>17</v>
      </c>
      <c r="D14069" s="11" t="s">
        <v>18</v>
      </c>
      <c r="E14069" s="12" t="s">
        <v>888</v>
      </c>
      <c r="F14069" s="12" t="s">
        <v>889</v>
      </c>
      <c r="G14069" s="12" t="s">
        <v>21</v>
      </c>
      <c r="H14069" s="11" t="s">
        <v>22</v>
      </c>
      <c r="I14069" s="13" t="s">
        <v>27451</v>
      </c>
      <c r="J14069" s="14" t="str">
        <f>HYPERLINK("https://www.boe.es/gazeta/dias/1839/05/14/pdfs/GMD-1839-1641.pdf#page=4","Abrir facsímil")</f>
        <v>Abrir facsímil</v>
      </c>
      <c r="K14069" s="12" t="s">
        <v>24</v>
      </c>
    </row>
    <row r="14070" spans="1:11" ht="40.049999999999997" customHeight="1" x14ac:dyDescent="0.25">
      <c r="A14070" s="11" t="s">
        <v>27452</v>
      </c>
      <c r="B14070" s="11" t="s">
        <v>27452</v>
      </c>
      <c r="C14070" s="11" t="s">
        <v>137</v>
      </c>
      <c r="D14070" s="11" t="s">
        <v>18</v>
      </c>
      <c r="E14070" s="12" t="s">
        <v>68</v>
      </c>
      <c r="F14070" s="12" t="s">
        <v>69</v>
      </c>
      <c r="G14070" s="12" t="s">
        <v>29</v>
      </c>
      <c r="H14070" s="11" t="s">
        <v>63</v>
      </c>
      <c r="I14070" s="13" t="s">
        <v>27453</v>
      </c>
      <c r="J14070" s="14" t="str">
        <f>HYPERLINK("https://www.boe.es/gazeta/dias/1839/02/09/pdfs/GMD-1839-1547.pdf#page=1","Abrir facsímil")</f>
        <v>Abrir facsímil</v>
      </c>
      <c r="K14070" s="12" t="s">
        <v>65</v>
      </c>
    </row>
    <row r="14071" spans="1:11" ht="40.049999999999997" customHeight="1" x14ac:dyDescent="0.25">
      <c r="A14071" s="11" t="s">
        <v>27452</v>
      </c>
      <c r="B14071" s="11" t="s">
        <v>27452</v>
      </c>
      <c r="C14071" s="11" t="s">
        <v>80</v>
      </c>
      <c r="D14071" s="11" t="s">
        <v>18</v>
      </c>
      <c r="E14071" s="12" t="s">
        <v>3668</v>
      </c>
      <c r="F14071" s="12" t="s">
        <v>3669</v>
      </c>
      <c r="G14071" s="12" t="s">
        <v>29</v>
      </c>
      <c r="H14071" s="11" t="s">
        <v>63</v>
      </c>
      <c r="I14071" s="13" t="s">
        <v>27454</v>
      </c>
      <c r="J14071" s="14" t="str">
        <f>HYPERLINK("https://www.boe.es/gazeta/dias/1839/05/19/pdfs/GMD-1839-1646.pdf#page=1","Abrir facsímil")</f>
        <v>Abrir facsímil</v>
      </c>
      <c r="K14071" s="12" t="s">
        <v>65</v>
      </c>
    </row>
    <row r="14072" spans="1:11" ht="40.049999999999997" customHeight="1" x14ac:dyDescent="0.25">
      <c r="A14072" s="11" t="s">
        <v>27455</v>
      </c>
      <c r="B14072" s="11" t="s">
        <v>27456</v>
      </c>
      <c r="C14072" s="11" t="s">
        <v>17</v>
      </c>
      <c r="D14072" s="11" t="s">
        <v>18</v>
      </c>
      <c r="E14072" s="12" t="s">
        <v>258</v>
      </c>
      <c r="F14072" s="12" t="s">
        <v>259</v>
      </c>
      <c r="G14072" s="12" t="s">
        <v>40</v>
      </c>
      <c r="H14072" s="11" t="s">
        <v>63</v>
      </c>
      <c r="I14072" s="13" t="s">
        <v>27457</v>
      </c>
      <c r="J14072" s="14" t="str">
        <f>HYPERLINK("https://www.boe.es/gazeta/dias/1839/01/02/pdfs/GMD-1839-1509.pdf#page=2","Abrir facsímil")</f>
        <v>Abrir facsímil</v>
      </c>
      <c r="K14072" s="12" t="s">
        <v>65</v>
      </c>
    </row>
    <row r="14073" spans="1:11" ht="40.049999999999997" customHeight="1" x14ac:dyDescent="0.25">
      <c r="A14073" s="11" t="s">
        <v>27458</v>
      </c>
      <c r="B14073" s="11" t="s">
        <v>27459</v>
      </c>
      <c r="C14073" s="11" t="s">
        <v>80</v>
      </c>
      <c r="D14073" s="11" t="s">
        <v>18</v>
      </c>
      <c r="E14073" s="12" t="s">
        <v>312</v>
      </c>
      <c r="F14073" s="12" t="s">
        <v>313</v>
      </c>
      <c r="G14073" s="12" t="s">
        <v>40</v>
      </c>
      <c r="H14073" s="11" t="s">
        <v>63</v>
      </c>
      <c r="I14073" s="13" t="s">
        <v>27460</v>
      </c>
      <c r="J14073" s="14" t="str">
        <f>HYPERLINK("https://www.boe.es/gazeta/dias/1839/11/30/pdfs/GMD-1839-1847.pdf#page=2","Abrir facsímil")</f>
        <v>Abrir facsímil</v>
      </c>
      <c r="K14073" s="12" t="s">
        <v>65</v>
      </c>
    </row>
    <row r="14074" spans="1:11" ht="40.049999999999997" customHeight="1" x14ac:dyDescent="0.25">
      <c r="A14074" s="11" t="s">
        <v>27461</v>
      </c>
      <c r="B14074" s="11" t="s">
        <v>27462</v>
      </c>
      <c r="C14074" s="11" t="s">
        <v>59</v>
      </c>
      <c r="D14074" s="11" t="s">
        <v>60</v>
      </c>
      <c r="E14074" s="12" t="s">
        <v>111</v>
      </c>
      <c r="F14074" s="12" t="s">
        <v>112</v>
      </c>
      <c r="G14074" s="12" t="s">
        <v>21</v>
      </c>
      <c r="H14074" s="11" t="s">
        <v>63</v>
      </c>
      <c r="I14074" s="13" t="s">
        <v>27463</v>
      </c>
      <c r="J14074" s="14" t="str">
        <f>HYPERLINK("https://www.boe.es/gazeta/dias/1839/07/25/pdfs/GMD-1839-1714.pdf#page=4","Abrir facsímil")</f>
        <v>Abrir facsímil</v>
      </c>
      <c r="K14074" s="12" t="s">
        <v>65</v>
      </c>
    </row>
    <row r="14075" spans="1:11" ht="40.049999999999997" customHeight="1" x14ac:dyDescent="0.25">
      <c r="A14075" s="11" t="s">
        <v>27464</v>
      </c>
      <c r="B14075" s="11" t="s">
        <v>27465</v>
      </c>
      <c r="C14075" s="11" t="s">
        <v>17</v>
      </c>
      <c r="D14075" s="11" t="s">
        <v>18</v>
      </c>
      <c r="E14075" s="12" t="s">
        <v>369</v>
      </c>
      <c r="F14075" s="12" t="s">
        <v>370</v>
      </c>
      <c r="G14075" s="12" t="s">
        <v>40</v>
      </c>
      <c r="H14075" s="11" t="s">
        <v>22</v>
      </c>
      <c r="I14075" s="13" t="s">
        <v>27466</v>
      </c>
      <c r="J14075" s="14" t="str">
        <f>HYPERLINK("https://www.boe.es/gazeta/dias/1839/11/01/pdfs/GMD-1839-1818.pdf#page=2","Abrir facsímil")</f>
        <v>Abrir facsímil</v>
      </c>
      <c r="K14075" s="12" t="s">
        <v>24</v>
      </c>
    </row>
    <row r="14076" spans="1:11" ht="40.049999999999997" customHeight="1" x14ac:dyDescent="0.25">
      <c r="A14076" s="11" t="s">
        <v>27467</v>
      </c>
      <c r="B14076" s="11" t="s">
        <v>27468</v>
      </c>
      <c r="C14076" s="11" t="s">
        <v>59</v>
      </c>
      <c r="D14076" s="11" t="s">
        <v>60</v>
      </c>
      <c r="E14076" s="12" t="s">
        <v>1208</v>
      </c>
      <c r="F14076" s="12" t="s">
        <v>1209</v>
      </c>
      <c r="G14076" s="12" t="s">
        <v>40</v>
      </c>
      <c r="H14076" s="11" t="s">
        <v>63</v>
      </c>
      <c r="I14076" s="13" t="s">
        <v>27469</v>
      </c>
      <c r="J14076" s="14" t="str">
        <f>HYPERLINK("https://www.boe.es/gazeta/dias/1839/04/24/pdfs/GMD-1839-1621.pdf#page=2","Abrir facsímil")</f>
        <v>Abrir facsímil</v>
      </c>
      <c r="K14076" s="12" t="s">
        <v>65</v>
      </c>
    </row>
    <row r="14077" spans="1:11" ht="40.049999999999997" customHeight="1" x14ac:dyDescent="0.25">
      <c r="A14077" s="11" t="s">
        <v>27470</v>
      </c>
      <c r="B14077" s="11" t="s">
        <v>27471</v>
      </c>
      <c r="C14077" s="11" t="s">
        <v>17</v>
      </c>
      <c r="D14077" s="11" t="s">
        <v>18</v>
      </c>
      <c r="E14077" s="12" t="s">
        <v>1123</v>
      </c>
      <c r="F14077" s="12" t="s">
        <v>1124</v>
      </c>
      <c r="G14077" s="12" t="s">
        <v>21</v>
      </c>
      <c r="H14077" s="11" t="s">
        <v>63</v>
      </c>
      <c r="I14077" s="13" t="s">
        <v>27472</v>
      </c>
      <c r="J14077" s="14" t="str">
        <f>HYPERLINK("https://www.boe.es/gazeta/dias/1839/08/10/pdfs/GMD-1839-1730.pdf#page=4","Abrir facsímil")</f>
        <v>Abrir facsímil</v>
      </c>
      <c r="K14077" s="12" t="s">
        <v>65</v>
      </c>
    </row>
    <row r="14078" spans="1:11" ht="40.049999999999997" customHeight="1" x14ac:dyDescent="0.25">
      <c r="A14078" s="11" t="s">
        <v>27473</v>
      </c>
      <c r="B14078" s="11" t="s">
        <v>27474</v>
      </c>
      <c r="C14078" s="11" t="s">
        <v>17</v>
      </c>
      <c r="D14078" s="11" t="s">
        <v>18</v>
      </c>
      <c r="E14078" s="12" t="s">
        <v>2392</v>
      </c>
      <c r="F14078" s="12" t="s">
        <v>2393</v>
      </c>
      <c r="G14078" s="12" t="s">
        <v>29</v>
      </c>
      <c r="H14078" s="11" t="s">
        <v>63</v>
      </c>
      <c r="I14078" s="13" t="s">
        <v>27475</v>
      </c>
      <c r="J14078" s="14" t="str">
        <f>HYPERLINK("https://www.boe.es/gazeta/dias/1839/05/21/pdfs/GMD-1839-1648.pdf#page=1","Abrir facsímil")</f>
        <v>Abrir facsímil</v>
      </c>
      <c r="K14078" s="12" t="s">
        <v>65</v>
      </c>
    </row>
    <row r="14079" spans="1:11" ht="40.049999999999997" customHeight="1" x14ac:dyDescent="0.25">
      <c r="A14079" s="11" t="s">
        <v>27476</v>
      </c>
      <c r="B14079" s="11" t="s">
        <v>27477</v>
      </c>
      <c r="C14079" s="11" t="s">
        <v>17</v>
      </c>
      <c r="D14079" s="11" t="s">
        <v>18</v>
      </c>
      <c r="E14079" s="12" t="s">
        <v>1509</v>
      </c>
      <c r="F14079" s="12" t="s">
        <v>1510</v>
      </c>
      <c r="G14079" s="12" t="s">
        <v>305</v>
      </c>
      <c r="H14079" s="11" t="s">
        <v>63</v>
      </c>
      <c r="I14079" s="13" t="s">
        <v>27478</v>
      </c>
      <c r="J14079" s="14" t="str">
        <f>HYPERLINK("https://www.boe.es/gazeta/dias/1839/10/07/pdfs/GMD-1839-1793.pdf#page=6","Abrir facsímil")</f>
        <v>Abrir facsímil</v>
      </c>
      <c r="K14079" s="12" t="s">
        <v>65</v>
      </c>
    </row>
    <row r="14080" spans="1:11" ht="40.049999999999997" customHeight="1" x14ac:dyDescent="0.25">
      <c r="A14080" s="11" t="s">
        <v>27479</v>
      </c>
      <c r="B14080" s="11" t="s">
        <v>27480</v>
      </c>
      <c r="C14080" s="11" t="s">
        <v>17</v>
      </c>
      <c r="D14080" s="11" t="s">
        <v>18</v>
      </c>
      <c r="E14080" s="12" t="s">
        <v>168</v>
      </c>
      <c r="F14080" s="12" t="s">
        <v>169</v>
      </c>
      <c r="G14080" s="12" t="s">
        <v>21</v>
      </c>
      <c r="H14080" s="11" t="s">
        <v>63</v>
      </c>
      <c r="I14080" s="13" t="s">
        <v>27481</v>
      </c>
      <c r="J14080" s="14" t="str">
        <f>HYPERLINK("https://www.boe.es/gazeta/dias/1839/07/12/pdfs/GMD-1839-1700.pdf#page=4","Abrir facsímil")</f>
        <v>Abrir facsímil</v>
      </c>
      <c r="K14080" s="12" t="s">
        <v>65</v>
      </c>
    </row>
    <row r="14081" spans="1:11" ht="40.049999999999997" customHeight="1" x14ac:dyDescent="0.25">
      <c r="A14081" s="11" t="s">
        <v>27482</v>
      </c>
      <c r="B14081" s="11" t="s">
        <v>27483</v>
      </c>
      <c r="C14081" s="11" t="s">
        <v>17</v>
      </c>
      <c r="D14081" s="11" t="s">
        <v>18</v>
      </c>
      <c r="E14081" s="12" t="s">
        <v>303</v>
      </c>
      <c r="F14081" s="12" t="s">
        <v>304</v>
      </c>
      <c r="G14081" s="12" t="s">
        <v>305</v>
      </c>
      <c r="H14081" s="11" t="s">
        <v>63</v>
      </c>
      <c r="I14081" s="13" t="s">
        <v>27484</v>
      </c>
      <c r="J14081" s="14" t="str">
        <f>HYPERLINK("https://www.boe.es/gazeta/dias/1839/10/06/pdfs/GMD-1839-1792.pdf#page=6","Abrir facsímil")</f>
        <v>Abrir facsímil</v>
      </c>
      <c r="K14081" s="12" t="s">
        <v>65</v>
      </c>
    </row>
    <row r="14082" spans="1:11" ht="40.049999999999997" customHeight="1" x14ac:dyDescent="0.25">
      <c r="A14082" s="11" t="s">
        <v>27485</v>
      </c>
      <c r="B14082" s="11" t="s">
        <v>27485</v>
      </c>
      <c r="C14082" s="11" t="s">
        <v>17</v>
      </c>
      <c r="D14082" s="11" t="s">
        <v>43</v>
      </c>
      <c r="E14082" s="12" t="s">
        <v>2138</v>
      </c>
      <c r="F14082" s="12" t="s">
        <v>2139</v>
      </c>
      <c r="G14082" s="12" t="s">
        <v>305</v>
      </c>
      <c r="H14082" s="11" t="s">
        <v>63</v>
      </c>
      <c r="I14082" s="13" t="s">
        <v>27486</v>
      </c>
      <c r="J14082" s="14" t="str">
        <f>HYPERLINK("https://www.boe.es/gazeta/dias/1839/10/02/pdfs/GMD-1839-1788.pdf#page=6","Abrir facsímil")</f>
        <v>Abrir facsímil</v>
      </c>
      <c r="K14082" s="12" t="s">
        <v>65</v>
      </c>
    </row>
    <row r="14083" spans="1:11" ht="40.049999999999997" customHeight="1" x14ac:dyDescent="0.25">
      <c r="A14083" s="11" t="s">
        <v>27485</v>
      </c>
      <c r="B14083" s="11" t="s">
        <v>27485</v>
      </c>
      <c r="C14083" s="11" t="s">
        <v>137</v>
      </c>
      <c r="D14083" s="11" t="s">
        <v>18</v>
      </c>
      <c r="E14083" s="12" t="s">
        <v>2919</v>
      </c>
      <c r="F14083" s="12" t="s">
        <v>2920</v>
      </c>
      <c r="G14083" s="12" t="s">
        <v>21</v>
      </c>
      <c r="H14083" s="11" t="s">
        <v>63</v>
      </c>
      <c r="I14083" s="13" t="s">
        <v>27487</v>
      </c>
      <c r="J14083" s="14" t="str">
        <f>HYPERLINK("https://www.boe.es/gazeta/dias/1839/11/12/pdfs/GMD-1839-1829.pdf#page=4","Abrir facsímil")</f>
        <v>Abrir facsímil</v>
      </c>
      <c r="K14083" s="12" t="s">
        <v>65</v>
      </c>
    </row>
    <row r="14084" spans="1:11" ht="40.049999999999997" customHeight="1" x14ac:dyDescent="0.25">
      <c r="A14084" s="11" t="s">
        <v>27488</v>
      </c>
      <c r="B14084" s="11" t="s">
        <v>27489</v>
      </c>
      <c r="C14084" s="11" t="s">
        <v>17</v>
      </c>
      <c r="D14084" s="11" t="s">
        <v>18</v>
      </c>
      <c r="E14084" s="12" t="s">
        <v>892</v>
      </c>
      <c r="F14084" s="12" t="s">
        <v>893</v>
      </c>
      <c r="G14084" s="12" t="s">
        <v>21</v>
      </c>
      <c r="H14084" s="11" t="s">
        <v>63</v>
      </c>
      <c r="I14084" s="13" t="s">
        <v>27490</v>
      </c>
      <c r="J14084" s="14" t="str">
        <f>HYPERLINK("https://www.boe.es/gazeta/dias/1839/12/28/pdfs/GMD-1839-1875.pdf#page=4","Abrir facsímil")</f>
        <v>Abrir facsímil</v>
      </c>
      <c r="K14084" s="12" t="s">
        <v>65</v>
      </c>
    </row>
    <row r="14085" spans="1:11" ht="40.049999999999997" customHeight="1" x14ac:dyDescent="0.25">
      <c r="A14085" s="11" t="s">
        <v>27491</v>
      </c>
      <c r="B14085" s="11" t="s">
        <v>27492</v>
      </c>
      <c r="C14085" s="11" t="s">
        <v>17</v>
      </c>
      <c r="D14085" s="11" t="s">
        <v>18</v>
      </c>
      <c r="E14085" s="12" t="s">
        <v>601</v>
      </c>
      <c r="F14085" s="12" t="s">
        <v>602</v>
      </c>
      <c r="G14085" s="12" t="s">
        <v>21</v>
      </c>
      <c r="H14085" s="11" t="s">
        <v>63</v>
      </c>
      <c r="I14085" s="13" t="s">
        <v>27493</v>
      </c>
      <c r="J14085" s="14" t="str">
        <f>HYPERLINK("https://www.boe.es/gazeta/dias/1839/04/21/pdfs/GMD-1839-1618.pdf#page=4","Abrir facsímil")</f>
        <v>Abrir facsímil</v>
      </c>
      <c r="K14085" s="12" t="s">
        <v>65</v>
      </c>
    </row>
    <row r="14086" spans="1:11" ht="40.049999999999997" customHeight="1" x14ac:dyDescent="0.25">
      <c r="A14086" s="11" t="s">
        <v>27491</v>
      </c>
      <c r="B14086" s="11" t="s">
        <v>27492</v>
      </c>
      <c r="C14086" s="11" t="s">
        <v>17</v>
      </c>
      <c r="D14086" s="11" t="s">
        <v>18</v>
      </c>
      <c r="E14086" s="12" t="s">
        <v>1149</v>
      </c>
      <c r="F14086" s="12" t="s">
        <v>1150</v>
      </c>
      <c r="G14086" s="12" t="s">
        <v>21</v>
      </c>
      <c r="H14086" s="11" t="s">
        <v>63</v>
      </c>
      <c r="I14086" s="13" t="s">
        <v>27494</v>
      </c>
      <c r="J14086" s="14" t="str">
        <f>HYPERLINK("https://www.boe.es/gazeta/dias/1839/06/25/pdfs/GMD-1839-1683.pdf#page=4","Abrir facsímil")</f>
        <v>Abrir facsímil</v>
      </c>
      <c r="K14086" s="12" t="s">
        <v>65</v>
      </c>
    </row>
    <row r="14087" spans="1:11" ht="40.049999999999997" customHeight="1" x14ac:dyDescent="0.25">
      <c r="A14087" s="11" t="s">
        <v>27495</v>
      </c>
      <c r="B14087" s="11" t="s">
        <v>27495</v>
      </c>
      <c r="C14087" s="11" t="s">
        <v>17</v>
      </c>
      <c r="D14087" s="11" t="s">
        <v>18</v>
      </c>
      <c r="E14087" s="12" t="s">
        <v>426</v>
      </c>
      <c r="F14087" s="12" t="s">
        <v>427</v>
      </c>
      <c r="G14087" s="12" t="s">
        <v>40</v>
      </c>
      <c r="H14087" s="11" t="s">
        <v>63</v>
      </c>
      <c r="I14087" s="13" t="s">
        <v>27496</v>
      </c>
      <c r="J14087" s="14" t="str">
        <f>HYPERLINK("https://www.boe.es/gazeta/dias/1839/08/11/pdfs/GMD-1839-1731.pdf#page=2","Abrir facsímil")</f>
        <v>Abrir facsímil</v>
      </c>
      <c r="K14087" s="12" t="s">
        <v>65</v>
      </c>
    </row>
    <row r="14088" spans="1:11" ht="40.049999999999997" customHeight="1" x14ac:dyDescent="0.25">
      <c r="A14088" s="11" t="s">
        <v>27495</v>
      </c>
      <c r="B14088" s="11" t="s">
        <v>27495</v>
      </c>
      <c r="C14088" s="11" t="s">
        <v>59</v>
      </c>
      <c r="D14088" s="11" t="s">
        <v>60</v>
      </c>
      <c r="E14088" s="12" t="s">
        <v>1644</v>
      </c>
      <c r="F14088" s="12" t="s">
        <v>1645</v>
      </c>
      <c r="G14088" s="12" t="s">
        <v>40</v>
      </c>
      <c r="H14088" s="11" t="s">
        <v>63</v>
      </c>
      <c r="I14088" s="13" t="s">
        <v>27497</v>
      </c>
      <c r="J14088" s="14" t="str">
        <f>HYPERLINK("https://www.boe.es/gazeta/dias/1839/04/16/pdfs/GMD-1839-1613.pdf#page=2","Abrir facsímil")</f>
        <v>Abrir facsímil</v>
      </c>
      <c r="K14088" s="12" t="s">
        <v>65</v>
      </c>
    </row>
    <row r="14089" spans="1:11" ht="40.049999999999997" customHeight="1" x14ac:dyDescent="0.25">
      <c r="A14089" s="11" t="s">
        <v>27498</v>
      </c>
      <c r="B14089" s="11" t="s">
        <v>27498</v>
      </c>
      <c r="C14089" s="11" t="s">
        <v>17</v>
      </c>
      <c r="D14089" s="11" t="s">
        <v>18</v>
      </c>
      <c r="E14089" s="12" t="s">
        <v>1562</v>
      </c>
      <c r="F14089" s="12" t="s">
        <v>1563</v>
      </c>
      <c r="G14089" s="12" t="s">
        <v>46</v>
      </c>
      <c r="H14089" s="11" t="s">
        <v>63</v>
      </c>
      <c r="I14089" s="13" t="s">
        <v>27499</v>
      </c>
      <c r="J14089" s="14" t="str">
        <f>HYPERLINK("https://www.boe.es/gazeta/dias/1839/04/08/pdfs/GMD-1839-1605.pdf#page=3","Abrir facsímil")</f>
        <v>Abrir facsímil</v>
      </c>
      <c r="K14089" s="12" t="s">
        <v>65</v>
      </c>
    </row>
    <row r="14090" spans="1:11" ht="40.049999999999997" customHeight="1" x14ac:dyDescent="0.25">
      <c r="A14090" s="11" t="s">
        <v>27500</v>
      </c>
      <c r="B14090" s="11" t="s">
        <v>27500</v>
      </c>
      <c r="C14090" s="11" t="s">
        <v>101</v>
      </c>
      <c r="D14090" s="11" t="s">
        <v>43</v>
      </c>
      <c r="E14090" s="12" t="s">
        <v>5845</v>
      </c>
      <c r="F14090" s="12" t="s">
        <v>5846</v>
      </c>
      <c r="G14090" s="12" t="s">
        <v>46</v>
      </c>
      <c r="H14090" s="11" t="s">
        <v>63</v>
      </c>
      <c r="I14090" s="13" t="s">
        <v>27501</v>
      </c>
      <c r="J14090" s="14" t="str">
        <f>HYPERLINK("https://www.boe.es/gazeta/dias/1839/04/01/pdfs/GMD-1839-1598.pdf#page=3","Abrir facsímil")</f>
        <v>Abrir facsímil</v>
      </c>
      <c r="K14090" s="12" t="s">
        <v>65</v>
      </c>
    </row>
    <row r="14091" spans="1:11" ht="40.049999999999997" customHeight="1" x14ac:dyDescent="0.25">
      <c r="A14091" s="11" t="s">
        <v>27500</v>
      </c>
      <c r="B14091" s="11" t="s">
        <v>27500</v>
      </c>
      <c r="C14091" s="11" t="s">
        <v>17</v>
      </c>
      <c r="D14091" s="11" t="s">
        <v>18</v>
      </c>
      <c r="E14091" s="12" t="s">
        <v>2491</v>
      </c>
      <c r="F14091" s="12" t="s">
        <v>2492</v>
      </c>
      <c r="G14091" s="12" t="s">
        <v>46</v>
      </c>
      <c r="H14091" s="11" t="s">
        <v>63</v>
      </c>
      <c r="I14091" s="13" t="s">
        <v>27502</v>
      </c>
      <c r="J14091" s="14" t="str">
        <f>HYPERLINK("https://www.boe.es/gazeta/dias/1839/05/01/pdfs/GMD-1839-1628.pdf#page=3","Abrir facsímil")</f>
        <v>Abrir facsímil</v>
      </c>
      <c r="K14091" s="12" t="s">
        <v>65</v>
      </c>
    </row>
    <row r="14092" spans="1:11" ht="40.049999999999997" customHeight="1" x14ac:dyDescent="0.25">
      <c r="A14092" s="11" t="s">
        <v>27500</v>
      </c>
      <c r="B14092" s="11" t="s">
        <v>27500</v>
      </c>
      <c r="C14092" s="11" t="s">
        <v>101</v>
      </c>
      <c r="D14092" s="11" t="s">
        <v>43</v>
      </c>
      <c r="E14092" s="12" t="s">
        <v>154</v>
      </c>
      <c r="F14092" s="12" t="s">
        <v>155</v>
      </c>
      <c r="G14092" s="12" t="s">
        <v>40</v>
      </c>
      <c r="H14092" s="11" t="s">
        <v>63</v>
      </c>
      <c r="I14092" s="13" t="s">
        <v>27503</v>
      </c>
      <c r="J14092" s="14" t="str">
        <f>HYPERLINK("https://www.boe.es/gazeta/dias/1839/02/02/pdfs/GMD-1839-1540.pdf#page=2","Abrir facsímil")</f>
        <v>Abrir facsímil</v>
      </c>
      <c r="K14092" s="12" t="s">
        <v>65</v>
      </c>
    </row>
    <row r="14093" spans="1:11" ht="40.049999999999997" customHeight="1" x14ac:dyDescent="0.25">
      <c r="A14093" s="11" t="s">
        <v>27500</v>
      </c>
      <c r="B14093" s="11" t="s">
        <v>27500</v>
      </c>
      <c r="C14093" s="11" t="s">
        <v>101</v>
      </c>
      <c r="D14093" s="11" t="s">
        <v>43</v>
      </c>
      <c r="E14093" s="12" t="s">
        <v>606</v>
      </c>
      <c r="F14093" s="12" t="s">
        <v>607</v>
      </c>
      <c r="G14093" s="12" t="s">
        <v>40</v>
      </c>
      <c r="H14093" s="11" t="s">
        <v>63</v>
      </c>
      <c r="I14093" s="13" t="s">
        <v>27504</v>
      </c>
      <c r="J14093" s="14" t="str">
        <f>HYPERLINK("https://www.boe.es/gazeta/dias/1839/04/02/pdfs/GMD-1839-1599.pdf#page=2","Abrir facsímil")</f>
        <v>Abrir facsímil</v>
      </c>
      <c r="K14093" s="12" t="s">
        <v>65</v>
      </c>
    </row>
    <row r="14094" spans="1:11" ht="40.049999999999997" customHeight="1" x14ac:dyDescent="0.25">
      <c r="A14094" s="11" t="s">
        <v>27500</v>
      </c>
      <c r="B14094" s="11" t="s">
        <v>27500</v>
      </c>
      <c r="C14094" s="11" t="s">
        <v>80</v>
      </c>
      <c r="D14094" s="11" t="s">
        <v>18</v>
      </c>
      <c r="E14094" s="12" t="s">
        <v>1136</v>
      </c>
      <c r="F14094" s="12" t="s">
        <v>1137</v>
      </c>
      <c r="G14094" s="12" t="s">
        <v>21</v>
      </c>
      <c r="H14094" s="11" t="s">
        <v>63</v>
      </c>
      <c r="I14094" s="13" t="s">
        <v>27505</v>
      </c>
      <c r="J14094" s="14" t="str">
        <f>HYPERLINK("https://www.boe.es/gazeta/dias/1839/04/03/pdfs/GMD-1839-1600.pdf#page=4","Abrir facsímil")</f>
        <v>Abrir facsímil</v>
      </c>
      <c r="K14094" s="12" t="s">
        <v>65</v>
      </c>
    </row>
    <row r="14095" spans="1:11" ht="40.049999999999997" customHeight="1" x14ac:dyDescent="0.25">
      <c r="A14095" s="11" t="s">
        <v>27500</v>
      </c>
      <c r="B14095" s="11" t="s">
        <v>27500</v>
      </c>
      <c r="C14095" s="11" t="s">
        <v>101</v>
      </c>
      <c r="D14095" s="11" t="s">
        <v>102</v>
      </c>
      <c r="E14095" s="12" t="s">
        <v>212</v>
      </c>
      <c r="F14095" s="12" t="s">
        <v>213</v>
      </c>
      <c r="G14095" s="12" t="s">
        <v>40</v>
      </c>
      <c r="H14095" s="11" t="s">
        <v>63</v>
      </c>
      <c r="I14095" s="13" t="s">
        <v>27506</v>
      </c>
      <c r="J14095" s="14" t="str">
        <f>HYPERLINK("https://www.boe.es/gazeta/dias/1839/10/03/pdfs/GMD-1839-1789.pdf#page=2","Abrir facsímil")</f>
        <v>Abrir facsímil</v>
      </c>
      <c r="K14095" s="12" t="s">
        <v>65</v>
      </c>
    </row>
    <row r="14096" spans="1:11" ht="40.049999999999997" customHeight="1" x14ac:dyDescent="0.25">
      <c r="A14096" s="11" t="s">
        <v>27500</v>
      </c>
      <c r="B14096" s="11" t="s">
        <v>27500</v>
      </c>
      <c r="C14096" s="11" t="s">
        <v>101</v>
      </c>
      <c r="D14096" s="11" t="s">
        <v>102</v>
      </c>
      <c r="E14096" s="12" t="s">
        <v>3614</v>
      </c>
      <c r="F14096" s="12" t="s">
        <v>3615</v>
      </c>
      <c r="G14096" s="12" t="s">
        <v>40</v>
      </c>
      <c r="H14096" s="11" t="s">
        <v>63</v>
      </c>
      <c r="I14096" s="13" t="s">
        <v>27507</v>
      </c>
      <c r="J14096" s="14" t="str">
        <f>HYPERLINK("https://www.boe.es/gazeta/dias/1839/04/04/pdfs/GMD-1839-1601.pdf#page=2","Abrir facsímil")</f>
        <v>Abrir facsímil</v>
      </c>
      <c r="K14096" s="12" t="s">
        <v>65</v>
      </c>
    </row>
    <row r="14097" spans="1:11" ht="40.049999999999997" customHeight="1" x14ac:dyDescent="0.25">
      <c r="A14097" s="11" t="s">
        <v>27500</v>
      </c>
      <c r="B14097" s="11" t="s">
        <v>27500</v>
      </c>
      <c r="C14097" s="11" t="s">
        <v>80</v>
      </c>
      <c r="D14097" s="11" t="s">
        <v>18</v>
      </c>
      <c r="E14097" s="12" t="s">
        <v>1340</v>
      </c>
      <c r="F14097" s="12" t="s">
        <v>1341</v>
      </c>
      <c r="G14097" s="12" t="s">
        <v>40</v>
      </c>
      <c r="H14097" s="11" t="s">
        <v>63</v>
      </c>
      <c r="I14097" s="13" t="s">
        <v>27508</v>
      </c>
      <c r="J14097" s="14" t="str">
        <f>HYPERLINK("https://www.boe.es/gazeta/dias/1839/05/05/pdfs/GMD-1839-1632.pdf#page=2","Abrir facsímil")</f>
        <v>Abrir facsímil</v>
      </c>
      <c r="K14097" s="12" t="s">
        <v>65</v>
      </c>
    </row>
    <row r="14098" spans="1:11" ht="40.049999999999997" customHeight="1" x14ac:dyDescent="0.25">
      <c r="A14098" s="11" t="s">
        <v>27500</v>
      </c>
      <c r="B14098" s="11" t="s">
        <v>27500</v>
      </c>
      <c r="C14098" s="11" t="s">
        <v>80</v>
      </c>
      <c r="D14098" s="11" t="s">
        <v>173</v>
      </c>
      <c r="E14098" s="12" t="s">
        <v>632</v>
      </c>
      <c r="F14098" s="12" t="s">
        <v>633</v>
      </c>
      <c r="G14098" s="12" t="s">
        <v>29</v>
      </c>
      <c r="H14098" s="11" t="s">
        <v>63</v>
      </c>
      <c r="I14098" s="13" t="s">
        <v>27509</v>
      </c>
      <c r="J14098" s="14" t="str">
        <f>HYPERLINK("https://www.boe.es/gazeta/dias/1839/04/06/pdfs/GMD-1839-1603.pdf#page=1","Abrir facsímil")</f>
        <v>Abrir facsímil</v>
      </c>
      <c r="K14098" s="12" t="s">
        <v>65</v>
      </c>
    </row>
    <row r="14099" spans="1:11" ht="40.049999999999997" customHeight="1" x14ac:dyDescent="0.25">
      <c r="A14099" s="11" t="s">
        <v>27500</v>
      </c>
      <c r="B14099" s="11" t="s">
        <v>27500</v>
      </c>
      <c r="C14099" s="11" t="s">
        <v>137</v>
      </c>
      <c r="D14099" s="11" t="s">
        <v>18</v>
      </c>
      <c r="E14099" s="12" t="s">
        <v>632</v>
      </c>
      <c r="F14099" s="12" t="s">
        <v>633</v>
      </c>
      <c r="G14099" s="12" t="s">
        <v>40</v>
      </c>
      <c r="H14099" s="11" t="s">
        <v>63</v>
      </c>
      <c r="I14099" s="13" t="s">
        <v>27510</v>
      </c>
      <c r="J14099" s="14" t="str">
        <f>HYPERLINK("https://www.boe.es/gazeta/dias/1839/04/06/pdfs/GMD-1839-1603.pdf#page=2","Abrir facsímil")</f>
        <v>Abrir facsímil</v>
      </c>
      <c r="K14099" s="12" t="s">
        <v>65</v>
      </c>
    </row>
    <row r="14100" spans="1:11" ht="40.049999999999997" customHeight="1" x14ac:dyDescent="0.25">
      <c r="A14100" s="11" t="s">
        <v>27500</v>
      </c>
      <c r="B14100" s="11" t="s">
        <v>27500</v>
      </c>
      <c r="C14100" s="11" t="s">
        <v>17</v>
      </c>
      <c r="D14100" s="11" t="s">
        <v>18</v>
      </c>
      <c r="E14100" s="12" t="s">
        <v>998</v>
      </c>
      <c r="F14100" s="12" t="s">
        <v>999</v>
      </c>
      <c r="G14100" s="12" t="s">
        <v>40</v>
      </c>
      <c r="H14100" s="11" t="s">
        <v>63</v>
      </c>
      <c r="I14100" s="13" t="s">
        <v>27511</v>
      </c>
      <c r="J14100" s="14" t="str">
        <f>HYPERLINK("https://www.boe.es/gazeta/dias/1839/05/06/pdfs/GMD-1839-1633.pdf#page=2","Abrir facsímil")</f>
        <v>Abrir facsímil</v>
      </c>
      <c r="K14100" s="12" t="s">
        <v>65</v>
      </c>
    </row>
    <row r="14101" spans="1:11" ht="40.049999999999997" customHeight="1" x14ac:dyDescent="0.25">
      <c r="A14101" s="11" t="s">
        <v>27500</v>
      </c>
      <c r="B14101" s="11" t="s">
        <v>27500</v>
      </c>
      <c r="C14101" s="11" t="s">
        <v>59</v>
      </c>
      <c r="D14101" s="11" t="s">
        <v>60</v>
      </c>
      <c r="E14101" s="12" t="s">
        <v>3566</v>
      </c>
      <c r="F14101" s="12" t="s">
        <v>3567</v>
      </c>
      <c r="G14101" s="12" t="s">
        <v>29</v>
      </c>
      <c r="H14101" s="11" t="s">
        <v>63</v>
      </c>
      <c r="I14101" s="13" t="s">
        <v>27512</v>
      </c>
      <c r="J14101" s="14" t="str">
        <f>HYPERLINK("https://www.boe.es/gazeta/dias/1839/07/06/pdfs/GMD-1839-1694.pdf#page=1","Abrir facsímil")</f>
        <v>Abrir facsímil</v>
      </c>
      <c r="K14101" s="12" t="s">
        <v>65</v>
      </c>
    </row>
    <row r="14102" spans="1:11" ht="40.049999999999997" customHeight="1" x14ac:dyDescent="0.25">
      <c r="A14102" s="11" t="s">
        <v>27500</v>
      </c>
      <c r="B14102" s="11" t="s">
        <v>27500</v>
      </c>
      <c r="C14102" s="11" t="s">
        <v>101</v>
      </c>
      <c r="D14102" s="11" t="s">
        <v>43</v>
      </c>
      <c r="E14102" s="12" t="s">
        <v>1562</v>
      </c>
      <c r="F14102" s="12" t="s">
        <v>1563</v>
      </c>
      <c r="G14102" s="12" t="s">
        <v>40</v>
      </c>
      <c r="H14102" s="11" t="s">
        <v>63</v>
      </c>
      <c r="I14102" s="13" t="s">
        <v>27513</v>
      </c>
      <c r="J14102" s="14" t="str">
        <f>HYPERLINK("https://www.boe.es/gazeta/dias/1839/04/08/pdfs/GMD-1839-1605.pdf#page=2","Abrir facsímil")</f>
        <v>Abrir facsímil</v>
      </c>
      <c r="K14102" s="12" t="s">
        <v>65</v>
      </c>
    </row>
    <row r="14103" spans="1:11" ht="40.049999999999997" customHeight="1" x14ac:dyDescent="0.25">
      <c r="A14103" s="11" t="s">
        <v>27500</v>
      </c>
      <c r="B14103" s="11" t="s">
        <v>27500</v>
      </c>
      <c r="C14103" s="11" t="s">
        <v>17</v>
      </c>
      <c r="D14103" s="11" t="s">
        <v>18</v>
      </c>
      <c r="E14103" s="12" t="s">
        <v>1562</v>
      </c>
      <c r="F14103" s="12" t="s">
        <v>1563</v>
      </c>
      <c r="G14103" s="12" t="s">
        <v>46</v>
      </c>
      <c r="H14103" s="11" t="s">
        <v>63</v>
      </c>
      <c r="I14103" s="13" t="s">
        <v>27514</v>
      </c>
      <c r="J14103" s="14" t="str">
        <f>HYPERLINK("https://www.boe.es/gazeta/dias/1839/04/08/pdfs/GMD-1839-1605.pdf#page=3","Abrir facsímil")</f>
        <v>Abrir facsímil</v>
      </c>
      <c r="K14103" s="12" t="s">
        <v>65</v>
      </c>
    </row>
    <row r="14104" spans="1:11" ht="40.049999999999997" customHeight="1" x14ac:dyDescent="0.25">
      <c r="A14104" s="11" t="s">
        <v>27500</v>
      </c>
      <c r="B14104" s="11" t="s">
        <v>27500</v>
      </c>
      <c r="C14104" s="11" t="s">
        <v>101</v>
      </c>
      <c r="D14104" s="11" t="s">
        <v>43</v>
      </c>
      <c r="E14104" s="12" t="s">
        <v>68</v>
      </c>
      <c r="F14104" s="12" t="s">
        <v>69</v>
      </c>
      <c r="G14104" s="12" t="s">
        <v>21</v>
      </c>
      <c r="H14104" s="11" t="s">
        <v>63</v>
      </c>
      <c r="I14104" s="13" t="s">
        <v>27515</v>
      </c>
      <c r="J14104" s="14" t="str">
        <f>HYPERLINK("https://www.boe.es/gazeta/dias/1839/02/09/pdfs/GMD-1839-1547.pdf#page=4","Abrir facsímil")</f>
        <v>Abrir facsímil</v>
      </c>
      <c r="K14104" s="12" t="s">
        <v>65</v>
      </c>
    </row>
    <row r="14105" spans="1:11" ht="40.049999999999997" customHeight="1" x14ac:dyDescent="0.25">
      <c r="A14105" s="11" t="s">
        <v>27500</v>
      </c>
      <c r="B14105" s="11" t="s">
        <v>27500</v>
      </c>
      <c r="C14105" s="11" t="s">
        <v>137</v>
      </c>
      <c r="D14105" s="11" t="s">
        <v>18</v>
      </c>
      <c r="E14105" s="12" t="s">
        <v>226</v>
      </c>
      <c r="F14105" s="12" t="s">
        <v>227</v>
      </c>
      <c r="G14105" s="12" t="s">
        <v>29</v>
      </c>
      <c r="H14105" s="11" t="s">
        <v>63</v>
      </c>
      <c r="I14105" s="13" t="s">
        <v>27516</v>
      </c>
      <c r="J14105" s="14" t="str">
        <f>HYPERLINK("https://www.boe.es/gazeta/dias/1839/06/09/pdfs/GMD-1839-1667.pdf#page=1","Abrir facsímil")</f>
        <v>Abrir facsímil</v>
      </c>
      <c r="K14105" s="12" t="s">
        <v>65</v>
      </c>
    </row>
    <row r="14106" spans="1:11" ht="40.049999999999997" customHeight="1" x14ac:dyDescent="0.25">
      <c r="A14106" s="11" t="s">
        <v>27500</v>
      </c>
      <c r="B14106" s="11" t="s">
        <v>27500</v>
      </c>
      <c r="C14106" s="11" t="s">
        <v>101</v>
      </c>
      <c r="D14106" s="11" t="s">
        <v>43</v>
      </c>
      <c r="E14106" s="12" t="s">
        <v>269</v>
      </c>
      <c r="F14106" s="12" t="s">
        <v>270</v>
      </c>
      <c r="G14106" s="12" t="s">
        <v>21</v>
      </c>
      <c r="H14106" s="11" t="s">
        <v>63</v>
      </c>
      <c r="I14106" s="13" t="s">
        <v>27517</v>
      </c>
      <c r="J14106" s="14" t="str">
        <f>HYPERLINK("https://www.boe.es/gazeta/dias/1839/02/10/pdfs/GMD-1839-1548.pdf#page=4","Abrir facsímil")</f>
        <v>Abrir facsímil</v>
      </c>
      <c r="K14106" s="12" t="s">
        <v>65</v>
      </c>
    </row>
    <row r="14107" spans="1:11" ht="40.049999999999997" customHeight="1" x14ac:dyDescent="0.25">
      <c r="A14107" s="11" t="s">
        <v>27500</v>
      </c>
      <c r="B14107" s="11" t="s">
        <v>27500</v>
      </c>
      <c r="C14107" s="11" t="s">
        <v>17</v>
      </c>
      <c r="D14107" s="11" t="s">
        <v>18</v>
      </c>
      <c r="E14107" s="12" t="s">
        <v>4186</v>
      </c>
      <c r="F14107" s="12" t="s">
        <v>4187</v>
      </c>
      <c r="G14107" s="12" t="s">
        <v>46</v>
      </c>
      <c r="H14107" s="11" t="s">
        <v>63</v>
      </c>
      <c r="I14107" s="13" t="s">
        <v>27518</v>
      </c>
      <c r="J14107" s="14" t="str">
        <f>HYPERLINK("https://www.boe.es/gazeta/dias/1839/12/12/pdfs/GMD-1839-1859.pdf#page=3","Abrir facsímil")</f>
        <v>Abrir facsímil</v>
      </c>
      <c r="K14107" s="12" t="s">
        <v>65</v>
      </c>
    </row>
    <row r="14108" spans="1:11" ht="40.049999999999997" customHeight="1" x14ac:dyDescent="0.25">
      <c r="A14108" s="11" t="s">
        <v>27500</v>
      </c>
      <c r="B14108" s="11" t="s">
        <v>27500</v>
      </c>
      <c r="C14108" s="11" t="s">
        <v>101</v>
      </c>
      <c r="D14108" s="11" t="s">
        <v>43</v>
      </c>
      <c r="E14108" s="12" t="s">
        <v>621</v>
      </c>
      <c r="F14108" s="12" t="s">
        <v>622</v>
      </c>
      <c r="G14108" s="12" t="s">
        <v>40</v>
      </c>
      <c r="H14108" s="11" t="s">
        <v>63</v>
      </c>
      <c r="I14108" s="13" t="s">
        <v>27519</v>
      </c>
      <c r="J14108" s="14" t="str">
        <f>HYPERLINK("https://www.boe.es/gazeta/dias/1839/04/14/pdfs/GMD-1839-1611.pdf#page=2","Abrir facsímil")</f>
        <v>Abrir facsímil</v>
      </c>
      <c r="K14108" s="12" t="s">
        <v>65</v>
      </c>
    </row>
    <row r="14109" spans="1:11" ht="40.049999999999997" customHeight="1" x14ac:dyDescent="0.25">
      <c r="A14109" s="11" t="s">
        <v>27500</v>
      </c>
      <c r="B14109" s="11" t="s">
        <v>27500</v>
      </c>
      <c r="C14109" s="11" t="s">
        <v>101</v>
      </c>
      <c r="D14109" s="11" t="s">
        <v>43</v>
      </c>
      <c r="E14109" s="12" t="s">
        <v>888</v>
      </c>
      <c r="F14109" s="12" t="s">
        <v>889</v>
      </c>
      <c r="G14109" s="12" t="s">
        <v>40</v>
      </c>
      <c r="H14109" s="11" t="s">
        <v>63</v>
      </c>
      <c r="I14109" s="13" t="s">
        <v>27520</v>
      </c>
      <c r="J14109" s="14" t="str">
        <f>HYPERLINK("https://www.boe.es/gazeta/dias/1839/05/14/pdfs/GMD-1839-1641.pdf#page=2","Abrir facsímil")</f>
        <v>Abrir facsímil</v>
      </c>
      <c r="K14109" s="12" t="s">
        <v>65</v>
      </c>
    </row>
    <row r="14110" spans="1:11" ht="40.049999999999997" customHeight="1" x14ac:dyDescent="0.25">
      <c r="A14110" s="11" t="s">
        <v>27500</v>
      </c>
      <c r="B14110" s="11" t="s">
        <v>27500</v>
      </c>
      <c r="C14110" s="11" t="s">
        <v>17</v>
      </c>
      <c r="D14110" s="11" t="s">
        <v>18</v>
      </c>
      <c r="E14110" s="12" t="s">
        <v>336</v>
      </c>
      <c r="F14110" s="12" t="s">
        <v>337</v>
      </c>
      <c r="G14110" s="12" t="s">
        <v>40</v>
      </c>
      <c r="H14110" s="11" t="s">
        <v>63</v>
      </c>
      <c r="I14110" s="13" t="s">
        <v>27521</v>
      </c>
      <c r="J14110" s="14" t="str">
        <f>HYPERLINK("https://www.boe.es/gazeta/dias/1839/07/14/pdfs/GMD-1839-1702.pdf#page=2","Abrir facsímil")</f>
        <v>Abrir facsímil</v>
      </c>
      <c r="K14110" s="12" t="s">
        <v>65</v>
      </c>
    </row>
    <row r="14111" spans="1:11" ht="40.049999999999997" customHeight="1" x14ac:dyDescent="0.25">
      <c r="A14111" s="11" t="s">
        <v>27500</v>
      </c>
      <c r="B14111" s="11" t="s">
        <v>27500</v>
      </c>
      <c r="C14111" s="11" t="s">
        <v>59</v>
      </c>
      <c r="D14111" s="11" t="s">
        <v>60</v>
      </c>
      <c r="E14111" s="12" t="s">
        <v>336</v>
      </c>
      <c r="F14111" s="12" t="s">
        <v>337</v>
      </c>
      <c r="G14111" s="12" t="s">
        <v>46</v>
      </c>
      <c r="H14111" s="11" t="s">
        <v>63</v>
      </c>
      <c r="I14111" s="13" t="s">
        <v>27522</v>
      </c>
      <c r="J14111" s="14" t="str">
        <f>HYPERLINK("https://www.boe.es/gazeta/dias/1839/07/14/pdfs/GMD-1839-1702.pdf#page=3","Abrir facsímil")</f>
        <v>Abrir facsímil</v>
      </c>
      <c r="K14111" s="12" t="s">
        <v>65</v>
      </c>
    </row>
    <row r="14112" spans="1:11" ht="40.049999999999997" customHeight="1" x14ac:dyDescent="0.25">
      <c r="A14112" s="11" t="s">
        <v>27500</v>
      </c>
      <c r="B14112" s="11" t="s">
        <v>27500</v>
      </c>
      <c r="C14112" s="11" t="s">
        <v>59</v>
      </c>
      <c r="D14112" s="11" t="s">
        <v>60</v>
      </c>
      <c r="E14112" s="12" t="s">
        <v>365</v>
      </c>
      <c r="F14112" s="12" t="s">
        <v>366</v>
      </c>
      <c r="G14112" s="12" t="s">
        <v>29</v>
      </c>
      <c r="H14112" s="11" t="s">
        <v>63</v>
      </c>
      <c r="I14112" s="13" t="s">
        <v>27523</v>
      </c>
      <c r="J14112" s="14" t="str">
        <f>HYPERLINK("https://www.boe.es/gazeta/dias/1839/08/14/pdfs/GMD-1839-1734.pdf#page=1","Abrir facsímil")</f>
        <v>Abrir facsímil</v>
      </c>
      <c r="K14112" s="12" t="s">
        <v>65</v>
      </c>
    </row>
    <row r="14113" spans="1:11" ht="40.049999999999997" customHeight="1" x14ac:dyDescent="0.25">
      <c r="A14113" s="11" t="s">
        <v>27500</v>
      </c>
      <c r="B14113" s="11" t="s">
        <v>27500</v>
      </c>
      <c r="C14113" s="11" t="s">
        <v>17</v>
      </c>
      <c r="D14113" s="11" t="s">
        <v>18</v>
      </c>
      <c r="E14113" s="12" t="s">
        <v>2851</v>
      </c>
      <c r="F14113" s="12" t="s">
        <v>2852</v>
      </c>
      <c r="G14113" s="12" t="s">
        <v>21</v>
      </c>
      <c r="H14113" s="11" t="s">
        <v>63</v>
      </c>
      <c r="I14113" s="13" t="s">
        <v>27524</v>
      </c>
      <c r="J14113" s="14" t="str">
        <f>HYPERLINK("https://www.boe.es/gazeta/dias/1839/05/16/pdfs/GMD-1839-1643.pdf#page=4","Abrir facsímil")</f>
        <v>Abrir facsímil</v>
      </c>
      <c r="K14113" s="12" t="s">
        <v>65</v>
      </c>
    </row>
    <row r="14114" spans="1:11" ht="40.049999999999997" customHeight="1" x14ac:dyDescent="0.25">
      <c r="A14114" s="11" t="s">
        <v>27500</v>
      </c>
      <c r="B14114" s="11" t="s">
        <v>27500</v>
      </c>
      <c r="C14114" s="11" t="s">
        <v>101</v>
      </c>
      <c r="D14114" s="11" t="s">
        <v>43</v>
      </c>
      <c r="E14114" s="12" t="s">
        <v>1027</v>
      </c>
      <c r="F14114" s="12" t="s">
        <v>1028</v>
      </c>
      <c r="G14114" s="12" t="s">
        <v>40</v>
      </c>
      <c r="H14114" s="11" t="s">
        <v>63</v>
      </c>
      <c r="I14114" s="13" t="s">
        <v>27525</v>
      </c>
      <c r="J14114" s="14" t="str">
        <f>HYPERLINK("https://www.boe.es/gazeta/dias/1839/08/16/pdfs/GMD-1839-1736.pdf#page=2","Abrir facsímil")</f>
        <v>Abrir facsímil</v>
      </c>
      <c r="K14114" s="12" t="s">
        <v>65</v>
      </c>
    </row>
    <row r="14115" spans="1:11" ht="40.049999999999997" customHeight="1" x14ac:dyDescent="0.25">
      <c r="A14115" s="11" t="s">
        <v>27500</v>
      </c>
      <c r="B14115" s="11" t="s">
        <v>27500</v>
      </c>
      <c r="C14115" s="11" t="s">
        <v>17</v>
      </c>
      <c r="D14115" s="11" t="s">
        <v>18</v>
      </c>
      <c r="E14115" s="12" t="s">
        <v>1537</v>
      </c>
      <c r="F14115" s="12" t="s">
        <v>1538</v>
      </c>
      <c r="G14115" s="12" t="s">
        <v>29</v>
      </c>
      <c r="H14115" s="11" t="s">
        <v>63</v>
      </c>
      <c r="I14115" s="13" t="s">
        <v>27526</v>
      </c>
      <c r="J14115" s="14" t="str">
        <f>HYPERLINK("https://www.boe.es/gazeta/dias/1839/12/16/pdfs/GMD-1839-1863.pdf#page=1","Abrir facsímil")</f>
        <v>Abrir facsímil</v>
      </c>
      <c r="K14115" s="12" t="s">
        <v>65</v>
      </c>
    </row>
    <row r="14116" spans="1:11" ht="40.049999999999997" customHeight="1" x14ac:dyDescent="0.25">
      <c r="A14116" s="11" t="s">
        <v>27500</v>
      </c>
      <c r="B14116" s="11" t="s">
        <v>27500</v>
      </c>
      <c r="C14116" s="11" t="s">
        <v>17</v>
      </c>
      <c r="D14116" s="11" t="s">
        <v>18</v>
      </c>
      <c r="E14116" s="12" t="s">
        <v>1779</v>
      </c>
      <c r="F14116" s="12" t="s">
        <v>1780</v>
      </c>
      <c r="G14116" s="12" t="s">
        <v>21</v>
      </c>
      <c r="H14116" s="11" t="s">
        <v>63</v>
      </c>
      <c r="I14116" s="13" t="s">
        <v>27527</v>
      </c>
      <c r="J14116" s="14" t="str">
        <f>HYPERLINK("https://www.boe.es/gazeta/dias/1839/03/18/pdfs/GMD-1839-1584.pdf#page=4","Abrir facsímil")</f>
        <v>Abrir facsímil</v>
      </c>
      <c r="K14116" s="12" t="s">
        <v>65</v>
      </c>
    </row>
    <row r="14117" spans="1:11" ht="40.049999999999997" customHeight="1" x14ac:dyDescent="0.25">
      <c r="A14117" s="11" t="s">
        <v>27500</v>
      </c>
      <c r="B14117" s="11" t="s">
        <v>27500</v>
      </c>
      <c r="C14117" s="11" t="s">
        <v>59</v>
      </c>
      <c r="D14117" s="11" t="s">
        <v>60</v>
      </c>
      <c r="E14117" s="12" t="s">
        <v>1648</v>
      </c>
      <c r="F14117" s="12" t="s">
        <v>1649</v>
      </c>
      <c r="G14117" s="12" t="s">
        <v>40</v>
      </c>
      <c r="H14117" s="11" t="s">
        <v>63</v>
      </c>
      <c r="I14117" s="13" t="s">
        <v>27528</v>
      </c>
      <c r="J14117" s="14" t="str">
        <f>HYPERLINK("https://www.boe.es/gazeta/dias/1839/08/18/pdfs/GMD-1839-1738.pdf#page=2","Abrir facsímil")</f>
        <v>Abrir facsímil</v>
      </c>
      <c r="K14117" s="12" t="s">
        <v>65</v>
      </c>
    </row>
    <row r="14118" spans="1:11" ht="40.049999999999997" customHeight="1" x14ac:dyDescent="0.25">
      <c r="A14118" s="11" t="s">
        <v>27500</v>
      </c>
      <c r="B14118" s="11" t="s">
        <v>27500</v>
      </c>
      <c r="C14118" s="11" t="s">
        <v>59</v>
      </c>
      <c r="D14118" s="11" t="s">
        <v>60</v>
      </c>
      <c r="E14118" s="12" t="s">
        <v>713</v>
      </c>
      <c r="F14118" s="12" t="s">
        <v>714</v>
      </c>
      <c r="G14118" s="12" t="s">
        <v>40</v>
      </c>
      <c r="H14118" s="11" t="s">
        <v>63</v>
      </c>
      <c r="I14118" s="13" t="s">
        <v>27529</v>
      </c>
      <c r="J14118" s="14" t="str">
        <f>HYPERLINK("https://www.boe.es/gazeta/dias/1839/12/18/pdfs/GMD-1839-1865.pdf#page=2","Abrir facsímil")</f>
        <v>Abrir facsímil</v>
      </c>
      <c r="K14118" s="12" t="s">
        <v>65</v>
      </c>
    </row>
    <row r="14119" spans="1:11" ht="40.049999999999997" customHeight="1" x14ac:dyDescent="0.25">
      <c r="A14119" s="11" t="s">
        <v>27500</v>
      </c>
      <c r="B14119" s="11" t="s">
        <v>27500</v>
      </c>
      <c r="C14119" s="11" t="s">
        <v>137</v>
      </c>
      <c r="D14119" s="11" t="s">
        <v>18</v>
      </c>
      <c r="E14119" s="12" t="s">
        <v>343</v>
      </c>
      <c r="F14119" s="12" t="s">
        <v>344</v>
      </c>
      <c r="G14119" s="12" t="s">
        <v>46</v>
      </c>
      <c r="H14119" s="11" t="s">
        <v>63</v>
      </c>
      <c r="I14119" s="13" t="s">
        <v>27530</v>
      </c>
      <c r="J14119" s="14" t="str">
        <f>HYPERLINK("https://www.boe.es/gazeta/dias/1839/05/20/pdfs/GMD-1839-1647.pdf#page=3","Abrir facsímil")</f>
        <v>Abrir facsímil</v>
      </c>
      <c r="K14119" s="12" t="s">
        <v>65</v>
      </c>
    </row>
    <row r="14120" spans="1:11" ht="40.049999999999997" customHeight="1" x14ac:dyDescent="0.25">
      <c r="A14120" s="11" t="s">
        <v>27500</v>
      </c>
      <c r="B14120" s="11" t="s">
        <v>27500</v>
      </c>
      <c r="C14120" s="11" t="s">
        <v>59</v>
      </c>
      <c r="D14120" s="11" t="s">
        <v>60</v>
      </c>
      <c r="E14120" s="12" t="s">
        <v>7119</v>
      </c>
      <c r="F14120" s="12" t="s">
        <v>7120</v>
      </c>
      <c r="G14120" s="12" t="s">
        <v>40</v>
      </c>
      <c r="H14120" s="11" t="s">
        <v>63</v>
      </c>
      <c r="I14120" s="13" t="s">
        <v>27531</v>
      </c>
      <c r="J14120" s="14" t="str">
        <f>HYPERLINK("https://www.boe.es/gazeta/dias/1839/05/22/pdfs/GMD-1839-1649.pdf#page=2","Abrir facsímil")</f>
        <v>Abrir facsímil</v>
      </c>
      <c r="K14120" s="12" t="s">
        <v>65</v>
      </c>
    </row>
    <row r="14121" spans="1:11" ht="40.049999999999997" customHeight="1" x14ac:dyDescent="0.25">
      <c r="A14121" s="11" t="s">
        <v>27500</v>
      </c>
      <c r="B14121" s="11" t="s">
        <v>27500</v>
      </c>
      <c r="C14121" s="11" t="s">
        <v>17</v>
      </c>
      <c r="D14121" s="11" t="s">
        <v>43</v>
      </c>
      <c r="E14121" s="12" t="s">
        <v>519</v>
      </c>
      <c r="F14121" s="12" t="s">
        <v>520</v>
      </c>
      <c r="G14121" s="12" t="s">
        <v>46</v>
      </c>
      <c r="H14121" s="11" t="s">
        <v>63</v>
      </c>
      <c r="I14121" s="13" t="s">
        <v>27532</v>
      </c>
      <c r="J14121" s="14" t="str">
        <f>HYPERLINK("https://www.boe.es/gazeta/dias/1839/02/23/pdfs/GMD-1839-1561.pdf#page=3","Abrir facsímil")</f>
        <v>Abrir facsímil</v>
      </c>
      <c r="K14121" s="12" t="s">
        <v>65</v>
      </c>
    </row>
    <row r="14122" spans="1:11" ht="40.049999999999997" customHeight="1" x14ac:dyDescent="0.25">
      <c r="A14122" s="11" t="s">
        <v>27500</v>
      </c>
      <c r="B14122" s="11" t="s">
        <v>27500</v>
      </c>
      <c r="C14122" s="11" t="s">
        <v>17</v>
      </c>
      <c r="D14122" s="11" t="s">
        <v>18</v>
      </c>
      <c r="E14122" s="12" t="s">
        <v>1729</v>
      </c>
      <c r="F14122" s="12" t="s">
        <v>1730</v>
      </c>
      <c r="G14122" s="12" t="s">
        <v>40</v>
      </c>
      <c r="H14122" s="11" t="s">
        <v>63</v>
      </c>
      <c r="I14122" s="13" t="s">
        <v>27533</v>
      </c>
      <c r="J14122" s="14" t="str">
        <f>HYPERLINK("https://www.boe.es/gazeta/dias/1839/04/25/pdfs/GMD-1839-1622.pdf#page=2","Abrir facsímil")</f>
        <v>Abrir facsímil</v>
      </c>
      <c r="K14122" s="12" t="s">
        <v>65</v>
      </c>
    </row>
    <row r="14123" spans="1:11" ht="40.049999999999997" customHeight="1" x14ac:dyDescent="0.25">
      <c r="A14123" s="11" t="s">
        <v>27500</v>
      </c>
      <c r="B14123" s="11" t="s">
        <v>27500</v>
      </c>
      <c r="C14123" s="11" t="s">
        <v>17</v>
      </c>
      <c r="D14123" s="11" t="s">
        <v>18</v>
      </c>
      <c r="E14123" s="12" t="s">
        <v>826</v>
      </c>
      <c r="F14123" s="12" t="s">
        <v>827</v>
      </c>
      <c r="G14123" s="12" t="s">
        <v>40</v>
      </c>
      <c r="H14123" s="11" t="s">
        <v>63</v>
      </c>
      <c r="I14123" s="13" t="s">
        <v>27534</v>
      </c>
      <c r="J14123" s="14" t="str">
        <f>HYPERLINK("https://www.boe.es/gazeta/dias/1839/09/25/pdfs/GMD-1839-1781.pdf#page=2","Abrir facsímil")</f>
        <v>Abrir facsímil</v>
      </c>
      <c r="K14123" s="12" t="s">
        <v>65</v>
      </c>
    </row>
    <row r="14124" spans="1:11" ht="40.049999999999997" customHeight="1" x14ac:dyDescent="0.25">
      <c r="A14124" s="11" t="s">
        <v>27500</v>
      </c>
      <c r="B14124" s="11" t="s">
        <v>27500</v>
      </c>
      <c r="C14124" s="11" t="s">
        <v>17</v>
      </c>
      <c r="D14124" s="11" t="s">
        <v>18</v>
      </c>
      <c r="E14124" s="12" t="s">
        <v>2463</v>
      </c>
      <c r="F14124" s="12" t="s">
        <v>2464</v>
      </c>
      <c r="G14124" s="12" t="s">
        <v>40</v>
      </c>
      <c r="H14124" s="11" t="s">
        <v>63</v>
      </c>
      <c r="I14124" s="13" t="s">
        <v>27535</v>
      </c>
      <c r="J14124" s="14" t="str">
        <f>HYPERLINK("https://www.boe.es/gazeta/dias/1839/04/26/pdfs/GMD-1839-1623.pdf#page=2","Abrir facsímil")</f>
        <v>Abrir facsímil</v>
      </c>
      <c r="K14124" s="12" t="s">
        <v>65</v>
      </c>
    </row>
    <row r="14125" spans="1:11" ht="40.049999999999997" customHeight="1" x14ac:dyDescent="0.25">
      <c r="A14125" s="11" t="s">
        <v>27500</v>
      </c>
      <c r="B14125" s="11" t="s">
        <v>27500</v>
      </c>
      <c r="C14125" s="11" t="s">
        <v>59</v>
      </c>
      <c r="D14125" s="11" t="s">
        <v>60</v>
      </c>
      <c r="E14125" s="12" t="s">
        <v>1183</v>
      </c>
      <c r="F14125" s="12" t="s">
        <v>1184</v>
      </c>
      <c r="G14125" s="12" t="s">
        <v>29</v>
      </c>
      <c r="H14125" s="11" t="s">
        <v>63</v>
      </c>
      <c r="I14125" s="13" t="s">
        <v>27536</v>
      </c>
      <c r="J14125" s="14" t="str">
        <f>HYPERLINK("https://www.boe.es/gazeta/dias/1839/07/26/pdfs/GMD-1839-1715.pdf#page=1","Abrir facsímil")</f>
        <v>Abrir facsímil</v>
      </c>
      <c r="K14125" s="12" t="s">
        <v>65</v>
      </c>
    </row>
    <row r="14126" spans="1:11" ht="40.049999999999997" customHeight="1" x14ac:dyDescent="0.25">
      <c r="A14126" s="11" t="s">
        <v>27500</v>
      </c>
      <c r="B14126" s="11" t="s">
        <v>27500</v>
      </c>
      <c r="C14126" s="11" t="s">
        <v>17</v>
      </c>
      <c r="D14126" s="11" t="s">
        <v>18</v>
      </c>
      <c r="E14126" s="12" t="s">
        <v>638</v>
      </c>
      <c r="F14126" s="12" t="s">
        <v>639</v>
      </c>
      <c r="G14126" s="12" t="s">
        <v>29</v>
      </c>
      <c r="H14126" s="11" t="s">
        <v>63</v>
      </c>
      <c r="I14126" s="13" t="s">
        <v>27537</v>
      </c>
      <c r="J14126" s="14" t="str">
        <f>HYPERLINK("https://www.boe.es/gazeta/dias/1839/08/26/pdfs/GMD-1839-1747.pdf#page=1","Abrir facsímil")</f>
        <v>Abrir facsímil</v>
      </c>
      <c r="K14126" s="12" t="s">
        <v>65</v>
      </c>
    </row>
    <row r="14127" spans="1:11" ht="40.049999999999997" customHeight="1" x14ac:dyDescent="0.25">
      <c r="A14127" s="11" t="s">
        <v>27500</v>
      </c>
      <c r="B14127" s="11" t="s">
        <v>27500</v>
      </c>
      <c r="C14127" s="11" t="s">
        <v>80</v>
      </c>
      <c r="D14127" s="11" t="s">
        <v>173</v>
      </c>
      <c r="E14127" s="12" t="s">
        <v>401</v>
      </c>
      <c r="F14127" s="12" t="s">
        <v>402</v>
      </c>
      <c r="G14127" s="12" t="s">
        <v>29</v>
      </c>
      <c r="H14127" s="11" t="s">
        <v>63</v>
      </c>
      <c r="I14127" s="13" t="s">
        <v>27538</v>
      </c>
      <c r="J14127" s="14" t="str">
        <f>HYPERLINK("https://www.boe.es/gazeta/dias/1839/03/29/pdfs/GMD-1839-1595.pdf#page=1","Abrir facsímil")</f>
        <v>Abrir facsímil</v>
      </c>
      <c r="K14127" s="12" t="s">
        <v>65</v>
      </c>
    </row>
    <row r="14128" spans="1:11" ht="40.049999999999997" customHeight="1" x14ac:dyDescent="0.25">
      <c r="A14128" s="11" t="s">
        <v>27500</v>
      </c>
      <c r="B14128" s="11" t="s">
        <v>27500</v>
      </c>
      <c r="C14128" s="11" t="s">
        <v>80</v>
      </c>
      <c r="D14128" s="11" t="s">
        <v>173</v>
      </c>
      <c r="E14128" s="12" t="s">
        <v>1269</v>
      </c>
      <c r="F14128" s="12" t="s">
        <v>1270</v>
      </c>
      <c r="G14128" s="12" t="s">
        <v>46</v>
      </c>
      <c r="H14128" s="11" t="s">
        <v>63</v>
      </c>
      <c r="I14128" s="13" t="s">
        <v>27539</v>
      </c>
      <c r="J14128" s="14" t="str">
        <f>HYPERLINK("https://www.boe.es/gazeta/dias/1839/04/29/pdfs/GMD-1839-1626.pdf#page=3","Abrir facsímil")</f>
        <v>Abrir facsímil</v>
      </c>
      <c r="K14128" s="12" t="s">
        <v>65</v>
      </c>
    </row>
    <row r="14129" spans="1:11" ht="40.049999999999997" customHeight="1" x14ac:dyDescent="0.25">
      <c r="A14129" s="11" t="s">
        <v>27500</v>
      </c>
      <c r="B14129" s="11" t="s">
        <v>27500</v>
      </c>
      <c r="C14129" s="11" t="s">
        <v>137</v>
      </c>
      <c r="D14129" s="11" t="s">
        <v>18</v>
      </c>
      <c r="E14129" s="12" t="s">
        <v>312</v>
      </c>
      <c r="F14129" s="12" t="s">
        <v>313</v>
      </c>
      <c r="G14129" s="12" t="s">
        <v>29</v>
      </c>
      <c r="H14129" s="11" t="s">
        <v>63</v>
      </c>
      <c r="I14129" s="13" t="s">
        <v>27540</v>
      </c>
      <c r="J14129" s="14" t="str">
        <f>HYPERLINK("https://www.boe.es/gazeta/dias/1839/11/30/pdfs/GMD-1839-1847.pdf#page=1","Abrir facsímil")</f>
        <v>Abrir facsímil</v>
      </c>
      <c r="K14129" s="12" t="s">
        <v>65</v>
      </c>
    </row>
    <row r="14130" spans="1:11" ht="40.049999999999997" customHeight="1" x14ac:dyDescent="0.25">
      <c r="A14130" s="11" t="s">
        <v>27500</v>
      </c>
      <c r="B14130" s="11" t="s">
        <v>27500</v>
      </c>
      <c r="C14130" s="11" t="s">
        <v>17</v>
      </c>
      <c r="D14130" s="11" t="s">
        <v>18</v>
      </c>
      <c r="E14130" s="12" t="s">
        <v>474</v>
      </c>
      <c r="F14130" s="12" t="s">
        <v>475</v>
      </c>
      <c r="G14130" s="12" t="s">
        <v>40</v>
      </c>
      <c r="H14130" s="11" t="s">
        <v>63</v>
      </c>
      <c r="I14130" s="13" t="s">
        <v>27541</v>
      </c>
      <c r="J14130" s="14" t="str">
        <f>HYPERLINK("https://www.boe.es/gazeta/dias/1839/03/31/pdfs/GMD-1839-1597.pdf#page=2","Abrir facsímil")</f>
        <v>Abrir facsímil</v>
      </c>
      <c r="K14130" s="12" t="s">
        <v>65</v>
      </c>
    </row>
    <row r="14131" spans="1:11" ht="40.049999999999997" customHeight="1" x14ac:dyDescent="0.25">
      <c r="A14131" s="11" t="s">
        <v>27542</v>
      </c>
      <c r="B14131" s="11" t="s">
        <v>27542</v>
      </c>
      <c r="C14131" s="11" t="s">
        <v>80</v>
      </c>
      <c r="D14131" s="11" t="s">
        <v>18</v>
      </c>
      <c r="E14131" s="12" t="s">
        <v>870</v>
      </c>
      <c r="F14131" s="12" t="s">
        <v>871</v>
      </c>
      <c r="G14131" s="12" t="s">
        <v>46</v>
      </c>
      <c r="H14131" s="11" t="s">
        <v>63</v>
      </c>
      <c r="I14131" s="13" t="s">
        <v>27543</v>
      </c>
      <c r="J14131" s="14" t="str">
        <f>HYPERLINK("https://www.boe.es/gazeta/dias/1839/04/18/pdfs/GMD-1839-1615.pdf#page=3","Abrir facsímil")</f>
        <v>Abrir facsímil</v>
      </c>
      <c r="K14131" s="12" t="s">
        <v>65</v>
      </c>
    </row>
    <row r="14132" spans="1:11" ht="40.049999999999997" customHeight="1" x14ac:dyDescent="0.25">
      <c r="A14132" s="11" t="s">
        <v>27544</v>
      </c>
      <c r="B14132" s="11" t="s">
        <v>27544</v>
      </c>
      <c r="C14132" s="11" t="s">
        <v>17</v>
      </c>
      <c r="D14132" s="11" t="s">
        <v>18</v>
      </c>
      <c r="E14132" s="12" t="s">
        <v>4787</v>
      </c>
      <c r="F14132" s="12" t="s">
        <v>4788</v>
      </c>
      <c r="G14132" s="12" t="s">
        <v>40</v>
      </c>
      <c r="H14132" s="11" t="s">
        <v>63</v>
      </c>
      <c r="I14132" s="13" t="s">
        <v>27545</v>
      </c>
      <c r="J14132" s="14" t="str">
        <f>HYPERLINK("https://www.boe.es/gazeta/dias/1839/05/26/pdfs/GMD-1839-1653.pdf#page=2","Abrir facsímil")</f>
        <v>Abrir facsímil</v>
      </c>
      <c r="K14132" s="12" t="s">
        <v>65</v>
      </c>
    </row>
    <row r="14133" spans="1:11" ht="40.049999999999997" customHeight="1" x14ac:dyDescent="0.25">
      <c r="A14133" s="11" t="s">
        <v>27546</v>
      </c>
      <c r="B14133" s="11" t="s">
        <v>27546</v>
      </c>
      <c r="C14133" s="11" t="s">
        <v>80</v>
      </c>
      <c r="D14133" s="11" t="s">
        <v>18</v>
      </c>
      <c r="E14133" s="12" t="s">
        <v>1149</v>
      </c>
      <c r="F14133" s="12" t="s">
        <v>1150</v>
      </c>
      <c r="G14133" s="12" t="s">
        <v>40</v>
      </c>
      <c r="H14133" s="11" t="s">
        <v>63</v>
      </c>
      <c r="I14133" s="13" t="s">
        <v>27547</v>
      </c>
      <c r="J14133" s="14" t="str">
        <f>HYPERLINK("https://www.boe.es/gazeta/dias/1839/06/25/pdfs/GMD-1839-1683.pdf#page=2","Abrir facsímil")</f>
        <v>Abrir facsímil</v>
      </c>
      <c r="K14133" s="12" t="s">
        <v>65</v>
      </c>
    </row>
    <row r="14134" spans="1:11" ht="40.049999999999997" customHeight="1" x14ac:dyDescent="0.25">
      <c r="A14134" s="11" t="s">
        <v>27548</v>
      </c>
      <c r="B14134" s="11" t="s">
        <v>27549</v>
      </c>
      <c r="C14134" s="11" t="s">
        <v>17</v>
      </c>
      <c r="D14134" s="11" t="s">
        <v>18</v>
      </c>
      <c r="E14134" s="12" t="s">
        <v>258</v>
      </c>
      <c r="F14134" s="12" t="s">
        <v>259</v>
      </c>
      <c r="G14134" s="12" t="s">
        <v>46</v>
      </c>
      <c r="H14134" s="11" t="s">
        <v>22</v>
      </c>
      <c r="I14134" s="13" t="s">
        <v>27550</v>
      </c>
      <c r="J14134" s="14" t="str">
        <f>HYPERLINK("https://www.boe.es/gazeta/dias/1839/01/02/pdfs/GMD-1839-1509.pdf#page=3","Abrir facsímil")</f>
        <v>Abrir facsímil</v>
      </c>
      <c r="K14134" s="12" t="s">
        <v>24</v>
      </c>
    </row>
    <row r="14135" spans="1:11" ht="40.049999999999997" customHeight="1" x14ac:dyDescent="0.25">
      <c r="A14135" s="11" t="s">
        <v>27551</v>
      </c>
      <c r="B14135" s="11" t="s">
        <v>27552</v>
      </c>
      <c r="C14135" s="11" t="s">
        <v>17</v>
      </c>
      <c r="D14135" s="11" t="s">
        <v>18</v>
      </c>
      <c r="E14135" s="12" t="s">
        <v>258</v>
      </c>
      <c r="F14135" s="12" t="s">
        <v>259</v>
      </c>
      <c r="G14135" s="12" t="s">
        <v>46</v>
      </c>
      <c r="H14135" s="11" t="s">
        <v>22</v>
      </c>
      <c r="I14135" s="13" t="s">
        <v>27553</v>
      </c>
      <c r="J14135" s="14" t="str">
        <f>HYPERLINK("https://www.boe.es/gazeta/dias/1839/01/02/pdfs/GMD-1839-1509.pdf#page=3","Abrir facsímil")</f>
        <v>Abrir facsímil</v>
      </c>
      <c r="K14135" s="12" t="s">
        <v>24</v>
      </c>
    </row>
    <row r="14136" spans="1:11" ht="40.049999999999997" customHeight="1" x14ac:dyDescent="0.25">
      <c r="A14136" s="11" t="s">
        <v>27554</v>
      </c>
      <c r="B14136" s="11" t="s">
        <v>27555</v>
      </c>
      <c r="C14136" s="11" t="s">
        <v>17</v>
      </c>
      <c r="D14136" s="11" t="s">
        <v>18</v>
      </c>
      <c r="E14136" s="12" t="s">
        <v>258</v>
      </c>
      <c r="F14136" s="12" t="s">
        <v>259</v>
      </c>
      <c r="G14136" s="12" t="s">
        <v>21</v>
      </c>
      <c r="H14136" s="11" t="s">
        <v>63</v>
      </c>
      <c r="I14136" s="13" t="s">
        <v>27556</v>
      </c>
      <c r="J14136" s="14" t="str">
        <f>HYPERLINK("https://www.boe.es/gazeta/dias/1839/01/02/pdfs/GMD-1839-1509.pdf#page=4","Abrir facsímil")</f>
        <v>Abrir facsímil</v>
      </c>
      <c r="K14136" s="12" t="s">
        <v>65</v>
      </c>
    </row>
    <row r="14137" spans="1:11" ht="40.049999999999997" customHeight="1" x14ac:dyDescent="0.25">
      <c r="A14137" s="11" t="s">
        <v>27557</v>
      </c>
      <c r="B14137" s="11" t="s">
        <v>27558</v>
      </c>
      <c r="C14137" s="11" t="s">
        <v>101</v>
      </c>
      <c r="D14137" s="11" t="s">
        <v>43</v>
      </c>
      <c r="E14137" s="12" t="s">
        <v>561</v>
      </c>
      <c r="F14137" s="12" t="s">
        <v>562</v>
      </c>
      <c r="G14137" s="12" t="s">
        <v>46</v>
      </c>
      <c r="H14137" s="11" t="s">
        <v>63</v>
      </c>
      <c r="I14137" s="13" t="s">
        <v>27559</v>
      </c>
      <c r="J14137" s="14" t="str">
        <f>HYPERLINK("https://www.boe.es/gazeta/dias/1839/09/11/pdfs/GMD-1839-1764.pdf#page=3","Abrir facsímil")</f>
        <v>Abrir facsímil</v>
      </c>
      <c r="K14137" s="12" t="s">
        <v>65</v>
      </c>
    </row>
    <row r="14138" spans="1:11" ht="40.049999999999997" customHeight="1" x14ac:dyDescent="0.25">
      <c r="A14138" s="11" t="s">
        <v>27560</v>
      </c>
      <c r="B14138" s="11" t="s">
        <v>27561</v>
      </c>
      <c r="C14138" s="11" t="s">
        <v>17</v>
      </c>
      <c r="D14138" s="11" t="s">
        <v>18</v>
      </c>
      <c r="E14138" s="12" t="s">
        <v>254</v>
      </c>
      <c r="F14138" s="12" t="s">
        <v>255</v>
      </c>
      <c r="G14138" s="12" t="s">
        <v>40</v>
      </c>
      <c r="H14138" s="11" t="s">
        <v>63</v>
      </c>
      <c r="I14138" s="13" t="s">
        <v>27562</v>
      </c>
      <c r="J14138" s="14" t="str">
        <f>HYPERLINK("https://www.boe.es/gazeta/dias/1839/09/12/pdfs/GMD-1839-1765.pdf#page=2","Abrir facsímil")</f>
        <v>Abrir facsímil</v>
      </c>
      <c r="K14138" s="12" t="s">
        <v>65</v>
      </c>
    </row>
    <row r="14139" spans="1:11" ht="40.049999999999997" customHeight="1" x14ac:dyDescent="0.25">
      <c r="A14139" s="11" t="s">
        <v>27563</v>
      </c>
      <c r="B14139" s="11" t="s">
        <v>27564</v>
      </c>
      <c r="C14139" s="11" t="s">
        <v>101</v>
      </c>
      <c r="D14139" s="11" t="s">
        <v>43</v>
      </c>
      <c r="E14139" s="12" t="s">
        <v>157</v>
      </c>
      <c r="F14139" s="12" t="s">
        <v>158</v>
      </c>
      <c r="G14139" s="12" t="s">
        <v>21</v>
      </c>
      <c r="H14139" s="11" t="s">
        <v>63</v>
      </c>
      <c r="I14139" s="13" t="s">
        <v>27565</v>
      </c>
      <c r="J14139" s="14" t="str">
        <f>HYPERLINK("https://www.boe.es/gazeta/dias/1839/02/08/pdfs/GMD-1839-1546.pdf#page=4","Abrir facsímil")</f>
        <v>Abrir facsímil</v>
      </c>
      <c r="K14139" s="12" t="s">
        <v>65</v>
      </c>
    </row>
    <row r="14140" spans="1:11" ht="40.049999999999997" customHeight="1" x14ac:dyDescent="0.25">
      <c r="A14140" s="11" t="s">
        <v>27566</v>
      </c>
      <c r="B14140" s="11" t="s">
        <v>27567</v>
      </c>
      <c r="C14140" s="11" t="s">
        <v>17</v>
      </c>
      <c r="D14140" s="11" t="s">
        <v>18</v>
      </c>
      <c r="E14140" s="12" t="s">
        <v>2222</v>
      </c>
      <c r="F14140" s="12" t="s">
        <v>2223</v>
      </c>
      <c r="G14140" s="12" t="s">
        <v>40</v>
      </c>
      <c r="H14140" s="11" t="s">
        <v>63</v>
      </c>
      <c r="I14140" s="13" t="s">
        <v>27568</v>
      </c>
      <c r="J14140" s="14" t="str">
        <f>HYPERLINK("https://www.boe.es/gazeta/dias/1839/09/19/pdfs/GMD-1839-1773.pdf#page=2","Abrir facsímil")</f>
        <v>Abrir facsímil</v>
      </c>
      <c r="K14140" s="12" t="s">
        <v>65</v>
      </c>
    </row>
    <row r="14141" spans="1:11" ht="40.049999999999997" customHeight="1" x14ac:dyDescent="0.25">
      <c r="A14141" s="11" t="s">
        <v>27569</v>
      </c>
      <c r="B14141" s="11" t="s">
        <v>27570</v>
      </c>
      <c r="C14141" s="11" t="s">
        <v>137</v>
      </c>
      <c r="D14141" s="11" t="s">
        <v>18</v>
      </c>
      <c r="E14141" s="12" t="s">
        <v>49</v>
      </c>
      <c r="F14141" s="12" t="s">
        <v>50</v>
      </c>
      <c r="G14141" s="12" t="s">
        <v>40</v>
      </c>
      <c r="H14141" s="11" t="s">
        <v>63</v>
      </c>
      <c r="I14141" s="13" t="s">
        <v>27571</v>
      </c>
      <c r="J14141" s="14" t="str">
        <f>HYPERLINK("https://www.boe.es/gazeta/dias/1839/01/05/pdfs/GMD-1839-1512.pdf#page=2","Abrir facsímil")</f>
        <v>Abrir facsímil</v>
      </c>
      <c r="K14141" s="12" t="s">
        <v>65</v>
      </c>
    </row>
    <row r="14142" spans="1:11" ht="40.049999999999997" customHeight="1" x14ac:dyDescent="0.25">
      <c r="A14142" s="11" t="s">
        <v>27572</v>
      </c>
      <c r="B14142" s="11" t="s">
        <v>27573</v>
      </c>
      <c r="C14142" s="11" t="s">
        <v>17</v>
      </c>
      <c r="D14142" s="11" t="s">
        <v>18</v>
      </c>
      <c r="E14142" s="12" t="s">
        <v>258</v>
      </c>
      <c r="F14142" s="12" t="s">
        <v>259</v>
      </c>
      <c r="G14142" s="12" t="s">
        <v>46</v>
      </c>
      <c r="H14142" s="11" t="s">
        <v>22</v>
      </c>
      <c r="I14142" s="13" t="s">
        <v>27574</v>
      </c>
      <c r="J14142" s="14" t="str">
        <f t="shared" ref="J14142:J14156" si="1">HYPERLINK("https://www.boe.es/gazeta/dias/1839/01/02/pdfs/GMD-1839-1509.pdf#page=3","Abrir facsímil")</f>
        <v>Abrir facsímil</v>
      </c>
      <c r="K14142" s="12" t="s">
        <v>24</v>
      </c>
    </row>
    <row r="14143" spans="1:11" ht="40.049999999999997" customHeight="1" x14ac:dyDescent="0.25">
      <c r="A14143" s="11" t="s">
        <v>27575</v>
      </c>
      <c r="B14143" s="11" t="s">
        <v>27576</v>
      </c>
      <c r="C14143" s="11" t="s">
        <v>17</v>
      </c>
      <c r="D14143" s="11" t="s">
        <v>18</v>
      </c>
      <c r="E14143" s="12" t="s">
        <v>258</v>
      </c>
      <c r="F14143" s="12" t="s">
        <v>259</v>
      </c>
      <c r="G14143" s="12" t="s">
        <v>46</v>
      </c>
      <c r="H14143" s="11" t="s">
        <v>22</v>
      </c>
      <c r="I14143" s="13" t="s">
        <v>27577</v>
      </c>
      <c r="J14143" s="14" t="str">
        <f t="shared" si="1"/>
        <v>Abrir facsímil</v>
      </c>
      <c r="K14143" s="12" t="s">
        <v>24</v>
      </c>
    </row>
    <row r="14144" spans="1:11" ht="40.049999999999997" customHeight="1" x14ac:dyDescent="0.25">
      <c r="A14144" s="11" t="s">
        <v>27578</v>
      </c>
      <c r="B14144" s="11" t="s">
        <v>27579</v>
      </c>
      <c r="C14144" s="11" t="s">
        <v>17</v>
      </c>
      <c r="D14144" s="11" t="s">
        <v>18</v>
      </c>
      <c r="E14144" s="12" t="s">
        <v>258</v>
      </c>
      <c r="F14144" s="12" t="s">
        <v>259</v>
      </c>
      <c r="G14144" s="12" t="s">
        <v>46</v>
      </c>
      <c r="H14144" s="11" t="s">
        <v>22</v>
      </c>
      <c r="I14144" s="13" t="s">
        <v>27580</v>
      </c>
      <c r="J14144" s="14" t="str">
        <f t="shared" si="1"/>
        <v>Abrir facsímil</v>
      </c>
      <c r="K14144" s="12" t="s">
        <v>24</v>
      </c>
    </row>
    <row r="14145" spans="1:11" ht="40.049999999999997" customHeight="1" x14ac:dyDescent="0.25">
      <c r="A14145" s="11" t="s">
        <v>27581</v>
      </c>
      <c r="B14145" s="11" t="s">
        <v>27582</v>
      </c>
      <c r="C14145" s="11" t="s">
        <v>101</v>
      </c>
      <c r="D14145" s="11" t="s">
        <v>43</v>
      </c>
      <c r="E14145" s="12" t="s">
        <v>258</v>
      </c>
      <c r="F14145" s="12" t="s">
        <v>259</v>
      </c>
      <c r="G14145" s="12" t="s">
        <v>46</v>
      </c>
      <c r="H14145" s="11" t="s">
        <v>22</v>
      </c>
      <c r="I14145" s="13" t="s">
        <v>27583</v>
      </c>
      <c r="J14145" s="14" t="str">
        <f t="shared" si="1"/>
        <v>Abrir facsímil</v>
      </c>
      <c r="K14145" s="12" t="s">
        <v>24</v>
      </c>
    </row>
    <row r="14146" spans="1:11" ht="40.049999999999997" customHeight="1" x14ac:dyDescent="0.25">
      <c r="A14146" s="11" t="s">
        <v>27584</v>
      </c>
      <c r="B14146" s="11" t="s">
        <v>27585</v>
      </c>
      <c r="C14146" s="11" t="s">
        <v>17</v>
      </c>
      <c r="D14146" s="11" t="s">
        <v>18</v>
      </c>
      <c r="E14146" s="12" t="s">
        <v>258</v>
      </c>
      <c r="F14146" s="12" t="s">
        <v>259</v>
      </c>
      <c r="G14146" s="12" t="s">
        <v>46</v>
      </c>
      <c r="H14146" s="11" t="s">
        <v>22</v>
      </c>
      <c r="I14146" s="13" t="s">
        <v>27586</v>
      </c>
      <c r="J14146" s="14" t="str">
        <f t="shared" si="1"/>
        <v>Abrir facsímil</v>
      </c>
      <c r="K14146" s="12" t="s">
        <v>24</v>
      </c>
    </row>
    <row r="14147" spans="1:11" ht="40.049999999999997" customHeight="1" x14ac:dyDescent="0.25">
      <c r="A14147" s="11" t="s">
        <v>27587</v>
      </c>
      <c r="B14147" s="11" t="s">
        <v>27588</v>
      </c>
      <c r="C14147" s="11" t="s">
        <v>101</v>
      </c>
      <c r="D14147" s="11" t="s">
        <v>43</v>
      </c>
      <c r="E14147" s="12" t="s">
        <v>258</v>
      </c>
      <c r="F14147" s="12" t="s">
        <v>259</v>
      </c>
      <c r="G14147" s="12" t="s">
        <v>46</v>
      </c>
      <c r="H14147" s="11" t="s">
        <v>22</v>
      </c>
      <c r="I14147" s="13" t="s">
        <v>27589</v>
      </c>
      <c r="J14147" s="14" t="str">
        <f t="shared" si="1"/>
        <v>Abrir facsímil</v>
      </c>
      <c r="K14147" s="12" t="s">
        <v>24</v>
      </c>
    </row>
    <row r="14148" spans="1:11" ht="40.049999999999997" customHeight="1" x14ac:dyDescent="0.25">
      <c r="A14148" s="11" t="s">
        <v>27590</v>
      </c>
      <c r="B14148" s="11" t="s">
        <v>27591</v>
      </c>
      <c r="C14148" s="11" t="s">
        <v>17</v>
      </c>
      <c r="D14148" s="11" t="s">
        <v>18</v>
      </c>
      <c r="E14148" s="12" t="s">
        <v>258</v>
      </c>
      <c r="F14148" s="12" t="s">
        <v>259</v>
      </c>
      <c r="G14148" s="12" t="s">
        <v>46</v>
      </c>
      <c r="H14148" s="11" t="s">
        <v>22</v>
      </c>
      <c r="I14148" s="13" t="s">
        <v>27592</v>
      </c>
      <c r="J14148" s="14" t="str">
        <f t="shared" si="1"/>
        <v>Abrir facsímil</v>
      </c>
      <c r="K14148" s="12" t="s">
        <v>24</v>
      </c>
    </row>
    <row r="14149" spans="1:11" ht="40.049999999999997" customHeight="1" x14ac:dyDescent="0.25">
      <c r="A14149" s="11" t="s">
        <v>27593</v>
      </c>
      <c r="B14149" s="11" t="s">
        <v>27594</v>
      </c>
      <c r="C14149" s="11" t="s">
        <v>17</v>
      </c>
      <c r="D14149" s="11" t="s">
        <v>18</v>
      </c>
      <c r="E14149" s="12" t="s">
        <v>258</v>
      </c>
      <c r="F14149" s="12" t="s">
        <v>259</v>
      </c>
      <c r="G14149" s="12" t="s">
        <v>46</v>
      </c>
      <c r="H14149" s="11" t="s">
        <v>22</v>
      </c>
      <c r="I14149" s="13" t="s">
        <v>27595</v>
      </c>
      <c r="J14149" s="14" t="str">
        <f t="shared" si="1"/>
        <v>Abrir facsímil</v>
      </c>
      <c r="K14149" s="12" t="s">
        <v>24</v>
      </c>
    </row>
    <row r="14150" spans="1:11" ht="40.049999999999997" customHeight="1" x14ac:dyDescent="0.25">
      <c r="A14150" s="11" t="s">
        <v>27596</v>
      </c>
      <c r="B14150" s="11" t="s">
        <v>27597</v>
      </c>
      <c r="C14150" s="11" t="s">
        <v>17</v>
      </c>
      <c r="D14150" s="11" t="s">
        <v>18</v>
      </c>
      <c r="E14150" s="12" t="s">
        <v>258</v>
      </c>
      <c r="F14150" s="12" t="s">
        <v>259</v>
      </c>
      <c r="G14150" s="12" t="s">
        <v>46</v>
      </c>
      <c r="H14150" s="11" t="s">
        <v>22</v>
      </c>
      <c r="I14150" s="13" t="s">
        <v>27598</v>
      </c>
      <c r="J14150" s="14" t="str">
        <f t="shared" si="1"/>
        <v>Abrir facsímil</v>
      </c>
      <c r="K14150" s="12" t="s">
        <v>24</v>
      </c>
    </row>
    <row r="14151" spans="1:11" ht="40.049999999999997" customHeight="1" x14ac:dyDescent="0.25">
      <c r="A14151" s="11" t="s">
        <v>27599</v>
      </c>
      <c r="B14151" s="11" t="s">
        <v>27600</v>
      </c>
      <c r="C14151" s="11" t="s">
        <v>17</v>
      </c>
      <c r="D14151" s="11" t="s">
        <v>18</v>
      </c>
      <c r="E14151" s="12" t="s">
        <v>258</v>
      </c>
      <c r="F14151" s="12" t="s">
        <v>259</v>
      </c>
      <c r="G14151" s="12" t="s">
        <v>46</v>
      </c>
      <c r="H14151" s="11" t="s">
        <v>22</v>
      </c>
      <c r="I14151" s="13" t="s">
        <v>27601</v>
      </c>
      <c r="J14151" s="14" t="str">
        <f t="shared" si="1"/>
        <v>Abrir facsímil</v>
      </c>
      <c r="K14151" s="12" t="s">
        <v>24</v>
      </c>
    </row>
    <row r="14152" spans="1:11" ht="40.049999999999997" customHeight="1" x14ac:dyDescent="0.25">
      <c r="A14152" s="11" t="s">
        <v>27602</v>
      </c>
      <c r="B14152" s="11" t="s">
        <v>27603</v>
      </c>
      <c r="C14152" s="11" t="s">
        <v>17</v>
      </c>
      <c r="D14152" s="11" t="s">
        <v>18</v>
      </c>
      <c r="E14152" s="12" t="s">
        <v>258</v>
      </c>
      <c r="F14152" s="12" t="s">
        <v>259</v>
      </c>
      <c r="G14152" s="12" t="s">
        <v>46</v>
      </c>
      <c r="H14152" s="11" t="s">
        <v>22</v>
      </c>
      <c r="I14152" s="13" t="s">
        <v>27604</v>
      </c>
      <c r="J14152" s="14" t="str">
        <f t="shared" si="1"/>
        <v>Abrir facsímil</v>
      </c>
      <c r="K14152" s="12" t="s">
        <v>24</v>
      </c>
    </row>
    <row r="14153" spans="1:11" ht="40.049999999999997" customHeight="1" x14ac:dyDescent="0.25">
      <c r="A14153" s="11" t="s">
        <v>27605</v>
      </c>
      <c r="B14153" s="11" t="s">
        <v>27606</v>
      </c>
      <c r="C14153" s="11" t="s">
        <v>17</v>
      </c>
      <c r="D14153" s="11" t="s">
        <v>18</v>
      </c>
      <c r="E14153" s="12" t="s">
        <v>258</v>
      </c>
      <c r="F14153" s="12" t="s">
        <v>259</v>
      </c>
      <c r="G14153" s="12" t="s">
        <v>46</v>
      </c>
      <c r="H14153" s="11" t="s">
        <v>22</v>
      </c>
      <c r="I14153" s="13" t="s">
        <v>27607</v>
      </c>
      <c r="J14153" s="14" t="str">
        <f t="shared" si="1"/>
        <v>Abrir facsímil</v>
      </c>
      <c r="K14153" s="12" t="s">
        <v>24</v>
      </c>
    </row>
    <row r="14154" spans="1:11" ht="40.049999999999997" customHeight="1" x14ac:dyDescent="0.25">
      <c r="A14154" s="11" t="s">
        <v>27608</v>
      </c>
      <c r="B14154" s="11" t="s">
        <v>27609</v>
      </c>
      <c r="C14154" s="11" t="s">
        <v>17</v>
      </c>
      <c r="D14154" s="11" t="s">
        <v>18</v>
      </c>
      <c r="E14154" s="12" t="s">
        <v>258</v>
      </c>
      <c r="F14154" s="12" t="s">
        <v>259</v>
      </c>
      <c r="G14154" s="12" t="s">
        <v>46</v>
      </c>
      <c r="H14154" s="11" t="s">
        <v>22</v>
      </c>
      <c r="I14154" s="13" t="s">
        <v>27610</v>
      </c>
      <c r="J14154" s="14" t="str">
        <f t="shared" si="1"/>
        <v>Abrir facsímil</v>
      </c>
      <c r="K14154" s="12" t="s">
        <v>24</v>
      </c>
    </row>
    <row r="14155" spans="1:11" ht="40.049999999999997" customHeight="1" x14ac:dyDescent="0.25">
      <c r="A14155" s="11" t="s">
        <v>27611</v>
      </c>
      <c r="B14155" s="11" t="s">
        <v>27612</v>
      </c>
      <c r="C14155" s="11" t="s">
        <v>17</v>
      </c>
      <c r="D14155" s="11" t="s">
        <v>18</v>
      </c>
      <c r="E14155" s="12" t="s">
        <v>258</v>
      </c>
      <c r="F14155" s="12" t="s">
        <v>259</v>
      </c>
      <c r="G14155" s="12" t="s">
        <v>46</v>
      </c>
      <c r="H14155" s="11" t="s">
        <v>22</v>
      </c>
      <c r="I14155" s="13" t="s">
        <v>27613</v>
      </c>
      <c r="J14155" s="14" t="str">
        <f t="shared" si="1"/>
        <v>Abrir facsímil</v>
      </c>
      <c r="K14155" s="12" t="s">
        <v>24</v>
      </c>
    </row>
    <row r="14156" spans="1:11" ht="40.049999999999997" customHeight="1" x14ac:dyDescent="0.25">
      <c r="A14156" s="11" t="s">
        <v>27614</v>
      </c>
      <c r="B14156" s="11" t="s">
        <v>27615</v>
      </c>
      <c r="C14156" s="11" t="s">
        <v>17</v>
      </c>
      <c r="D14156" s="11" t="s">
        <v>18</v>
      </c>
      <c r="E14156" s="12" t="s">
        <v>258</v>
      </c>
      <c r="F14156" s="12" t="s">
        <v>259</v>
      </c>
      <c r="G14156" s="12" t="s">
        <v>46</v>
      </c>
      <c r="H14156" s="11" t="s">
        <v>22</v>
      </c>
      <c r="I14156" s="13" t="s">
        <v>27616</v>
      </c>
      <c r="J14156" s="14" t="str">
        <f t="shared" si="1"/>
        <v>Abrir facsímil</v>
      </c>
      <c r="K14156" s="12" t="s">
        <v>24</v>
      </c>
    </row>
    <row r="14157" spans="1:11" ht="40.049999999999997" customHeight="1" x14ac:dyDescent="0.25">
      <c r="A14157" s="11" t="s">
        <v>27617</v>
      </c>
      <c r="B14157" s="11" t="s">
        <v>27618</v>
      </c>
      <c r="C14157" s="11" t="s">
        <v>59</v>
      </c>
      <c r="D14157" s="11" t="s">
        <v>60</v>
      </c>
      <c r="E14157" s="12" t="s">
        <v>1123</v>
      </c>
      <c r="F14157" s="12" t="s">
        <v>1124</v>
      </c>
      <c r="G14157" s="12" t="s">
        <v>21</v>
      </c>
      <c r="H14157" s="11" t="s">
        <v>63</v>
      </c>
      <c r="I14157" s="13" t="s">
        <v>27619</v>
      </c>
      <c r="J14157" s="14" t="str">
        <f>HYPERLINK("https://www.boe.es/gazeta/dias/1839/08/10/pdfs/GMD-1839-1730.pdf#page=4","Abrir facsímil")</f>
        <v>Abrir facsímil</v>
      </c>
      <c r="K14157" s="12" t="s">
        <v>65</v>
      </c>
    </row>
    <row r="14158" spans="1:11" ht="40.049999999999997" customHeight="1" x14ac:dyDescent="0.25">
      <c r="A14158" s="11" t="s">
        <v>27620</v>
      </c>
      <c r="B14158" s="11" t="s">
        <v>27621</v>
      </c>
      <c r="C14158" s="11" t="s">
        <v>17</v>
      </c>
      <c r="D14158" s="11" t="s">
        <v>18</v>
      </c>
      <c r="E14158" s="12" t="s">
        <v>2210</v>
      </c>
      <c r="F14158" s="12" t="s">
        <v>2211</v>
      </c>
      <c r="G14158" s="12" t="s">
        <v>46</v>
      </c>
      <c r="H14158" s="11" t="s">
        <v>63</v>
      </c>
      <c r="I14158" s="13" t="s">
        <v>27622</v>
      </c>
      <c r="J14158" s="14" t="str">
        <f>HYPERLINK("https://www.boe.es/gazeta/dias/1839/09/05/pdfs/GMD-1839-1758.pdf#page=3","Abrir facsímil")</f>
        <v>Abrir facsímil</v>
      </c>
      <c r="K14158" s="12" t="s">
        <v>65</v>
      </c>
    </row>
    <row r="14159" spans="1:11" ht="40.049999999999997" customHeight="1" x14ac:dyDescent="0.25">
      <c r="A14159" s="11" t="s">
        <v>27620</v>
      </c>
      <c r="B14159" s="11" t="s">
        <v>27621</v>
      </c>
      <c r="C14159" s="11" t="s">
        <v>137</v>
      </c>
      <c r="D14159" s="11" t="s">
        <v>18</v>
      </c>
      <c r="E14159" s="12" t="s">
        <v>254</v>
      </c>
      <c r="F14159" s="12" t="s">
        <v>255</v>
      </c>
      <c r="G14159" s="12" t="s">
        <v>40</v>
      </c>
      <c r="H14159" s="11" t="s">
        <v>63</v>
      </c>
      <c r="I14159" s="13" t="s">
        <v>27623</v>
      </c>
      <c r="J14159" s="14" t="str">
        <f>HYPERLINK("https://www.boe.es/gazeta/dias/1839/09/12/pdfs/GMD-1839-1765.pdf#page=2","Abrir facsímil")</f>
        <v>Abrir facsímil</v>
      </c>
      <c r="K14159" s="12" t="s">
        <v>65</v>
      </c>
    </row>
    <row r="14160" spans="1:11" ht="40.049999999999997" customHeight="1" x14ac:dyDescent="0.25">
      <c r="A14160" s="11" t="s">
        <v>27620</v>
      </c>
      <c r="B14160" s="11" t="s">
        <v>27621</v>
      </c>
      <c r="C14160" s="11" t="s">
        <v>101</v>
      </c>
      <c r="D14160" s="11" t="s">
        <v>43</v>
      </c>
      <c r="E14160" s="12" t="s">
        <v>571</v>
      </c>
      <c r="F14160" s="12" t="s">
        <v>572</v>
      </c>
      <c r="G14160" s="12" t="s">
        <v>40</v>
      </c>
      <c r="H14160" s="11" t="s">
        <v>63</v>
      </c>
      <c r="I14160" s="13" t="s">
        <v>27624</v>
      </c>
      <c r="J14160" s="14" t="str">
        <f>HYPERLINK("https://www.boe.es/gazeta/dias/1839/09/27/pdfs/GMD-1839-1783.pdf#page=2","Abrir facsímil")</f>
        <v>Abrir facsímil</v>
      </c>
      <c r="K14160" s="12" t="s">
        <v>65</v>
      </c>
    </row>
    <row r="14161" spans="1:11" ht="40.049999999999997" customHeight="1" x14ac:dyDescent="0.25">
      <c r="A14161" s="11" t="s">
        <v>27620</v>
      </c>
      <c r="B14161" s="11" t="s">
        <v>27621</v>
      </c>
      <c r="C14161" s="11" t="s">
        <v>17</v>
      </c>
      <c r="D14161" s="11" t="s">
        <v>18</v>
      </c>
      <c r="E14161" s="12" t="s">
        <v>1988</v>
      </c>
      <c r="F14161" s="12" t="s">
        <v>1989</v>
      </c>
      <c r="G14161" s="12" t="s">
        <v>40</v>
      </c>
      <c r="H14161" s="11" t="s">
        <v>63</v>
      </c>
      <c r="I14161" s="13" t="s">
        <v>27625</v>
      </c>
      <c r="J14161" s="14" t="str">
        <f>HYPERLINK("https://www.boe.es/gazeta/dias/1839/10/29/pdfs/GMD-1839-1815.pdf#page=2","Abrir facsímil")</f>
        <v>Abrir facsímil</v>
      </c>
      <c r="K14161" s="12" t="s">
        <v>65</v>
      </c>
    </row>
    <row r="14162" spans="1:11" ht="40.049999999999997" customHeight="1" x14ac:dyDescent="0.25">
      <c r="A14162" s="11" t="s">
        <v>27626</v>
      </c>
      <c r="B14162" s="11" t="s">
        <v>27627</v>
      </c>
      <c r="C14162" s="11" t="s">
        <v>17</v>
      </c>
      <c r="D14162" s="11" t="s">
        <v>18</v>
      </c>
      <c r="E14162" s="12" t="s">
        <v>1012</v>
      </c>
      <c r="F14162" s="12" t="s">
        <v>1013</v>
      </c>
      <c r="G14162" s="12" t="s">
        <v>29</v>
      </c>
      <c r="H14162" s="11" t="s">
        <v>63</v>
      </c>
      <c r="I14162" s="13" t="s">
        <v>27628</v>
      </c>
      <c r="J14162" s="14" t="str">
        <f>HYPERLINK("https://www.boe.es/gazeta/dias/1839/11/22/pdfs/GMD-1839-1839.pdf#page=1","Abrir facsímil")</f>
        <v>Abrir facsímil</v>
      </c>
      <c r="K14162" s="12" t="s">
        <v>65</v>
      </c>
    </row>
    <row r="14163" spans="1:11" ht="40.049999999999997" customHeight="1" x14ac:dyDescent="0.25">
      <c r="A14163" s="11" t="s">
        <v>27629</v>
      </c>
      <c r="B14163" s="11" t="s">
        <v>27630</v>
      </c>
      <c r="C14163" s="11" t="s">
        <v>59</v>
      </c>
      <c r="D14163" s="11" t="s">
        <v>60</v>
      </c>
      <c r="E14163" s="12" t="s">
        <v>346</v>
      </c>
      <c r="F14163" s="12" t="s">
        <v>347</v>
      </c>
      <c r="G14163" s="12" t="s">
        <v>29</v>
      </c>
      <c r="H14163" s="11" t="s">
        <v>63</v>
      </c>
      <c r="I14163" s="13" t="s">
        <v>27631</v>
      </c>
      <c r="J14163" s="14" t="str">
        <f>HYPERLINK("https://www.boe.es/gazeta/dias/1839/03/24/pdfs/GMD-1839-1590.pdf#page=1","Abrir facsímil")</f>
        <v>Abrir facsímil</v>
      </c>
      <c r="K14163" s="12" t="s">
        <v>65</v>
      </c>
    </row>
    <row r="14164" spans="1:11" ht="40.049999999999997" customHeight="1" x14ac:dyDescent="0.25">
      <c r="A14164" s="11" t="s">
        <v>27632</v>
      </c>
      <c r="B14164" s="11" t="s">
        <v>27633</v>
      </c>
      <c r="C14164" s="11" t="s">
        <v>17</v>
      </c>
      <c r="D14164" s="11" t="s">
        <v>18</v>
      </c>
      <c r="E14164" s="12" t="s">
        <v>369</v>
      </c>
      <c r="F14164" s="12" t="s">
        <v>370</v>
      </c>
      <c r="G14164" s="12" t="s">
        <v>40</v>
      </c>
      <c r="H14164" s="11" t="s">
        <v>63</v>
      </c>
      <c r="I14164" s="13" t="s">
        <v>27634</v>
      </c>
      <c r="J14164" s="14" t="str">
        <f>HYPERLINK("https://www.boe.es/gazeta/dias/1839/11/01/pdfs/GMD-1839-1818.pdf#page=2","Abrir facsímil")</f>
        <v>Abrir facsímil</v>
      </c>
      <c r="K14164" s="12" t="s">
        <v>65</v>
      </c>
    </row>
    <row r="14165" spans="1:11" ht="40.049999999999997" customHeight="1" x14ac:dyDescent="0.25">
      <c r="A14165" s="11" t="s">
        <v>27635</v>
      </c>
      <c r="B14165" s="11" t="s">
        <v>27636</v>
      </c>
      <c r="C14165" s="11" t="s">
        <v>17</v>
      </c>
      <c r="D14165" s="11" t="s">
        <v>18</v>
      </c>
      <c r="E14165" s="12" t="s">
        <v>433</v>
      </c>
      <c r="F14165" s="12" t="s">
        <v>434</v>
      </c>
      <c r="G14165" s="12" t="s">
        <v>46</v>
      </c>
      <c r="H14165" s="11" t="s">
        <v>63</v>
      </c>
      <c r="I14165" s="13" t="s">
        <v>27637</v>
      </c>
      <c r="J14165" s="14" t="str">
        <f>HYPERLINK("https://www.boe.es/gazeta/dias/1839/01/20/pdfs/GMD-1839-1527.pdf#page=3","Abrir facsímil")</f>
        <v>Abrir facsímil</v>
      </c>
      <c r="K14165" s="12" t="s">
        <v>65</v>
      </c>
    </row>
    <row r="14166" spans="1:11" ht="40.049999999999997" customHeight="1" x14ac:dyDescent="0.25">
      <c r="A14166" s="11" t="s">
        <v>27638</v>
      </c>
      <c r="B14166" s="11" t="s">
        <v>27639</v>
      </c>
      <c r="C14166" s="11" t="s">
        <v>59</v>
      </c>
      <c r="D14166" s="11" t="s">
        <v>60</v>
      </c>
      <c r="E14166" s="12" t="s">
        <v>2050</v>
      </c>
      <c r="F14166" s="12" t="s">
        <v>2051</v>
      </c>
      <c r="G14166" s="12" t="s">
        <v>40</v>
      </c>
      <c r="H14166" s="11" t="s">
        <v>63</v>
      </c>
      <c r="I14166" s="13" t="s">
        <v>27640</v>
      </c>
      <c r="J14166" s="14" t="str">
        <f>HYPERLINK("https://www.boe.es/gazeta/dias/1839/01/09/pdfs/GMD-1839-1516.pdf#page=2","Abrir facsímil")</f>
        <v>Abrir facsímil</v>
      </c>
      <c r="K14166" s="12" t="s">
        <v>65</v>
      </c>
    </row>
    <row r="14167" spans="1:11" ht="40.049999999999997" customHeight="1" x14ac:dyDescent="0.25">
      <c r="A14167" s="11" t="s">
        <v>27641</v>
      </c>
      <c r="B14167" s="11" t="s">
        <v>27642</v>
      </c>
      <c r="C14167" s="11" t="s">
        <v>137</v>
      </c>
      <c r="D14167" s="11" t="s">
        <v>18</v>
      </c>
      <c r="E14167" s="12" t="s">
        <v>804</v>
      </c>
      <c r="F14167" s="12" t="s">
        <v>805</v>
      </c>
      <c r="G14167" s="12" t="s">
        <v>29</v>
      </c>
      <c r="H14167" s="11" t="s">
        <v>63</v>
      </c>
      <c r="I14167" s="13" t="s">
        <v>27643</v>
      </c>
      <c r="J14167" s="14" t="str">
        <f>HYPERLINK("https://www.boe.es/gazeta/dias/1839/01/08/pdfs/GMD-1839-1515.pdf#page=1","Abrir facsímil")</f>
        <v>Abrir facsímil</v>
      </c>
      <c r="K14167" s="12" t="s">
        <v>65</v>
      </c>
    </row>
    <row r="14168" spans="1:11" ht="40.049999999999997" customHeight="1" x14ac:dyDescent="0.25">
      <c r="A14168" s="11" t="s">
        <v>27644</v>
      </c>
      <c r="B14168" s="11" t="s">
        <v>27645</v>
      </c>
      <c r="C14168" s="11" t="s">
        <v>137</v>
      </c>
      <c r="D14168" s="11" t="s">
        <v>18</v>
      </c>
      <c r="E14168" s="12" t="s">
        <v>647</v>
      </c>
      <c r="F14168" s="12" t="s">
        <v>648</v>
      </c>
      <c r="G14168" s="12" t="s">
        <v>566</v>
      </c>
      <c r="H14168" s="11" t="s">
        <v>63</v>
      </c>
      <c r="I14168" s="13" t="s">
        <v>27646</v>
      </c>
      <c r="J14168" s="14" t="str">
        <f>HYPERLINK("https://www.boe.es/gazeta/dias/1839/10/08/pdfs/GMD-1839-1794.pdf#page=5","Abrir facsímil")</f>
        <v>Abrir facsímil</v>
      </c>
      <c r="K14168" s="12" t="s">
        <v>65</v>
      </c>
    </row>
    <row r="14169" spans="1:11" ht="40.049999999999997" customHeight="1" x14ac:dyDescent="0.25">
      <c r="A14169" s="11" t="s">
        <v>27647</v>
      </c>
      <c r="B14169" s="11" t="s">
        <v>27648</v>
      </c>
      <c r="C14169" s="11" t="s">
        <v>17</v>
      </c>
      <c r="D14169" s="11" t="s">
        <v>18</v>
      </c>
      <c r="E14169" s="12" t="s">
        <v>258</v>
      </c>
      <c r="F14169" s="12" t="s">
        <v>259</v>
      </c>
      <c r="G14169" s="12" t="s">
        <v>46</v>
      </c>
      <c r="H14169" s="11" t="s">
        <v>63</v>
      </c>
      <c r="I14169" s="13" t="s">
        <v>27649</v>
      </c>
      <c r="J14169" s="14" t="str">
        <f>HYPERLINK("https://www.boe.es/gazeta/dias/1839/01/02/pdfs/GMD-1839-1509.pdf#page=3","Abrir facsímil")</f>
        <v>Abrir facsímil</v>
      </c>
      <c r="K14169" s="12" t="s">
        <v>65</v>
      </c>
    </row>
    <row r="14170" spans="1:11" ht="40.049999999999997" customHeight="1" x14ac:dyDescent="0.25">
      <c r="A14170" s="11" t="s">
        <v>27650</v>
      </c>
      <c r="B14170" s="11" t="s">
        <v>27651</v>
      </c>
      <c r="C14170" s="11" t="s">
        <v>17</v>
      </c>
      <c r="D14170" s="11" t="s">
        <v>18</v>
      </c>
      <c r="E14170" s="12" t="s">
        <v>479</v>
      </c>
      <c r="F14170" s="12" t="s">
        <v>480</v>
      </c>
      <c r="G14170" s="12" t="s">
        <v>29</v>
      </c>
      <c r="H14170" s="11" t="s">
        <v>63</v>
      </c>
      <c r="I14170" s="13" t="s">
        <v>27652</v>
      </c>
      <c r="J14170" s="14" t="str">
        <f>HYPERLINK("https://www.boe.es/gazeta/dias/1839/06/24/pdfs/GMD-1839-1682.pdf#page=1","Abrir facsímil")</f>
        <v>Abrir facsímil</v>
      </c>
      <c r="K14170" s="12" t="s">
        <v>65</v>
      </c>
    </row>
    <row r="14171" spans="1:11" ht="40.049999999999997" customHeight="1" x14ac:dyDescent="0.25">
      <c r="A14171" s="11" t="s">
        <v>27653</v>
      </c>
      <c r="B14171" s="11" t="s">
        <v>27654</v>
      </c>
      <c r="C14171" s="11" t="s">
        <v>17</v>
      </c>
      <c r="D14171" s="11" t="s">
        <v>18</v>
      </c>
      <c r="E14171" s="12" t="s">
        <v>291</v>
      </c>
      <c r="F14171" s="12" t="s">
        <v>292</v>
      </c>
      <c r="G14171" s="12" t="s">
        <v>40</v>
      </c>
      <c r="H14171" s="11" t="s">
        <v>63</v>
      </c>
      <c r="I14171" s="13" t="s">
        <v>27655</v>
      </c>
      <c r="J14171" s="14" t="str">
        <f>HYPERLINK("https://www.boe.es/gazeta/dias/1839/09/04/pdfs/GMD-1839-1757.pdf#page=2","Abrir facsímil")</f>
        <v>Abrir facsímil</v>
      </c>
      <c r="K14171" s="12" t="s">
        <v>65</v>
      </c>
    </row>
    <row r="14172" spans="1:11" ht="40.049999999999997" customHeight="1" x14ac:dyDescent="0.25">
      <c r="A14172" s="11" t="s">
        <v>27656</v>
      </c>
      <c r="B14172" s="11" t="s">
        <v>27657</v>
      </c>
      <c r="C14172" s="11" t="s">
        <v>137</v>
      </c>
      <c r="D14172" s="11" t="s">
        <v>18</v>
      </c>
      <c r="E14172" s="12" t="s">
        <v>798</v>
      </c>
      <c r="F14172" s="12" t="s">
        <v>799</v>
      </c>
      <c r="G14172" s="12" t="s">
        <v>40</v>
      </c>
      <c r="H14172" s="11" t="s">
        <v>63</v>
      </c>
      <c r="I14172" s="13" t="s">
        <v>27658</v>
      </c>
      <c r="J14172" s="14" t="str">
        <f>HYPERLINK("https://www.boe.es/gazeta/dias/1839/09/03/pdfs/GMD-1839-1755.pdf#page=2","Abrir facsímil")</f>
        <v>Abrir facsímil</v>
      </c>
      <c r="K14172" s="12" t="s">
        <v>65</v>
      </c>
    </row>
    <row r="14173" spans="1:11" ht="40.049999999999997" customHeight="1" x14ac:dyDescent="0.25">
      <c r="A14173" s="11" t="s">
        <v>27659</v>
      </c>
      <c r="B14173" s="11" t="s">
        <v>27660</v>
      </c>
      <c r="C14173" s="11" t="s">
        <v>17</v>
      </c>
      <c r="D14173" s="11" t="s">
        <v>18</v>
      </c>
      <c r="E14173" s="12" t="s">
        <v>1072</v>
      </c>
      <c r="F14173" s="12" t="s">
        <v>1073</v>
      </c>
      <c r="G14173" s="12" t="s">
        <v>29</v>
      </c>
      <c r="H14173" s="11" t="s">
        <v>63</v>
      </c>
      <c r="I14173" s="13" t="s">
        <v>27661</v>
      </c>
      <c r="J14173" s="14" t="str">
        <f>HYPERLINK("https://www.boe.es/gazeta/dias/1839/01/18/pdfs/GMD-1839-1525.pdf#page=1","Abrir facsímil")</f>
        <v>Abrir facsímil</v>
      </c>
      <c r="K14173" s="12" t="s">
        <v>65</v>
      </c>
    </row>
    <row r="14174" spans="1:11" ht="40.049999999999997" customHeight="1" x14ac:dyDescent="0.25">
      <c r="A14174" s="11" t="s">
        <v>27662</v>
      </c>
      <c r="B14174" s="11" t="s">
        <v>27663</v>
      </c>
      <c r="C14174" s="11" t="s">
        <v>80</v>
      </c>
      <c r="D14174" s="11" t="s">
        <v>18</v>
      </c>
      <c r="E14174" s="12" t="s">
        <v>349</v>
      </c>
      <c r="F14174" s="12" t="s">
        <v>350</v>
      </c>
      <c r="G14174" s="12" t="s">
        <v>40</v>
      </c>
      <c r="H14174" s="11" t="s">
        <v>63</v>
      </c>
      <c r="I14174" s="13" t="s">
        <v>27664</v>
      </c>
      <c r="J14174" s="14" t="str">
        <f>HYPERLINK("https://www.boe.es/gazeta/dias/1839/12/25/pdfs/GMD-1839-1872.pdf#page=2","Abrir facsímil")</f>
        <v>Abrir facsímil</v>
      </c>
      <c r="K14174" s="12" t="s">
        <v>65</v>
      </c>
    </row>
    <row r="14175" spans="1:11" ht="40.049999999999997" customHeight="1" x14ac:dyDescent="0.25">
      <c r="A14175" s="11" t="s">
        <v>27665</v>
      </c>
      <c r="B14175" s="11" t="s">
        <v>27666</v>
      </c>
      <c r="C14175" s="11" t="s">
        <v>59</v>
      </c>
      <c r="D14175" s="11" t="s">
        <v>60</v>
      </c>
      <c r="E14175" s="12" t="s">
        <v>713</v>
      </c>
      <c r="F14175" s="12" t="s">
        <v>714</v>
      </c>
      <c r="G14175" s="12" t="s">
        <v>40</v>
      </c>
      <c r="H14175" s="11" t="s">
        <v>63</v>
      </c>
      <c r="I14175" s="13" t="s">
        <v>27667</v>
      </c>
      <c r="J14175" s="14" t="str">
        <f>HYPERLINK("https://www.boe.es/gazeta/dias/1839/12/18/pdfs/GMD-1839-1865.pdf#page=2","Abrir facsímil")</f>
        <v>Abrir facsímil</v>
      </c>
      <c r="K14175" s="12" t="s">
        <v>65</v>
      </c>
    </row>
    <row r="14176" spans="1:11" ht="40.049999999999997" customHeight="1" x14ac:dyDescent="0.25">
      <c r="A14176" s="11" t="s">
        <v>27668</v>
      </c>
      <c r="B14176" s="11" t="s">
        <v>27669</v>
      </c>
      <c r="C14176" s="11" t="s">
        <v>59</v>
      </c>
      <c r="D14176" s="11" t="s">
        <v>60</v>
      </c>
      <c r="E14176" s="12" t="s">
        <v>2227</v>
      </c>
      <c r="F14176" s="12" t="s">
        <v>2228</v>
      </c>
      <c r="G14176" s="12" t="s">
        <v>40</v>
      </c>
      <c r="H14176" s="11" t="s">
        <v>63</v>
      </c>
      <c r="I14176" s="13" t="s">
        <v>27670</v>
      </c>
      <c r="J14176" s="14" t="str">
        <f>HYPERLINK("https://www.boe.es/gazeta/dias/1839/12/04/pdfs/GMD-1839-1851.pdf#page=2","Abrir facsímil")</f>
        <v>Abrir facsímil</v>
      </c>
      <c r="K14176" s="12" t="s">
        <v>65</v>
      </c>
    </row>
    <row r="14177" spans="1:11" ht="40.049999999999997" customHeight="1" x14ac:dyDescent="0.25">
      <c r="A14177" s="11" t="s">
        <v>27671</v>
      </c>
      <c r="B14177" s="11" t="s">
        <v>27672</v>
      </c>
      <c r="C14177" s="11" t="s">
        <v>17</v>
      </c>
      <c r="D14177" s="11" t="s">
        <v>18</v>
      </c>
      <c r="E14177" s="12" t="s">
        <v>254</v>
      </c>
      <c r="F14177" s="12" t="s">
        <v>255</v>
      </c>
      <c r="G14177" s="12" t="s">
        <v>40</v>
      </c>
      <c r="H14177" s="11" t="s">
        <v>63</v>
      </c>
      <c r="I14177" s="13" t="s">
        <v>27673</v>
      </c>
      <c r="J14177" s="14" t="str">
        <f>HYPERLINK("https://www.boe.es/gazeta/dias/1839/09/12/pdfs/GMD-1839-1765.pdf#page=2","Abrir facsímil")</f>
        <v>Abrir facsímil</v>
      </c>
      <c r="K14177" s="12" t="s">
        <v>65</v>
      </c>
    </row>
    <row r="14178" spans="1:11" ht="40.049999999999997" customHeight="1" x14ac:dyDescent="0.25">
      <c r="A14178" s="11" t="s">
        <v>27674</v>
      </c>
      <c r="B14178" s="11" t="s">
        <v>27675</v>
      </c>
      <c r="C14178" s="11" t="s">
        <v>80</v>
      </c>
      <c r="D14178" s="11" t="s">
        <v>18</v>
      </c>
      <c r="E14178" s="12" t="s">
        <v>303</v>
      </c>
      <c r="F14178" s="12" t="s">
        <v>304</v>
      </c>
      <c r="G14178" s="12" t="s">
        <v>40</v>
      </c>
      <c r="H14178" s="11" t="s">
        <v>63</v>
      </c>
      <c r="I14178" s="13" t="s">
        <v>27676</v>
      </c>
      <c r="J14178" s="14" t="str">
        <f>HYPERLINK("https://www.boe.es/gazeta/dias/1839/10/06/pdfs/GMD-1839-1792.pdf#page=2","Abrir facsímil")</f>
        <v>Abrir facsímil</v>
      </c>
      <c r="K14178" s="12" t="s">
        <v>65</v>
      </c>
    </row>
    <row r="14179" spans="1:11" ht="40.049999999999997" customHeight="1" x14ac:dyDescent="0.25">
      <c r="A14179" s="11" t="s">
        <v>27677</v>
      </c>
      <c r="B14179" s="11" t="s">
        <v>27678</v>
      </c>
      <c r="C14179" s="11" t="s">
        <v>101</v>
      </c>
      <c r="D14179" s="11" t="s">
        <v>43</v>
      </c>
      <c r="E14179" s="12" t="s">
        <v>254</v>
      </c>
      <c r="F14179" s="12" t="s">
        <v>255</v>
      </c>
      <c r="G14179" s="12" t="s">
        <v>40</v>
      </c>
      <c r="H14179" s="11" t="s">
        <v>63</v>
      </c>
      <c r="I14179" s="13" t="s">
        <v>27679</v>
      </c>
      <c r="J14179" s="14" t="str">
        <f>HYPERLINK("https://www.boe.es/gazeta/dias/1839/09/12/pdfs/GMD-1839-1765.pdf#page=2","Abrir facsímil")</f>
        <v>Abrir facsímil</v>
      </c>
      <c r="K14179" s="12" t="s">
        <v>65</v>
      </c>
    </row>
    <row r="14180" spans="1:11" ht="40.049999999999997" customHeight="1" x14ac:dyDescent="0.25">
      <c r="A14180" s="11" t="s">
        <v>27680</v>
      </c>
      <c r="B14180" s="11" t="s">
        <v>27681</v>
      </c>
      <c r="C14180" s="11" t="s">
        <v>137</v>
      </c>
      <c r="D14180" s="11" t="s">
        <v>18</v>
      </c>
      <c r="E14180" s="12" t="s">
        <v>862</v>
      </c>
      <c r="F14180" s="12" t="s">
        <v>863</v>
      </c>
      <c r="G14180" s="12" t="s">
        <v>46</v>
      </c>
      <c r="H14180" s="11" t="s">
        <v>63</v>
      </c>
      <c r="I14180" s="13" t="s">
        <v>27682</v>
      </c>
      <c r="J14180" s="14" t="str">
        <f>HYPERLINK("https://www.boe.es/gazeta/dias/1839/10/28/pdfs/GMD-1839-1814.pdf#page=3","Abrir facsímil")</f>
        <v>Abrir facsímil</v>
      </c>
      <c r="K14180" s="12" t="s">
        <v>65</v>
      </c>
    </row>
    <row r="14181" spans="1:11" ht="40.049999999999997" customHeight="1" x14ac:dyDescent="0.25">
      <c r="A14181" s="11" t="s">
        <v>27683</v>
      </c>
      <c r="B14181" s="11" t="s">
        <v>27683</v>
      </c>
      <c r="C14181" s="11" t="s">
        <v>17</v>
      </c>
      <c r="D14181" s="11" t="s">
        <v>18</v>
      </c>
      <c r="E14181" s="12" t="s">
        <v>202</v>
      </c>
      <c r="F14181" s="12" t="s">
        <v>203</v>
      </c>
      <c r="G14181" s="12" t="s">
        <v>21</v>
      </c>
      <c r="H14181" s="11" t="s">
        <v>63</v>
      </c>
      <c r="I14181" s="13" t="s">
        <v>27684</v>
      </c>
      <c r="J14181" s="14" t="str">
        <f>HYPERLINK("https://www.boe.es/gazeta/dias/1839/04/05/pdfs/GMD-1839-1602.pdf#page=4","Abrir facsímil")</f>
        <v>Abrir facsímil</v>
      </c>
      <c r="K14181" s="12" t="s">
        <v>65</v>
      </c>
    </row>
    <row r="14182" spans="1:11" ht="40.049999999999997" customHeight="1" x14ac:dyDescent="0.25">
      <c r="A14182" s="11" t="s">
        <v>27685</v>
      </c>
      <c r="B14182" s="11" t="s">
        <v>27686</v>
      </c>
      <c r="C14182" s="11" t="s">
        <v>17</v>
      </c>
      <c r="D14182" s="11" t="s">
        <v>18</v>
      </c>
      <c r="E14182" s="12" t="s">
        <v>1666</v>
      </c>
      <c r="F14182" s="12" t="s">
        <v>1667</v>
      </c>
      <c r="G14182" s="12" t="s">
        <v>21</v>
      </c>
      <c r="H14182" s="11" t="s">
        <v>63</v>
      </c>
      <c r="I14182" s="13" t="s">
        <v>27687</v>
      </c>
      <c r="J14182" s="14" t="str">
        <f>HYPERLINK("https://www.boe.es/gazeta/dias/1839/04/22/pdfs/GMD-1839-1619.pdf#page=4","Abrir facsímil")</f>
        <v>Abrir facsímil</v>
      </c>
      <c r="K14182" s="12" t="s">
        <v>65</v>
      </c>
    </row>
    <row r="14183" spans="1:11" ht="40.049999999999997" customHeight="1" x14ac:dyDescent="0.25">
      <c r="A14183" s="11" t="s">
        <v>27688</v>
      </c>
      <c r="B14183" s="11" t="s">
        <v>27689</v>
      </c>
      <c r="C14183" s="11" t="s">
        <v>101</v>
      </c>
      <c r="D14183" s="11" t="s">
        <v>43</v>
      </c>
      <c r="E14183" s="12" t="s">
        <v>1356</v>
      </c>
      <c r="F14183" s="12" t="s">
        <v>1357</v>
      </c>
      <c r="G14183" s="12" t="s">
        <v>40</v>
      </c>
      <c r="H14183" s="11" t="s">
        <v>63</v>
      </c>
      <c r="I14183" s="13" t="s">
        <v>27690</v>
      </c>
      <c r="J14183" s="14" t="str">
        <f>HYPERLINK("https://www.boe.es/gazeta/dias/1839/06/05/pdfs/GMD-1839-1663.pdf#page=2","Abrir facsímil")</f>
        <v>Abrir facsímil</v>
      </c>
      <c r="K14183" s="12" t="s">
        <v>65</v>
      </c>
    </row>
    <row r="14184" spans="1:11" ht="40.049999999999997" customHeight="1" x14ac:dyDescent="0.25">
      <c r="A14184" s="11" t="s">
        <v>27691</v>
      </c>
      <c r="B14184" s="11" t="s">
        <v>27691</v>
      </c>
      <c r="C14184" s="11" t="s">
        <v>59</v>
      </c>
      <c r="D14184" s="11" t="s">
        <v>60</v>
      </c>
      <c r="E14184" s="12" t="s">
        <v>984</v>
      </c>
      <c r="F14184" s="12" t="s">
        <v>985</v>
      </c>
      <c r="G14184" s="12" t="s">
        <v>29</v>
      </c>
      <c r="H14184" s="11" t="s">
        <v>63</v>
      </c>
      <c r="I14184" s="13" t="s">
        <v>27692</v>
      </c>
      <c r="J14184" s="14" t="str">
        <f>HYPERLINK("https://www.boe.es/gazeta/dias/1839/04/10/pdfs/GMD-1839-1607.pdf#page=1","Abrir facsímil")</f>
        <v>Abrir facsímil</v>
      </c>
      <c r="K14184" s="12" t="s">
        <v>65</v>
      </c>
    </row>
    <row r="14185" spans="1:11" ht="40.049999999999997" customHeight="1" x14ac:dyDescent="0.25">
      <c r="A14185" s="11" t="s">
        <v>27693</v>
      </c>
      <c r="B14185" s="11" t="s">
        <v>27693</v>
      </c>
      <c r="C14185" s="11" t="s">
        <v>17</v>
      </c>
      <c r="D14185" s="11" t="s">
        <v>18</v>
      </c>
      <c r="E14185" s="12" t="s">
        <v>258</v>
      </c>
      <c r="F14185" s="12" t="s">
        <v>259</v>
      </c>
      <c r="G14185" s="12" t="s">
        <v>40</v>
      </c>
      <c r="H14185" s="11" t="s">
        <v>63</v>
      </c>
      <c r="I14185" s="13" t="s">
        <v>27694</v>
      </c>
      <c r="J14185" s="14" t="str">
        <f>HYPERLINK("https://www.boe.es/gazeta/dias/1839/01/02/pdfs/GMD-1839-1509.pdf#page=2","Abrir facsímil")</f>
        <v>Abrir facsímil</v>
      </c>
      <c r="K14185" s="12" t="s">
        <v>65</v>
      </c>
    </row>
    <row r="14186" spans="1:11" ht="40.049999999999997" customHeight="1" x14ac:dyDescent="0.25">
      <c r="A14186" s="11" t="s">
        <v>27695</v>
      </c>
      <c r="B14186" s="11" t="s">
        <v>27695</v>
      </c>
      <c r="C14186" s="11" t="s">
        <v>17</v>
      </c>
      <c r="D14186" s="11" t="s">
        <v>18</v>
      </c>
      <c r="E14186" s="12" t="s">
        <v>1001</v>
      </c>
      <c r="F14186" s="12" t="s">
        <v>1002</v>
      </c>
      <c r="G14186" s="12" t="s">
        <v>40</v>
      </c>
      <c r="H14186" s="11" t="s">
        <v>63</v>
      </c>
      <c r="I14186" s="13" t="s">
        <v>27696</v>
      </c>
      <c r="J14186" s="14" t="str">
        <f>HYPERLINK("https://www.boe.es/gazeta/dias/1839/07/09/pdfs/GMD-1839-1697.pdf#page=2","Abrir facsímil")</f>
        <v>Abrir facsímil</v>
      </c>
      <c r="K14186" s="12" t="s">
        <v>65</v>
      </c>
    </row>
    <row r="14187" spans="1:11" ht="40.049999999999997" customHeight="1" x14ac:dyDescent="0.25">
      <c r="A14187" s="11" t="s">
        <v>27697</v>
      </c>
      <c r="B14187" s="11" t="s">
        <v>27697</v>
      </c>
      <c r="C14187" s="11" t="s">
        <v>17</v>
      </c>
      <c r="D14187" s="11" t="s">
        <v>18</v>
      </c>
      <c r="E14187" s="12" t="s">
        <v>128</v>
      </c>
      <c r="F14187" s="12" t="s">
        <v>129</v>
      </c>
      <c r="G14187" s="12" t="s">
        <v>21</v>
      </c>
      <c r="H14187" s="11" t="s">
        <v>63</v>
      </c>
      <c r="I14187" s="13" t="s">
        <v>27698</v>
      </c>
      <c r="J14187" s="14" t="str">
        <f>HYPERLINK("https://www.boe.es/gazeta/dias/1839/05/25/pdfs/GMD-1839-1652.pdf#page=4","Abrir facsímil")</f>
        <v>Abrir facsímil</v>
      </c>
      <c r="K14187" s="12" t="s">
        <v>65</v>
      </c>
    </row>
    <row r="14188" spans="1:11" ht="40.049999999999997" customHeight="1" x14ac:dyDescent="0.25">
      <c r="A14188" s="11" t="s">
        <v>27699</v>
      </c>
      <c r="B14188" s="11" t="s">
        <v>27699</v>
      </c>
      <c r="C14188" s="11" t="s">
        <v>80</v>
      </c>
      <c r="D14188" s="11" t="s">
        <v>18</v>
      </c>
      <c r="E14188" s="12" t="s">
        <v>3566</v>
      </c>
      <c r="F14188" s="12" t="s">
        <v>3567</v>
      </c>
      <c r="G14188" s="12" t="s">
        <v>29</v>
      </c>
      <c r="H14188" s="11" t="s">
        <v>63</v>
      </c>
      <c r="I14188" s="13" t="s">
        <v>27700</v>
      </c>
      <c r="J14188" s="14" t="str">
        <f>HYPERLINK("https://www.boe.es/gazeta/dias/1839/07/06/pdfs/GMD-1839-1694.pdf#page=1","Abrir facsímil")</f>
        <v>Abrir facsímil</v>
      </c>
      <c r="K14188" s="12" t="s">
        <v>65</v>
      </c>
    </row>
    <row r="14189" spans="1:11" ht="40.049999999999997" customHeight="1" x14ac:dyDescent="0.25">
      <c r="A14189" s="11" t="s">
        <v>27701</v>
      </c>
      <c r="B14189" s="11" t="s">
        <v>27701</v>
      </c>
      <c r="C14189" s="11" t="s">
        <v>17</v>
      </c>
      <c r="D14189" s="11" t="s">
        <v>18</v>
      </c>
      <c r="E14189" s="12" t="s">
        <v>132</v>
      </c>
      <c r="F14189" s="12" t="s">
        <v>133</v>
      </c>
      <c r="G14189" s="12" t="s">
        <v>29</v>
      </c>
      <c r="H14189" s="11" t="s">
        <v>63</v>
      </c>
      <c r="I14189" s="13" t="s">
        <v>27702</v>
      </c>
      <c r="J14189" s="14" t="str">
        <f>HYPERLINK("https://www.boe.es/gazeta/dias/1839/08/02/pdfs/GMD-1839-1722.pdf#page=1","Abrir facsímil")</f>
        <v>Abrir facsímil</v>
      </c>
      <c r="K14189" s="12" t="s">
        <v>65</v>
      </c>
    </row>
    <row r="14190" spans="1:11" ht="40.049999999999997" customHeight="1" x14ac:dyDescent="0.25">
      <c r="A14190" s="11" t="s">
        <v>27701</v>
      </c>
      <c r="B14190" s="11" t="s">
        <v>27701</v>
      </c>
      <c r="C14190" s="11" t="s">
        <v>59</v>
      </c>
      <c r="D14190" s="11" t="s">
        <v>60</v>
      </c>
      <c r="E14190" s="12" t="s">
        <v>1388</v>
      </c>
      <c r="F14190" s="12" t="s">
        <v>1389</v>
      </c>
      <c r="G14190" s="12" t="s">
        <v>40</v>
      </c>
      <c r="H14190" s="11" t="s">
        <v>63</v>
      </c>
      <c r="I14190" s="13" t="s">
        <v>27703</v>
      </c>
      <c r="J14190" s="14" t="str">
        <f>HYPERLINK("https://www.boe.es/gazeta/dias/1839/06/04/pdfs/GMD-1839-1662.pdf#page=2","Abrir facsímil")</f>
        <v>Abrir facsímil</v>
      </c>
      <c r="K14190" s="12" t="s">
        <v>65</v>
      </c>
    </row>
    <row r="14191" spans="1:11" ht="40.049999999999997" customHeight="1" x14ac:dyDescent="0.25">
      <c r="A14191" s="11" t="s">
        <v>27701</v>
      </c>
      <c r="B14191" s="11" t="s">
        <v>27701</v>
      </c>
      <c r="C14191" s="11" t="s">
        <v>17</v>
      </c>
      <c r="D14191" s="11" t="s">
        <v>18</v>
      </c>
      <c r="E14191" s="12" t="s">
        <v>1356</v>
      </c>
      <c r="F14191" s="12" t="s">
        <v>1357</v>
      </c>
      <c r="G14191" s="12" t="s">
        <v>46</v>
      </c>
      <c r="H14191" s="11" t="s">
        <v>63</v>
      </c>
      <c r="I14191" s="13" t="s">
        <v>27704</v>
      </c>
      <c r="J14191" s="14" t="str">
        <f>HYPERLINK("https://www.boe.es/gazeta/dias/1839/06/05/pdfs/GMD-1839-1663.pdf#page=3","Abrir facsímil")</f>
        <v>Abrir facsímil</v>
      </c>
      <c r="K14191" s="12" t="s">
        <v>65</v>
      </c>
    </row>
    <row r="14192" spans="1:11" ht="40.049999999999997" customHeight="1" x14ac:dyDescent="0.25">
      <c r="A14192" s="11" t="s">
        <v>27701</v>
      </c>
      <c r="B14192" s="11" t="s">
        <v>27701</v>
      </c>
      <c r="C14192" s="11" t="s">
        <v>17</v>
      </c>
      <c r="D14192" s="11" t="s">
        <v>18</v>
      </c>
      <c r="E14192" s="12" t="s">
        <v>303</v>
      </c>
      <c r="F14192" s="12" t="s">
        <v>304</v>
      </c>
      <c r="G14192" s="12" t="s">
        <v>29</v>
      </c>
      <c r="H14192" s="11" t="s">
        <v>63</v>
      </c>
      <c r="I14192" s="13" t="s">
        <v>27705</v>
      </c>
      <c r="J14192" s="14" t="str">
        <f>HYPERLINK("https://www.boe.es/gazeta/dias/1839/10/06/pdfs/GMD-1839-1792.pdf#page=1","Abrir facsímil")</f>
        <v>Abrir facsímil</v>
      </c>
      <c r="K14192" s="12" t="s">
        <v>65</v>
      </c>
    </row>
    <row r="14193" spans="1:11" ht="40.049999999999997" customHeight="1" x14ac:dyDescent="0.25">
      <c r="A14193" s="11" t="s">
        <v>27701</v>
      </c>
      <c r="B14193" s="11" t="s">
        <v>27701</v>
      </c>
      <c r="C14193" s="11" t="s">
        <v>59</v>
      </c>
      <c r="D14193" s="11" t="s">
        <v>60</v>
      </c>
      <c r="E14193" s="12" t="s">
        <v>426</v>
      </c>
      <c r="F14193" s="12" t="s">
        <v>427</v>
      </c>
      <c r="G14193" s="12" t="s">
        <v>40</v>
      </c>
      <c r="H14193" s="11" t="s">
        <v>63</v>
      </c>
      <c r="I14193" s="13" t="s">
        <v>27706</v>
      </c>
      <c r="J14193" s="14" t="str">
        <f>HYPERLINK("https://www.boe.es/gazeta/dias/1839/08/11/pdfs/GMD-1839-1731.pdf#page=2","Abrir facsímil")</f>
        <v>Abrir facsímil</v>
      </c>
      <c r="K14193" s="12" t="s">
        <v>65</v>
      </c>
    </row>
    <row r="14194" spans="1:11" ht="40.049999999999997" customHeight="1" x14ac:dyDescent="0.25">
      <c r="A14194" s="11" t="s">
        <v>27701</v>
      </c>
      <c r="B14194" s="11" t="s">
        <v>27701</v>
      </c>
      <c r="C14194" s="11" t="s">
        <v>17</v>
      </c>
      <c r="D14194" s="11" t="s">
        <v>18</v>
      </c>
      <c r="E14194" s="12" t="s">
        <v>507</v>
      </c>
      <c r="F14194" s="12" t="s">
        <v>508</v>
      </c>
      <c r="G14194" s="12" t="s">
        <v>40</v>
      </c>
      <c r="H14194" s="11" t="s">
        <v>63</v>
      </c>
      <c r="I14194" s="13" t="s">
        <v>27707</v>
      </c>
      <c r="J14194" s="14" t="str">
        <f>HYPERLINK("https://www.boe.es/gazeta/dias/1839/08/12/pdfs/GMD-1839-1732.pdf#page=2","Abrir facsímil")</f>
        <v>Abrir facsímil</v>
      </c>
      <c r="K14194" s="12" t="s">
        <v>65</v>
      </c>
    </row>
    <row r="14195" spans="1:11" ht="40.049999999999997" customHeight="1" x14ac:dyDescent="0.25">
      <c r="A14195" s="11" t="s">
        <v>27701</v>
      </c>
      <c r="B14195" s="11" t="s">
        <v>27701</v>
      </c>
      <c r="C14195" s="11" t="s">
        <v>101</v>
      </c>
      <c r="D14195" s="11" t="s">
        <v>43</v>
      </c>
      <c r="E14195" s="12" t="s">
        <v>336</v>
      </c>
      <c r="F14195" s="12" t="s">
        <v>337</v>
      </c>
      <c r="G14195" s="12" t="s">
        <v>40</v>
      </c>
      <c r="H14195" s="11" t="s">
        <v>63</v>
      </c>
      <c r="I14195" s="13" t="s">
        <v>27708</v>
      </c>
      <c r="J14195" s="14" t="str">
        <f>HYPERLINK("https://www.boe.es/gazeta/dias/1839/07/14/pdfs/GMD-1839-1702.pdf#page=2","Abrir facsímil")</f>
        <v>Abrir facsímil</v>
      </c>
      <c r="K14195" s="12" t="s">
        <v>65</v>
      </c>
    </row>
    <row r="14196" spans="1:11" ht="40.049999999999997" customHeight="1" x14ac:dyDescent="0.25">
      <c r="A14196" s="11" t="s">
        <v>27701</v>
      </c>
      <c r="B14196" s="11" t="s">
        <v>27701</v>
      </c>
      <c r="C14196" s="11" t="s">
        <v>17</v>
      </c>
      <c r="D14196" s="11" t="s">
        <v>18</v>
      </c>
      <c r="E14196" s="12" t="s">
        <v>243</v>
      </c>
      <c r="F14196" s="12" t="s">
        <v>244</v>
      </c>
      <c r="G14196" s="12" t="s">
        <v>46</v>
      </c>
      <c r="H14196" s="11" t="s">
        <v>63</v>
      </c>
      <c r="I14196" s="13" t="s">
        <v>27709</v>
      </c>
      <c r="J14196" s="14" t="str">
        <f>HYPERLINK("https://www.boe.es/gazeta/dias/1839/09/23/pdfs/GMD-1839-1779.pdf#page=3","Abrir facsímil")</f>
        <v>Abrir facsímil</v>
      </c>
      <c r="K14196" s="12" t="s">
        <v>65</v>
      </c>
    </row>
    <row r="14197" spans="1:11" ht="40.049999999999997" customHeight="1" x14ac:dyDescent="0.25">
      <c r="A14197" s="11" t="s">
        <v>27701</v>
      </c>
      <c r="B14197" s="11" t="s">
        <v>27701</v>
      </c>
      <c r="C14197" s="11" t="s">
        <v>59</v>
      </c>
      <c r="D14197" s="11" t="s">
        <v>60</v>
      </c>
      <c r="E14197" s="12" t="s">
        <v>246</v>
      </c>
      <c r="F14197" s="12" t="s">
        <v>247</v>
      </c>
      <c r="G14197" s="12" t="s">
        <v>29</v>
      </c>
      <c r="H14197" s="11" t="s">
        <v>63</v>
      </c>
      <c r="I14197" s="13" t="s">
        <v>27710</v>
      </c>
      <c r="J14197" s="14" t="str">
        <f>HYPERLINK("https://www.boe.es/gazeta/dias/1839/11/24/pdfs/GMD-1839-1841.pdf#page=1","Abrir facsímil")</f>
        <v>Abrir facsímil</v>
      </c>
      <c r="K14197" s="12" t="s">
        <v>65</v>
      </c>
    </row>
    <row r="14198" spans="1:11" ht="40.049999999999997" customHeight="1" x14ac:dyDescent="0.25">
      <c r="A14198" s="11" t="s">
        <v>27701</v>
      </c>
      <c r="B14198" s="11" t="s">
        <v>27701</v>
      </c>
      <c r="C14198" s="11" t="s">
        <v>17</v>
      </c>
      <c r="D14198" s="11" t="s">
        <v>18</v>
      </c>
      <c r="E14198" s="12" t="s">
        <v>638</v>
      </c>
      <c r="F14198" s="12" t="s">
        <v>639</v>
      </c>
      <c r="G14198" s="12" t="s">
        <v>29</v>
      </c>
      <c r="H14198" s="11" t="s">
        <v>63</v>
      </c>
      <c r="I14198" s="13" t="s">
        <v>27711</v>
      </c>
      <c r="J14198" s="14" t="str">
        <f>HYPERLINK("https://www.boe.es/gazeta/dias/1839/08/26/pdfs/GMD-1839-1747.pdf#page=1","Abrir facsímil")</f>
        <v>Abrir facsímil</v>
      </c>
      <c r="K14198" s="12" t="s">
        <v>65</v>
      </c>
    </row>
    <row r="14199" spans="1:11" ht="40.049999999999997" customHeight="1" x14ac:dyDescent="0.25">
      <c r="A14199" s="11" t="s">
        <v>27712</v>
      </c>
      <c r="B14199" s="11" t="s">
        <v>27712</v>
      </c>
      <c r="C14199" s="11" t="s">
        <v>17</v>
      </c>
      <c r="D14199" s="11" t="s">
        <v>18</v>
      </c>
      <c r="E14199" s="12" t="s">
        <v>3134</v>
      </c>
      <c r="F14199" s="12" t="s">
        <v>3135</v>
      </c>
      <c r="G14199" s="12" t="s">
        <v>40</v>
      </c>
      <c r="H14199" s="11" t="s">
        <v>63</v>
      </c>
      <c r="I14199" s="13" t="s">
        <v>27713</v>
      </c>
      <c r="J14199" s="14" t="str">
        <f>HYPERLINK("https://www.boe.es/gazeta/dias/1839/08/09/pdfs/GMD-1839-1729.pdf#page=2","Abrir facsímil")</f>
        <v>Abrir facsímil</v>
      </c>
      <c r="K14199" s="12" t="s">
        <v>65</v>
      </c>
    </row>
    <row r="14200" spans="1:11" ht="40.049999999999997" customHeight="1" x14ac:dyDescent="0.25">
      <c r="A14200" s="11" t="s">
        <v>27714</v>
      </c>
      <c r="B14200" s="11" t="s">
        <v>27714</v>
      </c>
      <c r="C14200" s="11" t="s">
        <v>101</v>
      </c>
      <c r="D14200" s="11" t="s">
        <v>102</v>
      </c>
      <c r="E14200" s="12" t="s">
        <v>222</v>
      </c>
      <c r="F14200" s="12" t="s">
        <v>223</v>
      </c>
      <c r="G14200" s="12" t="s">
        <v>29</v>
      </c>
      <c r="H14200" s="11" t="s">
        <v>63</v>
      </c>
      <c r="I14200" s="13" t="s">
        <v>27715</v>
      </c>
      <c r="J14200" s="14" t="str">
        <f>HYPERLINK("https://www.boe.es/gazeta/dias/1839/06/22/pdfs/GMD-1839-1680.pdf#page=1","Abrir facsímil")</f>
        <v>Abrir facsímil</v>
      </c>
      <c r="K14200" s="12" t="s">
        <v>65</v>
      </c>
    </row>
    <row r="14201" spans="1:11" ht="40.049999999999997" customHeight="1" x14ac:dyDescent="0.25">
      <c r="A14201" s="11" t="s">
        <v>27716</v>
      </c>
      <c r="B14201" s="11" t="s">
        <v>27716</v>
      </c>
      <c r="C14201" s="11" t="s">
        <v>101</v>
      </c>
      <c r="D14201" s="11" t="s">
        <v>102</v>
      </c>
      <c r="E14201" s="12" t="s">
        <v>1692</v>
      </c>
      <c r="F14201" s="12" t="s">
        <v>1693</v>
      </c>
      <c r="G14201" s="12" t="s">
        <v>46</v>
      </c>
      <c r="H14201" s="11" t="s">
        <v>63</v>
      </c>
      <c r="I14201" s="13" t="s">
        <v>27717</v>
      </c>
      <c r="J14201" s="14" t="str">
        <f>HYPERLINK("https://www.boe.es/gazeta/dias/1839/05/30/pdfs/GMD-1839-1657.pdf#page=3","Abrir facsímil")</f>
        <v>Abrir facsímil</v>
      </c>
      <c r="K14201" s="12" t="s">
        <v>65</v>
      </c>
    </row>
    <row r="14202" spans="1:11" ht="40.049999999999997" customHeight="1" x14ac:dyDescent="0.25">
      <c r="A14202" s="11" t="s">
        <v>27718</v>
      </c>
      <c r="B14202" s="11" t="s">
        <v>27718</v>
      </c>
      <c r="C14202" s="11" t="s">
        <v>80</v>
      </c>
      <c r="D14202" s="11" t="s">
        <v>18</v>
      </c>
      <c r="E14202" s="12" t="s">
        <v>1460</v>
      </c>
      <c r="F14202" s="12" t="s">
        <v>1461</v>
      </c>
      <c r="G14202" s="12" t="s">
        <v>29</v>
      </c>
      <c r="H14202" s="11" t="s">
        <v>63</v>
      </c>
      <c r="I14202" s="13" t="s">
        <v>27719</v>
      </c>
      <c r="J14202" s="14" t="str">
        <f>HYPERLINK("https://www.boe.es/gazeta/dias/1839/03/01/pdfs/GMD-1839-1567.pdf#page=1","Abrir facsímil")</f>
        <v>Abrir facsímil</v>
      </c>
      <c r="K14202" s="12" t="s">
        <v>65</v>
      </c>
    </row>
    <row r="14203" spans="1:11" ht="40.049999999999997" customHeight="1" x14ac:dyDescent="0.25">
      <c r="A14203" s="11" t="s">
        <v>27718</v>
      </c>
      <c r="B14203" s="11" t="s">
        <v>27718</v>
      </c>
      <c r="C14203" s="11" t="s">
        <v>137</v>
      </c>
      <c r="D14203" s="11" t="s">
        <v>18</v>
      </c>
      <c r="E14203" s="12" t="s">
        <v>202</v>
      </c>
      <c r="F14203" s="12" t="s">
        <v>203</v>
      </c>
      <c r="G14203" s="12" t="s">
        <v>21</v>
      </c>
      <c r="H14203" s="11" t="s">
        <v>63</v>
      </c>
      <c r="I14203" s="13" t="s">
        <v>27720</v>
      </c>
      <c r="J14203" s="14" t="str">
        <f>HYPERLINK("https://www.boe.es/gazeta/dias/1839/04/05/pdfs/GMD-1839-1602.pdf#page=4","Abrir facsímil")</f>
        <v>Abrir facsímil</v>
      </c>
      <c r="K14203" s="12" t="s">
        <v>65</v>
      </c>
    </row>
    <row r="14204" spans="1:11" ht="40.049999999999997" customHeight="1" x14ac:dyDescent="0.25">
      <c r="A14204" s="11" t="s">
        <v>27718</v>
      </c>
      <c r="B14204" s="11" t="s">
        <v>27718</v>
      </c>
      <c r="C14204" s="11" t="s">
        <v>137</v>
      </c>
      <c r="D14204" s="11" t="s">
        <v>18</v>
      </c>
      <c r="E14204" s="12" t="s">
        <v>483</v>
      </c>
      <c r="F14204" s="12" t="s">
        <v>484</v>
      </c>
      <c r="G14204" s="12" t="s">
        <v>40</v>
      </c>
      <c r="H14204" s="11" t="s">
        <v>63</v>
      </c>
      <c r="I14204" s="13" t="s">
        <v>27721</v>
      </c>
      <c r="J14204" s="14" t="str">
        <f>HYPERLINK("https://www.boe.es/gazeta/dias/1839/11/18/pdfs/GMD-1839-1835.pdf#page=2","Abrir facsímil")</f>
        <v>Abrir facsímil</v>
      </c>
      <c r="K14204" s="12" t="s">
        <v>65</v>
      </c>
    </row>
    <row r="14205" spans="1:11" ht="40.049999999999997" customHeight="1" x14ac:dyDescent="0.25">
      <c r="A14205" s="11" t="s">
        <v>27722</v>
      </c>
      <c r="B14205" s="11" t="s">
        <v>27722</v>
      </c>
      <c r="C14205" s="11" t="s">
        <v>101</v>
      </c>
      <c r="D14205" s="11" t="s">
        <v>43</v>
      </c>
      <c r="E14205" s="12" t="s">
        <v>409</v>
      </c>
      <c r="F14205" s="12" t="s">
        <v>410</v>
      </c>
      <c r="G14205" s="12" t="s">
        <v>40</v>
      </c>
      <c r="H14205" s="11" t="s">
        <v>63</v>
      </c>
      <c r="I14205" s="13" t="s">
        <v>27723</v>
      </c>
      <c r="J14205" s="14" t="str">
        <f>HYPERLINK("https://www.boe.es/gazeta/dias/1839/07/05/pdfs/GMD-1839-1693.pdf#page=2","Abrir facsímil")</f>
        <v>Abrir facsímil</v>
      </c>
      <c r="K14205" s="12" t="s">
        <v>65</v>
      </c>
    </row>
    <row r="14206" spans="1:11" ht="40.049999999999997" customHeight="1" x14ac:dyDescent="0.25">
      <c r="A14206" s="11" t="s">
        <v>27724</v>
      </c>
      <c r="B14206" s="11" t="s">
        <v>27724</v>
      </c>
      <c r="C14206" s="11" t="s">
        <v>17</v>
      </c>
      <c r="D14206" s="11" t="s">
        <v>18</v>
      </c>
      <c r="E14206" s="12" t="s">
        <v>1584</v>
      </c>
      <c r="F14206" s="12" t="s">
        <v>1585</v>
      </c>
      <c r="G14206" s="12" t="s">
        <v>21</v>
      </c>
      <c r="H14206" s="11" t="s">
        <v>63</v>
      </c>
      <c r="I14206" s="13" t="s">
        <v>27725</v>
      </c>
      <c r="J14206" s="14" t="str">
        <f>HYPERLINK("https://www.boe.es/gazeta/dias/1839/11/20/pdfs/GMD-1839-1837.pdf#page=4","Abrir facsímil")</f>
        <v>Abrir facsímil</v>
      </c>
      <c r="K14206" s="12" t="s">
        <v>65</v>
      </c>
    </row>
    <row r="14207" spans="1:11" ht="40.049999999999997" customHeight="1" x14ac:dyDescent="0.25">
      <c r="A14207" s="11" t="s">
        <v>27726</v>
      </c>
      <c r="B14207" s="11" t="s">
        <v>27727</v>
      </c>
      <c r="C14207" s="11" t="s">
        <v>101</v>
      </c>
      <c r="D14207" s="11" t="s">
        <v>43</v>
      </c>
      <c r="E14207" s="12" t="s">
        <v>381</v>
      </c>
      <c r="F14207" s="12" t="s">
        <v>382</v>
      </c>
      <c r="G14207" s="12" t="s">
        <v>21</v>
      </c>
      <c r="H14207" s="11" t="s">
        <v>63</v>
      </c>
      <c r="I14207" s="13" t="s">
        <v>27728</v>
      </c>
      <c r="J14207" s="14" t="str">
        <f>HYPERLINK("https://www.boe.es/gazeta/dias/1839/06/02/pdfs/GMD-1839-1660.pdf#page=4","Abrir facsímil")</f>
        <v>Abrir facsímil</v>
      </c>
      <c r="K14207" s="12" t="s">
        <v>65</v>
      </c>
    </row>
    <row r="14208" spans="1:11" ht="40.049999999999997" customHeight="1" x14ac:dyDescent="0.25">
      <c r="A14208" s="11" t="s">
        <v>27729</v>
      </c>
      <c r="B14208" s="11" t="s">
        <v>27730</v>
      </c>
      <c r="C14208" s="11" t="s">
        <v>17</v>
      </c>
      <c r="D14208" s="11" t="s">
        <v>18</v>
      </c>
      <c r="E14208" s="12" t="s">
        <v>76</v>
      </c>
      <c r="F14208" s="12" t="s">
        <v>77</v>
      </c>
      <c r="G14208" s="12" t="s">
        <v>40</v>
      </c>
      <c r="H14208" s="11" t="s">
        <v>63</v>
      </c>
      <c r="I14208" s="13" t="s">
        <v>27731</v>
      </c>
      <c r="J14208" s="14" t="str">
        <f>HYPERLINK("https://www.boe.es/gazeta/dias/1839/03/13/pdfs/GMD-1839-1579.pdf#page=2","Abrir facsímil")</f>
        <v>Abrir facsímil</v>
      </c>
      <c r="K14208" s="12" t="s">
        <v>65</v>
      </c>
    </row>
    <row r="14209" spans="1:11" ht="40.049999999999997" customHeight="1" x14ac:dyDescent="0.25">
      <c r="A14209" s="11" t="s">
        <v>27732</v>
      </c>
      <c r="B14209" s="11" t="s">
        <v>27733</v>
      </c>
      <c r="C14209" s="11" t="s">
        <v>59</v>
      </c>
      <c r="D14209" s="11" t="s">
        <v>60</v>
      </c>
      <c r="E14209" s="12" t="s">
        <v>385</v>
      </c>
      <c r="F14209" s="12" t="s">
        <v>386</v>
      </c>
      <c r="G14209" s="12" t="s">
        <v>29</v>
      </c>
      <c r="H14209" s="11" t="s">
        <v>63</v>
      </c>
      <c r="I14209" s="13" t="s">
        <v>27734</v>
      </c>
      <c r="J14209" s="14" t="str">
        <f>HYPERLINK("https://www.boe.es/gazeta/dias/1839/08/01/pdfs/GMD-1839-1721.pdf#page=1","Abrir facsímil")</f>
        <v>Abrir facsímil</v>
      </c>
      <c r="K14209" s="12" t="s">
        <v>65</v>
      </c>
    </row>
    <row r="14210" spans="1:11" ht="40.049999999999997" customHeight="1" x14ac:dyDescent="0.25">
      <c r="A14210" s="11" t="s">
        <v>27735</v>
      </c>
      <c r="B14210" s="11" t="s">
        <v>27736</v>
      </c>
      <c r="C14210" s="11" t="s">
        <v>137</v>
      </c>
      <c r="D14210" s="11" t="s">
        <v>18</v>
      </c>
      <c r="E14210" s="12" t="s">
        <v>489</v>
      </c>
      <c r="F14210" s="12" t="s">
        <v>490</v>
      </c>
      <c r="G14210" s="12" t="s">
        <v>21</v>
      </c>
      <c r="H14210" s="11" t="s">
        <v>63</v>
      </c>
      <c r="I14210" s="13" t="s">
        <v>27737</v>
      </c>
      <c r="J14210" s="14" t="str">
        <f>HYPERLINK("https://www.boe.es/gazeta/dias/1839/06/29/pdfs/GMD-1839-1687.pdf#page=4","Abrir facsímil")</f>
        <v>Abrir facsímil</v>
      </c>
      <c r="K14210" s="12" t="s">
        <v>65</v>
      </c>
    </row>
    <row r="14211" spans="1:11" ht="40.049999999999997" customHeight="1" x14ac:dyDescent="0.25">
      <c r="A14211" s="11" t="s">
        <v>27738</v>
      </c>
      <c r="B14211" s="11" t="s">
        <v>27739</v>
      </c>
      <c r="C14211" s="11" t="s">
        <v>17</v>
      </c>
      <c r="D14211" s="11" t="s">
        <v>18</v>
      </c>
      <c r="E14211" s="12" t="s">
        <v>496</v>
      </c>
      <c r="F14211" s="12" t="s">
        <v>497</v>
      </c>
      <c r="G14211" s="12" t="s">
        <v>29</v>
      </c>
      <c r="H14211" s="11" t="s">
        <v>63</v>
      </c>
      <c r="I14211" s="13" t="s">
        <v>27740</v>
      </c>
      <c r="J14211" s="14" t="str">
        <f>HYPERLINK("https://www.boe.es/gazeta/dias/1839/11/23/pdfs/GMD-1839-1840.pdf#page=1","Abrir facsímil")</f>
        <v>Abrir facsímil</v>
      </c>
      <c r="K14211" s="12" t="s">
        <v>65</v>
      </c>
    </row>
    <row r="14212" spans="1:11" ht="40.049999999999997" customHeight="1" x14ac:dyDescent="0.25">
      <c r="A14212" s="11" t="s">
        <v>27741</v>
      </c>
      <c r="B14212" s="11" t="s">
        <v>27742</v>
      </c>
      <c r="C14212" s="11" t="s">
        <v>137</v>
      </c>
      <c r="D14212" s="11" t="s">
        <v>18</v>
      </c>
      <c r="E14212" s="12" t="s">
        <v>716</v>
      </c>
      <c r="F14212" s="12" t="s">
        <v>717</v>
      </c>
      <c r="G14212" s="12" t="s">
        <v>29</v>
      </c>
      <c r="H14212" s="11" t="s">
        <v>63</v>
      </c>
      <c r="I14212" s="13" t="s">
        <v>27743</v>
      </c>
      <c r="J14212" s="14" t="str">
        <f>HYPERLINK("https://www.boe.es/gazeta/dias/1839/07/30/pdfs/GMD-1839-1719.pdf#page=1","Abrir facsímil")</f>
        <v>Abrir facsímil</v>
      </c>
      <c r="K14212" s="12" t="s">
        <v>65</v>
      </c>
    </row>
    <row r="14213" spans="1:11" ht="40.049999999999997" customHeight="1" x14ac:dyDescent="0.25">
      <c r="A14213" s="11" t="s">
        <v>27744</v>
      </c>
      <c r="B14213" s="11" t="s">
        <v>27745</v>
      </c>
      <c r="C14213" s="11" t="s">
        <v>17</v>
      </c>
      <c r="D14213" s="11" t="s">
        <v>18</v>
      </c>
      <c r="E14213" s="12" t="s">
        <v>1136</v>
      </c>
      <c r="F14213" s="12" t="s">
        <v>1137</v>
      </c>
      <c r="G14213" s="12" t="s">
        <v>46</v>
      </c>
      <c r="H14213" s="11" t="s">
        <v>63</v>
      </c>
      <c r="I14213" s="13" t="s">
        <v>27746</v>
      </c>
      <c r="J14213" s="14" t="str">
        <f>HYPERLINK("https://www.boe.es/gazeta/dias/1839/04/03/pdfs/GMD-1839-1600.pdf#page=3","Abrir facsímil")</f>
        <v>Abrir facsímil</v>
      </c>
      <c r="K14213" s="12" t="s">
        <v>65</v>
      </c>
    </row>
    <row r="14214" spans="1:11" ht="40.049999999999997" customHeight="1" x14ac:dyDescent="0.25">
      <c r="A14214" s="11" t="s">
        <v>27747</v>
      </c>
      <c r="B14214" s="11" t="s">
        <v>27748</v>
      </c>
      <c r="C14214" s="11" t="s">
        <v>17</v>
      </c>
      <c r="D14214" s="11" t="s">
        <v>18</v>
      </c>
      <c r="E14214" s="12" t="s">
        <v>1528</v>
      </c>
      <c r="F14214" s="12" t="s">
        <v>1529</v>
      </c>
      <c r="G14214" s="12" t="s">
        <v>21</v>
      </c>
      <c r="H14214" s="11" t="s">
        <v>63</v>
      </c>
      <c r="I14214" s="13" t="s">
        <v>27749</v>
      </c>
      <c r="J14214" s="14" t="str">
        <f>HYPERLINK("https://www.boe.es/gazeta/dias/1839/12/15/pdfs/GMD-1839-1862.pdf#page=4","Abrir facsímil")</f>
        <v>Abrir facsímil</v>
      </c>
      <c r="K14214" s="12" t="s">
        <v>65</v>
      </c>
    </row>
    <row r="14215" spans="1:11" ht="40.049999999999997" customHeight="1" x14ac:dyDescent="0.25">
      <c r="A14215" s="11" t="s">
        <v>27750</v>
      </c>
      <c r="B14215" s="11" t="s">
        <v>27750</v>
      </c>
      <c r="C14215" s="11" t="s">
        <v>101</v>
      </c>
      <c r="D14215" s="11" t="s">
        <v>102</v>
      </c>
      <c r="E14215" s="12" t="s">
        <v>668</v>
      </c>
      <c r="F14215" s="12" t="s">
        <v>669</v>
      </c>
      <c r="G14215" s="12" t="s">
        <v>46</v>
      </c>
      <c r="H14215" s="11" t="s">
        <v>63</v>
      </c>
      <c r="I14215" s="13" t="s">
        <v>27751</v>
      </c>
      <c r="J14215" s="14" t="str">
        <f>HYPERLINK("https://www.boe.es/gazeta/dias/1839/03/28/pdfs/GMD-1839-1594.pdf#page=3","Abrir facsímil")</f>
        <v>Abrir facsímil</v>
      </c>
      <c r="K14215" s="12" t="s">
        <v>65</v>
      </c>
    </row>
    <row r="14216" spans="1:11" ht="40.049999999999997" customHeight="1" x14ac:dyDescent="0.25">
      <c r="A14216" s="11" t="s">
        <v>27752</v>
      </c>
      <c r="B14216" s="11" t="s">
        <v>27753</v>
      </c>
      <c r="C14216" s="11" t="s">
        <v>80</v>
      </c>
      <c r="D14216" s="11" t="s">
        <v>173</v>
      </c>
      <c r="E14216" s="12" t="s">
        <v>346</v>
      </c>
      <c r="F14216" s="12" t="s">
        <v>347</v>
      </c>
      <c r="G14216" s="12" t="s">
        <v>29</v>
      </c>
      <c r="H14216" s="11" t="s">
        <v>63</v>
      </c>
      <c r="I14216" s="13" t="s">
        <v>27754</v>
      </c>
      <c r="J14216" s="14" t="str">
        <f>HYPERLINK("https://www.boe.es/gazeta/dias/1839/03/24/pdfs/GMD-1839-1590.pdf#page=1","Abrir facsímil")</f>
        <v>Abrir facsímil</v>
      </c>
      <c r="K14216" s="12" t="s">
        <v>65</v>
      </c>
    </row>
    <row r="14217" spans="1:11" ht="40.049999999999997" customHeight="1" x14ac:dyDescent="0.25">
      <c r="A14217" s="11" t="s">
        <v>27755</v>
      </c>
      <c r="B14217" s="11" t="s">
        <v>27756</v>
      </c>
      <c r="C14217" s="11" t="s">
        <v>80</v>
      </c>
      <c r="D14217" s="11" t="s">
        <v>18</v>
      </c>
      <c r="E14217" s="12" t="s">
        <v>38</v>
      </c>
      <c r="F14217" s="12" t="s">
        <v>39</v>
      </c>
      <c r="G14217" s="12" t="s">
        <v>21</v>
      </c>
      <c r="H14217" s="11" t="s">
        <v>63</v>
      </c>
      <c r="I14217" s="13" t="s">
        <v>27757</v>
      </c>
      <c r="J14217" s="14" t="str">
        <f>HYPERLINK("https://www.boe.es/gazeta/dias/1839/08/08/pdfs/GMD-1839-1728.pdf#page=4","Abrir facsímil")</f>
        <v>Abrir facsímil</v>
      </c>
      <c r="K14217" s="12" t="s">
        <v>65</v>
      </c>
    </row>
    <row r="14218" spans="1:11" ht="40.049999999999997" customHeight="1" x14ac:dyDescent="0.25">
      <c r="A14218" s="11" t="s">
        <v>27758</v>
      </c>
      <c r="B14218" s="11" t="s">
        <v>27759</v>
      </c>
      <c r="C14218" s="11" t="s">
        <v>17</v>
      </c>
      <c r="D14218" s="11" t="s">
        <v>18</v>
      </c>
      <c r="E14218" s="12" t="s">
        <v>907</v>
      </c>
      <c r="F14218" s="12" t="s">
        <v>908</v>
      </c>
      <c r="G14218" s="12" t="s">
        <v>21</v>
      </c>
      <c r="H14218" s="11" t="s">
        <v>22</v>
      </c>
      <c r="I14218" s="13" t="s">
        <v>27760</v>
      </c>
      <c r="J14218" s="14" t="str">
        <f>HYPERLINK("https://www.boe.es/gazeta/dias/1839/07/31/pdfs/GMD-1839-1720.pdf#page=4","Abrir facsímil")</f>
        <v>Abrir facsímil</v>
      </c>
      <c r="K14218" s="12" t="s">
        <v>24</v>
      </c>
    </row>
    <row r="14219" spans="1:11" ht="40.049999999999997" customHeight="1" x14ac:dyDescent="0.25">
      <c r="A14219" s="11" t="s">
        <v>27761</v>
      </c>
      <c r="B14219" s="11" t="s">
        <v>27762</v>
      </c>
      <c r="C14219" s="11" t="s">
        <v>80</v>
      </c>
      <c r="D14219" s="11" t="s">
        <v>18</v>
      </c>
      <c r="E14219" s="12" t="s">
        <v>1159</v>
      </c>
      <c r="F14219" s="12" t="s">
        <v>1160</v>
      </c>
      <c r="G14219" s="12" t="s">
        <v>21</v>
      </c>
      <c r="H14219" s="11" t="s">
        <v>22</v>
      </c>
      <c r="I14219" s="13" t="s">
        <v>27763</v>
      </c>
      <c r="J14219" s="14" t="str">
        <f>HYPERLINK("https://www.boe.es/gazeta/dias/1839/11/26/pdfs/GMD-1839-1843.pdf#page=4","Abrir facsímil")</f>
        <v>Abrir facsímil</v>
      </c>
      <c r="K14219" s="12" t="s">
        <v>24</v>
      </c>
    </row>
    <row r="14220" spans="1:11" ht="40.049999999999997" customHeight="1" x14ac:dyDescent="0.25">
      <c r="A14220" s="11" t="s">
        <v>27761</v>
      </c>
      <c r="B14220" s="11" t="s">
        <v>27762</v>
      </c>
      <c r="C14220" s="11" t="s">
        <v>17</v>
      </c>
      <c r="D14220" s="11" t="s">
        <v>18</v>
      </c>
      <c r="E14220" s="12" t="s">
        <v>951</v>
      </c>
      <c r="F14220" s="12" t="s">
        <v>952</v>
      </c>
      <c r="G14220" s="12" t="s">
        <v>21</v>
      </c>
      <c r="H14220" s="11" t="s">
        <v>22</v>
      </c>
      <c r="I14220" s="13" t="s">
        <v>27764</v>
      </c>
      <c r="J14220" s="14" t="str">
        <f>HYPERLINK("https://www.boe.es/gazeta/dias/1839/12/30/pdfs/GMD-1839-1877.pdf#page=4","Abrir facsímil")</f>
        <v>Abrir facsímil</v>
      </c>
      <c r="K14220" s="12" t="s">
        <v>24</v>
      </c>
    </row>
    <row r="14221" spans="1:11" ht="40.049999999999997" customHeight="1" x14ac:dyDescent="0.25">
      <c r="A14221" s="11" t="s">
        <v>27765</v>
      </c>
      <c r="B14221" s="11" t="s">
        <v>27766</v>
      </c>
      <c r="C14221" s="11" t="s">
        <v>17</v>
      </c>
      <c r="D14221" s="11" t="s">
        <v>18</v>
      </c>
      <c r="E14221" s="12" t="s">
        <v>295</v>
      </c>
      <c r="F14221" s="12" t="s">
        <v>296</v>
      </c>
      <c r="G14221" s="12" t="s">
        <v>40</v>
      </c>
      <c r="H14221" s="11" t="s">
        <v>22</v>
      </c>
      <c r="I14221" s="13" t="s">
        <v>27767</v>
      </c>
      <c r="J14221" s="14" t="str">
        <f>HYPERLINK("https://www.boe.es/gazeta/dias/1839/08/19/pdfs/GMD-1839-1740.pdf#page=2","Abrir facsímil")</f>
        <v>Abrir facsímil</v>
      </c>
      <c r="K14221" s="12" t="s">
        <v>24</v>
      </c>
    </row>
    <row r="14222" spans="1:11" ht="40.049999999999997" customHeight="1" x14ac:dyDescent="0.25">
      <c r="A14222" s="11" t="s">
        <v>27768</v>
      </c>
      <c r="B14222" s="11" t="s">
        <v>27769</v>
      </c>
      <c r="C14222" s="11" t="s">
        <v>17</v>
      </c>
      <c r="D14222" s="11" t="s">
        <v>18</v>
      </c>
      <c r="E14222" s="12" t="s">
        <v>1509</v>
      </c>
      <c r="F14222" s="12" t="s">
        <v>1510</v>
      </c>
      <c r="G14222" s="12" t="s">
        <v>305</v>
      </c>
      <c r="H14222" s="11" t="s">
        <v>63</v>
      </c>
      <c r="I14222" s="13" t="s">
        <v>27770</v>
      </c>
      <c r="J14222" s="14" t="str">
        <f>HYPERLINK("https://www.boe.es/gazeta/dias/1839/10/07/pdfs/GMD-1839-1793.pdf#page=6","Abrir facsímil")</f>
        <v>Abrir facsímil</v>
      </c>
      <c r="K14222" s="12" t="s">
        <v>65</v>
      </c>
    </row>
    <row r="14223" spans="1:11" ht="40.049999999999997" customHeight="1" x14ac:dyDescent="0.25">
      <c r="A14223" s="11" t="s">
        <v>27771</v>
      </c>
      <c r="B14223" s="11" t="s">
        <v>27771</v>
      </c>
      <c r="C14223" s="11" t="s">
        <v>101</v>
      </c>
      <c r="D14223" s="11" t="s">
        <v>102</v>
      </c>
      <c r="E14223" s="12" t="s">
        <v>1236</v>
      </c>
      <c r="F14223" s="12" t="s">
        <v>1237</v>
      </c>
      <c r="G14223" s="12" t="s">
        <v>21</v>
      </c>
      <c r="H14223" s="11" t="s">
        <v>22</v>
      </c>
      <c r="I14223" s="13" t="s">
        <v>27772</v>
      </c>
      <c r="J14223" s="14" t="str">
        <f>HYPERLINK("https://www.boe.es/gazeta/dias/1839/10/16/pdfs/GMD-1839-1802.pdf#page=4","Abrir facsímil")</f>
        <v>Abrir facsímil</v>
      </c>
      <c r="K14223" s="12" t="s">
        <v>24</v>
      </c>
    </row>
    <row r="14224" spans="1:11" ht="40.049999999999997" customHeight="1" x14ac:dyDescent="0.25">
      <c r="A14224" s="11" t="s">
        <v>27773</v>
      </c>
      <c r="B14224" s="11" t="s">
        <v>27773</v>
      </c>
      <c r="C14224" s="11" t="s">
        <v>17</v>
      </c>
      <c r="D14224" s="11" t="s">
        <v>18</v>
      </c>
      <c r="E14224" s="12" t="s">
        <v>564</v>
      </c>
      <c r="F14224" s="12" t="s">
        <v>565</v>
      </c>
      <c r="G14224" s="12" t="s">
        <v>46</v>
      </c>
      <c r="H14224" s="11" t="s">
        <v>63</v>
      </c>
      <c r="I14224" s="13" t="s">
        <v>27774</v>
      </c>
      <c r="J14224" s="14" t="str">
        <f>HYPERLINK("https://www.boe.es/gazeta/dias/1839/10/17/pdfs/GMD-1839-1803.pdf#page=3","Abrir facsímil")</f>
        <v>Abrir facsímil</v>
      </c>
      <c r="K14224" s="12" t="s">
        <v>65</v>
      </c>
    </row>
    <row r="14225" spans="1:11" ht="40.049999999999997" customHeight="1" x14ac:dyDescent="0.25">
      <c r="A14225" s="11" t="s">
        <v>27775</v>
      </c>
      <c r="B14225" s="11" t="s">
        <v>27775</v>
      </c>
      <c r="C14225" s="11" t="s">
        <v>101</v>
      </c>
      <c r="D14225" s="11" t="s">
        <v>102</v>
      </c>
      <c r="E14225" s="12" t="s">
        <v>4787</v>
      </c>
      <c r="F14225" s="12" t="s">
        <v>4788</v>
      </c>
      <c r="G14225" s="12" t="s">
        <v>40</v>
      </c>
      <c r="H14225" s="11" t="s">
        <v>63</v>
      </c>
      <c r="I14225" s="13" t="s">
        <v>27776</v>
      </c>
      <c r="J14225" s="14" t="str">
        <f>HYPERLINK("https://www.boe.es/gazeta/dias/1839/05/26/pdfs/GMD-1839-1653.pdf#page=2","Abrir facsímil")</f>
        <v>Abrir facsímil</v>
      </c>
      <c r="K14225" s="12" t="s">
        <v>65</v>
      </c>
    </row>
    <row r="14226" spans="1:11" ht="40.049999999999997" customHeight="1" x14ac:dyDescent="0.25">
      <c r="A14226" s="11" t="s">
        <v>27775</v>
      </c>
      <c r="B14226" s="11" t="s">
        <v>27775</v>
      </c>
      <c r="C14226" s="11" t="s">
        <v>59</v>
      </c>
      <c r="D14226" s="11" t="s">
        <v>60</v>
      </c>
      <c r="E14226" s="12" t="s">
        <v>616</v>
      </c>
      <c r="F14226" s="12" t="s">
        <v>617</v>
      </c>
      <c r="G14226" s="12" t="s">
        <v>46</v>
      </c>
      <c r="H14226" s="11" t="s">
        <v>63</v>
      </c>
      <c r="I14226" s="13" t="s">
        <v>27777</v>
      </c>
      <c r="J14226" s="14" t="str">
        <f>HYPERLINK("https://www.boe.es/gazeta/dias/1839/05/29/pdfs/GMD-1839-1656.pdf#page=3","Abrir facsímil")</f>
        <v>Abrir facsímil</v>
      </c>
      <c r="K14226" s="12" t="s">
        <v>65</v>
      </c>
    </row>
    <row r="14227" spans="1:11" ht="40.049999999999997" customHeight="1" x14ac:dyDescent="0.25">
      <c r="A14227" s="11" t="s">
        <v>27778</v>
      </c>
      <c r="B14227" s="11" t="s">
        <v>27779</v>
      </c>
      <c r="C14227" s="11" t="s">
        <v>17</v>
      </c>
      <c r="D14227" s="11" t="s">
        <v>18</v>
      </c>
      <c r="E14227" s="12" t="s">
        <v>3668</v>
      </c>
      <c r="F14227" s="12" t="s">
        <v>3669</v>
      </c>
      <c r="G14227" s="12" t="s">
        <v>46</v>
      </c>
      <c r="H14227" s="11" t="s">
        <v>63</v>
      </c>
      <c r="I14227" s="13" t="s">
        <v>27780</v>
      </c>
      <c r="J14227" s="14" t="str">
        <f>HYPERLINK("https://www.boe.es/gazeta/dias/1839/05/19/pdfs/GMD-1839-1646.pdf#page=3","Abrir facsímil")</f>
        <v>Abrir facsímil</v>
      </c>
      <c r="K14227" s="12" t="s">
        <v>65</v>
      </c>
    </row>
    <row r="14228" spans="1:11" ht="40.049999999999997" customHeight="1" x14ac:dyDescent="0.25">
      <c r="A14228" s="11" t="s">
        <v>27781</v>
      </c>
      <c r="B14228" s="11" t="s">
        <v>27781</v>
      </c>
      <c r="C14228" s="11" t="s">
        <v>17</v>
      </c>
      <c r="D14228" s="11" t="s">
        <v>18</v>
      </c>
      <c r="E14228" s="12" t="s">
        <v>385</v>
      </c>
      <c r="F14228" s="12" t="s">
        <v>386</v>
      </c>
      <c r="G14228" s="12" t="s">
        <v>29</v>
      </c>
      <c r="H14228" s="11" t="s">
        <v>63</v>
      </c>
      <c r="I14228" s="13" t="s">
        <v>27782</v>
      </c>
      <c r="J14228" s="14" t="str">
        <f>HYPERLINK("https://www.boe.es/gazeta/dias/1839/08/01/pdfs/GMD-1839-1721.pdf#page=1","Abrir facsímil")</f>
        <v>Abrir facsímil</v>
      </c>
      <c r="K14228" s="12" t="s">
        <v>65</v>
      </c>
    </row>
    <row r="14229" spans="1:11" ht="40.049999999999997" customHeight="1" x14ac:dyDescent="0.25">
      <c r="A14229" s="11" t="s">
        <v>27783</v>
      </c>
      <c r="B14229" s="11" t="s">
        <v>27783</v>
      </c>
      <c r="C14229" s="11" t="s">
        <v>17</v>
      </c>
      <c r="D14229" s="11" t="s">
        <v>18</v>
      </c>
      <c r="E14229" s="12" t="s">
        <v>992</v>
      </c>
      <c r="F14229" s="12" t="s">
        <v>993</v>
      </c>
      <c r="G14229" s="12" t="s">
        <v>40</v>
      </c>
      <c r="H14229" s="11" t="s">
        <v>63</v>
      </c>
      <c r="I14229" s="13" t="s">
        <v>27784</v>
      </c>
      <c r="J14229" s="14" t="str">
        <f>HYPERLINK("https://www.boe.es/gazeta/dias/1839/02/18/pdfs/GMD-1839-1556.pdf#page=2","Abrir facsímil")</f>
        <v>Abrir facsímil</v>
      </c>
      <c r="K14229" s="12" t="s">
        <v>65</v>
      </c>
    </row>
    <row r="14230" spans="1:11" ht="40.049999999999997" customHeight="1" x14ac:dyDescent="0.25">
      <c r="A14230" s="11" t="s">
        <v>27785</v>
      </c>
      <c r="B14230" s="11" t="s">
        <v>27786</v>
      </c>
      <c r="C14230" s="11" t="s">
        <v>17</v>
      </c>
      <c r="D14230" s="11" t="s">
        <v>18</v>
      </c>
      <c r="E14230" s="12" t="s">
        <v>2374</v>
      </c>
      <c r="F14230" s="12" t="s">
        <v>2375</v>
      </c>
      <c r="G14230" s="12" t="s">
        <v>46</v>
      </c>
      <c r="H14230" s="11" t="s">
        <v>63</v>
      </c>
      <c r="I14230" s="13" t="s">
        <v>27787</v>
      </c>
      <c r="J14230" s="14" t="str">
        <f>HYPERLINK("https://www.boe.es/gazeta/dias/1839/06/14/pdfs/GMD-1839-1672.pdf#page=3","Abrir facsímil")</f>
        <v>Abrir facsímil</v>
      </c>
      <c r="K14230" s="12" t="s">
        <v>65</v>
      </c>
    </row>
    <row r="14231" spans="1:11" ht="40.049999999999997" customHeight="1" x14ac:dyDescent="0.25">
      <c r="A14231" s="11" t="s">
        <v>27788</v>
      </c>
      <c r="B14231" s="11" t="s">
        <v>27788</v>
      </c>
      <c r="C14231" s="11" t="s">
        <v>17</v>
      </c>
      <c r="D14231" s="11" t="s">
        <v>18</v>
      </c>
      <c r="E14231" s="12" t="s">
        <v>108</v>
      </c>
      <c r="F14231" s="12" t="s">
        <v>109</v>
      </c>
      <c r="G14231" s="12" t="s">
        <v>46</v>
      </c>
      <c r="H14231" s="11" t="s">
        <v>63</v>
      </c>
      <c r="I14231" s="13" t="s">
        <v>27789</v>
      </c>
      <c r="J14231" s="14" t="str">
        <f>HYPERLINK("https://www.boe.es/gazeta/dias/1839/01/04/pdfs/GMD-1839-1511.pdf#page=3","Abrir facsímil")</f>
        <v>Abrir facsímil</v>
      </c>
      <c r="K14231" s="12" t="s">
        <v>65</v>
      </c>
    </row>
    <row r="14232" spans="1:11" ht="40.049999999999997" customHeight="1" x14ac:dyDescent="0.25">
      <c r="A14232" s="11" t="s">
        <v>27788</v>
      </c>
      <c r="B14232" s="11" t="s">
        <v>27788</v>
      </c>
      <c r="C14232" s="11" t="s">
        <v>137</v>
      </c>
      <c r="D14232" s="11" t="s">
        <v>18</v>
      </c>
      <c r="E14232" s="12" t="s">
        <v>564</v>
      </c>
      <c r="F14232" s="12" t="s">
        <v>565</v>
      </c>
      <c r="G14232" s="12" t="s">
        <v>46</v>
      </c>
      <c r="H14232" s="11" t="s">
        <v>63</v>
      </c>
      <c r="I14232" s="13" t="s">
        <v>27790</v>
      </c>
      <c r="J14232" s="14" t="str">
        <f>HYPERLINK("https://www.boe.es/gazeta/dias/1839/10/17/pdfs/GMD-1839-1803.pdf#page=3","Abrir facsímil")</f>
        <v>Abrir facsímil</v>
      </c>
      <c r="K14232" s="12" t="s">
        <v>65</v>
      </c>
    </row>
    <row r="14233" spans="1:11" ht="40.049999999999997" customHeight="1" x14ac:dyDescent="0.25">
      <c r="A14233" s="11" t="s">
        <v>27791</v>
      </c>
      <c r="B14233" s="11" t="s">
        <v>27792</v>
      </c>
      <c r="C14233" s="11" t="s">
        <v>137</v>
      </c>
      <c r="D14233" s="11" t="s">
        <v>18</v>
      </c>
      <c r="E14233" s="12" t="s">
        <v>89</v>
      </c>
      <c r="F14233" s="12" t="s">
        <v>90</v>
      </c>
      <c r="G14233" s="12" t="s">
        <v>40</v>
      </c>
      <c r="H14233" s="11" t="s">
        <v>22</v>
      </c>
      <c r="I14233" s="13" t="s">
        <v>27793</v>
      </c>
      <c r="J14233" s="14" t="str">
        <f>HYPERLINK("https://www.boe.es/gazeta/dias/1839/11/28/pdfs/GMD-1839-1845.pdf#page=2","Abrir facsímil")</f>
        <v>Abrir facsímil</v>
      </c>
      <c r="K14233" s="12" t="s">
        <v>24</v>
      </c>
    </row>
    <row r="14234" spans="1:11" ht="40.049999999999997" customHeight="1" x14ac:dyDescent="0.25">
      <c r="A14234" s="11" t="s">
        <v>27794</v>
      </c>
      <c r="B14234" s="11" t="s">
        <v>27795</v>
      </c>
      <c r="C14234" s="11" t="s">
        <v>80</v>
      </c>
      <c r="D14234" s="11" t="s">
        <v>18</v>
      </c>
      <c r="E14234" s="12" t="s">
        <v>1252</v>
      </c>
      <c r="F14234" s="12" t="s">
        <v>1253</v>
      </c>
      <c r="G14234" s="12" t="s">
        <v>29</v>
      </c>
      <c r="H14234" s="11" t="s">
        <v>63</v>
      </c>
      <c r="I14234" s="13" t="s">
        <v>27796</v>
      </c>
      <c r="J14234" s="14" t="str">
        <f>HYPERLINK("https://www.boe.es/gazeta/dias/1839/06/15/pdfs/GMD-1839-1673.pdf#page=1","Abrir facsímil")</f>
        <v>Abrir facsímil</v>
      </c>
      <c r="K14234" s="12" t="s">
        <v>65</v>
      </c>
    </row>
    <row r="14235" spans="1:11" ht="40.049999999999997" customHeight="1" x14ac:dyDescent="0.25">
      <c r="A14235" s="11" t="s">
        <v>27797</v>
      </c>
      <c r="B14235" s="11" t="s">
        <v>27797</v>
      </c>
      <c r="C14235" s="11" t="s">
        <v>101</v>
      </c>
      <c r="D14235" s="11" t="s">
        <v>43</v>
      </c>
      <c r="E14235" s="12" t="s">
        <v>303</v>
      </c>
      <c r="F14235" s="12" t="s">
        <v>304</v>
      </c>
      <c r="G14235" s="12" t="s">
        <v>40</v>
      </c>
      <c r="H14235" s="11" t="s">
        <v>63</v>
      </c>
      <c r="I14235" s="13" t="s">
        <v>27798</v>
      </c>
      <c r="J14235" s="14" t="str">
        <f>HYPERLINK("https://www.boe.es/gazeta/dias/1839/10/06/pdfs/GMD-1839-1792.pdf#page=2","Abrir facsímil")</f>
        <v>Abrir facsímil</v>
      </c>
      <c r="K14235" s="12" t="s">
        <v>65</v>
      </c>
    </row>
    <row r="14236" spans="1:11" ht="40.049999999999997" customHeight="1" x14ac:dyDescent="0.25">
      <c r="A14236" s="11" t="s">
        <v>27797</v>
      </c>
      <c r="B14236" s="11" t="s">
        <v>27797</v>
      </c>
      <c r="C14236" s="11" t="s">
        <v>17</v>
      </c>
      <c r="D14236" s="11" t="s">
        <v>18</v>
      </c>
      <c r="E14236" s="12" t="s">
        <v>1236</v>
      </c>
      <c r="F14236" s="12" t="s">
        <v>1237</v>
      </c>
      <c r="G14236" s="12" t="s">
        <v>40</v>
      </c>
      <c r="H14236" s="11" t="s">
        <v>63</v>
      </c>
      <c r="I14236" s="13" t="s">
        <v>27799</v>
      </c>
      <c r="J14236" s="14" t="str">
        <f>HYPERLINK("https://www.boe.es/gazeta/dias/1839/10/16/pdfs/GMD-1839-1802.pdf#page=2","Abrir facsímil")</f>
        <v>Abrir facsímil</v>
      </c>
      <c r="K14236" s="12" t="s">
        <v>65</v>
      </c>
    </row>
    <row r="14237" spans="1:11" ht="40.049999999999997" customHeight="1" x14ac:dyDescent="0.25">
      <c r="A14237" s="11" t="s">
        <v>27797</v>
      </c>
      <c r="B14237" s="11" t="s">
        <v>27797</v>
      </c>
      <c r="C14237" s="11" t="s">
        <v>59</v>
      </c>
      <c r="D14237" s="11" t="s">
        <v>60</v>
      </c>
      <c r="E14237" s="12" t="s">
        <v>1749</v>
      </c>
      <c r="F14237" s="12" t="s">
        <v>1750</v>
      </c>
      <c r="G14237" s="12" t="s">
        <v>29</v>
      </c>
      <c r="H14237" s="11" t="s">
        <v>63</v>
      </c>
      <c r="I14237" s="13" t="s">
        <v>27800</v>
      </c>
      <c r="J14237" s="14" t="str">
        <f>HYPERLINK("https://www.boe.es/gazeta/dias/1839/06/28/pdfs/GMD-1839-1686.pdf#page=1","Abrir facsímil")</f>
        <v>Abrir facsímil</v>
      </c>
      <c r="K14237" s="12" t="s">
        <v>65</v>
      </c>
    </row>
    <row r="14238" spans="1:11" ht="40.049999999999997" customHeight="1" x14ac:dyDescent="0.25">
      <c r="A14238" s="11" t="s">
        <v>27797</v>
      </c>
      <c r="B14238" s="11" t="s">
        <v>27797</v>
      </c>
      <c r="C14238" s="11" t="s">
        <v>17</v>
      </c>
      <c r="D14238" s="11" t="s">
        <v>18</v>
      </c>
      <c r="E14238" s="12" t="s">
        <v>653</v>
      </c>
      <c r="F14238" s="12" t="s">
        <v>654</v>
      </c>
      <c r="G14238" s="12" t="s">
        <v>29</v>
      </c>
      <c r="H14238" s="11" t="s">
        <v>63</v>
      </c>
      <c r="I14238" s="13" t="s">
        <v>27801</v>
      </c>
      <c r="J14238" s="14" t="str">
        <f>HYPERLINK("https://www.boe.es/gazeta/dias/1839/10/31/pdfs/GMD-1839-1817.pdf#page=1","Abrir facsímil")</f>
        <v>Abrir facsímil</v>
      </c>
      <c r="K14238" s="12" t="s">
        <v>65</v>
      </c>
    </row>
    <row r="14239" spans="1:11" ht="40.049999999999997" customHeight="1" x14ac:dyDescent="0.25">
      <c r="A14239" s="11" t="s">
        <v>27802</v>
      </c>
      <c r="B14239" s="11" t="s">
        <v>27803</v>
      </c>
      <c r="C14239" s="11" t="s">
        <v>101</v>
      </c>
      <c r="D14239" s="11" t="s">
        <v>43</v>
      </c>
      <c r="E14239" s="12" t="s">
        <v>1079</v>
      </c>
      <c r="F14239" s="12" t="s">
        <v>1080</v>
      </c>
      <c r="G14239" s="12" t="s">
        <v>21</v>
      </c>
      <c r="H14239" s="11" t="s">
        <v>63</v>
      </c>
      <c r="I14239" s="13" t="s">
        <v>27804</v>
      </c>
      <c r="J14239" s="14" t="str">
        <f>HYPERLINK("https://www.boe.es/gazeta/dias/1839/05/24/pdfs/GMD-1839-1651.pdf#page=4","Abrir facsímil")</f>
        <v>Abrir facsímil</v>
      </c>
      <c r="K14239" s="12" t="s">
        <v>65</v>
      </c>
    </row>
    <row r="14240" spans="1:11" ht="40.049999999999997" customHeight="1" x14ac:dyDescent="0.25">
      <c r="A14240" s="11" t="s">
        <v>27805</v>
      </c>
      <c r="B14240" s="11" t="s">
        <v>27806</v>
      </c>
      <c r="C14240" s="11" t="s">
        <v>17</v>
      </c>
      <c r="D14240" s="11" t="s">
        <v>18</v>
      </c>
      <c r="E14240" s="12" t="s">
        <v>1179</v>
      </c>
      <c r="F14240" s="12" t="s">
        <v>1180</v>
      </c>
      <c r="G14240" s="12" t="s">
        <v>305</v>
      </c>
      <c r="H14240" s="11" t="s">
        <v>63</v>
      </c>
      <c r="I14240" s="13" t="s">
        <v>27807</v>
      </c>
      <c r="J14240" s="14" t="str">
        <f>HYPERLINK("https://www.boe.es/gazeta/dias/1839/10/18/pdfs/GMD-1839-1804.pdf#page=6","Abrir facsímil")</f>
        <v>Abrir facsímil</v>
      </c>
      <c r="K14240" s="12" t="s">
        <v>65</v>
      </c>
    </row>
    <row r="14241" spans="1:11" ht="40.049999999999997" customHeight="1" x14ac:dyDescent="0.25">
      <c r="A14241" s="11" t="s">
        <v>27808</v>
      </c>
      <c r="B14241" s="11" t="s">
        <v>27809</v>
      </c>
      <c r="C14241" s="11" t="s">
        <v>80</v>
      </c>
      <c r="D14241" s="11" t="s">
        <v>18</v>
      </c>
      <c r="E14241" s="12" t="s">
        <v>233</v>
      </c>
      <c r="F14241" s="12" t="s">
        <v>234</v>
      </c>
      <c r="G14241" s="12" t="s">
        <v>29</v>
      </c>
      <c r="H14241" s="11" t="s">
        <v>63</v>
      </c>
      <c r="I14241" s="13" t="s">
        <v>27810</v>
      </c>
      <c r="J14241" s="14" t="str">
        <f>HYPERLINK("https://www.boe.es/gazeta/dias/1839/09/17/pdfs/GMD-1839-1770.pdf#page=1","Abrir facsímil")</f>
        <v>Abrir facsímil</v>
      </c>
      <c r="K14241" s="12" t="s">
        <v>65</v>
      </c>
    </row>
    <row r="14242" spans="1:11" ht="40.049999999999997" customHeight="1" x14ac:dyDescent="0.25">
      <c r="A14242" s="11" t="s">
        <v>27808</v>
      </c>
      <c r="B14242" s="11" t="s">
        <v>27809</v>
      </c>
      <c r="C14242" s="11" t="s">
        <v>17</v>
      </c>
      <c r="D14242" s="11" t="s">
        <v>18</v>
      </c>
      <c r="E14242" s="12" t="s">
        <v>352</v>
      </c>
      <c r="F14242" s="12" t="s">
        <v>353</v>
      </c>
      <c r="G14242" s="12" t="s">
        <v>29</v>
      </c>
      <c r="H14242" s="11" t="s">
        <v>63</v>
      </c>
      <c r="I14242" s="13" t="s">
        <v>27811</v>
      </c>
      <c r="J14242" s="14" t="str">
        <f>HYPERLINK("https://www.boe.es/gazeta/dias/1839/03/30/pdfs/GMD-1839-1596.pdf#page=1","Abrir facsímil")</f>
        <v>Abrir facsímil</v>
      </c>
      <c r="K14242" s="12" t="s">
        <v>65</v>
      </c>
    </row>
    <row r="14243" spans="1:11" ht="40.049999999999997" customHeight="1" x14ac:dyDescent="0.25">
      <c r="A14243" s="11" t="s">
        <v>27812</v>
      </c>
      <c r="B14243" s="11" t="s">
        <v>27813</v>
      </c>
      <c r="C14243" s="11" t="s">
        <v>137</v>
      </c>
      <c r="D14243" s="11" t="s">
        <v>18</v>
      </c>
      <c r="E14243" s="12" t="s">
        <v>108</v>
      </c>
      <c r="F14243" s="12" t="s">
        <v>109</v>
      </c>
      <c r="G14243" s="12" t="s">
        <v>29</v>
      </c>
      <c r="H14243" s="11" t="s">
        <v>63</v>
      </c>
      <c r="I14243" s="13" t="s">
        <v>27814</v>
      </c>
      <c r="J14243" s="14" t="str">
        <f>HYPERLINK("https://www.boe.es/gazeta/dias/1839/01/04/pdfs/GMD-1839-1511.pdf#page=1","Abrir facsímil")</f>
        <v>Abrir facsímil</v>
      </c>
      <c r="K14243" s="12" t="s">
        <v>65</v>
      </c>
    </row>
    <row r="14244" spans="1:11" ht="40.049999999999997" customHeight="1" x14ac:dyDescent="0.25">
      <c r="A14244" s="11" t="s">
        <v>27812</v>
      </c>
      <c r="B14244" s="11" t="s">
        <v>27813</v>
      </c>
      <c r="C14244" s="11" t="s">
        <v>17</v>
      </c>
      <c r="D14244" s="11" t="s">
        <v>18</v>
      </c>
      <c r="E14244" s="12" t="s">
        <v>409</v>
      </c>
      <c r="F14244" s="12" t="s">
        <v>410</v>
      </c>
      <c r="G14244" s="12" t="s">
        <v>29</v>
      </c>
      <c r="H14244" s="11" t="s">
        <v>63</v>
      </c>
      <c r="I14244" s="13" t="s">
        <v>27815</v>
      </c>
      <c r="J14244" s="14" t="str">
        <f>HYPERLINK("https://www.boe.es/gazeta/dias/1839/07/05/pdfs/GMD-1839-1693.pdf#page=1","Abrir facsímil")</f>
        <v>Abrir facsímil</v>
      </c>
      <c r="K14244" s="12" t="s">
        <v>65</v>
      </c>
    </row>
    <row r="14245" spans="1:11" ht="40.049999999999997" customHeight="1" x14ac:dyDescent="0.25">
      <c r="A14245" s="11" t="s">
        <v>27816</v>
      </c>
      <c r="B14245" s="11" t="s">
        <v>27817</v>
      </c>
      <c r="C14245" s="11" t="s">
        <v>17</v>
      </c>
      <c r="D14245" s="11" t="s">
        <v>18</v>
      </c>
      <c r="E14245" s="12" t="s">
        <v>582</v>
      </c>
      <c r="F14245" s="12" t="s">
        <v>583</v>
      </c>
      <c r="G14245" s="12" t="s">
        <v>29</v>
      </c>
      <c r="H14245" s="11" t="s">
        <v>63</v>
      </c>
      <c r="I14245" s="13" t="s">
        <v>27818</v>
      </c>
      <c r="J14245" s="14" t="str">
        <f>HYPERLINK("https://www.boe.es/gazeta/dias/1839/11/09/pdfs/GMD-1839-1826.pdf#page=1","Abrir facsímil")</f>
        <v>Abrir facsímil</v>
      </c>
      <c r="K14245" s="12" t="s">
        <v>65</v>
      </c>
    </row>
    <row r="14246" spans="1:11" ht="40.049999999999997" customHeight="1" x14ac:dyDescent="0.25">
      <c r="A14246" s="11" t="s">
        <v>27819</v>
      </c>
      <c r="B14246" s="11" t="s">
        <v>27820</v>
      </c>
      <c r="C14246" s="11" t="s">
        <v>137</v>
      </c>
      <c r="D14246" s="11" t="s">
        <v>18</v>
      </c>
      <c r="E14246" s="12" t="s">
        <v>141</v>
      </c>
      <c r="F14246" s="12" t="s">
        <v>142</v>
      </c>
      <c r="G14246" s="12" t="s">
        <v>21</v>
      </c>
      <c r="H14246" s="11" t="s">
        <v>63</v>
      </c>
      <c r="I14246" s="13" t="s">
        <v>27821</v>
      </c>
      <c r="J14246" s="14" t="str">
        <f>HYPERLINK("https://www.boe.es/gazeta/dias/1839/11/10/pdfs/GMD-1839-1827.pdf#page=4","Abrir facsímil")</f>
        <v>Abrir facsímil</v>
      </c>
      <c r="K14246" s="12" t="s">
        <v>65</v>
      </c>
    </row>
    <row r="14247" spans="1:11" ht="40.049999999999997" customHeight="1" x14ac:dyDescent="0.25">
      <c r="A14247" s="11" t="s">
        <v>27819</v>
      </c>
      <c r="B14247" s="11" t="s">
        <v>27820</v>
      </c>
      <c r="C14247" s="11" t="s">
        <v>59</v>
      </c>
      <c r="D14247" s="11" t="s">
        <v>60</v>
      </c>
      <c r="E14247" s="12" t="s">
        <v>1144</v>
      </c>
      <c r="F14247" s="12" t="s">
        <v>1145</v>
      </c>
      <c r="G14247" s="12" t="s">
        <v>40</v>
      </c>
      <c r="H14247" s="11" t="s">
        <v>63</v>
      </c>
      <c r="I14247" s="13" t="s">
        <v>27822</v>
      </c>
      <c r="J14247" s="14" t="str">
        <f>HYPERLINK("https://www.boe.es/gazeta/dias/1839/08/13/pdfs/GMD-1839-1733.pdf#page=2","Abrir facsímil")</f>
        <v>Abrir facsímil</v>
      </c>
      <c r="K14247" s="12" t="s">
        <v>65</v>
      </c>
    </row>
    <row r="14248" spans="1:11" ht="40.049999999999997" customHeight="1" x14ac:dyDescent="0.25">
      <c r="A14248" s="11" t="s">
        <v>27819</v>
      </c>
      <c r="B14248" s="11" t="s">
        <v>27820</v>
      </c>
      <c r="C14248" s="11" t="s">
        <v>17</v>
      </c>
      <c r="D14248" s="11" t="s">
        <v>18</v>
      </c>
      <c r="E14248" s="12" t="s">
        <v>1648</v>
      </c>
      <c r="F14248" s="12" t="s">
        <v>1649</v>
      </c>
      <c r="G14248" s="12" t="s">
        <v>21</v>
      </c>
      <c r="H14248" s="11" t="s">
        <v>63</v>
      </c>
      <c r="I14248" s="13" t="s">
        <v>27823</v>
      </c>
      <c r="J14248" s="14" t="str">
        <f>HYPERLINK("https://www.boe.es/gazeta/dias/1839/08/18/pdfs/GMD-1839-1738.pdf#page=4","Abrir facsímil")</f>
        <v>Abrir facsímil</v>
      </c>
      <c r="K14248" s="12" t="s">
        <v>65</v>
      </c>
    </row>
    <row r="14249" spans="1:11" ht="40.049999999999997" customHeight="1" x14ac:dyDescent="0.25">
      <c r="A14249" s="11" t="s">
        <v>27819</v>
      </c>
      <c r="B14249" s="11" t="s">
        <v>27820</v>
      </c>
      <c r="C14249" s="11" t="s">
        <v>137</v>
      </c>
      <c r="D14249" s="11" t="s">
        <v>18</v>
      </c>
      <c r="E14249" s="12" t="s">
        <v>857</v>
      </c>
      <c r="F14249" s="12" t="s">
        <v>858</v>
      </c>
      <c r="G14249" s="12" t="s">
        <v>21</v>
      </c>
      <c r="H14249" s="11" t="s">
        <v>63</v>
      </c>
      <c r="I14249" s="13" t="s">
        <v>27824</v>
      </c>
      <c r="J14249" s="14" t="str">
        <f>HYPERLINK("https://www.boe.es/gazeta/dias/1839/11/21/pdfs/GMD-1839-1838.pdf#page=4","Abrir facsímil")</f>
        <v>Abrir facsímil</v>
      </c>
      <c r="K14249" s="12" t="s">
        <v>65</v>
      </c>
    </row>
    <row r="14250" spans="1:11" ht="40.049999999999997" customHeight="1" x14ac:dyDescent="0.25">
      <c r="A14250" s="11" t="s">
        <v>27819</v>
      </c>
      <c r="B14250" s="11" t="s">
        <v>27820</v>
      </c>
      <c r="C14250" s="11" t="s">
        <v>137</v>
      </c>
      <c r="D14250" s="11" t="s">
        <v>18</v>
      </c>
      <c r="E14250" s="12" t="s">
        <v>89</v>
      </c>
      <c r="F14250" s="12" t="s">
        <v>90</v>
      </c>
      <c r="G14250" s="12" t="s">
        <v>21</v>
      </c>
      <c r="H14250" s="11" t="s">
        <v>63</v>
      </c>
      <c r="I14250" s="13" t="s">
        <v>27825</v>
      </c>
      <c r="J14250" s="14" t="str">
        <f>HYPERLINK("https://www.boe.es/gazeta/dias/1839/11/28/pdfs/GMD-1839-1845.pdf#page=4","Abrir facsímil")</f>
        <v>Abrir facsímil</v>
      </c>
      <c r="K14250" s="12" t="s">
        <v>65</v>
      </c>
    </row>
    <row r="14251" spans="1:11" ht="40.049999999999997" customHeight="1" x14ac:dyDescent="0.25">
      <c r="A14251" s="11" t="s">
        <v>27826</v>
      </c>
      <c r="B14251" s="11" t="s">
        <v>27827</v>
      </c>
      <c r="C14251" s="11" t="s">
        <v>17</v>
      </c>
      <c r="D14251" s="11" t="s">
        <v>18</v>
      </c>
      <c r="E14251" s="12" t="s">
        <v>44</v>
      </c>
      <c r="F14251" s="12" t="s">
        <v>45</v>
      </c>
      <c r="G14251" s="12" t="s">
        <v>46</v>
      </c>
      <c r="H14251" s="11" t="s">
        <v>63</v>
      </c>
      <c r="I14251" s="13" t="s">
        <v>27828</v>
      </c>
      <c r="J14251" s="14" t="str">
        <f>HYPERLINK("https://www.boe.es/gazeta/dias/1839/11/15/pdfs/GMD-1839-1832.pdf#page=3","Abrir facsímil")</f>
        <v>Abrir facsímil</v>
      </c>
      <c r="K14251" s="12" t="s">
        <v>65</v>
      </c>
    </row>
    <row r="14252" spans="1:11" ht="40.049999999999997" customHeight="1" x14ac:dyDescent="0.25">
      <c r="A14252" s="11" t="s">
        <v>27829</v>
      </c>
      <c r="B14252" s="11" t="s">
        <v>27830</v>
      </c>
      <c r="C14252" s="11" t="s">
        <v>17</v>
      </c>
      <c r="D14252" s="11" t="s">
        <v>18</v>
      </c>
      <c r="E14252" s="12" t="s">
        <v>1685</v>
      </c>
      <c r="F14252" s="12" t="s">
        <v>1686</v>
      </c>
      <c r="G14252" s="12" t="s">
        <v>40</v>
      </c>
      <c r="H14252" s="11" t="s">
        <v>63</v>
      </c>
      <c r="I14252" s="13" t="s">
        <v>27831</v>
      </c>
      <c r="J14252" s="14" t="str">
        <f>HYPERLINK("https://www.boe.es/gazeta/dias/1839/04/27/pdfs/GMD-1839-1624.pdf#page=2","Abrir facsímil")</f>
        <v>Abrir facsímil</v>
      </c>
      <c r="K14252" s="12" t="s">
        <v>65</v>
      </c>
    </row>
    <row r="14253" spans="1:11" ht="40.049999999999997" customHeight="1" x14ac:dyDescent="0.25">
      <c r="A14253" s="11" t="s">
        <v>27832</v>
      </c>
      <c r="B14253" s="11" t="s">
        <v>27833</v>
      </c>
      <c r="C14253" s="11" t="s">
        <v>101</v>
      </c>
      <c r="D14253" s="11" t="s">
        <v>43</v>
      </c>
      <c r="E14253" s="12" t="s">
        <v>369</v>
      </c>
      <c r="F14253" s="12" t="s">
        <v>370</v>
      </c>
      <c r="G14253" s="12" t="s">
        <v>46</v>
      </c>
      <c r="H14253" s="11" t="s">
        <v>63</v>
      </c>
      <c r="I14253" s="13" t="s">
        <v>27834</v>
      </c>
      <c r="J14253" s="14" t="str">
        <f>HYPERLINK("https://www.boe.es/gazeta/dias/1839/11/01/pdfs/GMD-1839-1818.pdf#page=3","Abrir facsímil")</f>
        <v>Abrir facsímil</v>
      </c>
      <c r="K14253" s="12" t="s">
        <v>65</v>
      </c>
    </row>
    <row r="14254" spans="1:11" ht="40.049999999999997" customHeight="1" x14ac:dyDescent="0.25">
      <c r="A14254" s="11" t="s">
        <v>27832</v>
      </c>
      <c r="B14254" s="11" t="s">
        <v>27833</v>
      </c>
      <c r="C14254" s="11" t="s">
        <v>17</v>
      </c>
      <c r="D14254" s="11" t="s">
        <v>18</v>
      </c>
      <c r="E14254" s="12" t="s">
        <v>1414</v>
      </c>
      <c r="F14254" s="12" t="s">
        <v>1415</v>
      </c>
      <c r="G14254" s="12" t="s">
        <v>21</v>
      </c>
      <c r="H14254" s="11" t="s">
        <v>63</v>
      </c>
      <c r="I14254" s="13" t="s">
        <v>27835</v>
      </c>
      <c r="J14254" s="14" t="str">
        <f>HYPERLINK("https://www.boe.es/gazeta/dias/1839/06/12/pdfs/GMD-1839-1670.pdf#page=4","Abrir facsímil")</f>
        <v>Abrir facsímil</v>
      </c>
      <c r="K14254" s="12" t="s">
        <v>65</v>
      </c>
    </row>
    <row r="14255" spans="1:11" ht="40.049999999999997" customHeight="1" x14ac:dyDescent="0.25">
      <c r="A14255" s="11" t="s">
        <v>27836</v>
      </c>
      <c r="B14255" s="11" t="s">
        <v>27837</v>
      </c>
      <c r="C14255" s="11" t="s">
        <v>17</v>
      </c>
      <c r="D14255" s="11" t="s">
        <v>18</v>
      </c>
      <c r="E14255" s="12" t="s">
        <v>809</v>
      </c>
      <c r="F14255" s="12" t="s">
        <v>810</v>
      </c>
      <c r="G14255" s="12" t="s">
        <v>40</v>
      </c>
      <c r="H14255" s="11" t="s">
        <v>63</v>
      </c>
      <c r="I14255" s="13" t="s">
        <v>27838</v>
      </c>
      <c r="J14255" s="14" t="str">
        <f>HYPERLINK("https://www.boe.es/gazeta/dias/1839/02/11/pdfs/GMD-1839-1549.pdf#page=2","Abrir facsímil")</f>
        <v>Abrir facsímil</v>
      </c>
      <c r="K14255" s="12" t="s">
        <v>65</v>
      </c>
    </row>
    <row r="14256" spans="1:11" ht="40.049999999999997" customHeight="1" x14ac:dyDescent="0.25">
      <c r="A14256" s="11" t="s">
        <v>27839</v>
      </c>
      <c r="B14256" s="11" t="s">
        <v>27840</v>
      </c>
      <c r="C14256" s="11" t="s">
        <v>17</v>
      </c>
      <c r="D14256" s="11" t="s">
        <v>18</v>
      </c>
      <c r="E14256" s="12" t="s">
        <v>369</v>
      </c>
      <c r="F14256" s="12" t="s">
        <v>370</v>
      </c>
      <c r="G14256" s="12" t="s">
        <v>46</v>
      </c>
      <c r="H14256" s="11" t="s">
        <v>63</v>
      </c>
      <c r="I14256" s="13" t="s">
        <v>27841</v>
      </c>
      <c r="J14256" s="14" t="str">
        <f>HYPERLINK("https://www.boe.es/gazeta/dias/1839/11/01/pdfs/GMD-1839-1818.pdf#page=3","Abrir facsímil")</f>
        <v>Abrir facsímil</v>
      </c>
      <c r="K14256" s="12" t="s">
        <v>65</v>
      </c>
    </row>
    <row r="14257" spans="1:11" ht="40.049999999999997" customHeight="1" x14ac:dyDescent="0.25">
      <c r="A14257" s="11" t="s">
        <v>27842</v>
      </c>
      <c r="B14257" s="11" t="s">
        <v>27843</v>
      </c>
      <c r="C14257" s="11" t="s">
        <v>17</v>
      </c>
      <c r="D14257" s="11" t="s">
        <v>18</v>
      </c>
      <c r="E14257" s="12" t="s">
        <v>1159</v>
      </c>
      <c r="F14257" s="12" t="s">
        <v>1160</v>
      </c>
      <c r="G14257" s="12" t="s">
        <v>29</v>
      </c>
      <c r="H14257" s="11" t="s">
        <v>63</v>
      </c>
      <c r="I14257" s="13" t="s">
        <v>27844</v>
      </c>
      <c r="J14257" s="14" t="str">
        <f>HYPERLINK("https://www.boe.es/gazeta/dias/1839/11/26/pdfs/GMD-1839-1843.pdf#page=1","Abrir facsímil")</f>
        <v>Abrir facsímil</v>
      </c>
      <c r="K14257" s="12" t="s">
        <v>65</v>
      </c>
    </row>
    <row r="14258" spans="1:11" ht="40.049999999999997" customHeight="1" x14ac:dyDescent="0.25">
      <c r="A14258" s="11" t="s">
        <v>27845</v>
      </c>
      <c r="B14258" s="11" t="s">
        <v>27846</v>
      </c>
      <c r="C14258" s="11" t="s">
        <v>80</v>
      </c>
      <c r="D14258" s="11" t="s">
        <v>18</v>
      </c>
      <c r="E14258" s="12" t="s">
        <v>782</v>
      </c>
      <c r="F14258" s="12" t="s">
        <v>783</v>
      </c>
      <c r="G14258" s="12" t="s">
        <v>21</v>
      </c>
      <c r="H14258" s="11" t="s">
        <v>63</v>
      </c>
      <c r="I14258" s="13" t="s">
        <v>27847</v>
      </c>
      <c r="J14258" s="14" t="str">
        <f>HYPERLINK("https://www.boe.es/gazeta/dias/1839/05/09/pdfs/GMD-1839-1636.pdf#page=4","Abrir facsímil")</f>
        <v>Abrir facsímil</v>
      </c>
      <c r="K14258" s="12" t="s">
        <v>65</v>
      </c>
    </row>
    <row r="14259" spans="1:11" ht="40.049999999999997" customHeight="1" x14ac:dyDescent="0.25">
      <c r="A14259" s="11" t="s">
        <v>27848</v>
      </c>
      <c r="B14259" s="11" t="s">
        <v>27849</v>
      </c>
      <c r="C14259" s="11" t="s">
        <v>17</v>
      </c>
      <c r="D14259" s="11" t="s">
        <v>18</v>
      </c>
      <c r="E14259" s="12" t="s">
        <v>369</v>
      </c>
      <c r="F14259" s="12" t="s">
        <v>370</v>
      </c>
      <c r="G14259" s="12" t="s">
        <v>46</v>
      </c>
      <c r="H14259" s="11" t="s">
        <v>63</v>
      </c>
      <c r="I14259" s="13" t="s">
        <v>27850</v>
      </c>
      <c r="J14259" s="14" t="str">
        <f>HYPERLINK("https://www.boe.es/gazeta/dias/1839/11/01/pdfs/GMD-1839-1818.pdf#page=3","Abrir facsímil")</f>
        <v>Abrir facsímil</v>
      </c>
      <c r="K14259" s="12" t="s">
        <v>65</v>
      </c>
    </row>
    <row r="14260" spans="1:11" ht="40.049999999999997" customHeight="1" x14ac:dyDescent="0.25">
      <c r="A14260" s="11" t="s">
        <v>27848</v>
      </c>
      <c r="B14260" s="11" t="s">
        <v>27849</v>
      </c>
      <c r="C14260" s="11" t="s">
        <v>80</v>
      </c>
      <c r="D14260" s="11" t="s">
        <v>18</v>
      </c>
      <c r="E14260" s="12" t="s">
        <v>388</v>
      </c>
      <c r="F14260" s="12" t="s">
        <v>389</v>
      </c>
      <c r="G14260" s="12" t="s">
        <v>21</v>
      </c>
      <c r="H14260" s="11" t="s">
        <v>63</v>
      </c>
      <c r="I14260" s="13" t="s">
        <v>27851</v>
      </c>
      <c r="J14260" s="14" t="str">
        <f>HYPERLINK("https://www.boe.es/gazeta/dias/1839/08/07/pdfs/GMD-1839-1727.pdf#page=4","Abrir facsímil")</f>
        <v>Abrir facsímil</v>
      </c>
      <c r="K14260" s="12" t="s">
        <v>65</v>
      </c>
    </row>
    <row r="14261" spans="1:11" ht="40.049999999999997" customHeight="1" x14ac:dyDescent="0.25">
      <c r="A14261" s="11" t="s">
        <v>27852</v>
      </c>
      <c r="B14261" s="11" t="s">
        <v>27852</v>
      </c>
      <c r="C14261" s="11" t="s">
        <v>101</v>
      </c>
      <c r="D14261" s="11" t="s">
        <v>102</v>
      </c>
      <c r="E14261" s="12" t="s">
        <v>5806</v>
      </c>
      <c r="F14261" s="12" t="s">
        <v>5807</v>
      </c>
      <c r="G14261" s="12" t="s">
        <v>29</v>
      </c>
      <c r="H14261" s="11" t="s">
        <v>63</v>
      </c>
      <c r="I14261" s="13" t="s">
        <v>27853</v>
      </c>
      <c r="J14261" s="14" t="str">
        <f>HYPERLINK("https://www.boe.es/gazeta/dias/1839/02/16/pdfs/GMD-1839-1554.pdf#page=1","Abrir facsímil")</f>
        <v>Abrir facsímil</v>
      </c>
      <c r="K14261" s="12" t="s">
        <v>65</v>
      </c>
    </row>
    <row r="14262" spans="1:11" ht="40.049999999999997" customHeight="1" x14ac:dyDescent="0.25">
      <c r="A14262" s="11" t="s">
        <v>27854</v>
      </c>
      <c r="B14262" s="11" t="s">
        <v>27855</v>
      </c>
      <c r="C14262" s="11" t="s">
        <v>17</v>
      </c>
      <c r="D14262" s="11" t="s">
        <v>18</v>
      </c>
      <c r="E14262" s="12" t="s">
        <v>266</v>
      </c>
      <c r="F14262" s="12" t="s">
        <v>267</v>
      </c>
      <c r="G14262" s="12" t="s">
        <v>40</v>
      </c>
      <c r="H14262" s="11" t="s">
        <v>22</v>
      </c>
      <c r="I14262" s="13" t="s">
        <v>27856</v>
      </c>
      <c r="J14262" s="14" t="str">
        <f>HYPERLINK("https://www.boe.es/gazeta/dias/1839/01/03/pdfs/GMD-1839-1510.pdf#page=2","Abrir facsímil")</f>
        <v>Abrir facsímil</v>
      </c>
      <c r="K14262" s="12" t="s">
        <v>24</v>
      </c>
    </row>
    <row r="14263" spans="1:11" ht="40.049999999999997" customHeight="1" x14ac:dyDescent="0.25">
      <c r="A14263" s="11" t="s">
        <v>27857</v>
      </c>
      <c r="B14263" s="11" t="s">
        <v>27858</v>
      </c>
      <c r="C14263" s="11" t="s">
        <v>17</v>
      </c>
      <c r="D14263" s="11" t="s">
        <v>18</v>
      </c>
      <c r="E14263" s="12" t="s">
        <v>239</v>
      </c>
      <c r="F14263" s="12" t="s">
        <v>240</v>
      </c>
      <c r="G14263" s="12" t="s">
        <v>40</v>
      </c>
      <c r="H14263" s="11" t="s">
        <v>22</v>
      </c>
      <c r="I14263" s="13" t="s">
        <v>27859</v>
      </c>
      <c r="J14263" s="14" t="str">
        <f>HYPERLINK("https://www.boe.es/gazeta/dias/1839/09/22/pdfs/GMD-1839-1777.pdf#page=2","Abrir facsímil")</f>
        <v>Abrir facsímil</v>
      </c>
      <c r="K14263" s="12" t="s">
        <v>24</v>
      </c>
    </row>
    <row r="14264" spans="1:11" ht="40.049999999999997" customHeight="1" x14ac:dyDescent="0.25">
      <c r="A14264" s="11" t="s">
        <v>27860</v>
      </c>
      <c r="B14264" s="11" t="s">
        <v>27861</v>
      </c>
      <c r="C14264" s="11" t="s">
        <v>80</v>
      </c>
      <c r="D14264" s="11" t="s">
        <v>18</v>
      </c>
      <c r="E14264" s="12" t="s">
        <v>1779</v>
      </c>
      <c r="F14264" s="12" t="s">
        <v>1780</v>
      </c>
      <c r="G14264" s="12" t="s">
        <v>29</v>
      </c>
      <c r="H14264" s="11" t="s">
        <v>22</v>
      </c>
      <c r="I14264" s="13" t="s">
        <v>27862</v>
      </c>
      <c r="J14264" s="14" t="str">
        <f>HYPERLINK("https://www.boe.es/gazeta/dias/1839/03/18/pdfs/GMD-1839-1584.pdf#page=1","Abrir facsímil")</f>
        <v>Abrir facsímil</v>
      </c>
      <c r="K14264" s="12" t="s">
        <v>24</v>
      </c>
    </row>
    <row r="14265" spans="1:11" ht="40.049999999999997" customHeight="1" x14ac:dyDescent="0.25">
      <c r="A14265" s="11" t="s">
        <v>27863</v>
      </c>
      <c r="B14265" s="11" t="s">
        <v>27864</v>
      </c>
      <c r="C14265" s="11" t="s">
        <v>101</v>
      </c>
      <c r="D14265" s="11" t="s">
        <v>43</v>
      </c>
      <c r="E14265" s="12" t="s">
        <v>303</v>
      </c>
      <c r="F14265" s="12" t="s">
        <v>304</v>
      </c>
      <c r="G14265" s="12" t="s">
        <v>29</v>
      </c>
      <c r="H14265" s="11" t="s">
        <v>22</v>
      </c>
      <c r="I14265" s="13" t="s">
        <v>27865</v>
      </c>
      <c r="J14265" s="14" t="str">
        <f>HYPERLINK("https://www.boe.es/gazeta/dias/1839/10/06/pdfs/GMD-1839-1792.pdf#page=1","Abrir facsímil")</f>
        <v>Abrir facsímil</v>
      </c>
      <c r="K14265" s="12" t="s">
        <v>24</v>
      </c>
    </row>
    <row r="14266" spans="1:11" ht="40.049999999999997" customHeight="1" x14ac:dyDescent="0.25">
      <c r="A14266" s="11" t="s">
        <v>27863</v>
      </c>
      <c r="B14266" s="11" t="s">
        <v>27864</v>
      </c>
      <c r="C14266" s="11" t="s">
        <v>17</v>
      </c>
      <c r="D14266" s="11" t="s">
        <v>18</v>
      </c>
      <c r="E14266" s="12" t="s">
        <v>230</v>
      </c>
      <c r="F14266" s="12" t="s">
        <v>231</v>
      </c>
      <c r="G14266" s="12" t="s">
        <v>29</v>
      </c>
      <c r="H14266" s="11" t="s">
        <v>22</v>
      </c>
      <c r="I14266" s="13" t="s">
        <v>27866</v>
      </c>
      <c r="J14266" s="14" t="str">
        <f>HYPERLINK("https://www.boe.es/gazeta/dias/1839/09/16/pdfs/GMD-1839-1769.pdf#page=1","Abrir facsímil")</f>
        <v>Abrir facsímil</v>
      </c>
      <c r="K14266" s="12" t="s">
        <v>24</v>
      </c>
    </row>
    <row r="14267" spans="1:11" ht="40.049999999999997" customHeight="1" x14ac:dyDescent="0.25">
      <c r="A14267" s="11" t="s">
        <v>27863</v>
      </c>
      <c r="B14267" s="11" t="s">
        <v>27864</v>
      </c>
      <c r="C14267" s="11" t="s">
        <v>101</v>
      </c>
      <c r="D14267" s="11" t="s">
        <v>43</v>
      </c>
      <c r="E14267" s="12" t="s">
        <v>433</v>
      </c>
      <c r="F14267" s="12" t="s">
        <v>434</v>
      </c>
      <c r="G14267" s="12" t="s">
        <v>46</v>
      </c>
      <c r="H14267" s="11" t="s">
        <v>22</v>
      </c>
      <c r="I14267" s="13" t="s">
        <v>27867</v>
      </c>
      <c r="J14267" s="14" t="str">
        <f>HYPERLINK("https://www.boe.es/gazeta/dias/1839/01/20/pdfs/GMD-1839-1527.pdf#page=3","Abrir facsímil")</f>
        <v>Abrir facsímil</v>
      </c>
      <c r="K14267" s="12" t="s">
        <v>24</v>
      </c>
    </row>
    <row r="14268" spans="1:11" ht="40.049999999999997" customHeight="1" x14ac:dyDescent="0.25">
      <c r="A14268" s="11" t="s">
        <v>27863</v>
      </c>
      <c r="B14268" s="11" t="s">
        <v>27864</v>
      </c>
      <c r="C14268" s="11" t="s">
        <v>101</v>
      </c>
      <c r="D14268" s="11" t="s">
        <v>102</v>
      </c>
      <c r="E14268" s="12" t="s">
        <v>243</v>
      </c>
      <c r="F14268" s="12" t="s">
        <v>244</v>
      </c>
      <c r="G14268" s="12" t="s">
        <v>46</v>
      </c>
      <c r="H14268" s="11" t="s">
        <v>22</v>
      </c>
      <c r="I14268" s="13" t="s">
        <v>27868</v>
      </c>
      <c r="J14268" s="14" t="str">
        <f>HYPERLINK("https://www.boe.es/gazeta/dias/1839/09/23/pdfs/GMD-1839-1779.pdf#page=3","Abrir facsímil")</f>
        <v>Abrir facsímil</v>
      </c>
      <c r="K14268" s="12" t="s">
        <v>24</v>
      </c>
    </row>
    <row r="14269" spans="1:11" ht="40.049999999999997" customHeight="1" x14ac:dyDescent="0.25">
      <c r="A14269" s="11" t="s">
        <v>27863</v>
      </c>
      <c r="B14269" s="11" t="s">
        <v>27864</v>
      </c>
      <c r="C14269" s="11" t="s">
        <v>59</v>
      </c>
      <c r="D14269" s="11" t="s">
        <v>60</v>
      </c>
      <c r="E14269" s="12" t="s">
        <v>1287</v>
      </c>
      <c r="F14269" s="12" t="s">
        <v>1288</v>
      </c>
      <c r="G14269" s="12" t="s">
        <v>40</v>
      </c>
      <c r="H14269" s="11" t="s">
        <v>22</v>
      </c>
      <c r="I14269" s="13" t="s">
        <v>27869</v>
      </c>
      <c r="J14269" s="14" t="str">
        <f>HYPERLINK("https://www.boe.es/gazeta/dias/1839/10/30/pdfs/GMD-1839-1816.pdf#page=2","Abrir facsímil")</f>
        <v>Abrir facsímil</v>
      </c>
      <c r="K14269" s="12" t="s">
        <v>24</v>
      </c>
    </row>
    <row r="14270" spans="1:11" ht="40.049999999999997" customHeight="1" x14ac:dyDescent="0.25">
      <c r="A14270" s="11" t="s">
        <v>27870</v>
      </c>
      <c r="B14270" s="11" t="s">
        <v>27870</v>
      </c>
      <c r="C14270" s="11" t="s">
        <v>101</v>
      </c>
      <c r="D14270" s="11" t="s">
        <v>43</v>
      </c>
      <c r="E14270" s="12" t="s">
        <v>416</v>
      </c>
      <c r="F14270" s="12" t="s">
        <v>417</v>
      </c>
      <c r="G14270" s="12" t="s">
        <v>40</v>
      </c>
      <c r="H14270" s="11" t="s">
        <v>63</v>
      </c>
      <c r="I14270" s="13" t="s">
        <v>27871</v>
      </c>
      <c r="J14270" s="14" t="str">
        <f>HYPERLINK("https://www.boe.es/gazeta/dias/1839/10/24/pdfs/GMD-1839-1810.pdf#page=2","Abrir facsímil")</f>
        <v>Abrir facsímil</v>
      </c>
      <c r="K14270" s="12" t="s">
        <v>65</v>
      </c>
    </row>
    <row r="14271" spans="1:11" ht="40.049999999999997" customHeight="1" x14ac:dyDescent="0.25">
      <c r="A14271" s="11" t="s">
        <v>27872</v>
      </c>
      <c r="B14271" s="11" t="s">
        <v>27873</v>
      </c>
      <c r="C14271" s="11" t="s">
        <v>101</v>
      </c>
      <c r="D14271" s="11" t="s">
        <v>43</v>
      </c>
      <c r="E14271" s="12" t="s">
        <v>2658</v>
      </c>
      <c r="F14271" s="12" t="s">
        <v>2659</v>
      </c>
      <c r="G14271" s="12" t="s">
        <v>21</v>
      </c>
      <c r="H14271" s="11" t="s">
        <v>22</v>
      </c>
      <c r="I14271" s="13" t="s">
        <v>27874</v>
      </c>
      <c r="J14271" s="14" t="str">
        <f>HYPERLINK("https://www.boe.es/gazeta/dias/1839/06/27/pdfs/GMD-1839-1685.pdf#page=4","Abrir facsímil")</f>
        <v>Abrir facsímil</v>
      </c>
      <c r="K14271" s="12" t="s">
        <v>24</v>
      </c>
    </row>
    <row r="14272" spans="1:11" ht="40.049999999999997" customHeight="1" x14ac:dyDescent="0.25">
      <c r="A14272" s="11" t="s">
        <v>27875</v>
      </c>
      <c r="B14272" s="11" t="s">
        <v>27875</v>
      </c>
      <c r="C14272" s="11" t="s">
        <v>59</v>
      </c>
      <c r="D14272" s="11" t="s">
        <v>60</v>
      </c>
      <c r="E14272" s="12" t="s">
        <v>243</v>
      </c>
      <c r="F14272" s="12" t="s">
        <v>244</v>
      </c>
      <c r="G14272" s="12" t="s">
        <v>40</v>
      </c>
      <c r="H14272" s="11" t="s">
        <v>63</v>
      </c>
      <c r="I14272" s="13" t="s">
        <v>27876</v>
      </c>
      <c r="J14272" s="14" t="str">
        <f>HYPERLINK("https://www.boe.es/gazeta/dias/1839/09/23/pdfs/GMD-1839-1779.pdf#page=2","Abrir facsímil")</f>
        <v>Abrir facsímil</v>
      </c>
      <c r="K14272" s="12" t="s">
        <v>65</v>
      </c>
    </row>
    <row r="14273" spans="1:11" ht="40.049999999999997" customHeight="1" x14ac:dyDescent="0.25">
      <c r="A14273" s="11" t="s">
        <v>27877</v>
      </c>
      <c r="B14273" s="11" t="s">
        <v>27877</v>
      </c>
      <c r="C14273" s="11" t="s">
        <v>17</v>
      </c>
      <c r="D14273" s="11" t="s">
        <v>18</v>
      </c>
      <c r="E14273" s="12" t="s">
        <v>352</v>
      </c>
      <c r="F14273" s="12" t="s">
        <v>353</v>
      </c>
      <c r="G14273" s="12" t="s">
        <v>21</v>
      </c>
      <c r="H14273" s="11" t="s">
        <v>63</v>
      </c>
      <c r="I14273" s="13" t="s">
        <v>27878</v>
      </c>
      <c r="J14273" s="14" t="str">
        <f>HYPERLINK("https://www.boe.es/gazeta/dias/1839/03/30/pdfs/GMD-1839-1596.pdf#page=4","Abrir facsímil")</f>
        <v>Abrir facsímil</v>
      </c>
      <c r="K14273" s="12" t="s">
        <v>65</v>
      </c>
    </row>
    <row r="14274" spans="1:11" ht="40.049999999999997" customHeight="1" x14ac:dyDescent="0.25">
      <c r="A14274" s="11" t="s">
        <v>27879</v>
      </c>
      <c r="B14274" s="11" t="s">
        <v>27879</v>
      </c>
      <c r="C14274" s="11" t="s">
        <v>59</v>
      </c>
      <c r="D14274" s="11" t="s">
        <v>60</v>
      </c>
      <c r="E14274" s="12" t="s">
        <v>834</v>
      </c>
      <c r="F14274" s="12" t="s">
        <v>835</v>
      </c>
      <c r="G14274" s="12" t="s">
        <v>46</v>
      </c>
      <c r="H14274" s="11" t="s">
        <v>63</v>
      </c>
      <c r="I14274" s="13" t="s">
        <v>27880</v>
      </c>
      <c r="J14274" s="14" t="str">
        <f>HYPERLINK("https://www.boe.es/gazeta/dias/1839/08/17/pdfs/GMD-1839-1737.pdf#page=3","Abrir facsímil")</f>
        <v>Abrir facsímil</v>
      </c>
      <c r="K14274" s="12" t="s">
        <v>65</v>
      </c>
    </row>
    <row r="14275" spans="1:11" ht="40.049999999999997" customHeight="1" x14ac:dyDescent="0.25">
      <c r="A14275" s="11" t="s">
        <v>27881</v>
      </c>
      <c r="B14275" s="11" t="s">
        <v>27881</v>
      </c>
      <c r="C14275" s="11" t="s">
        <v>80</v>
      </c>
      <c r="D14275" s="11" t="s">
        <v>18</v>
      </c>
      <c r="E14275" s="12" t="s">
        <v>217</v>
      </c>
      <c r="F14275" s="12" t="s">
        <v>218</v>
      </c>
      <c r="G14275" s="12" t="s">
        <v>46</v>
      </c>
      <c r="H14275" s="11" t="s">
        <v>63</v>
      </c>
      <c r="I14275" s="13" t="s">
        <v>27882</v>
      </c>
      <c r="J14275" s="14" t="str">
        <f>HYPERLINK("https://www.boe.es/gazeta/dias/1839/08/06/pdfs/GMD-1839-1726.pdf#page=3","Abrir facsímil")</f>
        <v>Abrir facsímil</v>
      </c>
      <c r="K14275" s="12" t="s">
        <v>65</v>
      </c>
    </row>
    <row r="14276" spans="1:11" ht="40.049999999999997" customHeight="1" x14ac:dyDescent="0.25">
      <c r="A14276" s="11" t="s">
        <v>27881</v>
      </c>
      <c r="B14276" s="11" t="s">
        <v>27881</v>
      </c>
      <c r="C14276" s="11" t="s">
        <v>101</v>
      </c>
      <c r="D14276" s="11" t="s">
        <v>43</v>
      </c>
      <c r="E14276" s="12" t="s">
        <v>254</v>
      </c>
      <c r="F14276" s="12" t="s">
        <v>255</v>
      </c>
      <c r="G14276" s="12" t="s">
        <v>40</v>
      </c>
      <c r="H14276" s="11" t="s">
        <v>63</v>
      </c>
      <c r="I14276" s="13" t="s">
        <v>27883</v>
      </c>
      <c r="J14276" s="14" t="str">
        <f>HYPERLINK("https://www.boe.es/gazeta/dias/1839/09/12/pdfs/GMD-1839-1765.pdf#page=2","Abrir facsímil")</f>
        <v>Abrir facsímil</v>
      </c>
      <c r="K14276" s="12" t="s">
        <v>65</v>
      </c>
    </row>
    <row r="14277" spans="1:11" ht="40.049999999999997" customHeight="1" x14ac:dyDescent="0.25">
      <c r="A14277" s="11" t="s">
        <v>27884</v>
      </c>
      <c r="B14277" s="11" t="s">
        <v>27885</v>
      </c>
      <c r="C14277" s="11" t="s">
        <v>80</v>
      </c>
      <c r="D14277" s="11" t="s">
        <v>18</v>
      </c>
      <c r="E14277" s="12" t="s">
        <v>336</v>
      </c>
      <c r="F14277" s="12" t="s">
        <v>337</v>
      </c>
      <c r="G14277" s="12" t="s">
        <v>21</v>
      </c>
      <c r="H14277" s="11" t="s">
        <v>63</v>
      </c>
      <c r="I14277" s="13" t="s">
        <v>27886</v>
      </c>
      <c r="J14277" s="14" t="str">
        <f>HYPERLINK("https://www.boe.es/gazeta/dias/1839/07/14/pdfs/GMD-1839-1702.pdf#page=4","Abrir facsímil")</f>
        <v>Abrir facsímil</v>
      </c>
      <c r="K14277" s="12" t="s">
        <v>65</v>
      </c>
    </row>
    <row r="14278" spans="1:11" ht="40.049999999999997" customHeight="1" x14ac:dyDescent="0.25">
      <c r="A14278" s="11" t="s">
        <v>27887</v>
      </c>
      <c r="B14278" s="11" t="s">
        <v>27888</v>
      </c>
      <c r="C14278" s="11" t="s">
        <v>80</v>
      </c>
      <c r="D14278" s="11" t="s">
        <v>18</v>
      </c>
      <c r="E14278" s="12" t="s">
        <v>713</v>
      </c>
      <c r="F14278" s="12" t="s">
        <v>714</v>
      </c>
      <c r="G14278" s="12" t="s">
        <v>40</v>
      </c>
      <c r="H14278" s="11" t="s">
        <v>63</v>
      </c>
      <c r="I14278" s="13" t="s">
        <v>27889</v>
      </c>
      <c r="J14278" s="14" t="str">
        <f>HYPERLINK("https://www.boe.es/gazeta/dias/1839/12/18/pdfs/GMD-1839-1865.pdf#page=2","Abrir facsímil")</f>
        <v>Abrir facsímil</v>
      </c>
      <c r="K14278" s="12" t="s">
        <v>65</v>
      </c>
    </row>
    <row r="14279" spans="1:11" ht="40.049999999999997" customHeight="1" x14ac:dyDescent="0.25">
      <c r="A14279" s="11" t="s">
        <v>27890</v>
      </c>
      <c r="B14279" s="11" t="s">
        <v>27891</v>
      </c>
      <c r="C14279" s="11" t="s">
        <v>17</v>
      </c>
      <c r="D14279" s="11" t="s">
        <v>18</v>
      </c>
      <c r="E14279" s="12" t="s">
        <v>185</v>
      </c>
      <c r="F14279" s="12" t="s">
        <v>186</v>
      </c>
      <c r="G14279" s="12" t="s">
        <v>29</v>
      </c>
      <c r="H14279" s="11" t="s">
        <v>63</v>
      </c>
      <c r="I14279" s="13" t="s">
        <v>27892</v>
      </c>
      <c r="J14279" s="14" t="str">
        <f>HYPERLINK("https://www.boe.es/gazeta/dias/1839/01/15/pdfs/GMD-1839-1522.pdf#page=1","Abrir facsímil")</f>
        <v>Abrir facsímil</v>
      </c>
      <c r="K14279" s="12" t="s">
        <v>65</v>
      </c>
    </row>
    <row r="14280" spans="1:11" ht="40.049999999999997" customHeight="1" x14ac:dyDescent="0.25">
      <c r="A14280" s="11" t="s">
        <v>27893</v>
      </c>
      <c r="B14280" s="11" t="s">
        <v>27894</v>
      </c>
      <c r="C14280" s="11" t="s">
        <v>101</v>
      </c>
      <c r="D14280" s="11" t="s">
        <v>43</v>
      </c>
      <c r="E14280" s="12" t="s">
        <v>2069</v>
      </c>
      <c r="F14280" s="12" t="s">
        <v>2070</v>
      </c>
      <c r="G14280" s="12" t="s">
        <v>566</v>
      </c>
      <c r="H14280" s="11" t="s">
        <v>63</v>
      </c>
      <c r="I14280" s="13" t="s">
        <v>27895</v>
      </c>
      <c r="J14280" s="14" t="str">
        <f>HYPERLINK("https://www.boe.es/gazeta/dias/1839/10/20/pdfs/GMD-1839-1806.pdf#page=5","Abrir facsímil")</f>
        <v>Abrir facsímil</v>
      </c>
      <c r="K14280" s="12" t="s">
        <v>65</v>
      </c>
    </row>
    <row r="14281" spans="1:11" ht="40.049999999999997" customHeight="1" x14ac:dyDescent="0.25">
      <c r="A14281" s="11" t="s">
        <v>27896</v>
      </c>
      <c r="B14281" s="11" t="s">
        <v>27896</v>
      </c>
      <c r="C14281" s="11" t="s">
        <v>17</v>
      </c>
      <c r="D14281" s="11" t="s">
        <v>18</v>
      </c>
      <c r="E14281" s="12" t="s">
        <v>2378</v>
      </c>
      <c r="F14281" s="12" t="s">
        <v>2379</v>
      </c>
      <c r="G14281" s="12" t="s">
        <v>21</v>
      </c>
      <c r="H14281" s="11" t="s">
        <v>63</v>
      </c>
      <c r="I14281" s="13" t="s">
        <v>27897</v>
      </c>
      <c r="J14281" s="14" t="str">
        <f>HYPERLINK("https://www.boe.es/gazeta/dias/1839/06/20/pdfs/GMD-1839-1678.pdf#page=4","Abrir facsímil")</f>
        <v>Abrir facsímil</v>
      </c>
      <c r="K14281" s="12" t="s">
        <v>65</v>
      </c>
    </row>
    <row r="14282" spans="1:11" ht="40.049999999999997" customHeight="1" x14ac:dyDescent="0.25">
      <c r="A14282" s="11" t="s">
        <v>27896</v>
      </c>
      <c r="B14282" s="11" t="s">
        <v>27896</v>
      </c>
      <c r="C14282" s="11" t="s">
        <v>17</v>
      </c>
      <c r="D14282" s="11" t="s">
        <v>18</v>
      </c>
      <c r="E14282" s="12" t="s">
        <v>222</v>
      </c>
      <c r="F14282" s="12" t="s">
        <v>223</v>
      </c>
      <c r="G14282" s="12" t="s">
        <v>21</v>
      </c>
      <c r="H14282" s="11" t="s">
        <v>63</v>
      </c>
      <c r="I14282" s="13" t="s">
        <v>27898</v>
      </c>
      <c r="J14282" s="14" t="str">
        <f>HYPERLINK("https://www.boe.es/gazeta/dias/1839/06/22/pdfs/GMD-1839-1680.pdf#page=4","Abrir facsímil")</f>
        <v>Abrir facsímil</v>
      </c>
      <c r="K14282" s="12" t="s">
        <v>65</v>
      </c>
    </row>
    <row r="14283" spans="1:11" ht="40.049999999999997" customHeight="1" x14ac:dyDescent="0.25">
      <c r="A14283" s="11" t="s">
        <v>27896</v>
      </c>
      <c r="B14283" s="11" t="s">
        <v>27896</v>
      </c>
      <c r="C14283" s="11" t="s">
        <v>17</v>
      </c>
      <c r="D14283" s="11" t="s">
        <v>18</v>
      </c>
      <c r="E14283" s="12" t="s">
        <v>360</v>
      </c>
      <c r="F14283" s="12" t="s">
        <v>361</v>
      </c>
      <c r="G14283" s="12" t="s">
        <v>46</v>
      </c>
      <c r="H14283" s="11" t="s">
        <v>63</v>
      </c>
      <c r="I14283" s="13" t="s">
        <v>27899</v>
      </c>
      <c r="J14283" s="14" t="str">
        <f>HYPERLINK("https://www.boe.es/gazeta/dias/1839/08/22/pdfs/GMD-1839-1743.pdf#page=3","Abrir facsímil")</f>
        <v>Abrir facsímil</v>
      </c>
      <c r="K14283" s="12" t="s">
        <v>65</v>
      </c>
    </row>
    <row r="14284" spans="1:11" ht="40.049999999999997" customHeight="1" x14ac:dyDescent="0.25">
      <c r="A14284" s="11" t="s">
        <v>27900</v>
      </c>
      <c r="B14284" s="11" t="s">
        <v>27900</v>
      </c>
      <c r="C14284" s="11" t="s">
        <v>80</v>
      </c>
      <c r="D14284" s="11" t="s">
        <v>18</v>
      </c>
      <c r="E14284" s="12" t="s">
        <v>1057</v>
      </c>
      <c r="F14284" s="12" t="s">
        <v>1058</v>
      </c>
      <c r="G14284" s="12" t="s">
        <v>40</v>
      </c>
      <c r="H14284" s="11" t="s">
        <v>22</v>
      </c>
      <c r="I14284" s="13" t="s">
        <v>27901</v>
      </c>
      <c r="J14284" s="14" t="str">
        <f>HYPERLINK("https://www.boe.es/gazeta/dias/1839/10/01/pdfs/GMD-1839-1787.pdf#page=2","Abrir facsímil")</f>
        <v>Abrir facsímil</v>
      </c>
      <c r="K14284" s="12" t="s">
        <v>24</v>
      </c>
    </row>
    <row r="14285" spans="1:11" ht="40.049999999999997" customHeight="1" x14ac:dyDescent="0.25">
      <c r="A14285" s="11" t="s">
        <v>27902</v>
      </c>
      <c r="B14285" s="11" t="s">
        <v>27902</v>
      </c>
      <c r="C14285" s="11" t="s">
        <v>137</v>
      </c>
      <c r="D14285" s="11" t="s">
        <v>18</v>
      </c>
      <c r="E14285" s="12" t="s">
        <v>2222</v>
      </c>
      <c r="F14285" s="12" t="s">
        <v>2223</v>
      </c>
      <c r="G14285" s="12" t="s">
        <v>40</v>
      </c>
      <c r="H14285" s="11" t="s">
        <v>63</v>
      </c>
      <c r="I14285" s="13" t="s">
        <v>27903</v>
      </c>
      <c r="J14285" s="14" t="str">
        <f>HYPERLINK("https://www.boe.es/gazeta/dias/1839/09/19/pdfs/GMD-1839-1773.pdf#page=2","Abrir facsímil")</f>
        <v>Abrir facsímil</v>
      </c>
      <c r="K14285" s="12" t="s">
        <v>65</v>
      </c>
    </row>
    <row r="14286" spans="1:11" ht="40.049999999999997" customHeight="1" x14ac:dyDescent="0.25">
      <c r="A14286" s="11" t="s">
        <v>27902</v>
      </c>
      <c r="B14286" s="11" t="s">
        <v>27902</v>
      </c>
      <c r="C14286" s="11" t="s">
        <v>17</v>
      </c>
      <c r="D14286" s="11" t="s">
        <v>18</v>
      </c>
      <c r="E14286" s="12" t="s">
        <v>2222</v>
      </c>
      <c r="F14286" s="12" t="s">
        <v>2223</v>
      </c>
      <c r="G14286" s="12" t="s">
        <v>21</v>
      </c>
      <c r="H14286" s="11" t="s">
        <v>63</v>
      </c>
      <c r="I14286" s="13" t="s">
        <v>27904</v>
      </c>
      <c r="J14286" s="14" t="str">
        <f>HYPERLINK("https://www.boe.es/gazeta/dias/1839/09/19/pdfs/GMD-1839-1773.pdf#page=4","Abrir facsímil")</f>
        <v>Abrir facsímil</v>
      </c>
      <c r="K14286" s="12" t="s">
        <v>65</v>
      </c>
    </row>
    <row r="14287" spans="1:11" ht="40.049999999999997" customHeight="1" x14ac:dyDescent="0.25">
      <c r="A14287" s="11" t="s">
        <v>27902</v>
      </c>
      <c r="B14287" s="11" t="s">
        <v>27902</v>
      </c>
      <c r="C14287" s="11" t="s">
        <v>17</v>
      </c>
      <c r="D14287" s="11" t="s">
        <v>18</v>
      </c>
      <c r="E14287" s="12" t="s">
        <v>1108</v>
      </c>
      <c r="F14287" s="12" t="s">
        <v>1109</v>
      </c>
      <c r="G14287" s="12" t="s">
        <v>40</v>
      </c>
      <c r="H14287" s="11" t="s">
        <v>63</v>
      </c>
      <c r="I14287" s="13" t="s">
        <v>27905</v>
      </c>
      <c r="J14287" s="14" t="str">
        <f>HYPERLINK("https://www.boe.es/gazeta/dias/1839/09/21/pdfs/GMD-1839-1776.pdf#page=2","Abrir facsímil")</f>
        <v>Abrir facsímil</v>
      </c>
      <c r="K14287" s="12" t="s">
        <v>65</v>
      </c>
    </row>
    <row r="14288" spans="1:11" ht="40.049999999999997" customHeight="1" x14ac:dyDescent="0.25">
      <c r="A14288" s="11" t="s">
        <v>27906</v>
      </c>
      <c r="B14288" s="11" t="s">
        <v>27906</v>
      </c>
      <c r="C14288" s="11" t="s">
        <v>80</v>
      </c>
      <c r="D14288" s="11" t="s">
        <v>18</v>
      </c>
      <c r="E14288" s="12" t="s">
        <v>388</v>
      </c>
      <c r="F14288" s="12" t="s">
        <v>389</v>
      </c>
      <c r="G14288" s="12" t="s">
        <v>21</v>
      </c>
      <c r="H14288" s="11" t="s">
        <v>63</v>
      </c>
      <c r="I14288" s="13" t="s">
        <v>27907</v>
      </c>
      <c r="J14288" s="14" t="str">
        <f>HYPERLINK("https://www.boe.es/gazeta/dias/1839/08/07/pdfs/GMD-1839-1727.pdf#page=4","Abrir facsímil")</f>
        <v>Abrir facsímil</v>
      </c>
      <c r="K14288" s="12" t="s">
        <v>65</v>
      </c>
    </row>
    <row r="14289" spans="1:11" ht="40.049999999999997" customHeight="1" x14ac:dyDescent="0.25">
      <c r="A14289" s="11" t="s">
        <v>27906</v>
      </c>
      <c r="B14289" s="11" t="s">
        <v>27906</v>
      </c>
      <c r="C14289" s="11" t="s">
        <v>17</v>
      </c>
      <c r="D14289" s="11" t="s">
        <v>18</v>
      </c>
      <c r="E14289" s="12" t="s">
        <v>44</v>
      </c>
      <c r="F14289" s="12" t="s">
        <v>45</v>
      </c>
      <c r="G14289" s="12" t="s">
        <v>46</v>
      </c>
      <c r="H14289" s="11" t="s">
        <v>63</v>
      </c>
      <c r="I14289" s="13" t="s">
        <v>27908</v>
      </c>
      <c r="J14289" s="14" t="str">
        <f>HYPERLINK("https://www.boe.es/gazeta/dias/1839/11/15/pdfs/GMD-1839-1832.pdf#page=3","Abrir facsímil")</f>
        <v>Abrir facsímil</v>
      </c>
      <c r="K14289" s="12" t="s">
        <v>65</v>
      </c>
    </row>
    <row r="14290" spans="1:11" ht="40.049999999999997" customHeight="1" x14ac:dyDescent="0.25">
      <c r="A14290" s="11" t="s">
        <v>27909</v>
      </c>
      <c r="B14290" s="11" t="s">
        <v>27909</v>
      </c>
      <c r="C14290" s="11" t="s">
        <v>59</v>
      </c>
      <c r="D14290" s="11" t="s">
        <v>60</v>
      </c>
      <c r="E14290" s="12" t="s">
        <v>1391</v>
      </c>
      <c r="F14290" s="12" t="s">
        <v>1392</v>
      </c>
      <c r="G14290" s="12" t="s">
        <v>21</v>
      </c>
      <c r="H14290" s="11" t="s">
        <v>63</v>
      </c>
      <c r="I14290" s="13" t="s">
        <v>27910</v>
      </c>
      <c r="J14290" s="14" t="str">
        <f>HYPERLINK("https://www.boe.es/gazeta/dias/1839/05/12/pdfs/GMD-1839-1639.pdf#page=4","Abrir facsímil")</f>
        <v>Abrir facsímil</v>
      </c>
      <c r="K14290" s="12" t="s">
        <v>65</v>
      </c>
    </row>
    <row r="14291" spans="1:11" ht="40.049999999999997" customHeight="1" x14ac:dyDescent="0.25">
      <c r="A14291" s="11" t="s">
        <v>27911</v>
      </c>
      <c r="B14291" s="11" t="s">
        <v>27911</v>
      </c>
      <c r="C14291" s="11" t="s">
        <v>17</v>
      </c>
      <c r="D14291" s="11" t="s">
        <v>18</v>
      </c>
      <c r="E14291" s="12" t="s">
        <v>349</v>
      </c>
      <c r="F14291" s="12" t="s">
        <v>350</v>
      </c>
      <c r="G14291" s="12" t="s">
        <v>46</v>
      </c>
      <c r="H14291" s="11" t="s">
        <v>63</v>
      </c>
      <c r="I14291" s="13" t="s">
        <v>27912</v>
      </c>
      <c r="J14291" s="14" t="str">
        <f>HYPERLINK("https://www.boe.es/gazeta/dias/1839/12/25/pdfs/GMD-1839-1872.pdf#page=3","Abrir facsímil")</f>
        <v>Abrir facsímil</v>
      </c>
      <c r="K14291" s="12" t="s">
        <v>65</v>
      </c>
    </row>
    <row r="14292" spans="1:11" ht="40.049999999999997" customHeight="1" x14ac:dyDescent="0.25">
      <c r="A14292" s="11" t="s">
        <v>27913</v>
      </c>
      <c r="B14292" s="11" t="s">
        <v>27913</v>
      </c>
      <c r="C14292" s="11" t="s">
        <v>17</v>
      </c>
      <c r="D14292" s="11" t="s">
        <v>18</v>
      </c>
      <c r="E14292" s="12" t="s">
        <v>438</v>
      </c>
      <c r="F14292" s="12" t="s">
        <v>439</v>
      </c>
      <c r="G14292" s="12" t="s">
        <v>29</v>
      </c>
      <c r="H14292" s="11" t="s">
        <v>63</v>
      </c>
      <c r="I14292" s="13" t="s">
        <v>27914</v>
      </c>
      <c r="J14292" s="14" t="str">
        <f>HYPERLINK("https://www.boe.es/gazeta/dias/1839/07/17/pdfs/GMD-1839-1705.pdf#page=1","Abrir facsímil")</f>
        <v>Abrir facsímil</v>
      </c>
      <c r="K14292" s="12" t="s">
        <v>65</v>
      </c>
    </row>
    <row r="14293" spans="1:11" ht="40.049999999999997" customHeight="1" x14ac:dyDescent="0.25">
      <c r="A14293" s="11" t="s">
        <v>27913</v>
      </c>
      <c r="B14293" s="11" t="s">
        <v>27913</v>
      </c>
      <c r="C14293" s="11" t="s">
        <v>59</v>
      </c>
      <c r="D14293" s="11" t="s">
        <v>60</v>
      </c>
      <c r="E14293" s="12" t="s">
        <v>469</v>
      </c>
      <c r="F14293" s="12" t="s">
        <v>470</v>
      </c>
      <c r="G14293" s="12" t="s">
        <v>29</v>
      </c>
      <c r="H14293" s="11" t="s">
        <v>63</v>
      </c>
      <c r="I14293" s="13" t="s">
        <v>27915</v>
      </c>
      <c r="J14293" s="14" t="str">
        <f>HYPERLINK("https://www.boe.es/gazeta/dias/1839/08/20/pdfs/GMD-1839-1741.pdf#page=1","Abrir facsímil")</f>
        <v>Abrir facsímil</v>
      </c>
      <c r="K14293" s="12" t="s">
        <v>65</v>
      </c>
    </row>
    <row r="14294" spans="1:11" ht="40.049999999999997" customHeight="1" x14ac:dyDescent="0.25">
      <c r="A14294" s="11" t="s">
        <v>27913</v>
      </c>
      <c r="B14294" s="11" t="s">
        <v>27913</v>
      </c>
      <c r="C14294" s="11" t="s">
        <v>17</v>
      </c>
      <c r="D14294" s="11" t="s">
        <v>18</v>
      </c>
      <c r="E14294" s="12" t="s">
        <v>128</v>
      </c>
      <c r="F14294" s="12" t="s">
        <v>129</v>
      </c>
      <c r="G14294" s="12" t="s">
        <v>21</v>
      </c>
      <c r="H14294" s="11" t="s">
        <v>63</v>
      </c>
      <c r="I14294" s="13" t="s">
        <v>27916</v>
      </c>
      <c r="J14294" s="14" t="str">
        <f>HYPERLINK("https://www.boe.es/gazeta/dias/1839/05/25/pdfs/GMD-1839-1652.pdf#page=4","Abrir facsímil")</f>
        <v>Abrir facsímil</v>
      </c>
      <c r="K14294" s="12" t="s">
        <v>65</v>
      </c>
    </row>
    <row r="14295" spans="1:11" ht="40.049999999999997" customHeight="1" x14ac:dyDescent="0.25">
      <c r="A14295" s="11" t="s">
        <v>27917</v>
      </c>
      <c r="B14295" s="11" t="s">
        <v>27918</v>
      </c>
      <c r="C14295" s="11" t="s">
        <v>17</v>
      </c>
      <c r="D14295" s="11" t="s">
        <v>18</v>
      </c>
      <c r="E14295" s="12" t="s">
        <v>2050</v>
      </c>
      <c r="F14295" s="12" t="s">
        <v>2051</v>
      </c>
      <c r="G14295" s="12" t="s">
        <v>40</v>
      </c>
      <c r="H14295" s="11" t="s">
        <v>22</v>
      </c>
      <c r="I14295" s="13" t="s">
        <v>27919</v>
      </c>
      <c r="J14295" s="14" t="str">
        <f>HYPERLINK("https://www.boe.es/gazeta/dias/1839/01/09/pdfs/GMD-1839-1516.pdf#page=2","Abrir facsímil")</f>
        <v>Abrir facsímil</v>
      </c>
      <c r="K14295" s="12" t="s">
        <v>24</v>
      </c>
    </row>
    <row r="14296" spans="1:11" ht="40.049999999999997" customHeight="1" x14ac:dyDescent="0.25">
      <c r="A14296" s="11" t="s">
        <v>27920</v>
      </c>
      <c r="B14296" s="11" t="s">
        <v>27921</v>
      </c>
      <c r="C14296" s="11" t="s">
        <v>101</v>
      </c>
      <c r="D14296" s="11" t="s">
        <v>43</v>
      </c>
      <c r="E14296" s="12" t="s">
        <v>160</v>
      </c>
      <c r="F14296" s="12" t="s">
        <v>161</v>
      </c>
      <c r="G14296" s="12" t="s">
        <v>40</v>
      </c>
      <c r="H14296" s="11" t="s">
        <v>22</v>
      </c>
      <c r="I14296" s="13" t="s">
        <v>27922</v>
      </c>
      <c r="J14296" s="14" t="str">
        <f>HYPERLINK("https://www.boe.es/gazeta/dias/1839/01/10/pdfs/GMD-1839-1517.pdf#page=2","Abrir facsímil")</f>
        <v>Abrir facsímil</v>
      </c>
      <c r="K14296" s="12" t="s">
        <v>24</v>
      </c>
    </row>
    <row r="14297" spans="1:11" ht="40.049999999999997" customHeight="1" x14ac:dyDescent="0.25">
      <c r="A14297" s="11" t="s">
        <v>27923</v>
      </c>
      <c r="B14297" s="11" t="s">
        <v>27924</v>
      </c>
      <c r="C14297" s="11" t="s">
        <v>17</v>
      </c>
      <c r="D14297" s="11" t="s">
        <v>18</v>
      </c>
      <c r="E14297" s="12" t="s">
        <v>2210</v>
      </c>
      <c r="F14297" s="12" t="s">
        <v>2211</v>
      </c>
      <c r="G14297" s="12" t="s">
        <v>40</v>
      </c>
      <c r="H14297" s="11" t="s">
        <v>22</v>
      </c>
      <c r="I14297" s="13" t="s">
        <v>27925</v>
      </c>
      <c r="J14297" s="14" t="str">
        <f>HYPERLINK("https://www.boe.es/gazeta/dias/1839/09/05/pdfs/GMD-1839-1758.pdf#page=2","Abrir facsímil")</f>
        <v>Abrir facsímil</v>
      </c>
      <c r="K14297" s="12" t="s">
        <v>24</v>
      </c>
    </row>
    <row r="14298" spans="1:11" ht="40.049999999999997" customHeight="1" x14ac:dyDescent="0.25">
      <c r="A14298" s="11" t="s">
        <v>27923</v>
      </c>
      <c r="B14298" s="11" t="s">
        <v>27924</v>
      </c>
      <c r="C14298" s="11" t="s">
        <v>17</v>
      </c>
      <c r="D14298" s="11" t="s">
        <v>18</v>
      </c>
      <c r="E14298" s="12" t="s">
        <v>2738</v>
      </c>
      <c r="F14298" s="12" t="s">
        <v>2739</v>
      </c>
      <c r="G14298" s="12" t="s">
        <v>46</v>
      </c>
      <c r="H14298" s="11" t="s">
        <v>22</v>
      </c>
      <c r="I14298" s="13" t="s">
        <v>27926</v>
      </c>
      <c r="J14298" s="14" t="str">
        <f>HYPERLINK("https://www.boe.es/gazeta/dias/1839/09/06/pdfs/GMD-1839-1759.pdf#page=3","Abrir facsímil")</f>
        <v>Abrir facsímil</v>
      </c>
      <c r="K14298" s="12" t="s">
        <v>24</v>
      </c>
    </row>
    <row r="14299" spans="1:11" ht="40.049999999999997" customHeight="1" x14ac:dyDescent="0.25">
      <c r="A14299" s="11" t="s">
        <v>27923</v>
      </c>
      <c r="B14299" s="11" t="s">
        <v>27924</v>
      </c>
      <c r="C14299" s="11" t="s">
        <v>17</v>
      </c>
      <c r="D14299" s="11" t="s">
        <v>18</v>
      </c>
      <c r="E14299" s="12" t="s">
        <v>1366</v>
      </c>
      <c r="F14299" s="12" t="s">
        <v>1367</v>
      </c>
      <c r="G14299" s="12" t="s">
        <v>40</v>
      </c>
      <c r="H14299" s="11" t="s">
        <v>22</v>
      </c>
      <c r="I14299" s="13" t="s">
        <v>27927</v>
      </c>
      <c r="J14299" s="14" t="str">
        <f>HYPERLINK("https://www.boe.es/gazeta/dias/1839/09/09/pdfs/GMD-1839-1762.pdf#page=2","Abrir facsímil")</f>
        <v>Abrir facsímil</v>
      </c>
      <c r="K14299" s="12" t="s">
        <v>24</v>
      </c>
    </row>
    <row r="14300" spans="1:11" ht="40.049999999999997" customHeight="1" x14ac:dyDescent="0.25">
      <c r="A14300" s="11" t="s">
        <v>27923</v>
      </c>
      <c r="B14300" s="11" t="s">
        <v>27924</v>
      </c>
      <c r="C14300" s="11" t="s">
        <v>137</v>
      </c>
      <c r="D14300" s="11" t="s">
        <v>18</v>
      </c>
      <c r="E14300" s="12" t="s">
        <v>723</v>
      </c>
      <c r="F14300" s="12" t="s">
        <v>724</v>
      </c>
      <c r="G14300" s="12" t="s">
        <v>46</v>
      </c>
      <c r="H14300" s="11" t="s">
        <v>22</v>
      </c>
      <c r="I14300" s="13" t="s">
        <v>27928</v>
      </c>
      <c r="J14300" s="14" t="str">
        <f>HYPERLINK("https://www.boe.es/gazeta/dias/1839/09/26/pdfs/GMD-1839-1782.pdf#page=3","Abrir facsímil")</f>
        <v>Abrir facsímil</v>
      </c>
      <c r="K14300" s="12" t="s">
        <v>24</v>
      </c>
    </row>
    <row r="14301" spans="1:11" ht="40.049999999999997" customHeight="1" x14ac:dyDescent="0.25">
      <c r="A14301" s="11" t="s">
        <v>27929</v>
      </c>
      <c r="B14301" s="11" t="s">
        <v>27930</v>
      </c>
      <c r="C14301" s="11" t="s">
        <v>17</v>
      </c>
      <c r="D14301" s="11" t="s">
        <v>18</v>
      </c>
      <c r="E14301" s="12" t="s">
        <v>54</v>
      </c>
      <c r="F14301" s="12" t="s">
        <v>55</v>
      </c>
      <c r="G14301" s="12" t="s">
        <v>46</v>
      </c>
      <c r="H14301" s="11" t="s">
        <v>22</v>
      </c>
      <c r="I14301" s="13" t="s">
        <v>27931</v>
      </c>
      <c r="J14301" s="14" t="str">
        <f>HYPERLINK("https://www.boe.es/gazeta/dias/1839/10/05/pdfs/GMD-1839-1791.pdf#page=3","Abrir facsímil")</f>
        <v>Abrir facsímil</v>
      </c>
      <c r="K14301" s="12" t="s">
        <v>24</v>
      </c>
    </row>
    <row r="14302" spans="1:11" ht="40.049999999999997" customHeight="1" x14ac:dyDescent="0.25">
      <c r="A14302" s="11" t="s">
        <v>27929</v>
      </c>
      <c r="B14302" s="11" t="s">
        <v>27930</v>
      </c>
      <c r="C14302" s="11" t="s">
        <v>17</v>
      </c>
      <c r="D14302" s="11" t="s">
        <v>18</v>
      </c>
      <c r="E14302" s="12" t="s">
        <v>2738</v>
      </c>
      <c r="F14302" s="12" t="s">
        <v>2739</v>
      </c>
      <c r="G14302" s="12" t="s">
        <v>40</v>
      </c>
      <c r="H14302" s="11" t="s">
        <v>22</v>
      </c>
      <c r="I14302" s="13" t="s">
        <v>27932</v>
      </c>
      <c r="J14302" s="14" t="str">
        <f>HYPERLINK("https://www.boe.es/gazeta/dias/1839/09/06/pdfs/GMD-1839-1759.pdf#page=2","Abrir facsímil")</f>
        <v>Abrir facsímil</v>
      </c>
      <c r="K14302" s="12" t="s">
        <v>24</v>
      </c>
    </row>
    <row r="14303" spans="1:11" ht="40.049999999999997" customHeight="1" x14ac:dyDescent="0.25">
      <c r="A14303" s="11" t="s">
        <v>27929</v>
      </c>
      <c r="B14303" s="11" t="s">
        <v>27930</v>
      </c>
      <c r="C14303" s="11" t="s">
        <v>101</v>
      </c>
      <c r="D14303" s="11" t="s">
        <v>43</v>
      </c>
      <c r="E14303" s="12" t="s">
        <v>453</v>
      </c>
      <c r="F14303" s="12" t="s">
        <v>454</v>
      </c>
      <c r="G14303" s="12" t="s">
        <v>40</v>
      </c>
      <c r="H14303" s="11" t="s">
        <v>22</v>
      </c>
      <c r="I14303" s="13" t="s">
        <v>27933</v>
      </c>
      <c r="J14303" s="14" t="str">
        <f>HYPERLINK("https://www.boe.es/gazeta/dias/1839/02/07/pdfs/GMD-1839-1545.pdf#page=2","Abrir facsímil")</f>
        <v>Abrir facsímil</v>
      </c>
      <c r="K14303" s="12" t="s">
        <v>24</v>
      </c>
    </row>
    <row r="14304" spans="1:11" ht="40.049999999999997" customHeight="1" x14ac:dyDescent="0.25">
      <c r="A14304" s="11" t="s">
        <v>27929</v>
      </c>
      <c r="B14304" s="11" t="s">
        <v>27930</v>
      </c>
      <c r="C14304" s="11" t="s">
        <v>17</v>
      </c>
      <c r="D14304" s="11" t="s">
        <v>18</v>
      </c>
      <c r="E14304" s="12" t="s">
        <v>163</v>
      </c>
      <c r="F14304" s="12" t="s">
        <v>164</v>
      </c>
      <c r="G14304" s="12" t="s">
        <v>40</v>
      </c>
      <c r="H14304" s="11" t="s">
        <v>22</v>
      </c>
      <c r="I14304" s="13" t="s">
        <v>27934</v>
      </c>
      <c r="J14304" s="14" t="str">
        <f>HYPERLINK("https://www.boe.es/gazeta/dias/1839/01/13/pdfs/GMD-1839-1520.pdf#page=2","Abrir facsímil")</f>
        <v>Abrir facsímil</v>
      </c>
      <c r="K14304" s="12" t="s">
        <v>24</v>
      </c>
    </row>
    <row r="14305" spans="1:11" ht="40.049999999999997" customHeight="1" x14ac:dyDescent="0.25">
      <c r="A14305" s="11" t="s">
        <v>27929</v>
      </c>
      <c r="B14305" s="11" t="s">
        <v>27930</v>
      </c>
      <c r="C14305" s="11" t="s">
        <v>17</v>
      </c>
      <c r="D14305" s="11" t="s">
        <v>18</v>
      </c>
      <c r="E14305" s="12" t="s">
        <v>19</v>
      </c>
      <c r="F14305" s="12" t="s">
        <v>20</v>
      </c>
      <c r="G14305" s="12" t="s">
        <v>21</v>
      </c>
      <c r="H14305" s="11" t="s">
        <v>22</v>
      </c>
      <c r="I14305" s="13" t="s">
        <v>27935</v>
      </c>
      <c r="J14305" s="14" t="str">
        <f>HYPERLINK("https://www.boe.es/gazeta/dias/1839/01/19/pdfs/GMD-1839-1526.pdf#page=4","Abrir facsímil")</f>
        <v>Abrir facsímil</v>
      </c>
      <c r="K14305" s="12" t="s">
        <v>24</v>
      </c>
    </row>
    <row r="14306" spans="1:11" ht="40.049999999999997" customHeight="1" x14ac:dyDescent="0.25">
      <c r="A14306" s="11" t="s">
        <v>27929</v>
      </c>
      <c r="B14306" s="11" t="s">
        <v>27930</v>
      </c>
      <c r="C14306" s="11" t="s">
        <v>101</v>
      </c>
      <c r="D14306" s="11" t="s">
        <v>43</v>
      </c>
      <c r="E14306" s="12" t="s">
        <v>433</v>
      </c>
      <c r="F14306" s="12" t="s">
        <v>434</v>
      </c>
      <c r="G14306" s="12" t="s">
        <v>46</v>
      </c>
      <c r="H14306" s="11" t="s">
        <v>22</v>
      </c>
      <c r="I14306" s="13" t="s">
        <v>27936</v>
      </c>
      <c r="J14306" s="14" t="str">
        <f>HYPERLINK("https://www.boe.es/gazeta/dias/1839/01/20/pdfs/GMD-1839-1527.pdf#page=3","Abrir facsímil")</f>
        <v>Abrir facsímil</v>
      </c>
      <c r="K14306" s="12" t="s">
        <v>24</v>
      </c>
    </row>
    <row r="14307" spans="1:11" ht="40.049999999999997" customHeight="1" x14ac:dyDescent="0.25">
      <c r="A14307" s="11" t="s">
        <v>27929</v>
      </c>
      <c r="B14307" s="11" t="s">
        <v>27930</v>
      </c>
      <c r="C14307" s="11" t="s">
        <v>17</v>
      </c>
      <c r="D14307" s="11" t="s">
        <v>18</v>
      </c>
      <c r="E14307" s="12" t="s">
        <v>926</v>
      </c>
      <c r="F14307" s="12" t="s">
        <v>927</v>
      </c>
      <c r="G14307" s="12" t="s">
        <v>40</v>
      </c>
      <c r="H14307" s="11" t="s">
        <v>22</v>
      </c>
      <c r="I14307" s="13" t="s">
        <v>27937</v>
      </c>
      <c r="J14307" s="14" t="str">
        <f>HYPERLINK("https://www.boe.es/gazeta/dias/1839/01/25/pdfs/GMD-1839-1532.pdf#page=2","Abrir facsímil")</f>
        <v>Abrir facsímil</v>
      </c>
      <c r="K14307" s="12" t="s">
        <v>24</v>
      </c>
    </row>
    <row r="14308" spans="1:11" ht="40.049999999999997" customHeight="1" x14ac:dyDescent="0.25">
      <c r="A14308" s="11" t="s">
        <v>27929</v>
      </c>
      <c r="B14308" s="11" t="s">
        <v>27930</v>
      </c>
      <c r="C14308" s="11" t="s">
        <v>17</v>
      </c>
      <c r="D14308" s="11" t="s">
        <v>18</v>
      </c>
      <c r="E14308" s="12" t="s">
        <v>926</v>
      </c>
      <c r="F14308" s="12" t="s">
        <v>927</v>
      </c>
      <c r="G14308" s="12" t="s">
        <v>21</v>
      </c>
      <c r="H14308" s="11" t="s">
        <v>22</v>
      </c>
      <c r="I14308" s="13" t="s">
        <v>27938</v>
      </c>
      <c r="J14308" s="14" t="str">
        <f>HYPERLINK("https://www.boe.es/gazeta/dias/1839/01/25/pdfs/GMD-1839-1532.pdf#page=4","Abrir facsímil")</f>
        <v>Abrir facsímil</v>
      </c>
      <c r="K14308" s="12" t="s">
        <v>24</v>
      </c>
    </row>
    <row r="14309" spans="1:11" ht="40.049999999999997" customHeight="1" x14ac:dyDescent="0.25">
      <c r="A14309" s="11" t="s">
        <v>27929</v>
      </c>
      <c r="B14309" s="11" t="s">
        <v>27930</v>
      </c>
      <c r="C14309" s="11" t="s">
        <v>101</v>
      </c>
      <c r="D14309" s="11" t="s">
        <v>43</v>
      </c>
      <c r="E14309" s="12" t="s">
        <v>284</v>
      </c>
      <c r="F14309" s="12" t="s">
        <v>285</v>
      </c>
      <c r="G14309" s="12" t="s">
        <v>40</v>
      </c>
      <c r="H14309" s="11" t="s">
        <v>22</v>
      </c>
      <c r="I14309" s="13" t="s">
        <v>27939</v>
      </c>
      <c r="J14309" s="14" t="str">
        <f>HYPERLINK("https://www.boe.es/gazeta/dias/1839/01/27/pdfs/GMD-1839-1534.pdf#page=2","Abrir facsímil")</f>
        <v>Abrir facsímil</v>
      </c>
      <c r="K14309" s="12" t="s">
        <v>24</v>
      </c>
    </row>
    <row r="14310" spans="1:11" ht="40.049999999999997" customHeight="1" x14ac:dyDescent="0.25">
      <c r="A14310" s="11" t="s">
        <v>27940</v>
      </c>
      <c r="B14310" s="11" t="s">
        <v>27941</v>
      </c>
      <c r="C14310" s="11" t="s">
        <v>17</v>
      </c>
      <c r="D14310" s="11" t="s">
        <v>18</v>
      </c>
      <c r="E14310" s="12" t="s">
        <v>138</v>
      </c>
      <c r="F14310" s="12" t="s">
        <v>139</v>
      </c>
      <c r="G14310" s="12" t="s">
        <v>21</v>
      </c>
      <c r="H14310" s="11" t="s">
        <v>63</v>
      </c>
      <c r="I14310" s="13" t="s">
        <v>27942</v>
      </c>
      <c r="J14310" s="14" t="str">
        <f>HYPERLINK("https://www.boe.es/gazeta/dias/1839/10/09/pdfs/GMD-1839-1795.pdf#page=4","Abrir facsímil")</f>
        <v>Abrir facsímil</v>
      </c>
      <c r="K14310" s="12" t="s">
        <v>65</v>
      </c>
    </row>
    <row r="14311" spans="1:11" ht="40.049999999999997" customHeight="1" x14ac:dyDescent="0.25">
      <c r="A14311" s="11" t="s">
        <v>27943</v>
      </c>
      <c r="B14311" s="11" t="s">
        <v>27944</v>
      </c>
      <c r="C14311" s="11" t="s">
        <v>17</v>
      </c>
      <c r="D14311" s="11" t="s">
        <v>18</v>
      </c>
      <c r="E14311" s="12" t="s">
        <v>2995</v>
      </c>
      <c r="F14311" s="12" t="s">
        <v>2996</v>
      </c>
      <c r="G14311" s="12" t="s">
        <v>46</v>
      </c>
      <c r="H14311" s="11" t="s">
        <v>22</v>
      </c>
      <c r="I14311" s="13" t="s">
        <v>27945</v>
      </c>
      <c r="J14311" s="14" t="str">
        <f>HYPERLINK("https://www.boe.es/gazeta/dias/1839/06/16/pdfs/GMD-1839-1674.pdf#page=3","Abrir facsímil")</f>
        <v>Abrir facsímil</v>
      </c>
      <c r="K14311" s="12" t="s">
        <v>24</v>
      </c>
    </row>
    <row r="14312" spans="1:11" ht="40.049999999999997" customHeight="1" x14ac:dyDescent="0.25">
      <c r="A14312" s="11" t="s">
        <v>27946</v>
      </c>
      <c r="B14312" s="11" t="s">
        <v>27946</v>
      </c>
      <c r="C14312" s="11" t="s">
        <v>17</v>
      </c>
      <c r="D14312" s="11" t="s">
        <v>18</v>
      </c>
      <c r="E14312" s="12" t="s">
        <v>1779</v>
      </c>
      <c r="F14312" s="12" t="s">
        <v>1780</v>
      </c>
      <c r="G14312" s="12" t="s">
        <v>40</v>
      </c>
      <c r="H14312" s="11" t="s">
        <v>63</v>
      </c>
      <c r="I14312" s="13" t="s">
        <v>27947</v>
      </c>
      <c r="J14312" s="14" t="str">
        <f>HYPERLINK("https://www.boe.es/gazeta/dias/1839/03/18/pdfs/GMD-1839-1584.pdf#page=2","Abrir facsímil")</f>
        <v>Abrir facsímil</v>
      </c>
      <c r="K14312" s="12" t="s">
        <v>65</v>
      </c>
    </row>
    <row r="14313" spans="1:11" ht="40.049999999999997" customHeight="1" x14ac:dyDescent="0.25">
      <c r="A14313" s="11" t="s">
        <v>27948</v>
      </c>
      <c r="B14313" s="11" t="s">
        <v>27949</v>
      </c>
      <c r="C14313" s="11" t="s">
        <v>17</v>
      </c>
      <c r="D14313" s="11" t="s">
        <v>18</v>
      </c>
      <c r="E14313" s="12" t="s">
        <v>291</v>
      </c>
      <c r="F14313" s="12" t="s">
        <v>292</v>
      </c>
      <c r="G14313" s="12" t="s">
        <v>21</v>
      </c>
      <c r="H14313" s="11" t="s">
        <v>63</v>
      </c>
      <c r="I14313" s="13" t="s">
        <v>27950</v>
      </c>
      <c r="J14313" s="14" t="str">
        <f>HYPERLINK("https://www.boe.es/gazeta/dias/1839/09/04/pdfs/GMD-1839-1757.pdf#page=4","Abrir facsímil")</f>
        <v>Abrir facsímil</v>
      </c>
      <c r="K14313" s="12" t="s">
        <v>65</v>
      </c>
    </row>
    <row r="14314" spans="1:11" ht="40.049999999999997" customHeight="1" x14ac:dyDescent="0.25">
      <c r="A14314" s="11" t="s">
        <v>27951</v>
      </c>
      <c r="B14314" s="11" t="s">
        <v>27952</v>
      </c>
      <c r="C14314" s="11" t="s">
        <v>137</v>
      </c>
      <c r="D14314" s="11" t="s">
        <v>18</v>
      </c>
      <c r="E14314" s="12" t="s">
        <v>181</v>
      </c>
      <c r="F14314" s="12" t="s">
        <v>182</v>
      </c>
      <c r="G14314" s="12" t="s">
        <v>29</v>
      </c>
      <c r="H14314" s="11" t="s">
        <v>63</v>
      </c>
      <c r="I14314" s="13" t="s">
        <v>27953</v>
      </c>
      <c r="J14314" s="14" t="str">
        <f>HYPERLINK("https://www.boe.es/gazeta/dias/1839/01/11/pdfs/GMD-1839-1518.pdf#page=1","Abrir facsímil")</f>
        <v>Abrir facsímil</v>
      </c>
      <c r="K14314" s="12" t="s">
        <v>65</v>
      </c>
    </row>
    <row r="14315" spans="1:11" ht="40.049999999999997" customHeight="1" x14ac:dyDescent="0.25">
      <c r="A14315" s="11" t="s">
        <v>27954</v>
      </c>
      <c r="B14315" s="11" t="s">
        <v>27955</v>
      </c>
      <c r="C14315" s="11" t="s">
        <v>17</v>
      </c>
      <c r="D14315" s="11" t="s">
        <v>18</v>
      </c>
      <c r="E14315" s="12" t="s">
        <v>1628</v>
      </c>
      <c r="F14315" s="12" t="s">
        <v>1629</v>
      </c>
      <c r="G14315" s="12" t="s">
        <v>29</v>
      </c>
      <c r="H14315" s="11" t="s">
        <v>63</v>
      </c>
      <c r="I14315" s="13" t="s">
        <v>27956</v>
      </c>
      <c r="J14315" s="14" t="str">
        <f>HYPERLINK("https://www.boe.es/gazeta/dias/1839/03/10/pdfs/GMD-1839-1576.pdf#page=1","Abrir facsímil")</f>
        <v>Abrir facsímil</v>
      </c>
      <c r="K14315" s="12" t="s">
        <v>65</v>
      </c>
    </row>
    <row r="14316" spans="1:11" ht="40.049999999999997" customHeight="1" x14ac:dyDescent="0.25">
      <c r="A14316" s="11" t="s">
        <v>27957</v>
      </c>
      <c r="B14316" s="11" t="s">
        <v>27958</v>
      </c>
      <c r="C14316" s="11" t="s">
        <v>80</v>
      </c>
      <c r="D14316" s="11" t="s">
        <v>18</v>
      </c>
      <c r="E14316" s="12" t="s">
        <v>522</v>
      </c>
      <c r="F14316" s="12" t="s">
        <v>523</v>
      </c>
      <c r="G14316" s="12" t="s">
        <v>40</v>
      </c>
      <c r="H14316" s="11" t="s">
        <v>63</v>
      </c>
      <c r="I14316" s="13" t="s">
        <v>27959</v>
      </c>
      <c r="J14316" s="14" t="str">
        <f>HYPERLINK("https://www.boe.es/gazeta/dias/1839/08/27/pdfs/GMD-1839-1748.pdf#page=2","Abrir facsímil")</f>
        <v>Abrir facsímil</v>
      </c>
      <c r="K14316" s="12" t="s">
        <v>65</v>
      </c>
    </row>
    <row r="14317" spans="1:11" ht="40.049999999999997" customHeight="1" x14ac:dyDescent="0.25">
      <c r="A14317" s="11" t="s">
        <v>27960</v>
      </c>
      <c r="B14317" s="11" t="s">
        <v>27960</v>
      </c>
      <c r="C14317" s="11" t="s">
        <v>17</v>
      </c>
      <c r="D14317" s="11" t="s">
        <v>18</v>
      </c>
      <c r="E14317" s="12" t="s">
        <v>2378</v>
      </c>
      <c r="F14317" s="12" t="s">
        <v>2379</v>
      </c>
      <c r="G14317" s="12" t="s">
        <v>29</v>
      </c>
      <c r="H14317" s="11" t="s">
        <v>22</v>
      </c>
      <c r="I14317" s="13" t="s">
        <v>27961</v>
      </c>
      <c r="J14317" s="14" t="str">
        <f>HYPERLINK("https://www.boe.es/gazeta/dias/1839/06/20/pdfs/GMD-1839-1678.pdf#page=1","Abrir facsímil")</f>
        <v>Abrir facsímil</v>
      </c>
      <c r="K14317" s="12" t="s">
        <v>24</v>
      </c>
    </row>
    <row r="14318" spans="1:11" ht="40.049999999999997" customHeight="1" x14ac:dyDescent="0.25">
      <c r="A14318" s="11" t="s">
        <v>27962</v>
      </c>
      <c r="B14318" s="11" t="s">
        <v>27962</v>
      </c>
      <c r="C14318" s="11" t="s">
        <v>17</v>
      </c>
      <c r="D14318" s="11" t="s">
        <v>18</v>
      </c>
      <c r="E14318" s="12" t="s">
        <v>157</v>
      </c>
      <c r="F14318" s="12" t="s">
        <v>158</v>
      </c>
      <c r="G14318" s="12" t="s">
        <v>40</v>
      </c>
      <c r="H14318" s="11" t="s">
        <v>63</v>
      </c>
      <c r="I14318" s="13" t="s">
        <v>27963</v>
      </c>
      <c r="J14318" s="14" t="str">
        <f>HYPERLINK("https://www.boe.es/gazeta/dias/1839/02/08/pdfs/GMD-1839-1546.pdf#page=2","Abrir facsímil")</f>
        <v>Abrir facsímil</v>
      </c>
      <c r="K14318" s="12" t="s">
        <v>65</v>
      </c>
    </row>
    <row r="14319" spans="1:11" ht="40.049999999999997" customHeight="1" x14ac:dyDescent="0.25">
      <c r="A14319" s="11" t="s">
        <v>27964</v>
      </c>
      <c r="B14319" s="11" t="s">
        <v>27965</v>
      </c>
      <c r="C14319" s="11" t="s">
        <v>101</v>
      </c>
      <c r="D14319" s="11" t="s">
        <v>102</v>
      </c>
      <c r="E14319" s="12" t="s">
        <v>84</v>
      </c>
      <c r="F14319" s="12" t="s">
        <v>85</v>
      </c>
      <c r="G14319" s="12" t="s">
        <v>21</v>
      </c>
      <c r="H14319" s="11" t="s">
        <v>63</v>
      </c>
      <c r="I14319" s="13" t="s">
        <v>27966</v>
      </c>
      <c r="J14319" s="14" t="str">
        <f>HYPERLINK("https://www.boe.es/gazeta/dias/1839/03/11/pdfs/GMD-1839-1577.pdf#page=4","Abrir facsímil")</f>
        <v>Abrir facsímil</v>
      </c>
      <c r="K14319" s="12" t="s">
        <v>65</v>
      </c>
    </row>
    <row r="14320" spans="1:11" ht="40.049999999999997" customHeight="1" x14ac:dyDescent="0.25">
      <c r="A14320" s="11" t="s">
        <v>27967</v>
      </c>
      <c r="B14320" s="11" t="s">
        <v>27967</v>
      </c>
      <c r="C14320" s="11" t="s">
        <v>17</v>
      </c>
      <c r="D14320" s="11" t="s">
        <v>18</v>
      </c>
      <c r="E14320" s="12" t="s">
        <v>1509</v>
      </c>
      <c r="F14320" s="12" t="s">
        <v>1510</v>
      </c>
      <c r="G14320" s="12" t="s">
        <v>305</v>
      </c>
      <c r="H14320" s="11" t="s">
        <v>63</v>
      </c>
      <c r="I14320" s="13" t="s">
        <v>27968</v>
      </c>
      <c r="J14320" s="14" t="str">
        <f>HYPERLINK("https://www.boe.es/gazeta/dias/1839/10/07/pdfs/GMD-1839-1793.pdf#page=6","Abrir facsímil")</f>
        <v>Abrir facsímil</v>
      </c>
      <c r="K14320" s="12" t="s">
        <v>65</v>
      </c>
    </row>
    <row r="14321" spans="1:11" ht="40.049999999999997" customHeight="1" x14ac:dyDescent="0.25">
      <c r="A14321" s="11" t="s">
        <v>27969</v>
      </c>
      <c r="B14321" s="11" t="s">
        <v>27970</v>
      </c>
      <c r="C14321" s="11" t="s">
        <v>17</v>
      </c>
      <c r="D14321" s="11" t="s">
        <v>18</v>
      </c>
      <c r="E14321" s="12" t="s">
        <v>1509</v>
      </c>
      <c r="F14321" s="12" t="s">
        <v>1510</v>
      </c>
      <c r="G14321" s="12" t="s">
        <v>305</v>
      </c>
      <c r="H14321" s="11" t="s">
        <v>63</v>
      </c>
      <c r="I14321" s="13" t="s">
        <v>27971</v>
      </c>
      <c r="J14321" s="14" t="str">
        <f>HYPERLINK("https://www.boe.es/gazeta/dias/1839/10/07/pdfs/GMD-1839-1793.pdf#page=6","Abrir facsímil")</f>
        <v>Abrir facsímil</v>
      </c>
      <c r="K14321" s="12" t="s">
        <v>65</v>
      </c>
    </row>
    <row r="14322" spans="1:11" ht="40.049999999999997" customHeight="1" x14ac:dyDescent="0.25">
      <c r="A14322" s="11" t="s">
        <v>27972</v>
      </c>
      <c r="B14322" s="11" t="s">
        <v>27973</v>
      </c>
      <c r="C14322" s="11" t="s">
        <v>80</v>
      </c>
      <c r="D14322" s="11" t="s">
        <v>18</v>
      </c>
      <c r="E14322" s="12" t="s">
        <v>2210</v>
      </c>
      <c r="F14322" s="12" t="s">
        <v>2211</v>
      </c>
      <c r="G14322" s="12" t="s">
        <v>29</v>
      </c>
      <c r="H14322" s="11" t="s">
        <v>63</v>
      </c>
      <c r="I14322" s="13" t="s">
        <v>27974</v>
      </c>
      <c r="J14322" s="14" t="str">
        <f>HYPERLINK("https://www.boe.es/gazeta/dias/1839/09/05/pdfs/GMD-1839-1758.pdf#page=1","Abrir facsímil")</f>
        <v>Abrir facsímil</v>
      </c>
      <c r="K14322" s="12" t="s">
        <v>65</v>
      </c>
    </row>
    <row r="14323" spans="1:11" ht="40.049999999999997" customHeight="1" x14ac:dyDescent="0.25">
      <c r="A14323" s="11" t="s">
        <v>27975</v>
      </c>
      <c r="B14323" s="11" t="s">
        <v>27975</v>
      </c>
      <c r="C14323" s="11" t="s">
        <v>17</v>
      </c>
      <c r="D14323" s="11" t="s">
        <v>18</v>
      </c>
      <c r="E14323" s="12" t="s">
        <v>2210</v>
      </c>
      <c r="F14323" s="12" t="s">
        <v>2211</v>
      </c>
      <c r="G14323" s="12" t="s">
        <v>46</v>
      </c>
      <c r="H14323" s="11" t="s">
        <v>63</v>
      </c>
      <c r="I14323" s="13" t="s">
        <v>27976</v>
      </c>
      <c r="J14323" s="14" t="str">
        <f>HYPERLINK("https://www.boe.es/gazeta/dias/1839/09/05/pdfs/GMD-1839-1758.pdf#page=3","Abrir facsímil")</f>
        <v>Abrir facsímil</v>
      </c>
      <c r="K14323" s="12" t="s">
        <v>65</v>
      </c>
    </row>
    <row r="14324" spans="1:11" ht="40.049999999999997" customHeight="1" x14ac:dyDescent="0.25">
      <c r="A14324" s="11" t="s">
        <v>27975</v>
      </c>
      <c r="B14324" s="11" t="s">
        <v>27975</v>
      </c>
      <c r="C14324" s="11" t="s">
        <v>137</v>
      </c>
      <c r="D14324" s="11" t="s">
        <v>18</v>
      </c>
      <c r="E14324" s="12" t="s">
        <v>1807</v>
      </c>
      <c r="F14324" s="12" t="s">
        <v>1808</v>
      </c>
      <c r="G14324" s="12" t="s">
        <v>46</v>
      </c>
      <c r="H14324" s="11" t="s">
        <v>63</v>
      </c>
      <c r="I14324" s="13" t="s">
        <v>27977</v>
      </c>
      <c r="J14324" s="14" t="str">
        <f>HYPERLINK("https://www.boe.es/gazeta/dias/1839/01/29/pdfs/GMD-1839-1536.pdf#page=3","Abrir facsímil")</f>
        <v>Abrir facsímil</v>
      </c>
      <c r="K14324" s="12" t="s">
        <v>65</v>
      </c>
    </row>
    <row r="14325" spans="1:11" ht="40.049999999999997" customHeight="1" x14ac:dyDescent="0.25">
      <c r="A14325" s="11" t="s">
        <v>27978</v>
      </c>
      <c r="B14325" s="11" t="s">
        <v>27979</v>
      </c>
      <c r="C14325" s="11" t="s">
        <v>17</v>
      </c>
      <c r="D14325" s="11" t="s">
        <v>18</v>
      </c>
      <c r="E14325" s="12" t="s">
        <v>2210</v>
      </c>
      <c r="F14325" s="12" t="s">
        <v>2211</v>
      </c>
      <c r="G14325" s="12" t="s">
        <v>46</v>
      </c>
      <c r="H14325" s="11" t="s">
        <v>63</v>
      </c>
      <c r="I14325" s="13" t="s">
        <v>27980</v>
      </c>
      <c r="J14325" s="14" t="str">
        <f>HYPERLINK("https://www.boe.es/gazeta/dias/1839/09/05/pdfs/GMD-1839-1758.pdf#page=3","Abrir facsímil")</f>
        <v>Abrir facsímil</v>
      </c>
      <c r="K14325" s="12" t="s">
        <v>65</v>
      </c>
    </row>
    <row r="14326" spans="1:11" ht="40.049999999999997" customHeight="1" x14ac:dyDescent="0.25">
      <c r="A14326" s="11" t="s">
        <v>27981</v>
      </c>
      <c r="B14326" s="11" t="s">
        <v>27981</v>
      </c>
      <c r="C14326" s="11" t="s">
        <v>17</v>
      </c>
      <c r="D14326" s="11" t="s">
        <v>18</v>
      </c>
      <c r="E14326" s="12" t="s">
        <v>2738</v>
      </c>
      <c r="F14326" s="12" t="s">
        <v>2739</v>
      </c>
      <c r="G14326" s="12" t="s">
        <v>40</v>
      </c>
      <c r="H14326" s="11" t="s">
        <v>22</v>
      </c>
      <c r="I14326" s="13" t="s">
        <v>27982</v>
      </c>
      <c r="J14326" s="14" t="str">
        <f>HYPERLINK("https://www.boe.es/gazeta/dias/1839/09/06/pdfs/GMD-1839-1759.pdf#page=2","Abrir facsímil")</f>
        <v>Abrir facsímil</v>
      </c>
      <c r="K14326" s="12" t="s">
        <v>24</v>
      </c>
    </row>
    <row r="14327" spans="1:11" ht="40.049999999999997" customHeight="1" x14ac:dyDescent="0.25">
      <c r="A14327" s="11" t="s">
        <v>27983</v>
      </c>
      <c r="B14327" s="11" t="s">
        <v>27983</v>
      </c>
      <c r="C14327" s="11" t="s">
        <v>101</v>
      </c>
      <c r="D14327" s="11" t="s">
        <v>43</v>
      </c>
      <c r="E14327" s="12" t="s">
        <v>723</v>
      </c>
      <c r="F14327" s="12" t="s">
        <v>724</v>
      </c>
      <c r="G14327" s="12" t="s">
        <v>40</v>
      </c>
      <c r="H14327" s="11" t="s">
        <v>22</v>
      </c>
      <c r="I14327" s="13" t="s">
        <v>27984</v>
      </c>
      <c r="J14327" s="14" t="str">
        <f>HYPERLINK("https://www.boe.es/gazeta/dias/1839/09/26/pdfs/GMD-1839-1782.pdf#page=2","Abrir facsímil")</f>
        <v>Abrir facsímil</v>
      </c>
      <c r="K14327" s="12" t="s">
        <v>24</v>
      </c>
    </row>
    <row r="14328" spans="1:11" ht="40.049999999999997" customHeight="1" x14ac:dyDescent="0.25">
      <c r="A14328" s="11" t="s">
        <v>27985</v>
      </c>
      <c r="B14328" s="11" t="s">
        <v>27985</v>
      </c>
      <c r="C14328" s="11" t="s">
        <v>17</v>
      </c>
      <c r="D14328" s="11" t="s">
        <v>18</v>
      </c>
      <c r="E14328" s="12" t="s">
        <v>798</v>
      </c>
      <c r="F14328" s="12" t="s">
        <v>799</v>
      </c>
      <c r="G14328" s="12" t="s">
        <v>40</v>
      </c>
      <c r="H14328" s="11" t="s">
        <v>63</v>
      </c>
      <c r="I14328" s="13" t="s">
        <v>27986</v>
      </c>
      <c r="J14328" s="14" t="str">
        <f>HYPERLINK("https://www.boe.es/gazeta/dias/1839/09/03/pdfs/GMD-1839-1755.pdf#page=2","Abrir facsímil")</f>
        <v>Abrir facsímil</v>
      </c>
      <c r="K14328" s="12" t="s">
        <v>65</v>
      </c>
    </row>
    <row r="14329" spans="1:11" ht="40.049999999999997" customHeight="1" x14ac:dyDescent="0.25">
      <c r="A14329" s="11" t="s">
        <v>27985</v>
      </c>
      <c r="B14329" s="11" t="s">
        <v>27985</v>
      </c>
      <c r="C14329" s="11" t="s">
        <v>17</v>
      </c>
      <c r="D14329" s="11" t="s">
        <v>18</v>
      </c>
      <c r="E14329" s="12" t="s">
        <v>197</v>
      </c>
      <c r="F14329" s="12" t="s">
        <v>198</v>
      </c>
      <c r="G14329" s="12" t="s">
        <v>40</v>
      </c>
      <c r="H14329" s="11" t="s">
        <v>63</v>
      </c>
      <c r="I14329" s="13" t="s">
        <v>27987</v>
      </c>
      <c r="J14329" s="14" t="str">
        <f>HYPERLINK("https://www.boe.es/gazeta/dias/1839/10/04/pdfs/GMD-1839-1790.pdf#page=2","Abrir facsímil")</f>
        <v>Abrir facsímil</v>
      </c>
      <c r="K14329" s="12" t="s">
        <v>65</v>
      </c>
    </row>
    <row r="14330" spans="1:11" ht="40.049999999999997" customHeight="1" x14ac:dyDescent="0.25">
      <c r="A14330" s="11" t="s">
        <v>27985</v>
      </c>
      <c r="B14330" s="11" t="s">
        <v>27985</v>
      </c>
      <c r="C14330" s="11" t="s">
        <v>101</v>
      </c>
      <c r="D14330" s="11" t="s">
        <v>43</v>
      </c>
      <c r="E14330" s="12" t="s">
        <v>116</v>
      </c>
      <c r="F14330" s="12" t="s">
        <v>117</v>
      </c>
      <c r="G14330" s="12" t="s">
        <v>40</v>
      </c>
      <c r="H14330" s="11" t="s">
        <v>63</v>
      </c>
      <c r="I14330" s="13" t="s">
        <v>27988</v>
      </c>
      <c r="J14330" s="14" t="str">
        <f>HYPERLINK("https://www.boe.es/gazeta/dias/1839/10/10/pdfs/GMD-1839-1796.pdf#page=2","Abrir facsímil")</f>
        <v>Abrir facsímil</v>
      </c>
      <c r="K14330" s="12" t="s">
        <v>65</v>
      </c>
    </row>
    <row r="14331" spans="1:11" ht="40.049999999999997" customHeight="1" x14ac:dyDescent="0.25">
      <c r="A14331" s="11" t="s">
        <v>27989</v>
      </c>
      <c r="B14331" s="11" t="s">
        <v>27989</v>
      </c>
      <c r="C14331" s="11" t="s">
        <v>17</v>
      </c>
      <c r="D14331" s="11" t="s">
        <v>18</v>
      </c>
      <c r="E14331" s="12" t="s">
        <v>561</v>
      </c>
      <c r="F14331" s="12" t="s">
        <v>562</v>
      </c>
      <c r="G14331" s="12" t="s">
        <v>40</v>
      </c>
      <c r="H14331" s="11" t="s">
        <v>22</v>
      </c>
      <c r="I14331" s="13" t="s">
        <v>27990</v>
      </c>
      <c r="J14331" s="14" t="str">
        <f>HYPERLINK("https://www.boe.es/gazeta/dias/1839/09/11/pdfs/GMD-1839-1764.pdf#page=2","Abrir facsímil")</f>
        <v>Abrir facsímil</v>
      </c>
      <c r="K14331" s="12" t="s">
        <v>24</v>
      </c>
    </row>
    <row r="14332" spans="1:11" ht="40.049999999999997" customHeight="1" x14ac:dyDescent="0.25">
      <c r="A14332" s="11" t="s">
        <v>27985</v>
      </c>
      <c r="B14332" s="11" t="s">
        <v>27985</v>
      </c>
      <c r="C14332" s="11" t="s">
        <v>137</v>
      </c>
      <c r="D14332" s="11" t="s">
        <v>18</v>
      </c>
      <c r="E14332" s="12" t="s">
        <v>1100</v>
      </c>
      <c r="F14332" s="12" t="s">
        <v>1101</v>
      </c>
      <c r="G14332" s="12" t="s">
        <v>29</v>
      </c>
      <c r="H14332" s="11" t="s">
        <v>63</v>
      </c>
      <c r="I14332" s="13" t="s">
        <v>27991</v>
      </c>
      <c r="J14332" s="14" t="str">
        <f>HYPERLINK("https://www.boe.es/gazeta/dias/1839/09/13/pdfs/GMD-1839-1766.pdf#page=1","Abrir facsímil")</f>
        <v>Abrir facsímil</v>
      </c>
      <c r="K14332" s="12" t="s">
        <v>65</v>
      </c>
    </row>
    <row r="14333" spans="1:11" ht="40.049999999999997" customHeight="1" x14ac:dyDescent="0.25">
      <c r="A14333" s="11" t="s">
        <v>27989</v>
      </c>
      <c r="B14333" s="11" t="s">
        <v>27989</v>
      </c>
      <c r="C14333" s="11" t="s">
        <v>17</v>
      </c>
      <c r="D14333" s="11" t="s">
        <v>18</v>
      </c>
      <c r="E14333" s="12" t="s">
        <v>564</v>
      </c>
      <c r="F14333" s="12" t="s">
        <v>565</v>
      </c>
      <c r="G14333" s="12" t="s">
        <v>46</v>
      </c>
      <c r="H14333" s="11" t="s">
        <v>22</v>
      </c>
      <c r="I14333" s="13" t="s">
        <v>27992</v>
      </c>
      <c r="J14333" s="14" t="str">
        <f>HYPERLINK("https://www.boe.es/gazeta/dias/1839/10/17/pdfs/GMD-1839-1803.pdf#page=3","Abrir facsímil")</f>
        <v>Abrir facsímil</v>
      </c>
      <c r="K14333" s="12" t="s">
        <v>24</v>
      </c>
    </row>
    <row r="14334" spans="1:11" ht="40.049999999999997" customHeight="1" x14ac:dyDescent="0.25">
      <c r="A14334" s="11" t="s">
        <v>27989</v>
      </c>
      <c r="B14334" s="11" t="s">
        <v>27989</v>
      </c>
      <c r="C14334" s="11" t="s">
        <v>101</v>
      </c>
      <c r="D14334" s="11" t="s">
        <v>43</v>
      </c>
      <c r="E14334" s="12" t="s">
        <v>826</v>
      </c>
      <c r="F14334" s="12" t="s">
        <v>827</v>
      </c>
      <c r="G14334" s="12" t="s">
        <v>46</v>
      </c>
      <c r="H14334" s="11" t="s">
        <v>22</v>
      </c>
      <c r="I14334" s="13" t="s">
        <v>27993</v>
      </c>
      <c r="J14334" s="14" t="str">
        <f>HYPERLINK("https://www.boe.es/gazeta/dias/1839/09/25/pdfs/GMD-1839-1781.pdf#page=3","Abrir facsímil")</f>
        <v>Abrir facsímil</v>
      </c>
      <c r="K14334" s="12" t="s">
        <v>24</v>
      </c>
    </row>
    <row r="14335" spans="1:11" ht="40.049999999999997" customHeight="1" x14ac:dyDescent="0.25">
      <c r="A14335" s="11" t="s">
        <v>27985</v>
      </c>
      <c r="B14335" s="11" t="s">
        <v>27985</v>
      </c>
      <c r="C14335" s="11" t="s">
        <v>101</v>
      </c>
      <c r="D14335" s="11" t="s">
        <v>43</v>
      </c>
      <c r="E14335" s="12" t="s">
        <v>723</v>
      </c>
      <c r="F14335" s="12" t="s">
        <v>724</v>
      </c>
      <c r="G14335" s="12" t="s">
        <v>40</v>
      </c>
      <c r="H14335" s="11" t="s">
        <v>63</v>
      </c>
      <c r="I14335" s="13" t="s">
        <v>27994</v>
      </c>
      <c r="J14335" s="14" t="str">
        <f>HYPERLINK("https://www.boe.es/gazeta/dias/1839/09/26/pdfs/GMD-1839-1782.pdf#page=2","Abrir facsímil")</f>
        <v>Abrir facsímil</v>
      </c>
      <c r="K14335" s="12" t="s">
        <v>65</v>
      </c>
    </row>
    <row r="14336" spans="1:11" ht="40.049999999999997" customHeight="1" x14ac:dyDescent="0.25">
      <c r="A14336" s="11" t="s">
        <v>27989</v>
      </c>
      <c r="B14336" s="11" t="s">
        <v>27989</v>
      </c>
      <c r="C14336" s="11" t="s">
        <v>101</v>
      </c>
      <c r="D14336" s="11" t="s">
        <v>43</v>
      </c>
      <c r="E14336" s="12" t="s">
        <v>571</v>
      </c>
      <c r="F14336" s="12" t="s">
        <v>572</v>
      </c>
      <c r="G14336" s="12" t="s">
        <v>46</v>
      </c>
      <c r="H14336" s="11" t="s">
        <v>22</v>
      </c>
      <c r="I14336" s="13" t="s">
        <v>27995</v>
      </c>
      <c r="J14336" s="14" t="str">
        <f>HYPERLINK("https://www.boe.es/gazeta/dias/1839/09/27/pdfs/GMD-1839-1783.pdf#page=3","Abrir facsímil")</f>
        <v>Abrir facsímil</v>
      </c>
      <c r="K14336" s="12" t="s">
        <v>24</v>
      </c>
    </row>
    <row r="14337" spans="1:11" ht="40.049999999999997" customHeight="1" x14ac:dyDescent="0.25">
      <c r="A14337" s="11" t="s">
        <v>27985</v>
      </c>
      <c r="B14337" s="11" t="s">
        <v>27985</v>
      </c>
      <c r="C14337" s="11" t="s">
        <v>59</v>
      </c>
      <c r="D14337" s="11" t="s">
        <v>60</v>
      </c>
      <c r="E14337" s="12" t="s">
        <v>1807</v>
      </c>
      <c r="F14337" s="12" t="s">
        <v>1808</v>
      </c>
      <c r="G14337" s="12" t="s">
        <v>46</v>
      </c>
      <c r="H14337" s="11" t="s">
        <v>63</v>
      </c>
      <c r="I14337" s="13" t="s">
        <v>27996</v>
      </c>
      <c r="J14337" s="14" t="str">
        <f>HYPERLINK("https://www.boe.es/gazeta/dias/1839/01/29/pdfs/GMD-1839-1536.pdf#page=3","Abrir facsímil")</f>
        <v>Abrir facsímil</v>
      </c>
      <c r="K14337" s="12" t="s">
        <v>65</v>
      </c>
    </row>
    <row r="14338" spans="1:11" ht="40.049999999999997" customHeight="1" x14ac:dyDescent="0.25">
      <c r="A14338" s="11" t="s">
        <v>27989</v>
      </c>
      <c r="B14338" s="11" t="s">
        <v>27989</v>
      </c>
      <c r="C14338" s="11" t="s">
        <v>101</v>
      </c>
      <c r="D14338" s="11" t="s">
        <v>43</v>
      </c>
      <c r="E14338" s="12" t="s">
        <v>1867</v>
      </c>
      <c r="F14338" s="12" t="s">
        <v>1868</v>
      </c>
      <c r="G14338" s="12" t="s">
        <v>46</v>
      </c>
      <c r="H14338" s="11" t="s">
        <v>22</v>
      </c>
      <c r="I14338" s="13" t="s">
        <v>27997</v>
      </c>
      <c r="J14338" s="14" t="str">
        <f>HYPERLINK("https://www.boe.es/gazeta/dias/1839/01/30/pdfs/GMD-1839-1537.pdf#page=3","Abrir facsímil")</f>
        <v>Abrir facsímil</v>
      </c>
      <c r="K14338" s="12" t="s">
        <v>24</v>
      </c>
    </row>
    <row r="14339" spans="1:11" ht="40.049999999999997" customHeight="1" x14ac:dyDescent="0.25">
      <c r="A14339" s="11" t="s">
        <v>27998</v>
      </c>
      <c r="B14339" s="11" t="s">
        <v>27999</v>
      </c>
      <c r="C14339" s="11" t="s">
        <v>80</v>
      </c>
      <c r="D14339" s="11" t="s">
        <v>18</v>
      </c>
      <c r="E14339" s="12" t="s">
        <v>1891</v>
      </c>
      <c r="F14339" s="12" t="s">
        <v>1892</v>
      </c>
      <c r="G14339" s="12" t="s">
        <v>21</v>
      </c>
      <c r="H14339" s="11" t="s">
        <v>22</v>
      </c>
      <c r="I14339" s="13" t="s">
        <v>28000</v>
      </c>
      <c r="J14339" s="14" t="str">
        <f>HYPERLINK("https://www.boe.es/gazeta/dias/1839/12/14/pdfs/GMD-1839-1861.pdf#page=4","Abrir facsímil")</f>
        <v>Abrir facsímil</v>
      </c>
      <c r="K14339" s="12" t="s">
        <v>24</v>
      </c>
    </row>
    <row r="14340" spans="1:11" ht="40.049999999999997" customHeight="1" x14ac:dyDescent="0.25">
      <c r="A14340" s="11" t="s">
        <v>28001</v>
      </c>
      <c r="B14340" s="11" t="s">
        <v>28002</v>
      </c>
      <c r="C14340" s="11" t="s">
        <v>17</v>
      </c>
      <c r="D14340" s="11" t="s">
        <v>18</v>
      </c>
      <c r="E14340" s="12" t="s">
        <v>798</v>
      </c>
      <c r="F14340" s="12" t="s">
        <v>799</v>
      </c>
      <c r="G14340" s="12" t="s">
        <v>40</v>
      </c>
      <c r="H14340" s="11" t="s">
        <v>63</v>
      </c>
      <c r="I14340" s="13" t="s">
        <v>28003</v>
      </c>
      <c r="J14340" s="14" t="str">
        <f>HYPERLINK("https://www.boe.es/gazeta/dias/1839/09/03/pdfs/GMD-1839-1755.pdf#page=2","Abrir facsímil")</f>
        <v>Abrir facsímil</v>
      </c>
      <c r="K14340" s="12" t="s">
        <v>65</v>
      </c>
    </row>
    <row r="14341" spans="1:11" ht="40.049999999999997" customHeight="1" x14ac:dyDescent="0.25">
      <c r="A14341" s="11" t="s">
        <v>28004</v>
      </c>
      <c r="B14341" s="11" t="s">
        <v>28005</v>
      </c>
      <c r="C14341" s="11" t="s">
        <v>137</v>
      </c>
      <c r="D14341" s="11" t="s">
        <v>18</v>
      </c>
      <c r="E14341" s="12" t="s">
        <v>592</v>
      </c>
      <c r="F14341" s="12" t="s">
        <v>593</v>
      </c>
      <c r="G14341" s="12" t="s">
        <v>29</v>
      </c>
      <c r="H14341" s="11" t="s">
        <v>63</v>
      </c>
      <c r="I14341" s="13" t="s">
        <v>28006</v>
      </c>
      <c r="J14341" s="14" t="str">
        <f>HYPERLINK("https://www.boe.es/gazeta/dias/1839/09/14/pdfs/GMD-1839-1767.pdf#page=1","Abrir facsímil")</f>
        <v>Abrir facsímil</v>
      </c>
      <c r="K14341" s="12" t="s">
        <v>65</v>
      </c>
    </row>
    <row r="14342" spans="1:11" ht="40.049999999999997" customHeight="1" x14ac:dyDescent="0.25">
      <c r="A14342" s="11" t="s">
        <v>28007</v>
      </c>
      <c r="B14342" s="11" t="s">
        <v>28008</v>
      </c>
      <c r="C14342" s="11" t="s">
        <v>59</v>
      </c>
      <c r="D14342" s="11" t="s">
        <v>60</v>
      </c>
      <c r="E14342" s="12" t="s">
        <v>1648</v>
      </c>
      <c r="F14342" s="12" t="s">
        <v>2458</v>
      </c>
      <c r="G14342" s="12" t="s">
        <v>29</v>
      </c>
      <c r="H14342" s="11" t="s">
        <v>63</v>
      </c>
      <c r="I14342" s="13" t="s">
        <v>28009</v>
      </c>
      <c r="J14342" s="14" t="str">
        <f>HYPERLINK("https://www.boe.es/datos/pdfs/BOE//1839/1739/E00001-00001.pdf#page=1","Abrir facsímil")</f>
        <v>Abrir facsímil</v>
      </c>
      <c r="K14342" s="12" t="s">
        <v>65</v>
      </c>
    </row>
    <row r="14343" spans="1:11" ht="40.049999999999997" customHeight="1" x14ac:dyDescent="0.25">
      <c r="A14343" s="11" t="s">
        <v>28010</v>
      </c>
      <c r="B14343" s="11" t="s">
        <v>28011</v>
      </c>
      <c r="C14343" s="11" t="s">
        <v>137</v>
      </c>
      <c r="D14343" s="11" t="s">
        <v>18</v>
      </c>
      <c r="E14343" s="12" t="s">
        <v>700</v>
      </c>
      <c r="F14343" s="12" t="s">
        <v>701</v>
      </c>
      <c r="G14343" s="12" t="s">
        <v>29</v>
      </c>
      <c r="H14343" s="11" t="s">
        <v>63</v>
      </c>
      <c r="I14343" s="13" t="s">
        <v>28012</v>
      </c>
      <c r="J14343" s="14" t="str">
        <f>HYPERLINK("https://www.boe.es/gazeta/dias/1839/09/01/pdfs/GMD-1839-1753.pdf#page=1","Abrir facsímil")</f>
        <v>Abrir facsímil</v>
      </c>
      <c r="K14343" s="12" t="s">
        <v>65</v>
      </c>
    </row>
    <row r="14344" spans="1:11" ht="40.049999999999997" customHeight="1" x14ac:dyDescent="0.25">
      <c r="A14344" s="11" t="s">
        <v>28013</v>
      </c>
      <c r="B14344" s="11" t="s">
        <v>28014</v>
      </c>
      <c r="C14344" s="11" t="s">
        <v>17</v>
      </c>
      <c r="D14344" s="11" t="s">
        <v>18</v>
      </c>
      <c r="E14344" s="12" t="s">
        <v>770</v>
      </c>
      <c r="F14344" s="12" t="s">
        <v>771</v>
      </c>
      <c r="G14344" s="12" t="s">
        <v>46</v>
      </c>
      <c r="H14344" s="11" t="s">
        <v>63</v>
      </c>
      <c r="I14344" s="13" t="s">
        <v>28015</v>
      </c>
      <c r="J14344" s="14" t="str">
        <f>HYPERLINK("https://www.boe.es/gazeta/dias/1839/12/05/pdfs/GMD-1839-1852.pdf#page=3","Abrir facsímil")</f>
        <v>Abrir facsímil</v>
      </c>
      <c r="K14344" s="12" t="s">
        <v>65</v>
      </c>
    </row>
    <row r="14345" spans="1:11" ht="40.049999999999997" customHeight="1" x14ac:dyDescent="0.25">
      <c r="A14345" s="11" t="s">
        <v>28016</v>
      </c>
      <c r="B14345" s="11" t="s">
        <v>28017</v>
      </c>
      <c r="C14345" s="11" t="s">
        <v>17</v>
      </c>
      <c r="D14345" s="11" t="s">
        <v>18</v>
      </c>
      <c r="E14345" s="12" t="s">
        <v>1479</v>
      </c>
      <c r="F14345" s="12" t="s">
        <v>1480</v>
      </c>
      <c r="G14345" s="12" t="s">
        <v>46</v>
      </c>
      <c r="H14345" s="11" t="s">
        <v>63</v>
      </c>
      <c r="I14345" s="13" t="s">
        <v>28018</v>
      </c>
      <c r="J14345" s="14" t="str">
        <f>HYPERLINK("https://www.boe.es/gazeta/dias/1839/04/09/pdfs/GMD-1839-1606.pdf#page=3","Abrir facsímil")</f>
        <v>Abrir facsímil</v>
      </c>
      <c r="K14345" s="12" t="s">
        <v>65</v>
      </c>
    </row>
    <row r="14346" spans="1:11" ht="40.049999999999997" customHeight="1" x14ac:dyDescent="0.25">
      <c r="A14346" s="11" t="s">
        <v>28019</v>
      </c>
      <c r="B14346" s="11" t="s">
        <v>28019</v>
      </c>
      <c r="C14346" s="11" t="s">
        <v>101</v>
      </c>
      <c r="D14346" s="11" t="s">
        <v>102</v>
      </c>
      <c r="E14346" s="12" t="s">
        <v>1606</v>
      </c>
      <c r="F14346" s="12" t="s">
        <v>1607</v>
      </c>
      <c r="G14346" s="12" t="s">
        <v>46</v>
      </c>
      <c r="H14346" s="11" t="s">
        <v>63</v>
      </c>
      <c r="I14346" s="13" t="s">
        <v>28020</v>
      </c>
      <c r="J14346" s="14" t="str">
        <f>HYPERLINK("https://www.boe.es/gazeta/dias/1839/07/02/pdfs/GMD-1839-1690.pdf#page=3","Abrir facsímil")</f>
        <v>Abrir facsímil</v>
      </c>
      <c r="K14346" s="12" t="s">
        <v>65</v>
      </c>
    </row>
    <row r="14347" spans="1:11" ht="40.049999999999997" customHeight="1" x14ac:dyDescent="0.25">
      <c r="A14347" s="11" t="s">
        <v>28019</v>
      </c>
      <c r="B14347" s="11" t="s">
        <v>28019</v>
      </c>
      <c r="C14347" s="11" t="s">
        <v>17</v>
      </c>
      <c r="D14347" s="11" t="s">
        <v>18</v>
      </c>
      <c r="E14347" s="12" t="s">
        <v>395</v>
      </c>
      <c r="F14347" s="12" t="s">
        <v>396</v>
      </c>
      <c r="G14347" s="12" t="s">
        <v>46</v>
      </c>
      <c r="H14347" s="11" t="s">
        <v>63</v>
      </c>
      <c r="I14347" s="13" t="s">
        <v>28021</v>
      </c>
      <c r="J14347" s="14" t="str">
        <f>HYPERLINK("https://www.boe.es/gazeta/dias/1839/03/15/pdfs/GMD-1839-1581.pdf#page=3","Abrir facsímil")</f>
        <v>Abrir facsímil</v>
      </c>
      <c r="K14347" s="12" t="s">
        <v>65</v>
      </c>
    </row>
    <row r="14348" spans="1:11" ht="40.049999999999997" customHeight="1" x14ac:dyDescent="0.25">
      <c r="A14348" s="11" t="s">
        <v>28019</v>
      </c>
      <c r="B14348" s="11" t="s">
        <v>28019</v>
      </c>
      <c r="C14348" s="11" t="s">
        <v>17</v>
      </c>
      <c r="D14348" s="11" t="s">
        <v>18</v>
      </c>
      <c r="E14348" s="12" t="s">
        <v>207</v>
      </c>
      <c r="F14348" s="12" t="s">
        <v>208</v>
      </c>
      <c r="G14348" s="12" t="s">
        <v>40</v>
      </c>
      <c r="H14348" s="11" t="s">
        <v>63</v>
      </c>
      <c r="I14348" s="13" t="s">
        <v>28022</v>
      </c>
      <c r="J14348" s="14" t="str">
        <f>HYPERLINK("https://www.boe.es/gazeta/dias/1839/02/19/pdfs/GMD-1839-1557.pdf#page=2","Abrir facsímil")</f>
        <v>Abrir facsímil</v>
      </c>
      <c r="K14348" s="12" t="s">
        <v>65</v>
      </c>
    </row>
    <row r="14349" spans="1:11" ht="40.049999999999997" customHeight="1" x14ac:dyDescent="0.25">
      <c r="A14349" s="11" t="s">
        <v>28023</v>
      </c>
      <c r="B14349" s="11" t="s">
        <v>28024</v>
      </c>
      <c r="C14349" s="11" t="s">
        <v>137</v>
      </c>
      <c r="D14349" s="11" t="s">
        <v>18</v>
      </c>
      <c r="E14349" s="12" t="s">
        <v>2851</v>
      </c>
      <c r="F14349" s="12" t="s">
        <v>2852</v>
      </c>
      <c r="G14349" s="12" t="s">
        <v>29</v>
      </c>
      <c r="H14349" s="11" t="s">
        <v>63</v>
      </c>
      <c r="I14349" s="13" t="s">
        <v>28025</v>
      </c>
      <c r="J14349" s="14" t="str">
        <f>HYPERLINK("https://www.boe.es/gazeta/dias/1839/05/16/pdfs/GMD-1839-1643.pdf#page=1","Abrir facsímil")</f>
        <v>Abrir facsímil</v>
      </c>
      <c r="K14349" s="12" t="s">
        <v>65</v>
      </c>
    </row>
    <row r="14350" spans="1:11" ht="40.049999999999997" customHeight="1" x14ac:dyDescent="0.25">
      <c r="A14350" s="11" t="s">
        <v>28026</v>
      </c>
      <c r="B14350" s="11" t="s">
        <v>28026</v>
      </c>
      <c r="C14350" s="11" t="s">
        <v>59</v>
      </c>
      <c r="D14350" s="11" t="s">
        <v>60</v>
      </c>
      <c r="E14350" s="12" t="s">
        <v>61</v>
      </c>
      <c r="F14350" s="12" t="s">
        <v>62</v>
      </c>
      <c r="G14350" s="12" t="s">
        <v>21</v>
      </c>
      <c r="H14350" s="11" t="s">
        <v>63</v>
      </c>
      <c r="I14350" s="13" t="s">
        <v>28027</v>
      </c>
      <c r="J14350" s="14" t="str">
        <f>HYPERLINK("https://www.boe.es/gazeta/dias/1839/09/10/pdfs/GMD-1839-1763.pdf#page=4","Abrir facsímil")</f>
        <v>Abrir facsímil</v>
      </c>
      <c r="K14350" s="12" t="s">
        <v>65</v>
      </c>
    </row>
    <row r="14351" spans="1:11" ht="40.049999999999997" customHeight="1" x14ac:dyDescent="0.25">
      <c r="A14351" s="11" t="s">
        <v>28028</v>
      </c>
      <c r="B14351" s="11" t="s">
        <v>28028</v>
      </c>
      <c r="C14351" s="11" t="s">
        <v>17</v>
      </c>
      <c r="D14351" s="11" t="s">
        <v>18</v>
      </c>
      <c r="E14351" s="12" t="s">
        <v>770</v>
      </c>
      <c r="F14351" s="12" t="s">
        <v>771</v>
      </c>
      <c r="G14351" s="12" t="s">
        <v>21</v>
      </c>
      <c r="H14351" s="11" t="s">
        <v>63</v>
      </c>
      <c r="I14351" s="13" t="s">
        <v>28029</v>
      </c>
      <c r="J14351" s="14" t="str">
        <f>HYPERLINK("https://www.boe.es/gazeta/dias/1839/12/05/pdfs/GMD-1839-1852.pdf#page=4","Abrir facsímil")</f>
        <v>Abrir facsímil</v>
      </c>
      <c r="K14351" s="12" t="s">
        <v>65</v>
      </c>
    </row>
    <row r="14352" spans="1:11" ht="40.049999999999997" customHeight="1" x14ac:dyDescent="0.25">
      <c r="A14352" s="11" t="s">
        <v>28028</v>
      </c>
      <c r="B14352" s="11" t="s">
        <v>28028</v>
      </c>
      <c r="C14352" s="11" t="s">
        <v>17</v>
      </c>
      <c r="D14352" s="11" t="s">
        <v>18</v>
      </c>
      <c r="E14352" s="12" t="s">
        <v>959</v>
      </c>
      <c r="F14352" s="12" t="s">
        <v>960</v>
      </c>
      <c r="G14352" s="12" t="s">
        <v>21</v>
      </c>
      <c r="H14352" s="11" t="s">
        <v>63</v>
      </c>
      <c r="I14352" s="13" t="s">
        <v>28030</v>
      </c>
      <c r="J14352" s="14" t="str">
        <f>HYPERLINK("https://www.boe.es/gazeta/dias/1839/12/06/pdfs/GMD-1839-1853.pdf#page=4","Abrir facsímil")</f>
        <v>Abrir facsímil</v>
      </c>
      <c r="K14352" s="12" t="s">
        <v>65</v>
      </c>
    </row>
    <row r="14353" spans="1:11" ht="40.049999999999997" customHeight="1" x14ac:dyDescent="0.25">
      <c r="A14353" s="11" t="s">
        <v>28028</v>
      </c>
      <c r="B14353" s="11" t="s">
        <v>28028</v>
      </c>
      <c r="C14353" s="11" t="s">
        <v>17</v>
      </c>
      <c r="D14353" s="11" t="s">
        <v>18</v>
      </c>
      <c r="E14353" s="12" t="s">
        <v>513</v>
      </c>
      <c r="F14353" s="12" t="s">
        <v>514</v>
      </c>
      <c r="G14353" s="12" t="s">
        <v>21</v>
      </c>
      <c r="H14353" s="11" t="s">
        <v>63</v>
      </c>
      <c r="I14353" s="13" t="s">
        <v>28031</v>
      </c>
      <c r="J14353" s="14" t="str">
        <f>HYPERLINK("https://www.boe.es/gazeta/dias/1839/03/17/pdfs/GMD-1839-1583.pdf#page=4","Abrir facsímil")</f>
        <v>Abrir facsímil</v>
      </c>
      <c r="K14353" s="12" t="s">
        <v>65</v>
      </c>
    </row>
    <row r="14354" spans="1:11" ht="40.049999999999997" customHeight="1" x14ac:dyDescent="0.25">
      <c r="A14354" s="11" t="s">
        <v>28032</v>
      </c>
      <c r="B14354" s="11" t="s">
        <v>28033</v>
      </c>
      <c r="C14354" s="11" t="s">
        <v>59</v>
      </c>
      <c r="D14354" s="11" t="s">
        <v>60</v>
      </c>
      <c r="E14354" s="12" t="s">
        <v>287</v>
      </c>
      <c r="F14354" s="12" t="s">
        <v>288</v>
      </c>
      <c r="G14354" s="12" t="s">
        <v>46</v>
      </c>
      <c r="H14354" s="11" t="s">
        <v>63</v>
      </c>
      <c r="I14354" s="13" t="s">
        <v>28034</v>
      </c>
      <c r="J14354" s="14" t="str">
        <f>HYPERLINK("https://www.boe.es/gazeta/dias/1839/11/27/pdfs/GMD-1839-1844.pdf#page=3","Abrir facsímil")</f>
        <v>Abrir facsímil</v>
      </c>
      <c r="K14354" s="12" t="s">
        <v>65</v>
      </c>
    </row>
    <row r="14355" spans="1:11" ht="40.049999999999997" customHeight="1" x14ac:dyDescent="0.25">
      <c r="A14355" s="11" t="s">
        <v>28035</v>
      </c>
      <c r="B14355" s="11" t="s">
        <v>28035</v>
      </c>
      <c r="C14355" s="11" t="s">
        <v>101</v>
      </c>
      <c r="D14355" s="11" t="s">
        <v>43</v>
      </c>
      <c r="E14355" s="12" t="s">
        <v>254</v>
      </c>
      <c r="F14355" s="12" t="s">
        <v>255</v>
      </c>
      <c r="G14355" s="12" t="s">
        <v>40</v>
      </c>
      <c r="H14355" s="11" t="s">
        <v>63</v>
      </c>
      <c r="I14355" s="13" t="s">
        <v>28036</v>
      </c>
      <c r="J14355" s="14" t="str">
        <f>HYPERLINK("https://www.boe.es/gazeta/dias/1839/09/12/pdfs/GMD-1839-1765.pdf#page=2","Abrir facsímil")</f>
        <v>Abrir facsímil</v>
      </c>
      <c r="K14355" s="12" t="s">
        <v>65</v>
      </c>
    </row>
    <row r="14356" spans="1:11" ht="40.049999999999997" customHeight="1" x14ac:dyDescent="0.25">
      <c r="A14356" s="11" t="s">
        <v>28037</v>
      </c>
      <c r="B14356" s="11" t="s">
        <v>28038</v>
      </c>
      <c r="C14356" s="11" t="s">
        <v>17</v>
      </c>
      <c r="D14356" s="11" t="s">
        <v>18</v>
      </c>
      <c r="E14356" s="12" t="s">
        <v>202</v>
      </c>
      <c r="F14356" s="12" t="s">
        <v>203</v>
      </c>
      <c r="G14356" s="12" t="s">
        <v>46</v>
      </c>
      <c r="H14356" s="11" t="s">
        <v>63</v>
      </c>
      <c r="I14356" s="13" t="s">
        <v>28039</v>
      </c>
      <c r="J14356" s="14" t="str">
        <f>HYPERLINK("https://www.boe.es/gazeta/dias/1839/04/05/pdfs/GMD-1839-1602.pdf#page=3","Abrir facsímil")</f>
        <v>Abrir facsímil</v>
      </c>
      <c r="K14356" s="12" t="s">
        <v>65</v>
      </c>
    </row>
    <row r="14357" spans="1:11" ht="40.049999999999997" customHeight="1" x14ac:dyDescent="0.25">
      <c r="A14357" s="11" t="s">
        <v>28040</v>
      </c>
      <c r="B14357" s="11" t="s">
        <v>28040</v>
      </c>
      <c r="C14357" s="11" t="s">
        <v>17</v>
      </c>
      <c r="D14357" s="11" t="s">
        <v>18</v>
      </c>
      <c r="E14357" s="12" t="s">
        <v>33</v>
      </c>
      <c r="F14357" s="12" t="s">
        <v>34</v>
      </c>
      <c r="G14357" s="12" t="s">
        <v>21</v>
      </c>
      <c r="H14357" s="11" t="s">
        <v>63</v>
      </c>
      <c r="I14357" s="13" t="s">
        <v>28041</v>
      </c>
      <c r="J14357" s="14" t="str">
        <f>HYPERLINK("https://www.boe.es/gazeta/dias/1839/12/13/pdfs/GMD-1839-1860.pdf#page=4","Abrir facsímil")</f>
        <v>Abrir facsímil</v>
      </c>
      <c r="K14357" s="12" t="s">
        <v>65</v>
      </c>
    </row>
    <row r="14358" spans="1:11" ht="40.049999999999997" customHeight="1" x14ac:dyDescent="0.25">
      <c r="A14358" s="11" t="s">
        <v>28040</v>
      </c>
      <c r="B14358" s="11" t="s">
        <v>28040</v>
      </c>
      <c r="C14358" s="11" t="s">
        <v>17</v>
      </c>
      <c r="D14358" s="11" t="s">
        <v>18</v>
      </c>
      <c r="E14358" s="12" t="s">
        <v>1072</v>
      </c>
      <c r="F14358" s="12" t="s">
        <v>1073</v>
      </c>
      <c r="G14358" s="12" t="s">
        <v>29</v>
      </c>
      <c r="H14358" s="11" t="s">
        <v>63</v>
      </c>
      <c r="I14358" s="13" t="s">
        <v>28042</v>
      </c>
      <c r="J14358" s="14" t="str">
        <f>HYPERLINK("https://www.boe.es/gazeta/dias/1839/01/18/pdfs/GMD-1839-1525.pdf#page=1","Abrir facsímil")</f>
        <v>Abrir facsímil</v>
      </c>
      <c r="K14358" s="12" t="s">
        <v>65</v>
      </c>
    </row>
    <row r="14359" spans="1:11" ht="40.049999999999997" customHeight="1" x14ac:dyDescent="0.25">
      <c r="A14359" s="11" t="s">
        <v>28040</v>
      </c>
      <c r="B14359" s="11" t="s">
        <v>28040</v>
      </c>
      <c r="C14359" s="11" t="s">
        <v>101</v>
      </c>
      <c r="D14359" s="11" t="s">
        <v>102</v>
      </c>
      <c r="E14359" s="12" t="s">
        <v>486</v>
      </c>
      <c r="F14359" s="12" t="s">
        <v>487</v>
      </c>
      <c r="G14359" s="12" t="s">
        <v>29</v>
      </c>
      <c r="H14359" s="11" t="s">
        <v>63</v>
      </c>
      <c r="I14359" s="13" t="s">
        <v>28043</v>
      </c>
      <c r="J14359" s="14" t="str">
        <f>HYPERLINK("https://www.boe.es/gazeta/dias/1839/04/19/pdfs/GMD-1839-1616.pdf#page=1","Abrir facsímil")</f>
        <v>Abrir facsímil</v>
      </c>
      <c r="K14359" s="12" t="s">
        <v>65</v>
      </c>
    </row>
    <row r="14360" spans="1:11" ht="40.049999999999997" customHeight="1" x14ac:dyDescent="0.25">
      <c r="A14360" s="11" t="s">
        <v>28040</v>
      </c>
      <c r="B14360" s="11" t="s">
        <v>28040</v>
      </c>
      <c r="C14360" s="11" t="s">
        <v>17</v>
      </c>
      <c r="D14360" s="11" t="s">
        <v>18</v>
      </c>
      <c r="E14360" s="12" t="s">
        <v>1685</v>
      </c>
      <c r="F14360" s="12" t="s">
        <v>1686</v>
      </c>
      <c r="G14360" s="12" t="s">
        <v>46</v>
      </c>
      <c r="H14360" s="11" t="s">
        <v>63</v>
      </c>
      <c r="I14360" s="13" t="s">
        <v>28044</v>
      </c>
      <c r="J14360" s="14" t="str">
        <f>HYPERLINK("https://www.boe.es/gazeta/dias/1839/04/27/pdfs/GMD-1839-1624.pdf#page=3","Abrir facsímil")</f>
        <v>Abrir facsímil</v>
      </c>
      <c r="K14360" s="12" t="s">
        <v>65</v>
      </c>
    </row>
    <row r="14361" spans="1:11" ht="40.049999999999997" customHeight="1" x14ac:dyDescent="0.25">
      <c r="A14361" s="11" t="s">
        <v>28045</v>
      </c>
      <c r="B14361" s="11" t="s">
        <v>28046</v>
      </c>
      <c r="C14361" s="11" t="s">
        <v>101</v>
      </c>
      <c r="D14361" s="11" t="s">
        <v>43</v>
      </c>
      <c r="E14361" s="12" t="s">
        <v>794</v>
      </c>
      <c r="F14361" s="12" t="s">
        <v>795</v>
      </c>
      <c r="G14361" s="12" t="s">
        <v>46</v>
      </c>
      <c r="H14361" s="11" t="s">
        <v>63</v>
      </c>
      <c r="I14361" s="13" t="s">
        <v>28047</v>
      </c>
      <c r="J14361" s="14" t="str">
        <f>HYPERLINK("https://www.boe.es/gazeta/dias/1839/01/22/pdfs/GMD-1839-1529.pdf#page=3","Abrir facsímil")</f>
        <v>Abrir facsímil</v>
      </c>
      <c r="K14361" s="12" t="s">
        <v>65</v>
      </c>
    </row>
    <row r="14362" spans="1:11" ht="40.049999999999997" customHeight="1" x14ac:dyDescent="0.25">
      <c r="A14362" s="11" t="s">
        <v>28048</v>
      </c>
      <c r="B14362" s="11" t="s">
        <v>28048</v>
      </c>
      <c r="C14362" s="11" t="s">
        <v>101</v>
      </c>
      <c r="D14362" s="11" t="s">
        <v>43</v>
      </c>
      <c r="E14362" s="12" t="s">
        <v>1179</v>
      </c>
      <c r="F14362" s="12" t="s">
        <v>1180</v>
      </c>
      <c r="G14362" s="12" t="s">
        <v>21</v>
      </c>
      <c r="H14362" s="11" t="s">
        <v>63</v>
      </c>
      <c r="I14362" s="13" t="s">
        <v>28049</v>
      </c>
      <c r="J14362" s="14" t="str">
        <f>HYPERLINK("https://www.boe.es/gazeta/dias/1839/10/18/pdfs/GMD-1839-1804.pdf#page=4","Abrir facsímil")</f>
        <v>Abrir facsímil</v>
      </c>
      <c r="K14362" s="12" t="s">
        <v>65</v>
      </c>
    </row>
    <row r="14363" spans="1:11" ht="40.049999999999997" customHeight="1" x14ac:dyDescent="0.25">
      <c r="A14363" s="11" t="s">
        <v>28050</v>
      </c>
      <c r="B14363" s="11" t="s">
        <v>28051</v>
      </c>
      <c r="C14363" s="11" t="s">
        <v>17</v>
      </c>
      <c r="D14363" s="11" t="s">
        <v>18</v>
      </c>
      <c r="E14363" s="12" t="s">
        <v>892</v>
      </c>
      <c r="F14363" s="12" t="s">
        <v>893</v>
      </c>
      <c r="G14363" s="12" t="s">
        <v>21</v>
      </c>
      <c r="H14363" s="11" t="s">
        <v>63</v>
      </c>
      <c r="I14363" s="13" t="s">
        <v>28052</v>
      </c>
      <c r="J14363" s="14" t="str">
        <f>HYPERLINK("https://www.boe.es/gazeta/dias/1839/12/28/pdfs/GMD-1839-1875.pdf#page=4","Abrir facsímil")</f>
        <v>Abrir facsímil</v>
      </c>
      <c r="K14363" s="12" t="s">
        <v>65</v>
      </c>
    </row>
    <row r="14364" spans="1:11" ht="40.049999999999997" customHeight="1" x14ac:dyDescent="0.25">
      <c r="A14364" s="11" t="s">
        <v>28053</v>
      </c>
      <c r="B14364" s="11" t="s">
        <v>28054</v>
      </c>
      <c r="C14364" s="11" t="s">
        <v>17</v>
      </c>
      <c r="D14364" s="11" t="s">
        <v>18</v>
      </c>
      <c r="E14364" s="12" t="s">
        <v>202</v>
      </c>
      <c r="F14364" s="12" t="s">
        <v>203</v>
      </c>
      <c r="G14364" s="12" t="s">
        <v>46</v>
      </c>
      <c r="H14364" s="11" t="s">
        <v>63</v>
      </c>
      <c r="I14364" s="13" t="s">
        <v>28055</v>
      </c>
      <c r="J14364" s="14" t="str">
        <f>HYPERLINK("https://www.boe.es/gazeta/dias/1839/04/05/pdfs/GMD-1839-1602.pdf#page=3","Abrir facsímil")</f>
        <v>Abrir facsímil</v>
      </c>
      <c r="K14364" s="12" t="s">
        <v>65</v>
      </c>
    </row>
    <row r="14365" spans="1:11" ht="40.049999999999997" customHeight="1" x14ac:dyDescent="0.25">
      <c r="A14365" s="11" t="s">
        <v>28056</v>
      </c>
      <c r="B14365" s="11" t="s">
        <v>28057</v>
      </c>
      <c r="C14365" s="11" t="s">
        <v>17</v>
      </c>
      <c r="D14365" s="11" t="s">
        <v>18</v>
      </c>
      <c r="E14365" s="12" t="s">
        <v>756</v>
      </c>
      <c r="F14365" s="12" t="s">
        <v>757</v>
      </c>
      <c r="G14365" s="12" t="s">
        <v>21</v>
      </c>
      <c r="H14365" s="11" t="s">
        <v>63</v>
      </c>
      <c r="I14365" s="13" t="s">
        <v>28058</v>
      </c>
      <c r="J14365" s="14" t="str">
        <f>HYPERLINK("https://www.boe.es/gazeta/dias/1839/12/17/pdfs/GMD-1839-1864.pdf#page=4","Abrir facsímil")</f>
        <v>Abrir facsímil</v>
      </c>
      <c r="K14365" s="12" t="s">
        <v>65</v>
      </c>
    </row>
    <row r="14366" spans="1:11" ht="40.049999999999997" customHeight="1" x14ac:dyDescent="0.25">
      <c r="A14366" s="11" t="s">
        <v>28059</v>
      </c>
      <c r="B14366" s="11" t="s">
        <v>28059</v>
      </c>
      <c r="C14366" s="11" t="s">
        <v>17</v>
      </c>
      <c r="D14366" s="11" t="s">
        <v>18</v>
      </c>
      <c r="E14366" s="12" t="s">
        <v>1606</v>
      </c>
      <c r="F14366" s="12" t="s">
        <v>1607</v>
      </c>
      <c r="G14366" s="12" t="s">
        <v>29</v>
      </c>
      <c r="H14366" s="11" t="s">
        <v>63</v>
      </c>
      <c r="I14366" s="13" t="s">
        <v>28060</v>
      </c>
      <c r="J14366" s="14" t="str">
        <f>HYPERLINK("https://www.boe.es/gazeta/dias/1839/07/02/pdfs/GMD-1839-1690.pdf#page=1","Abrir facsímil")</f>
        <v>Abrir facsímil</v>
      </c>
      <c r="K14366" s="12" t="s">
        <v>65</v>
      </c>
    </row>
    <row r="14367" spans="1:11" ht="40.049999999999997" customHeight="1" x14ac:dyDescent="0.25">
      <c r="A14367" s="11" t="s">
        <v>28059</v>
      </c>
      <c r="B14367" s="11" t="s">
        <v>28059</v>
      </c>
      <c r="C14367" s="11" t="s">
        <v>137</v>
      </c>
      <c r="D14367" s="11" t="s">
        <v>18</v>
      </c>
      <c r="E14367" s="12" t="s">
        <v>779</v>
      </c>
      <c r="F14367" s="12" t="s">
        <v>780</v>
      </c>
      <c r="G14367" s="12" t="s">
        <v>29</v>
      </c>
      <c r="H14367" s="11" t="s">
        <v>63</v>
      </c>
      <c r="I14367" s="13" t="s">
        <v>28061</v>
      </c>
      <c r="J14367" s="14" t="str">
        <f>HYPERLINK("https://www.boe.es/gazeta/dias/1839/02/03/pdfs/GMD-1839-1541.pdf#page=1","Abrir facsímil")</f>
        <v>Abrir facsímil</v>
      </c>
      <c r="K14367" s="12" t="s">
        <v>65</v>
      </c>
    </row>
    <row r="14368" spans="1:11" ht="40.049999999999997" customHeight="1" x14ac:dyDescent="0.25">
      <c r="A14368" s="11" t="s">
        <v>28059</v>
      </c>
      <c r="B14368" s="11" t="s">
        <v>28059</v>
      </c>
      <c r="C14368" s="11" t="s">
        <v>137</v>
      </c>
      <c r="D14368" s="11" t="s">
        <v>18</v>
      </c>
      <c r="E14368" s="12" t="s">
        <v>324</v>
      </c>
      <c r="F14368" s="12" t="s">
        <v>325</v>
      </c>
      <c r="G14368" s="12" t="s">
        <v>40</v>
      </c>
      <c r="H14368" s="11" t="s">
        <v>63</v>
      </c>
      <c r="I14368" s="13" t="s">
        <v>28062</v>
      </c>
      <c r="J14368" s="14" t="str">
        <f>HYPERLINK("https://www.boe.es/gazeta/dias/1839/02/04/pdfs/GMD-1839-1542.pdf#page=2","Abrir facsímil")</f>
        <v>Abrir facsímil</v>
      </c>
      <c r="K14368" s="12" t="s">
        <v>65</v>
      </c>
    </row>
    <row r="14369" spans="1:11" ht="40.049999999999997" customHeight="1" x14ac:dyDescent="0.25">
      <c r="A14369" s="11" t="s">
        <v>28059</v>
      </c>
      <c r="B14369" s="11" t="s">
        <v>28059</v>
      </c>
      <c r="C14369" s="11" t="s">
        <v>17</v>
      </c>
      <c r="D14369" s="11" t="s">
        <v>18</v>
      </c>
      <c r="E14369" s="12" t="s">
        <v>4957</v>
      </c>
      <c r="F14369" s="12" t="s">
        <v>4958</v>
      </c>
      <c r="G14369" s="12" t="s">
        <v>29</v>
      </c>
      <c r="H14369" s="11" t="s">
        <v>63</v>
      </c>
      <c r="I14369" s="13" t="s">
        <v>28063</v>
      </c>
      <c r="J14369" s="14" t="str">
        <f>HYPERLINK("https://www.boe.es/gazeta/dias/1839/11/04/pdfs/GMD-1839-1821.pdf#page=1","Abrir facsímil")</f>
        <v>Abrir facsímil</v>
      </c>
      <c r="K14369" s="12" t="s">
        <v>65</v>
      </c>
    </row>
    <row r="14370" spans="1:11" ht="40.049999999999997" customHeight="1" x14ac:dyDescent="0.25">
      <c r="A14370" s="11" t="s">
        <v>28059</v>
      </c>
      <c r="B14370" s="11" t="s">
        <v>28059</v>
      </c>
      <c r="C14370" s="11" t="s">
        <v>17</v>
      </c>
      <c r="D14370" s="11" t="s">
        <v>18</v>
      </c>
      <c r="E14370" s="12" t="s">
        <v>1772</v>
      </c>
      <c r="F14370" s="12" t="s">
        <v>1773</v>
      </c>
      <c r="G14370" s="12" t="s">
        <v>40</v>
      </c>
      <c r="H14370" s="11" t="s">
        <v>63</v>
      </c>
      <c r="I14370" s="13" t="s">
        <v>28064</v>
      </c>
      <c r="J14370" s="14" t="str">
        <f>HYPERLINK("https://www.boe.es/gazeta/dias/1839/05/07/pdfs/GMD-1839-1634.pdf#page=2","Abrir facsímil")</f>
        <v>Abrir facsímil</v>
      </c>
      <c r="K14370" s="12" t="s">
        <v>65</v>
      </c>
    </row>
    <row r="14371" spans="1:11" ht="40.049999999999997" customHeight="1" x14ac:dyDescent="0.25">
      <c r="A14371" s="11" t="s">
        <v>28059</v>
      </c>
      <c r="B14371" s="11" t="s">
        <v>28059</v>
      </c>
      <c r="C14371" s="11" t="s">
        <v>17</v>
      </c>
      <c r="D14371" s="11" t="s">
        <v>18</v>
      </c>
      <c r="E14371" s="12" t="s">
        <v>2881</v>
      </c>
      <c r="F14371" s="12" t="s">
        <v>2882</v>
      </c>
      <c r="G14371" s="12" t="s">
        <v>29</v>
      </c>
      <c r="H14371" s="11" t="s">
        <v>63</v>
      </c>
      <c r="I14371" s="13" t="s">
        <v>28065</v>
      </c>
      <c r="J14371" s="14" t="str">
        <f>HYPERLINK("https://www.boe.es/gazeta/dias/1839/05/08/pdfs/GMD-1839-1635.pdf#page=1","Abrir facsímil")</f>
        <v>Abrir facsímil</v>
      </c>
      <c r="K14371" s="12" t="s">
        <v>65</v>
      </c>
    </row>
    <row r="14372" spans="1:11" ht="40.049999999999997" customHeight="1" x14ac:dyDescent="0.25">
      <c r="A14372" s="11" t="s">
        <v>28059</v>
      </c>
      <c r="B14372" s="11" t="s">
        <v>28059</v>
      </c>
      <c r="C14372" s="11" t="s">
        <v>17</v>
      </c>
      <c r="D14372" s="11" t="s">
        <v>18</v>
      </c>
      <c r="E14372" s="12" t="s">
        <v>809</v>
      </c>
      <c r="F14372" s="12" t="s">
        <v>810</v>
      </c>
      <c r="G14372" s="12" t="s">
        <v>40</v>
      </c>
      <c r="H14372" s="11" t="s">
        <v>63</v>
      </c>
      <c r="I14372" s="13" t="s">
        <v>28066</v>
      </c>
      <c r="J14372" s="14" t="str">
        <f>HYPERLINK("https://www.boe.es/gazeta/dias/1839/02/11/pdfs/GMD-1839-1549.pdf#page=2","Abrir facsímil")</f>
        <v>Abrir facsímil</v>
      </c>
      <c r="K14372" s="12" t="s">
        <v>65</v>
      </c>
    </row>
    <row r="14373" spans="1:11" ht="40.049999999999997" customHeight="1" x14ac:dyDescent="0.25">
      <c r="A14373" s="11" t="s">
        <v>28059</v>
      </c>
      <c r="B14373" s="11" t="s">
        <v>28059</v>
      </c>
      <c r="C14373" s="11" t="s">
        <v>59</v>
      </c>
      <c r="D14373" s="11" t="s">
        <v>60</v>
      </c>
      <c r="E14373" s="12" t="s">
        <v>561</v>
      </c>
      <c r="F14373" s="12" t="s">
        <v>562</v>
      </c>
      <c r="G14373" s="12" t="s">
        <v>21</v>
      </c>
      <c r="H14373" s="11" t="s">
        <v>63</v>
      </c>
      <c r="I14373" s="13" t="s">
        <v>28067</v>
      </c>
      <c r="J14373" s="14" t="str">
        <f>HYPERLINK("https://www.boe.es/gazeta/dias/1839/09/11/pdfs/GMD-1839-1764.pdf#page=4","Abrir facsímil")</f>
        <v>Abrir facsímil</v>
      </c>
      <c r="K14373" s="12" t="s">
        <v>65</v>
      </c>
    </row>
    <row r="14374" spans="1:11" ht="40.049999999999997" customHeight="1" x14ac:dyDescent="0.25">
      <c r="A14374" s="11" t="s">
        <v>28059</v>
      </c>
      <c r="B14374" s="11" t="s">
        <v>28059</v>
      </c>
      <c r="C14374" s="11" t="s">
        <v>80</v>
      </c>
      <c r="D14374" s="11" t="s">
        <v>18</v>
      </c>
      <c r="E14374" s="12" t="s">
        <v>2107</v>
      </c>
      <c r="F14374" s="12" t="s">
        <v>2108</v>
      </c>
      <c r="G14374" s="12" t="s">
        <v>29</v>
      </c>
      <c r="H14374" s="11" t="s">
        <v>63</v>
      </c>
      <c r="I14374" s="13" t="s">
        <v>28068</v>
      </c>
      <c r="J14374" s="14" t="str">
        <f>HYPERLINK("https://www.boe.es/gazeta/dias/1839/10/11/pdfs/GMD-1839-1797.pdf#page=1","Abrir facsímil")</f>
        <v>Abrir facsímil</v>
      </c>
      <c r="K14374" s="12" t="s">
        <v>65</v>
      </c>
    </row>
    <row r="14375" spans="1:11" ht="40.049999999999997" customHeight="1" x14ac:dyDescent="0.25">
      <c r="A14375" s="11" t="s">
        <v>28059</v>
      </c>
      <c r="B14375" s="11" t="s">
        <v>28059</v>
      </c>
      <c r="C14375" s="11" t="s">
        <v>17</v>
      </c>
      <c r="D14375" s="11" t="s">
        <v>18</v>
      </c>
      <c r="E14375" s="12" t="s">
        <v>420</v>
      </c>
      <c r="F14375" s="12" t="s">
        <v>421</v>
      </c>
      <c r="G14375" s="12" t="s">
        <v>29</v>
      </c>
      <c r="H14375" s="11" t="s">
        <v>63</v>
      </c>
      <c r="I14375" s="13" t="s">
        <v>28069</v>
      </c>
      <c r="J14375" s="14" t="str">
        <f>HYPERLINK("https://www.boe.es/gazeta/dias/1839/03/12/pdfs/GMD-1839-1578.pdf#page=1","Abrir facsímil")</f>
        <v>Abrir facsímil</v>
      </c>
      <c r="K14375" s="12" t="s">
        <v>65</v>
      </c>
    </row>
    <row r="14376" spans="1:11" ht="40.049999999999997" customHeight="1" x14ac:dyDescent="0.25">
      <c r="A14376" s="11" t="s">
        <v>28059</v>
      </c>
      <c r="B14376" s="11" t="s">
        <v>28059</v>
      </c>
      <c r="C14376" s="11" t="s">
        <v>17</v>
      </c>
      <c r="D14376" s="11" t="s">
        <v>18</v>
      </c>
      <c r="E14376" s="12" t="s">
        <v>4186</v>
      </c>
      <c r="F14376" s="12" t="s">
        <v>4187</v>
      </c>
      <c r="G14376" s="12" t="s">
        <v>29</v>
      </c>
      <c r="H14376" s="11" t="s">
        <v>63</v>
      </c>
      <c r="I14376" s="13" t="s">
        <v>28070</v>
      </c>
      <c r="J14376" s="14" t="str">
        <f>HYPERLINK("https://www.boe.es/gazeta/dias/1839/12/12/pdfs/GMD-1839-1859.pdf#page=1","Abrir facsímil")</f>
        <v>Abrir facsímil</v>
      </c>
      <c r="K14376" s="12" t="s">
        <v>65</v>
      </c>
    </row>
    <row r="14377" spans="1:11" ht="40.049999999999997" customHeight="1" x14ac:dyDescent="0.25">
      <c r="A14377" s="11" t="s">
        <v>28059</v>
      </c>
      <c r="B14377" s="11" t="s">
        <v>28059</v>
      </c>
      <c r="C14377" s="11" t="s">
        <v>17</v>
      </c>
      <c r="D14377" s="11" t="s">
        <v>43</v>
      </c>
      <c r="E14377" s="12" t="s">
        <v>163</v>
      </c>
      <c r="F14377" s="12" t="s">
        <v>164</v>
      </c>
      <c r="G14377" s="12" t="s">
        <v>29</v>
      </c>
      <c r="H14377" s="11" t="s">
        <v>63</v>
      </c>
      <c r="I14377" s="13" t="s">
        <v>28071</v>
      </c>
      <c r="J14377" s="14" t="str">
        <f>HYPERLINK("https://www.boe.es/gazeta/dias/1839/01/13/pdfs/GMD-1839-1520.pdf#page=1","Abrir facsímil")</f>
        <v>Abrir facsímil</v>
      </c>
      <c r="K14377" s="12" t="s">
        <v>65</v>
      </c>
    </row>
    <row r="14378" spans="1:11" ht="40.049999999999997" customHeight="1" x14ac:dyDescent="0.25">
      <c r="A14378" s="11" t="s">
        <v>28059</v>
      </c>
      <c r="B14378" s="11" t="s">
        <v>28059</v>
      </c>
      <c r="C14378" s="11" t="s">
        <v>17</v>
      </c>
      <c r="D14378" s="11" t="s">
        <v>18</v>
      </c>
      <c r="E14378" s="12" t="s">
        <v>834</v>
      </c>
      <c r="F14378" s="12" t="s">
        <v>835</v>
      </c>
      <c r="G14378" s="12" t="s">
        <v>29</v>
      </c>
      <c r="H14378" s="11" t="s">
        <v>63</v>
      </c>
      <c r="I14378" s="13" t="s">
        <v>28072</v>
      </c>
      <c r="J14378" s="14" t="str">
        <f>HYPERLINK("https://www.boe.es/gazeta/dias/1839/08/17/pdfs/GMD-1839-1737.pdf#page=1","Abrir facsímil")</f>
        <v>Abrir facsímil</v>
      </c>
      <c r="K14378" s="12" t="s">
        <v>65</v>
      </c>
    </row>
    <row r="14379" spans="1:11" ht="40.049999999999997" customHeight="1" x14ac:dyDescent="0.25">
      <c r="A14379" s="11" t="s">
        <v>28059</v>
      </c>
      <c r="B14379" s="11" t="s">
        <v>28059</v>
      </c>
      <c r="C14379" s="11" t="s">
        <v>17</v>
      </c>
      <c r="D14379" s="11" t="s">
        <v>18</v>
      </c>
      <c r="E14379" s="12" t="s">
        <v>295</v>
      </c>
      <c r="F14379" s="12" t="s">
        <v>296</v>
      </c>
      <c r="G14379" s="12" t="s">
        <v>29</v>
      </c>
      <c r="H14379" s="11" t="s">
        <v>63</v>
      </c>
      <c r="I14379" s="13" t="s">
        <v>28073</v>
      </c>
      <c r="J14379" s="14" t="str">
        <f>HYPERLINK("https://www.boe.es/gazeta/dias/1839/08/19/pdfs/GMD-1839-1740.pdf#page=1","Abrir facsímil")</f>
        <v>Abrir facsímil</v>
      </c>
      <c r="K14379" s="12" t="s">
        <v>65</v>
      </c>
    </row>
    <row r="14380" spans="1:11" ht="40.049999999999997" customHeight="1" x14ac:dyDescent="0.25">
      <c r="A14380" s="11" t="s">
        <v>28059</v>
      </c>
      <c r="B14380" s="11" t="s">
        <v>28059</v>
      </c>
      <c r="C14380" s="11" t="s">
        <v>17</v>
      </c>
      <c r="D14380" s="11" t="s">
        <v>18</v>
      </c>
      <c r="E14380" s="12" t="s">
        <v>1584</v>
      </c>
      <c r="F14380" s="12" t="s">
        <v>1585</v>
      </c>
      <c r="G14380" s="12" t="s">
        <v>29</v>
      </c>
      <c r="H14380" s="11" t="s">
        <v>63</v>
      </c>
      <c r="I14380" s="13" t="s">
        <v>28074</v>
      </c>
      <c r="J14380" s="14" t="str">
        <f>HYPERLINK("https://www.boe.es/gazeta/dias/1839/11/20/pdfs/GMD-1839-1837.pdf#page=1","Abrir facsímil")</f>
        <v>Abrir facsímil</v>
      </c>
      <c r="K14380" s="12" t="s">
        <v>65</v>
      </c>
    </row>
    <row r="14381" spans="1:11" ht="40.049999999999997" customHeight="1" x14ac:dyDescent="0.25">
      <c r="A14381" s="11" t="s">
        <v>28059</v>
      </c>
      <c r="B14381" s="11" t="s">
        <v>28059</v>
      </c>
      <c r="C14381" s="11" t="s">
        <v>17</v>
      </c>
      <c r="D14381" s="11" t="s">
        <v>18</v>
      </c>
      <c r="E14381" s="12" t="s">
        <v>1657</v>
      </c>
      <c r="F14381" s="12" t="s">
        <v>1658</v>
      </c>
      <c r="G14381" s="12" t="s">
        <v>21</v>
      </c>
      <c r="H14381" s="11" t="s">
        <v>63</v>
      </c>
      <c r="I14381" s="13" t="s">
        <v>28075</v>
      </c>
      <c r="J14381" s="14" t="str">
        <f>HYPERLINK("https://www.boe.es/gazeta/dias/1839/02/21/pdfs/GMD-1839-1559.pdf#page=4","Abrir facsímil")</f>
        <v>Abrir facsímil</v>
      </c>
      <c r="K14381" s="12" t="s">
        <v>65</v>
      </c>
    </row>
    <row r="14382" spans="1:11" ht="40.049999999999997" customHeight="1" x14ac:dyDescent="0.25">
      <c r="A14382" s="11" t="s">
        <v>28059</v>
      </c>
      <c r="B14382" s="11" t="s">
        <v>28059</v>
      </c>
      <c r="C14382" s="11" t="s">
        <v>17</v>
      </c>
      <c r="D14382" s="11" t="s">
        <v>18</v>
      </c>
      <c r="E14382" s="12" t="s">
        <v>2215</v>
      </c>
      <c r="F14382" s="12" t="s">
        <v>2216</v>
      </c>
      <c r="G14382" s="12" t="s">
        <v>29</v>
      </c>
      <c r="H14382" s="11" t="s">
        <v>63</v>
      </c>
      <c r="I14382" s="13" t="s">
        <v>28076</v>
      </c>
      <c r="J14382" s="14" t="str">
        <f>HYPERLINK("https://www.boe.es/gazeta/dias/1839/07/21/pdfs/GMD-1839-1709.pdf#page=1","Abrir facsímil")</f>
        <v>Abrir facsímil</v>
      </c>
      <c r="K14382" s="12" t="s">
        <v>65</v>
      </c>
    </row>
    <row r="14383" spans="1:11" ht="40.049999999999997" customHeight="1" x14ac:dyDescent="0.25">
      <c r="A14383" s="11" t="s">
        <v>28059</v>
      </c>
      <c r="B14383" s="11" t="s">
        <v>28059</v>
      </c>
      <c r="C14383" s="11" t="s">
        <v>101</v>
      </c>
      <c r="D14383" s="11" t="s">
        <v>102</v>
      </c>
      <c r="E14383" s="12" t="s">
        <v>360</v>
      </c>
      <c r="F14383" s="12" t="s">
        <v>361</v>
      </c>
      <c r="G14383" s="12" t="s">
        <v>21</v>
      </c>
      <c r="H14383" s="11" t="s">
        <v>63</v>
      </c>
      <c r="I14383" s="13" t="s">
        <v>28077</v>
      </c>
      <c r="J14383" s="14" t="str">
        <f>HYPERLINK("https://www.boe.es/gazeta/dias/1839/08/22/pdfs/GMD-1839-1743.pdf#page=4","Abrir facsímil")</f>
        <v>Abrir facsímil</v>
      </c>
      <c r="K14383" s="12" t="s">
        <v>65</v>
      </c>
    </row>
    <row r="14384" spans="1:11" ht="40.049999999999997" customHeight="1" x14ac:dyDescent="0.25">
      <c r="A14384" s="11" t="s">
        <v>28059</v>
      </c>
      <c r="B14384" s="11" t="s">
        <v>28059</v>
      </c>
      <c r="C14384" s="11" t="s">
        <v>17</v>
      </c>
      <c r="D14384" s="11" t="s">
        <v>18</v>
      </c>
      <c r="E14384" s="12" t="s">
        <v>243</v>
      </c>
      <c r="F14384" s="12" t="s">
        <v>244</v>
      </c>
      <c r="G14384" s="12" t="s">
        <v>40</v>
      </c>
      <c r="H14384" s="11" t="s">
        <v>63</v>
      </c>
      <c r="I14384" s="13" t="s">
        <v>28078</v>
      </c>
      <c r="J14384" s="14" t="str">
        <f>HYPERLINK("https://www.boe.es/gazeta/dias/1839/09/23/pdfs/GMD-1839-1779.pdf#page=2","Abrir facsímil")</f>
        <v>Abrir facsímil</v>
      </c>
      <c r="K14384" s="12" t="s">
        <v>65</v>
      </c>
    </row>
    <row r="14385" spans="1:11" ht="40.049999999999997" customHeight="1" x14ac:dyDescent="0.25">
      <c r="A14385" s="11" t="s">
        <v>28059</v>
      </c>
      <c r="B14385" s="11" t="s">
        <v>28059</v>
      </c>
      <c r="C14385" s="11" t="s">
        <v>17</v>
      </c>
      <c r="D14385" s="11" t="s">
        <v>18</v>
      </c>
      <c r="E14385" s="12" t="s">
        <v>664</v>
      </c>
      <c r="F14385" s="12" t="s">
        <v>665</v>
      </c>
      <c r="G14385" s="12" t="s">
        <v>40</v>
      </c>
      <c r="H14385" s="11" t="s">
        <v>63</v>
      </c>
      <c r="I14385" s="13" t="s">
        <v>28079</v>
      </c>
      <c r="J14385" s="14" t="str">
        <f>HYPERLINK("https://www.boe.es/gazeta/dias/1839/01/24/pdfs/GMD-1839-1531.pdf#page=2","Abrir facsímil")</f>
        <v>Abrir facsímil</v>
      </c>
      <c r="K14385" s="12" t="s">
        <v>65</v>
      </c>
    </row>
    <row r="14386" spans="1:11" ht="40.049999999999997" customHeight="1" x14ac:dyDescent="0.25">
      <c r="A14386" s="11" t="s">
        <v>28059</v>
      </c>
      <c r="B14386" s="11" t="s">
        <v>28059</v>
      </c>
      <c r="C14386" s="11" t="s">
        <v>17</v>
      </c>
      <c r="D14386" s="11" t="s">
        <v>18</v>
      </c>
      <c r="E14386" s="12" t="s">
        <v>668</v>
      </c>
      <c r="F14386" s="12" t="s">
        <v>669</v>
      </c>
      <c r="G14386" s="12" t="s">
        <v>40</v>
      </c>
      <c r="H14386" s="11" t="s">
        <v>63</v>
      </c>
      <c r="I14386" s="13" t="s">
        <v>28080</v>
      </c>
      <c r="J14386" s="14" t="str">
        <f>HYPERLINK("https://www.boe.es/gazeta/dias/1839/03/28/pdfs/GMD-1839-1594.pdf#page=2","Abrir facsímil")</f>
        <v>Abrir facsímil</v>
      </c>
      <c r="K14386" s="12" t="s">
        <v>65</v>
      </c>
    </row>
    <row r="14387" spans="1:11" ht="40.049999999999997" customHeight="1" x14ac:dyDescent="0.25">
      <c r="A14387" s="11" t="s">
        <v>28059</v>
      </c>
      <c r="B14387" s="11" t="s">
        <v>28059</v>
      </c>
      <c r="C14387" s="11" t="s">
        <v>17</v>
      </c>
      <c r="D14387" s="11" t="s">
        <v>18</v>
      </c>
      <c r="E14387" s="12" t="s">
        <v>677</v>
      </c>
      <c r="F14387" s="12" t="s">
        <v>678</v>
      </c>
      <c r="G14387" s="12" t="s">
        <v>29</v>
      </c>
      <c r="H14387" s="11" t="s">
        <v>63</v>
      </c>
      <c r="I14387" s="13" t="s">
        <v>28081</v>
      </c>
      <c r="J14387" s="14" t="str">
        <f>HYPERLINK("https://www.boe.es/gazeta/dias/1839/04/28/pdfs/GMD-1839-1625.pdf#page=1","Abrir facsímil")</f>
        <v>Abrir facsímil</v>
      </c>
      <c r="K14387" s="12" t="s">
        <v>65</v>
      </c>
    </row>
    <row r="14388" spans="1:11" ht="40.049999999999997" customHeight="1" x14ac:dyDescent="0.25">
      <c r="A14388" s="11" t="s">
        <v>28059</v>
      </c>
      <c r="B14388" s="11" t="s">
        <v>28059</v>
      </c>
      <c r="C14388" s="11" t="s">
        <v>17</v>
      </c>
      <c r="D14388" s="11" t="s">
        <v>18</v>
      </c>
      <c r="E14388" s="12" t="s">
        <v>912</v>
      </c>
      <c r="F14388" s="12" t="s">
        <v>913</v>
      </c>
      <c r="G14388" s="12" t="s">
        <v>40</v>
      </c>
      <c r="H14388" s="11" t="s">
        <v>63</v>
      </c>
      <c r="I14388" s="13" t="s">
        <v>28082</v>
      </c>
      <c r="J14388" s="14" t="str">
        <f>HYPERLINK("https://www.boe.es/gazeta/dias/1839/04/30/pdfs/GMD-1839-1627.pdf#page=2","Abrir facsímil")</f>
        <v>Abrir facsímil</v>
      </c>
      <c r="K14388" s="12" t="s">
        <v>65</v>
      </c>
    </row>
    <row r="14389" spans="1:11" ht="40.049999999999997" customHeight="1" x14ac:dyDescent="0.25">
      <c r="A14389" s="11" t="s">
        <v>28083</v>
      </c>
      <c r="B14389" s="11" t="s">
        <v>28083</v>
      </c>
      <c r="C14389" s="11" t="s">
        <v>17</v>
      </c>
      <c r="D14389" s="11" t="s">
        <v>18</v>
      </c>
      <c r="E14389" s="12" t="s">
        <v>1301</v>
      </c>
      <c r="F14389" s="12" t="s">
        <v>1302</v>
      </c>
      <c r="G14389" s="12" t="s">
        <v>40</v>
      </c>
      <c r="H14389" s="11" t="s">
        <v>63</v>
      </c>
      <c r="I14389" s="13" t="s">
        <v>28084</v>
      </c>
      <c r="J14389" s="14" t="str">
        <f>HYPERLINK("https://www.boe.es/gazeta/dias/1839/11/16/pdfs/GMD-1839-1833.pdf#page=2","Abrir facsímil")</f>
        <v>Abrir facsímil</v>
      </c>
      <c r="K14389" s="12" t="s">
        <v>65</v>
      </c>
    </row>
    <row r="14390" spans="1:11" ht="40.049999999999997" customHeight="1" x14ac:dyDescent="0.25">
      <c r="A14390" s="11" t="s">
        <v>28085</v>
      </c>
      <c r="B14390" s="11" t="s">
        <v>28086</v>
      </c>
      <c r="C14390" s="11" t="s">
        <v>101</v>
      </c>
      <c r="D14390" s="11" t="s">
        <v>102</v>
      </c>
      <c r="E14390" s="12" t="s">
        <v>1512</v>
      </c>
      <c r="F14390" s="12" t="s">
        <v>1513</v>
      </c>
      <c r="G14390" s="12" t="s">
        <v>40</v>
      </c>
      <c r="H14390" s="11" t="s">
        <v>63</v>
      </c>
      <c r="I14390" s="13" t="s">
        <v>28087</v>
      </c>
      <c r="J14390" s="14" t="str">
        <f>HYPERLINK("https://www.boe.es/gazeta/dias/1839/04/13/pdfs/GMD-1839-1610.pdf#page=2","Abrir facsímil")</f>
        <v>Abrir facsímil</v>
      </c>
      <c r="K14390" s="12" t="s">
        <v>65</v>
      </c>
    </row>
    <row r="14391" spans="1:11" ht="40.049999999999997" customHeight="1" x14ac:dyDescent="0.25">
      <c r="A14391" s="11" t="s">
        <v>28088</v>
      </c>
      <c r="B14391" s="11" t="s">
        <v>28089</v>
      </c>
      <c r="C14391" s="11" t="s">
        <v>17</v>
      </c>
      <c r="D14391" s="11" t="s">
        <v>18</v>
      </c>
      <c r="E14391" s="12" t="s">
        <v>756</v>
      </c>
      <c r="F14391" s="12" t="s">
        <v>757</v>
      </c>
      <c r="G14391" s="12" t="s">
        <v>21</v>
      </c>
      <c r="H14391" s="11" t="s">
        <v>63</v>
      </c>
      <c r="I14391" s="13" t="s">
        <v>28090</v>
      </c>
      <c r="J14391" s="14" t="str">
        <f>HYPERLINK("https://www.boe.es/gazeta/dias/1839/12/17/pdfs/GMD-1839-1864.pdf#page=4","Abrir facsímil")</f>
        <v>Abrir facsímil</v>
      </c>
      <c r="K14391" s="12" t="s">
        <v>65</v>
      </c>
    </row>
    <row r="14392" spans="1:11" ht="40.049999999999997" customHeight="1" x14ac:dyDescent="0.25">
      <c r="A14392" s="11" t="s">
        <v>28091</v>
      </c>
      <c r="B14392" s="11" t="s">
        <v>28091</v>
      </c>
      <c r="C14392" s="11" t="s">
        <v>101</v>
      </c>
      <c r="D14392" s="11" t="s">
        <v>102</v>
      </c>
      <c r="E14392" s="12" t="s">
        <v>2851</v>
      </c>
      <c r="F14392" s="12" t="s">
        <v>2852</v>
      </c>
      <c r="G14392" s="12" t="s">
        <v>46</v>
      </c>
      <c r="H14392" s="11" t="s">
        <v>63</v>
      </c>
      <c r="I14392" s="13" t="s">
        <v>28092</v>
      </c>
      <c r="J14392" s="14" t="str">
        <f>HYPERLINK("https://www.boe.es/gazeta/dias/1839/05/16/pdfs/GMD-1839-1643.pdf#page=3","Abrir facsímil")</f>
        <v>Abrir facsímil</v>
      </c>
      <c r="K14392" s="12" t="s">
        <v>65</v>
      </c>
    </row>
    <row r="14393" spans="1:11" ht="40.049999999999997" customHeight="1" x14ac:dyDescent="0.25">
      <c r="A14393" s="11" t="s">
        <v>28093</v>
      </c>
      <c r="B14393" s="11" t="s">
        <v>28093</v>
      </c>
      <c r="C14393" s="11" t="s">
        <v>80</v>
      </c>
      <c r="D14393" s="11" t="s">
        <v>18</v>
      </c>
      <c r="E14393" s="12" t="s">
        <v>308</v>
      </c>
      <c r="F14393" s="12" t="s">
        <v>309</v>
      </c>
      <c r="G14393" s="12" t="s">
        <v>29</v>
      </c>
      <c r="H14393" s="11" t="s">
        <v>63</v>
      </c>
      <c r="I14393" s="13" t="s">
        <v>28094</v>
      </c>
      <c r="J14393" s="14" t="str">
        <f>HYPERLINK("https://www.boe.es/gazeta/dias/1839/07/29/pdfs/GMD-1839-1718.pdf#page=1","Abrir facsímil")</f>
        <v>Abrir facsímil</v>
      </c>
      <c r="K14393" s="12" t="s">
        <v>65</v>
      </c>
    </row>
    <row r="14394" spans="1:11" ht="40.049999999999997" customHeight="1" x14ac:dyDescent="0.25">
      <c r="A14394" s="11" t="s">
        <v>28095</v>
      </c>
      <c r="B14394" s="11" t="s">
        <v>28096</v>
      </c>
      <c r="C14394" s="11" t="s">
        <v>101</v>
      </c>
      <c r="D14394" s="11" t="s">
        <v>43</v>
      </c>
      <c r="E14394" s="12" t="s">
        <v>1159</v>
      </c>
      <c r="F14394" s="12" t="s">
        <v>1160</v>
      </c>
      <c r="G14394" s="12" t="s">
        <v>21</v>
      </c>
      <c r="H14394" s="11" t="s">
        <v>22</v>
      </c>
      <c r="I14394" s="13" t="s">
        <v>28097</v>
      </c>
      <c r="J14394" s="14" t="str">
        <f>HYPERLINK("https://www.boe.es/gazeta/dias/1839/11/26/pdfs/GMD-1839-1843.pdf#page=4","Abrir facsímil")</f>
        <v>Abrir facsímil</v>
      </c>
      <c r="K14394" s="12" t="s">
        <v>24</v>
      </c>
    </row>
    <row r="14395" spans="1:11" ht="40.049999999999997" customHeight="1" x14ac:dyDescent="0.25">
      <c r="A14395" s="11" t="s">
        <v>28098</v>
      </c>
      <c r="B14395" s="11" t="s">
        <v>28098</v>
      </c>
      <c r="C14395" s="11" t="s">
        <v>17</v>
      </c>
      <c r="D14395" s="11" t="s">
        <v>18</v>
      </c>
      <c r="E14395" s="12" t="s">
        <v>2443</v>
      </c>
      <c r="F14395" s="12" t="s">
        <v>2444</v>
      </c>
      <c r="G14395" s="12" t="s">
        <v>40</v>
      </c>
      <c r="H14395" s="11" t="s">
        <v>63</v>
      </c>
      <c r="I14395" s="13" t="s">
        <v>28099</v>
      </c>
      <c r="J14395" s="14" t="str">
        <f>HYPERLINK("https://www.boe.es/gazeta/dias/1839/11/02/pdfs/GMD-1839-1819.pdf#page=2","Abrir facsímil")</f>
        <v>Abrir facsímil</v>
      </c>
      <c r="K14395" s="12" t="s">
        <v>65</v>
      </c>
    </row>
    <row r="14396" spans="1:11" ht="40.049999999999997" customHeight="1" x14ac:dyDescent="0.25">
      <c r="A14396" s="11" t="s">
        <v>28100</v>
      </c>
      <c r="B14396" s="11" t="s">
        <v>28100</v>
      </c>
      <c r="C14396" s="11" t="s">
        <v>59</v>
      </c>
      <c r="D14396" s="11" t="s">
        <v>60</v>
      </c>
      <c r="E14396" s="12" t="s">
        <v>1019</v>
      </c>
      <c r="F14396" s="12" t="s">
        <v>1020</v>
      </c>
      <c r="G14396" s="12" t="s">
        <v>40</v>
      </c>
      <c r="H14396" s="11" t="s">
        <v>63</v>
      </c>
      <c r="I14396" s="13" t="s">
        <v>28101</v>
      </c>
      <c r="J14396" s="14" t="str">
        <f>HYPERLINK("https://www.boe.es/gazeta/dias/1839/07/15/pdfs/GMD-1839-1703.pdf#page=2","Abrir facsímil")</f>
        <v>Abrir facsímil</v>
      </c>
      <c r="K14396" s="12" t="s">
        <v>65</v>
      </c>
    </row>
    <row r="14397" spans="1:11" ht="40.049999999999997" customHeight="1" x14ac:dyDescent="0.25">
      <c r="A14397" s="11" t="s">
        <v>28102</v>
      </c>
      <c r="B14397" s="11" t="s">
        <v>28103</v>
      </c>
      <c r="C14397" s="11" t="s">
        <v>17</v>
      </c>
      <c r="D14397" s="11" t="s">
        <v>18</v>
      </c>
      <c r="E14397" s="12" t="s">
        <v>7860</v>
      </c>
      <c r="F14397" s="12" t="s">
        <v>7861</v>
      </c>
      <c r="G14397" s="12" t="s">
        <v>29</v>
      </c>
      <c r="H14397" s="11" t="s">
        <v>22</v>
      </c>
      <c r="I14397" s="13" t="s">
        <v>28104</v>
      </c>
      <c r="J14397" s="14" t="str">
        <f>HYPERLINK("https://www.boe.es/gazeta/dias/1839/03/04/pdfs/GMD-1839-1570.pdf#page=1","Abrir facsímil")</f>
        <v>Abrir facsímil</v>
      </c>
      <c r="K14397" s="12" t="s">
        <v>24</v>
      </c>
    </row>
    <row r="14398" spans="1:11" ht="40.049999999999997" customHeight="1" x14ac:dyDescent="0.25">
      <c r="A14398" s="11" t="s">
        <v>28105</v>
      </c>
      <c r="B14398" s="11" t="s">
        <v>28106</v>
      </c>
      <c r="C14398" s="11" t="s">
        <v>17</v>
      </c>
      <c r="D14398" s="11" t="s">
        <v>18</v>
      </c>
      <c r="E14398" s="12" t="s">
        <v>226</v>
      </c>
      <c r="F14398" s="12" t="s">
        <v>227</v>
      </c>
      <c r="G14398" s="12" t="s">
        <v>21</v>
      </c>
      <c r="H14398" s="11" t="s">
        <v>63</v>
      </c>
      <c r="I14398" s="13" t="s">
        <v>28107</v>
      </c>
      <c r="J14398" s="14" t="str">
        <f>HYPERLINK("https://www.boe.es/gazeta/dias/1839/06/09/pdfs/GMD-1839-1667.pdf#page=4","Abrir facsímil")</f>
        <v>Abrir facsímil</v>
      </c>
      <c r="K14398" s="12" t="s">
        <v>65</v>
      </c>
    </row>
    <row r="14399" spans="1:11" ht="40.049999999999997" customHeight="1" x14ac:dyDescent="0.25">
      <c r="A14399" s="11" t="s">
        <v>28108</v>
      </c>
      <c r="B14399" s="11" t="s">
        <v>28109</v>
      </c>
      <c r="C14399" s="11" t="s">
        <v>59</v>
      </c>
      <c r="D14399" s="11" t="s">
        <v>60</v>
      </c>
      <c r="E14399" s="12" t="s">
        <v>2210</v>
      </c>
      <c r="F14399" s="12" t="s">
        <v>2211</v>
      </c>
      <c r="G14399" s="12" t="s">
        <v>29</v>
      </c>
      <c r="H14399" s="11" t="s">
        <v>63</v>
      </c>
      <c r="I14399" s="13" t="s">
        <v>28110</v>
      </c>
      <c r="J14399" s="14" t="str">
        <f>HYPERLINK("https://www.boe.es/gazeta/dias/1839/09/05/pdfs/GMD-1839-1758.pdf#page=1","Abrir facsímil")</f>
        <v>Abrir facsímil</v>
      </c>
      <c r="K14399" s="12" t="s">
        <v>65</v>
      </c>
    </row>
    <row r="14400" spans="1:11" ht="40.049999999999997" customHeight="1" x14ac:dyDescent="0.25">
      <c r="A14400" s="11" t="s">
        <v>28111</v>
      </c>
      <c r="B14400" s="11" t="s">
        <v>28111</v>
      </c>
      <c r="C14400" s="11" t="s">
        <v>17</v>
      </c>
      <c r="D14400" s="11" t="s">
        <v>18</v>
      </c>
      <c r="E14400" s="12" t="s">
        <v>756</v>
      </c>
      <c r="F14400" s="12" t="s">
        <v>757</v>
      </c>
      <c r="G14400" s="12" t="s">
        <v>21</v>
      </c>
      <c r="H14400" s="11" t="s">
        <v>63</v>
      </c>
      <c r="I14400" s="13" t="s">
        <v>28112</v>
      </c>
      <c r="J14400" s="14" t="str">
        <f>HYPERLINK("https://www.boe.es/gazeta/dias/1839/12/17/pdfs/GMD-1839-1864.pdf#page=4","Abrir facsímil")</f>
        <v>Abrir facsímil</v>
      </c>
      <c r="K14400" s="12" t="s">
        <v>65</v>
      </c>
    </row>
    <row r="14401" spans="1:11" ht="40.049999999999997" customHeight="1" x14ac:dyDescent="0.25">
      <c r="A14401" s="11" t="s">
        <v>28113</v>
      </c>
      <c r="B14401" s="11" t="s">
        <v>28114</v>
      </c>
      <c r="C14401" s="11" t="s">
        <v>17</v>
      </c>
      <c r="D14401" s="11" t="s">
        <v>18</v>
      </c>
      <c r="E14401" s="12" t="s">
        <v>2463</v>
      </c>
      <c r="F14401" s="12" t="s">
        <v>2464</v>
      </c>
      <c r="G14401" s="12" t="s">
        <v>21</v>
      </c>
      <c r="H14401" s="11" t="s">
        <v>63</v>
      </c>
      <c r="I14401" s="13" t="s">
        <v>28115</v>
      </c>
      <c r="J14401" s="14" t="str">
        <f>HYPERLINK("https://www.boe.es/gazeta/dias/1839/04/26/pdfs/GMD-1839-1623.pdf#page=4","Abrir facsímil")</f>
        <v>Abrir facsímil</v>
      </c>
      <c r="K14401" s="12" t="s">
        <v>65</v>
      </c>
    </row>
    <row r="14402" spans="1:11" ht="40.049999999999997" customHeight="1" x14ac:dyDescent="0.25">
      <c r="A14402" s="11" t="s">
        <v>28116</v>
      </c>
      <c r="B14402" s="11" t="s">
        <v>28117</v>
      </c>
      <c r="C14402" s="11" t="s">
        <v>137</v>
      </c>
      <c r="D14402" s="11" t="s">
        <v>18</v>
      </c>
      <c r="E14402" s="12" t="s">
        <v>89</v>
      </c>
      <c r="F14402" s="12" t="s">
        <v>90</v>
      </c>
      <c r="G14402" s="12" t="s">
        <v>21</v>
      </c>
      <c r="H14402" s="11" t="s">
        <v>63</v>
      </c>
      <c r="I14402" s="13" t="s">
        <v>28118</v>
      </c>
      <c r="J14402" s="14" t="str">
        <f>HYPERLINK("https://www.boe.es/gazeta/dias/1839/11/28/pdfs/GMD-1839-1845.pdf#page=4","Abrir facsímil")</f>
        <v>Abrir facsímil</v>
      </c>
      <c r="K14402" s="12" t="s">
        <v>65</v>
      </c>
    </row>
    <row r="14403" spans="1:11" ht="40.049999999999997" customHeight="1" x14ac:dyDescent="0.25">
      <c r="A14403" s="11" t="s">
        <v>28119</v>
      </c>
      <c r="B14403" s="11" t="s">
        <v>28120</v>
      </c>
      <c r="C14403" s="11" t="s">
        <v>17</v>
      </c>
      <c r="D14403" s="11" t="s">
        <v>18</v>
      </c>
      <c r="E14403" s="12" t="s">
        <v>1356</v>
      </c>
      <c r="F14403" s="12" t="s">
        <v>1357</v>
      </c>
      <c r="G14403" s="12" t="s">
        <v>21</v>
      </c>
      <c r="H14403" s="11" t="s">
        <v>63</v>
      </c>
      <c r="I14403" s="13" t="s">
        <v>28121</v>
      </c>
      <c r="J14403" s="14" t="str">
        <f>HYPERLINK("https://www.boe.es/gazeta/dias/1839/06/05/pdfs/GMD-1839-1663.pdf#page=4","Abrir facsímil")</f>
        <v>Abrir facsímil</v>
      </c>
      <c r="K14403" s="12" t="s">
        <v>65</v>
      </c>
    </row>
    <row r="14404" spans="1:11" ht="40.049999999999997" customHeight="1" x14ac:dyDescent="0.25">
      <c r="A14404" s="11" t="s">
        <v>28122</v>
      </c>
      <c r="B14404" s="11" t="s">
        <v>28122</v>
      </c>
      <c r="C14404" s="11" t="s">
        <v>17</v>
      </c>
      <c r="D14404" s="11" t="s">
        <v>18</v>
      </c>
      <c r="E14404" s="12" t="s">
        <v>1332</v>
      </c>
      <c r="F14404" s="12" t="s">
        <v>1333</v>
      </c>
      <c r="G14404" s="12" t="s">
        <v>46</v>
      </c>
      <c r="H14404" s="11" t="s">
        <v>63</v>
      </c>
      <c r="I14404" s="13" t="s">
        <v>28123</v>
      </c>
      <c r="J14404" s="14" t="str">
        <f>HYPERLINK("https://www.boe.es/gazeta/dias/1839/05/04/pdfs/GMD-1839-1631.pdf#page=3","Abrir facsímil")</f>
        <v>Abrir facsímil</v>
      </c>
      <c r="K14404" s="12" t="s">
        <v>65</v>
      </c>
    </row>
    <row r="14405" spans="1:11" ht="40.049999999999997" customHeight="1" x14ac:dyDescent="0.25">
      <c r="A14405" s="11" t="s">
        <v>28124</v>
      </c>
      <c r="B14405" s="11" t="s">
        <v>28125</v>
      </c>
      <c r="C14405" s="11" t="s">
        <v>17</v>
      </c>
      <c r="D14405" s="11" t="s">
        <v>18</v>
      </c>
      <c r="E14405" s="12" t="s">
        <v>2415</v>
      </c>
      <c r="F14405" s="12" t="s">
        <v>2416</v>
      </c>
      <c r="G14405" s="12" t="s">
        <v>21</v>
      </c>
      <c r="H14405" s="11" t="s">
        <v>22</v>
      </c>
      <c r="I14405" s="13" t="s">
        <v>28126</v>
      </c>
      <c r="J14405" s="14" t="str">
        <f>HYPERLINK("https://www.boe.es/gazeta/dias/1839/12/22/pdfs/GMD-1839-1869.pdf#page=4","Abrir facsímil")</f>
        <v>Abrir facsímil</v>
      </c>
      <c r="K14405" s="12" t="s">
        <v>24</v>
      </c>
    </row>
    <row r="14406" spans="1:11" ht="40.049999999999997" customHeight="1" x14ac:dyDescent="0.25">
      <c r="A14406" s="11" t="s">
        <v>28127</v>
      </c>
      <c r="B14406" s="11" t="s">
        <v>28128</v>
      </c>
      <c r="C14406" s="11" t="s">
        <v>17</v>
      </c>
      <c r="D14406" s="11" t="s">
        <v>18</v>
      </c>
      <c r="E14406" s="12" t="s">
        <v>320</v>
      </c>
      <c r="F14406" s="12" t="s">
        <v>321</v>
      </c>
      <c r="G14406" s="12" t="s">
        <v>21</v>
      </c>
      <c r="H14406" s="11" t="s">
        <v>63</v>
      </c>
      <c r="I14406" s="13" t="s">
        <v>28129</v>
      </c>
      <c r="J14406" s="14" t="str">
        <f>HYPERLINK("https://www.boe.es/gazeta/dias/1839/05/11/pdfs/GMD-1839-1638.pdf#page=4","Abrir facsímil")</f>
        <v>Abrir facsímil</v>
      </c>
      <c r="K14406" s="12" t="s">
        <v>65</v>
      </c>
    </row>
    <row r="14407" spans="1:11" ht="40.049999999999997" customHeight="1" x14ac:dyDescent="0.25">
      <c r="A14407" s="11" t="s">
        <v>28130</v>
      </c>
      <c r="B14407" s="11" t="s">
        <v>28131</v>
      </c>
      <c r="C14407" s="11" t="s">
        <v>17</v>
      </c>
      <c r="D14407" s="11" t="s">
        <v>18</v>
      </c>
      <c r="E14407" s="12" t="s">
        <v>2138</v>
      </c>
      <c r="F14407" s="12" t="s">
        <v>2139</v>
      </c>
      <c r="G14407" s="12" t="s">
        <v>46</v>
      </c>
      <c r="H14407" s="11" t="s">
        <v>63</v>
      </c>
      <c r="I14407" s="13" t="s">
        <v>28132</v>
      </c>
      <c r="J14407" s="14" t="str">
        <f>HYPERLINK("https://www.boe.es/gazeta/dias/1839/10/02/pdfs/GMD-1839-1788.pdf#page=3","Abrir facsímil")</f>
        <v>Abrir facsímil</v>
      </c>
      <c r="K14407" s="12" t="s">
        <v>65</v>
      </c>
    </row>
    <row r="14408" spans="1:11" ht="40.049999999999997" customHeight="1" x14ac:dyDescent="0.25">
      <c r="A14408" s="11" t="s">
        <v>28133</v>
      </c>
      <c r="B14408" s="11" t="s">
        <v>28133</v>
      </c>
      <c r="C14408" s="11" t="s">
        <v>17</v>
      </c>
      <c r="D14408" s="11" t="s">
        <v>18</v>
      </c>
      <c r="E14408" s="12" t="s">
        <v>453</v>
      </c>
      <c r="F14408" s="12" t="s">
        <v>454</v>
      </c>
      <c r="G14408" s="12" t="s">
        <v>46</v>
      </c>
      <c r="H14408" s="11" t="s">
        <v>63</v>
      </c>
      <c r="I14408" s="13" t="s">
        <v>28134</v>
      </c>
      <c r="J14408" s="14" t="str">
        <f>HYPERLINK("https://www.boe.es/gazeta/dias/1839/02/07/pdfs/GMD-1839-1545.pdf#page=3","Abrir facsímil")</f>
        <v>Abrir facsímil</v>
      </c>
      <c r="K14408" s="12" t="s">
        <v>65</v>
      </c>
    </row>
    <row r="14409" spans="1:11" ht="40.049999999999997" customHeight="1" x14ac:dyDescent="0.25">
      <c r="A14409" s="11" t="s">
        <v>28133</v>
      </c>
      <c r="B14409" s="11" t="s">
        <v>28133</v>
      </c>
      <c r="C14409" s="11" t="s">
        <v>101</v>
      </c>
      <c r="D14409" s="11" t="s">
        <v>43</v>
      </c>
      <c r="E14409" s="12" t="s">
        <v>782</v>
      </c>
      <c r="F14409" s="12" t="s">
        <v>783</v>
      </c>
      <c r="G14409" s="12" t="s">
        <v>40</v>
      </c>
      <c r="H14409" s="11" t="s">
        <v>63</v>
      </c>
      <c r="I14409" s="13" t="s">
        <v>28135</v>
      </c>
      <c r="J14409" s="14" t="str">
        <f>HYPERLINK("https://www.boe.es/gazeta/dias/1839/05/09/pdfs/GMD-1839-1636.pdf#page=2","Abrir facsímil")</f>
        <v>Abrir facsímil</v>
      </c>
      <c r="K14409" s="12" t="s">
        <v>65</v>
      </c>
    </row>
    <row r="14410" spans="1:11" ht="40.049999999999997" customHeight="1" x14ac:dyDescent="0.25">
      <c r="A14410" s="11" t="s">
        <v>28133</v>
      </c>
      <c r="B14410" s="11" t="s">
        <v>28133</v>
      </c>
      <c r="C14410" s="11" t="s">
        <v>17</v>
      </c>
      <c r="D14410" s="11" t="s">
        <v>18</v>
      </c>
      <c r="E14410" s="12" t="s">
        <v>61</v>
      </c>
      <c r="F14410" s="12" t="s">
        <v>62</v>
      </c>
      <c r="G14410" s="12" t="s">
        <v>46</v>
      </c>
      <c r="H14410" s="11" t="s">
        <v>63</v>
      </c>
      <c r="I14410" s="13" t="s">
        <v>28136</v>
      </c>
      <c r="J14410" s="14" t="str">
        <f>HYPERLINK("https://www.boe.es/gazeta/dias/1839/09/10/pdfs/GMD-1839-1763.pdf#page=3","Abrir facsímil")</f>
        <v>Abrir facsímil</v>
      </c>
      <c r="K14410" s="12" t="s">
        <v>65</v>
      </c>
    </row>
    <row r="14411" spans="1:11" ht="40.049999999999997" customHeight="1" x14ac:dyDescent="0.25">
      <c r="A14411" s="11" t="s">
        <v>28133</v>
      </c>
      <c r="B14411" s="11" t="s">
        <v>28133</v>
      </c>
      <c r="C14411" s="11" t="s">
        <v>59</v>
      </c>
      <c r="D14411" s="11" t="s">
        <v>60</v>
      </c>
      <c r="E14411" s="12" t="s">
        <v>103</v>
      </c>
      <c r="F14411" s="12" t="s">
        <v>104</v>
      </c>
      <c r="G14411" s="12" t="s">
        <v>29</v>
      </c>
      <c r="H14411" s="11" t="s">
        <v>63</v>
      </c>
      <c r="I14411" s="13" t="s">
        <v>28137</v>
      </c>
      <c r="J14411" s="14" t="str">
        <f>HYPERLINK("https://www.boe.es/gazeta/dias/1839/10/12/pdfs/GMD-1839-1798.pdf#page=1","Abrir facsímil")</f>
        <v>Abrir facsímil</v>
      </c>
      <c r="K14411" s="12" t="s">
        <v>65</v>
      </c>
    </row>
    <row r="14412" spans="1:11" ht="40.049999999999997" customHeight="1" x14ac:dyDescent="0.25">
      <c r="A14412" s="11" t="s">
        <v>28133</v>
      </c>
      <c r="B14412" s="11" t="s">
        <v>28133</v>
      </c>
      <c r="C14412" s="11" t="s">
        <v>17</v>
      </c>
      <c r="D14412" s="11" t="s">
        <v>18</v>
      </c>
      <c r="E14412" s="12" t="s">
        <v>2021</v>
      </c>
      <c r="F14412" s="12" t="s">
        <v>2022</v>
      </c>
      <c r="G14412" s="12" t="s">
        <v>46</v>
      </c>
      <c r="H14412" s="11" t="s">
        <v>63</v>
      </c>
      <c r="I14412" s="13" t="s">
        <v>28138</v>
      </c>
      <c r="J14412" s="14" t="str">
        <f>HYPERLINK("https://www.boe.es/gazeta/dias/1839/02/17/pdfs/GMD-1839-1555.pdf#page=3","Abrir facsímil")</f>
        <v>Abrir facsímil</v>
      </c>
      <c r="K14412" s="12" t="s">
        <v>65</v>
      </c>
    </row>
    <row r="14413" spans="1:11" ht="40.049999999999997" customHeight="1" x14ac:dyDescent="0.25">
      <c r="A14413" s="11" t="s">
        <v>28133</v>
      </c>
      <c r="B14413" s="11" t="s">
        <v>28133</v>
      </c>
      <c r="C14413" s="11" t="s">
        <v>137</v>
      </c>
      <c r="D14413" s="11" t="s">
        <v>18</v>
      </c>
      <c r="E14413" s="12" t="s">
        <v>207</v>
      </c>
      <c r="F14413" s="12" t="s">
        <v>208</v>
      </c>
      <c r="G14413" s="12" t="s">
        <v>29</v>
      </c>
      <c r="H14413" s="11" t="s">
        <v>63</v>
      </c>
      <c r="I14413" s="13" t="s">
        <v>28139</v>
      </c>
      <c r="J14413" s="14" t="str">
        <f>HYPERLINK("https://www.boe.es/gazeta/dias/1839/02/19/pdfs/GMD-1839-1557.pdf#page=1","Abrir facsímil")</f>
        <v>Abrir facsímil</v>
      </c>
      <c r="K14413" s="12" t="s">
        <v>65</v>
      </c>
    </row>
    <row r="14414" spans="1:11" ht="40.049999999999997" customHeight="1" x14ac:dyDescent="0.25">
      <c r="A14414" s="11" t="s">
        <v>28133</v>
      </c>
      <c r="B14414" s="11" t="s">
        <v>28133</v>
      </c>
      <c r="C14414" s="11" t="s">
        <v>80</v>
      </c>
      <c r="D14414" s="11" t="s">
        <v>18</v>
      </c>
      <c r="E14414" s="12" t="s">
        <v>1374</v>
      </c>
      <c r="F14414" s="12" t="s">
        <v>1375</v>
      </c>
      <c r="G14414" s="12" t="s">
        <v>46</v>
      </c>
      <c r="H14414" s="11" t="s">
        <v>63</v>
      </c>
      <c r="I14414" s="13" t="s">
        <v>28140</v>
      </c>
      <c r="J14414" s="14" t="str">
        <f>HYPERLINK("https://www.boe.es/gazeta/dias/1839/07/20/pdfs/GMD-1839-1708.pdf#page=3","Abrir facsímil")</f>
        <v>Abrir facsímil</v>
      </c>
      <c r="K14414" s="12" t="s">
        <v>65</v>
      </c>
    </row>
    <row r="14415" spans="1:11" ht="40.049999999999997" customHeight="1" x14ac:dyDescent="0.25">
      <c r="A14415" s="11" t="s">
        <v>28141</v>
      </c>
      <c r="B14415" s="11" t="s">
        <v>28141</v>
      </c>
      <c r="C14415" s="11" t="s">
        <v>17</v>
      </c>
      <c r="D14415" s="11" t="s">
        <v>18</v>
      </c>
      <c r="E14415" s="12" t="s">
        <v>1100</v>
      </c>
      <c r="F14415" s="12" t="s">
        <v>1101</v>
      </c>
      <c r="G14415" s="12" t="s">
        <v>29</v>
      </c>
      <c r="H14415" s="11" t="s">
        <v>63</v>
      </c>
      <c r="I14415" s="13" t="s">
        <v>28142</v>
      </c>
      <c r="J14415" s="14" t="str">
        <f>HYPERLINK("https://www.boe.es/gazeta/dias/1839/09/13/pdfs/GMD-1839-1766.pdf#page=1","Abrir facsímil")</f>
        <v>Abrir facsímil</v>
      </c>
      <c r="K14415" s="12" t="s">
        <v>65</v>
      </c>
    </row>
    <row r="14416" spans="1:11" ht="40.049999999999997" customHeight="1" x14ac:dyDescent="0.25">
      <c r="A14416" s="11" t="s">
        <v>28141</v>
      </c>
      <c r="B14416" s="11" t="s">
        <v>28141</v>
      </c>
      <c r="C14416" s="11" t="s">
        <v>17</v>
      </c>
      <c r="D14416" s="11" t="s">
        <v>18</v>
      </c>
      <c r="E14416" s="12" t="s">
        <v>2650</v>
      </c>
      <c r="F14416" s="12" t="s">
        <v>2651</v>
      </c>
      <c r="G14416" s="12" t="s">
        <v>29</v>
      </c>
      <c r="H14416" s="11" t="s">
        <v>63</v>
      </c>
      <c r="I14416" s="13" t="s">
        <v>28143</v>
      </c>
      <c r="J14416" s="14" t="str">
        <f>HYPERLINK("https://www.boe.es/gazeta/dias/1839/09/15/pdfs/GMD-1839-1768.pdf#page=1","Abrir facsímil")</f>
        <v>Abrir facsímil</v>
      </c>
      <c r="K14416" s="12" t="s">
        <v>65</v>
      </c>
    </row>
    <row r="14417" spans="1:11" ht="40.049999999999997" customHeight="1" x14ac:dyDescent="0.25">
      <c r="A14417" s="11" t="s">
        <v>28144</v>
      </c>
      <c r="B14417" s="11" t="s">
        <v>28145</v>
      </c>
      <c r="C14417" s="11" t="s">
        <v>17</v>
      </c>
      <c r="D14417" s="11" t="s">
        <v>18</v>
      </c>
      <c r="E14417" s="12" t="s">
        <v>1136</v>
      </c>
      <c r="F14417" s="12" t="s">
        <v>1137</v>
      </c>
      <c r="G14417" s="12" t="s">
        <v>46</v>
      </c>
      <c r="H14417" s="11" t="s">
        <v>63</v>
      </c>
      <c r="I14417" s="13" t="s">
        <v>28146</v>
      </c>
      <c r="J14417" s="14" t="str">
        <f>HYPERLINK("https://www.boe.es/gazeta/dias/1839/04/03/pdfs/GMD-1839-1600.pdf#page=3","Abrir facsímil")</f>
        <v>Abrir facsímil</v>
      </c>
      <c r="K14417" s="12" t="s">
        <v>65</v>
      </c>
    </row>
    <row r="14418" spans="1:11" ht="40.049999999999997" customHeight="1" x14ac:dyDescent="0.25">
      <c r="A14418" s="11" t="s">
        <v>28144</v>
      </c>
      <c r="B14418" s="11" t="s">
        <v>28145</v>
      </c>
      <c r="C14418" s="11" t="s">
        <v>17</v>
      </c>
      <c r="D14418" s="11" t="s">
        <v>18</v>
      </c>
      <c r="E14418" s="12" t="s">
        <v>756</v>
      </c>
      <c r="F14418" s="12" t="s">
        <v>757</v>
      </c>
      <c r="G14418" s="12" t="s">
        <v>21</v>
      </c>
      <c r="H14418" s="11" t="s">
        <v>63</v>
      </c>
      <c r="I14418" s="13" t="s">
        <v>28147</v>
      </c>
      <c r="J14418" s="14" t="str">
        <f>HYPERLINK("https://www.boe.es/gazeta/dias/1839/12/17/pdfs/GMD-1839-1864.pdf#page=4","Abrir facsímil")</f>
        <v>Abrir facsímil</v>
      </c>
      <c r="K14418" s="12" t="s">
        <v>65</v>
      </c>
    </row>
    <row r="14419" spans="1:11" ht="40.049999999999997" customHeight="1" x14ac:dyDescent="0.25">
      <c r="A14419" s="11" t="s">
        <v>28148</v>
      </c>
      <c r="B14419" s="11" t="s">
        <v>28149</v>
      </c>
      <c r="C14419" s="11" t="s">
        <v>59</v>
      </c>
      <c r="D14419" s="11" t="s">
        <v>60</v>
      </c>
      <c r="E14419" s="12" t="s">
        <v>385</v>
      </c>
      <c r="F14419" s="12" t="s">
        <v>386</v>
      </c>
      <c r="G14419" s="12" t="s">
        <v>40</v>
      </c>
      <c r="H14419" s="11" t="s">
        <v>63</v>
      </c>
      <c r="I14419" s="13" t="s">
        <v>28150</v>
      </c>
      <c r="J14419" s="14" t="str">
        <f>HYPERLINK("https://www.boe.es/gazeta/dias/1839/08/01/pdfs/GMD-1839-1721.pdf#page=2","Abrir facsímil")</f>
        <v>Abrir facsímil</v>
      </c>
      <c r="K14419" s="12" t="s">
        <v>65</v>
      </c>
    </row>
    <row r="14420" spans="1:11" ht="40.049999999999997" customHeight="1" x14ac:dyDescent="0.25">
      <c r="A14420" s="11" t="s">
        <v>28151</v>
      </c>
      <c r="B14420" s="11" t="s">
        <v>28151</v>
      </c>
      <c r="C14420" s="11" t="s">
        <v>17</v>
      </c>
      <c r="D14420" s="11" t="s">
        <v>18</v>
      </c>
      <c r="E14420" s="12" t="s">
        <v>888</v>
      </c>
      <c r="F14420" s="12" t="s">
        <v>889</v>
      </c>
      <c r="G14420" s="12" t="s">
        <v>40</v>
      </c>
      <c r="H14420" s="11" t="s">
        <v>63</v>
      </c>
      <c r="I14420" s="13" t="s">
        <v>28152</v>
      </c>
      <c r="J14420" s="14" t="str">
        <f>HYPERLINK("https://www.boe.es/gazeta/dias/1839/05/14/pdfs/GMD-1839-1641.pdf#page=2","Abrir facsímil")</f>
        <v>Abrir facsímil</v>
      </c>
      <c r="K14420" s="12" t="s">
        <v>65</v>
      </c>
    </row>
    <row r="14421" spans="1:11" ht="40.049999999999997" customHeight="1" x14ac:dyDescent="0.25">
      <c r="A14421" s="11" t="s">
        <v>28151</v>
      </c>
      <c r="B14421" s="11" t="s">
        <v>28151</v>
      </c>
      <c r="C14421" s="11" t="s">
        <v>80</v>
      </c>
      <c r="D14421" s="11" t="s">
        <v>18</v>
      </c>
      <c r="E14421" s="12" t="s">
        <v>398</v>
      </c>
      <c r="F14421" s="12" t="s">
        <v>399</v>
      </c>
      <c r="G14421" s="12" t="s">
        <v>40</v>
      </c>
      <c r="H14421" s="11" t="s">
        <v>63</v>
      </c>
      <c r="I14421" s="13" t="s">
        <v>28153</v>
      </c>
      <c r="J14421" s="14" t="str">
        <f>HYPERLINK("https://www.boe.es/gazeta/dias/1839/05/17/pdfs/GMD-1839-1644.pdf#page=2","Abrir facsímil")</f>
        <v>Abrir facsímil</v>
      </c>
      <c r="K14421" s="12" t="s">
        <v>65</v>
      </c>
    </row>
    <row r="14422" spans="1:11" ht="40.049999999999997" customHeight="1" x14ac:dyDescent="0.25">
      <c r="A14422" s="11" t="s">
        <v>28151</v>
      </c>
      <c r="B14422" s="11" t="s">
        <v>28151</v>
      </c>
      <c r="C14422" s="11" t="s">
        <v>17</v>
      </c>
      <c r="D14422" s="11" t="s">
        <v>18</v>
      </c>
      <c r="E14422" s="12" t="s">
        <v>3668</v>
      </c>
      <c r="F14422" s="12" t="s">
        <v>3669</v>
      </c>
      <c r="G14422" s="12" t="s">
        <v>46</v>
      </c>
      <c r="H14422" s="11" t="s">
        <v>63</v>
      </c>
      <c r="I14422" s="13" t="s">
        <v>28154</v>
      </c>
      <c r="J14422" s="14" t="str">
        <f>HYPERLINK("https://www.boe.es/gazeta/dias/1839/05/19/pdfs/GMD-1839-1646.pdf#page=3","Abrir facsímil")</f>
        <v>Abrir facsímil</v>
      </c>
      <c r="K14422" s="12" t="s">
        <v>65</v>
      </c>
    </row>
    <row r="14423" spans="1:11" ht="40.049999999999997" customHeight="1" x14ac:dyDescent="0.25">
      <c r="A14423" s="11" t="s">
        <v>28155</v>
      </c>
      <c r="B14423" s="11" t="s">
        <v>28155</v>
      </c>
      <c r="C14423" s="11" t="s">
        <v>17</v>
      </c>
      <c r="D14423" s="11" t="s">
        <v>18</v>
      </c>
      <c r="E14423" s="12" t="s">
        <v>3601</v>
      </c>
      <c r="F14423" s="12" t="s">
        <v>3602</v>
      </c>
      <c r="G14423" s="12" t="s">
        <v>29</v>
      </c>
      <c r="H14423" s="11" t="s">
        <v>63</v>
      </c>
      <c r="I14423" s="13" t="s">
        <v>28156</v>
      </c>
      <c r="J14423" s="14" t="str">
        <f>HYPERLINK("https://www.boe.es/gazeta/dias/1839/03/21/pdfs/GMD-1839-1587.pdf#page=1","Abrir facsímil")</f>
        <v>Abrir facsímil</v>
      </c>
      <c r="K14423" s="12" t="s">
        <v>65</v>
      </c>
    </row>
    <row r="14424" spans="1:11" ht="40.049999999999997" customHeight="1" x14ac:dyDescent="0.25">
      <c r="A14424" s="11" t="s">
        <v>28155</v>
      </c>
      <c r="B14424" s="11" t="s">
        <v>28155</v>
      </c>
      <c r="C14424" s="11" t="s">
        <v>80</v>
      </c>
      <c r="D14424" s="11" t="s">
        <v>18</v>
      </c>
      <c r="E14424" s="12" t="s">
        <v>716</v>
      </c>
      <c r="F14424" s="12" t="s">
        <v>717</v>
      </c>
      <c r="G14424" s="12" t="s">
        <v>46</v>
      </c>
      <c r="H14424" s="11" t="s">
        <v>63</v>
      </c>
      <c r="I14424" s="13" t="s">
        <v>28157</v>
      </c>
      <c r="J14424" s="14" t="str">
        <f>HYPERLINK("https://www.boe.es/gazeta/dias/1839/07/30/pdfs/GMD-1839-1719.pdf#page=3","Abrir facsímil")</f>
        <v>Abrir facsímil</v>
      </c>
      <c r="K14424" s="12" t="s">
        <v>65</v>
      </c>
    </row>
    <row r="14425" spans="1:11" ht="40.049999999999997" customHeight="1" x14ac:dyDescent="0.25">
      <c r="A14425" s="11" t="s">
        <v>28158</v>
      </c>
      <c r="B14425" s="11" t="s">
        <v>28159</v>
      </c>
      <c r="C14425" s="11" t="s">
        <v>59</v>
      </c>
      <c r="D14425" s="11" t="s">
        <v>60</v>
      </c>
      <c r="E14425" s="12" t="s">
        <v>287</v>
      </c>
      <c r="F14425" s="12" t="s">
        <v>288</v>
      </c>
      <c r="G14425" s="12" t="s">
        <v>46</v>
      </c>
      <c r="H14425" s="11" t="s">
        <v>63</v>
      </c>
      <c r="I14425" s="13" t="s">
        <v>28160</v>
      </c>
      <c r="J14425" s="14" t="str">
        <f>HYPERLINK("https://www.boe.es/gazeta/dias/1839/11/27/pdfs/GMD-1839-1844.pdf#page=3","Abrir facsímil")</f>
        <v>Abrir facsímil</v>
      </c>
      <c r="K14425" s="12" t="s">
        <v>65</v>
      </c>
    </row>
    <row r="14426" spans="1:11" ht="40.049999999999997" customHeight="1" x14ac:dyDescent="0.25">
      <c r="A14426" s="11" t="s">
        <v>28161</v>
      </c>
      <c r="B14426" s="11" t="s">
        <v>28161</v>
      </c>
      <c r="C14426" s="11" t="s">
        <v>59</v>
      </c>
      <c r="D14426" s="11" t="s">
        <v>60</v>
      </c>
      <c r="E14426" s="12" t="s">
        <v>587</v>
      </c>
      <c r="F14426" s="12" t="s">
        <v>588</v>
      </c>
      <c r="G14426" s="12" t="s">
        <v>21</v>
      </c>
      <c r="H14426" s="11" t="s">
        <v>63</v>
      </c>
      <c r="I14426" s="13" t="s">
        <v>28162</v>
      </c>
      <c r="J14426" s="14" t="str">
        <f>HYPERLINK("https://www.boe.es/gazeta/dias/1839/05/02/pdfs/GMD-1839-1629.pdf#page=4","Abrir facsímil")</f>
        <v>Abrir facsímil</v>
      </c>
      <c r="K14426" s="12" t="s">
        <v>65</v>
      </c>
    </row>
    <row r="14427" spans="1:11" ht="40.049999999999997" customHeight="1" x14ac:dyDescent="0.25">
      <c r="A14427" s="11" t="s">
        <v>28161</v>
      </c>
      <c r="B14427" s="11" t="s">
        <v>28161</v>
      </c>
      <c r="C14427" s="11" t="s">
        <v>80</v>
      </c>
      <c r="D14427" s="11" t="s">
        <v>18</v>
      </c>
      <c r="E14427" s="12" t="s">
        <v>918</v>
      </c>
      <c r="F14427" s="12" t="s">
        <v>919</v>
      </c>
      <c r="G14427" s="12" t="s">
        <v>21</v>
      </c>
      <c r="H14427" s="11" t="s">
        <v>63</v>
      </c>
      <c r="I14427" s="13" t="s">
        <v>28163</v>
      </c>
      <c r="J14427" s="14" t="str">
        <f>HYPERLINK("https://www.boe.es/gazeta/dias/1839/12/07/pdfs/GMD-1839-1854.pdf#page=4","Abrir facsímil")</f>
        <v>Abrir facsímil</v>
      </c>
      <c r="K14427" s="12" t="s">
        <v>65</v>
      </c>
    </row>
    <row r="14428" spans="1:11" ht="40.049999999999997" customHeight="1" x14ac:dyDescent="0.25">
      <c r="A14428" s="11" t="s">
        <v>28161</v>
      </c>
      <c r="B14428" s="11" t="s">
        <v>28161</v>
      </c>
      <c r="C14428" s="11" t="s">
        <v>17</v>
      </c>
      <c r="D14428" s="11" t="s">
        <v>18</v>
      </c>
      <c r="E14428" s="12" t="s">
        <v>38</v>
      </c>
      <c r="F14428" s="12" t="s">
        <v>39</v>
      </c>
      <c r="G14428" s="12" t="s">
        <v>40</v>
      </c>
      <c r="H14428" s="11" t="s">
        <v>63</v>
      </c>
      <c r="I14428" s="13" t="s">
        <v>28164</v>
      </c>
      <c r="J14428" s="14" t="str">
        <f>HYPERLINK("https://www.boe.es/gazeta/dias/1839/08/08/pdfs/GMD-1839-1728.pdf#page=2","Abrir facsímil")</f>
        <v>Abrir facsímil</v>
      </c>
      <c r="K14428" s="12" t="s">
        <v>65</v>
      </c>
    </row>
    <row r="14429" spans="1:11" ht="40.049999999999997" customHeight="1" x14ac:dyDescent="0.25">
      <c r="A14429" s="11" t="s">
        <v>28161</v>
      </c>
      <c r="B14429" s="11" t="s">
        <v>28161</v>
      </c>
      <c r="C14429" s="11" t="s">
        <v>17</v>
      </c>
      <c r="D14429" s="11" t="s">
        <v>18</v>
      </c>
      <c r="E14429" s="12" t="s">
        <v>690</v>
      </c>
      <c r="F14429" s="12" t="s">
        <v>691</v>
      </c>
      <c r="G14429" s="12" t="s">
        <v>46</v>
      </c>
      <c r="H14429" s="11" t="s">
        <v>63</v>
      </c>
      <c r="I14429" s="13" t="s">
        <v>28165</v>
      </c>
      <c r="J14429" s="14" t="str">
        <f>HYPERLINK("https://www.boe.es/gazeta/dias/1839/12/08/pdfs/GMD-1839-1855.pdf#page=3","Abrir facsímil")</f>
        <v>Abrir facsímil</v>
      </c>
      <c r="K14429" s="12" t="s">
        <v>65</v>
      </c>
    </row>
    <row r="14430" spans="1:11" ht="40.049999999999997" customHeight="1" x14ac:dyDescent="0.25">
      <c r="A14430" s="11" t="s">
        <v>28161</v>
      </c>
      <c r="B14430" s="11" t="s">
        <v>28161</v>
      </c>
      <c r="C14430" s="11" t="s">
        <v>17</v>
      </c>
      <c r="D14430" s="11" t="s">
        <v>18</v>
      </c>
      <c r="E14430" s="12" t="s">
        <v>984</v>
      </c>
      <c r="F14430" s="12" t="s">
        <v>985</v>
      </c>
      <c r="G14430" s="12" t="s">
        <v>40</v>
      </c>
      <c r="H14430" s="11" t="s">
        <v>63</v>
      </c>
      <c r="I14430" s="13" t="s">
        <v>28166</v>
      </c>
      <c r="J14430" s="14" t="str">
        <f>HYPERLINK("https://www.boe.es/gazeta/dias/1839/04/10/pdfs/GMD-1839-1607.pdf#page=2","Abrir facsímil")</f>
        <v>Abrir facsímil</v>
      </c>
      <c r="K14430" s="12" t="s">
        <v>65</v>
      </c>
    </row>
    <row r="14431" spans="1:11" ht="40.049999999999997" customHeight="1" x14ac:dyDescent="0.25">
      <c r="A14431" s="11" t="s">
        <v>28161</v>
      </c>
      <c r="B14431" s="11" t="s">
        <v>28161</v>
      </c>
      <c r="C14431" s="11" t="s">
        <v>17</v>
      </c>
      <c r="D14431" s="11" t="s">
        <v>18</v>
      </c>
      <c r="E14431" s="12" t="s">
        <v>116</v>
      </c>
      <c r="F14431" s="12" t="s">
        <v>117</v>
      </c>
      <c r="G14431" s="12" t="s">
        <v>40</v>
      </c>
      <c r="H14431" s="11" t="s">
        <v>63</v>
      </c>
      <c r="I14431" s="13" t="s">
        <v>28167</v>
      </c>
      <c r="J14431" s="14" t="str">
        <f>HYPERLINK("https://www.boe.es/gazeta/dias/1839/10/10/pdfs/GMD-1839-1796.pdf#page=2","Abrir facsímil")</f>
        <v>Abrir facsímil</v>
      </c>
      <c r="K14431" s="12" t="s">
        <v>65</v>
      </c>
    </row>
    <row r="14432" spans="1:11" ht="40.049999999999997" customHeight="1" x14ac:dyDescent="0.25">
      <c r="A14432" s="11" t="s">
        <v>28161</v>
      </c>
      <c r="B14432" s="11" t="s">
        <v>28161</v>
      </c>
      <c r="C14432" s="11" t="s">
        <v>80</v>
      </c>
      <c r="D14432" s="11" t="s">
        <v>18</v>
      </c>
      <c r="E14432" s="12" t="s">
        <v>2205</v>
      </c>
      <c r="F14432" s="12" t="s">
        <v>2206</v>
      </c>
      <c r="G14432" s="12" t="s">
        <v>21</v>
      </c>
      <c r="H14432" s="11" t="s">
        <v>63</v>
      </c>
      <c r="I14432" s="13" t="s">
        <v>28168</v>
      </c>
      <c r="J14432" s="14" t="str">
        <f>HYPERLINK("https://www.boe.es/gazeta/dias/1839/07/11/pdfs/GMD-1839-1699.pdf#page=4","Abrir facsímil")</f>
        <v>Abrir facsímil</v>
      </c>
      <c r="K14432" s="12" t="s">
        <v>65</v>
      </c>
    </row>
    <row r="14433" spans="1:11" ht="40.049999999999997" customHeight="1" x14ac:dyDescent="0.25">
      <c r="A14433" s="11" t="s">
        <v>28161</v>
      </c>
      <c r="B14433" s="11" t="s">
        <v>28161</v>
      </c>
      <c r="C14433" s="11" t="s">
        <v>80</v>
      </c>
      <c r="D14433" s="11" t="s">
        <v>18</v>
      </c>
      <c r="E14433" s="12" t="s">
        <v>544</v>
      </c>
      <c r="F14433" s="12" t="s">
        <v>545</v>
      </c>
      <c r="G14433" s="12" t="s">
        <v>46</v>
      </c>
      <c r="H14433" s="11" t="s">
        <v>63</v>
      </c>
      <c r="I14433" s="13" t="s">
        <v>28169</v>
      </c>
      <c r="J14433" s="14" t="str">
        <f>HYPERLINK("https://www.boe.es/gazeta/dias/1839/11/11/pdfs/GMD-1839-1828.pdf#page=3","Abrir facsímil")</f>
        <v>Abrir facsímil</v>
      </c>
      <c r="K14433" s="12" t="s">
        <v>65</v>
      </c>
    </row>
    <row r="14434" spans="1:11" ht="40.049999999999997" customHeight="1" x14ac:dyDescent="0.25">
      <c r="A14434" s="11" t="s">
        <v>28161</v>
      </c>
      <c r="B14434" s="11" t="s">
        <v>28161</v>
      </c>
      <c r="C14434" s="11" t="s">
        <v>80</v>
      </c>
      <c r="D14434" s="11" t="s">
        <v>18</v>
      </c>
      <c r="E14434" s="12" t="s">
        <v>510</v>
      </c>
      <c r="F14434" s="12" t="s">
        <v>511</v>
      </c>
      <c r="G14434" s="12" t="s">
        <v>21</v>
      </c>
      <c r="H14434" s="11" t="s">
        <v>63</v>
      </c>
      <c r="I14434" s="13" t="s">
        <v>28170</v>
      </c>
      <c r="J14434" s="14" t="str">
        <f>HYPERLINK("https://www.boe.es/gazeta/dias/1839/05/13/pdfs/GMD-1839-1640.pdf#page=4","Abrir facsímil")</f>
        <v>Abrir facsímil</v>
      </c>
      <c r="K14434" s="12" t="s">
        <v>65</v>
      </c>
    </row>
    <row r="14435" spans="1:11" ht="40.049999999999997" customHeight="1" x14ac:dyDescent="0.25">
      <c r="A14435" s="11" t="s">
        <v>28161</v>
      </c>
      <c r="B14435" s="11" t="s">
        <v>28161</v>
      </c>
      <c r="C14435" s="11" t="s">
        <v>80</v>
      </c>
      <c r="D14435" s="11" t="s">
        <v>18</v>
      </c>
      <c r="E14435" s="12" t="s">
        <v>33</v>
      </c>
      <c r="F14435" s="12" t="s">
        <v>34</v>
      </c>
      <c r="G14435" s="12" t="s">
        <v>21</v>
      </c>
      <c r="H14435" s="11" t="s">
        <v>63</v>
      </c>
      <c r="I14435" s="13" t="s">
        <v>28171</v>
      </c>
      <c r="J14435" s="14" t="str">
        <f>HYPERLINK("https://www.boe.es/gazeta/dias/1839/12/13/pdfs/GMD-1839-1860.pdf#page=4","Abrir facsímil")</f>
        <v>Abrir facsímil</v>
      </c>
      <c r="K14435" s="12" t="s">
        <v>65</v>
      </c>
    </row>
    <row r="14436" spans="1:11" ht="40.049999999999997" customHeight="1" x14ac:dyDescent="0.25">
      <c r="A14436" s="11" t="s">
        <v>28161</v>
      </c>
      <c r="B14436" s="11" t="s">
        <v>28161</v>
      </c>
      <c r="C14436" s="11" t="s">
        <v>17</v>
      </c>
      <c r="D14436" s="11" t="s">
        <v>18</v>
      </c>
      <c r="E14436" s="12" t="s">
        <v>888</v>
      </c>
      <c r="F14436" s="12" t="s">
        <v>889</v>
      </c>
      <c r="G14436" s="12" t="s">
        <v>21</v>
      </c>
      <c r="H14436" s="11" t="s">
        <v>63</v>
      </c>
      <c r="I14436" s="13" t="s">
        <v>28172</v>
      </c>
      <c r="J14436" s="14" t="str">
        <f>HYPERLINK("https://www.boe.es/gazeta/dias/1839/05/14/pdfs/GMD-1839-1641.pdf#page=4","Abrir facsímil")</f>
        <v>Abrir facsímil</v>
      </c>
      <c r="K14436" s="12" t="s">
        <v>65</v>
      </c>
    </row>
    <row r="14437" spans="1:11" ht="40.049999999999997" customHeight="1" x14ac:dyDescent="0.25">
      <c r="A14437" s="11" t="s">
        <v>28161</v>
      </c>
      <c r="B14437" s="11" t="s">
        <v>28161</v>
      </c>
      <c r="C14437" s="11" t="s">
        <v>17</v>
      </c>
      <c r="D14437" s="11" t="s">
        <v>18</v>
      </c>
      <c r="E14437" s="12" t="s">
        <v>1528</v>
      </c>
      <c r="F14437" s="12" t="s">
        <v>1529</v>
      </c>
      <c r="G14437" s="12" t="s">
        <v>40</v>
      </c>
      <c r="H14437" s="11" t="s">
        <v>63</v>
      </c>
      <c r="I14437" s="13" t="s">
        <v>28173</v>
      </c>
      <c r="J14437" s="14" t="str">
        <f>HYPERLINK("https://www.boe.es/gazeta/dias/1839/12/15/pdfs/GMD-1839-1862.pdf#page=2","Abrir facsímil")</f>
        <v>Abrir facsímil</v>
      </c>
      <c r="K14437" s="12" t="s">
        <v>65</v>
      </c>
    </row>
    <row r="14438" spans="1:11" ht="40.049999999999997" customHeight="1" x14ac:dyDescent="0.25">
      <c r="A14438" s="11" t="s">
        <v>28161</v>
      </c>
      <c r="B14438" s="11" t="s">
        <v>28161</v>
      </c>
      <c r="C14438" s="11" t="s">
        <v>17</v>
      </c>
      <c r="D14438" s="11" t="s">
        <v>18</v>
      </c>
      <c r="E14438" s="12" t="s">
        <v>2851</v>
      </c>
      <c r="F14438" s="12" t="s">
        <v>2852</v>
      </c>
      <c r="G14438" s="12" t="s">
        <v>21</v>
      </c>
      <c r="H14438" s="11" t="s">
        <v>63</v>
      </c>
      <c r="I14438" s="13" t="s">
        <v>28174</v>
      </c>
      <c r="J14438" s="14" t="str">
        <f>HYPERLINK("https://www.boe.es/gazeta/dias/1839/05/16/pdfs/GMD-1839-1643.pdf#page=4","Abrir facsímil")</f>
        <v>Abrir facsímil</v>
      </c>
      <c r="K14438" s="12" t="s">
        <v>65</v>
      </c>
    </row>
    <row r="14439" spans="1:11" ht="40.049999999999997" customHeight="1" x14ac:dyDescent="0.25">
      <c r="A14439" s="11" t="s">
        <v>28161</v>
      </c>
      <c r="B14439" s="11" t="s">
        <v>28161</v>
      </c>
      <c r="C14439" s="11" t="s">
        <v>17</v>
      </c>
      <c r="D14439" s="11" t="s">
        <v>18</v>
      </c>
      <c r="E14439" s="12" t="s">
        <v>1537</v>
      </c>
      <c r="F14439" s="12" t="s">
        <v>1538</v>
      </c>
      <c r="G14439" s="12" t="s">
        <v>40</v>
      </c>
      <c r="H14439" s="11" t="s">
        <v>63</v>
      </c>
      <c r="I14439" s="13" t="s">
        <v>28175</v>
      </c>
      <c r="J14439" s="14" t="str">
        <f>HYPERLINK("https://www.boe.es/gazeta/dias/1839/12/16/pdfs/GMD-1839-1863.pdf#page=2","Abrir facsímil")</f>
        <v>Abrir facsímil</v>
      </c>
      <c r="K14439" s="12" t="s">
        <v>65</v>
      </c>
    </row>
    <row r="14440" spans="1:11" ht="40.049999999999997" customHeight="1" x14ac:dyDescent="0.25">
      <c r="A14440" s="11" t="s">
        <v>28161</v>
      </c>
      <c r="B14440" s="11" t="s">
        <v>28161</v>
      </c>
      <c r="C14440" s="11" t="s">
        <v>17</v>
      </c>
      <c r="D14440" s="11" t="s">
        <v>18</v>
      </c>
      <c r="E14440" s="12" t="s">
        <v>2155</v>
      </c>
      <c r="F14440" s="12" t="s">
        <v>2156</v>
      </c>
      <c r="G14440" s="12" t="s">
        <v>29</v>
      </c>
      <c r="H14440" s="11" t="s">
        <v>63</v>
      </c>
      <c r="I14440" s="13" t="s">
        <v>28176</v>
      </c>
      <c r="J14440" s="14" t="str">
        <f>HYPERLINK("https://www.boe.es/gazeta/dias/1839/01/17/pdfs/GMD-1839-1524.pdf#page=1","Abrir facsímil")</f>
        <v>Abrir facsímil</v>
      </c>
      <c r="K14440" s="12" t="s">
        <v>65</v>
      </c>
    </row>
    <row r="14441" spans="1:11" ht="40.049999999999997" customHeight="1" x14ac:dyDescent="0.25">
      <c r="A14441" s="11" t="s">
        <v>28161</v>
      </c>
      <c r="B14441" s="11" t="s">
        <v>28161</v>
      </c>
      <c r="C14441" s="11" t="s">
        <v>17</v>
      </c>
      <c r="D14441" s="11" t="s">
        <v>18</v>
      </c>
      <c r="E14441" s="12" t="s">
        <v>756</v>
      </c>
      <c r="F14441" s="12" t="s">
        <v>757</v>
      </c>
      <c r="G14441" s="12" t="s">
        <v>46</v>
      </c>
      <c r="H14441" s="11" t="s">
        <v>63</v>
      </c>
      <c r="I14441" s="13" t="s">
        <v>28177</v>
      </c>
      <c r="J14441" s="14" t="str">
        <f>HYPERLINK("https://www.boe.es/gazeta/dias/1839/12/17/pdfs/GMD-1839-1864.pdf#page=3","Abrir facsímil")</f>
        <v>Abrir facsímil</v>
      </c>
      <c r="K14441" s="12" t="s">
        <v>65</v>
      </c>
    </row>
    <row r="14442" spans="1:11" ht="40.049999999999997" customHeight="1" x14ac:dyDescent="0.25">
      <c r="A14442" s="11" t="s">
        <v>28161</v>
      </c>
      <c r="B14442" s="11" t="s">
        <v>28161</v>
      </c>
      <c r="C14442" s="11" t="s">
        <v>80</v>
      </c>
      <c r="D14442" s="11" t="s">
        <v>18</v>
      </c>
      <c r="E14442" s="12" t="s">
        <v>1179</v>
      </c>
      <c r="F14442" s="12" t="s">
        <v>1180</v>
      </c>
      <c r="G14442" s="12" t="s">
        <v>305</v>
      </c>
      <c r="H14442" s="11" t="s">
        <v>63</v>
      </c>
      <c r="I14442" s="13" t="s">
        <v>28178</v>
      </c>
      <c r="J14442" s="14" t="str">
        <f>HYPERLINK("https://www.boe.es/gazeta/dias/1839/10/18/pdfs/GMD-1839-1804.pdf#page=6","Abrir facsímil")</f>
        <v>Abrir facsímil</v>
      </c>
      <c r="K14442" s="12" t="s">
        <v>65</v>
      </c>
    </row>
    <row r="14443" spans="1:11" ht="40.049999999999997" customHeight="1" x14ac:dyDescent="0.25">
      <c r="A14443" s="11" t="s">
        <v>28161</v>
      </c>
      <c r="B14443" s="11" t="s">
        <v>28161</v>
      </c>
      <c r="C14443" s="11" t="s">
        <v>80</v>
      </c>
      <c r="D14443" s="11" t="s">
        <v>18</v>
      </c>
      <c r="E14443" s="12" t="s">
        <v>1663</v>
      </c>
      <c r="F14443" s="12" t="s">
        <v>1664</v>
      </c>
      <c r="G14443" s="12" t="s">
        <v>29</v>
      </c>
      <c r="H14443" s="11" t="s">
        <v>63</v>
      </c>
      <c r="I14443" s="13" t="s">
        <v>28179</v>
      </c>
      <c r="J14443" s="14" t="str">
        <f>HYPERLINK("https://www.boe.es/gazeta/dias/1839/03/22/pdfs/GMD-1839-1588.pdf#page=1","Abrir facsímil")</f>
        <v>Abrir facsímil</v>
      </c>
      <c r="K14443" s="12" t="s">
        <v>65</v>
      </c>
    </row>
    <row r="14444" spans="1:11" ht="40.049999999999997" customHeight="1" x14ac:dyDescent="0.25">
      <c r="A14444" s="11" t="s">
        <v>28161</v>
      </c>
      <c r="B14444" s="11" t="s">
        <v>28161</v>
      </c>
      <c r="C14444" s="11" t="s">
        <v>17</v>
      </c>
      <c r="D14444" s="11" t="s">
        <v>18</v>
      </c>
      <c r="E14444" s="12" t="s">
        <v>2415</v>
      </c>
      <c r="F14444" s="12" t="s">
        <v>2416</v>
      </c>
      <c r="G14444" s="12" t="s">
        <v>40</v>
      </c>
      <c r="H14444" s="11" t="s">
        <v>63</v>
      </c>
      <c r="I14444" s="13" t="s">
        <v>28180</v>
      </c>
      <c r="J14444" s="14" t="str">
        <f>HYPERLINK("https://www.boe.es/gazeta/dias/1839/12/22/pdfs/GMD-1839-1869.pdf#page=2","Abrir facsímil")</f>
        <v>Abrir facsímil</v>
      </c>
      <c r="K14444" s="12" t="s">
        <v>65</v>
      </c>
    </row>
    <row r="14445" spans="1:11" ht="40.049999999999997" customHeight="1" x14ac:dyDescent="0.25">
      <c r="A14445" s="11" t="s">
        <v>28161</v>
      </c>
      <c r="B14445" s="11" t="s">
        <v>28161</v>
      </c>
      <c r="C14445" s="11" t="s">
        <v>17</v>
      </c>
      <c r="D14445" s="11" t="s">
        <v>18</v>
      </c>
      <c r="E14445" s="12" t="s">
        <v>1079</v>
      </c>
      <c r="F14445" s="12" t="s">
        <v>1080</v>
      </c>
      <c r="G14445" s="12" t="s">
        <v>46</v>
      </c>
      <c r="H14445" s="11" t="s">
        <v>63</v>
      </c>
      <c r="I14445" s="13" t="s">
        <v>28181</v>
      </c>
      <c r="J14445" s="14" t="str">
        <f>HYPERLINK("https://www.boe.es/gazeta/dias/1839/05/24/pdfs/GMD-1839-1651.pdf#page=3","Abrir facsímil")</f>
        <v>Abrir facsímil</v>
      </c>
      <c r="K14445" s="12" t="s">
        <v>65</v>
      </c>
    </row>
    <row r="14446" spans="1:11" ht="40.049999999999997" customHeight="1" x14ac:dyDescent="0.25">
      <c r="A14446" s="11" t="s">
        <v>28161</v>
      </c>
      <c r="B14446" s="11" t="s">
        <v>28161</v>
      </c>
      <c r="C14446" s="11" t="s">
        <v>17</v>
      </c>
      <c r="D14446" s="11" t="s">
        <v>18</v>
      </c>
      <c r="E14446" s="12" t="s">
        <v>1685</v>
      </c>
      <c r="F14446" s="12" t="s">
        <v>1686</v>
      </c>
      <c r="G14446" s="12" t="s">
        <v>46</v>
      </c>
      <c r="H14446" s="11" t="s">
        <v>63</v>
      </c>
      <c r="I14446" s="13" t="s">
        <v>28182</v>
      </c>
      <c r="J14446" s="14" t="str">
        <f>HYPERLINK("https://www.boe.es/gazeta/dias/1839/04/27/pdfs/GMD-1839-1624.pdf#page=3","Abrir facsímil")</f>
        <v>Abrir facsímil</v>
      </c>
      <c r="K14446" s="12" t="s">
        <v>65</v>
      </c>
    </row>
    <row r="14447" spans="1:11" ht="40.049999999999997" customHeight="1" x14ac:dyDescent="0.25">
      <c r="A14447" s="11" t="s">
        <v>28161</v>
      </c>
      <c r="B14447" s="11" t="s">
        <v>28161</v>
      </c>
      <c r="C14447" s="11" t="s">
        <v>17</v>
      </c>
      <c r="D14447" s="11" t="s">
        <v>18</v>
      </c>
      <c r="E14447" s="12" t="s">
        <v>668</v>
      </c>
      <c r="F14447" s="12" t="s">
        <v>669</v>
      </c>
      <c r="G14447" s="12" t="s">
        <v>29</v>
      </c>
      <c r="H14447" s="11" t="s">
        <v>63</v>
      </c>
      <c r="I14447" s="13" t="s">
        <v>28183</v>
      </c>
      <c r="J14447" s="14" t="str">
        <f>HYPERLINK("https://www.boe.es/gazeta/dias/1839/03/28/pdfs/GMD-1839-1594.pdf#page=1","Abrir facsímil")</f>
        <v>Abrir facsímil</v>
      </c>
      <c r="K14447" s="12" t="s">
        <v>65</v>
      </c>
    </row>
    <row r="14448" spans="1:11" ht="40.049999999999997" customHeight="1" x14ac:dyDescent="0.25">
      <c r="A14448" s="11" t="s">
        <v>28161</v>
      </c>
      <c r="B14448" s="11" t="s">
        <v>28161</v>
      </c>
      <c r="C14448" s="11" t="s">
        <v>80</v>
      </c>
      <c r="D14448" s="11" t="s">
        <v>18</v>
      </c>
      <c r="E14448" s="12" t="s">
        <v>1692</v>
      </c>
      <c r="F14448" s="12" t="s">
        <v>1693</v>
      </c>
      <c r="G14448" s="12" t="s">
        <v>40</v>
      </c>
      <c r="H14448" s="11" t="s">
        <v>63</v>
      </c>
      <c r="I14448" s="13" t="s">
        <v>28184</v>
      </c>
      <c r="J14448" s="14" t="str">
        <f>HYPERLINK("https://www.boe.es/gazeta/dias/1839/05/30/pdfs/GMD-1839-1657.pdf#page=2","Abrir facsímil")</f>
        <v>Abrir facsímil</v>
      </c>
      <c r="K14448" s="12" t="s">
        <v>65</v>
      </c>
    </row>
    <row r="14449" spans="1:11" ht="40.049999999999997" customHeight="1" x14ac:dyDescent="0.25">
      <c r="A14449" s="11" t="s">
        <v>28185</v>
      </c>
      <c r="B14449" s="11" t="s">
        <v>28186</v>
      </c>
      <c r="C14449" s="11" t="s">
        <v>17</v>
      </c>
      <c r="D14449" s="11" t="s">
        <v>18</v>
      </c>
      <c r="E14449" s="12" t="s">
        <v>157</v>
      </c>
      <c r="F14449" s="12" t="s">
        <v>158</v>
      </c>
      <c r="G14449" s="12" t="s">
        <v>29</v>
      </c>
      <c r="H14449" s="11" t="s">
        <v>22</v>
      </c>
      <c r="I14449" s="13" t="s">
        <v>28187</v>
      </c>
      <c r="J14449" s="14" t="str">
        <f>HYPERLINK("https://www.boe.es/gazeta/dias/1839/02/08/pdfs/GMD-1839-1546.pdf#page=1","Abrir facsímil")</f>
        <v>Abrir facsímil</v>
      </c>
      <c r="K14449" s="12" t="s">
        <v>24</v>
      </c>
    </row>
    <row r="14450" spans="1:11" ht="40.049999999999997" customHeight="1" x14ac:dyDescent="0.25">
      <c r="A14450" s="11" t="s">
        <v>28188</v>
      </c>
      <c r="B14450" s="11" t="s">
        <v>28189</v>
      </c>
      <c r="C14450" s="11" t="s">
        <v>80</v>
      </c>
      <c r="D14450" s="11" t="s">
        <v>18</v>
      </c>
      <c r="E14450" s="12" t="s">
        <v>141</v>
      </c>
      <c r="F14450" s="12" t="s">
        <v>142</v>
      </c>
      <c r="G14450" s="12" t="s">
        <v>21</v>
      </c>
      <c r="H14450" s="11" t="s">
        <v>22</v>
      </c>
      <c r="I14450" s="13" t="s">
        <v>28190</v>
      </c>
      <c r="J14450" s="14" t="str">
        <f>HYPERLINK("https://www.boe.es/gazeta/dias/1839/11/10/pdfs/GMD-1839-1827.pdf#page=4","Abrir facsímil")</f>
        <v>Abrir facsímil</v>
      </c>
      <c r="K14450" s="12" t="s">
        <v>24</v>
      </c>
    </row>
    <row r="14451" spans="1:11" ht="40.049999999999997" customHeight="1" x14ac:dyDescent="0.25">
      <c r="A14451" s="11" t="s">
        <v>28191</v>
      </c>
      <c r="B14451" s="11" t="s">
        <v>28191</v>
      </c>
      <c r="C14451" s="11" t="s">
        <v>80</v>
      </c>
      <c r="D14451" s="11" t="s">
        <v>18</v>
      </c>
      <c r="E14451" s="12" t="s">
        <v>3114</v>
      </c>
      <c r="F14451" s="12" t="s">
        <v>3115</v>
      </c>
      <c r="G14451" s="12" t="s">
        <v>21</v>
      </c>
      <c r="H14451" s="11" t="s">
        <v>63</v>
      </c>
      <c r="I14451" s="13" t="s">
        <v>28192</v>
      </c>
      <c r="J14451" s="14" t="str">
        <f>HYPERLINK("https://www.boe.es/gazeta/dias/1839/05/15/pdfs/GMD-1839-1642.pdf#page=4","Abrir facsímil")</f>
        <v>Abrir facsímil</v>
      </c>
      <c r="K14451" s="12" t="s">
        <v>65</v>
      </c>
    </row>
    <row r="14452" spans="1:11" ht="40.049999999999997" customHeight="1" x14ac:dyDescent="0.25">
      <c r="A14452" s="11" t="s">
        <v>28193</v>
      </c>
      <c r="B14452" s="11" t="s">
        <v>28193</v>
      </c>
      <c r="C14452" s="11" t="s">
        <v>137</v>
      </c>
      <c r="D14452" s="11" t="s">
        <v>18</v>
      </c>
      <c r="E14452" s="12" t="s">
        <v>2839</v>
      </c>
      <c r="F14452" s="12" t="s">
        <v>2840</v>
      </c>
      <c r="G14452" s="12" t="s">
        <v>29</v>
      </c>
      <c r="H14452" s="11" t="s">
        <v>63</v>
      </c>
      <c r="I14452" s="13" t="s">
        <v>28194</v>
      </c>
      <c r="J14452" s="14" t="str">
        <f>HYPERLINK("https://www.boe.es/gazeta/dias/1839/03/06/pdfs/GMD-1839-1572.pdf#page=1","Abrir facsímil")</f>
        <v>Abrir facsímil</v>
      </c>
      <c r="K14452" s="12" t="s">
        <v>65</v>
      </c>
    </row>
    <row r="14453" spans="1:11" ht="40.049999999999997" customHeight="1" x14ac:dyDescent="0.25">
      <c r="A14453" s="11" t="s">
        <v>28193</v>
      </c>
      <c r="B14453" s="11" t="s">
        <v>28193</v>
      </c>
      <c r="C14453" s="11" t="s">
        <v>137</v>
      </c>
      <c r="D14453" s="11" t="s">
        <v>18</v>
      </c>
      <c r="E14453" s="12" t="s">
        <v>804</v>
      </c>
      <c r="F14453" s="12" t="s">
        <v>805</v>
      </c>
      <c r="G14453" s="12" t="s">
        <v>29</v>
      </c>
      <c r="H14453" s="11" t="s">
        <v>63</v>
      </c>
      <c r="I14453" s="13" t="s">
        <v>28195</v>
      </c>
      <c r="J14453" s="14" t="str">
        <f>HYPERLINK("https://www.boe.es/gazeta/dias/1839/01/08/pdfs/GMD-1839-1515.pdf#page=1","Abrir facsímil")</f>
        <v>Abrir facsímil</v>
      </c>
      <c r="K14453" s="12" t="s">
        <v>65</v>
      </c>
    </row>
    <row r="14454" spans="1:11" ht="40.049999999999997" customHeight="1" x14ac:dyDescent="0.25">
      <c r="A14454" s="11" t="s">
        <v>28193</v>
      </c>
      <c r="B14454" s="11" t="s">
        <v>28193</v>
      </c>
      <c r="C14454" s="11" t="s">
        <v>17</v>
      </c>
      <c r="D14454" s="11" t="s">
        <v>18</v>
      </c>
      <c r="E14454" s="12" t="s">
        <v>1490</v>
      </c>
      <c r="F14454" s="12" t="s">
        <v>1491</v>
      </c>
      <c r="G14454" s="12" t="s">
        <v>29</v>
      </c>
      <c r="H14454" s="11" t="s">
        <v>63</v>
      </c>
      <c r="I14454" s="13" t="s">
        <v>28196</v>
      </c>
      <c r="J14454" s="14" t="str">
        <f>HYPERLINK("https://www.boe.es/gazeta/dias/1839/02/27/pdfs/GMD-1839-1565.pdf#page=1","Abrir facsímil")</f>
        <v>Abrir facsímil</v>
      </c>
      <c r="K14454" s="12" t="s">
        <v>65</v>
      </c>
    </row>
    <row r="14455" spans="1:11" ht="40.049999999999997" customHeight="1" x14ac:dyDescent="0.25">
      <c r="A14455" s="11" t="s">
        <v>28197</v>
      </c>
      <c r="B14455" s="11" t="s">
        <v>28197</v>
      </c>
      <c r="C14455" s="11" t="s">
        <v>137</v>
      </c>
      <c r="D14455" s="11" t="s">
        <v>18</v>
      </c>
      <c r="E14455" s="12" t="s">
        <v>892</v>
      </c>
      <c r="F14455" s="12" t="s">
        <v>893</v>
      </c>
      <c r="G14455" s="12" t="s">
        <v>21</v>
      </c>
      <c r="H14455" s="11" t="s">
        <v>63</v>
      </c>
      <c r="I14455" s="13" t="s">
        <v>28198</v>
      </c>
      <c r="J14455" s="14" t="str">
        <f>HYPERLINK("https://www.boe.es/gazeta/dias/1839/12/28/pdfs/GMD-1839-1875.pdf#page=4","Abrir facsímil")</f>
        <v>Abrir facsímil</v>
      </c>
      <c r="K14455" s="12" t="s">
        <v>65</v>
      </c>
    </row>
    <row r="14456" spans="1:11" ht="40.049999999999997" customHeight="1" x14ac:dyDescent="0.25">
      <c r="A14456" s="11" t="s">
        <v>28199</v>
      </c>
      <c r="B14456" s="11" t="s">
        <v>28200</v>
      </c>
      <c r="C14456" s="11" t="s">
        <v>17</v>
      </c>
      <c r="D14456" s="11" t="s">
        <v>18</v>
      </c>
      <c r="E14456" s="12" t="s">
        <v>2432</v>
      </c>
      <c r="F14456" s="12" t="s">
        <v>2581</v>
      </c>
      <c r="G14456" s="12" t="s">
        <v>29</v>
      </c>
      <c r="H14456" s="11" t="s">
        <v>63</v>
      </c>
      <c r="I14456" s="13" t="s">
        <v>28201</v>
      </c>
      <c r="J14456" s="14" t="str">
        <f>HYPERLINK("https://www.boe.es/gazeta/dias/1839/07/23/pdfs/GMD-1839-1711.pdf#page=1","Abrir facsímil")</f>
        <v>Abrir facsímil</v>
      </c>
      <c r="K14456" s="12" t="s">
        <v>65</v>
      </c>
    </row>
    <row r="14457" spans="1:11" ht="40.049999999999997" customHeight="1" x14ac:dyDescent="0.25">
      <c r="A14457" s="11" t="s">
        <v>28202</v>
      </c>
      <c r="B14457" s="11" t="s">
        <v>28203</v>
      </c>
      <c r="C14457" s="11" t="s">
        <v>101</v>
      </c>
      <c r="D14457" s="11" t="s">
        <v>43</v>
      </c>
      <c r="E14457" s="12" t="s">
        <v>420</v>
      </c>
      <c r="F14457" s="12" t="s">
        <v>421</v>
      </c>
      <c r="G14457" s="12" t="s">
        <v>21</v>
      </c>
      <c r="H14457" s="11" t="s">
        <v>63</v>
      </c>
      <c r="I14457" s="13" t="s">
        <v>28204</v>
      </c>
      <c r="J14457" s="14" t="str">
        <f>HYPERLINK("https://www.boe.es/gazeta/dias/1839/03/12/pdfs/GMD-1839-1578.pdf#page=4","Abrir facsímil")</f>
        <v>Abrir facsímil</v>
      </c>
      <c r="K14457" s="12" t="s">
        <v>65</v>
      </c>
    </row>
    <row r="14458" spans="1:11" ht="40.049999999999997" customHeight="1" x14ac:dyDescent="0.25">
      <c r="A14458" s="11" t="s">
        <v>28205</v>
      </c>
      <c r="B14458" s="11" t="s">
        <v>28206</v>
      </c>
      <c r="C14458" s="11" t="s">
        <v>17</v>
      </c>
      <c r="D14458" s="11" t="s">
        <v>18</v>
      </c>
      <c r="E14458" s="12" t="s">
        <v>68</v>
      </c>
      <c r="F14458" s="12" t="s">
        <v>69</v>
      </c>
      <c r="G14458" s="12" t="s">
        <v>21</v>
      </c>
      <c r="H14458" s="11" t="s">
        <v>63</v>
      </c>
      <c r="I14458" s="13" t="s">
        <v>28207</v>
      </c>
      <c r="J14458" s="14" t="str">
        <f>HYPERLINK("https://www.boe.es/gazeta/dias/1839/02/09/pdfs/GMD-1839-1547.pdf#page=4","Abrir facsímil")</f>
        <v>Abrir facsímil</v>
      </c>
      <c r="K14458" s="12" t="s">
        <v>65</v>
      </c>
    </row>
    <row r="14459" spans="1:11" ht="40.049999999999997" customHeight="1" x14ac:dyDescent="0.25">
      <c r="A14459" s="11" t="s">
        <v>28205</v>
      </c>
      <c r="B14459" s="11" t="s">
        <v>28206</v>
      </c>
      <c r="C14459" s="11" t="s">
        <v>80</v>
      </c>
      <c r="D14459" s="11" t="s">
        <v>18</v>
      </c>
      <c r="E14459" s="12" t="s">
        <v>1072</v>
      </c>
      <c r="F14459" s="12" t="s">
        <v>1073</v>
      </c>
      <c r="G14459" s="12" t="s">
        <v>21</v>
      </c>
      <c r="H14459" s="11" t="s">
        <v>63</v>
      </c>
      <c r="I14459" s="13" t="s">
        <v>28208</v>
      </c>
      <c r="J14459" s="14" t="str">
        <f>HYPERLINK("https://www.boe.es/gazeta/dias/1839/01/18/pdfs/GMD-1839-1525.pdf#page=4","Abrir facsímil")</f>
        <v>Abrir facsímil</v>
      </c>
      <c r="K14459" s="12" t="s">
        <v>65</v>
      </c>
    </row>
    <row r="14460" spans="1:11" ht="40.049999999999997" customHeight="1" x14ac:dyDescent="0.25">
      <c r="A14460" s="11" t="s">
        <v>28205</v>
      </c>
      <c r="B14460" s="11" t="s">
        <v>28206</v>
      </c>
      <c r="C14460" s="11" t="s">
        <v>17</v>
      </c>
      <c r="D14460" s="11" t="s">
        <v>18</v>
      </c>
      <c r="E14460" s="12" t="s">
        <v>401</v>
      </c>
      <c r="F14460" s="12" t="s">
        <v>402</v>
      </c>
      <c r="G14460" s="12" t="s">
        <v>46</v>
      </c>
      <c r="H14460" s="11" t="s">
        <v>63</v>
      </c>
      <c r="I14460" s="13" t="s">
        <v>28209</v>
      </c>
      <c r="J14460" s="14" t="str">
        <f>HYPERLINK("https://www.boe.es/gazeta/dias/1839/03/29/pdfs/GMD-1839-1595.pdf#page=3","Abrir facsímil")</f>
        <v>Abrir facsímil</v>
      </c>
      <c r="K14460" s="12" t="s">
        <v>65</v>
      </c>
    </row>
    <row r="14461" spans="1:11" ht="40.049999999999997" customHeight="1" x14ac:dyDescent="0.25">
      <c r="A14461" s="11" t="s">
        <v>28205</v>
      </c>
      <c r="B14461" s="11" t="s">
        <v>28206</v>
      </c>
      <c r="C14461" s="11" t="s">
        <v>101</v>
      </c>
      <c r="D14461" s="11" t="s">
        <v>43</v>
      </c>
      <c r="E14461" s="12" t="s">
        <v>1867</v>
      </c>
      <c r="F14461" s="12" t="s">
        <v>1868</v>
      </c>
      <c r="G14461" s="12" t="s">
        <v>21</v>
      </c>
      <c r="H14461" s="11" t="s">
        <v>63</v>
      </c>
      <c r="I14461" s="13" t="s">
        <v>28210</v>
      </c>
      <c r="J14461" s="14" t="str">
        <f>HYPERLINK("https://www.boe.es/gazeta/dias/1839/01/30/pdfs/GMD-1839-1537.pdf#page=4","Abrir facsímil")</f>
        <v>Abrir facsímil</v>
      </c>
      <c r="K14461" s="12" t="s">
        <v>65</v>
      </c>
    </row>
    <row r="14462" spans="1:11" ht="40.049999999999997" customHeight="1" x14ac:dyDescent="0.25">
      <c r="A14462" s="11" t="s">
        <v>28211</v>
      </c>
      <c r="B14462" s="11" t="s">
        <v>28212</v>
      </c>
      <c r="C14462" s="11" t="s">
        <v>59</v>
      </c>
      <c r="D14462" s="11" t="s">
        <v>60</v>
      </c>
      <c r="E14462" s="12" t="s">
        <v>700</v>
      </c>
      <c r="F14462" s="12" t="s">
        <v>701</v>
      </c>
      <c r="G14462" s="12" t="s">
        <v>21</v>
      </c>
      <c r="H14462" s="11" t="s">
        <v>63</v>
      </c>
      <c r="I14462" s="13" t="s">
        <v>28213</v>
      </c>
      <c r="J14462" s="14" t="str">
        <f>HYPERLINK("https://www.boe.es/gazeta/dias/1839/09/01/pdfs/GMD-1839-1753.pdf#page=4","Abrir facsímil")</f>
        <v>Abrir facsímil</v>
      </c>
      <c r="K14462" s="12" t="s">
        <v>65</v>
      </c>
    </row>
    <row r="14463" spans="1:11" ht="40.049999999999997" customHeight="1" x14ac:dyDescent="0.25">
      <c r="A14463" s="11" t="s">
        <v>28214</v>
      </c>
      <c r="B14463" s="11" t="s">
        <v>28215</v>
      </c>
      <c r="C14463" s="11" t="s">
        <v>101</v>
      </c>
      <c r="D14463" s="11" t="s">
        <v>102</v>
      </c>
      <c r="E14463" s="12" t="s">
        <v>94</v>
      </c>
      <c r="F14463" s="12" t="s">
        <v>95</v>
      </c>
      <c r="G14463" s="12" t="s">
        <v>40</v>
      </c>
      <c r="H14463" s="11" t="s">
        <v>63</v>
      </c>
      <c r="I14463" s="13" t="s">
        <v>28216</v>
      </c>
      <c r="J14463" s="14" t="str">
        <f>HYPERLINK("https://www.boe.es/gazeta/dias/1839/02/24/pdfs/GMD-1839-1562.pdf#page=2","Abrir facsímil")</f>
        <v>Abrir facsímil</v>
      </c>
      <c r="K14463" s="12" t="s">
        <v>65</v>
      </c>
    </row>
    <row r="14464" spans="1:11" ht="40.049999999999997" customHeight="1" x14ac:dyDescent="0.25">
      <c r="A14464" s="11" t="s">
        <v>28217</v>
      </c>
      <c r="B14464" s="11" t="s">
        <v>28218</v>
      </c>
      <c r="C14464" s="11" t="s">
        <v>17</v>
      </c>
      <c r="D14464" s="11" t="s">
        <v>18</v>
      </c>
      <c r="E14464" s="12" t="s">
        <v>700</v>
      </c>
      <c r="F14464" s="12" t="s">
        <v>701</v>
      </c>
      <c r="G14464" s="12" t="s">
        <v>21</v>
      </c>
      <c r="H14464" s="11" t="s">
        <v>63</v>
      </c>
      <c r="I14464" s="13" t="s">
        <v>28219</v>
      </c>
      <c r="J14464" s="14" t="str">
        <f>HYPERLINK("https://www.boe.es/gazeta/dias/1839/09/01/pdfs/GMD-1839-1753.pdf#page=4","Abrir facsímil")</f>
        <v>Abrir facsímil</v>
      </c>
      <c r="K14464" s="12" t="s">
        <v>65</v>
      </c>
    </row>
    <row r="14465" spans="1:11" ht="40.049999999999997" customHeight="1" x14ac:dyDescent="0.25">
      <c r="A14465" s="11" t="s">
        <v>28220</v>
      </c>
      <c r="B14465" s="11" t="s">
        <v>28221</v>
      </c>
      <c r="C14465" s="11" t="s">
        <v>137</v>
      </c>
      <c r="D14465" s="11" t="s">
        <v>18</v>
      </c>
      <c r="E14465" s="12" t="s">
        <v>1057</v>
      </c>
      <c r="F14465" s="12" t="s">
        <v>1058</v>
      </c>
      <c r="G14465" s="12" t="s">
        <v>40</v>
      </c>
      <c r="H14465" s="11" t="s">
        <v>22</v>
      </c>
      <c r="I14465" s="13" t="s">
        <v>28222</v>
      </c>
      <c r="J14465" s="14" t="str">
        <f>HYPERLINK("https://www.boe.es/gazeta/dias/1839/10/01/pdfs/GMD-1839-1787.pdf#page=2","Abrir facsímil")</f>
        <v>Abrir facsímil</v>
      </c>
      <c r="K14465" s="12" t="s">
        <v>24</v>
      </c>
    </row>
    <row r="14466" spans="1:11" ht="40.049999999999997" customHeight="1" x14ac:dyDescent="0.25">
      <c r="A14466" s="11" t="s">
        <v>28223</v>
      </c>
      <c r="B14466" s="11" t="s">
        <v>28224</v>
      </c>
      <c r="C14466" s="11" t="s">
        <v>59</v>
      </c>
      <c r="D14466" s="11" t="s">
        <v>60</v>
      </c>
      <c r="E14466" s="12" t="s">
        <v>398</v>
      </c>
      <c r="F14466" s="12" t="s">
        <v>399</v>
      </c>
      <c r="G14466" s="12" t="s">
        <v>46</v>
      </c>
      <c r="H14466" s="11" t="s">
        <v>22</v>
      </c>
      <c r="I14466" s="13" t="s">
        <v>28225</v>
      </c>
      <c r="J14466" s="14" t="str">
        <f>HYPERLINK("https://www.boe.es/gazeta/dias/1839/05/17/pdfs/GMD-1839-1644.pdf#page=3","Abrir facsímil")</f>
        <v>Abrir facsímil</v>
      </c>
      <c r="K14466" s="12" t="s">
        <v>24</v>
      </c>
    </row>
    <row r="14467" spans="1:11" ht="40.049999999999997" customHeight="1" x14ac:dyDescent="0.25">
      <c r="A14467" s="11" t="s">
        <v>28226</v>
      </c>
      <c r="B14467" s="11" t="s">
        <v>28226</v>
      </c>
      <c r="C14467" s="11" t="s">
        <v>17</v>
      </c>
      <c r="D14467" s="11" t="s">
        <v>18</v>
      </c>
      <c r="E14467" s="12" t="s">
        <v>798</v>
      </c>
      <c r="F14467" s="12" t="s">
        <v>799</v>
      </c>
      <c r="G14467" s="12" t="s">
        <v>40</v>
      </c>
      <c r="H14467" s="11" t="s">
        <v>63</v>
      </c>
      <c r="I14467" s="13" t="s">
        <v>28227</v>
      </c>
      <c r="J14467" s="14" t="str">
        <f>HYPERLINK("https://www.boe.es/gazeta/dias/1839/09/03/pdfs/GMD-1839-1755.pdf#page=2","Abrir facsímil")</f>
        <v>Abrir facsímil</v>
      </c>
      <c r="K14467" s="12" t="s">
        <v>65</v>
      </c>
    </row>
    <row r="14468" spans="1:11" ht="40.049999999999997" customHeight="1" x14ac:dyDescent="0.25">
      <c r="A14468" s="11" t="s">
        <v>28228</v>
      </c>
      <c r="B14468" s="11" t="s">
        <v>28229</v>
      </c>
      <c r="C14468" s="11" t="s">
        <v>17</v>
      </c>
      <c r="D14468" s="11" t="s">
        <v>18</v>
      </c>
      <c r="E14468" s="12" t="s">
        <v>258</v>
      </c>
      <c r="F14468" s="12" t="s">
        <v>259</v>
      </c>
      <c r="G14468" s="12" t="s">
        <v>46</v>
      </c>
      <c r="H14468" s="11" t="s">
        <v>22</v>
      </c>
      <c r="I14468" s="13" t="s">
        <v>28230</v>
      </c>
      <c r="J14468" s="14" t="str">
        <f>HYPERLINK("https://www.boe.es/gazeta/dias/1839/01/02/pdfs/GMD-1839-1509.pdf#page=3","Abrir facsímil")</f>
        <v>Abrir facsímil</v>
      </c>
      <c r="K14468" s="12" t="s">
        <v>24</v>
      </c>
    </row>
    <row r="14469" spans="1:11" ht="40.049999999999997" customHeight="1" x14ac:dyDescent="0.25">
      <c r="A14469" s="11" t="s">
        <v>28231</v>
      </c>
      <c r="B14469" s="11" t="s">
        <v>28231</v>
      </c>
      <c r="C14469" s="11" t="s">
        <v>17</v>
      </c>
      <c r="D14469" s="11" t="s">
        <v>18</v>
      </c>
      <c r="E14469" s="12" t="s">
        <v>163</v>
      </c>
      <c r="F14469" s="12" t="s">
        <v>164</v>
      </c>
      <c r="G14469" s="12" t="s">
        <v>40</v>
      </c>
      <c r="H14469" s="11" t="s">
        <v>63</v>
      </c>
      <c r="I14469" s="13" t="s">
        <v>28232</v>
      </c>
      <c r="J14469" s="14" t="str">
        <f>HYPERLINK("https://www.boe.es/gazeta/dias/1839/01/13/pdfs/GMD-1839-1520.pdf#page=2","Abrir facsímil")</f>
        <v>Abrir facsímil</v>
      </c>
      <c r="K14469" s="12" t="s">
        <v>65</v>
      </c>
    </row>
    <row r="14470" spans="1:11" ht="40.049999999999997" customHeight="1" x14ac:dyDescent="0.25">
      <c r="A14470" s="11" t="s">
        <v>28233</v>
      </c>
      <c r="B14470" s="11" t="s">
        <v>28234</v>
      </c>
      <c r="C14470" s="11" t="s">
        <v>17</v>
      </c>
      <c r="D14470" s="11" t="s">
        <v>18</v>
      </c>
      <c r="E14470" s="12" t="s">
        <v>27</v>
      </c>
      <c r="F14470" s="12" t="s">
        <v>28</v>
      </c>
      <c r="G14470" s="12" t="s">
        <v>29</v>
      </c>
      <c r="H14470" s="11" t="s">
        <v>63</v>
      </c>
      <c r="I14470" s="13" t="s">
        <v>28235</v>
      </c>
      <c r="J14470" s="14" t="str">
        <f>HYPERLINK("https://www.boe.es/gazeta/dias/1839/07/28/pdfs/GMD-1839-1717.pdf#page=1","Abrir facsímil")</f>
        <v>Abrir facsímil</v>
      </c>
      <c r="K14470" s="12" t="s">
        <v>65</v>
      </c>
    </row>
    <row r="14471" spans="1:11" ht="40.049999999999997" customHeight="1" x14ac:dyDescent="0.25">
      <c r="A14471" s="11" t="s">
        <v>28236</v>
      </c>
      <c r="B14471" s="11" t="s">
        <v>28236</v>
      </c>
      <c r="C14471" s="11" t="s">
        <v>101</v>
      </c>
      <c r="D14471" s="11" t="s">
        <v>43</v>
      </c>
      <c r="E14471" s="12" t="s">
        <v>157</v>
      </c>
      <c r="F14471" s="12" t="s">
        <v>158</v>
      </c>
      <c r="G14471" s="12" t="s">
        <v>40</v>
      </c>
      <c r="H14471" s="11" t="s">
        <v>63</v>
      </c>
      <c r="I14471" s="13" t="s">
        <v>28237</v>
      </c>
      <c r="J14471" s="14" t="str">
        <f>HYPERLINK("https://www.boe.es/gazeta/dias/1839/02/08/pdfs/GMD-1839-1546.pdf#page=2","Abrir facsímil")</f>
        <v>Abrir facsímil</v>
      </c>
      <c r="K14471" s="12" t="s">
        <v>65</v>
      </c>
    </row>
    <row r="14472" spans="1:11" ht="40.049999999999997" customHeight="1" x14ac:dyDescent="0.25">
      <c r="A14472" s="11" t="s">
        <v>28236</v>
      </c>
      <c r="B14472" s="11" t="s">
        <v>28236</v>
      </c>
      <c r="C14472" s="11" t="s">
        <v>101</v>
      </c>
      <c r="D14472" s="11" t="s">
        <v>43</v>
      </c>
      <c r="E14472" s="12" t="s">
        <v>157</v>
      </c>
      <c r="F14472" s="12" t="s">
        <v>158</v>
      </c>
      <c r="G14472" s="12" t="s">
        <v>46</v>
      </c>
      <c r="H14472" s="11" t="s">
        <v>63</v>
      </c>
      <c r="I14472" s="13" t="s">
        <v>28238</v>
      </c>
      <c r="J14472" s="14" t="str">
        <f>HYPERLINK("https://www.boe.es/gazeta/dias/1839/02/08/pdfs/GMD-1839-1546.pdf#page=3","Abrir facsímil")</f>
        <v>Abrir facsímil</v>
      </c>
      <c r="K14472" s="12" t="s">
        <v>65</v>
      </c>
    </row>
    <row r="14473" spans="1:11" ht="40.049999999999997" customHeight="1" x14ac:dyDescent="0.25">
      <c r="A14473" s="11" t="s">
        <v>28236</v>
      </c>
      <c r="B14473" s="11" t="s">
        <v>28236</v>
      </c>
      <c r="C14473" s="11" t="s">
        <v>101</v>
      </c>
      <c r="D14473" s="11" t="s">
        <v>43</v>
      </c>
      <c r="E14473" s="12" t="s">
        <v>163</v>
      </c>
      <c r="F14473" s="12" t="s">
        <v>164</v>
      </c>
      <c r="G14473" s="12" t="s">
        <v>40</v>
      </c>
      <c r="H14473" s="11" t="s">
        <v>63</v>
      </c>
      <c r="I14473" s="13" t="s">
        <v>28239</v>
      </c>
      <c r="J14473" s="14" t="str">
        <f>HYPERLINK("https://www.boe.es/gazeta/dias/1839/01/13/pdfs/GMD-1839-1520.pdf#page=2","Abrir facsímil")</f>
        <v>Abrir facsímil</v>
      </c>
      <c r="K14473" s="12" t="s">
        <v>65</v>
      </c>
    </row>
    <row r="14474" spans="1:11" ht="40.049999999999997" customHeight="1" x14ac:dyDescent="0.25">
      <c r="A14474" s="11" t="s">
        <v>28236</v>
      </c>
      <c r="B14474" s="11" t="s">
        <v>28236</v>
      </c>
      <c r="C14474" s="11" t="s">
        <v>17</v>
      </c>
      <c r="D14474" s="11" t="s">
        <v>18</v>
      </c>
      <c r="E14474" s="12" t="s">
        <v>516</v>
      </c>
      <c r="F14474" s="12" t="s">
        <v>517</v>
      </c>
      <c r="G14474" s="12" t="s">
        <v>46</v>
      </c>
      <c r="H14474" s="11" t="s">
        <v>63</v>
      </c>
      <c r="I14474" s="13" t="s">
        <v>28240</v>
      </c>
      <c r="J14474" s="14" t="str">
        <f>HYPERLINK("https://www.boe.es/gazeta/dias/1839/06/21/pdfs/GMD-1839-1679.pdf#page=3","Abrir facsímil")</f>
        <v>Abrir facsímil</v>
      </c>
      <c r="K14474" s="12" t="s">
        <v>65</v>
      </c>
    </row>
    <row r="14475" spans="1:11" ht="40.049999999999997" customHeight="1" x14ac:dyDescent="0.25">
      <c r="A14475" s="11" t="s">
        <v>28241</v>
      </c>
      <c r="B14475" s="11" t="s">
        <v>28241</v>
      </c>
      <c r="C14475" s="11" t="s">
        <v>101</v>
      </c>
      <c r="D14475" s="11" t="s">
        <v>43</v>
      </c>
      <c r="E14475" s="12" t="s">
        <v>416</v>
      </c>
      <c r="F14475" s="12" t="s">
        <v>417</v>
      </c>
      <c r="G14475" s="12" t="s">
        <v>40</v>
      </c>
      <c r="H14475" s="11" t="s">
        <v>63</v>
      </c>
      <c r="I14475" s="13" t="s">
        <v>28242</v>
      </c>
      <c r="J14475" s="14" t="str">
        <f>HYPERLINK("https://www.boe.es/gazeta/dias/1839/10/24/pdfs/GMD-1839-1810.pdf#page=2","Abrir facsímil")</f>
        <v>Abrir facsímil</v>
      </c>
      <c r="K14475" s="12" t="s">
        <v>65</v>
      </c>
    </row>
    <row r="14476" spans="1:11" ht="40.049999999999997" customHeight="1" x14ac:dyDescent="0.25">
      <c r="A14476" s="11" t="s">
        <v>28243</v>
      </c>
      <c r="B14476" s="11" t="s">
        <v>28243</v>
      </c>
      <c r="C14476" s="11" t="s">
        <v>80</v>
      </c>
      <c r="D14476" s="11" t="s">
        <v>18</v>
      </c>
      <c r="E14476" s="12" t="s">
        <v>163</v>
      </c>
      <c r="F14476" s="12" t="s">
        <v>164</v>
      </c>
      <c r="G14476" s="12" t="s">
        <v>21</v>
      </c>
      <c r="H14476" s="11" t="s">
        <v>63</v>
      </c>
      <c r="I14476" s="13" t="s">
        <v>28244</v>
      </c>
      <c r="J14476" s="14" t="str">
        <f>HYPERLINK("https://www.boe.es/gazeta/dias/1839/01/13/pdfs/GMD-1839-1520.pdf#page=4","Abrir facsímil")</f>
        <v>Abrir facsímil</v>
      </c>
      <c r="K14476" s="12" t="s">
        <v>65</v>
      </c>
    </row>
    <row r="14477" spans="1:11" ht="40.049999999999997" customHeight="1" x14ac:dyDescent="0.25">
      <c r="A14477" s="11" t="s">
        <v>28245</v>
      </c>
      <c r="B14477" s="11" t="s">
        <v>28245</v>
      </c>
      <c r="C14477" s="11" t="s">
        <v>17</v>
      </c>
      <c r="D14477" s="11" t="s">
        <v>18</v>
      </c>
      <c r="E14477" s="12" t="s">
        <v>716</v>
      </c>
      <c r="F14477" s="12" t="s">
        <v>717</v>
      </c>
      <c r="G14477" s="12" t="s">
        <v>46</v>
      </c>
      <c r="H14477" s="11" t="s">
        <v>63</v>
      </c>
      <c r="I14477" s="13" t="s">
        <v>28246</v>
      </c>
      <c r="J14477" s="14" t="str">
        <f>HYPERLINK("https://www.boe.es/gazeta/dias/1839/07/30/pdfs/GMD-1839-1719.pdf#page=3","Abrir facsímil")</f>
        <v>Abrir facsímil</v>
      </c>
      <c r="K14477" s="12" t="s">
        <v>65</v>
      </c>
    </row>
    <row r="14478" spans="1:11" ht="40.049999999999997" customHeight="1" x14ac:dyDescent="0.25">
      <c r="A14478" s="11" t="s">
        <v>28247</v>
      </c>
      <c r="B14478" s="11" t="s">
        <v>28247</v>
      </c>
      <c r="C14478" s="11" t="s">
        <v>137</v>
      </c>
      <c r="D14478" s="11" t="s">
        <v>18</v>
      </c>
      <c r="E14478" s="12" t="s">
        <v>1562</v>
      </c>
      <c r="F14478" s="12" t="s">
        <v>1563</v>
      </c>
      <c r="G14478" s="12" t="s">
        <v>29</v>
      </c>
      <c r="H14478" s="11" t="s">
        <v>63</v>
      </c>
      <c r="I14478" s="13" t="s">
        <v>28248</v>
      </c>
      <c r="J14478" s="14" t="str">
        <f>HYPERLINK("https://www.boe.es/gazeta/dias/1839/04/08/pdfs/GMD-1839-1605.pdf#page=1","Abrir facsímil")</f>
        <v>Abrir facsímil</v>
      </c>
      <c r="K14478" s="12" t="s">
        <v>65</v>
      </c>
    </row>
    <row r="14479" spans="1:11" ht="40.049999999999997" customHeight="1" x14ac:dyDescent="0.25">
      <c r="A14479" s="11" t="s">
        <v>28247</v>
      </c>
      <c r="B14479" s="11" t="s">
        <v>28247</v>
      </c>
      <c r="C14479" s="11" t="s">
        <v>17</v>
      </c>
      <c r="D14479" s="11" t="s">
        <v>18</v>
      </c>
      <c r="E14479" s="12" t="s">
        <v>168</v>
      </c>
      <c r="F14479" s="12" t="s">
        <v>169</v>
      </c>
      <c r="G14479" s="12" t="s">
        <v>21</v>
      </c>
      <c r="H14479" s="11" t="s">
        <v>63</v>
      </c>
      <c r="I14479" s="13" t="s">
        <v>28249</v>
      </c>
      <c r="J14479" s="14" t="str">
        <f>HYPERLINK("https://www.boe.es/gazeta/dias/1839/07/12/pdfs/GMD-1839-1700.pdf#page=4","Abrir facsímil")</f>
        <v>Abrir facsímil</v>
      </c>
      <c r="K14479" s="12" t="s">
        <v>65</v>
      </c>
    </row>
    <row r="14480" spans="1:11" ht="40.049999999999997" customHeight="1" x14ac:dyDescent="0.25">
      <c r="A14480" s="11" t="s">
        <v>28250</v>
      </c>
      <c r="B14480" s="11" t="s">
        <v>28251</v>
      </c>
      <c r="C14480" s="11" t="s">
        <v>17</v>
      </c>
      <c r="D14480" s="11" t="s">
        <v>18</v>
      </c>
      <c r="E14480" s="12" t="s">
        <v>695</v>
      </c>
      <c r="F14480" s="12" t="s">
        <v>696</v>
      </c>
      <c r="G14480" s="12" t="s">
        <v>46</v>
      </c>
      <c r="H14480" s="11" t="s">
        <v>63</v>
      </c>
      <c r="I14480" s="13" t="s">
        <v>28252</v>
      </c>
      <c r="J14480" s="14" t="str">
        <f>HYPERLINK("https://www.boe.es/gazeta/dias/1839/12/19/pdfs/GMD-1839-1866.pdf#page=3","Abrir facsímil")</f>
        <v>Abrir facsímil</v>
      </c>
      <c r="K14480" s="12" t="s">
        <v>65</v>
      </c>
    </row>
    <row r="14481" spans="1:11" ht="40.049999999999997" customHeight="1" x14ac:dyDescent="0.25">
      <c r="A14481" s="11" t="s">
        <v>28253</v>
      </c>
      <c r="B14481" s="11" t="s">
        <v>28254</v>
      </c>
      <c r="C14481" s="11" t="s">
        <v>17</v>
      </c>
      <c r="D14481" s="11" t="s">
        <v>18</v>
      </c>
      <c r="E14481" s="12" t="s">
        <v>1672</v>
      </c>
      <c r="F14481" s="12" t="s">
        <v>1673</v>
      </c>
      <c r="G14481" s="12" t="s">
        <v>21</v>
      </c>
      <c r="H14481" s="11" t="s">
        <v>63</v>
      </c>
      <c r="I14481" s="13" t="s">
        <v>28255</v>
      </c>
      <c r="J14481" s="14" t="str">
        <f>HYPERLINK("https://www.boe.es/gazeta/dias/1839/08/24/pdfs/GMD-1839-1745.pdf#page=4","Abrir facsímil")</f>
        <v>Abrir facsímil</v>
      </c>
      <c r="K14481" s="12" t="s">
        <v>65</v>
      </c>
    </row>
    <row r="14482" spans="1:11" ht="40.049999999999997" customHeight="1" x14ac:dyDescent="0.25">
      <c r="A14482" s="11" t="s">
        <v>28256</v>
      </c>
      <c r="B14482" s="11" t="s">
        <v>28257</v>
      </c>
      <c r="C14482" s="11" t="s">
        <v>17</v>
      </c>
      <c r="D14482" s="11" t="s">
        <v>18</v>
      </c>
      <c r="E14482" s="12" t="s">
        <v>782</v>
      </c>
      <c r="F14482" s="12" t="s">
        <v>783</v>
      </c>
      <c r="G14482" s="12" t="s">
        <v>21</v>
      </c>
      <c r="H14482" s="11" t="s">
        <v>63</v>
      </c>
      <c r="I14482" s="13" t="s">
        <v>28258</v>
      </c>
      <c r="J14482" s="14" t="str">
        <f>HYPERLINK("https://www.boe.es/gazeta/dias/1839/05/09/pdfs/GMD-1839-1636.pdf#page=4","Abrir facsímil")</f>
        <v>Abrir facsímil</v>
      </c>
      <c r="K14482" s="12" t="s">
        <v>65</v>
      </c>
    </row>
    <row r="14483" spans="1:11" ht="40.049999999999997" customHeight="1" x14ac:dyDescent="0.25">
      <c r="A14483" s="11" t="s">
        <v>28259</v>
      </c>
      <c r="B14483" s="11" t="s">
        <v>28260</v>
      </c>
      <c r="C14483" s="11" t="s">
        <v>101</v>
      </c>
      <c r="D14483" s="11" t="s">
        <v>43</v>
      </c>
      <c r="E14483" s="12" t="s">
        <v>81</v>
      </c>
      <c r="F14483" s="12" t="s">
        <v>82</v>
      </c>
      <c r="G14483" s="12" t="s">
        <v>21</v>
      </c>
      <c r="H14483" s="11" t="s">
        <v>63</v>
      </c>
      <c r="I14483" s="13" t="s">
        <v>28261</v>
      </c>
      <c r="J14483" s="14" t="str">
        <f>HYPERLINK("https://www.boe.es/gazeta/dias/1839/03/03/pdfs/GMD-1839-1569.pdf#page=4","Abrir facsímil")</f>
        <v>Abrir facsímil</v>
      </c>
      <c r="K14483" s="12" t="s">
        <v>65</v>
      </c>
    </row>
    <row r="14484" spans="1:11" ht="40.049999999999997" customHeight="1" x14ac:dyDescent="0.25">
      <c r="A14484" s="11" t="s">
        <v>28262</v>
      </c>
      <c r="B14484" s="11" t="s">
        <v>28263</v>
      </c>
      <c r="C14484" s="11" t="s">
        <v>59</v>
      </c>
      <c r="D14484" s="11" t="s">
        <v>60</v>
      </c>
      <c r="E14484" s="12" t="s">
        <v>1086</v>
      </c>
      <c r="F14484" s="12" t="s">
        <v>1087</v>
      </c>
      <c r="G14484" s="12" t="s">
        <v>40</v>
      </c>
      <c r="H14484" s="11" t="s">
        <v>63</v>
      </c>
      <c r="I14484" s="13" t="s">
        <v>28264</v>
      </c>
      <c r="J14484" s="14" t="str">
        <f>HYPERLINK("https://www.boe.es/gazeta/dias/1839/10/26/pdfs/GMD-1839-1812.pdf#page=2","Abrir facsímil")</f>
        <v>Abrir facsímil</v>
      </c>
      <c r="K14484" s="12" t="s">
        <v>65</v>
      </c>
    </row>
    <row r="14485" spans="1:11" ht="40.049999999999997" customHeight="1" x14ac:dyDescent="0.25">
      <c r="A14485" s="11" t="s">
        <v>28265</v>
      </c>
      <c r="B14485" s="11" t="s">
        <v>28266</v>
      </c>
      <c r="C14485" s="11" t="s">
        <v>101</v>
      </c>
      <c r="D14485" s="11" t="s">
        <v>102</v>
      </c>
      <c r="E14485" s="12" t="s">
        <v>3705</v>
      </c>
      <c r="F14485" s="12" t="s">
        <v>3706</v>
      </c>
      <c r="G14485" s="12" t="s">
        <v>21</v>
      </c>
      <c r="H14485" s="11" t="s">
        <v>63</v>
      </c>
      <c r="I14485" s="13" t="s">
        <v>28267</v>
      </c>
      <c r="J14485" s="14" t="str">
        <f>HYPERLINK("https://www.boe.es/gazeta/dias/1839/03/09/pdfs/GMD-1839-1575.pdf#page=4","Abrir facsímil")</f>
        <v>Abrir facsímil</v>
      </c>
      <c r="K14485" s="12" t="s">
        <v>65</v>
      </c>
    </row>
    <row r="14486" spans="1:11" ht="40.049999999999997" customHeight="1" x14ac:dyDescent="0.25">
      <c r="A14486" s="11" t="s">
        <v>28268</v>
      </c>
      <c r="B14486" s="11" t="s">
        <v>28269</v>
      </c>
      <c r="C14486" s="11" t="s">
        <v>101</v>
      </c>
      <c r="D14486" s="11" t="s">
        <v>102</v>
      </c>
      <c r="E14486" s="12" t="s">
        <v>426</v>
      </c>
      <c r="F14486" s="12" t="s">
        <v>427</v>
      </c>
      <c r="G14486" s="12" t="s">
        <v>40</v>
      </c>
      <c r="H14486" s="11" t="s">
        <v>63</v>
      </c>
      <c r="I14486" s="13" t="s">
        <v>28270</v>
      </c>
      <c r="J14486" s="14" t="str">
        <f>HYPERLINK("https://www.boe.es/gazeta/dias/1839/08/11/pdfs/GMD-1839-1731.pdf#page=2","Abrir facsímil")</f>
        <v>Abrir facsímil</v>
      </c>
      <c r="K14486" s="12" t="s">
        <v>65</v>
      </c>
    </row>
    <row r="14487" spans="1:11" ht="40.049999999999997" customHeight="1" x14ac:dyDescent="0.25">
      <c r="A14487" s="11" t="s">
        <v>28271</v>
      </c>
      <c r="B14487" s="11" t="s">
        <v>28272</v>
      </c>
      <c r="C14487" s="11" t="s">
        <v>80</v>
      </c>
      <c r="D14487" s="11" t="s">
        <v>18</v>
      </c>
      <c r="E14487" s="12" t="s">
        <v>222</v>
      </c>
      <c r="F14487" s="12" t="s">
        <v>223</v>
      </c>
      <c r="G14487" s="12" t="s">
        <v>21</v>
      </c>
      <c r="H14487" s="11" t="s">
        <v>63</v>
      </c>
      <c r="I14487" s="13" t="s">
        <v>28273</v>
      </c>
      <c r="J14487" s="14" t="str">
        <f>HYPERLINK("https://www.boe.es/gazeta/dias/1839/06/22/pdfs/GMD-1839-1680.pdf#page=4","Abrir facsímil")</f>
        <v>Abrir facsímil</v>
      </c>
      <c r="K14487" s="12" t="s">
        <v>65</v>
      </c>
    </row>
    <row r="14488" spans="1:11" ht="40.049999999999997" customHeight="1" x14ac:dyDescent="0.25">
      <c r="A14488" s="11" t="s">
        <v>28274</v>
      </c>
      <c r="B14488" s="11" t="s">
        <v>28275</v>
      </c>
      <c r="C14488" s="11" t="s">
        <v>59</v>
      </c>
      <c r="D14488" s="11" t="s">
        <v>60</v>
      </c>
      <c r="E14488" s="12" t="s">
        <v>870</v>
      </c>
      <c r="F14488" s="12" t="s">
        <v>871</v>
      </c>
      <c r="G14488" s="12" t="s">
        <v>21</v>
      </c>
      <c r="H14488" s="11" t="s">
        <v>63</v>
      </c>
      <c r="I14488" s="13" t="s">
        <v>28276</v>
      </c>
      <c r="J14488" s="14" t="str">
        <f>HYPERLINK("https://www.boe.es/gazeta/dias/1839/04/18/pdfs/GMD-1839-1615.pdf#page=4","Abrir facsímil")</f>
        <v>Abrir facsímil</v>
      </c>
      <c r="K14488" s="12" t="s">
        <v>65</v>
      </c>
    </row>
    <row r="14489" spans="1:11" ht="40.049999999999997" customHeight="1" x14ac:dyDescent="0.25">
      <c r="A14489" s="11" t="s">
        <v>28277</v>
      </c>
      <c r="B14489" s="11" t="s">
        <v>28278</v>
      </c>
      <c r="C14489" s="11" t="s">
        <v>17</v>
      </c>
      <c r="D14489" s="11" t="s">
        <v>18</v>
      </c>
      <c r="E14489" s="12" t="s">
        <v>668</v>
      </c>
      <c r="F14489" s="12" t="s">
        <v>669</v>
      </c>
      <c r="G14489" s="12" t="s">
        <v>29</v>
      </c>
      <c r="H14489" s="11" t="s">
        <v>63</v>
      </c>
      <c r="I14489" s="13" t="s">
        <v>28279</v>
      </c>
      <c r="J14489" s="14" t="str">
        <f>HYPERLINK("https://www.boe.es/gazeta/dias/1839/03/28/pdfs/GMD-1839-1594.pdf#page=1","Abrir facsímil")</f>
        <v>Abrir facsímil</v>
      </c>
      <c r="K14489" s="12" t="s">
        <v>65</v>
      </c>
    </row>
    <row r="14490" spans="1:11" ht="40.049999999999997" customHeight="1" x14ac:dyDescent="0.25">
      <c r="A14490" s="11" t="s">
        <v>28280</v>
      </c>
      <c r="B14490" s="11" t="s">
        <v>28281</v>
      </c>
      <c r="C14490" s="11" t="s">
        <v>59</v>
      </c>
      <c r="D14490" s="11" t="s">
        <v>60</v>
      </c>
      <c r="E14490" s="12" t="s">
        <v>3134</v>
      </c>
      <c r="F14490" s="12" t="s">
        <v>3135</v>
      </c>
      <c r="G14490" s="12" t="s">
        <v>29</v>
      </c>
      <c r="H14490" s="11" t="s">
        <v>63</v>
      </c>
      <c r="I14490" s="13" t="s">
        <v>28282</v>
      </c>
      <c r="J14490" s="14" t="str">
        <f>HYPERLINK("https://www.boe.es/gazeta/dias/1839/08/09/pdfs/GMD-1839-1729.pdf#page=1","Abrir facsímil")</f>
        <v>Abrir facsímil</v>
      </c>
      <c r="K14490" s="12" t="s">
        <v>65</v>
      </c>
    </row>
    <row r="14491" spans="1:11" ht="40.049999999999997" customHeight="1" x14ac:dyDescent="0.25">
      <c r="A14491" s="11" t="s">
        <v>28283</v>
      </c>
      <c r="B14491" s="11" t="s">
        <v>28283</v>
      </c>
      <c r="C14491" s="11" t="s">
        <v>17</v>
      </c>
      <c r="D14491" s="11" t="s">
        <v>18</v>
      </c>
      <c r="E14491" s="12" t="s">
        <v>160</v>
      </c>
      <c r="F14491" s="12" t="s">
        <v>161</v>
      </c>
      <c r="G14491" s="12" t="s">
        <v>21</v>
      </c>
      <c r="H14491" s="11" t="s">
        <v>63</v>
      </c>
      <c r="I14491" s="13" t="s">
        <v>28284</v>
      </c>
      <c r="J14491" s="14" t="str">
        <f>HYPERLINK("https://www.boe.es/gazeta/dias/1839/01/10/pdfs/GMD-1839-1517.pdf#page=4","Abrir facsímil")</f>
        <v>Abrir facsímil</v>
      </c>
      <c r="K14491" s="12" t="s">
        <v>65</v>
      </c>
    </row>
    <row r="14492" spans="1:11" ht="40.049999999999997" customHeight="1" x14ac:dyDescent="0.25">
      <c r="A14492" s="11" t="s">
        <v>28285</v>
      </c>
      <c r="B14492" s="11" t="s">
        <v>28286</v>
      </c>
      <c r="C14492" s="11" t="s">
        <v>59</v>
      </c>
      <c r="D14492" s="11" t="s">
        <v>60</v>
      </c>
      <c r="E14492" s="12" t="s">
        <v>1374</v>
      </c>
      <c r="F14492" s="12" t="s">
        <v>1375</v>
      </c>
      <c r="G14492" s="12" t="s">
        <v>46</v>
      </c>
      <c r="H14492" s="11" t="s">
        <v>63</v>
      </c>
      <c r="I14492" s="13" t="s">
        <v>28287</v>
      </c>
      <c r="J14492" s="14" t="str">
        <f>HYPERLINK("https://www.boe.es/gazeta/dias/1839/07/20/pdfs/GMD-1839-1708.pdf#page=3","Abrir facsímil")</f>
        <v>Abrir facsímil</v>
      </c>
      <c r="K14492" s="12" t="s">
        <v>65</v>
      </c>
    </row>
    <row r="14493" spans="1:11" ht="40.049999999999997" customHeight="1" x14ac:dyDescent="0.25">
      <c r="A14493" s="11" t="s">
        <v>28288</v>
      </c>
      <c r="B14493" s="11" t="s">
        <v>28289</v>
      </c>
      <c r="C14493" s="11" t="s">
        <v>17</v>
      </c>
      <c r="D14493" s="11" t="s">
        <v>18</v>
      </c>
      <c r="E14493" s="12" t="s">
        <v>1909</v>
      </c>
      <c r="F14493" s="12" t="s">
        <v>1910</v>
      </c>
      <c r="G14493" s="12" t="s">
        <v>40</v>
      </c>
      <c r="H14493" s="11" t="s">
        <v>63</v>
      </c>
      <c r="I14493" s="13" t="s">
        <v>28290</v>
      </c>
      <c r="J14493" s="14" t="str">
        <f>HYPERLINK("https://www.boe.es/gazeta/dias/1839/10/27/pdfs/GMD-1839-1813.pdf#page=2","Abrir facsímil")</f>
        <v>Abrir facsímil</v>
      </c>
      <c r="K14493" s="12" t="s">
        <v>65</v>
      </c>
    </row>
    <row r="14494" spans="1:11" ht="40.049999999999997" customHeight="1" x14ac:dyDescent="0.25">
      <c r="A14494" s="11" t="s">
        <v>28291</v>
      </c>
      <c r="B14494" s="11" t="s">
        <v>28291</v>
      </c>
      <c r="C14494" s="11" t="s">
        <v>17</v>
      </c>
      <c r="D14494" s="11" t="s">
        <v>18</v>
      </c>
      <c r="E14494" s="12" t="s">
        <v>1340</v>
      </c>
      <c r="F14494" s="12" t="s">
        <v>1341</v>
      </c>
      <c r="G14494" s="12" t="s">
        <v>40</v>
      </c>
      <c r="H14494" s="11" t="s">
        <v>63</v>
      </c>
      <c r="I14494" s="13" t="s">
        <v>28292</v>
      </c>
      <c r="J14494" s="14" t="str">
        <f>HYPERLINK("https://www.boe.es/gazeta/dias/1839/05/05/pdfs/GMD-1839-1632.pdf#page=2","Abrir facsímil")</f>
        <v>Abrir facsímil</v>
      </c>
      <c r="K14494" s="12" t="s">
        <v>65</v>
      </c>
    </row>
    <row r="14495" spans="1:11" ht="40.049999999999997" customHeight="1" x14ac:dyDescent="0.25">
      <c r="A14495" s="11" t="s">
        <v>28291</v>
      </c>
      <c r="B14495" s="11" t="s">
        <v>28291</v>
      </c>
      <c r="C14495" s="11" t="s">
        <v>17</v>
      </c>
      <c r="D14495" s="11" t="s">
        <v>18</v>
      </c>
      <c r="E14495" s="12" t="s">
        <v>44</v>
      </c>
      <c r="F14495" s="12" t="s">
        <v>45</v>
      </c>
      <c r="G14495" s="12" t="s">
        <v>46</v>
      </c>
      <c r="H14495" s="11" t="s">
        <v>63</v>
      </c>
      <c r="I14495" s="13" t="s">
        <v>28293</v>
      </c>
      <c r="J14495" s="14" t="str">
        <f>HYPERLINK("https://www.boe.es/gazeta/dias/1839/11/15/pdfs/GMD-1839-1832.pdf#page=3","Abrir facsímil")</f>
        <v>Abrir facsímil</v>
      </c>
      <c r="K14495" s="12" t="s">
        <v>65</v>
      </c>
    </row>
    <row r="14496" spans="1:11" ht="40.049999999999997" customHeight="1" x14ac:dyDescent="0.25">
      <c r="A14496" s="11" t="s">
        <v>28291</v>
      </c>
      <c r="B14496" s="11" t="s">
        <v>28291</v>
      </c>
      <c r="C14496" s="11" t="s">
        <v>59</v>
      </c>
      <c r="D14496" s="11" t="s">
        <v>60</v>
      </c>
      <c r="E14496" s="12" t="s">
        <v>489</v>
      </c>
      <c r="F14496" s="12" t="s">
        <v>490</v>
      </c>
      <c r="G14496" s="12" t="s">
        <v>21</v>
      </c>
      <c r="H14496" s="11" t="s">
        <v>63</v>
      </c>
      <c r="I14496" s="13" t="s">
        <v>28294</v>
      </c>
      <c r="J14496" s="14" t="str">
        <f>HYPERLINK("https://www.boe.es/gazeta/dias/1839/06/29/pdfs/GMD-1839-1687.pdf#page=4","Abrir facsímil")</f>
        <v>Abrir facsímil</v>
      </c>
      <c r="K14496" s="12" t="s">
        <v>65</v>
      </c>
    </row>
    <row r="14497" spans="1:11" ht="40.049999999999997" customHeight="1" x14ac:dyDescent="0.25">
      <c r="A14497" s="11" t="s">
        <v>28295</v>
      </c>
      <c r="B14497" s="11" t="s">
        <v>28296</v>
      </c>
      <c r="C14497" s="11" t="s">
        <v>17</v>
      </c>
      <c r="D14497" s="11" t="s">
        <v>18</v>
      </c>
      <c r="E14497" s="12" t="s">
        <v>291</v>
      </c>
      <c r="F14497" s="12" t="s">
        <v>292</v>
      </c>
      <c r="G14497" s="12" t="s">
        <v>46</v>
      </c>
      <c r="H14497" s="11" t="s">
        <v>63</v>
      </c>
      <c r="I14497" s="13" t="s">
        <v>28297</v>
      </c>
      <c r="J14497" s="14" t="str">
        <f>HYPERLINK("https://www.boe.es/gazeta/dias/1839/09/04/pdfs/GMD-1839-1757.pdf#page=3","Abrir facsímil")</f>
        <v>Abrir facsímil</v>
      </c>
      <c r="K14497" s="12" t="s">
        <v>65</v>
      </c>
    </row>
    <row r="14498" spans="1:11" ht="40.049999999999997" customHeight="1" x14ac:dyDescent="0.25">
      <c r="A14498" s="11" t="s">
        <v>28298</v>
      </c>
      <c r="B14498" s="11" t="s">
        <v>28299</v>
      </c>
      <c r="C14498" s="11" t="s">
        <v>17</v>
      </c>
      <c r="D14498" s="11" t="s">
        <v>18</v>
      </c>
      <c r="E14498" s="12" t="s">
        <v>44</v>
      </c>
      <c r="F14498" s="12" t="s">
        <v>45</v>
      </c>
      <c r="G14498" s="12" t="s">
        <v>40</v>
      </c>
      <c r="H14498" s="11" t="s">
        <v>63</v>
      </c>
      <c r="I14498" s="13" t="s">
        <v>28300</v>
      </c>
      <c r="J14498" s="14" t="str">
        <f>HYPERLINK("https://www.boe.es/gazeta/dias/1839/11/15/pdfs/GMD-1839-1832.pdf#page=2","Abrir facsímil")</f>
        <v>Abrir facsímil</v>
      </c>
      <c r="K14498" s="12" t="s">
        <v>65</v>
      </c>
    </row>
    <row r="14499" spans="1:11" ht="40.049999999999997" customHeight="1" x14ac:dyDescent="0.25">
      <c r="A14499" s="11" t="s">
        <v>28301</v>
      </c>
      <c r="B14499" s="11" t="s">
        <v>28302</v>
      </c>
      <c r="C14499" s="11" t="s">
        <v>137</v>
      </c>
      <c r="D14499" s="11" t="s">
        <v>18</v>
      </c>
      <c r="E14499" s="12" t="s">
        <v>1079</v>
      </c>
      <c r="F14499" s="12" t="s">
        <v>1080</v>
      </c>
      <c r="G14499" s="12" t="s">
        <v>46</v>
      </c>
      <c r="H14499" s="11" t="s">
        <v>63</v>
      </c>
      <c r="I14499" s="13" t="s">
        <v>28303</v>
      </c>
      <c r="J14499" s="14" t="str">
        <f>HYPERLINK("https://www.boe.es/gazeta/dias/1839/05/24/pdfs/GMD-1839-1651.pdf#page=3","Abrir facsímil")</f>
        <v>Abrir facsímil</v>
      </c>
      <c r="K14499" s="12" t="s">
        <v>65</v>
      </c>
    </row>
    <row r="14500" spans="1:11" ht="40.049999999999997" customHeight="1" x14ac:dyDescent="0.25">
      <c r="A14500" s="11" t="s">
        <v>28304</v>
      </c>
      <c r="B14500" s="11" t="s">
        <v>28305</v>
      </c>
      <c r="C14500" s="11" t="s">
        <v>17</v>
      </c>
      <c r="D14500" s="11" t="s">
        <v>18</v>
      </c>
      <c r="E14500" s="12" t="s">
        <v>44</v>
      </c>
      <c r="F14500" s="12" t="s">
        <v>45</v>
      </c>
      <c r="G14500" s="12" t="s">
        <v>46</v>
      </c>
      <c r="H14500" s="11" t="s">
        <v>63</v>
      </c>
      <c r="I14500" s="13" t="s">
        <v>28306</v>
      </c>
      <c r="J14500" s="14" t="str">
        <f>HYPERLINK("https://www.boe.es/gazeta/dias/1839/11/15/pdfs/GMD-1839-1832.pdf#page=3","Abrir facsímil")</f>
        <v>Abrir facsímil</v>
      </c>
      <c r="K14500" s="12" t="s">
        <v>65</v>
      </c>
    </row>
    <row r="14501" spans="1:11" ht="40.049999999999997" customHeight="1" x14ac:dyDescent="0.25">
      <c r="A14501" s="11" t="s">
        <v>28307</v>
      </c>
      <c r="B14501" s="11" t="s">
        <v>28307</v>
      </c>
      <c r="C14501" s="11" t="s">
        <v>17</v>
      </c>
      <c r="D14501" s="11" t="s">
        <v>18</v>
      </c>
      <c r="E14501" s="12" t="s">
        <v>76</v>
      </c>
      <c r="F14501" s="12" t="s">
        <v>77</v>
      </c>
      <c r="G14501" s="12" t="s">
        <v>40</v>
      </c>
      <c r="H14501" s="11" t="s">
        <v>63</v>
      </c>
      <c r="I14501" s="13" t="s">
        <v>28308</v>
      </c>
      <c r="J14501" s="14" t="str">
        <f>HYPERLINK("https://www.boe.es/gazeta/dias/1839/03/13/pdfs/GMD-1839-1579.pdf#page=2","Abrir facsímil")</f>
        <v>Abrir facsímil</v>
      </c>
      <c r="K14501" s="12" t="s">
        <v>65</v>
      </c>
    </row>
    <row r="14502" spans="1:11" ht="40.049999999999997" customHeight="1" x14ac:dyDescent="0.25">
      <c r="A14502" s="11" t="s">
        <v>28309</v>
      </c>
      <c r="B14502" s="11" t="s">
        <v>28310</v>
      </c>
      <c r="C14502" s="11" t="s">
        <v>17</v>
      </c>
      <c r="D14502" s="11" t="s">
        <v>18</v>
      </c>
      <c r="E14502" s="12" t="s">
        <v>770</v>
      </c>
      <c r="F14502" s="12" t="s">
        <v>771</v>
      </c>
      <c r="G14502" s="12" t="s">
        <v>46</v>
      </c>
      <c r="H14502" s="11" t="s">
        <v>63</v>
      </c>
      <c r="I14502" s="13" t="s">
        <v>28311</v>
      </c>
      <c r="J14502" s="14" t="str">
        <f>HYPERLINK("https://www.boe.es/gazeta/dias/1839/12/05/pdfs/GMD-1839-1852.pdf#page=3","Abrir facsímil")</f>
        <v>Abrir facsímil</v>
      </c>
      <c r="K14502" s="12" t="s">
        <v>65</v>
      </c>
    </row>
    <row r="14503" spans="1:11" ht="40.049999999999997" customHeight="1" x14ac:dyDescent="0.25">
      <c r="A14503" s="11" t="s">
        <v>28312</v>
      </c>
      <c r="B14503" s="11" t="s">
        <v>28313</v>
      </c>
      <c r="C14503" s="11" t="s">
        <v>80</v>
      </c>
      <c r="D14503" s="11" t="s">
        <v>18</v>
      </c>
      <c r="E14503" s="12" t="s">
        <v>2432</v>
      </c>
      <c r="F14503" s="12" t="s">
        <v>2581</v>
      </c>
      <c r="G14503" s="12" t="s">
        <v>29</v>
      </c>
      <c r="H14503" s="11" t="s">
        <v>63</v>
      </c>
      <c r="I14503" s="13" t="s">
        <v>28314</v>
      </c>
      <c r="J14503" s="14" t="str">
        <f>HYPERLINK("https://www.boe.es/gazeta/dias/1839/07/23/pdfs/GMD-1839-1711.pdf#page=1","Abrir facsímil")</f>
        <v>Abrir facsímil</v>
      </c>
      <c r="K14503" s="12" t="s">
        <v>65</v>
      </c>
    </row>
    <row r="14504" spans="1:11" ht="40.049999999999997" customHeight="1" x14ac:dyDescent="0.25">
      <c r="A14504" s="11" t="s">
        <v>28315</v>
      </c>
      <c r="B14504" s="11" t="s">
        <v>28315</v>
      </c>
      <c r="C14504" s="11" t="s">
        <v>137</v>
      </c>
      <c r="D14504" s="11" t="s">
        <v>18</v>
      </c>
      <c r="E14504" s="12" t="s">
        <v>2262</v>
      </c>
      <c r="F14504" s="12" t="s">
        <v>2263</v>
      </c>
      <c r="G14504" s="12" t="s">
        <v>40</v>
      </c>
      <c r="H14504" s="11" t="s">
        <v>63</v>
      </c>
      <c r="I14504" s="13" t="s">
        <v>28316</v>
      </c>
      <c r="J14504" s="14" t="str">
        <f>HYPERLINK("https://www.boe.es/gazeta/dias/1839/03/16/pdfs/GMD-1839-1582.pdf#page=2","Abrir facsímil")</f>
        <v>Abrir facsímil</v>
      </c>
      <c r="K14504" s="12" t="s">
        <v>65</v>
      </c>
    </row>
    <row r="14505" spans="1:11" ht="40.049999999999997" customHeight="1" x14ac:dyDescent="0.25">
      <c r="A14505" s="11" t="s">
        <v>28317</v>
      </c>
      <c r="B14505" s="11" t="s">
        <v>28317</v>
      </c>
      <c r="C14505" s="11" t="s">
        <v>101</v>
      </c>
      <c r="D14505" s="11" t="s">
        <v>43</v>
      </c>
      <c r="E14505" s="12" t="s">
        <v>474</v>
      </c>
      <c r="F14505" s="12" t="s">
        <v>475</v>
      </c>
      <c r="G14505" s="12" t="s">
        <v>29</v>
      </c>
      <c r="H14505" s="11" t="s">
        <v>63</v>
      </c>
      <c r="I14505" s="13" t="s">
        <v>28318</v>
      </c>
      <c r="J14505" s="14" t="str">
        <f>HYPERLINK("https://www.boe.es/gazeta/dias/1839/03/31/pdfs/GMD-1839-1597.pdf#page=1","Abrir facsímil")</f>
        <v>Abrir facsímil</v>
      </c>
      <c r="K14505" s="12" t="s">
        <v>65</v>
      </c>
    </row>
    <row r="14506" spans="1:11" ht="40.049999999999997" customHeight="1" x14ac:dyDescent="0.25">
      <c r="A14506" s="11" t="s">
        <v>28319</v>
      </c>
      <c r="B14506" s="11" t="s">
        <v>28319</v>
      </c>
      <c r="C14506" s="11" t="s">
        <v>59</v>
      </c>
      <c r="D14506" s="11" t="s">
        <v>60</v>
      </c>
      <c r="E14506" s="12" t="s">
        <v>1356</v>
      </c>
      <c r="F14506" s="12" t="s">
        <v>1357</v>
      </c>
      <c r="G14506" s="12" t="s">
        <v>46</v>
      </c>
      <c r="H14506" s="11" t="s">
        <v>63</v>
      </c>
      <c r="I14506" s="13" t="s">
        <v>28320</v>
      </c>
      <c r="J14506" s="14" t="str">
        <f>HYPERLINK("https://www.boe.es/gazeta/dias/1839/06/05/pdfs/GMD-1839-1663.pdf#page=3","Abrir facsímil")</f>
        <v>Abrir facsímil</v>
      </c>
      <c r="K14506" s="12" t="s">
        <v>65</v>
      </c>
    </row>
    <row r="14507" spans="1:11" ht="40.049999999999997" customHeight="1" x14ac:dyDescent="0.25">
      <c r="A14507" s="11" t="s">
        <v>28321</v>
      </c>
      <c r="B14507" s="11" t="s">
        <v>28321</v>
      </c>
      <c r="C14507" s="11" t="s">
        <v>17</v>
      </c>
      <c r="D14507" s="11" t="s">
        <v>18</v>
      </c>
      <c r="E14507" s="12" t="s">
        <v>1749</v>
      </c>
      <c r="F14507" s="12" t="s">
        <v>1750</v>
      </c>
      <c r="G14507" s="12" t="s">
        <v>29</v>
      </c>
      <c r="H14507" s="11" t="s">
        <v>63</v>
      </c>
      <c r="I14507" s="13" t="s">
        <v>28322</v>
      </c>
      <c r="J14507" s="14" t="str">
        <f>HYPERLINK("https://www.boe.es/gazeta/dias/1839/06/28/pdfs/GMD-1839-1686.pdf#page=1","Abrir facsímil")</f>
        <v>Abrir facsímil</v>
      </c>
      <c r="K14507" s="12" t="s">
        <v>65</v>
      </c>
    </row>
    <row r="14508" spans="1:11" ht="40.049999999999997" customHeight="1" x14ac:dyDescent="0.25">
      <c r="A14508" s="11" t="s">
        <v>28323</v>
      </c>
      <c r="B14508" s="11" t="s">
        <v>28323</v>
      </c>
      <c r="C14508" s="11" t="s">
        <v>17</v>
      </c>
      <c r="D14508" s="11" t="s">
        <v>18</v>
      </c>
      <c r="E14508" s="12" t="s">
        <v>7860</v>
      </c>
      <c r="F14508" s="12" t="s">
        <v>7861</v>
      </c>
      <c r="G14508" s="12" t="s">
        <v>21</v>
      </c>
      <c r="H14508" s="11" t="s">
        <v>63</v>
      </c>
      <c r="I14508" s="13" t="s">
        <v>28324</v>
      </c>
      <c r="J14508" s="14" t="str">
        <f>HYPERLINK("https://www.boe.es/gazeta/dias/1839/03/04/pdfs/GMD-1839-1570.pdf#page=4","Abrir facsímil")</f>
        <v>Abrir facsímil</v>
      </c>
      <c r="K14508" s="12" t="s">
        <v>65</v>
      </c>
    </row>
    <row r="14509" spans="1:11" ht="40.049999999999997" customHeight="1" x14ac:dyDescent="0.25">
      <c r="A14509" s="11" t="s">
        <v>28325</v>
      </c>
      <c r="B14509" s="11" t="s">
        <v>28325</v>
      </c>
      <c r="C14509" s="11" t="s">
        <v>17</v>
      </c>
      <c r="D14509" s="11" t="s">
        <v>43</v>
      </c>
      <c r="E14509" s="12" t="s">
        <v>4475</v>
      </c>
      <c r="F14509" s="12" t="s">
        <v>4476</v>
      </c>
      <c r="G14509" s="12" t="s">
        <v>40</v>
      </c>
      <c r="H14509" s="11" t="s">
        <v>63</v>
      </c>
      <c r="I14509" s="13" t="s">
        <v>28326</v>
      </c>
      <c r="J14509" s="14" t="str">
        <f>HYPERLINK("https://www.boe.es/gazeta/dias/1839/07/04/pdfs/GMD-1839-1692.pdf#page=2","Abrir facsímil")</f>
        <v>Abrir facsímil</v>
      </c>
      <c r="K14509" s="12" t="s">
        <v>65</v>
      </c>
    </row>
    <row r="14510" spans="1:11" ht="40.049999999999997" customHeight="1" x14ac:dyDescent="0.25">
      <c r="A14510" s="11" t="s">
        <v>28325</v>
      </c>
      <c r="B14510" s="11" t="s">
        <v>28325</v>
      </c>
      <c r="C14510" s="11" t="s">
        <v>80</v>
      </c>
      <c r="D14510" s="11" t="s">
        <v>18</v>
      </c>
      <c r="E14510" s="12" t="s">
        <v>320</v>
      </c>
      <c r="F14510" s="12" t="s">
        <v>321</v>
      </c>
      <c r="G14510" s="12" t="s">
        <v>29</v>
      </c>
      <c r="H14510" s="11" t="s">
        <v>63</v>
      </c>
      <c r="I14510" s="13" t="s">
        <v>28327</v>
      </c>
      <c r="J14510" s="14" t="str">
        <f>HYPERLINK("https://www.boe.es/gazeta/dias/1839/05/11/pdfs/GMD-1839-1638.pdf#page=1","Abrir facsímil")</f>
        <v>Abrir facsímil</v>
      </c>
      <c r="K14510" s="12" t="s">
        <v>65</v>
      </c>
    </row>
    <row r="14511" spans="1:11" ht="40.049999999999997" customHeight="1" x14ac:dyDescent="0.25">
      <c r="A14511" s="11" t="s">
        <v>28325</v>
      </c>
      <c r="B14511" s="11" t="s">
        <v>28325</v>
      </c>
      <c r="C14511" s="11" t="s">
        <v>17</v>
      </c>
      <c r="D14511" s="11" t="s">
        <v>18</v>
      </c>
      <c r="E14511" s="12" t="s">
        <v>3633</v>
      </c>
      <c r="F14511" s="12" t="s">
        <v>3634</v>
      </c>
      <c r="G14511" s="12" t="s">
        <v>21</v>
      </c>
      <c r="H14511" s="11" t="s">
        <v>63</v>
      </c>
      <c r="I14511" s="13" t="s">
        <v>28328</v>
      </c>
      <c r="J14511" s="14" t="str">
        <f>HYPERLINK("https://www.boe.es/gazeta/dias/1839/04/12/pdfs/GMD-1839-1609.pdf#page=4","Abrir facsímil")</f>
        <v>Abrir facsímil</v>
      </c>
      <c r="K14511" s="12" t="s">
        <v>65</v>
      </c>
    </row>
    <row r="14512" spans="1:11" ht="40.049999999999997" customHeight="1" x14ac:dyDescent="0.25">
      <c r="A14512" s="11" t="s">
        <v>28325</v>
      </c>
      <c r="B14512" s="11" t="s">
        <v>28325</v>
      </c>
      <c r="C14512" s="11" t="s">
        <v>17</v>
      </c>
      <c r="D14512" s="11" t="s">
        <v>18</v>
      </c>
      <c r="E14512" s="12" t="s">
        <v>5399</v>
      </c>
      <c r="F14512" s="12" t="s">
        <v>5400</v>
      </c>
      <c r="G14512" s="12" t="s">
        <v>40</v>
      </c>
      <c r="H14512" s="11" t="s">
        <v>63</v>
      </c>
      <c r="I14512" s="13" t="s">
        <v>28329</v>
      </c>
      <c r="J14512" s="14" t="str">
        <f>HYPERLINK("https://www.boe.es/gazeta/dias/1839/10/14/pdfs/GMD-1839-1800.pdf#page=2","Abrir facsímil")</f>
        <v>Abrir facsímil</v>
      </c>
      <c r="K14512" s="12" t="s">
        <v>65</v>
      </c>
    </row>
    <row r="14513" spans="1:11" ht="40.049999999999997" customHeight="1" x14ac:dyDescent="0.25">
      <c r="A14513" s="11" t="s">
        <v>28325</v>
      </c>
      <c r="B14513" s="11" t="s">
        <v>28325</v>
      </c>
      <c r="C14513" s="11" t="s">
        <v>17</v>
      </c>
      <c r="D14513" s="11" t="s">
        <v>18</v>
      </c>
      <c r="E14513" s="12" t="s">
        <v>513</v>
      </c>
      <c r="F14513" s="12" t="s">
        <v>514</v>
      </c>
      <c r="G14513" s="12" t="s">
        <v>29</v>
      </c>
      <c r="H14513" s="11" t="s">
        <v>63</v>
      </c>
      <c r="I14513" s="13" t="s">
        <v>28330</v>
      </c>
      <c r="J14513" s="14" t="str">
        <f>HYPERLINK("https://www.boe.es/gazeta/dias/1839/03/17/pdfs/GMD-1839-1583.pdf#page=1","Abrir facsímil")</f>
        <v>Abrir facsímil</v>
      </c>
      <c r="K14513" s="12" t="s">
        <v>65</v>
      </c>
    </row>
    <row r="14514" spans="1:11" ht="40.049999999999997" customHeight="1" x14ac:dyDescent="0.25">
      <c r="A14514" s="11" t="s">
        <v>28325</v>
      </c>
      <c r="B14514" s="11" t="s">
        <v>28325</v>
      </c>
      <c r="C14514" s="11" t="s">
        <v>17</v>
      </c>
      <c r="D14514" s="11" t="s">
        <v>18</v>
      </c>
      <c r="E14514" s="12" t="s">
        <v>1779</v>
      </c>
      <c r="F14514" s="12" t="s">
        <v>1780</v>
      </c>
      <c r="G14514" s="12" t="s">
        <v>21</v>
      </c>
      <c r="H14514" s="11" t="s">
        <v>63</v>
      </c>
      <c r="I14514" s="13" t="s">
        <v>28331</v>
      </c>
      <c r="J14514" s="14" t="str">
        <f>HYPERLINK("https://www.boe.es/gazeta/dias/1839/03/18/pdfs/GMD-1839-1584.pdf#page=4","Abrir facsímil")</f>
        <v>Abrir facsímil</v>
      </c>
      <c r="K14514" s="12" t="s">
        <v>65</v>
      </c>
    </row>
    <row r="14515" spans="1:11" ht="40.049999999999997" customHeight="1" x14ac:dyDescent="0.25">
      <c r="A14515" s="11" t="s">
        <v>28325</v>
      </c>
      <c r="B14515" s="11" t="s">
        <v>28325</v>
      </c>
      <c r="C14515" s="11" t="s">
        <v>17</v>
      </c>
      <c r="D14515" s="11" t="s">
        <v>18</v>
      </c>
      <c r="E14515" s="12" t="s">
        <v>685</v>
      </c>
      <c r="F14515" s="12" t="s">
        <v>686</v>
      </c>
      <c r="G14515" s="12" t="s">
        <v>46</v>
      </c>
      <c r="H14515" s="11" t="s">
        <v>63</v>
      </c>
      <c r="I14515" s="13" t="s">
        <v>28332</v>
      </c>
      <c r="J14515" s="14" t="str">
        <f>HYPERLINK("https://www.boe.es/gazeta/dias/1839/06/18/pdfs/GMD-1839-1676.pdf#page=3","Abrir facsímil")</f>
        <v>Abrir facsímil</v>
      </c>
      <c r="K14515" s="12" t="s">
        <v>65</v>
      </c>
    </row>
    <row r="14516" spans="1:11" ht="40.049999999999997" customHeight="1" x14ac:dyDescent="0.25">
      <c r="A14516" s="11" t="s">
        <v>28325</v>
      </c>
      <c r="B14516" s="11" t="s">
        <v>28325</v>
      </c>
      <c r="C14516" s="11" t="s">
        <v>137</v>
      </c>
      <c r="D14516" s="11" t="s">
        <v>18</v>
      </c>
      <c r="E14516" s="12" t="s">
        <v>340</v>
      </c>
      <c r="F14516" s="12" t="s">
        <v>341</v>
      </c>
      <c r="G14516" s="12" t="s">
        <v>29</v>
      </c>
      <c r="H14516" s="11" t="s">
        <v>63</v>
      </c>
      <c r="I14516" s="13" t="s">
        <v>28333</v>
      </c>
      <c r="J14516" s="14" t="str">
        <f>HYPERLINK("https://www.boe.es/gazeta/dias/1839/03/19/pdfs/GMD-1839-1585.pdf#page=1","Abrir facsímil")</f>
        <v>Abrir facsímil</v>
      </c>
      <c r="K14516" s="12" t="s">
        <v>65</v>
      </c>
    </row>
    <row r="14517" spans="1:11" ht="40.049999999999997" customHeight="1" x14ac:dyDescent="0.25">
      <c r="A14517" s="11" t="s">
        <v>28325</v>
      </c>
      <c r="B14517" s="11" t="s">
        <v>28325</v>
      </c>
      <c r="C14517" s="11" t="s">
        <v>17</v>
      </c>
      <c r="D14517" s="11" t="s">
        <v>18</v>
      </c>
      <c r="E14517" s="12" t="s">
        <v>1749</v>
      </c>
      <c r="F14517" s="12" t="s">
        <v>1750</v>
      </c>
      <c r="G14517" s="12" t="s">
        <v>29</v>
      </c>
      <c r="H14517" s="11" t="s">
        <v>63</v>
      </c>
      <c r="I14517" s="13" t="s">
        <v>28334</v>
      </c>
      <c r="J14517" s="14" t="str">
        <f>HYPERLINK("https://www.boe.es/gazeta/dias/1839/06/28/pdfs/GMD-1839-1686.pdf#page=1","Abrir facsímil")</f>
        <v>Abrir facsímil</v>
      </c>
      <c r="K14517" s="12" t="s">
        <v>65</v>
      </c>
    </row>
    <row r="14518" spans="1:11" ht="40.049999999999997" customHeight="1" x14ac:dyDescent="0.25">
      <c r="A14518" s="11" t="s">
        <v>28325</v>
      </c>
      <c r="B14518" s="11" t="s">
        <v>28325</v>
      </c>
      <c r="C14518" s="11" t="s">
        <v>17</v>
      </c>
      <c r="D14518" s="11" t="s">
        <v>18</v>
      </c>
      <c r="E14518" s="12" t="s">
        <v>27</v>
      </c>
      <c r="F14518" s="12" t="s">
        <v>28</v>
      </c>
      <c r="G14518" s="12" t="s">
        <v>40</v>
      </c>
      <c r="H14518" s="11" t="s">
        <v>63</v>
      </c>
      <c r="I14518" s="13" t="s">
        <v>28335</v>
      </c>
      <c r="J14518" s="14" t="str">
        <f>HYPERLINK("https://www.boe.es/gazeta/dias/1839/07/28/pdfs/GMD-1839-1717.pdf#page=2","Abrir facsímil")</f>
        <v>Abrir facsímil</v>
      </c>
      <c r="K14518" s="12" t="s">
        <v>65</v>
      </c>
    </row>
    <row r="14519" spans="1:11" ht="40.049999999999997" customHeight="1" x14ac:dyDescent="0.25">
      <c r="A14519" s="11" t="s">
        <v>28325</v>
      </c>
      <c r="B14519" s="11" t="s">
        <v>28325</v>
      </c>
      <c r="C14519" s="11" t="s">
        <v>101</v>
      </c>
      <c r="D14519" s="11" t="s">
        <v>43</v>
      </c>
      <c r="E14519" s="12" t="s">
        <v>616</v>
      </c>
      <c r="F14519" s="12" t="s">
        <v>617</v>
      </c>
      <c r="G14519" s="12" t="s">
        <v>21</v>
      </c>
      <c r="H14519" s="11" t="s">
        <v>63</v>
      </c>
      <c r="I14519" s="13" t="s">
        <v>28336</v>
      </c>
      <c r="J14519" s="14" t="str">
        <f>HYPERLINK("https://www.boe.es/gazeta/dias/1839/05/29/pdfs/GMD-1839-1656.pdf#page=4","Abrir facsímil")</f>
        <v>Abrir facsímil</v>
      </c>
      <c r="K14519" s="12" t="s">
        <v>65</v>
      </c>
    </row>
    <row r="14520" spans="1:11" ht="40.049999999999997" customHeight="1" x14ac:dyDescent="0.25">
      <c r="A14520" s="11" t="s">
        <v>28337</v>
      </c>
      <c r="B14520" s="11" t="s">
        <v>28338</v>
      </c>
      <c r="C14520" s="11" t="s">
        <v>80</v>
      </c>
      <c r="D14520" s="11" t="s">
        <v>18</v>
      </c>
      <c r="E14520" s="12" t="s">
        <v>946</v>
      </c>
      <c r="F14520" s="12" t="s">
        <v>947</v>
      </c>
      <c r="G14520" s="12" t="s">
        <v>21</v>
      </c>
      <c r="H14520" s="11" t="s">
        <v>63</v>
      </c>
      <c r="I14520" s="13" t="s">
        <v>28339</v>
      </c>
      <c r="J14520" s="14" t="str">
        <f>HYPERLINK("https://www.boe.es/gazeta/dias/1839/04/15/pdfs/GMD-1839-1612.pdf#page=4","Abrir facsímil")</f>
        <v>Abrir facsímil</v>
      </c>
      <c r="K14520" s="12" t="s">
        <v>65</v>
      </c>
    </row>
    <row r="14521" spans="1:11" ht="40.049999999999997" customHeight="1" x14ac:dyDescent="0.25">
      <c r="A14521" s="11" t="s">
        <v>28340</v>
      </c>
      <c r="B14521" s="11" t="s">
        <v>28341</v>
      </c>
      <c r="C14521" s="11" t="s">
        <v>17</v>
      </c>
      <c r="D14521" s="11" t="s">
        <v>18</v>
      </c>
      <c r="E14521" s="12" t="s">
        <v>2415</v>
      </c>
      <c r="F14521" s="12" t="s">
        <v>2416</v>
      </c>
      <c r="G14521" s="12" t="s">
        <v>40</v>
      </c>
      <c r="H14521" s="11" t="s">
        <v>63</v>
      </c>
      <c r="I14521" s="13" t="s">
        <v>28342</v>
      </c>
      <c r="J14521" s="14" t="str">
        <f>HYPERLINK("https://www.boe.es/gazeta/dias/1839/12/22/pdfs/GMD-1839-1869.pdf#page=2","Abrir facsímil")</f>
        <v>Abrir facsímil</v>
      </c>
      <c r="K14521" s="12" t="s">
        <v>65</v>
      </c>
    </row>
    <row r="14522" spans="1:11" ht="40.049999999999997" customHeight="1" x14ac:dyDescent="0.25">
      <c r="A14522" s="11" t="s">
        <v>28343</v>
      </c>
      <c r="B14522" s="11" t="s">
        <v>28343</v>
      </c>
      <c r="C14522" s="11" t="s">
        <v>101</v>
      </c>
      <c r="D14522" s="11" t="s">
        <v>43</v>
      </c>
      <c r="E14522" s="12" t="s">
        <v>3224</v>
      </c>
      <c r="F14522" s="12" t="s">
        <v>3225</v>
      </c>
      <c r="G14522" s="12" t="s">
        <v>40</v>
      </c>
      <c r="H14522" s="11" t="s">
        <v>63</v>
      </c>
      <c r="I14522" s="13" t="s">
        <v>28344</v>
      </c>
      <c r="J14522" s="14" t="str">
        <f>HYPERLINK("https://www.boe.es/gazeta/dias/1839/06/03/pdfs/GMD-1839-1661.pdf#page=2","Abrir facsímil")</f>
        <v>Abrir facsímil</v>
      </c>
      <c r="K14522" s="12" t="s">
        <v>65</v>
      </c>
    </row>
    <row r="14523" spans="1:11" ht="40.049999999999997" customHeight="1" x14ac:dyDescent="0.25">
      <c r="A14523" s="11" t="s">
        <v>28343</v>
      </c>
      <c r="B14523" s="11" t="s">
        <v>28343</v>
      </c>
      <c r="C14523" s="11" t="s">
        <v>17</v>
      </c>
      <c r="D14523" s="11" t="s">
        <v>18</v>
      </c>
      <c r="E14523" s="12" t="s">
        <v>3224</v>
      </c>
      <c r="F14523" s="12" t="s">
        <v>3225</v>
      </c>
      <c r="G14523" s="12" t="s">
        <v>46</v>
      </c>
      <c r="H14523" s="11" t="s">
        <v>63</v>
      </c>
      <c r="I14523" s="13" t="s">
        <v>28345</v>
      </c>
      <c r="J14523" s="14" t="str">
        <f>HYPERLINK("https://www.boe.es/gazeta/dias/1839/06/03/pdfs/GMD-1839-1661.pdf#page=3","Abrir facsímil")</f>
        <v>Abrir facsímil</v>
      </c>
      <c r="K14523" s="12" t="s">
        <v>65</v>
      </c>
    </row>
    <row r="14524" spans="1:11" ht="40.049999999999997" customHeight="1" x14ac:dyDescent="0.25">
      <c r="A14524" s="11" t="s">
        <v>28343</v>
      </c>
      <c r="B14524" s="11" t="s">
        <v>28343</v>
      </c>
      <c r="C14524" s="11" t="s">
        <v>17</v>
      </c>
      <c r="D14524" s="11" t="s">
        <v>18</v>
      </c>
      <c r="E14524" s="12" t="s">
        <v>3224</v>
      </c>
      <c r="F14524" s="12" t="s">
        <v>3225</v>
      </c>
      <c r="G14524" s="12" t="s">
        <v>21</v>
      </c>
      <c r="H14524" s="11" t="s">
        <v>63</v>
      </c>
      <c r="I14524" s="13" t="s">
        <v>28346</v>
      </c>
      <c r="J14524" s="14" t="str">
        <f>HYPERLINK("https://www.boe.es/gazeta/dias/1839/06/03/pdfs/GMD-1839-1661.pdf#page=4","Abrir facsímil")</f>
        <v>Abrir facsímil</v>
      </c>
      <c r="K14524" s="12" t="s">
        <v>65</v>
      </c>
    </row>
    <row r="14525" spans="1:11" ht="40.049999999999997" customHeight="1" x14ac:dyDescent="0.25">
      <c r="A14525" s="11" t="s">
        <v>28347</v>
      </c>
      <c r="B14525" s="11" t="s">
        <v>28347</v>
      </c>
      <c r="C14525" s="11" t="s">
        <v>17</v>
      </c>
      <c r="D14525" s="11" t="s">
        <v>18</v>
      </c>
      <c r="E14525" s="12" t="s">
        <v>685</v>
      </c>
      <c r="F14525" s="12" t="s">
        <v>686</v>
      </c>
      <c r="G14525" s="12" t="s">
        <v>21</v>
      </c>
      <c r="H14525" s="11" t="s">
        <v>63</v>
      </c>
      <c r="I14525" s="13" t="s">
        <v>28348</v>
      </c>
      <c r="J14525" s="14" t="str">
        <f>HYPERLINK("https://www.boe.es/gazeta/dias/1839/06/18/pdfs/GMD-1839-1676.pdf#page=4","Abrir facsímil")</f>
        <v>Abrir facsímil</v>
      </c>
      <c r="K14525" s="12" t="s">
        <v>65</v>
      </c>
    </row>
    <row r="14526" spans="1:11" ht="40.049999999999997" customHeight="1" x14ac:dyDescent="0.25">
      <c r="A14526" s="11" t="s">
        <v>28349</v>
      </c>
      <c r="B14526" s="11" t="s">
        <v>28350</v>
      </c>
      <c r="C14526" s="11" t="s">
        <v>80</v>
      </c>
      <c r="D14526" s="11" t="s">
        <v>18</v>
      </c>
      <c r="E14526" s="12" t="s">
        <v>2415</v>
      </c>
      <c r="F14526" s="12" t="s">
        <v>2416</v>
      </c>
      <c r="G14526" s="12" t="s">
        <v>21</v>
      </c>
      <c r="H14526" s="11" t="s">
        <v>63</v>
      </c>
      <c r="I14526" s="13" t="s">
        <v>28351</v>
      </c>
      <c r="J14526" s="14" t="str">
        <f>HYPERLINK("https://www.boe.es/gazeta/dias/1839/12/22/pdfs/GMD-1839-1869.pdf#page=4","Abrir facsímil")</f>
        <v>Abrir facsímil</v>
      </c>
      <c r="K14526" s="12" t="s">
        <v>65</v>
      </c>
    </row>
    <row r="14527" spans="1:11" ht="40.049999999999997" customHeight="1" x14ac:dyDescent="0.25">
      <c r="A14527" s="11" t="s">
        <v>28352</v>
      </c>
      <c r="B14527" s="11" t="s">
        <v>28353</v>
      </c>
      <c r="C14527" s="11" t="s">
        <v>17</v>
      </c>
      <c r="D14527" s="11" t="s">
        <v>18</v>
      </c>
      <c r="E14527" s="12" t="s">
        <v>3391</v>
      </c>
      <c r="F14527" s="12" t="s">
        <v>3392</v>
      </c>
      <c r="G14527" s="12" t="s">
        <v>21</v>
      </c>
      <c r="H14527" s="11" t="s">
        <v>63</v>
      </c>
      <c r="I14527" s="13" t="s">
        <v>28354</v>
      </c>
      <c r="J14527" s="14" t="str">
        <f>HYPERLINK("https://www.boe.es/gazeta/dias/1839/12/31/pdfs/GMD-1839-1878.pdf#page=4","Abrir facsímil")</f>
        <v>Abrir facsímil</v>
      </c>
      <c r="K14527" s="12" t="s">
        <v>65</v>
      </c>
    </row>
    <row r="14528" spans="1:11" ht="40.049999999999997" customHeight="1" x14ac:dyDescent="0.25">
      <c r="A14528" s="11" t="s">
        <v>28355</v>
      </c>
      <c r="B14528" s="11" t="s">
        <v>28356</v>
      </c>
      <c r="C14528" s="11" t="s">
        <v>17</v>
      </c>
      <c r="D14528" s="11" t="s">
        <v>18</v>
      </c>
      <c r="E14528" s="12" t="s">
        <v>1725</v>
      </c>
      <c r="F14528" s="12" t="s">
        <v>1726</v>
      </c>
      <c r="G14528" s="12" t="s">
        <v>21</v>
      </c>
      <c r="H14528" s="11" t="s">
        <v>63</v>
      </c>
      <c r="I14528" s="13" t="s">
        <v>28357</v>
      </c>
      <c r="J14528" s="14" t="str">
        <f>HYPERLINK("https://www.boe.es/gazeta/dias/1839/11/17/pdfs/GMD-1839-1834.pdf#page=4","Abrir facsímil")</f>
        <v>Abrir facsímil</v>
      </c>
      <c r="K14528" s="12" t="s">
        <v>65</v>
      </c>
    </row>
    <row r="14529" spans="1:11" ht="40.049999999999997" customHeight="1" x14ac:dyDescent="0.25">
      <c r="A14529" s="11" t="s">
        <v>28358</v>
      </c>
      <c r="B14529" s="11" t="s">
        <v>28359</v>
      </c>
      <c r="C14529" s="11" t="s">
        <v>17</v>
      </c>
      <c r="D14529" s="11" t="s">
        <v>18</v>
      </c>
      <c r="E14529" s="12" t="s">
        <v>695</v>
      </c>
      <c r="F14529" s="12" t="s">
        <v>696</v>
      </c>
      <c r="G14529" s="12" t="s">
        <v>21</v>
      </c>
      <c r="H14529" s="11" t="s">
        <v>63</v>
      </c>
      <c r="I14529" s="13" t="s">
        <v>28360</v>
      </c>
      <c r="J14529" s="14" t="str">
        <f>HYPERLINK("https://www.boe.es/gazeta/dias/1839/12/19/pdfs/GMD-1839-1866.pdf#page=4","Abrir facsímil")</f>
        <v>Abrir facsímil</v>
      </c>
      <c r="K14529" s="12" t="s">
        <v>65</v>
      </c>
    </row>
    <row r="14530" spans="1:11" ht="40.049999999999997" customHeight="1" x14ac:dyDescent="0.25">
      <c r="A14530" s="11" t="s">
        <v>28361</v>
      </c>
      <c r="B14530" s="11" t="s">
        <v>28362</v>
      </c>
      <c r="C14530" s="11" t="s">
        <v>80</v>
      </c>
      <c r="D14530" s="11" t="s">
        <v>18</v>
      </c>
      <c r="E14530" s="12" t="s">
        <v>4044</v>
      </c>
      <c r="F14530" s="12" t="s">
        <v>4045</v>
      </c>
      <c r="G14530" s="12" t="s">
        <v>21</v>
      </c>
      <c r="H14530" s="11" t="s">
        <v>63</v>
      </c>
      <c r="I14530" s="13" t="s">
        <v>28363</v>
      </c>
      <c r="J14530" s="14" t="str">
        <f>HYPERLINK("https://www.boe.es/gazeta/dias/1839/01/07/pdfs/GMD-1839-1514.pdf#page=4","Abrir facsímil")</f>
        <v>Abrir facsímil</v>
      </c>
      <c r="K14530" s="12" t="s">
        <v>65</v>
      </c>
    </row>
    <row r="14531" spans="1:11" ht="40.049999999999997" customHeight="1" x14ac:dyDescent="0.25">
      <c r="A14531" s="11" t="s">
        <v>28364</v>
      </c>
      <c r="B14531" s="11" t="s">
        <v>28365</v>
      </c>
      <c r="C14531" s="11" t="s">
        <v>101</v>
      </c>
      <c r="D14531" s="11" t="s">
        <v>43</v>
      </c>
      <c r="E14531" s="12" t="s">
        <v>81</v>
      </c>
      <c r="F14531" s="12" t="s">
        <v>82</v>
      </c>
      <c r="G14531" s="12" t="s">
        <v>40</v>
      </c>
      <c r="H14531" s="11" t="s">
        <v>63</v>
      </c>
      <c r="I14531" s="13" t="s">
        <v>28366</v>
      </c>
      <c r="J14531" s="14" t="str">
        <f>HYPERLINK("https://www.boe.es/gazeta/dias/1839/03/03/pdfs/GMD-1839-1569.pdf#page=2","Abrir facsímil")</f>
        <v>Abrir facsímil</v>
      </c>
      <c r="K14531" s="12" t="s">
        <v>65</v>
      </c>
    </row>
    <row r="14532" spans="1:11" ht="40.049999999999997" customHeight="1" x14ac:dyDescent="0.25">
      <c r="A14532" s="11" t="s">
        <v>28367</v>
      </c>
      <c r="B14532" s="11" t="s">
        <v>28368</v>
      </c>
      <c r="C14532" s="11" t="s">
        <v>17</v>
      </c>
      <c r="D14532" s="11" t="s">
        <v>18</v>
      </c>
      <c r="E14532" s="12" t="s">
        <v>168</v>
      </c>
      <c r="F14532" s="12" t="s">
        <v>169</v>
      </c>
      <c r="G14532" s="12" t="s">
        <v>21</v>
      </c>
      <c r="H14532" s="11" t="s">
        <v>63</v>
      </c>
      <c r="I14532" s="13" t="s">
        <v>28369</v>
      </c>
      <c r="J14532" s="14" t="str">
        <f>HYPERLINK("https://www.boe.es/gazeta/dias/1839/07/12/pdfs/GMD-1839-1700.pdf#page=4","Abrir facsímil")</f>
        <v>Abrir facsímil</v>
      </c>
      <c r="K14532" s="12" t="s">
        <v>65</v>
      </c>
    </row>
    <row r="14533" spans="1:11" ht="40.049999999999997" customHeight="1" x14ac:dyDescent="0.25">
      <c r="A14533" s="11" t="s">
        <v>28370</v>
      </c>
      <c r="B14533" s="11" t="s">
        <v>28370</v>
      </c>
      <c r="C14533" s="11" t="s">
        <v>17</v>
      </c>
      <c r="D14533" s="11" t="s">
        <v>18</v>
      </c>
      <c r="E14533" s="12" t="s">
        <v>5399</v>
      </c>
      <c r="F14533" s="12" t="s">
        <v>5400</v>
      </c>
      <c r="G14533" s="12" t="s">
        <v>40</v>
      </c>
      <c r="H14533" s="11" t="s">
        <v>63</v>
      </c>
      <c r="I14533" s="13" t="s">
        <v>28371</v>
      </c>
      <c r="J14533" s="14" t="str">
        <f>HYPERLINK("https://www.boe.es/gazeta/dias/1839/10/14/pdfs/GMD-1839-1800.pdf#page=2","Abrir facsímil")</f>
        <v>Abrir facsímil</v>
      </c>
      <c r="K14533" s="12" t="s">
        <v>65</v>
      </c>
    </row>
    <row r="14534" spans="1:11" ht="40.049999999999997" customHeight="1" x14ac:dyDescent="0.25">
      <c r="A14534" s="11" t="s">
        <v>28372</v>
      </c>
      <c r="B14534" s="11" t="s">
        <v>28372</v>
      </c>
      <c r="C14534" s="11" t="s">
        <v>59</v>
      </c>
      <c r="D14534" s="11" t="s">
        <v>60</v>
      </c>
      <c r="E14534" s="12" t="s">
        <v>1523</v>
      </c>
      <c r="F14534" s="12" t="s">
        <v>1524</v>
      </c>
      <c r="G14534" s="12" t="s">
        <v>29</v>
      </c>
      <c r="H14534" s="11" t="s">
        <v>22</v>
      </c>
      <c r="I14534" s="13" t="s">
        <v>28373</v>
      </c>
      <c r="J14534" s="14" t="str">
        <f>HYPERLINK("https://www.boe.es/gazeta/dias/1839/08/29/pdfs/GMD-1839-1750.pdf#page=1","Abrir facsímil")</f>
        <v>Abrir facsímil</v>
      </c>
      <c r="K14534" s="12" t="s">
        <v>24</v>
      </c>
    </row>
    <row r="14535" spans="1:11" ht="40.049999999999997" customHeight="1" x14ac:dyDescent="0.25">
      <c r="A14535" s="11" t="s">
        <v>28374</v>
      </c>
      <c r="B14535" s="11" t="s">
        <v>28374</v>
      </c>
      <c r="C14535" s="11" t="s">
        <v>17</v>
      </c>
      <c r="D14535" s="11" t="s">
        <v>18</v>
      </c>
      <c r="E14535" s="12" t="s">
        <v>1136</v>
      </c>
      <c r="F14535" s="12" t="s">
        <v>1137</v>
      </c>
      <c r="G14535" s="12" t="s">
        <v>21</v>
      </c>
      <c r="H14535" s="11" t="s">
        <v>63</v>
      </c>
      <c r="I14535" s="13" t="s">
        <v>28375</v>
      </c>
      <c r="J14535" s="14" t="str">
        <f>HYPERLINK("https://www.boe.es/gazeta/dias/1839/04/03/pdfs/GMD-1839-1600.pdf#page=4","Abrir facsímil")</f>
        <v>Abrir facsímil</v>
      </c>
      <c r="K14535" s="12" t="s">
        <v>65</v>
      </c>
    </row>
    <row r="14536" spans="1:11" ht="40.049999999999997" customHeight="1" x14ac:dyDescent="0.25">
      <c r="A14536" s="11" t="s">
        <v>28376</v>
      </c>
      <c r="B14536" s="11" t="s">
        <v>28377</v>
      </c>
      <c r="C14536" s="11" t="s">
        <v>17</v>
      </c>
      <c r="D14536" s="11" t="s">
        <v>18</v>
      </c>
      <c r="E14536" s="12" t="s">
        <v>1794</v>
      </c>
      <c r="F14536" s="12" t="s">
        <v>1795</v>
      </c>
      <c r="G14536" s="12" t="s">
        <v>29</v>
      </c>
      <c r="H14536" s="11" t="s">
        <v>63</v>
      </c>
      <c r="I14536" s="13" t="s">
        <v>28378</v>
      </c>
      <c r="J14536" s="14" t="str">
        <f>HYPERLINK("https://www.boe.es/gazeta/dias/1839/02/22/pdfs/GMD-1839-1560.pdf#page=1","Abrir facsímil")</f>
        <v>Abrir facsímil</v>
      </c>
      <c r="K14536" s="12" t="s">
        <v>65</v>
      </c>
    </row>
    <row r="14537" spans="1:11" ht="40.049999999999997" customHeight="1" x14ac:dyDescent="0.25">
      <c r="A14537" s="11" t="s">
        <v>28379</v>
      </c>
      <c r="B14537" s="11" t="s">
        <v>28379</v>
      </c>
      <c r="C14537" s="11" t="s">
        <v>101</v>
      </c>
      <c r="D14537" s="11" t="s">
        <v>102</v>
      </c>
      <c r="E14537" s="12" t="s">
        <v>1139</v>
      </c>
      <c r="F14537" s="12" t="s">
        <v>1140</v>
      </c>
      <c r="G14537" s="12" t="s">
        <v>40</v>
      </c>
      <c r="H14537" s="11" t="s">
        <v>63</v>
      </c>
      <c r="I14537" s="13" t="s">
        <v>28380</v>
      </c>
      <c r="J14537" s="14" t="str">
        <f>HYPERLINK("https://www.boe.es/gazeta/dias/1839/02/15/pdfs/GMD-1839-1553.pdf#page=2","Abrir facsímil")</f>
        <v>Abrir facsímil</v>
      </c>
      <c r="K14537" s="12" t="s">
        <v>65</v>
      </c>
    </row>
    <row r="14538" spans="1:11" ht="40.049999999999997" customHeight="1" x14ac:dyDescent="0.25">
      <c r="A14538" s="11" t="s">
        <v>28379</v>
      </c>
      <c r="B14538" s="11" t="s">
        <v>28379</v>
      </c>
      <c r="C14538" s="11" t="s">
        <v>80</v>
      </c>
      <c r="D14538" s="11" t="s">
        <v>18</v>
      </c>
      <c r="E14538" s="12" t="s">
        <v>3009</v>
      </c>
      <c r="F14538" s="12" t="s">
        <v>3010</v>
      </c>
      <c r="G14538" s="12" t="s">
        <v>29</v>
      </c>
      <c r="H14538" s="11" t="s">
        <v>63</v>
      </c>
      <c r="I14538" s="13" t="s">
        <v>28381</v>
      </c>
      <c r="J14538" s="14" t="str">
        <f>HYPERLINK("https://www.boe.es/gazeta/dias/1839/04/20/pdfs/GMD-1839-1617.pdf#page=1","Abrir facsímil")</f>
        <v>Abrir facsímil</v>
      </c>
      <c r="K14538" s="12" t="s">
        <v>65</v>
      </c>
    </row>
    <row r="14539" spans="1:11" ht="40.049999999999997" customHeight="1" x14ac:dyDescent="0.25">
      <c r="A14539" s="11" t="s">
        <v>28382</v>
      </c>
      <c r="B14539" s="11" t="s">
        <v>28383</v>
      </c>
      <c r="C14539" s="11" t="s">
        <v>137</v>
      </c>
      <c r="D14539" s="11" t="s">
        <v>18</v>
      </c>
      <c r="E14539" s="12" t="s">
        <v>2851</v>
      </c>
      <c r="F14539" s="12" t="s">
        <v>2852</v>
      </c>
      <c r="G14539" s="12" t="s">
        <v>29</v>
      </c>
      <c r="H14539" s="11" t="s">
        <v>63</v>
      </c>
      <c r="I14539" s="13" t="s">
        <v>28384</v>
      </c>
      <c r="J14539" s="14" t="str">
        <f>HYPERLINK("https://www.boe.es/gazeta/dias/1839/05/16/pdfs/GMD-1839-1643.pdf#page=1","Abrir facsímil")</f>
        <v>Abrir facsímil</v>
      </c>
      <c r="K14539" s="12" t="s">
        <v>65</v>
      </c>
    </row>
    <row r="14540" spans="1:11" ht="40.049999999999997" customHeight="1" x14ac:dyDescent="0.25">
      <c r="A14540" s="11" t="s">
        <v>28385</v>
      </c>
      <c r="B14540" s="11" t="s">
        <v>28385</v>
      </c>
      <c r="C14540" s="11" t="s">
        <v>101</v>
      </c>
      <c r="D14540" s="11" t="s">
        <v>43</v>
      </c>
      <c r="E14540" s="12" t="s">
        <v>369</v>
      </c>
      <c r="F14540" s="12" t="s">
        <v>370</v>
      </c>
      <c r="G14540" s="12" t="s">
        <v>46</v>
      </c>
      <c r="H14540" s="11" t="s">
        <v>63</v>
      </c>
      <c r="I14540" s="13" t="s">
        <v>28386</v>
      </c>
      <c r="J14540" s="14" t="str">
        <f>HYPERLINK("https://www.boe.es/gazeta/dias/1839/11/01/pdfs/GMD-1839-1818.pdf#page=3","Abrir facsímil")</f>
        <v>Abrir facsímil</v>
      </c>
      <c r="K14540" s="12" t="s">
        <v>65</v>
      </c>
    </row>
    <row r="14541" spans="1:11" ht="40.049999999999997" customHeight="1" x14ac:dyDescent="0.25">
      <c r="A14541" s="11" t="s">
        <v>28385</v>
      </c>
      <c r="B14541" s="11" t="s">
        <v>28385</v>
      </c>
      <c r="C14541" s="11" t="s">
        <v>17</v>
      </c>
      <c r="D14541" s="11" t="s">
        <v>18</v>
      </c>
      <c r="E14541" s="12" t="s">
        <v>1772</v>
      </c>
      <c r="F14541" s="12" t="s">
        <v>1773</v>
      </c>
      <c r="G14541" s="12" t="s">
        <v>29</v>
      </c>
      <c r="H14541" s="11" t="s">
        <v>63</v>
      </c>
      <c r="I14541" s="13" t="s">
        <v>28387</v>
      </c>
      <c r="J14541" s="14" t="str">
        <f>HYPERLINK("https://www.boe.es/gazeta/dias/1839/05/07/pdfs/GMD-1839-1634.pdf#page=1","Abrir facsímil")</f>
        <v>Abrir facsímil</v>
      </c>
      <c r="K14541" s="12" t="s">
        <v>65</v>
      </c>
    </row>
    <row r="14542" spans="1:11" ht="40.049999999999997" customHeight="1" x14ac:dyDescent="0.25">
      <c r="A14542" s="11" t="s">
        <v>28385</v>
      </c>
      <c r="B14542" s="11" t="s">
        <v>28385</v>
      </c>
      <c r="C14542" s="11" t="s">
        <v>137</v>
      </c>
      <c r="D14542" s="11" t="s">
        <v>18</v>
      </c>
      <c r="E14542" s="12" t="s">
        <v>1523</v>
      </c>
      <c r="F14542" s="12" t="s">
        <v>1524</v>
      </c>
      <c r="G14542" s="12" t="s">
        <v>29</v>
      </c>
      <c r="H14542" s="11" t="s">
        <v>63</v>
      </c>
      <c r="I14542" s="13" t="s">
        <v>28388</v>
      </c>
      <c r="J14542" s="14" t="str">
        <f>HYPERLINK("https://www.boe.es/gazeta/dias/1839/08/29/pdfs/GMD-1839-1750.pdf#page=1","Abrir facsímil")</f>
        <v>Abrir facsímil</v>
      </c>
      <c r="K14542" s="12" t="s">
        <v>65</v>
      </c>
    </row>
    <row r="14543" spans="1:11" ht="40.049999999999997" customHeight="1" x14ac:dyDescent="0.25">
      <c r="A14543" s="11" t="s">
        <v>28389</v>
      </c>
      <c r="B14543" s="11" t="s">
        <v>28389</v>
      </c>
      <c r="C14543" s="11" t="s">
        <v>17</v>
      </c>
      <c r="D14543" s="11" t="s">
        <v>18</v>
      </c>
      <c r="E14543" s="12" t="s">
        <v>94</v>
      </c>
      <c r="F14543" s="12" t="s">
        <v>95</v>
      </c>
      <c r="G14543" s="12" t="s">
        <v>46</v>
      </c>
      <c r="H14543" s="11" t="s">
        <v>63</v>
      </c>
      <c r="I14543" s="13" t="s">
        <v>28390</v>
      </c>
      <c r="J14543" s="14" t="str">
        <f>HYPERLINK("https://www.boe.es/gazeta/dias/1839/02/24/pdfs/GMD-1839-1562.pdf#page=3","Abrir facsímil")</f>
        <v>Abrir facsímil</v>
      </c>
      <c r="K14543" s="12" t="s">
        <v>65</v>
      </c>
    </row>
    <row r="14544" spans="1:11" ht="40.049999999999997" customHeight="1" x14ac:dyDescent="0.25">
      <c r="A14544" s="11" t="s">
        <v>28391</v>
      </c>
      <c r="B14544" s="11" t="s">
        <v>28392</v>
      </c>
      <c r="C14544" s="11" t="s">
        <v>137</v>
      </c>
      <c r="D14544" s="11" t="s">
        <v>18</v>
      </c>
      <c r="E14544" s="12" t="s">
        <v>1012</v>
      </c>
      <c r="F14544" s="12" t="s">
        <v>1013</v>
      </c>
      <c r="G14544" s="12" t="s">
        <v>46</v>
      </c>
      <c r="H14544" s="11" t="s">
        <v>63</v>
      </c>
      <c r="I14544" s="13" t="s">
        <v>28393</v>
      </c>
      <c r="J14544" s="14" t="str">
        <f>HYPERLINK("https://www.boe.es/gazeta/dias/1839/11/22/pdfs/GMD-1839-1839.pdf#page=3","Abrir facsímil")</f>
        <v>Abrir facsímil</v>
      </c>
      <c r="K14544" s="12" t="s">
        <v>65</v>
      </c>
    </row>
    <row r="14545" spans="1:11" ht="40.049999999999997" customHeight="1" x14ac:dyDescent="0.25">
      <c r="A14545" s="11" t="s">
        <v>28394</v>
      </c>
      <c r="B14545" s="11" t="s">
        <v>28395</v>
      </c>
      <c r="C14545" s="11" t="s">
        <v>17</v>
      </c>
      <c r="D14545" s="11" t="s">
        <v>43</v>
      </c>
      <c r="E14545" s="12" t="s">
        <v>181</v>
      </c>
      <c r="F14545" s="12" t="s">
        <v>182</v>
      </c>
      <c r="G14545" s="12" t="s">
        <v>29</v>
      </c>
      <c r="H14545" s="11" t="s">
        <v>63</v>
      </c>
      <c r="I14545" s="13" t="s">
        <v>28396</v>
      </c>
      <c r="J14545" s="14" t="str">
        <f>HYPERLINK("https://www.boe.es/gazeta/dias/1839/01/11/pdfs/GMD-1839-1518.pdf#page=1","Abrir facsímil")</f>
        <v>Abrir facsímil</v>
      </c>
      <c r="K14545" s="12" t="s">
        <v>65</v>
      </c>
    </row>
    <row r="14546" spans="1:11" ht="40.049999999999997" customHeight="1" x14ac:dyDescent="0.25">
      <c r="A14546" s="11" t="s">
        <v>28397</v>
      </c>
      <c r="B14546" s="11" t="s">
        <v>28398</v>
      </c>
      <c r="C14546" s="11" t="s">
        <v>17</v>
      </c>
      <c r="D14546" s="11" t="s">
        <v>18</v>
      </c>
      <c r="E14546" s="12" t="s">
        <v>1813</v>
      </c>
      <c r="F14546" s="12" t="s">
        <v>1814</v>
      </c>
      <c r="G14546" s="12" t="s">
        <v>46</v>
      </c>
      <c r="H14546" s="11" t="s">
        <v>22</v>
      </c>
      <c r="I14546" s="13" t="s">
        <v>28399</v>
      </c>
      <c r="J14546" s="14" t="str">
        <f>HYPERLINK("https://www.boe.es/gazeta/dias/1839/09/02/pdfs/GMD-1839-1754.pdf#page=3","Abrir facsímil")</f>
        <v>Abrir facsímil</v>
      </c>
      <c r="K14546" s="12" t="s">
        <v>24</v>
      </c>
    </row>
    <row r="14547" spans="1:11" ht="40.049999999999997" customHeight="1" x14ac:dyDescent="0.25">
      <c r="A14547" s="11" t="s">
        <v>28400</v>
      </c>
      <c r="B14547" s="11" t="s">
        <v>28400</v>
      </c>
      <c r="C14547" s="11" t="s">
        <v>101</v>
      </c>
      <c r="D14547" s="11" t="s">
        <v>43</v>
      </c>
      <c r="E14547" s="12" t="s">
        <v>1433</v>
      </c>
      <c r="F14547" s="12" t="s">
        <v>1434</v>
      </c>
      <c r="G14547" s="12" t="s">
        <v>46</v>
      </c>
      <c r="H14547" s="11" t="s">
        <v>63</v>
      </c>
      <c r="I14547" s="13" t="s">
        <v>28401</v>
      </c>
      <c r="J14547" s="14" t="str">
        <f>HYPERLINK("https://www.boe.es/gazeta/dias/1839/10/22/pdfs/GMD-1839-1808.pdf#page=3","Abrir facsímil")</f>
        <v>Abrir facsímil</v>
      </c>
      <c r="K14547" s="12" t="s">
        <v>65</v>
      </c>
    </row>
    <row r="14548" spans="1:11" ht="40.049999999999997" customHeight="1" x14ac:dyDescent="0.25">
      <c r="A14548" s="11" t="s">
        <v>28402</v>
      </c>
      <c r="B14548" s="11" t="s">
        <v>28403</v>
      </c>
      <c r="C14548" s="11" t="s">
        <v>17</v>
      </c>
      <c r="D14548" s="11" t="s">
        <v>18</v>
      </c>
      <c r="E14548" s="12" t="s">
        <v>303</v>
      </c>
      <c r="F14548" s="12" t="s">
        <v>304</v>
      </c>
      <c r="G14548" s="12" t="s">
        <v>305</v>
      </c>
      <c r="H14548" s="11" t="s">
        <v>63</v>
      </c>
      <c r="I14548" s="13" t="s">
        <v>28404</v>
      </c>
      <c r="J14548" s="14" t="str">
        <f>HYPERLINK("https://www.boe.es/gazeta/dias/1839/10/06/pdfs/GMD-1839-1792.pdf#page=6","Abrir facsímil")</f>
        <v>Abrir facsímil</v>
      </c>
      <c r="K14548" s="12" t="s">
        <v>65</v>
      </c>
    </row>
    <row r="14549" spans="1:11" ht="40.049999999999997" customHeight="1" x14ac:dyDescent="0.25">
      <c r="A14549" s="11" t="s">
        <v>28405</v>
      </c>
      <c r="B14549" s="11" t="s">
        <v>28405</v>
      </c>
      <c r="C14549" s="11" t="s">
        <v>17</v>
      </c>
      <c r="D14549" s="11" t="s">
        <v>18</v>
      </c>
      <c r="E14549" s="12" t="s">
        <v>1076</v>
      </c>
      <c r="F14549" s="12" t="s">
        <v>1077</v>
      </c>
      <c r="G14549" s="12" t="s">
        <v>21</v>
      </c>
      <c r="H14549" s="11" t="s">
        <v>63</v>
      </c>
      <c r="I14549" s="13" t="s">
        <v>28406</v>
      </c>
      <c r="J14549" s="14" t="str">
        <f>HYPERLINK("https://www.boe.es/gazeta/dias/1839/10/19/pdfs/GMD-1839-1805.pdf#page=4","Abrir facsímil")</f>
        <v>Abrir facsímil</v>
      </c>
      <c r="K14549" s="12" t="s">
        <v>65</v>
      </c>
    </row>
    <row r="14550" spans="1:11" ht="40.049999999999997" customHeight="1" x14ac:dyDescent="0.25">
      <c r="A14550" s="11" t="s">
        <v>28407</v>
      </c>
      <c r="B14550" s="11" t="s">
        <v>28407</v>
      </c>
      <c r="C14550" s="11" t="s">
        <v>17</v>
      </c>
      <c r="D14550" s="11" t="s">
        <v>18</v>
      </c>
      <c r="E14550" s="12" t="s">
        <v>1512</v>
      </c>
      <c r="F14550" s="12" t="s">
        <v>1513</v>
      </c>
      <c r="G14550" s="12" t="s">
        <v>40</v>
      </c>
      <c r="H14550" s="11" t="s">
        <v>63</v>
      </c>
      <c r="I14550" s="13" t="s">
        <v>28408</v>
      </c>
      <c r="J14550" s="14" t="str">
        <f>HYPERLINK("https://www.boe.es/gazeta/dias/1839/04/13/pdfs/GMD-1839-1610.pdf#page=2","Abrir facsímil")</f>
        <v>Abrir facsímil</v>
      </c>
      <c r="K14550" s="12" t="s">
        <v>65</v>
      </c>
    </row>
    <row r="14551" spans="1:11" ht="40.049999999999997" customHeight="1" x14ac:dyDescent="0.25">
      <c r="A14551" s="11" t="s">
        <v>28409</v>
      </c>
      <c r="B14551" s="11" t="s">
        <v>28409</v>
      </c>
      <c r="C14551" s="11" t="s">
        <v>17</v>
      </c>
      <c r="D14551" s="11" t="s">
        <v>18</v>
      </c>
      <c r="E14551" s="12" t="s">
        <v>1512</v>
      </c>
      <c r="F14551" s="12" t="s">
        <v>1513</v>
      </c>
      <c r="G14551" s="12" t="s">
        <v>40</v>
      </c>
      <c r="H14551" s="11" t="s">
        <v>63</v>
      </c>
      <c r="I14551" s="13" t="s">
        <v>28410</v>
      </c>
      <c r="J14551" s="14" t="str">
        <f>HYPERLINK("https://www.boe.es/gazeta/dias/1839/04/13/pdfs/GMD-1839-1610.pdf#page=2","Abrir facsímil")</f>
        <v>Abrir facsímil</v>
      </c>
      <c r="K14551" s="12" t="s">
        <v>65</v>
      </c>
    </row>
    <row r="14552" spans="1:11" ht="40.049999999999997" customHeight="1" x14ac:dyDescent="0.25">
      <c r="A14552" s="11" t="s">
        <v>28411</v>
      </c>
      <c r="B14552" s="11" t="s">
        <v>28412</v>
      </c>
      <c r="C14552" s="11" t="s">
        <v>80</v>
      </c>
      <c r="D14552" s="11" t="s">
        <v>18</v>
      </c>
      <c r="E14552" s="12" t="s">
        <v>2320</v>
      </c>
      <c r="F14552" s="12" t="s">
        <v>2321</v>
      </c>
      <c r="G14552" s="12" t="s">
        <v>46</v>
      </c>
      <c r="H14552" s="11" t="s">
        <v>63</v>
      </c>
      <c r="I14552" s="13" t="s">
        <v>28413</v>
      </c>
      <c r="J14552" s="14" t="str">
        <f>HYPERLINK("https://www.boe.es/gazeta/dias/1839/11/13/pdfs/GMD-1839-1830.pdf#page=3","Abrir facsímil")</f>
        <v>Abrir facsímil</v>
      </c>
      <c r="K14552" s="12" t="s">
        <v>65</v>
      </c>
    </row>
    <row r="14553" spans="1:11" ht="40.049999999999997" customHeight="1" x14ac:dyDescent="0.25">
      <c r="A14553" s="11" t="s">
        <v>28414</v>
      </c>
      <c r="B14553" s="11" t="s">
        <v>28414</v>
      </c>
      <c r="C14553" s="11" t="s">
        <v>101</v>
      </c>
      <c r="D14553" s="11" t="s">
        <v>102</v>
      </c>
      <c r="E14553" s="12" t="s">
        <v>992</v>
      </c>
      <c r="F14553" s="12" t="s">
        <v>993</v>
      </c>
      <c r="G14553" s="12" t="s">
        <v>40</v>
      </c>
      <c r="H14553" s="11" t="s">
        <v>63</v>
      </c>
      <c r="I14553" s="13" t="s">
        <v>28415</v>
      </c>
      <c r="J14553" s="14" t="str">
        <f>HYPERLINK("https://www.boe.es/gazeta/dias/1839/02/18/pdfs/GMD-1839-1556.pdf#page=2","Abrir facsímil")</f>
        <v>Abrir facsímil</v>
      </c>
      <c r="K14553" s="12" t="s">
        <v>65</v>
      </c>
    </row>
    <row r="14554" spans="1:11" ht="40.049999999999997" customHeight="1" x14ac:dyDescent="0.25">
      <c r="A14554" s="11" t="s">
        <v>28416</v>
      </c>
      <c r="B14554" s="11" t="s">
        <v>28416</v>
      </c>
      <c r="C14554" s="11" t="s">
        <v>80</v>
      </c>
      <c r="D14554" s="11" t="s">
        <v>173</v>
      </c>
      <c r="E14554" s="12" t="s">
        <v>1467</v>
      </c>
      <c r="F14554" s="12" t="s">
        <v>1468</v>
      </c>
      <c r="G14554" s="12" t="s">
        <v>40</v>
      </c>
      <c r="H14554" s="11" t="s">
        <v>63</v>
      </c>
      <c r="I14554" s="13" t="s">
        <v>28417</v>
      </c>
      <c r="J14554" s="14" t="str">
        <f>HYPERLINK("https://www.boe.es/gazeta/dias/1839/03/05/pdfs/GMD-1839-1571.pdf#page=2","Abrir facsímil")</f>
        <v>Abrir facsímil</v>
      </c>
      <c r="K14554" s="12" t="s">
        <v>65</v>
      </c>
    </row>
    <row r="14555" spans="1:11" ht="40.049999999999997" customHeight="1" x14ac:dyDescent="0.25">
      <c r="A14555" s="11" t="s">
        <v>28418</v>
      </c>
      <c r="B14555" s="11" t="s">
        <v>28418</v>
      </c>
      <c r="C14555" s="11" t="s">
        <v>17</v>
      </c>
      <c r="D14555" s="11" t="s">
        <v>18</v>
      </c>
      <c r="E14555" s="12" t="s">
        <v>2320</v>
      </c>
      <c r="F14555" s="12" t="s">
        <v>2321</v>
      </c>
      <c r="G14555" s="12" t="s">
        <v>21</v>
      </c>
      <c r="H14555" s="11" t="s">
        <v>63</v>
      </c>
      <c r="I14555" s="13" t="s">
        <v>28419</v>
      </c>
      <c r="J14555" s="14" t="str">
        <f>HYPERLINK("https://www.boe.es/gazeta/dias/1839/11/13/pdfs/GMD-1839-1830.pdf#page=4","Abrir facsímil")</f>
        <v>Abrir facsímil</v>
      </c>
      <c r="K14555" s="12" t="s">
        <v>65</v>
      </c>
    </row>
    <row r="14556" spans="1:11" ht="40.049999999999997" customHeight="1" x14ac:dyDescent="0.25">
      <c r="A14556" s="11" t="s">
        <v>28418</v>
      </c>
      <c r="B14556" s="11" t="s">
        <v>28418</v>
      </c>
      <c r="C14556" s="11" t="s">
        <v>17</v>
      </c>
      <c r="D14556" s="11" t="s">
        <v>18</v>
      </c>
      <c r="E14556" s="12" t="s">
        <v>1474</v>
      </c>
      <c r="F14556" s="12" t="s">
        <v>1475</v>
      </c>
      <c r="G14556" s="12" t="s">
        <v>21</v>
      </c>
      <c r="H14556" s="11" t="s">
        <v>63</v>
      </c>
      <c r="I14556" s="13" t="s">
        <v>28420</v>
      </c>
      <c r="J14556" s="14" t="str">
        <f>HYPERLINK("https://www.boe.es/gazeta/dias/1839/02/28/pdfs/GMD-1839-1566.pdf#page=4","Abrir facsímil")</f>
        <v>Abrir facsímil</v>
      </c>
      <c r="K14556" s="12" t="s">
        <v>65</v>
      </c>
    </row>
    <row r="14557" spans="1:11" ht="40.049999999999997" customHeight="1" x14ac:dyDescent="0.25">
      <c r="A14557" s="11" t="s">
        <v>28421</v>
      </c>
      <c r="B14557" s="11" t="s">
        <v>28422</v>
      </c>
      <c r="C14557" s="11" t="s">
        <v>59</v>
      </c>
      <c r="D14557" s="11" t="s">
        <v>60</v>
      </c>
      <c r="E14557" s="12" t="s">
        <v>1378</v>
      </c>
      <c r="F14557" s="12" t="s">
        <v>1379</v>
      </c>
      <c r="G14557" s="12" t="s">
        <v>21</v>
      </c>
      <c r="H14557" s="11" t="s">
        <v>63</v>
      </c>
      <c r="I14557" s="13" t="s">
        <v>28423</v>
      </c>
      <c r="J14557" s="14" t="str">
        <f>HYPERLINK("https://www.boe.es/gazeta/dias/1839/05/18/pdfs/GMD-1839-1645.pdf#page=4","Abrir facsímil")</f>
        <v>Abrir facsímil</v>
      </c>
      <c r="K14557" s="12" t="s">
        <v>65</v>
      </c>
    </row>
    <row r="14558" spans="1:11" ht="40.049999999999997" customHeight="1" x14ac:dyDescent="0.25">
      <c r="A14558" s="11" t="s">
        <v>28424</v>
      </c>
      <c r="B14558" s="11" t="s">
        <v>28425</v>
      </c>
      <c r="C14558" s="11" t="s">
        <v>17</v>
      </c>
      <c r="D14558" s="11" t="s">
        <v>18</v>
      </c>
      <c r="E14558" s="12" t="s">
        <v>239</v>
      </c>
      <c r="F14558" s="12" t="s">
        <v>240</v>
      </c>
      <c r="G14558" s="12" t="s">
        <v>21</v>
      </c>
      <c r="H14558" s="11" t="s">
        <v>22</v>
      </c>
      <c r="I14558" s="13" t="s">
        <v>28426</v>
      </c>
      <c r="J14558" s="14" t="str">
        <f>HYPERLINK("https://www.boe.es/gazeta/dias/1839/09/22/pdfs/GMD-1839-1777.pdf#page=4","Abrir facsímil")</f>
        <v>Abrir facsímil</v>
      </c>
      <c r="K14558" s="12" t="s">
        <v>24</v>
      </c>
    </row>
    <row r="14559" spans="1:11" ht="40.049999999999997" customHeight="1" x14ac:dyDescent="0.25">
      <c r="A14559" s="11" t="s">
        <v>28427</v>
      </c>
      <c r="B14559" s="11" t="s">
        <v>28428</v>
      </c>
      <c r="C14559" s="11" t="s">
        <v>80</v>
      </c>
      <c r="D14559" s="11" t="s">
        <v>18</v>
      </c>
      <c r="E14559" s="12" t="s">
        <v>817</v>
      </c>
      <c r="F14559" s="12" t="s">
        <v>818</v>
      </c>
      <c r="G14559" s="12" t="s">
        <v>21</v>
      </c>
      <c r="H14559" s="11" t="s">
        <v>63</v>
      </c>
      <c r="I14559" s="13" t="s">
        <v>28429</v>
      </c>
      <c r="J14559" s="14" t="str">
        <f>HYPERLINK("https://www.boe.es/gazeta/dias/1839/05/28/pdfs/GMD-1839-1655.pdf#page=4","Abrir facsímil")</f>
        <v>Abrir facsímil</v>
      </c>
      <c r="K14559" s="12" t="s">
        <v>65</v>
      </c>
    </row>
    <row r="14560" spans="1:11" ht="40.049999999999997" customHeight="1" x14ac:dyDescent="0.25">
      <c r="A14560" s="11" t="s">
        <v>28430</v>
      </c>
      <c r="B14560" s="11" t="s">
        <v>28430</v>
      </c>
      <c r="C14560" s="11" t="s">
        <v>17</v>
      </c>
      <c r="D14560" s="11" t="s">
        <v>18</v>
      </c>
      <c r="E14560" s="12" t="s">
        <v>744</v>
      </c>
      <c r="F14560" s="12" t="s">
        <v>745</v>
      </c>
      <c r="G14560" s="12" t="s">
        <v>46</v>
      </c>
      <c r="H14560" s="11" t="s">
        <v>63</v>
      </c>
      <c r="I14560" s="13" t="s">
        <v>28431</v>
      </c>
      <c r="J14560" s="14" t="str">
        <f>HYPERLINK("https://www.boe.es/gazeta/dias/1839/12/09/pdfs/GMD-1839-1856.pdf#page=3","Abrir facsímil")</f>
        <v>Abrir facsímil</v>
      </c>
      <c r="K14560" s="12" t="s">
        <v>65</v>
      </c>
    </row>
    <row r="14561" spans="1:11" ht="40.049999999999997" customHeight="1" x14ac:dyDescent="0.25">
      <c r="A14561" s="11" t="s">
        <v>28432</v>
      </c>
      <c r="B14561" s="11" t="s">
        <v>28433</v>
      </c>
      <c r="C14561" s="11" t="s">
        <v>17</v>
      </c>
      <c r="D14561" s="11" t="s">
        <v>18</v>
      </c>
      <c r="E14561" s="12" t="s">
        <v>2491</v>
      </c>
      <c r="F14561" s="12" t="s">
        <v>2492</v>
      </c>
      <c r="G14561" s="12" t="s">
        <v>21</v>
      </c>
      <c r="H14561" s="11" t="s">
        <v>22</v>
      </c>
      <c r="I14561" s="13" t="s">
        <v>28434</v>
      </c>
      <c r="J14561" s="14" t="str">
        <f>HYPERLINK("https://www.boe.es/gazeta/dias/1839/05/01/pdfs/GMD-1839-1628.pdf#page=4","Abrir facsímil")</f>
        <v>Abrir facsímil</v>
      </c>
      <c r="K14561" s="12" t="s">
        <v>24</v>
      </c>
    </row>
    <row r="14562" spans="1:11" ht="40.049999999999997" customHeight="1" x14ac:dyDescent="0.25">
      <c r="A14562" s="11" t="s">
        <v>28435</v>
      </c>
      <c r="B14562" s="11" t="s">
        <v>28435</v>
      </c>
      <c r="C14562" s="11" t="s">
        <v>80</v>
      </c>
      <c r="D14562" s="11" t="s">
        <v>18</v>
      </c>
      <c r="E14562" s="12" t="s">
        <v>2227</v>
      </c>
      <c r="F14562" s="12" t="s">
        <v>2228</v>
      </c>
      <c r="G14562" s="12" t="s">
        <v>21</v>
      </c>
      <c r="H14562" s="11" t="s">
        <v>22</v>
      </c>
      <c r="I14562" s="13" t="s">
        <v>28436</v>
      </c>
      <c r="J14562" s="14" t="str">
        <f>HYPERLINK("https://www.boe.es/gazeta/dias/1839/12/04/pdfs/GMD-1839-1851.pdf#page=4","Abrir facsímil")</f>
        <v>Abrir facsímil</v>
      </c>
      <c r="K14562" s="12" t="s">
        <v>24</v>
      </c>
    </row>
    <row r="14563" spans="1:11" ht="40.049999999999997" customHeight="1" x14ac:dyDescent="0.25">
      <c r="A14563" s="11" t="s">
        <v>28437</v>
      </c>
      <c r="B14563" s="11" t="s">
        <v>28437</v>
      </c>
      <c r="C14563" s="11" t="s">
        <v>17</v>
      </c>
      <c r="D14563" s="11" t="s">
        <v>18</v>
      </c>
      <c r="E14563" s="12" t="s">
        <v>94</v>
      </c>
      <c r="F14563" s="12" t="s">
        <v>95</v>
      </c>
      <c r="G14563" s="12" t="s">
        <v>21</v>
      </c>
      <c r="H14563" s="11" t="s">
        <v>63</v>
      </c>
      <c r="I14563" s="13" t="s">
        <v>28438</v>
      </c>
      <c r="J14563" s="14" t="str">
        <f>HYPERLINK("https://www.boe.es/gazeta/dias/1839/02/24/pdfs/GMD-1839-1562.pdf#page=4","Abrir facsímil")</f>
        <v>Abrir facsímil</v>
      </c>
      <c r="K14563" s="12" t="s">
        <v>65</v>
      </c>
    </row>
    <row r="14564" spans="1:11" ht="40.049999999999997" customHeight="1" x14ac:dyDescent="0.25">
      <c r="A14564" s="11" t="s">
        <v>28439</v>
      </c>
      <c r="B14564" s="11" t="s">
        <v>28439</v>
      </c>
      <c r="C14564" s="11" t="s">
        <v>17</v>
      </c>
      <c r="D14564" s="11" t="s">
        <v>18</v>
      </c>
      <c r="E14564" s="12" t="s">
        <v>217</v>
      </c>
      <c r="F14564" s="12" t="s">
        <v>218</v>
      </c>
      <c r="G14564" s="12" t="s">
        <v>40</v>
      </c>
      <c r="H14564" s="11" t="s">
        <v>22</v>
      </c>
      <c r="I14564" s="13" t="s">
        <v>28440</v>
      </c>
      <c r="J14564" s="14" t="str">
        <f>HYPERLINK("https://www.boe.es/gazeta/dias/1839/08/06/pdfs/GMD-1839-1726.pdf#page=2","Abrir facsímil")</f>
        <v>Abrir facsímil</v>
      </c>
      <c r="K14564" s="12" t="s">
        <v>24</v>
      </c>
    </row>
    <row r="14565" spans="1:11" ht="40.049999999999997" customHeight="1" x14ac:dyDescent="0.25">
      <c r="A14565" s="11" t="s">
        <v>28441</v>
      </c>
      <c r="B14565" s="11" t="s">
        <v>28441</v>
      </c>
      <c r="C14565" s="11" t="s">
        <v>80</v>
      </c>
      <c r="D14565" s="11" t="s">
        <v>18</v>
      </c>
      <c r="E14565" s="12" t="s">
        <v>1729</v>
      </c>
      <c r="F14565" s="12" t="s">
        <v>1730</v>
      </c>
      <c r="G14565" s="12" t="s">
        <v>29</v>
      </c>
      <c r="H14565" s="11" t="s">
        <v>22</v>
      </c>
      <c r="I14565" s="13" t="s">
        <v>28442</v>
      </c>
      <c r="J14565" s="14" t="str">
        <f>HYPERLINK("https://www.boe.es/gazeta/dias/1839/04/25/pdfs/GMD-1839-1622.pdf#page=1","Abrir facsímil")</f>
        <v>Abrir facsímil</v>
      </c>
      <c r="K14565" s="12" t="s">
        <v>24</v>
      </c>
    </row>
    <row r="14566" spans="1:11" ht="40.049999999999997" customHeight="1" x14ac:dyDescent="0.25">
      <c r="A14566" s="11" t="s">
        <v>28443</v>
      </c>
      <c r="B14566" s="11" t="s">
        <v>28443</v>
      </c>
      <c r="C14566" s="11" t="s">
        <v>17</v>
      </c>
      <c r="D14566" s="11" t="s">
        <v>18</v>
      </c>
      <c r="E14566" s="12" t="s">
        <v>54</v>
      </c>
      <c r="F14566" s="12" t="s">
        <v>55</v>
      </c>
      <c r="G14566" s="12" t="s">
        <v>46</v>
      </c>
      <c r="H14566" s="11" t="s">
        <v>22</v>
      </c>
      <c r="I14566" s="13" t="s">
        <v>28444</v>
      </c>
      <c r="J14566" s="14" t="str">
        <f>HYPERLINK("https://www.boe.es/gazeta/dias/1839/10/05/pdfs/GMD-1839-1791.pdf#page=3","Abrir facsímil")</f>
        <v>Abrir facsímil</v>
      </c>
      <c r="K14566" s="12" t="s">
        <v>24</v>
      </c>
    </row>
    <row r="14567" spans="1:11" ht="40.049999999999997" customHeight="1" x14ac:dyDescent="0.25">
      <c r="A14567" s="11" t="s">
        <v>28445</v>
      </c>
      <c r="B14567" s="11" t="s">
        <v>28446</v>
      </c>
      <c r="C14567" s="11" t="s">
        <v>80</v>
      </c>
      <c r="D14567" s="11" t="s">
        <v>18</v>
      </c>
      <c r="E14567" s="12" t="s">
        <v>1749</v>
      </c>
      <c r="F14567" s="12" t="s">
        <v>1750</v>
      </c>
      <c r="G14567" s="12" t="s">
        <v>21</v>
      </c>
      <c r="H14567" s="11" t="s">
        <v>22</v>
      </c>
      <c r="I14567" s="13" t="s">
        <v>28447</v>
      </c>
      <c r="J14567" s="14" t="str">
        <f>HYPERLINK("https://www.boe.es/gazeta/dias/1839/06/28/pdfs/GMD-1839-1686.pdf#page=4","Abrir facsímil")</f>
        <v>Abrir facsímil</v>
      </c>
      <c r="K14567" s="12" t="s">
        <v>24</v>
      </c>
    </row>
    <row r="14568" spans="1:11" ht="40.049999999999997" customHeight="1" x14ac:dyDescent="0.25">
      <c r="A14568" s="11" t="s">
        <v>28448</v>
      </c>
      <c r="B14568" s="11" t="s">
        <v>28449</v>
      </c>
      <c r="C14568" s="11" t="s">
        <v>17</v>
      </c>
      <c r="D14568" s="11" t="s">
        <v>43</v>
      </c>
      <c r="E14568" s="12" t="s">
        <v>1725</v>
      </c>
      <c r="F14568" s="12" t="s">
        <v>1726</v>
      </c>
      <c r="G14568" s="12" t="s">
        <v>21</v>
      </c>
      <c r="H14568" s="11" t="s">
        <v>22</v>
      </c>
      <c r="I14568" s="13" t="s">
        <v>28450</v>
      </c>
      <c r="J14568" s="14" t="str">
        <f>HYPERLINK("https://www.boe.es/gazeta/dias/1839/11/17/pdfs/GMD-1839-1834.pdf#page=4","Abrir facsímil")</f>
        <v>Abrir facsímil</v>
      </c>
      <c r="K14568" s="12" t="s">
        <v>24</v>
      </c>
    </row>
    <row r="14569" spans="1:11" ht="40.049999999999997" customHeight="1" x14ac:dyDescent="0.25">
      <c r="A14569" s="11" t="s">
        <v>28451</v>
      </c>
      <c r="B14569" s="11" t="s">
        <v>28452</v>
      </c>
      <c r="C14569" s="11" t="s">
        <v>17</v>
      </c>
      <c r="D14569" s="11" t="s">
        <v>18</v>
      </c>
      <c r="E14569" s="12" t="s">
        <v>207</v>
      </c>
      <c r="F14569" s="12" t="s">
        <v>208</v>
      </c>
      <c r="G14569" s="12" t="s">
        <v>21</v>
      </c>
      <c r="H14569" s="11" t="s">
        <v>63</v>
      </c>
      <c r="I14569" s="13" t="s">
        <v>28453</v>
      </c>
      <c r="J14569" s="14" t="str">
        <f>HYPERLINK("https://www.boe.es/gazeta/dias/1839/02/19/pdfs/GMD-1839-1557.pdf#page=4","Abrir facsímil")</f>
        <v>Abrir facsímil</v>
      </c>
      <c r="K14569" s="12" t="s">
        <v>65</v>
      </c>
    </row>
    <row r="14570" spans="1:11" ht="40.049999999999997" customHeight="1" x14ac:dyDescent="0.25">
      <c r="A14570" s="11" t="s">
        <v>28454</v>
      </c>
      <c r="B14570" s="11" t="s">
        <v>28455</v>
      </c>
      <c r="C14570" s="11" t="s">
        <v>80</v>
      </c>
      <c r="D14570" s="11" t="s">
        <v>18</v>
      </c>
      <c r="E14570" s="12" t="s">
        <v>798</v>
      </c>
      <c r="F14570" s="12" t="s">
        <v>799</v>
      </c>
      <c r="G14570" s="12" t="s">
        <v>21</v>
      </c>
      <c r="H14570" s="11" t="s">
        <v>63</v>
      </c>
      <c r="I14570" s="13" t="s">
        <v>28456</v>
      </c>
      <c r="J14570" s="14" t="str">
        <f>HYPERLINK("https://www.boe.es/gazeta/dias/1839/09/03/pdfs/GMD-1839-1755.pdf#page=4","Abrir facsímil")</f>
        <v>Abrir facsímil</v>
      </c>
      <c r="K14570" s="12" t="s">
        <v>65</v>
      </c>
    </row>
    <row r="14571" spans="1:11" ht="40.049999999999997" customHeight="1" x14ac:dyDescent="0.25">
      <c r="A14571" s="11" t="s">
        <v>28457</v>
      </c>
      <c r="B14571" s="11" t="s">
        <v>28458</v>
      </c>
      <c r="C14571" s="11" t="s">
        <v>101</v>
      </c>
      <c r="D14571" s="11" t="s">
        <v>43</v>
      </c>
      <c r="E14571" s="12" t="s">
        <v>1891</v>
      </c>
      <c r="F14571" s="12" t="s">
        <v>1892</v>
      </c>
      <c r="G14571" s="12" t="s">
        <v>21</v>
      </c>
      <c r="H14571" s="11" t="s">
        <v>63</v>
      </c>
      <c r="I14571" s="13" t="s">
        <v>28459</v>
      </c>
      <c r="J14571" s="14" t="str">
        <f>HYPERLINK("https://www.boe.es/gazeta/dias/1839/12/14/pdfs/GMD-1839-1861.pdf#page=4","Abrir facsímil")</f>
        <v>Abrir facsímil</v>
      </c>
      <c r="K14571" s="12" t="s">
        <v>65</v>
      </c>
    </row>
    <row r="14572" spans="1:11" ht="40.049999999999997" customHeight="1" x14ac:dyDescent="0.25">
      <c r="A14572" s="11" t="s">
        <v>28460</v>
      </c>
      <c r="B14572" s="11" t="s">
        <v>28461</v>
      </c>
      <c r="C14572" s="11" t="s">
        <v>17</v>
      </c>
      <c r="D14572" s="11" t="s">
        <v>18</v>
      </c>
      <c r="E14572" s="12" t="s">
        <v>44</v>
      </c>
      <c r="F14572" s="12" t="s">
        <v>45</v>
      </c>
      <c r="G14572" s="12" t="s">
        <v>21</v>
      </c>
      <c r="H14572" s="11" t="s">
        <v>63</v>
      </c>
      <c r="I14572" s="13" t="s">
        <v>28462</v>
      </c>
      <c r="J14572" s="14" t="str">
        <f>HYPERLINK("https://www.boe.es/gazeta/dias/1839/11/15/pdfs/GMD-1839-1832.pdf#page=4","Abrir facsímil")</f>
        <v>Abrir facsímil</v>
      </c>
      <c r="K14572" s="12" t="s">
        <v>65</v>
      </c>
    </row>
    <row r="14573" spans="1:11" ht="40.049999999999997" customHeight="1" x14ac:dyDescent="0.25">
      <c r="A14573" s="11" t="s">
        <v>28463</v>
      </c>
      <c r="B14573" s="11" t="s">
        <v>28464</v>
      </c>
      <c r="C14573" s="11" t="s">
        <v>80</v>
      </c>
      <c r="D14573" s="11" t="s">
        <v>18</v>
      </c>
      <c r="E14573" s="12" t="s">
        <v>2449</v>
      </c>
      <c r="F14573" s="12" t="s">
        <v>2450</v>
      </c>
      <c r="G14573" s="12" t="s">
        <v>21</v>
      </c>
      <c r="H14573" s="11" t="s">
        <v>63</v>
      </c>
      <c r="I14573" s="13" t="s">
        <v>28465</v>
      </c>
      <c r="J14573" s="14" t="str">
        <f>HYPERLINK("https://www.boe.es/gazeta/dias/1839/12/11/pdfs/GMD-1839-1858.pdf#page=4","Abrir facsímil")</f>
        <v>Abrir facsímil</v>
      </c>
      <c r="K14573" s="12" t="s">
        <v>65</v>
      </c>
    </row>
    <row r="14574" spans="1:11" ht="40.049999999999997" customHeight="1" x14ac:dyDescent="0.25">
      <c r="A14574" s="11" t="s">
        <v>28466</v>
      </c>
      <c r="B14574" s="11" t="s">
        <v>28467</v>
      </c>
      <c r="C14574" s="11" t="s">
        <v>80</v>
      </c>
      <c r="D14574" s="11" t="s">
        <v>18</v>
      </c>
      <c r="E14574" s="12" t="s">
        <v>1891</v>
      </c>
      <c r="F14574" s="12" t="s">
        <v>1892</v>
      </c>
      <c r="G14574" s="12" t="s">
        <v>21</v>
      </c>
      <c r="H14574" s="11" t="s">
        <v>63</v>
      </c>
      <c r="I14574" s="13" t="s">
        <v>28468</v>
      </c>
      <c r="J14574" s="14" t="str">
        <f>HYPERLINK("https://www.boe.es/gazeta/dias/1839/12/14/pdfs/GMD-1839-1861.pdf#page=4","Abrir facsímil")</f>
        <v>Abrir facsímil</v>
      </c>
      <c r="K14574" s="12" t="s">
        <v>65</v>
      </c>
    </row>
    <row r="14575" spans="1:11" ht="40.049999999999997" customHeight="1" x14ac:dyDescent="0.25">
      <c r="A14575" s="11" t="s">
        <v>28466</v>
      </c>
      <c r="B14575" s="11" t="s">
        <v>28467</v>
      </c>
      <c r="C14575" s="11" t="s">
        <v>80</v>
      </c>
      <c r="D14575" s="11" t="s">
        <v>18</v>
      </c>
      <c r="E14575" s="12" t="s">
        <v>1497</v>
      </c>
      <c r="F14575" s="12" t="s">
        <v>1498</v>
      </c>
      <c r="G14575" s="12" t="s">
        <v>21</v>
      </c>
      <c r="H14575" s="11" t="s">
        <v>63</v>
      </c>
      <c r="I14575" s="13" t="s">
        <v>28469</v>
      </c>
      <c r="J14575" s="14" t="str">
        <f>HYPERLINK("https://www.boe.es/gazeta/dias/1839/08/23/pdfs/GMD-1839-1744.pdf#page=4","Abrir facsímil")</f>
        <v>Abrir facsímil</v>
      </c>
      <c r="K14575" s="12" t="s">
        <v>65</v>
      </c>
    </row>
    <row r="14576" spans="1:11" ht="40.049999999999997" customHeight="1" x14ac:dyDescent="0.25">
      <c r="A14576" s="11" t="s">
        <v>28470</v>
      </c>
      <c r="B14576" s="11" t="s">
        <v>28471</v>
      </c>
      <c r="C14576" s="11" t="s">
        <v>101</v>
      </c>
      <c r="D14576" s="11" t="s">
        <v>102</v>
      </c>
      <c r="E14576" s="12" t="s">
        <v>372</v>
      </c>
      <c r="F14576" s="12" t="s">
        <v>373</v>
      </c>
      <c r="G14576" s="12" t="s">
        <v>21</v>
      </c>
      <c r="H14576" s="11" t="s">
        <v>63</v>
      </c>
      <c r="I14576" s="13" t="s">
        <v>28472</v>
      </c>
      <c r="J14576" s="14" t="str">
        <f>HYPERLINK("https://www.boe.es/gazeta/dias/1839/11/08/pdfs/GMD-1839-1825.pdf#page=4","Abrir facsímil")</f>
        <v>Abrir facsímil</v>
      </c>
      <c r="K14576" s="12" t="s">
        <v>65</v>
      </c>
    </row>
    <row r="14577" spans="1:11" ht="40.049999999999997" customHeight="1" x14ac:dyDescent="0.25">
      <c r="A14577" s="11" t="s">
        <v>28473</v>
      </c>
      <c r="B14577" s="11" t="s">
        <v>28474</v>
      </c>
      <c r="C14577" s="11" t="s">
        <v>17</v>
      </c>
      <c r="D14577" s="11" t="s">
        <v>18</v>
      </c>
      <c r="E14577" s="12" t="s">
        <v>4451</v>
      </c>
      <c r="F14577" s="12" t="s">
        <v>4452</v>
      </c>
      <c r="G14577" s="12" t="s">
        <v>21</v>
      </c>
      <c r="H14577" s="11" t="s">
        <v>63</v>
      </c>
      <c r="I14577" s="13" t="s">
        <v>28475</v>
      </c>
      <c r="J14577" s="14" t="str">
        <f>HYPERLINK("https://www.boe.es/gazeta/dias/1839/12/02/pdfs/GMD-1839-1849.pdf#page=4","Abrir facsímil")</f>
        <v>Abrir facsímil</v>
      </c>
      <c r="K14577" s="12" t="s">
        <v>65</v>
      </c>
    </row>
    <row r="14578" spans="1:11" ht="40.049999999999997" customHeight="1" x14ac:dyDescent="0.25">
      <c r="A14578" s="11" t="s">
        <v>28476</v>
      </c>
      <c r="B14578" s="11" t="s">
        <v>28477</v>
      </c>
      <c r="C14578" s="11" t="s">
        <v>80</v>
      </c>
      <c r="D14578" s="11" t="s">
        <v>18</v>
      </c>
      <c r="E14578" s="12" t="s">
        <v>544</v>
      </c>
      <c r="F14578" s="12" t="s">
        <v>545</v>
      </c>
      <c r="G14578" s="12" t="s">
        <v>21</v>
      </c>
      <c r="H14578" s="11" t="s">
        <v>63</v>
      </c>
      <c r="I14578" s="13" t="s">
        <v>28478</v>
      </c>
      <c r="J14578" s="14" t="str">
        <f>HYPERLINK("https://www.boe.es/gazeta/dias/1839/11/11/pdfs/GMD-1839-1828.pdf#page=4","Abrir facsímil")</f>
        <v>Abrir facsímil</v>
      </c>
      <c r="K14578" s="12" t="s">
        <v>65</v>
      </c>
    </row>
    <row r="14579" spans="1:11" ht="40.049999999999997" customHeight="1" x14ac:dyDescent="0.25">
      <c r="A14579" s="11" t="s">
        <v>28479</v>
      </c>
      <c r="B14579" s="11" t="s">
        <v>28480</v>
      </c>
      <c r="C14579" s="11" t="s">
        <v>80</v>
      </c>
      <c r="D14579" s="11" t="s">
        <v>18</v>
      </c>
      <c r="E14579" s="12" t="s">
        <v>68</v>
      </c>
      <c r="F14579" s="12" t="s">
        <v>69</v>
      </c>
      <c r="G14579" s="12" t="s">
        <v>21</v>
      </c>
      <c r="H14579" s="11" t="s">
        <v>63</v>
      </c>
      <c r="I14579" s="13" t="s">
        <v>28481</v>
      </c>
      <c r="J14579" s="14" t="str">
        <f>HYPERLINK("https://www.boe.es/gazeta/dias/1839/02/09/pdfs/GMD-1839-1547.pdf#page=4","Abrir facsímil")</f>
        <v>Abrir facsímil</v>
      </c>
      <c r="K14579" s="12" t="s">
        <v>65</v>
      </c>
    </row>
    <row r="14580" spans="1:11" ht="40.049999999999997" customHeight="1" x14ac:dyDescent="0.25">
      <c r="A14580" s="11" t="s">
        <v>28482</v>
      </c>
      <c r="B14580" s="11" t="s">
        <v>28483</v>
      </c>
      <c r="C14580" s="11" t="s">
        <v>80</v>
      </c>
      <c r="D14580" s="11" t="s">
        <v>18</v>
      </c>
      <c r="E14580" s="12" t="s">
        <v>1497</v>
      </c>
      <c r="F14580" s="12" t="s">
        <v>1498</v>
      </c>
      <c r="G14580" s="12" t="s">
        <v>21</v>
      </c>
      <c r="H14580" s="11" t="s">
        <v>63</v>
      </c>
      <c r="I14580" s="13" t="s">
        <v>28484</v>
      </c>
      <c r="J14580" s="14" t="str">
        <f>HYPERLINK("https://www.boe.es/gazeta/dias/1839/08/23/pdfs/GMD-1839-1744.pdf#page=4","Abrir facsímil")</f>
        <v>Abrir facsímil</v>
      </c>
      <c r="K14580" s="12" t="s">
        <v>65</v>
      </c>
    </row>
    <row r="14581" spans="1:11" ht="40.049999999999997" customHeight="1" x14ac:dyDescent="0.25">
      <c r="A14581" s="11" t="s">
        <v>28485</v>
      </c>
      <c r="B14581" s="11" t="s">
        <v>28486</v>
      </c>
      <c r="C14581" s="11" t="s">
        <v>80</v>
      </c>
      <c r="D14581" s="11" t="s">
        <v>18</v>
      </c>
      <c r="E14581" s="12" t="s">
        <v>272</v>
      </c>
      <c r="F14581" s="12" t="s">
        <v>273</v>
      </c>
      <c r="G14581" s="12" t="s">
        <v>21</v>
      </c>
      <c r="H14581" s="11" t="s">
        <v>63</v>
      </c>
      <c r="I14581" s="13" t="s">
        <v>28487</v>
      </c>
      <c r="J14581" s="14" t="str">
        <f>HYPERLINK("https://www.boe.es/gazeta/dias/1839/02/12/pdfs/GMD-1839-1550.pdf#page=4","Abrir facsímil")</f>
        <v>Abrir facsímil</v>
      </c>
      <c r="K14581" s="12" t="s">
        <v>65</v>
      </c>
    </row>
    <row r="14582" spans="1:11" ht="40.049999999999997" customHeight="1" x14ac:dyDescent="0.25">
      <c r="A14582" s="11" t="s">
        <v>28488</v>
      </c>
      <c r="B14582" s="11" t="s">
        <v>28489</v>
      </c>
      <c r="C14582" s="11" t="s">
        <v>17</v>
      </c>
      <c r="D14582" s="11" t="s">
        <v>18</v>
      </c>
      <c r="E14582" s="12" t="s">
        <v>1520</v>
      </c>
      <c r="F14582" s="12" t="s">
        <v>1521</v>
      </c>
      <c r="G14582" s="12" t="s">
        <v>21</v>
      </c>
      <c r="H14582" s="11" t="s">
        <v>63</v>
      </c>
      <c r="I14582" s="13" t="s">
        <v>28490</v>
      </c>
      <c r="J14582" s="14" t="str">
        <f>HYPERLINK("https://www.boe.es/gazeta/dias/1839/12/27/pdfs/GMD-1839-1874.pdf#page=4","Abrir facsímil")</f>
        <v>Abrir facsímil</v>
      </c>
      <c r="K14582" s="12" t="s">
        <v>65</v>
      </c>
    </row>
    <row r="14583" spans="1:11" ht="40.049999999999997" customHeight="1" x14ac:dyDescent="0.25">
      <c r="A14583" s="11" t="s">
        <v>28491</v>
      </c>
      <c r="B14583" s="11" t="s">
        <v>28492</v>
      </c>
      <c r="C14583" s="11" t="s">
        <v>80</v>
      </c>
      <c r="D14583" s="11" t="s">
        <v>18</v>
      </c>
      <c r="E14583" s="12" t="s">
        <v>1666</v>
      </c>
      <c r="F14583" s="12" t="s">
        <v>1667</v>
      </c>
      <c r="G14583" s="12" t="s">
        <v>21</v>
      </c>
      <c r="H14583" s="11" t="s">
        <v>63</v>
      </c>
      <c r="I14583" s="13" t="s">
        <v>28493</v>
      </c>
      <c r="J14583" s="14" t="str">
        <f>HYPERLINK("https://www.boe.es/gazeta/dias/1839/04/22/pdfs/GMD-1839-1619.pdf#page=4","Abrir facsímil")</f>
        <v>Abrir facsímil</v>
      </c>
      <c r="K14583" s="12" t="s">
        <v>65</v>
      </c>
    </row>
    <row r="14584" spans="1:11" ht="40.049999999999997" customHeight="1" x14ac:dyDescent="0.25">
      <c r="A14584" s="11" t="s">
        <v>28494</v>
      </c>
      <c r="B14584" s="11" t="s">
        <v>28495</v>
      </c>
      <c r="C14584" s="11" t="s">
        <v>80</v>
      </c>
      <c r="D14584" s="11" t="s">
        <v>18</v>
      </c>
      <c r="E14584" s="12" t="s">
        <v>3391</v>
      </c>
      <c r="F14584" s="12" t="s">
        <v>3392</v>
      </c>
      <c r="G14584" s="12" t="s">
        <v>21</v>
      </c>
      <c r="H14584" s="11" t="s">
        <v>63</v>
      </c>
      <c r="I14584" s="13" t="s">
        <v>28496</v>
      </c>
      <c r="J14584" s="14" t="str">
        <f>HYPERLINK("https://www.boe.es/gazeta/dias/1839/12/31/pdfs/GMD-1839-1878.pdf#page=4","Abrir facsímil")</f>
        <v>Abrir facsímil</v>
      </c>
      <c r="K14584" s="12" t="s">
        <v>65</v>
      </c>
    </row>
    <row r="14585" spans="1:11" ht="40.049999999999997" customHeight="1" x14ac:dyDescent="0.25">
      <c r="A14585" s="11" t="s">
        <v>28497</v>
      </c>
      <c r="B14585" s="11" t="s">
        <v>28498</v>
      </c>
      <c r="C14585" s="11" t="s">
        <v>17</v>
      </c>
      <c r="D14585" s="11" t="s">
        <v>18</v>
      </c>
      <c r="E14585" s="12" t="s">
        <v>1520</v>
      </c>
      <c r="F14585" s="12" t="s">
        <v>1521</v>
      </c>
      <c r="G14585" s="12" t="s">
        <v>21</v>
      </c>
      <c r="H14585" s="11" t="s">
        <v>63</v>
      </c>
      <c r="I14585" s="13" t="s">
        <v>28499</v>
      </c>
      <c r="J14585" s="14" t="str">
        <f>HYPERLINK("https://www.boe.es/gazeta/dias/1839/12/27/pdfs/GMD-1839-1874.pdf#page=4","Abrir facsímil")</f>
        <v>Abrir facsímil</v>
      </c>
      <c r="K14585" s="12" t="s">
        <v>65</v>
      </c>
    </row>
    <row r="14586" spans="1:11" ht="40.049999999999997" customHeight="1" x14ac:dyDescent="0.25">
      <c r="A14586" s="11" t="s">
        <v>28500</v>
      </c>
      <c r="B14586" s="11" t="s">
        <v>28500</v>
      </c>
      <c r="C14586" s="11" t="s">
        <v>17</v>
      </c>
      <c r="D14586" s="11" t="s">
        <v>43</v>
      </c>
      <c r="E14586" s="12" t="s">
        <v>1057</v>
      </c>
      <c r="F14586" s="12" t="s">
        <v>1058</v>
      </c>
      <c r="G14586" s="12" t="s">
        <v>29</v>
      </c>
      <c r="H14586" s="11" t="s">
        <v>63</v>
      </c>
      <c r="I14586" s="13" t="s">
        <v>28501</v>
      </c>
      <c r="J14586" s="14" t="str">
        <f>HYPERLINK("https://www.boe.es/gazeta/dias/1839/10/01/pdfs/GMD-1839-1787.pdf#page=1","Abrir facsímil")</f>
        <v>Abrir facsímil</v>
      </c>
      <c r="K14586" s="12" t="s">
        <v>65</v>
      </c>
    </row>
    <row r="14587" spans="1:11" ht="40.049999999999997" customHeight="1" x14ac:dyDescent="0.25">
      <c r="A14587" s="11" t="s">
        <v>28500</v>
      </c>
      <c r="B14587" s="11" t="s">
        <v>28500</v>
      </c>
      <c r="C14587" s="11" t="s">
        <v>17</v>
      </c>
      <c r="D14587" s="11" t="s">
        <v>18</v>
      </c>
      <c r="E14587" s="12" t="s">
        <v>226</v>
      </c>
      <c r="F14587" s="12" t="s">
        <v>227</v>
      </c>
      <c r="G14587" s="12" t="s">
        <v>21</v>
      </c>
      <c r="H14587" s="11" t="s">
        <v>63</v>
      </c>
      <c r="I14587" s="13" t="s">
        <v>28502</v>
      </c>
      <c r="J14587" s="14" t="str">
        <f>HYPERLINK("https://www.boe.es/gazeta/dias/1839/06/09/pdfs/GMD-1839-1667.pdf#page=4","Abrir facsímil")</f>
        <v>Abrir facsímil</v>
      </c>
      <c r="K14587" s="12" t="s">
        <v>65</v>
      </c>
    </row>
    <row r="14588" spans="1:11" ht="40.049999999999997" customHeight="1" x14ac:dyDescent="0.25">
      <c r="A14588" s="11" t="s">
        <v>28503</v>
      </c>
      <c r="B14588" s="11" t="s">
        <v>28504</v>
      </c>
      <c r="C14588" s="11" t="s">
        <v>137</v>
      </c>
      <c r="D14588" s="11" t="s">
        <v>18</v>
      </c>
      <c r="E14588" s="12" t="s">
        <v>2117</v>
      </c>
      <c r="F14588" s="12" t="s">
        <v>2118</v>
      </c>
      <c r="G14588" s="12" t="s">
        <v>29</v>
      </c>
      <c r="H14588" s="11" t="s">
        <v>63</v>
      </c>
      <c r="I14588" s="13" t="s">
        <v>28505</v>
      </c>
      <c r="J14588" s="14" t="str">
        <f>HYPERLINK("https://www.boe.es/gazeta/dias/1839/06/23/pdfs/GMD-1839-1681.pdf#page=1","Abrir facsímil")</f>
        <v>Abrir facsímil</v>
      </c>
      <c r="K14588" s="12" t="s">
        <v>65</v>
      </c>
    </row>
    <row r="14589" spans="1:11" ht="40.049999999999997" customHeight="1" x14ac:dyDescent="0.25">
      <c r="A14589" s="11" t="s">
        <v>28506</v>
      </c>
      <c r="B14589" s="11" t="s">
        <v>28506</v>
      </c>
      <c r="C14589" s="11" t="s">
        <v>17</v>
      </c>
      <c r="D14589" s="11" t="s">
        <v>18</v>
      </c>
      <c r="E14589" s="12" t="s">
        <v>1623</v>
      </c>
      <c r="F14589" s="12" t="s">
        <v>1624</v>
      </c>
      <c r="G14589" s="12" t="s">
        <v>46</v>
      </c>
      <c r="H14589" s="11" t="s">
        <v>63</v>
      </c>
      <c r="I14589" s="13" t="s">
        <v>28507</v>
      </c>
      <c r="J14589" s="14" t="str">
        <f>HYPERLINK("https://www.boe.es/gazeta/dias/1839/04/07/pdfs/GMD-1839-1604.pdf#page=3","Abrir facsímil")</f>
        <v>Abrir facsímil</v>
      </c>
      <c r="K14589" s="12" t="s">
        <v>65</v>
      </c>
    </row>
    <row r="14590" spans="1:11" ht="40.049999999999997" customHeight="1" x14ac:dyDescent="0.25">
      <c r="A14590" s="11" t="s">
        <v>28506</v>
      </c>
      <c r="B14590" s="11" t="s">
        <v>28506</v>
      </c>
      <c r="C14590" s="11" t="s">
        <v>101</v>
      </c>
      <c r="D14590" s="11" t="s">
        <v>43</v>
      </c>
      <c r="E14590" s="12" t="s">
        <v>1391</v>
      </c>
      <c r="F14590" s="12" t="s">
        <v>1392</v>
      </c>
      <c r="G14590" s="12" t="s">
        <v>21</v>
      </c>
      <c r="H14590" s="11" t="s">
        <v>63</v>
      </c>
      <c r="I14590" s="13" t="s">
        <v>28508</v>
      </c>
      <c r="J14590" s="14" t="str">
        <f>HYPERLINK("https://www.boe.es/gazeta/dias/1839/05/12/pdfs/GMD-1839-1639.pdf#page=4","Abrir facsímil")</f>
        <v>Abrir facsímil</v>
      </c>
      <c r="K14590" s="12" t="s">
        <v>65</v>
      </c>
    </row>
    <row r="14591" spans="1:11" ht="40.049999999999997" customHeight="1" x14ac:dyDescent="0.25">
      <c r="A14591" s="11" t="s">
        <v>28509</v>
      </c>
      <c r="B14591" s="11" t="s">
        <v>28509</v>
      </c>
      <c r="C14591" s="11" t="s">
        <v>17</v>
      </c>
      <c r="D14591" s="11" t="s">
        <v>18</v>
      </c>
      <c r="E14591" s="12" t="s">
        <v>883</v>
      </c>
      <c r="F14591" s="12" t="s">
        <v>884</v>
      </c>
      <c r="G14591" s="12" t="s">
        <v>40</v>
      </c>
      <c r="H14591" s="11" t="s">
        <v>63</v>
      </c>
      <c r="I14591" s="13" t="s">
        <v>28510</v>
      </c>
      <c r="J14591" s="14" t="str">
        <f>HYPERLINK("https://www.boe.es/gazeta/dias/1839/11/03/pdfs/GMD-1839-1820.pdf#page=2","Abrir facsímil")</f>
        <v>Abrir facsímil</v>
      </c>
      <c r="K14591" s="12" t="s">
        <v>65</v>
      </c>
    </row>
    <row r="14592" spans="1:11" ht="40.049999999999997" customHeight="1" x14ac:dyDescent="0.25">
      <c r="A14592" s="11" t="s">
        <v>28511</v>
      </c>
      <c r="B14592" s="11" t="s">
        <v>28511</v>
      </c>
      <c r="C14592" s="11" t="s">
        <v>59</v>
      </c>
      <c r="D14592" s="11" t="s">
        <v>60</v>
      </c>
      <c r="E14592" s="12" t="s">
        <v>49</v>
      </c>
      <c r="F14592" s="12" t="s">
        <v>50</v>
      </c>
      <c r="G14592" s="12" t="s">
        <v>21</v>
      </c>
      <c r="H14592" s="11" t="s">
        <v>22</v>
      </c>
      <c r="I14592" s="13" t="s">
        <v>28512</v>
      </c>
      <c r="J14592" s="14" t="str">
        <f>HYPERLINK("https://www.boe.es/gazeta/dias/1839/01/05/pdfs/GMD-1839-1512.pdf#page=4","Abrir facsímil")</f>
        <v>Abrir facsímil</v>
      </c>
      <c r="K14592" s="12" t="s">
        <v>24</v>
      </c>
    </row>
    <row r="14593" spans="1:11" ht="40.049999999999997" customHeight="1" x14ac:dyDescent="0.25">
      <c r="A14593" s="11" t="s">
        <v>28513</v>
      </c>
      <c r="B14593" s="11" t="s">
        <v>28514</v>
      </c>
      <c r="C14593" s="11" t="s">
        <v>59</v>
      </c>
      <c r="D14593" s="11" t="s">
        <v>60</v>
      </c>
      <c r="E14593" s="12" t="s">
        <v>592</v>
      </c>
      <c r="F14593" s="12" t="s">
        <v>593</v>
      </c>
      <c r="G14593" s="12" t="s">
        <v>29</v>
      </c>
      <c r="H14593" s="11" t="s">
        <v>63</v>
      </c>
      <c r="I14593" s="13" t="s">
        <v>28515</v>
      </c>
      <c r="J14593" s="14" t="str">
        <f>HYPERLINK("https://www.boe.es/gazeta/dias/1839/09/14/pdfs/GMD-1839-1767.pdf#page=1","Abrir facsímil")</f>
        <v>Abrir facsímil</v>
      </c>
      <c r="K14593" s="12" t="s">
        <v>65</v>
      </c>
    </row>
    <row r="14594" spans="1:11" ht="40.049999999999997" customHeight="1" x14ac:dyDescent="0.25">
      <c r="A14594" s="11" t="s">
        <v>28516</v>
      </c>
      <c r="B14594" s="11" t="s">
        <v>28516</v>
      </c>
      <c r="C14594" s="11" t="s">
        <v>17</v>
      </c>
      <c r="D14594" s="11" t="s">
        <v>18</v>
      </c>
      <c r="E14594" s="12" t="s">
        <v>132</v>
      </c>
      <c r="F14594" s="12" t="s">
        <v>133</v>
      </c>
      <c r="G14594" s="12" t="s">
        <v>46</v>
      </c>
      <c r="H14594" s="11" t="s">
        <v>22</v>
      </c>
      <c r="I14594" s="13" t="s">
        <v>28517</v>
      </c>
      <c r="J14594" s="14" t="str">
        <f>HYPERLINK("https://www.boe.es/gazeta/dias/1839/08/02/pdfs/GMD-1839-1722.pdf#page=3","Abrir facsímil")</f>
        <v>Abrir facsímil</v>
      </c>
      <c r="K14594" s="12" t="s">
        <v>24</v>
      </c>
    </row>
    <row r="14595" spans="1:11" ht="40.049999999999997" customHeight="1" x14ac:dyDescent="0.25">
      <c r="A14595" s="11" t="s">
        <v>28518</v>
      </c>
      <c r="B14595" s="11" t="s">
        <v>28519</v>
      </c>
      <c r="C14595" s="11" t="s">
        <v>17</v>
      </c>
      <c r="D14595" s="11" t="s">
        <v>18</v>
      </c>
      <c r="E14595" s="12" t="s">
        <v>4787</v>
      </c>
      <c r="F14595" s="12" t="s">
        <v>4788</v>
      </c>
      <c r="G14595" s="12" t="s">
        <v>46</v>
      </c>
      <c r="H14595" s="11" t="s">
        <v>22</v>
      </c>
      <c r="I14595" s="13" t="s">
        <v>28520</v>
      </c>
      <c r="J14595" s="14" t="str">
        <f>HYPERLINK("https://www.boe.es/gazeta/dias/1839/05/26/pdfs/GMD-1839-1653.pdf#page=3","Abrir facsímil")</f>
        <v>Abrir facsímil</v>
      </c>
      <c r="K14595" s="12" t="s">
        <v>24</v>
      </c>
    </row>
    <row r="14596" spans="1:11" ht="40.049999999999997" customHeight="1" x14ac:dyDescent="0.25">
      <c r="A14596" s="11" t="s">
        <v>28521</v>
      </c>
      <c r="B14596" s="11" t="s">
        <v>28521</v>
      </c>
      <c r="C14596" s="11" t="s">
        <v>59</v>
      </c>
      <c r="D14596" s="11" t="s">
        <v>60</v>
      </c>
      <c r="E14596" s="12" t="s">
        <v>1648</v>
      </c>
      <c r="F14596" s="12" t="s">
        <v>2458</v>
      </c>
      <c r="G14596" s="12" t="s">
        <v>29</v>
      </c>
      <c r="H14596" s="11" t="s">
        <v>63</v>
      </c>
      <c r="I14596" s="13" t="s">
        <v>28522</v>
      </c>
      <c r="J14596" s="14" t="str">
        <f>HYPERLINK("https://www.boe.es/datos/pdfs/BOE//1839/1739/E00001-00001.pdf#page=1","Abrir facsímil")</f>
        <v>Abrir facsímil</v>
      </c>
      <c r="K14596" s="12" t="s">
        <v>65</v>
      </c>
    </row>
    <row r="14597" spans="1:11" ht="40.049999999999997" customHeight="1" x14ac:dyDescent="0.25">
      <c r="A14597" s="11" t="s">
        <v>28523</v>
      </c>
      <c r="B14597" s="11" t="s">
        <v>28524</v>
      </c>
      <c r="C14597" s="11" t="s">
        <v>101</v>
      </c>
      <c r="D14597" s="11" t="s">
        <v>43</v>
      </c>
      <c r="E14597" s="12" t="s">
        <v>236</v>
      </c>
      <c r="F14597" s="12" t="s">
        <v>237</v>
      </c>
      <c r="G14597" s="12" t="s">
        <v>21</v>
      </c>
      <c r="H14597" s="11" t="s">
        <v>63</v>
      </c>
      <c r="I14597" s="13" t="s">
        <v>28525</v>
      </c>
      <c r="J14597" s="14" t="str">
        <f>HYPERLINK("https://www.boe.es/gazeta/dias/1839/09/18/pdfs/GMD-1839-1771.pdf#page=4","Abrir facsímil")</f>
        <v>Abrir facsímil</v>
      </c>
      <c r="K14597" s="12" t="s">
        <v>65</v>
      </c>
    </row>
    <row r="14598" spans="1:11" ht="40.049999999999997" customHeight="1" x14ac:dyDescent="0.25">
      <c r="A14598" s="11" t="s">
        <v>28526</v>
      </c>
      <c r="B14598" s="11" t="s">
        <v>28527</v>
      </c>
      <c r="C14598" s="11" t="s">
        <v>80</v>
      </c>
      <c r="D14598" s="11" t="s">
        <v>18</v>
      </c>
      <c r="E14598" s="12" t="s">
        <v>2738</v>
      </c>
      <c r="F14598" s="12" t="s">
        <v>2739</v>
      </c>
      <c r="G14598" s="12" t="s">
        <v>29</v>
      </c>
      <c r="H14598" s="11" t="s">
        <v>63</v>
      </c>
      <c r="I14598" s="13" t="s">
        <v>28528</v>
      </c>
      <c r="J14598" s="14" t="str">
        <f>HYPERLINK("https://www.boe.es/gazeta/dias/1839/09/06/pdfs/GMD-1839-1759.pdf#page=1","Abrir facsímil")</f>
        <v>Abrir facsímil</v>
      </c>
      <c r="K14598" s="12" t="s">
        <v>65</v>
      </c>
    </row>
    <row r="14599" spans="1:11" ht="40.049999999999997" customHeight="1" x14ac:dyDescent="0.25">
      <c r="A14599" s="11" t="s">
        <v>28526</v>
      </c>
      <c r="B14599" s="11" t="s">
        <v>28527</v>
      </c>
      <c r="C14599" s="11" t="s">
        <v>17</v>
      </c>
      <c r="D14599" s="11" t="s">
        <v>18</v>
      </c>
      <c r="E14599" s="12" t="s">
        <v>233</v>
      </c>
      <c r="F14599" s="12" t="s">
        <v>234</v>
      </c>
      <c r="G14599" s="12" t="s">
        <v>21</v>
      </c>
      <c r="H14599" s="11" t="s">
        <v>63</v>
      </c>
      <c r="I14599" s="13" t="s">
        <v>28529</v>
      </c>
      <c r="J14599" s="14" t="str">
        <f>HYPERLINK("https://www.boe.es/gazeta/dias/1839/09/17/pdfs/GMD-1839-1770.pdf#page=4","Abrir facsímil")</f>
        <v>Abrir facsímil</v>
      </c>
      <c r="K14599" s="12" t="s">
        <v>65</v>
      </c>
    </row>
    <row r="14600" spans="1:11" ht="40.049999999999997" customHeight="1" x14ac:dyDescent="0.25">
      <c r="A14600" s="11" t="s">
        <v>28526</v>
      </c>
      <c r="B14600" s="11" t="s">
        <v>28527</v>
      </c>
      <c r="C14600" s="11" t="s">
        <v>17</v>
      </c>
      <c r="D14600" s="11" t="s">
        <v>18</v>
      </c>
      <c r="E14600" s="12" t="s">
        <v>826</v>
      </c>
      <c r="F14600" s="12" t="s">
        <v>827</v>
      </c>
      <c r="G14600" s="12" t="s">
        <v>21</v>
      </c>
      <c r="H14600" s="11" t="s">
        <v>63</v>
      </c>
      <c r="I14600" s="13" t="s">
        <v>28530</v>
      </c>
      <c r="J14600" s="14" t="str">
        <f>HYPERLINK("https://www.boe.es/gazeta/dias/1839/09/25/pdfs/GMD-1839-1781.pdf#page=4","Abrir facsímil")</f>
        <v>Abrir facsímil</v>
      </c>
      <c r="K14600" s="12" t="s">
        <v>65</v>
      </c>
    </row>
    <row r="14601" spans="1:11" ht="40.049999999999997" customHeight="1" x14ac:dyDescent="0.25">
      <c r="A14601" s="11" t="s">
        <v>28531</v>
      </c>
      <c r="B14601" s="11" t="s">
        <v>28532</v>
      </c>
      <c r="C14601" s="11" t="s">
        <v>59</v>
      </c>
      <c r="D14601" s="11" t="s">
        <v>60</v>
      </c>
      <c r="E14601" s="12" t="s">
        <v>258</v>
      </c>
      <c r="F14601" s="12" t="s">
        <v>259</v>
      </c>
      <c r="G14601" s="12" t="s">
        <v>29</v>
      </c>
      <c r="H14601" s="11" t="s">
        <v>63</v>
      </c>
      <c r="I14601" s="13" t="s">
        <v>28533</v>
      </c>
      <c r="J14601" s="14" t="str">
        <f>HYPERLINK("https://www.boe.es/gazeta/dias/1839/01/02/pdfs/GMD-1839-1509.pdf#page=1","Abrir facsímil")</f>
        <v>Abrir facsímil</v>
      </c>
      <c r="K14601" s="12" t="s">
        <v>65</v>
      </c>
    </row>
    <row r="14602" spans="1:11" ht="40.049999999999997" customHeight="1" x14ac:dyDescent="0.25">
      <c r="A14602" s="11" t="s">
        <v>28534</v>
      </c>
      <c r="B14602" s="11" t="s">
        <v>28535</v>
      </c>
      <c r="C14602" s="11" t="s">
        <v>80</v>
      </c>
      <c r="D14602" s="11" t="s">
        <v>18</v>
      </c>
      <c r="E14602" s="12" t="s">
        <v>3391</v>
      </c>
      <c r="F14602" s="12" t="s">
        <v>3392</v>
      </c>
      <c r="G14602" s="12" t="s">
        <v>21</v>
      </c>
      <c r="H14602" s="11" t="s">
        <v>22</v>
      </c>
      <c r="I14602" s="13" t="s">
        <v>28536</v>
      </c>
      <c r="J14602" s="14" t="str">
        <f>HYPERLINK("https://www.boe.es/gazeta/dias/1839/12/31/pdfs/GMD-1839-1878.pdf#page=4","Abrir facsímil")</f>
        <v>Abrir facsímil</v>
      </c>
      <c r="K14602" s="12" t="s">
        <v>24</v>
      </c>
    </row>
    <row r="14603" spans="1:11" ht="40.049999999999997" customHeight="1" x14ac:dyDescent="0.25">
      <c r="A14603" s="11" t="s">
        <v>28537</v>
      </c>
      <c r="B14603" s="11" t="s">
        <v>28538</v>
      </c>
      <c r="C14603" s="11" t="s">
        <v>80</v>
      </c>
      <c r="D14603" s="11" t="s">
        <v>18</v>
      </c>
      <c r="E14603" s="12" t="s">
        <v>782</v>
      </c>
      <c r="F14603" s="12" t="s">
        <v>783</v>
      </c>
      <c r="G14603" s="12" t="s">
        <v>21</v>
      </c>
      <c r="H14603" s="11" t="s">
        <v>63</v>
      </c>
      <c r="I14603" s="13" t="s">
        <v>28539</v>
      </c>
      <c r="J14603" s="14" t="str">
        <f>HYPERLINK("https://www.boe.es/gazeta/dias/1839/05/09/pdfs/GMD-1839-1636.pdf#page=4","Abrir facsímil")</f>
        <v>Abrir facsímil</v>
      </c>
      <c r="K14603" s="12" t="s">
        <v>65</v>
      </c>
    </row>
    <row r="14604" spans="1:11" ht="40.049999999999997" customHeight="1" x14ac:dyDescent="0.25">
      <c r="A14604" s="11" t="s">
        <v>28540</v>
      </c>
      <c r="B14604" s="11" t="s">
        <v>28540</v>
      </c>
      <c r="C14604" s="11" t="s">
        <v>59</v>
      </c>
      <c r="D14604" s="11" t="s">
        <v>60</v>
      </c>
      <c r="E14604" s="12" t="s">
        <v>821</v>
      </c>
      <c r="F14604" s="12" t="s">
        <v>822</v>
      </c>
      <c r="G14604" s="12" t="s">
        <v>29</v>
      </c>
      <c r="H14604" s="11" t="s">
        <v>63</v>
      </c>
      <c r="I14604" s="13" t="s">
        <v>28541</v>
      </c>
      <c r="J14604" s="14" t="str">
        <f>HYPERLINK("https://www.boe.es/gazeta/dias/1839/09/20/pdfs/GMD-1839-1775.pdf#page=1","Abrir facsímil")</f>
        <v>Abrir facsímil</v>
      </c>
      <c r="K14604" s="12" t="s">
        <v>65</v>
      </c>
    </row>
    <row r="14605" spans="1:11" ht="40.049999999999997" customHeight="1" x14ac:dyDescent="0.25">
      <c r="A14605" s="11" t="s">
        <v>28542</v>
      </c>
      <c r="B14605" s="11" t="s">
        <v>28542</v>
      </c>
      <c r="C14605" s="11" t="s">
        <v>17</v>
      </c>
      <c r="D14605" s="11" t="s">
        <v>18</v>
      </c>
      <c r="E14605" s="12" t="s">
        <v>548</v>
      </c>
      <c r="F14605" s="12" t="s">
        <v>549</v>
      </c>
      <c r="G14605" s="12" t="s">
        <v>40</v>
      </c>
      <c r="H14605" s="11" t="s">
        <v>63</v>
      </c>
      <c r="I14605" s="13" t="s">
        <v>28543</v>
      </c>
      <c r="J14605" s="14" t="str">
        <f>HYPERLINK("https://www.boe.es/gazeta/dias/1839/06/06/pdfs/GMD-1839-1664.pdf#page=2","Abrir facsímil")</f>
        <v>Abrir facsímil</v>
      </c>
      <c r="K14605" s="12" t="s">
        <v>65</v>
      </c>
    </row>
    <row r="14606" spans="1:11" ht="40.049999999999997" customHeight="1" x14ac:dyDescent="0.25">
      <c r="A14606" s="11" t="s">
        <v>28542</v>
      </c>
      <c r="B14606" s="11" t="s">
        <v>28542</v>
      </c>
      <c r="C14606" s="11" t="s">
        <v>17</v>
      </c>
      <c r="D14606" s="11" t="s">
        <v>18</v>
      </c>
      <c r="E14606" s="12" t="s">
        <v>1391</v>
      </c>
      <c r="F14606" s="12" t="s">
        <v>1392</v>
      </c>
      <c r="G14606" s="12" t="s">
        <v>29</v>
      </c>
      <c r="H14606" s="11" t="s">
        <v>63</v>
      </c>
      <c r="I14606" s="13" t="s">
        <v>28544</v>
      </c>
      <c r="J14606" s="14" t="str">
        <f>HYPERLINK("https://www.boe.es/gazeta/dias/1839/05/12/pdfs/GMD-1839-1639.pdf#page=1","Abrir facsímil")</f>
        <v>Abrir facsímil</v>
      </c>
      <c r="K14606" s="12" t="s">
        <v>65</v>
      </c>
    </row>
    <row r="14607" spans="1:11" ht="40.049999999999997" customHeight="1" x14ac:dyDescent="0.25">
      <c r="A14607" s="11" t="s">
        <v>28545</v>
      </c>
      <c r="B14607" s="11" t="s">
        <v>28545</v>
      </c>
      <c r="C14607" s="11" t="s">
        <v>17</v>
      </c>
      <c r="D14607" s="11" t="s">
        <v>18</v>
      </c>
      <c r="E14607" s="12" t="s">
        <v>1606</v>
      </c>
      <c r="F14607" s="12" t="s">
        <v>1607</v>
      </c>
      <c r="G14607" s="12" t="s">
        <v>29</v>
      </c>
      <c r="H14607" s="11" t="s">
        <v>22</v>
      </c>
      <c r="I14607" s="13" t="s">
        <v>28546</v>
      </c>
      <c r="J14607" s="14" t="str">
        <f>HYPERLINK("https://www.boe.es/gazeta/dias/1839/07/02/pdfs/GMD-1839-1690.pdf#page=1","Abrir facsímil")</f>
        <v>Abrir facsímil</v>
      </c>
      <c r="K14607" s="12" t="s">
        <v>24</v>
      </c>
    </row>
    <row r="14608" spans="1:11" ht="40.049999999999997" customHeight="1" x14ac:dyDescent="0.25">
      <c r="A14608" s="11" t="s">
        <v>28545</v>
      </c>
      <c r="B14608" s="11" t="s">
        <v>28545</v>
      </c>
      <c r="C14608" s="11" t="s">
        <v>17</v>
      </c>
      <c r="D14608" s="11" t="s">
        <v>18</v>
      </c>
      <c r="E14608" s="12" t="s">
        <v>4957</v>
      </c>
      <c r="F14608" s="12" t="s">
        <v>4958</v>
      </c>
      <c r="G14608" s="12" t="s">
        <v>29</v>
      </c>
      <c r="H14608" s="11" t="s">
        <v>22</v>
      </c>
      <c r="I14608" s="13" t="s">
        <v>28547</v>
      </c>
      <c r="J14608" s="14" t="str">
        <f>HYPERLINK("https://www.boe.es/gazeta/dias/1839/11/04/pdfs/GMD-1839-1821.pdf#page=1","Abrir facsímil")</f>
        <v>Abrir facsímil</v>
      </c>
      <c r="K14608" s="12" t="s">
        <v>24</v>
      </c>
    </row>
    <row r="14609" spans="1:11" ht="40.049999999999997" customHeight="1" x14ac:dyDescent="0.25">
      <c r="A14609" s="11" t="s">
        <v>28545</v>
      </c>
      <c r="B14609" s="11" t="s">
        <v>28545</v>
      </c>
      <c r="C14609" s="11" t="s">
        <v>80</v>
      </c>
      <c r="D14609" s="11" t="s">
        <v>18</v>
      </c>
      <c r="E14609" s="12" t="s">
        <v>202</v>
      </c>
      <c r="F14609" s="12" t="s">
        <v>203</v>
      </c>
      <c r="G14609" s="12" t="s">
        <v>29</v>
      </c>
      <c r="H14609" s="11" t="s">
        <v>22</v>
      </c>
      <c r="I14609" s="13" t="s">
        <v>28548</v>
      </c>
      <c r="J14609" s="14" t="str">
        <f>HYPERLINK("https://www.boe.es/gazeta/dias/1839/04/05/pdfs/GMD-1839-1602.pdf#page=1","Abrir facsímil")</f>
        <v>Abrir facsímil</v>
      </c>
      <c r="K14609" s="12" t="s">
        <v>24</v>
      </c>
    </row>
    <row r="14610" spans="1:11" ht="40.049999999999997" customHeight="1" x14ac:dyDescent="0.25">
      <c r="A14610" s="11" t="s">
        <v>28545</v>
      </c>
      <c r="B14610" s="11" t="s">
        <v>28545</v>
      </c>
      <c r="C14610" s="11" t="s">
        <v>137</v>
      </c>
      <c r="D14610" s="11" t="s">
        <v>18</v>
      </c>
      <c r="E14610" s="12" t="s">
        <v>202</v>
      </c>
      <c r="F14610" s="12" t="s">
        <v>203</v>
      </c>
      <c r="G14610" s="12" t="s">
        <v>40</v>
      </c>
      <c r="H14610" s="11" t="s">
        <v>22</v>
      </c>
      <c r="I14610" s="13" t="s">
        <v>28549</v>
      </c>
      <c r="J14610" s="14" t="str">
        <f>HYPERLINK("https://www.boe.es/gazeta/dias/1839/04/05/pdfs/GMD-1839-1602.pdf#page=2","Abrir facsímil")</f>
        <v>Abrir facsímil</v>
      </c>
      <c r="K14610" s="12" t="s">
        <v>24</v>
      </c>
    </row>
    <row r="14611" spans="1:11" ht="40.049999999999997" customHeight="1" x14ac:dyDescent="0.25">
      <c r="A14611" s="11" t="s">
        <v>28545</v>
      </c>
      <c r="B14611" s="11" t="s">
        <v>28545</v>
      </c>
      <c r="C14611" s="11" t="s">
        <v>59</v>
      </c>
      <c r="D14611" s="11" t="s">
        <v>60</v>
      </c>
      <c r="E14611" s="12" t="s">
        <v>1340</v>
      </c>
      <c r="F14611" s="12" t="s">
        <v>1341</v>
      </c>
      <c r="G14611" s="12" t="s">
        <v>29</v>
      </c>
      <c r="H14611" s="11" t="s">
        <v>22</v>
      </c>
      <c r="I14611" s="13" t="s">
        <v>28550</v>
      </c>
      <c r="J14611" s="14" t="str">
        <f>HYPERLINK("https://www.boe.es/gazeta/dias/1839/05/05/pdfs/GMD-1839-1632.pdf#page=1","Abrir facsímil")</f>
        <v>Abrir facsímil</v>
      </c>
      <c r="K14611" s="12" t="s">
        <v>24</v>
      </c>
    </row>
    <row r="14612" spans="1:11" ht="40.049999999999997" customHeight="1" x14ac:dyDescent="0.25">
      <c r="A14612" s="11" t="s">
        <v>28545</v>
      </c>
      <c r="B14612" s="11" t="s">
        <v>28545</v>
      </c>
      <c r="C14612" s="11" t="s">
        <v>17</v>
      </c>
      <c r="D14612" s="11" t="s">
        <v>18</v>
      </c>
      <c r="E14612" s="12" t="s">
        <v>1772</v>
      </c>
      <c r="F14612" s="12" t="s">
        <v>1773</v>
      </c>
      <c r="G14612" s="12" t="s">
        <v>29</v>
      </c>
      <c r="H14612" s="11" t="s">
        <v>22</v>
      </c>
      <c r="I14612" s="13" t="s">
        <v>28551</v>
      </c>
      <c r="J14612" s="14" t="str">
        <f>HYPERLINK("https://www.boe.es/gazeta/dias/1839/05/07/pdfs/GMD-1839-1634.pdf#page=1","Abrir facsímil")</f>
        <v>Abrir facsímil</v>
      </c>
      <c r="K14612" s="12" t="s">
        <v>24</v>
      </c>
    </row>
    <row r="14613" spans="1:11" ht="40.049999999999997" customHeight="1" x14ac:dyDescent="0.25">
      <c r="A14613" s="11" t="s">
        <v>28545</v>
      </c>
      <c r="B14613" s="11" t="s">
        <v>28545</v>
      </c>
      <c r="C14613" s="11" t="s">
        <v>17</v>
      </c>
      <c r="D14613" s="11" t="s">
        <v>18</v>
      </c>
      <c r="E14613" s="12" t="s">
        <v>2881</v>
      </c>
      <c r="F14613" s="12" t="s">
        <v>2882</v>
      </c>
      <c r="G14613" s="12" t="s">
        <v>29</v>
      </c>
      <c r="H14613" s="11" t="s">
        <v>22</v>
      </c>
      <c r="I14613" s="13" t="s">
        <v>28552</v>
      </c>
      <c r="J14613" s="14" t="str">
        <f>HYPERLINK("https://www.boe.es/gazeta/dias/1839/05/08/pdfs/GMD-1839-1635.pdf#page=1","Abrir facsímil")</f>
        <v>Abrir facsímil</v>
      </c>
      <c r="K14613" s="12" t="s">
        <v>24</v>
      </c>
    </row>
    <row r="14614" spans="1:11" ht="40.049999999999997" customHeight="1" x14ac:dyDescent="0.25">
      <c r="A14614" s="11" t="s">
        <v>28545</v>
      </c>
      <c r="B14614" s="11" t="s">
        <v>28545</v>
      </c>
      <c r="C14614" s="11" t="s">
        <v>17</v>
      </c>
      <c r="D14614" s="11" t="s">
        <v>18</v>
      </c>
      <c r="E14614" s="12" t="s">
        <v>2107</v>
      </c>
      <c r="F14614" s="12" t="s">
        <v>2108</v>
      </c>
      <c r="G14614" s="12" t="s">
        <v>29</v>
      </c>
      <c r="H14614" s="11" t="s">
        <v>22</v>
      </c>
      <c r="I14614" s="13" t="s">
        <v>28553</v>
      </c>
      <c r="J14614" s="14" t="str">
        <f>HYPERLINK("https://www.boe.es/gazeta/dias/1839/10/11/pdfs/GMD-1839-1797.pdf#page=1","Abrir facsímil")</f>
        <v>Abrir facsímil</v>
      </c>
      <c r="K14614" s="12" t="s">
        <v>24</v>
      </c>
    </row>
    <row r="14615" spans="1:11" ht="40.049999999999997" customHeight="1" x14ac:dyDescent="0.25">
      <c r="A14615" s="11" t="s">
        <v>28545</v>
      </c>
      <c r="B14615" s="11" t="s">
        <v>28545</v>
      </c>
      <c r="C14615" s="11" t="s">
        <v>17</v>
      </c>
      <c r="D14615" s="11" t="s">
        <v>18</v>
      </c>
      <c r="E14615" s="12" t="s">
        <v>834</v>
      </c>
      <c r="F14615" s="12" t="s">
        <v>835</v>
      </c>
      <c r="G14615" s="12" t="s">
        <v>29</v>
      </c>
      <c r="H14615" s="11" t="s">
        <v>22</v>
      </c>
      <c r="I14615" s="13" t="s">
        <v>28554</v>
      </c>
      <c r="J14615" s="14" t="str">
        <f>HYPERLINK("https://www.boe.es/gazeta/dias/1839/08/17/pdfs/GMD-1839-1737.pdf#page=1","Abrir facsímil")</f>
        <v>Abrir facsímil</v>
      </c>
      <c r="K14615" s="12" t="s">
        <v>24</v>
      </c>
    </row>
    <row r="14616" spans="1:11" ht="40.049999999999997" customHeight="1" x14ac:dyDescent="0.25">
      <c r="A14616" s="11" t="s">
        <v>28545</v>
      </c>
      <c r="B14616" s="11" t="s">
        <v>28545</v>
      </c>
      <c r="C14616" s="11" t="s">
        <v>17</v>
      </c>
      <c r="D14616" s="11" t="s">
        <v>18</v>
      </c>
      <c r="E14616" s="12" t="s">
        <v>295</v>
      </c>
      <c r="F14616" s="12" t="s">
        <v>296</v>
      </c>
      <c r="G14616" s="12" t="s">
        <v>29</v>
      </c>
      <c r="H14616" s="11" t="s">
        <v>22</v>
      </c>
      <c r="I14616" s="13" t="s">
        <v>28555</v>
      </c>
      <c r="J14616" s="14" t="str">
        <f>HYPERLINK("https://www.boe.es/gazeta/dias/1839/08/19/pdfs/GMD-1839-1740.pdf#page=1","Abrir facsímil")</f>
        <v>Abrir facsímil</v>
      </c>
      <c r="K14616" s="12" t="s">
        <v>24</v>
      </c>
    </row>
    <row r="14617" spans="1:11" ht="40.049999999999997" customHeight="1" x14ac:dyDescent="0.25">
      <c r="A14617" s="11" t="s">
        <v>28545</v>
      </c>
      <c r="B14617" s="11" t="s">
        <v>28545</v>
      </c>
      <c r="C14617" s="11" t="s">
        <v>17</v>
      </c>
      <c r="D14617" s="11" t="s">
        <v>18</v>
      </c>
      <c r="E14617" s="12" t="s">
        <v>1584</v>
      </c>
      <c r="F14617" s="12" t="s">
        <v>1585</v>
      </c>
      <c r="G14617" s="12" t="s">
        <v>29</v>
      </c>
      <c r="H14617" s="11" t="s">
        <v>22</v>
      </c>
      <c r="I14617" s="13" t="s">
        <v>28556</v>
      </c>
      <c r="J14617" s="14" t="str">
        <f>HYPERLINK("https://www.boe.es/gazeta/dias/1839/11/20/pdfs/GMD-1839-1837.pdf#page=1","Abrir facsímil")</f>
        <v>Abrir facsímil</v>
      </c>
      <c r="K14617" s="12" t="s">
        <v>24</v>
      </c>
    </row>
    <row r="14618" spans="1:11" ht="40.049999999999997" customHeight="1" x14ac:dyDescent="0.25">
      <c r="A14618" s="11" t="s">
        <v>28545</v>
      </c>
      <c r="B14618" s="11" t="s">
        <v>28545</v>
      </c>
      <c r="C14618" s="11" t="s">
        <v>17</v>
      </c>
      <c r="D14618" s="11" t="s">
        <v>18</v>
      </c>
      <c r="E14618" s="12" t="s">
        <v>912</v>
      </c>
      <c r="F14618" s="12" t="s">
        <v>913</v>
      </c>
      <c r="G14618" s="12" t="s">
        <v>29</v>
      </c>
      <c r="H14618" s="11" t="s">
        <v>22</v>
      </c>
      <c r="I14618" s="13" t="s">
        <v>28557</v>
      </c>
      <c r="J14618" s="14" t="str">
        <f>HYPERLINK("https://www.boe.es/gazeta/dias/1839/04/30/pdfs/GMD-1839-1627.pdf#page=1","Abrir facsímil")</f>
        <v>Abrir facsímil</v>
      </c>
      <c r="K14618" s="12" t="s">
        <v>24</v>
      </c>
    </row>
    <row r="14619" spans="1:11" ht="40.049999999999997" customHeight="1" x14ac:dyDescent="0.25">
      <c r="A14619" s="11" t="s">
        <v>28558</v>
      </c>
      <c r="B14619" s="11" t="s">
        <v>28558</v>
      </c>
      <c r="C14619" s="11" t="s">
        <v>17</v>
      </c>
      <c r="D14619" s="11" t="s">
        <v>18</v>
      </c>
      <c r="E14619" s="12" t="s">
        <v>664</v>
      </c>
      <c r="F14619" s="12" t="s">
        <v>665</v>
      </c>
      <c r="G14619" s="12" t="s">
        <v>40</v>
      </c>
      <c r="H14619" s="11" t="s">
        <v>22</v>
      </c>
      <c r="I14619" s="13" t="s">
        <v>28559</v>
      </c>
      <c r="J14619" s="14" t="str">
        <f>HYPERLINK("https://www.boe.es/gazeta/dias/1839/01/24/pdfs/GMD-1839-1531.pdf#page=2","Abrir facsímil")</f>
        <v>Abrir facsímil</v>
      </c>
      <c r="K14619" s="12" t="s">
        <v>24</v>
      </c>
    </row>
    <row r="14620" spans="1:11" ht="40.049999999999997" customHeight="1" x14ac:dyDescent="0.25">
      <c r="A14620" s="11" t="s">
        <v>28560</v>
      </c>
      <c r="B14620" s="11" t="s">
        <v>28560</v>
      </c>
      <c r="C14620" s="11" t="s">
        <v>137</v>
      </c>
      <c r="D14620" s="11" t="s">
        <v>18</v>
      </c>
      <c r="E14620" s="12" t="s">
        <v>2262</v>
      </c>
      <c r="F14620" s="12" t="s">
        <v>2263</v>
      </c>
      <c r="G14620" s="12" t="s">
        <v>29</v>
      </c>
      <c r="H14620" s="11" t="s">
        <v>22</v>
      </c>
      <c r="I14620" s="13" t="s">
        <v>28561</v>
      </c>
      <c r="J14620" s="14" t="str">
        <f>HYPERLINK("https://www.boe.es/gazeta/dias/1839/03/16/pdfs/GMD-1839-1582.pdf#page=1","Abrir facsímil")</f>
        <v>Abrir facsímil</v>
      </c>
      <c r="K14620" s="12" t="s">
        <v>24</v>
      </c>
    </row>
    <row r="14621" spans="1:11" ht="40.049999999999997" customHeight="1" x14ac:dyDescent="0.25">
      <c r="A14621" s="11" t="s">
        <v>28562</v>
      </c>
      <c r="B14621" s="11" t="s">
        <v>28562</v>
      </c>
      <c r="C14621" s="11" t="s">
        <v>17</v>
      </c>
      <c r="D14621" s="11" t="s">
        <v>18</v>
      </c>
      <c r="E14621" s="12" t="s">
        <v>2415</v>
      </c>
      <c r="F14621" s="12" t="s">
        <v>2416</v>
      </c>
      <c r="G14621" s="12" t="s">
        <v>46</v>
      </c>
      <c r="H14621" s="11" t="s">
        <v>63</v>
      </c>
      <c r="I14621" s="13" t="s">
        <v>28563</v>
      </c>
      <c r="J14621" s="14" t="str">
        <f>HYPERLINK("https://www.boe.es/gazeta/dias/1839/12/22/pdfs/GMD-1839-1869.pdf#page=3","Abrir facsímil")</f>
        <v>Abrir facsímil</v>
      </c>
      <c r="K14621" s="12" t="s">
        <v>65</v>
      </c>
    </row>
    <row r="14622" spans="1:11" ht="40.049999999999997" customHeight="1" x14ac:dyDescent="0.25">
      <c r="A14622" s="11" t="s">
        <v>28564</v>
      </c>
      <c r="B14622" s="11" t="s">
        <v>28564</v>
      </c>
      <c r="C14622" s="11" t="s">
        <v>59</v>
      </c>
      <c r="D14622" s="11" t="s">
        <v>60</v>
      </c>
      <c r="E14622" s="12" t="s">
        <v>217</v>
      </c>
      <c r="F14622" s="12" t="s">
        <v>218</v>
      </c>
      <c r="G14622" s="12" t="s">
        <v>29</v>
      </c>
      <c r="H14622" s="11" t="s">
        <v>63</v>
      </c>
      <c r="I14622" s="13" t="s">
        <v>28565</v>
      </c>
      <c r="J14622" s="14" t="str">
        <f>HYPERLINK("https://www.boe.es/gazeta/dias/1839/08/06/pdfs/GMD-1839-1726.pdf#page=1","Abrir facsímil")</f>
        <v>Abrir facsímil</v>
      </c>
      <c r="K14622" s="12" t="s">
        <v>65</v>
      </c>
    </row>
    <row r="14623" spans="1:11" ht="40.049999999999997" customHeight="1" x14ac:dyDescent="0.25">
      <c r="A14623" s="11" t="s">
        <v>28564</v>
      </c>
      <c r="B14623" s="11" t="s">
        <v>28564</v>
      </c>
      <c r="C14623" s="11" t="s">
        <v>17</v>
      </c>
      <c r="D14623" s="11" t="s">
        <v>18</v>
      </c>
      <c r="E14623" s="12" t="s">
        <v>38</v>
      </c>
      <c r="F14623" s="12" t="s">
        <v>39</v>
      </c>
      <c r="G14623" s="12" t="s">
        <v>29</v>
      </c>
      <c r="H14623" s="11" t="s">
        <v>63</v>
      </c>
      <c r="I14623" s="13" t="s">
        <v>28566</v>
      </c>
      <c r="J14623" s="14" t="str">
        <f>HYPERLINK("https://www.boe.es/gazeta/dias/1839/08/08/pdfs/GMD-1839-1728.pdf#page=1","Abrir facsímil")</f>
        <v>Abrir facsímil</v>
      </c>
      <c r="K14623" s="12" t="s">
        <v>65</v>
      </c>
    </row>
    <row r="14624" spans="1:11" ht="40.049999999999997" customHeight="1" x14ac:dyDescent="0.25">
      <c r="A14624" s="11" t="s">
        <v>28564</v>
      </c>
      <c r="B14624" s="11" t="s">
        <v>28564</v>
      </c>
      <c r="C14624" s="11" t="s">
        <v>17</v>
      </c>
      <c r="D14624" s="11" t="s">
        <v>18</v>
      </c>
      <c r="E14624" s="12" t="s">
        <v>272</v>
      </c>
      <c r="F14624" s="12" t="s">
        <v>273</v>
      </c>
      <c r="G14624" s="12" t="s">
        <v>29</v>
      </c>
      <c r="H14624" s="11" t="s">
        <v>63</v>
      </c>
      <c r="I14624" s="13" t="s">
        <v>28567</v>
      </c>
      <c r="J14624" s="14" t="str">
        <f>HYPERLINK("https://www.boe.es/gazeta/dias/1839/02/12/pdfs/GMD-1839-1550.pdf#page=1","Abrir facsímil")</f>
        <v>Abrir facsímil</v>
      </c>
      <c r="K14624" s="12" t="s">
        <v>65</v>
      </c>
    </row>
    <row r="14625" spans="1:11" ht="40.049999999999997" customHeight="1" x14ac:dyDescent="0.25">
      <c r="A14625" s="11" t="s">
        <v>28564</v>
      </c>
      <c r="B14625" s="11" t="s">
        <v>28564</v>
      </c>
      <c r="C14625" s="11" t="s">
        <v>17</v>
      </c>
      <c r="D14625" s="11" t="s">
        <v>18</v>
      </c>
      <c r="E14625" s="12" t="s">
        <v>555</v>
      </c>
      <c r="F14625" s="12" t="s">
        <v>556</v>
      </c>
      <c r="G14625" s="12" t="s">
        <v>29</v>
      </c>
      <c r="H14625" s="11" t="s">
        <v>63</v>
      </c>
      <c r="I14625" s="13" t="s">
        <v>28568</v>
      </c>
      <c r="J14625" s="14" t="str">
        <f>HYPERLINK("https://www.boe.es/gazeta/dias/1839/07/19/pdfs/GMD-1839-1707.pdf#page=1","Abrir facsímil")</f>
        <v>Abrir facsímil</v>
      </c>
      <c r="K14625" s="12" t="s">
        <v>65</v>
      </c>
    </row>
    <row r="14626" spans="1:11" ht="40.049999999999997" customHeight="1" x14ac:dyDescent="0.25">
      <c r="A14626" s="11" t="s">
        <v>28564</v>
      </c>
      <c r="B14626" s="11" t="s">
        <v>28564</v>
      </c>
      <c r="C14626" s="11" t="s">
        <v>17</v>
      </c>
      <c r="D14626" s="11" t="s">
        <v>18</v>
      </c>
      <c r="E14626" s="12" t="s">
        <v>2392</v>
      </c>
      <c r="F14626" s="12" t="s">
        <v>2393</v>
      </c>
      <c r="G14626" s="12" t="s">
        <v>40</v>
      </c>
      <c r="H14626" s="11" t="s">
        <v>63</v>
      </c>
      <c r="I14626" s="13" t="s">
        <v>28569</v>
      </c>
      <c r="J14626" s="14" t="str">
        <f>HYPERLINK("https://www.boe.es/gazeta/dias/1839/05/21/pdfs/GMD-1839-1648.pdf#page=2","Abrir facsímil")</f>
        <v>Abrir facsímil</v>
      </c>
      <c r="K14626" s="12" t="s">
        <v>65</v>
      </c>
    </row>
    <row r="14627" spans="1:11" ht="40.049999999999997" customHeight="1" x14ac:dyDescent="0.25">
      <c r="A14627" s="11" t="s">
        <v>28564</v>
      </c>
      <c r="B14627" s="11" t="s">
        <v>28564</v>
      </c>
      <c r="C14627" s="11" t="s">
        <v>59</v>
      </c>
      <c r="D14627" s="11" t="s">
        <v>60</v>
      </c>
      <c r="E14627" s="12" t="s">
        <v>1208</v>
      </c>
      <c r="F14627" s="12" t="s">
        <v>1209</v>
      </c>
      <c r="G14627" s="12" t="s">
        <v>29</v>
      </c>
      <c r="H14627" s="11" t="s">
        <v>63</v>
      </c>
      <c r="I14627" s="13" t="s">
        <v>28570</v>
      </c>
      <c r="J14627" s="14" t="str">
        <f>HYPERLINK("https://www.boe.es/gazeta/dias/1839/04/24/pdfs/GMD-1839-1621.pdf#page=1","Abrir facsímil")</f>
        <v>Abrir facsímil</v>
      </c>
      <c r="K14627" s="12" t="s">
        <v>65</v>
      </c>
    </row>
    <row r="14628" spans="1:11" ht="40.049999999999997" customHeight="1" x14ac:dyDescent="0.25">
      <c r="A14628" s="11" t="s">
        <v>28564</v>
      </c>
      <c r="B14628" s="11" t="s">
        <v>28564</v>
      </c>
      <c r="C14628" s="11" t="s">
        <v>17</v>
      </c>
      <c r="D14628" s="11" t="s">
        <v>18</v>
      </c>
      <c r="E14628" s="12" t="s">
        <v>1446</v>
      </c>
      <c r="F14628" s="12" t="s">
        <v>1447</v>
      </c>
      <c r="G14628" s="12" t="s">
        <v>29</v>
      </c>
      <c r="H14628" s="11" t="s">
        <v>63</v>
      </c>
      <c r="I14628" s="13" t="s">
        <v>28571</v>
      </c>
      <c r="J14628" s="14" t="str">
        <f>HYPERLINK("https://www.boe.es/gazeta/dias/1839/08/25/pdfs/GMD-1839-1746.pdf#page=1","Abrir facsímil")</f>
        <v>Abrir facsímil</v>
      </c>
      <c r="K14628" s="12" t="s">
        <v>65</v>
      </c>
    </row>
    <row r="14629" spans="1:11" ht="40.049999999999997" customHeight="1" x14ac:dyDescent="0.25">
      <c r="A14629" s="11" t="s">
        <v>28564</v>
      </c>
      <c r="B14629" s="11" t="s">
        <v>28564</v>
      </c>
      <c r="C14629" s="11" t="s">
        <v>17</v>
      </c>
      <c r="D14629" s="11" t="s">
        <v>18</v>
      </c>
      <c r="E14629" s="12" t="s">
        <v>1551</v>
      </c>
      <c r="F14629" s="12" t="s">
        <v>1552</v>
      </c>
      <c r="G14629" s="12" t="s">
        <v>29</v>
      </c>
      <c r="H14629" s="11" t="s">
        <v>63</v>
      </c>
      <c r="I14629" s="13" t="s">
        <v>28572</v>
      </c>
      <c r="J14629" s="14" t="str">
        <f>HYPERLINK("https://www.boe.es/gazeta/dias/1839/06/30/pdfs/GMD-1839-1688.pdf#page=1","Abrir facsímil")</f>
        <v>Abrir facsímil</v>
      </c>
      <c r="K14629" s="12" t="s">
        <v>65</v>
      </c>
    </row>
    <row r="14630" spans="1:11" ht="40.049999999999997" customHeight="1" x14ac:dyDescent="0.25">
      <c r="A14630" s="11" t="s">
        <v>28573</v>
      </c>
      <c r="B14630" s="11" t="s">
        <v>28574</v>
      </c>
      <c r="C14630" s="11" t="s">
        <v>17</v>
      </c>
      <c r="D14630" s="11" t="s">
        <v>18</v>
      </c>
      <c r="E14630" s="12" t="s">
        <v>756</v>
      </c>
      <c r="F14630" s="12" t="s">
        <v>757</v>
      </c>
      <c r="G14630" s="12" t="s">
        <v>21</v>
      </c>
      <c r="H14630" s="11" t="s">
        <v>63</v>
      </c>
      <c r="I14630" s="13" t="s">
        <v>28575</v>
      </c>
      <c r="J14630" s="14" t="str">
        <f>HYPERLINK("https://www.boe.es/gazeta/dias/1839/12/17/pdfs/GMD-1839-1864.pdf#page=4","Abrir facsímil")</f>
        <v>Abrir facsímil</v>
      </c>
      <c r="K14630" s="12" t="s">
        <v>65</v>
      </c>
    </row>
    <row r="14631" spans="1:11" ht="40.049999999999997" customHeight="1" x14ac:dyDescent="0.25">
      <c r="A14631" s="11" t="s">
        <v>28576</v>
      </c>
      <c r="B14631" s="11" t="s">
        <v>28576</v>
      </c>
      <c r="C14631" s="11" t="s">
        <v>17</v>
      </c>
      <c r="D14631" s="11" t="s">
        <v>18</v>
      </c>
      <c r="E14631" s="12" t="s">
        <v>1374</v>
      </c>
      <c r="F14631" s="12" t="s">
        <v>1375</v>
      </c>
      <c r="G14631" s="12" t="s">
        <v>29</v>
      </c>
      <c r="H14631" s="11" t="s">
        <v>63</v>
      </c>
      <c r="I14631" s="13" t="s">
        <v>28577</v>
      </c>
      <c r="J14631" s="14" t="str">
        <f>HYPERLINK("https://www.boe.es/gazeta/dias/1839/07/20/pdfs/GMD-1839-1708.pdf#page=1","Abrir facsímil")</f>
        <v>Abrir facsímil</v>
      </c>
      <c r="K14631" s="12" t="s">
        <v>65</v>
      </c>
    </row>
    <row r="14632" spans="1:11" ht="40.049999999999997" customHeight="1" x14ac:dyDescent="0.25">
      <c r="A14632" s="11" t="s">
        <v>28578</v>
      </c>
      <c r="B14632" s="11" t="s">
        <v>28579</v>
      </c>
      <c r="C14632" s="11" t="s">
        <v>17</v>
      </c>
      <c r="D14632" s="11" t="s">
        <v>18</v>
      </c>
      <c r="E14632" s="12" t="s">
        <v>108</v>
      </c>
      <c r="F14632" s="12" t="s">
        <v>109</v>
      </c>
      <c r="G14632" s="12" t="s">
        <v>29</v>
      </c>
      <c r="H14632" s="11" t="s">
        <v>63</v>
      </c>
      <c r="I14632" s="13" t="s">
        <v>28580</v>
      </c>
      <c r="J14632" s="14" t="str">
        <f>HYPERLINK("https://www.boe.es/gazeta/dias/1839/01/04/pdfs/GMD-1839-1511.pdf#page=1","Abrir facsímil")</f>
        <v>Abrir facsímil</v>
      </c>
      <c r="K14632" s="12" t="s">
        <v>65</v>
      </c>
    </row>
    <row r="14633" spans="1:11" ht="40.049999999999997" customHeight="1" x14ac:dyDescent="0.25">
      <c r="A14633" s="11" t="s">
        <v>28581</v>
      </c>
      <c r="B14633" s="11" t="s">
        <v>28582</v>
      </c>
      <c r="C14633" s="11" t="s">
        <v>101</v>
      </c>
      <c r="D14633" s="11" t="s">
        <v>102</v>
      </c>
      <c r="E14633" s="12" t="s">
        <v>405</v>
      </c>
      <c r="F14633" s="12" t="s">
        <v>406</v>
      </c>
      <c r="G14633" s="12" t="s">
        <v>29</v>
      </c>
      <c r="H14633" s="11" t="s">
        <v>63</v>
      </c>
      <c r="I14633" s="13" t="s">
        <v>28583</v>
      </c>
      <c r="J14633" s="14" t="str">
        <f>HYPERLINK("https://www.boe.es/gazeta/dias/1839/03/25/pdfs/GMD-1839-1591.pdf#page=1","Abrir facsímil")</f>
        <v>Abrir facsímil</v>
      </c>
      <c r="K14633" s="12" t="s">
        <v>65</v>
      </c>
    </row>
    <row r="14634" spans="1:11" ht="40.049999999999997" customHeight="1" x14ac:dyDescent="0.25">
      <c r="A14634" s="11" t="s">
        <v>28584</v>
      </c>
      <c r="B14634" s="11" t="s">
        <v>28584</v>
      </c>
      <c r="C14634" s="11" t="s">
        <v>80</v>
      </c>
      <c r="D14634" s="11" t="s">
        <v>18</v>
      </c>
      <c r="E14634" s="12" t="s">
        <v>202</v>
      </c>
      <c r="F14634" s="12" t="s">
        <v>203</v>
      </c>
      <c r="G14634" s="12" t="s">
        <v>29</v>
      </c>
      <c r="H14634" s="11" t="s">
        <v>22</v>
      </c>
      <c r="I14634" s="13" t="s">
        <v>28585</v>
      </c>
      <c r="J14634" s="14" t="str">
        <f>HYPERLINK("https://www.boe.es/gazeta/dias/1839/04/05/pdfs/GMD-1839-1602.pdf#page=1","Abrir facsímil")</f>
        <v>Abrir facsímil</v>
      </c>
      <c r="K14634" s="12" t="s">
        <v>24</v>
      </c>
    </row>
    <row r="14635" spans="1:11" ht="40.049999999999997" customHeight="1" x14ac:dyDescent="0.25">
      <c r="A14635" s="11" t="s">
        <v>28584</v>
      </c>
      <c r="B14635" s="11" t="s">
        <v>28584</v>
      </c>
      <c r="C14635" s="11" t="s">
        <v>17</v>
      </c>
      <c r="D14635" s="11" t="s">
        <v>18</v>
      </c>
      <c r="E14635" s="12" t="s">
        <v>2215</v>
      </c>
      <c r="F14635" s="12" t="s">
        <v>2216</v>
      </c>
      <c r="G14635" s="12" t="s">
        <v>29</v>
      </c>
      <c r="H14635" s="11" t="s">
        <v>22</v>
      </c>
      <c r="I14635" s="13" t="s">
        <v>28586</v>
      </c>
      <c r="J14635" s="14" t="str">
        <f>HYPERLINK("https://www.boe.es/gazeta/dias/1839/07/21/pdfs/GMD-1839-1709.pdf#page=1","Abrir facsímil")</f>
        <v>Abrir facsímil</v>
      </c>
      <c r="K14635" s="12" t="s">
        <v>24</v>
      </c>
    </row>
    <row r="14636" spans="1:11" ht="40.049999999999997" customHeight="1" x14ac:dyDescent="0.25">
      <c r="A14636" s="11" t="s">
        <v>28587</v>
      </c>
      <c r="B14636" s="11" t="s">
        <v>28588</v>
      </c>
      <c r="C14636" s="11" t="s">
        <v>17</v>
      </c>
      <c r="D14636" s="11" t="s">
        <v>18</v>
      </c>
      <c r="E14636" s="12" t="s">
        <v>1100</v>
      </c>
      <c r="F14636" s="12" t="s">
        <v>1101</v>
      </c>
      <c r="G14636" s="12" t="s">
        <v>21</v>
      </c>
      <c r="H14636" s="11" t="s">
        <v>22</v>
      </c>
      <c r="I14636" s="13" t="s">
        <v>28589</v>
      </c>
      <c r="J14636" s="14" t="str">
        <f>HYPERLINK("https://www.boe.es/gazeta/dias/1839/09/13/pdfs/GMD-1839-1766.pdf#page=4","Abrir facsímil")</f>
        <v>Abrir facsímil</v>
      </c>
      <c r="K14636" s="12" t="s">
        <v>24</v>
      </c>
    </row>
    <row r="14637" spans="1:11" ht="40.049999999999997" customHeight="1" x14ac:dyDescent="0.25">
      <c r="A14637" s="11" t="s">
        <v>28590</v>
      </c>
      <c r="B14637" s="11" t="s">
        <v>28590</v>
      </c>
      <c r="C14637" s="11" t="s">
        <v>17</v>
      </c>
      <c r="D14637" s="11" t="s">
        <v>18</v>
      </c>
      <c r="E14637" s="12" t="s">
        <v>3224</v>
      </c>
      <c r="F14637" s="12" t="s">
        <v>3225</v>
      </c>
      <c r="G14637" s="12" t="s">
        <v>21</v>
      </c>
      <c r="H14637" s="11" t="s">
        <v>22</v>
      </c>
      <c r="I14637" s="13" t="s">
        <v>28591</v>
      </c>
      <c r="J14637" s="14" t="str">
        <f>HYPERLINK("https://www.boe.es/gazeta/dias/1839/06/03/pdfs/GMD-1839-1661.pdf#page=4","Abrir facsímil")</f>
        <v>Abrir facsímil</v>
      </c>
      <c r="K14637" s="12" t="s">
        <v>24</v>
      </c>
    </row>
    <row r="14638" spans="1:11" ht="40.049999999999997" customHeight="1" x14ac:dyDescent="0.25">
      <c r="A14638" s="11" t="s">
        <v>28590</v>
      </c>
      <c r="B14638" s="11" t="s">
        <v>28590</v>
      </c>
      <c r="C14638" s="11" t="s">
        <v>17</v>
      </c>
      <c r="D14638" s="11" t="s">
        <v>18</v>
      </c>
      <c r="E14638" s="12" t="s">
        <v>483</v>
      </c>
      <c r="F14638" s="12" t="s">
        <v>484</v>
      </c>
      <c r="G14638" s="12" t="s">
        <v>40</v>
      </c>
      <c r="H14638" s="11" t="s">
        <v>22</v>
      </c>
      <c r="I14638" s="13" t="s">
        <v>28592</v>
      </c>
      <c r="J14638" s="14" t="str">
        <f>HYPERLINK("https://www.boe.es/gazeta/dias/1839/11/18/pdfs/GMD-1839-1835.pdf#page=2","Abrir facsímil")</f>
        <v>Abrir facsímil</v>
      </c>
      <c r="K14638" s="12" t="s">
        <v>24</v>
      </c>
    </row>
    <row r="14639" spans="1:11" ht="40.049999999999997" customHeight="1" x14ac:dyDescent="0.25">
      <c r="A14639" s="11" t="s">
        <v>28593</v>
      </c>
      <c r="B14639" s="11" t="s">
        <v>28593</v>
      </c>
      <c r="C14639" s="11" t="s">
        <v>80</v>
      </c>
      <c r="D14639" s="11" t="s">
        <v>18</v>
      </c>
      <c r="E14639" s="12" t="s">
        <v>486</v>
      </c>
      <c r="F14639" s="12" t="s">
        <v>487</v>
      </c>
      <c r="G14639" s="12" t="s">
        <v>40</v>
      </c>
      <c r="H14639" s="11" t="s">
        <v>22</v>
      </c>
      <c r="I14639" s="13" t="s">
        <v>28594</v>
      </c>
      <c r="J14639" s="14" t="str">
        <f>HYPERLINK("https://www.boe.es/gazeta/dias/1839/04/19/pdfs/GMD-1839-1616.pdf#page=2","Abrir facsímil")</f>
        <v>Abrir facsímil</v>
      </c>
      <c r="K14639" s="12" t="s">
        <v>24</v>
      </c>
    </row>
    <row r="14640" spans="1:11" ht="40.049999999999997" customHeight="1" x14ac:dyDescent="0.25">
      <c r="A14640" s="11" t="s">
        <v>28595</v>
      </c>
      <c r="B14640" s="11" t="s">
        <v>28596</v>
      </c>
      <c r="C14640" s="11" t="s">
        <v>17</v>
      </c>
      <c r="D14640" s="11" t="s">
        <v>18</v>
      </c>
      <c r="E14640" s="12" t="s">
        <v>1310</v>
      </c>
      <c r="F14640" s="12" t="s">
        <v>1311</v>
      </c>
      <c r="G14640" s="12" t="s">
        <v>40</v>
      </c>
      <c r="H14640" s="11" t="s">
        <v>63</v>
      </c>
      <c r="I14640" s="13" t="s">
        <v>28597</v>
      </c>
      <c r="J14640" s="14" t="str">
        <f>HYPERLINK("https://www.boe.es/gazeta/dias/1839/04/23/pdfs/GMD-1839-1620.pdf#page=2","Abrir facsímil")</f>
        <v>Abrir facsímil</v>
      </c>
      <c r="K14640" s="12" t="s">
        <v>65</v>
      </c>
    </row>
    <row r="14641" spans="1:11" ht="40.049999999999997" customHeight="1" x14ac:dyDescent="0.25">
      <c r="A14641" s="11" t="s">
        <v>28598</v>
      </c>
      <c r="B14641" s="11" t="s">
        <v>28599</v>
      </c>
      <c r="C14641" s="11" t="s">
        <v>17</v>
      </c>
      <c r="D14641" s="11" t="s">
        <v>18</v>
      </c>
      <c r="E14641" s="12" t="s">
        <v>817</v>
      </c>
      <c r="F14641" s="12" t="s">
        <v>818</v>
      </c>
      <c r="G14641" s="12" t="s">
        <v>29</v>
      </c>
      <c r="H14641" s="11" t="s">
        <v>22</v>
      </c>
      <c r="I14641" s="13" t="s">
        <v>28600</v>
      </c>
      <c r="J14641" s="14" t="str">
        <f>HYPERLINK("https://www.boe.es/gazeta/dias/1839/05/28/pdfs/GMD-1839-1655.pdf#page=1","Abrir facsímil")</f>
        <v>Abrir facsímil</v>
      </c>
      <c r="K14641" s="12" t="s">
        <v>24</v>
      </c>
    </row>
    <row r="14642" spans="1:11" ht="40.049999999999997" customHeight="1" x14ac:dyDescent="0.25">
      <c r="A14642" s="11" t="s">
        <v>28601</v>
      </c>
      <c r="B14642" s="11" t="s">
        <v>28601</v>
      </c>
      <c r="C14642" s="11" t="s">
        <v>17</v>
      </c>
      <c r="D14642" s="11" t="s">
        <v>18</v>
      </c>
      <c r="E14642" s="12" t="s">
        <v>1654</v>
      </c>
      <c r="F14642" s="12" t="s">
        <v>1655</v>
      </c>
      <c r="G14642" s="12" t="s">
        <v>21</v>
      </c>
      <c r="H14642" s="11" t="s">
        <v>22</v>
      </c>
      <c r="I14642" s="13" t="s">
        <v>28602</v>
      </c>
      <c r="J14642" s="14" t="str">
        <f>HYPERLINK("https://www.boe.es/gazeta/dias/1839/11/19/pdfs/GMD-1839-1836.pdf#page=4","Abrir facsímil")</f>
        <v>Abrir facsímil</v>
      </c>
      <c r="K14642" s="12" t="s">
        <v>24</v>
      </c>
    </row>
    <row r="14643" spans="1:11" ht="40.049999999999997" customHeight="1" x14ac:dyDescent="0.25">
      <c r="A14643" s="11" t="s">
        <v>28603</v>
      </c>
      <c r="B14643" s="11" t="s">
        <v>28604</v>
      </c>
      <c r="C14643" s="11" t="s">
        <v>17</v>
      </c>
      <c r="D14643" s="11" t="s">
        <v>18</v>
      </c>
      <c r="E14643" s="12" t="s">
        <v>2829</v>
      </c>
      <c r="F14643" s="12" t="s">
        <v>2830</v>
      </c>
      <c r="G14643" s="12" t="s">
        <v>21</v>
      </c>
      <c r="H14643" s="11" t="s">
        <v>63</v>
      </c>
      <c r="I14643" s="13" t="s">
        <v>28605</v>
      </c>
      <c r="J14643" s="14" t="str">
        <f>HYPERLINK("https://www.boe.es/gazeta/dias/1839/07/01/pdfs/GMD-1839-1689.pdf#page=4","Abrir facsímil")</f>
        <v>Abrir facsímil</v>
      </c>
      <c r="K14643" s="12" t="s">
        <v>65</v>
      </c>
    </row>
    <row r="14644" spans="1:11" ht="40.049999999999997" customHeight="1" x14ac:dyDescent="0.25">
      <c r="A14644" s="11" t="s">
        <v>28606</v>
      </c>
      <c r="B14644" s="11" t="s">
        <v>28607</v>
      </c>
      <c r="C14644" s="11" t="s">
        <v>17</v>
      </c>
      <c r="D14644" s="11" t="s">
        <v>18</v>
      </c>
      <c r="E14644" s="12" t="s">
        <v>1012</v>
      </c>
      <c r="F14644" s="12" t="s">
        <v>1013</v>
      </c>
      <c r="G14644" s="12" t="s">
        <v>46</v>
      </c>
      <c r="H14644" s="11" t="s">
        <v>63</v>
      </c>
      <c r="I14644" s="13" t="s">
        <v>28608</v>
      </c>
      <c r="J14644" s="14" t="str">
        <f>HYPERLINK("https://www.boe.es/gazeta/dias/1839/11/22/pdfs/GMD-1839-1839.pdf#page=3","Abrir facsímil")</f>
        <v>Abrir facsímil</v>
      </c>
      <c r="K14644" s="12" t="s">
        <v>65</v>
      </c>
    </row>
    <row r="14645" spans="1:11" ht="40.049999999999997" customHeight="1" x14ac:dyDescent="0.25">
      <c r="A14645" s="11" t="s">
        <v>28609</v>
      </c>
      <c r="B14645" s="11" t="s">
        <v>28609</v>
      </c>
      <c r="C14645" s="11" t="s">
        <v>17</v>
      </c>
      <c r="D14645" s="11" t="s">
        <v>18</v>
      </c>
      <c r="E14645" s="12" t="s">
        <v>2449</v>
      </c>
      <c r="F14645" s="12" t="s">
        <v>2450</v>
      </c>
      <c r="G14645" s="12" t="s">
        <v>40</v>
      </c>
      <c r="H14645" s="11" t="s">
        <v>63</v>
      </c>
      <c r="I14645" s="13" t="s">
        <v>28610</v>
      </c>
      <c r="J14645" s="14" t="str">
        <f>HYPERLINK("https://www.boe.es/gazeta/dias/1839/12/11/pdfs/GMD-1839-1858.pdf#page=2","Abrir facsímil")</f>
        <v>Abrir facsímil</v>
      </c>
      <c r="K14645" s="12" t="s">
        <v>65</v>
      </c>
    </row>
    <row r="14646" spans="1:11" ht="40.049999999999997" customHeight="1" x14ac:dyDescent="0.25">
      <c r="A14646" s="11" t="s">
        <v>28611</v>
      </c>
      <c r="B14646" s="11" t="s">
        <v>28612</v>
      </c>
      <c r="C14646" s="11" t="s">
        <v>80</v>
      </c>
      <c r="D14646" s="11" t="s">
        <v>18</v>
      </c>
      <c r="E14646" s="12" t="s">
        <v>1433</v>
      </c>
      <c r="F14646" s="12" t="s">
        <v>1434</v>
      </c>
      <c r="G14646" s="12" t="s">
        <v>21</v>
      </c>
      <c r="H14646" s="11" t="s">
        <v>63</v>
      </c>
      <c r="I14646" s="13" t="s">
        <v>28613</v>
      </c>
      <c r="J14646" s="14" t="str">
        <f>HYPERLINK("https://www.boe.es/gazeta/dias/1839/10/22/pdfs/GMD-1839-1808.pdf#page=4","Abrir facsímil")</f>
        <v>Abrir facsímil</v>
      </c>
      <c r="K14646" s="12" t="s">
        <v>65</v>
      </c>
    </row>
    <row r="14647" spans="1:11" ht="40.049999999999997" customHeight="1" x14ac:dyDescent="0.25">
      <c r="A14647" s="11" t="s">
        <v>28614</v>
      </c>
      <c r="B14647" s="11" t="s">
        <v>28615</v>
      </c>
      <c r="C14647" s="11" t="s">
        <v>17</v>
      </c>
      <c r="D14647" s="11" t="s">
        <v>18</v>
      </c>
      <c r="E14647" s="12" t="s">
        <v>3391</v>
      </c>
      <c r="F14647" s="12" t="s">
        <v>3392</v>
      </c>
      <c r="G14647" s="12" t="s">
        <v>21</v>
      </c>
      <c r="H14647" s="11" t="s">
        <v>63</v>
      </c>
      <c r="I14647" s="13" t="s">
        <v>28616</v>
      </c>
      <c r="J14647" s="14" t="str">
        <f>HYPERLINK("https://www.boe.es/gazeta/dias/1839/12/31/pdfs/GMD-1839-1878.pdf#page=4","Abrir facsímil")</f>
        <v>Abrir facsímil</v>
      </c>
      <c r="K14647" s="12" t="s">
        <v>65</v>
      </c>
    </row>
    <row r="14648" spans="1:11" ht="40.049999999999997" customHeight="1" x14ac:dyDescent="0.25">
      <c r="A14648" s="11" t="s">
        <v>28617</v>
      </c>
      <c r="B14648" s="11" t="s">
        <v>28617</v>
      </c>
      <c r="C14648" s="11" t="s">
        <v>17</v>
      </c>
      <c r="D14648" s="11" t="s">
        <v>18</v>
      </c>
      <c r="E14648" s="12" t="s">
        <v>1520</v>
      </c>
      <c r="F14648" s="12" t="s">
        <v>1521</v>
      </c>
      <c r="G14648" s="12" t="s">
        <v>29</v>
      </c>
      <c r="H14648" s="11" t="s">
        <v>63</v>
      </c>
      <c r="I14648" s="13" t="s">
        <v>28618</v>
      </c>
      <c r="J14648" s="14" t="str">
        <f>HYPERLINK("https://www.boe.es/gazeta/dias/1839/12/27/pdfs/GMD-1839-1874.pdf#page=1","Abrir facsímil")</f>
        <v>Abrir facsímil</v>
      </c>
      <c r="K14648" s="12" t="s">
        <v>65</v>
      </c>
    </row>
    <row r="14649" spans="1:11" ht="40.049999999999997" customHeight="1" x14ac:dyDescent="0.25">
      <c r="A14649" s="11" t="s">
        <v>28619</v>
      </c>
      <c r="B14649" s="11" t="s">
        <v>28620</v>
      </c>
      <c r="C14649" s="11" t="s">
        <v>17</v>
      </c>
      <c r="D14649" s="11" t="s">
        <v>18</v>
      </c>
      <c r="E14649" s="12" t="s">
        <v>138</v>
      </c>
      <c r="F14649" s="12" t="s">
        <v>139</v>
      </c>
      <c r="G14649" s="12" t="s">
        <v>21</v>
      </c>
      <c r="H14649" s="11" t="s">
        <v>22</v>
      </c>
      <c r="I14649" s="13" t="s">
        <v>28621</v>
      </c>
      <c r="J14649" s="14" t="str">
        <f>HYPERLINK("https://www.boe.es/gazeta/dias/1839/10/09/pdfs/GMD-1839-1795.pdf#page=4","Abrir facsímil")</f>
        <v>Abrir facsímil</v>
      </c>
      <c r="K14649" s="12" t="s">
        <v>24</v>
      </c>
    </row>
    <row r="14650" spans="1:11" ht="40.049999999999997" customHeight="1" x14ac:dyDescent="0.25">
      <c r="A14650" s="11" t="s">
        <v>28619</v>
      </c>
      <c r="B14650" s="11" t="s">
        <v>28620</v>
      </c>
      <c r="C14650" s="11" t="s">
        <v>17</v>
      </c>
      <c r="D14650" s="11" t="s">
        <v>18</v>
      </c>
      <c r="E14650" s="12" t="s">
        <v>1628</v>
      </c>
      <c r="F14650" s="12" t="s">
        <v>1629</v>
      </c>
      <c r="G14650" s="12" t="s">
        <v>29</v>
      </c>
      <c r="H14650" s="11" t="s">
        <v>22</v>
      </c>
      <c r="I14650" s="13" t="s">
        <v>28622</v>
      </c>
      <c r="J14650" s="14" t="str">
        <f>HYPERLINK("https://www.boe.es/gazeta/dias/1839/03/10/pdfs/GMD-1839-1576.pdf#page=1","Abrir facsímil")</f>
        <v>Abrir facsímil</v>
      </c>
      <c r="K14650" s="12" t="s">
        <v>24</v>
      </c>
    </row>
    <row r="14651" spans="1:11" ht="40.049999999999997" customHeight="1" x14ac:dyDescent="0.25">
      <c r="A14651" s="11" t="s">
        <v>28623</v>
      </c>
      <c r="B14651" s="11" t="s">
        <v>28624</v>
      </c>
      <c r="C14651" s="11" t="s">
        <v>17</v>
      </c>
      <c r="D14651" s="11" t="s">
        <v>18</v>
      </c>
      <c r="E14651" s="12" t="s">
        <v>785</v>
      </c>
      <c r="F14651" s="12" t="s">
        <v>786</v>
      </c>
      <c r="G14651" s="12" t="s">
        <v>21</v>
      </c>
      <c r="H14651" s="11" t="s">
        <v>22</v>
      </c>
      <c r="I14651" s="13" t="s">
        <v>28625</v>
      </c>
      <c r="J14651" s="14" t="str">
        <f>HYPERLINK("https://www.boe.es/gazeta/dias/1839/07/13/pdfs/GMD-1839-1701.pdf#page=4","Abrir facsímil")</f>
        <v>Abrir facsímil</v>
      </c>
      <c r="K14651" s="12" t="s">
        <v>24</v>
      </c>
    </row>
    <row r="14652" spans="1:11" ht="40.049999999999997" customHeight="1" x14ac:dyDescent="0.25">
      <c r="A14652" s="11" t="s">
        <v>28626</v>
      </c>
      <c r="B14652" s="11" t="s">
        <v>28627</v>
      </c>
      <c r="C14652" s="11" t="s">
        <v>17</v>
      </c>
      <c r="D14652" s="11" t="s">
        <v>18</v>
      </c>
      <c r="E14652" s="12" t="s">
        <v>690</v>
      </c>
      <c r="F14652" s="12" t="s">
        <v>691</v>
      </c>
      <c r="G14652" s="12" t="s">
        <v>21</v>
      </c>
      <c r="H14652" s="11" t="s">
        <v>22</v>
      </c>
      <c r="I14652" s="13" t="s">
        <v>28628</v>
      </c>
      <c r="J14652" s="14" t="str">
        <f>HYPERLINK("https://www.boe.es/gazeta/dias/1839/12/08/pdfs/GMD-1839-1855.pdf#page=4","Abrir facsímil")</f>
        <v>Abrir facsímil</v>
      </c>
      <c r="K14652" s="12" t="s">
        <v>24</v>
      </c>
    </row>
    <row r="14653" spans="1:11" ht="40.049999999999997" customHeight="1" x14ac:dyDescent="0.25">
      <c r="A14653" s="11" t="s">
        <v>28626</v>
      </c>
      <c r="B14653" s="11" t="s">
        <v>28627</v>
      </c>
      <c r="C14653" s="11" t="s">
        <v>137</v>
      </c>
      <c r="D14653" s="11" t="s">
        <v>18</v>
      </c>
      <c r="E14653" s="12" t="s">
        <v>507</v>
      </c>
      <c r="F14653" s="12" t="s">
        <v>508</v>
      </c>
      <c r="G14653" s="12" t="s">
        <v>21</v>
      </c>
      <c r="H14653" s="11" t="s">
        <v>22</v>
      </c>
      <c r="I14653" s="13" t="s">
        <v>28629</v>
      </c>
      <c r="J14653" s="14" t="str">
        <f>HYPERLINK("https://www.boe.es/gazeta/dias/1839/08/12/pdfs/GMD-1839-1732.pdf#page=4","Abrir facsímil")</f>
        <v>Abrir facsímil</v>
      </c>
      <c r="K14653" s="12" t="s">
        <v>24</v>
      </c>
    </row>
    <row r="14654" spans="1:11" ht="40.049999999999997" customHeight="1" x14ac:dyDescent="0.25">
      <c r="A14654" s="11" t="s">
        <v>28626</v>
      </c>
      <c r="B14654" s="11" t="s">
        <v>28627</v>
      </c>
      <c r="C14654" s="11" t="s">
        <v>17</v>
      </c>
      <c r="D14654" s="11" t="s">
        <v>18</v>
      </c>
      <c r="E14654" s="12" t="s">
        <v>1497</v>
      </c>
      <c r="F14654" s="12" t="s">
        <v>1498</v>
      </c>
      <c r="G14654" s="12" t="s">
        <v>21</v>
      </c>
      <c r="H14654" s="11" t="s">
        <v>22</v>
      </c>
      <c r="I14654" s="13" t="s">
        <v>28630</v>
      </c>
      <c r="J14654" s="14" t="str">
        <f>HYPERLINK("https://www.boe.es/gazeta/dias/1839/08/23/pdfs/GMD-1839-1744.pdf#page=4","Abrir facsímil")</f>
        <v>Abrir facsímil</v>
      </c>
      <c r="K14654" s="12" t="s">
        <v>24</v>
      </c>
    </row>
    <row r="14655" spans="1:11" ht="40.049999999999997" customHeight="1" x14ac:dyDescent="0.25">
      <c r="A14655" s="11" t="s">
        <v>28626</v>
      </c>
      <c r="B14655" s="11" t="s">
        <v>28627</v>
      </c>
      <c r="C14655" s="11" t="s">
        <v>17</v>
      </c>
      <c r="D14655" s="11" t="s">
        <v>18</v>
      </c>
      <c r="E14655" s="12" t="s">
        <v>405</v>
      </c>
      <c r="F14655" s="12" t="s">
        <v>406</v>
      </c>
      <c r="G14655" s="12" t="s">
        <v>29</v>
      </c>
      <c r="H14655" s="11" t="s">
        <v>22</v>
      </c>
      <c r="I14655" s="13" t="s">
        <v>28631</v>
      </c>
      <c r="J14655" s="14" t="str">
        <f>HYPERLINK("https://www.boe.es/gazeta/dias/1839/03/25/pdfs/GMD-1839-1591.pdf#page=1","Abrir facsímil")</f>
        <v>Abrir facsímil</v>
      </c>
      <c r="K14655" s="12" t="s">
        <v>24</v>
      </c>
    </row>
    <row r="14656" spans="1:11" ht="40.049999999999997" customHeight="1" x14ac:dyDescent="0.25">
      <c r="A14656" s="11" t="s">
        <v>28632</v>
      </c>
      <c r="B14656" s="11" t="s">
        <v>28633</v>
      </c>
      <c r="C14656" s="11" t="s">
        <v>80</v>
      </c>
      <c r="D14656" s="11" t="s">
        <v>18</v>
      </c>
      <c r="E14656" s="12" t="s">
        <v>226</v>
      </c>
      <c r="F14656" s="12" t="s">
        <v>227</v>
      </c>
      <c r="G14656" s="12" t="s">
        <v>21</v>
      </c>
      <c r="H14656" s="11" t="s">
        <v>63</v>
      </c>
      <c r="I14656" s="13" t="s">
        <v>28634</v>
      </c>
      <c r="J14656" s="14" t="str">
        <f>HYPERLINK("https://www.boe.es/gazeta/dias/1839/06/09/pdfs/GMD-1839-1667.pdf#page=4","Abrir facsímil")</f>
        <v>Abrir facsímil</v>
      </c>
      <c r="K14656" s="12" t="s">
        <v>65</v>
      </c>
    </row>
    <row r="14657" spans="1:11" ht="40.049999999999997" customHeight="1" x14ac:dyDescent="0.25">
      <c r="A14657" s="11" t="s">
        <v>28635</v>
      </c>
      <c r="B14657" s="11" t="s">
        <v>28635</v>
      </c>
      <c r="C14657" s="11" t="s">
        <v>101</v>
      </c>
      <c r="D14657" s="11" t="s">
        <v>102</v>
      </c>
      <c r="E14657" s="12" t="s">
        <v>1284</v>
      </c>
      <c r="F14657" s="12" t="s">
        <v>1285</v>
      </c>
      <c r="G14657" s="12" t="s">
        <v>46</v>
      </c>
      <c r="H14657" s="11" t="s">
        <v>63</v>
      </c>
      <c r="I14657" s="13" t="s">
        <v>28636</v>
      </c>
      <c r="J14657" s="14" t="str">
        <f>HYPERLINK("https://www.boe.es/gazeta/dias/1839/03/27/pdfs/GMD-1839-1593.pdf#page=3","Abrir facsímil")</f>
        <v>Abrir facsímil</v>
      </c>
      <c r="K14657" s="12" t="s">
        <v>65</v>
      </c>
    </row>
    <row r="14658" spans="1:11" ht="40.049999999999997" customHeight="1" x14ac:dyDescent="0.25">
      <c r="A14658" s="11" t="s">
        <v>28637</v>
      </c>
      <c r="B14658" s="11" t="s">
        <v>28637</v>
      </c>
      <c r="C14658" s="11" t="s">
        <v>17</v>
      </c>
      <c r="D14658" s="11" t="s">
        <v>18</v>
      </c>
      <c r="E14658" s="12" t="s">
        <v>1929</v>
      </c>
      <c r="F14658" s="12" t="s">
        <v>1930</v>
      </c>
      <c r="G14658" s="12" t="s">
        <v>46</v>
      </c>
      <c r="H14658" s="11" t="s">
        <v>63</v>
      </c>
      <c r="I14658" s="13" t="s">
        <v>28638</v>
      </c>
      <c r="J14658" s="14" t="str">
        <f>HYPERLINK("https://www.boe.es/gazeta/dias/1839/02/01/pdfs/GMD-1839-1539.pdf#page=3","Abrir facsímil")</f>
        <v>Abrir facsímil</v>
      </c>
      <c r="K14658" s="12" t="s">
        <v>65</v>
      </c>
    </row>
    <row r="14659" spans="1:11" ht="40.049999999999997" customHeight="1" x14ac:dyDescent="0.25">
      <c r="A14659" s="11" t="s">
        <v>28639</v>
      </c>
      <c r="B14659" s="11" t="s">
        <v>28639</v>
      </c>
      <c r="C14659" s="11" t="s">
        <v>137</v>
      </c>
      <c r="D14659" s="11" t="s">
        <v>18</v>
      </c>
      <c r="E14659" s="12" t="s">
        <v>154</v>
      </c>
      <c r="F14659" s="12" t="s">
        <v>155</v>
      </c>
      <c r="G14659" s="12" t="s">
        <v>46</v>
      </c>
      <c r="H14659" s="11" t="s">
        <v>22</v>
      </c>
      <c r="I14659" s="13" t="s">
        <v>28640</v>
      </c>
      <c r="J14659" s="14" t="str">
        <f>HYPERLINK("https://www.boe.es/gazeta/dias/1839/02/02/pdfs/GMD-1839-1540.pdf#page=3","Abrir facsímil")</f>
        <v>Abrir facsímil</v>
      </c>
      <c r="K14659" s="12" t="s">
        <v>24</v>
      </c>
    </row>
    <row r="14660" spans="1:11" ht="40.049999999999997" customHeight="1" x14ac:dyDescent="0.25">
      <c r="A14660" s="11" t="s">
        <v>28639</v>
      </c>
      <c r="B14660" s="11" t="s">
        <v>28639</v>
      </c>
      <c r="C14660" s="11" t="s">
        <v>17</v>
      </c>
      <c r="D14660" s="11" t="s">
        <v>18</v>
      </c>
      <c r="E14660" s="12" t="s">
        <v>779</v>
      </c>
      <c r="F14660" s="12" t="s">
        <v>780</v>
      </c>
      <c r="G14660" s="12" t="s">
        <v>46</v>
      </c>
      <c r="H14660" s="11" t="s">
        <v>22</v>
      </c>
      <c r="I14660" s="13" t="s">
        <v>28641</v>
      </c>
      <c r="J14660" s="14" t="str">
        <f>HYPERLINK("https://www.boe.es/gazeta/dias/1839/02/03/pdfs/GMD-1839-1541.pdf#page=3","Abrir facsímil")</f>
        <v>Abrir facsímil</v>
      </c>
      <c r="K14660" s="12" t="s">
        <v>24</v>
      </c>
    </row>
    <row r="14661" spans="1:11" ht="40.049999999999997" customHeight="1" x14ac:dyDescent="0.25">
      <c r="A14661" s="11" t="s">
        <v>28639</v>
      </c>
      <c r="B14661" s="11" t="s">
        <v>28639</v>
      </c>
      <c r="C14661" s="11" t="s">
        <v>17</v>
      </c>
      <c r="D14661" s="11" t="s">
        <v>18</v>
      </c>
      <c r="E14661" s="12" t="s">
        <v>929</v>
      </c>
      <c r="F14661" s="12" t="s">
        <v>930</v>
      </c>
      <c r="G14661" s="12" t="s">
        <v>46</v>
      </c>
      <c r="H14661" s="11" t="s">
        <v>22</v>
      </c>
      <c r="I14661" s="13" t="s">
        <v>28642</v>
      </c>
      <c r="J14661" s="14" t="str">
        <f>HYPERLINK("https://www.boe.es/gazeta/dias/1839/01/31/pdfs/GMD-1839-1538.pdf#page=3","Abrir facsímil")</f>
        <v>Abrir facsímil</v>
      </c>
      <c r="K14661" s="12" t="s">
        <v>24</v>
      </c>
    </row>
    <row r="14662" spans="1:11" ht="40.049999999999997" customHeight="1" x14ac:dyDescent="0.25">
      <c r="A14662" s="11" t="s">
        <v>28643</v>
      </c>
      <c r="B14662" s="11" t="s">
        <v>28643</v>
      </c>
      <c r="C14662" s="11" t="s">
        <v>17</v>
      </c>
      <c r="D14662" s="11" t="s">
        <v>18</v>
      </c>
      <c r="E14662" s="12" t="s">
        <v>1374</v>
      </c>
      <c r="F14662" s="12" t="s">
        <v>1375</v>
      </c>
      <c r="G14662" s="12" t="s">
        <v>40</v>
      </c>
      <c r="H14662" s="11" t="s">
        <v>63</v>
      </c>
      <c r="I14662" s="13" t="s">
        <v>28644</v>
      </c>
      <c r="J14662" s="14" t="str">
        <f>HYPERLINK("https://www.boe.es/gazeta/dias/1839/07/20/pdfs/GMD-1839-1708.pdf#page=2","Abrir facsímil")</f>
        <v>Abrir facsímil</v>
      </c>
      <c r="K14662" s="12" t="s">
        <v>65</v>
      </c>
    </row>
    <row r="14663" spans="1:11" ht="40.049999999999997" customHeight="1" x14ac:dyDescent="0.25">
      <c r="A14663" s="11" t="s">
        <v>28643</v>
      </c>
      <c r="B14663" s="11" t="s">
        <v>28643</v>
      </c>
      <c r="C14663" s="11" t="s">
        <v>17</v>
      </c>
      <c r="D14663" s="11" t="s">
        <v>18</v>
      </c>
      <c r="E14663" s="12" t="s">
        <v>375</v>
      </c>
      <c r="F14663" s="12" t="s">
        <v>376</v>
      </c>
      <c r="G14663" s="12" t="s">
        <v>46</v>
      </c>
      <c r="H14663" s="11" t="s">
        <v>63</v>
      </c>
      <c r="I14663" s="13" t="s">
        <v>28645</v>
      </c>
      <c r="J14663" s="14" t="str">
        <f>HYPERLINK("https://www.boe.es/gazeta/dias/1839/11/25/pdfs/GMD-1839-1842.pdf#page=3","Abrir facsímil")</f>
        <v>Abrir facsímil</v>
      </c>
      <c r="K14663" s="12" t="s">
        <v>65</v>
      </c>
    </row>
    <row r="14664" spans="1:11" ht="40.049999999999997" customHeight="1" x14ac:dyDescent="0.25">
      <c r="A14664" s="11" t="s">
        <v>28643</v>
      </c>
      <c r="B14664" s="11" t="s">
        <v>28643</v>
      </c>
      <c r="C14664" s="11" t="s">
        <v>17</v>
      </c>
      <c r="D14664" s="11" t="s">
        <v>18</v>
      </c>
      <c r="E14664" s="12" t="s">
        <v>1490</v>
      </c>
      <c r="F14664" s="12" t="s">
        <v>1491</v>
      </c>
      <c r="G14664" s="12" t="s">
        <v>46</v>
      </c>
      <c r="H14664" s="11" t="s">
        <v>63</v>
      </c>
      <c r="I14664" s="13" t="s">
        <v>28646</v>
      </c>
      <c r="J14664" s="14" t="str">
        <f>HYPERLINK("https://www.boe.es/gazeta/dias/1839/02/27/pdfs/GMD-1839-1565.pdf#page=3","Abrir facsímil")</f>
        <v>Abrir facsímil</v>
      </c>
      <c r="K14664" s="12" t="s">
        <v>65</v>
      </c>
    </row>
    <row r="14665" spans="1:11" ht="40.049999999999997" customHeight="1" x14ac:dyDescent="0.25">
      <c r="A14665" s="11" t="s">
        <v>28643</v>
      </c>
      <c r="B14665" s="11" t="s">
        <v>28643</v>
      </c>
      <c r="C14665" s="11" t="s">
        <v>80</v>
      </c>
      <c r="D14665" s="11" t="s">
        <v>18</v>
      </c>
      <c r="E14665" s="12" t="s">
        <v>1588</v>
      </c>
      <c r="F14665" s="12" t="s">
        <v>1589</v>
      </c>
      <c r="G14665" s="12" t="s">
        <v>21</v>
      </c>
      <c r="H14665" s="11" t="s">
        <v>63</v>
      </c>
      <c r="I14665" s="13" t="s">
        <v>28647</v>
      </c>
      <c r="J14665" s="14" t="str">
        <f>HYPERLINK("https://www.boe.es/gazeta/dias/1839/07/27/pdfs/GMD-1839-1716.pdf#page=4","Abrir facsímil")</f>
        <v>Abrir facsímil</v>
      </c>
      <c r="K14665" s="12" t="s">
        <v>65</v>
      </c>
    </row>
    <row r="14666" spans="1:11" ht="40.049999999999997" customHeight="1" x14ac:dyDescent="0.25">
      <c r="A14666" s="11" t="s">
        <v>28648</v>
      </c>
      <c r="B14666" s="11" t="s">
        <v>28649</v>
      </c>
      <c r="C14666" s="11" t="s">
        <v>17</v>
      </c>
      <c r="D14666" s="11" t="s">
        <v>18</v>
      </c>
      <c r="E14666" s="12" t="s">
        <v>291</v>
      </c>
      <c r="F14666" s="12" t="s">
        <v>292</v>
      </c>
      <c r="G14666" s="12" t="s">
        <v>46</v>
      </c>
      <c r="H14666" s="11" t="s">
        <v>63</v>
      </c>
      <c r="I14666" s="13" t="s">
        <v>28650</v>
      </c>
      <c r="J14666" s="14" t="str">
        <f>HYPERLINK("https://www.boe.es/gazeta/dias/1839/09/04/pdfs/GMD-1839-1757.pdf#page=3","Abrir facsímil")</f>
        <v>Abrir facsímil</v>
      </c>
      <c r="K14666" s="12" t="s">
        <v>65</v>
      </c>
    </row>
    <row r="14667" spans="1:11" ht="40.049999999999997" customHeight="1" x14ac:dyDescent="0.25">
      <c r="A14667" s="11" t="s">
        <v>28651</v>
      </c>
      <c r="B14667" s="11" t="s">
        <v>28652</v>
      </c>
      <c r="C14667" s="11" t="s">
        <v>17</v>
      </c>
      <c r="D14667" s="11" t="s">
        <v>18</v>
      </c>
      <c r="E14667" s="12" t="s">
        <v>1008</v>
      </c>
      <c r="F14667" s="12" t="s">
        <v>1009</v>
      </c>
      <c r="G14667" s="12" t="s">
        <v>40</v>
      </c>
      <c r="H14667" s="11" t="s">
        <v>63</v>
      </c>
      <c r="I14667" s="13" t="s">
        <v>28653</v>
      </c>
      <c r="J14667" s="14" t="str">
        <f>HYPERLINK("https://www.boe.es/gazeta/dias/1839/09/07/pdfs/GMD-1839-1760.pdf#page=2","Abrir facsímil")</f>
        <v>Abrir facsímil</v>
      </c>
      <c r="K14667" s="12" t="s">
        <v>65</v>
      </c>
    </row>
    <row r="14668" spans="1:11" ht="40.049999999999997" customHeight="1" x14ac:dyDescent="0.25">
      <c r="A14668" s="11" t="s">
        <v>28651</v>
      </c>
      <c r="B14668" s="11" t="s">
        <v>28652</v>
      </c>
      <c r="C14668" s="11" t="s">
        <v>80</v>
      </c>
      <c r="D14668" s="11" t="s">
        <v>18</v>
      </c>
      <c r="E14668" s="12" t="s">
        <v>2205</v>
      </c>
      <c r="F14668" s="12" t="s">
        <v>2206</v>
      </c>
      <c r="G14668" s="12" t="s">
        <v>40</v>
      </c>
      <c r="H14668" s="11" t="s">
        <v>63</v>
      </c>
      <c r="I14668" s="13" t="s">
        <v>28654</v>
      </c>
      <c r="J14668" s="14" t="str">
        <f>HYPERLINK("https://www.boe.es/gazeta/dias/1839/07/11/pdfs/GMD-1839-1699.pdf#page=2","Abrir facsímil")</f>
        <v>Abrir facsímil</v>
      </c>
      <c r="K14668" s="12" t="s">
        <v>65</v>
      </c>
    </row>
    <row r="14669" spans="1:11" ht="40.049999999999997" customHeight="1" x14ac:dyDescent="0.25">
      <c r="A14669" s="11" t="s">
        <v>28651</v>
      </c>
      <c r="B14669" s="11" t="s">
        <v>28652</v>
      </c>
      <c r="C14669" s="11" t="s">
        <v>59</v>
      </c>
      <c r="D14669" s="11" t="s">
        <v>60</v>
      </c>
      <c r="E14669" s="12" t="s">
        <v>230</v>
      </c>
      <c r="F14669" s="12" t="s">
        <v>231</v>
      </c>
      <c r="G14669" s="12" t="s">
        <v>29</v>
      </c>
      <c r="H14669" s="11" t="s">
        <v>63</v>
      </c>
      <c r="I14669" s="13" t="s">
        <v>28655</v>
      </c>
      <c r="J14669" s="14" t="str">
        <f>HYPERLINK("https://www.boe.es/gazeta/dias/1839/09/16/pdfs/GMD-1839-1769.pdf#page=1","Abrir facsímil")</f>
        <v>Abrir facsímil</v>
      </c>
      <c r="K14669" s="12" t="s">
        <v>65</v>
      </c>
    </row>
    <row r="14670" spans="1:11" ht="40.049999999999997" customHeight="1" x14ac:dyDescent="0.25">
      <c r="A14670" s="11" t="s">
        <v>28651</v>
      </c>
      <c r="B14670" s="11" t="s">
        <v>28652</v>
      </c>
      <c r="C14670" s="11" t="s">
        <v>80</v>
      </c>
      <c r="D14670" s="11" t="s">
        <v>18</v>
      </c>
      <c r="E14670" s="12" t="s">
        <v>2069</v>
      </c>
      <c r="F14670" s="12" t="s">
        <v>2070</v>
      </c>
      <c r="G14670" s="12" t="s">
        <v>40</v>
      </c>
      <c r="H14670" s="11" t="s">
        <v>63</v>
      </c>
      <c r="I14670" s="13" t="s">
        <v>28656</v>
      </c>
      <c r="J14670" s="14" t="str">
        <f>HYPERLINK("https://www.boe.es/gazeta/dias/1839/10/20/pdfs/GMD-1839-1806.pdf#page=2","Abrir facsímil")</f>
        <v>Abrir facsímil</v>
      </c>
      <c r="K14670" s="12" t="s">
        <v>65</v>
      </c>
    </row>
    <row r="14671" spans="1:11" ht="40.049999999999997" customHeight="1" x14ac:dyDescent="0.25">
      <c r="A14671" s="11" t="s">
        <v>28651</v>
      </c>
      <c r="B14671" s="11" t="s">
        <v>28652</v>
      </c>
      <c r="C14671" s="11" t="s">
        <v>59</v>
      </c>
      <c r="D14671" s="11" t="s">
        <v>60</v>
      </c>
      <c r="E14671" s="12" t="s">
        <v>489</v>
      </c>
      <c r="F14671" s="12" t="s">
        <v>490</v>
      </c>
      <c r="G14671" s="12" t="s">
        <v>46</v>
      </c>
      <c r="H14671" s="11" t="s">
        <v>63</v>
      </c>
      <c r="I14671" s="13" t="s">
        <v>28657</v>
      </c>
      <c r="J14671" s="14" t="str">
        <f>HYPERLINK("https://www.boe.es/gazeta/dias/1839/06/29/pdfs/GMD-1839-1687.pdf#page=3","Abrir facsímil")</f>
        <v>Abrir facsímil</v>
      </c>
      <c r="K14671" s="12" t="s">
        <v>65</v>
      </c>
    </row>
    <row r="14672" spans="1:11" ht="40.049999999999997" customHeight="1" x14ac:dyDescent="0.25">
      <c r="A14672" s="11" t="s">
        <v>28658</v>
      </c>
      <c r="B14672" s="11" t="s">
        <v>28659</v>
      </c>
      <c r="C14672" s="11" t="s">
        <v>17</v>
      </c>
      <c r="D14672" s="11" t="s">
        <v>18</v>
      </c>
      <c r="E14672" s="12" t="s">
        <v>54</v>
      </c>
      <c r="F14672" s="12" t="s">
        <v>55</v>
      </c>
      <c r="G14672" s="12" t="s">
        <v>29</v>
      </c>
      <c r="H14672" s="11" t="s">
        <v>63</v>
      </c>
      <c r="I14672" s="13" t="s">
        <v>28660</v>
      </c>
      <c r="J14672" s="14" t="str">
        <f>HYPERLINK("https://www.boe.es/gazeta/dias/1839/10/05/pdfs/GMD-1839-1791.pdf#page=1","Abrir facsímil")</f>
        <v>Abrir facsímil</v>
      </c>
      <c r="K14672" s="12" t="s">
        <v>65</v>
      </c>
    </row>
    <row r="14673" spans="1:11" ht="40.049999999999997" customHeight="1" x14ac:dyDescent="0.25">
      <c r="A14673" s="11" t="s">
        <v>28661</v>
      </c>
      <c r="B14673" s="11" t="s">
        <v>28662</v>
      </c>
      <c r="C14673" s="11" t="s">
        <v>17</v>
      </c>
      <c r="D14673" s="11" t="s">
        <v>18</v>
      </c>
      <c r="E14673" s="12" t="s">
        <v>474</v>
      </c>
      <c r="F14673" s="12" t="s">
        <v>475</v>
      </c>
      <c r="G14673" s="12" t="s">
        <v>46</v>
      </c>
      <c r="H14673" s="11" t="s">
        <v>63</v>
      </c>
      <c r="I14673" s="13" t="s">
        <v>28663</v>
      </c>
      <c r="J14673" s="14" t="str">
        <f>HYPERLINK("https://www.boe.es/gazeta/dias/1839/03/31/pdfs/GMD-1839-1597.pdf#page=3","Abrir facsímil")</f>
        <v>Abrir facsímil</v>
      </c>
      <c r="K14673" s="12" t="s">
        <v>65</v>
      </c>
    </row>
    <row r="14674" spans="1:11" ht="40.049999999999997" customHeight="1" x14ac:dyDescent="0.25">
      <c r="A14674" s="11" t="s">
        <v>28664</v>
      </c>
      <c r="B14674" s="11" t="s">
        <v>28664</v>
      </c>
      <c r="C14674" s="11" t="s">
        <v>80</v>
      </c>
      <c r="D14674" s="11" t="s">
        <v>18</v>
      </c>
      <c r="E14674" s="12" t="s">
        <v>2449</v>
      </c>
      <c r="F14674" s="12" t="s">
        <v>2450</v>
      </c>
      <c r="G14674" s="12" t="s">
        <v>29</v>
      </c>
      <c r="H14674" s="11" t="s">
        <v>22</v>
      </c>
      <c r="I14674" s="13" t="s">
        <v>28665</v>
      </c>
      <c r="J14674" s="14" t="str">
        <f>HYPERLINK("https://www.boe.es/gazeta/dias/1839/12/11/pdfs/GMD-1839-1858.pdf#page=1","Abrir facsímil")</f>
        <v>Abrir facsímil</v>
      </c>
      <c r="K14674" s="12" t="s">
        <v>24</v>
      </c>
    </row>
    <row r="14675" spans="1:11" ht="40.049999999999997" customHeight="1" x14ac:dyDescent="0.25">
      <c r="A14675" s="11" t="s">
        <v>28666</v>
      </c>
      <c r="B14675" s="11" t="s">
        <v>28666</v>
      </c>
      <c r="C14675" s="11" t="s">
        <v>80</v>
      </c>
      <c r="D14675" s="11" t="s">
        <v>18</v>
      </c>
      <c r="E14675" s="12" t="s">
        <v>1019</v>
      </c>
      <c r="F14675" s="12" t="s">
        <v>1020</v>
      </c>
      <c r="G14675" s="12" t="s">
        <v>40</v>
      </c>
      <c r="H14675" s="11" t="s">
        <v>63</v>
      </c>
      <c r="I14675" s="13" t="s">
        <v>28667</v>
      </c>
      <c r="J14675" s="14" t="str">
        <f>HYPERLINK("https://www.boe.es/gazeta/dias/1839/07/15/pdfs/GMD-1839-1703.pdf#page=2","Abrir facsímil")</f>
        <v>Abrir facsímil</v>
      </c>
      <c r="K14675" s="12" t="s">
        <v>65</v>
      </c>
    </row>
    <row r="14676" spans="1:11" ht="40.049999999999997" customHeight="1" x14ac:dyDescent="0.25">
      <c r="A14676" s="11" t="s">
        <v>28668</v>
      </c>
      <c r="B14676" s="11" t="s">
        <v>28668</v>
      </c>
      <c r="C14676" s="11" t="s">
        <v>17</v>
      </c>
      <c r="D14676" s="11" t="s">
        <v>18</v>
      </c>
      <c r="E14676" s="12" t="s">
        <v>385</v>
      </c>
      <c r="F14676" s="12" t="s">
        <v>386</v>
      </c>
      <c r="G14676" s="12" t="s">
        <v>40</v>
      </c>
      <c r="H14676" s="11" t="s">
        <v>63</v>
      </c>
      <c r="I14676" s="13" t="s">
        <v>28669</v>
      </c>
      <c r="J14676" s="14" t="str">
        <f>HYPERLINK("https://www.boe.es/gazeta/dias/1839/08/01/pdfs/GMD-1839-1721.pdf#page=2","Abrir facsímil")</f>
        <v>Abrir facsímil</v>
      </c>
      <c r="K14676" s="12" t="s">
        <v>65</v>
      </c>
    </row>
    <row r="14677" spans="1:11" ht="40.049999999999997" customHeight="1" x14ac:dyDescent="0.25">
      <c r="A14677" s="11" t="s">
        <v>28668</v>
      </c>
      <c r="B14677" s="11" t="s">
        <v>28668</v>
      </c>
      <c r="C14677" s="11" t="s">
        <v>59</v>
      </c>
      <c r="D14677" s="11" t="s">
        <v>60</v>
      </c>
      <c r="E14677" s="12" t="s">
        <v>4055</v>
      </c>
      <c r="F14677" s="12" t="s">
        <v>4056</v>
      </c>
      <c r="G14677" s="12" t="s">
        <v>46</v>
      </c>
      <c r="H14677" s="11" t="s">
        <v>63</v>
      </c>
      <c r="I14677" s="13" t="s">
        <v>28670</v>
      </c>
      <c r="J14677" s="14" t="str">
        <f>HYPERLINK("https://www.boe.es/gazeta/dias/1839/03/07/pdfs/GMD-1839-1573.pdf#page=3","Abrir facsímil")</f>
        <v>Abrir facsímil</v>
      </c>
      <c r="K14677" s="12" t="s">
        <v>65</v>
      </c>
    </row>
    <row r="14678" spans="1:11" ht="40.049999999999997" customHeight="1" x14ac:dyDescent="0.25">
      <c r="A14678" s="11" t="s">
        <v>28668</v>
      </c>
      <c r="B14678" s="11" t="s">
        <v>28668</v>
      </c>
      <c r="C14678" s="11" t="s">
        <v>17</v>
      </c>
      <c r="D14678" s="11" t="s">
        <v>18</v>
      </c>
      <c r="E14678" s="12" t="s">
        <v>3705</v>
      </c>
      <c r="F14678" s="12" t="s">
        <v>3706</v>
      </c>
      <c r="G14678" s="12" t="s">
        <v>40</v>
      </c>
      <c r="H14678" s="11" t="s">
        <v>63</v>
      </c>
      <c r="I14678" s="13" t="s">
        <v>28671</v>
      </c>
      <c r="J14678" s="14" t="str">
        <f>HYPERLINK("https://www.boe.es/gazeta/dias/1839/03/09/pdfs/GMD-1839-1575.pdf#page=2","Abrir facsímil")</f>
        <v>Abrir facsímil</v>
      </c>
      <c r="K14678" s="12" t="s">
        <v>65</v>
      </c>
    </row>
    <row r="14679" spans="1:11" ht="40.049999999999997" customHeight="1" x14ac:dyDescent="0.25">
      <c r="A14679" s="11" t="s">
        <v>28668</v>
      </c>
      <c r="B14679" s="11" t="s">
        <v>28668</v>
      </c>
      <c r="C14679" s="11" t="s">
        <v>101</v>
      </c>
      <c r="D14679" s="11" t="s">
        <v>43</v>
      </c>
      <c r="E14679" s="12" t="s">
        <v>254</v>
      </c>
      <c r="F14679" s="12" t="s">
        <v>255</v>
      </c>
      <c r="G14679" s="12" t="s">
        <v>40</v>
      </c>
      <c r="H14679" s="11" t="s">
        <v>63</v>
      </c>
      <c r="I14679" s="13" t="s">
        <v>28672</v>
      </c>
      <c r="J14679" s="14" t="str">
        <f>HYPERLINK("https://www.boe.es/gazeta/dias/1839/09/12/pdfs/GMD-1839-1765.pdf#page=2","Abrir facsímil")</f>
        <v>Abrir facsímil</v>
      </c>
      <c r="K14679" s="12" t="s">
        <v>65</v>
      </c>
    </row>
    <row r="14680" spans="1:11" ht="40.049999999999997" customHeight="1" x14ac:dyDescent="0.25">
      <c r="A14680" s="11" t="s">
        <v>28668</v>
      </c>
      <c r="B14680" s="11" t="s">
        <v>28668</v>
      </c>
      <c r="C14680" s="11" t="s">
        <v>17</v>
      </c>
      <c r="D14680" s="11" t="s">
        <v>18</v>
      </c>
      <c r="E14680" s="12" t="s">
        <v>1019</v>
      </c>
      <c r="F14680" s="12" t="s">
        <v>1020</v>
      </c>
      <c r="G14680" s="12" t="s">
        <v>40</v>
      </c>
      <c r="H14680" s="11" t="s">
        <v>63</v>
      </c>
      <c r="I14680" s="13" t="s">
        <v>28673</v>
      </c>
      <c r="J14680" s="14" t="str">
        <f>HYPERLINK("https://www.boe.es/gazeta/dias/1839/07/15/pdfs/GMD-1839-1703.pdf#page=2","Abrir facsímil")</f>
        <v>Abrir facsímil</v>
      </c>
      <c r="K14680" s="12" t="s">
        <v>65</v>
      </c>
    </row>
    <row r="14681" spans="1:11" ht="40.049999999999997" customHeight="1" x14ac:dyDescent="0.25">
      <c r="A14681" s="11" t="s">
        <v>28668</v>
      </c>
      <c r="B14681" s="11" t="s">
        <v>28668</v>
      </c>
      <c r="C14681" s="11" t="s">
        <v>80</v>
      </c>
      <c r="D14681" s="11" t="s">
        <v>18</v>
      </c>
      <c r="E14681" s="12" t="s">
        <v>1565</v>
      </c>
      <c r="F14681" s="12" t="s">
        <v>1566</v>
      </c>
      <c r="G14681" s="12" t="s">
        <v>29</v>
      </c>
      <c r="H14681" s="11" t="s">
        <v>63</v>
      </c>
      <c r="I14681" s="13" t="s">
        <v>28674</v>
      </c>
      <c r="J14681" s="14" t="str">
        <f>HYPERLINK("https://www.boe.es/gazeta/dias/1839/06/17/pdfs/GMD-1839-1675.pdf#page=1","Abrir facsímil")</f>
        <v>Abrir facsímil</v>
      </c>
      <c r="K14681" s="12" t="s">
        <v>65</v>
      </c>
    </row>
    <row r="14682" spans="1:11" ht="40.049999999999997" customHeight="1" x14ac:dyDescent="0.25">
      <c r="A14682" s="11" t="s">
        <v>28668</v>
      </c>
      <c r="B14682" s="11" t="s">
        <v>28668</v>
      </c>
      <c r="C14682" s="11" t="s">
        <v>137</v>
      </c>
      <c r="D14682" s="11" t="s">
        <v>18</v>
      </c>
      <c r="E14682" s="12" t="s">
        <v>19</v>
      </c>
      <c r="F14682" s="12" t="s">
        <v>20</v>
      </c>
      <c r="G14682" s="12" t="s">
        <v>46</v>
      </c>
      <c r="H14682" s="11" t="s">
        <v>63</v>
      </c>
      <c r="I14682" s="13" t="s">
        <v>28675</v>
      </c>
      <c r="J14682" s="14" t="str">
        <f>HYPERLINK("https://www.boe.es/gazeta/dias/1839/01/19/pdfs/GMD-1839-1526.pdf#page=3","Abrir facsímil")</f>
        <v>Abrir facsímil</v>
      </c>
      <c r="K14682" s="12" t="s">
        <v>65</v>
      </c>
    </row>
    <row r="14683" spans="1:11" ht="40.049999999999997" customHeight="1" x14ac:dyDescent="0.25">
      <c r="A14683" s="11" t="s">
        <v>28668</v>
      </c>
      <c r="B14683" s="11" t="s">
        <v>28668</v>
      </c>
      <c r="C14683" s="11" t="s">
        <v>17</v>
      </c>
      <c r="D14683" s="11" t="s">
        <v>18</v>
      </c>
      <c r="E14683" s="12" t="s">
        <v>555</v>
      </c>
      <c r="F14683" s="12" t="s">
        <v>556</v>
      </c>
      <c r="G14683" s="12" t="s">
        <v>29</v>
      </c>
      <c r="H14683" s="11" t="s">
        <v>63</v>
      </c>
      <c r="I14683" s="13" t="s">
        <v>28676</v>
      </c>
      <c r="J14683" s="14" t="str">
        <f>HYPERLINK("https://www.boe.es/gazeta/dias/1839/07/19/pdfs/GMD-1839-1707.pdf#page=1","Abrir facsímil")</f>
        <v>Abrir facsímil</v>
      </c>
      <c r="K14683" s="12" t="s">
        <v>65</v>
      </c>
    </row>
    <row r="14684" spans="1:11" ht="40.049999999999997" customHeight="1" x14ac:dyDescent="0.25">
      <c r="A14684" s="11" t="s">
        <v>28668</v>
      </c>
      <c r="B14684" s="11" t="s">
        <v>28668</v>
      </c>
      <c r="C14684" s="11" t="s">
        <v>17</v>
      </c>
      <c r="D14684" s="11" t="s">
        <v>18</v>
      </c>
      <c r="E14684" s="12" t="s">
        <v>1118</v>
      </c>
      <c r="F14684" s="12" t="s">
        <v>1119</v>
      </c>
      <c r="G14684" s="12" t="s">
        <v>21</v>
      </c>
      <c r="H14684" s="11" t="s">
        <v>63</v>
      </c>
      <c r="I14684" s="13" t="s">
        <v>28677</v>
      </c>
      <c r="J14684" s="14" t="str">
        <f>HYPERLINK("https://www.boe.es/gazeta/dias/1839/08/30/pdfs/GMD-1839-1751.pdf#page=4","Abrir facsímil")</f>
        <v>Abrir facsímil</v>
      </c>
      <c r="K14684" s="12" t="s">
        <v>65</v>
      </c>
    </row>
    <row r="14685" spans="1:11" ht="40.049999999999997" customHeight="1" x14ac:dyDescent="0.25">
      <c r="A14685" s="11" t="s">
        <v>28678</v>
      </c>
      <c r="B14685" s="11" t="s">
        <v>28679</v>
      </c>
      <c r="C14685" s="11" t="s">
        <v>17</v>
      </c>
      <c r="D14685" s="11" t="s">
        <v>18</v>
      </c>
      <c r="E14685" s="12" t="s">
        <v>548</v>
      </c>
      <c r="F14685" s="12" t="s">
        <v>549</v>
      </c>
      <c r="G14685" s="12" t="s">
        <v>29</v>
      </c>
      <c r="H14685" s="11" t="s">
        <v>63</v>
      </c>
      <c r="I14685" s="13" t="s">
        <v>28680</v>
      </c>
      <c r="J14685" s="14" t="str">
        <f>HYPERLINK("https://www.boe.es/gazeta/dias/1839/06/06/pdfs/GMD-1839-1664.pdf#page=1","Abrir facsímil")</f>
        <v>Abrir facsímil</v>
      </c>
      <c r="K14685" s="12" t="s">
        <v>65</v>
      </c>
    </row>
    <row r="14686" spans="1:11" ht="40.049999999999997" customHeight="1" x14ac:dyDescent="0.25">
      <c r="A14686" s="11" t="s">
        <v>28681</v>
      </c>
      <c r="B14686" s="11" t="s">
        <v>28681</v>
      </c>
      <c r="C14686" s="11" t="s">
        <v>101</v>
      </c>
      <c r="D14686" s="11" t="s">
        <v>43</v>
      </c>
      <c r="E14686" s="12" t="s">
        <v>2222</v>
      </c>
      <c r="F14686" s="12" t="s">
        <v>2223</v>
      </c>
      <c r="G14686" s="12" t="s">
        <v>40</v>
      </c>
      <c r="H14686" s="11" t="s">
        <v>63</v>
      </c>
      <c r="I14686" s="13" t="s">
        <v>28682</v>
      </c>
      <c r="J14686" s="14" t="str">
        <f>HYPERLINK("https://www.boe.es/gazeta/dias/1839/09/19/pdfs/GMD-1839-1773.pdf#page=2","Abrir facsímil")</f>
        <v>Abrir facsímil</v>
      </c>
      <c r="K14686" s="12" t="s">
        <v>65</v>
      </c>
    </row>
    <row r="14687" spans="1:11" ht="40.049999999999997" customHeight="1" x14ac:dyDescent="0.25">
      <c r="A14687" s="11" t="s">
        <v>28681</v>
      </c>
      <c r="B14687" s="11" t="s">
        <v>28681</v>
      </c>
      <c r="C14687" s="11" t="s">
        <v>80</v>
      </c>
      <c r="D14687" s="11" t="s">
        <v>18</v>
      </c>
      <c r="E14687" s="12" t="s">
        <v>1159</v>
      </c>
      <c r="F14687" s="12" t="s">
        <v>1160</v>
      </c>
      <c r="G14687" s="12" t="s">
        <v>21</v>
      </c>
      <c r="H14687" s="11" t="s">
        <v>63</v>
      </c>
      <c r="I14687" s="13" t="s">
        <v>28683</v>
      </c>
      <c r="J14687" s="14" t="str">
        <f>HYPERLINK("https://www.boe.es/gazeta/dias/1839/11/26/pdfs/GMD-1839-1843.pdf#page=4","Abrir facsímil")</f>
        <v>Abrir facsímil</v>
      </c>
      <c r="K14687" s="12" t="s">
        <v>65</v>
      </c>
    </row>
    <row r="14688" spans="1:11" ht="40.049999999999997" customHeight="1" x14ac:dyDescent="0.25">
      <c r="A14688" s="11" t="s">
        <v>28681</v>
      </c>
      <c r="B14688" s="11" t="s">
        <v>28681</v>
      </c>
      <c r="C14688" s="11" t="s">
        <v>17</v>
      </c>
      <c r="D14688" s="11" t="s">
        <v>18</v>
      </c>
      <c r="E14688" s="12" t="s">
        <v>677</v>
      </c>
      <c r="F14688" s="12" t="s">
        <v>678</v>
      </c>
      <c r="G14688" s="12" t="s">
        <v>21</v>
      </c>
      <c r="H14688" s="11" t="s">
        <v>63</v>
      </c>
      <c r="I14688" s="13" t="s">
        <v>28684</v>
      </c>
      <c r="J14688" s="14" t="str">
        <f>HYPERLINK("https://www.boe.es/gazeta/dias/1839/04/28/pdfs/GMD-1839-1625.pdf#page=4","Abrir facsímil")</f>
        <v>Abrir facsímil</v>
      </c>
      <c r="K14688" s="12" t="s">
        <v>65</v>
      </c>
    </row>
    <row r="14689" spans="1:11" ht="40.049999999999997" customHeight="1" x14ac:dyDescent="0.25">
      <c r="A14689" s="11" t="s">
        <v>28685</v>
      </c>
      <c r="B14689" s="11" t="s">
        <v>28686</v>
      </c>
      <c r="C14689" s="11" t="s">
        <v>137</v>
      </c>
      <c r="D14689" s="11" t="s">
        <v>18</v>
      </c>
      <c r="E14689" s="12" t="s">
        <v>751</v>
      </c>
      <c r="F14689" s="12" t="s">
        <v>752</v>
      </c>
      <c r="G14689" s="12" t="s">
        <v>46</v>
      </c>
      <c r="H14689" s="11" t="s">
        <v>22</v>
      </c>
      <c r="I14689" s="13" t="s">
        <v>28687</v>
      </c>
      <c r="J14689" s="14" t="str">
        <f>HYPERLINK("https://www.boe.es/gazeta/dias/1839/02/05/pdfs/GMD-1839-1543.pdf#page=3","Abrir facsímil")</f>
        <v>Abrir facsímil</v>
      </c>
      <c r="K14689" s="12" t="s">
        <v>24</v>
      </c>
    </row>
    <row r="14690" spans="1:11" ht="40.049999999999997" customHeight="1" x14ac:dyDescent="0.25">
      <c r="A14690" s="11" t="s">
        <v>28688</v>
      </c>
      <c r="B14690" s="11" t="s">
        <v>28688</v>
      </c>
      <c r="C14690" s="11" t="s">
        <v>80</v>
      </c>
      <c r="D14690" s="11" t="s">
        <v>18</v>
      </c>
      <c r="E14690" s="12" t="s">
        <v>1374</v>
      </c>
      <c r="F14690" s="12" t="s">
        <v>1375</v>
      </c>
      <c r="G14690" s="12" t="s">
        <v>29</v>
      </c>
      <c r="H14690" s="11" t="s">
        <v>63</v>
      </c>
      <c r="I14690" s="13" t="s">
        <v>28689</v>
      </c>
      <c r="J14690" s="14" t="str">
        <f>HYPERLINK("https://www.boe.es/gazeta/dias/1839/07/20/pdfs/GMD-1839-1708.pdf#page=1","Abrir facsímil")</f>
        <v>Abrir facsímil</v>
      </c>
      <c r="K14690" s="12" t="s">
        <v>65</v>
      </c>
    </row>
    <row r="14691" spans="1:11" ht="40.049999999999997" customHeight="1" x14ac:dyDescent="0.25">
      <c r="A14691" s="11" t="s">
        <v>28690</v>
      </c>
      <c r="B14691" s="11" t="s">
        <v>28691</v>
      </c>
      <c r="C14691" s="11" t="s">
        <v>17</v>
      </c>
      <c r="D14691" s="11" t="s">
        <v>18</v>
      </c>
      <c r="E14691" s="12" t="s">
        <v>1779</v>
      </c>
      <c r="F14691" s="12" t="s">
        <v>1780</v>
      </c>
      <c r="G14691" s="12" t="s">
        <v>29</v>
      </c>
      <c r="H14691" s="11" t="s">
        <v>63</v>
      </c>
      <c r="I14691" s="13" t="s">
        <v>28692</v>
      </c>
      <c r="J14691" s="14" t="str">
        <f>HYPERLINK("https://www.boe.es/gazeta/dias/1839/03/18/pdfs/GMD-1839-1584.pdf#page=1","Abrir facsímil")</f>
        <v>Abrir facsímil</v>
      </c>
      <c r="K14691" s="12" t="s">
        <v>65</v>
      </c>
    </row>
    <row r="14692" spans="1:11" ht="40.049999999999997" customHeight="1" x14ac:dyDescent="0.25">
      <c r="A14692" s="11" t="s">
        <v>28693</v>
      </c>
      <c r="B14692" s="11" t="s">
        <v>28693</v>
      </c>
      <c r="C14692" s="11" t="s">
        <v>59</v>
      </c>
      <c r="D14692" s="11" t="s">
        <v>60</v>
      </c>
      <c r="E14692" s="12" t="s">
        <v>49</v>
      </c>
      <c r="F14692" s="12" t="s">
        <v>50</v>
      </c>
      <c r="G14692" s="12" t="s">
        <v>21</v>
      </c>
      <c r="H14692" s="11" t="s">
        <v>63</v>
      </c>
      <c r="I14692" s="13" t="s">
        <v>28694</v>
      </c>
      <c r="J14692" s="14" t="str">
        <f>HYPERLINK("https://www.boe.es/gazeta/dias/1839/01/05/pdfs/GMD-1839-1512.pdf#page=4","Abrir facsímil")</f>
        <v>Abrir facsímil</v>
      </c>
      <c r="K14692" s="12" t="s">
        <v>65</v>
      </c>
    </row>
    <row r="14693" spans="1:11" ht="40.049999999999997" customHeight="1" x14ac:dyDescent="0.25">
      <c r="A14693" s="11" t="s">
        <v>28695</v>
      </c>
      <c r="B14693" s="11" t="s">
        <v>28695</v>
      </c>
      <c r="C14693" s="11" t="s">
        <v>59</v>
      </c>
      <c r="D14693" s="11" t="s">
        <v>60</v>
      </c>
      <c r="E14693" s="12" t="s">
        <v>258</v>
      </c>
      <c r="F14693" s="12" t="s">
        <v>259</v>
      </c>
      <c r="G14693" s="12" t="s">
        <v>21</v>
      </c>
      <c r="H14693" s="11" t="s">
        <v>63</v>
      </c>
      <c r="I14693" s="13" t="s">
        <v>28696</v>
      </c>
      <c r="J14693" s="14" t="str">
        <f>HYPERLINK("https://www.boe.es/gazeta/dias/1839/01/02/pdfs/GMD-1839-1509.pdf#page=4","Abrir facsímil")</f>
        <v>Abrir facsímil</v>
      </c>
      <c r="K14693" s="12" t="s">
        <v>65</v>
      </c>
    </row>
    <row r="14694" spans="1:11" ht="40.049999999999997" customHeight="1" x14ac:dyDescent="0.25">
      <c r="A14694" s="11" t="s">
        <v>28695</v>
      </c>
      <c r="B14694" s="11" t="s">
        <v>28695</v>
      </c>
      <c r="C14694" s="11" t="s">
        <v>17</v>
      </c>
      <c r="D14694" s="11" t="s">
        <v>18</v>
      </c>
      <c r="E14694" s="12" t="s">
        <v>4475</v>
      </c>
      <c r="F14694" s="12" t="s">
        <v>4476</v>
      </c>
      <c r="G14694" s="12" t="s">
        <v>40</v>
      </c>
      <c r="H14694" s="11" t="s">
        <v>63</v>
      </c>
      <c r="I14694" s="13" t="s">
        <v>28697</v>
      </c>
      <c r="J14694" s="14" t="str">
        <f>HYPERLINK("https://www.boe.es/gazeta/dias/1839/07/04/pdfs/GMD-1839-1692.pdf#page=2","Abrir facsímil")</f>
        <v>Abrir facsímil</v>
      </c>
      <c r="K14694" s="12" t="s">
        <v>65</v>
      </c>
    </row>
    <row r="14695" spans="1:11" ht="40.049999999999997" customHeight="1" x14ac:dyDescent="0.25">
      <c r="A14695" s="11" t="s">
        <v>28695</v>
      </c>
      <c r="B14695" s="11" t="s">
        <v>28695</v>
      </c>
      <c r="C14695" s="11" t="s">
        <v>17</v>
      </c>
      <c r="D14695" s="11" t="s">
        <v>18</v>
      </c>
      <c r="E14695" s="12" t="s">
        <v>2205</v>
      </c>
      <c r="F14695" s="12" t="s">
        <v>2206</v>
      </c>
      <c r="G14695" s="12" t="s">
        <v>46</v>
      </c>
      <c r="H14695" s="11" t="s">
        <v>63</v>
      </c>
      <c r="I14695" s="13" t="s">
        <v>28698</v>
      </c>
      <c r="J14695" s="14" t="str">
        <f>HYPERLINK("https://www.boe.es/gazeta/dias/1839/07/11/pdfs/GMD-1839-1699.pdf#page=3","Abrir facsímil")</f>
        <v>Abrir facsímil</v>
      </c>
      <c r="K14695" s="12" t="s">
        <v>65</v>
      </c>
    </row>
    <row r="14696" spans="1:11" ht="40.049999999999997" customHeight="1" x14ac:dyDescent="0.25">
      <c r="A14696" s="11" t="s">
        <v>28695</v>
      </c>
      <c r="B14696" s="11" t="s">
        <v>28695</v>
      </c>
      <c r="C14696" s="11" t="s">
        <v>80</v>
      </c>
      <c r="D14696" s="11" t="s">
        <v>18</v>
      </c>
      <c r="E14696" s="12" t="s">
        <v>426</v>
      </c>
      <c r="F14696" s="12" t="s">
        <v>427</v>
      </c>
      <c r="G14696" s="12" t="s">
        <v>21</v>
      </c>
      <c r="H14696" s="11" t="s">
        <v>63</v>
      </c>
      <c r="I14696" s="13" t="s">
        <v>28699</v>
      </c>
      <c r="J14696" s="14" t="str">
        <f>HYPERLINK("https://www.boe.es/gazeta/dias/1839/08/11/pdfs/GMD-1839-1731.pdf#page=4","Abrir facsímil")</f>
        <v>Abrir facsímil</v>
      </c>
      <c r="K14696" s="12" t="s">
        <v>65</v>
      </c>
    </row>
    <row r="14697" spans="1:11" ht="40.049999999999997" customHeight="1" x14ac:dyDescent="0.25">
      <c r="A14697" s="11" t="s">
        <v>28695</v>
      </c>
      <c r="B14697" s="11" t="s">
        <v>28695</v>
      </c>
      <c r="C14697" s="11" t="s">
        <v>80</v>
      </c>
      <c r="D14697" s="11" t="s">
        <v>18</v>
      </c>
      <c r="E14697" s="12" t="s">
        <v>1019</v>
      </c>
      <c r="F14697" s="12" t="s">
        <v>1020</v>
      </c>
      <c r="G14697" s="12" t="s">
        <v>46</v>
      </c>
      <c r="H14697" s="11" t="s">
        <v>63</v>
      </c>
      <c r="I14697" s="13" t="s">
        <v>28700</v>
      </c>
      <c r="J14697" s="14" t="str">
        <f>HYPERLINK("https://www.boe.es/gazeta/dias/1839/07/15/pdfs/GMD-1839-1703.pdf#page=3","Abrir facsímil")</f>
        <v>Abrir facsímil</v>
      </c>
      <c r="K14697" s="12" t="s">
        <v>65</v>
      </c>
    </row>
    <row r="14698" spans="1:11" ht="40.049999999999997" customHeight="1" x14ac:dyDescent="0.25">
      <c r="A14698" s="11" t="s">
        <v>28695</v>
      </c>
      <c r="B14698" s="11" t="s">
        <v>28695</v>
      </c>
      <c r="C14698" s="11" t="s">
        <v>17</v>
      </c>
      <c r="D14698" s="11" t="s">
        <v>18</v>
      </c>
      <c r="E14698" s="12" t="s">
        <v>756</v>
      </c>
      <c r="F14698" s="12" t="s">
        <v>757</v>
      </c>
      <c r="G14698" s="12" t="s">
        <v>46</v>
      </c>
      <c r="H14698" s="11" t="s">
        <v>63</v>
      </c>
      <c r="I14698" s="13" t="s">
        <v>28701</v>
      </c>
      <c r="J14698" s="14" t="str">
        <f>HYPERLINK("https://www.boe.es/gazeta/dias/1839/12/17/pdfs/GMD-1839-1864.pdf#page=3","Abrir facsímil")</f>
        <v>Abrir facsímil</v>
      </c>
      <c r="K14698" s="12" t="s">
        <v>65</v>
      </c>
    </row>
    <row r="14699" spans="1:11" ht="40.049999999999997" customHeight="1" x14ac:dyDescent="0.25">
      <c r="A14699" s="11" t="s">
        <v>28695</v>
      </c>
      <c r="B14699" s="11" t="s">
        <v>28695</v>
      </c>
      <c r="C14699" s="11" t="s">
        <v>17</v>
      </c>
      <c r="D14699" s="11" t="s">
        <v>18</v>
      </c>
      <c r="E14699" s="12" t="s">
        <v>775</v>
      </c>
      <c r="F14699" s="12" t="s">
        <v>776</v>
      </c>
      <c r="G14699" s="12" t="s">
        <v>46</v>
      </c>
      <c r="H14699" s="11" t="s">
        <v>63</v>
      </c>
      <c r="I14699" s="13" t="s">
        <v>28702</v>
      </c>
      <c r="J14699" s="14" t="str">
        <f>HYPERLINK("https://www.boe.es/gazeta/dias/1839/02/25/pdfs/GMD-1839-1563.pdf#page=3","Abrir facsímil")</f>
        <v>Abrir facsímil</v>
      </c>
      <c r="K14699" s="12" t="s">
        <v>65</v>
      </c>
    </row>
    <row r="14700" spans="1:11" ht="40.049999999999997" customHeight="1" x14ac:dyDescent="0.25">
      <c r="A14700" s="11" t="s">
        <v>28703</v>
      </c>
      <c r="B14700" s="11" t="s">
        <v>28704</v>
      </c>
      <c r="C14700" s="11" t="s">
        <v>17</v>
      </c>
      <c r="D14700" s="11" t="s">
        <v>18</v>
      </c>
      <c r="E14700" s="12" t="s">
        <v>1433</v>
      </c>
      <c r="F14700" s="12" t="s">
        <v>1434</v>
      </c>
      <c r="G14700" s="12" t="s">
        <v>40</v>
      </c>
      <c r="H14700" s="11" t="s">
        <v>22</v>
      </c>
      <c r="I14700" s="13" t="s">
        <v>28705</v>
      </c>
      <c r="J14700" s="14" t="str">
        <f>HYPERLINK("https://www.boe.es/gazeta/dias/1839/10/22/pdfs/GMD-1839-1808.pdf#page=2","Abrir facsímil")</f>
        <v>Abrir facsímil</v>
      </c>
      <c r="K14700" s="12" t="s">
        <v>24</v>
      </c>
    </row>
    <row r="14701" spans="1:11" ht="40.049999999999997" customHeight="1" x14ac:dyDescent="0.25">
      <c r="A14701" s="11" t="s">
        <v>28706</v>
      </c>
      <c r="B14701" s="11" t="s">
        <v>28706</v>
      </c>
      <c r="C14701" s="11" t="s">
        <v>17</v>
      </c>
      <c r="D14701" s="11" t="s">
        <v>18</v>
      </c>
      <c r="E14701" s="12" t="s">
        <v>723</v>
      </c>
      <c r="F14701" s="12" t="s">
        <v>724</v>
      </c>
      <c r="G14701" s="12" t="s">
        <v>40</v>
      </c>
      <c r="H14701" s="11" t="s">
        <v>63</v>
      </c>
      <c r="I14701" s="13" t="s">
        <v>28707</v>
      </c>
      <c r="J14701" s="14" t="str">
        <f>HYPERLINK("https://www.boe.es/gazeta/dias/1839/09/26/pdfs/GMD-1839-1782.pdf#page=2","Abrir facsímil")</f>
        <v>Abrir facsímil</v>
      </c>
      <c r="K14701" s="12" t="s">
        <v>65</v>
      </c>
    </row>
    <row r="14702" spans="1:11" ht="40.049999999999997" customHeight="1" x14ac:dyDescent="0.25">
      <c r="A14702" s="11" t="s">
        <v>28708</v>
      </c>
      <c r="B14702" s="11" t="s">
        <v>28709</v>
      </c>
      <c r="C14702" s="11" t="s">
        <v>17</v>
      </c>
      <c r="D14702" s="11" t="s">
        <v>18</v>
      </c>
      <c r="E14702" s="12" t="s">
        <v>817</v>
      </c>
      <c r="F14702" s="12" t="s">
        <v>818</v>
      </c>
      <c r="G14702" s="12" t="s">
        <v>21</v>
      </c>
      <c r="H14702" s="11" t="s">
        <v>63</v>
      </c>
      <c r="I14702" s="13" t="s">
        <v>28710</v>
      </c>
      <c r="J14702" s="14" t="str">
        <f>HYPERLINK("https://www.boe.es/gazeta/dias/1839/05/28/pdfs/GMD-1839-1655.pdf#page=4","Abrir facsímil")</f>
        <v>Abrir facsímil</v>
      </c>
      <c r="K14702" s="12" t="s">
        <v>65</v>
      </c>
    </row>
    <row r="14703" spans="1:11" ht="40.049999999999997" customHeight="1" x14ac:dyDescent="0.25">
      <c r="A14703" s="11" t="s">
        <v>28711</v>
      </c>
      <c r="B14703" s="11" t="s">
        <v>28712</v>
      </c>
      <c r="C14703" s="11" t="s">
        <v>80</v>
      </c>
      <c r="D14703" s="11" t="s">
        <v>18</v>
      </c>
      <c r="E14703" s="12" t="s">
        <v>1891</v>
      </c>
      <c r="F14703" s="12" t="s">
        <v>1892</v>
      </c>
      <c r="G14703" s="12" t="s">
        <v>21</v>
      </c>
      <c r="H14703" s="11" t="s">
        <v>22</v>
      </c>
      <c r="I14703" s="13" t="s">
        <v>28713</v>
      </c>
      <c r="J14703" s="14" t="str">
        <f>HYPERLINK("https://www.boe.es/gazeta/dias/1839/12/14/pdfs/GMD-1839-1861.pdf#page=4","Abrir facsímil")</f>
        <v>Abrir facsímil</v>
      </c>
      <c r="K14703" s="12" t="s">
        <v>24</v>
      </c>
    </row>
    <row r="14704" spans="1:11" ht="40.049999999999997" customHeight="1" x14ac:dyDescent="0.25">
      <c r="A14704" s="11" t="s">
        <v>28714</v>
      </c>
      <c r="B14704" s="11" t="s">
        <v>28715</v>
      </c>
      <c r="C14704" s="11" t="s">
        <v>17</v>
      </c>
      <c r="D14704" s="11" t="s">
        <v>18</v>
      </c>
      <c r="E14704" s="12" t="s">
        <v>2658</v>
      </c>
      <c r="F14704" s="12" t="s">
        <v>2659</v>
      </c>
      <c r="G14704" s="12" t="s">
        <v>40</v>
      </c>
      <c r="H14704" s="11" t="s">
        <v>63</v>
      </c>
      <c r="I14704" s="13" t="s">
        <v>28716</v>
      </c>
      <c r="J14704" s="14" t="str">
        <f>HYPERLINK("https://www.boe.es/gazeta/dias/1839/06/27/pdfs/GMD-1839-1685.pdf#page=2","Abrir facsímil")</f>
        <v>Abrir facsímil</v>
      </c>
      <c r="K14704" s="12" t="s">
        <v>65</v>
      </c>
    </row>
    <row r="14705" spans="1:11" ht="40.049999999999997" customHeight="1" x14ac:dyDescent="0.25">
      <c r="A14705" s="11" t="s">
        <v>28717</v>
      </c>
      <c r="B14705" s="11" t="s">
        <v>28718</v>
      </c>
      <c r="C14705" s="11" t="s">
        <v>80</v>
      </c>
      <c r="D14705" s="11" t="s">
        <v>18</v>
      </c>
      <c r="E14705" s="12" t="s">
        <v>222</v>
      </c>
      <c r="F14705" s="12" t="s">
        <v>223</v>
      </c>
      <c r="G14705" s="12" t="s">
        <v>21</v>
      </c>
      <c r="H14705" s="11" t="s">
        <v>63</v>
      </c>
      <c r="I14705" s="13" t="s">
        <v>28719</v>
      </c>
      <c r="J14705" s="14" t="str">
        <f>HYPERLINK("https://www.boe.es/gazeta/dias/1839/06/22/pdfs/GMD-1839-1680.pdf#page=4","Abrir facsímil")</f>
        <v>Abrir facsímil</v>
      </c>
      <c r="K14705" s="12" t="s">
        <v>65</v>
      </c>
    </row>
    <row r="14706" spans="1:11" ht="40.049999999999997" customHeight="1" x14ac:dyDescent="0.25">
      <c r="A14706" s="11" t="s">
        <v>28720</v>
      </c>
      <c r="B14706" s="11" t="s">
        <v>28721</v>
      </c>
      <c r="C14706" s="11" t="s">
        <v>17</v>
      </c>
      <c r="D14706" s="11" t="s">
        <v>18</v>
      </c>
      <c r="E14706" s="12" t="s">
        <v>1414</v>
      </c>
      <c r="F14706" s="12" t="s">
        <v>1415</v>
      </c>
      <c r="G14706" s="12" t="s">
        <v>21</v>
      </c>
      <c r="H14706" s="11" t="s">
        <v>63</v>
      </c>
      <c r="I14706" s="13" t="s">
        <v>28722</v>
      </c>
      <c r="J14706" s="14" t="str">
        <f>HYPERLINK("https://www.boe.es/gazeta/dias/1839/06/12/pdfs/GMD-1839-1670.pdf#page=4","Abrir facsímil")</f>
        <v>Abrir facsímil</v>
      </c>
      <c r="K14706" s="12" t="s">
        <v>65</v>
      </c>
    </row>
    <row r="14707" spans="1:11" ht="40.049999999999997" customHeight="1" x14ac:dyDescent="0.25">
      <c r="A14707" s="11" t="s">
        <v>28723</v>
      </c>
      <c r="B14707" s="11" t="s">
        <v>28723</v>
      </c>
      <c r="C14707" s="11" t="s">
        <v>17</v>
      </c>
      <c r="D14707" s="11" t="s">
        <v>18</v>
      </c>
      <c r="E14707" s="12" t="s">
        <v>49</v>
      </c>
      <c r="F14707" s="12" t="s">
        <v>50</v>
      </c>
      <c r="G14707" s="12" t="s">
        <v>21</v>
      </c>
      <c r="H14707" s="11" t="s">
        <v>63</v>
      </c>
      <c r="I14707" s="13" t="s">
        <v>28724</v>
      </c>
      <c r="J14707" s="14" t="str">
        <f>HYPERLINK("https://www.boe.es/gazeta/dias/1839/01/05/pdfs/GMD-1839-1512.pdf#page=4","Abrir facsímil")</f>
        <v>Abrir facsímil</v>
      </c>
      <c r="K14707" s="12" t="s">
        <v>65</v>
      </c>
    </row>
    <row r="14708" spans="1:11" ht="40.049999999999997" customHeight="1" x14ac:dyDescent="0.25">
      <c r="A14708" s="11" t="s">
        <v>28725</v>
      </c>
      <c r="B14708" s="11" t="s">
        <v>28725</v>
      </c>
      <c r="C14708" s="11" t="s">
        <v>59</v>
      </c>
      <c r="D14708" s="11" t="s">
        <v>60</v>
      </c>
      <c r="E14708" s="12" t="s">
        <v>2491</v>
      </c>
      <c r="F14708" s="12" t="s">
        <v>2492</v>
      </c>
      <c r="G14708" s="12" t="s">
        <v>29</v>
      </c>
      <c r="H14708" s="11" t="s">
        <v>63</v>
      </c>
      <c r="I14708" s="13" t="s">
        <v>28726</v>
      </c>
      <c r="J14708" s="14" t="str">
        <f>HYPERLINK("https://www.boe.es/gazeta/dias/1839/05/01/pdfs/GMD-1839-1628.pdf#page=1","Abrir facsímil")</f>
        <v>Abrir facsímil</v>
      </c>
      <c r="K14708" s="12" t="s">
        <v>65</v>
      </c>
    </row>
    <row r="14709" spans="1:11" ht="40.049999999999997" customHeight="1" x14ac:dyDescent="0.25">
      <c r="A14709" s="11" t="s">
        <v>28725</v>
      </c>
      <c r="B14709" s="11" t="s">
        <v>28725</v>
      </c>
      <c r="C14709" s="11" t="s">
        <v>17</v>
      </c>
      <c r="D14709" s="11" t="s">
        <v>43</v>
      </c>
      <c r="E14709" s="12" t="s">
        <v>381</v>
      </c>
      <c r="F14709" s="12" t="s">
        <v>382</v>
      </c>
      <c r="G14709" s="12" t="s">
        <v>21</v>
      </c>
      <c r="H14709" s="11" t="s">
        <v>63</v>
      </c>
      <c r="I14709" s="13" t="s">
        <v>28727</v>
      </c>
      <c r="J14709" s="14" t="str">
        <f>HYPERLINK("https://www.boe.es/gazeta/dias/1839/06/02/pdfs/GMD-1839-1660.pdf#page=4","Abrir facsímil")</f>
        <v>Abrir facsímil</v>
      </c>
      <c r="K14709" s="12" t="s">
        <v>65</v>
      </c>
    </row>
    <row r="14710" spans="1:11" ht="40.049999999999997" customHeight="1" x14ac:dyDescent="0.25">
      <c r="A14710" s="11" t="s">
        <v>28725</v>
      </c>
      <c r="B14710" s="11" t="s">
        <v>28725</v>
      </c>
      <c r="C14710" s="11" t="s">
        <v>17</v>
      </c>
      <c r="D14710" s="11" t="s">
        <v>18</v>
      </c>
      <c r="E14710" s="12" t="s">
        <v>266</v>
      </c>
      <c r="F14710" s="12" t="s">
        <v>267</v>
      </c>
      <c r="G14710" s="12" t="s">
        <v>29</v>
      </c>
      <c r="H14710" s="11" t="s">
        <v>63</v>
      </c>
      <c r="I14710" s="13" t="s">
        <v>28728</v>
      </c>
      <c r="J14710" s="14" t="str">
        <f>HYPERLINK("https://www.boe.es/gazeta/dias/1839/01/03/pdfs/GMD-1839-1510.pdf#page=1","Abrir facsímil")</f>
        <v>Abrir facsímil</v>
      </c>
      <c r="K14710" s="12" t="s">
        <v>65</v>
      </c>
    </row>
    <row r="14711" spans="1:11" ht="40.049999999999997" customHeight="1" x14ac:dyDescent="0.25">
      <c r="A14711" s="11" t="s">
        <v>28725</v>
      </c>
      <c r="B14711" s="11" t="s">
        <v>28725</v>
      </c>
      <c r="C14711" s="11" t="s">
        <v>17</v>
      </c>
      <c r="D14711" s="11" t="s">
        <v>18</v>
      </c>
      <c r="E14711" s="12" t="s">
        <v>1136</v>
      </c>
      <c r="F14711" s="12" t="s">
        <v>1137</v>
      </c>
      <c r="G14711" s="12" t="s">
        <v>46</v>
      </c>
      <c r="H14711" s="11" t="s">
        <v>63</v>
      </c>
      <c r="I14711" s="13" t="s">
        <v>28729</v>
      </c>
      <c r="J14711" s="14" t="str">
        <f>HYPERLINK("https://www.boe.es/gazeta/dias/1839/04/03/pdfs/GMD-1839-1600.pdf#page=3","Abrir facsímil")</f>
        <v>Abrir facsímil</v>
      </c>
      <c r="K14711" s="12" t="s">
        <v>65</v>
      </c>
    </row>
    <row r="14712" spans="1:11" ht="40.049999999999997" customHeight="1" x14ac:dyDescent="0.25">
      <c r="A14712" s="11" t="s">
        <v>28725</v>
      </c>
      <c r="B14712" s="11" t="s">
        <v>28725</v>
      </c>
      <c r="C14712" s="11" t="s">
        <v>17</v>
      </c>
      <c r="D14712" s="11" t="s">
        <v>18</v>
      </c>
      <c r="E14712" s="12" t="s">
        <v>202</v>
      </c>
      <c r="F14712" s="12" t="s">
        <v>203</v>
      </c>
      <c r="G14712" s="12" t="s">
        <v>29</v>
      </c>
      <c r="H14712" s="11" t="s">
        <v>63</v>
      </c>
      <c r="I14712" s="13" t="s">
        <v>28730</v>
      </c>
      <c r="J14712" s="14" t="str">
        <f>HYPERLINK("https://www.boe.es/gazeta/dias/1839/04/05/pdfs/GMD-1839-1602.pdf#page=1","Abrir facsímil")</f>
        <v>Abrir facsímil</v>
      </c>
      <c r="K14712" s="12" t="s">
        <v>65</v>
      </c>
    </row>
    <row r="14713" spans="1:11" ht="40.049999999999997" customHeight="1" x14ac:dyDescent="0.25">
      <c r="A14713" s="11" t="s">
        <v>28725</v>
      </c>
      <c r="B14713" s="11" t="s">
        <v>28725</v>
      </c>
      <c r="C14713" s="11" t="s">
        <v>17</v>
      </c>
      <c r="D14713" s="11" t="s">
        <v>18</v>
      </c>
      <c r="E14713" s="12" t="s">
        <v>448</v>
      </c>
      <c r="F14713" s="12" t="s">
        <v>449</v>
      </c>
      <c r="G14713" s="12" t="s">
        <v>29</v>
      </c>
      <c r="H14713" s="11" t="s">
        <v>63</v>
      </c>
      <c r="I14713" s="13" t="s">
        <v>28731</v>
      </c>
      <c r="J14713" s="14" t="str">
        <f>HYPERLINK("https://www.boe.es/gazeta/dias/1839/02/06/pdfs/GMD-1839-1544.pdf#page=1","Abrir facsímil")</f>
        <v>Abrir facsímil</v>
      </c>
      <c r="K14713" s="12" t="s">
        <v>65</v>
      </c>
    </row>
    <row r="14714" spans="1:11" ht="40.049999999999997" customHeight="1" x14ac:dyDescent="0.25">
      <c r="A14714" s="11" t="s">
        <v>28725</v>
      </c>
      <c r="B14714" s="11" t="s">
        <v>28725</v>
      </c>
      <c r="C14714" s="11" t="s">
        <v>17</v>
      </c>
      <c r="D14714" s="11" t="s">
        <v>18</v>
      </c>
      <c r="E14714" s="12" t="s">
        <v>1512</v>
      </c>
      <c r="F14714" s="12" t="s">
        <v>1513</v>
      </c>
      <c r="G14714" s="12" t="s">
        <v>21</v>
      </c>
      <c r="H14714" s="11" t="s">
        <v>63</v>
      </c>
      <c r="I14714" s="13" t="s">
        <v>28732</v>
      </c>
      <c r="J14714" s="14" t="str">
        <f>HYPERLINK("https://www.boe.es/gazeta/dias/1839/04/13/pdfs/GMD-1839-1610.pdf#page=4","Abrir facsímil")</f>
        <v>Abrir facsímil</v>
      </c>
      <c r="K14714" s="12" t="s">
        <v>65</v>
      </c>
    </row>
    <row r="14715" spans="1:11" ht="40.049999999999997" customHeight="1" x14ac:dyDescent="0.25">
      <c r="A14715" s="11" t="s">
        <v>28725</v>
      </c>
      <c r="B14715" s="11" t="s">
        <v>28725</v>
      </c>
      <c r="C14715" s="11" t="s">
        <v>101</v>
      </c>
      <c r="D14715" s="11" t="s">
        <v>43</v>
      </c>
      <c r="E14715" s="12" t="s">
        <v>513</v>
      </c>
      <c r="F14715" s="12" t="s">
        <v>514</v>
      </c>
      <c r="G14715" s="12" t="s">
        <v>29</v>
      </c>
      <c r="H14715" s="11" t="s">
        <v>63</v>
      </c>
      <c r="I14715" s="13" t="s">
        <v>28733</v>
      </c>
      <c r="J14715" s="14" t="str">
        <f>HYPERLINK("https://www.boe.es/gazeta/dias/1839/03/17/pdfs/GMD-1839-1583.pdf#page=1","Abrir facsímil")</f>
        <v>Abrir facsímil</v>
      </c>
      <c r="K14715" s="12" t="s">
        <v>65</v>
      </c>
    </row>
    <row r="14716" spans="1:11" ht="40.049999999999997" customHeight="1" x14ac:dyDescent="0.25">
      <c r="A14716" s="11" t="s">
        <v>28725</v>
      </c>
      <c r="B14716" s="11" t="s">
        <v>28725</v>
      </c>
      <c r="C14716" s="11" t="s">
        <v>17</v>
      </c>
      <c r="D14716" s="11" t="s">
        <v>18</v>
      </c>
      <c r="E14716" s="12" t="s">
        <v>295</v>
      </c>
      <c r="F14716" s="12" t="s">
        <v>296</v>
      </c>
      <c r="G14716" s="12" t="s">
        <v>40</v>
      </c>
      <c r="H14716" s="11" t="s">
        <v>63</v>
      </c>
      <c r="I14716" s="13" t="s">
        <v>28734</v>
      </c>
      <c r="J14716" s="14" t="str">
        <f>HYPERLINK("https://www.boe.es/gazeta/dias/1839/08/19/pdfs/GMD-1839-1740.pdf#page=2","Abrir facsímil")</f>
        <v>Abrir facsímil</v>
      </c>
      <c r="K14716" s="12" t="s">
        <v>65</v>
      </c>
    </row>
    <row r="14717" spans="1:11" ht="40.049999999999997" customHeight="1" x14ac:dyDescent="0.25">
      <c r="A14717" s="11" t="s">
        <v>28725</v>
      </c>
      <c r="B14717" s="11" t="s">
        <v>28725</v>
      </c>
      <c r="C14717" s="11" t="s">
        <v>17</v>
      </c>
      <c r="D14717" s="11" t="s">
        <v>18</v>
      </c>
      <c r="E14717" s="12" t="s">
        <v>643</v>
      </c>
      <c r="F14717" s="12" t="s">
        <v>644</v>
      </c>
      <c r="G14717" s="12" t="s">
        <v>29</v>
      </c>
      <c r="H14717" s="11" t="s">
        <v>63</v>
      </c>
      <c r="I14717" s="13" t="s">
        <v>28735</v>
      </c>
      <c r="J14717" s="14" t="str">
        <f>HYPERLINK("https://www.boe.es/gazeta/dias/1839/03/20/pdfs/GMD-1839-1586.pdf#page=1","Abrir facsímil")</f>
        <v>Abrir facsímil</v>
      </c>
      <c r="K14717" s="12" t="s">
        <v>65</v>
      </c>
    </row>
    <row r="14718" spans="1:11" ht="40.049999999999997" customHeight="1" x14ac:dyDescent="0.25">
      <c r="A14718" s="11" t="s">
        <v>28725</v>
      </c>
      <c r="B14718" s="11" t="s">
        <v>28725</v>
      </c>
      <c r="C14718" s="11" t="s">
        <v>17</v>
      </c>
      <c r="D14718" s="11" t="s">
        <v>18</v>
      </c>
      <c r="E14718" s="12" t="s">
        <v>821</v>
      </c>
      <c r="F14718" s="12" t="s">
        <v>822</v>
      </c>
      <c r="G14718" s="12" t="s">
        <v>29</v>
      </c>
      <c r="H14718" s="11" t="s">
        <v>63</v>
      </c>
      <c r="I14718" s="13" t="s">
        <v>28736</v>
      </c>
      <c r="J14718" s="14" t="str">
        <f>HYPERLINK("https://www.boe.es/gazeta/dias/1839/09/20/pdfs/GMD-1839-1775.pdf#page=1","Abrir facsímil")</f>
        <v>Abrir facsímil</v>
      </c>
      <c r="K14718" s="12" t="s">
        <v>65</v>
      </c>
    </row>
    <row r="14719" spans="1:11" ht="40.049999999999997" customHeight="1" x14ac:dyDescent="0.25">
      <c r="A14719" s="11" t="s">
        <v>28725</v>
      </c>
      <c r="B14719" s="11" t="s">
        <v>28725</v>
      </c>
      <c r="C14719" s="11" t="s">
        <v>137</v>
      </c>
      <c r="D14719" s="11" t="s">
        <v>18</v>
      </c>
      <c r="E14719" s="12" t="s">
        <v>94</v>
      </c>
      <c r="F14719" s="12" t="s">
        <v>95</v>
      </c>
      <c r="G14719" s="12" t="s">
        <v>29</v>
      </c>
      <c r="H14719" s="11" t="s">
        <v>63</v>
      </c>
      <c r="I14719" s="13" t="s">
        <v>28737</v>
      </c>
      <c r="J14719" s="14" t="str">
        <f>HYPERLINK("https://www.boe.es/gazeta/dias/1839/02/24/pdfs/GMD-1839-1562.pdf#page=1","Abrir facsímil")</f>
        <v>Abrir facsímil</v>
      </c>
      <c r="K14719" s="12" t="s">
        <v>65</v>
      </c>
    </row>
    <row r="14720" spans="1:11" ht="40.049999999999997" customHeight="1" x14ac:dyDescent="0.25">
      <c r="A14720" s="11" t="s">
        <v>28725</v>
      </c>
      <c r="B14720" s="11" t="s">
        <v>28725</v>
      </c>
      <c r="C14720" s="11" t="s">
        <v>17</v>
      </c>
      <c r="D14720" s="11" t="s">
        <v>18</v>
      </c>
      <c r="E14720" s="12" t="s">
        <v>677</v>
      </c>
      <c r="F14720" s="12" t="s">
        <v>678</v>
      </c>
      <c r="G14720" s="12" t="s">
        <v>29</v>
      </c>
      <c r="H14720" s="11" t="s">
        <v>63</v>
      </c>
      <c r="I14720" s="13" t="s">
        <v>28738</v>
      </c>
      <c r="J14720" s="14" t="str">
        <f>HYPERLINK("https://www.boe.es/gazeta/dias/1839/04/28/pdfs/GMD-1839-1625.pdf#page=1","Abrir facsímil")</f>
        <v>Abrir facsímil</v>
      </c>
      <c r="K14720" s="12" t="s">
        <v>65</v>
      </c>
    </row>
    <row r="14721" spans="1:11" ht="40.049999999999997" customHeight="1" x14ac:dyDescent="0.25">
      <c r="A14721" s="11" t="s">
        <v>28739</v>
      </c>
      <c r="B14721" s="11" t="s">
        <v>28740</v>
      </c>
      <c r="C14721" s="11" t="s">
        <v>80</v>
      </c>
      <c r="D14721" s="11" t="s">
        <v>18</v>
      </c>
      <c r="E14721" s="12" t="s">
        <v>330</v>
      </c>
      <c r="F14721" s="12" t="s">
        <v>331</v>
      </c>
      <c r="G14721" s="12" t="s">
        <v>21</v>
      </c>
      <c r="H14721" s="11" t="s">
        <v>63</v>
      </c>
      <c r="I14721" s="13" t="s">
        <v>28741</v>
      </c>
      <c r="J14721" s="14" t="str">
        <f>HYPERLINK("https://www.boe.es/gazeta/dias/1839/04/11/pdfs/GMD-1839-1608.pdf#page=4","Abrir facsímil")</f>
        <v>Abrir facsímil</v>
      </c>
      <c r="K14721" s="12" t="s">
        <v>65</v>
      </c>
    </row>
    <row r="14722" spans="1:11" ht="40.049999999999997" customHeight="1" x14ac:dyDescent="0.25">
      <c r="A14722" s="11" t="s">
        <v>28742</v>
      </c>
      <c r="B14722" s="11" t="s">
        <v>28742</v>
      </c>
      <c r="C14722" s="11" t="s">
        <v>17</v>
      </c>
      <c r="D14722" s="11" t="s">
        <v>18</v>
      </c>
      <c r="E14722" s="12" t="s">
        <v>2449</v>
      </c>
      <c r="F14722" s="12" t="s">
        <v>2450</v>
      </c>
      <c r="G14722" s="12" t="s">
        <v>29</v>
      </c>
      <c r="H14722" s="11" t="s">
        <v>63</v>
      </c>
      <c r="I14722" s="13" t="s">
        <v>28743</v>
      </c>
      <c r="J14722" s="14" t="str">
        <f>HYPERLINK("https://www.boe.es/gazeta/dias/1839/12/11/pdfs/GMD-1839-1858.pdf#page=1","Abrir facsímil")</f>
        <v>Abrir facsímil</v>
      </c>
      <c r="K14722" s="12" t="s">
        <v>65</v>
      </c>
    </row>
    <row r="14723" spans="1:11" ht="40.049999999999997" customHeight="1" x14ac:dyDescent="0.25">
      <c r="A14723" s="11" t="s">
        <v>28742</v>
      </c>
      <c r="B14723" s="11" t="s">
        <v>28742</v>
      </c>
      <c r="C14723" s="11" t="s">
        <v>17</v>
      </c>
      <c r="D14723" s="11" t="s">
        <v>18</v>
      </c>
      <c r="E14723" s="12" t="s">
        <v>4186</v>
      </c>
      <c r="F14723" s="12" t="s">
        <v>4187</v>
      </c>
      <c r="G14723" s="12" t="s">
        <v>46</v>
      </c>
      <c r="H14723" s="11" t="s">
        <v>63</v>
      </c>
      <c r="I14723" s="13" t="s">
        <v>28744</v>
      </c>
      <c r="J14723" s="14" t="str">
        <f>HYPERLINK("https://www.boe.es/gazeta/dias/1839/12/12/pdfs/GMD-1839-1859.pdf#page=3","Abrir facsímil")</f>
        <v>Abrir facsímil</v>
      </c>
      <c r="K14723" s="12" t="s">
        <v>65</v>
      </c>
    </row>
    <row r="14724" spans="1:11" ht="40.049999999999997" customHeight="1" x14ac:dyDescent="0.25">
      <c r="A14724" s="11" t="s">
        <v>28742</v>
      </c>
      <c r="B14724" s="11" t="s">
        <v>28742</v>
      </c>
      <c r="C14724" s="11" t="s">
        <v>59</v>
      </c>
      <c r="D14724" s="11" t="s">
        <v>60</v>
      </c>
      <c r="E14724" s="12" t="s">
        <v>1891</v>
      </c>
      <c r="F14724" s="12" t="s">
        <v>1892</v>
      </c>
      <c r="G14724" s="12" t="s">
        <v>40</v>
      </c>
      <c r="H14724" s="11" t="s">
        <v>63</v>
      </c>
      <c r="I14724" s="13" t="s">
        <v>28745</v>
      </c>
      <c r="J14724" s="14" t="str">
        <f>HYPERLINK("https://www.boe.es/gazeta/dias/1839/12/14/pdfs/GMD-1839-1861.pdf#page=2","Abrir facsímil")</f>
        <v>Abrir facsímil</v>
      </c>
      <c r="K14724" s="12" t="s">
        <v>65</v>
      </c>
    </row>
    <row r="14725" spans="1:11" ht="40.049999999999997" customHeight="1" x14ac:dyDescent="0.25">
      <c r="A14725" s="11" t="s">
        <v>28742</v>
      </c>
      <c r="B14725" s="11" t="s">
        <v>28742</v>
      </c>
      <c r="C14725" s="11" t="s">
        <v>59</v>
      </c>
      <c r="D14725" s="11" t="s">
        <v>60</v>
      </c>
      <c r="E14725" s="12" t="s">
        <v>1528</v>
      </c>
      <c r="F14725" s="12" t="s">
        <v>1529</v>
      </c>
      <c r="G14725" s="12" t="s">
        <v>40</v>
      </c>
      <c r="H14725" s="11" t="s">
        <v>63</v>
      </c>
      <c r="I14725" s="13" t="s">
        <v>28746</v>
      </c>
      <c r="J14725" s="14" t="str">
        <f>HYPERLINK("https://www.boe.es/gazeta/dias/1839/12/15/pdfs/GMD-1839-1862.pdf#page=2","Abrir facsímil")</f>
        <v>Abrir facsímil</v>
      </c>
      <c r="K14725" s="12" t="s">
        <v>65</v>
      </c>
    </row>
    <row r="14726" spans="1:11" ht="40.049999999999997" customHeight="1" x14ac:dyDescent="0.25">
      <c r="A14726" s="11" t="s">
        <v>28742</v>
      </c>
      <c r="B14726" s="11" t="s">
        <v>28742</v>
      </c>
      <c r="C14726" s="11" t="s">
        <v>17</v>
      </c>
      <c r="D14726" s="11" t="s">
        <v>18</v>
      </c>
      <c r="E14726" s="12" t="s">
        <v>2962</v>
      </c>
      <c r="F14726" s="12" t="s">
        <v>2963</v>
      </c>
      <c r="G14726" s="12" t="s">
        <v>29</v>
      </c>
      <c r="H14726" s="11" t="s">
        <v>63</v>
      </c>
      <c r="I14726" s="13" t="s">
        <v>28747</v>
      </c>
      <c r="J14726" s="14" t="str">
        <f>HYPERLINK("https://www.boe.es/gazeta/dias/1839/12/21/pdfs/GMD-1839-1868.pdf#page=1","Abrir facsímil")</f>
        <v>Abrir facsímil</v>
      </c>
      <c r="K14726" s="12" t="s">
        <v>65</v>
      </c>
    </row>
    <row r="14727" spans="1:11" ht="40.049999999999997" customHeight="1" x14ac:dyDescent="0.25">
      <c r="A14727" s="11" t="s">
        <v>28742</v>
      </c>
      <c r="B14727" s="11" t="s">
        <v>28742</v>
      </c>
      <c r="C14727" s="11" t="s">
        <v>80</v>
      </c>
      <c r="D14727" s="11" t="s">
        <v>18</v>
      </c>
      <c r="E14727" s="12" t="s">
        <v>2962</v>
      </c>
      <c r="F14727" s="12" t="s">
        <v>2963</v>
      </c>
      <c r="G14727" s="12" t="s">
        <v>40</v>
      </c>
      <c r="H14727" s="11" t="s">
        <v>63</v>
      </c>
      <c r="I14727" s="13" t="s">
        <v>28748</v>
      </c>
      <c r="J14727" s="14" t="str">
        <f>HYPERLINK("https://www.boe.es/gazeta/dias/1839/12/21/pdfs/GMD-1839-1868.pdf#page=2","Abrir facsímil")</f>
        <v>Abrir facsímil</v>
      </c>
      <c r="K14727" s="12" t="s">
        <v>65</v>
      </c>
    </row>
    <row r="14728" spans="1:11" ht="40.049999999999997" customHeight="1" x14ac:dyDescent="0.25">
      <c r="A14728" s="11" t="s">
        <v>28742</v>
      </c>
      <c r="B14728" s="11" t="s">
        <v>28742</v>
      </c>
      <c r="C14728" s="11" t="s">
        <v>80</v>
      </c>
      <c r="D14728" s="11" t="s">
        <v>173</v>
      </c>
      <c r="E14728" s="12" t="s">
        <v>349</v>
      </c>
      <c r="F14728" s="12" t="s">
        <v>350</v>
      </c>
      <c r="G14728" s="12" t="s">
        <v>40</v>
      </c>
      <c r="H14728" s="11" t="s">
        <v>63</v>
      </c>
      <c r="I14728" s="13" t="s">
        <v>28749</v>
      </c>
      <c r="J14728" s="14" t="str">
        <f>HYPERLINK("https://www.boe.es/gazeta/dias/1839/12/25/pdfs/GMD-1839-1872.pdf#page=2","Abrir facsímil")</f>
        <v>Abrir facsímil</v>
      </c>
      <c r="K14728" s="12" t="s">
        <v>65</v>
      </c>
    </row>
    <row r="14729" spans="1:11" ht="40.049999999999997" customHeight="1" x14ac:dyDescent="0.25">
      <c r="A14729" s="11" t="s">
        <v>28742</v>
      </c>
      <c r="B14729" s="11" t="s">
        <v>28742</v>
      </c>
      <c r="C14729" s="11" t="s">
        <v>59</v>
      </c>
      <c r="D14729" s="11" t="s">
        <v>60</v>
      </c>
      <c r="E14729" s="12" t="s">
        <v>4787</v>
      </c>
      <c r="F14729" s="12" t="s">
        <v>4788</v>
      </c>
      <c r="G14729" s="12" t="s">
        <v>40</v>
      </c>
      <c r="H14729" s="11" t="s">
        <v>63</v>
      </c>
      <c r="I14729" s="13" t="s">
        <v>28750</v>
      </c>
      <c r="J14729" s="14" t="str">
        <f>HYPERLINK("https://www.boe.es/gazeta/dias/1839/05/26/pdfs/GMD-1839-1653.pdf#page=2","Abrir facsímil")</f>
        <v>Abrir facsímil</v>
      </c>
      <c r="K14729" s="12" t="s">
        <v>65</v>
      </c>
    </row>
    <row r="14730" spans="1:11" ht="40.049999999999997" customHeight="1" x14ac:dyDescent="0.25">
      <c r="A14730" s="11" t="s">
        <v>28742</v>
      </c>
      <c r="B14730" s="11" t="s">
        <v>28742</v>
      </c>
      <c r="C14730" s="11" t="s">
        <v>137</v>
      </c>
      <c r="D14730" s="11" t="s">
        <v>18</v>
      </c>
      <c r="E14730" s="12" t="s">
        <v>907</v>
      </c>
      <c r="F14730" s="12" t="s">
        <v>908</v>
      </c>
      <c r="G14730" s="12" t="s">
        <v>29</v>
      </c>
      <c r="H14730" s="11" t="s">
        <v>63</v>
      </c>
      <c r="I14730" s="13" t="s">
        <v>28751</v>
      </c>
      <c r="J14730" s="14" t="str">
        <f>HYPERLINK("https://www.boe.es/gazeta/dias/1839/07/31/pdfs/GMD-1839-1720.pdf#page=1","Abrir facsímil")</f>
        <v>Abrir facsímil</v>
      </c>
      <c r="K14730" s="12" t="s">
        <v>65</v>
      </c>
    </row>
    <row r="14731" spans="1:11" ht="40.049999999999997" customHeight="1" x14ac:dyDescent="0.25">
      <c r="A14731" s="11" t="s">
        <v>28752</v>
      </c>
      <c r="B14731" s="11" t="s">
        <v>28752</v>
      </c>
      <c r="C14731" s="11" t="s">
        <v>59</v>
      </c>
      <c r="D14731" s="11" t="s">
        <v>60</v>
      </c>
      <c r="E14731" s="12" t="s">
        <v>4047</v>
      </c>
      <c r="F14731" s="12" t="s">
        <v>4048</v>
      </c>
      <c r="G14731" s="12" t="s">
        <v>46</v>
      </c>
      <c r="H14731" s="11" t="s">
        <v>63</v>
      </c>
      <c r="I14731" s="13" t="s">
        <v>28753</v>
      </c>
      <c r="J14731" s="14" t="str">
        <f>HYPERLINK("https://www.boe.es/gazeta/dias/1839/03/26/pdfs/GMD-1839-1592.pdf#page=3","Abrir facsímil")</f>
        <v>Abrir facsímil</v>
      </c>
      <c r="K14731" s="12" t="s">
        <v>65</v>
      </c>
    </row>
    <row r="14732" spans="1:11" ht="40.049999999999997" customHeight="1" x14ac:dyDescent="0.25">
      <c r="A14732" s="11" t="s">
        <v>28754</v>
      </c>
      <c r="B14732" s="11" t="s">
        <v>28754</v>
      </c>
      <c r="C14732" s="11" t="s">
        <v>101</v>
      </c>
      <c r="D14732" s="11" t="s">
        <v>102</v>
      </c>
      <c r="E14732" s="12" t="s">
        <v>483</v>
      </c>
      <c r="F14732" s="12" t="s">
        <v>484</v>
      </c>
      <c r="G14732" s="12" t="s">
        <v>21</v>
      </c>
      <c r="H14732" s="11" t="s">
        <v>63</v>
      </c>
      <c r="I14732" s="13" t="s">
        <v>28755</v>
      </c>
      <c r="J14732" s="14" t="str">
        <f>HYPERLINK("https://www.boe.es/gazeta/dias/1839/11/18/pdfs/GMD-1839-1835.pdf#page=4","Abrir facsímil")</f>
        <v>Abrir facsímil</v>
      </c>
      <c r="K14732" s="12" t="s">
        <v>65</v>
      </c>
    </row>
    <row r="14733" spans="1:11" ht="40.049999999999997" customHeight="1" x14ac:dyDescent="0.25">
      <c r="A14733" s="11" t="s">
        <v>28756</v>
      </c>
      <c r="B14733" s="11" t="s">
        <v>28757</v>
      </c>
      <c r="C14733" s="11" t="s">
        <v>137</v>
      </c>
      <c r="D14733" s="11" t="s">
        <v>18</v>
      </c>
      <c r="E14733" s="12" t="s">
        <v>821</v>
      </c>
      <c r="F14733" s="12" t="s">
        <v>822</v>
      </c>
      <c r="G14733" s="12" t="s">
        <v>21</v>
      </c>
      <c r="H14733" s="11" t="s">
        <v>63</v>
      </c>
      <c r="I14733" s="13" t="s">
        <v>28758</v>
      </c>
      <c r="J14733" s="14" t="str">
        <f>HYPERLINK("https://www.boe.es/gazeta/dias/1839/09/20/pdfs/GMD-1839-1775.pdf#page=4","Abrir facsímil")</f>
        <v>Abrir facsímil</v>
      </c>
      <c r="K14733" s="12" t="s">
        <v>65</v>
      </c>
    </row>
    <row r="14734" spans="1:11" ht="40.049999999999997" customHeight="1" x14ac:dyDescent="0.25">
      <c r="A14734" s="11" t="s">
        <v>28759</v>
      </c>
      <c r="B14734" s="11" t="s">
        <v>28759</v>
      </c>
      <c r="C14734" s="11" t="s">
        <v>101</v>
      </c>
      <c r="D14734" s="11" t="s">
        <v>102</v>
      </c>
      <c r="E14734" s="12" t="s">
        <v>474</v>
      </c>
      <c r="F14734" s="12" t="s">
        <v>475</v>
      </c>
      <c r="G14734" s="12" t="s">
        <v>46</v>
      </c>
      <c r="H14734" s="11" t="s">
        <v>63</v>
      </c>
      <c r="I14734" s="13" t="s">
        <v>28760</v>
      </c>
      <c r="J14734" s="14" t="str">
        <f>HYPERLINK("https://www.boe.es/gazeta/dias/1839/03/31/pdfs/GMD-1839-1597.pdf#page=3","Abrir facsímil")</f>
        <v>Abrir facsímil</v>
      </c>
      <c r="K14734" s="12" t="s">
        <v>65</v>
      </c>
    </row>
    <row r="14735" spans="1:11" ht="40.049999999999997" customHeight="1" x14ac:dyDescent="0.25">
      <c r="A14735" s="11" t="s">
        <v>28761</v>
      </c>
      <c r="B14735" s="11" t="s">
        <v>28761</v>
      </c>
      <c r="C14735" s="11" t="s">
        <v>17</v>
      </c>
      <c r="D14735" s="11" t="s">
        <v>18</v>
      </c>
      <c r="E14735" s="12" t="s">
        <v>2435</v>
      </c>
      <c r="F14735" s="12" t="s">
        <v>2436</v>
      </c>
      <c r="G14735" s="12" t="s">
        <v>46</v>
      </c>
      <c r="H14735" s="11" t="s">
        <v>63</v>
      </c>
      <c r="I14735" s="13" t="s">
        <v>28762</v>
      </c>
      <c r="J14735" s="14" t="str">
        <f>HYPERLINK("https://www.boe.es/gazeta/dias/1839/07/24/pdfs/GMD-1839-1713.pdf#page=3","Abrir facsímil")</f>
        <v>Abrir facsímil</v>
      </c>
      <c r="K14735" s="12" t="s">
        <v>65</v>
      </c>
    </row>
    <row r="14736" spans="1:11" ht="40.049999999999997" customHeight="1" x14ac:dyDescent="0.25">
      <c r="A14736" s="11" t="s">
        <v>28763</v>
      </c>
      <c r="B14736" s="11" t="s">
        <v>28763</v>
      </c>
      <c r="C14736" s="11" t="s">
        <v>80</v>
      </c>
      <c r="D14736" s="11" t="s">
        <v>18</v>
      </c>
      <c r="E14736" s="12" t="s">
        <v>2215</v>
      </c>
      <c r="F14736" s="12" t="s">
        <v>2216</v>
      </c>
      <c r="G14736" s="12" t="s">
        <v>21</v>
      </c>
      <c r="H14736" s="11" t="s">
        <v>63</v>
      </c>
      <c r="I14736" s="13" t="s">
        <v>28764</v>
      </c>
      <c r="J14736" s="14" t="str">
        <f>HYPERLINK("https://www.boe.es/gazeta/dias/1839/07/21/pdfs/GMD-1839-1709.pdf#page=4","Abrir facsímil")</f>
        <v>Abrir facsímil</v>
      </c>
      <c r="K14736" s="12" t="s">
        <v>65</v>
      </c>
    </row>
    <row r="14737" spans="1:11" ht="40.049999999999997" customHeight="1" x14ac:dyDescent="0.25">
      <c r="A14737" s="11" t="s">
        <v>28763</v>
      </c>
      <c r="B14737" s="11" t="s">
        <v>28763</v>
      </c>
      <c r="C14737" s="11" t="s">
        <v>17</v>
      </c>
      <c r="D14737" s="11" t="s">
        <v>18</v>
      </c>
      <c r="E14737" s="12" t="s">
        <v>2432</v>
      </c>
      <c r="F14737" s="12" t="s">
        <v>2581</v>
      </c>
      <c r="G14737" s="12" t="s">
        <v>40</v>
      </c>
      <c r="H14737" s="11" t="s">
        <v>63</v>
      </c>
      <c r="I14737" s="13" t="s">
        <v>28765</v>
      </c>
      <c r="J14737" s="14" t="str">
        <f>HYPERLINK("https://www.boe.es/gazeta/dias/1839/07/23/pdfs/GMD-1839-1711.pdf#page=2","Abrir facsímil")</f>
        <v>Abrir facsímil</v>
      </c>
      <c r="K14737" s="12" t="s">
        <v>65</v>
      </c>
    </row>
    <row r="14738" spans="1:11" ht="40.049999999999997" customHeight="1" x14ac:dyDescent="0.25">
      <c r="A14738" s="11" t="s">
        <v>28763</v>
      </c>
      <c r="B14738" s="11" t="s">
        <v>28763</v>
      </c>
      <c r="C14738" s="11" t="s">
        <v>80</v>
      </c>
      <c r="D14738" s="11" t="s">
        <v>18</v>
      </c>
      <c r="E14738" s="12" t="s">
        <v>2435</v>
      </c>
      <c r="F14738" s="12" t="s">
        <v>2436</v>
      </c>
      <c r="G14738" s="12" t="s">
        <v>46</v>
      </c>
      <c r="H14738" s="11" t="s">
        <v>63</v>
      </c>
      <c r="I14738" s="13" t="s">
        <v>28766</v>
      </c>
      <c r="J14738" s="14" t="str">
        <f>HYPERLINK("https://www.boe.es/gazeta/dias/1839/07/24/pdfs/GMD-1839-1713.pdf#page=3","Abrir facsímil")</f>
        <v>Abrir facsímil</v>
      </c>
      <c r="K14738" s="12" t="s">
        <v>65</v>
      </c>
    </row>
    <row r="14739" spans="1:11" ht="40.049999999999997" customHeight="1" x14ac:dyDescent="0.25">
      <c r="A14739" s="11" t="s">
        <v>28767</v>
      </c>
      <c r="B14739" s="11" t="s">
        <v>28767</v>
      </c>
      <c r="C14739" s="11" t="s">
        <v>59</v>
      </c>
      <c r="D14739" s="11" t="s">
        <v>60</v>
      </c>
      <c r="E14739" s="12" t="s">
        <v>1208</v>
      </c>
      <c r="F14739" s="12" t="s">
        <v>1209</v>
      </c>
      <c r="G14739" s="12" t="s">
        <v>40</v>
      </c>
      <c r="H14739" s="11" t="s">
        <v>63</v>
      </c>
      <c r="I14739" s="13" t="s">
        <v>28768</v>
      </c>
      <c r="J14739" s="14" t="str">
        <f>HYPERLINK("https://www.boe.es/gazeta/dias/1839/04/24/pdfs/GMD-1839-1621.pdf#page=2","Abrir facsímil")</f>
        <v>Abrir facsímil</v>
      </c>
      <c r="K14739" s="12" t="s">
        <v>65</v>
      </c>
    </row>
    <row r="14740" spans="1:11" ht="40.049999999999997" customHeight="1" x14ac:dyDescent="0.25">
      <c r="A14740" s="11" t="s">
        <v>28769</v>
      </c>
      <c r="B14740" s="11" t="s">
        <v>28769</v>
      </c>
      <c r="C14740" s="11" t="s">
        <v>101</v>
      </c>
      <c r="D14740" s="11" t="s">
        <v>102</v>
      </c>
      <c r="E14740" s="12" t="s">
        <v>1909</v>
      </c>
      <c r="F14740" s="12" t="s">
        <v>1910</v>
      </c>
      <c r="G14740" s="12" t="s">
        <v>29</v>
      </c>
      <c r="H14740" s="11" t="s">
        <v>63</v>
      </c>
      <c r="I14740" s="13" t="s">
        <v>28770</v>
      </c>
      <c r="J14740" s="14" t="str">
        <f>HYPERLINK("https://www.boe.es/gazeta/dias/1839/10/27/pdfs/GMD-1839-1813.pdf#page=1","Abrir facsímil")</f>
        <v>Abrir facsímil</v>
      </c>
      <c r="K14740" s="12" t="s">
        <v>65</v>
      </c>
    </row>
    <row r="14741" spans="1:11" ht="40.049999999999997" customHeight="1" x14ac:dyDescent="0.25">
      <c r="A14741" s="11" t="s">
        <v>28771</v>
      </c>
      <c r="B14741" s="11" t="s">
        <v>28772</v>
      </c>
      <c r="C14741" s="11" t="s">
        <v>80</v>
      </c>
      <c r="D14741" s="11" t="s">
        <v>18</v>
      </c>
      <c r="E14741" s="12" t="s">
        <v>76</v>
      </c>
      <c r="F14741" s="12" t="s">
        <v>77</v>
      </c>
      <c r="G14741" s="12" t="s">
        <v>21</v>
      </c>
      <c r="H14741" s="11" t="s">
        <v>22</v>
      </c>
      <c r="I14741" s="13" t="s">
        <v>28773</v>
      </c>
      <c r="J14741" s="14" t="str">
        <f>HYPERLINK("https://www.boe.es/gazeta/dias/1839/03/13/pdfs/GMD-1839-1579.pdf#page=4","Abrir facsímil")</f>
        <v>Abrir facsímil</v>
      </c>
      <c r="K14741" s="12" t="s">
        <v>24</v>
      </c>
    </row>
    <row r="14742" spans="1:11" ht="40.049999999999997" customHeight="1" x14ac:dyDescent="0.25">
      <c r="A14742" s="11" t="s">
        <v>28774</v>
      </c>
      <c r="B14742" s="11" t="s">
        <v>28775</v>
      </c>
      <c r="C14742" s="11" t="s">
        <v>17</v>
      </c>
      <c r="D14742" s="11" t="s">
        <v>18</v>
      </c>
      <c r="E14742" s="12" t="s">
        <v>555</v>
      </c>
      <c r="F14742" s="12" t="s">
        <v>556</v>
      </c>
      <c r="G14742" s="12" t="s">
        <v>21</v>
      </c>
      <c r="H14742" s="11" t="s">
        <v>63</v>
      </c>
      <c r="I14742" s="13" t="s">
        <v>28776</v>
      </c>
      <c r="J14742" s="14" t="str">
        <f>HYPERLINK("https://www.boe.es/gazeta/dias/1839/07/19/pdfs/GMD-1839-1707.pdf#page=4","Abrir facsímil")</f>
        <v>Abrir facsímil</v>
      </c>
      <c r="K14742" s="12" t="s">
        <v>65</v>
      </c>
    </row>
    <row r="14743" spans="1:11" ht="40.049999999999997" customHeight="1" x14ac:dyDescent="0.25">
      <c r="A14743" s="11" t="s">
        <v>28774</v>
      </c>
      <c r="B14743" s="11" t="s">
        <v>28775</v>
      </c>
      <c r="C14743" s="11" t="s">
        <v>80</v>
      </c>
      <c r="D14743" s="11" t="s">
        <v>18</v>
      </c>
      <c r="E14743" s="12" t="s">
        <v>951</v>
      </c>
      <c r="F14743" s="12" t="s">
        <v>952</v>
      </c>
      <c r="G14743" s="12" t="s">
        <v>46</v>
      </c>
      <c r="H14743" s="11" t="s">
        <v>63</v>
      </c>
      <c r="I14743" s="13" t="s">
        <v>28777</v>
      </c>
      <c r="J14743" s="14" t="str">
        <f>HYPERLINK("https://www.boe.es/gazeta/dias/1839/12/30/pdfs/GMD-1839-1877.pdf#page=3","Abrir facsímil")</f>
        <v>Abrir facsímil</v>
      </c>
      <c r="K14743" s="12" t="s">
        <v>65</v>
      </c>
    </row>
    <row r="14744" spans="1:11" ht="40.049999999999997" customHeight="1" x14ac:dyDescent="0.25">
      <c r="A14744" s="11" t="s">
        <v>28778</v>
      </c>
      <c r="B14744" s="11" t="s">
        <v>28779</v>
      </c>
      <c r="C14744" s="11" t="s">
        <v>137</v>
      </c>
      <c r="D14744" s="11" t="s">
        <v>18</v>
      </c>
      <c r="E14744" s="12" t="s">
        <v>38</v>
      </c>
      <c r="F14744" s="12" t="s">
        <v>39</v>
      </c>
      <c r="G14744" s="12" t="s">
        <v>21</v>
      </c>
      <c r="H14744" s="11" t="s">
        <v>63</v>
      </c>
      <c r="I14744" s="13" t="s">
        <v>28780</v>
      </c>
      <c r="J14744" s="14" t="str">
        <f>HYPERLINK("https://www.boe.es/gazeta/dias/1839/08/08/pdfs/GMD-1839-1728.pdf#page=4","Abrir facsímil")</f>
        <v>Abrir facsímil</v>
      </c>
      <c r="K14744" s="12" t="s">
        <v>65</v>
      </c>
    </row>
    <row r="14745" spans="1:11" ht="40.049999999999997" customHeight="1" x14ac:dyDescent="0.25">
      <c r="A14745" s="11" t="s">
        <v>28781</v>
      </c>
      <c r="B14745" s="11" t="s">
        <v>28782</v>
      </c>
      <c r="C14745" s="11" t="s">
        <v>59</v>
      </c>
      <c r="D14745" s="11" t="s">
        <v>60</v>
      </c>
      <c r="E14745" s="12" t="s">
        <v>246</v>
      </c>
      <c r="F14745" s="12" t="s">
        <v>247</v>
      </c>
      <c r="G14745" s="12" t="s">
        <v>21</v>
      </c>
      <c r="H14745" s="11" t="s">
        <v>63</v>
      </c>
      <c r="I14745" s="13" t="s">
        <v>28783</v>
      </c>
      <c r="J14745" s="14" t="str">
        <f>HYPERLINK("https://www.boe.es/gazeta/dias/1839/11/24/pdfs/GMD-1839-1841.pdf#page=4","Abrir facsímil")</f>
        <v>Abrir facsímil</v>
      </c>
      <c r="K14745" s="12" t="s">
        <v>65</v>
      </c>
    </row>
    <row r="14746" spans="1:11" ht="40.049999999999997" customHeight="1" x14ac:dyDescent="0.25">
      <c r="A14746" s="11" t="s">
        <v>28784</v>
      </c>
      <c r="B14746" s="11" t="s">
        <v>28784</v>
      </c>
      <c r="C14746" s="11" t="s">
        <v>59</v>
      </c>
      <c r="D14746" s="11" t="s">
        <v>60</v>
      </c>
      <c r="E14746" s="12" t="s">
        <v>1100</v>
      </c>
      <c r="F14746" s="12" t="s">
        <v>1101</v>
      </c>
      <c r="G14746" s="12" t="s">
        <v>29</v>
      </c>
      <c r="H14746" s="11" t="s">
        <v>63</v>
      </c>
      <c r="I14746" s="13" t="s">
        <v>28785</v>
      </c>
      <c r="J14746" s="14" t="str">
        <f>HYPERLINK("https://www.boe.es/gazeta/dias/1839/09/13/pdfs/GMD-1839-1766.pdf#page=1","Abrir facsímil")</f>
        <v>Abrir facsímil</v>
      </c>
      <c r="K14746" s="12" t="s">
        <v>65</v>
      </c>
    </row>
    <row r="14747" spans="1:11" ht="40.049999999999997" customHeight="1" x14ac:dyDescent="0.25">
      <c r="A14747" s="11" t="s">
        <v>28786</v>
      </c>
      <c r="B14747" s="11" t="s">
        <v>28787</v>
      </c>
      <c r="C14747" s="11" t="s">
        <v>137</v>
      </c>
      <c r="D14747" s="11" t="s">
        <v>18</v>
      </c>
      <c r="E14747" s="12" t="s">
        <v>1179</v>
      </c>
      <c r="F14747" s="12" t="s">
        <v>1180</v>
      </c>
      <c r="G14747" s="12" t="s">
        <v>305</v>
      </c>
      <c r="H14747" s="11" t="s">
        <v>63</v>
      </c>
      <c r="I14747" s="13" t="s">
        <v>28788</v>
      </c>
      <c r="J14747" s="14" t="str">
        <f>HYPERLINK("https://www.boe.es/gazeta/dias/1839/10/18/pdfs/GMD-1839-1804.pdf#page=6","Abrir facsímil")</f>
        <v>Abrir facsímil</v>
      </c>
      <c r="K14747" s="12" t="s">
        <v>65</v>
      </c>
    </row>
    <row r="14748" spans="1:11" ht="40.049999999999997" customHeight="1" x14ac:dyDescent="0.25">
      <c r="A14748" s="11" t="s">
        <v>28789</v>
      </c>
      <c r="B14748" s="11" t="s">
        <v>28790</v>
      </c>
      <c r="C14748" s="11" t="s">
        <v>137</v>
      </c>
      <c r="D14748" s="11" t="s">
        <v>18</v>
      </c>
      <c r="E14748" s="12" t="s">
        <v>81</v>
      </c>
      <c r="F14748" s="12" t="s">
        <v>82</v>
      </c>
      <c r="G14748" s="12" t="s">
        <v>29</v>
      </c>
      <c r="H14748" s="11" t="s">
        <v>63</v>
      </c>
      <c r="I14748" s="13" t="s">
        <v>28791</v>
      </c>
      <c r="J14748" s="14" t="str">
        <f>HYPERLINK("https://www.boe.es/gazeta/dias/1839/03/03/pdfs/GMD-1839-1569.pdf#page=1","Abrir facsímil")</f>
        <v>Abrir facsímil</v>
      </c>
      <c r="K14748" s="12" t="s">
        <v>65</v>
      </c>
    </row>
    <row r="14749" spans="1:11" ht="40.049999999999997" customHeight="1" x14ac:dyDescent="0.25">
      <c r="A14749" s="11" t="s">
        <v>28792</v>
      </c>
      <c r="B14749" s="11" t="s">
        <v>28792</v>
      </c>
      <c r="C14749" s="11" t="s">
        <v>17</v>
      </c>
      <c r="D14749" s="11" t="s">
        <v>18</v>
      </c>
      <c r="E14749" s="12" t="s">
        <v>202</v>
      </c>
      <c r="F14749" s="12" t="s">
        <v>203</v>
      </c>
      <c r="G14749" s="12" t="s">
        <v>46</v>
      </c>
      <c r="H14749" s="11" t="s">
        <v>63</v>
      </c>
      <c r="I14749" s="13" t="s">
        <v>28793</v>
      </c>
      <c r="J14749" s="14" t="str">
        <f>HYPERLINK("https://www.boe.es/gazeta/dias/1839/04/05/pdfs/GMD-1839-1602.pdf#page=3","Abrir facsímil")</f>
        <v>Abrir facsímil</v>
      </c>
      <c r="K14749" s="12" t="s">
        <v>65</v>
      </c>
    </row>
    <row r="14750" spans="1:11" ht="40.049999999999997" customHeight="1" x14ac:dyDescent="0.25">
      <c r="A14750" s="11" t="s">
        <v>28794</v>
      </c>
      <c r="B14750" s="11" t="s">
        <v>28795</v>
      </c>
      <c r="C14750" s="11" t="s">
        <v>17</v>
      </c>
      <c r="D14750" s="11" t="s">
        <v>18</v>
      </c>
      <c r="E14750" s="12" t="s">
        <v>217</v>
      </c>
      <c r="F14750" s="12" t="s">
        <v>218</v>
      </c>
      <c r="G14750" s="12" t="s">
        <v>29</v>
      </c>
      <c r="H14750" s="11" t="s">
        <v>63</v>
      </c>
      <c r="I14750" s="13" t="s">
        <v>28796</v>
      </c>
      <c r="J14750" s="14" t="str">
        <f>HYPERLINK("https://www.boe.es/gazeta/dias/1839/08/06/pdfs/GMD-1839-1726.pdf#page=1","Abrir facsímil")</f>
        <v>Abrir facsímil</v>
      </c>
      <c r="K14750" s="12" t="s">
        <v>65</v>
      </c>
    </row>
    <row r="14751" spans="1:11" ht="40.049999999999997" customHeight="1" x14ac:dyDescent="0.25">
      <c r="A14751" s="11" t="s">
        <v>28797</v>
      </c>
      <c r="B14751" s="11" t="s">
        <v>28797</v>
      </c>
      <c r="C14751" s="11" t="s">
        <v>101</v>
      </c>
      <c r="D14751" s="11" t="s">
        <v>102</v>
      </c>
      <c r="E14751" s="12" t="s">
        <v>510</v>
      </c>
      <c r="F14751" s="12" t="s">
        <v>511</v>
      </c>
      <c r="G14751" s="12" t="s">
        <v>40</v>
      </c>
      <c r="H14751" s="11" t="s">
        <v>63</v>
      </c>
      <c r="I14751" s="13" t="s">
        <v>28798</v>
      </c>
      <c r="J14751" s="14" t="str">
        <f>HYPERLINK("https://www.boe.es/gazeta/dias/1839/05/13/pdfs/GMD-1839-1640.pdf#page=2","Abrir facsímil")</f>
        <v>Abrir facsímil</v>
      </c>
      <c r="K14751" s="12" t="s">
        <v>65</v>
      </c>
    </row>
    <row r="14752" spans="1:11" ht="40.049999999999997" customHeight="1" x14ac:dyDescent="0.25">
      <c r="A14752" s="11" t="s">
        <v>28799</v>
      </c>
      <c r="B14752" s="11" t="s">
        <v>28799</v>
      </c>
      <c r="C14752" s="11" t="s">
        <v>101</v>
      </c>
      <c r="D14752" s="11" t="s">
        <v>43</v>
      </c>
      <c r="E14752" s="12" t="s">
        <v>132</v>
      </c>
      <c r="F14752" s="12" t="s">
        <v>133</v>
      </c>
      <c r="G14752" s="12" t="s">
        <v>46</v>
      </c>
      <c r="H14752" s="11" t="s">
        <v>63</v>
      </c>
      <c r="I14752" s="13" t="s">
        <v>28800</v>
      </c>
      <c r="J14752" s="14" t="str">
        <f>HYPERLINK("https://www.boe.es/gazeta/dias/1839/08/02/pdfs/GMD-1839-1722.pdf#page=3","Abrir facsímil")</f>
        <v>Abrir facsímil</v>
      </c>
      <c r="K14752" s="12" t="s">
        <v>65</v>
      </c>
    </row>
    <row r="14753" spans="1:11" ht="40.049999999999997" customHeight="1" x14ac:dyDescent="0.25">
      <c r="A14753" s="11" t="s">
        <v>28801</v>
      </c>
      <c r="B14753" s="11" t="s">
        <v>28802</v>
      </c>
      <c r="C14753" s="11" t="s">
        <v>17</v>
      </c>
      <c r="D14753" s="11" t="s">
        <v>18</v>
      </c>
      <c r="E14753" s="12" t="s">
        <v>266</v>
      </c>
      <c r="F14753" s="12" t="s">
        <v>267</v>
      </c>
      <c r="G14753" s="12" t="s">
        <v>40</v>
      </c>
      <c r="H14753" s="11" t="s">
        <v>63</v>
      </c>
      <c r="I14753" s="13" t="s">
        <v>28803</v>
      </c>
      <c r="J14753" s="14" t="str">
        <f>HYPERLINK("https://www.boe.es/gazeta/dias/1839/01/03/pdfs/GMD-1839-1510.pdf#page=2","Abrir facsímil")</f>
        <v>Abrir facsímil</v>
      </c>
      <c r="K14753" s="12" t="s">
        <v>65</v>
      </c>
    </row>
    <row r="14754" spans="1:11" ht="40.049999999999997" customHeight="1" x14ac:dyDescent="0.25">
      <c r="A14754" s="11" t="s">
        <v>28804</v>
      </c>
      <c r="B14754" s="11" t="s">
        <v>28804</v>
      </c>
      <c r="C14754" s="11" t="s">
        <v>17</v>
      </c>
      <c r="D14754" s="11" t="s">
        <v>18</v>
      </c>
      <c r="E14754" s="12" t="s">
        <v>230</v>
      </c>
      <c r="F14754" s="12" t="s">
        <v>231</v>
      </c>
      <c r="G14754" s="12" t="s">
        <v>46</v>
      </c>
      <c r="H14754" s="11" t="s">
        <v>22</v>
      </c>
      <c r="I14754" s="13" t="s">
        <v>28805</v>
      </c>
      <c r="J14754" s="14" t="str">
        <f>HYPERLINK("https://www.boe.es/gazeta/dias/1839/09/16/pdfs/GMD-1839-1769.pdf#page=3","Abrir facsímil")</f>
        <v>Abrir facsímil</v>
      </c>
      <c r="K14754" s="12" t="s">
        <v>24</v>
      </c>
    </row>
    <row r="14755" spans="1:11" ht="40.049999999999997" customHeight="1" x14ac:dyDescent="0.25">
      <c r="A14755" s="11" t="s">
        <v>28806</v>
      </c>
      <c r="B14755" s="11" t="s">
        <v>28807</v>
      </c>
      <c r="C14755" s="11" t="s">
        <v>17</v>
      </c>
      <c r="D14755" s="11" t="s">
        <v>18</v>
      </c>
      <c r="E14755" s="12" t="s">
        <v>1076</v>
      </c>
      <c r="F14755" s="12" t="s">
        <v>1077</v>
      </c>
      <c r="G14755" s="12" t="s">
        <v>21</v>
      </c>
      <c r="H14755" s="11" t="s">
        <v>63</v>
      </c>
      <c r="I14755" s="13" t="s">
        <v>28808</v>
      </c>
      <c r="J14755" s="14" t="str">
        <f>HYPERLINK("https://www.boe.es/gazeta/dias/1839/10/19/pdfs/GMD-1839-1805.pdf#page=4","Abrir facsímil")</f>
        <v>Abrir facsímil</v>
      </c>
      <c r="K14755" s="12" t="s">
        <v>65</v>
      </c>
    </row>
    <row r="14756" spans="1:11" ht="40.049999999999997" customHeight="1" x14ac:dyDescent="0.25">
      <c r="A14756" s="11" t="s">
        <v>28809</v>
      </c>
      <c r="B14756" s="11" t="s">
        <v>28810</v>
      </c>
      <c r="C14756" s="11" t="s">
        <v>17</v>
      </c>
      <c r="D14756" s="11" t="s">
        <v>18</v>
      </c>
      <c r="E14756" s="12" t="s">
        <v>632</v>
      </c>
      <c r="F14756" s="12" t="s">
        <v>633</v>
      </c>
      <c r="G14756" s="12" t="s">
        <v>21</v>
      </c>
      <c r="H14756" s="11" t="s">
        <v>63</v>
      </c>
      <c r="I14756" s="13" t="s">
        <v>28811</v>
      </c>
      <c r="J14756" s="14" t="str">
        <f>HYPERLINK("https://www.boe.es/gazeta/dias/1839/04/06/pdfs/GMD-1839-1603.pdf#page=4","Abrir facsímil")</f>
        <v>Abrir facsímil</v>
      </c>
      <c r="K14756" s="12" t="s">
        <v>65</v>
      </c>
    </row>
    <row r="14757" spans="1:11" ht="40.049999999999997" customHeight="1" x14ac:dyDescent="0.25">
      <c r="A14757" s="11" t="s">
        <v>28812</v>
      </c>
      <c r="B14757" s="11" t="s">
        <v>28813</v>
      </c>
      <c r="C14757" s="11" t="s">
        <v>17</v>
      </c>
      <c r="D14757" s="11" t="s">
        <v>18</v>
      </c>
      <c r="E14757" s="12" t="s">
        <v>54</v>
      </c>
      <c r="F14757" s="12" t="s">
        <v>55</v>
      </c>
      <c r="G14757" s="12" t="s">
        <v>29</v>
      </c>
      <c r="H14757" s="11" t="s">
        <v>63</v>
      </c>
      <c r="I14757" s="13" t="s">
        <v>28814</v>
      </c>
      <c r="J14757" s="14" t="str">
        <f>HYPERLINK("https://www.boe.es/gazeta/dias/1839/10/05/pdfs/GMD-1839-1791.pdf#page=1","Abrir facsímil")</f>
        <v>Abrir facsímil</v>
      </c>
      <c r="K14757" s="12" t="s">
        <v>65</v>
      </c>
    </row>
    <row r="14758" spans="1:11" ht="40.049999999999997" customHeight="1" x14ac:dyDescent="0.25">
      <c r="A14758" s="11" t="s">
        <v>28815</v>
      </c>
      <c r="B14758" s="11" t="s">
        <v>28815</v>
      </c>
      <c r="C14758" s="11" t="s">
        <v>17</v>
      </c>
      <c r="D14758" s="11" t="s">
        <v>18</v>
      </c>
      <c r="E14758" s="12" t="s">
        <v>262</v>
      </c>
      <c r="F14758" s="12" t="s">
        <v>263</v>
      </c>
      <c r="G14758" s="12" t="s">
        <v>21</v>
      </c>
      <c r="H14758" s="11" t="s">
        <v>63</v>
      </c>
      <c r="I14758" s="13" t="s">
        <v>28816</v>
      </c>
      <c r="J14758" s="14" t="str">
        <f>HYPERLINK("https://www.boe.es/gazeta/dias/1839/01/01/pdfs/GMD-1839-1508.pdf#page=4","Abrir facsímil")</f>
        <v>Abrir facsímil</v>
      </c>
      <c r="K14758" s="12" t="s">
        <v>65</v>
      </c>
    </row>
    <row r="14759" spans="1:11" ht="40.049999999999997" customHeight="1" x14ac:dyDescent="0.25">
      <c r="A14759" s="11" t="s">
        <v>28815</v>
      </c>
      <c r="B14759" s="11" t="s">
        <v>28815</v>
      </c>
      <c r="C14759" s="11" t="s">
        <v>17</v>
      </c>
      <c r="D14759" s="11" t="s">
        <v>18</v>
      </c>
      <c r="E14759" s="12" t="s">
        <v>513</v>
      </c>
      <c r="F14759" s="12" t="s">
        <v>514</v>
      </c>
      <c r="G14759" s="12" t="s">
        <v>21</v>
      </c>
      <c r="H14759" s="11" t="s">
        <v>63</v>
      </c>
      <c r="I14759" s="13" t="s">
        <v>28817</v>
      </c>
      <c r="J14759" s="14" t="str">
        <f>HYPERLINK("https://www.boe.es/gazeta/dias/1839/03/17/pdfs/GMD-1839-1583.pdf#page=4","Abrir facsímil")</f>
        <v>Abrir facsímil</v>
      </c>
      <c r="K14759" s="12" t="s">
        <v>65</v>
      </c>
    </row>
    <row r="14760" spans="1:11" ht="40.049999999999997" customHeight="1" x14ac:dyDescent="0.25">
      <c r="A14760" s="11" t="s">
        <v>28815</v>
      </c>
      <c r="B14760" s="11" t="s">
        <v>28815</v>
      </c>
      <c r="C14760" s="11" t="s">
        <v>17</v>
      </c>
      <c r="D14760" s="11" t="s">
        <v>18</v>
      </c>
      <c r="E14760" s="12" t="s">
        <v>643</v>
      </c>
      <c r="F14760" s="12" t="s">
        <v>644</v>
      </c>
      <c r="G14760" s="12" t="s">
        <v>21</v>
      </c>
      <c r="H14760" s="11" t="s">
        <v>63</v>
      </c>
      <c r="I14760" s="13" t="s">
        <v>28818</v>
      </c>
      <c r="J14760" s="14" t="str">
        <f>HYPERLINK("https://www.boe.es/gazeta/dias/1839/03/20/pdfs/GMD-1839-1586.pdf#page=4","Abrir facsímil")</f>
        <v>Abrir facsímil</v>
      </c>
      <c r="K14760" s="12" t="s">
        <v>65</v>
      </c>
    </row>
    <row r="14761" spans="1:11" ht="40.049999999999997" customHeight="1" x14ac:dyDescent="0.25">
      <c r="A14761" s="11" t="s">
        <v>28819</v>
      </c>
      <c r="B14761" s="11" t="s">
        <v>28820</v>
      </c>
      <c r="C14761" s="11" t="s">
        <v>17</v>
      </c>
      <c r="D14761" s="11" t="s">
        <v>18</v>
      </c>
      <c r="E14761" s="12" t="s">
        <v>1398</v>
      </c>
      <c r="F14761" s="12" t="s">
        <v>1399</v>
      </c>
      <c r="G14761" s="12" t="s">
        <v>29</v>
      </c>
      <c r="H14761" s="11" t="s">
        <v>63</v>
      </c>
      <c r="I14761" s="13" t="s">
        <v>28821</v>
      </c>
      <c r="J14761" s="14" t="str">
        <f>HYPERLINK("https://www.boe.es/gazeta/dias/1839/05/27/pdfs/GMD-1839-1654.pdf#page=1","Abrir facsímil")</f>
        <v>Abrir facsímil</v>
      </c>
      <c r="K14761" s="12" t="s">
        <v>65</v>
      </c>
    </row>
    <row r="14762" spans="1:11" ht="40.049999999999997" customHeight="1" x14ac:dyDescent="0.25">
      <c r="A14762" s="11" t="s">
        <v>28822</v>
      </c>
      <c r="B14762" s="11" t="s">
        <v>28823</v>
      </c>
      <c r="C14762" s="11" t="s">
        <v>80</v>
      </c>
      <c r="D14762" s="11" t="s">
        <v>18</v>
      </c>
      <c r="E14762" s="12" t="s">
        <v>197</v>
      </c>
      <c r="F14762" s="12" t="s">
        <v>198</v>
      </c>
      <c r="G14762" s="12" t="s">
        <v>46</v>
      </c>
      <c r="H14762" s="11" t="s">
        <v>63</v>
      </c>
      <c r="I14762" s="13" t="s">
        <v>28824</v>
      </c>
      <c r="J14762" s="14" t="str">
        <f>HYPERLINK("https://www.boe.es/gazeta/dias/1839/10/04/pdfs/GMD-1839-1790.pdf#page=3","Abrir facsímil")</f>
        <v>Abrir facsímil</v>
      </c>
      <c r="K14762" s="12" t="s">
        <v>65</v>
      </c>
    </row>
    <row r="14763" spans="1:11" ht="40.049999999999997" customHeight="1" x14ac:dyDescent="0.25">
      <c r="A14763" s="11" t="s">
        <v>28825</v>
      </c>
      <c r="B14763" s="11" t="s">
        <v>28826</v>
      </c>
      <c r="C14763" s="11" t="s">
        <v>17</v>
      </c>
      <c r="D14763" s="11" t="s">
        <v>18</v>
      </c>
      <c r="E14763" s="12" t="s">
        <v>548</v>
      </c>
      <c r="F14763" s="12" t="s">
        <v>549</v>
      </c>
      <c r="G14763" s="12" t="s">
        <v>21</v>
      </c>
      <c r="H14763" s="11" t="s">
        <v>63</v>
      </c>
      <c r="I14763" s="13" t="s">
        <v>28827</v>
      </c>
      <c r="J14763" s="14" t="str">
        <f>HYPERLINK("https://www.boe.es/gazeta/dias/1839/06/06/pdfs/GMD-1839-1664.pdf#page=4","Abrir facsímil")</f>
        <v>Abrir facsímil</v>
      </c>
      <c r="K14763" s="12" t="s">
        <v>65</v>
      </c>
    </row>
    <row r="14764" spans="1:11" ht="40.049999999999997" customHeight="1" x14ac:dyDescent="0.25">
      <c r="A14764" s="11" t="s">
        <v>28825</v>
      </c>
      <c r="B14764" s="11" t="s">
        <v>28826</v>
      </c>
      <c r="C14764" s="11" t="s">
        <v>17</v>
      </c>
      <c r="D14764" s="11" t="s">
        <v>18</v>
      </c>
      <c r="E14764" s="12" t="s">
        <v>276</v>
      </c>
      <c r="F14764" s="12" t="s">
        <v>277</v>
      </c>
      <c r="G14764" s="12" t="s">
        <v>46</v>
      </c>
      <c r="H14764" s="11" t="s">
        <v>63</v>
      </c>
      <c r="I14764" s="13" t="s">
        <v>28828</v>
      </c>
      <c r="J14764" s="14" t="str">
        <f>HYPERLINK("https://www.boe.es/gazeta/dias/1839/09/24/pdfs/GMD-1839-1780.pdf#page=3","Abrir facsímil")</f>
        <v>Abrir facsímil</v>
      </c>
      <c r="K14764" s="12" t="s">
        <v>65</v>
      </c>
    </row>
    <row r="14765" spans="1:11" ht="40.049999999999997" customHeight="1" x14ac:dyDescent="0.25">
      <c r="A14765" s="11" t="s">
        <v>28829</v>
      </c>
      <c r="B14765" s="11" t="s">
        <v>28829</v>
      </c>
      <c r="C14765" s="11" t="s">
        <v>17</v>
      </c>
      <c r="D14765" s="11" t="s">
        <v>18</v>
      </c>
      <c r="E14765" s="12" t="s">
        <v>312</v>
      </c>
      <c r="F14765" s="12" t="s">
        <v>313</v>
      </c>
      <c r="G14765" s="12" t="s">
        <v>46</v>
      </c>
      <c r="H14765" s="11" t="s">
        <v>63</v>
      </c>
      <c r="I14765" s="13" t="s">
        <v>28830</v>
      </c>
      <c r="J14765" s="14" t="str">
        <f>HYPERLINK("https://www.boe.es/gazeta/dias/1839/11/30/pdfs/GMD-1839-1847.pdf#page=3","Abrir facsímil")</f>
        <v>Abrir facsímil</v>
      </c>
      <c r="K14765" s="12" t="s">
        <v>65</v>
      </c>
    </row>
    <row r="14766" spans="1:11" ht="40.049999999999997" customHeight="1" x14ac:dyDescent="0.25">
      <c r="A14766" s="11" t="s">
        <v>28831</v>
      </c>
      <c r="B14766" s="11" t="s">
        <v>28831</v>
      </c>
      <c r="C14766" s="11" t="s">
        <v>80</v>
      </c>
      <c r="D14766" s="11" t="s">
        <v>18</v>
      </c>
      <c r="E14766" s="12" t="s">
        <v>202</v>
      </c>
      <c r="F14766" s="12" t="s">
        <v>203</v>
      </c>
      <c r="G14766" s="12" t="s">
        <v>40</v>
      </c>
      <c r="H14766" s="11" t="s">
        <v>63</v>
      </c>
      <c r="I14766" s="13" t="s">
        <v>28832</v>
      </c>
      <c r="J14766" s="14" t="str">
        <f>HYPERLINK("https://www.boe.es/gazeta/dias/1839/04/05/pdfs/GMD-1839-1602.pdf#page=2","Abrir facsímil")</f>
        <v>Abrir facsímil</v>
      </c>
      <c r="K14766" s="12" t="s">
        <v>65</v>
      </c>
    </row>
    <row r="14767" spans="1:11" ht="40.049999999999997" customHeight="1" x14ac:dyDescent="0.25">
      <c r="A14767" s="11" t="s">
        <v>28831</v>
      </c>
      <c r="B14767" s="11" t="s">
        <v>28831</v>
      </c>
      <c r="C14767" s="11" t="s">
        <v>17</v>
      </c>
      <c r="D14767" s="11" t="s">
        <v>18</v>
      </c>
      <c r="E14767" s="12" t="s">
        <v>1520</v>
      </c>
      <c r="F14767" s="12" t="s">
        <v>1521</v>
      </c>
      <c r="G14767" s="12" t="s">
        <v>40</v>
      </c>
      <c r="H14767" s="11" t="s">
        <v>63</v>
      </c>
      <c r="I14767" s="13" t="s">
        <v>28833</v>
      </c>
      <c r="J14767" s="14" t="str">
        <f>HYPERLINK("https://www.boe.es/gazeta/dias/1839/12/27/pdfs/GMD-1839-1874.pdf#page=2","Abrir facsímil")</f>
        <v>Abrir facsímil</v>
      </c>
      <c r="K14767" s="12" t="s">
        <v>65</v>
      </c>
    </row>
    <row r="14768" spans="1:11" ht="40.049999999999997" customHeight="1" x14ac:dyDescent="0.25">
      <c r="A14768" s="11" t="s">
        <v>28834</v>
      </c>
      <c r="B14768" s="11" t="s">
        <v>28834</v>
      </c>
      <c r="C14768" s="11" t="s">
        <v>80</v>
      </c>
      <c r="D14768" s="11" t="s">
        <v>18</v>
      </c>
      <c r="E14768" s="12" t="s">
        <v>713</v>
      </c>
      <c r="F14768" s="12" t="s">
        <v>714</v>
      </c>
      <c r="G14768" s="12" t="s">
        <v>40</v>
      </c>
      <c r="H14768" s="11" t="s">
        <v>63</v>
      </c>
      <c r="I14768" s="13" t="s">
        <v>28835</v>
      </c>
      <c r="J14768" s="14" t="str">
        <f>HYPERLINK("https://www.boe.es/gazeta/dias/1839/12/18/pdfs/GMD-1839-1865.pdf#page=2","Abrir facsímil")</f>
        <v>Abrir facsímil</v>
      </c>
      <c r="K14768" s="12" t="s">
        <v>65</v>
      </c>
    </row>
    <row r="14769" spans="1:11" ht="40.049999999999997" customHeight="1" x14ac:dyDescent="0.25">
      <c r="A14769" s="11" t="s">
        <v>28836</v>
      </c>
      <c r="B14769" s="11" t="s">
        <v>28837</v>
      </c>
      <c r="C14769" s="11" t="s">
        <v>17</v>
      </c>
      <c r="D14769" s="11" t="s">
        <v>18</v>
      </c>
      <c r="E14769" s="12" t="s">
        <v>685</v>
      </c>
      <c r="F14769" s="12" t="s">
        <v>686</v>
      </c>
      <c r="G14769" s="12" t="s">
        <v>29</v>
      </c>
      <c r="H14769" s="11" t="s">
        <v>63</v>
      </c>
      <c r="I14769" s="13" t="s">
        <v>28838</v>
      </c>
      <c r="J14769" s="14" t="str">
        <f>HYPERLINK("https://www.boe.es/gazeta/dias/1839/06/18/pdfs/GMD-1839-1676.pdf#page=1","Abrir facsímil")</f>
        <v>Abrir facsímil</v>
      </c>
      <c r="K14769" s="12" t="s">
        <v>65</v>
      </c>
    </row>
    <row r="14770" spans="1:11" ht="40.049999999999997" customHeight="1" x14ac:dyDescent="0.25">
      <c r="A14770" s="11" t="s">
        <v>28836</v>
      </c>
      <c r="B14770" s="11" t="s">
        <v>28837</v>
      </c>
      <c r="C14770" s="11" t="s">
        <v>59</v>
      </c>
      <c r="D14770" s="11" t="s">
        <v>60</v>
      </c>
      <c r="E14770" s="12" t="s">
        <v>1374</v>
      </c>
      <c r="F14770" s="12" t="s">
        <v>1375</v>
      </c>
      <c r="G14770" s="12" t="s">
        <v>29</v>
      </c>
      <c r="H14770" s="11" t="s">
        <v>63</v>
      </c>
      <c r="I14770" s="13" t="s">
        <v>28839</v>
      </c>
      <c r="J14770" s="14" t="str">
        <f>HYPERLINK("https://www.boe.es/gazeta/dias/1839/07/20/pdfs/GMD-1839-1708.pdf#page=1","Abrir facsímil")</f>
        <v>Abrir facsímil</v>
      </c>
      <c r="K14770" s="12" t="s">
        <v>65</v>
      </c>
    </row>
    <row r="14771" spans="1:11" ht="40.049999999999997" customHeight="1" x14ac:dyDescent="0.25">
      <c r="A14771" s="11" t="s">
        <v>28840</v>
      </c>
      <c r="B14771" s="11" t="s">
        <v>28841</v>
      </c>
      <c r="C14771" s="11" t="s">
        <v>17</v>
      </c>
      <c r="D14771" s="11" t="s">
        <v>18</v>
      </c>
      <c r="E14771" s="12" t="s">
        <v>690</v>
      </c>
      <c r="F14771" s="12" t="s">
        <v>691</v>
      </c>
      <c r="G14771" s="12" t="s">
        <v>46</v>
      </c>
      <c r="H14771" s="11" t="s">
        <v>63</v>
      </c>
      <c r="I14771" s="13" t="s">
        <v>28842</v>
      </c>
      <c r="J14771" s="14" t="str">
        <f>HYPERLINK("https://www.boe.es/gazeta/dias/1839/12/08/pdfs/GMD-1839-1855.pdf#page=3","Abrir facsímil")</f>
        <v>Abrir facsímil</v>
      </c>
      <c r="K14771" s="12" t="s">
        <v>65</v>
      </c>
    </row>
    <row r="14772" spans="1:11" ht="40.049999999999997" customHeight="1" x14ac:dyDescent="0.25">
      <c r="A14772" s="11" t="s">
        <v>28843</v>
      </c>
      <c r="B14772" s="11" t="s">
        <v>28844</v>
      </c>
      <c r="C14772" s="11" t="s">
        <v>137</v>
      </c>
      <c r="D14772" s="11" t="s">
        <v>18</v>
      </c>
      <c r="E14772" s="12" t="s">
        <v>7119</v>
      </c>
      <c r="F14772" s="12" t="s">
        <v>7120</v>
      </c>
      <c r="G14772" s="12" t="s">
        <v>29</v>
      </c>
      <c r="H14772" s="11" t="s">
        <v>63</v>
      </c>
      <c r="I14772" s="13" t="s">
        <v>28845</v>
      </c>
      <c r="J14772" s="14" t="str">
        <f>HYPERLINK("https://www.boe.es/gazeta/dias/1839/05/22/pdfs/GMD-1839-1649.pdf#page=1","Abrir facsímil")</f>
        <v>Abrir facsímil</v>
      </c>
      <c r="K14772" s="12" t="s">
        <v>65</v>
      </c>
    </row>
    <row r="14773" spans="1:11" ht="40.049999999999997" customHeight="1" x14ac:dyDescent="0.25">
      <c r="A14773" s="11" t="s">
        <v>28843</v>
      </c>
      <c r="B14773" s="11" t="s">
        <v>28844</v>
      </c>
      <c r="C14773" s="11" t="s">
        <v>17</v>
      </c>
      <c r="D14773" s="11" t="s">
        <v>18</v>
      </c>
      <c r="E14773" s="12" t="s">
        <v>1588</v>
      </c>
      <c r="F14773" s="12" t="s">
        <v>1589</v>
      </c>
      <c r="G14773" s="12" t="s">
        <v>29</v>
      </c>
      <c r="H14773" s="11" t="s">
        <v>63</v>
      </c>
      <c r="I14773" s="13" t="s">
        <v>28846</v>
      </c>
      <c r="J14773" s="14" t="str">
        <f>HYPERLINK("https://www.boe.es/gazeta/dias/1839/07/27/pdfs/GMD-1839-1716.pdf#page=1","Abrir facsímil")</f>
        <v>Abrir facsímil</v>
      </c>
      <c r="K14773" s="12" t="s">
        <v>65</v>
      </c>
    </row>
    <row r="14774" spans="1:11" ht="40.049999999999997" customHeight="1" x14ac:dyDescent="0.25">
      <c r="A14774" s="11" t="s">
        <v>28847</v>
      </c>
      <c r="B14774" s="11" t="s">
        <v>28848</v>
      </c>
      <c r="C14774" s="11" t="s">
        <v>17</v>
      </c>
      <c r="D14774" s="11" t="s">
        <v>18</v>
      </c>
      <c r="E14774" s="12" t="s">
        <v>479</v>
      </c>
      <c r="F14774" s="12" t="s">
        <v>480</v>
      </c>
      <c r="G14774" s="12" t="s">
        <v>21</v>
      </c>
      <c r="H14774" s="11" t="s">
        <v>63</v>
      </c>
      <c r="I14774" s="13" t="s">
        <v>28849</v>
      </c>
      <c r="J14774" s="14" t="str">
        <f>HYPERLINK("https://www.boe.es/gazeta/dias/1839/06/24/pdfs/GMD-1839-1682.pdf#page=4","Abrir facsímil")</f>
        <v>Abrir facsímil</v>
      </c>
      <c r="K14774" s="12" t="s">
        <v>65</v>
      </c>
    </row>
    <row r="14775" spans="1:11" ht="40.049999999999997" customHeight="1" x14ac:dyDescent="0.25">
      <c r="A14775" s="11" t="s">
        <v>28850</v>
      </c>
      <c r="B14775" s="11" t="s">
        <v>28851</v>
      </c>
      <c r="C14775" s="11" t="s">
        <v>101</v>
      </c>
      <c r="D14775" s="11" t="s">
        <v>43</v>
      </c>
      <c r="E14775" s="12" t="s">
        <v>197</v>
      </c>
      <c r="F14775" s="12" t="s">
        <v>198</v>
      </c>
      <c r="G14775" s="12" t="s">
        <v>46</v>
      </c>
      <c r="H14775" s="11" t="s">
        <v>63</v>
      </c>
      <c r="I14775" s="13" t="s">
        <v>28852</v>
      </c>
      <c r="J14775" s="14" t="str">
        <f>HYPERLINK("https://www.boe.es/gazeta/dias/1839/10/04/pdfs/GMD-1839-1790.pdf#page=3","Abrir facsímil")</f>
        <v>Abrir facsímil</v>
      </c>
      <c r="K14775" s="12" t="s">
        <v>65</v>
      </c>
    </row>
    <row r="14776" spans="1:11" ht="40.049999999999997" customHeight="1" x14ac:dyDescent="0.25">
      <c r="A14776" s="11" t="s">
        <v>28853</v>
      </c>
      <c r="B14776" s="11" t="s">
        <v>28854</v>
      </c>
      <c r="C14776" s="11" t="s">
        <v>137</v>
      </c>
      <c r="D14776" s="11" t="s">
        <v>18</v>
      </c>
      <c r="E14776" s="12" t="s">
        <v>1446</v>
      </c>
      <c r="F14776" s="12" t="s">
        <v>1447</v>
      </c>
      <c r="G14776" s="12" t="s">
        <v>21</v>
      </c>
      <c r="H14776" s="11" t="s">
        <v>63</v>
      </c>
      <c r="I14776" s="13" t="s">
        <v>28855</v>
      </c>
      <c r="J14776" s="14" t="str">
        <f>HYPERLINK("https://www.boe.es/gazeta/dias/1839/08/25/pdfs/GMD-1839-1746.pdf#page=4","Abrir facsímil")</f>
        <v>Abrir facsímil</v>
      </c>
      <c r="K14776" s="12" t="s">
        <v>65</v>
      </c>
    </row>
    <row r="14777" spans="1:11" ht="40.049999999999997" customHeight="1" x14ac:dyDescent="0.25">
      <c r="A14777" s="11" t="s">
        <v>28856</v>
      </c>
      <c r="B14777" s="11" t="s">
        <v>28856</v>
      </c>
      <c r="C14777" s="11" t="s">
        <v>17</v>
      </c>
      <c r="D14777" s="11" t="s">
        <v>18</v>
      </c>
      <c r="E14777" s="12" t="s">
        <v>744</v>
      </c>
      <c r="F14777" s="12" t="s">
        <v>745</v>
      </c>
      <c r="G14777" s="12" t="s">
        <v>29</v>
      </c>
      <c r="H14777" s="11" t="s">
        <v>63</v>
      </c>
      <c r="I14777" s="13" t="s">
        <v>28857</v>
      </c>
      <c r="J14777" s="14" t="str">
        <f>HYPERLINK("https://www.boe.es/gazeta/dias/1839/12/09/pdfs/GMD-1839-1856.pdf#page=1","Abrir facsímil")</f>
        <v>Abrir facsímil</v>
      </c>
      <c r="K14777" s="12" t="s">
        <v>65</v>
      </c>
    </row>
    <row r="14778" spans="1:11" ht="40.049999999999997" customHeight="1" x14ac:dyDescent="0.25">
      <c r="A14778" s="11" t="s">
        <v>28858</v>
      </c>
      <c r="B14778" s="11" t="s">
        <v>28858</v>
      </c>
      <c r="C14778" s="11" t="s">
        <v>17</v>
      </c>
      <c r="D14778" s="11" t="s">
        <v>18</v>
      </c>
      <c r="E14778" s="12" t="s">
        <v>704</v>
      </c>
      <c r="F14778" s="12" t="s">
        <v>705</v>
      </c>
      <c r="G14778" s="12" t="s">
        <v>40</v>
      </c>
      <c r="H14778" s="11" t="s">
        <v>63</v>
      </c>
      <c r="I14778" s="13" t="s">
        <v>28859</v>
      </c>
      <c r="J14778" s="14" t="str">
        <f>HYPERLINK("https://www.boe.es/gazeta/dias/1839/03/02/pdfs/GMD-1839-1568.pdf#page=2","Abrir facsímil")</f>
        <v>Abrir facsímil</v>
      </c>
      <c r="K14778" s="12" t="s">
        <v>65</v>
      </c>
    </row>
    <row r="14779" spans="1:11" ht="40.049999999999997" customHeight="1" x14ac:dyDescent="0.25">
      <c r="A14779" s="11" t="s">
        <v>28860</v>
      </c>
      <c r="B14779" s="11" t="s">
        <v>28860</v>
      </c>
      <c r="C14779" s="11" t="s">
        <v>17</v>
      </c>
      <c r="D14779" s="11" t="s">
        <v>18</v>
      </c>
      <c r="E14779" s="12" t="s">
        <v>1123</v>
      </c>
      <c r="F14779" s="12" t="s">
        <v>1124</v>
      </c>
      <c r="G14779" s="12" t="s">
        <v>46</v>
      </c>
      <c r="H14779" s="11" t="s">
        <v>63</v>
      </c>
      <c r="I14779" s="13" t="s">
        <v>28861</v>
      </c>
      <c r="J14779" s="14" t="str">
        <f>HYPERLINK("https://www.boe.es/gazeta/dias/1839/08/10/pdfs/GMD-1839-1730.pdf#page=3","Abrir facsímil")</f>
        <v>Abrir facsímil</v>
      </c>
      <c r="K14779" s="12" t="s">
        <v>65</v>
      </c>
    </row>
    <row r="14780" spans="1:11" ht="40.049999999999997" customHeight="1" x14ac:dyDescent="0.25">
      <c r="A14780" s="11" t="s">
        <v>28862</v>
      </c>
      <c r="B14780" s="11" t="s">
        <v>28862</v>
      </c>
      <c r="C14780" s="11" t="s">
        <v>17</v>
      </c>
      <c r="D14780" s="11" t="s">
        <v>18</v>
      </c>
      <c r="E14780" s="12" t="s">
        <v>2995</v>
      </c>
      <c r="F14780" s="12" t="s">
        <v>2996</v>
      </c>
      <c r="G14780" s="12" t="s">
        <v>21</v>
      </c>
      <c r="H14780" s="11" t="s">
        <v>63</v>
      </c>
      <c r="I14780" s="13" t="s">
        <v>28863</v>
      </c>
      <c r="J14780" s="14" t="str">
        <f>HYPERLINK("https://www.boe.es/gazeta/dias/1839/06/16/pdfs/GMD-1839-1674.pdf#page=4","Abrir facsímil")</f>
        <v>Abrir facsímil</v>
      </c>
      <c r="K14780" s="12" t="s">
        <v>65</v>
      </c>
    </row>
    <row r="14781" spans="1:11" ht="40.049999999999997" customHeight="1" x14ac:dyDescent="0.25">
      <c r="A14781" s="11" t="s">
        <v>28864</v>
      </c>
      <c r="B14781" s="11" t="s">
        <v>28864</v>
      </c>
      <c r="C14781" s="11" t="s">
        <v>17</v>
      </c>
      <c r="D14781" s="11" t="s">
        <v>18</v>
      </c>
      <c r="E14781" s="12" t="s">
        <v>2301</v>
      </c>
      <c r="F14781" s="12" t="s">
        <v>2302</v>
      </c>
      <c r="G14781" s="12" t="s">
        <v>29</v>
      </c>
      <c r="H14781" s="11" t="s">
        <v>63</v>
      </c>
      <c r="I14781" s="13" t="s">
        <v>28865</v>
      </c>
      <c r="J14781" s="14" t="str">
        <f>HYPERLINK("https://www.boe.es/gazeta/dias/1839/09/08/pdfs/GMD-1839-1761.pdf#page=1","Abrir facsímil")</f>
        <v>Abrir facsímil</v>
      </c>
      <c r="K14781" s="12" t="s">
        <v>65</v>
      </c>
    </row>
    <row r="14782" spans="1:11" ht="40.049999999999997" customHeight="1" x14ac:dyDescent="0.25">
      <c r="A14782" s="11" t="s">
        <v>28866</v>
      </c>
      <c r="B14782" s="11" t="s">
        <v>28866</v>
      </c>
      <c r="C14782" s="11" t="s">
        <v>17</v>
      </c>
      <c r="D14782" s="11" t="s">
        <v>18</v>
      </c>
      <c r="E14782" s="12" t="s">
        <v>108</v>
      </c>
      <c r="F14782" s="12" t="s">
        <v>109</v>
      </c>
      <c r="G14782" s="12" t="s">
        <v>21</v>
      </c>
      <c r="H14782" s="11" t="s">
        <v>63</v>
      </c>
      <c r="I14782" s="13" t="s">
        <v>28867</v>
      </c>
      <c r="J14782" s="14" t="str">
        <f>HYPERLINK("https://www.boe.es/gazeta/dias/1839/01/04/pdfs/GMD-1839-1511.pdf#page=4","Abrir facsímil")</f>
        <v>Abrir facsímil</v>
      </c>
      <c r="K14782" s="12" t="s">
        <v>65</v>
      </c>
    </row>
    <row r="14783" spans="1:11" ht="40.049999999999997" customHeight="1" x14ac:dyDescent="0.25">
      <c r="A14783" s="11" t="s">
        <v>28866</v>
      </c>
      <c r="B14783" s="11" t="s">
        <v>28866</v>
      </c>
      <c r="C14783" s="11" t="s">
        <v>80</v>
      </c>
      <c r="D14783" s="11" t="s">
        <v>18</v>
      </c>
      <c r="E14783" s="12" t="s">
        <v>2165</v>
      </c>
      <c r="F14783" s="12" t="s">
        <v>2166</v>
      </c>
      <c r="G14783" s="12" t="s">
        <v>21</v>
      </c>
      <c r="H14783" s="11" t="s">
        <v>63</v>
      </c>
      <c r="I14783" s="13" t="s">
        <v>28868</v>
      </c>
      <c r="J14783" s="14" t="str">
        <f>HYPERLINK("https://www.boe.es/gazeta/dias/1839/01/06/pdfs/GMD-1839-1513.pdf#page=4","Abrir facsímil")</f>
        <v>Abrir facsímil</v>
      </c>
      <c r="K14783" s="12" t="s">
        <v>65</v>
      </c>
    </row>
    <row r="14784" spans="1:11" ht="40.049999999999997" customHeight="1" x14ac:dyDescent="0.25">
      <c r="A14784" s="11" t="s">
        <v>28866</v>
      </c>
      <c r="B14784" s="11" t="s">
        <v>28866</v>
      </c>
      <c r="C14784" s="11" t="s">
        <v>59</v>
      </c>
      <c r="D14784" s="11" t="s">
        <v>60</v>
      </c>
      <c r="E14784" s="12" t="s">
        <v>564</v>
      </c>
      <c r="F14784" s="12" t="s">
        <v>565</v>
      </c>
      <c r="G14784" s="12" t="s">
        <v>46</v>
      </c>
      <c r="H14784" s="11" t="s">
        <v>63</v>
      </c>
      <c r="I14784" s="13" t="s">
        <v>28869</v>
      </c>
      <c r="J14784" s="14" t="str">
        <f>HYPERLINK("https://www.boe.es/gazeta/dias/1839/10/17/pdfs/GMD-1839-1803.pdf#page=3","Abrir facsímil")</f>
        <v>Abrir facsímil</v>
      </c>
      <c r="K14784" s="12" t="s">
        <v>65</v>
      </c>
    </row>
    <row r="14785" spans="1:11" ht="40.049999999999997" customHeight="1" x14ac:dyDescent="0.25">
      <c r="A14785" s="11" t="s">
        <v>28870</v>
      </c>
      <c r="B14785" s="11" t="s">
        <v>28871</v>
      </c>
      <c r="C14785" s="11" t="s">
        <v>59</v>
      </c>
      <c r="D14785" s="11" t="s">
        <v>60</v>
      </c>
      <c r="E14785" s="12" t="s">
        <v>1252</v>
      </c>
      <c r="F14785" s="12" t="s">
        <v>1253</v>
      </c>
      <c r="G14785" s="12" t="s">
        <v>21</v>
      </c>
      <c r="H14785" s="11" t="s">
        <v>63</v>
      </c>
      <c r="I14785" s="13" t="s">
        <v>28872</v>
      </c>
      <c r="J14785" s="14" t="str">
        <f>HYPERLINK("https://www.boe.es/gazeta/dias/1839/06/15/pdfs/GMD-1839-1673.pdf#page=4","Abrir facsímil")</f>
        <v>Abrir facsímil</v>
      </c>
      <c r="K14785" s="12" t="s">
        <v>65</v>
      </c>
    </row>
    <row r="14786" spans="1:11" ht="40.049999999999997" customHeight="1" x14ac:dyDescent="0.25">
      <c r="A14786" s="11" t="s">
        <v>28873</v>
      </c>
      <c r="B14786" s="11" t="s">
        <v>28874</v>
      </c>
      <c r="C14786" s="11" t="s">
        <v>59</v>
      </c>
      <c r="D14786" s="11" t="s">
        <v>60</v>
      </c>
      <c r="E14786" s="12" t="s">
        <v>571</v>
      </c>
      <c r="F14786" s="12" t="s">
        <v>572</v>
      </c>
      <c r="G14786" s="12" t="s">
        <v>21</v>
      </c>
      <c r="H14786" s="11" t="s">
        <v>63</v>
      </c>
      <c r="I14786" s="13" t="s">
        <v>28875</v>
      </c>
      <c r="J14786" s="14" t="str">
        <f>HYPERLINK("https://www.boe.es/gazeta/dias/1839/09/27/pdfs/GMD-1839-1783.pdf#page=4","Abrir facsímil")</f>
        <v>Abrir facsímil</v>
      </c>
      <c r="K14786" s="12" t="s">
        <v>65</v>
      </c>
    </row>
    <row r="14787" spans="1:11" ht="40.049999999999997" customHeight="1" x14ac:dyDescent="0.25">
      <c r="A14787" s="11" t="s">
        <v>28876</v>
      </c>
      <c r="B14787" s="11" t="s">
        <v>28877</v>
      </c>
      <c r="C14787" s="11" t="s">
        <v>17</v>
      </c>
      <c r="D14787" s="11" t="s">
        <v>18</v>
      </c>
      <c r="E14787" s="12" t="s">
        <v>946</v>
      </c>
      <c r="F14787" s="12" t="s">
        <v>947</v>
      </c>
      <c r="G14787" s="12" t="s">
        <v>21</v>
      </c>
      <c r="H14787" s="11" t="s">
        <v>63</v>
      </c>
      <c r="I14787" s="13" t="s">
        <v>28878</v>
      </c>
      <c r="J14787" s="14" t="str">
        <f>HYPERLINK("https://www.boe.es/gazeta/dias/1839/04/15/pdfs/GMD-1839-1612.pdf#page=4","Abrir facsímil")</f>
        <v>Abrir facsímil</v>
      </c>
      <c r="K14787" s="12" t="s">
        <v>65</v>
      </c>
    </row>
    <row r="14788" spans="1:11" ht="40.049999999999997" customHeight="1" x14ac:dyDescent="0.25">
      <c r="A14788" s="11" t="s">
        <v>28879</v>
      </c>
      <c r="B14788" s="11" t="s">
        <v>28880</v>
      </c>
      <c r="C14788" s="11" t="s">
        <v>17</v>
      </c>
      <c r="D14788" s="11" t="s">
        <v>18</v>
      </c>
      <c r="E14788" s="12" t="s">
        <v>1208</v>
      </c>
      <c r="F14788" s="12" t="s">
        <v>1209</v>
      </c>
      <c r="G14788" s="12" t="s">
        <v>29</v>
      </c>
      <c r="H14788" s="11" t="s">
        <v>63</v>
      </c>
      <c r="I14788" s="13" t="s">
        <v>28881</v>
      </c>
      <c r="J14788" s="14" t="str">
        <f>HYPERLINK("https://www.boe.es/gazeta/dias/1839/04/24/pdfs/GMD-1839-1621.pdf#page=1","Abrir facsímil")</f>
        <v>Abrir facsímil</v>
      </c>
      <c r="K14788" s="12" t="s">
        <v>65</v>
      </c>
    </row>
    <row r="14789" spans="1:11" ht="40.049999999999997" customHeight="1" x14ac:dyDescent="0.25">
      <c r="A14789" s="11" t="s">
        <v>28882</v>
      </c>
      <c r="B14789" s="11" t="s">
        <v>28882</v>
      </c>
      <c r="C14789" s="11" t="s">
        <v>101</v>
      </c>
      <c r="D14789" s="11" t="s">
        <v>43</v>
      </c>
      <c r="E14789" s="12" t="s">
        <v>291</v>
      </c>
      <c r="F14789" s="12" t="s">
        <v>292</v>
      </c>
      <c r="G14789" s="12" t="s">
        <v>29</v>
      </c>
      <c r="H14789" s="11" t="s">
        <v>63</v>
      </c>
      <c r="I14789" s="13" t="s">
        <v>28883</v>
      </c>
      <c r="J14789" s="14" t="str">
        <f>HYPERLINK("https://www.boe.es/gazeta/dias/1839/09/04/pdfs/GMD-1839-1757.pdf#page=1","Abrir facsímil")</f>
        <v>Abrir facsímil</v>
      </c>
      <c r="K14789" s="12" t="s">
        <v>65</v>
      </c>
    </row>
    <row r="14790" spans="1:11" ht="40.049999999999997" customHeight="1" x14ac:dyDescent="0.25">
      <c r="A14790" s="11" t="s">
        <v>28882</v>
      </c>
      <c r="B14790" s="11" t="s">
        <v>28882</v>
      </c>
      <c r="C14790" s="11" t="s">
        <v>59</v>
      </c>
      <c r="D14790" s="11" t="s">
        <v>60</v>
      </c>
      <c r="E14790" s="12" t="s">
        <v>2301</v>
      </c>
      <c r="F14790" s="12" t="s">
        <v>2302</v>
      </c>
      <c r="G14790" s="12" t="s">
        <v>29</v>
      </c>
      <c r="H14790" s="11" t="s">
        <v>63</v>
      </c>
      <c r="I14790" s="13" t="s">
        <v>28884</v>
      </c>
      <c r="J14790" s="14" t="str">
        <f>HYPERLINK("https://www.boe.es/gazeta/dias/1839/09/08/pdfs/GMD-1839-1761.pdf#page=1","Abrir facsímil")</f>
        <v>Abrir facsímil</v>
      </c>
      <c r="K14790" s="12" t="s">
        <v>65</v>
      </c>
    </row>
    <row r="14791" spans="1:11" ht="40.049999999999997" customHeight="1" x14ac:dyDescent="0.25">
      <c r="A14791" s="11" t="s">
        <v>28882</v>
      </c>
      <c r="B14791" s="11" t="s">
        <v>28882</v>
      </c>
      <c r="C14791" s="11" t="s">
        <v>17</v>
      </c>
      <c r="D14791" s="11" t="s">
        <v>18</v>
      </c>
      <c r="E14791" s="12" t="s">
        <v>723</v>
      </c>
      <c r="F14791" s="12" t="s">
        <v>724</v>
      </c>
      <c r="G14791" s="12" t="s">
        <v>21</v>
      </c>
      <c r="H14791" s="11" t="s">
        <v>63</v>
      </c>
      <c r="I14791" s="13" t="s">
        <v>28885</v>
      </c>
      <c r="J14791" s="14" t="str">
        <f>HYPERLINK("https://www.boe.es/gazeta/dias/1839/09/26/pdfs/GMD-1839-1782.pdf#page=4","Abrir facsímil")</f>
        <v>Abrir facsímil</v>
      </c>
      <c r="K14791" s="12" t="s">
        <v>65</v>
      </c>
    </row>
    <row r="14792" spans="1:11" ht="40.049999999999997" customHeight="1" x14ac:dyDescent="0.25">
      <c r="A14792" s="11" t="s">
        <v>28886</v>
      </c>
      <c r="B14792" s="11" t="s">
        <v>28887</v>
      </c>
      <c r="C14792" s="11" t="s">
        <v>80</v>
      </c>
      <c r="D14792" s="11" t="s">
        <v>18</v>
      </c>
      <c r="E14792" s="12" t="s">
        <v>1772</v>
      </c>
      <c r="F14792" s="12" t="s">
        <v>1773</v>
      </c>
      <c r="G14792" s="12" t="s">
        <v>40</v>
      </c>
      <c r="H14792" s="11" t="s">
        <v>63</v>
      </c>
      <c r="I14792" s="13" t="s">
        <v>28888</v>
      </c>
      <c r="J14792" s="14" t="str">
        <f>HYPERLINK("https://www.boe.es/gazeta/dias/1839/05/07/pdfs/GMD-1839-1634.pdf#page=2","Abrir facsímil")</f>
        <v>Abrir facsímil</v>
      </c>
      <c r="K14792" s="12" t="s">
        <v>65</v>
      </c>
    </row>
    <row r="14793" spans="1:11" ht="40.049999999999997" customHeight="1" x14ac:dyDescent="0.25">
      <c r="A14793" s="11" t="s">
        <v>28889</v>
      </c>
      <c r="B14793" s="11" t="s">
        <v>28890</v>
      </c>
      <c r="C14793" s="11" t="s">
        <v>17</v>
      </c>
      <c r="D14793" s="11" t="s">
        <v>18</v>
      </c>
      <c r="E14793" s="12" t="s">
        <v>1679</v>
      </c>
      <c r="F14793" s="12" t="s">
        <v>1680</v>
      </c>
      <c r="G14793" s="12" t="s">
        <v>40</v>
      </c>
      <c r="H14793" s="11" t="s">
        <v>22</v>
      </c>
      <c r="I14793" s="13" t="s">
        <v>28891</v>
      </c>
      <c r="J14793" s="14" t="str">
        <f>HYPERLINK("https://www.boe.es/gazeta/dias/1839/01/26/pdfs/GMD-1839-1533.pdf#page=2","Abrir facsímil")</f>
        <v>Abrir facsímil</v>
      </c>
      <c r="K14793" s="12" t="s">
        <v>24</v>
      </c>
    </row>
    <row r="14794" spans="1:11" ht="40.049999999999997" customHeight="1" x14ac:dyDescent="0.25">
      <c r="A14794" s="11" t="s">
        <v>28892</v>
      </c>
      <c r="B14794" s="11" t="s">
        <v>28892</v>
      </c>
      <c r="C14794" s="11" t="s">
        <v>137</v>
      </c>
      <c r="D14794" s="11" t="s">
        <v>18</v>
      </c>
      <c r="E14794" s="12" t="s">
        <v>44</v>
      </c>
      <c r="F14794" s="12" t="s">
        <v>45</v>
      </c>
      <c r="G14794" s="12" t="s">
        <v>29</v>
      </c>
      <c r="H14794" s="11" t="s">
        <v>63</v>
      </c>
      <c r="I14794" s="13" t="s">
        <v>28893</v>
      </c>
      <c r="J14794" s="14" t="str">
        <f>HYPERLINK("https://www.boe.es/gazeta/dias/1839/11/15/pdfs/GMD-1839-1832.pdf#page=1","Abrir facsímil")</f>
        <v>Abrir facsímil</v>
      </c>
      <c r="K14794" s="12" t="s">
        <v>65</v>
      </c>
    </row>
    <row r="14795" spans="1:11" ht="40.049999999999997" customHeight="1" x14ac:dyDescent="0.25">
      <c r="A14795" s="11" t="s">
        <v>28894</v>
      </c>
      <c r="B14795" s="11" t="s">
        <v>28894</v>
      </c>
      <c r="C14795" s="11" t="s">
        <v>137</v>
      </c>
      <c r="D14795" s="11" t="s">
        <v>18</v>
      </c>
      <c r="E14795" s="12" t="s">
        <v>1517</v>
      </c>
      <c r="F14795" s="12" t="s">
        <v>1518</v>
      </c>
      <c r="G14795" s="12" t="s">
        <v>29</v>
      </c>
      <c r="H14795" s="11" t="s">
        <v>63</v>
      </c>
      <c r="I14795" s="13" t="s">
        <v>28895</v>
      </c>
      <c r="J14795" s="14" t="str">
        <f>HYPERLINK("https://www.boe.es/gazeta/dias/1839/12/20/pdfs/GMD-1839-1867.pdf#page=1","Abrir facsímil")</f>
        <v>Abrir facsímil</v>
      </c>
      <c r="K14795" s="12" t="s">
        <v>65</v>
      </c>
    </row>
    <row r="14796" spans="1:11" ht="40.049999999999997" customHeight="1" x14ac:dyDescent="0.25">
      <c r="A14796" s="11" t="s">
        <v>28896</v>
      </c>
      <c r="B14796" s="11" t="s">
        <v>28896</v>
      </c>
      <c r="C14796" s="11" t="s">
        <v>80</v>
      </c>
      <c r="D14796" s="11" t="s">
        <v>18</v>
      </c>
      <c r="E14796" s="12" t="s">
        <v>798</v>
      </c>
      <c r="F14796" s="12" t="s">
        <v>799</v>
      </c>
      <c r="G14796" s="12" t="s">
        <v>40</v>
      </c>
      <c r="H14796" s="11" t="s">
        <v>63</v>
      </c>
      <c r="I14796" s="13" t="s">
        <v>28897</v>
      </c>
      <c r="J14796" s="14" t="str">
        <f>HYPERLINK("https://www.boe.es/gazeta/dias/1839/09/03/pdfs/GMD-1839-1755.pdf#page=2","Abrir facsímil")</f>
        <v>Abrir facsímil</v>
      </c>
      <c r="K14796" s="12" t="s">
        <v>65</v>
      </c>
    </row>
    <row r="14797" spans="1:11" ht="40.049999999999997" customHeight="1" x14ac:dyDescent="0.25">
      <c r="A14797" s="11" t="s">
        <v>28898</v>
      </c>
      <c r="B14797" s="11" t="s">
        <v>28898</v>
      </c>
      <c r="C14797" s="11" t="s">
        <v>17</v>
      </c>
      <c r="D14797" s="11" t="s">
        <v>18</v>
      </c>
      <c r="E14797" s="12" t="s">
        <v>68</v>
      </c>
      <c r="F14797" s="12" t="s">
        <v>69</v>
      </c>
      <c r="G14797" s="12" t="s">
        <v>40</v>
      </c>
      <c r="H14797" s="11" t="s">
        <v>22</v>
      </c>
      <c r="I14797" s="13" t="s">
        <v>28899</v>
      </c>
      <c r="J14797" s="14" t="str">
        <f>HYPERLINK("https://www.boe.es/gazeta/dias/1839/02/09/pdfs/GMD-1839-1547.pdf#page=2","Abrir facsímil")</f>
        <v>Abrir facsímil</v>
      </c>
      <c r="K14797" s="12" t="s">
        <v>24</v>
      </c>
    </row>
    <row r="14798" spans="1:11" ht="40.049999999999997" customHeight="1" x14ac:dyDescent="0.25">
      <c r="A14798" s="11" t="s">
        <v>28898</v>
      </c>
      <c r="B14798" s="11" t="s">
        <v>28898</v>
      </c>
      <c r="C14798" s="11" t="s">
        <v>59</v>
      </c>
      <c r="D14798" s="11" t="s">
        <v>60</v>
      </c>
      <c r="E14798" s="12" t="s">
        <v>68</v>
      </c>
      <c r="F14798" s="12" t="s">
        <v>69</v>
      </c>
      <c r="G14798" s="12" t="s">
        <v>46</v>
      </c>
      <c r="H14798" s="11" t="s">
        <v>22</v>
      </c>
      <c r="I14798" s="13" t="s">
        <v>28900</v>
      </c>
      <c r="J14798" s="14" t="str">
        <f>HYPERLINK("https://www.boe.es/gazeta/dias/1839/02/09/pdfs/GMD-1839-1547.pdf#page=3","Abrir facsímil")</f>
        <v>Abrir facsímil</v>
      </c>
      <c r="K14798" s="12" t="s">
        <v>24</v>
      </c>
    </row>
    <row r="14799" spans="1:11" ht="40.049999999999997" customHeight="1" x14ac:dyDescent="0.25">
      <c r="A14799" s="11" t="s">
        <v>28896</v>
      </c>
      <c r="B14799" s="11" t="s">
        <v>28896</v>
      </c>
      <c r="C14799" s="11" t="s">
        <v>17</v>
      </c>
      <c r="D14799" s="11" t="s">
        <v>18</v>
      </c>
      <c r="E14799" s="12" t="s">
        <v>1100</v>
      </c>
      <c r="F14799" s="12" t="s">
        <v>1101</v>
      </c>
      <c r="G14799" s="12" t="s">
        <v>29</v>
      </c>
      <c r="H14799" s="11" t="s">
        <v>63</v>
      </c>
      <c r="I14799" s="13" t="s">
        <v>28901</v>
      </c>
      <c r="J14799" s="14" t="str">
        <f>HYPERLINK("https://www.boe.es/gazeta/dias/1839/09/13/pdfs/GMD-1839-1766.pdf#page=1","Abrir facsímil")</f>
        <v>Abrir facsímil</v>
      </c>
      <c r="K14799" s="12" t="s">
        <v>65</v>
      </c>
    </row>
    <row r="14800" spans="1:11" ht="40.049999999999997" customHeight="1" x14ac:dyDescent="0.25">
      <c r="A14800" s="11" t="s">
        <v>28902</v>
      </c>
      <c r="B14800" s="11" t="s">
        <v>28903</v>
      </c>
      <c r="C14800" s="11" t="s">
        <v>17</v>
      </c>
      <c r="D14800" s="11" t="s">
        <v>18</v>
      </c>
      <c r="E14800" s="12" t="s">
        <v>258</v>
      </c>
      <c r="F14800" s="12" t="s">
        <v>259</v>
      </c>
      <c r="G14800" s="12" t="s">
        <v>21</v>
      </c>
      <c r="H14800" s="11" t="s">
        <v>63</v>
      </c>
      <c r="I14800" s="13" t="s">
        <v>28904</v>
      </c>
      <c r="J14800" s="14" t="str">
        <f>HYPERLINK("https://www.boe.es/gazeta/dias/1839/01/02/pdfs/GMD-1839-1509.pdf#page=4","Abrir facsímil")</f>
        <v>Abrir facsímil</v>
      </c>
      <c r="K14800" s="12" t="s">
        <v>65</v>
      </c>
    </row>
    <row r="14801" spans="1:11" ht="40.049999999999997" customHeight="1" x14ac:dyDescent="0.25">
      <c r="A14801" s="11" t="s">
        <v>28905</v>
      </c>
      <c r="B14801" s="11" t="s">
        <v>28905</v>
      </c>
      <c r="C14801" s="11" t="s">
        <v>17</v>
      </c>
      <c r="D14801" s="11" t="s">
        <v>18</v>
      </c>
      <c r="E14801" s="12" t="s">
        <v>239</v>
      </c>
      <c r="F14801" s="12" t="s">
        <v>240</v>
      </c>
      <c r="G14801" s="12" t="s">
        <v>40</v>
      </c>
      <c r="H14801" s="11" t="s">
        <v>63</v>
      </c>
      <c r="I14801" s="13" t="s">
        <v>28906</v>
      </c>
      <c r="J14801" s="14" t="str">
        <f>HYPERLINK("https://www.boe.es/gazeta/dias/1839/09/22/pdfs/GMD-1839-1777.pdf#page=2","Abrir facsímil")</f>
        <v>Abrir facsímil</v>
      </c>
      <c r="K14801" s="12" t="s">
        <v>65</v>
      </c>
    </row>
    <row r="14802" spans="1:11" ht="40.049999999999997" customHeight="1" x14ac:dyDescent="0.25">
      <c r="A14802" s="11" t="s">
        <v>28907</v>
      </c>
      <c r="B14802" s="11" t="s">
        <v>28907</v>
      </c>
      <c r="C14802" s="11" t="s">
        <v>17</v>
      </c>
      <c r="D14802" s="11" t="s">
        <v>18</v>
      </c>
      <c r="E14802" s="12" t="s">
        <v>2138</v>
      </c>
      <c r="F14802" s="12" t="s">
        <v>2139</v>
      </c>
      <c r="G14802" s="12" t="s">
        <v>46</v>
      </c>
      <c r="H14802" s="11" t="s">
        <v>22</v>
      </c>
      <c r="I14802" s="13" t="s">
        <v>28908</v>
      </c>
      <c r="J14802" s="14" t="str">
        <f>HYPERLINK("https://www.boe.es/gazeta/dias/1839/10/02/pdfs/GMD-1839-1788.pdf#page=3","Abrir facsímil")</f>
        <v>Abrir facsímil</v>
      </c>
      <c r="K14802" s="12" t="s">
        <v>24</v>
      </c>
    </row>
    <row r="14803" spans="1:11" ht="40.049999999999997" customHeight="1" x14ac:dyDescent="0.25">
      <c r="A14803" s="11" t="s">
        <v>28909</v>
      </c>
      <c r="B14803" s="11" t="s">
        <v>28909</v>
      </c>
      <c r="C14803" s="11" t="s">
        <v>17</v>
      </c>
      <c r="D14803" s="11" t="s">
        <v>18</v>
      </c>
      <c r="E14803" s="12" t="s">
        <v>934</v>
      </c>
      <c r="F14803" s="12" t="s">
        <v>935</v>
      </c>
      <c r="G14803" s="12" t="s">
        <v>21</v>
      </c>
      <c r="H14803" s="11" t="s">
        <v>63</v>
      </c>
      <c r="I14803" s="13" t="s">
        <v>28910</v>
      </c>
      <c r="J14803" s="14" t="str">
        <f>HYPERLINK("https://www.boe.es/gazeta/dias/1839/11/07/pdfs/GMD-1839-1824.pdf#page=4","Abrir facsímil")</f>
        <v>Abrir facsímil</v>
      </c>
      <c r="K14803" s="12" t="s">
        <v>65</v>
      </c>
    </row>
    <row r="14804" spans="1:11" ht="40.049999999999997" customHeight="1" x14ac:dyDescent="0.25">
      <c r="A14804" s="11" t="s">
        <v>28909</v>
      </c>
      <c r="B14804" s="11" t="s">
        <v>28909</v>
      </c>
      <c r="C14804" s="11" t="s">
        <v>17</v>
      </c>
      <c r="D14804" s="11" t="s">
        <v>18</v>
      </c>
      <c r="E14804" s="12" t="s">
        <v>38</v>
      </c>
      <c r="F14804" s="12" t="s">
        <v>39</v>
      </c>
      <c r="G14804" s="12" t="s">
        <v>40</v>
      </c>
      <c r="H14804" s="11" t="s">
        <v>63</v>
      </c>
      <c r="I14804" s="13" t="s">
        <v>28911</v>
      </c>
      <c r="J14804" s="14" t="str">
        <f>HYPERLINK("https://www.boe.es/gazeta/dias/1839/08/08/pdfs/GMD-1839-1728.pdf#page=2","Abrir facsímil")</f>
        <v>Abrir facsímil</v>
      </c>
      <c r="K14804" s="12" t="s">
        <v>65</v>
      </c>
    </row>
    <row r="14805" spans="1:11" ht="40.049999999999997" customHeight="1" x14ac:dyDescent="0.25">
      <c r="A14805" s="11" t="s">
        <v>28912</v>
      </c>
      <c r="B14805" s="11" t="s">
        <v>28913</v>
      </c>
      <c r="C14805" s="11" t="s">
        <v>17</v>
      </c>
      <c r="D14805" s="11" t="s">
        <v>18</v>
      </c>
      <c r="E14805" s="12" t="s">
        <v>1749</v>
      </c>
      <c r="F14805" s="12" t="s">
        <v>1750</v>
      </c>
      <c r="G14805" s="12" t="s">
        <v>46</v>
      </c>
      <c r="H14805" s="11" t="s">
        <v>63</v>
      </c>
      <c r="I14805" s="13" t="s">
        <v>28914</v>
      </c>
      <c r="J14805" s="14" t="str">
        <f>HYPERLINK("https://www.boe.es/gazeta/dias/1839/06/28/pdfs/GMD-1839-1686.pdf#page=3","Abrir facsímil")</f>
        <v>Abrir facsímil</v>
      </c>
      <c r="K14805" s="12" t="s">
        <v>65</v>
      </c>
    </row>
    <row r="14806" spans="1:11" ht="40.049999999999997" customHeight="1" x14ac:dyDescent="0.25">
      <c r="A14806" s="11" t="s">
        <v>28915</v>
      </c>
      <c r="B14806" s="11" t="s">
        <v>28915</v>
      </c>
      <c r="C14806" s="11" t="s">
        <v>17</v>
      </c>
      <c r="D14806" s="11" t="s">
        <v>18</v>
      </c>
      <c r="E14806" s="12" t="s">
        <v>5845</v>
      </c>
      <c r="F14806" s="12" t="s">
        <v>5846</v>
      </c>
      <c r="G14806" s="12" t="s">
        <v>29</v>
      </c>
      <c r="H14806" s="11" t="s">
        <v>63</v>
      </c>
      <c r="I14806" s="13" t="s">
        <v>28916</v>
      </c>
      <c r="J14806" s="14" t="str">
        <f>HYPERLINK("https://www.boe.es/gazeta/dias/1839/04/01/pdfs/GMD-1839-1598.pdf#page=1","Abrir facsímil")</f>
        <v>Abrir facsímil</v>
      </c>
      <c r="K14806" s="12" t="s">
        <v>65</v>
      </c>
    </row>
    <row r="14807" spans="1:11" ht="40.049999999999997" customHeight="1" x14ac:dyDescent="0.25">
      <c r="A14807" s="11" t="s">
        <v>28915</v>
      </c>
      <c r="B14807" s="11" t="s">
        <v>28915</v>
      </c>
      <c r="C14807" s="11" t="s">
        <v>80</v>
      </c>
      <c r="D14807" s="11" t="s">
        <v>173</v>
      </c>
      <c r="E14807" s="12" t="s">
        <v>606</v>
      </c>
      <c r="F14807" s="12" t="s">
        <v>607</v>
      </c>
      <c r="G14807" s="12" t="s">
        <v>21</v>
      </c>
      <c r="H14807" s="11" t="s">
        <v>63</v>
      </c>
      <c r="I14807" s="13" t="s">
        <v>28917</v>
      </c>
      <c r="J14807" s="14" t="str">
        <f>HYPERLINK("https://www.boe.es/gazeta/dias/1839/04/02/pdfs/GMD-1839-1599.pdf#page=4","Abrir facsímil")</f>
        <v>Abrir facsímil</v>
      </c>
      <c r="K14807" s="12" t="s">
        <v>65</v>
      </c>
    </row>
    <row r="14808" spans="1:11" ht="40.049999999999997" customHeight="1" x14ac:dyDescent="0.25">
      <c r="A14808" s="11" t="s">
        <v>28915</v>
      </c>
      <c r="B14808" s="11" t="s">
        <v>28915</v>
      </c>
      <c r="C14808" s="11" t="s">
        <v>80</v>
      </c>
      <c r="D14808" s="11" t="s">
        <v>173</v>
      </c>
      <c r="E14808" s="12" t="s">
        <v>1136</v>
      </c>
      <c r="F14808" s="12" t="s">
        <v>1137</v>
      </c>
      <c r="G14808" s="12" t="s">
        <v>46</v>
      </c>
      <c r="H14808" s="11" t="s">
        <v>63</v>
      </c>
      <c r="I14808" s="13" t="s">
        <v>28918</v>
      </c>
      <c r="J14808" s="14" t="str">
        <f>HYPERLINK("https://www.boe.es/gazeta/dias/1839/04/03/pdfs/GMD-1839-1600.pdf#page=3","Abrir facsímil")</f>
        <v>Abrir facsímil</v>
      </c>
      <c r="K14808" s="12" t="s">
        <v>65</v>
      </c>
    </row>
    <row r="14809" spans="1:11" ht="40.049999999999997" customHeight="1" x14ac:dyDescent="0.25">
      <c r="A14809" s="11" t="s">
        <v>28915</v>
      </c>
      <c r="B14809" s="11" t="s">
        <v>28915</v>
      </c>
      <c r="C14809" s="11" t="s">
        <v>17</v>
      </c>
      <c r="D14809" s="11" t="s">
        <v>18</v>
      </c>
      <c r="E14809" s="12" t="s">
        <v>2227</v>
      </c>
      <c r="F14809" s="12" t="s">
        <v>2228</v>
      </c>
      <c r="G14809" s="12" t="s">
        <v>29</v>
      </c>
      <c r="H14809" s="11" t="s">
        <v>63</v>
      </c>
      <c r="I14809" s="13" t="s">
        <v>28919</v>
      </c>
      <c r="J14809" s="14" t="str">
        <f>HYPERLINK("https://www.boe.es/gazeta/dias/1839/12/04/pdfs/GMD-1839-1851.pdf#page=1","Abrir facsímil")</f>
        <v>Abrir facsímil</v>
      </c>
      <c r="K14809" s="12" t="s">
        <v>65</v>
      </c>
    </row>
    <row r="14810" spans="1:11" ht="40.049999999999997" customHeight="1" x14ac:dyDescent="0.25">
      <c r="A14810" s="11" t="s">
        <v>28915</v>
      </c>
      <c r="B14810" s="11" t="s">
        <v>28915</v>
      </c>
      <c r="C14810" s="11" t="s">
        <v>17</v>
      </c>
      <c r="D14810" s="11" t="s">
        <v>18</v>
      </c>
      <c r="E14810" s="12" t="s">
        <v>736</v>
      </c>
      <c r="F14810" s="12" t="s">
        <v>737</v>
      </c>
      <c r="G14810" s="12" t="s">
        <v>46</v>
      </c>
      <c r="H14810" s="11" t="s">
        <v>63</v>
      </c>
      <c r="I14810" s="13" t="s">
        <v>28920</v>
      </c>
      <c r="J14810" s="14" t="str">
        <f>HYPERLINK("https://www.boe.es/gazeta/dias/1839/10/13/pdfs/GMD-1839-1799.pdf#page=3","Abrir facsímil")</f>
        <v>Abrir facsímil</v>
      </c>
      <c r="K14810" s="12" t="s">
        <v>65</v>
      </c>
    </row>
    <row r="14811" spans="1:11" ht="40.049999999999997" customHeight="1" x14ac:dyDescent="0.25">
      <c r="A14811" s="11" t="s">
        <v>28915</v>
      </c>
      <c r="B14811" s="11" t="s">
        <v>28915</v>
      </c>
      <c r="C14811" s="11" t="s">
        <v>59</v>
      </c>
      <c r="D14811" s="11" t="s">
        <v>60</v>
      </c>
      <c r="E14811" s="12" t="s">
        <v>2021</v>
      </c>
      <c r="F14811" s="12" t="s">
        <v>2022</v>
      </c>
      <c r="G14811" s="12" t="s">
        <v>46</v>
      </c>
      <c r="H14811" s="11" t="s">
        <v>63</v>
      </c>
      <c r="I14811" s="13" t="s">
        <v>28921</v>
      </c>
      <c r="J14811" s="14" t="str">
        <f>HYPERLINK("https://www.boe.es/gazeta/dias/1839/02/17/pdfs/GMD-1839-1555.pdf#page=3","Abrir facsímil")</f>
        <v>Abrir facsímil</v>
      </c>
      <c r="K14811" s="12" t="s">
        <v>65</v>
      </c>
    </row>
    <row r="14812" spans="1:11" ht="40.049999999999997" customHeight="1" x14ac:dyDescent="0.25">
      <c r="A14812" s="11" t="s">
        <v>28915</v>
      </c>
      <c r="B14812" s="11" t="s">
        <v>28915</v>
      </c>
      <c r="C14812" s="11" t="s">
        <v>80</v>
      </c>
      <c r="D14812" s="11" t="s">
        <v>18</v>
      </c>
      <c r="E14812" s="12" t="s">
        <v>1179</v>
      </c>
      <c r="F14812" s="12" t="s">
        <v>1180</v>
      </c>
      <c r="G14812" s="12" t="s">
        <v>305</v>
      </c>
      <c r="H14812" s="11" t="s">
        <v>63</v>
      </c>
      <c r="I14812" s="13" t="s">
        <v>28922</v>
      </c>
      <c r="J14812" s="14" t="str">
        <f>HYPERLINK("https://www.boe.es/gazeta/dias/1839/10/18/pdfs/GMD-1839-1804.pdf#page=6","Abrir facsímil")</f>
        <v>Abrir facsímil</v>
      </c>
      <c r="K14812" s="12" t="s">
        <v>65</v>
      </c>
    </row>
    <row r="14813" spans="1:11" ht="40.049999999999997" customHeight="1" x14ac:dyDescent="0.25">
      <c r="A14813" s="11" t="s">
        <v>28915</v>
      </c>
      <c r="B14813" s="11" t="s">
        <v>28915</v>
      </c>
      <c r="C14813" s="11" t="s">
        <v>59</v>
      </c>
      <c r="D14813" s="11" t="s">
        <v>60</v>
      </c>
      <c r="E14813" s="12" t="s">
        <v>489</v>
      </c>
      <c r="F14813" s="12" t="s">
        <v>490</v>
      </c>
      <c r="G14813" s="12" t="s">
        <v>21</v>
      </c>
      <c r="H14813" s="11" t="s">
        <v>63</v>
      </c>
      <c r="I14813" s="13" t="s">
        <v>28923</v>
      </c>
      <c r="J14813" s="14" t="str">
        <f>HYPERLINK("https://www.boe.es/gazeta/dias/1839/06/29/pdfs/GMD-1839-1687.pdf#page=4","Abrir facsímil")</f>
        <v>Abrir facsímil</v>
      </c>
      <c r="K14813" s="12" t="s">
        <v>65</v>
      </c>
    </row>
    <row r="14814" spans="1:11" ht="40.049999999999997" customHeight="1" x14ac:dyDescent="0.25">
      <c r="A14814" s="11" t="s">
        <v>28924</v>
      </c>
      <c r="B14814" s="11" t="s">
        <v>28925</v>
      </c>
      <c r="C14814" s="11" t="s">
        <v>17</v>
      </c>
      <c r="D14814" s="11" t="s">
        <v>18</v>
      </c>
      <c r="E14814" s="12" t="s">
        <v>258</v>
      </c>
      <c r="F14814" s="12" t="s">
        <v>259</v>
      </c>
      <c r="G14814" s="12" t="s">
        <v>46</v>
      </c>
      <c r="H14814" s="11" t="s">
        <v>22</v>
      </c>
      <c r="I14814" s="13" t="s">
        <v>28926</v>
      </c>
      <c r="J14814" s="14" t="str">
        <f>HYPERLINK("https://www.boe.es/gazeta/dias/1839/01/02/pdfs/GMD-1839-1509.pdf#page=3","Abrir facsímil")</f>
        <v>Abrir facsímil</v>
      </c>
      <c r="K14814" s="12" t="s">
        <v>24</v>
      </c>
    </row>
    <row r="14815" spans="1:11" ht="40.049999999999997" customHeight="1" x14ac:dyDescent="0.25">
      <c r="A14815" s="11" t="s">
        <v>28927</v>
      </c>
      <c r="B14815" s="11" t="s">
        <v>28928</v>
      </c>
      <c r="C14815" s="11" t="s">
        <v>17</v>
      </c>
      <c r="D14815" s="11" t="s">
        <v>18</v>
      </c>
      <c r="E14815" s="12" t="s">
        <v>258</v>
      </c>
      <c r="F14815" s="12" t="s">
        <v>259</v>
      </c>
      <c r="G14815" s="12" t="s">
        <v>46</v>
      </c>
      <c r="H14815" s="11" t="s">
        <v>22</v>
      </c>
      <c r="I14815" s="13" t="s">
        <v>28929</v>
      </c>
      <c r="J14815" s="14" t="str">
        <f>HYPERLINK("https://www.boe.es/gazeta/dias/1839/01/02/pdfs/GMD-1839-1509.pdf#page=3","Abrir facsímil")</f>
        <v>Abrir facsímil</v>
      </c>
      <c r="K14815" s="12" t="s">
        <v>24</v>
      </c>
    </row>
    <row r="14816" spans="1:11" ht="40.049999999999997" customHeight="1" x14ac:dyDescent="0.25">
      <c r="A14816" s="11" t="s">
        <v>28930</v>
      </c>
      <c r="B14816" s="11" t="s">
        <v>28931</v>
      </c>
      <c r="C14816" s="11" t="s">
        <v>17</v>
      </c>
      <c r="D14816" s="11" t="s">
        <v>18</v>
      </c>
      <c r="E14816" s="12" t="s">
        <v>258</v>
      </c>
      <c r="F14816" s="12" t="s">
        <v>259</v>
      </c>
      <c r="G14816" s="12" t="s">
        <v>46</v>
      </c>
      <c r="H14816" s="11" t="s">
        <v>22</v>
      </c>
      <c r="I14816" s="13" t="s">
        <v>28932</v>
      </c>
      <c r="J14816" s="14" t="str">
        <f>HYPERLINK("https://www.boe.es/gazeta/dias/1839/01/02/pdfs/GMD-1839-1509.pdf#page=3","Abrir facsímil")</f>
        <v>Abrir facsímil</v>
      </c>
      <c r="K14816" s="12" t="s">
        <v>24</v>
      </c>
    </row>
    <row r="14817" spans="1:11" ht="40.049999999999997" customHeight="1" x14ac:dyDescent="0.25">
      <c r="A14817" s="11" t="s">
        <v>28933</v>
      </c>
      <c r="B14817" s="11" t="s">
        <v>28934</v>
      </c>
      <c r="C14817" s="11" t="s">
        <v>17</v>
      </c>
      <c r="D14817" s="11" t="s">
        <v>18</v>
      </c>
      <c r="E14817" s="12" t="s">
        <v>116</v>
      </c>
      <c r="F14817" s="12" t="s">
        <v>117</v>
      </c>
      <c r="G14817" s="12" t="s">
        <v>21</v>
      </c>
      <c r="H14817" s="11" t="s">
        <v>63</v>
      </c>
      <c r="I14817" s="13" t="s">
        <v>28935</v>
      </c>
      <c r="J14817" s="14" t="str">
        <f>HYPERLINK("https://www.boe.es/gazeta/dias/1839/10/10/pdfs/GMD-1839-1796.pdf#page=4","Abrir facsímil")</f>
        <v>Abrir facsímil</v>
      </c>
      <c r="K14817" s="12" t="s">
        <v>65</v>
      </c>
    </row>
    <row r="14818" spans="1:11" ht="40.049999999999997" customHeight="1" x14ac:dyDescent="0.25">
      <c r="A14818" s="11" t="s">
        <v>28936</v>
      </c>
      <c r="B14818" s="11" t="s">
        <v>28936</v>
      </c>
      <c r="C14818" s="11" t="s">
        <v>101</v>
      </c>
      <c r="D14818" s="11" t="s">
        <v>102</v>
      </c>
      <c r="E14818" s="12" t="s">
        <v>2210</v>
      </c>
      <c r="F14818" s="12" t="s">
        <v>2211</v>
      </c>
      <c r="G14818" s="12" t="s">
        <v>40</v>
      </c>
      <c r="H14818" s="11" t="s">
        <v>63</v>
      </c>
      <c r="I14818" s="13" t="s">
        <v>28937</v>
      </c>
      <c r="J14818" s="14" t="str">
        <f>HYPERLINK("https://www.boe.es/gazeta/dias/1839/09/05/pdfs/GMD-1839-1758.pdf#page=2","Abrir facsímil")</f>
        <v>Abrir facsímil</v>
      </c>
      <c r="K14818" s="12" t="s">
        <v>65</v>
      </c>
    </row>
    <row r="14819" spans="1:11" ht="40.049999999999997" customHeight="1" x14ac:dyDescent="0.25">
      <c r="A14819" s="11" t="s">
        <v>28938</v>
      </c>
      <c r="B14819" s="11" t="s">
        <v>28939</v>
      </c>
      <c r="C14819" s="11" t="s">
        <v>17</v>
      </c>
      <c r="D14819" s="11" t="s">
        <v>18</v>
      </c>
      <c r="E14819" s="12" t="s">
        <v>258</v>
      </c>
      <c r="F14819" s="12" t="s">
        <v>259</v>
      </c>
      <c r="G14819" s="12" t="s">
        <v>21</v>
      </c>
      <c r="H14819" s="11" t="s">
        <v>63</v>
      </c>
      <c r="I14819" s="13" t="s">
        <v>28940</v>
      </c>
      <c r="J14819" s="14" t="str">
        <f>HYPERLINK("https://www.boe.es/gazeta/dias/1839/01/02/pdfs/GMD-1839-1509.pdf#page=4","Abrir facsímil")</f>
        <v>Abrir facsímil</v>
      </c>
      <c r="K14819" s="12" t="s">
        <v>65</v>
      </c>
    </row>
    <row r="14820" spans="1:11" ht="40.049999999999997" customHeight="1" x14ac:dyDescent="0.25">
      <c r="A14820" s="11" t="s">
        <v>28941</v>
      </c>
      <c r="B14820" s="11" t="s">
        <v>28941</v>
      </c>
      <c r="C14820" s="11" t="s">
        <v>101</v>
      </c>
      <c r="D14820" s="11" t="s">
        <v>43</v>
      </c>
      <c r="E14820" s="12" t="s">
        <v>798</v>
      </c>
      <c r="F14820" s="12" t="s">
        <v>799</v>
      </c>
      <c r="G14820" s="12" t="s">
        <v>29</v>
      </c>
      <c r="H14820" s="11" t="s">
        <v>63</v>
      </c>
      <c r="I14820" s="13" t="s">
        <v>28942</v>
      </c>
      <c r="J14820" s="14" t="str">
        <f>HYPERLINK("https://www.boe.es/gazeta/dias/1839/09/03/pdfs/GMD-1839-1755.pdf#page=1","Abrir facsímil")</f>
        <v>Abrir facsímil</v>
      </c>
      <c r="K14820" s="12" t="s">
        <v>65</v>
      </c>
    </row>
    <row r="14821" spans="1:11" ht="40.049999999999997" customHeight="1" x14ac:dyDescent="0.25">
      <c r="A14821" s="11" t="s">
        <v>28941</v>
      </c>
      <c r="B14821" s="11" t="s">
        <v>28941</v>
      </c>
      <c r="C14821" s="11" t="s">
        <v>59</v>
      </c>
      <c r="D14821" s="11" t="s">
        <v>60</v>
      </c>
      <c r="E14821" s="12" t="s">
        <v>2449</v>
      </c>
      <c r="F14821" s="12" t="s">
        <v>2450</v>
      </c>
      <c r="G14821" s="12" t="s">
        <v>40</v>
      </c>
      <c r="H14821" s="11" t="s">
        <v>63</v>
      </c>
      <c r="I14821" s="13" t="s">
        <v>28943</v>
      </c>
      <c r="J14821" s="14" t="str">
        <f>HYPERLINK("https://www.boe.es/gazeta/dias/1839/12/11/pdfs/GMD-1839-1858.pdf#page=2","Abrir facsímil")</f>
        <v>Abrir facsímil</v>
      </c>
      <c r="K14821" s="12" t="s">
        <v>65</v>
      </c>
    </row>
    <row r="14822" spans="1:11" ht="40.049999999999997" customHeight="1" x14ac:dyDescent="0.25">
      <c r="A14822" s="11" t="s">
        <v>28944</v>
      </c>
      <c r="B14822" s="11" t="s">
        <v>28944</v>
      </c>
      <c r="C14822" s="11" t="s">
        <v>101</v>
      </c>
      <c r="D14822" s="11" t="s">
        <v>43</v>
      </c>
      <c r="E14822" s="12" t="s">
        <v>862</v>
      </c>
      <c r="F14822" s="12" t="s">
        <v>863</v>
      </c>
      <c r="G14822" s="12" t="s">
        <v>566</v>
      </c>
      <c r="H14822" s="11" t="s">
        <v>22</v>
      </c>
      <c r="I14822" s="13" t="s">
        <v>28945</v>
      </c>
      <c r="J14822" s="14" t="str">
        <f>HYPERLINK("https://www.boe.es/gazeta/dias/1839/10/28/pdfs/GMD-1839-1814.pdf#page=5","Abrir facsímil")</f>
        <v>Abrir facsímil</v>
      </c>
      <c r="K14822" s="12" t="s">
        <v>24</v>
      </c>
    </row>
    <row r="14823" spans="1:11" ht="40.049999999999997" customHeight="1" x14ac:dyDescent="0.25">
      <c r="A14823" s="11" t="s">
        <v>28941</v>
      </c>
      <c r="B14823" s="11" t="s">
        <v>28941</v>
      </c>
      <c r="C14823" s="11" t="s">
        <v>17</v>
      </c>
      <c r="D14823" s="11" t="s">
        <v>18</v>
      </c>
      <c r="E14823" s="12" t="s">
        <v>653</v>
      </c>
      <c r="F14823" s="12" t="s">
        <v>654</v>
      </c>
      <c r="G14823" s="12" t="s">
        <v>40</v>
      </c>
      <c r="H14823" s="11" t="s">
        <v>63</v>
      </c>
      <c r="I14823" s="13" t="s">
        <v>28946</v>
      </c>
      <c r="J14823" s="14" t="str">
        <f>HYPERLINK("https://www.boe.es/gazeta/dias/1839/10/31/pdfs/GMD-1839-1817.pdf#page=2","Abrir facsímil")</f>
        <v>Abrir facsímil</v>
      </c>
      <c r="K14823" s="12" t="s">
        <v>65</v>
      </c>
    </row>
    <row r="14824" spans="1:11" ht="40.049999999999997" customHeight="1" x14ac:dyDescent="0.25">
      <c r="A14824" s="11" t="s">
        <v>28941</v>
      </c>
      <c r="B14824" s="11" t="s">
        <v>28941</v>
      </c>
      <c r="C14824" s="11" t="s">
        <v>101</v>
      </c>
      <c r="D14824" s="11" t="s">
        <v>43</v>
      </c>
      <c r="E14824" s="12" t="s">
        <v>653</v>
      </c>
      <c r="F14824" s="12" t="s">
        <v>654</v>
      </c>
      <c r="G14824" s="12" t="s">
        <v>21</v>
      </c>
      <c r="H14824" s="11" t="s">
        <v>63</v>
      </c>
      <c r="I14824" s="13" t="s">
        <v>28947</v>
      </c>
      <c r="J14824" s="14" t="str">
        <f>HYPERLINK("https://www.boe.es/gazeta/dias/1839/10/31/pdfs/GMD-1839-1817.pdf#page=4","Abrir facsímil")</f>
        <v>Abrir facsímil</v>
      </c>
      <c r="K14824" s="12" t="s">
        <v>65</v>
      </c>
    </row>
    <row r="14825" spans="1:11" ht="40.049999999999997" customHeight="1" x14ac:dyDescent="0.25">
      <c r="A14825" s="11" t="s">
        <v>28948</v>
      </c>
      <c r="B14825" s="11" t="s">
        <v>28949</v>
      </c>
      <c r="C14825" s="11" t="s">
        <v>17</v>
      </c>
      <c r="D14825" s="11" t="s">
        <v>43</v>
      </c>
      <c r="E14825" s="12" t="s">
        <v>258</v>
      </c>
      <c r="F14825" s="12" t="s">
        <v>259</v>
      </c>
      <c r="G14825" s="12" t="s">
        <v>21</v>
      </c>
      <c r="H14825" s="11" t="s">
        <v>63</v>
      </c>
      <c r="I14825" s="13" t="s">
        <v>28950</v>
      </c>
      <c r="J14825" s="14" t="str">
        <f>HYPERLINK("https://www.boe.es/gazeta/dias/1839/01/02/pdfs/GMD-1839-1509.pdf#page=4","Abrir facsímil")</f>
        <v>Abrir facsímil</v>
      </c>
      <c r="K14825" s="12" t="s">
        <v>65</v>
      </c>
    </row>
    <row r="14826" spans="1:11" ht="40.049999999999997" customHeight="1" x14ac:dyDescent="0.25">
      <c r="A14826" s="11" t="s">
        <v>28951</v>
      </c>
      <c r="B14826" s="11" t="s">
        <v>28952</v>
      </c>
      <c r="C14826" s="11" t="s">
        <v>17</v>
      </c>
      <c r="D14826" s="11" t="s">
        <v>18</v>
      </c>
      <c r="E14826" s="12" t="s">
        <v>258</v>
      </c>
      <c r="F14826" s="12" t="s">
        <v>259</v>
      </c>
      <c r="G14826" s="12" t="s">
        <v>21</v>
      </c>
      <c r="H14826" s="11" t="s">
        <v>63</v>
      </c>
      <c r="I14826" s="13" t="s">
        <v>28953</v>
      </c>
      <c r="J14826" s="14" t="str">
        <f>HYPERLINK("https://www.boe.es/gazeta/dias/1839/01/02/pdfs/GMD-1839-1509.pdf#page=4","Abrir facsímil")</f>
        <v>Abrir facsímil</v>
      </c>
      <c r="K14826" s="12" t="s">
        <v>65</v>
      </c>
    </row>
    <row r="14827" spans="1:11" ht="40.049999999999997" customHeight="1" x14ac:dyDescent="0.25">
      <c r="A14827" s="11" t="s">
        <v>28954</v>
      </c>
      <c r="B14827" s="11" t="s">
        <v>28955</v>
      </c>
      <c r="C14827" s="11" t="s">
        <v>17</v>
      </c>
      <c r="D14827" s="11" t="s">
        <v>18</v>
      </c>
      <c r="E14827" s="12" t="s">
        <v>258</v>
      </c>
      <c r="F14827" s="12" t="s">
        <v>259</v>
      </c>
      <c r="G14827" s="12" t="s">
        <v>21</v>
      </c>
      <c r="H14827" s="11" t="s">
        <v>63</v>
      </c>
      <c r="I14827" s="13" t="s">
        <v>28956</v>
      </c>
      <c r="J14827" s="14" t="str">
        <f>HYPERLINK("https://www.boe.es/gazeta/dias/1839/01/02/pdfs/GMD-1839-1509.pdf#page=4","Abrir facsímil")</f>
        <v>Abrir facsímil</v>
      </c>
      <c r="K14827" s="12" t="s">
        <v>65</v>
      </c>
    </row>
    <row r="14828" spans="1:11" ht="40.049999999999997" customHeight="1" x14ac:dyDescent="0.25">
      <c r="A14828" s="11" t="s">
        <v>28957</v>
      </c>
      <c r="B14828" s="11" t="s">
        <v>28958</v>
      </c>
      <c r="C14828" s="11" t="s">
        <v>17</v>
      </c>
      <c r="D14828" s="11" t="s">
        <v>43</v>
      </c>
      <c r="E14828" s="12" t="s">
        <v>258</v>
      </c>
      <c r="F14828" s="12" t="s">
        <v>259</v>
      </c>
      <c r="G14828" s="12" t="s">
        <v>21</v>
      </c>
      <c r="H14828" s="11" t="s">
        <v>63</v>
      </c>
      <c r="I14828" s="13" t="s">
        <v>28959</v>
      </c>
      <c r="J14828" s="14" t="str">
        <f>HYPERLINK("https://www.boe.es/gazeta/dias/1839/01/02/pdfs/GMD-1839-1509.pdf#page=4","Abrir facsímil")</f>
        <v>Abrir facsímil</v>
      </c>
      <c r="K14828" s="12" t="s">
        <v>65</v>
      </c>
    </row>
    <row r="14829" spans="1:11" ht="40.049999999999997" customHeight="1" x14ac:dyDescent="0.25">
      <c r="A14829" s="11" t="s">
        <v>28960</v>
      </c>
      <c r="B14829" s="11" t="s">
        <v>28960</v>
      </c>
      <c r="C14829" s="11" t="s">
        <v>17</v>
      </c>
      <c r="D14829" s="11" t="s">
        <v>18</v>
      </c>
      <c r="E14829" s="12" t="s">
        <v>821</v>
      </c>
      <c r="F14829" s="12" t="s">
        <v>822</v>
      </c>
      <c r="G14829" s="12" t="s">
        <v>29</v>
      </c>
      <c r="H14829" s="11" t="s">
        <v>63</v>
      </c>
      <c r="I14829" s="13" t="s">
        <v>28961</v>
      </c>
      <c r="J14829" s="14" t="str">
        <f>HYPERLINK("https://www.boe.es/gazeta/dias/1839/09/20/pdfs/GMD-1839-1775.pdf#page=1","Abrir facsímil")</f>
        <v>Abrir facsímil</v>
      </c>
      <c r="K14829" s="12" t="s">
        <v>65</v>
      </c>
    </row>
    <row r="14830" spans="1:11" ht="40.049999999999997" customHeight="1" x14ac:dyDescent="0.25">
      <c r="A14830" s="11" t="s">
        <v>28962</v>
      </c>
      <c r="B14830" s="11" t="s">
        <v>28962</v>
      </c>
      <c r="C14830" s="11" t="s">
        <v>17</v>
      </c>
      <c r="D14830" s="11" t="s">
        <v>18</v>
      </c>
      <c r="E14830" s="12" t="s">
        <v>1057</v>
      </c>
      <c r="F14830" s="12" t="s">
        <v>1058</v>
      </c>
      <c r="G14830" s="12" t="s">
        <v>21</v>
      </c>
      <c r="H14830" s="11" t="s">
        <v>22</v>
      </c>
      <c r="I14830" s="13" t="s">
        <v>28963</v>
      </c>
      <c r="J14830" s="14" t="str">
        <f>HYPERLINK("https://www.boe.es/gazeta/dias/1839/10/01/pdfs/GMD-1839-1787.pdf#page=4","Abrir facsímil")</f>
        <v>Abrir facsímil</v>
      </c>
      <c r="K14830" s="12" t="s">
        <v>24</v>
      </c>
    </row>
    <row r="14831" spans="1:11" ht="40.049999999999997" customHeight="1" x14ac:dyDescent="0.25">
      <c r="A14831" s="11" t="s">
        <v>28964</v>
      </c>
      <c r="B14831" s="11" t="s">
        <v>28965</v>
      </c>
      <c r="C14831" s="11" t="s">
        <v>17</v>
      </c>
      <c r="D14831" s="11" t="s">
        <v>18</v>
      </c>
      <c r="E14831" s="12" t="s">
        <v>592</v>
      </c>
      <c r="F14831" s="12" t="s">
        <v>593</v>
      </c>
      <c r="G14831" s="12" t="s">
        <v>29</v>
      </c>
      <c r="H14831" s="11" t="s">
        <v>63</v>
      </c>
      <c r="I14831" s="13" t="s">
        <v>28966</v>
      </c>
      <c r="J14831" s="14" t="str">
        <f>HYPERLINK("https://www.boe.es/gazeta/dias/1839/09/14/pdfs/GMD-1839-1767.pdf#page=1","Abrir facsímil")</f>
        <v>Abrir facsímil</v>
      </c>
      <c r="K14831" s="12" t="s">
        <v>65</v>
      </c>
    </row>
    <row r="14832" spans="1:11" ht="40.049999999999997" customHeight="1" x14ac:dyDescent="0.25">
      <c r="A14832" s="11" t="s">
        <v>28967</v>
      </c>
      <c r="B14832" s="11" t="s">
        <v>28968</v>
      </c>
      <c r="C14832" s="11" t="s">
        <v>80</v>
      </c>
      <c r="D14832" s="11" t="s">
        <v>18</v>
      </c>
      <c r="E14832" s="12" t="s">
        <v>1019</v>
      </c>
      <c r="F14832" s="12" t="s">
        <v>1020</v>
      </c>
      <c r="G14832" s="12" t="s">
        <v>40</v>
      </c>
      <c r="H14832" s="11" t="s">
        <v>63</v>
      </c>
      <c r="I14832" s="13" t="s">
        <v>28969</v>
      </c>
      <c r="J14832" s="14" t="str">
        <f>HYPERLINK("https://www.boe.es/gazeta/dias/1839/07/15/pdfs/GMD-1839-1703.pdf#page=2","Abrir facsímil")</f>
        <v>Abrir facsímil</v>
      </c>
      <c r="K14832" s="12" t="s">
        <v>65</v>
      </c>
    </row>
    <row r="14833" spans="1:11" ht="40.049999999999997" customHeight="1" x14ac:dyDescent="0.25">
      <c r="A14833" s="11" t="s">
        <v>28970</v>
      </c>
      <c r="B14833" s="11" t="s">
        <v>28971</v>
      </c>
      <c r="C14833" s="11" t="s">
        <v>17</v>
      </c>
      <c r="D14833" s="11" t="s">
        <v>18</v>
      </c>
      <c r="E14833" s="12" t="s">
        <v>489</v>
      </c>
      <c r="F14833" s="12" t="s">
        <v>490</v>
      </c>
      <c r="G14833" s="12" t="s">
        <v>46</v>
      </c>
      <c r="H14833" s="11" t="s">
        <v>63</v>
      </c>
      <c r="I14833" s="13" t="s">
        <v>28972</v>
      </c>
      <c r="J14833" s="14" t="str">
        <f>HYPERLINK("https://www.boe.es/gazeta/dias/1839/06/29/pdfs/GMD-1839-1687.pdf#page=3","Abrir facsímil")</f>
        <v>Abrir facsímil</v>
      </c>
      <c r="K14833" s="12" t="s">
        <v>65</v>
      </c>
    </row>
    <row r="14834" spans="1:11" ht="40.049999999999997" customHeight="1" x14ac:dyDescent="0.25">
      <c r="A14834" s="11" t="s">
        <v>28973</v>
      </c>
      <c r="B14834" s="11" t="s">
        <v>28973</v>
      </c>
      <c r="C14834" s="11" t="s">
        <v>101</v>
      </c>
      <c r="D14834" s="11" t="s">
        <v>43</v>
      </c>
      <c r="E14834" s="12" t="s">
        <v>2962</v>
      </c>
      <c r="F14834" s="12" t="s">
        <v>2963</v>
      </c>
      <c r="G14834" s="12" t="s">
        <v>21</v>
      </c>
      <c r="H14834" s="11" t="s">
        <v>63</v>
      </c>
      <c r="I14834" s="13" t="s">
        <v>28974</v>
      </c>
      <c r="J14834" s="14" t="str">
        <f>HYPERLINK("https://www.boe.es/gazeta/dias/1839/12/21/pdfs/GMD-1839-1868.pdf#page=4","Abrir facsímil")</f>
        <v>Abrir facsímil</v>
      </c>
      <c r="K14834" s="12" t="s">
        <v>65</v>
      </c>
    </row>
    <row r="14835" spans="1:11" ht="40.049999999999997" customHeight="1" x14ac:dyDescent="0.25">
      <c r="A14835" s="11" t="s">
        <v>28975</v>
      </c>
      <c r="B14835" s="11" t="s">
        <v>28975</v>
      </c>
      <c r="C14835" s="11" t="s">
        <v>80</v>
      </c>
      <c r="D14835" s="11" t="s">
        <v>18</v>
      </c>
      <c r="E14835" s="12" t="s">
        <v>4463</v>
      </c>
      <c r="F14835" s="12" t="s">
        <v>4464</v>
      </c>
      <c r="G14835" s="12" t="s">
        <v>21</v>
      </c>
      <c r="H14835" s="11" t="s">
        <v>63</v>
      </c>
      <c r="I14835" s="13" t="s">
        <v>28976</v>
      </c>
      <c r="J14835" s="14" t="str">
        <f>HYPERLINK("https://www.boe.es/gazeta/dias/1839/08/28/pdfs/GMD-1839-1749.pdf#page=4","Abrir facsímil")</f>
        <v>Abrir facsímil</v>
      </c>
      <c r="K14835" s="12" t="s">
        <v>65</v>
      </c>
    </row>
    <row r="14836" spans="1:11" ht="40.049999999999997" customHeight="1" x14ac:dyDescent="0.25">
      <c r="A14836" s="11" t="s">
        <v>28977</v>
      </c>
      <c r="B14836" s="11" t="s">
        <v>28978</v>
      </c>
      <c r="C14836" s="11" t="s">
        <v>17</v>
      </c>
      <c r="D14836" s="11" t="s">
        <v>18</v>
      </c>
      <c r="E14836" s="12" t="s">
        <v>1685</v>
      </c>
      <c r="F14836" s="12" t="s">
        <v>1686</v>
      </c>
      <c r="G14836" s="12" t="s">
        <v>29</v>
      </c>
      <c r="H14836" s="11" t="s">
        <v>63</v>
      </c>
      <c r="I14836" s="13" t="s">
        <v>28979</v>
      </c>
      <c r="J14836" s="14" t="str">
        <f>HYPERLINK("https://www.boe.es/gazeta/dias/1839/04/27/pdfs/GMD-1839-1624.pdf#page=1","Abrir facsímil")</f>
        <v>Abrir facsímil</v>
      </c>
      <c r="K14836" s="12" t="s">
        <v>65</v>
      </c>
    </row>
    <row r="14837" spans="1:11" ht="40.049999999999997" customHeight="1" x14ac:dyDescent="0.25">
      <c r="A14837" s="11" t="s">
        <v>28980</v>
      </c>
      <c r="B14837" s="11" t="s">
        <v>28981</v>
      </c>
      <c r="C14837" s="11" t="s">
        <v>17</v>
      </c>
      <c r="D14837" s="11" t="s">
        <v>18</v>
      </c>
      <c r="E14837" s="12" t="s">
        <v>1391</v>
      </c>
      <c r="F14837" s="12" t="s">
        <v>1392</v>
      </c>
      <c r="G14837" s="12" t="s">
        <v>29</v>
      </c>
      <c r="H14837" s="11" t="s">
        <v>22</v>
      </c>
      <c r="I14837" s="13" t="s">
        <v>28982</v>
      </c>
      <c r="J14837" s="14" t="str">
        <f>HYPERLINK("https://www.boe.es/gazeta/dias/1839/05/12/pdfs/GMD-1839-1639.pdf#page=1","Abrir facsímil")</f>
        <v>Abrir facsímil</v>
      </c>
      <c r="K14837" s="12" t="s">
        <v>24</v>
      </c>
    </row>
    <row r="14838" spans="1:11" ht="40.049999999999997" customHeight="1" x14ac:dyDescent="0.25">
      <c r="A14838" s="11" t="s">
        <v>28983</v>
      </c>
      <c r="B14838" s="11" t="s">
        <v>28984</v>
      </c>
      <c r="C14838" s="11" t="s">
        <v>17</v>
      </c>
      <c r="D14838" s="11" t="s">
        <v>18</v>
      </c>
      <c r="E14838" s="12" t="s">
        <v>1072</v>
      </c>
      <c r="F14838" s="12" t="s">
        <v>1073</v>
      </c>
      <c r="G14838" s="12" t="s">
        <v>21</v>
      </c>
      <c r="H14838" s="11" t="s">
        <v>22</v>
      </c>
      <c r="I14838" s="13" t="s">
        <v>28985</v>
      </c>
      <c r="J14838" s="14" t="str">
        <f>HYPERLINK("https://www.boe.es/gazeta/dias/1839/01/18/pdfs/GMD-1839-1525.pdf#page=4","Abrir facsímil")</f>
        <v>Abrir facsímil</v>
      </c>
      <c r="K14838" s="12" t="s">
        <v>24</v>
      </c>
    </row>
    <row r="14839" spans="1:11" ht="40.049999999999997" customHeight="1" x14ac:dyDescent="0.25">
      <c r="A14839" s="11" t="s">
        <v>28986</v>
      </c>
      <c r="B14839" s="11" t="s">
        <v>28987</v>
      </c>
      <c r="C14839" s="11" t="s">
        <v>17</v>
      </c>
      <c r="D14839" s="11" t="s">
        <v>18</v>
      </c>
      <c r="E14839" s="12" t="s">
        <v>1772</v>
      </c>
      <c r="F14839" s="12" t="s">
        <v>1773</v>
      </c>
      <c r="G14839" s="12" t="s">
        <v>29</v>
      </c>
      <c r="H14839" s="11" t="s">
        <v>63</v>
      </c>
      <c r="I14839" s="13" t="s">
        <v>28988</v>
      </c>
      <c r="J14839" s="14" t="str">
        <f>HYPERLINK("https://www.boe.es/gazeta/dias/1839/05/07/pdfs/GMD-1839-1634.pdf#page=1","Abrir facsímil")</f>
        <v>Abrir facsímil</v>
      </c>
      <c r="K14839" s="12" t="s">
        <v>65</v>
      </c>
    </row>
    <row r="14840" spans="1:11" ht="40.049999999999997" customHeight="1" x14ac:dyDescent="0.25">
      <c r="A14840" s="11" t="s">
        <v>28989</v>
      </c>
      <c r="B14840" s="11" t="s">
        <v>28990</v>
      </c>
      <c r="C14840" s="11" t="s">
        <v>17</v>
      </c>
      <c r="D14840" s="11" t="s">
        <v>18</v>
      </c>
      <c r="E14840" s="12" t="s">
        <v>756</v>
      </c>
      <c r="F14840" s="12" t="s">
        <v>757</v>
      </c>
      <c r="G14840" s="12" t="s">
        <v>21</v>
      </c>
      <c r="H14840" s="11" t="s">
        <v>63</v>
      </c>
      <c r="I14840" s="13" t="s">
        <v>28991</v>
      </c>
      <c r="J14840" s="14" t="str">
        <f>HYPERLINK("https://www.boe.es/gazeta/dias/1839/12/17/pdfs/GMD-1839-1864.pdf#page=4","Abrir facsímil")</f>
        <v>Abrir facsímil</v>
      </c>
      <c r="K14840" s="12" t="s">
        <v>65</v>
      </c>
    </row>
    <row r="14841" spans="1:11" ht="40.049999999999997" customHeight="1" x14ac:dyDescent="0.25">
      <c r="A14841" s="11" t="s">
        <v>28992</v>
      </c>
      <c r="B14841" s="11" t="s">
        <v>28993</v>
      </c>
      <c r="C14841" s="11" t="s">
        <v>17</v>
      </c>
      <c r="D14841" s="11" t="s">
        <v>18</v>
      </c>
      <c r="E14841" s="12" t="s">
        <v>266</v>
      </c>
      <c r="F14841" s="12" t="s">
        <v>267</v>
      </c>
      <c r="G14841" s="12" t="s">
        <v>29</v>
      </c>
      <c r="H14841" s="11" t="s">
        <v>63</v>
      </c>
      <c r="I14841" s="13" t="s">
        <v>28994</v>
      </c>
      <c r="J14841" s="14" t="str">
        <f>HYPERLINK("https://www.boe.es/gazeta/dias/1839/01/03/pdfs/GMD-1839-1510.pdf#page=1","Abrir facsímil")</f>
        <v>Abrir facsímil</v>
      </c>
      <c r="K14841" s="12" t="s">
        <v>65</v>
      </c>
    </row>
    <row r="14842" spans="1:11" ht="40.049999999999997" customHeight="1" x14ac:dyDescent="0.25">
      <c r="A14842" s="11" t="s">
        <v>28995</v>
      </c>
      <c r="B14842" s="11" t="s">
        <v>28996</v>
      </c>
      <c r="C14842" s="11" t="s">
        <v>80</v>
      </c>
      <c r="D14842" s="11" t="s">
        <v>18</v>
      </c>
      <c r="E14842" s="12" t="s">
        <v>266</v>
      </c>
      <c r="F14842" s="12" t="s">
        <v>267</v>
      </c>
      <c r="G14842" s="12" t="s">
        <v>29</v>
      </c>
      <c r="H14842" s="11" t="s">
        <v>63</v>
      </c>
      <c r="I14842" s="13" t="s">
        <v>28997</v>
      </c>
      <c r="J14842" s="14" t="str">
        <f>HYPERLINK("https://www.boe.es/gazeta/dias/1839/01/03/pdfs/GMD-1839-1510.pdf#page=1","Abrir facsímil")</f>
        <v>Abrir facsímil</v>
      </c>
      <c r="K14842" s="12" t="s">
        <v>65</v>
      </c>
    </row>
    <row r="14843" spans="1:11" ht="40.049999999999997" customHeight="1" x14ac:dyDescent="0.25">
      <c r="A14843" s="11" t="s">
        <v>28998</v>
      </c>
      <c r="B14843" s="11" t="s">
        <v>28999</v>
      </c>
      <c r="C14843" s="11" t="s">
        <v>17</v>
      </c>
      <c r="D14843" s="11" t="s">
        <v>18</v>
      </c>
      <c r="E14843" s="12" t="s">
        <v>1310</v>
      </c>
      <c r="F14843" s="12" t="s">
        <v>1311</v>
      </c>
      <c r="G14843" s="12" t="s">
        <v>40</v>
      </c>
      <c r="H14843" s="11" t="s">
        <v>63</v>
      </c>
      <c r="I14843" s="13" t="s">
        <v>29000</v>
      </c>
      <c r="J14843" s="14" t="str">
        <f>HYPERLINK("https://www.boe.es/gazeta/dias/1839/04/23/pdfs/GMD-1839-1620.pdf#page=2","Abrir facsímil")</f>
        <v>Abrir facsímil</v>
      </c>
      <c r="K14843" s="12" t="s">
        <v>65</v>
      </c>
    </row>
    <row r="14844" spans="1:11" ht="40.049999999999997" customHeight="1" x14ac:dyDescent="0.25">
      <c r="A14844" s="11" t="s">
        <v>29001</v>
      </c>
      <c r="B14844" s="11" t="s">
        <v>29001</v>
      </c>
      <c r="C14844" s="11" t="s">
        <v>17</v>
      </c>
      <c r="D14844" s="11" t="s">
        <v>18</v>
      </c>
      <c r="E14844" s="12" t="s">
        <v>798</v>
      </c>
      <c r="F14844" s="12" t="s">
        <v>799</v>
      </c>
      <c r="G14844" s="12" t="s">
        <v>29</v>
      </c>
      <c r="H14844" s="11" t="s">
        <v>63</v>
      </c>
      <c r="I14844" s="13" t="s">
        <v>29002</v>
      </c>
      <c r="J14844" s="14" t="str">
        <f>HYPERLINK("https://www.boe.es/gazeta/dias/1839/09/03/pdfs/GMD-1839-1755.pdf#page=1","Abrir facsímil")</f>
        <v>Abrir facsímil</v>
      </c>
      <c r="K14844" s="12" t="s">
        <v>65</v>
      </c>
    </row>
    <row r="14845" spans="1:11" ht="40.049999999999997" customHeight="1" x14ac:dyDescent="0.25">
      <c r="A14845" s="11" t="s">
        <v>29001</v>
      </c>
      <c r="B14845" s="11" t="s">
        <v>29001</v>
      </c>
      <c r="C14845" s="11" t="s">
        <v>17</v>
      </c>
      <c r="D14845" s="11" t="s">
        <v>18</v>
      </c>
      <c r="E14845" s="12" t="s">
        <v>2165</v>
      </c>
      <c r="F14845" s="12" t="s">
        <v>2166</v>
      </c>
      <c r="G14845" s="12" t="s">
        <v>40</v>
      </c>
      <c r="H14845" s="11" t="s">
        <v>63</v>
      </c>
      <c r="I14845" s="13" t="s">
        <v>29003</v>
      </c>
      <c r="J14845" s="14" t="str">
        <f>HYPERLINK("https://www.boe.es/gazeta/dias/1839/01/06/pdfs/GMD-1839-1513.pdf#page=2","Abrir facsímil")</f>
        <v>Abrir facsímil</v>
      </c>
      <c r="K14845" s="12" t="s">
        <v>65</v>
      </c>
    </row>
    <row r="14846" spans="1:11" ht="40.049999999999997" customHeight="1" x14ac:dyDescent="0.25">
      <c r="A14846" s="11" t="s">
        <v>29001</v>
      </c>
      <c r="B14846" s="11" t="s">
        <v>29001</v>
      </c>
      <c r="C14846" s="11" t="s">
        <v>59</v>
      </c>
      <c r="D14846" s="11" t="s">
        <v>60</v>
      </c>
      <c r="E14846" s="12" t="s">
        <v>821</v>
      </c>
      <c r="F14846" s="12" t="s">
        <v>822</v>
      </c>
      <c r="G14846" s="12" t="s">
        <v>40</v>
      </c>
      <c r="H14846" s="11" t="s">
        <v>63</v>
      </c>
      <c r="I14846" s="13" t="s">
        <v>29004</v>
      </c>
      <c r="J14846" s="14" t="str">
        <f>HYPERLINK("https://www.boe.es/gazeta/dias/1839/09/20/pdfs/GMD-1839-1775.pdf#page=2","Abrir facsímil")</f>
        <v>Abrir facsímil</v>
      </c>
      <c r="K14846" s="12" t="s">
        <v>65</v>
      </c>
    </row>
    <row r="14847" spans="1:11" ht="40.049999999999997" customHeight="1" x14ac:dyDescent="0.25">
      <c r="A14847" s="11" t="s">
        <v>29001</v>
      </c>
      <c r="B14847" s="11" t="s">
        <v>29001</v>
      </c>
      <c r="C14847" s="11" t="s">
        <v>17</v>
      </c>
      <c r="D14847" s="11" t="s">
        <v>18</v>
      </c>
      <c r="E14847" s="12" t="s">
        <v>1108</v>
      </c>
      <c r="F14847" s="12" t="s">
        <v>1109</v>
      </c>
      <c r="G14847" s="12" t="s">
        <v>40</v>
      </c>
      <c r="H14847" s="11" t="s">
        <v>63</v>
      </c>
      <c r="I14847" s="13" t="s">
        <v>29005</v>
      </c>
      <c r="J14847" s="14" t="str">
        <f>HYPERLINK("https://www.boe.es/gazeta/dias/1839/09/21/pdfs/GMD-1839-1776.pdf#page=2","Abrir facsímil")</f>
        <v>Abrir facsímil</v>
      </c>
      <c r="K14847" s="12" t="s">
        <v>65</v>
      </c>
    </row>
    <row r="14848" spans="1:11" ht="40.049999999999997" customHeight="1" x14ac:dyDescent="0.25">
      <c r="A14848" s="11" t="s">
        <v>29001</v>
      </c>
      <c r="B14848" s="11" t="s">
        <v>29001</v>
      </c>
      <c r="C14848" s="11" t="s">
        <v>17</v>
      </c>
      <c r="D14848" s="11" t="s">
        <v>18</v>
      </c>
      <c r="E14848" s="12" t="s">
        <v>1012</v>
      </c>
      <c r="F14848" s="12" t="s">
        <v>1013</v>
      </c>
      <c r="G14848" s="12" t="s">
        <v>46</v>
      </c>
      <c r="H14848" s="11" t="s">
        <v>63</v>
      </c>
      <c r="I14848" s="13" t="s">
        <v>29006</v>
      </c>
      <c r="J14848" s="14" t="str">
        <f>HYPERLINK("https://www.boe.es/gazeta/dias/1839/11/22/pdfs/GMD-1839-1839.pdf#page=3","Abrir facsímil")</f>
        <v>Abrir facsímil</v>
      </c>
      <c r="K14848" s="12" t="s">
        <v>65</v>
      </c>
    </row>
    <row r="14849" spans="1:11" ht="40.049999999999997" customHeight="1" x14ac:dyDescent="0.25">
      <c r="A14849" s="11" t="s">
        <v>29001</v>
      </c>
      <c r="B14849" s="11" t="s">
        <v>29001</v>
      </c>
      <c r="C14849" s="11" t="s">
        <v>17</v>
      </c>
      <c r="D14849" s="11" t="s">
        <v>18</v>
      </c>
      <c r="E14849" s="12" t="s">
        <v>276</v>
      </c>
      <c r="F14849" s="12" t="s">
        <v>277</v>
      </c>
      <c r="G14849" s="12" t="s">
        <v>46</v>
      </c>
      <c r="H14849" s="11" t="s">
        <v>63</v>
      </c>
      <c r="I14849" s="13" t="s">
        <v>29007</v>
      </c>
      <c r="J14849" s="14" t="str">
        <f>HYPERLINK("https://www.boe.es/gazeta/dias/1839/09/24/pdfs/GMD-1839-1780.pdf#page=3","Abrir facsímil")</f>
        <v>Abrir facsímil</v>
      </c>
      <c r="K14849" s="12" t="s">
        <v>65</v>
      </c>
    </row>
    <row r="14850" spans="1:11" ht="40.049999999999997" customHeight="1" x14ac:dyDescent="0.25">
      <c r="A14850" s="11" t="s">
        <v>29008</v>
      </c>
      <c r="B14850" s="11" t="s">
        <v>29009</v>
      </c>
      <c r="C14850" s="11" t="s">
        <v>17</v>
      </c>
      <c r="D14850" s="11" t="s">
        <v>18</v>
      </c>
      <c r="E14850" s="12" t="s">
        <v>1086</v>
      </c>
      <c r="F14850" s="12" t="s">
        <v>1087</v>
      </c>
      <c r="G14850" s="12" t="s">
        <v>40</v>
      </c>
      <c r="H14850" s="11" t="s">
        <v>63</v>
      </c>
      <c r="I14850" s="13" t="s">
        <v>29010</v>
      </c>
      <c r="J14850" s="14" t="str">
        <f>HYPERLINK("https://www.boe.es/gazeta/dias/1839/10/26/pdfs/GMD-1839-1812.pdf#page=2","Abrir facsímil")</f>
        <v>Abrir facsímil</v>
      </c>
      <c r="K14850" s="12" t="s">
        <v>65</v>
      </c>
    </row>
    <row r="14851" spans="1:11" ht="40.049999999999997" customHeight="1" x14ac:dyDescent="0.25">
      <c r="A14851" s="11" t="s">
        <v>29011</v>
      </c>
      <c r="B14851" s="11" t="s">
        <v>29012</v>
      </c>
      <c r="C14851" s="11" t="s">
        <v>17</v>
      </c>
      <c r="D14851" s="11" t="s">
        <v>18</v>
      </c>
      <c r="E14851" s="12" t="s">
        <v>1909</v>
      </c>
      <c r="F14851" s="12" t="s">
        <v>1910</v>
      </c>
      <c r="G14851" s="12" t="s">
        <v>29</v>
      </c>
      <c r="H14851" s="11" t="s">
        <v>63</v>
      </c>
      <c r="I14851" s="13" t="s">
        <v>29013</v>
      </c>
      <c r="J14851" s="14" t="str">
        <f>HYPERLINK("https://www.boe.es/gazeta/dias/1839/10/27/pdfs/GMD-1839-1813.pdf#page=1","Abrir facsímil")</f>
        <v>Abrir facsímil</v>
      </c>
      <c r="K14851" s="12" t="s">
        <v>65</v>
      </c>
    </row>
    <row r="14852" spans="1:11" ht="40.049999999999997" customHeight="1" x14ac:dyDescent="0.25">
      <c r="A14852" s="11" t="s">
        <v>29014</v>
      </c>
      <c r="B14852" s="11" t="s">
        <v>29015</v>
      </c>
      <c r="C14852" s="11" t="s">
        <v>17</v>
      </c>
      <c r="D14852" s="11" t="s">
        <v>18</v>
      </c>
      <c r="E14852" s="12" t="s">
        <v>1236</v>
      </c>
      <c r="F14852" s="12" t="s">
        <v>1237</v>
      </c>
      <c r="G14852" s="12" t="s">
        <v>29</v>
      </c>
      <c r="H14852" s="11" t="s">
        <v>63</v>
      </c>
      <c r="I14852" s="13" t="s">
        <v>29016</v>
      </c>
      <c r="J14852" s="14" t="str">
        <f>HYPERLINK("https://www.boe.es/gazeta/dias/1839/10/16/pdfs/GMD-1839-1802.pdf#page=1","Abrir facsímil")</f>
        <v>Abrir facsímil</v>
      </c>
      <c r="K14852" s="12" t="s">
        <v>65</v>
      </c>
    </row>
    <row r="14853" spans="1:11" ht="40.049999999999997" customHeight="1" x14ac:dyDescent="0.25">
      <c r="A14853" s="11" t="s">
        <v>29017</v>
      </c>
      <c r="B14853" s="11" t="s">
        <v>29018</v>
      </c>
      <c r="C14853" s="11" t="s">
        <v>17</v>
      </c>
      <c r="D14853" s="11" t="s">
        <v>18</v>
      </c>
      <c r="E14853" s="12" t="s">
        <v>2069</v>
      </c>
      <c r="F14853" s="12" t="s">
        <v>2070</v>
      </c>
      <c r="G14853" s="12" t="s">
        <v>566</v>
      </c>
      <c r="H14853" s="11" t="s">
        <v>22</v>
      </c>
      <c r="I14853" s="13" t="s">
        <v>29019</v>
      </c>
      <c r="J14853" s="14" t="str">
        <f>HYPERLINK("https://www.boe.es/gazeta/dias/1839/10/20/pdfs/GMD-1839-1806.pdf#page=5","Abrir facsímil")</f>
        <v>Abrir facsímil</v>
      </c>
      <c r="K14853" s="12" t="s">
        <v>24</v>
      </c>
    </row>
    <row r="14854" spans="1:11" ht="40.049999999999997" customHeight="1" x14ac:dyDescent="0.25">
      <c r="A14854" s="11" t="s">
        <v>29014</v>
      </c>
      <c r="B14854" s="11" t="s">
        <v>29015</v>
      </c>
      <c r="C14854" s="11" t="s">
        <v>17</v>
      </c>
      <c r="D14854" s="11" t="s">
        <v>18</v>
      </c>
      <c r="E14854" s="12" t="s">
        <v>826</v>
      </c>
      <c r="F14854" s="12" t="s">
        <v>827</v>
      </c>
      <c r="G14854" s="12" t="s">
        <v>21</v>
      </c>
      <c r="H14854" s="11" t="s">
        <v>63</v>
      </c>
      <c r="I14854" s="13" t="s">
        <v>29020</v>
      </c>
      <c r="J14854" s="14" t="str">
        <f>HYPERLINK("https://www.boe.es/gazeta/dias/1839/09/25/pdfs/GMD-1839-1781.pdf#page=4","Abrir facsímil")</f>
        <v>Abrir facsímil</v>
      </c>
      <c r="K14854" s="12" t="s">
        <v>65</v>
      </c>
    </row>
    <row r="14855" spans="1:11" ht="40.049999999999997" customHeight="1" x14ac:dyDescent="0.25">
      <c r="A14855" s="11" t="s">
        <v>29021</v>
      </c>
      <c r="B14855" s="11" t="s">
        <v>29022</v>
      </c>
      <c r="C14855" s="11" t="s">
        <v>17</v>
      </c>
      <c r="D14855" s="11" t="s">
        <v>18</v>
      </c>
      <c r="E14855" s="12" t="s">
        <v>1144</v>
      </c>
      <c r="F14855" s="12" t="s">
        <v>1145</v>
      </c>
      <c r="G14855" s="12" t="s">
        <v>40</v>
      </c>
      <c r="H14855" s="11" t="s">
        <v>63</v>
      </c>
      <c r="I14855" s="13" t="s">
        <v>29023</v>
      </c>
      <c r="J14855" s="14" t="str">
        <f>HYPERLINK("https://www.boe.es/gazeta/dias/1839/08/13/pdfs/GMD-1839-1733.pdf#page=2","Abrir facsímil")</f>
        <v>Abrir facsímil</v>
      </c>
      <c r="K14855" s="12" t="s">
        <v>65</v>
      </c>
    </row>
    <row r="14856" spans="1:11" ht="40.049999999999997" customHeight="1" x14ac:dyDescent="0.25">
      <c r="A14856" s="11" t="s">
        <v>29024</v>
      </c>
      <c r="B14856" s="11" t="s">
        <v>29024</v>
      </c>
      <c r="C14856" s="11" t="s">
        <v>101</v>
      </c>
      <c r="D14856" s="11" t="s">
        <v>43</v>
      </c>
      <c r="E14856" s="12" t="s">
        <v>197</v>
      </c>
      <c r="F14856" s="12" t="s">
        <v>198</v>
      </c>
      <c r="G14856" s="12" t="s">
        <v>40</v>
      </c>
      <c r="H14856" s="11" t="s">
        <v>63</v>
      </c>
      <c r="I14856" s="13" t="s">
        <v>29025</v>
      </c>
      <c r="J14856" s="14" t="str">
        <f>HYPERLINK("https://www.boe.es/gazeta/dias/1839/10/04/pdfs/GMD-1839-1790.pdf#page=2","Abrir facsímil")</f>
        <v>Abrir facsímil</v>
      </c>
      <c r="K14856" s="12" t="s">
        <v>65</v>
      </c>
    </row>
    <row r="14857" spans="1:11" ht="40.049999999999997" customHeight="1" x14ac:dyDescent="0.25">
      <c r="A14857" s="11" t="s">
        <v>29024</v>
      </c>
      <c r="B14857" s="11" t="s">
        <v>29024</v>
      </c>
      <c r="C14857" s="11" t="s">
        <v>59</v>
      </c>
      <c r="D14857" s="11" t="s">
        <v>60</v>
      </c>
      <c r="E14857" s="12" t="s">
        <v>54</v>
      </c>
      <c r="F14857" s="12" t="s">
        <v>55</v>
      </c>
      <c r="G14857" s="12" t="s">
        <v>40</v>
      </c>
      <c r="H14857" s="11" t="s">
        <v>63</v>
      </c>
      <c r="I14857" s="13" t="s">
        <v>29026</v>
      </c>
      <c r="J14857" s="14" t="str">
        <f>HYPERLINK("https://www.boe.es/gazeta/dias/1839/10/05/pdfs/GMD-1839-1791.pdf#page=2","Abrir facsímil")</f>
        <v>Abrir facsímil</v>
      </c>
      <c r="K14857" s="12" t="s">
        <v>65</v>
      </c>
    </row>
    <row r="14858" spans="1:11" ht="40.049999999999997" customHeight="1" x14ac:dyDescent="0.25">
      <c r="A14858" s="11" t="s">
        <v>29024</v>
      </c>
      <c r="B14858" s="11" t="s">
        <v>29024</v>
      </c>
      <c r="C14858" s="11" t="s">
        <v>17</v>
      </c>
      <c r="D14858" s="11" t="s">
        <v>18</v>
      </c>
      <c r="E14858" s="12" t="s">
        <v>1236</v>
      </c>
      <c r="F14858" s="12" t="s">
        <v>1237</v>
      </c>
      <c r="G14858" s="12" t="s">
        <v>29</v>
      </c>
      <c r="H14858" s="11" t="s">
        <v>63</v>
      </c>
      <c r="I14858" s="13" t="s">
        <v>29027</v>
      </c>
      <c r="J14858" s="14" t="str">
        <f>HYPERLINK("https://www.boe.es/gazeta/dias/1839/10/16/pdfs/GMD-1839-1802.pdf#page=1","Abrir facsímil")</f>
        <v>Abrir facsímil</v>
      </c>
      <c r="K14858" s="12" t="s">
        <v>65</v>
      </c>
    </row>
    <row r="14859" spans="1:11" ht="40.049999999999997" customHeight="1" x14ac:dyDescent="0.25">
      <c r="A14859" s="11" t="s">
        <v>29028</v>
      </c>
      <c r="B14859" s="11" t="s">
        <v>29029</v>
      </c>
      <c r="C14859" s="11" t="s">
        <v>59</v>
      </c>
      <c r="D14859" s="11" t="s">
        <v>60</v>
      </c>
      <c r="E14859" s="12" t="s">
        <v>54</v>
      </c>
      <c r="F14859" s="12" t="s">
        <v>55</v>
      </c>
      <c r="G14859" s="12" t="s">
        <v>29</v>
      </c>
      <c r="H14859" s="11" t="s">
        <v>63</v>
      </c>
      <c r="I14859" s="13" t="s">
        <v>29030</v>
      </c>
      <c r="J14859" s="14" t="str">
        <f>HYPERLINK("https://www.boe.es/gazeta/dias/1839/10/05/pdfs/GMD-1839-1791.pdf#page=1","Abrir facsímil")</f>
        <v>Abrir facsímil</v>
      </c>
      <c r="K14859" s="12" t="s">
        <v>65</v>
      </c>
    </row>
    <row r="14860" spans="1:11" ht="40.049999999999997" customHeight="1" x14ac:dyDescent="0.25">
      <c r="A14860" s="11" t="s">
        <v>29031</v>
      </c>
      <c r="B14860" s="11" t="s">
        <v>29032</v>
      </c>
      <c r="C14860" s="11" t="s">
        <v>101</v>
      </c>
      <c r="D14860" s="11" t="s">
        <v>43</v>
      </c>
      <c r="E14860" s="12" t="s">
        <v>433</v>
      </c>
      <c r="F14860" s="12" t="s">
        <v>434</v>
      </c>
      <c r="G14860" s="12" t="s">
        <v>46</v>
      </c>
      <c r="H14860" s="11" t="s">
        <v>63</v>
      </c>
      <c r="I14860" s="13" t="s">
        <v>29033</v>
      </c>
      <c r="J14860" s="14" t="str">
        <f>HYPERLINK("https://www.boe.es/gazeta/dias/1839/01/20/pdfs/GMD-1839-1527.pdf#page=3","Abrir facsímil")</f>
        <v>Abrir facsímil</v>
      </c>
      <c r="K14860" s="12" t="s">
        <v>65</v>
      </c>
    </row>
    <row r="14861" spans="1:11" ht="40.049999999999997" customHeight="1" x14ac:dyDescent="0.25">
      <c r="A14861" s="11" t="s">
        <v>29034</v>
      </c>
      <c r="B14861" s="11" t="s">
        <v>29035</v>
      </c>
      <c r="C14861" s="11" t="s">
        <v>17</v>
      </c>
      <c r="D14861" s="11" t="s">
        <v>18</v>
      </c>
      <c r="E14861" s="12" t="s">
        <v>2138</v>
      </c>
      <c r="F14861" s="12" t="s">
        <v>2139</v>
      </c>
      <c r="G14861" s="12" t="s">
        <v>305</v>
      </c>
      <c r="H14861" s="11" t="s">
        <v>63</v>
      </c>
      <c r="I14861" s="13" t="s">
        <v>29036</v>
      </c>
      <c r="J14861" s="14" t="str">
        <f>HYPERLINK("https://www.boe.es/gazeta/dias/1839/10/02/pdfs/GMD-1839-1788.pdf#page=6","Abrir facsímil")</f>
        <v>Abrir facsímil</v>
      </c>
      <c r="K14861" s="12" t="s">
        <v>65</v>
      </c>
    </row>
    <row r="14862" spans="1:11" ht="40.049999999999997" customHeight="1" x14ac:dyDescent="0.25">
      <c r="A14862" s="11" t="s">
        <v>29037</v>
      </c>
      <c r="B14862" s="11" t="s">
        <v>29038</v>
      </c>
      <c r="C14862" s="11" t="s">
        <v>17</v>
      </c>
      <c r="D14862" s="11" t="s">
        <v>18</v>
      </c>
      <c r="E14862" s="12" t="s">
        <v>704</v>
      </c>
      <c r="F14862" s="12" t="s">
        <v>705</v>
      </c>
      <c r="G14862" s="12" t="s">
        <v>46</v>
      </c>
      <c r="H14862" s="11" t="s">
        <v>63</v>
      </c>
      <c r="I14862" s="13" t="s">
        <v>29039</v>
      </c>
      <c r="J14862" s="14" t="str">
        <f>HYPERLINK("https://www.boe.es/gazeta/dias/1839/03/02/pdfs/GMD-1839-1568.pdf#page=3","Abrir facsímil")</f>
        <v>Abrir facsímil</v>
      </c>
      <c r="K14862" s="12" t="s">
        <v>65</v>
      </c>
    </row>
    <row r="14863" spans="1:11" ht="40.049999999999997" customHeight="1" x14ac:dyDescent="0.25">
      <c r="A14863" s="11" t="s">
        <v>29040</v>
      </c>
      <c r="B14863" s="11" t="s">
        <v>29040</v>
      </c>
      <c r="C14863" s="11" t="s">
        <v>80</v>
      </c>
      <c r="D14863" s="11" t="s">
        <v>18</v>
      </c>
      <c r="E14863" s="12" t="s">
        <v>2491</v>
      </c>
      <c r="F14863" s="12" t="s">
        <v>2492</v>
      </c>
      <c r="G14863" s="12" t="s">
        <v>21</v>
      </c>
      <c r="H14863" s="11" t="s">
        <v>63</v>
      </c>
      <c r="I14863" s="13" t="s">
        <v>29041</v>
      </c>
      <c r="J14863" s="14" t="str">
        <f>HYPERLINK("https://www.boe.es/gazeta/dias/1839/05/01/pdfs/GMD-1839-1628.pdf#page=4","Abrir facsímil")</f>
        <v>Abrir facsímil</v>
      </c>
      <c r="K14863" s="12" t="s">
        <v>65</v>
      </c>
    </row>
    <row r="14864" spans="1:11" ht="40.049999999999997" customHeight="1" x14ac:dyDescent="0.25">
      <c r="A14864" s="11" t="s">
        <v>29042</v>
      </c>
      <c r="B14864" s="11" t="s">
        <v>29042</v>
      </c>
      <c r="C14864" s="11" t="s">
        <v>59</v>
      </c>
      <c r="D14864" s="11" t="s">
        <v>60</v>
      </c>
      <c r="E14864" s="12" t="s">
        <v>510</v>
      </c>
      <c r="F14864" s="12" t="s">
        <v>511</v>
      </c>
      <c r="G14864" s="12" t="s">
        <v>46</v>
      </c>
      <c r="H14864" s="11" t="s">
        <v>63</v>
      </c>
      <c r="I14864" s="13" t="s">
        <v>29043</v>
      </c>
      <c r="J14864" s="14" t="str">
        <f>HYPERLINK("https://www.boe.es/gazeta/dias/1839/05/13/pdfs/GMD-1839-1640.pdf#page=3","Abrir facsímil")</f>
        <v>Abrir facsímil</v>
      </c>
      <c r="K14864" s="12" t="s">
        <v>65</v>
      </c>
    </row>
    <row r="14865" spans="1:11" ht="40.049999999999997" customHeight="1" x14ac:dyDescent="0.25">
      <c r="A14865" s="11" t="s">
        <v>29044</v>
      </c>
      <c r="B14865" s="11" t="s">
        <v>29045</v>
      </c>
      <c r="C14865" s="11" t="s">
        <v>59</v>
      </c>
      <c r="D14865" s="11" t="s">
        <v>60</v>
      </c>
      <c r="E14865" s="12" t="s">
        <v>1252</v>
      </c>
      <c r="F14865" s="12" t="s">
        <v>1253</v>
      </c>
      <c r="G14865" s="12" t="s">
        <v>21</v>
      </c>
      <c r="H14865" s="11" t="s">
        <v>63</v>
      </c>
      <c r="I14865" s="13" t="s">
        <v>29046</v>
      </c>
      <c r="J14865" s="14" t="str">
        <f>HYPERLINK("https://www.boe.es/gazeta/dias/1839/06/15/pdfs/GMD-1839-1673.pdf#page=4","Abrir facsímil")</f>
        <v>Abrir facsímil</v>
      </c>
      <c r="K14865" s="12" t="s">
        <v>65</v>
      </c>
    </row>
    <row r="14866" spans="1:11" ht="40.049999999999997" customHeight="1" x14ac:dyDescent="0.25">
      <c r="A14866" s="11" t="s">
        <v>29047</v>
      </c>
      <c r="B14866" s="11" t="s">
        <v>29048</v>
      </c>
      <c r="C14866" s="11" t="s">
        <v>17</v>
      </c>
      <c r="D14866" s="11" t="s">
        <v>18</v>
      </c>
      <c r="E14866" s="12" t="s">
        <v>496</v>
      </c>
      <c r="F14866" s="12" t="s">
        <v>497</v>
      </c>
      <c r="G14866" s="12" t="s">
        <v>21</v>
      </c>
      <c r="H14866" s="11" t="s">
        <v>63</v>
      </c>
      <c r="I14866" s="13" t="s">
        <v>29049</v>
      </c>
      <c r="J14866" s="14" t="str">
        <f>HYPERLINK("https://www.boe.es/gazeta/dias/1839/11/23/pdfs/GMD-1839-1840.pdf#page=4","Abrir facsímil")</f>
        <v>Abrir facsímil</v>
      </c>
      <c r="K14866" s="12" t="s">
        <v>65</v>
      </c>
    </row>
    <row r="14867" spans="1:11" ht="40.049999999999997" customHeight="1" x14ac:dyDescent="0.25">
      <c r="A14867" s="11" t="s">
        <v>29050</v>
      </c>
      <c r="B14867" s="11" t="s">
        <v>29051</v>
      </c>
      <c r="C14867" s="11" t="s">
        <v>80</v>
      </c>
      <c r="D14867" s="11" t="s">
        <v>18</v>
      </c>
      <c r="E14867" s="12" t="s">
        <v>157</v>
      </c>
      <c r="F14867" s="12" t="s">
        <v>158</v>
      </c>
      <c r="G14867" s="12" t="s">
        <v>29</v>
      </c>
      <c r="H14867" s="11" t="s">
        <v>63</v>
      </c>
      <c r="I14867" s="13" t="s">
        <v>29052</v>
      </c>
      <c r="J14867" s="14" t="str">
        <f>HYPERLINK("https://www.boe.es/gazeta/dias/1839/02/08/pdfs/GMD-1839-1546.pdf#page=1","Abrir facsímil")</f>
        <v>Abrir facsímil</v>
      </c>
      <c r="K14867" s="12" t="s">
        <v>65</v>
      </c>
    </row>
    <row r="14868" spans="1:11" ht="40.049999999999997" customHeight="1" x14ac:dyDescent="0.25">
      <c r="A14868" s="11" t="s">
        <v>29053</v>
      </c>
      <c r="B14868" s="11" t="s">
        <v>29054</v>
      </c>
      <c r="C14868" s="11" t="s">
        <v>17</v>
      </c>
      <c r="D14868" s="11" t="s">
        <v>18</v>
      </c>
      <c r="E14868" s="12" t="s">
        <v>168</v>
      </c>
      <c r="F14868" s="12" t="s">
        <v>169</v>
      </c>
      <c r="G14868" s="12" t="s">
        <v>21</v>
      </c>
      <c r="H14868" s="11" t="s">
        <v>63</v>
      </c>
      <c r="I14868" s="13" t="s">
        <v>29055</v>
      </c>
      <c r="J14868" s="14" t="str">
        <f>HYPERLINK("https://www.boe.es/gazeta/dias/1839/07/12/pdfs/GMD-1839-1700.pdf#page=4","Abrir facsímil")</f>
        <v>Abrir facsímil</v>
      </c>
      <c r="K14868" s="12" t="s">
        <v>65</v>
      </c>
    </row>
    <row r="14869" spans="1:11" ht="40.049999999999997" customHeight="1" x14ac:dyDescent="0.25">
      <c r="A14869" s="11" t="s">
        <v>29056</v>
      </c>
      <c r="B14869" s="11" t="s">
        <v>29057</v>
      </c>
      <c r="C14869" s="11" t="s">
        <v>59</v>
      </c>
      <c r="D14869" s="11" t="s">
        <v>60</v>
      </c>
      <c r="E14869" s="12" t="s">
        <v>695</v>
      </c>
      <c r="F14869" s="12" t="s">
        <v>696</v>
      </c>
      <c r="G14869" s="12" t="s">
        <v>46</v>
      </c>
      <c r="H14869" s="11" t="s">
        <v>63</v>
      </c>
      <c r="I14869" s="13" t="s">
        <v>29058</v>
      </c>
      <c r="J14869" s="14" t="str">
        <f>HYPERLINK("https://www.boe.es/gazeta/dias/1839/12/19/pdfs/GMD-1839-1866.pdf#page=3","Abrir facsímil")</f>
        <v>Abrir facsímil</v>
      </c>
      <c r="K14869" s="12" t="s">
        <v>65</v>
      </c>
    </row>
    <row r="14870" spans="1:11" ht="40.049999999999997" customHeight="1" x14ac:dyDescent="0.25">
      <c r="A14870" s="11" t="s">
        <v>29059</v>
      </c>
      <c r="B14870" s="11" t="s">
        <v>29060</v>
      </c>
      <c r="C14870" s="11" t="s">
        <v>17</v>
      </c>
      <c r="D14870" s="11" t="s">
        <v>18</v>
      </c>
      <c r="E14870" s="12" t="s">
        <v>1374</v>
      </c>
      <c r="F14870" s="12" t="s">
        <v>1375</v>
      </c>
      <c r="G14870" s="12" t="s">
        <v>46</v>
      </c>
      <c r="H14870" s="11" t="s">
        <v>63</v>
      </c>
      <c r="I14870" s="13" t="s">
        <v>29061</v>
      </c>
      <c r="J14870" s="14" t="str">
        <f>HYPERLINK("https://www.boe.es/gazeta/dias/1839/07/20/pdfs/GMD-1839-1708.pdf#page=3","Abrir facsímil")</f>
        <v>Abrir facsímil</v>
      </c>
      <c r="K14870" s="12" t="s">
        <v>65</v>
      </c>
    </row>
    <row r="14871" spans="1:11" ht="40.049999999999997" customHeight="1" x14ac:dyDescent="0.25">
      <c r="A14871" s="11" t="s">
        <v>29062</v>
      </c>
      <c r="B14871" s="11" t="s">
        <v>29062</v>
      </c>
      <c r="C14871" s="11" t="s">
        <v>59</v>
      </c>
      <c r="D14871" s="11" t="s">
        <v>60</v>
      </c>
      <c r="E14871" s="12" t="s">
        <v>1685</v>
      </c>
      <c r="F14871" s="12" t="s">
        <v>1686</v>
      </c>
      <c r="G14871" s="12" t="s">
        <v>29</v>
      </c>
      <c r="H14871" s="11" t="s">
        <v>63</v>
      </c>
      <c r="I14871" s="13" t="s">
        <v>29063</v>
      </c>
      <c r="J14871" s="14" t="str">
        <f>HYPERLINK("https://www.boe.es/gazeta/dias/1839/04/27/pdfs/GMD-1839-1624.pdf#page=1","Abrir facsímil")</f>
        <v>Abrir facsímil</v>
      </c>
      <c r="K14871" s="12" t="s">
        <v>65</v>
      </c>
    </row>
    <row r="14872" spans="1:11" ht="40.049999999999997" customHeight="1" x14ac:dyDescent="0.25">
      <c r="A14872" s="11" t="s">
        <v>29064</v>
      </c>
      <c r="B14872" s="11" t="s">
        <v>29064</v>
      </c>
      <c r="C14872" s="11" t="s">
        <v>80</v>
      </c>
      <c r="D14872" s="11" t="s">
        <v>18</v>
      </c>
      <c r="E14872" s="12" t="s">
        <v>3614</v>
      </c>
      <c r="F14872" s="12" t="s">
        <v>3615</v>
      </c>
      <c r="G14872" s="12" t="s">
        <v>21</v>
      </c>
      <c r="H14872" s="11" t="s">
        <v>63</v>
      </c>
      <c r="I14872" s="13" t="s">
        <v>29065</v>
      </c>
      <c r="J14872" s="14" t="str">
        <f>HYPERLINK("https://www.boe.es/gazeta/dias/1839/04/04/pdfs/GMD-1839-1601.pdf#page=4","Abrir facsímil")</f>
        <v>Abrir facsímil</v>
      </c>
      <c r="K14872" s="12" t="s">
        <v>65</v>
      </c>
    </row>
    <row r="14873" spans="1:11" ht="40.049999999999997" customHeight="1" x14ac:dyDescent="0.25">
      <c r="A14873" s="11" t="s">
        <v>29064</v>
      </c>
      <c r="B14873" s="11" t="s">
        <v>29064</v>
      </c>
      <c r="C14873" s="11" t="s">
        <v>59</v>
      </c>
      <c r="D14873" s="11" t="s">
        <v>60</v>
      </c>
      <c r="E14873" s="12" t="s">
        <v>246</v>
      </c>
      <c r="F14873" s="12" t="s">
        <v>247</v>
      </c>
      <c r="G14873" s="12" t="s">
        <v>46</v>
      </c>
      <c r="H14873" s="11" t="s">
        <v>63</v>
      </c>
      <c r="I14873" s="13" t="s">
        <v>29066</v>
      </c>
      <c r="J14873" s="14" t="str">
        <f>HYPERLINK("https://www.boe.es/gazeta/dias/1839/11/24/pdfs/GMD-1839-1841.pdf#page=3","Abrir facsímil")</f>
        <v>Abrir facsímil</v>
      </c>
      <c r="K14873" s="12" t="s">
        <v>65</v>
      </c>
    </row>
    <row r="14874" spans="1:11" ht="40.049999999999997" customHeight="1" x14ac:dyDescent="0.25">
      <c r="A14874" s="11" t="s">
        <v>29067</v>
      </c>
      <c r="B14874" s="11" t="s">
        <v>29067</v>
      </c>
      <c r="C14874" s="11" t="s">
        <v>101</v>
      </c>
      <c r="D14874" s="11" t="s">
        <v>43</v>
      </c>
      <c r="E14874" s="12" t="s">
        <v>4189</v>
      </c>
      <c r="F14874" s="12" t="s">
        <v>4190</v>
      </c>
      <c r="G14874" s="12" t="s">
        <v>21</v>
      </c>
      <c r="H14874" s="11" t="s">
        <v>63</v>
      </c>
      <c r="I14874" s="13" t="s">
        <v>29068</v>
      </c>
      <c r="J14874" s="14" t="str">
        <f>HYPERLINK("https://www.boe.es/gazeta/dias/1839/02/13/pdfs/GMD-1839-1551.pdf#page=4","Abrir facsímil")</f>
        <v>Abrir facsímil</v>
      </c>
      <c r="K14874" s="12" t="s">
        <v>65</v>
      </c>
    </row>
    <row r="14875" spans="1:11" ht="40.049999999999997" customHeight="1" x14ac:dyDescent="0.25">
      <c r="A14875" s="11" t="s">
        <v>29069</v>
      </c>
      <c r="B14875" s="11" t="s">
        <v>29070</v>
      </c>
      <c r="C14875" s="11" t="s">
        <v>59</v>
      </c>
      <c r="D14875" s="11" t="s">
        <v>60</v>
      </c>
      <c r="E14875" s="12" t="s">
        <v>138</v>
      </c>
      <c r="F14875" s="12" t="s">
        <v>139</v>
      </c>
      <c r="G14875" s="12" t="s">
        <v>40</v>
      </c>
      <c r="H14875" s="11" t="s">
        <v>63</v>
      </c>
      <c r="I14875" s="13" t="s">
        <v>29071</v>
      </c>
      <c r="J14875" s="14" t="str">
        <f>HYPERLINK("https://www.boe.es/gazeta/dias/1839/10/09/pdfs/GMD-1839-1795.pdf#page=2","Abrir facsímil")</f>
        <v>Abrir facsímil</v>
      </c>
      <c r="K14875" s="12" t="s">
        <v>65</v>
      </c>
    </row>
    <row r="14876" spans="1:11" ht="40.049999999999997" customHeight="1" x14ac:dyDescent="0.25">
      <c r="A14876" s="11" t="s">
        <v>29072</v>
      </c>
      <c r="B14876" s="11" t="s">
        <v>29073</v>
      </c>
      <c r="C14876" s="11" t="s">
        <v>17</v>
      </c>
      <c r="D14876" s="11" t="s">
        <v>18</v>
      </c>
      <c r="E14876" s="12" t="s">
        <v>258</v>
      </c>
      <c r="F14876" s="12" t="s">
        <v>259</v>
      </c>
      <c r="G14876" s="12" t="s">
        <v>46</v>
      </c>
      <c r="H14876" s="11" t="s">
        <v>22</v>
      </c>
      <c r="I14876" s="13" t="s">
        <v>29074</v>
      </c>
      <c r="J14876" s="14" t="str">
        <f>HYPERLINK("https://www.boe.es/gazeta/dias/1839/01/02/pdfs/GMD-1839-1509.pdf#page=3","Abrir facsímil")</f>
        <v>Abrir facsímil</v>
      </c>
      <c r="K14876" s="12" t="s">
        <v>24</v>
      </c>
    </row>
    <row r="14877" spans="1:11" ht="40.049999999999997" customHeight="1" x14ac:dyDescent="0.25">
      <c r="A14877" s="11" t="s">
        <v>29075</v>
      </c>
      <c r="B14877" s="11" t="s">
        <v>29076</v>
      </c>
      <c r="C14877" s="11" t="s">
        <v>137</v>
      </c>
      <c r="D14877" s="11" t="s">
        <v>18</v>
      </c>
      <c r="E14877" s="12" t="s">
        <v>1891</v>
      </c>
      <c r="F14877" s="12" t="s">
        <v>1892</v>
      </c>
      <c r="G14877" s="12" t="s">
        <v>21</v>
      </c>
      <c r="H14877" s="11" t="s">
        <v>22</v>
      </c>
      <c r="I14877" s="13" t="s">
        <v>29077</v>
      </c>
      <c r="J14877" s="14" t="str">
        <f>HYPERLINK("https://www.boe.es/gazeta/dias/1839/12/14/pdfs/GMD-1839-1861.pdf#page=4","Abrir facsímil")</f>
        <v>Abrir facsímil</v>
      </c>
      <c r="K14877" s="12" t="s">
        <v>24</v>
      </c>
    </row>
    <row r="14878" spans="1:11" ht="40.049999999999997" customHeight="1" x14ac:dyDescent="0.25">
      <c r="A14878" s="11" t="s">
        <v>29078</v>
      </c>
      <c r="B14878" s="11" t="s">
        <v>29078</v>
      </c>
      <c r="C14878" s="11" t="s">
        <v>17</v>
      </c>
      <c r="D14878" s="11" t="s">
        <v>18</v>
      </c>
      <c r="E14878" s="12" t="s">
        <v>1336</v>
      </c>
      <c r="F14878" s="12" t="s">
        <v>1337</v>
      </c>
      <c r="G14878" s="12" t="s">
        <v>40</v>
      </c>
      <c r="H14878" s="11" t="s">
        <v>63</v>
      </c>
      <c r="I14878" s="13" t="s">
        <v>29079</v>
      </c>
      <c r="J14878" s="14" t="str">
        <f>HYPERLINK("https://www.boe.es/gazeta/dias/1839/02/26/pdfs/GMD-1839-1564.pdf#page=2","Abrir facsímil")</f>
        <v>Abrir facsímil</v>
      </c>
      <c r="K14878" s="12" t="s">
        <v>65</v>
      </c>
    </row>
    <row r="14879" spans="1:11" ht="40.049999999999997" customHeight="1" x14ac:dyDescent="0.25">
      <c r="A14879" s="11" t="s">
        <v>29080</v>
      </c>
      <c r="B14879" s="11" t="s">
        <v>29081</v>
      </c>
      <c r="C14879" s="11" t="s">
        <v>17</v>
      </c>
      <c r="D14879" s="11" t="s">
        <v>18</v>
      </c>
      <c r="E14879" s="12" t="s">
        <v>1123</v>
      </c>
      <c r="F14879" s="12" t="s">
        <v>1124</v>
      </c>
      <c r="G14879" s="12" t="s">
        <v>21</v>
      </c>
      <c r="H14879" s="11" t="s">
        <v>63</v>
      </c>
      <c r="I14879" s="13" t="s">
        <v>29082</v>
      </c>
      <c r="J14879" s="14" t="str">
        <f>HYPERLINK("https://www.boe.es/gazeta/dias/1839/08/10/pdfs/GMD-1839-1730.pdf#page=4","Abrir facsímil")</f>
        <v>Abrir facsímil</v>
      </c>
      <c r="K14879" s="12" t="s">
        <v>65</v>
      </c>
    </row>
    <row r="14880" spans="1:11" ht="40.049999999999997" customHeight="1" x14ac:dyDescent="0.25">
      <c r="A14880" s="11" t="s">
        <v>29083</v>
      </c>
      <c r="B14880" s="11" t="s">
        <v>29084</v>
      </c>
      <c r="C14880" s="11" t="s">
        <v>80</v>
      </c>
      <c r="D14880" s="11" t="s">
        <v>18</v>
      </c>
      <c r="E14880" s="12" t="s">
        <v>1208</v>
      </c>
      <c r="F14880" s="12" t="s">
        <v>1209</v>
      </c>
      <c r="G14880" s="12" t="s">
        <v>21</v>
      </c>
      <c r="H14880" s="11" t="s">
        <v>63</v>
      </c>
      <c r="I14880" s="13" t="s">
        <v>29085</v>
      </c>
      <c r="J14880" s="14" t="str">
        <f>HYPERLINK("https://www.boe.es/gazeta/dias/1839/04/24/pdfs/GMD-1839-1621.pdf#page=4","Abrir facsímil")</f>
        <v>Abrir facsímil</v>
      </c>
      <c r="K14880" s="12" t="s">
        <v>65</v>
      </c>
    </row>
    <row r="14881" spans="1:11" ht="40.049999999999997" customHeight="1" x14ac:dyDescent="0.25">
      <c r="A14881" s="11" t="s">
        <v>29086</v>
      </c>
      <c r="B14881" s="11" t="s">
        <v>29087</v>
      </c>
      <c r="C14881" s="11" t="s">
        <v>137</v>
      </c>
      <c r="D14881" s="11" t="s">
        <v>18</v>
      </c>
      <c r="E14881" s="12" t="s">
        <v>1179</v>
      </c>
      <c r="F14881" s="12" t="s">
        <v>1180</v>
      </c>
      <c r="G14881" s="12" t="s">
        <v>305</v>
      </c>
      <c r="H14881" s="11" t="s">
        <v>63</v>
      </c>
      <c r="I14881" s="13" t="s">
        <v>29088</v>
      </c>
      <c r="J14881" s="14" t="str">
        <f>HYPERLINK("https://www.boe.es/gazeta/dias/1839/10/18/pdfs/GMD-1839-1804.pdf#page=6","Abrir facsímil")</f>
        <v>Abrir facsímil</v>
      </c>
      <c r="K14881" s="12" t="s">
        <v>65</v>
      </c>
    </row>
    <row r="14882" spans="1:11" ht="40.049999999999997" customHeight="1" x14ac:dyDescent="0.25">
      <c r="A14882" s="11" t="s">
        <v>29089</v>
      </c>
      <c r="B14882" s="11" t="s">
        <v>29090</v>
      </c>
      <c r="C14882" s="11" t="s">
        <v>17</v>
      </c>
      <c r="D14882" s="11" t="s">
        <v>18</v>
      </c>
      <c r="E14882" s="12" t="s">
        <v>779</v>
      </c>
      <c r="F14882" s="12" t="s">
        <v>780</v>
      </c>
      <c r="G14882" s="12" t="s">
        <v>29</v>
      </c>
      <c r="H14882" s="11" t="s">
        <v>63</v>
      </c>
      <c r="I14882" s="13" t="s">
        <v>29091</v>
      </c>
      <c r="J14882" s="14" t="str">
        <f>HYPERLINK("https://www.boe.es/gazeta/dias/1839/02/03/pdfs/GMD-1839-1541.pdf#page=1","Abrir facsímil")</f>
        <v>Abrir facsímil</v>
      </c>
      <c r="K14882" s="12" t="s">
        <v>65</v>
      </c>
    </row>
    <row r="14883" spans="1:11" ht="40.049999999999997" customHeight="1" x14ac:dyDescent="0.25">
      <c r="A14883" s="11" t="s">
        <v>29092</v>
      </c>
      <c r="B14883" s="11" t="s">
        <v>29092</v>
      </c>
      <c r="C14883" s="11" t="s">
        <v>17</v>
      </c>
      <c r="D14883" s="11" t="s">
        <v>18</v>
      </c>
      <c r="E14883" s="12" t="s">
        <v>121</v>
      </c>
      <c r="F14883" s="12" t="s">
        <v>122</v>
      </c>
      <c r="G14883" s="12" t="s">
        <v>29</v>
      </c>
      <c r="H14883" s="11" t="s">
        <v>63</v>
      </c>
      <c r="I14883" s="13" t="s">
        <v>29093</v>
      </c>
      <c r="J14883" s="14" t="str">
        <f>HYPERLINK("https://www.boe.es/gazeta/dias/1839/06/08/pdfs/GMD-1839-1666.pdf#page=1","Abrir facsímil")</f>
        <v>Abrir facsímil</v>
      </c>
      <c r="K14883" s="12" t="s">
        <v>65</v>
      </c>
    </row>
    <row r="14884" spans="1:11" ht="40.049999999999997" customHeight="1" x14ac:dyDescent="0.25">
      <c r="A14884" s="11" t="s">
        <v>29094</v>
      </c>
      <c r="B14884" s="11" t="s">
        <v>29095</v>
      </c>
      <c r="C14884" s="11" t="s">
        <v>80</v>
      </c>
      <c r="D14884" s="11" t="s">
        <v>18</v>
      </c>
      <c r="E14884" s="12" t="s">
        <v>121</v>
      </c>
      <c r="F14884" s="12" t="s">
        <v>122</v>
      </c>
      <c r="G14884" s="12" t="s">
        <v>29</v>
      </c>
      <c r="H14884" s="11" t="s">
        <v>63</v>
      </c>
      <c r="I14884" s="13" t="s">
        <v>29096</v>
      </c>
      <c r="J14884" s="14" t="str">
        <f>HYPERLINK("https://www.boe.es/gazeta/dias/1839/06/08/pdfs/GMD-1839-1666.pdf#page=1","Abrir facsímil")</f>
        <v>Abrir facsímil</v>
      </c>
      <c r="K14884" s="12" t="s">
        <v>65</v>
      </c>
    </row>
    <row r="14885" spans="1:11" ht="40.049999999999997" customHeight="1" x14ac:dyDescent="0.25">
      <c r="A14885" s="11" t="s">
        <v>29097</v>
      </c>
      <c r="B14885" s="11" t="s">
        <v>29098</v>
      </c>
      <c r="C14885" s="11" t="s">
        <v>17</v>
      </c>
      <c r="D14885" s="11" t="s">
        <v>18</v>
      </c>
      <c r="E14885" s="12" t="s">
        <v>474</v>
      </c>
      <c r="F14885" s="12" t="s">
        <v>475</v>
      </c>
      <c r="G14885" s="12" t="s">
        <v>21</v>
      </c>
      <c r="H14885" s="11" t="s">
        <v>63</v>
      </c>
      <c r="I14885" s="13" t="s">
        <v>29099</v>
      </c>
      <c r="J14885" s="14" t="str">
        <f>HYPERLINK("https://www.boe.es/gazeta/dias/1839/03/31/pdfs/GMD-1839-1597.pdf#page=4","Abrir facsímil")</f>
        <v>Abrir facsímil</v>
      </c>
      <c r="K14885" s="12" t="s">
        <v>65</v>
      </c>
    </row>
    <row r="14886" spans="1:11" ht="40.049999999999997" customHeight="1" x14ac:dyDescent="0.25">
      <c r="A14886" s="11" t="s">
        <v>29100</v>
      </c>
      <c r="B14886" s="11" t="s">
        <v>29100</v>
      </c>
      <c r="C14886" s="11" t="s">
        <v>17</v>
      </c>
      <c r="D14886" s="11" t="s">
        <v>18</v>
      </c>
      <c r="E14886" s="12" t="s">
        <v>2050</v>
      </c>
      <c r="F14886" s="12" t="s">
        <v>2051</v>
      </c>
      <c r="G14886" s="12" t="s">
        <v>46</v>
      </c>
      <c r="H14886" s="11" t="s">
        <v>22</v>
      </c>
      <c r="I14886" s="13" t="s">
        <v>29101</v>
      </c>
      <c r="J14886" s="14" t="str">
        <f>HYPERLINK("https://www.boe.es/gazeta/dias/1839/01/09/pdfs/GMD-1839-1516.pdf#page=3","Abrir facsímil")</f>
        <v>Abrir facsímil</v>
      </c>
      <c r="K14886" s="12" t="s">
        <v>24</v>
      </c>
    </row>
    <row r="14887" spans="1:11" ht="40.049999999999997" customHeight="1" x14ac:dyDescent="0.25">
      <c r="A14887" s="11" t="s">
        <v>29102</v>
      </c>
      <c r="B14887" s="11" t="s">
        <v>29103</v>
      </c>
      <c r="C14887" s="11" t="s">
        <v>17</v>
      </c>
      <c r="D14887" s="11" t="s">
        <v>18</v>
      </c>
      <c r="E14887" s="12" t="s">
        <v>2851</v>
      </c>
      <c r="F14887" s="12" t="s">
        <v>2852</v>
      </c>
      <c r="G14887" s="12" t="s">
        <v>29</v>
      </c>
      <c r="H14887" s="11" t="s">
        <v>63</v>
      </c>
      <c r="I14887" s="13" t="s">
        <v>29104</v>
      </c>
      <c r="J14887" s="14" t="str">
        <f>HYPERLINK("https://www.boe.es/gazeta/dias/1839/05/16/pdfs/GMD-1839-1643.pdf#page=1","Abrir facsímil")</f>
        <v>Abrir facsímil</v>
      </c>
      <c r="K14887" s="12" t="s">
        <v>65</v>
      </c>
    </row>
    <row r="14888" spans="1:11" ht="40.049999999999997" customHeight="1" x14ac:dyDescent="0.25">
      <c r="A14888" s="11" t="s">
        <v>29105</v>
      </c>
      <c r="B14888" s="11" t="s">
        <v>29106</v>
      </c>
      <c r="C14888" s="11" t="s">
        <v>17</v>
      </c>
      <c r="D14888" s="11" t="s">
        <v>18</v>
      </c>
      <c r="E14888" s="12" t="s">
        <v>192</v>
      </c>
      <c r="F14888" s="12" t="s">
        <v>193</v>
      </c>
      <c r="G14888" s="12" t="s">
        <v>40</v>
      </c>
      <c r="H14888" s="11" t="s">
        <v>63</v>
      </c>
      <c r="I14888" s="13" t="s">
        <v>29107</v>
      </c>
      <c r="J14888" s="14" t="str">
        <f>HYPERLINK("https://www.boe.es/gazeta/dias/1839/01/12/pdfs/GMD-1839-1519.pdf#page=2","Abrir facsímil")</f>
        <v>Abrir facsímil</v>
      </c>
      <c r="K14888" s="12" t="s">
        <v>65</v>
      </c>
    </row>
    <row r="14889" spans="1:11" ht="40.049999999999997" customHeight="1" x14ac:dyDescent="0.25">
      <c r="A14889" s="11" t="s">
        <v>29105</v>
      </c>
      <c r="B14889" s="11" t="s">
        <v>29106</v>
      </c>
      <c r="C14889" s="11" t="s">
        <v>17</v>
      </c>
      <c r="D14889" s="11" t="s">
        <v>18</v>
      </c>
      <c r="E14889" s="12" t="s">
        <v>643</v>
      </c>
      <c r="F14889" s="12" t="s">
        <v>644</v>
      </c>
      <c r="G14889" s="12" t="s">
        <v>29</v>
      </c>
      <c r="H14889" s="11" t="s">
        <v>63</v>
      </c>
      <c r="I14889" s="13" t="s">
        <v>29108</v>
      </c>
      <c r="J14889" s="14" t="str">
        <f>HYPERLINK("https://www.boe.es/gazeta/dias/1839/03/20/pdfs/GMD-1839-1586.pdf#page=1","Abrir facsímil")</f>
        <v>Abrir facsímil</v>
      </c>
      <c r="K14889" s="12" t="s">
        <v>65</v>
      </c>
    </row>
    <row r="14890" spans="1:11" ht="40.049999999999997" customHeight="1" x14ac:dyDescent="0.25">
      <c r="A14890" s="11" t="s">
        <v>29109</v>
      </c>
      <c r="B14890" s="11" t="s">
        <v>29109</v>
      </c>
      <c r="C14890" s="11" t="s">
        <v>17</v>
      </c>
      <c r="D14890" s="11" t="s">
        <v>18</v>
      </c>
      <c r="E14890" s="12" t="s">
        <v>1623</v>
      </c>
      <c r="F14890" s="12" t="s">
        <v>1624</v>
      </c>
      <c r="G14890" s="12" t="s">
        <v>46</v>
      </c>
      <c r="H14890" s="11" t="s">
        <v>63</v>
      </c>
      <c r="I14890" s="13" t="s">
        <v>29110</v>
      </c>
      <c r="J14890" s="14" t="str">
        <f>HYPERLINK("https://www.boe.es/gazeta/dias/1839/04/07/pdfs/GMD-1839-1604.pdf#page=3","Abrir facsímil")</f>
        <v>Abrir facsímil</v>
      </c>
      <c r="K14890" s="12" t="s">
        <v>65</v>
      </c>
    </row>
    <row r="14891" spans="1:11" ht="40.049999999999997" customHeight="1" x14ac:dyDescent="0.25">
      <c r="A14891" s="11" t="s">
        <v>29109</v>
      </c>
      <c r="B14891" s="11" t="s">
        <v>29109</v>
      </c>
      <c r="C14891" s="11" t="s">
        <v>17</v>
      </c>
      <c r="D14891" s="11" t="s">
        <v>18</v>
      </c>
      <c r="E14891" s="12" t="s">
        <v>1310</v>
      </c>
      <c r="F14891" s="12" t="s">
        <v>1311</v>
      </c>
      <c r="G14891" s="12" t="s">
        <v>40</v>
      </c>
      <c r="H14891" s="11" t="s">
        <v>63</v>
      </c>
      <c r="I14891" s="13" t="s">
        <v>29111</v>
      </c>
      <c r="J14891" s="14" t="str">
        <f>HYPERLINK("https://www.boe.es/gazeta/dias/1839/04/23/pdfs/GMD-1839-1620.pdf#page=2","Abrir facsímil")</f>
        <v>Abrir facsímil</v>
      </c>
      <c r="K14891" s="12" t="s">
        <v>65</v>
      </c>
    </row>
    <row r="14892" spans="1:11" ht="40.049999999999997" customHeight="1" x14ac:dyDescent="0.25">
      <c r="A14892" s="11" t="s">
        <v>29112</v>
      </c>
      <c r="B14892" s="11" t="s">
        <v>29113</v>
      </c>
      <c r="C14892" s="11" t="s">
        <v>80</v>
      </c>
      <c r="D14892" s="11" t="s">
        <v>18</v>
      </c>
      <c r="E14892" s="12" t="s">
        <v>1310</v>
      </c>
      <c r="F14892" s="12" t="s">
        <v>1311</v>
      </c>
      <c r="G14892" s="12" t="s">
        <v>40</v>
      </c>
      <c r="H14892" s="11" t="s">
        <v>63</v>
      </c>
      <c r="I14892" s="13" t="s">
        <v>29114</v>
      </c>
      <c r="J14892" s="14" t="str">
        <f>HYPERLINK("https://www.boe.es/gazeta/dias/1839/04/23/pdfs/GMD-1839-1620.pdf#page=2","Abrir facsímil")</f>
        <v>Abrir facsímil</v>
      </c>
      <c r="K14892" s="12" t="s">
        <v>65</v>
      </c>
    </row>
    <row r="14893" spans="1:11" ht="40.049999999999997" customHeight="1" x14ac:dyDescent="0.25">
      <c r="A14893" s="11" t="s">
        <v>29115</v>
      </c>
      <c r="B14893" s="11" t="s">
        <v>29116</v>
      </c>
      <c r="C14893" s="11" t="s">
        <v>17</v>
      </c>
      <c r="D14893" s="11" t="s">
        <v>18</v>
      </c>
      <c r="E14893" s="12" t="s">
        <v>1310</v>
      </c>
      <c r="F14893" s="12" t="s">
        <v>1311</v>
      </c>
      <c r="G14893" s="12" t="s">
        <v>40</v>
      </c>
      <c r="H14893" s="11" t="s">
        <v>63</v>
      </c>
      <c r="I14893" s="13" t="s">
        <v>29117</v>
      </c>
      <c r="J14893" s="14" t="str">
        <f>HYPERLINK("https://www.boe.es/gazeta/dias/1839/04/23/pdfs/GMD-1839-1620.pdf#page=2","Abrir facsímil")</f>
        <v>Abrir facsímil</v>
      </c>
      <c r="K14893" s="12" t="s">
        <v>65</v>
      </c>
    </row>
    <row r="14894" spans="1:11" ht="40.049999999999997" customHeight="1" x14ac:dyDescent="0.25">
      <c r="A14894" s="11" t="s">
        <v>29118</v>
      </c>
      <c r="B14894" s="11" t="s">
        <v>29118</v>
      </c>
      <c r="C14894" s="11" t="s">
        <v>137</v>
      </c>
      <c r="D14894" s="11" t="s">
        <v>18</v>
      </c>
      <c r="E14894" s="12" t="s">
        <v>2301</v>
      </c>
      <c r="F14894" s="12" t="s">
        <v>2302</v>
      </c>
      <c r="G14894" s="12" t="s">
        <v>46</v>
      </c>
      <c r="H14894" s="11" t="s">
        <v>63</v>
      </c>
      <c r="I14894" s="13" t="s">
        <v>29119</v>
      </c>
      <c r="J14894" s="14" t="str">
        <f>HYPERLINK("https://www.boe.es/gazeta/dias/1839/09/08/pdfs/GMD-1839-1761.pdf#page=3","Abrir facsímil")</f>
        <v>Abrir facsímil</v>
      </c>
      <c r="K14894" s="12" t="s">
        <v>65</v>
      </c>
    </row>
    <row r="14895" spans="1:11" ht="40.049999999999997" customHeight="1" x14ac:dyDescent="0.25">
      <c r="A14895" s="11" t="s">
        <v>29120</v>
      </c>
      <c r="B14895" s="11" t="s">
        <v>29121</v>
      </c>
      <c r="C14895" s="11" t="s">
        <v>17</v>
      </c>
      <c r="D14895" s="11" t="s">
        <v>18</v>
      </c>
      <c r="E14895" s="12" t="s">
        <v>2650</v>
      </c>
      <c r="F14895" s="12" t="s">
        <v>2651</v>
      </c>
      <c r="G14895" s="12" t="s">
        <v>21</v>
      </c>
      <c r="H14895" s="11" t="s">
        <v>63</v>
      </c>
      <c r="I14895" s="13" t="s">
        <v>29122</v>
      </c>
      <c r="J14895" s="14" t="str">
        <f>HYPERLINK("https://www.boe.es/gazeta/dias/1839/09/15/pdfs/GMD-1839-1768.pdf#page=4","Abrir facsímil")</f>
        <v>Abrir facsímil</v>
      </c>
      <c r="K14895" s="12" t="s">
        <v>65</v>
      </c>
    </row>
    <row r="14896" spans="1:11" ht="40.049999999999997" customHeight="1" x14ac:dyDescent="0.25">
      <c r="A14896" s="11" t="s">
        <v>29123</v>
      </c>
      <c r="B14896" s="11" t="s">
        <v>29123</v>
      </c>
      <c r="C14896" s="11" t="s">
        <v>80</v>
      </c>
      <c r="D14896" s="11" t="s">
        <v>18</v>
      </c>
      <c r="E14896" s="12" t="s">
        <v>217</v>
      </c>
      <c r="F14896" s="12" t="s">
        <v>218</v>
      </c>
      <c r="G14896" s="12" t="s">
        <v>46</v>
      </c>
      <c r="H14896" s="11" t="s">
        <v>63</v>
      </c>
      <c r="I14896" s="13" t="s">
        <v>29124</v>
      </c>
      <c r="J14896" s="14" t="str">
        <f>HYPERLINK("https://www.boe.es/gazeta/dias/1839/08/06/pdfs/GMD-1839-1726.pdf#page=3","Abrir facsímil")</f>
        <v>Abrir facsímil</v>
      </c>
      <c r="K14896" s="12" t="s">
        <v>65</v>
      </c>
    </row>
    <row r="14897" spans="1:11" ht="40.049999999999997" customHeight="1" x14ac:dyDescent="0.25">
      <c r="A14897" s="11" t="s">
        <v>29125</v>
      </c>
      <c r="B14897" s="11" t="s">
        <v>29125</v>
      </c>
      <c r="C14897" s="11" t="s">
        <v>59</v>
      </c>
      <c r="D14897" s="11" t="s">
        <v>60</v>
      </c>
      <c r="E14897" s="12" t="s">
        <v>3236</v>
      </c>
      <c r="F14897" s="12" t="s">
        <v>3237</v>
      </c>
      <c r="G14897" s="12" t="s">
        <v>40</v>
      </c>
      <c r="H14897" s="11" t="s">
        <v>63</v>
      </c>
      <c r="I14897" s="13" t="s">
        <v>29126</v>
      </c>
      <c r="J14897" s="14" t="str">
        <f>HYPERLINK("https://www.boe.es/gazeta/dias/1839/12/03/pdfs/GMD-1839-1850.pdf#page=2","Abrir facsímil")</f>
        <v>Abrir facsímil</v>
      </c>
      <c r="K14897" s="12" t="s">
        <v>65</v>
      </c>
    </row>
    <row r="14898" spans="1:11" ht="40.049999999999997" customHeight="1" x14ac:dyDescent="0.25">
      <c r="A14898" s="11" t="s">
        <v>29127</v>
      </c>
      <c r="B14898" s="11" t="s">
        <v>29128</v>
      </c>
      <c r="C14898" s="11" t="s">
        <v>59</v>
      </c>
      <c r="D14898" s="11" t="s">
        <v>60</v>
      </c>
      <c r="E14898" s="12" t="s">
        <v>1332</v>
      </c>
      <c r="F14898" s="12" t="s">
        <v>1333</v>
      </c>
      <c r="G14898" s="12" t="s">
        <v>29</v>
      </c>
      <c r="H14898" s="11" t="s">
        <v>63</v>
      </c>
      <c r="I14898" s="13" t="s">
        <v>29129</v>
      </c>
      <c r="J14898" s="14" t="str">
        <f>HYPERLINK("https://www.boe.es/gazeta/dias/1839/05/04/pdfs/GMD-1839-1631.pdf#page=1","Abrir facsímil")</f>
        <v>Abrir facsímil</v>
      </c>
      <c r="K14898" s="12" t="s">
        <v>65</v>
      </c>
    </row>
    <row r="14899" spans="1:11" ht="40.049999999999997" customHeight="1" x14ac:dyDescent="0.25">
      <c r="A14899" s="11" t="s">
        <v>29130</v>
      </c>
      <c r="B14899" s="11" t="s">
        <v>29130</v>
      </c>
      <c r="C14899" s="11" t="s">
        <v>101</v>
      </c>
      <c r="D14899" s="11" t="s">
        <v>102</v>
      </c>
      <c r="E14899" s="12" t="s">
        <v>1144</v>
      </c>
      <c r="F14899" s="12" t="s">
        <v>1145</v>
      </c>
      <c r="G14899" s="12" t="s">
        <v>29</v>
      </c>
      <c r="H14899" s="11" t="s">
        <v>63</v>
      </c>
      <c r="I14899" s="13" t="s">
        <v>29131</v>
      </c>
      <c r="J14899" s="14" t="str">
        <f>HYPERLINK("https://www.boe.es/gazeta/dias/1839/08/13/pdfs/GMD-1839-1733.pdf#page=1","Abrir facsímil")</f>
        <v>Abrir facsímil</v>
      </c>
      <c r="K14899" s="12" t="s">
        <v>65</v>
      </c>
    </row>
    <row r="14900" spans="1:11" ht="40.049999999999997" customHeight="1" x14ac:dyDescent="0.25">
      <c r="A14900" s="11" t="s">
        <v>29132</v>
      </c>
      <c r="B14900" s="11" t="s">
        <v>29133</v>
      </c>
      <c r="C14900" s="11" t="s">
        <v>17</v>
      </c>
      <c r="D14900" s="11" t="s">
        <v>18</v>
      </c>
      <c r="E14900" s="12" t="s">
        <v>1123</v>
      </c>
      <c r="F14900" s="12" t="s">
        <v>1124</v>
      </c>
      <c r="G14900" s="12" t="s">
        <v>21</v>
      </c>
      <c r="H14900" s="11" t="s">
        <v>63</v>
      </c>
      <c r="I14900" s="13" t="s">
        <v>29134</v>
      </c>
      <c r="J14900" s="14" t="str">
        <f>HYPERLINK("https://www.boe.es/gazeta/dias/1839/08/10/pdfs/GMD-1839-1730.pdf#page=4","Abrir facsímil")</f>
        <v>Abrir facsímil</v>
      </c>
      <c r="K14900" s="12" t="s">
        <v>65</v>
      </c>
    </row>
    <row r="14901" spans="1:11" ht="40.049999999999997" customHeight="1" x14ac:dyDescent="0.25">
      <c r="A14901" s="11" t="s">
        <v>29135</v>
      </c>
      <c r="B14901" s="11" t="s">
        <v>29136</v>
      </c>
      <c r="C14901" s="11" t="s">
        <v>80</v>
      </c>
      <c r="D14901" s="11" t="s">
        <v>18</v>
      </c>
      <c r="E14901" s="12" t="s">
        <v>632</v>
      </c>
      <c r="F14901" s="12" t="s">
        <v>633</v>
      </c>
      <c r="G14901" s="12" t="s">
        <v>29</v>
      </c>
      <c r="H14901" s="11" t="s">
        <v>63</v>
      </c>
      <c r="I14901" s="13" t="s">
        <v>29137</v>
      </c>
      <c r="J14901" s="14" t="str">
        <f>HYPERLINK("https://www.boe.es/gazeta/dias/1839/04/06/pdfs/GMD-1839-1603.pdf#page=1","Abrir facsímil")</f>
        <v>Abrir facsímil</v>
      </c>
      <c r="K14901" s="12" t="s">
        <v>65</v>
      </c>
    </row>
    <row r="14902" spans="1:11" ht="40.049999999999997" customHeight="1" x14ac:dyDescent="0.25">
      <c r="A14902" s="11" t="s">
        <v>29138</v>
      </c>
      <c r="B14902" s="11" t="s">
        <v>29138</v>
      </c>
      <c r="C14902" s="11" t="s">
        <v>59</v>
      </c>
      <c r="D14902" s="11" t="s">
        <v>60</v>
      </c>
      <c r="E14902" s="12" t="s">
        <v>84</v>
      </c>
      <c r="F14902" s="12" t="s">
        <v>85</v>
      </c>
      <c r="G14902" s="12" t="s">
        <v>21</v>
      </c>
      <c r="H14902" s="11" t="s">
        <v>63</v>
      </c>
      <c r="I14902" s="13" t="s">
        <v>29139</v>
      </c>
      <c r="J14902" s="14" t="str">
        <f>HYPERLINK("https://www.boe.es/gazeta/dias/1839/03/11/pdfs/GMD-1839-1577.pdf#page=4","Abrir facsímil")</f>
        <v>Abrir facsímil</v>
      </c>
      <c r="K14902" s="12" t="s">
        <v>65</v>
      </c>
    </row>
    <row r="14903" spans="1:11" ht="40.049999999999997" customHeight="1" x14ac:dyDescent="0.25">
      <c r="A14903" s="11" t="s">
        <v>29138</v>
      </c>
      <c r="B14903" s="11" t="s">
        <v>29138</v>
      </c>
      <c r="C14903" s="11" t="s">
        <v>80</v>
      </c>
      <c r="D14903" s="11" t="s">
        <v>18</v>
      </c>
      <c r="E14903" s="12" t="s">
        <v>2374</v>
      </c>
      <c r="F14903" s="12" t="s">
        <v>2375</v>
      </c>
      <c r="G14903" s="12" t="s">
        <v>40</v>
      </c>
      <c r="H14903" s="11" t="s">
        <v>63</v>
      </c>
      <c r="I14903" s="13" t="s">
        <v>29140</v>
      </c>
      <c r="J14903" s="14" t="str">
        <f>HYPERLINK("https://www.boe.es/gazeta/dias/1839/06/14/pdfs/GMD-1839-1672.pdf#page=2","Abrir facsímil")</f>
        <v>Abrir facsímil</v>
      </c>
      <c r="K14903" s="12" t="s">
        <v>65</v>
      </c>
    </row>
    <row r="14904" spans="1:11" ht="40.049999999999997" customHeight="1" x14ac:dyDescent="0.25">
      <c r="A14904" s="11" t="s">
        <v>29141</v>
      </c>
      <c r="B14904" s="11" t="s">
        <v>29141</v>
      </c>
      <c r="C14904" s="11" t="s">
        <v>59</v>
      </c>
      <c r="D14904" s="11" t="s">
        <v>60</v>
      </c>
      <c r="E14904" s="12" t="s">
        <v>870</v>
      </c>
      <c r="F14904" s="12" t="s">
        <v>871</v>
      </c>
      <c r="G14904" s="12" t="s">
        <v>46</v>
      </c>
      <c r="H14904" s="11" t="s">
        <v>63</v>
      </c>
      <c r="I14904" s="13" t="s">
        <v>29142</v>
      </c>
      <c r="J14904" s="14" t="str">
        <f>HYPERLINK("https://www.boe.es/gazeta/dias/1839/04/18/pdfs/GMD-1839-1615.pdf#page=3","Abrir facsímil")</f>
        <v>Abrir facsímil</v>
      </c>
      <c r="K14904" s="12" t="s">
        <v>65</v>
      </c>
    </row>
    <row r="14905" spans="1:11" ht="40.049999999999997" customHeight="1" x14ac:dyDescent="0.25">
      <c r="A14905" s="11" t="s">
        <v>29143</v>
      </c>
      <c r="B14905" s="11" t="s">
        <v>29144</v>
      </c>
      <c r="C14905" s="11" t="s">
        <v>80</v>
      </c>
      <c r="D14905" s="11" t="s">
        <v>18</v>
      </c>
      <c r="E14905" s="12" t="s">
        <v>1685</v>
      </c>
      <c r="F14905" s="12" t="s">
        <v>1686</v>
      </c>
      <c r="G14905" s="12" t="s">
        <v>46</v>
      </c>
      <c r="H14905" s="11" t="s">
        <v>63</v>
      </c>
      <c r="I14905" s="13" t="s">
        <v>29145</v>
      </c>
      <c r="J14905" s="14" t="str">
        <f>HYPERLINK("https://www.boe.es/gazeta/dias/1839/04/27/pdfs/GMD-1839-1624.pdf#page=3","Abrir facsímil")</f>
        <v>Abrir facsímil</v>
      </c>
      <c r="K14905" s="12" t="s">
        <v>65</v>
      </c>
    </row>
    <row r="14906" spans="1:11" ht="40.049999999999997" customHeight="1" x14ac:dyDescent="0.25">
      <c r="A14906" s="11" t="s">
        <v>29146</v>
      </c>
      <c r="B14906" s="11" t="s">
        <v>29146</v>
      </c>
      <c r="C14906" s="11" t="s">
        <v>17</v>
      </c>
      <c r="D14906" s="11" t="s">
        <v>18</v>
      </c>
      <c r="E14906" s="12" t="s">
        <v>756</v>
      </c>
      <c r="F14906" s="12" t="s">
        <v>757</v>
      </c>
      <c r="G14906" s="12" t="s">
        <v>21</v>
      </c>
      <c r="H14906" s="11" t="s">
        <v>63</v>
      </c>
      <c r="I14906" s="13" t="s">
        <v>29147</v>
      </c>
      <c r="J14906" s="14" t="str">
        <f>HYPERLINK("https://www.boe.es/gazeta/dias/1839/12/17/pdfs/GMD-1839-1864.pdf#page=4","Abrir facsímil")</f>
        <v>Abrir facsímil</v>
      </c>
      <c r="K14906" s="12" t="s">
        <v>65</v>
      </c>
    </row>
    <row r="14907" spans="1:11" ht="40.049999999999997" customHeight="1" x14ac:dyDescent="0.25">
      <c r="A14907" s="11" t="s">
        <v>29148</v>
      </c>
      <c r="B14907" s="11" t="s">
        <v>29149</v>
      </c>
      <c r="C14907" s="11" t="s">
        <v>137</v>
      </c>
      <c r="D14907" s="11" t="s">
        <v>18</v>
      </c>
      <c r="E14907" s="12" t="s">
        <v>647</v>
      </c>
      <c r="F14907" s="12" t="s">
        <v>648</v>
      </c>
      <c r="G14907" s="12" t="s">
        <v>21</v>
      </c>
      <c r="H14907" s="11" t="s">
        <v>63</v>
      </c>
      <c r="I14907" s="13" t="s">
        <v>29150</v>
      </c>
      <c r="J14907" s="14" t="str">
        <f>HYPERLINK("https://www.boe.es/gazeta/dias/1839/10/08/pdfs/GMD-1839-1794.pdf#page=4","Abrir facsímil")</f>
        <v>Abrir facsímil</v>
      </c>
      <c r="K14907" s="12" t="s">
        <v>65</v>
      </c>
    </row>
    <row r="14908" spans="1:11" ht="40.049999999999997" customHeight="1" x14ac:dyDescent="0.25">
      <c r="A14908" s="11" t="s">
        <v>29151</v>
      </c>
      <c r="B14908" s="11" t="s">
        <v>29152</v>
      </c>
      <c r="C14908" s="11" t="s">
        <v>137</v>
      </c>
      <c r="D14908" s="11" t="s">
        <v>18</v>
      </c>
      <c r="E14908" s="12" t="s">
        <v>647</v>
      </c>
      <c r="F14908" s="12" t="s">
        <v>648</v>
      </c>
      <c r="G14908" s="12" t="s">
        <v>21</v>
      </c>
      <c r="H14908" s="11" t="s">
        <v>63</v>
      </c>
      <c r="I14908" s="13" t="s">
        <v>29153</v>
      </c>
      <c r="J14908" s="14" t="str">
        <f>HYPERLINK("https://www.boe.es/gazeta/dias/1839/10/08/pdfs/GMD-1839-1794.pdf#page=4","Abrir facsímil")</f>
        <v>Abrir facsímil</v>
      </c>
      <c r="K14908" s="12" t="s">
        <v>65</v>
      </c>
    </row>
    <row r="14909" spans="1:11" ht="40.049999999999997" customHeight="1" x14ac:dyDescent="0.25">
      <c r="A14909" s="11" t="s">
        <v>29154</v>
      </c>
      <c r="B14909" s="11" t="s">
        <v>29155</v>
      </c>
      <c r="C14909" s="11" t="s">
        <v>137</v>
      </c>
      <c r="D14909" s="11" t="s">
        <v>18</v>
      </c>
      <c r="E14909" s="12" t="s">
        <v>3236</v>
      </c>
      <c r="F14909" s="12" t="s">
        <v>3237</v>
      </c>
      <c r="G14909" s="12" t="s">
        <v>46</v>
      </c>
      <c r="H14909" s="11" t="s">
        <v>63</v>
      </c>
      <c r="I14909" s="13" t="s">
        <v>29156</v>
      </c>
      <c r="J14909" s="14" t="str">
        <f>HYPERLINK("https://www.boe.es/gazeta/dias/1839/12/03/pdfs/GMD-1839-1850.pdf#page=3","Abrir facsímil")</f>
        <v>Abrir facsímil</v>
      </c>
      <c r="K14909" s="12" t="s">
        <v>65</v>
      </c>
    </row>
    <row r="14910" spans="1:11" ht="40.049999999999997" customHeight="1" x14ac:dyDescent="0.25">
      <c r="A14910" s="11" t="s">
        <v>29157</v>
      </c>
      <c r="B14910" s="11" t="s">
        <v>29158</v>
      </c>
      <c r="C14910" s="11" t="s">
        <v>137</v>
      </c>
      <c r="D14910" s="11" t="s">
        <v>18</v>
      </c>
      <c r="E14910" s="12" t="s">
        <v>266</v>
      </c>
      <c r="F14910" s="12" t="s">
        <v>267</v>
      </c>
      <c r="G14910" s="12" t="s">
        <v>40</v>
      </c>
      <c r="H14910" s="11" t="s">
        <v>63</v>
      </c>
      <c r="I14910" s="13" t="s">
        <v>29159</v>
      </c>
      <c r="J14910" s="14" t="str">
        <f>HYPERLINK("https://www.boe.es/gazeta/dias/1839/01/03/pdfs/GMD-1839-1510.pdf#page=2","Abrir facsímil")</f>
        <v>Abrir facsímil</v>
      </c>
      <c r="K14910" s="12" t="s">
        <v>65</v>
      </c>
    </row>
    <row r="14911" spans="1:11" ht="40.049999999999997" customHeight="1" x14ac:dyDescent="0.25">
      <c r="A14911" s="11" t="s">
        <v>29160</v>
      </c>
      <c r="B14911" s="11" t="s">
        <v>29161</v>
      </c>
      <c r="C14911" s="11" t="s">
        <v>17</v>
      </c>
      <c r="D14911" s="11" t="s">
        <v>18</v>
      </c>
      <c r="E14911" s="12" t="s">
        <v>1414</v>
      </c>
      <c r="F14911" s="12" t="s">
        <v>1415</v>
      </c>
      <c r="G14911" s="12" t="s">
        <v>21</v>
      </c>
      <c r="H14911" s="11" t="s">
        <v>63</v>
      </c>
      <c r="I14911" s="13" t="s">
        <v>29162</v>
      </c>
      <c r="J14911" s="14" t="str">
        <f>HYPERLINK("https://www.boe.es/gazeta/dias/1839/06/12/pdfs/GMD-1839-1670.pdf#page=4","Abrir facsímil")</f>
        <v>Abrir facsímil</v>
      </c>
      <c r="K14911" s="12" t="s">
        <v>65</v>
      </c>
    </row>
    <row r="14912" spans="1:11" ht="40.049999999999997" customHeight="1" x14ac:dyDescent="0.25">
      <c r="A14912" s="11" t="s">
        <v>29163</v>
      </c>
      <c r="B14912" s="11" t="s">
        <v>29164</v>
      </c>
      <c r="C14912" s="11" t="s">
        <v>59</v>
      </c>
      <c r="D14912" s="11" t="s">
        <v>60</v>
      </c>
      <c r="E14912" s="12" t="s">
        <v>266</v>
      </c>
      <c r="F14912" s="12" t="s">
        <v>267</v>
      </c>
      <c r="G14912" s="12" t="s">
        <v>40</v>
      </c>
      <c r="H14912" s="11" t="s">
        <v>63</v>
      </c>
      <c r="I14912" s="13" t="s">
        <v>29165</v>
      </c>
      <c r="J14912" s="14" t="str">
        <f>HYPERLINK("https://www.boe.es/gazeta/dias/1839/01/03/pdfs/GMD-1839-1510.pdf#page=2","Abrir facsímil")</f>
        <v>Abrir facsímil</v>
      </c>
      <c r="K14912" s="12" t="s">
        <v>65</v>
      </c>
    </row>
    <row r="14913" spans="1:11" ht="40.049999999999997" customHeight="1" x14ac:dyDescent="0.25">
      <c r="A14913" s="11" t="s">
        <v>29163</v>
      </c>
      <c r="B14913" s="11" t="s">
        <v>29164</v>
      </c>
      <c r="C14913" s="11" t="s">
        <v>17</v>
      </c>
      <c r="D14913" s="11" t="s">
        <v>18</v>
      </c>
      <c r="E14913" s="12" t="s">
        <v>185</v>
      </c>
      <c r="F14913" s="12" t="s">
        <v>186</v>
      </c>
      <c r="G14913" s="12" t="s">
        <v>40</v>
      </c>
      <c r="H14913" s="11" t="s">
        <v>63</v>
      </c>
      <c r="I14913" s="13" t="s">
        <v>29166</v>
      </c>
      <c r="J14913" s="14" t="str">
        <f>HYPERLINK("https://www.boe.es/gazeta/dias/1839/01/15/pdfs/GMD-1839-1522.pdf#page=2","Abrir facsímil")</f>
        <v>Abrir facsímil</v>
      </c>
      <c r="K14913" s="12" t="s">
        <v>65</v>
      </c>
    </row>
    <row r="14914" spans="1:11" ht="40.049999999999997" customHeight="1" x14ac:dyDescent="0.25">
      <c r="A14914" s="11" t="s">
        <v>29167</v>
      </c>
      <c r="B14914" s="11" t="s">
        <v>29168</v>
      </c>
      <c r="C14914" s="11" t="s">
        <v>17</v>
      </c>
      <c r="D14914" s="11" t="s">
        <v>18</v>
      </c>
      <c r="E14914" s="12" t="s">
        <v>1562</v>
      </c>
      <c r="F14914" s="12" t="s">
        <v>1563</v>
      </c>
      <c r="G14914" s="12" t="s">
        <v>21</v>
      </c>
      <c r="H14914" s="11" t="s">
        <v>63</v>
      </c>
      <c r="I14914" s="13" t="s">
        <v>29169</v>
      </c>
      <c r="J14914" s="14" t="str">
        <f>HYPERLINK("https://www.boe.es/gazeta/dias/1839/04/08/pdfs/GMD-1839-1605.pdf#page=4","Abrir facsímil")</f>
        <v>Abrir facsímil</v>
      </c>
      <c r="K14914" s="12" t="s">
        <v>65</v>
      </c>
    </row>
    <row r="14915" spans="1:11" ht="40.049999999999997" customHeight="1" x14ac:dyDescent="0.25">
      <c r="A14915" s="11" t="s">
        <v>29170</v>
      </c>
      <c r="B14915" s="11" t="s">
        <v>29171</v>
      </c>
      <c r="C14915" s="11" t="s">
        <v>80</v>
      </c>
      <c r="D14915" s="11" t="s">
        <v>18</v>
      </c>
      <c r="E14915" s="12" t="s">
        <v>76</v>
      </c>
      <c r="F14915" s="12" t="s">
        <v>77</v>
      </c>
      <c r="G14915" s="12" t="s">
        <v>21</v>
      </c>
      <c r="H14915" s="11" t="s">
        <v>63</v>
      </c>
      <c r="I14915" s="13" t="s">
        <v>29172</v>
      </c>
      <c r="J14915" s="14" t="str">
        <f>HYPERLINK("https://www.boe.es/gazeta/dias/1839/03/13/pdfs/GMD-1839-1579.pdf#page=4","Abrir facsímil")</f>
        <v>Abrir facsímil</v>
      </c>
      <c r="K14915" s="12" t="s">
        <v>65</v>
      </c>
    </row>
    <row r="14916" spans="1:11" ht="40.049999999999997" customHeight="1" x14ac:dyDescent="0.25">
      <c r="A14916" s="11" t="s">
        <v>29173</v>
      </c>
      <c r="B14916" s="11" t="s">
        <v>29174</v>
      </c>
      <c r="C14916" s="11" t="s">
        <v>80</v>
      </c>
      <c r="D14916" s="11" t="s">
        <v>18</v>
      </c>
      <c r="E14916" s="12" t="s">
        <v>1027</v>
      </c>
      <c r="F14916" s="12" t="s">
        <v>1028</v>
      </c>
      <c r="G14916" s="12" t="s">
        <v>21</v>
      </c>
      <c r="H14916" s="11" t="s">
        <v>63</v>
      </c>
      <c r="I14916" s="13" t="s">
        <v>29175</v>
      </c>
      <c r="J14916" s="14" t="str">
        <f>HYPERLINK("https://www.boe.es/gazeta/dias/1839/08/16/pdfs/GMD-1839-1736.pdf#page=4","Abrir facsímil")</f>
        <v>Abrir facsímil</v>
      </c>
      <c r="K14916" s="12" t="s">
        <v>65</v>
      </c>
    </row>
    <row r="14917" spans="1:11" ht="40.049999999999997" customHeight="1" x14ac:dyDescent="0.25">
      <c r="A14917" s="11" t="s">
        <v>29176</v>
      </c>
      <c r="B14917" s="11" t="s">
        <v>29177</v>
      </c>
      <c r="C14917" s="11" t="s">
        <v>80</v>
      </c>
      <c r="D14917" s="11" t="s">
        <v>18</v>
      </c>
      <c r="E14917" s="12" t="s">
        <v>951</v>
      </c>
      <c r="F14917" s="12" t="s">
        <v>952</v>
      </c>
      <c r="G14917" s="12" t="s">
        <v>21</v>
      </c>
      <c r="H14917" s="11" t="s">
        <v>63</v>
      </c>
      <c r="I14917" s="13" t="s">
        <v>29178</v>
      </c>
      <c r="J14917" s="14" t="str">
        <f>HYPERLINK("https://www.boe.es/gazeta/dias/1839/12/30/pdfs/GMD-1839-1877.pdf#page=4","Abrir facsímil")</f>
        <v>Abrir facsímil</v>
      </c>
      <c r="K14917" s="12" t="s">
        <v>65</v>
      </c>
    </row>
    <row r="14918" spans="1:11" ht="40.049999999999997" customHeight="1" x14ac:dyDescent="0.25">
      <c r="A14918" s="11" t="s">
        <v>29179</v>
      </c>
      <c r="B14918" s="11" t="s">
        <v>29180</v>
      </c>
      <c r="C14918" s="11" t="s">
        <v>17</v>
      </c>
      <c r="D14918" s="11" t="s">
        <v>18</v>
      </c>
      <c r="E14918" s="12" t="s">
        <v>1310</v>
      </c>
      <c r="F14918" s="12" t="s">
        <v>1311</v>
      </c>
      <c r="G14918" s="12" t="s">
        <v>21</v>
      </c>
      <c r="H14918" s="11" t="s">
        <v>63</v>
      </c>
      <c r="I14918" s="13" t="s">
        <v>29181</v>
      </c>
      <c r="J14918" s="14" t="str">
        <f>HYPERLINK("https://www.boe.es/gazeta/dias/1839/04/23/pdfs/GMD-1839-1620.pdf#page=4","Abrir facsímil")</f>
        <v>Abrir facsímil</v>
      </c>
      <c r="K14918" s="12" t="s">
        <v>65</v>
      </c>
    </row>
    <row r="14919" spans="1:11" ht="40.049999999999997" customHeight="1" x14ac:dyDescent="0.25">
      <c r="A14919" s="11" t="s">
        <v>29182</v>
      </c>
      <c r="B14919" s="11" t="s">
        <v>29182</v>
      </c>
      <c r="C14919" s="11" t="s">
        <v>59</v>
      </c>
      <c r="D14919" s="11" t="s">
        <v>60</v>
      </c>
      <c r="E14919" s="12" t="s">
        <v>1332</v>
      </c>
      <c r="F14919" s="12" t="s">
        <v>1333</v>
      </c>
      <c r="G14919" s="12" t="s">
        <v>40</v>
      </c>
      <c r="H14919" s="11" t="s">
        <v>63</v>
      </c>
      <c r="I14919" s="13" t="s">
        <v>29183</v>
      </c>
      <c r="J14919" s="14" t="str">
        <f>HYPERLINK("https://www.boe.es/gazeta/dias/1839/05/04/pdfs/GMD-1839-1631.pdf#page=2","Abrir facsímil")</f>
        <v>Abrir facsímil</v>
      </c>
      <c r="K14919" s="12" t="s">
        <v>65</v>
      </c>
    </row>
    <row r="14920" spans="1:11" ht="40.049999999999997" customHeight="1" x14ac:dyDescent="0.25">
      <c r="A14920" s="11" t="s">
        <v>29184</v>
      </c>
      <c r="B14920" s="11" t="s">
        <v>29184</v>
      </c>
      <c r="C14920" s="11" t="s">
        <v>101</v>
      </c>
      <c r="D14920" s="11" t="s">
        <v>102</v>
      </c>
      <c r="E14920" s="12" t="s">
        <v>5845</v>
      </c>
      <c r="F14920" s="12" t="s">
        <v>5846</v>
      </c>
      <c r="G14920" s="12" t="s">
        <v>40</v>
      </c>
      <c r="H14920" s="11" t="s">
        <v>63</v>
      </c>
      <c r="I14920" s="13" t="s">
        <v>29185</v>
      </c>
      <c r="J14920" s="14" t="str">
        <f>HYPERLINK("https://www.boe.es/gazeta/dias/1839/04/01/pdfs/GMD-1839-1598.pdf#page=2","Abrir facsímil")</f>
        <v>Abrir facsímil</v>
      </c>
      <c r="K14920" s="12" t="s">
        <v>65</v>
      </c>
    </row>
    <row r="14921" spans="1:11" ht="40.049999999999997" customHeight="1" x14ac:dyDescent="0.25">
      <c r="A14921" s="11" t="s">
        <v>29184</v>
      </c>
      <c r="B14921" s="11" t="s">
        <v>29184</v>
      </c>
      <c r="C14921" s="11" t="s">
        <v>137</v>
      </c>
      <c r="D14921" s="11" t="s">
        <v>18</v>
      </c>
      <c r="E14921" s="12" t="s">
        <v>333</v>
      </c>
      <c r="F14921" s="12" t="s">
        <v>334</v>
      </c>
      <c r="G14921" s="12" t="s">
        <v>29</v>
      </c>
      <c r="H14921" s="11" t="s">
        <v>63</v>
      </c>
      <c r="I14921" s="13" t="s">
        <v>29186</v>
      </c>
      <c r="J14921" s="14" t="str">
        <f>HYPERLINK("https://www.boe.es/gazeta/dias/1839/06/11/pdfs/GMD-1839-1669.pdf#page=1","Abrir facsímil")</f>
        <v>Abrir facsímil</v>
      </c>
      <c r="K14921" s="12" t="s">
        <v>65</v>
      </c>
    </row>
    <row r="14922" spans="1:11" ht="40.049999999999997" customHeight="1" x14ac:dyDescent="0.25">
      <c r="A14922" s="11" t="s">
        <v>29184</v>
      </c>
      <c r="B14922" s="11" t="s">
        <v>29184</v>
      </c>
      <c r="C14922" s="11" t="s">
        <v>101</v>
      </c>
      <c r="D14922" s="11" t="s">
        <v>43</v>
      </c>
      <c r="E14922" s="12" t="s">
        <v>128</v>
      </c>
      <c r="F14922" s="12" t="s">
        <v>129</v>
      </c>
      <c r="G14922" s="12" t="s">
        <v>40</v>
      </c>
      <c r="H14922" s="11" t="s">
        <v>63</v>
      </c>
      <c r="I14922" s="13" t="s">
        <v>29187</v>
      </c>
      <c r="J14922" s="14" t="str">
        <f>HYPERLINK("https://www.boe.es/gazeta/dias/1839/05/25/pdfs/GMD-1839-1652.pdf#page=2","Abrir facsímil")</f>
        <v>Abrir facsímil</v>
      </c>
      <c r="K14922" s="12" t="s">
        <v>65</v>
      </c>
    </row>
    <row r="14923" spans="1:11" ht="40.049999999999997" customHeight="1" x14ac:dyDescent="0.25">
      <c r="A14923" s="11" t="s">
        <v>29188</v>
      </c>
      <c r="B14923" s="11" t="s">
        <v>29188</v>
      </c>
      <c r="C14923" s="11" t="s">
        <v>17</v>
      </c>
      <c r="D14923" s="11" t="s">
        <v>18</v>
      </c>
      <c r="E14923" s="12" t="s">
        <v>548</v>
      </c>
      <c r="F14923" s="12" t="s">
        <v>549</v>
      </c>
      <c r="G14923" s="12" t="s">
        <v>40</v>
      </c>
      <c r="H14923" s="11" t="s">
        <v>63</v>
      </c>
      <c r="I14923" s="13" t="s">
        <v>29189</v>
      </c>
      <c r="J14923" s="14" t="str">
        <f>HYPERLINK("https://www.boe.es/gazeta/dias/1839/06/06/pdfs/GMD-1839-1664.pdf#page=2","Abrir facsímil")</f>
        <v>Abrir facsímil</v>
      </c>
      <c r="K14923" s="12" t="s">
        <v>65</v>
      </c>
    </row>
    <row r="14924" spans="1:11" ht="40.049999999999997" customHeight="1" x14ac:dyDescent="0.25">
      <c r="A14924" s="11" t="s">
        <v>29190</v>
      </c>
      <c r="B14924" s="11" t="s">
        <v>29190</v>
      </c>
      <c r="C14924" s="11" t="s">
        <v>80</v>
      </c>
      <c r="D14924" s="11" t="s">
        <v>18</v>
      </c>
      <c r="E14924" s="12" t="s">
        <v>2829</v>
      </c>
      <c r="F14924" s="12" t="s">
        <v>2830</v>
      </c>
      <c r="G14924" s="12" t="s">
        <v>46</v>
      </c>
      <c r="H14924" s="11" t="s">
        <v>63</v>
      </c>
      <c r="I14924" s="13" t="s">
        <v>29191</v>
      </c>
      <c r="J14924" s="14" t="str">
        <f>HYPERLINK("https://www.boe.es/gazeta/dias/1839/07/01/pdfs/GMD-1839-1689.pdf#page=3","Abrir facsímil")</f>
        <v>Abrir facsímil</v>
      </c>
      <c r="K14924" s="12" t="s">
        <v>65</v>
      </c>
    </row>
    <row r="14925" spans="1:11" ht="40.049999999999997" customHeight="1" x14ac:dyDescent="0.25">
      <c r="A14925" s="11" t="s">
        <v>29190</v>
      </c>
      <c r="B14925" s="11" t="s">
        <v>29190</v>
      </c>
      <c r="C14925" s="11" t="s">
        <v>101</v>
      </c>
      <c r="D14925" s="11" t="s">
        <v>43</v>
      </c>
      <c r="E14925" s="12" t="s">
        <v>333</v>
      </c>
      <c r="F14925" s="12" t="s">
        <v>334</v>
      </c>
      <c r="G14925" s="12" t="s">
        <v>29</v>
      </c>
      <c r="H14925" s="11" t="s">
        <v>63</v>
      </c>
      <c r="I14925" s="13" t="s">
        <v>29192</v>
      </c>
      <c r="J14925" s="14" t="str">
        <f>HYPERLINK("https://www.boe.es/gazeta/dias/1839/06/11/pdfs/GMD-1839-1669.pdf#page=1","Abrir facsímil")</f>
        <v>Abrir facsímil</v>
      </c>
      <c r="K14925" s="12" t="s">
        <v>65</v>
      </c>
    </row>
    <row r="14926" spans="1:11" ht="40.049999999999997" customHeight="1" x14ac:dyDescent="0.25">
      <c r="A14926" s="11" t="s">
        <v>29190</v>
      </c>
      <c r="B14926" s="11" t="s">
        <v>29190</v>
      </c>
      <c r="C14926" s="11" t="s">
        <v>59</v>
      </c>
      <c r="D14926" s="11" t="s">
        <v>60</v>
      </c>
      <c r="E14926" s="12" t="s">
        <v>2374</v>
      </c>
      <c r="F14926" s="12" t="s">
        <v>2375</v>
      </c>
      <c r="G14926" s="12" t="s">
        <v>29</v>
      </c>
      <c r="H14926" s="11" t="s">
        <v>63</v>
      </c>
      <c r="I14926" s="13" t="s">
        <v>29193</v>
      </c>
      <c r="J14926" s="14" t="str">
        <f>HYPERLINK("https://www.boe.es/gazeta/dias/1839/06/14/pdfs/GMD-1839-1672.pdf#page=1","Abrir facsímil")</f>
        <v>Abrir facsímil</v>
      </c>
      <c r="K14926" s="12" t="s">
        <v>65</v>
      </c>
    </row>
    <row r="14927" spans="1:11" ht="40.049999999999997" customHeight="1" x14ac:dyDescent="0.25">
      <c r="A14927" s="11" t="s">
        <v>29194</v>
      </c>
      <c r="B14927" s="11" t="s">
        <v>29194</v>
      </c>
      <c r="C14927" s="11" t="s">
        <v>17</v>
      </c>
      <c r="D14927" s="11" t="s">
        <v>18</v>
      </c>
      <c r="E14927" s="12" t="s">
        <v>2227</v>
      </c>
      <c r="F14927" s="12" t="s">
        <v>2228</v>
      </c>
      <c r="G14927" s="12" t="s">
        <v>40</v>
      </c>
      <c r="H14927" s="11" t="s">
        <v>63</v>
      </c>
      <c r="I14927" s="13" t="s">
        <v>29195</v>
      </c>
      <c r="J14927" s="14" t="str">
        <f>HYPERLINK("https://www.boe.es/gazeta/dias/1839/12/04/pdfs/GMD-1839-1851.pdf#page=2","Abrir facsímil")</f>
        <v>Abrir facsímil</v>
      </c>
      <c r="K14927" s="12" t="s">
        <v>65</v>
      </c>
    </row>
    <row r="14928" spans="1:11" ht="40.049999999999997" customHeight="1" x14ac:dyDescent="0.25">
      <c r="A14928" s="11" t="s">
        <v>29196</v>
      </c>
      <c r="B14928" s="11" t="s">
        <v>29196</v>
      </c>
      <c r="C14928" s="11" t="s">
        <v>17</v>
      </c>
      <c r="D14928" s="11" t="s">
        <v>18</v>
      </c>
      <c r="E14928" s="12" t="s">
        <v>1310</v>
      </c>
      <c r="F14928" s="12" t="s">
        <v>1311</v>
      </c>
      <c r="G14928" s="12" t="s">
        <v>29</v>
      </c>
      <c r="H14928" s="11" t="s">
        <v>63</v>
      </c>
      <c r="I14928" s="13" t="s">
        <v>29197</v>
      </c>
      <c r="J14928" s="14" t="str">
        <f>HYPERLINK("https://www.boe.es/gazeta/dias/1839/04/23/pdfs/GMD-1839-1620.pdf#page=1","Abrir facsímil")</f>
        <v>Abrir facsímil</v>
      </c>
      <c r="K14928" s="12" t="s">
        <v>65</v>
      </c>
    </row>
    <row r="14929" spans="1:11" ht="40.049999999999997" customHeight="1" x14ac:dyDescent="0.25">
      <c r="A14929" s="11" t="s">
        <v>29198</v>
      </c>
      <c r="B14929" s="11" t="s">
        <v>29198</v>
      </c>
      <c r="C14929" s="11" t="s">
        <v>17</v>
      </c>
      <c r="D14929" s="11" t="s">
        <v>18</v>
      </c>
      <c r="E14929" s="12" t="s">
        <v>1497</v>
      </c>
      <c r="F14929" s="12" t="s">
        <v>1498</v>
      </c>
      <c r="G14929" s="12" t="s">
        <v>40</v>
      </c>
      <c r="H14929" s="11" t="s">
        <v>63</v>
      </c>
      <c r="I14929" s="13" t="s">
        <v>29199</v>
      </c>
      <c r="J14929" s="14" t="str">
        <f>HYPERLINK("https://www.boe.es/gazeta/dias/1839/08/23/pdfs/GMD-1839-1744.pdf#page=2","Abrir facsímil")</f>
        <v>Abrir facsímil</v>
      </c>
      <c r="K14929" s="12" t="s">
        <v>65</v>
      </c>
    </row>
    <row r="14930" spans="1:11" ht="40.049999999999997" customHeight="1" x14ac:dyDescent="0.25">
      <c r="A14930" s="11" t="s">
        <v>29200</v>
      </c>
      <c r="B14930" s="11" t="s">
        <v>29200</v>
      </c>
      <c r="C14930" s="11" t="s">
        <v>17</v>
      </c>
      <c r="D14930" s="11" t="s">
        <v>18</v>
      </c>
      <c r="E14930" s="12" t="s">
        <v>1374</v>
      </c>
      <c r="F14930" s="12" t="s">
        <v>1375</v>
      </c>
      <c r="G14930" s="12" t="s">
        <v>46</v>
      </c>
      <c r="H14930" s="11" t="s">
        <v>63</v>
      </c>
      <c r="I14930" s="13" t="s">
        <v>29201</v>
      </c>
      <c r="J14930" s="14" t="str">
        <f>HYPERLINK("https://www.boe.es/gazeta/dias/1839/07/20/pdfs/GMD-1839-1708.pdf#page=3","Abrir facsímil")</f>
        <v>Abrir facsímil</v>
      </c>
      <c r="K14930" s="12" t="s">
        <v>65</v>
      </c>
    </row>
    <row r="14931" spans="1:11" ht="40.049999999999997" customHeight="1" x14ac:dyDescent="0.25">
      <c r="A14931" s="11" t="s">
        <v>29202</v>
      </c>
      <c r="B14931" s="11" t="s">
        <v>29203</v>
      </c>
      <c r="C14931" s="11" t="s">
        <v>101</v>
      </c>
      <c r="D14931" s="11" t="s">
        <v>43</v>
      </c>
      <c r="E14931" s="12" t="s">
        <v>381</v>
      </c>
      <c r="F14931" s="12" t="s">
        <v>382</v>
      </c>
      <c r="G14931" s="12" t="s">
        <v>21</v>
      </c>
      <c r="H14931" s="11" t="s">
        <v>63</v>
      </c>
      <c r="I14931" s="13" t="s">
        <v>29204</v>
      </c>
      <c r="J14931" s="14" t="str">
        <f>HYPERLINK("https://www.boe.es/gazeta/dias/1839/06/02/pdfs/GMD-1839-1660.pdf#page=4","Abrir facsímil")</f>
        <v>Abrir facsímil</v>
      </c>
      <c r="K14931" s="12" t="s">
        <v>65</v>
      </c>
    </row>
    <row r="14932" spans="1:11" ht="40.049999999999997" customHeight="1" x14ac:dyDescent="0.25">
      <c r="A14932" s="11" t="s">
        <v>29202</v>
      </c>
      <c r="B14932" s="11" t="s">
        <v>29203</v>
      </c>
      <c r="C14932" s="11" t="s">
        <v>59</v>
      </c>
      <c r="D14932" s="11" t="s">
        <v>60</v>
      </c>
      <c r="E14932" s="12" t="s">
        <v>1606</v>
      </c>
      <c r="F14932" s="12" t="s">
        <v>1607</v>
      </c>
      <c r="G14932" s="12" t="s">
        <v>21</v>
      </c>
      <c r="H14932" s="11" t="s">
        <v>63</v>
      </c>
      <c r="I14932" s="13" t="s">
        <v>29205</v>
      </c>
      <c r="J14932" s="14" t="str">
        <f>HYPERLINK("https://www.boe.es/gazeta/dias/1839/07/02/pdfs/GMD-1839-1690.pdf#page=4","Abrir facsímil")</f>
        <v>Abrir facsímil</v>
      </c>
      <c r="K14932" s="12" t="s">
        <v>65</v>
      </c>
    </row>
    <row r="14933" spans="1:11" ht="40.049999999999997" customHeight="1" x14ac:dyDescent="0.25">
      <c r="A14933" s="11" t="s">
        <v>29202</v>
      </c>
      <c r="B14933" s="11" t="s">
        <v>29203</v>
      </c>
      <c r="C14933" s="11" t="s">
        <v>17</v>
      </c>
      <c r="D14933" s="11" t="s">
        <v>18</v>
      </c>
      <c r="E14933" s="12" t="s">
        <v>3114</v>
      </c>
      <c r="F14933" s="12" t="s">
        <v>3115</v>
      </c>
      <c r="G14933" s="12" t="s">
        <v>29</v>
      </c>
      <c r="H14933" s="11" t="s">
        <v>63</v>
      </c>
      <c r="I14933" s="13" t="s">
        <v>29206</v>
      </c>
      <c r="J14933" s="14" t="str">
        <f>HYPERLINK("https://www.boe.es/gazeta/dias/1839/05/15/pdfs/GMD-1839-1642.pdf#page=1","Abrir facsímil")</f>
        <v>Abrir facsímil</v>
      </c>
      <c r="K14933" s="12" t="s">
        <v>65</v>
      </c>
    </row>
    <row r="14934" spans="1:11" ht="40.049999999999997" customHeight="1" x14ac:dyDescent="0.25">
      <c r="A14934" s="11" t="s">
        <v>29207</v>
      </c>
      <c r="B14934" s="11" t="s">
        <v>29208</v>
      </c>
      <c r="C14934" s="11" t="s">
        <v>17</v>
      </c>
      <c r="D14934" s="11" t="s">
        <v>18</v>
      </c>
      <c r="E14934" s="12" t="s">
        <v>1012</v>
      </c>
      <c r="F14934" s="12" t="s">
        <v>1013</v>
      </c>
      <c r="G14934" s="12" t="s">
        <v>46</v>
      </c>
      <c r="H14934" s="11" t="s">
        <v>63</v>
      </c>
      <c r="I14934" s="13" t="s">
        <v>29209</v>
      </c>
      <c r="J14934" s="14" t="str">
        <f>HYPERLINK("https://www.boe.es/gazeta/dias/1839/11/22/pdfs/GMD-1839-1839.pdf#page=3","Abrir facsímil")</f>
        <v>Abrir facsímil</v>
      </c>
      <c r="K14934" s="12" t="s">
        <v>65</v>
      </c>
    </row>
    <row r="14935" spans="1:11" ht="40.049999999999997" customHeight="1" x14ac:dyDescent="0.25">
      <c r="A14935" s="11" t="s">
        <v>29210</v>
      </c>
      <c r="B14935" s="11" t="s">
        <v>29211</v>
      </c>
      <c r="C14935" s="11" t="s">
        <v>137</v>
      </c>
      <c r="D14935" s="11" t="s">
        <v>18</v>
      </c>
      <c r="E14935" s="12" t="s">
        <v>1614</v>
      </c>
      <c r="F14935" s="12" t="s">
        <v>1615</v>
      </c>
      <c r="G14935" s="12" t="s">
        <v>21</v>
      </c>
      <c r="H14935" s="11" t="s">
        <v>63</v>
      </c>
      <c r="I14935" s="13" t="s">
        <v>29212</v>
      </c>
      <c r="J14935" s="14" t="str">
        <f>HYPERLINK("https://www.boe.es/gazeta/dias/1839/07/03/pdfs/GMD-1839-1691.pdf#page=4","Abrir facsímil")</f>
        <v>Abrir facsímil</v>
      </c>
      <c r="K14935" s="12" t="s">
        <v>65</v>
      </c>
    </row>
    <row r="14936" spans="1:11" ht="40.049999999999997" customHeight="1" x14ac:dyDescent="0.25">
      <c r="A14936" s="11" t="s">
        <v>29213</v>
      </c>
      <c r="B14936" s="11" t="s">
        <v>29214</v>
      </c>
      <c r="C14936" s="11" t="s">
        <v>17</v>
      </c>
      <c r="D14936" s="11" t="s">
        <v>18</v>
      </c>
      <c r="E14936" s="12" t="s">
        <v>1729</v>
      </c>
      <c r="F14936" s="12" t="s">
        <v>1730</v>
      </c>
      <c r="G14936" s="12" t="s">
        <v>21</v>
      </c>
      <c r="H14936" s="11" t="s">
        <v>63</v>
      </c>
      <c r="I14936" s="13" t="s">
        <v>29215</v>
      </c>
      <c r="J14936" s="14" t="str">
        <f>HYPERLINK("https://www.boe.es/gazeta/dias/1839/04/25/pdfs/GMD-1839-1622.pdf#page=4","Abrir facsímil")</f>
        <v>Abrir facsímil</v>
      </c>
      <c r="K14936" s="12" t="s">
        <v>65</v>
      </c>
    </row>
    <row r="14937" spans="1:11" ht="40.049999999999997" customHeight="1" x14ac:dyDescent="0.25">
      <c r="A14937" s="11" t="s">
        <v>29216</v>
      </c>
      <c r="B14937" s="11" t="s">
        <v>29217</v>
      </c>
      <c r="C14937" s="11" t="s">
        <v>17</v>
      </c>
      <c r="D14937" s="11" t="s">
        <v>18</v>
      </c>
      <c r="E14937" s="12" t="s">
        <v>1019</v>
      </c>
      <c r="F14937" s="12" t="s">
        <v>1020</v>
      </c>
      <c r="G14937" s="12" t="s">
        <v>21</v>
      </c>
      <c r="H14937" s="11" t="s">
        <v>22</v>
      </c>
      <c r="I14937" s="13" t="s">
        <v>29218</v>
      </c>
      <c r="J14937" s="14" t="str">
        <f>HYPERLINK("https://www.boe.es/gazeta/dias/1839/07/15/pdfs/GMD-1839-1703.pdf#page=4","Abrir facsímil")</f>
        <v>Abrir facsímil</v>
      </c>
      <c r="K14937" s="12" t="s">
        <v>24</v>
      </c>
    </row>
    <row r="14938" spans="1:11" ht="40.049999999999997" customHeight="1" x14ac:dyDescent="0.25">
      <c r="A14938" s="11" t="s">
        <v>29219</v>
      </c>
      <c r="B14938" s="11" t="s">
        <v>29220</v>
      </c>
      <c r="C14938" s="11" t="s">
        <v>17</v>
      </c>
      <c r="D14938" s="11" t="s">
        <v>18</v>
      </c>
      <c r="E14938" s="12" t="s">
        <v>690</v>
      </c>
      <c r="F14938" s="12" t="s">
        <v>691</v>
      </c>
      <c r="G14938" s="12" t="s">
        <v>21</v>
      </c>
      <c r="H14938" s="11" t="s">
        <v>63</v>
      </c>
      <c r="I14938" s="13" t="s">
        <v>29221</v>
      </c>
      <c r="J14938" s="14" t="str">
        <f>HYPERLINK("https://www.boe.es/gazeta/dias/1839/12/08/pdfs/GMD-1839-1855.pdf#page=4","Abrir facsímil")</f>
        <v>Abrir facsímil</v>
      </c>
      <c r="K14938" s="12" t="s">
        <v>65</v>
      </c>
    </row>
    <row r="14939" spans="1:11" ht="40.049999999999997" customHeight="1" x14ac:dyDescent="0.25">
      <c r="A14939" s="11" t="s">
        <v>29219</v>
      </c>
      <c r="B14939" s="11" t="s">
        <v>29220</v>
      </c>
      <c r="C14939" s="11" t="s">
        <v>17</v>
      </c>
      <c r="D14939" s="11" t="s">
        <v>18</v>
      </c>
      <c r="E14939" s="12" t="s">
        <v>269</v>
      </c>
      <c r="F14939" s="12" t="s">
        <v>270</v>
      </c>
      <c r="G14939" s="12" t="s">
        <v>40</v>
      </c>
      <c r="H14939" s="11" t="s">
        <v>63</v>
      </c>
      <c r="I14939" s="13" t="s">
        <v>29222</v>
      </c>
      <c r="J14939" s="14" t="str">
        <f>HYPERLINK("https://www.boe.es/gazeta/dias/1839/02/10/pdfs/GMD-1839-1548.pdf#page=2","Abrir facsímil")</f>
        <v>Abrir facsímil</v>
      </c>
      <c r="K14939" s="12" t="s">
        <v>65</v>
      </c>
    </row>
    <row r="14940" spans="1:11" ht="40.049999999999997" customHeight="1" x14ac:dyDescent="0.25">
      <c r="A14940" s="11" t="s">
        <v>29219</v>
      </c>
      <c r="B14940" s="11" t="s">
        <v>29220</v>
      </c>
      <c r="C14940" s="11" t="s">
        <v>80</v>
      </c>
      <c r="D14940" s="11" t="s">
        <v>18</v>
      </c>
      <c r="E14940" s="12" t="s">
        <v>1179</v>
      </c>
      <c r="F14940" s="12" t="s">
        <v>1180</v>
      </c>
      <c r="G14940" s="12" t="s">
        <v>305</v>
      </c>
      <c r="H14940" s="11" t="s">
        <v>63</v>
      </c>
      <c r="I14940" s="13" t="s">
        <v>29223</v>
      </c>
      <c r="J14940" s="14" t="str">
        <f>HYPERLINK("https://www.boe.es/gazeta/dias/1839/10/18/pdfs/GMD-1839-1804.pdf#page=6","Abrir facsímil")</f>
        <v>Abrir facsímil</v>
      </c>
      <c r="K14940" s="12" t="s">
        <v>65</v>
      </c>
    </row>
    <row r="14941" spans="1:11" ht="40.049999999999997" customHeight="1" x14ac:dyDescent="0.25">
      <c r="A14941" s="11" t="s">
        <v>29224</v>
      </c>
      <c r="B14941" s="11" t="s">
        <v>29225</v>
      </c>
      <c r="C14941" s="11" t="s">
        <v>80</v>
      </c>
      <c r="D14941" s="11" t="s">
        <v>18</v>
      </c>
      <c r="E14941" s="12" t="s">
        <v>89</v>
      </c>
      <c r="F14941" s="12" t="s">
        <v>90</v>
      </c>
      <c r="G14941" s="12" t="s">
        <v>21</v>
      </c>
      <c r="H14941" s="11" t="s">
        <v>63</v>
      </c>
      <c r="I14941" s="13" t="s">
        <v>29226</v>
      </c>
      <c r="J14941" s="14" t="str">
        <f>HYPERLINK("https://www.boe.es/gazeta/dias/1839/11/28/pdfs/GMD-1839-1845.pdf#page=4","Abrir facsímil")</f>
        <v>Abrir facsímil</v>
      </c>
      <c r="K14941" s="12" t="s">
        <v>65</v>
      </c>
    </row>
    <row r="14942" spans="1:11" ht="40.049999999999997" customHeight="1" x14ac:dyDescent="0.25">
      <c r="A14942" s="11" t="s">
        <v>29227</v>
      </c>
      <c r="B14942" s="11" t="s">
        <v>29228</v>
      </c>
      <c r="C14942" s="11" t="s">
        <v>17</v>
      </c>
      <c r="D14942" s="11" t="s">
        <v>18</v>
      </c>
      <c r="E14942" s="12" t="s">
        <v>266</v>
      </c>
      <c r="F14942" s="12" t="s">
        <v>267</v>
      </c>
      <c r="G14942" s="12" t="s">
        <v>40</v>
      </c>
      <c r="H14942" s="11" t="s">
        <v>22</v>
      </c>
      <c r="I14942" s="13" t="s">
        <v>29229</v>
      </c>
      <c r="J14942" s="14" t="str">
        <f>HYPERLINK("https://www.boe.es/gazeta/dias/1839/01/03/pdfs/GMD-1839-1510.pdf#page=2","Abrir facsímil")</f>
        <v>Abrir facsímil</v>
      </c>
      <c r="K14942" s="12" t="s">
        <v>24</v>
      </c>
    </row>
    <row r="14943" spans="1:11" ht="40.049999999999997" customHeight="1" x14ac:dyDescent="0.25">
      <c r="A14943" s="11" t="s">
        <v>29227</v>
      </c>
      <c r="B14943" s="11" t="s">
        <v>29228</v>
      </c>
      <c r="C14943" s="11" t="s">
        <v>17</v>
      </c>
      <c r="D14943" s="11" t="s">
        <v>18</v>
      </c>
      <c r="E14943" s="12" t="s">
        <v>1388</v>
      </c>
      <c r="F14943" s="12" t="s">
        <v>1389</v>
      </c>
      <c r="G14943" s="12" t="s">
        <v>21</v>
      </c>
      <c r="H14943" s="11" t="s">
        <v>22</v>
      </c>
      <c r="I14943" s="13" t="s">
        <v>29230</v>
      </c>
      <c r="J14943" s="14" t="str">
        <f>HYPERLINK("https://www.boe.es/gazeta/dias/1839/06/04/pdfs/GMD-1839-1662.pdf#page=4","Abrir facsímil")</f>
        <v>Abrir facsímil</v>
      </c>
      <c r="K14943" s="12" t="s">
        <v>24</v>
      </c>
    </row>
    <row r="14944" spans="1:11" ht="40.049999999999997" customHeight="1" x14ac:dyDescent="0.25">
      <c r="A14944" s="11" t="s">
        <v>29227</v>
      </c>
      <c r="B14944" s="11" t="s">
        <v>29228</v>
      </c>
      <c r="C14944" s="11" t="s">
        <v>59</v>
      </c>
      <c r="D14944" s="11" t="s">
        <v>60</v>
      </c>
      <c r="E14944" s="12" t="s">
        <v>61</v>
      </c>
      <c r="F14944" s="12" t="s">
        <v>62</v>
      </c>
      <c r="G14944" s="12" t="s">
        <v>21</v>
      </c>
      <c r="H14944" s="11" t="s">
        <v>22</v>
      </c>
      <c r="I14944" s="13" t="s">
        <v>29231</v>
      </c>
      <c r="J14944" s="14" t="str">
        <f>HYPERLINK("https://www.boe.es/gazeta/dias/1839/09/10/pdfs/GMD-1839-1763.pdf#page=4","Abrir facsímil")</f>
        <v>Abrir facsímil</v>
      </c>
      <c r="K14944" s="12" t="s">
        <v>24</v>
      </c>
    </row>
    <row r="14945" spans="1:11" ht="40.049999999999997" customHeight="1" x14ac:dyDescent="0.25">
      <c r="A14945" s="11" t="s">
        <v>29227</v>
      </c>
      <c r="B14945" s="11" t="s">
        <v>29228</v>
      </c>
      <c r="C14945" s="11" t="s">
        <v>17</v>
      </c>
      <c r="D14945" s="11" t="s">
        <v>18</v>
      </c>
      <c r="E14945" s="12" t="s">
        <v>2919</v>
      </c>
      <c r="F14945" s="12" t="s">
        <v>2920</v>
      </c>
      <c r="G14945" s="12" t="s">
        <v>21</v>
      </c>
      <c r="H14945" s="11" t="s">
        <v>22</v>
      </c>
      <c r="I14945" s="13" t="s">
        <v>29232</v>
      </c>
      <c r="J14945" s="14" t="str">
        <f>HYPERLINK("https://www.boe.es/gazeta/dias/1839/11/12/pdfs/GMD-1839-1829.pdf#page=4","Abrir facsímil")</f>
        <v>Abrir facsímil</v>
      </c>
      <c r="K14945" s="12" t="s">
        <v>24</v>
      </c>
    </row>
    <row r="14946" spans="1:11" ht="40.049999999999997" customHeight="1" x14ac:dyDescent="0.25">
      <c r="A14946" s="11" t="s">
        <v>29227</v>
      </c>
      <c r="B14946" s="11" t="s">
        <v>29228</v>
      </c>
      <c r="C14946" s="11" t="s">
        <v>17</v>
      </c>
      <c r="D14946" s="11" t="s">
        <v>18</v>
      </c>
      <c r="E14946" s="12" t="s">
        <v>510</v>
      </c>
      <c r="F14946" s="12" t="s">
        <v>511</v>
      </c>
      <c r="G14946" s="12" t="s">
        <v>21</v>
      </c>
      <c r="H14946" s="11" t="s">
        <v>22</v>
      </c>
      <c r="I14946" s="13" t="s">
        <v>29233</v>
      </c>
      <c r="J14946" s="14" t="str">
        <f>HYPERLINK("https://www.boe.es/gazeta/dias/1839/05/13/pdfs/GMD-1839-1640.pdf#page=4","Abrir facsímil")</f>
        <v>Abrir facsímil</v>
      </c>
      <c r="K14946" s="12" t="s">
        <v>24</v>
      </c>
    </row>
    <row r="14947" spans="1:11" ht="40.049999999999997" customHeight="1" x14ac:dyDescent="0.25">
      <c r="A14947" s="11" t="s">
        <v>29227</v>
      </c>
      <c r="B14947" s="11" t="s">
        <v>29228</v>
      </c>
      <c r="C14947" s="11" t="s">
        <v>17</v>
      </c>
      <c r="D14947" s="11" t="s">
        <v>18</v>
      </c>
      <c r="E14947" s="12" t="s">
        <v>1019</v>
      </c>
      <c r="F14947" s="12" t="s">
        <v>1020</v>
      </c>
      <c r="G14947" s="12" t="s">
        <v>21</v>
      </c>
      <c r="H14947" s="11" t="s">
        <v>22</v>
      </c>
      <c r="I14947" s="13" t="s">
        <v>29234</v>
      </c>
      <c r="J14947" s="14" t="str">
        <f>HYPERLINK("https://www.boe.es/gazeta/dias/1839/07/15/pdfs/GMD-1839-1703.pdf#page=4","Abrir facsímil")</f>
        <v>Abrir facsímil</v>
      </c>
      <c r="K14947" s="12" t="s">
        <v>24</v>
      </c>
    </row>
    <row r="14948" spans="1:11" ht="40.049999999999997" customHeight="1" x14ac:dyDescent="0.25">
      <c r="A14948" s="11" t="s">
        <v>29227</v>
      </c>
      <c r="B14948" s="11" t="s">
        <v>29228</v>
      </c>
      <c r="C14948" s="11" t="s">
        <v>17</v>
      </c>
      <c r="D14948" s="11" t="s">
        <v>18</v>
      </c>
      <c r="E14948" s="12" t="s">
        <v>1406</v>
      </c>
      <c r="F14948" s="12" t="s">
        <v>1407</v>
      </c>
      <c r="G14948" s="12" t="s">
        <v>21</v>
      </c>
      <c r="H14948" s="11" t="s">
        <v>22</v>
      </c>
      <c r="I14948" s="13" t="s">
        <v>29235</v>
      </c>
      <c r="J14948" s="14" t="str">
        <f>HYPERLINK("https://www.boe.es/gazeta/dias/1839/07/18/pdfs/GMD-1839-1706.pdf#page=4","Abrir facsímil")</f>
        <v>Abrir facsímil</v>
      </c>
      <c r="K14948" s="12" t="s">
        <v>24</v>
      </c>
    </row>
    <row r="14949" spans="1:11" ht="40.049999999999997" customHeight="1" x14ac:dyDescent="0.25">
      <c r="A14949" s="11" t="s">
        <v>29227</v>
      </c>
      <c r="B14949" s="11" t="s">
        <v>29228</v>
      </c>
      <c r="C14949" s="11" t="s">
        <v>59</v>
      </c>
      <c r="D14949" s="11" t="s">
        <v>60</v>
      </c>
      <c r="E14949" s="12" t="s">
        <v>1183</v>
      </c>
      <c r="F14949" s="12" t="s">
        <v>1184</v>
      </c>
      <c r="G14949" s="12" t="s">
        <v>21</v>
      </c>
      <c r="H14949" s="11" t="s">
        <v>22</v>
      </c>
      <c r="I14949" s="13" t="s">
        <v>29236</v>
      </c>
      <c r="J14949" s="14" t="str">
        <f>HYPERLINK("https://www.boe.es/gazeta/dias/1839/07/26/pdfs/GMD-1839-1715.pdf#page=4","Abrir facsímil")</f>
        <v>Abrir facsímil</v>
      </c>
      <c r="K14949" s="12" t="s">
        <v>24</v>
      </c>
    </row>
    <row r="14950" spans="1:11" ht="40.049999999999997" customHeight="1" x14ac:dyDescent="0.25">
      <c r="A14950" s="11" t="s">
        <v>29237</v>
      </c>
      <c r="B14950" s="11" t="s">
        <v>29238</v>
      </c>
      <c r="C14950" s="11" t="s">
        <v>80</v>
      </c>
      <c r="D14950" s="11" t="s">
        <v>18</v>
      </c>
      <c r="E14950" s="12" t="s">
        <v>181</v>
      </c>
      <c r="F14950" s="12" t="s">
        <v>182</v>
      </c>
      <c r="G14950" s="12" t="s">
        <v>21</v>
      </c>
      <c r="H14950" s="11" t="s">
        <v>63</v>
      </c>
      <c r="I14950" s="13" t="s">
        <v>29239</v>
      </c>
      <c r="J14950" s="14" t="str">
        <f>HYPERLINK("https://www.boe.es/gazeta/dias/1839/01/11/pdfs/GMD-1839-1518.pdf#page=4","Abrir facsímil")</f>
        <v>Abrir facsímil</v>
      </c>
      <c r="K14950" s="12" t="s">
        <v>65</v>
      </c>
    </row>
    <row r="14951" spans="1:11" ht="40.049999999999997" customHeight="1" x14ac:dyDescent="0.25">
      <c r="A14951" s="11" t="s">
        <v>29240</v>
      </c>
      <c r="B14951" s="11" t="s">
        <v>29241</v>
      </c>
      <c r="C14951" s="11" t="s">
        <v>59</v>
      </c>
      <c r="D14951" s="11" t="s">
        <v>60</v>
      </c>
      <c r="E14951" s="12" t="s">
        <v>1749</v>
      </c>
      <c r="F14951" s="12" t="s">
        <v>1750</v>
      </c>
      <c r="G14951" s="12" t="s">
        <v>29</v>
      </c>
      <c r="H14951" s="11" t="s">
        <v>63</v>
      </c>
      <c r="I14951" s="13" t="s">
        <v>29242</v>
      </c>
      <c r="J14951" s="14" t="str">
        <f>HYPERLINK("https://www.boe.es/gazeta/dias/1839/06/28/pdfs/GMD-1839-1686.pdf#page=1","Abrir facsímil")</f>
        <v>Abrir facsímil</v>
      </c>
      <c r="K14951" s="12" t="s">
        <v>65</v>
      </c>
    </row>
    <row r="14952" spans="1:11" ht="40.049999999999997" customHeight="1" x14ac:dyDescent="0.25">
      <c r="A14952" s="11" t="s">
        <v>29243</v>
      </c>
      <c r="B14952" s="11" t="s">
        <v>29244</v>
      </c>
      <c r="C14952" s="11" t="s">
        <v>80</v>
      </c>
      <c r="D14952" s="11" t="s">
        <v>18</v>
      </c>
      <c r="E14952" s="12" t="s">
        <v>355</v>
      </c>
      <c r="F14952" s="12" t="s">
        <v>356</v>
      </c>
      <c r="G14952" s="12" t="s">
        <v>21</v>
      </c>
      <c r="H14952" s="11" t="s">
        <v>63</v>
      </c>
      <c r="I14952" s="13" t="s">
        <v>29245</v>
      </c>
      <c r="J14952" s="14" t="str">
        <f>HYPERLINK("https://www.boe.es/gazeta/dias/1839/05/31/pdfs/GMD-1839-1658.pdf#page=4","Abrir facsímil")</f>
        <v>Abrir facsímil</v>
      </c>
      <c r="K14952" s="12" t="s">
        <v>65</v>
      </c>
    </row>
    <row r="14953" spans="1:11" ht="40.049999999999997" customHeight="1" x14ac:dyDescent="0.25">
      <c r="A14953" s="11" t="s">
        <v>29246</v>
      </c>
      <c r="B14953" s="11" t="s">
        <v>29247</v>
      </c>
      <c r="C14953" s="11" t="s">
        <v>17</v>
      </c>
      <c r="D14953" s="11" t="s">
        <v>18</v>
      </c>
      <c r="E14953" s="12" t="s">
        <v>1008</v>
      </c>
      <c r="F14953" s="12" t="s">
        <v>1009</v>
      </c>
      <c r="G14953" s="12" t="s">
        <v>46</v>
      </c>
      <c r="H14953" s="11" t="s">
        <v>63</v>
      </c>
      <c r="I14953" s="13" t="s">
        <v>29248</v>
      </c>
      <c r="J14953" s="14" t="str">
        <f>HYPERLINK("https://www.boe.es/gazeta/dias/1839/09/07/pdfs/GMD-1839-1760.pdf#page=3","Abrir facsímil")</f>
        <v>Abrir facsímil</v>
      </c>
      <c r="K14953" s="12" t="s">
        <v>65</v>
      </c>
    </row>
    <row r="14954" spans="1:11" ht="40.049999999999997" customHeight="1" x14ac:dyDescent="0.25">
      <c r="A14954" s="11" t="s">
        <v>29249</v>
      </c>
      <c r="B14954" s="11" t="s">
        <v>29250</v>
      </c>
      <c r="C14954" s="11" t="s">
        <v>17</v>
      </c>
      <c r="D14954" s="11" t="s">
        <v>18</v>
      </c>
      <c r="E14954" s="12" t="s">
        <v>2374</v>
      </c>
      <c r="F14954" s="12" t="s">
        <v>2375</v>
      </c>
      <c r="G14954" s="12" t="s">
        <v>46</v>
      </c>
      <c r="H14954" s="11" t="s">
        <v>63</v>
      </c>
      <c r="I14954" s="13" t="s">
        <v>29251</v>
      </c>
      <c r="J14954" s="14" t="str">
        <f>HYPERLINK("https://www.boe.es/gazeta/dias/1839/06/14/pdfs/GMD-1839-1672.pdf#page=3","Abrir facsímil")</f>
        <v>Abrir facsímil</v>
      </c>
      <c r="K14954" s="12" t="s">
        <v>65</v>
      </c>
    </row>
    <row r="14955" spans="1:11" ht="40.049999999999997" customHeight="1" x14ac:dyDescent="0.25">
      <c r="A14955" s="11" t="s">
        <v>29252</v>
      </c>
      <c r="B14955" s="11" t="s">
        <v>29253</v>
      </c>
      <c r="C14955" s="11" t="s">
        <v>17</v>
      </c>
      <c r="D14955" s="11" t="s">
        <v>18</v>
      </c>
      <c r="E14955" s="12" t="s">
        <v>462</v>
      </c>
      <c r="F14955" s="12" t="s">
        <v>463</v>
      </c>
      <c r="G14955" s="12" t="s">
        <v>46</v>
      </c>
      <c r="H14955" s="11" t="s">
        <v>22</v>
      </c>
      <c r="I14955" s="13" t="s">
        <v>29254</v>
      </c>
      <c r="J14955" s="14" t="str">
        <f>HYPERLINK("https://www.boe.es/gazeta/dias/1839/06/19/pdfs/GMD-1839-1677.pdf#page=3","Abrir facsímil")</f>
        <v>Abrir facsímil</v>
      </c>
      <c r="K14955" s="12" t="s">
        <v>24</v>
      </c>
    </row>
    <row r="14956" spans="1:11" ht="40.049999999999997" customHeight="1" x14ac:dyDescent="0.25">
      <c r="A14956" s="11" t="s">
        <v>29255</v>
      </c>
      <c r="B14956" s="11" t="s">
        <v>29256</v>
      </c>
      <c r="C14956" s="11" t="s">
        <v>137</v>
      </c>
      <c r="D14956" s="11" t="s">
        <v>18</v>
      </c>
      <c r="E14956" s="12" t="s">
        <v>438</v>
      </c>
      <c r="F14956" s="12" t="s">
        <v>439</v>
      </c>
      <c r="G14956" s="12" t="s">
        <v>21</v>
      </c>
      <c r="H14956" s="11" t="s">
        <v>63</v>
      </c>
      <c r="I14956" s="13" t="s">
        <v>29257</v>
      </c>
      <c r="J14956" s="14" t="str">
        <f>HYPERLINK("https://www.boe.es/gazeta/dias/1839/07/17/pdfs/GMD-1839-1705.pdf#page=4","Abrir facsímil")</f>
        <v>Abrir facsímil</v>
      </c>
      <c r="K14956" s="12" t="s">
        <v>65</v>
      </c>
    </row>
    <row r="14957" spans="1:11" ht="40.049999999999997" customHeight="1" x14ac:dyDescent="0.25">
      <c r="A14957" s="11" t="s">
        <v>29258</v>
      </c>
      <c r="B14957" s="11" t="s">
        <v>29259</v>
      </c>
      <c r="C14957" s="11" t="s">
        <v>101</v>
      </c>
      <c r="D14957" s="11" t="s">
        <v>102</v>
      </c>
      <c r="E14957" s="12" t="s">
        <v>892</v>
      </c>
      <c r="F14957" s="12" t="s">
        <v>893</v>
      </c>
      <c r="G14957" s="12" t="s">
        <v>21</v>
      </c>
      <c r="H14957" s="11" t="s">
        <v>63</v>
      </c>
      <c r="I14957" s="13" t="s">
        <v>29260</v>
      </c>
      <c r="J14957" s="14" t="str">
        <f>HYPERLINK("https://www.boe.es/gazeta/dias/1839/12/28/pdfs/GMD-1839-1875.pdf#page=4","Abrir facsímil")</f>
        <v>Abrir facsímil</v>
      </c>
      <c r="K14957" s="12" t="s">
        <v>65</v>
      </c>
    </row>
    <row r="14958" spans="1:11" ht="40.049999999999997" customHeight="1" x14ac:dyDescent="0.25">
      <c r="A14958" s="11" t="s">
        <v>29261</v>
      </c>
      <c r="B14958" s="11" t="s">
        <v>29262</v>
      </c>
      <c r="C14958" s="11" t="s">
        <v>17</v>
      </c>
      <c r="D14958" s="11" t="s">
        <v>18</v>
      </c>
      <c r="E14958" s="12" t="s">
        <v>116</v>
      </c>
      <c r="F14958" s="12" t="s">
        <v>117</v>
      </c>
      <c r="G14958" s="12" t="s">
        <v>46</v>
      </c>
      <c r="H14958" s="11" t="s">
        <v>63</v>
      </c>
      <c r="I14958" s="13" t="s">
        <v>29263</v>
      </c>
      <c r="J14958" s="14" t="str">
        <f>HYPERLINK("https://www.boe.es/gazeta/dias/1839/10/10/pdfs/GMD-1839-1796.pdf#page=3","Abrir facsímil")</f>
        <v>Abrir facsímil</v>
      </c>
      <c r="K14958" s="12" t="s">
        <v>65</v>
      </c>
    </row>
    <row r="14959" spans="1:11" ht="40.049999999999997" customHeight="1" x14ac:dyDescent="0.25">
      <c r="A14959" s="11" t="s">
        <v>29264</v>
      </c>
      <c r="B14959" s="11" t="s">
        <v>29265</v>
      </c>
      <c r="C14959" s="11" t="s">
        <v>101</v>
      </c>
      <c r="D14959" s="11" t="s">
        <v>43</v>
      </c>
      <c r="E14959" s="12" t="s">
        <v>258</v>
      </c>
      <c r="F14959" s="12" t="s">
        <v>259</v>
      </c>
      <c r="G14959" s="12" t="s">
        <v>46</v>
      </c>
      <c r="H14959" s="11" t="s">
        <v>22</v>
      </c>
      <c r="I14959" s="13" t="s">
        <v>29266</v>
      </c>
      <c r="J14959" s="14" t="str">
        <f>HYPERLINK("https://www.boe.es/gazeta/dias/1839/01/02/pdfs/GMD-1839-1509.pdf#page=3","Abrir facsímil")</f>
        <v>Abrir facsímil</v>
      </c>
      <c r="K14959" s="12" t="s">
        <v>24</v>
      </c>
    </row>
    <row r="14960" spans="1:11" ht="40.049999999999997" customHeight="1" x14ac:dyDescent="0.25">
      <c r="A14960" s="11" t="s">
        <v>29267</v>
      </c>
      <c r="B14960" s="11" t="s">
        <v>29268</v>
      </c>
      <c r="C14960" s="11" t="s">
        <v>137</v>
      </c>
      <c r="D14960" s="11" t="s">
        <v>18</v>
      </c>
      <c r="E14960" s="12" t="s">
        <v>1813</v>
      </c>
      <c r="F14960" s="12" t="s">
        <v>1814</v>
      </c>
      <c r="G14960" s="12" t="s">
        <v>21</v>
      </c>
      <c r="H14960" s="11" t="s">
        <v>63</v>
      </c>
      <c r="I14960" s="13" t="s">
        <v>29269</v>
      </c>
      <c r="J14960" s="14" t="str">
        <f>HYPERLINK("https://www.boe.es/gazeta/dias/1839/09/02/pdfs/GMD-1839-1754.pdf#page=4","Abrir facsímil")</f>
        <v>Abrir facsímil</v>
      </c>
      <c r="K14960" s="12" t="s">
        <v>65</v>
      </c>
    </row>
    <row r="14961" spans="1:11" ht="40.049999999999997" customHeight="1" x14ac:dyDescent="0.25">
      <c r="A14961" s="11" t="s">
        <v>29270</v>
      </c>
      <c r="B14961" s="11" t="s">
        <v>29271</v>
      </c>
      <c r="C14961" s="11" t="s">
        <v>101</v>
      </c>
      <c r="D14961" s="11" t="s">
        <v>43</v>
      </c>
      <c r="E14961" s="12" t="s">
        <v>1433</v>
      </c>
      <c r="F14961" s="12" t="s">
        <v>1434</v>
      </c>
      <c r="G14961" s="12" t="s">
        <v>40</v>
      </c>
      <c r="H14961" s="11" t="s">
        <v>22</v>
      </c>
      <c r="I14961" s="13" t="s">
        <v>29272</v>
      </c>
      <c r="J14961" s="14" t="str">
        <f>HYPERLINK("https://www.boe.es/gazeta/dias/1839/10/22/pdfs/GMD-1839-1808.pdf#page=2","Abrir facsímil")</f>
        <v>Abrir facsímil</v>
      </c>
      <c r="K14961" s="12" t="s">
        <v>24</v>
      </c>
    </row>
    <row r="14962" spans="1:11" ht="40.049999999999997" customHeight="1" x14ac:dyDescent="0.25">
      <c r="A14962" s="11" t="s">
        <v>29273</v>
      </c>
      <c r="B14962" s="11" t="s">
        <v>29274</v>
      </c>
      <c r="C14962" s="11" t="s">
        <v>101</v>
      </c>
      <c r="D14962" s="11" t="s">
        <v>43</v>
      </c>
      <c r="E14962" s="12" t="s">
        <v>685</v>
      </c>
      <c r="F14962" s="12" t="s">
        <v>686</v>
      </c>
      <c r="G14962" s="12" t="s">
        <v>21</v>
      </c>
      <c r="H14962" s="11" t="s">
        <v>63</v>
      </c>
      <c r="I14962" s="13" t="s">
        <v>29275</v>
      </c>
      <c r="J14962" s="14" t="str">
        <f>HYPERLINK("https://www.boe.es/gazeta/dias/1839/06/18/pdfs/GMD-1839-1676.pdf#page=4","Abrir facsímil")</f>
        <v>Abrir facsímil</v>
      </c>
      <c r="K14962" s="12" t="s">
        <v>65</v>
      </c>
    </row>
    <row r="14963" spans="1:11" ht="40.049999999999997" customHeight="1" x14ac:dyDescent="0.25">
      <c r="A14963" s="11" t="s">
        <v>29276</v>
      </c>
      <c r="B14963" s="11" t="s">
        <v>29277</v>
      </c>
      <c r="C14963" s="11" t="s">
        <v>17</v>
      </c>
      <c r="D14963" s="11" t="s">
        <v>18</v>
      </c>
      <c r="E14963" s="12" t="s">
        <v>601</v>
      </c>
      <c r="F14963" s="12" t="s">
        <v>602</v>
      </c>
      <c r="G14963" s="12" t="s">
        <v>21</v>
      </c>
      <c r="H14963" s="11" t="s">
        <v>63</v>
      </c>
      <c r="I14963" s="13" t="s">
        <v>29278</v>
      </c>
      <c r="J14963" s="14" t="str">
        <f>HYPERLINK("https://www.boe.es/gazeta/dias/1839/04/21/pdfs/GMD-1839-1618.pdf#page=4","Abrir facsímil")</f>
        <v>Abrir facsímil</v>
      </c>
      <c r="K14963" s="12" t="s">
        <v>65</v>
      </c>
    </row>
    <row r="14964" spans="1:11" ht="40.049999999999997" customHeight="1" x14ac:dyDescent="0.25">
      <c r="A14964" s="11" t="s">
        <v>29279</v>
      </c>
      <c r="B14964" s="11" t="s">
        <v>29280</v>
      </c>
      <c r="C14964" s="11" t="s">
        <v>17</v>
      </c>
      <c r="D14964" s="11" t="s">
        <v>18</v>
      </c>
      <c r="E14964" s="12" t="s">
        <v>365</v>
      </c>
      <c r="F14964" s="12" t="s">
        <v>366</v>
      </c>
      <c r="G14964" s="12" t="s">
        <v>40</v>
      </c>
      <c r="H14964" s="11" t="s">
        <v>63</v>
      </c>
      <c r="I14964" s="13" t="s">
        <v>29281</v>
      </c>
      <c r="J14964" s="14" t="str">
        <f>HYPERLINK("https://www.boe.es/gazeta/dias/1839/08/14/pdfs/GMD-1839-1734.pdf#page=2","Abrir facsímil")</f>
        <v>Abrir facsímil</v>
      </c>
      <c r="K14964" s="12" t="s">
        <v>65</v>
      </c>
    </row>
    <row r="14965" spans="1:11" ht="40.049999999999997" customHeight="1" x14ac:dyDescent="0.25">
      <c r="A14965" s="11" t="s">
        <v>29282</v>
      </c>
      <c r="B14965" s="11" t="s">
        <v>29283</v>
      </c>
      <c r="C14965" s="11" t="s">
        <v>80</v>
      </c>
      <c r="D14965" s="11" t="s">
        <v>18</v>
      </c>
      <c r="E14965" s="12" t="s">
        <v>951</v>
      </c>
      <c r="F14965" s="12" t="s">
        <v>952</v>
      </c>
      <c r="G14965" s="12" t="s">
        <v>21</v>
      </c>
      <c r="H14965" s="11" t="s">
        <v>63</v>
      </c>
      <c r="I14965" s="13" t="s">
        <v>29284</v>
      </c>
      <c r="J14965" s="14" t="str">
        <f>HYPERLINK("https://www.boe.es/gazeta/dias/1839/12/30/pdfs/GMD-1839-1877.pdf#page=4","Abrir facsímil")</f>
        <v>Abrir facsímil</v>
      </c>
      <c r="K14965" s="12" t="s">
        <v>65</v>
      </c>
    </row>
    <row r="14966" spans="1:11" ht="40.049999999999997" customHeight="1" x14ac:dyDescent="0.25">
      <c r="A14966" s="11" t="s">
        <v>29285</v>
      </c>
      <c r="B14966" s="11" t="s">
        <v>29286</v>
      </c>
      <c r="C14966" s="11" t="s">
        <v>80</v>
      </c>
      <c r="D14966" s="11" t="s">
        <v>18</v>
      </c>
      <c r="E14966" s="12" t="s">
        <v>690</v>
      </c>
      <c r="F14966" s="12" t="s">
        <v>691</v>
      </c>
      <c r="G14966" s="12" t="s">
        <v>21</v>
      </c>
      <c r="H14966" s="11" t="s">
        <v>63</v>
      </c>
      <c r="I14966" s="13" t="s">
        <v>29287</v>
      </c>
      <c r="J14966" s="14" t="str">
        <f>HYPERLINK("https://www.boe.es/gazeta/dias/1839/12/08/pdfs/GMD-1839-1855.pdf#page=4","Abrir facsímil")</f>
        <v>Abrir facsímil</v>
      </c>
      <c r="K14966" s="12" t="s">
        <v>65</v>
      </c>
    </row>
    <row r="14967" spans="1:11" ht="40.049999999999997" customHeight="1" x14ac:dyDescent="0.25">
      <c r="A14967" s="11" t="s">
        <v>29288</v>
      </c>
      <c r="B14967" s="11" t="s">
        <v>29289</v>
      </c>
      <c r="C14967" s="11" t="s">
        <v>17</v>
      </c>
      <c r="D14967" s="11" t="s">
        <v>18</v>
      </c>
      <c r="E14967" s="12" t="s">
        <v>548</v>
      </c>
      <c r="F14967" s="12" t="s">
        <v>549</v>
      </c>
      <c r="G14967" s="12" t="s">
        <v>21</v>
      </c>
      <c r="H14967" s="11" t="s">
        <v>63</v>
      </c>
      <c r="I14967" s="13" t="s">
        <v>29290</v>
      </c>
      <c r="J14967" s="14" t="str">
        <f>HYPERLINK("https://www.boe.es/gazeta/dias/1839/06/06/pdfs/GMD-1839-1664.pdf#page=4","Abrir facsímil")</f>
        <v>Abrir facsímil</v>
      </c>
      <c r="K14967" s="12" t="s">
        <v>65</v>
      </c>
    </row>
    <row r="14968" spans="1:11" ht="40.049999999999997" customHeight="1" x14ac:dyDescent="0.25">
      <c r="A14968" s="11" t="s">
        <v>29288</v>
      </c>
      <c r="B14968" s="11" t="s">
        <v>29289</v>
      </c>
      <c r="C14968" s="11" t="s">
        <v>17</v>
      </c>
      <c r="D14968" s="11" t="s">
        <v>18</v>
      </c>
      <c r="E14968" s="12" t="s">
        <v>582</v>
      </c>
      <c r="F14968" s="12" t="s">
        <v>583</v>
      </c>
      <c r="G14968" s="12" t="s">
        <v>21</v>
      </c>
      <c r="H14968" s="11" t="s">
        <v>63</v>
      </c>
      <c r="I14968" s="13" t="s">
        <v>29291</v>
      </c>
      <c r="J14968" s="14" t="str">
        <f>HYPERLINK("https://www.boe.es/gazeta/dias/1839/11/09/pdfs/GMD-1839-1826.pdf#page=4","Abrir facsímil")</f>
        <v>Abrir facsímil</v>
      </c>
      <c r="K14968" s="12" t="s">
        <v>65</v>
      </c>
    </row>
    <row r="14969" spans="1:11" ht="40.049999999999997" customHeight="1" x14ac:dyDescent="0.25">
      <c r="A14969" s="11" t="s">
        <v>29288</v>
      </c>
      <c r="B14969" s="11" t="s">
        <v>29289</v>
      </c>
      <c r="C14969" s="11" t="s">
        <v>17</v>
      </c>
      <c r="D14969" s="11" t="s">
        <v>18</v>
      </c>
      <c r="E14969" s="12" t="s">
        <v>116</v>
      </c>
      <c r="F14969" s="12" t="s">
        <v>117</v>
      </c>
      <c r="G14969" s="12" t="s">
        <v>46</v>
      </c>
      <c r="H14969" s="11" t="s">
        <v>63</v>
      </c>
      <c r="I14969" s="13" t="s">
        <v>29292</v>
      </c>
      <c r="J14969" s="14" t="str">
        <f>HYPERLINK("https://www.boe.es/gazeta/dias/1839/10/10/pdfs/GMD-1839-1796.pdf#page=3","Abrir facsímil")</f>
        <v>Abrir facsímil</v>
      </c>
      <c r="K14969" s="12" t="s">
        <v>65</v>
      </c>
    </row>
    <row r="14970" spans="1:11" ht="40.049999999999997" customHeight="1" x14ac:dyDescent="0.25">
      <c r="A14970" s="11" t="s">
        <v>29288</v>
      </c>
      <c r="B14970" s="11" t="s">
        <v>29289</v>
      </c>
      <c r="C14970" s="11" t="s">
        <v>17</v>
      </c>
      <c r="D14970" s="11" t="s">
        <v>18</v>
      </c>
      <c r="E14970" s="12" t="s">
        <v>163</v>
      </c>
      <c r="F14970" s="12" t="s">
        <v>164</v>
      </c>
      <c r="G14970" s="12" t="s">
        <v>29</v>
      </c>
      <c r="H14970" s="11" t="s">
        <v>63</v>
      </c>
      <c r="I14970" s="13" t="s">
        <v>29293</v>
      </c>
      <c r="J14970" s="14" t="str">
        <f>HYPERLINK("https://www.boe.es/gazeta/dias/1839/01/13/pdfs/GMD-1839-1520.pdf#page=1","Abrir facsímil")</f>
        <v>Abrir facsímil</v>
      </c>
      <c r="K14970" s="12" t="s">
        <v>65</v>
      </c>
    </row>
    <row r="14971" spans="1:11" ht="40.049999999999997" customHeight="1" x14ac:dyDescent="0.25">
      <c r="A14971" s="11" t="s">
        <v>29288</v>
      </c>
      <c r="B14971" s="11" t="s">
        <v>29289</v>
      </c>
      <c r="C14971" s="11" t="s">
        <v>137</v>
      </c>
      <c r="D14971" s="11" t="s">
        <v>18</v>
      </c>
      <c r="E14971" s="12" t="s">
        <v>1729</v>
      </c>
      <c r="F14971" s="12" t="s">
        <v>1730</v>
      </c>
      <c r="G14971" s="12" t="s">
        <v>21</v>
      </c>
      <c r="H14971" s="11" t="s">
        <v>63</v>
      </c>
      <c r="I14971" s="13" t="s">
        <v>29294</v>
      </c>
      <c r="J14971" s="14" t="str">
        <f>HYPERLINK("https://www.boe.es/gazeta/dias/1839/04/25/pdfs/GMD-1839-1622.pdf#page=4","Abrir facsímil")</f>
        <v>Abrir facsímil</v>
      </c>
      <c r="K14971" s="12" t="s">
        <v>65</v>
      </c>
    </row>
    <row r="14972" spans="1:11" ht="40.049999999999997" customHeight="1" x14ac:dyDescent="0.25">
      <c r="A14972" s="11" t="s">
        <v>29295</v>
      </c>
      <c r="B14972" s="11" t="s">
        <v>29296</v>
      </c>
      <c r="C14972" s="11" t="s">
        <v>17</v>
      </c>
      <c r="D14972" s="11" t="s">
        <v>18</v>
      </c>
      <c r="E14972" s="12" t="s">
        <v>907</v>
      </c>
      <c r="F14972" s="12" t="s">
        <v>908</v>
      </c>
      <c r="G14972" s="12" t="s">
        <v>21</v>
      </c>
      <c r="H14972" s="11" t="s">
        <v>63</v>
      </c>
      <c r="I14972" s="13" t="s">
        <v>29297</v>
      </c>
      <c r="J14972" s="14" t="str">
        <f>HYPERLINK("https://www.boe.es/gazeta/dias/1839/07/31/pdfs/GMD-1839-1720.pdf#page=4","Abrir facsímil")</f>
        <v>Abrir facsímil</v>
      </c>
      <c r="K14972" s="12" t="s">
        <v>65</v>
      </c>
    </row>
    <row r="14973" spans="1:11" ht="40.049999999999997" customHeight="1" x14ac:dyDescent="0.25">
      <c r="A14973" s="11" t="s">
        <v>29298</v>
      </c>
      <c r="B14973" s="11" t="s">
        <v>29299</v>
      </c>
      <c r="C14973" s="11" t="s">
        <v>137</v>
      </c>
      <c r="D14973" s="11" t="s">
        <v>18</v>
      </c>
      <c r="E14973" s="12" t="s">
        <v>2215</v>
      </c>
      <c r="F14973" s="12" t="s">
        <v>2216</v>
      </c>
      <c r="G14973" s="12" t="s">
        <v>21</v>
      </c>
      <c r="H14973" s="11" t="s">
        <v>63</v>
      </c>
      <c r="I14973" s="13" t="s">
        <v>29300</v>
      </c>
      <c r="J14973" s="14" t="str">
        <f>HYPERLINK("https://www.boe.es/gazeta/dias/1839/07/21/pdfs/GMD-1839-1709.pdf#page=4","Abrir facsímil")</f>
        <v>Abrir facsímil</v>
      </c>
      <c r="K14973" s="12" t="s">
        <v>65</v>
      </c>
    </row>
    <row r="14974" spans="1:11" ht="40.049999999999997" customHeight="1" x14ac:dyDescent="0.25">
      <c r="A14974" s="11" t="s">
        <v>29301</v>
      </c>
      <c r="B14974" s="11" t="s">
        <v>29302</v>
      </c>
      <c r="C14974" s="11" t="s">
        <v>17</v>
      </c>
      <c r="D14974" s="11" t="s">
        <v>18</v>
      </c>
      <c r="E14974" s="12" t="s">
        <v>258</v>
      </c>
      <c r="F14974" s="12" t="s">
        <v>259</v>
      </c>
      <c r="G14974" s="12" t="s">
        <v>46</v>
      </c>
      <c r="H14974" s="11" t="s">
        <v>22</v>
      </c>
      <c r="I14974" s="13" t="s">
        <v>29303</v>
      </c>
      <c r="J14974" s="14" t="str">
        <f>HYPERLINK("https://www.boe.es/gazeta/dias/1839/01/02/pdfs/GMD-1839-1509.pdf#page=3","Abrir facsímil")</f>
        <v>Abrir facsímil</v>
      </c>
      <c r="K14974" s="12" t="s">
        <v>24</v>
      </c>
    </row>
    <row r="14975" spans="1:11" ht="40.049999999999997" customHeight="1" x14ac:dyDescent="0.25">
      <c r="A14975" s="11" t="s">
        <v>29304</v>
      </c>
      <c r="B14975" s="11" t="s">
        <v>29305</v>
      </c>
      <c r="C14975" s="11" t="s">
        <v>80</v>
      </c>
      <c r="D14975" s="11" t="s">
        <v>18</v>
      </c>
      <c r="E14975" s="12" t="s">
        <v>736</v>
      </c>
      <c r="F14975" s="12" t="s">
        <v>737</v>
      </c>
      <c r="G14975" s="12" t="s">
        <v>21</v>
      </c>
      <c r="H14975" s="11" t="s">
        <v>63</v>
      </c>
      <c r="I14975" s="13" t="s">
        <v>29306</v>
      </c>
      <c r="J14975" s="14" t="str">
        <f>HYPERLINK("https://www.boe.es/gazeta/dias/1839/10/13/pdfs/GMD-1839-1799.pdf#page=4","Abrir facsímil")</f>
        <v>Abrir facsímil</v>
      </c>
      <c r="K14975" s="12" t="s">
        <v>65</v>
      </c>
    </row>
    <row r="14976" spans="1:11" ht="40.049999999999997" customHeight="1" x14ac:dyDescent="0.25">
      <c r="A14976" s="11" t="s">
        <v>29307</v>
      </c>
      <c r="B14976" s="11" t="s">
        <v>29308</v>
      </c>
      <c r="C14976" s="11" t="s">
        <v>59</v>
      </c>
      <c r="D14976" s="11" t="s">
        <v>60</v>
      </c>
      <c r="E14976" s="12" t="s">
        <v>462</v>
      </c>
      <c r="F14976" s="12" t="s">
        <v>463</v>
      </c>
      <c r="G14976" s="12" t="s">
        <v>46</v>
      </c>
      <c r="H14976" s="11" t="s">
        <v>63</v>
      </c>
      <c r="I14976" s="13" t="s">
        <v>29309</v>
      </c>
      <c r="J14976" s="14" t="str">
        <f>HYPERLINK("https://www.boe.es/gazeta/dias/1839/06/19/pdfs/GMD-1839-1677.pdf#page=3","Abrir facsímil")</f>
        <v>Abrir facsímil</v>
      </c>
      <c r="K14976" s="12" t="s">
        <v>65</v>
      </c>
    </row>
    <row r="14977" spans="1:11" ht="40.049999999999997" customHeight="1" x14ac:dyDescent="0.25">
      <c r="A14977" s="11" t="s">
        <v>29310</v>
      </c>
      <c r="B14977" s="11" t="s">
        <v>29311</v>
      </c>
      <c r="C14977" s="11" t="s">
        <v>80</v>
      </c>
      <c r="D14977" s="11" t="s">
        <v>173</v>
      </c>
      <c r="E14977" s="12" t="s">
        <v>907</v>
      </c>
      <c r="F14977" s="12" t="s">
        <v>908</v>
      </c>
      <c r="G14977" s="12" t="s">
        <v>21</v>
      </c>
      <c r="H14977" s="11" t="s">
        <v>63</v>
      </c>
      <c r="I14977" s="13" t="s">
        <v>29312</v>
      </c>
      <c r="J14977" s="14" t="str">
        <f>HYPERLINK("https://www.boe.es/gazeta/dias/1839/07/31/pdfs/GMD-1839-1720.pdf#page=4","Abrir facsímil")</f>
        <v>Abrir facsímil</v>
      </c>
      <c r="K14977" s="12" t="s">
        <v>65</v>
      </c>
    </row>
    <row r="14978" spans="1:11" ht="40.049999999999997" customHeight="1" x14ac:dyDescent="0.25">
      <c r="A14978" s="11" t="s">
        <v>29313</v>
      </c>
      <c r="B14978" s="11" t="s">
        <v>29314</v>
      </c>
      <c r="C14978" s="11" t="s">
        <v>101</v>
      </c>
      <c r="D14978" s="11" t="s">
        <v>43</v>
      </c>
      <c r="E14978" s="12" t="s">
        <v>303</v>
      </c>
      <c r="F14978" s="12" t="s">
        <v>304</v>
      </c>
      <c r="G14978" s="12" t="s">
        <v>305</v>
      </c>
      <c r="H14978" s="11" t="s">
        <v>63</v>
      </c>
      <c r="I14978" s="13" t="s">
        <v>29315</v>
      </c>
      <c r="J14978" s="14" t="str">
        <f>HYPERLINK("https://www.boe.es/gazeta/dias/1839/10/06/pdfs/GMD-1839-1792.pdf#page=6","Abrir facsímil")</f>
        <v>Abrir facsímil</v>
      </c>
      <c r="K14978" s="12" t="s">
        <v>65</v>
      </c>
    </row>
    <row r="14979" spans="1:11" ht="40.049999999999997" customHeight="1" x14ac:dyDescent="0.25">
      <c r="A14979" s="11" t="s">
        <v>29316</v>
      </c>
      <c r="B14979" s="11" t="s">
        <v>29317</v>
      </c>
      <c r="C14979" s="11" t="s">
        <v>17</v>
      </c>
      <c r="D14979" s="11" t="s">
        <v>18</v>
      </c>
      <c r="E14979" s="12" t="s">
        <v>690</v>
      </c>
      <c r="F14979" s="12" t="s">
        <v>691</v>
      </c>
      <c r="G14979" s="12" t="s">
        <v>21</v>
      </c>
      <c r="H14979" s="11" t="s">
        <v>63</v>
      </c>
      <c r="I14979" s="13" t="s">
        <v>29318</v>
      </c>
      <c r="J14979" s="14" t="str">
        <f>HYPERLINK("https://www.boe.es/gazeta/dias/1839/12/08/pdfs/GMD-1839-1855.pdf#page=4","Abrir facsímil")</f>
        <v>Abrir facsímil</v>
      </c>
      <c r="K14979" s="12" t="s">
        <v>65</v>
      </c>
    </row>
    <row r="14980" spans="1:11" ht="40.049999999999997" customHeight="1" x14ac:dyDescent="0.25">
      <c r="A14980" s="11" t="s">
        <v>29319</v>
      </c>
      <c r="B14980" s="11" t="s">
        <v>29320</v>
      </c>
      <c r="C14980" s="11" t="s">
        <v>137</v>
      </c>
      <c r="D14980" s="11" t="s">
        <v>18</v>
      </c>
      <c r="E14980" s="12" t="s">
        <v>1008</v>
      </c>
      <c r="F14980" s="12" t="s">
        <v>1009</v>
      </c>
      <c r="G14980" s="12" t="s">
        <v>40</v>
      </c>
      <c r="H14980" s="11" t="s">
        <v>63</v>
      </c>
      <c r="I14980" s="13" t="s">
        <v>29321</v>
      </c>
      <c r="J14980" s="14" t="str">
        <f>HYPERLINK("https://www.boe.es/gazeta/dias/1839/09/07/pdfs/GMD-1839-1760.pdf#page=2","Abrir facsímil")</f>
        <v>Abrir facsímil</v>
      </c>
      <c r="K14980" s="12" t="s">
        <v>65</v>
      </c>
    </row>
    <row r="14981" spans="1:11" ht="40.049999999999997" customHeight="1" x14ac:dyDescent="0.25">
      <c r="A14981" s="11" t="s">
        <v>29322</v>
      </c>
      <c r="B14981" s="11" t="s">
        <v>29323</v>
      </c>
      <c r="C14981" s="11" t="s">
        <v>17</v>
      </c>
      <c r="D14981" s="11" t="s">
        <v>18</v>
      </c>
      <c r="E14981" s="12" t="s">
        <v>154</v>
      </c>
      <c r="F14981" s="12" t="s">
        <v>155</v>
      </c>
      <c r="G14981" s="12" t="s">
        <v>29</v>
      </c>
      <c r="H14981" s="11" t="s">
        <v>63</v>
      </c>
      <c r="I14981" s="13" t="s">
        <v>29324</v>
      </c>
      <c r="J14981" s="14" t="str">
        <f>HYPERLINK("https://www.boe.es/gazeta/dias/1839/02/02/pdfs/GMD-1839-1540.pdf#page=1","Abrir facsímil")</f>
        <v>Abrir facsímil</v>
      </c>
      <c r="K14981" s="12" t="s">
        <v>65</v>
      </c>
    </row>
    <row r="14982" spans="1:11" ht="40.049999999999997" customHeight="1" x14ac:dyDescent="0.25">
      <c r="A14982" s="11" t="s">
        <v>29325</v>
      </c>
      <c r="B14982" s="11" t="s">
        <v>29326</v>
      </c>
      <c r="C14982" s="11" t="s">
        <v>17</v>
      </c>
      <c r="D14982" s="11" t="s">
        <v>18</v>
      </c>
      <c r="E14982" s="12" t="s">
        <v>3566</v>
      </c>
      <c r="F14982" s="12" t="s">
        <v>3567</v>
      </c>
      <c r="G14982" s="12" t="s">
        <v>46</v>
      </c>
      <c r="H14982" s="11" t="s">
        <v>63</v>
      </c>
      <c r="I14982" s="13" t="s">
        <v>29327</v>
      </c>
      <c r="J14982" s="14" t="str">
        <f>HYPERLINK("https://www.boe.es/gazeta/dias/1839/07/06/pdfs/GMD-1839-1694.pdf#page=3","Abrir facsímil")</f>
        <v>Abrir facsímil</v>
      </c>
      <c r="K14982" s="12" t="s">
        <v>65</v>
      </c>
    </row>
    <row r="14983" spans="1:11" ht="40.049999999999997" customHeight="1" x14ac:dyDescent="0.25">
      <c r="A14983" s="11" t="s">
        <v>29328</v>
      </c>
      <c r="B14983" s="11" t="s">
        <v>29329</v>
      </c>
      <c r="C14983" s="11" t="s">
        <v>17</v>
      </c>
      <c r="D14983" s="11" t="s">
        <v>18</v>
      </c>
      <c r="E14983" s="12" t="s">
        <v>1654</v>
      </c>
      <c r="F14983" s="12" t="s">
        <v>1655</v>
      </c>
      <c r="G14983" s="12" t="s">
        <v>21</v>
      </c>
      <c r="H14983" s="11" t="s">
        <v>63</v>
      </c>
      <c r="I14983" s="13" t="s">
        <v>29330</v>
      </c>
      <c r="J14983" s="14" t="str">
        <f>HYPERLINK("https://www.boe.es/gazeta/dias/1839/11/19/pdfs/GMD-1839-1836.pdf#page=4","Abrir facsímil")</f>
        <v>Abrir facsímil</v>
      </c>
      <c r="K14983" s="12" t="s">
        <v>65</v>
      </c>
    </row>
    <row r="14984" spans="1:11" ht="40.049999999999997" customHeight="1" x14ac:dyDescent="0.25">
      <c r="A14984" s="11" t="s">
        <v>29331</v>
      </c>
      <c r="B14984" s="11" t="s">
        <v>29332</v>
      </c>
      <c r="C14984" s="11" t="s">
        <v>17</v>
      </c>
      <c r="D14984" s="11" t="s">
        <v>18</v>
      </c>
      <c r="E14984" s="12" t="s">
        <v>844</v>
      </c>
      <c r="F14984" s="12" t="s">
        <v>845</v>
      </c>
      <c r="G14984" s="12" t="s">
        <v>21</v>
      </c>
      <c r="H14984" s="11" t="s">
        <v>63</v>
      </c>
      <c r="I14984" s="13" t="s">
        <v>29333</v>
      </c>
      <c r="J14984" s="14" t="str">
        <f>HYPERLINK("https://www.boe.es/gazeta/dias/1839/12/24/pdfs/GMD-1839-1871.pdf#page=4","Abrir facsímil")</f>
        <v>Abrir facsímil</v>
      </c>
      <c r="K14984" s="12" t="s">
        <v>65</v>
      </c>
    </row>
    <row r="14985" spans="1:11" ht="40.049999999999997" customHeight="1" x14ac:dyDescent="0.25">
      <c r="A14985" s="11" t="s">
        <v>29334</v>
      </c>
      <c r="B14985" s="11" t="s">
        <v>29335</v>
      </c>
      <c r="C14985" s="11" t="s">
        <v>17</v>
      </c>
      <c r="D14985" s="11" t="s">
        <v>18</v>
      </c>
      <c r="E14985" s="12" t="s">
        <v>3601</v>
      </c>
      <c r="F14985" s="12" t="s">
        <v>3602</v>
      </c>
      <c r="G14985" s="12" t="s">
        <v>29</v>
      </c>
      <c r="H14985" s="11" t="s">
        <v>63</v>
      </c>
      <c r="I14985" s="13" t="s">
        <v>29336</v>
      </c>
      <c r="J14985" s="14" t="str">
        <f>HYPERLINK("https://www.boe.es/gazeta/dias/1839/03/21/pdfs/GMD-1839-1587.pdf#page=1","Abrir facsímil")</f>
        <v>Abrir facsímil</v>
      </c>
      <c r="K14985" s="12" t="s">
        <v>65</v>
      </c>
    </row>
    <row r="14986" spans="1:11" ht="40.049999999999997" customHeight="1" x14ac:dyDescent="0.25">
      <c r="A14986" s="11" t="s">
        <v>29337</v>
      </c>
      <c r="B14986" s="11" t="s">
        <v>29338</v>
      </c>
      <c r="C14986" s="11" t="s">
        <v>59</v>
      </c>
      <c r="D14986" s="11" t="s">
        <v>60</v>
      </c>
      <c r="E14986" s="12" t="s">
        <v>324</v>
      </c>
      <c r="F14986" s="12" t="s">
        <v>325</v>
      </c>
      <c r="G14986" s="12" t="s">
        <v>46</v>
      </c>
      <c r="H14986" s="11" t="s">
        <v>63</v>
      </c>
      <c r="I14986" s="13" t="s">
        <v>29339</v>
      </c>
      <c r="J14986" s="14" t="str">
        <f>HYPERLINK("https://www.boe.es/gazeta/dias/1839/02/04/pdfs/GMD-1839-1542.pdf#page=3","Abrir facsímil")</f>
        <v>Abrir facsímil</v>
      </c>
      <c r="K14986" s="12" t="s">
        <v>65</v>
      </c>
    </row>
    <row r="14987" spans="1:11" ht="40.049999999999997" customHeight="1" x14ac:dyDescent="0.25">
      <c r="A14987" s="11" t="s">
        <v>29340</v>
      </c>
      <c r="B14987" s="11" t="s">
        <v>29341</v>
      </c>
      <c r="C14987" s="11" t="s">
        <v>80</v>
      </c>
      <c r="D14987" s="11" t="s">
        <v>18</v>
      </c>
      <c r="E14987" s="12" t="s">
        <v>375</v>
      </c>
      <c r="F14987" s="12" t="s">
        <v>376</v>
      </c>
      <c r="G14987" s="12" t="s">
        <v>21</v>
      </c>
      <c r="H14987" s="11" t="s">
        <v>63</v>
      </c>
      <c r="I14987" s="13" t="s">
        <v>29342</v>
      </c>
      <c r="J14987" s="14" t="str">
        <f>HYPERLINK("https://www.boe.es/gazeta/dias/1839/11/25/pdfs/GMD-1839-1842.pdf#page=4","Abrir facsímil")</f>
        <v>Abrir facsímil</v>
      </c>
      <c r="K14987" s="12" t="s">
        <v>65</v>
      </c>
    </row>
    <row r="14988" spans="1:11" ht="40.049999999999997" customHeight="1" x14ac:dyDescent="0.25">
      <c r="A14988" s="11" t="s">
        <v>29343</v>
      </c>
      <c r="B14988" s="11" t="s">
        <v>29344</v>
      </c>
      <c r="C14988" s="11" t="s">
        <v>17</v>
      </c>
      <c r="D14988" s="11" t="s">
        <v>18</v>
      </c>
      <c r="E14988" s="12" t="s">
        <v>346</v>
      </c>
      <c r="F14988" s="12" t="s">
        <v>347</v>
      </c>
      <c r="G14988" s="12" t="s">
        <v>29</v>
      </c>
      <c r="H14988" s="11" t="s">
        <v>63</v>
      </c>
      <c r="I14988" s="13" t="s">
        <v>29345</v>
      </c>
      <c r="J14988" s="14" t="str">
        <f>HYPERLINK("https://www.boe.es/gazeta/dias/1839/03/24/pdfs/GMD-1839-1590.pdf#page=1","Abrir facsímil")</f>
        <v>Abrir facsímil</v>
      </c>
      <c r="K14988" s="12" t="s">
        <v>65</v>
      </c>
    </row>
    <row r="14989" spans="1:11" ht="40.049999999999997" customHeight="1" x14ac:dyDescent="0.25">
      <c r="A14989" s="11" t="s">
        <v>29346</v>
      </c>
      <c r="B14989" s="11" t="s">
        <v>29347</v>
      </c>
      <c r="C14989" s="11" t="s">
        <v>17</v>
      </c>
      <c r="D14989" s="11" t="s">
        <v>18</v>
      </c>
      <c r="E14989" s="12" t="s">
        <v>1813</v>
      </c>
      <c r="F14989" s="12" t="s">
        <v>1814</v>
      </c>
      <c r="G14989" s="12" t="s">
        <v>21</v>
      </c>
      <c r="H14989" s="11" t="s">
        <v>22</v>
      </c>
      <c r="I14989" s="13" t="s">
        <v>29348</v>
      </c>
      <c r="J14989" s="14" t="str">
        <f>HYPERLINK("https://www.boe.es/gazeta/dias/1839/09/02/pdfs/GMD-1839-1754.pdf#page=4","Abrir facsímil")</f>
        <v>Abrir facsímil</v>
      </c>
      <c r="K14989" s="12" t="s">
        <v>24</v>
      </c>
    </row>
    <row r="14990" spans="1:11" ht="40.049999999999997" customHeight="1" x14ac:dyDescent="0.25">
      <c r="A14990" s="11" t="s">
        <v>29349</v>
      </c>
      <c r="B14990" s="11" t="s">
        <v>29350</v>
      </c>
      <c r="C14990" s="11" t="s">
        <v>80</v>
      </c>
      <c r="D14990" s="11" t="s">
        <v>18</v>
      </c>
      <c r="E14990" s="12" t="s">
        <v>197</v>
      </c>
      <c r="F14990" s="12" t="s">
        <v>198</v>
      </c>
      <c r="G14990" s="12" t="s">
        <v>46</v>
      </c>
      <c r="H14990" s="11" t="s">
        <v>63</v>
      </c>
      <c r="I14990" s="13" t="s">
        <v>29351</v>
      </c>
      <c r="J14990" s="14" t="str">
        <f>HYPERLINK("https://www.boe.es/gazeta/dias/1839/10/04/pdfs/GMD-1839-1790.pdf#page=3","Abrir facsímil")</f>
        <v>Abrir facsímil</v>
      </c>
      <c r="K14990" s="12" t="s">
        <v>65</v>
      </c>
    </row>
    <row r="14991" spans="1:11" ht="40.049999999999997" customHeight="1" x14ac:dyDescent="0.25">
      <c r="A14991" s="11" t="s">
        <v>29352</v>
      </c>
      <c r="B14991" s="11" t="s">
        <v>29353</v>
      </c>
      <c r="C14991" s="11" t="s">
        <v>17</v>
      </c>
      <c r="D14991" s="11" t="s">
        <v>18</v>
      </c>
      <c r="E14991" s="12" t="s">
        <v>695</v>
      </c>
      <c r="F14991" s="12" t="s">
        <v>696</v>
      </c>
      <c r="G14991" s="12" t="s">
        <v>46</v>
      </c>
      <c r="H14991" s="11" t="s">
        <v>63</v>
      </c>
      <c r="I14991" s="13" t="s">
        <v>29354</v>
      </c>
      <c r="J14991" s="14" t="str">
        <f>HYPERLINK("https://www.boe.es/gazeta/dias/1839/12/19/pdfs/GMD-1839-1866.pdf#page=3","Abrir facsímil")</f>
        <v>Abrir facsímil</v>
      </c>
      <c r="K14991" s="12" t="s">
        <v>65</v>
      </c>
    </row>
    <row r="14992" spans="1:11" ht="40.049999999999997" customHeight="1" x14ac:dyDescent="0.25">
      <c r="A14992" s="11" t="s">
        <v>29355</v>
      </c>
      <c r="B14992" s="11" t="s">
        <v>29356</v>
      </c>
      <c r="C14992" s="11" t="s">
        <v>101</v>
      </c>
      <c r="D14992" s="11" t="s">
        <v>43</v>
      </c>
      <c r="E14992" s="12" t="s">
        <v>148</v>
      </c>
      <c r="F14992" s="12" t="s">
        <v>149</v>
      </c>
      <c r="G14992" s="12" t="s">
        <v>21</v>
      </c>
      <c r="H14992" s="11" t="s">
        <v>63</v>
      </c>
      <c r="I14992" s="13" t="s">
        <v>29357</v>
      </c>
      <c r="J14992" s="14" t="str">
        <f>HYPERLINK("https://www.boe.es/gazeta/dias/1839/07/16/pdfs/GMD-1839-1704.pdf#page=4","Abrir facsímil")</f>
        <v>Abrir facsímil</v>
      </c>
      <c r="K14992" s="12" t="s">
        <v>65</v>
      </c>
    </row>
    <row r="14993" spans="1:11" ht="40.049999999999997" customHeight="1" x14ac:dyDescent="0.25">
      <c r="A14993" s="11" t="s">
        <v>29358</v>
      </c>
      <c r="B14993" s="11" t="s">
        <v>29359</v>
      </c>
      <c r="C14993" s="11" t="s">
        <v>17</v>
      </c>
      <c r="D14993" s="11" t="s">
        <v>18</v>
      </c>
      <c r="E14993" s="12" t="s">
        <v>462</v>
      </c>
      <c r="F14993" s="12" t="s">
        <v>463</v>
      </c>
      <c r="G14993" s="12" t="s">
        <v>46</v>
      </c>
      <c r="H14993" s="11" t="s">
        <v>22</v>
      </c>
      <c r="I14993" s="13" t="s">
        <v>29360</v>
      </c>
      <c r="J14993" s="14" t="str">
        <f>HYPERLINK("https://www.boe.es/gazeta/dias/1839/06/19/pdfs/GMD-1839-1677.pdf#page=3","Abrir facsímil")</f>
        <v>Abrir facsímil</v>
      </c>
      <c r="K14993" s="12" t="s">
        <v>24</v>
      </c>
    </row>
    <row r="14994" spans="1:11" ht="40.049999999999997" customHeight="1" x14ac:dyDescent="0.25">
      <c r="A14994" s="11" t="s">
        <v>29361</v>
      </c>
      <c r="B14994" s="11" t="s">
        <v>29362</v>
      </c>
      <c r="C14994" s="11" t="s">
        <v>17</v>
      </c>
      <c r="D14994" s="11" t="s">
        <v>18</v>
      </c>
      <c r="E14994" s="12" t="s">
        <v>809</v>
      </c>
      <c r="F14994" s="12" t="s">
        <v>810</v>
      </c>
      <c r="G14994" s="12" t="s">
        <v>29</v>
      </c>
      <c r="H14994" s="11" t="s">
        <v>63</v>
      </c>
      <c r="I14994" s="13" t="s">
        <v>29363</v>
      </c>
      <c r="J14994" s="14" t="str">
        <f>HYPERLINK("https://www.boe.es/gazeta/dias/1839/02/11/pdfs/GMD-1839-1549.pdf#page=1","Abrir facsímil")</f>
        <v>Abrir facsímil</v>
      </c>
      <c r="K14994" s="12" t="s">
        <v>65</v>
      </c>
    </row>
    <row r="14995" spans="1:11" ht="40.049999999999997" customHeight="1" x14ac:dyDescent="0.25">
      <c r="A14995" s="11" t="s">
        <v>29364</v>
      </c>
      <c r="B14995" s="11" t="s">
        <v>29365</v>
      </c>
      <c r="C14995" s="11" t="s">
        <v>17</v>
      </c>
      <c r="D14995" s="11" t="s">
        <v>18</v>
      </c>
      <c r="E14995" s="12" t="s">
        <v>2432</v>
      </c>
      <c r="F14995" s="12" t="s">
        <v>2581</v>
      </c>
      <c r="G14995" s="12" t="s">
        <v>29</v>
      </c>
      <c r="H14995" s="11" t="s">
        <v>63</v>
      </c>
      <c r="I14995" s="13" t="s">
        <v>29366</v>
      </c>
      <c r="J14995" s="14" t="str">
        <f>HYPERLINK("https://www.boe.es/gazeta/dias/1839/07/23/pdfs/GMD-1839-1711.pdf#page=1","Abrir facsímil")</f>
        <v>Abrir facsímil</v>
      </c>
      <c r="K14995" s="12" t="s">
        <v>65</v>
      </c>
    </row>
    <row r="14996" spans="1:11" ht="40.049999999999997" customHeight="1" x14ac:dyDescent="0.25">
      <c r="A14996" s="11" t="s">
        <v>29367</v>
      </c>
      <c r="B14996" s="11" t="s">
        <v>29368</v>
      </c>
      <c r="C14996" s="11" t="s">
        <v>137</v>
      </c>
      <c r="D14996" s="11" t="s">
        <v>18</v>
      </c>
      <c r="E14996" s="12" t="s">
        <v>2222</v>
      </c>
      <c r="F14996" s="12" t="s">
        <v>2223</v>
      </c>
      <c r="G14996" s="12" t="s">
        <v>46</v>
      </c>
      <c r="H14996" s="11" t="s">
        <v>63</v>
      </c>
      <c r="I14996" s="13" t="s">
        <v>29369</v>
      </c>
      <c r="J14996" s="14" t="str">
        <f>HYPERLINK("https://www.boe.es/gazeta/dias/1839/09/19/pdfs/GMD-1839-1773.pdf#page=3","Abrir facsímil")</f>
        <v>Abrir facsímil</v>
      </c>
      <c r="K14996" s="12" t="s">
        <v>65</v>
      </c>
    </row>
    <row r="14997" spans="1:11" ht="40.049999999999997" customHeight="1" x14ac:dyDescent="0.25">
      <c r="A14997" s="11" t="s">
        <v>29370</v>
      </c>
      <c r="B14997" s="11" t="s">
        <v>29371</v>
      </c>
      <c r="C14997" s="11" t="s">
        <v>17</v>
      </c>
      <c r="D14997" s="11" t="s">
        <v>18</v>
      </c>
      <c r="E14997" s="12" t="s">
        <v>254</v>
      </c>
      <c r="F14997" s="12" t="s">
        <v>255</v>
      </c>
      <c r="G14997" s="12" t="s">
        <v>21</v>
      </c>
      <c r="H14997" s="11" t="s">
        <v>63</v>
      </c>
      <c r="I14997" s="13" t="s">
        <v>29372</v>
      </c>
      <c r="J14997" s="14" t="str">
        <f>HYPERLINK("https://www.boe.es/gazeta/dias/1839/09/12/pdfs/GMD-1839-1765.pdf#page=4","Abrir facsímil")</f>
        <v>Abrir facsímil</v>
      </c>
      <c r="K14997" s="12" t="s">
        <v>65</v>
      </c>
    </row>
    <row r="14998" spans="1:11" ht="40.049999999999997" customHeight="1" x14ac:dyDescent="0.25">
      <c r="A14998" s="11" t="s">
        <v>29373</v>
      </c>
      <c r="B14998" s="11" t="s">
        <v>29374</v>
      </c>
      <c r="C14998" s="11" t="s">
        <v>17</v>
      </c>
      <c r="D14998" s="11" t="s">
        <v>18</v>
      </c>
      <c r="E14998" s="12" t="s">
        <v>369</v>
      </c>
      <c r="F14998" s="12" t="s">
        <v>370</v>
      </c>
      <c r="G14998" s="12" t="s">
        <v>46</v>
      </c>
      <c r="H14998" s="11" t="s">
        <v>63</v>
      </c>
      <c r="I14998" s="13" t="s">
        <v>29375</v>
      </c>
      <c r="J14998" s="14" t="str">
        <f>HYPERLINK("https://www.boe.es/gazeta/dias/1839/11/01/pdfs/GMD-1839-1818.pdf#page=3","Abrir facsímil")</f>
        <v>Abrir facsímil</v>
      </c>
      <c r="K14998" s="12" t="s">
        <v>65</v>
      </c>
    </row>
    <row r="14999" spans="1:11" ht="40.049999999999997" customHeight="1" x14ac:dyDescent="0.25">
      <c r="A14999" s="11" t="s">
        <v>29376</v>
      </c>
      <c r="B14999" s="11" t="s">
        <v>29377</v>
      </c>
      <c r="C14999" s="11" t="s">
        <v>17</v>
      </c>
      <c r="D14999" s="11" t="s">
        <v>18</v>
      </c>
      <c r="E14999" s="12" t="s">
        <v>1565</v>
      </c>
      <c r="F14999" s="12" t="s">
        <v>1566</v>
      </c>
      <c r="G14999" s="12" t="s">
        <v>21</v>
      </c>
      <c r="H14999" s="11" t="s">
        <v>63</v>
      </c>
      <c r="I14999" s="13" t="s">
        <v>29378</v>
      </c>
      <c r="J14999" s="14" t="str">
        <f>HYPERLINK("https://www.boe.es/gazeta/dias/1839/06/17/pdfs/GMD-1839-1675.pdf#page=4","Abrir facsímil")</f>
        <v>Abrir facsímil</v>
      </c>
      <c r="K14999" s="12" t="s">
        <v>65</v>
      </c>
    </row>
    <row r="15000" spans="1:11" ht="40.049999999999997" customHeight="1" x14ac:dyDescent="0.25">
      <c r="A15000" s="11" t="s">
        <v>29379</v>
      </c>
      <c r="B15000" s="11" t="s">
        <v>29380</v>
      </c>
      <c r="C15000" s="11" t="s">
        <v>80</v>
      </c>
      <c r="D15000" s="11" t="s">
        <v>18</v>
      </c>
      <c r="E15000" s="12" t="s">
        <v>1909</v>
      </c>
      <c r="F15000" s="12" t="s">
        <v>1910</v>
      </c>
      <c r="G15000" s="12" t="s">
        <v>21</v>
      </c>
      <c r="H15000" s="11" t="s">
        <v>63</v>
      </c>
      <c r="I15000" s="13" t="s">
        <v>29381</v>
      </c>
      <c r="J15000" s="14" t="str">
        <f>HYPERLINK("https://www.boe.es/gazeta/dias/1839/10/27/pdfs/GMD-1839-1813.pdf#page=4","Abrir facsímil")</f>
        <v>Abrir facsímil</v>
      </c>
      <c r="K15000" s="12" t="s">
        <v>65</v>
      </c>
    </row>
    <row r="15001" spans="1:11" ht="40.049999999999997" customHeight="1" x14ac:dyDescent="0.25">
      <c r="A15001" s="11" t="s">
        <v>29382</v>
      </c>
      <c r="B15001" s="11" t="s">
        <v>29383</v>
      </c>
      <c r="C15001" s="11" t="s">
        <v>17</v>
      </c>
      <c r="D15001" s="11" t="s">
        <v>18</v>
      </c>
      <c r="E15001" s="12" t="s">
        <v>303</v>
      </c>
      <c r="F15001" s="12" t="s">
        <v>304</v>
      </c>
      <c r="G15001" s="12" t="s">
        <v>305</v>
      </c>
      <c r="H15001" s="11" t="s">
        <v>63</v>
      </c>
      <c r="I15001" s="13" t="s">
        <v>29384</v>
      </c>
      <c r="J15001" s="14" t="str">
        <f>HYPERLINK("https://www.boe.es/gazeta/dias/1839/10/06/pdfs/GMD-1839-1792.pdf#page=6","Abrir facsímil")</f>
        <v>Abrir facsímil</v>
      </c>
      <c r="K15001" s="12" t="s">
        <v>65</v>
      </c>
    </row>
    <row r="15002" spans="1:11" ht="40.049999999999997" customHeight="1" x14ac:dyDescent="0.25">
      <c r="A15002" s="11" t="s">
        <v>29385</v>
      </c>
      <c r="B15002" s="11" t="s">
        <v>29386</v>
      </c>
      <c r="C15002" s="11" t="s">
        <v>59</v>
      </c>
      <c r="D15002" s="11" t="s">
        <v>60</v>
      </c>
      <c r="E15002" s="12" t="s">
        <v>1374</v>
      </c>
      <c r="F15002" s="12" t="s">
        <v>1375</v>
      </c>
      <c r="G15002" s="12" t="s">
        <v>29</v>
      </c>
      <c r="H15002" s="11" t="s">
        <v>63</v>
      </c>
      <c r="I15002" s="13" t="s">
        <v>29387</v>
      </c>
      <c r="J15002" s="14" t="str">
        <f>HYPERLINK("https://www.boe.es/gazeta/dias/1839/07/20/pdfs/GMD-1839-1708.pdf#page=1","Abrir facsímil")</f>
        <v>Abrir facsímil</v>
      </c>
      <c r="K15002" s="12" t="s">
        <v>65</v>
      </c>
    </row>
    <row r="15003" spans="1:11" ht="40.049999999999997" customHeight="1" x14ac:dyDescent="0.25">
      <c r="A15003" s="11" t="s">
        <v>29388</v>
      </c>
      <c r="B15003" s="11" t="s">
        <v>29389</v>
      </c>
      <c r="C15003" s="11" t="s">
        <v>80</v>
      </c>
      <c r="D15003" s="11" t="s">
        <v>173</v>
      </c>
      <c r="E15003" s="12" t="s">
        <v>2440</v>
      </c>
      <c r="F15003" s="12" t="s">
        <v>2441</v>
      </c>
      <c r="G15003" s="12" t="s">
        <v>21</v>
      </c>
      <c r="H15003" s="11" t="s">
        <v>22</v>
      </c>
      <c r="I15003" s="13" t="s">
        <v>29390</v>
      </c>
      <c r="J15003" s="14" t="str">
        <f>HYPERLINK("https://www.boe.es/gazeta/dias/1839/12/01/pdfs/GMD-1839-1848.pdf#page=4","Abrir facsímil")</f>
        <v>Abrir facsímil</v>
      </c>
      <c r="K15003" s="12" t="s">
        <v>24</v>
      </c>
    </row>
    <row r="15004" spans="1:11" ht="40.049999999999997" customHeight="1" x14ac:dyDescent="0.25">
      <c r="A15004" s="11" t="s">
        <v>29391</v>
      </c>
      <c r="B15004" s="11" t="s">
        <v>29392</v>
      </c>
      <c r="C15004" s="11" t="s">
        <v>17</v>
      </c>
      <c r="D15004" s="11" t="s">
        <v>18</v>
      </c>
      <c r="E15004" s="12" t="s">
        <v>798</v>
      </c>
      <c r="F15004" s="12" t="s">
        <v>799</v>
      </c>
      <c r="G15004" s="12" t="s">
        <v>21</v>
      </c>
      <c r="H15004" s="11" t="s">
        <v>63</v>
      </c>
      <c r="I15004" s="13" t="s">
        <v>29393</v>
      </c>
      <c r="J15004" s="14" t="str">
        <f>HYPERLINK("https://www.boe.es/gazeta/dias/1839/09/03/pdfs/GMD-1839-1755.pdf#page=4","Abrir facsímil")</f>
        <v>Abrir facsímil</v>
      </c>
      <c r="K15004" s="12" t="s">
        <v>65</v>
      </c>
    </row>
    <row r="15005" spans="1:11" ht="40.049999999999997" customHeight="1" x14ac:dyDescent="0.25">
      <c r="A15005" s="11" t="s">
        <v>29394</v>
      </c>
      <c r="B15005" s="11" t="s">
        <v>29395</v>
      </c>
      <c r="C15005" s="11" t="s">
        <v>17</v>
      </c>
      <c r="D15005" s="11" t="s">
        <v>18</v>
      </c>
      <c r="E15005" s="12" t="s">
        <v>405</v>
      </c>
      <c r="F15005" s="12" t="s">
        <v>406</v>
      </c>
      <c r="G15005" s="12" t="s">
        <v>29</v>
      </c>
      <c r="H15005" s="11" t="s">
        <v>63</v>
      </c>
      <c r="I15005" s="13" t="s">
        <v>29396</v>
      </c>
      <c r="J15005" s="14" t="str">
        <f>HYPERLINK("https://www.boe.es/gazeta/dias/1839/03/25/pdfs/GMD-1839-1591.pdf#page=1","Abrir facsímil")</f>
        <v>Abrir facsímil</v>
      </c>
      <c r="K15005" s="12" t="s">
        <v>65</v>
      </c>
    </row>
    <row r="15006" spans="1:11" ht="40.049999999999997" customHeight="1" x14ac:dyDescent="0.25">
      <c r="A15006" s="11" t="s">
        <v>29397</v>
      </c>
      <c r="B15006" s="11" t="s">
        <v>29398</v>
      </c>
      <c r="C15006" s="11" t="s">
        <v>17</v>
      </c>
      <c r="D15006" s="11" t="s">
        <v>18</v>
      </c>
      <c r="E15006" s="12" t="s">
        <v>1520</v>
      </c>
      <c r="F15006" s="12" t="s">
        <v>1521</v>
      </c>
      <c r="G15006" s="12" t="s">
        <v>21</v>
      </c>
      <c r="H15006" s="11" t="s">
        <v>63</v>
      </c>
      <c r="I15006" s="13" t="s">
        <v>29399</v>
      </c>
      <c r="J15006" s="14" t="str">
        <f>HYPERLINK("https://www.boe.es/gazeta/dias/1839/12/27/pdfs/GMD-1839-1874.pdf#page=4","Abrir facsímil")</f>
        <v>Abrir facsímil</v>
      </c>
      <c r="K15006" s="12" t="s">
        <v>65</v>
      </c>
    </row>
    <row r="15007" spans="1:11" ht="40.049999999999997" customHeight="1" x14ac:dyDescent="0.25">
      <c r="A15007" s="11" t="s">
        <v>29400</v>
      </c>
      <c r="B15007" s="11" t="s">
        <v>29401</v>
      </c>
      <c r="C15007" s="11" t="s">
        <v>59</v>
      </c>
      <c r="D15007" s="11" t="s">
        <v>60</v>
      </c>
      <c r="E15007" s="12" t="s">
        <v>1679</v>
      </c>
      <c r="F15007" s="12" t="s">
        <v>1680</v>
      </c>
      <c r="G15007" s="12" t="s">
        <v>29</v>
      </c>
      <c r="H15007" s="11" t="s">
        <v>22</v>
      </c>
      <c r="I15007" s="13" t="s">
        <v>29402</v>
      </c>
      <c r="J15007" s="14" t="str">
        <f>HYPERLINK("https://www.boe.es/gazeta/dias/1839/01/26/pdfs/GMD-1839-1533.pdf#page=1","Abrir facsímil")</f>
        <v>Abrir facsímil</v>
      </c>
      <c r="K15007" s="12" t="s">
        <v>24</v>
      </c>
    </row>
    <row r="15008" spans="1:11" ht="40.049999999999997" customHeight="1" x14ac:dyDescent="0.25">
      <c r="A15008" s="11" t="s">
        <v>29403</v>
      </c>
      <c r="B15008" s="11" t="s">
        <v>29404</v>
      </c>
      <c r="C15008" s="11" t="s">
        <v>17</v>
      </c>
      <c r="D15008" s="11" t="s">
        <v>18</v>
      </c>
      <c r="E15008" s="12" t="s">
        <v>700</v>
      </c>
      <c r="F15008" s="12" t="s">
        <v>701</v>
      </c>
      <c r="G15008" s="12" t="s">
        <v>40</v>
      </c>
      <c r="H15008" s="11" t="s">
        <v>22</v>
      </c>
      <c r="I15008" s="13" t="s">
        <v>29405</v>
      </c>
      <c r="J15008" s="14" t="str">
        <f>HYPERLINK("https://www.boe.es/gazeta/dias/1839/09/01/pdfs/GMD-1839-1753.pdf#page=2","Abrir facsímil")</f>
        <v>Abrir facsímil</v>
      </c>
      <c r="K15008" s="12" t="s">
        <v>24</v>
      </c>
    </row>
    <row r="15009" spans="1:11" ht="40.049999999999997" customHeight="1" x14ac:dyDescent="0.25">
      <c r="A15009" s="11" t="s">
        <v>29406</v>
      </c>
      <c r="B15009" s="11" t="s">
        <v>29407</v>
      </c>
      <c r="C15009" s="11" t="s">
        <v>101</v>
      </c>
      <c r="D15009" s="11" t="s">
        <v>43</v>
      </c>
      <c r="E15009" s="12" t="s">
        <v>4044</v>
      </c>
      <c r="F15009" s="12" t="s">
        <v>4045</v>
      </c>
      <c r="G15009" s="12" t="s">
        <v>21</v>
      </c>
      <c r="H15009" s="11" t="s">
        <v>22</v>
      </c>
      <c r="I15009" s="13" t="s">
        <v>29408</v>
      </c>
      <c r="J15009" s="14" t="str">
        <f>HYPERLINK("https://www.boe.es/gazeta/dias/1839/01/07/pdfs/GMD-1839-1514.pdf#page=4","Abrir facsímil")</f>
        <v>Abrir facsímil</v>
      </c>
      <c r="K15009" s="12" t="s">
        <v>24</v>
      </c>
    </row>
    <row r="15010" spans="1:11" ht="40.049999999999997" customHeight="1" x14ac:dyDescent="0.25">
      <c r="A15010" s="11" t="s">
        <v>29409</v>
      </c>
      <c r="B15010" s="11" t="s">
        <v>29410</v>
      </c>
      <c r="C15010" s="11" t="s">
        <v>137</v>
      </c>
      <c r="D15010" s="11" t="s">
        <v>18</v>
      </c>
      <c r="E15010" s="12" t="s">
        <v>369</v>
      </c>
      <c r="F15010" s="12" t="s">
        <v>370</v>
      </c>
      <c r="G15010" s="12" t="s">
        <v>46</v>
      </c>
      <c r="H15010" s="11" t="s">
        <v>22</v>
      </c>
      <c r="I15010" s="13" t="s">
        <v>29411</v>
      </c>
      <c r="J15010" s="14" t="str">
        <f>HYPERLINK("https://www.boe.es/gazeta/dias/1839/11/01/pdfs/GMD-1839-1818.pdf#page=3","Abrir facsímil")</f>
        <v>Abrir facsímil</v>
      </c>
      <c r="K15010" s="12" t="s">
        <v>24</v>
      </c>
    </row>
    <row r="15011" spans="1:11" ht="40.049999999999997" customHeight="1" x14ac:dyDescent="0.25">
      <c r="A15011" s="11" t="s">
        <v>29412</v>
      </c>
      <c r="B15011" s="11" t="s">
        <v>29413</v>
      </c>
      <c r="C15011" s="11" t="s">
        <v>17</v>
      </c>
      <c r="D15011" s="11" t="s">
        <v>18</v>
      </c>
      <c r="E15011" s="12" t="s">
        <v>1562</v>
      </c>
      <c r="F15011" s="12" t="s">
        <v>1563</v>
      </c>
      <c r="G15011" s="12" t="s">
        <v>46</v>
      </c>
      <c r="H15011" s="11" t="s">
        <v>22</v>
      </c>
      <c r="I15011" s="13" t="s">
        <v>29414</v>
      </c>
      <c r="J15011" s="14" t="str">
        <f>HYPERLINK("https://www.boe.es/gazeta/dias/1839/04/08/pdfs/GMD-1839-1605.pdf#page=3","Abrir facsímil")</f>
        <v>Abrir facsímil</v>
      </c>
      <c r="K15011" s="12" t="s">
        <v>24</v>
      </c>
    </row>
    <row r="15012" spans="1:11" ht="40.049999999999997" customHeight="1" x14ac:dyDescent="0.25">
      <c r="A15012" s="11" t="s">
        <v>29415</v>
      </c>
      <c r="B15012" s="11" t="s">
        <v>29416</v>
      </c>
      <c r="C15012" s="11" t="s">
        <v>137</v>
      </c>
      <c r="D15012" s="11" t="s">
        <v>18</v>
      </c>
      <c r="E15012" s="12" t="s">
        <v>984</v>
      </c>
      <c r="F15012" s="12" t="s">
        <v>985</v>
      </c>
      <c r="G15012" s="12" t="s">
        <v>21</v>
      </c>
      <c r="H15012" s="11" t="s">
        <v>22</v>
      </c>
      <c r="I15012" s="13" t="s">
        <v>29417</v>
      </c>
      <c r="J15012" s="14" t="str">
        <f>HYPERLINK("https://www.boe.es/gazeta/dias/1839/04/10/pdfs/GMD-1839-1607.pdf#page=4","Abrir facsímil")</f>
        <v>Abrir facsímil</v>
      </c>
      <c r="K15012" s="12" t="s">
        <v>24</v>
      </c>
    </row>
    <row r="15013" spans="1:11" ht="40.049999999999997" customHeight="1" x14ac:dyDescent="0.25">
      <c r="A15013" s="11" t="s">
        <v>29418</v>
      </c>
      <c r="B15013" s="11" t="s">
        <v>29419</v>
      </c>
      <c r="C15013" s="11" t="s">
        <v>80</v>
      </c>
      <c r="D15013" s="11" t="s">
        <v>18</v>
      </c>
      <c r="E15013" s="12" t="s">
        <v>1057</v>
      </c>
      <c r="F15013" s="12" t="s">
        <v>1058</v>
      </c>
      <c r="G15013" s="12" t="s">
        <v>305</v>
      </c>
      <c r="H15013" s="11" t="s">
        <v>22</v>
      </c>
      <c r="I15013" s="13" t="s">
        <v>29420</v>
      </c>
      <c r="J15013" s="14" t="str">
        <f>HYPERLINK("https://www.boe.es/gazeta/dias/1839/10/01/pdfs/GMD-1839-1787.pdf#page=6","Abrir facsímil")</f>
        <v>Abrir facsímil</v>
      </c>
      <c r="K15013" s="12" t="s">
        <v>24</v>
      </c>
    </row>
    <row r="15014" spans="1:11" ht="40.049999999999997" customHeight="1" x14ac:dyDescent="0.25">
      <c r="A15014" s="11" t="s">
        <v>29418</v>
      </c>
      <c r="B15014" s="11" t="s">
        <v>29419</v>
      </c>
      <c r="C15014" s="11" t="s">
        <v>137</v>
      </c>
      <c r="D15014" s="11" t="s">
        <v>18</v>
      </c>
      <c r="E15014" s="12" t="s">
        <v>1523</v>
      </c>
      <c r="F15014" s="12" t="s">
        <v>1524</v>
      </c>
      <c r="G15014" s="12" t="s">
        <v>21</v>
      </c>
      <c r="H15014" s="11" t="s">
        <v>22</v>
      </c>
      <c r="I15014" s="13" t="s">
        <v>29421</v>
      </c>
      <c r="J15014" s="14" t="str">
        <f>HYPERLINK("https://www.boe.es/gazeta/dias/1839/08/29/pdfs/GMD-1839-1750.pdf#page=4","Abrir facsímil")</f>
        <v>Abrir facsímil</v>
      </c>
      <c r="K15014" s="12" t="s">
        <v>24</v>
      </c>
    </row>
    <row r="15015" spans="1:11" ht="40.049999999999997" customHeight="1" x14ac:dyDescent="0.25">
      <c r="A15015" s="11" t="s">
        <v>29422</v>
      </c>
      <c r="B15015" s="11" t="s">
        <v>29423</v>
      </c>
      <c r="C15015" s="11" t="s">
        <v>17</v>
      </c>
      <c r="D15015" s="11" t="s">
        <v>18</v>
      </c>
      <c r="E15015" s="12" t="s">
        <v>1895</v>
      </c>
      <c r="F15015" s="12" t="s">
        <v>1896</v>
      </c>
      <c r="G15015" s="12" t="s">
        <v>21</v>
      </c>
      <c r="H15015" s="11" t="s">
        <v>22</v>
      </c>
      <c r="I15015" s="13" t="s">
        <v>29424</v>
      </c>
      <c r="J15015" s="14" t="str">
        <f>HYPERLINK("https://www.boe.es/gazeta/dias/1839/12/23/pdfs/GMD-1839-1870.pdf#page=4","Abrir facsímil")</f>
        <v>Abrir facsímil</v>
      </c>
      <c r="K15015" s="12" t="s">
        <v>24</v>
      </c>
    </row>
    <row r="15016" spans="1:11" ht="40.049999999999997" customHeight="1" x14ac:dyDescent="0.25">
      <c r="A15016" s="11" t="s">
        <v>29425</v>
      </c>
      <c r="B15016" s="11" t="s">
        <v>29426</v>
      </c>
      <c r="C15016" s="11" t="s">
        <v>137</v>
      </c>
      <c r="D15016" s="11" t="s">
        <v>18</v>
      </c>
      <c r="E15016" s="12" t="s">
        <v>951</v>
      </c>
      <c r="F15016" s="12" t="s">
        <v>952</v>
      </c>
      <c r="G15016" s="12" t="s">
        <v>21</v>
      </c>
      <c r="H15016" s="11" t="s">
        <v>22</v>
      </c>
      <c r="I15016" s="13" t="s">
        <v>29427</v>
      </c>
      <c r="J15016" s="14" t="str">
        <f>HYPERLINK("https://www.boe.es/gazeta/dias/1839/12/30/pdfs/GMD-1839-1877.pdf#page=4","Abrir facsímil")</f>
        <v>Abrir facsímil</v>
      </c>
      <c r="K15016" s="12" t="s">
        <v>24</v>
      </c>
    </row>
    <row r="15017" spans="1:11" ht="40.049999999999997" customHeight="1" x14ac:dyDescent="0.25">
      <c r="A15017" s="11" t="s">
        <v>29428</v>
      </c>
      <c r="B15017" s="11" t="s">
        <v>29429</v>
      </c>
      <c r="C15017" s="11" t="s">
        <v>17</v>
      </c>
      <c r="D15017" s="11" t="s">
        <v>18</v>
      </c>
      <c r="E15017" s="12" t="s">
        <v>38</v>
      </c>
      <c r="F15017" s="12" t="s">
        <v>39</v>
      </c>
      <c r="G15017" s="12" t="s">
        <v>40</v>
      </c>
      <c r="H15017" s="11" t="s">
        <v>22</v>
      </c>
      <c r="I15017" s="13" t="s">
        <v>29430</v>
      </c>
      <c r="J15017" s="14" t="str">
        <f>HYPERLINK("https://www.boe.es/gazeta/dias/1839/08/08/pdfs/GMD-1839-1728.pdf#page=2","Abrir facsímil")</f>
        <v>Abrir facsímil</v>
      </c>
      <c r="K15017" s="12" t="s">
        <v>24</v>
      </c>
    </row>
    <row r="15018" spans="1:11" ht="40.049999999999997" customHeight="1" x14ac:dyDescent="0.25">
      <c r="A15018" s="11" t="s">
        <v>29431</v>
      </c>
      <c r="B15018" s="11" t="s">
        <v>29432</v>
      </c>
      <c r="C15018" s="11" t="s">
        <v>59</v>
      </c>
      <c r="D15018" s="11" t="s">
        <v>60</v>
      </c>
      <c r="E15018" s="12" t="s">
        <v>1460</v>
      </c>
      <c r="F15018" s="12" t="s">
        <v>1461</v>
      </c>
      <c r="G15018" s="12" t="s">
        <v>46</v>
      </c>
      <c r="H15018" s="11" t="s">
        <v>22</v>
      </c>
      <c r="I15018" s="13" t="s">
        <v>29433</v>
      </c>
      <c r="J15018" s="14" t="str">
        <f>HYPERLINK("https://www.boe.es/gazeta/dias/1839/03/01/pdfs/GMD-1839-1567.pdf#page=3","Abrir facsímil")</f>
        <v>Abrir facsímil</v>
      </c>
      <c r="K15018" s="12" t="s">
        <v>24</v>
      </c>
    </row>
    <row r="15019" spans="1:11" ht="40.049999999999997" customHeight="1" x14ac:dyDescent="0.25">
      <c r="A15019" s="11" t="s">
        <v>29434</v>
      </c>
      <c r="B15019" s="11" t="s">
        <v>29435</v>
      </c>
      <c r="C15019" s="11" t="s">
        <v>17</v>
      </c>
      <c r="D15019" s="11" t="s">
        <v>18</v>
      </c>
      <c r="E15019" s="12" t="s">
        <v>507</v>
      </c>
      <c r="F15019" s="12" t="s">
        <v>508</v>
      </c>
      <c r="G15019" s="12" t="s">
        <v>21</v>
      </c>
      <c r="H15019" s="11" t="s">
        <v>22</v>
      </c>
      <c r="I15019" s="13" t="s">
        <v>29436</v>
      </c>
      <c r="J15019" s="14" t="str">
        <f>HYPERLINK("https://www.boe.es/gazeta/dias/1839/08/12/pdfs/GMD-1839-1732.pdf#page=4","Abrir facsímil")</f>
        <v>Abrir facsímil</v>
      </c>
      <c r="K15019" s="12" t="s">
        <v>24</v>
      </c>
    </row>
    <row r="15020" spans="1:11" ht="40.049999999999997" customHeight="1" x14ac:dyDescent="0.25">
      <c r="A15020" s="11" t="s">
        <v>29437</v>
      </c>
      <c r="B15020" s="11" t="s">
        <v>29438</v>
      </c>
      <c r="C15020" s="11" t="s">
        <v>101</v>
      </c>
      <c r="D15020" s="11" t="s">
        <v>43</v>
      </c>
      <c r="E15020" s="12" t="s">
        <v>2349</v>
      </c>
      <c r="F15020" s="12" t="s">
        <v>2350</v>
      </c>
      <c r="G15020" s="12" t="s">
        <v>21</v>
      </c>
      <c r="H15020" s="11" t="s">
        <v>22</v>
      </c>
      <c r="I15020" s="13" t="s">
        <v>29439</v>
      </c>
      <c r="J15020" s="14" t="str">
        <f>HYPERLINK("https://www.boe.es/gazeta/dias/1839/09/29/pdfs/GMD-1839-1785.pdf#page=4","Abrir facsímil")</f>
        <v>Abrir facsímil</v>
      </c>
      <c r="K15020" s="12" t="s">
        <v>24</v>
      </c>
    </row>
    <row r="15021" spans="1:11" ht="40.049999999999997" customHeight="1" x14ac:dyDescent="0.25">
      <c r="A15021" s="11" t="s">
        <v>29440</v>
      </c>
      <c r="B15021" s="11" t="s">
        <v>29441</v>
      </c>
      <c r="C15021" s="11" t="s">
        <v>17</v>
      </c>
      <c r="D15021" s="11" t="s">
        <v>18</v>
      </c>
      <c r="E15021" s="12" t="s">
        <v>736</v>
      </c>
      <c r="F15021" s="12" t="s">
        <v>737</v>
      </c>
      <c r="G15021" s="12" t="s">
        <v>46</v>
      </c>
      <c r="H15021" s="11" t="s">
        <v>22</v>
      </c>
      <c r="I15021" s="13" t="s">
        <v>29442</v>
      </c>
      <c r="J15021" s="14" t="str">
        <f>HYPERLINK("https://www.boe.es/gazeta/dias/1839/10/13/pdfs/GMD-1839-1799.pdf#page=3","Abrir facsímil")</f>
        <v>Abrir facsímil</v>
      </c>
      <c r="K15021" s="12" t="s">
        <v>24</v>
      </c>
    </row>
    <row r="15022" spans="1:11" ht="40.049999999999997" customHeight="1" x14ac:dyDescent="0.25">
      <c r="A15022" s="11" t="s">
        <v>29443</v>
      </c>
      <c r="B15022" s="11" t="s">
        <v>29444</v>
      </c>
      <c r="C15022" s="11" t="s">
        <v>80</v>
      </c>
      <c r="D15022" s="11" t="s">
        <v>18</v>
      </c>
      <c r="E15022" s="12" t="s">
        <v>647</v>
      </c>
      <c r="F15022" s="12" t="s">
        <v>648</v>
      </c>
      <c r="G15022" s="12" t="s">
        <v>566</v>
      </c>
      <c r="H15022" s="11" t="s">
        <v>63</v>
      </c>
      <c r="I15022" s="13" t="s">
        <v>29445</v>
      </c>
      <c r="J15022" s="14" t="str">
        <f>HYPERLINK("https://www.boe.es/gazeta/dias/1839/10/08/pdfs/GMD-1839-1794.pdf#page=5","Abrir facsímil")</f>
        <v>Abrir facsímil</v>
      </c>
      <c r="K15022" s="12" t="s">
        <v>65</v>
      </c>
    </row>
    <row r="15023" spans="1:11" ht="40.049999999999997" customHeight="1" x14ac:dyDescent="0.25">
      <c r="A15023" s="11" t="s">
        <v>29446</v>
      </c>
      <c r="B15023" s="11" t="s">
        <v>29447</v>
      </c>
      <c r="C15023" s="11" t="s">
        <v>137</v>
      </c>
      <c r="D15023" s="11" t="s">
        <v>18</v>
      </c>
      <c r="E15023" s="12" t="s">
        <v>2050</v>
      </c>
      <c r="F15023" s="12" t="s">
        <v>2051</v>
      </c>
      <c r="G15023" s="12" t="s">
        <v>40</v>
      </c>
      <c r="H15023" s="11" t="s">
        <v>63</v>
      </c>
      <c r="I15023" s="13" t="s">
        <v>29448</v>
      </c>
      <c r="J15023" s="14" t="str">
        <f>HYPERLINK("https://www.boe.es/gazeta/dias/1839/01/09/pdfs/GMD-1839-1516.pdf#page=2","Abrir facsímil")</f>
        <v>Abrir facsímil</v>
      </c>
      <c r="K15023" s="12" t="s">
        <v>65</v>
      </c>
    </row>
    <row r="15024" spans="1:11" ht="40.049999999999997" customHeight="1" x14ac:dyDescent="0.25">
      <c r="A15024" s="11" t="s">
        <v>29449</v>
      </c>
      <c r="B15024" s="11" t="s">
        <v>29450</v>
      </c>
      <c r="C15024" s="11" t="s">
        <v>17</v>
      </c>
      <c r="D15024" s="11" t="s">
        <v>18</v>
      </c>
      <c r="E15024" s="12" t="s">
        <v>548</v>
      </c>
      <c r="F15024" s="12" t="s">
        <v>549</v>
      </c>
      <c r="G15024" s="12" t="s">
        <v>40</v>
      </c>
      <c r="H15024" s="11" t="s">
        <v>63</v>
      </c>
      <c r="I15024" s="13" t="s">
        <v>29451</v>
      </c>
      <c r="J15024" s="14" t="str">
        <f>HYPERLINK("https://www.boe.es/gazeta/dias/1839/06/06/pdfs/GMD-1839-1664.pdf#page=2","Abrir facsímil")</f>
        <v>Abrir facsímil</v>
      </c>
      <c r="K15024" s="12" t="s">
        <v>65</v>
      </c>
    </row>
    <row r="15025" spans="1:11" ht="40.049999999999997" customHeight="1" x14ac:dyDescent="0.25">
      <c r="A15025" s="11" t="s">
        <v>29452</v>
      </c>
      <c r="B15025" s="11" t="s">
        <v>29453</v>
      </c>
      <c r="C15025" s="11" t="s">
        <v>17</v>
      </c>
      <c r="D15025" s="11" t="s">
        <v>18</v>
      </c>
      <c r="E15025" s="12" t="s">
        <v>2522</v>
      </c>
      <c r="F15025" s="12" t="s">
        <v>2523</v>
      </c>
      <c r="G15025" s="12" t="s">
        <v>40</v>
      </c>
      <c r="H15025" s="11" t="s">
        <v>63</v>
      </c>
      <c r="I15025" s="13" t="s">
        <v>29454</v>
      </c>
      <c r="J15025" s="14" t="str">
        <f>HYPERLINK("https://www.boe.es/gazeta/dias/1839/12/29/pdfs/GMD-1839-1876.pdf#page=2","Abrir facsímil")</f>
        <v>Abrir facsímil</v>
      </c>
      <c r="K15025" s="12" t="s">
        <v>65</v>
      </c>
    </row>
    <row r="15026" spans="1:11" ht="40.049999999999997" customHeight="1" x14ac:dyDescent="0.25">
      <c r="A15026" s="11" t="s">
        <v>29455</v>
      </c>
      <c r="B15026" s="11" t="s">
        <v>29456</v>
      </c>
      <c r="C15026" s="11" t="s">
        <v>17</v>
      </c>
      <c r="D15026" s="11" t="s">
        <v>18</v>
      </c>
      <c r="E15026" s="12" t="s">
        <v>4472</v>
      </c>
      <c r="F15026" s="12" t="s">
        <v>4473</v>
      </c>
      <c r="G15026" s="12" t="s">
        <v>40</v>
      </c>
      <c r="H15026" s="11" t="s">
        <v>63</v>
      </c>
      <c r="I15026" s="13" t="s">
        <v>29457</v>
      </c>
      <c r="J15026" s="14" t="str">
        <f>HYPERLINK("https://www.boe.es/gazeta/dias/1839/08/03/pdfs/GMD-1839-1723.pdf#page=2","Abrir facsímil")</f>
        <v>Abrir facsímil</v>
      </c>
      <c r="K15026" s="12" t="s">
        <v>65</v>
      </c>
    </row>
    <row r="15027" spans="1:11" ht="40.049999999999997" customHeight="1" x14ac:dyDescent="0.25">
      <c r="A15027" s="11" t="s">
        <v>29458</v>
      </c>
      <c r="B15027" s="11" t="s">
        <v>29459</v>
      </c>
      <c r="C15027" s="11" t="s">
        <v>17</v>
      </c>
      <c r="D15027" s="11" t="s">
        <v>18</v>
      </c>
      <c r="E15027" s="12" t="s">
        <v>154</v>
      </c>
      <c r="F15027" s="12" t="s">
        <v>155</v>
      </c>
      <c r="G15027" s="12" t="s">
        <v>46</v>
      </c>
      <c r="H15027" s="11" t="s">
        <v>63</v>
      </c>
      <c r="I15027" s="13" t="s">
        <v>29460</v>
      </c>
      <c r="J15027" s="14" t="str">
        <f>HYPERLINK("https://www.boe.es/gazeta/dias/1839/02/02/pdfs/GMD-1839-1540.pdf#page=3","Abrir facsímil")</f>
        <v>Abrir facsímil</v>
      </c>
      <c r="K15027" s="12" t="s">
        <v>65</v>
      </c>
    </row>
    <row r="15028" spans="1:11" ht="40.049999999999997" customHeight="1" x14ac:dyDescent="0.25">
      <c r="A15028" s="11" t="s">
        <v>29461</v>
      </c>
      <c r="B15028" s="11" t="s">
        <v>29462</v>
      </c>
      <c r="C15028" s="11" t="s">
        <v>17</v>
      </c>
      <c r="D15028" s="11" t="s">
        <v>18</v>
      </c>
      <c r="E15028" s="12" t="s">
        <v>76</v>
      </c>
      <c r="F15028" s="12" t="s">
        <v>77</v>
      </c>
      <c r="G15028" s="12" t="s">
        <v>29</v>
      </c>
      <c r="H15028" s="11" t="s">
        <v>63</v>
      </c>
      <c r="I15028" s="13" t="s">
        <v>29463</v>
      </c>
      <c r="J15028" s="14" t="str">
        <f>HYPERLINK("https://www.boe.es/gazeta/dias/1839/03/13/pdfs/GMD-1839-1579.pdf#page=1","Abrir facsímil")</f>
        <v>Abrir facsímil</v>
      </c>
      <c r="K15028" s="12" t="s">
        <v>65</v>
      </c>
    </row>
    <row r="15029" spans="1:11" ht="40.049999999999997" customHeight="1" x14ac:dyDescent="0.25">
      <c r="A15029" s="11" t="s">
        <v>29464</v>
      </c>
      <c r="B15029" s="11" t="s">
        <v>29465</v>
      </c>
      <c r="C15029" s="11" t="s">
        <v>59</v>
      </c>
      <c r="D15029" s="11" t="s">
        <v>60</v>
      </c>
      <c r="E15029" s="12" t="s">
        <v>2210</v>
      </c>
      <c r="F15029" s="12" t="s">
        <v>2211</v>
      </c>
      <c r="G15029" s="12" t="s">
        <v>29</v>
      </c>
      <c r="H15029" s="11" t="s">
        <v>63</v>
      </c>
      <c r="I15029" s="13" t="s">
        <v>29466</v>
      </c>
      <c r="J15029" s="14" t="str">
        <f>HYPERLINK("https://www.boe.es/gazeta/dias/1839/09/05/pdfs/GMD-1839-1758.pdf#page=1","Abrir facsímil")</f>
        <v>Abrir facsímil</v>
      </c>
      <c r="K15029" s="12" t="s">
        <v>65</v>
      </c>
    </row>
    <row r="15030" spans="1:11" ht="40.049999999999997" customHeight="1" x14ac:dyDescent="0.25">
      <c r="A15030" s="11" t="s">
        <v>29467</v>
      </c>
      <c r="B15030" s="11" t="s">
        <v>29468</v>
      </c>
      <c r="C15030" s="11" t="s">
        <v>17</v>
      </c>
      <c r="D15030" s="11" t="s">
        <v>18</v>
      </c>
      <c r="E15030" s="12" t="s">
        <v>336</v>
      </c>
      <c r="F15030" s="12" t="s">
        <v>337</v>
      </c>
      <c r="G15030" s="12" t="s">
        <v>40</v>
      </c>
      <c r="H15030" s="11" t="s">
        <v>63</v>
      </c>
      <c r="I15030" s="13" t="s">
        <v>29469</v>
      </c>
      <c r="J15030" s="14" t="str">
        <f>HYPERLINK("https://www.boe.es/gazeta/dias/1839/07/14/pdfs/GMD-1839-1702.pdf#page=2","Abrir facsímil")</f>
        <v>Abrir facsímil</v>
      </c>
      <c r="K15030" s="12" t="s">
        <v>65</v>
      </c>
    </row>
    <row r="15031" spans="1:11" ht="40.049999999999997" customHeight="1" x14ac:dyDescent="0.25">
      <c r="A15031" s="11" t="s">
        <v>29470</v>
      </c>
      <c r="B15031" s="11" t="s">
        <v>29471</v>
      </c>
      <c r="C15031" s="11" t="s">
        <v>80</v>
      </c>
      <c r="D15031" s="11" t="s">
        <v>18</v>
      </c>
      <c r="E15031" s="12" t="s">
        <v>568</v>
      </c>
      <c r="F15031" s="12" t="s">
        <v>569</v>
      </c>
      <c r="G15031" s="12" t="s">
        <v>21</v>
      </c>
      <c r="H15031" s="11" t="s">
        <v>63</v>
      </c>
      <c r="I15031" s="13" t="s">
        <v>29472</v>
      </c>
      <c r="J15031" s="14" t="str">
        <f>HYPERLINK("https://www.boe.es/gazeta/dias/1839/10/23/pdfs/GMD-1839-1809.pdf#page=4","Abrir facsímil")</f>
        <v>Abrir facsímil</v>
      </c>
      <c r="K15031" s="12" t="s">
        <v>65</v>
      </c>
    </row>
    <row r="15032" spans="1:11" ht="40.049999999999997" customHeight="1" x14ac:dyDescent="0.25">
      <c r="A15032" s="11" t="s">
        <v>29473</v>
      </c>
      <c r="B15032" s="11" t="s">
        <v>29474</v>
      </c>
      <c r="C15032" s="11" t="s">
        <v>59</v>
      </c>
      <c r="D15032" s="11" t="s">
        <v>60</v>
      </c>
      <c r="E15032" s="12" t="s">
        <v>912</v>
      </c>
      <c r="F15032" s="12" t="s">
        <v>913</v>
      </c>
      <c r="G15032" s="12" t="s">
        <v>21</v>
      </c>
      <c r="H15032" s="11" t="s">
        <v>63</v>
      </c>
      <c r="I15032" s="13" t="s">
        <v>29475</v>
      </c>
      <c r="J15032" s="14" t="str">
        <f>HYPERLINK("https://www.boe.es/gazeta/dias/1839/04/30/pdfs/GMD-1839-1627.pdf#page=4","Abrir facsímil")</f>
        <v>Abrir facsímil</v>
      </c>
      <c r="K15032" s="12" t="s">
        <v>65</v>
      </c>
    </row>
    <row r="15033" spans="1:11" ht="40.049999999999997" customHeight="1" x14ac:dyDescent="0.25">
      <c r="A15033" s="11" t="s">
        <v>29476</v>
      </c>
      <c r="B15033" s="11" t="s">
        <v>29477</v>
      </c>
      <c r="C15033" s="11" t="s">
        <v>59</v>
      </c>
      <c r="D15033" s="11" t="s">
        <v>60</v>
      </c>
      <c r="E15033" s="12" t="s">
        <v>1682</v>
      </c>
      <c r="F15033" s="12" t="s">
        <v>1683</v>
      </c>
      <c r="G15033" s="12" t="s">
        <v>29</v>
      </c>
      <c r="H15033" s="11" t="s">
        <v>63</v>
      </c>
      <c r="I15033" s="13" t="s">
        <v>29478</v>
      </c>
      <c r="J15033" s="14" t="str">
        <f>HYPERLINK("https://www.boe.es/gazeta/dias/1839/12/26/pdfs/GMD-1839-1873.pdf#page=1","Abrir facsímil")</f>
        <v>Abrir facsímil</v>
      </c>
      <c r="K15033" s="12" t="s">
        <v>65</v>
      </c>
    </row>
    <row r="15034" spans="1:11" ht="40.049999999999997" customHeight="1" x14ac:dyDescent="0.25">
      <c r="A15034" s="11" t="s">
        <v>29479</v>
      </c>
      <c r="B15034" s="11" t="s">
        <v>29480</v>
      </c>
      <c r="C15034" s="11" t="s">
        <v>17</v>
      </c>
      <c r="D15034" s="11" t="s">
        <v>18</v>
      </c>
      <c r="E15034" s="12" t="s">
        <v>984</v>
      </c>
      <c r="F15034" s="12" t="s">
        <v>985</v>
      </c>
      <c r="G15034" s="12" t="s">
        <v>40</v>
      </c>
      <c r="H15034" s="11" t="s">
        <v>63</v>
      </c>
      <c r="I15034" s="13" t="s">
        <v>29481</v>
      </c>
      <c r="J15034" s="14" t="str">
        <f>HYPERLINK("https://www.boe.es/gazeta/dias/1839/04/10/pdfs/GMD-1839-1607.pdf#page=2","Abrir facsímil")</f>
        <v>Abrir facsímil</v>
      </c>
      <c r="K15034" s="12" t="s">
        <v>65</v>
      </c>
    </row>
    <row r="15035" spans="1:11" ht="40.049999999999997" customHeight="1" x14ac:dyDescent="0.25">
      <c r="A15035" s="11" t="s">
        <v>29482</v>
      </c>
      <c r="B15035" s="11" t="s">
        <v>29483</v>
      </c>
      <c r="C15035" s="11" t="s">
        <v>17</v>
      </c>
      <c r="D15035" s="11" t="s">
        <v>18</v>
      </c>
      <c r="E15035" s="12" t="s">
        <v>4055</v>
      </c>
      <c r="F15035" s="12" t="s">
        <v>4056</v>
      </c>
      <c r="G15035" s="12" t="s">
        <v>46</v>
      </c>
      <c r="H15035" s="11" t="s">
        <v>63</v>
      </c>
      <c r="I15035" s="13" t="s">
        <v>29484</v>
      </c>
      <c r="J15035" s="14" t="str">
        <f>HYPERLINK("https://www.boe.es/gazeta/dias/1839/03/07/pdfs/GMD-1839-1573.pdf#page=3","Abrir facsímil")</f>
        <v>Abrir facsímil</v>
      </c>
      <c r="K15035" s="12" t="s">
        <v>65</v>
      </c>
    </row>
    <row r="15036" spans="1:11" ht="40.049999999999997" customHeight="1" x14ac:dyDescent="0.25">
      <c r="A15036" s="11" t="s">
        <v>29485</v>
      </c>
      <c r="B15036" s="11" t="s">
        <v>29486</v>
      </c>
      <c r="C15036" s="11" t="s">
        <v>137</v>
      </c>
      <c r="D15036" s="11" t="s">
        <v>18</v>
      </c>
      <c r="E15036" s="12" t="s">
        <v>3236</v>
      </c>
      <c r="F15036" s="12" t="s">
        <v>3237</v>
      </c>
      <c r="G15036" s="12" t="s">
        <v>46</v>
      </c>
      <c r="H15036" s="11" t="s">
        <v>63</v>
      </c>
      <c r="I15036" s="13" t="s">
        <v>29487</v>
      </c>
      <c r="J15036" s="14" t="str">
        <f>HYPERLINK("https://www.boe.es/gazeta/dias/1839/12/03/pdfs/GMD-1839-1850.pdf#page=3","Abrir facsímil")</f>
        <v>Abrir facsímil</v>
      </c>
      <c r="K15036" s="12" t="s">
        <v>65</v>
      </c>
    </row>
    <row r="15037" spans="1:11" ht="40.049999999999997" customHeight="1" x14ac:dyDescent="0.25">
      <c r="A15037" s="11" t="s">
        <v>29488</v>
      </c>
      <c r="B15037" s="11" t="s">
        <v>29489</v>
      </c>
      <c r="C15037" s="11" t="s">
        <v>17</v>
      </c>
      <c r="D15037" s="11" t="s">
        <v>18</v>
      </c>
      <c r="E15037" s="12" t="s">
        <v>3668</v>
      </c>
      <c r="F15037" s="12" t="s">
        <v>3669</v>
      </c>
      <c r="G15037" s="12" t="s">
        <v>46</v>
      </c>
      <c r="H15037" s="11" t="s">
        <v>63</v>
      </c>
      <c r="I15037" s="13" t="s">
        <v>29490</v>
      </c>
      <c r="J15037" s="14" t="str">
        <f>HYPERLINK("https://www.boe.es/gazeta/dias/1839/05/19/pdfs/GMD-1839-1646.pdf#page=3","Abrir facsímil")</f>
        <v>Abrir facsímil</v>
      </c>
      <c r="K15037" s="12" t="s">
        <v>65</v>
      </c>
    </row>
    <row r="15038" spans="1:11" ht="40.049999999999997" customHeight="1" x14ac:dyDescent="0.25">
      <c r="A15038" s="11" t="s">
        <v>29491</v>
      </c>
      <c r="B15038" s="11" t="s">
        <v>29492</v>
      </c>
      <c r="C15038" s="11" t="s">
        <v>17</v>
      </c>
      <c r="D15038" s="11" t="s">
        <v>18</v>
      </c>
      <c r="E15038" s="12" t="s">
        <v>61</v>
      </c>
      <c r="F15038" s="12" t="s">
        <v>62</v>
      </c>
      <c r="G15038" s="12" t="s">
        <v>40</v>
      </c>
      <c r="H15038" s="11" t="s">
        <v>63</v>
      </c>
      <c r="I15038" s="13" t="s">
        <v>29493</v>
      </c>
      <c r="J15038" s="14" t="str">
        <f>HYPERLINK("https://www.boe.es/gazeta/dias/1839/09/10/pdfs/GMD-1839-1763.pdf#page=2","Abrir facsímil")</f>
        <v>Abrir facsímil</v>
      </c>
      <c r="K15038" s="12" t="s">
        <v>65</v>
      </c>
    </row>
    <row r="15039" spans="1:11" ht="40.049999999999997" customHeight="1" x14ac:dyDescent="0.25">
      <c r="A15039" s="11" t="s">
        <v>29494</v>
      </c>
      <c r="B15039" s="11" t="s">
        <v>29495</v>
      </c>
      <c r="C15039" s="11" t="s">
        <v>17</v>
      </c>
      <c r="D15039" s="11" t="s">
        <v>18</v>
      </c>
      <c r="E15039" s="12" t="s">
        <v>2491</v>
      </c>
      <c r="F15039" s="12" t="s">
        <v>2492</v>
      </c>
      <c r="G15039" s="12" t="s">
        <v>29</v>
      </c>
      <c r="H15039" s="11" t="s">
        <v>63</v>
      </c>
      <c r="I15039" s="13" t="s">
        <v>29496</v>
      </c>
      <c r="J15039" s="14" t="str">
        <f>HYPERLINK("https://www.boe.es/gazeta/dias/1839/05/01/pdfs/GMD-1839-1628.pdf#page=1","Abrir facsímil")</f>
        <v>Abrir facsímil</v>
      </c>
      <c r="K15039" s="12" t="s">
        <v>65</v>
      </c>
    </row>
    <row r="15040" spans="1:11" ht="40.049999999999997" customHeight="1" x14ac:dyDescent="0.25">
      <c r="A15040" s="11" t="s">
        <v>29494</v>
      </c>
      <c r="B15040" s="11" t="s">
        <v>29495</v>
      </c>
      <c r="C15040" s="11" t="s">
        <v>17</v>
      </c>
      <c r="D15040" s="11" t="s">
        <v>18</v>
      </c>
      <c r="E15040" s="12" t="s">
        <v>385</v>
      </c>
      <c r="F15040" s="12" t="s">
        <v>386</v>
      </c>
      <c r="G15040" s="12" t="s">
        <v>40</v>
      </c>
      <c r="H15040" s="11" t="s">
        <v>63</v>
      </c>
      <c r="I15040" s="13" t="s">
        <v>29497</v>
      </c>
      <c r="J15040" s="14" t="str">
        <f>HYPERLINK("https://www.boe.es/gazeta/dias/1839/08/01/pdfs/GMD-1839-1721.pdf#page=2","Abrir facsímil")</f>
        <v>Abrir facsímil</v>
      </c>
      <c r="K15040" s="12" t="s">
        <v>65</v>
      </c>
    </row>
    <row r="15041" spans="1:11" ht="40.049999999999997" customHeight="1" x14ac:dyDescent="0.25">
      <c r="A15041" s="11" t="s">
        <v>29494</v>
      </c>
      <c r="B15041" s="11" t="s">
        <v>29495</v>
      </c>
      <c r="C15041" s="11" t="s">
        <v>17</v>
      </c>
      <c r="D15041" s="11" t="s">
        <v>18</v>
      </c>
      <c r="E15041" s="12" t="s">
        <v>1057</v>
      </c>
      <c r="F15041" s="12" t="s">
        <v>1058</v>
      </c>
      <c r="G15041" s="12" t="s">
        <v>40</v>
      </c>
      <c r="H15041" s="11" t="s">
        <v>63</v>
      </c>
      <c r="I15041" s="13" t="s">
        <v>29498</v>
      </c>
      <c r="J15041" s="14" t="str">
        <f>HYPERLINK("https://www.boe.es/gazeta/dias/1839/10/01/pdfs/GMD-1839-1787.pdf#page=2","Abrir facsímil")</f>
        <v>Abrir facsímil</v>
      </c>
      <c r="K15041" s="12" t="s">
        <v>65</v>
      </c>
    </row>
    <row r="15042" spans="1:11" ht="40.049999999999997" customHeight="1" x14ac:dyDescent="0.25">
      <c r="A15042" s="11" t="s">
        <v>29494</v>
      </c>
      <c r="B15042" s="11" t="s">
        <v>29495</v>
      </c>
      <c r="C15042" s="11" t="s">
        <v>17</v>
      </c>
      <c r="D15042" s="11" t="s">
        <v>18</v>
      </c>
      <c r="E15042" s="12" t="s">
        <v>369</v>
      </c>
      <c r="F15042" s="12" t="s">
        <v>370</v>
      </c>
      <c r="G15042" s="12" t="s">
        <v>29</v>
      </c>
      <c r="H15042" s="11" t="s">
        <v>63</v>
      </c>
      <c r="I15042" s="13" t="s">
        <v>29499</v>
      </c>
      <c r="J15042" s="14" t="str">
        <f>HYPERLINK("https://www.boe.es/gazeta/dias/1839/11/01/pdfs/GMD-1839-1818.pdf#page=1","Abrir facsímil")</f>
        <v>Abrir facsímil</v>
      </c>
      <c r="K15042" s="12" t="s">
        <v>65</v>
      </c>
    </row>
    <row r="15043" spans="1:11" ht="40.049999999999997" customHeight="1" x14ac:dyDescent="0.25">
      <c r="A15043" s="11" t="s">
        <v>29494</v>
      </c>
      <c r="B15043" s="11" t="s">
        <v>29495</v>
      </c>
      <c r="C15043" s="11" t="s">
        <v>17</v>
      </c>
      <c r="D15043" s="11" t="s">
        <v>18</v>
      </c>
      <c r="E15043" s="12" t="s">
        <v>258</v>
      </c>
      <c r="F15043" s="12" t="s">
        <v>259</v>
      </c>
      <c r="G15043" s="12" t="s">
        <v>29</v>
      </c>
      <c r="H15043" s="11" t="s">
        <v>63</v>
      </c>
      <c r="I15043" s="13" t="s">
        <v>29500</v>
      </c>
      <c r="J15043" s="14" t="str">
        <f>HYPERLINK("https://www.boe.es/gazeta/dias/1839/01/02/pdfs/GMD-1839-1509.pdf#page=1","Abrir facsímil")</f>
        <v>Abrir facsímil</v>
      </c>
      <c r="K15043" s="12" t="s">
        <v>65</v>
      </c>
    </row>
    <row r="15044" spans="1:11" ht="40.049999999999997" customHeight="1" x14ac:dyDescent="0.25">
      <c r="A15044" s="11" t="s">
        <v>29494</v>
      </c>
      <c r="B15044" s="11" t="s">
        <v>29495</v>
      </c>
      <c r="C15044" s="11" t="s">
        <v>17</v>
      </c>
      <c r="D15044" s="11" t="s">
        <v>18</v>
      </c>
      <c r="E15044" s="12" t="s">
        <v>606</v>
      </c>
      <c r="F15044" s="12" t="s">
        <v>607</v>
      </c>
      <c r="G15044" s="12" t="s">
        <v>29</v>
      </c>
      <c r="H15044" s="11" t="s">
        <v>63</v>
      </c>
      <c r="I15044" s="13" t="s">
        <v>29501</v>
      </c>
      <c r="J15044" s="14" t="str">
        <f>HYPERLINK("https://www.boe.es/gazeta/dias/1839/04/02/pdfs/GMD-1839-1599.pdf#page=1","Abrir facsímil")</f>
        <v>Abrir facsímil</v>
      </c>
      <c r="K15044" s="12" t="s">
        <v>65</v>
      </c>
    </row>
    <row r="15045" spans="1:11" ht="40.049999999999997" customHeight="1" x14ac:dyDescent="0.25">
      <c r="A15045" s="11" t="s">
        <v>29494</v>
      </c>
      <c r="B15045" s="11" t="s">
        <v>29495</v>
      </c>
      <c r="C15045" s="11" t="s">
        <v>17</v>
      </c>
      <c r="D15045" s="11" t="s">
        <v>18</v>
      </c>
      <c r="E15045" s="12" t="s">
        <v>2443</v>
      </c>
      <c r="F15045" s="12" t="s">
        <v>2444</v>
      </c>
      <c r="G15045" s="12" t="s">
        <v>29</v>
      </c>
      <c r="H15045" s="11" t="s">
        <v>63</v>
      </c>
      <c r="I15045" s="13" t="s">
        <v>29502</v>
      </c>
      <c r="J15045" s="14" t="str">
        <f>HYPERLINK("https://www.boe.es/gazeta/dias/1839/11/02/pdfs/GMD-1839-1819.pdf#page=1","Abrir facsímil")</f>
        <v>Abrir facsímil</v>
      </c>
      <c r="K15045" s="12" t="s">
        <v>65</v>
      </c>
    </row>
    <row r="15046" spans="1:11" ht="40.049999999999997" customHeight="1" x14ac:dyDescent="0.25">
      <c r="A15046" s="11" t="s">
        <v>29494</v>
      </c>
      <c r="B15046" s="11" t="s">
        <v>29495</v>
      </c>
      <c r="C15046" s="11" t="s">
        <v>17</v>
      </c>
      <c r="D15046" s="11" t="s">
        <v>18</v>
      </c>
      <c r="E15046" s="12" t="s">
        <v>798</v>
      </c>
      <c r="F15046" s="12" t="s">
        <v>21237</v>
      </c>
      <c r="G15046" s="12" t="s">
        <v>29</v>
      </c>
      <c r="H15046" s="11" t="s">
        <v>63</v>
      </c>
      <c r="I15046" s="13" t="s">
        <v>29503</v>
      </c>
      <c r="J15046" s="14" t="str">
        <f>HYPERLINK("https://www.boe.es/datos/pdfs/BOE//1839/1756/E00001-00001.pdf#page=1","Abrir facsímil")</f>
        <v>Abrir facsímil</v>
      </c>
      <c r="K15046" s="12" t="s">
        <v>65</v>
      </c>
    </row>
    <row r="15047" spans="1:11" ht="40.049999999999997" customHeight="1" x14ac:dyDescent="0.25">
      <c r="A15047" s="11" t="s">
        <v>29494</v>
      </c>
      <c r="B15047" s="11" t="s">
        <v>29495</v>
      </c>
      <c r="C15047" s="11" t="s">
        <v>17</v>
      </c>
      <c r="D15047" s="11" t="s">
        <v>18</v>
      </c>
      <c r="E15047" s="12" t="s">
        <v>197</v>
      </c>
      <c r="F15047" s="12" t="s">
        <v>198</v>
      </c>
      <c r="G15047" s="12" t="s">
        <v>29</v>
      </c>
      <c r="H15047" s="11" t="s">
        <v>63</v>
      </c>
      <c r="I15047" s="13" t="s">
        <v>29504</v>
      </c>
      <c r="J15047" s="14" t="str">
        <f>HYPERLINK("https://www.boe.es/gazeta/dias/1839/10/04/pdfs/GMD-1839-1790.pdf#page=1","Abrir facsímil")</f>
        <v>Abrir facsímil</v>
      </c>
      <c r="K15047" s="12" t="s">
        <v>65</v>
      </c>
    </row>
    <row r="15048" spans="1:11" ht="40.049999999999997" customHeight="1" x14ac:dyDescent="0.25">
      <c r="A15048" s="11" t="s">
        <v>29494</v>
      </c>
      <c r="B15048" s="11" t="s">
        <v>29495</v>
      </c>
      <c r="C15048" s="11" t="s">
        <v>17</v>
      </c>
      <c r="D15048" s="11" t="s">
        <v>18</v>
      </c>
      <c r="E15048" s="12" t="s">
        <v>202</v>
      </c>
      <c r="F15048" s="12" t="s">
        <v>203</v>
      </c>
      <c r="G15048" s="12" t="s">
        <v>46</v>
      </c>
      <c r="H15048" s="11" t="s">
        <v>63</v>
      </c>
      <c r="I15048" s="13" t="s">
        <v>29505</v>
      </c>
      <c r="J15048" s="14" t="str">
        <f>HYPERLINK("https://www.boe.es/gazeta/dias/1839/04/05/pdfs/GMD-1839-1602.pdf#page=3","Abrir facsímil")</f>
        <v>Abrir facsímil</v>
      </c>
      <c r="K15048" s="12" t="s">
        <v>65</v>
      </c>
    </row>
    <row r="15049" spans="1:11" ht="40.049999999999997" customHeight="1" x14ac:dyDescent="0.25">
      <c r="A15049" s="11" t="s">
        <v>29494</v>
      </c>
      <c r="B15049" s="11" t="s">
        <v>29495</v>
      </c>
      <c r="C15049" s="11" t="s">
        <v>17</v>
      </c>
      <c r="D15049" s="11" t="s">
        <v>18</v>
      </c>
      <c r="E15049" s="12" t="s">
        <v>1340</v>
      </c>
      <c r="F15049" s="12" t="s">
        <v>1341</v>
      </c>
      <c r="G15049" s="12" t="s">
        <v>21</v>
      </c>
      <c r="H15049" s="11" t="s">
        <v>63</v>
      </c>
      <c r="I15049" s="13" t="s">
        <v>29506</v>
      </c>
      <c r="J15049" s="14" t="str">
        <f>HYPERLINK("https://www.boe.es/gazeta/dias/1839/05/05/pdfs/GMD-1839-1632.pdf#page=4","Abrir facsímil")</f>
        <v>Abrir facsímil</v>
      </c>
      <c r="K15049" s="12" t="s">
        <v>65</v>
      </c>
    </row>
    <row r="15050" spans="1:11" ht="40.049999999999997" customHeight="1" x14ac:dyDescent="0.25">
      <c r="A15050" s="11" t="s">
        <v>29494</v>
      </c>
      <c r="B15050" s="11" t="s">
        <v>29495</v>
      </c>
      <c r="C15050" s="11" t="s">
        <v>59</v>
      </c>
      <c r="D15050" s="11" t="s">
        <v>60</v>
      </c>
      <c r="E15050" s="12" t="s">
        <v>2210</v>
      </c>
      <c r="F15050" s="12" t="s">
        <v>2211</v>
      </c>
      <c r="G15050" s="12" t="s">
        <v>29</v>
      </c>
      <c r="H15050" s="11" t="s">
        <v>63</v>
      </c>
      <c r="I15050" s="13" t="s">
        <v>29507</v>
      </c>
      <c r="J15050" s="14" t="str">
        <f>HYPERLINK("https://www.boe.es/gazeta/dias/1839/09/05/pdfs/GMD-1839-1758.pdf#page=1","Abrir facsímil")</f>
        <v>Abrir facsímil</v>
      </c>
      <c r="K15050" s="12" t="s">
        <v>65</v>
      </c>
    </row>
    <row r="15051" spans="1:11" ht="40.049999999999997" customHeight="1" x14ac:dyDescent="0.25">
      <c r="A15051" s="11" t="s">
        <v>29494</v>
      </c>
      <c r="B15051" s="11" t="s">
        <v>29495</v>
      </c>
      <c r="C15051" s="11" t="s">
        <v>17</v>
      </c>
      <c r="D15051" s="11" t="s">
        <v>18</v>
      </c>
      <c r="E15051" s="12" t="s">
        <v>2738</v>
      </c>
      <c r="F15051" s="12" t="s">
        <v>2739</v>
      </c>
      <c r="G15051" s="12" t="s">
        <v>29</v>
      </c>
      <c r="H15051" s="11" t="s">
        <v>63</v>
      </c>
      <c r="I15051" s="13" t="s">
        <v>29508</v>
      </c>
      <c r="J15051" s="14" t="str">
        <f>HYPERLINK("https://www.boe.es/gazeta/dias/1839/09/06/pdfs/GMD-1839-1759.pdf#page=1","Abrir facsímil")</f>
        <v>Abrir facsímil</v>
      </c>
      <c r="K15051" s="12" t="s">
        <v>65</v>
      </c>
    </row>
    <row r="15052" spans="1:11" ht="40.049999999999997" customHeight="1" x14ac:dyDescent="0.25">
      <c r="A15052" s="11" t="s">
        <v>29494</v>
      </c>
      <c r="B15052" s="11" t="s">
        <v>29495</v>
      </c>
      <c r="C15052" s="11" t="s">
        <v>17</v>
      </c>
      <c r="D15052" s="11" t="s">
        <v>18</v>
      </c>
      <c r="E15052" s="12" t="s">
        <v>1623</v>
      </c>
      <c r="F15052" s="12" t="s">
        <v>1624</v>
      </c>
      <c r="G15052" s="12" t="s">
        <v>29</v>
      </c>
      <c r="H15052" s="11" t="s">
        <v>63</v>
      </c>
      <c r="I15052" s="13" t="s">
        <v>29509</v>
      </c>
      <c r="J15052" s="14" t="str">
        <f>HYPERLINK("https://www.boe.es/gazeta/dias/1839/04/07/pdfs/GMD-1839-1604.pdf#page=1","Abrir facsímil")</f>
        <v>Abrir facsímil</v>
      </c>
      <c r="K15052" s="12" t="s">
        <v>65</v>
      </c>
    </row>
    <row r="15053" spans="1:11" ht="40.049999999999997" customHeight="1" x14ac:dyDescent="0.25">
      <c r="A15053" s="11" t="s">
        <v>29494</v>
      </c>
      <c r="B15053" s="11" t="s">
        <v>29495</v>
      </c>
      <c r="C15053" s="11" t="s">
        <v>17</v>
      </c>
      <c r="D15053" s="11" t="s">
        <v>18</v>
      </c>
      <c r="E15053" s="12" t="s">
        <v>1772</v>
      </c>
      <c r="F15053" s="12" t="s">
        <v>1773</v>
      </c>
      <c r="G15053" s="12" t="s">
        <v>40</v>
      </c>
      <c r="H15053" s="11" t="s">
        <v>63</v>
      </c>
      <c r="I15053" s="13" t="s">
        <v>29510</v>
      </c>
      <c r="J15053" s="14" t="str">
        <f>HYPERLINK("https://www.boe.es/gazeta/dias/1839/05/07/pdfs/GMD-1839-1634.pdf#page=2","Abrir facsímil")</f>
        <v>Abrir facsímil</v>
      </c>
      <c r="K15053" s="12" t="s">
        <v>65</v>
      </c>
    </row>
    <row r="15054" spans="1:11" ht="40.049999999999997" customHeight="1" x14ac:dyDescent="0.25">
      <c r="A15054" s="11" t="s">
        <v>29494</v>
      </c>
      <c r="B15054" s="11" t="s">
        <v>29495</v>
      </c>
      <c r="C15054" s="11" t="s">
        <v>101</v>
      </c>
      <c r="D15054" s="11" t="s">
        <v>102</v>
      </c>
      <c r="E15054" s="12" t="s">
        <v>503</v>
      </c>
      <c r="F15054" s="12" t="s">
        <v>504</v>
      </c>
      <c r="G15054" s="12" t="s">
        <v>46</v>
      </c>
      <c r="H15054" s="11" t="s">
        <v>63</v>
      </c>
      <c r="I15054" s="13" t="s">
        <v>29511</v>
      </c>
      <c r="J15054" s="14" t="str">
        <f>HYPERLINK("https://www.boe.es/gazeta/dias/1839/06/07/pdfs/GMD-1839-1665.pdf#page=3","Abrir facsímil")</f>
        <v>Abrir facsímil</v>
      </c>
      <c r="K15054" s="12" t="s">
        <v>65</v>
      </c>
    </row>
    <row r="15055" spans="1:11" ht="40.049999999999997" customHeight="1" x14ac:dyDescent="0.25">
      <c r="A15055" s="11" t="s">
        <v>29494</v>
      </c>
      <c r="B15055" s="11" t="s">
        <v>29495</v>
      </c>
      <c r="C15055" s="11" t="s">
        <v>17</v>
      </c>
      <c r="D15055" s="11" t="s">
        <v>18</v>
      </c>
      <c r="E15055" s="12" t="s">
        <v>1008</v>
      </c>
      <c r="F15055" s="12" t="s">
        <v>1009</v>
      </c>
      <c r="G15055" s="12" t="s">
        <v>29</v>
      </c>
      <c r="H15055" s="11" t="s">
        <v>63</v>
      </c>
      <c r="I15055" s="13" t="s">
        <v>29512</v>
      </c>
      <c r="J15055" s="14" t="str">
        <f>HYPERLINK("https://www.boe.es/gazeta/dias/1839/09/07/pdfs/GMD-1839-1760.pdf#page=1","Abrir facsímil")</f>
        <v>Abrir facsímil</v>
      </c>
      <c r="K15055" s="12" t="s">
        <v>65</v>
      </c>
    </row>
    <row r="15056" spans="1:11" ht="40.049999999999997" customHeight="1" x14ac:dyDescent="0.25">
      <c r="A15056" s="11" t="s">
        <v>29494</v>
      </c>
      <c r="B15056" s="11" t="s">
        <v>29495</v>
      </c>
      <c r="C15056" s="11" t="s">
        <v>101</v>
      </c>
      <c r="D15056" s="11" t="s">
        <v>43</v>
      </c>
      <c r="E15056" s="12" t="s">
        <v>2301</v>
      </c>
      <c r="F15056" s="12" t="s">
        <v>2302</v>
      </c>
      <c r="G15056" s="12" t="s">
        <v>29</v>
      </c>
      <c r="H15056" s="11" t="s">
        <v>63</v>
      </c>
      <c r="I15056" s="13" t="s">
        <v>29513</v>
      </c>
      <c r="J15056" s="14" t="str">
        <f>HYPERLINK("https://www.boe.es/gazeta/dias/1839/09/08/pdfs/GMD-1839-1761.pdf#page=1","Abrir facsímil")</f>
        <v>Abrir facsímil</v>
      </c>
      <c r="K15056" s="12" t="s">
        <v>65</v>
      </c>
    </row>
    <row r="15057" spans="1:11" ht="40.049999999999997" customHeight="1" x14ac:dyDescent="0.25">
      <c r="A15057" s="11" t="s">
        <v>29494</v>
      </c>
      <c r="B15057" s="11" t="s">
        <v>29495</v>
      </c>
      <c r="C15057" s="11" t="s">
        <v>17</v>
      </c>
      <c r="D15057" s="11" t="s">
        <v>43</v>
      </c>
      <c r="E15057" s="12" t="s">
        <v>647</v>
      </c>
      <c r="F15057" s="12" t="s">
        <v>648</v>
      </c>
      <c r="G15057" s="12" t="s">
        <v>14301</v>
      </c>
      <c r="H15057" s="11" t="s">
        <v>63</v>
      </c>
      <c r="I15057" s="13" t="s">
        <v>29514</v>
      </c>
      <c r="J15057" s="14" t="str">
        <f>HYPERLINK("https://www.boe.es/gazeta/dias/1839/10/08/pdfs/GMD-1839-1794.pdf#page=8","Abrir facsímil")</f>
        <v>Abrir facsímil</v>
      </c>
      <c r="K15057" s="12" t="s">
        <v>65</v>
      </c>
    </row>
    <row r="15058" spans="1:11" ht="40.049999999999997" customHeight="1" x14ac:dyDescent="0.25">
      <c r="A15058" s="11" t="s">
        <v>29494</v>
      </c>
      <c r="B15058" s="11" t="s">
        <v>29495</v>
      </c>
      <c r="C15058" s="11" t="s">
        <v>17</v>
      </c>
      <c r="D15058" s="11" t="s">
        <v>18</v>
      </c>
      <c r="E15058" s="12" t="s">
        <v>68</v>
      </c>
      <c r="F15058" s="12" t="s">
        <v>69</v>
      </c>
      <c r="G15058" s="12" t="s">
        <v>29</v>
      </c>
      <c r="H15058" s="11" t="s">
        <v>63</v>
      </c>
      <c r="I15058" s="13" t="s">
        <v>29515</v>
      </c>
      <c r="J15058" s="14" t="str">
        <f>HYPERLINK("https://www.boe.es/gazeta/dias/1839/02/09/pdfs/GMD-1839-1547.pdf#page=1","Abrir facsímil")</f>
        <v>Abrir facsímil</v>
      </c>
      <c r="K15058" s="12" t="s">
        <v>65</v>
      </c>
    </row>
    <row r="15059" spans="1:11" ht="40.049999999999997" customHeight="1" x14ac:dyDescent="0.25">
      <c r="A15059" s="11" t="s">
        <v>29494</v>
      </c>
      <c r="B15059" s="11" t="s">
        <v>29495</v>
      </c>
      <c r="C15059" s="11" t="s">
        <v>101</v>
      </c>
      <c r="D15059" s="11" t="s">
        <v>102</v>
      </c>
      <c r="E15059" s="12" t="s">
        <v>1123</v>
      </c>
      <c r="F15059" s="12" t="s">
        <v>1124</v>
      </c>
      <c r="G15059" s="12" t="s">
        <v>29</v>
      </c>
      <c r="H15059" s="11" t="s">
        <v>63</v>
      </c>
      <c r="I15059" s="13" t="s">
        <v>29516</v>
      </c>
      <c r="J15059" s="14" t="str">
        <f>HYPERLINK("https://www.boe.es/gazeta/dias/1839/08/10/pdfs/GMD-1839-1730.pdf#page=1","Abrir facsímil")</f>
        <v>Abrir facsímil</v>
      </c>
      <c r="K15059" s="12" t="s">
        <v>65</v>
      </c>
    </row>
    <row r="15060" spans="1:11" ht="40.049999999999997" customHeight="1" x14ac:dyDescent="0.25">
      <c r="A15060" s="11" t="s">
        <v>29494</v>
      </c>
      <c r="B15060" s="11" t="s">
        <v>29495</v>
      </c>
      <c r="C15060" s="11" t="s">
        <v>17</v>
      </c>
      <c r="D15060" s="11" t="s">
        <v>18</v>
      </c>
      <c r="E15060" s="12" t="s">
        <v>61</v>
      </c>
      <c r="F15060" s="12" t="s">
        <v>62</v>
      </c>
      <c r="G15060" s="12" t="s">
        <v>29</v>
      </c>
      <c r="H15060" s="11" t="s">
        <v>63</v>
      </c>
      <c r="I15060" s="13" t="s">
        <v>29517</v>
      </c>
      <c r="J15060" s="14" t="str">
        <f>HYPERLINK("https://www.boe.es/gazeta/dias/1839/09/10/pdfs/GMD-1839-1763.pdf#page=1","Abrir facsímil")</f>
        <v>Abrir facsímil</v>
      </c>
      <c r="K15060" s="12" t="s">
        <v>65</v>
      </c>
    </row>
    <row r="15061" spans="1:11" ht="40.049999999999997" customHeight="1" x14ac:dyDescent="0.25">
      <c r="A15061" s="11" t="s">
        <v>29494</v>
      </c>
      <c r="B15061" s="11" t="s">
        <v>29495</v>
      </c>
      <c r="C15061" s="11" t="s">
        <v>17</v>
      </c>
      <c r="D15061" s="11" t="s">
        <v>18</v>
      </c>
      <c r="E15061" s="12" t="s">
        <v>561</v>
      </c>
      <c r="F15061" s="12" t="s">
        <v>562</v>
      </c>
      <c r="G15061" s="12" t="s">
        <v>29</v>
      </c>
      <c r="H15061" s="11" t="s">
        <v>63</v>
      </c>
      <c r="I15061" s="13" t="s">
        <v>29518</v>
      </c>
      <c r="J15061" s="14" t="str">
        <f>HYPERLINK("https://www.boe.es/gazeta/dias/1839/09/11/pdfs/GMD-1839-1764.pdf#page=1","Abrir facsímil")</f>
        <v>Abrir facsímil</v>
      </c>
      <c r="K15061" s="12" t="s">
        <v>65</v>
      </c>
    </row>
    <row r="15062" spans="1:11" ht="40.049999999999997" customHeight="1" x14ac:dyDescent="0.25">
      <c r="A15062" s="11" t="s">
        <v>29494</v>
      </c>
      <c r="B15062" s="11" t="s">
        <v>29495</v>
      </c>
      <c r="C15062" s="11" t="s">
        <v>17</v>
      </c>
      <c r="D15062" s="11" t="s">
        <v>18</v>
      </c>
      <c r="E15062" s="12" t="s">
        <v>192</v>
      </c>
      <c r="F15062" s="12" t="s">
        <v>193</v>
      </c>
      <c r="G15062" s="12" t="s">
        <v>46</v>
      </c>
      <c r="H15062" s="11" t="s">
        <v>63</v>
      </c>
      <c r="I15062" s="13" t="s">
        <v>29519</v>
      </c>
      <c r="J15062" s="14" t="str">
        <f>HYPERLINK("https://www.boe.es/gazeta/dias/1839/01/12/pdfs/GMD-1839-1519.pdf#page=3","Abrir facsímil")</f>
        <v>Abrir facsímil</v>
      </c>
      <c r="K15062" s="12" t="s">
        <v>65</v>
      </c>
    </row>
    <row r="15063" spans="1:11" ht="40.049999999999997" customHeight="1" x14ac:dyDescent="0.25">
      <c r="A15063" s="11" t="s">
        <v>29494</v>
      </c>
      <c r="B15063" s="11" t="s">
        <v>29495</v>
      </c>
      <c r="C15063" s="11" t="s">
        <v>101</v>
      </c>
      <c r="D15063" s="11" t="s">
        <v>102</v>
      </c>
      <c r="E15063" s="12" t="s">
        <v>1391</v>
      </c>
      <c r="F15063" s="12" t="s">
        <v>1392</v>
      </c>
      <c r="G15063" s="12" t="s">
        <v>29</v>
      </c>
      <c r="H15063" s="11" t="s">
        <v>63</v>
      </c>
      <c r="I15063" s="13" t="s">
        <v>29520</v>
      </c>
      <c r="J15063" s="14" t="str">
        <f>HYPERLINK("https://www.boe.es/gazeta/dias/1839/05/12/pdfs/GMD-1839-1639.pdf#page=1","Abrir facsímil")</f>
        <v>Abrir facsímil</v>
      </c>
      <c r="K15063" s="12" t="s">
        <v>65</v>
      </c>
    </row>
    <row r="15064" spans="1:11" ht="40.049999999999997" customHeight="1" x14ac:dyDescent="0.25">
      <c r="A15064" s="11" t="s">
        <v>29494</v>
      </c>
      <c r="B15064" s="11" t="s">
        <v>29495</v>
      </c>
      <c r="C15064" s="11" t="s">
        <v>17</v>
      </c>
      <c r="D15064" s="11" t="s">
        <v>18</v>
      </c>
      <c r="E15064" s="12" t="s">
        <v>1391</v>
      </c>
      <c r="F15064" s="12" t="s">
        <v>1392</v>
      </c>
      <c r="G15064" s="12" t="s">
        <v>40</v>
      </c>
      <c r="H15064" s="11" t="s">
        <v>63</v>
      </c>
      <c r="I15064" s="13" t="s">
        <v>29521</v>
      </c>
      <c r="J15064" s="14" t="str">
        <f>HYPERLINK("https://www.boe.es/gazeta/dias/1839/05/12/pdfs/GMD-1839-1639.pdf#page=2","Abrir facsímil")</f>
        <v>Abrir facsímil</v>
      </c>
      <c r="K15064" s="12" t="s">
        <v>65</v>
      </c>
    </row>
    <row r="15065" spans="1:11" ht="40.049999999999997" customHeight="1" x14ac:dyDescent="0.25">
      <c r="A15065" s="11" t="s">
        <v>29494</v>
      </c>
      <c r="B15065" s="11" t="s">
        <v>29495</v>
      </c>
      <c r="C15065" s="11" t="s">
        <v>17</v>
      </c>
      <c r="D15065" s="11" t="s">
        <v>18</v>
      </c>
      <c r="E15065" s="12" t="s">
        <v>103</v>
      </c>
      <c r="F15065" s="12" t="s">
        <v>104</v>
      </c>
      <c r="G15065" s="12" t="s">
        <v>29</v>
      </c>
      <c r="H15065" s="11" t="s">
        <v>63</v>
      </c>
      <c r="I15065" s="13" t="s">
        <v>29522</v>
      </c>
      <c r="J15065" s="14" t="str">
        <f>HYPERLINK("https://www.boe.es/gazeta/dias/1839/10/12/pdfs/GMD-1839-1798.pdf#page=1","Abrir facsímil")</f>
        <v>Abrir facsímil</v>
      </c>
      <c r="K15065" s="12" t="s">
        <v>65</v>
      </c>
    </row>
    <row r="15066" spans="1:11" ht="40.049999999999997" customHeight="1" x14ac:dyDescent="0.25">
      <c r="A15066" s="11" t="s">
        <v>29494</v>
      </c>
      <c r="B15066" s="11" t="s">
        <v>29495</v>
      </c>
      <c r="C15066" s="11" t="s">
        <v>101</v>
      </c>
      <c r="D15066" s="11" t="s">
        <v>102</v>
      </c>
      <c r="E15066" s="12" t="s">
        <v>1144</v>
      </c>
      <c r="F15066" s="12" t="s">
        <v>1145</v>
      </c>
      <c r="G15066" s="12" t="s">
        <v>29</v>
      </c>
      <c r="H15066" s="11" t="s">
        <v>63</v>
      </c>
      <c r="I15066" s="13" t="s">
        <v>29523</v>
      </c>
      <c r="J15066" s="14" t="str">
        <f>HYPERLINK("https://www.boe.es/gazeta/dias/1839/08/13/pdfs/GMD-1839-1733.pdf#page=1","Abrir facsímil")</f>
        <v>Abrir facsímil</v>
      </c>
      <c r="K15066" s="12" t="s">
        <v>65</v>
      </c>
    </row>
    <row r="15067" spans="1:11" ht="40.049999999999997" customHeight="1" x14ac:dyDescent="0.25">
      <c r="A15067" s="11" t="s">
        <v>29494</v>
      </c>
      <c r="B15067" s="11" t="s">
        <v>29495</v>
      </c>
      <c r="C15067" s="11" t="s">
        <v>137</v>
      </c>
      <c r="D15067" s="11" t="s">
        <v>18</v>
      </c>
      <c r="E15067" s="12" t="s">
        <v>1100</v>
      </c>
      <c r="F15067" s="12" t="s">
        <v>1101</v>
      </c>
      <c r="G15067" s="12" t="s">
        <v>29</v>
      </c>
      <c r="H15067" s="11" t="s">
        <v>63</v>
      </c>
      <c r="I15067" s="13" t="s">
        <v>29524</v>
      </c>
      <c r="J15067" s="14" t="str">
        <f>HYPERLINK("https://www.boe.es/gazeta/dias/1839/09/13/pdfs/GMD-1839-1766.pdf#page=1","Abrir facsímil")</f>
        <v>Abrir facsímil</v>
      </c>
      <c r="K15067" s="12" t="s">
        <v>65</v>
      </c>
    </row>
    <row r="15068" spans="1:11" ht="40.049999999999997" customHeight="1" x14ac:dyDescent="0.25">
      <c r="A15068" s="11" t="s">
        <v>29494</v>
      </c>
      <c r="B15068" s="11" t="s">
        <v>29495</v>
      </c>
      <c r="C15068" s="11" t="s">
        <v>137</v>
      </c>
      <c r="D15068" s="11" t="s">
        <v>18</v>
      </c>
      <c r="E15068" s="12" t="s">
        <v>621</v>
      </c>
      <c r="F15068" s="12" t="s">
        <v>622</v>
      </c>
      <c r="G15068" s="12" t="s">
        <v>29</v>
      </c>
      <c r="H15068" s="11" t="s">
        <v>63</v>
      </c>
      <c r="I15068" s="13" t="s">
        <v>29525</v>
      </c>
      <c r="J15068" s="14" t="str">
        <f>HYPERLINK("https://www.boe.es/gazeta/dias/1839/04/14/pdfs/GMD-1839-1611.pdf#page=1","Abrir facsímil")</f>
        <v>Abrir facsímil</v>
      </c>
      <c r="K15068" s="12" t="s">
        <v>65</v>
      </c>
    </row>
    <row r="15069" spans="1:11" ht="40.049999999999997" customHeight="1" x14ac:dyDescent="0.25">
      <c r="A15069" s="11" t="s">
        <v>29494</v>
      </c>
      <c r="B15069" s="11" t="s">
        <v>29495</v>
      </c>
      <c r="C15069" s="11" t="s">
        <v>17</v>
      </c>
      <c r="D15069" s="11" t="s">
        <v>18</v>
      </c>
      <c r="E15069" s="12" t="s">
        <v>888</v>
      </c>
      <c r="F15069" s="12" t="s">
        <v>889</v>
      </c>
      <c r="G15069" s="12" t="s">
        <v>29</v>
      </c>
      <c r="H15069" s="11" t="s">
        <v>63</v>
      </c>
      <c r="I15069" s="13" t="s">
        <v>29526</v>
      </c>
      <c r="J15069" s="14" t="str">
        <f>HYPERLINK("https://www.boe.es/gazeta/dias/1839/05/14/pdfs/GMD-1839-1641.pdf#page=1","Abrir facsímil")</f>
        <v>Abrir facsímil</v>
      </c>
      <c r="K15069" s="12" t="s">
        <v>65</v>
      </c>
    </row>
    <row r="15070" spans="1:11" ht="40.049999999999997" customHeight="1" x14ac:dyDescent="0.25">
      <c r="A15070" s="11" t="s">
        <v>29494</v>
      </c>
      <c r="B15070" s="11" t="s">
        <v>29495</v>
      </c>
      <c r="C15070" s="11" t="s">
        <v>137</v>
      </c>
      <c r="D15070" s="11" t="s">
        <v>18</v>
      </c>
      <c r="E15070" s="12" t="s">
        <v>395</v>
      </c>
      <c r="F15070" s="12" t="s">
        <v>396</v>
      </c>
      <c r="G15070" s="12" t="s">
        <v>29</v>
      </c>
      <c r="H15070" s="11" t="s">
        <v>63</v>
      </c>
      <c r="I15070" s="13" t="s">
        <v>29527</v>
      </c>
      <c r="J15070" s="14" t="str">
        <f>HYPERLINK("https://www.boe.es/gazeta/dias/1839/03/15/pdfs/GMD-1839-1581.pdf#page=1","Abrir facsímil")</f>
        <v>Abrir facsímil</v>
      </c>
      <c r="K15070" s="12" t="s">
        <v>65</v>
      </c>
    </row>
    <row r="15071" spans="1:11" ht="40.049999999999997" customHeight="1" x14ac:dyDescent="0.25">
      <c r="A15071" s="11" t="s">
        <v>29494</v>
      </c>
      <c r="B15071" s="11" t="s">
        <v>29495</v>
      </c>
      <c r="C15071" s="11" t="s">
        <v>17</v>
      </c>
      <c r="D15071" s="11" t="s">
        <v>18</v>
      </c>
      <c r="E15071" s="12" t="s">
        <v>1069</v>
      </c>
      <c r="F15071" s="12" t="s">
        <v>1070</v>
      </c>
      <c r="G15071" s="12" t="s">
        <v>40</v>
      </c>
      <c r="H15071" s="11" t="s">
        <v>63</v>
      </c>
      <c r="I15071" s="13" t="s">
        <v>29528</v>
      </c>
      <c r="J15071" s="14" t="str">
        <f>HYPERLINK("https://www.boe.es/gazeta/dias/1839/10/15/pdfs/GMD-1839-1801.pdf#page=2","Abrir facsímil")</f>
        <v>Abrir facsímil</v>
      </c>
      <c r="K15071" s="12" t="s">
        <v>65</v>
      </c>
    </row>
    <row r="15072" spans="1:11" ht="40.049999999999997" customHeight="1" x14ac:dyDescent="0.25">
      <c r="A15072" s="11" t="s">
        <v>29494</v>
      </c>
      <c r="B15072" s="11" t="s">
        <v>29495</v>
      </c>
      <c r="C15072" s="11" t="s">
        <v>59</v>
      </c>
      <c r="D15072" s="11" t="s">
        <v>60</v>
      </c>
      <c r="E15072" s="12" t="s">
        <v>2262</v>
      </c>
      <c r="F15072" s="12" t="s">
        <v>2263</v>
      </c>
      <c r="G15072" s="12" t="s">
        <v>40</v>
      </c>
      <c r="H15072" s="11" t="s">
        <v>63</v>
      </c>
      <c r="I15072" s="13" t="s">
        <v>29529</v>
      </c>
      <c r="J15072" s="14" t="str">
        <f>HYPERLINK("https://www.boe.es/gazeta/dias/1839/03/16/pdfs/GMD-1839-1582.pdf#page=2","Abrir facsímil")</f>
        <v>Abrir facsímil</v>
      </c>
      <c r="K15072" s="12" t="s">
        <v>65</v>
      </c>
    </row>
    <row r="15073" spans="1:11" ht="40.049999999999997" customHeight="1" x14ac:dyDescent="0.25">
      <c r="A15073" s="11" t="s">
        <v>29494</v>
      </c>
      <c r="B15073" s="11" t="s">
        <v>29495</v>
      </c>
      <c r="C15073" s="11" t="s">
        <v>17</v>
      </c>
      <c r="D15073" s="11" t="s">
        <v>18</v>
      </c>
      <c r="E15073" s="12" t="s">
        <v>1644</v>
      </c>
      <c r="F15073" s="12" t="s">
        <v>1645</v>
      </c>
      <c r="G15073" s="12" t="s">
        <v>46</v>
      </c>
      <c r="H15073" s="11" t="s">
        <v>63</v>
      </c>
      <c r="I15073" s="13" t="s">
        <v>29530</v>
      </c>
      <c r="J15073" s="14" t="str">
        <f>HYPERLINK("https://www.boe.es/gazeta/dias/1839/04/16/pdfs/GMD-1839-1613.pdf#page=3","Abrir facsímil")</f>
        <v>Abrir facsímil</v>
      </c>
      <c r="K15073" s="12" t="s">
        <v>65</v>
      </c>
    </row>
    <row r="15074" spans="1:11" ht="40.049999999999997" customHeight="1" x14ac:dyDescent="0.25">
      <c r="A15074" s="11" t="s">
        <v>29494</v>
      </c>
      <c r="B15074" s="11" t="s">
        <v>29495</v>
      </c>
      <c r="C15074" s="11" t="s">
        <v>137</v>
      </c>
      <c r="D15074" s="11" t="s">
        <v>18</v>
      </c>
      <c r="E15074" s="12" t="s">
        <v>2021</v>
      </c>
      <c r="F15074" s="12" t="s">
        <v>2022</v>
      </c>
      <c r="G15074" s="12" t="s">
        <v>29</v>
      </c>
      <c r="H15074" s="11" t="s">
        <v>63</v>
      </c>
      <c r="I15074" s="13" t="s">
        <v>29531</v>
      </c>
      <c r="J15074" s="14" t="str">
        <f>HYPERLINK("https://www.boe.es/gazeta/dias/1839/02/17/pdfs/GMD-1839-1555.pdf#page=1","Abrir facsímil")</f>
        <v>Abrir facsímil</v>
      </c>
      <c r="K15074" s="12" t="s">
        <v>65</v>
      </c>
    </row>
    <row r="15075" spans="1:11" ht="40.049999999999997" customHeight="1" x14ac:dyDescent="0.25">
      <c r="A15075" s="11" t="s">
        <v>29494</v>
      </c>
      <c r="B15075" s="11" t="s">
        <v>29495</v>
      </c>
      <c r="C15075" s="11" t="s">
        <v>80</v>
      </c>
      <c r="D15075" s="11" t="s">
        <v>18</v>
      </c>
      <c r="E15075" s="12" t="s">
        <v>1648</v>
      </c>
      <c r="F15075" s="12" t="s">
        <v>2458</v>
      </c>
      <c r="G15075" s="12" t="s">
        <v>29</v>
      </c>
      <c r="H15075" s="11" t="s">
        <v>63</v>
      </c>
      <c r="I15075" s="13" t="s">
        <v>29532</v>
      </c>
      <c r="J15075" s="14" t="str">
        <f>HYPERLINK("https://www.boe.es/datos/pdfs/BOE//1839/1739/E00001-00001.pdf#page=1","Abrir facsímil")</f>
        <v>Abrir facsímil</v>
      </c>
      <c r="K15075" s="12" t="s">
        <v>65</v>
      </c>
    </row>
    <row r="15076" spans="1:11" ht="40.049999999999997" customHeight="1" x14ac:dyDescent="0.25">
      <c r="A15076" s="11" t="s">
        <v>29494</v>
      </c>
      <c r="B15076" s="11" t="s">
        <v>29495</v>
      </c>
      <c r="C15076" s="11" t="s">
        <v>17</v>
      </c>
      <c r="D15076" s="11" t="s">
        <v>18</v>
      </c>
      <c r="E15076" s="12" t="s">
        <v>19</v>
      </c>
      <c r="F15076" s="12" t="s">
        <v>20</v>
      </c>
      <c r="G15076" s="12" t="s">
        <v>40</v>
      </c>
      <c r="H15076" s="11" t="s">
        <v>63</v>
      </c>
      <c r="I15076" s="13" t="s">
        <v>29533</v>
      </c>
      <c r="J15076" s="14" t="str">
        <f>HYPERLINK("https://www.boe.es/gazeta/dias/1839/01/19/pdfs/GMD-1839-1526.pdf#page=2","Abrir facsímil")</f>
        <v>Abrir facsímil</v>
      </c>
      <c r="K15076" s="12" t="s">
        <v>65</v>
      </c>
    </row>
    <row r="15077" spans="1:11" ht="40.049999999999997" customHeight="1" x14ac:dyDescent="0.25">
      <c r="A15077" s="11" t="s">
        <v>29494</v>
      </c>
      <c r="B15077" s="11" t="s">
        <v>29495</v>
      </c>
      <c r="C15077" s="11" t="s">
        <v>101</v>
      </c>
      <c r="D15077" s="11" t="s">
        <v>102</v>
      </c>
      <c r="E15077" s="12" t="s">
        <v>486</v>
      </c>
      <c r="F15077" s="12" t="s">
        <v>487</v>
      </c>
      <c r="G15077" s="12" t="s">
        <v>29</v>
      </c>
      <c r="H15077" s="11" t="s">
        <v>63</v>
      </c>
      <c r="I15077" s="13" t="s">
        <v>29534</v>
      </c>
      <c r="J15077" s="14" t="str">
        <f>HYPERLINK("https://www.boe.es/gazeta/dias/1839/04/19/pdfs/GMD-1839-1616.pdf#page=1","Abrir facsímil")</f>
        <v>Abrir facsímil</v>
      </c>
      <c r="K15077" s="12" t="s">
        <v>65</v>
      </c>
    </row>
    <row r="15078" spans="1:11" ht="40.049999999999997" customHeight="1" x14ac:dyDescent="0.25">
      <c r="A15078" s="11" t="s">
        <v>29494</v>
      </c>
      <c r="B15078" s="11" t="s">
        <v>29495</v>
      </c>
      <c r="C15078" s="11" t="s">
        <v>17</v>
      </c>
      <c r="D15078" s="11" t="s">
        <v>18</v>
      </c>
      <c r="E15078" s="12" t="s">
        <v>3668</v>
      </c>
      <c r="F15078" s="12" t="s">
        <v>3669</v>
      </c>
      <c r="G15078" s="12" t="s">
        <v>29</v>
      </c>
      <c r="H15078" s="11" t="s">
        <v>63</v>
      </c>
      <c r="I15078" s="13" t="s">
        <v>29535</v>
      </c>
      <c r="J15078" s="14" t="str">
        <f>HYPERLINK("https://www.boe.es/gazeta/dias/1839/05/19/pdfs/GMD-1839-1646.pdf#page=1","Abrir facsímil")</f>
        <v>Abrir facsímil</v>
      </c>
      <c r="K15078" s="12" t="s">
        <v>65</v>
      </c>
    </row>
    <row r="15079" spans="1:11" ht="40.049999999999997" customHeight="1" x14ac:dyDescent="0.25">
      <c r="A15079" s="11" t="s">
        <v>29494</v>
      </c>
      <c r="B15079" s="11" t="s">
        <v>29495</v>
      </c>
      <c r="C15079" s="11" t="s">
        <v>137</v>
      </c>
      <c r="D15079" s="11" t="s">
        <v>18</v>
      </c>
      <c r="E15079" s="12" t="s">
        <v>643</v>
      </c>
      <c r="F15079" s="12" t="s">
        <v>644</v>
      </c>
      <c r="G15079" s="12" t="s">
        <v>40</v>
      </c>
      <c r="H15079" s="11" t="s">
        <v>63</v>
      </c>
      <c r="I15079" s="13" t="s">
        <v>29536</v>
      </c>
      <c r="J15079" s="14" t="str">
        <f>HYPERLINK("https://www.boe.es/gazeta/dias/1839/03/20/pdfs/GMD-1839-1586.pdf#page=2","Abrir facsímil")</f>
        <v>Abrir facsímil</v>
      </c>
      <c r="K15079" s="12" t="s">
        <v>65</v>
      </c>
    </row>
    <row r="15080" spans="1:11" ht="40.049999999999997" customHeight="1" x14ac:dyDescent="0.25">
      <c r="A15080" s="11" t="s">
        <v>29494</v>
      </c>
      <c r="B15080" s="11" t="s">
        <v>29495</v>
      </c>
      <c r="C15080" s="11" t="s">
        <v>80</v>
      </c>
      <c r="D15080" s="11" t="s">
        <v>18</v>
      </c>
      <c r="E15080" s="12" t="s">
        <v>821</v>
      </c>
      <c r="F15080" s="12" t="s">
        <v>822</v>
      </c>
      <c r="G15080" s="12" t="s">
        <v>29</v>
      </c>
      <c r="H15080" s="11" t="s">
        <v>63</v>
      </c>
      <c r="I15080" s="13" t="s">
        <v>29537</v>
      </c>
      <c r="J15080" s="14" t="str">
        <f>HYPERLINK("https://www.boe.es/gazeta/dias/1839/09/20/pdfs/GMD-1839-1775.pdf#page=1","Abrir facsímil")</f>
        <v>Abrir facsímil</v>
      </c>
      <c r="K15080" s="12" t="s">
        <v>65</v>
      </c>
    </row>
    <row r="15081" spans="1:11" ht="40.049999999999997" customHeight="1" x14ac:dyDescent="0.25">
      <c r="A15081" s="11" t="s">
        <v>29494</v>
      </c>
      <c r="B15081" s="11" t="s">
        <v>29495</v>
      </c>
      <c r="C15081" s="11" t="s">
        <v>17</v>
      </c>
      <c r="D15081" s="11" t="s">
        <v>18</v>
      </c>
      <c r="E15081" s="12" t="s">
        <v>821</v>
      </c>
      <c r="F15081" s="12" t="s">
        <v>822</v>
      </c>
      <c r="G15081" s="12" t="s">
        <v>40</v>
      </c>
      <c r="H15081" s="11" t="s">
        <v>63</v>
      </c>
      <c r="I15081" s="13" t="s">
        <v>29538</v>
      </c>
      <c r="J15081" s="14" t="str">
        <f>HYPERLINK("https://www.boe.es/gazeta/dias/1839/09/20/pdfs/GMD-1839-1775.pdf#page=2","Abrir facsímil")</f>
        <v>Abrir facsímil</v>
      </c>
      <c r="K15081" s="12" t="s">
        <v>65</v>
      </c>
    </row>
    <row r="15082" spans="1:11" ht="40.049999999999997" customHeight="1" x14ac:dyDescent="0.25">
      <c r="A15082" s="11" t="s">
        <v>29494</v>
      </c>
      <c r="B15082" s="11" t="s">
        <v>29495</v>
      </c>
      <c r="C15082" s="11" t="s">
        <v>17</v>
      </c>
      <c r="D15082" s="11" t="s">
        <v>18</v>
      </c>
      <c r="E15082" s="12" t="s">
        <v>2949</v>
      </c>
      <c r="F15082" s="12" t="s">
        <v>2950</v>
      </c>
      <c r="G15082" s="12" t="s">
        <v>29</v>
      </c>
      <c r="H15082" s="11" t="s">
        <v>63</v>
      </c>
      <c r="I15082" s="13" t="s">
        <v>29539</v>
      </c>
      <c r="J15082" s="14" t="str">
        <f>HYPERLINK("https://www.boe.es/gazeta/dias/1839/10/21/pdfs/GMD-1839-1807.pdf#page=1","Abrir facsímil")</f>
        <v>Abrir facsímil</v>
      </c>
      <c r="K15082" s="12" t="s">
        <v>65</v>
      </c>
    </row>
    <row r="15083" spans="1:11" ht="40.049999999999997" customHeight="1" x14ac:dyDescent="0.25">
      <c r="A15083" s="11" t="s">
        <v>29494</v>
      </c>
      <c r="B15083" s="11" t="s">
        <v>29495</v>
      </c>
      <c r="C15083" s="11" t="s">
        <v>17</v>
      </c>
      <c r="D15083" s="11" t="s">
        <v>18</v>
      </c>
      <c r="E15083" s="12" t="s">
        <v>239</v>
      </c>
      <c r="F15083" s="12" t="s">
        <v>1863</v>
      </c>
      <c r="G15083" s="12" t="s">
        <v>29</v>
      </c>
      <c r="H15083" s="11" t="s">
        <v>63</v>
      </c>
      <c r="I15083" s="13" t="s">
        <v>29540</v>
      </c>
      <c r="J15083" s="14" t="str">
        <f>HYPERLINK("https://www.boe.es/datos/pdfs/BOE//1839/1778/E00001-00001.pdf#page=1","Abrir facsímil")</f>
        <v>Abrir facsímil</v>
      </c>
      <c r="K15083" s="12" t="s">
        <v>65</v>
      </c>
    </row>
    <row r="15084" spans="1:11" ht="40.049999999999997" customHeight="1" x14ac:dyDescent="0.25">
      <c r="A15084" s="11" t="s">
        <v>29494</v>
      </c>
      <c r="B15084" s="11" t="s">
        <v>29495</v>
      </c>
      <c r="C15084" s="11" t="s">
        <v>59</v>
      </c>
      <c r="D15084" s="11" t="s">
        <v>60</v>
      </c>
      <c r="E15084" s="12" t="s">
        <v>2432</v>
      </c>
      <c r="F15084" s="12" t="s">
        <v>2433</v>
      </c>
      <c r="G15084" s="12" t="s">
        <v>29</v>
      </c>
      <c r="H15084" s="11" t="s">
        <v>63</v>
      </c>
      <c r="I15084" s="13" t="s">
        <v>29541</v>
      </c>
      <c r="J15084" s="14" t="str">
        <f>HYPERLINK("https://www.boe.es/datos/pdfs/BOE//1839/1712/E00001-00001.pdf#page=1","Abrir facsímil")</f>
        <v>Abrir facsímil</v>
      </c>
      <c r="K15084" s="12" t="s">
        <v>65</v>
      </c>
    </row>
    <row r="15085" spans="1:11" ht="40.049999999999997" customHeight="1" x14ac:dyDescent="0.25">
      <c r="A15085" s="11" t="s">
        <v>29494</v>
      </c>
      <c r="B15085" s="11" t="s">
        <v>29495</v>
      </c>
      <c r="C15085" s="11" t="s">
        <v>17</v>
      </c>
      <c r="D15085" s="11" t="s">
        <v>18</v>
      </c>
      <c r="E15085" s="12" t="s">
        <v>243</v>
      </c>
      <c r="F15085" s="12" t="s">
        <v>244</v>
      </c>
      <c r="G15085" s="12" t="s">
        <v>40</v>
      </c>
      <c r="H15085" s="11" t="s">
        <v>63</v>
      </c>
      <c r="I15085" s="13" t="s">
        <v>29542</v>
      </c>
      <c r="J15085" s="14" t="str">
        <f>HYPERLINK("https://www.boe.es/gazeta/dias/1839/09/23/pdfs/GMD-1839-1779.pdf#page=2","Abrir facsímil")</f>
        <v>Abrir facsímil</v>
      </c>
      <c r="K15085" s="12" t="s">
        <v>65</v>
      </c>
    </row>
    <row r="15086" spans="1:11" ht="40.049999999999997" customHeight="1" x14ac:dyDescent="0.25">
      <c r="A15086" s="11" t="s">
        <v>29494</v>
      </c>
      <c r="B15086" s="11" t="s">
        <v>29495</v>
      </c>
      <c r="C15086" s="11" t="s">
        <v>80</v>
      </c>
      <c r="D15086" s="11" t="s">
        <v>18</v>
      </c>
      <c r="E15086" s="12" t="s">
        <v>1672</v>
      </c>
      <c r="F15086" s="12" t="s">
        <v>1673</v>
      </c>
      <c r="G15086" s="12" t="s">
        <v>29</v>
      </c>
      <c r="H15086" s="11" t="s">
        <v>63</v>
      </c>
      <c r="I15086" s="13" t="s">
        <v>29543</v>
      </c>
      <c r="J15086" s="14" t="str">
        <f>HYPERLINK("https://www.boe.es/gazeta/dias/1839/08/24/pdfs/GMD-1839-1745.pdf#page=1","Abrir facsímil")</f>
        <v>Abrir facsímil</v>
      </c>
      <c r="K15086" s="12" t="s">
        <v>65</v>
      </c>
    </row>
    <row r="15087" spans="1:11" ht="40.049999999999997" customHeight="1" x14ac:dyDescent="0.25">
      <c r="A15087" s="11" t="s">
        <v>29494</v>
      </c>
      <c r="B15087" s="11" t="s">
        <v>29495</v>
      </c>
      <c r="C15087" s="11" t="s">
        <v>59</v>
      </c>
      <c r="D15087" s="11" t="s">
        <v>60</v>
      </c>
      <c r="E15087" s="12" t="s">
        <v>926</v>
      </c>
      <c r="F15087" s="12" t="s">
        <v>927</v>
      </c>
      <c r="G15087" s="12" t="s">
        <v>29</v>
      </c>
      <c r="H15087" s="11" t="s">
        <v>63</v>
      </c>
      <c r="I15087" s="13" t="s">
        <v>29544</v>
      </c>
      <c r="J15087" s="14" t="str">
        <f>HYPERLINK("https://www.boe.es/gazeta/dias/1839/01/25/pdfs/GMD-1839-1532.pdf#page=1","Abrir facsímil")</f>
        <v>Abrir facsímil</v>
      </c>
      <c r="K15087" s="12" t="s">
        <v>65</v>
      </c>
    </row>
    <row r="15088" spans="1:11" ht="40.049999999999997" customHeight="1" x14ac:dyDescent="0.25">
      <c r="A15088" s="11" t="s">
        <v>29494</v>
      </c>
      <c r="B15088" s="11" t="s">
        <v>29495</v>
      </c>
      <c r="C15088" s="11" t="s">
        <v>17</v>
      </c>
      <c r="D15088" s="11" t="s">
        <v>18</v>
      </c>
      <c r="E15088" s="12" t="s">
        <v>650</v>
      </c>
      <c r="F15088" s="12" t="s">
        <v>651</v>
      </c>
      <c r="G15088" s="12" t="s">
        <v>29</v>
      </c>
      <c r="H15088" s="11" t="s">
        <v>63</v>
      </c>
      <c r="I15088" s="13" t="s">
        <v>29545</v>
      </c>
      <c r="J15088" s="14" t="str">
        <f>HYPERLINK("https://www.boe.es/gazeta/dias/1839/10/25/pdfs/GMD-1839-1811.pdf#page=1","Abrir facsímil")</f>
        <v>Abrir facsímil</v>
      </c>
      <c r="K15088" s="12" t="s">
        <v>65</v>
      </c>
    </row>
    <row r="15089" spans="1:11" ht="40.049999999999997" customHeight="1" x14ac:dyDescent="0.25">
      <c r="A15089" s="11" t="s">
        <v>29494</v>
      </c>
      <c r="B15089" s="11" t="s">
        <v>29495</v>
      </c>
      <c r="C15089" s="11" t="s">
        <v>17</v>
      </c>
      <c r="D15089" s="11" t="s">
        <v>18</v>
      </c>
      <c r="E15089" s="12" t="s">
        <v>2463</v>
      </c>
      <c r="F15089" s="12" t="s">
        <v>2464</v>
      </c>
      <c r="G15089" s="12" t="s">
        <v>29</v>
      </c>
      <c r="H15089" s="11" t="s">
        <v>63</v>
      </c>
      <c r="I15089" s="13" t="s">
        <v>29546</v>
      </c>
      <c r="J15089" s="14" t="str">
        <f>HYPERLINK("https://www.boe.es/gazeta/dias/1839/04/26/pdfs/GMD-1839-1623.pdf#page=1","Abrir facsímil")</f>
        <v>Abrir facsímil</v>
      </c>
      <c r="K15089" s="12" t="s">
        <v>65</v>
      </c>
    </row>
    <row r="15090" spans="1:11" ht="40.049999999999997" customHeight="1" x14ac:dyDescent="0.25">
      <c r="A15090" s="11" t="s">
        <v>29494</v>
      </c>
      <c r="B15090" s="11" t="s">
        <v>29495</v>
      </c>
      <c r="C15090" s="11" t="s">
        <v>101</v>
      </c>
      <c r="D15090" s="11" t="s">
        <v>102</v>
      </c>
      <c r="E15090" s="12" t="s">
        <v>638</v>
      </c>
      <c r="F15090" s="12" t="s">
        <v>639</v>
      </c>
      <c r="G15090" s="12" t="s">
        <v>29</v>
      </c>
      <c r="H15090" s="11" t="s">
        <v>63</v>
      </c>
      <c r="I15090" s="13" t="s">
        <v>29547</v>
      </c>
      <c r="J15090" s="14" t="str">
        <f>HYPERLINK("https://www.boe.es/gazeta/dias/1839/08/26/pdfs/GMD-1839-1747.pdf#page=1","Abrir facsímil")</f>
        <v>Abrir facsímil</v>
      </c>
      <c r="K15090" s="12" t="s">
        <v>65</v>
      </c>
    </row>
    <row r="15091" spans="1:11" ht="40.049999999999997" customHeight="1" x14ac:dyDescent="0.25">
      <c r="A15091" s="11" t="s">
        <v>29494</v>
      </c>
      <c r="B15091" s="11" t="s">
        <v>29495</v>
      </c>
      <c r="C15091" s="11" t="s">
        <v>17</v>
      </c>
      <c r="D15091" s="11" t="s">
        <v>18</v>
      </c>
      <c r="E15091" s="12" t="s">
        <v>723</v>
      </c>
      <c r="F15091" s="12" t="s">
        <v>724</v>
      </c>
      <c r="G15091" s="12" t="s">
        <v>21</v>
      </c>
      <c r="H15091" s="11" t="s">
        <v>63</v>
      </c>
      <c r="I15091" s="13" t="s">
        <v>29548</v>
      </c>
      <c r="J15091" s="14" t="str">
        <f>HYPERLINK("https://www.boe.es/gazeta/dias/1839/09/26/pdfs/GMD-1839-1782.pdf#page=4","Abrir facsímil")</f>
        <v>Abrir facsímil</v>
      </c>
      <c r="K15091" s="12" t="s">
        <v>65</v>
      </c>
    </row>
    <row r="15092" spans="1:11" ht="40.049999999999997" customHeight="1" x14ac:dyDescent="0.25">
      <c r="A15092" s="11" t="s">
        <v>29494</v>
      </c>
      <c r="B15092" s="11" t="s">
        <v>29495</v>
      </c>
      <c r="C15092" s="11" t="s">
        <v>17</v>
      </c>
      <c r="D15092" s="11" t="s">
        <v>43</v>
      </c>
      <c r="E15092" s="12" t="s">
        <v>1682</v>
      </c>
      <c r="F15092" s="12" t="s">
        <v>1683</v>
      </c>
      <c r="G15092" s="12" t="s">
        <v>46</v>
      </c>
      <c r="H15092" s="11" t="s">
        <v>63</v>
      </c>
      <c r="I15092" s="13" t="s">
        <v>29549</v>
      </c>
      <c r="J15092" s="14" t="str">
        <f>HYPERLINK("https://www.boe.es/gazeta/dias/1839/12/26/pdfs/GMD-1839-1873.pdf#page=3","Abrir facsímil")</f>
        <v>Abrir facsímil</v>
      </c>
      <c r="K15092" s="12" t="s">
        <v>65</v>
      </c>
    </row>
    <row r="15093" spans="1:11" ht="40.049999999999997" customHeight="1" x14ac:dyDescent="0.25">
      <c r="A15093" s="11" t="s">
        <v>29494</v>
      </c>
      <c r="B15093" s="11" t="s">
        <v>29495</v>
      </c>
      <c r="C15093" s="11" t="s">
        <v>17</v>
      </c>
      <c r="D15093" s="11" t="s">
        <v>18</v>
      </c>
      <c r="E15093" s="12" t="s">
        <v>1284</v>
      </c>
      <c r="F15093" s="12" t="s">
        <v>1285</v>
      </c>
      <c r="G15093" s="12" t="s">
        <v>29</v>
      </c>
      <c r="H15093" s="11" t="s">
        <v>63</v>
      </c>
      <c r="I15093" s="13" t="s">
        <v>29550</v>
      </c>
      <c r="J15093" s="14" t="str">
        <f>HYPERLINK("https://www.boe.es/gazeta/dias/1839/03/27/pdfs/GMD-1839-1593.pdf#page=1","Abrir facsímil")</f>
        <v>Abrir facsímil</v>
      </c>
      <c r="K15093" s="12" t="s">
        <v>65</v>
      </c>
    </row>
    <row r="15094" spans="1:11" ht="40.049999999999997" customHeight="1" x14ac:dyDescent="0.25">
      <c r="A15094" s="11" t="s">
        <v>29494</v>
      </c>
      <c r="B15094" s="11" t="s">
        <v>29495</v>
      </c>
      <c r="C15094" s="11" t="s">
        <v>59</v>
      </c>
      <c r="D15094" s="11" t="s">
        <v>60</v>
      </c>
      <c r="E15094" s="12" t="s">
        <v>1685</v>
      </c>
      <c r="F15094" s="12" t="s">
        <v>1686</v>
      </c>
      <c r="G15094" s="12" t="s">
        <v>29</v>
      </c>
      <c r="H15094" s="11" t="s">
        <v>63</v>
      </c>
      <c r="I15094" s="13" t="s">
        <v>29551</v>
      </c>
      <c r="J15094" s="14" t="str">
        <f>HYPERLINK("https://www.boe.es/gazeta/dias/1839/04/27/pdfs/GMD-1839-1624.pdf#page=1","Abrir facsímil")</f>
        <v>Abrir facsímil</v>
      </c>
      <c r="K15094" s="12" t="s">
        <v>65</v>
      </c>
    </row>
    <row r="15095" spans="1:11" ht="40.049999999999997" customHeight="1" x14ac:dyDescent="0.25">
      <c r="A15095" s="11" t="s">
        <v>29494</v>
      </c>
      <c r="B15095" s="11" t="s">
        <v>29495</v>
      </c>
      <c r="C15095" s="11" t="s">
        <v>17</v>
      </c>
      <c r="D15095" s="11" t="s">
        <v>18</v>
      </c>
      <c r="E15095" s="12" t="s">
        <v>1474</v>
      </c>
      <c r="F15095" s="12" t="s">
        <v>1475</v>
      </c>
      <c r="G15095" s="12" t="s">
        <v>29</v>
      </c>
      <c r="H15095" s="11" t="s">
        <v>63</v>
      </c>
      <c r="I15095" s="13" t="s">
        <v>29552</v>
      </c>
      <c r="J15095" s="14" t="str">
        <f>HYPERLINK("https://www.boe.es/gazeta/dias/1839/02/28/pdfs/GMD-1839-1566.pdf#page=1","Abrir facsímil")</f>
        <v>Abrir facsímil</v>
      </c>
      <c r="K15095" s="12" t="s">
        <v>65</v>
      </c>
    </row>
    <row r="15096" spans="1:11" ht="40.049999999999997" customHeight="1" x14ac:dyDescent="0.25">
      <c r="A15096" s="11" t="s">
        <v>29494</v>
      </c>
      <c r="B15096" s="11" t="s">
        <v>29495</v>
      </c>
      <c r="C15096" s="11" t="s">
        <v>101</v>
      </c>
      <c r="D15096" s="11" t="s">
        <v>102</v>
      </c>
      <c r="E15096" s="12" t="s">
        <v>677</v>
      </c>
      <c r="F15096" s="12" t="s">
        <v>678</v>
      </c>
      <c r="G15096" s="12" t="s">
        <v>40</v>
      </c>
      <c r="H15096" s="11" t="s">
        <v>63</v>
      </c>
      <c r="I15096" s="13" t="s">
        <v>29553</v>
      </c>
      <c r="J15096" s="14" t="str">
        <f>HYPERLINK("https://www.boe.es/gazeta/dias/1839/04/28/pdfs/GMD-1839-1625.pdf#page=2","Abrir facsímil")</f>
        <v>Abrir facsímil</v>
      </c>
      <c r="K15096" s="12" t="s">
        <v>65</v>
      </c>
    </row>
    <row r="15097" spans="1:11" ht="40.049999999999997" customHeight="1" x14ac:dyDescent="0.25">
      <c r="A15097" s="11" t="s">
        <v>29494</v>
      </c>
      <c r="B15097" s="11" t="s">
        <v>29495</v>
      </c>
      <c r="C15097" s="11" t="s">
        <v>17</v>
      </c>
      <c r="D15097" s="11" t="s">
        <v>18</v>
      </c>
      <c r="E15097" s="12" t="s">
        <v>817</v>
      </c>
      <c r="F15097" s="12" t="s">
        <v>818</v>
      </c>
      <c r="G15097" s="12" t="s">
        <v>29</v>
      </c>
      <c r="H15097" s="11" t="s">
        <v>63</v>
      </c>
      <c r="I15097" s="13" t="s">
        <v>29554</v>
      </c>
      <c r="J15097" s="14" t="str">
        <f>HYPERLINK("https://www.boe.es/gazeta/dias/1839/05/28/pdfs/GMD-1839-1655.pdf#page=1","Abrir facsímil")</f>
        <v>Abrir facsímil</v>
      </c>
      <c r="K15097" s="12" t="s">
        <v>65</v>
      </c>
    </row>
    <row r="15098" spans="1:11" ht="40.049999999999997" customHeight="1" x14ac:dyDescent="0.25">
      <c r="A15098" s="11" t="s">
        <v>29494</v>
      </c>
      <c r="B15098" s="11" t="s">
        <v>29495</v>
      </c>
      <c r="C15098" s="11" t="s">
        <v>17</v>
      </c>
      <c r="D15098" s="11" t="s">
        <v>18</v>
      </c>
      <c r="E15098" s="12" t="s">
        <v>574</v>
      </c>
      <c r="F15098" s="12" t="s">
        <v>575</v>
      </c>
      <c r="G15098" s="12" t="s">
        <v>29</v>
      </c>
      <c r="H15098" s="11" t="s">
        <v>63</v>
      </c>
      <c r="I15098" s="13" t="s">
        <v>29555</v>
      </c>
      <c r="J15098" s="14" t="str">
        <f>HYPERLINK("https://www.boe.es/gazeta/dias/1839/09/28/pdfs/GMD-1839-1784.pdf#page=1","Abrir facsímil")</f>
        <v>Abrir facsímil</v>
      </c>
      <c r="K15098" s="12" t="s">
        <v>65</v>
      </c>
    </row>
    <row r="15099" spans="1:11" ht="40.049999999999997" customHeight="1" x14ac:dyDescent="0.25">
      <c r="A15099" s="11" t="s">
        <v>29494</v>
      </c>
      <c r="B15099" s="11" t="s">
        <v>29495</v>
      </c>
      <c r="C15099" s="11" t="s">
        <v>17</v>
      </c>
      <c r="D15099" s="11" t="s">
        <v>18</v>
      </c>
      <c r="E15099" s="12" t="s">
        <v>862</v>
      </c>
      <c r="F15099" s="12" t="s">
        <v>863</v>
      </c>
      <c r="G15099" s="12" t="s">
        <v>29</v>
      </c>
      <c r="H15099" s="11" t="s">
        <v>63</v>
      </c>
      <c r="I15099" s="13" t="s">
        <v>29556</v>
      </c>
      <c r="J15099" s="14" t="str">
        <f>HYPERLINK("https://www.boe.es/gazeta/dias/1839/10/28/pdfs/GMD-1839-1814.pdf#page=1","Abrir facsímil")</f>
        <v>Abrir facsímil</v>
      </c>
      <c r="K15099" s="12" t="s">
        <v>65</v>
      </c>
    </row>
    <row r="15100" spans="1:11" ht="40.049999999999997" customHeight="1" x14ac:dyDescent="0.25">
      <c r="A15100" s="11" t="s">
        <v>29494</v>
      </c>
      <c r="B15100" s="11" t="s">
        <v>29495</v>
      </c>
      <c r="C15100" s="11" t="s">
        <v>17</v>
      </c>
      <c r="D15100" s="11" t="s">
        <v>18</v>
      </c>
      <c r="E15100" s="12" t="s">
        <v>616</v>
      </c>
      <c r="F15100" s="12" t="s">
        <v>617</v>
      </c>
      <c r="G15100" s="12" t="s">
        <v>40</v>
      </c>
      <c r="H15100" s="11" t="s">
        <v>63</v>
      </c>
      <c r="I15100" s="13" t="s">
        <v>29557</v>
      </c>
      <c r="J15100" s="14" t="str">
        <f>HYPERLINK("https://www.boe.es/gazeta/dias/1839/05/29/pdfs/GMD-1839-1656.pdf#page=2","Abrir facsímil")</f>
        <v>Abrir facsímil</v>
      </c>
      <c r="K15100" s="12" t="s">
        <v>65</v>
      </c>
    </row>
    <row r="15101" spans="1:11" ht="40.049999999999997" customHeight="1" x14ac:dyDescent="0.25">
      <c r="A15101" s="11" t="s">
        <v>29494</v>
      </c>
      <c r="B15101" s="11" t="s">
        <v>29495</v>
      </c>
      <c r="C15101" s="11" t="s">
        <v>17</v>
      </c>
      <c r="D15101" s="11" t="s">
        <v>18</v>
      </c>
      <c r="E15101" s="12" t="s">
        <v>308</v>
      </c>
      <c r="F15101" s="12" t="s">
        <v>309</v>
      </c>
      <c r="G15101" s="12" t="s">
        <v>29</v>
      </c>
      <c r="H15101" s="11" t="s">
        <v>63</v>
      </c>
      <c r="I15101" s="13" t="s">
        <v>29558</v>
      </c>
      <c r="J15101" s="14" t="str">
        <f>HYPERLINK("https://www.boe.es/gazeta/dias/1839/07/29/pdfs/GMD-1839-1718.pdf#page=1","Abrir facsímil")</f>
        <v>Abrir facsímil</v>
      </c>
      <c r="K15101" s="12" t="s">
        <v>65</v>
      </c>
    </row>
    <row r="15102" spans="1:11" ht="40.049999999999997" customHeight="1" x14ac:dyDescent="0.25">
      <c r="A15102" s="11" t="s">
        <v>29559</v>
      </c>
      <c r="B15102" s="11" t="s">
        <v>29560</v>
      </c>
      <c r="C15102" s="11" t="s">
        <v>17</v>
      </c>
      <c r="D15102" s="11" t="s">
        <v>18</v>
      </c>
      <c r="E15102" s="12" t="s">
        <v>116</v>
      </c>
      <c r="F15102" s="12" t="s">
        <v>117</v>
      </c>
      <c r="G15102" s="12" t="s">
        <v>46</v>
      </c>
      <c r="H15102" s="11" t="s">
        <v>63</v>
      </c>
      <c r="I15102" s="13" t="s">
        <v>29561</v>
      </c>
      <c r="J15102" s="14" t="str">
        <f>HYPERLINK("https://www.boe.es/gazeta/dias/1839/10/10/pdfs/GMD-1839-1796.pdf#page=3","Abrir facsímil")</f>
        <v>Abrir facsímil</v>
      </c>
      <c r="K15102" s="12" t="s">
        <v>65</v>
      </c>
    </row>
    <row r="15103" spans="1:11" ht="40.049999999999997" customHeight="1" x14ac:dyDescent="0.25">
      <c r="A15103" s="11" t="s">
        <v>29562</v>
      </c>
      <c r="B15103" s="11" t="s">
        <v>29563</v>
      </c>
      <c r="C15103" s="11" t="s">
        <v>59</v>
      </c>
      <c r="D15103" s="11" t="s">
        <v>60</v>
      </c>
      <c r="E15103" s="12" t="s">
        <v>1356</v>
      </c>
      <c r="F15103" s="12" t="s">
        <v>1357</v>
      </c>
      <c r="G15103" s="12" t="s">
        <v>40</v>
      </c>
      <c r="H15103" s="11" t="s">
        <v>63</v>
      </c>
      <c r="I15103" s="13" t="s">
        <v>29564</v>
      </c>
      <c r="J15103" s="14" t="str">
        <f>HYPERLINK("https://www.boe.es/gazeta/dias/1839/06/05/pdfs/GMD-1839-1663.pdf#page=2","Abrir facsímil")</f>
        <v>Abrir facsímil</v>
      </c>
      <c r="K15103" s="12" t="s">
        <v>65</v>
      </c>
    </row>
    <row r="15104" spans="1:11" ht="40.049999999999997" customHeight="1" x14ac:dyDescent="0.25">
      <c r="A15104" s="11" t="s">
        <v>29565</v>
      </c>
      <c r="B15104" s="11" t="s">
        <v>29566</v>
      </c>
      <c r="C15104" s="11" t="s">
        <v>137</v>
      </c>
      <c r="D15104" s="11" t="s">
        <v>18</v>
      </c>
      <c r="E15104" s="12" t="s">
        <v>1287</v>
      </c>
      <c r="F15104" s="12" t="s">
        <v>1288</v>
      </c>
      <c r="G15104" s="12" t="s">
        <v>46</v>
      </c>
      <c r="H15104" s="11" t="s">
        <v>63</v>
      </c>
      <c r="I15104" s="13" t="s">
        <v>29567</v>
      </c>
      <c r="J15104" s="14" t="str">
        <f>HYPERLINK("https://www.boe.es/gazeta/dias/1839/10/30/pdfs/GMD-1839-1816.pdf#page=3","Abrir facsímil")</f>
        <v>Abrir facsímil</v>
      </c>
      <c r="K15104" s="12" t="s">
        <v>65</v>
      </c>
    </row>
    <row r="15105" spans="1:11" ht="40.049999999999997" customHeight="1" x14ac:dyDescent="0.25">
      <c r="A15105" s="11" t="s">
        <v>29568</v>
      </c>
      <c r="B15105" s="11" t="s">
        <v>29569</v>
      </c>
      <c r="C15105" s="11" t="s">
        <v>80</v>
      </c>
      <c r="D15105" s="11" t="s">
        <v>18</v>
      </c>
      <c r="E15105" s="12" t="s">
        <v>912</v>
      </c>
      <c r="F15105" s="12" t="s">
        <v>913</v>
      </c>
      <c r="G15105" s="12" t="s">
        <v>21</v>
      </c>
      <c r="H15105" s="11" t="s">
        <v>63</v>
      </c>
      <c r="I15105" s="13" t="s">
        <v>29570</v>
      </c>
      <c r="J15105" s="14" t="str">
        <f>HYPERLINK("https://www.boe.es/gazeta/dias/1839/04/30/pdfs/GMD-1839-1627.pdf#page=4","Abrir facsímil")</f>
        <v>Abrir facsímil</v>
      </c>
      <c r="K15105" s="12" t="s">
        <v>65</v>
      </c>
    </row>
    <row r="15106" spans="1:11" ht="40.049999999999997" customHeight="1" x14ac:dyDescent="0.25">
      <c r="A15106" s="11" t="s">
        <v>29571</v>
      </c>
      <c r="B15106" s="11" t="s">
        <v>29572</v>
      </c>
      <c r="C15106" s="11" t="s">
        <v>17</v>
      </c>
      <c r="D15106" s="11" t="s">
        <v>18</v>
      </c>
      <c r="E15106" s="12" t="s">
        <v>197</v>
      </c>
      <c r="F15106" s="12" t="s">
        <v>198</v>
      </c>
      <c r="G15106" s="12" t="s">
        <v>46</v>
      </c>
      <c r="H15106" s="11" t="s">
        <v>63</v>
      </c>
      <c r="I15106" s="13" t="s">
        <v>29573</v>
      </c>
      <c r="J15106" s="14" t="str">
        <f>HYPERLINK("https://www.boe.es/gazeta/dias/1839/10/04/pdfs/GMD-1839-1790.pdf#page=3","Abrir facsímil")</f>
        <v>Abrir facsímil</v>
      </c>
      <c r="K15106" s="12" t="s">
        <v>65</v>
      </c>
    </row>
    <row r="15107" spans="1:11" ht="40.049999999999997" customHeight="1" x14ac:dyDescent="0.25">
      <c r="A15107" s="11" t="s">
        <v>29574</v>
      </c>
      <c r="B15107" s="11" t="s">
        <v>29575</v>
      </c>
      <c r="C15107" s="11" t="s">
        <v>80</v>
      </c>
      <c r="D15107" s="11" t="s">
        <v>18</v>
      </c>
      <c r="E15107" s="12" t="s">
        <v>1517</v>
      </c>
      <c r="F15107" s="12" t="s">
        <v>1518</v>
      </c>
      <c r="G15107" s="12" t="s">
        <v>40</v>
      </c>
      <c r="H15107" s="11" t="s">
        <v>22</v>
      </c>
      <c r="I15107" s="13" t="s">
        <v>29576</v>
      </c>
      <c r="J15107" s="14" t="str">
        <f>HYPERLINK("https://www.boe.es/gazeta/dias/1839/12/20/pdfs/GMD-1839-1867.pdf#page=2","Abrir facsímil")</f>
        <v>Abrir facsímil</v>
      </c>
      <c r="K15107" s="12" t="s">
        <v>24</v>
      </c>
    </row>
    <row r="15108" spans="1:11" ht="40.049999999999997" customHeight="1" x14ac:dyDescent="0.25">
      <c r="A15108" s="11" t="s">
        <v>29577</v>
      </c>
      <c r="B15108" s="11" t="s">
        <v>29578</v>
      </c>
      <c r="C15108" s="11" t="s">
        <v>17</v>
      </c>
      <c r="D15108" s="11" t="s">
        <v>18</v>
      </c>
      <c r="E15108" s="12" t="s">
        <v>2262</v>
      </c>
      <c r="F15108" s="12" t="s">
        <v>2263</v>
      </c>
      <c r="G15108" s="12" t="s">
        <v>21</v>
      </c>
      <c r="H15108" s="11" t="s">
        <v>63</v>
      </c>
      <c r="I15108" s="13" t="s">
        <v>29579</v>
      </c>
      <c r="J15108" s="14" t="str">
        <f>HYPERLINK("https://www.boe.es/gazeta/dias/1839/03/16/pdfs/GMD-1839-1582.pdf#page=4","Abrir facsímil")</f>
        <v>Abrir facsímil</v>
      </c>
      <c r="K15108" s="12" t="s">
        <v>65</v>
      </c>
    </row>
    <row r="15109" spans="1:11" ht="40.049999999999997" customHeight="1" x14ac:dyDescent="0.25">
      <c r="A15109" s="11" t="s">
        <v>29580</v>
      </c>
      <c r="B15109" s="11" t="s">
        <v>29581</v>
      </c>
      <c r="C15109" s="11" t="s">
        <v>17</v>
      </c>
      <c r="D15109" s="11" t="s">
        <v>18</v>
      </c>
      <c r="E15109" s="12" t="s">
        <v>1588</v>
      </c>
      <c r="F15109" s="12" t="s">
        <v>1589</v>
      </c>
      <c r="G15109" s="12" t="s">
        <v>29</v>
      </c>
      <c r="H15109" s="11" t="s">
        <v>63</v>
      </c>
      <c r="I15109" s="13" t="s">
        <v>29582</v>
      </c>
      <c r="J15109" s="14" t="str">
        <f>HYPERLINK("https://www.boe.es/gazeta/dias/1839/07/27/pdfs/GMD-1839-1716.pdf#page=1","Abrir facsímil")</f>
        <v>Abrir facsímil</v>
      </c>
      <c r="K15109" s="12" t="s">
        <v>65</v>
      </c>
    </row>
    <row r="15110" spans="1:11" ht="40.049999999999997" customHeight="1" x14ac:dyDescent="0.25">
      <c r="A15110" s="11" t="s">
        <v>29583</v>
      </c>
      <c r="B15110" s="11" t="s">
        <v>29584</v>
      </c>
      <c r="C15110" s="11" t="s">
        <v>80</v>
      </c>
      <c r="D15110" s="11" t="s">
        <v>18</v>
      </c>
      <c r="E15110" s="12" t="s">
        <v>946</v>
      </c>
      <c r="F15110" s="12" t="s">
        <v>947</v>
      </c>
      <c r="G15110" s="12" t="s">
        <v>21</v>
      </c>
      <c r="H15110" s="11" t="s">
        <v>63</v>
      </c>
      <c r="I15110" s="13" t="s">
        <v>29585</v>
      </c>
      <c r="J15110" s="14" t="str">
        <f>HYPERLINK("https://www.boe.es/gazeta/dias/1839/04/15/pdfs/GMD-1839-1612.pdf#page=4","Abrir facsímil")</f>
        <v>Abrir facsímil</v>
      </c>
      <c r="K15110" s="12" t="s">
        <v>65</v>
      </c>
    </row>
    <row r="15111" spans="1:11" ht="40.049999999999997" customHeight="1" x14ac:dyDescent="0.25">
      <c r="A15111" s="11" t="s">
        <v>29586</v>
      </c>
      <c r="B15111" s="11" t="s">
        <v>29587</v>
      </c>
      <c r="C15111" s="11" t="s">
        <v>17</v>
      </c>
      <c r="D15111" s="11" t="s">
        <v>18</v>
      </c>
      <c r="E15111" s="12" t="s">
        <v>1512</v>
      </c>
      <c r="F15111" s="12" t="s">
        <v>1513</v>
      </c>
      <c r="G15111" s="12" t="s">
        <v>21</v>
      </c>
      <c r="H15111" s="11" t="s">
        <v>63</v>
      </c>
      <c r="I15111" s="13" t="s">
        <v>29588</v>
      </c>
      <c r="J15111" s="14" t="str">
        <f>HYPERLINK("https://www.boe.es/gazeta/dias/1839/04/13/pdfs/GMD-1839-1610.pdf#page=4","Abrir facsímil")</f>
        <v>Abrir facsímil</v>
      </c>
      <c r="K15111" s="12" t="s">
        <v>65</v>
      </c>
    </row>
    <row r="15112" spans="1:11" ht="40.049999999999997" customHeight="1" x14ac:dyDescent="0.25">
      <c r="A15112" s="11" t="s">
        <v>29589</v>
      </c>
      <c r="B15112" s="11" t="s">
        <v>29590</v>
      </c>
      <c r="C15112" s="11" t="s">
        <v>17</v>
      </c>
      <c r="D15112" s="11" t="s">
        <v>18</v>
      </c>
      <c r="E15112" s="12" t="s">
        <v>222</v>
      </c>
      <c r="F15112" s="12" t="s">
        <v>223</v>
      </c>
      <c r="G15112" s="12" t="s">
        <v>21</v>
      </c>
      <c r="H15112" s="11" t="s">
        <v>63</v>
      </c>
      <c r="I15112" s="13" t="s">
        <v>29591</v>
      </c>
      <c r="J15112" s="14" t="str">
        <f>HYPERLINK("https://www.boe.es/gazeta/dias/1839/06/22/pdfs/GMD-1839-1680.pdf#page=4","Abrir facsímil")</f>
        <v>Abrir facsímil</v>
      </c>
      <c r="K15112" s="12" t="s">
        <v>65</v>
      </c>
    </row>
    <row r="15113" spans="1:11" ht="40.049999999999997" customHeight="1" x14ac:dyDescent="0.25">
      <c r="A15113" s="11" t="s">
        <v>29592</v>
      </c>
      <c r="B15113" s="11" t="s">
        <v>29593</v>
      </c>
      <c r="C15113" s="11" t="s">
        <v>17</v>
      </c>
      <c r="D15113" s="11" t="s">
        <v>18</v>
      </c>
      <c r="E15113" s="12" t="s">
        <v>333</v>
      </c>
      <c r="F15113" s="12" t="s">
        <v>334</v>
      </c>
      <c r="G15113" s="12" t="s">
        <v>21</v>
      </c>
      <c r="H15113" s="11" t="s">
        <v>63</v>
      </c>
      <c r="I15113" s="13" t="s">
        <v>29594</v>
      </c>
      <c r="J15113" s="14" t="str">
        <f>HYPERLINK("https://www.boe.es/gazeta/dias/1839/06/11/pdfs/GMD-1839-1669.pdf#page=4","Abrir facsímil")</f>
        <v>Abrir facsímil</v>
      </c>
      <c r="K15113" s="12" t="s">
        <v>65</v>
      </c>
    </row>
    <row r="15114" spans="1:11" ht="40.049999999999997" customHeight="1" x14ac:dyDescent="0.25">
      <c r="A15114" s="11" t="s">
        <v>29595</v>
      </c>
      <c r="B15114" s="11" t="s">
        <v>29596</v>
      </c>
      <c r="C15114" s="11" t="s">
        <v>80</v>
      </c>
      <c r="D15114" s="11" t="s">
        <v>18</v>
      </c>
      <c r="E15114" s="12" t="s">
        <v>621</v>
      </c>
      <c r="F15114" s="12" t="s">
        <v>622</v>
      </c>
      <c r="G15114" s="12" t="s">
        <v>29</v>
      </c>
      <c r="H15114" s="11" t="s">
        <v>63</v>
      </c>
      <c r="I15114" s="13" t="s">
        <v>29597</v>
      </c>
      <c r="J15114" s="14" t="str">
        <f>HYPERLINK("https://www.boe.es/gazeta/dias/1839/04/14/pdfs/GMD-1839-1611.pdf#page=1","Abrir facsímil")</f>
        <v>Abrir facsímil</v>
      </c>
      <c r="K15114" s="12" t="s">
        <v>65</v>
      </c>
    </row>
    <row r="15115" spans="1:11" ht="40.049999999999997" customHeight="1" x14ac:dyDescent="0.25">
      <c r="A15115" s="11" t="s">
        <v>29598</v>
      </c>
      <c r="B15115" s="11" t="s">
        <v>29599</v>
      </c>
      <c r="C15115" s="11" t="s">
        <v>101</v>
      </c>
      <c r="D15115" s="11" t="s">
        <v>43</v>
      </c>
      <c r="E15115" s="12" t="s">
        <v>2222</v>
      </c>
      <c r="F15115" s="12" t="s">
        <v>2223</v>
      </c>
      <c r="G15115" s="12" t="s">
        <v>40</v>
      </c>
      <c r="H15115" s="11" t="s">
        <v>63</v>
      </c>
      <c r="I15115" s="13" t="s">
        <v>29600</v>
      </c>
      <c r="J15115" s="14" t="str">
        <f>HYPERLINK("https://www.boe.es/gazeta/dias/1839/09/19/pdfs/GMD-1839-1773.pdf#page=2","Abrir facsímil")</f>
        <v>Abrir facsímil</v>
      </c>
      <c r="K15115" s="12" t="s">
        <v>65</v>
      </c>
    </row>
    <row r="15116" spans="1:11" ht="40.049999999999997" customHeight="1" x14ac:dyDescent="0.25">
      <c r="A15116" s="11" t="s">
        <v>29601</v>
      </c>
      <c r="B15116" s="11" t="s">
        <v>29602</v>
      </c>
      <c r="C15116" s="11" t="s">
        <v>17</v>
      </c>
      <c r="D15116" s="11" t="s">
        <v>18</v>
      </c>
      <c r="E15116" s="12" t="s">
        <v>81</v>
      </c>
      <c r="F15116" s="12" t="s">
        <v>82</v>
      </c>
      <c r="G15116" s="12" t="s">
        <v>29</v>
      </c>
      <c r="H15116" s="11" t="s">
        <v>63</v>
      </c>
      <c r="I15116" s="13" t="s">
        <v>29603</v>
      </c>
      <c r="J15116" s="14" t="str">
        <f>HYPERLINK("https://www.boe.es/gazeta/dias/1839/03/03/pdfs/GMD-1839-1569.pdf#page=1","Abrir facsímil")</f>
        <v>Abrir facsímil</v>
      </c>
      <c r="K15116" s="12" t="s">
        <v>65</v>
      </c>
    </row>
    <row r="15117" spans="1:11" ht="40.049999999999997" customHeight="1" x14ac:dyDescent="0.25">
      <c r="A15117" s="11" t="s">
        <v>29601</v>
      </c>
      <c r="B15117" s="11" t="s">
        <v>29602</v>
      </c>
      <c r="C15117" s="11" t="s">
        <v>59</v>
      </c>
      <c r="D15117" s="11" t="s">
        <v>60</v>
      </c>
      <c r="E15117" s="12" t="s">
        <v>3601</v>
      </c>
      <c r="F15117" s="12" t="s">
        <v>3602</v>
      </c>
      <c r="G15117" s="12" t="s">
        <v>29</v>
      </c>
      <c r="H15117" s="11" t="s">
        <v>63</v>
      </c>
      <c r="I15117" s="13" t="s">
        <v>29604</v>
      </c>
      <c r="J15117" s="14" t="str">
        <f>HYPERLINK("https://www.boe.es/gazeta/dias/1839/03/21/pdfs/GMD-1839-1587.pdf#page=1","Abrir facsímil")</f>
        <v>Abrir facsímil</v>
      </c>
      <c r="K15117" s="12" t="s">
        <v>65</v>
      </c>
    </row>
    <row r="15118" spans="1:11" ht="40.049999999999997" customHeight="1" x14ac:dyDescent="0.25">
      <c r="A15118" s="11" t="s">
        <v>29605</v>
      </c>
      <c r="B15118" s="11" t="s">
        <v>29606</v>
      </c>
      <c r="C15118" s="11" t="s">
        <v>137</v>
      </c>
      <c r="D15118" s="11" t="s">
        <v>18</v>
      </c>
      <c r="E15118" s="12" t="s">
        <v>141</v>
      </c>
      <c r="F15118" s="12" t="s">
        <v>142</v>
      </c>
      <c r="G15118" s="12" t="s">
        <v>21</v>
      </c>
      <c r="H15118" s="11" t="s">
        <v>63</v>
      </c>
      <c r="I15118" s="13" t="s">
        <v>29607</v>
      </c>
      <c r="J15118" s="14" t="str">
        <f>HYPERLINK("https://www.boe.es/gazeta/dias/1839/11/10/pdfs/GMD-1839-1827.pdf#page=4","Abrir facsímil")</f>
        <v>Abrir facsímil</v>
      </c>
      <c r="K15118" s="12" t="s">
        <v>65</v>
      </c>
    </row>
    <row r="15119" spans="1:11" ht="40.049999999999997" customHeight="1" x14ac:dyDescent="0.25">
      <c r="A15119" s="11" t="s">
        <v>29608</v>
      </c>
      <c r="B15119" s="11" t="s">
        <v>29609</v>
      </c>
      <c r="C15119" s="11" t="s">
        <v>80</v>
      </c>
      <c r="D15119" s="11" t="s">
        <v>18</v>
      </c>
      <c r="E15119" s="12" t="s">
        <v>44</v>
      </c>
      <c r="F15119" s="12" t="s">
        <v>45</v>
      </c>
      <c r="G15119" s="12" t="s">
        <v>46</v>
      </c>
      <c r="H15119" s="11" t="s">
        <v>63</v>
      </c>
      <c r="I15119" s="13" t="s">
        <v>29610</v>
      </c>
      <c r="J15119" s="14" t="str">
        <f>HYPERLINK("https://www.boe.es/gazeta/dias/1839/11/15/pdfs/GMD-1839-1832.pdf#page=3","Abrir facsímil")</f>
        <v>Abrir facsímil</v>
      </c>
      <c r="K15119" s="12" t="s">
        <v>65</v>
      </c>
    </row>
    <row r="15120" spans="1:11" ht="40.049999999999997" customHeight="1" x14ac:dyDescent="0.25">
      <c r="A15120" s="11" t="s">
        <v>29611</v>
      </c>
      <c r="B15120" s="11" t="s">
        <v>29612</v>
      </c>
      <c r="C15120" s="11" t="s">
        <v>17</v>
      </c>
      <c r="D15120" s="11" t="s">
        <v>18</v>
      </c>
      <c r="E15120" s="12" t="s">
        <v>3224</v>
      </c>
      <c r="F15120" s="12" t="s">
        <v>3225</v>
      </c>
      <c r="G15120" s="12" t="s">
        <v>46</v>
      </c>
      <c r="H15120" s="11" t="s">
        <v>63</v>
      </c>
      <c r="I15120" s="13" t="s">
        <v>29613</v>
      </c>
      <c r="J15120" s="14" t="str">
        <f>HYPERLINK("https://www.boe.es/gazeta/dias/1839/06/03/pdfs/GMD-1839-1661.pdf#page=3","Abrir facsímil")</f>
        <v>Abrir facsímil</v>
      </c>
      <c r="K15120" s="12" t="s">
        <v>65</v>
      </c>
    </row>
    <row r="15121" spans="1:11" ht="40.049999999999997" customHeight="1" x14ac:dyDescent="0.25">
      <c r="A15121" s="11" t="s">
        <v>29611</v>
      </c>
      <c r="B15121" s="11" t="s">
        <v>29612</v>
      </c>
      <c r="C15121" s="11" t="s">
        <v>17</v>
      </c>
      <c r="D15121" s="11" t="s">
        <v>18</v>
      </c>
      <c r="E15121" s="12" t="s">
        <v>1388</v>
      </c>
      <c r="F15121" s="12" t="s">
        <v>1389</v>
      </c>
      <c r="G15121" s="12" t="s">
        <v>21</v>
      </c>
      <c r="H15121" s="11" t="s">
        <v>63</v>
      </c>
      <c r="I15121" s="13" t="s">
        <v>29614</v>
      </c>
      <c r="J15121" s="14" t="str">
        <f>HYPERLINK("https://www.boe.es/gazeta/dias/1839/06/04/pdfs/GMD-1839-1662.pdf#page=4","Abrir facsímil")</f>
        <v>Abrir facsímil</v>
      </c>
      <c r="K15121" s="12" t="s">
        <v>65</v>
      </c>
    </row>
    <row r="15122" spans="1:11" ht="40.049999999999997" customHeight="1" x14ac:dyDescent="0.25">
      <c r="A15122" s="11" t="s">
        <v>29615</v>
      </c>
      <c r="B15122" s="11" t="s">
        <v>29616</v>
      </c>
      <c r="C15122" s="11" t="s">
        <v>17</v>
      </c>
      <c r="D15122" s="11" t="s">
        <v>18</v>
      </c>
      <c r="E15122" s="12" t="s">
        <v>486</v>
      </c>
      <c r="F15122" s="12" t="s">
        <v>487</v>
      </c>
      <c r="G15122" s="12" t="s">
        <v>29</v>
      </c>
      <c r="H15122" s="11" t="s">
        <v>63</v>
      </c>
      <c r="I15122" s="13" t="s">
        <v>29617</v>
      </c>
      <c r="J15122" s="14" t="str">
        <f>HYPERLINK("https://www.boe.es/gazeta/dias/1839/04/19/pdfs/GMD-1839-1616.pdf#page=1","Abrir facsímil")</f>
        <v>Abrir facsímil</v>
      </c>
      <c r="K15122" s="12" t="s">
        <v>65</v>
      </c>
    </row>
    <row r="15123" spans="1:11" ht="40.049999999999997" customHeight="1" x14ac:dyDescent="0.25">
      <c r="A15123" s="11" t="s">
        <v>29618</v>
      </c>
      <c r="B15123" s="11" t="s">
        <v>29619</v>
      </c>
      <c r="C15123" s="11" t="s">
        <v>17</v>
      </c>
      <c r="D15123" s="11" t="s">
        <v>18</v>
      </c>
      <c r="E15123" s="12" t="s">
        <v>160</v>
      </c>
      <c r="F15123" s="12" t="s">
        <v>161</v>
      </c>
      <c r="G15123" s="12" t="s">
        <v>46</v>
      </c>
      <c r="H15123" s="11" t="s">
        <v>63</v>
      </c>
      <c r="I15123" s="13" t="s">
        <v>29620</v>
      </c>
      <c r="J15123" s="14" t="str">
        <f>HYPERLINK("https://www.boe.es/gazeta/dias/1839/01/10/pdfs/GMD-1839-1517.pdf#page=3","Abrir facsímil")</f>
        <v>Abrir facsímil</v>
      </c>
      <c r="K15123" s="12" t="s">
        <v>65</v>
      </c>
    </row>
    <row r="15124" spans="1:11" ht="40.049999999999997" customHeight="1" x14ac:dyDescent="0.25">
      <c r="A15124" s="11" t="s">
        <v>29621</v>
      </c>
      <c r="B15124" s="11" t="s">
        <v>29622</v>
      </c>
      <c r="C15124" s="11" t="s">
        <v>17</v>
      </c>
      <c r="D15124" s="11" t="s">
        <v>18</v>
      </c>
      <c r="E15124" s="12" t="s">
        <v>333</v>
      </c>
      <c r="F15124" s="12" t="s">
        <v>334</v>
      </c>
      <c r="G15124" s="12" t="s">
        <v>29</v>
      </c>
      <c r="H15124" s="11" t="s">
        <v>63</v>
      </c>
      <c r="I15124" s="13" t="s">
        <v>29623</v>
      </c>
      <c r="J15124" s="14" t="str">
        <f>HYPERLINK("https://www.boe.es/gazeta/dias/1839/06/11/pdfs/GMD-1839-1669.pdf#page=1","Abrir facsímil")</f>
        <v>Abrir facsímil</v>
      </c>
      <c r="K15124" s="12" t="s">
        <v>65</v>
      </c>
    </row>
    <row r="15125" spans="1:11" ht="40.049999999999997" customHeight="1" x14ac:dyDescent="0.25">
      <c r="A15125" s="11" t="s">
        <v>29624</v>
      </c>
      <c r="B15125" s="11" t="s">
        <v>29625</v>
      </c>
      <c r="C15125" s="11" t="s">
        <v>137</v>
      </c>
      <c r="D15125" s="11" t="s">
        <v>18</v>
      </c>
      <c r="E15125" s="12" t="s">
        <v>1366</v>
      </c>
      <c r="F15125" s="12" t="s">
        <v>1367</v>
      </c>
      <c r="G15125" s="12" t="s">
        <v>40</v>
      </c>
      <c r="H15125" s="11" t="s">
        <v>63</v>
      </c>
      <c r="I15125" s="13" t="s">
        <v>29626</v>
      </c>
      <c r="J15125" s="14" t="str">
        <f>HYPERLINK("https://www.boe.es/gazeta/dias/1839/09/09/pdfs/GMD-1839-1762.pdf#page=2","Abrir facsímil")</f>
        <v>Abrir facsímil</v>
      </c>
      <c r="K15125" s="12" t="s">
        <v>65</v>
      </c>
    </row>
    <row r="15126" spans="1:11" ht="40.049999999999997" customHeight="1" x14ac:dyDescent="0.25">
      <c r="A15126" s="11" t="s">
        <v>29627</v>
      </c>
      <c r="B15126" s="11" t="s">
        <v>29628</v>
      </c>
      <c r="C15126" s="11" t="s">
        <v>17</v>
      </c>
      <c r="D15126" s="11" t="s">
        <v>18</v>
      </c>
      <c r="E15126" s="12" t="s">
        <v>2270</v>
      </c>
      <c r="F15126" s="12" t="s">
        <v>2271</v>
      </c>
      <c r="G15126" s="12" t="s">
        <v>46</v>
      </c>
      <c r="H15126" s="11" t="s">
        <v>63</v>
      </c>
      <c r="I15126" s="13" t="s">
        <v>29629</v>
      </c>
      <c r="J15126" s="14" t="str">
        <f>HYPERLINK("https://www.boe.es/gazeta/dias/1839/06/13/pdfs/GMD-1839-1671.pdf#page=3","Abrir facsímil")</f>
        <v>Abrir facsímil</v>
      </c>
      <c r="K15126" s="12" t="s">
        <v>65</v>
      </c>
    </row>
    <row r="15127" spans="1:11" ht="40.049999999999997" customHeight="1" x14ac:dyDescent="0.25">
      <c r="A15127" s="11" t="s">
        <v>29630</v>
      </c>
      <c r="B15127" s="11" t="s">
        <v>29631</v>
      </c>
      <c r="C15127" s="11" t="s">
        <v>137</v>
      </c>
      <c r="D15127" s="11" t="s">
        <v>18</v>
      </c>
      <c r="E15127" s="12" t="s">
        <v>197</v>
      </c>
      <c r="F15127" s="12" t="s">
        <v>198</v>
      </c>
      <c r="G15127" s="12" t="s">
        <v>46</v>
      </c>
      <c r="H15127" s="11" t="s">
        <v>63</v>
      </c>
      <c r="I15127" s="13" t="s">
        <v>29632</v>
      </c>
      <c r="J15127" s="14" t="str">
        <f>HYPERLINK("https://www.boe.es/gazeta/dias/1839/10/04/pdfs/GMD-1839-1790.pdf#page=3","Abrir facsímil")</f>
        <v>Abrir facsímil</v>
      </c>
      <c r="K15127" s="12" t="s">
        <v>65</v>
      </c>
    </row>
    <row r="15128" spans="1:11" ht="40.049999999999997" customHeight="1" x14ac:dyDescent="0.25">
      <c r="A15128" s="11" t="s">
        <v>29633</v>
      </c>
      <c r="B15128" s="11" t="s">
        <v>29634</v>
      </c>
      <c r="C15128" s="11" t="s">
        <v>17</v>
      </c>
      <c r="D15128" s="11" t="s">
        <v>18</v>
      </c>
      <c r="E15128" s="12" t="s">
        <v>375</v>
      </c>
      <c r="F15128" s="12" t="s">
        <v>376</v>
      </c>
      <c r="G15128" s="12" t="s">
        <v>46</v>
      </c>
      <c r="H15128" s="11" t="s">
        <v>63</v>
      </c>
      <c r="I15128" s="13" t="s">
        <v>29635</v>
      </c>
      <c r="J15128" s="14" t="str">
        <f>HYPERLINK("https://www.boe.es/gazeta/dias/1839/11/25/pdfs/GMD-1839-1842.pdf#page=3","Abrir facsímil")</f>
        <v>Abrir facsímil</v>
      </c>
      <c r="K15128" s="12" t="s">
        <v>65</v>
      </c>
    </row>
    <row r="15129" spans="1:11" ht="40.049999999999997" customHeight="1" x14ac:dyDescent="0.25">
      <c r="A15129" s="11" t="s">
        <v>29636</v>
      </c>
      <c r="B15129" s="11" t="s">
        <v>29637</v>
      </c>
      <c r="C15129" s="11" t="s">
        <v>137</v>
      </c>
      <c r="D15129" s="11" t="s">
        <v>18</v>
      </c>
      <c r="E15129" s="12" t="s">
        <v>254</v>
      </c>
      <c r="F15129" s="12" t="s">
        <v>255</v>
      </c>
      <c r="G15129" s="12" t="s">
        <v>40</v>
      </c>
      <c r="H15129" s="11" t="s">
        <v>63</v>
      </c>
      <c r="I15129" s="13" t="s">
        <v>29638</v>
      </c>
      <c r="J15129" s="14" t="str">
        <f>HYPERLINK("https://www.boe.es/gazeta/dias/1839/09/12/pdfs/GMD-1839-1765.pdf#page=2","Abrir facsímil")</f>
        <v>Abrir facsímil</v>
      </c>
      <c r="K15129" s="12" t="s">
        <v>65</v>
      </c>
    </row>
    <row r="15130" spans="1:11" ht="40.049999999999997" customHeight="1" x14ac:dyDescent="0.25">
      <c r="A15130" s="11" t="s">
        <v>29639</v>
      </c>
      <c r="B15130" s="11" t="s">
        <v>29640</v>
      </c>
      <c r="C15130" s="11" t="s">
        <v>17</v>
      </c>
      <c r="D15130" s="11" t="s">
        <v>18</v>
      </c>
      <c r="E15130" s="12" t="s">
        <v>1474</v>
      </c>
      <c r="F15130" s="12" t="s">
        <v>1475</v>
      </c>
      <c r="G15130" s="12" t="s">
        <v>46</v>
      </c>
      <c r="H15130" s="11" t="s">
        <v>63</v>
      </c>
      <c r="I15130" s="13" t="s">
        <v>29641</v>
      </c>
      <c r="J15130" s="14" t="str">
        <f>HYPERLINK("https://www.boe.es/gazeta/dias/1839/02/28/pdfs/GMD-1839-1566.pdf#page=3","Abrir facsímil")</f>
        <v>Abrir facsímil</v>
      </c>
      <c r="K15130" s="12" t="s">
        <v>65</v>
      </c>
    </row>
    <row r="15131" spans="1:11" ht="40.049999999999997" customHeight="1" x14ac:dyDescent="0.25">
      <c r="A15131" s="11" t="s">
        <v>29642</v>
      </c>
      <c r="B15131" s="11" t="s">
        <v>29643</v>
      </c>
      <c r="C15131" s="11" t="s">
        <v>17</v>
      </c>
      <c r="D15131" s="11" t="s">
        <v>18</v>
      </c>
      <c r="E15131" s="12" t="s">
        <v>2851</v>
      </c>
      <c r="F15131" s="12" t="s">
        <v>2852</v>
      </c>
      <c r="G15131" s="12" t="s">
        <v>40</v>
      </c>
      <c r="H15131" s="11" t="s">
        <v>63</v>
      </c>
      <c r="I15131" s="13" t="s">
        <v>29644</v>
      </c>
      <c r="J15131" s="14" t="str">
        <f>HYPERLINK("https://www.boe.es/gazeta/dias/1839/05/16/pdfs/GMD-1839-1643.pdf#page=2","Abrir facsímil")</f>
        <v>Abrir facsímil</v>
      </c>
      <c r="K15131" s="12" t="s">
        <v>65</v>
      </c>
    </row>
    <row r="15132" spans="1:11" ht="40.049999999999997" customHeight="1" x14ac:dyDescent="0.25">
      <c r="A15132" s="11" t="s">
        <v>29642</v>
      </c>
      <c r="B15132" s="11" t="s">
        <v>29643</v>
      </c>
      <c r="C15132" s="11" t="s">
        <v>80</v>
      </c>
      <c r="D15132" s="11" t="s">
        <v>18</v>
      </c>
      <c r="E15132" s="12" t="s">
        <v>1497</v>
      </c>
      <c r="F15132" s="12" t="s">
        <v>1498</v>
      </c>
      <c r="G15132" s="12" t="s">
        <v>29</v>
      </c>
      <c r="H15132" s="11" t="s">
        <v>63</v>
      </c>
      <c r="I15132" s="13" t="s">
        <v>29645</v>
      </c>
      <c r="J15132" s="14" t="str">
        <f>HYPERLINK("https://www.boe.es/gazeta/dias/1839/08/23/pdfs/GMD-1839-1744.pdf#page=1","Abrir facsímil")</f>
        <v>Abrir facsímil</v>
      </c>
      <c r="K15132" s="12" t="s">
        <v>65</v>
      </c>
    </row>
    <row r="15133" spans="1:11" ht="40.049999999999997" customHeight="1" x14ac:dyDescent="0.25">
      <c r="A15133" s="11" t="s">
        <v>29646</v>
      </c>
      <c r="B15133" s="11" t="s">
        <v>29647</v>
      </c>
      <c r="C15133" s="11" t="s">
        <v>17</v>
      </c>
      <c r="D15133" s="11" t="s">
        <v>18</v>
      </c>
      <c r="E15133" s="12" t="s">
        <v>723</v>
      </c>
      <c r="F15133" s="12" t="s">
        <v>724</v>
      </c>
      <c r="G15133" s="12" t="s">
        <v>21</v>
      </c>
      <c r="H15133" s="11" t="s">
        <v>63</v>
      </c>
      <c r="I15133" s="13" t="s">
        <v>29648</v>
      </c>
      <c r="J15133" s="14" t="str">
        <f>HYPERLINK("https://www.boe.es/gazeta/dias/1839/09/26/pdfs/GMD-1839-1782.pdf#page=4","Abrir facsímil")</f>
        <v>Abrir facsímil</v>
      </c>
      <c r="K15133" s="12" t="s">
        <v>65</v>
      </c>
    </row>
    <row r="15134" spans="1:11" ht="40.049999999999997" customHeight="1" x14ac:dyDescent="0.25">
      <c r="A15134" s="11" t="s">
        <v>29649</v>
      </c>
      <c r="B15134" s="11" t="s">
        <v>29650</v>
      </c>
      <c r="C15134" s="11" t="s">
        <v>17</v>
      </c>
      <c r="D15134" s="11" t="s">
        <v>18</v>
      </c>
      <c r="E15134" s="12" t="s">
        <v>416</v>
      </c>
      <c r="F15134" s="12" t="s">
        <v>417</v>
      </c>
      <c r="G15134" s="12" t="s">
        <v>40</v>
      </c>
      <c r="H15134" s="11" t="s">
        <v>63</v>
      </c>
      <c r="I15134" s="13" t="s">
        <v>29651</v>
      </c>
      <c r="J15134" s="14" t="str">
        <f>HYPERLINK("https://www.boe.es/gazeta/dias/1839/10/24/pdfs/GMD-1839-1810.pdf#page=2","Abrir facsímil")</f>
        <v>Abrir facsímil</v>
      </c>
      <c r="K15134" s="12" t="s">
        <v>65</v>
      </c>
    </row>
    <row r="15135" spans="1:11" ht="40.049999999999997" customHeight="1" x14ac:dyDescent="0.25">
      <c r="A15135" s="11" t="s">
        <v>29652</v>
      </c>
      <c r="B15135" s="11" t="s">
        <v>29653</v>
      </c>
      <c r="C15135" s="11" t="s">
        <v>101</v>
      </c>
      <c r="D15135" s="11" t="s">
        <v>102</v>
      </c>
      <c r="E15135" s="12" t="s">
        <v>677</v>
      </c>
      <c r="F15135" s="12" t="s">
        <v>678</v>
      </c>
      <c r="G15135" s="12" t="s">
        <v>40</v>
      </c>
      <c r="H15135" s="11" t="s">
        <v>63</v>
      </c>
      <c r="I15135" s="13" t="s">
        <v>29654</v>
      </c>
      <c r="J15135" s="14" t="str">
        <f>HYPERLINK("https://www.boe.es/gazeta/dias/1839/04/28/pdfs/GMD-1839-1625.pdf#page=2","Abrir facsímil")</f>
        <v>Abrir facsímil</v>
      </c>
      <c r="K15135" s="12" t="s">
        <v>65</v>
      </c>
    </row>
    <row r="15136" spans="1:11" ht="40.049999999999997" customHeight="1" x14ac:dyDescent="0.25">
      <c r="A15136" s="11" t="s">
        <v>29655</v>
      </c>
      <c r="B15136" s="11" t="s">
        <v>29656</v>
      </c>
      <c r="C15136" s="11" t="s">
        <v>17</v>
      </c>
      <c r="D15136" s="11" t="s">
        <v>18</v>
      </c>
      <c r="E15136" s="12" t="s">
        <v>1512</v>
      </c>
      <c r="F15136" s="12" t="s">
        <v>1513</v>
      </c>
      <c r="G15136" s="12" t="s">
        <v>40</v>
      </c>
      <c r="H15136" s="11" t="s">
        <v>63</v>
      </c>
      <c r="I15136" s="13" t="s">
        <v>29657</v>
      </c>
      <c r="J15136" s="14" t="str">
        <f>HYPERLINK("https://www.boe.es/gazeta/dias/1839/04/13/pdfs/GMD-1839-1610.pdf#page=2","Abrir facsímil")</f>
        <v>Abrir facsímil</v>
      </c>
      <c r="K15136" s="12" t="s">
        <v>65</v>
      </c>
    </row>
    <row r="15137" spans="1:11" ht="40.049999999999997" customHeight="1" x14ac:dyDescent="0.25">
      <c r="A15137" s="11" t="s">
        <v>29658</v>
      </c>
      <c r="B15137" s="11" t="s">
        <v>29659</v>
      </c>
      <c r="C15137" s="11" t="s">
        <v>17</v>
      </c>
      <c r="D15137" s="11" t="s">
        <v>18</v>
      </c>
      <c r="E15137" s="12" t="s">
        <v>1460</v>
      </c>
      <c r="F15137" s="12" t="s">
        <v>1461</v>
      </c>
      <c r="G15137" s="12" t="s">
        <v>40</v>
      </c>
      <c r="H15137" s="11" t="s">
        <v>63</v>
      </c>
      <c r="I15137" s="13" t="s">
        <v>29660</v>
      </c>
      <c r="J15137" s="14" t="str">
        <f>HYPERLINK("https://www.boe.es/gazeta/dias/1839/03/01/pdfs/GMD-1839-1567.pdf#page=2","Abrir facsímil")</f>
        <v>Abrir facsímil</v>
      </c>
      <c r="K15137" s="12" t="s">
        <v>65</v>
      </c>
    </row>
    <row r="15138" spans="1:11" ht="40.049999999999997" customHeight="1" x14ac:dyDescent="0.25">
      <c r="A15138" s="11" t="s">
        <v>29661</v>
      </c>
      <c r="B15138" s="11" t="s">
        <v>29662</v>
      </c>
      <c r="C15138" s="11" t="s">
        <v>101</v>
      </c>
      <c r="D15138" s="11" t="s">
        <v>43</v>
      </c>
      <c r="E15138" s="12" t="s">
        <v>647</v>
      </c>
      <c r="F15138" s="12" t="s">
        <v>648</v>
      </c>
      <c r="G15138" s="12" t="s">
        <v>40</v>
      </c>
      <c r="H15138" s="11" t="s">
        <v>63</v>
      </c>
      <c r="I15138" s="13" t="s">
        <v>29663</v>
      </c>
      <c r="J15138" s="14" t="str">
        <f>HYPERLINK("https://www.boe.es/gazeta/dias/1839/10/08/pdfs/GMD-1839-1794.pdf#page=2","Abrir facsímil")</f>
        <v>Abrir facsímil</v>
      </c>
      <c r="K15138" s="12" t="s">
        <v>65</v>
      </c>
    </row>
    <row r="15139" spans="1:11" ht="40.049999999999997" customHeight="1" x14ac:dyDescent="0.25">
      <c r="A15139" s="11" t="s">
        <v>29661</v>
      </c>
      <c r="B15139" s="11" t="s">
        <v>29662</v>
      </c>
      <c r="C15139" s="11" t="s">
        <v>17</v>
      </c>
      <c r="D15139" s="11" t="s">
        <v>18</v>
      </c>
      <c r="E15139" s="12" t="s">
        <v>27</v>
      </c>
      <c r="F15139" s="12" t="s">
        <v>28</v>
      </c>
      <c r="G15139" s="12" t="s">
        <v>40</v>
      </c>
      <c r="H15139" s="11" t="s">
        <v>63</v>
      </c>
      <c r="I15139" s="13" t="s">
        <v>29664</v>
      </c>
      <c r="J15139" s="14" t="str">
        <f>HYPERLINK("https://www.boe.es/gazeta/dias/1839/07/28/pdfs/GMD-1839-1717.pdf#page=2","Abrir facsímil")</f>
        <v>Abrir facsímil</v>
      </c>
      <c r="K15139" s="12" t="s">
        <v>65</v>
      </c>
    </row>
    <row r="15140" spans="1:11" ht="40.049999999999997" customHeight="1" x14ac:dyDescent="0.25">
      <c r="A15140" s="11" t="s">
        <v>29665</v>
      </c>
      <c r="B15140" s="11" t="s">
        <v>29666</v>
      </c>
      <c r="C15140" s="11" t="s">
        <v>17</v>
      </c>
      <c r="D15140" s="11" t="s">
        <v>18</v>
      </c>
      <c r="E15140" s="12" t="s">
        <v>677</v>
      </c>
      <c r="F15140" s="12" t="s">
        <v>678</v>
      </c>
      <c r="G15140" s="12" t="s">
        <v>40</v>
      </c>
      <c r="H15140" s="11" t="s">
        <v>63</v>
      </c>
      <c r="I15140" s="13" t="s">
        <v>29667</v>
      </c>
      <c r="J15140" s="14" t="str">
        <f>HYPERLINK("https://www.boe.es/gazeta/dias/1839/04/28/pdfs/GMD-1839-1625.pdf#page=2","Abrir facsímil")</f>
        <v>Abrir facsímil</v>
      </c>
      <c r="K15140" s="12" t="s">
        <v>65</v>
      </c>
    </row>
    <row r="15141" spans="1:11" ht="40.049999999999997" customHeight="1" x14ac:dyDescent="0.25">
      <c r="A15141" s="11" t="s">
        <v>29668</v>
      </c>
      <c r="B15141" s="11" t="s">
        <v>29669</v>
      </c>
      <c r="C15141" s="11" t="s">
        <v>80</v>
      </c>
      <c r="D15141" s="11" t="s">
        <v>18</v>
      </c>
      <c r="E15141" s="12" t="s">
        <v>3114</v>
      </c>
      <c r="F15141" s="12" t="s">
        <v>3115</v>
      </c>
      <c r="G15141" s="12" t="s">
        <v>40</v>
      </c>
      <c r="H15141" s="11" t="s">
        <v>63</v>
      </c>
      <c r="I15141" s="13" t="s">
        <v>29670</v>
      </c>
      <c r="J15141" s="14" t="str">
        <f>HYPERLINK("https://www.boe.es/gazeta/dias/1839/05/15/pdfs/GMD-1839-1642.pdf#page=2","Abrir facsímil")</f>
        <v>Abrir facsímil</v>
      </c>
      <c r="K15141" s="12" t="s">
        <v>65</v>
      </c>
    </row>
    <row r="15142" spans="1:11" ht="40.049999999999997" customHeight="1" x14ac:dyDescent="0.25">
      <c r="A15142" s="11" t="s">
        <v>29671</v>
      </c>
      <c r="B15142" s="11" t="s">
        <v>29672</v>
      </c>
      <c r="C15142" s="11" t="s">
        <v>80</v>
      </c>
      <c r="D15142" s="11" t="s">
        <v>18</v>
      </c>
      <c r="E15142" s="12" t="s">
        <v>230</v>
      </c>
      <c r="F15142" s="12" t="s">
        <v>231</v>
      </c>
      <c r="G15142" s="12" t="s">
        <v>29</v>
      </c>
      <c r="H15142" s="11" t="s">
        <v>63</v>
      </c>
      <c r="I15142" s="13" t="s">
        <v>29673</v>
      </c>
      <c r="J15142" s="14" t="str">
        <f>HYPERLINK("https://www.boe.es/gazeta/dias/1839/09/16/pdfs/GMD-1839-1769.pdf#page=1","Abrir facsímil")</f>
        <v>Abrir facsímil</v>
      </c>
      <c r="K15142" s="12" t="s">
        <v>65</v>
      </c>
    </row>
    <row r="15143" spans="1:11" ht="40.049999999999997" customHeight="1" x14ac:dyDescent="0.25">
      <c r="A15143" s="11" t="s">
        <v>29674</v>
      </c>
      <c r="B15143" s="11" t="s">
        <v>29675</v>
      </c>
      <c r="C15143" s="11" t="s">
        <v>137</v>
      </c>
      <c r="D15143" s="11" t="s">
        <v>18</v>
      </c>
      <c r="E15143" s="12" t="s">
        <v>202</v>
      </c>
      <c r="F15143" s="12" t="s">
        <v>203</v>
      </c>
      <c r="G15143" s="12" t="s">
        <v>40</v>
      </c>
      <c r="H15143" s="11" t="s">
        <v>63</v>
      </c>
      <c r="I15143" s="13" t="s">
        <v>29676</v>
      </c>
      <c r="J15143" s="14" t="str">
        <f>HYPERLINK("https://www.boe.es/gazeta/dias/1839/04/05/pdfs/GMD-1839-1602.pdf#page=2","Abrir facsímil")</f>
        <v>Abrir facsímil</v>
      </c>
      <c r="K15143" s="12" t="s">
        <v>65</v>
      </c>
    </row>
    <row r="15144" spans="1:11" ht="40.049999999999997" customHeight="1" x14ac:dyDescent="0.25">
      <c r="A15144" s="11" t="s">
        <v>29677</v>
      </c>
      <c r="B15144" s="11" t="s">
        <v>29678</v>
      </c>
      <c r="C15144" s="11" t="s">
        <v>17</v>
      </c>
      <c r="D15144" s="11" t="s">
        <v>18</v>
      </c>
      <c r="E15144" s="12" t="s">
        <v>984</v>
      </c>
      <c r="F15144" s="12" t="s">
        <v>985</v>
      </c>
      <c r="G15144" s="12" t="s">
        <v>40</v>
      </c>
      <c r="H15144" s="11" t="s">
        <v>63</v>
      </c>
      <c r="I15144" s="13" t="s">
        <v>29679</v>
      </c>
      <c r="J15144" s="14" t="str">
        <f>HYPERLINK("https://www.boe.es/gazeta/dias/1839/04/10/pdfs/GMD-1839-1607.pdf#page=2","Abrir facsímil")</f>
        <v>Abrir facsímil</v>
      </c>
      <c r="K15144" s="12" t="s">
        <v>65</v>
      </c>
    </row>
    <row r="15145" spans="1:11" ht="40.049999999999997" customHeight="1" x14ac:dyDescent="0.25">
      <c r="A15145" s="11" t="s">
        <v>29680</v>
      </c>
      <c r="B15145" s="11" t="s">
        <v>29681</v>
      </c>
      <c r="C15145" s="11" t="s">
        <v>80</v>
      </c>
      <c r="D15145" s="11" t="s">
        <v>18</v>
      </c>
      <c r="E15145" s="12" t="s">
        <v>621</v>
      </c>
      <c r="F15145" s="12" t="s">
        <v>622</v>
      </c>
      <c r="G15145" s="12" t="s">
        <v>40</v>
      </c>
      <c r="H15145" s="11" t="s">
        <v>63</v>
      </c>
      <c r="I15145" s="13" t="s">
        <v>29682</v>
      </c>
      <c r="J15145" s="14" t="str">
        <f>HYPERLINK("https://www.boe.es/gazeta/dias/1839/04/14/pdfs/GMD-1839-1611.pdf#page=2","Abrir facsímil")</f>
        <v>Abrir facsímil</v>
      </c>
      <c r="K15145" s="12" t="s">
        <v>65</v>
      </c>
    </row>
    <row r="15146" spans="1:11" ht="40.049999999999997" customHeight="1" x14ac:dyDescent="0.25">
      <c r="A15146" s="11" t="s">
        <v>29683</v>
      </c>
      <c r="B15146" s="11" t="s">
        <v>29684</v>
      </c>
      <c r="C15146" s="11" t="s">
        <v>101</v>
      </c>
      <c r="D15146" s="11" t="s">
        <v>102</v>
      </c>
      <c r="E15146" s="12" t="s">
        <v>462</v>
      </c>
      <c r="F15146" s="12" t="s">
        <v>463</v>
      </c>
      <c r="G15146" s="12" t="s">
        <v>46</v>
      </c>
      <c r="H15146" s="11" t="s">
        <v>22</v>
      </c>
      <c r="I15146" s="13" t="s">
        <v>29685</v>
      </c>
      <c r="J15146" s="14" t="str">
        <f>HYPERLINK("https://www.boe.es/gazeta/dias/1839/06/19/pdfs/GMD-1839-1677.pdf#page=3","Abrir facsímil")</f>
        <v>Abrir facsímil</v>
      </c>
      <c r="K15146" s="12" t="s">
        <v>24</v>
      </c>
    </row>
    <row r="15147" spans="1:11" ht="40.049999999999997" customHeight="1" x14ac:dyDescent="0.25">
      <c r="A15147" s="11" t="s">
        <v>29686</v>
      </c>
      <c r="B15147" s="11" t="s">
        <v>29687</v>
      </c>
      <c r="C15147" s="11" t="s">
        <v>17</v>
      </c>
      <c r="D15147" s="11" t="s">
        <v>18</v>
      </c>
      <c r="E15147" s="12" t="s">
        <v>2440</v>
      </c>
      <c r="F15147" s="12" t="s">
        <v>2441</v>
      </c>
      <c r="G15147" s="12" t="s">
        <v>21</v>
      </c>
      <c r="H15147" s="11" t="s">
        <v>22</v>
      </c>
      <c r="I15147" s="13" t="s">
        <v>29688</v>
      </c>
      <c r="J15147" s="14" t="str">
        <f>HYPERLINK("https://www.boe.es/gazeta/dias/1839/12/01/pdfs/GMD-1839-1848.pdf#page=4","Abrir facsímil")</f>
        <v>Abrir facsímil</v>
      </c>
      <c r="K15147" s="12" t="s">
        <v>24</v>
      </c>
    </row>
    <row r="15148" spans="1:11" ht="40.049999999999997" customHeight="1" x14ac:dyDescent="0.25">
      <c r="A15148" s="11" t="s">
        <v>29689</v>
      </c>
      <c r="B15148" s="11" t="s">
        <v>29690</v>
      </c>
      <c r="C15148" s="11" t="s">
        <v>17</v>
      </c>
      <c r="D15148" s="11" t="s">
        <v>18</v>
      </c>
      <c r="E15148" s="12" t="s">
        <v>782</v>
      </c>
      <c r="F15148" s="12" t="s">
        <v>783</v>
      </c>
      <c r="G15148" s="12" t="s">
        <v>21</v>
      </c>
      <c r="H15148" s="11" t="s">
        <v>63</v>
      </c>
      <c r="I15148" s="13" t="s">
        <v>29691</v>
      </c>
      <c r="J15148" s="14" t="str">
        <f>HYPERLINK("https://www.boe.es/gazeta/dias/1839/05/09/pdfs/GMD-1839-1636.pdf#page=4","Abrir facsímil")</f>
        <v>Abrir facsímil</v>
      </c>
      <c r="K15148" s="12" t="s">
        <v>65</v>
      </c>
    </row>
    <row r="15149" spans="1:11" ht="40.049999999999997" customHeight="1" x14ac:dyDescent="0.25">
      <c r="A15149" s="11" t="s">
        <v>29689</v>
      </c>
      <c r="B15149" s="11" t="s">
        <v>29690</v>
      </c>
      <c r="C15149" s="11" t="s">
        <v>17</v>
      </c>
      <c r="D15149" s="11" t="s">
        <v>18</v>
      </c>
      <c r="E15149" s="12" t="s">
        <v>1019</v>
      </c>
      <c r="F15149" s="12" t="s">
        <v>1020</v>
      </c>
      <c r="G15149" s="12" t="s">
        <v>21</v>
      </c>
      <c r="H15149" s="11" t="s">
        <v>63</v>
      </c>
      <c r="I15149" s="13" t="s">
        <v>29692</v>
      </c>
      <c r="J15149" s="14" t="str">
        <f>HYPERLINK("https://www.boe.es/gazeta/dias/1839/07/15/pdfs/GMD-1839-1703.pdf#page=4","Abrir facsímil")</f>
        <v>Abrir facsímil</v>
      </c>
      <c r="K15149" s="12" t="s">
        <v>65</v>
      </c>
    </row>
    <row r="15150" spans="1:11" ht="40.049999999999997" customHeight="1" x14ac:dyDescent="0.25">
      <c r="A15150" s="11" t="s">
        <v>29693</v>
      </c>
      <c r="B15150" s="11" t="s">
        <v>29694</v>
      </c>
      <c r="C15150" s="11" t="s">
        <v>137</v>
      </c>
      <c r="D15150" s="11" t="s">
        <v>18</v>
      </c>
      <c r="E15150" s="12" t="s">
        <v>992</v>
      </c>
      <c r="F15150" s="12" t="s">
        <v>993</v>
      </c>
      <c r="G15150" s="12" t="s">
        <v>40</v>
      </c>
      <c r="H15150" s="11" t="s">
        <v>63</v>
      </c>
      <c r="I15150" s="13" t="s">
        <v>29695</v>
      </c>
      <c r="J15150" s="14" t="str">
        <f>HYPERLINK("https://www.boe.es/gazeta/dias/1839/02/18/pdfs/GMD-1839-1556.pdf#page=2","Abrir facsímil")</f>
        <v>Abrir facsímil</v>
      </c>
      <c r="K15150" s="12" t="s">
        <v>65</v>
      </c>
    </row>
    <row r="15151" spans="1:11" ht="40.049999999999997" customHeight="1" x14ac:dyDescent="0.25">
      <c r="A15151" s="11" t="s">
        <v>29696</v>
      </c>
      <c r="B15151" s="11" t="s">
        <v>29697</v>
      </c>
      <c r="C15151" s="11" t="s">
        <v>59</v>
      </c>
      <c r="D15151" s="11" t="s">
        <v>60</v>
      </c>
      <c r="E15151" s="12" t="s">
        <v>469</v>
      </c>
      <c r="F15151" s="12" t="s">
        <v>470</v>
      </c>
      <c r="G15151" s="12" t="s">
        <v>29</v>
      </c>
      <c r="H15151" s="11" t="s">
        <v>63</v>
      </c>
      <c r="I15151" s="13" t="s">
        <v>29698</v>
      </c>
      <c r="J15151" s="14" t="str">
        <f>HYPERLINK("https://www.boe.es/gazeta/dias/1839/08/20/pdfs/GMD-1839-1741.pdf#page=1","Abrir facsímil")</f>
        <v>Abrir facsímil</v>
      </c>
      <c r="K15151" s="12" t="s">
        <v>65</v>
      </c>
    </row>
    <row r="15152" spans="1:11" ht="40.049999999999997" customHeight="1" x14ac:dyDescent="0.25">
      <c r="A15152" s="11" t="s">
        <v>29699</v>
      </c>
      <c r="B15152" s="11" t="s">
        <v>29700</v>
      </c>
      <c r="C15152" s="11" t="s">
        <v>101</v>
      </c>
      <c r="D15152" s="11" t="s">
        <v>43</v>
      </c>
      <c r="E15152" s="12" t="s">
        <v>2851</v>
      </c>
      <c r="F15152" s="12" t="s">
        <v>2852</v>
      </c>
      <c r="G15152" s="12" t="s">
        <v>40</v>
      </c>
      <c r="H15152" s="11" t="s">
        <v>63</v>
      </c>
      <c r="I15152" s="13" t="s">
        <v>29701</v>
      </c>
      <c r="J15152" s="14" t="str">
        <f>HYPERLINK("https://www.boe.es/gazeta/dias/1839/05/16/pdfs/GMD-1839-1643.pdf#page=2","Abrir facsímil")</f>
        <v>Abrir facsímil</v>
      </c>
      <c r="K15152" s="12" t="s">
        <v>65</v>
      </c>
    </row>
    <row r="15153" spans="1:11" ht="40.049999999999997" customHeight="1" x14ac:dyDescent="0.25">
      <c r="A15153" s="11" t="s">
        <v>29702</v>
      </c>
      <c r="B15153" s="11" t="s">
        <v>29703</v>
      </c>
      <c r="C15153" s="11" t="s">
        <v>137</v>
      </c>
      <c r="D15153" s="11" t="s">
        <v>18</v>
      </c>
      <c r="E15153" s="12" t="s">
        <v>912</v>
      </c>
      <c r="F15153" s="12" t="s">
        <v>913</v>
      </c>
      <c r="G15153" s="12" t="s">
        <v>46</v>
      </c>
      <c r="H15153" s="11" t="s">
        <v>63</v>
      </c>
      <c r="I15153" s="13" t="s">
        <v>29704</v>
      </c>
      <c r="J15153" s="14" t="str">
        <f>HYPERLINK("https://www.boe.es/gazeta/dias/1839/04/30/pdfs/GMD-1839-1627.pdf#page=3","Abrir facsímil")</f>
        <v>Abrir facsímil</v>
      </c>
      <c r="K15153" s="12" t="s">
        <v>65</v>
      </c>
    </row>
    <row r="15154" spans="1:11" ht="40.049999999999997" customHeight="1" x14ac:dyDescent="0.25">
      <c r="A15154" s="11" t="s">
        <v>29705</v>
      </c>
      <c r="B15154" s="11" t="s">
        <v>29706</v>
      </c>
      <c r="C15154" s="11" t="s">
        <v>101</v>
      </c>
      <c r="D15154" s="11" t="s">
        <v>43</v>
      </c>
      <c r="E15154" s="12" t="s">
        <v>621</v>
      </c>
      <c r="F15154" s="12" t="s">
        <v>622</v>
      </c>
      <c r="G15154" s="12" t="s">
        <v>40</v>
      </c>
      <c r="H15154" s="11" t="s">
        <v>63</v>
      </c>
      <c r="I15154" s="13" t="s">
        <v>29707</v>
      </c>
      <c r="J15154" s="14" t="str">
        <f>HYPERLINK("https://www.boe.es/gazeta/dias/1839/04/14/pdfs/GMD-1839-1611.pdf#page=2","Abrir facsímil")</f>
        <v>Abrir facsímil</v>
      </c>
      <c r="K15154" s="12" t="s">
        <v>65</v>
      </c>
    </row>
    <row r="15155" spans="1:11" ht="40.049999999999997" customHeight="1" x14ac:dyDescent="0.25">
      <c r="A15155" s="11" t="s">
        <v>29708</v>
      </c>
      <c r="B15155" s="11" t="s">
        <v>29709</v>
      </c>
      <c r="C15155" s="11" t="s">
        <v>17</v>
      </c>
      <c r="D15155" s="11" t="s">
        <v>18</v>
      </c>
      <c r="E15155" s="12" t="s">
        <v>1446</v>
      </c>
      <c r="F15155" s="12" t="s">
        <v>1447</v>
      </c>
      <c r="G15155" s="12" t="s">
        <v>29</v>
      </c>
      <c r="H15155" s="11" t="s">
        <v>63</v>
      </c>
      <c r="I15155" s="13" t="s">
        <v>29710</v>
      </c>
      <c r="J15155" s="14" t="str">
        <f>HYPERLINK("https://www.boe.es/gazeta/dias/1839/08/25/pdfs/GMD-1839-1746.pdf#page=1","Abrir facsímil")</f>
        <v>Abrir facsímil</v>
      </c>
      <c r="K15155" s="12" t="s">
        <v>65</v>
      </c>
    </row>
    <row r="15156" spans="1:11" ht="40.049999999999997" customHeight="1" x14ac:dyDescent="0.25">
      <c r="A15156" s="11" t="s">
        <v>29711</v>
      </c>
      <c r="B15156" s="11" t="s">
        <v>29712</v>
      </c>
      <c r="C15156" s="11" t="s">
        <v>17</v>
      </c>
      <c r="D15156" s="11" t="s">
        <v>18</v>
      </c>
      <c r="E15156" s="12" t="s">
        <v>1813</v>
      </c>
      <c r="F15156" s="12" t="s">
        <v>1814</v>
      </c>
      <c r="G15156" s="12" t="s">
        <v>40</v>
      </c>
      <c r="H15156" s="11" t="s">
        <v>63</v>
      </c>
      <c r="I15156" s="13" t="s">
        <v>29713</v>
      </c>
      <c r="J15156" s="14" t="str">
        <f>HYPERLINK("https://www.boe.es/gazeta/dias/1839/09/02/pdfs/GMD-1839-1754.pdf#page=2","Abrir facsímil")</f>
        <v>Abrir facsímil</v>
      </c>
      <c r="K15156" s="12" t="s">
        <v>65</v>
      </c>
    </row>
    <row r="15157" spans="1:11" ht="40.049999999999997" customHeight="1" x14ac:dyDescent="0.25">
      <c r="A15157" s="11" t="s">
        <v>29714</v>
      </c>
      <c r="B15157" s="11" t="s">
        <v>29715</v>
      </c>
      <c r="C15157" s="11" t="s">
        <v>17</v>
      </c>
      <c r="D15157" s="11" t="s">
        <v>18</v>
      </c>
      <c r="E15157" s="12" t="s">
        <v>862</v>
      </c>
      <c r="F15157" s="12" t="s">
        <v>863</v>
      </c>
      <c r="G15157" s="12" t="s">
        <v>566</v>
      </c>
      <c r="H15157" s="11" t="s">
        <v>63</v>
      </c>
      <c r="I15157" s="13" t="s">
        <v>29716</v>
      </c>
      <c r="J15157" s="14" t="str">
        <f>HYPERLINK("https://www.boe.es/gazeta/dias/1839/10/28/pdfs/GMD-1839-1814.pdf#page=5","Abrir facsímil")</f>
        <v>Abrir facsímil</v>
      </c>
      <c r="K15157" s="12" t="s">
        <v>65</v>
      </c>
    </row>
    <row r="15158" spans="1:11" ht="40.049999999999997" customHeight="1" x14ac:dyDescent="0.25">
      <c r="A15158" s="11" t="s">
        <v>29717</v>
      </c>
      <c r="B15158" s="11" t="s">
        <v>29718</v>
      </c>
      <c r="C15158" s="11" t="s">
        <v>17</v>
      </c>
      <c r="D15158" s="11" t="s">
        <v>18</v>
      </c>
      <c r="E15158" s="12" t="s">
        <v>568</v>
      </c>
      <c r="F15158" s="12" t="s">
        <v>569</v>
      </c>
      <c r="G15158" s="12" t="s">
        <v>46</v>
      </c>
      <c r="H15158" s="11" t="s">
        <v>63</v>
      </c>
      <c r="I15158" s="13" t="s">
        <v>29719</v>
      </c>
      <c r="J15158" s="14" t="str">
        <f>HYPERLINK("https://www.boe.es/gazeta/dias/1839/10/23/pdfs/GMD-1839-1809.pdf#page=3","Abrir facsímil")</f>
        <v>Abrir facsímil</v>
      </c>
      <c r="K15158" s="12" t="s">
        <v>65</v>
      </c>
    </row>
    <row r="15159" spans="1:11" ht="40.049999999999997" customHeight="1" x14ac:dyDescent="0.25">
      <c r="A15159" s="11" t="s">
        <v>29720</v>
      </c>
      <c r="B15159" s="11" t="s">
        <v>29721</v>
      </c>
      <c r="C15159" s="11" t="s">
        <v>80</v>
      </c>
      <c r="D15159" s="11" t="s">
        <v>18</v>
      </c>
      <c r="E15159" s="12" t="s">
        <v>84</v>
      </c>
      <c r="F15159" s="12" t="s">
        <v>85</v>
      </c>
      <c r="G15159" s="12" t="s">
        <v>21</v>
      </c>
      <c r="H15159" s="11" t="s">
        <v>63</v>
      </c>
      <c r="I15159" s="13" t="s">
        <v>29722</v>
      </c>
      <c r="J15159" s="14" t="str">
        <f>HYPERLINK("https://www.boe.es/gazeta/dias/1839/03/11/pdfs/GMD-1839-1577.pdf#page=4","Abrir facsímil")</f>
        <v>Abrir facsímil</v>
      </c>
      <c r="K15159" s="12" t="s">
        <v>65</v>
      </c>
    </row>
    <row r="15160" spans="1:11" ht="40.049999999999997" customHeight="1" x14ac:dyDescent="0.25">
      <c r="A15160" s="11" t="s">
        <v>29723</v>
      </c>
      <c r="B15160" s="11" t="s">
        <v>29724</v>
      </c>
      <c r="C15160" s="11" t="s">
        <v>17</v>
      </c>
      <c r="D15160" s="11" t="s">
        <v>18</v>
      </c>
      <c r="E15160" s="12" t="s">
        <v>254</v>
      </c>
      <c r="F15160" s="12" t="s">
        <v>255</v>
      </c>
      <c r="G15160" s="12" t="s">
        <v>21</v>
      </c>
      <c r="H15160" s="11" t="s">
        <v>63</v>
      </c>
      <c r="I15160" s="13" t="s">
        <v>29725</v>
      </c>
      <c r="J15160" s="14" t="str">
        <f>HYPERLINK("https://www.boe.es/gazeta/dias/1839/09/12/pdfs/GMD-1839-1765.pdf#page=4","Abrir facsímil")</f>
        <v>Abrir facsímil</v>
      </c>
      <c r="K15160" s="12" t="s">
        <v>65</v>
      </c>
    </row>
    <row r="15161" spans="1:11" ht="40.049999999999997" customHeight="1" x14ac:dyDescent="0.25">
      <c r="A15161" s="11" t="s">
        <v>29726</v>
      </c>
      <c r="B15161" s="11" t="s">
        <v>29727</v>
      </c>
      <c r="C15161" s="11" t="s">
        <v>59</v>
      </c>
      <c r="D15161" s="11" t="s">
        <v>60</v>
      </c>
      <c r="E15161" s="12" t="s">
        <v>500</v>
      </c>
      <c r="F15161" s="12" t="s">
        <v>501</v>
      </c>
      <c r="G15161" s="12" t="s">
        <v>40</v>
      </c>
      <c r="H15161" s="11" t="s">
        <v>63</v>
      </c>
      <c r="I15161" s="13" t="s">
        <v>29728</v>
      </c>
      <c r="J15161" s="14" t="str">
        <f>HYPERLINK("https://www.boe.es/gazeta/dias/1839/11/06/pdfs/GMD-1839-1823.pdf#page=2","Abrir facsímil")</f>
        <v>Abrir facsímil</v>
      </c>
      <c r="K15161" s="12" t="s">
        <v>65</v>
      </c>
    </row>
    <row r="15162" spans="1:11" ht="40.049999999999997" customHeight="1" x14ac:dyDescent="0.25">
      <c r="A15162" s="11" t="s">
        <v>29729</v>
      </c>
      <c r="B15162" s="11" t="s">
        <v>29730</v>
      </c>
      <c r="C15162" s="11" t="s">
        <v>17</v>
      </c>
      <c r="D15162" s="11" t="s">
        <v>18</v>
      </c>
      <c r="E15162" s="12" t="s">
        <v>420</v>
      </c>
      <c r="F15162" s="12" t="s">
        <v>421</v>
      </c>
      <c r="G15162" s="12" t="s">
        <v>21</v>
      </c>
      <c r="H15162" s="11" t="s">
        <v>63</v>
      </c>
      <c r="I15162" s="13" t="s">
        <v>29731</v>
      </c>
      <c r="J15162" s="14" t="str">
        <f>HYPERLINK("https://www.boe.es/gazeta/dias/1839/03/12/pdfs/GMD-1839-1578.pdf#page=4","Abrir facsímil")</f>
        <v>Abrir facsímil</v>
      </c>
      <c r="K15162" s="12" t="s">
        <v>65</v>
      </c>
    </row>
    <row r="15163" spans="1:11" ht="40.049999999999997" customHeight="1" x14ac:dyDescent="0.25">
      <c r="A15163" s="11" t="s">
        <v>29732</v>
      </c>
      <c r="B15163" s="11" t="s">
        <v>29733</v>
      </c>
      <c r="C15163" s="11" t="s">
        <v>17</v>
      </c>
      <c r="D15163" s="11" t="s">
        <v>18</v>
      </c>
      <c r="E15163" s="12" t="s">
        <v>2320</v>
      </c>
      <c r="F15163" s="12" t="s">
        <v>2321</v>
      </c>
      <c r="G15163" s="12" t="s">
        <v>21</v>
      </c>
      <c r="H15163" s="11" t="s">
        <v>63</v>
      </c>
      <c r="I15163" s="13" t="s">
        <v>29734</v>
      </c>
      <c r="J15163" s="14" t="str">
        <f>HYPERLINK("https://www.boe.es/gazeta/dias/1839/11/13/pdfs/GMD-1839-1830.pdf#page=4","Abrir facsímil")</f>
        <v>Abrir facsímil</v>
      </c>
      <c r="K15163" s="12" t="s">
        <v>65</v>
      </c>
    </row>
    <row r="15164" spans="1:11" ht="40.049999999999997" customHeight="1" x14ac:dyDescent="0.25">
      <c r="A15164" s="11" t="s">
        <v>29735</v>
      </c>
      <c r="B15164" s="11" t="s">
        <v>29736</v>
      </c>
      <c r="C15164" s="11" t="s">
        <v>17</v>
      </c>
      <c r="D15164" s="11" t="s">
        <v>18</v>
      </c>
      <c r="E15164" s="12" t="s">
        <v>372</v>
      </c>
      <c r="F15164" s="12" t="s">
        <v>373</v>
      </c>
      <c r="G15164" s="12" t="s">
        <v>29</v>
      </c>
      <c r="H15164" s="11" t="s">
        <v>63</v>
      </c>
      <c r="I15164" s="13" t="s">
        <v>29737</v>
      </c>
      <c r="J15164" s="14" t="str">
        <f>HYPERLINK("https://www.boe.es/gazeta/dias/1839/11/08/pdfs/GMD-1839-1825.pdf#page=1","Abrir facsímil")</f>
        <v>Abrir facsímil</v>
      </c>
      <c r="K15164" s="12" t="s">
        <v>65</v>
      </c>
    </row>
    <row r="15165" spans="1:11" ht="40.049999999999997" customHeight="1" x14ac:dyDescent="0.25">
      <c r="A15165" s="11" t="s">
        <v>29738</v>
      </c>
      <c r="B15165" s="11" t="s">
        <v>29739</v>
      </c>
      <c r="C15165" s="11" t="s">
        <v>17</v>
      </c>
      <c r="D15165" s="11" t="s">
        <v>18</v>
      </c>
      <c r="E15165" s="12" t="s">
        <v>695</v>
      </c>
      <c r="F15165" s="12" t="s">
        <v>696</v>
      </c>
      <c r="G15165" s="12" t="s">
        <v>21</v>
      </c>
      <c r="H15165" s="11" t="s">
        <v>63</v>
      </c>
      <c r="I15165" s="13" t="s">
        <v>29740</v>
      </c>
      <c r="J15165" s="14" t="str">
        <f>HYPERLINK("https://www.boe.es/gazeta/dias/1839/12/19/pdfs/GMD-1839-1866.pdf#page=4","Abrir facsímil")</f>
        <v>Abrir facsímil</v>
      </c>
      <c r="K15165" s="12" t="s">
        <v>65</v>
      </c>
    </row>
    <row r="15166" spans="1:11" ht="40.049999999999997" customHeight="1" x14ac:dyDescent="0.25">
      <c r="A15166" s="11" t="s">
        <v>29741</v>
      </c>
      <c r="B15166" s="11" t="s">
        <v>29742</v>
      </c>
      <c r="C15166" s="11" t="s">
        <v>17</v>
      </c>
      <c r="D15166" s="11" t="s">
        <v>18</v>
      </c>
      <c r="E15166" s="12" t="s">
        <v>1123</v>
      </c>
      <c r="F15166" s="12" t="s">
        <v>1124</v>
      </c>
      <c r="G15166" s="12" t="s">
        <v>46</v>
      </c>
      <c r="H15166" s="11" t="s">
        <v>63</v>
      </c>
      <c r="I15166" s="13" t="s">
        <v>29743</v>
      </c>
      <c r="J15166" s="14" t="str">
        <f>HYPERLINK("https://www.boe.es/gazeta/dias/1839/08/10/pdfs/GMD-1839-1730.pdf#page=3","Abrir facsímil")</f>
        <v>Abrir facsímil</v>
      </c>
      <c r="K15166" s="12" t="s">
        <v>65</v>
      </c>
    </row>
    <row r="15167" spans="1:11" ht="40.049999999999997" customHeight="1" x14ac:dyDescent="0.25">
      <c r="A15167" s="11" t="s">
        <v>29744</v>
      </c>
      <c r="B15167" s="11" t="s">
        <v>29745</v>
      </c>
      <c r="C15167" s="11" t="s">
        <v>59</v>
      </c>
      <c r="D15167" s="11" t="s">
        <v>60</v>
      </c>
      <c r="E15167" s="12" t="s">
        <v>61</v>
      </c>
      <c r="F15167" s="12" t="s">
        <v>62</v>
      </c>
      <c r="G15167" s="12" t="s">
        <v>21</v>
      </c>
      <c r="H15167" s="11" t="s">
        <v>63</v>
      </c>
      <c r="I15167" s="13" t="s">
        <v>29746</v>
      </c>
      <c r="J15167" s="14" t="str">
        <f>HYPERLINK("https://www.boe.es/gazeta/dias/1839/09/10/pdfs/GMD-1839-1763.pdf#page=4","Abrir facsímil")</f>
        <v>Abrir facsímil</v>
      </c>
      <c r="K15167" s="12" t="s">
        <v>65</v>
      </c>
    </row>
    <row r="15168" spans="1:11" ht="40.049999999999997" customHeight="1" x14ac:dyDescent="0.25">
      <c r="A15168" s="11" t="s">
        <v>29747</v>
      </c>
      <c r="B15168" s="11" t="s">
        <v>29748</v>
      </c>
      <c r="C15168" s="11" t="s">
        <v>17</v>
      </c>
      <c r="D15168" s="11" t="s">
        <v>18</v>
      </c>
      <c r="E15168" s="12" t="s">
        <v>2962</v>
      </c>
      <c r="F15168" s="12" t="s">
        <v>2963</v>
      </c>
      <c r="G15168" s="12" t="s">
        <v>21</v>
      </c>
      <c r="H15168" s="11" t="s">
        <v>63</v>
      </c>
      <c r="I15168" s="13" t="s">
        <v>29749</v>
      </c>
      <c r="J15168" s="14" t="str">
        <f>HYPERLINK("https://www.boe.es/gazeta/dias/1839/12/21/pdfs/GMD-1839-1868.pdf#page=4","Abrir facsímil")</f>
        <v>Abrir facsímil</v>
      </c>
      <c r="K15168" s="12" t="s">
        <v>65</v>
      </c>
    </row>
    <row r="15169" spans="1:11" ht="40.049999999999997" customHeight="1" x14ac:dyDescent="0.25">
      <c r="A15169" s="11" t="s">
        <v>29747</v>
      </c>
      <c r="B15169" s="11" t="s">
        <v>29748</v>
      </c>
      <c r="C15169" s="11" t="s">
        <v>17</v>
      </c>
      <c r="D15169" s="11" t="s">
        <v>18</v>
      </c>
      <c r="E15169" s="12" t="s">
        <v>2415</v>
      </c>
      <c r="F15169" s="12" t="s">
        <v>2416</v>
      </c>
      <c r="G15169" s="12" t="s">
        <v>21</v>
      </c>
      <c r="H15169" s="11" t="s">
        <v>63</v>
      </c>
      <c r="I15169" s="13" t="s">
        <v>29750</v>
      </c>
      <c r="J15169" s="14" t="str">
        <f>HYPERLINK("https://www.boe.es/gazeta/dias/1839/12/22/pdfs/GMD-1839-1869.pdf#page=4","Abrir facsímil")</f>
        <v>Abrir facsímil</v>
      </c>
      <c r="K15169" s="12" t="s">
        <v>65</v>
      </c>
    </row>
    <row r="15170" spans="1:11" ht="40.049999999999997" customHeight="1" x14ac:dyDescent="0.25">
      <c r="A15170" s="11" t="s">
        <v>29747</v>
      </c>
      <c r="B15170" s="11" t="s">
        <v>29748</v>
      </c>
      <c r="C15170" s="11" t="s">
        <v>17</v>
      </c>
      <c r="D15170" s="11" t="s">
        <v>18</v>
      </c>
      <c r="E15170" s="12" t="s">
        <v>1895</v>
      </c>
      <c r="F15170" s="12" t="s">
        <v>1896</v>
      </c>
      <c r="G15170" s="12" t="s">
        <v>21</v>
      </c>
      <c r="H15170" s="11" t="s">
        <v>63</v>
      </c>
      <c r="I15170" s="13" t="s">
        <v>29751</v>
      </c>
      <c r="J15170" s="14" t="str">
        <f>HYPERLINK("https://www.boe.es/gazeta/dias/1839/12/23/pdfs/GMD-1839-1870.pdf#page=4","Abrir facsímil")</f>
        <v>Abrir facsímil</v>
      </c>
      <c r="K15170" s="12" t="s">
        <v>65</v>
      </c>
    </row>
    <row r="15171" spans="1:11" ht="40.049999999999997" customHeight="1" x14ac:dyDescent="0.25">
      <c r="A15171" s="11" t="s">
        <v>29752</v>
      </c>
      <c r="B15171" s="11" t="s">
        <v>29753</v>
      </c>
      <c r="C15171" s="11" t="s">
        <v>17</v>
      </c>
      <c r="D15171" s="11" t="s">
        <v>18</v>
      </c>
      <c r="E15171" s="12" t="s">
        <v>258</v>
      </c>
      <c r="F15171" s="12" t="s">
        <v>259</v>
      </c>
      <c r="G15171" s="12" t="s">
        <v>40</v>
      </c>
      <c r="H15171" s="11" t="s">
        <v>63</v>
      </c>
      <c r="I15171" s="13" t="s">
        <v>29754</v>
      </c>
      <c r="J15171" s="14" t="str">
        <f>HYPERLINK("https://www.boe.es/gazeta/dias/1839/01/02/pdfs/GMD-1839-1509.pdf#page=2","Abrir facsímil")</f>
        <v>Abrir facsímil</v>
      </c>
      <c r="K15171" s="12" t="s">
        <v>65</v>
      </c>
    </row>
    <row r="15172" spans="1:11" ht="40.049999999999997" customHeight="1" x14ac:dyDescent="0.25">
      <c r="A15172" s="11" t="s">
        <v>29755</v>
      </c>
      <c r="B15172" s="11" t="s">
        <v>29756</v>
      </c>
      <c r="C15172" s="11" t="s">
        <v>17</v>
      </c>
      <c r="D15172" s="11" t="s">
        <v>18</v>
      </c>
      <c r="E15172" s="12" t="s">
        <v>984</v>
      </c>
      <c r="F15172" s="12" t="s">
        <v>985</v>
      </c>
      <c r="G15172" s="12" t="s">
        <v>29</v>
      </c>
      <c r="H15172" s="11" t="s">
        <v>63</v>
      </c>
      <c r="I15172" s="13" t="s">
        <v>29757</v>
      </c>
      <c r="J15172" s="14" t="str">
        <f>HYPERLINK("https://www.boe.es/gazeta/dias/1839/04/10/pdfs/GMD-1839-1607.pdf#page=1","Abrir facsímil")</f>
        <v>Abrir facsímil</v>
      </c>
      <c r="K15172" s="12" t="s">
        <v>65</v>
      </c>
    </row>
    <row r="15173" spans="1:11" ht="40.049999999999997" customHeight="1" x14ac:dyDescent="0.25">
      <c r="A15173" s="11" t="s">
        <v>29758</v>
      </c>
      <c r="B15173" s="11" t="s">
        <v>29759</v>
      </c>
      <c r="C15173" s="11" t="s">
        <v>17</v>
      </c>
      <c r="D15173" s="11" t="s">
        <v>18</v>
      </c>
      <c r="E15173" s="12" t="s">
        <v>1123</v>
      </c>
      <c r="F15173" s="12" t="s">
        <v>1124</v>
      </c>
      <c r="G15173" s="12" t="s">
        <v>21</v>
      </c>
      <c r="H15173" s="11" t="s">
        <v>63</v>
      </c>
      <c r="I15173" s="13" t="s">
        <v>29760</v>
      </c>
      <c r="J15173" s="14" t="str">
        <f>HYPERLINK("https://www.boe.es/gazeta/dias/1839/08/10/pdfs/GMD-1839-1730.pdf#page=4","Abrir facsímil")</f>
        <v>Abrir facsímil</v>
      </c>
      <c r="K15173" s="12" t="s">
        <v>65</v>
      </c>
    </row>
    <row r="15174" spans="1:11" ht="40.049999999999997" customHeight="1" x14ac:dyDescent="0.25">
      <c r="A15174" s="11" t="s">
        <v>29761</v>
      </c>
      <c r="B15174" s="11" t="s">
        <v>29762</v>
      </c>
      <c r="C15174" s="11" t="s">
        <v>80</v>
      </c>
      <c r="D15174" s="11" t="s">
        <v>18</v>
      </c>
      <c r="E15174" s="12" t="s">
        <v>756</v>
      </c>
      <c r="F15174" s="12" t="s">
        <v>757</v>
      </c>
      <c r="G15174" s="12" t="s">
        <v>40</v>
      </c>
      <c r="H15174" s="11" t="s">
        <v>63</v>
      </c>
      <c r="I15174" s="13" t="s">
        <v>29763</v>
      </c>
      <c r="J15174" s="14" t="str">
        <f>HYPERLINK("https://www.boe.es/gazeta/dias/1839/12/17/pdfs/GMD-1839-1864.pdf#page=2","Abrir facsímil")</f>
        <v>Abrir facsímil</v>
      </c>
      <c r="K15174" s="12" t="s">
        <v>65</v>
      </c>
    </row>
    <row r="15175" spans="1:11" ht="40.049999999999997" customHeight="1" x14ac:dyDescent="0.25">
      <c r="A15175" s="11" t="s">
        <v>29764</v>
      </c>
      <c r="B15175" s="11" t="s">
        <v>29765</v>
      </c>
      <c r="C15175" s="11" t="s">
        <v>80</v>
      </c>
      <c r="D15175" s="11" t="s">
        <v>18</v>
      </c>
      <c r="E15175" s="12" t="s">
        <v>175</v>
      </c>
      <c r="F15175" s="12" t="s">
        <v>176</v>
      </c>
      <c r="G15175" s="12" t="s">
        <v>46</v>
      </c>
      <c r="H15175" s="11" t="s">
        <v>63</v>
      </c>
      <c r="I15175" s="13" t="s">
        <v>29766</v>
      </c>
      <c r="J15175" s="14" t="str">
        <f>HYPERLINK("https://www.boe.es/gazeta/dias/1839/01/16/pdfs/GMD-1839-1523.pdf#page=3","Abrir facsímil")</f>
        <v>Abrir facsímil</v>
      </c>
      <c r="K15175" s="12" t="s">
        <v>65</v>
      </c>
    </row>
    <row r="15176" spans="1:11" ht="40.049999999999997" customHeight="1" x14ac:dyDescent="0.25">
      <c r="A15176" s="11" t="s">
        <v>29767</v>
      </c>
      <c r="B15176" s="11" t="s">
        <v>29768</v>
      </c>
      <c r="C15176" s="11" t="s">
        <v>17</v>
      </c>
      <c r="D15176" s="11" t="s">
        <v>18</v>
      </c>
      <c r="E15176" s="12" t="s">
        <v>568</v>
      </c>
      <c r="F15176" s="12" t="s">
        <v>569</v>
      </c>
      <c r="G15176" s="12" t="s">
        <v>46</v>
      </c>
      <c r="H15176" s="11" t="s">
        <v>63</v>
      </c>
      <c r="I15176" s="13" t="s">
        <v>29769</v>
      </c>
      <c r="J15176" s="14" t="str">
        <f>HYPERLINK("https://www.boe.es/gazeta/dias/1839/10/23/pdfs/GMD-1839-1809.pdf#page=3","Abrir facsímil")</f>
        <v>Abrir facsímil</v>
      </c>
      <c r="K15176" s="12" t="s">
        <v>65</v>
      </c>
    </row>
    <row r="15177" spans="1:11" ht="40.049999999999997" customHeight="1" x14ac:dyDescent="0.25">
      <c r="A15177" s="11" t="s">
        <v>29770</v>
      </c>
      <c r="B15177" s="11" t="s">
        <v>29771</v>
      </c>
      <c r="C15177" s="11" t="s">
        <v>17</v>
      </c>
      <c r="D15177" s="11" t="s">
        <v>18</v>
      </c>
      <c r="E15177" s="12" t="s">
        <v>1144</v>
      </c>
      <c r="F15177" s="12" t="s">
        <v>1145</v>
      </c>
      <c r="G15177" s="12" t="s">
        <v>29</v>
      </c>
      <c r="H15177" s="11" t="s">
        <v>63</v>
      </c>
      <c r="I15177" s="13" t="s">
        <v>29772</v>
      </c>
      <c r="J15177" s="14" t="str">
        <f>HYPERLINK("https://www.boe.es/gazeta/dias/1839/08/13/pdfs/GMD-1839-1733.pdf#page=1","Abrir facsímil")</f>
        <v>Abrir facsímil</v>
      </c>
      <c r="K15177" s="12" t="s">
        <v>65</v>
      </c>
    </row>
    <row r="15178" spans="1:11" ht="40.049999999999997" customHeight="1" x14ac:dyDescent="0.25">
      <c r="A15178" s="11" t="s">
        <v>29773</v>
      </c>
      <c r="B15178" s="11" t="s">
        <v>29774</v>
      </c>
      <c r="C15178" s="11" t="s">
        <v>17</v>
      </c>
      <c r="D15178" s="11" t="s">
        <v>18</v>
      </c>
      <c r="E15178" s="12" t="s">
        <v>2839</v>
      </c>
      <c r="F15178" s="12" t="s">
        <v>2840</v>
      </c>
      <c r="G15178" s="12" t="s">
        <v>46</v>
      </c>
      <c r="H15178" s="11" t="s">
        <v>63</v>
      </c>
      <c r="I15178" s="13" t="s">
        <v>29775</v>
      </c>
      <c r="J15178" s="14" t="str">
        <f>HYPERLINK("https://www.boe.es/gazeta/dias/1839/03/06/pdfs/GMD-1839-1572.pdf#page=3","Abrir facsímil")</f>
        <v>Abrir facsímil</v>
      </c>
      <c r="K15178" s="12" t="s">
        <v>65</v>
      </c>
    </row>
    <row r="15179" spans="1:11" ht="40.049999999999997" customHeight="1" x14ac:dyDescent="0.25">
      <c r="A15179" s="11" t="s">
        <v>29773</v>
      </c>
      <c r="B15179" s="11" t="s">
        <v>29774</v>
      </c>
      <c r="C15179" s="11" t="s">
        <v>59</v>
      </c>
      <c r="D15179" s="11" t="s">
        <v>60</v>
      </c>
      <c r="E15179" s="12" t="s">
        <v>2522</v>
      </c>
      <c r="F15179" s="12" t="s">
        <v>2523</v>
      </c>
      <c r="G15179" s="12" t="s">
        <v>40</v>
      </c>
      <c r="H15179" s="11" t="s">
        <v>63</v>
      </c>
      <c r="I15179" s="13" t="s">
        <v>29776</v>
      </c>
      <c r="J15179" s="14" t="str">
        <f>HYPERLINK("https://www.boe.es/gazeta/dias/1839/12/29/pdfs/GMD-1839-1876.pdf#page=2","Abrir facsímil")</f>
        <v>Abrir facsímil</v>
      </c>
      <c r="K15179" s="12" t="s">
        <v>65</v>
      </c>
    </row>
    <row r="15180" spans="1:11" ht="40.049999999999997" customHeight="1" x14ac:dyDescent="0.25">
      <c r="A15180" s="11" t="s">
        <v>29777</v>
      </c>
      <c r="B15180" s="11" t="s">
        <v>29778</v>
      </c>
      <c r="C15180" s="11" t="s">
        <v>17</v>
      </c>
      <c r="D15180" s="11" t="s">
        <v>18</v>
      </c>
      <c r="E15180" s="12" t="s">
        <v>2227</v>
      </c>
      <c r="F15180" s="12" t="s">
        <v>2228</v>
      </c>
      <c r="G15180" s="12" t="s">
        <v>21</v>
      </c>
      <c r="H15180" s="11" t="s">
        <v>63</v>
      </c>
      <c r="I15180" s="13" t="s">
        <v>29779</v>
      </c>
      <c r="J15180" s="14" t="str">
        <f>HYPERLINK("https://www.boe.es/gazeta/dias/1839/12/04/pdfs/GMD-1839-1851.pdf#page=4","Abrir facsímil")</f>
        <v>Abrir facsímil</v>
      </c>
      <c r="K15180" s="12" t="s">
        <v>65</v>
      </c>
    </row>
    <row r="15181" spans="1:11" ht="40.049999999999997" customHeight="1" x14ac:dyDescent="0.25">
      <c r="A15181" s="11" t="s">
        <v>29780</v>
      </c>
      <c r="B15181" s="11" t="s">
        <v>29781</v>
      </c>
      <c r="C15181" s="11" t="s">
        <v>101</v>
      </c>
      <c r="D15181" s="11" t="s">
        <v>43</v>
      </c>
      <c r="E15181" s="12" t="s">
        <v>409</v>
      </c>
      <c r="F15181" s="12" t="s">
        <v>410</v>
      </c>
      <c r="G15181" s="12" t="s">
        <v>46</v>
      </c>
      <c r="H15181" s="11" t="s">
        <v>63</v>
      </c>
      <c r="I15181" s="13" t="s">
        <v>29782</v>
      </c>
      <c r="J15181" s="14" t="str">
        <f>HYPERLINK("https://www.boe.es/gazeta/dias/1839/07/05/pdfs/GMD-1839-1693.pdf#page=3","Abrir facsímil")</f>
        <v>Abrir facsímil</v>
      </c>
      <c r="K15181" s="12" t="s">
        <v>65</v>
      </c>
    </row>
    <row r="15182" spans="1:11" ht="40.049999999999997" customHeight="1" x14ac:dyDescent="0.25">
      <c r="A15182" s="11" t="s">
        <v>29783</v>
      </c>
      <c r="B15182" s="11" t="s">
        <v>29784</v>
      </c>
      <c r="C15182" s="11" t="s">
        <v>17</v>
      </c>
      <c r="D15182" s="11" t="s">
        <v>18</v>
      </c>
      <c r="E15182" s="12" t="s">
        <v>3224</v>
      </c>
      <c r="F15182" s="12" t="s">
        <v>3225</v>
      </c>
      <c r="G15182" s="12" t="s">
        <v>46</v>
      </c>
      <c r="H15182" s="11" t="s">
        <v>63</v>
      </c>
      <c r="I15182" s="13" t="s">
        <v>29785</v>
      </c>
      <c r="J15182" s="14" t="str">
        <f>HYPERLINK("https://www.boe.es/gazeta/dias/1839/06/03/pdfs/GMD-1839-1661.pdf#page=3","Abrir facsímil")</f>
        <v>Abrir facsímil</v>
      </c>
      <c r="K15182" s="12" t="s">
        <v>65</v>
      </c>
    </row>
    <row r="15183" spans="1:11" ht="40.049999999999997" customHeight="1" x14ac:dyDescent="0.25">
      <c r="A15183" s="11" t="s">
        <v>29786</v>
      </c>
      <c r="B15183" s="11" t="s">
        <v>29787</v>
      </c>
      <c r="C15183" s="11" t="s">
        <v>17</v>
      </c>
      <c r="D15183" s="11" t="s">
        <v>18</v>
      </c>
      <c r="E15183" s="12" t="s">
        <v>513</v>
      </c>
      <c r="F15183" s="12" t="s">
        <v>514</v>
      </c>
      <c r="G15183" s="12" t="s">
        <v>21</v>
      </c>
      <c r="H15183" s="11" t="s">
        <v>63</v>
      </c>
      <c r="I15183" s="13" t="s">
        <v>29788</v>
      </c>
      <c r="J15183" s="14" t="str">
        <f>HYPERLINK("https://www.boe.es/gazeta/dias/1839/03/17/pdfs/GMD-1839-1583.pdf#page=4","Abrir facsímil")</f>
        <v>Abrir facsímil</v>
      </c>
      <c r="K15183" s="12" t="s">
        <v>65</v>
      </c>
    </row>
    <row r="15184" spans="1:11" ht="40.049999999999997" customHeight="1" x14ac:dyDescent="0.25">
      <c r="A15184" s="11" t="s">
        <v>29789</v>
      </c>
      <c r="B15184" s="11" t="s">
        <v>29790</v>
      </c>
      <c r="C15184" s="11" t="s">
        <v>101</v>
      </c>
      <c r="D15184" s="11" t="s">
        <v>43</v>
      </c>
      <c r="E15184" s="12" t="s">
        <v>303</v>
      </c>
      <c r="F15184" s="12" t="s">
        <v>304</v>
      </c>
      <c r="G15184" s="12" t="s">
        <v>40</v>
      </c>
      <c r="H15184" s="11" t="s">
        <v>63</v>
      </c>
      <c r="I15184" s="13" t="s">
        <v>29791</v>
      </c>
      <c r="J15184" s="14" t="str">
        <f>HYPERLINK("https://www.boe.es/gazeta/dias/1839/10/06/pdfs/GMD-1839-1792.pdf#page=2","Abrir facsímil")</f>
        <v>Abrir facsímil</v>
      </c>
      <c r="K15184" s="12" t="s">
        <v>65</v>
      </c>
    </row>
    <row r="15185" spans="1:11" ht="40.049999999999997" customHeight="1" x14ac:dyDescent="0.25">
      <c r="A15185" s="11" t="s">
        <v>29792</v>
      </c>
      <c r="B15185" s="11" t="s">
        <v>29793</v>
      </c>
      <c r="C15185" s="11" t="s">
        <v>17</v>
      </c>
      <c r="D15185" s="11" t="s">
        <v>18</v>
      </c>
      <c r="E15185" s="12" t="s">
        <v>946</v>
      </c>
      <c r="F15185" s="12" t="s">
        <v>947</v>
      </c>
      <c r="G15185" s="12" t="s">
        <v>40</v>
      </c>
      <c r="H15185" s="11" t="s">
        <v>63</v>
      </c>
      <c r="I15185" s="13" t="s">
        <v>29794</v>
      </c>
      <c r="J15185" s="14" t="str">
        <f>HYPERLINK("https://www.boe.es/gazeta/dias/1839/04/15/pdfs/GMD-1839-1612.pdf#page=2","Abrir facsímil")</f>
        <v>Abrir facsímil</v>
      </c>
      <c r="K15185" s="12" t="s">
        <v>65</v>
      </c>
    </row>
    <row r="15186" spans="1:11" ht="40.049999999999997" customHeight="1" x14ac:dyDescent="0.25">
      <c r="A15186" s="11" t="s">
        <v>29795</v>
      </c>
      <c r="B15186" s="11" t="s">
        <v>29796</v>
      </c>
      <c r="C15186" s="11" t="s">
        <v>101</v>
      </c>
      <c r="D15186" s="11" t="s">
        <v>102</v>
      </c>
      <c r="E15186" s="12" t="s">
        <v>1139</v>
      </c>
      <c r="F15186" s="12" t="s">
        <v>1140</v>
      </c>
      <c r="G15186" s="12" t="s">
        <v>40</v>
      </c>
      <c r="H15186" s="11" t="s">
        <v>63</v>
      </c>
      <c r="I15186" s="13" t="s">
        <v>29797</v>
      </c>
      <c r="J15186" s="14" t="str">
        <f>HYPERLINK("https://www.boe.es/gazeta/dias/1839/02/15/pdfs/GMD-1839-1553.pdf#page=2","Abrir facsímil")</f>
        <v>Abrir facsímil</v>
      </c>
      <c r="K15186" s="12" t="s">
        <v>65</v>
      </c>
    </row>
    <row r="15187" spans="1:11" ht="40.049999999999997" customHeight="1" x14ac:dyDescent="0.25">
      <c r="A15187" s="11" t="s">
        <v>29798</v>
      </c>
      <c r="B15187" s="11" t="s">
        <v>29799</v>
      </c>
      <c r="C15187" s="11" t="s">
        <v>59</v>
      </c>
      <c r="D15187" s="11" t="s">
        <v>60</v>
      </c>
      <c r="E15187" s="12" t="s">
        <v>365</v>
      </c>
      <c r="F15187" s="12" t="s">
        <v>366</v>
      </c>
      <c r="G15187" s="12" t="s">
        <v>46</v>
      </c>
      <c r="H15187" s="11" t="s">
        <v>63</v>
      </c>
      <c r="I15187" s="13" t="s">
        <v>29800</v>
      </c>
      <c r="J15187" s="14" t="str">
        <f>HYPERLINK("https://www.boe.es/gazeta/dias/1839/08/14/pdfs/GMD-1839-1734.pdf#page=3","Abrir facsímil")</f>
        <v>Abrir facsímil</v>
      </c>
      <c r="K15187" s="12" t="s">
        <v>65</v>
      </c>
    </row>
    <row r="15188" spans="1:11" ht="40.049999999999997" customHeight="1" x14ac:dyDescent="0.25">
      <c r="A15188" s="11" t="s">
        <v>29801</v>
      </c>
      <c r="B15188" s="11" t="s">
        <v>29802</v>
      </c>
      <c r="C15188" s="11" t="s">
        <v>17</v>
      </c>
      <c r="D15188" s="11" t="s">
        <v>18</v>
      </c>
      <c r="E15188" s="12" t="s">
        <v>720</v>
      </c>
      <c r="F15188" s="12" t="s">
        <v>721</v>
      </c>
      <c r="G15188" s="12" t="s">
        <v>21</v>
      </c>
      <c r="H15188" s="11" t="s">
        <v>63</v>
      </c>
      <c r="I15188" s="13" t="s">
        <v>29803</v>
      </c>
      <c r="J15188" s="14" t="str">
        <f>HYPERLINK("https://www.boe.es/gazeta/dias/1839/01/14/pdfs/GMD-1839-1521.pdf#page=4","Abrir facsímil")</f>
        <v>Abrir facsímil</v>
      </c>
      <c r="K15188" s="12" t="s">
        <v>65</v>
      </c>
    </row>
    <row r="15189" spans="1:11" ht="40.049999999999997" customHeight="1" x14ac:dyDescent="0.25">
      <c r="A15189" s="11" t="s">
        <v>29804</v>
      </c>
      <c r="B15189" s="11" t="s">
        <v>29805</v>
      </c>
      <c r="C15189" s="11" t="s">
        <v>17</v>
      </c>
      <c r="D15189" s="11" t="s">
        <v>18</v>
      </c>
      <c r="E15189" s="12" t="s">
        <v>462</v>
      </c>
      <c r="F15189" s="12" t="s">
        <v>463</v>
      </c>
      <c r="G15189" s="12" t="s">
        <v>40</v>
      </c>
      <c r="H15189" s="11" t="s">
        <v>63</v>
      </c>
      <c r="I15189" s="13" t="s">
        <v>29806</v>
      </c>
      <c r="J15189" s="14" t="str">
        <f>HYPERLINK("https://www.boe.es/gazeta/dias/1839/06/19/pdfs/GMD-1839-1677.pdf#page=2","Abrir facsímil")</f>
        <v>Abrir facsímil</v>
      </c>
      <c r="K15189" s="12" t="s">
        <v>65</v>
      </c>
    </row>
    <row r="15190" spans="1:11" ht="40.049999999999997" customHeight="1" x14ac:dyDescent="0.25">
      <c r="A15190" s="11" t="s">
        <v>29807</v>
      </c>
      <c r="B15190" s="11" t="s">
        <v>29808</v>
      </c>
      <c r="C15190" s="11" t="s">
        <v>80</v>
      </c>
      <c r="D15190" s="11" t="s">
        <v>18</v>
      </c>
      <c r="E15190" s="12" t="s">
        <v>601</v>
      </c>
      <c r="F15190" s="12" t="s">
        <v>602</v>
      </c>
      <c r="G15190" s="12" t="s">
        <v>40</v>
      </c>
      <c r="H15190" s="11" t="s">
        <v>63</v>
      </c>
      <c r="I15190" s="13" t="s">
        <v>29809</v>
      </c>
      <c r="J15190" s="14" t="str">
        <f>HYPERLINK("https://www.boe.es/gazeta/dias/1839/04/21/pdfs/GMD-1839-1618.pdf#page=2","Abrir facsímil")</f>
        <v>Abrir facsímil</v>
      </c>
      <c r="K15190" s="12" t="s">
        <v>65</v>
      </c>
    </row>
    <row r="15191" spans="1:11" ht="40.049999999999997" customHeight="1" x14ac:dyDescent="0.25">
      <c r="A15191" s="11" t="s">
        <v>29810</v>
      </c>
      <c r="B15191" s="11" t="s">
        <v>29811</v>
      </c>
      <c r="C15191" s="11" t="s">
        <v>17</v>
      </c>
      <c r="D15191" s="11" t="s">
        <v>18</v>
      </c>
      <c r="E15191" s="12" t="s">
        <v>1623</v>
      </c>
      <c r="F15191" s="12" t="s">
        <v>1624</v>
      </c>
      <c r="G15191" s="12" t="s">
        <v>21</v>
      </c>
      <c r="H15191" s="11" t="s">
        <v>63</v>
      </c>
      <c r="I15191" s="13" t="s">
        <v>29812</v>
      </c>
      <c r="J15191" s="14" t="str">
        <f>HYPERLINK("https://www.boe.es/gazeta/dias/1839/04/07/pdfs/GMD-1839-1604.pdf#page=4","Abrir facsímil")</f>
        <v>Abrir facsímil</v>
      </c>
      <c r="K15191" s="12" t="s">
        <v>65</v>
      </c>
    </row>
    <row r="15192" spans="1:11" ht="40.049999999999997" customHeight="1" x14ac:dyDescent="0.25">
      <c r="A15192" s="11" t="s">
        <v>29813</v>
      </c>
      <c r="B15192" s="11" t="s">
        <v>29814</v>
      </c>
      <c r="C15192" s="11" t="s">
        <v>101</v>
      </c>
      <c r="D15192" s="11" t="s">
        <v>43</v>
      </c>
      <c r="E15192" s="12" t="s">
        <v>1666</v>
      </c>
      <c r="F15192" s="12" t="s">
        <v>1667</v>
      </c>
      <c r="G15192" s="12" t="s">
        <v>40</v>
      </c>
      <c r="H15192" s="11" t="s">
        <v>63</v>
      </c>
      <c r="I15192" s="13" t="s">
        <v>29815</v>
      </c>
      <c r="J15192" s="14" t="str">
        <f>HYPERLINK("https://www.boe.es/gazeta/dias/1839/04/22/pdfs/GMD-1839-1619.pdf#page=2","Abrir facsímil")</f>
        <v>Abrir facsímil</v>
      </c>
      <c r="K15192" s="12" t="s">
        <v>65</v>
      </c>
    </row>
    <row r="15193" spans="1:11" ht="40.049999999999997" customHeight="1" x14ac:dyDescent="0.25">
      <c r="A15193" s="11" t="s">
        <v>29816</v>
      </c>
      <c r="B15193" s="11" t="s">
        <v>29817</v>
      </c>
      <c r="C15193" s="11" t="s">
        <v>17</v>
      </c>
      <c r="D15193" s="11" t="s">
        <v>18</v>
      </c>
      <c r="E15193" s="12" t="s">
        <v>125</v>
      </c>
      <c r="F15193" s="12" t="s">
        <v>126</v>
      </c>
      <c r="G15193" s="12" t="s">
        <v>29</v>
      </c>
      <c r="H15193" s="11" t="s">
        <v>63</v>
      </c>
      <c r="I15193" s="13" t="s">
        <v>29818</v>
      </c>
      <c r="J15193" s="14" t="str">
        <f>HYPERLINK("https://www.boe.es/gazeta/dias/1839/05/23/pdfs/GMD-1839-1650.pdf#page=1","Abrir facsímil")</f>
        <v>Abrir facsímil</v>
      </c>
      <c r="K15193" s="12" t="s">
        <v>65</v>
      </c>
    </row>
    <row r="15194" spans="1:11" ht="40.049999999999997" customHeight="1" x14ac:dyDescent="0.25">
      <c r="A15194" s="11" t="s">
        <v>29819</v>
      </c>
      <c r="B15194" s="11" t="s">
        <v>29820</v>
      </c>
      <c r="C15194" s="11" t="s">
        <v>17</v>
      </c>
      <c r="D15194" s="11" t="s">
        <v>18</v>
      </c>
      <c r="E15194" s="12" t="s">
        <v>258</v>
      </c>
      <c r="F15194" s="12" t="s">
        <v>259</v>
      </c>
      <c r="G15194" s="12" t="s">
        <v>46</v>
      </c>
      <c r="H15194" s="11" t="s">
        <v>22</v>
      </c>
      <c r="I15194" s="13" t="s">
        <v>29821</v>
      </c>
      <c r="J15194" s="14" t="str">
        <f>HYPERLINK("https://www.boe.es/gazeta/dias/1839/01/02/pdfs/GMD-1839-1509.pdf#page=3","Abrir facsímil")</f>
        <v>Abrir facsímil</v>
      </c>
      <c r="K15194" s="12" t="s">
        <v>24</v>
      </c>
    </row>
    <row r="15195" spans="1:11" ht="40.049999999999997" customHeight="1" x14ac:dyDescent="0.25">
      <c r="A15195" s="11" t="s">
        <v>29822</v>
      </c>
      <c r="B15195" s="11" t="s">
        <v>29823</v>
      </c>
      <c r="C15195" s="11" t="s">
        <v>80</v>
      </c>
      <c r="D15195" s="11" t="s">
        <v>173</v>
      </c>
      <c r="E15195" s="12" t="s">
        <v>462</v>
      </c>
      <c r="F15195" s="12" t="s">
        <v>463</v>
      </c>
      <c r="G15195" s="12" t="s">
        <v>21</v>
      </c>
      <c r="H15195" s="11" t="s">
        <v>63</v>
      </c>
      <c r="I15195" s="13" t="s">
        <v>29824</v>
      </c>
      <c r="J15195" s="14" t="str">
        <f>HYPERLINK("https://www.boe.es/gazeta/dias/1839/06/19/pdfs/GMD-1839-1677.pdf#page=4","Abrir facsímil")</f>
        <v>Abrir facsímil</v>
      </c>
      <c r="K15195" s="12" t="s">
        <v>65</v>
      </c>
    </row>
    <row r="15196" spans="1:11" ht="40.049999999999997" customHeight="1" x14ac:dyDescent="0.25">
      <c r="A15196" s="11" t="s">
        <v>29825</v>
      </c>
      <c r="B15196" s="11" t="s">
        <v>29826</v>
      </c>
      <c r="C15196" s="11" t="s">
        <v>80</v>
      </c>
      <c r="D15196" s="11" t="s">
        <v>18</v>
      </c>
      <c r="E15196" s="12" t="s">
        <v>116</v>
      </c>
      <c r="F15196" s="12" t="s">
        <v>117</v>
      </c>
      <c r="G15196" s="12" t="s">
        <v>40</v>
      </c>
      <c r="H15196" s="11" t="s">
        <v>63</v>
      </c>
      <c r="I15196" s="13" t="s">
        <v>29827</v>
      </c>
      <c r="J15196" s="14" t="str">
        <f>HYPERLINK("https://www.boe.es/gazeta/dias/1839/10/10/pdfs/GMD-1839-1796.pdf#page=2","Abrir facsímil")</f>
        <v>Abrir facsímil</v>
      </c>
      <c r="K15196" s="12" t="s">
        <v>65</v>
      </c>
    </row>
    <row r="15197" spans="1:11" ht="40.049999999999997" customHeight="1" x14ac:dyDescent="0.25">
      <c r="A15197" s="11" t="s">
        <v>29828</v>
      </c>
      <c r="B15197" s="11" t="s">
        <v>29829</v>
      </c>
      <c r="C15197" s="11" t="s">
        <v>17</v>
      </c>
      <c r="D15197" s="11" t="s">
        <v>18</v>
      </c>
      <c r="E15197" s="12" t="s">
        <v>5399</v>
      </c>
      <c r="F15197" s="12" t="s">
        <v>5400</v>
      </c>
      <c r="G15197" s="12" t="s">
        <v>40</v>
      </c>
      <c r="H15197" s="11" t="s">
        <v>63</v>
      </c>
      <c r="I15197" s="13" t="s">
        <v>29830</v>
      </c>
      <c r="J15197" s="14" t="str">
        <f>HYPERLINK("https://www.boe.es/gazeta/dias/1839/10/14/pdfs/GMD-1839-1800.pdf#page=2","Abrir facsímil")</f>
        <v>Abrir facsímil</v>
      </c>
      <c r="K15197" s="12" t="s">
        <v>65</v>
      </c>
    </row>
    <row r="15198" spans="1:11" ht="40.049999999999997" customHeight="1" x14ac:dyDescent="0.25">
      <c r="A15198" s="11" t="s">
        <v>29831</v>
      </c>
      <c r="B15198" s="11" t="s">
        <v>29832</v>
      </c>
      <c r="C15198" s="11" t="s">
        <v>17</v>
      </c>
      <c r="D15198" s="11" t="s">
        <v>18</v>
      </c>
      <c r="E15198" s="12" t="s">
        <v>1909</v>
      </c>
      <c r="F15198" s="12" t="s">
        <v>1910</v>
      </c>
      <c r="G15198" s="12" t="s">
        <v>29</v>
      </c>
      <c r="H15198" s="11" t="s">
        <v>63</v>
      </c>
      <c r="I15198" s="13" t="s">
        <v>29833</v>
      </c>
      <c r="J15198" s="14" t="str">
        <f>HYPERLINK("https://www.boe.es/gazeta/dias/1839/10/27/pdfs/GMD-1839-1813.pdf#page=1","Abrir facsímil")</f>
        <v>Abrir facsímil</v>
      </c>
      <c r="K15198" s="12" t="s">
        <v>65</v>
      </c>
    </row>
    <row r="15199" spans="1:11" ht="40.049999999999997" customHeight="1" x14ac:dyDescent="0.25">
      <c r="A15199" s="11" t="s">
        <v>29834</v>
      </c>
      <c r="B15199" s="11" t="s">
        <v>29835</v>
      </c>
      <c r="C15199" s="11" t="s">
        <v>59</v>
      </c>
      <c r="D15199" s="11" t="s">
        <v>60</v>
      </c>
      <c r="E15199" s="12" t="s">
        <v>360</v>
      </c>
      <c r="F15199" s="12" t="s">
        <v>361</v>
      </c>
      <c r="G15199" s="12" t="s">
        <v>29</v>
      </c>
      <c r="H15199" s="11" t="s">
        <v>63</v>
      </c>
      <c r="I15199" s="13" t="s">
        <v>29836</v>
      </c>
      <c r="J15199" s="14" t="str">
        <f>HYPERLINK("https://www.boe.es/gazeta/dias/1839/08/22/pdfs/GMD-1839-1743.pdf#page=1","Abrir facsímil")</f>
        <v>Abrir facsímil</v>
      </c>
      <c r="K15199" s="12" t="s">
        <v>65</v>
      </c>
    </row>
    <row r="15200" spans="1:11" ht="40.049999999999997" customHeight="1" x14ac:dyDescent="0.25">
      <c r="A15200" s="11" t="s">
        <v>29837</v>
      </c>
      <c r="B15200" s="11" t="s">
        <v>29838</v>
      </c>
      <c r="C15200" s="11" t="s">
        <v>101</v>
      </c>
      <c r="D15200" s="11" t="s">
        <v>43</v>
      </c>
      <c r="E15200" s="12" t="s">
        <v>38</v>
      </c>
      <c r="F15200" s="12" t="s">
        <v>39</v>
      </c>
      <c r="G15200" s="12" t="s">
        <v>40</v>
      </c>
      <c r="H15200" s="11" t="s">
        <v>63</v>
      </c>
      <c r="I15200" s="13" t="s">
        <v>29839</v>
      </c>
      <c r="J15200" s="14" t="str">
        <f>HYPERLINK("https://www.boe.es/gazeta/dias/1839/08/08/pdfs/GMD-1839-1728.pdf#page=2","Abrir facsímil")</f>
        <v>Abrir facsímil</v>
      </c>
      <c r="K15200" s="12" t="s">
        <v>65</v>
      </c>
    </row>
    <row r="15201" spans="1:11" ht="40.049999999999997" customHeight="1" x14ac:dyDescent="0.25">
      <c r="A15201" s="11" t="s">
        <v>29840</v>
      </c>
      <c r="B15201" s="11" t="s">
        <v>29841</v>
      </c>
      <c r="C15201" s="11" t="s">
        <v>17</v>
      </c>
      <c r="D15201" s="11" t="s">
        <v>43</v>
      </c>
      <c r="E15201" s="12" t="s">
        <v>4550</v>
      </c>
      <c r="F15201" s="12" t="s">
        <v>4551</v>
      </c>
      <c r="G15201" s="12" t="s">
        <v>21</v>
      </c>
      <c r="H15201" s="11" t="s">
        <v>63</v>
      </c>
      <c r="I15201" s="13" t="s">
        <v>29842</v>
      </c>
      <c r="J15201" s="14" t="str">
        <f>HYPERLINK("https://www.boe.es/gazeta/dias/1839/04/17/pdfs/GMD-1839-1614.pdf#page=4","Abrir facsímil")</f>
        <v>Abrir facsímil</v>
      </c>
      <c r="K15201" s="12" t="s">
        <v>65</v>
      </c>
    </row>
    <row r="15202" spans="1:11" ht="40.049999999999997" customHeight="1" x14ac:dyDescent="0.25">
      <c r="A15202" s="11" t="s">
        <v>29843</v>
      </c>
      <c r="B15202" s="11" t="s">
        <v>29844</v>
      </c>
      <c r="C15202" s="11" t="s">
        <v>17</v>
      </c>
      <c r="D15202" s="11" t="s">
        <v>18</v>
      </c>
      <c r="E15202" s="12" t="s">
        <v>571</v>
      </c>
      <c r="F15202" s="12" t="s">
        <v>572</v>
      </c>
      <c r="G15202" s="12" t="s">
        <v>46</v>
      </c>
      <c r="H15202" s="11" t="s">
        <v>63</v>
      </c>
      <c r="I15202" s="13" t="s">
        <v>29845</v>
      </c>
      <c r="J15202" s="14" t="str">
        <f>HYPERLINK("https://www.boe.es/gazeta/dias/1839/09/27/pdfs/GMD-1839-1783.pdf#page=3","Abrir facsímil")</f>
        <v>Abrir facsímil</v>
      </c>
      <c r="K15202" s="12" t="s">
        <v>65</v>
      </c>
    </row>
    <row r="15203" spans="1:11" ht="40.049999999999997" customHeight="1" x14ac:dyDescent="0.25">
      <c r="A15203" s="11" t="s">
        <v>29846</v>
      </c>
      <c r="B15203" s="11" t="s">
        <v>29847</v>
      </c>
      <c r="C15203" s="11" t="s">
        <v>17</v>
      </c>
      <c r="D15203" s="11" t="s">
        <v>18</v>
      </c>
      <c r="E15203" s="12" t="s">
        <v>723</v>
      </c>
      <c r="F15203" s="12" t="s">
        <v>724</v>
      </c>
      <c r="G15203" s="12" t="s">
        <v>46</v>
      </c>
      <c r="H15203" s="11" t="s">
        <v>63</v>
      </c>
      <c r="I15203" s="13" t="s">
        <v>29848</v>
      </c>
      <c r="J15203" s="14" t="str">
        <f>HYPERLINK("https://www.boe.es/gazeta/dias/1839/09/26/pdfs/GMD-1839-1782.pdf#page=3","Abrir facsímil")</f>
        <v>Abrir facsímil</v>
      </c>
      <c r="K15203" s="12" t="s">
        <v>65</v>
      </c>
    </row>
    <row r="15204" spans="1:11" ht="40.049999999999997" customHeight="1" x14ac:dyDescent="0.25">
      <c r="A15204" s="11" t="s">
        <v>29849</v>
      </c>
      <c r="B15204" s="11" t="s">
        <v>29850</v>
      </c>
      <c r="C15204" s="11" t="s">
        <v>137</v>
      </c>
      <c r="D15204" s="11" t="s">
        <v>18</v>
      </c>
      <c r="E15204" s="12" t="s">
        <v>1310</v>
      </c>
      <c r="F15204" s="12" t="s">
        <v>1311</v>
      </c>
      <c r="G15204" s="12" t="s">
        <v>40</v>
      </c>
      <c r="H15204" s="11" t="s">
        <v>63</v>
      </c>
      <c r="I15204" s="13" t="s">
        <v>29851</v>
      </c>
      <c r="J15204" s="14" t="str">
        <f>HYPERLINK("https://www.boe.es/gazeta/dias/1839/04/23/pdfs/GMD-1839-1620.pdf#page=2","Abrir facsímil")</f>
        <v>Abrir facsímil</v>
      </c>
      <c r="K15204" s="12" t="s">
        <v>65</v>
      </c>
    </row>
    <row r="15205" spans="1:11" ht="40.049999999999997" customHeight="1" x14ac:dyDescent="0.25">
      <c r="A15205" s="11" t="s">
        <v>29852</v>
      </c>
      <c r="B15205" s="11" t="s">
        <v>29853</v>
      </c>
      <c r="C15205" s="11" t="s">
        <v>80</v>
      </c>
      <c r="D15205" s="11" t="s">
        <v>18</v>
      </c>
      <c r="E15205" s="12" t="s">
        <v>1584</v>
      </c>
      <c r="F15205" s="12" t="s">
        <v>1585</v>
      </c>
      <c r="G15205" s="12" t="s">
        <v>46</v>
      </c>
      <c r="H15205" s="11" t="s">
        <v>63</v>
      </c>
      <c r="I15205" s="13" t="s">
        <v>29854</v>
      </c>
      <c r="J15205" s="14" t="str">
        <f>HYPERLINK("https://www.boe.es/gazeta/dias/1839/11/20/pdfs/GMD-1839-1837.pdf#page=3","Abrir facsímil")</f>
        <v>Abrir facsímil</v>
      </c>
      <c r="K15205" s="12" t="s">
        <v>65</v>
      </c>
    </row>
    <row r="15206" spans="1:11" ht="40.049999999999997" customHeight="1" x14ac:dyDescent="0.25">
      <c r="A15206" s="11" t="s">
        <v>29855</v>
      </c>
      <c r="B15206" s="11" t="s">
        <v>29856</v>
      </c>
      <c r="C15206" s="11" t="s">
        <v>17</v>
      </c>
      <c r="D15206" s="11" t="s">
        <v>18</v>
      </c>
      <c r="E15206" s="12" t="s">
        <v>433</v>
      </c>
      <c r="F15206" s="12" t="s">
        <v>434</v>
      </c>
      <c r="G15206" s="12" t="s">
        <v>46</v>
      </c>
      <c r="H15206" s="11" t="s">
        <v>63</v>
      </c>
      <c r="I15206" s="13" t="s">
        <v>29857</v>
      </c>
      <c r="J15206" s="14" t="str">
        <f>HYPERLINK("https://www.boe.es/gazeta/dias/1839/01/20/pdfs/GMD-1839-1527.pdf#page=3","Abrir facsímil")</f>
        <v>Abrir facsímil</v>
      </c>
      <c r="K15206" s="12" t="s">
        <v>65</v>
      </c>
    </row>
    <row r="15207" spans="1:11" ht="40.049999999999997" customHeight="1" x14ac:dyDescent="0.25">
      <c r="A15207" s="11" t="s">
        <v>29858</v>
      </c>
      <c r="B15207" s="11" t="s">
        <v>29859</v>
      </c>
      <c r="C15207" s="11" t="s">
        <v>17</v>
      </c>
      <c r="D15207" s="11" t="s">
        <v>18</v>
      </c>
      <c r="E15207" s="12" t="s">
        <v>1079</v>
      </c>
      <c r="F15207" s="12" t="s">
        <v>1080</v>
      </c>
      <c r="G15207" s="12" t="s">
        <v>21</v>
      </c>
      <c r="H15207" s="11" t="s">
        <v>63</v>
      </c>
      <c r="I15207" s="13" t="s">
        <v>29860</v>
      </c>
      <c r="J15207" s="14" t="str">
        <f>HYPERLINK("https://www.boe.es/gazeta/dias/1839/05/24/pdfs/GMD-1839-1651.pdf#page=4","Abrir facsímil")</f>
        <v>Abrir facsímil</v>
      </c>
      <c r="K15207" s="12" t="s">
        <v>65</v>
      </c>
    </row>
    <row r="15208" spans="1:11" ht="40.049999999999997" customHeight="1" x14ac:dyDescent="0.25">
      <c r="A15208" s="11" t="s">
        <v>29861</v>
      </c>
      <c r="B15208" s="11" t="s">
        <v>29862</v>
      </c>
      <c r="C15208" s="11" t="s">
        <v>80</v>
      </c>
      <c r="D15208" s="11" t="s">
        <v>18</v>
      </c>
      <c r="E15208" s="12" t="s">
        <v>1183</v>
      </c>
      <c r="F15208" s="12" t="s">
        <v>1184</v>
      </c>
      <c r="G15208" s="12" t="s">
        <v>21</v>
      </c>
      <c r="H15208" s="11" t="s">
        <v>63</v>
      </c>
      <c r="I15208" s="13" t="s">
        <v>29863</v>
      </c>
      <c r="J15208" s="14" t="str">
        <f>HYPERLINK("https://www.boe.es/gazeta/dias/1839/07/26/pdfs/GMD-1839-1715.pdf#page=4","Abrir facsímil")</f>
        <v>Abrir facsímil</v>
      </c>
      <c r="K15208" s="12" t="s">
        <v>65</v>
      </c>
    </row>
    <row r="15209" spans="1:11" ht="40.049999999999997" customHeight="1" x14ac:dyDescent="0.25">
      <c r="A15209" s="11" t="s">
        <v>29864</v>
      </c>
      <c r="B15209" s="11" t="s">
        <v>29865</v>
      </c>
      <c r="C15209" s="11" t="s">
        <v>17</v>
      </c>
      <c r="D15209" s="11" t="s">
        <v>18</v>
      </c>
      <c r="E15209" s="12" t="s">
        <v>2253</v>
      </c>
      <c r="F15209" s="12" t="s">
        <v>2254</v>
      </c>
      <c r="G15209" s="12" t="s">
        <v>21</v>
      </c>
      <c r="H15209" s="11" t="s">
        <v>63</v>
      </c>
      <c r="I15209" s="13" t="s">
        <v>29866</v>
      </c>
      <c r="J15209" s="14" t="str">
        <f>HYPERLINK("https://www.boe.es/gazeta/dias/1839/02/20/pdfs/GMD-1839-1558.pdf#page=4","Abrir facsímil")</f>
        <v>Abrir facsímil</v>
      </c>
      <c r="K15209" s="12" t="s">
        <v>65</v>
      </c>
    </row>
    <row r="15210" spans="1:11" ht="40.049999999999997" customHeight="1" x14ac:dyDescent="0.25">
      <c r="A15210" s="11" t="s">
        <v>29867</v>
      </c>
      <c r="B15210" s="11" t="s">
        <v>29868</v>
      </c>
      <c r="C15210" s="11" t="s">
        <v>17</v>
      </c>
      <c r="D15210" s="11" t="s">
        <v>18</v>
      </c>
      <c r="E15210" s="12" t="s">
        <v>4287</v>
      </c>
      <c r="F15210" s="12" t="s">
        <v>4288</v>
      </c>
      <c r="G15210" s="12" t="s">
        <v>21</v>
      </c>
      <c r="H15210" s="11" t="s">
        <v>63</v>
      </c>
      <c r="I15210" s="13" t="s">
        <v>29869</v>
      </c>
      <c r="J15210" s="14" t="str">
        <f>HYPERLINK("https://www.boe.es/gazeta/dias/1839/06/01/pdfs/GMD-1839-1659.pdf#page=4","Abrir facsímil")</f>
        <v>Abrir facsímil</v>
      </c>
      <c r="K15210" s="12" t="s">
        <v>65</v>
      </c>
    </row>
    <row r="15211" spans="1:11" ht="40.049999999999997" customHeight="1" x14ac:dyDescent="0.25">
      <c r="A15211" s="11" t="s">
        <v>29870</v>
      </c>
      <c r="B15211" s="11" t="s">
        <v>29871</v>
      </c>
      <c r="C15211" s="11" t="s">
        <v>17</v>
      </c>
      <c r="D15211" s="11" t="s">
        <v>18</v>
      </c>
      <c r="E15211" s="12" t="s">
        <v>2270</v>
      </c>
      <c r="F15211" s="12" t="s">
        <v>2271</v>
      </c>
      <c r="G15211" s="12" t="s">
        <v>40</v>
      </c>
      <c r="H15211" s="11" t="s">
        <v>63</v>
      </c>
      <c r="I15211" s="13" t="s">
        <v>29872</v>
      </c>
      <c r="J15211" s="14" t="str">
        <f>HYPERLINK("https://www.boe.es/gazeta/dias/1839/06/13/pdfs/GMD-1839-1671.pdf#page=2","Abrir facsímil")</f>
        <v>Abrir facsímil</v>
      </c>
      <c r="K15211" s="12" t="s">
        <v>65</v>
      </c>
    </row>
    <row r="15212" spans="1:11" ht="40.049999999999997" customHeight="1" x14ac:dyDescent="0.25">
      <c r="A15212" s="11" t="s">
        <v>29873</v>
      </c>
      <c r="B15212" s="11" t="s">
        <v>29874</v>
      </c>
      <c r="C15212" s="11" t="s">
        <v>17</v>
      </c>
      <c r="D15212" s="11" t="s">
        <v>18</v>
      </c>
      <c r="E15212" s="12" t="s">
        <v>804</v>
      </c>
      <c r="F15212" s="12" t="s">
        <v>805</v>
      </c>
      <c r="G15212" s="12" t="s">
        <v>29</v>
      </c>
      <c r="H15212" s="11" t="s">
        <v>63</v>
      </c>
      <c r="I15212" s="13" t="s">
        <v>29875</v>
      </c>
      <c r="J15212" s="14" t="str">
        <f>HYPERLINK("https://www.boe.es/gazeta/dias/1839/01/08/pdfs/GMD-1839-1515.pdf#page=1","Abrir facsímil")</f>
        <v>Abrir facsímil</v>
      </c>
      <c r="K15212" s="12" t="s">
        <v>65</v>
      </c>
    </row>
    <row r="15213" spans="1:11" ht="40.049999999999997" customHeight="1" x14ac:dyDescent="0.25">
      <c r="A15213" s="11" t="s">
        <v>29876</v>
      </c>
      <c r="B15213" s="11" t="s">
        <v>29877</v>
      </c>
      <c r="C15213" s="11" t="s">
        <v>17</v>
      </c>
      <c r="D15213" s="11" t="s">
        <v>18</v>
      </c>
      <c r="E15213" s="12" t="s">
        <v>1523</v>
      </c>
      <c r="F15213" s="12" t="s">
        <v>1524</v>
      </c>
      <c r="G15213" s="12" t="s">
        <v>21</v>
      </c>
      <c r="H15213" s="11" t="s">
        <v>22</v>
      </c>
      <c r="I15213" s="13" t="s">
        <v>29878</v>
      </c>
      <c r="J15213" s="14" t="str">
        <f>HYPERLINK("https://www.boe.es/gazeta/dias/1839/08/29/pdfs/GMD-1839-1750.pdf#page=4","Abrir facsímil")</f>
        <v>Abrir facsímil</v>
      </c>
      <c r="K15213" s="12" t="s">
        <v>24</v>
      </c>
    </row>
    <row r="15214" spans="1:11" ht="40.049999999999997" customHeight="1" x14ac:dyDescent="0.25">
      <c r="A15214" s="11" t="s">
        <v>29879</v>
      </c>
      <c r="B15214" s="11" t="s">
        <v>29880</v>
      </c>
      <c r="C15214" s="11" t="s">
        <v>101</v>
      </c>
      <c r="D15214" s="11" t="s">
        <v>43</v>
      </c>
      <c r="E15214" s="12" t="s">
        <v>2021</v>
      </c>
      <c r="F15214" s="12" t="s">
        <v>2022</v>
      </c>
      <c r="G15214" s="12" t="s">
        <v>21</v>
      </c>
      <c r="H15214" s="11" t="s">
        <v>63</v>
      </c>
      <c r="I15214" s="13" t="s">
        <v>29881</v>
      </c>
      <c r="J15214" s="14" t="str">
        <f>HYPERLINK("https://www.boe.es/gazeta/dias/1839/02/17/pdfs/GMD-1839-1555.pdf#page=4","Abrir facsímil")</f>
        <v>Abrir facsímil</v>
      </c>
      <c r="K15214" s="12" t="s">
        <v>65</v>
      </c>
    </row>
    <row r="15215" spans="1:11" ht="40.049999999999997" customHeight="1" x14ac:dyDescent="0.25">
      <c r="A15215" s="11" t="s">
        <v>29882</v>
      </c>
      <c r="B15215" s="11" t="s">
        <v>29883</v>
      </c>
      <c r="C15215" s="11" t="s">
        <v>137</v>
      </c>
      <c r="D15215" s="11" t="s">
        <v>18</v>
      </c>
      <c r="E15215" s="12" t="s">
        <v>276</v>
      </c>
      <c r="F15215" s="12" t="s">
        <v>277</v>
      </c>
      <c r="G15215" s="12" t="s">
        <v>46</v>
      </c>
      <c r="H15215" s="11" t="s">
        <v>63</v>
      </c>
      <c r="I15215" s="13" t="s">
        <v>29884</v>
      </c>
      <c r="J15215" s="14" t="str">
        <f>HYPERLINK("https://www.boe.es/gazeta/dias/1839/09/24/pdfs/GMD-1839-1780.pdf#page=3","Abrir facsímil")</f>
        <v>Abrir facsímil</v>
      </c>
      <c r="K15215" s="12" t="s">
        <v>65</v>
      </c>
    </row>
    <row r="15216" spans="1:11" ht="40.049999999999997" customHeight="1" x14ac:dyDescent="0.25">
      <c r="A15216" s="11" t="s">
        <v>29885</v>
      </c>
      <c r="B15216" s="11" t="s">
        <v>29886</v>
      </c>
      <c r="C15216" s="11" t="s">
        <v>101</v>
      </c>
      <c r="D15216" s="11" t="s">
        <v>43</v>
      </c>
      <c r="E15216" s="12" t="s">
        <v>19</v>
      </c>
      <c r="F15216" s="12" t="s">
        <v>20</v>
      </c>
      <c r="G15216" s="12" t="s">
        <v>40</v>
      </c>
      <c r="H15216" s="11" t="s">
        <v>63</v>
      </c>
      <c r="I15216" s="13" t="s">
        <v>29887</v>
      </c>
      <c r="J15216" s="14" t="str">
        <f>HYPERLINK("https://www.boe.es/gazeta/dias/1839/01/19/pdfs/GMD-1839-1526.pdf#page=2","Abrir facsímil")</f>
        <v>Abrir facsímil</v>
      </c>
      <c r="K15216" s="12" t="s">
        <v>65</v>
      </c>
    </row>
    <row r="15217" spans="1:11" ht="40.049999999999997" customHeight="1" x14ac:dyDescent="0.25">
      <c r="A15217" s="11" t="s">
        <v>29888</v>
      </c>
      <c r="B15217" s="11" t="s">
        <v>29889</v>
      </c>
      <c r="C15217" s="11" t="s">
        <v>17</v>
      </c>
      <c r="D15217" s="11" t="s">
        <v>18</v>
      </c>
      <c r="E15217" s="12" t="s">
        <v>1057</v>
      </c>
      <c r="F15217" s="12" t="s">
        <v>1058</v>
      </c>
      <c r="G15217" s="12" t="s">
        <v>40</v>
      </c>
      <c r="H15217" s="11" t="s">
        <v>63</v>
      </c>
      <c r="I15217" s="13" t="s">
        <v>29890</v>
      </c>
      <c r="J15217" s="14" t="str">
        <f>HYPERLINK("https://www.boe.es/gazeta/dias/1839/10/01/pdfs/GMD-1839-1787.pdf#page=2","Abrir facsímil")</f>
        <v>Abrir facsímil</v>
      </c>
      <c r="K15217" s="12" t="s">
        <v>65</v>
      </c>
    </row>
    <row r="15218" spans="1:11" ht="40.049999999999997" customHeight="1" x14ac:dyDescent="0.25">
      <c r="A15218" s="11" t="s">
        <v>29888</v>
      </c>
      <c r="B15218" s="11" t="s">
        <v>29889</v>
      </c>
      <c r="C15218" s="11" t="s">
        <v>17</v>
      </c>
      <c r="D15218" s="11" t="s">
        <v>18</v>
      </c>
      <c r="E15218" s="12" t="s">
        <v>212</v>
      </c>
      <c r="F15218" s="12" t="s">
        <v>213</v>
      </c>
      <c r="G15218" s="12" t="s">
        <v>21</v>
      </c>
      <c r="H15218" s="11" t="s">
        <v>63</v>
      </c>
      <c r="I15218" s="13" t="s">
        <v>29891</v>
      </c>
      <c r="J15218" s="14" t="str">
        <f>HYPERLINK("https://www.boe.es/gazeta/dias/1839/10/03/pdfs/GMD-1839-1789.pdf#page=4","Abrir facsímil")</f>
        <v>Abrir facsímil</v>
      </c>
      <c r="K15218" s="12" t="s">
        <v>65</v>
      </c>
    </row>
    <row r="15219" spans="1:11" ht="40.049999999999997" customHeight="1" x14ac:dyDescent="0.25">
      <c r="A15219" s="11" t="s">
        <v>29888</v>
      </c>
      <c r="B15219" s="11" t="s">
        <v>29889</v>
      </c>
      <c r="C15219" s="11" t="s">
        <v>101</v>
      </c>
      <c r="D15219" s="11" t="s">
        <v>43</v>
      </c>
      <c r="E15219" s="12" t="s">
        <v>160</v>
      </c>
      <c r="F15219" s="12" t="s">
        <v>161</v>
      </c>
      <c r="G15219" s="12" t="s">
        <v>40</v>
      </c>
      <c r="H15219" s="11" t="s">
        <v>63</v>
      </c>
      <c r="I15219" s="13" t="s">
        <v>29892</v>
      </c>
      <c r="J15219" s="14" t="str">
        <f>HYPERLINK("https://www.boe.es/gazeta/dias/1839/01/10/pdfs/GMD-1839-1517.pdf#page=2","Abrir facsímil")</f>
        <v>Abrir facsímil</v>
      </c>
      <c r="K15219" s="12" t="s">
        <v>65</v>
      </c>
    </row>
    <row r="15220" spans="1:11" ht="40.049999999999997" customHeight="1" x14ac:dyDescent="0.25">
      <c r="A15220" s="11" t="s">
        <v>29888</v>
      </c>
      <c r="B15220" s="11" t="s">
        <v>29889</v>
      </c>
      <c r="C15220" s="11" t="s">
        <v>101</v>
      </c>
      <c r="D15220" s="11" t="s">
        <v>43</v>
      </c>
      <c r="E15220" s="12" t="s">
        <v>1867</v>
      </c>
      <c r="F15220" s="12" t="s">
        <v>1868</v>
      </c>
      <c r="G15220" s="12" t="s">
        <v>46</v>
      </c>
      <c r="H15220" s="11" t="s">
        <v>63</v>
      </c>
      <c r="I15220" s="13" t="s">
        <v>29893</v>
      </c>
      <c r="J15220" s="14" t="str">
        <f>HYPERLINK("https://www.boe.es/gazeta/dias/1839/01/30/pdfs/GMD-1839-1537.pdf#page=3","Abrir facsímil")</f>
        <v>Abrir facsímil</v>
      </c>
      <c r="K15220" s="12" t="s">
        <v>65</v>
      </c>
    </row>
    <row r="15221" spans="1:11" ht="40.049999999999997" customHeight="1" x14ac:dyDescent="0.25">
      <c r="A15221" s="11" t="s">
        <v>29894</v>
      </c>
      <c r="B15221" s="11" t="s">
        <v>29895</v>
      </c>
      <c r="C15221" s="11" t="s">
        <v>17</v>
      </c>
      <c r="D15221" s="11" t="s">
        <v>18</v>
      </c>
      <c r="E15221" s="12" t="s">
        <v>236</v>
      </c>
      <c r="F15221" s="12" t="s">
        <v>237</v>
      </c>
      <c r="G15221" s="12" t="s">
        <v>40</v>
      </c>
      <c r="H15221" s="11" t="s">
        <v>63</v>
      </c>
      <c r="I15221" s="13" t="s">
        <v>29896</v>
      </c>
      <c r="J15221" s="14" t="str">
        <f>HYPERLINK("https://www.boe.es/gazeta/dias/1839/09/18/pdfs/GMD-1839-1771.pdf#page=2","Abrir facsímil")</f>
        <v>Abrir facsímil</v>
      </c>
      <c r="K15221" s="12" t="s">
        <v>65</v>
      </c>
    </row>
    <row r="15222" spans="1:11" ht="40.049999999999997" customHeight="1" x14ac:dyDescent="0.25">
      <c r="A15222" s="11" t="s">
        <v>29897</v>
      </c>
      <c r="B15222" s="11" t="s">
        <v>29898</v>
      </c>
      <c r="C15222" s="11" t="s">
        <v>59</v>
      </c>
      <c r="D15222" s="11" t="s">
        <v>60</v>
      </c>
      <c r="E15222" s="12" t="s">
        <v>1057</v>
      </c>
      <c r="F15222" s="12" t="s">
        <v>1058</v>
      </c>
      <c r="G15222" s="12" t="s">
        <v>40</v>
      </c>
      <c r="H15222" s="11" t="s">
        <v>63</v>
      </c>
      <c r="I15222" s="13" t="s">
        <v>29899</v>
      </c>
      <c r="J15222" s="14" t="str">
        <f>HYPERLINK("https://www.boe.es/gazeta/dias/1839/10/01/pdfs/GMD-1839-1787.pdf#page=2","Abrir facsímil")</f>
        <v>Abrir facsímil</v>
      </c>
      <c r="K15222" s="12" t="s">
        <v>65</v>
      </c>
    </row>
    <row r="15223" spans="1:11" ht="40.049999999999997" customHeight="1" x14ac:dyDescent="0.25">
      <c r="A15223" s="11" t="s">
        <v>29900</v>
      </c>
      <c r="B15223" s="11" t="s">
        <v>29901</v>
      </c>
      <c r="C15223" s="11" t="s">
        <v>17</v>
      </c>
      <c r="D15223" s="11" t="s">
        <v>18</v>
      </c>
      <c r="E15223" s="12" t="s">
        <v>38</v>
      </c>
      <c r="F15223" s="12" t="s">
        <v>39</v>
      </c>
      <c r="G15223" s="12" t="s">
        <v>46</v>
      </c>
      <c r="H15223" s="11" t="s">
        <v>63</v>
      </c>
      <c r="I15223" s="13" t="s">
        <v>29902</v>
      </c>
      <c r="J15223" s="14" t="str">
        <f>HYPERLINK("https://www.boe.es/gazeta/dias/1839/08/08/pdfs/GMD-1839-1728.pdf#page=3","Abrir facsímil")</f>
        <v>Abrir facsímil</v>
      </c>
      <c r="K15223" s="12" t="s">
        <v>65</v>
      </c>
    </row>
    <row r="15224" spans="1:11" ht="40.049999999999997" customHeight="1" x14ac:dyDescent="0.25">
      <c r="A15224" s="11" t="s">
        <v>29903</v>
      </c>
      <c r="B15224" s="11" t="s">
        <v>29904</v>
      </c>
      <c r="C15224" s="11" t="s">
        <v>80</v>
      </c>
      <c r="D15224" s="11" t="s">
        <v>18</v>
      </c>
      <c r="E15224" s="12" t="s">
        <v>695</v>
      </c>
      <c r="F15224" s="12" t="s">
        <v>696</v>
      </c>
      <c r="G15224" s="12" t="s">
        <v>46</v>
      </c>
      <c r="H15224" s="11" t="s">
        <v>63</v>
      </c>
      <c r="I15224" s="13" t="s">
        <v>29905</v>
      </c>
      <c r="J15224" s="14" t="str">
        <f>HYPERLINK("https://www.boe.es/gazeta/dias/1839/12/19/pdfs/GMD-1839-1866.pdf#page=3","Abrir facsímil")</f>
        <v>Abrir facsímil</v>
      </c>
      <c r="K15224" s="12" t="s">
        <v>65</v>
      </c>
    </row>
    <row r="15225" spans="1:11" ht="40.049999999999997" customHeight="1" x14ac:dyDescent="0.25">
      <c r="A15225" s="11" t="s">
        <v>29903</v>
      </c>
      <c r="B15225" s="11" t="s">
        <v>29904</v>
      </c>
      <c r="C15225" s="11" t="s">
        <v>17</v>
      </c>
      <c r="D15225" s="11" t="s">
        <v>18</v>
      </c>
      <c r="E15225" s="12" t="s">
        <v>1657</v>
      </c>
      <c r="F15225" s="12" t="s">
        <v>1658</v>
      </c>
      <c r="G15225" s="12" t="s">
        <v>21</v>
      </c>
      <c r="H15225" s="11" t="s">
        <v>63</v>
      </c>
      <c r="I15225" s="13" t="s">
        <v>29906</v>
      </c>
      <c r="J15225" s="14" t="str">
        <f>HYPERLINK("https://www.boe.es/gazeta/dias/1839/02/21/pdfs/GMD-1839-1559.pdf#page=4","Abrir facsímil")</f>
        <v>Abrir facsímil</v>
      </c>
      <c r="K15225" s="12" t="s">
        <v>65</v>
      </c>
    </row>
    <row r="15226" spans="1:11" ht="40.049999999999997" customHeight="1" x14ac:dyDescent="0.25">
      <c r="A15226" s="11" t="s">
        <v>29903</v>
      </c>
      <c r="B15226" s="11" t="s">
        <v>29904</v>
      </c>
      <c r="C15226" s="11" t="s">
        <v>101</v>
      </c>
      <c r="D15226" s="11" t="s">
        <v>102</v>
      </c>
      <c r="E15226" s="12" t="s">
        <v>668</v>
      </c>
      <c r="F15226" s="12" t="s">
        <v>669</v>
      </c>
      <c r="G15226" s="12" t="s">
        <v>46</v>
      </c>
      <c r="H15226" s="11" t="s">
        <v>63</v>
      </c>
      <c r="I15226" s="13" t="s">
        <v>29907</v>
      </c>
      <c r="J15226" s="14" t="str">
        <f>HYPERLINK("https://www.boe.es/gazeta/dias/1839/03/28/pdfs/GMD-1839-1594.pdf#page=3","Abrir facsímil")</f>
        <v>Abrir facsímil</v>
      </c>
      <c r="K15226" s="12" t="s">
        <v>65</v>
      </c>
    </row>
    <row r="15227" spans="1:11" ht="40.049999999999997" customHeight="1" x14ac:dyDescent="0.25">
      <c r="A15227" s="11" t="s">
        <v>29908</v>
      </c>
      <c r="B15227" s="11" t="s">
        <v>29909</v>
      </c>
      <c r="C15227" s="11" t="s">
        <v>17</v>
      </c>
      <c r="D15227" s="11" t="s">
        <v>18</v>
      </c>
      <c r="E15227" s="12" t="s">
        <v>448</v>
      </c>
      <c r="F15227" s="12" t="s">
        <v>449</v>
      </c>
      <c r="G15227" s="12" t="s">
        <v>40</v>
      </c>
      <c r="H15227" s="11" t="s">
        <v>63</v>
      </c>
      <c r="I15227" s="13" t="s">
        <v>29910</v>
      </c>
      <c r="J15227" s="14" t="str">
        <f>HYPERLINK("https://www.boe.es/gazeta/dias/1839/02/06/pdfs/GMD-1839-1544.pdf#page=2","Abrir facsímil")</f>
        <v>Abrir facsímil</v>
      </c>
      <c r="K15227" s="12" t="s">
        <v>65</v>
      </c>
    </row>
    <row r="15228" spans="1:11" ht="40.049999999999997" customHeight="1" x14ac:dyDescent="0.25">
      <c r="A15228" s="11" t="s">
        <v>29911</v>
      </c>
      <c r="B15228" s="11" t="s">
        <v>29912</v>
      </c>
      <c r="C15228" s="11" t="s">
        <v>137</v>
      </c>
      <c r="D15228" s="11" t="s">
        <v>18</v>
      </c>
      <c r="E15228" s="12" t="s">
        <v>883</v>
      </c>
      <c r="F15228" s="12" t="s">
        <v>884</v>
      </c>
      <c r="G15228" s="12" t="s">
        <v>40</v>
      </c>
      <c r="H15228" s="11" t="s">
        <v>63</v>
      </c>
      <c r="I15228" s="13" t="s">
        <v>29913</v>
      </c>
      <c r="J15228" s="14" t="str">
        <f>HYPERLINK("https://www.boe.es/gazeta/dias/1839/11/03/pdfs/GMD-1839-1820.pdf#page=2","Abrir facsímil")</f>
        <v>Abrir facsímil</v>
      </c>
      <c r="K15228" s="12" t="s">
        <v>65</v>
      </c>
    </row>
    <row r="15229" spans="1:11" ht="40.049999999999997" customHeight="1" x14ac:dyDescent="0.25">
      <c r="A15229" s="11" t="s">
        <v>29914</v>
      </c>
      <c r="B15229" s="11" t="s">
        <v>29915</v>
      </c>
      <c r="C15229" s="11" t="s">
        <v>80</v>
      </c>
      <c r="D15229" s="11" t="s">
        <v>18</v>
      </c>
      <c r="E15229" s="12" t="s">
        <v>1460</v>
      </c>
      <c r="F15229" s="12" t="s">
        <v>1461</v>
      </c>
      <c r="G15229" s="12" t="s">
        <v>46</v>
      </c>
      <c r="H15229" s="11" t="s">
        <v>63</v>
      </c>
      <c r="I15229" s="13" t="s">
        <v>29916</v>
      </c>
      <c r="J15229" s="14" t="str">
        <f>HYPERLINK("https://www.boe.es/gazeta/dias/1839/03/01/pdfs/GMD-1839-1567.pdf#page=3","Abrir facsímil")</f>
        <v>Abrir facsímil</v>
      </c>
      <c r="K15229" s="12" t="s">
        <v>65</v>
      </c>
    </row>
    <row r="15230" spans="1:11" ht="40.049999999999997" customHeight="1" x14ac:dyDescent="0.25">
      <c r="A15230" s="11" t="s">
        <v>29917</v>
      </c>
      <c r="B15230" s="11" t="s">
        <v>29918</v>
      </c>
      <c r="C15230" s="11" t="s">
        <v>137</v>
      </c>
      <c r="D15230" s="11" t="s">
        <v>18</v>
      </c>
      <c r="E15230" s="12" t="s">
        <v>1057</v>
      </c>
      <c r="F15230" s="12" t="s">
        <v>1058</v>
      </c>
      <c r="G15230" s="12" t="s">
        <v>40</v>
      </c>
      <c r="H15230" s="11" t="s">
        <v>63</v>
      </c>
      <c r="I15230" s="13" t="s">
        <v>29919</v>
      </c>
      <c r="J15230" s="14" t="str">
        <f>HYPERLINK("https://www.boe.es/gazeta/dias/1839/10/01/pdfs/GMD-1839-1787.pdf#page=2","Abrir facsímil")</f>
        <v>Abrir facsímil</v>
      </c>
      <c r="K15230" s="12" t="s">
        <v>65</v>
      </c>
    </row>
    <row r="15231" spans="1:11" ht="40.049999999999997" customHeight="1" x14ac:dyDescent="0.25">
      <c r="A15231" s="11" t="s">
        <v>29917</v>
      </c>
      <c r="B15231" s="11" t="s">
        <v>29918</v>
      </c>
      <c r="C15231" s="11" t="s">
        <v>137</v>
      </c>
      <c r="D15231" s="11" t="s">
        <v>18</v>
      </c>
      <c r="E15231" s="12" t="s">
        <v>1057</v>
      </c>
      <c r="F15231" s="12" t="s">
        <v>1058</v>
      </c>
      <c r="G15231" s="12" t="s">
        <v>46</v>
      </c>
      <c r="H15231" s="11" t="s">
        <v>63</v>
      </c>
      <c r="I15231" s="13" t="s">
        <v>29920</v>
      </c>
      <c r="J15231" s="14" t="str">
        <f>HYPERLINK("https://www.boe.es/gazeta/dias/1839/10/01/pdfs/GMD-1839-1787.pdf#page=3","Abrir facsímil")</f>
        <v>Abrir facsímil</v>
      </c>
      <c r="K15231" s="12" t="s">
        <v>65</v>
      </c>
    </row>
    <row r="15232" spans="1:11" ht="40.049999999999997" customHeight="1" x14ac:dyDescent="0.25">
      <c r="A15232" s="11" t="s">
        <v>29917</v>
      </c>
      <c r="B15232" s="11" t="s">
        <v>29918</v>
      </c>
      <c r="C15232" s="11" t="s">
        <v>17</v>
      </c>
      <c r="D15232" s="11" t="s">
        <v>18</v>
      </c>
      <c r="E15232" s="12" t="s">
        <v>751</v>
      </c>
      <c r="F15232" s="12" t="s">
        <v>752</v>
      </c>
      <c r="G15232" s="12" t="s">
        <v>40</v>
      </c>
      <c r="H15232" s="11" t="s">
        <v>63</v>
      </c>
      <c r="I15232" s="13" t="s">
        <v>29921</v>
      </c>
      <c r="J15232" s="14" t="str">
        <f>HYPERLINK("https://www.boe.es/gazeta/dias/1839/02/05/pdfs/GMD-1839-1543.pdf#page=2","Abrir facsímil")</f>
        <v>Abrir facsímil</v>
      </c>
      <c r="K15232" s="12" t="s">
        <v>65</v>
      </c>
    </row>
    <row r="15233" spans="1:11" ht="40.049999999999997" customHeight="1" x14ac:dyDescent="0.25">
      <c r="A15233" s="11" t="s">
        <v>29917</v>
      </c>
      <c r="B15233" s="11" t="s">
        <v>29918</v>
      </c>
      <c r="C15233" s="11" t="s">
        <v>17</v>
      </c>
      <c r="D15233" s="11" t="s">
        <v>18</v>
      </c>
      <c r="E15233" s="12" t="s">
        <v>54</v>
      </c>
      <c r="F15233" s="12" t="s">
        <v>55</v>
      </c>
      <c r="G15233" s="12" t="s">
        <v>46</v>
      </c>
      <c r="H15233" s="11" t="s">
        <v>63</v>
      </c>
      <c r="I15233" s="13" t="s">
        <v>29922</v>
      </c>
      <c r="J15233" s="14" t="str">
        <f>HYPERLINK("https://www.boe.es/gazeta/dias/1839/10/05/pdfs/GMD-1839-1791.pdf#page=3","Abrir facsímil")</f>
        <v>Abrir facsímil</v>
      </c>
      <c r="K15233" s="12" t="s">
        <v>65</v>
      </c>
    </row>
    <row r="15234" spans="1:11" ht="40.049999999999997" customHeight="1" x14ac:dyDescent="0.25">
      <c r="A15234" s="11" t="s">
        <v>29917</v>
      </c>
      <c r="B15234" s="11" t="s">
        <v>29918</v>
      </c>
      <c r="C15234" s="11" t="s">
        <v>17</v>
      </c>
      <c r="D15234" s="11" t="s">
        <v>18</v>
      </c>
      <c r="E15234" s="12" t="s">
        <v>2069</v>
      </c>
      <c r="F15234" s="12" t="s">
        <v>2070</v>
      </c>
      <c r="G15234" s="12" t="s">
        <v>566</v>
      </c>
      <c r="H15234" s="11" t="s">
        <v>63</v>
      </c>
      <c r="I15234" s="13" t="s">
        <v>29923</v>
      </c>
      <c r="J15234" s="14" t="str">
        <f>HYPERLINK("https://www.boe.es/gazeta/dias/1839/10/20/pdfs/GMD-1839-1806.pdf#page=5","Abrir facsímil")</f>
        <v>Abrir facsímil</v>
      </c>
      <c r="K15234" s="12" t="s">
        <v>65</v>
      </c>
    </row>
    <row r="15235" spans="1:11" ht="40.049999999999997" customHeight="1" x14ac:dyDescent="0.25">
      <c r="A15235" s="11" t="s">
        <v>29917</v>
      </c>
      <c r="B15235" s="11" t="s">
        <v>29918</v>
      </c>
      <c r="C15235" s="11" t="s">
        <v>137</v>
      </c>
      <c r="D15235" s="11" t="s">
        <v>18</v>
      </c>
      <c r="E15235" s="12" t="s">
        <v>862</v>
      </c>
      <c r="F15235" s="12" t="s">
        <v>863</v>
      </c>
      <c r="G15235" s="12" t="s">
        <v>21</v>
      </c>
      <c r="H15235" s="11" t="s">
        <v>63</v>
      </c>
      <c r="I15235" s="13" t="s">
        <v>29924</v>
      </c>
      <c r="J15235" s="14" t="str">
        <f>HYPERLINK("https://www.boe.es/gazeta/dias/1839/10/28/pdfs/GMD-1839-1814.pdf#page=4","Abrir facsímil")</f>
        <v>Abrir facsímil</v>
      </c>
      <c r="K15235" s="12" t="s">
        <v>65</v>
      </c>
    </row>
    <row r="15236" spans="1:11" ht="40.049999999999997" customHeight="1" x14ac:dyDescent="0.25">
      <c r="A15236" s="11" t="s">
        <v>29925</v>
      </c>
      <c r="B15236" s="11" t="s">
        <v>29926</v>
      </c>
      <c r="C15236" s="11" t="s">
        <v>17</v>
      </c>
      <c r="D15236" s="11" t="s">
        <v>18</v>
      </c>
      <c r="E15236" s="12" t="s">
        <v>54</v>
      </c>
      <c r="F15236" s="12" t="s">
        <v>55</v>
      </c>
      <c r="G15236" s="12" t="s">
        <v>46</v>
      </c>
      <c r="H15236" s="11" t="s">
        <v>63</v>
      </c>
      <c r="I15236" s="13" t="s">
        <v>29927</v>
      </c>
      <c r="J15236" s="14" t="str">
        <f>HYPERLINK("https://www.boe.es/gazeta/dias/1839/10/05/pdfs/GMD-1839-1791.pdf#page=3","Abrir facsímil")</f>
        <v>Abrir facsímil</v>
      </c>
      <c r="K15236" s="12" t="s">
        <v>65</v>
      </c>
    </row>
    <row r="15237" spans="1:11" ht="40.049999999999997" customHeight="1" x14ac:dyDescent="0.25">
      <c r="A15237" s="11" t="s">
        <v>29925</v>
      </c>
      <c r="B15237" s="11" t="s">
        <v>29926</v>
      </c>
      <c r="C15237" s="11" t="s">
        <v>17</v>
      </c>
      <c r="D15237" s="11" t="s">
        <v>18</v>
      </c>
      <c r="E15237" s="12" t="s">
        <v>2069</v>
      </c>
      <c r="F15237" s="12" t="s">
        <v>2070</v>
      </c>
      <c r="G15237" s="12" t="s">
        <v>566</v>
      </c>
      <c r="H15237" s="11" t="s">
        <v>63</v>
      </c>
      <c r="I15237" s="13" t="s">
        <v>29928</v>
      </c>
      <c r="J15237" s="14" t="str">
        <f>HYPERLINK("https://www.boe.es/gazeta/dias/1839/10/20/pdfs/GMD-1839-1806.pdf#page=5","Abrir facsímil")</f>
        <v>Abrir facsímil</v>
      </c>
      <c r="K15237" s="12" t="s">
        <v>65</v>
      </c>
    </row>
    <row r="15238" spans="1:11" ht="40.049999999999997" customHeight="1" x14ac:dyDescent="0.25">
      <c r="A15238" s="11" t="s">
        <v>29929</v>
      </c>
      <c r="B15238" s="11" t="s">
        <v>29930</v>
      </c>
      <c r="C15238" s="11" t="s">
        <v>17</v>
      </c>
      <c r="D15238" s="11" t="s">
        <v>18</v>
      </c>
      <c r="E15238" s="12" t="s">
        <v>647</v>
      </c>
      <c r="F15238" s="12" t="s">
        <v>648</v>
      </c>
      <c r="G15238" s="12" t="s">
        <v>566</v>
      </c>
      <c r="H15238" s="11" t="s">
        <v>63</v>
      </c>
      <c r="I15238" s="13" t="s">
        <v>29931</v>
      </c>
      <c r="J15238" s="14" t="str">
        <f>HYPERLINK("https://www.boe.es/gazeta/dias/1839/10/08/pdfs/GMD-1839-1794.pdf#page=5","Abrir facsímil")</f>
        <v>Abrir facsímil</v>
      </c>
      <c r="K15238" s="12" t="s">
        <v>65</v>
      </c>
    </row>
    <row r="15239" spans="1:11" ht="40.049999999999997" customHeight="1" x14ac:dyDescent="0.25">
      <c r="A15239" s="11" t="s">
        <v>29929</v>
      </c>
      <c r="B15239" s="11" t="s">
        <v>29930</v>
      </c>
      <c r="C15239" s="11" t="s">
        <v>17</v>
      </c>
      <c r="D15239" s="11" t="s">
        <v>18</v>
      </c>
      <c r="E15239" s="12" t="s">
        <v>1100</v>
      </c>
      <c r="F15239" s="12" t="s">
        <v>1101</v>
      </c>
      <c r="G15239" s="12" t="s">
        <v>21</v>
      </c>
      <c r="H15239" s="11" t="s">
        <v>63</v>
      </c>
      <c r="I15239" s="13" t="s">
        <v>29932</v>
      </c>
      <c r="J15239" s="14" t="str">
        <f>HYPERLINK("https://www.boe.es/gazeta/dias/1839/09/13/pdfs/GMD-1839-1766.pdf#page=4","Abrir facsímil")</f>
        <v>Abrir facsímil</v>
      </c>
      <c r="K15239" s="12" t="s">
        <v>65</v>
      </c>
    </row>
    <row r="15240" spans="1:11" ht="40.049999999999997" customHeight="1" x14ac:dyDescent="0.25">
      <c r="A15240" s="11" t="s">
        <v>29929</v>
      </c>
      <c r="B15240" s="11" t="s">
        <v>29930</v>
      </c>
      <c r="C15240" s="11" t="s">
        <v>80</v>
      </c>
      <c r="D15240" s="11" t="s">
        <v>18</v>
      </c>
      <c r="E15240" s="12" t="s">
        <v>720</v>
      </c>
      <c r="F15240" s="12" t="s">
        <v>721</v>
      </c>
      <c r="G15240" s="12" t="s">
        <v>40</v>
      </c>
      <c r="H15240" s="11" t="s">
        <v>63</v>
      </c>
      <c r="I15240" s="13" t="s">
        <v>29933</v>
      </c>
      <c r="J15240" s="14" t="str">
        <f>HYPERLINK("https://www.boe.es/gazeta/dias/1839/01/14/pdfs/GMD-1839-1521.pdf#page=2","Abrir facsímil")</f>
        <v>Abrir facsímil</v>
      </c>
      <c r="K15240" s="12" t="s">
        <v>65</v>
      </c>
    </row>
    <row r="15241" spans="1:11" ht="40.049999999999997" customHeight="1" x14ac:dyDescent="0.25">
      <c r="A15241" s="11" t="s">
        <v>29929</v>
      </c>
      <c r="B15241" s="11" t="s">
        <v>29930</v>
      </c>
      <c r="C15241" s="11" t="s">
        <v>17</v>
      </c>
      <c r="D15241" s="11" t="s">
        <v>18</v>
      </c>
      <c r="E15241" s="12" t="s">
        <v>568</v>
      </c>
      <c r="F15241" s="12" t="s">
        <v>569</v>
      </c>
      <c r="G15241" s="12" t="s">
        <v>40</v>
      </c>
      <c r="H15241" s="11" t="s">
        <v>63</v>
      </c>
      <c r="I15241" s="13" t="s">
        <v>29934</v>
      </c>
      <c r="J15241" s="14" t="str">
        <f>HYPERLINK("https://www.boe.es/gazeta/dias/1839/10/23/pdfs/GMD-1839-1809.pdf#page=2","Abrir facsímil")</f>
        <v>Abrir facsímil</v>
      </c>
      <c r="K15241" s="12" t="s">
        <v>65</v>
      </c>
    </row>
    <row r="15242" spans="1:11" ht="40.049999999999997" customHeight="1" x14ac:dyDescent="0.25">
      <c r="A15242" s="11" t="s">
        <v>29929</v>
      </c>
      <c r="B15242" s="11" t="s">
        <v>29930</v>
      </c>
      <c r="C15242" s="11" t="s">
        <v>17</v>
      </c>
      <c r="D15242" s="11" t="s">
        <v>18</v>
      </c>
      <c r="E15242" s="12" t="s">
        <v>826</v>
      </c>
      <c r="F15242" s="12" t="s">
        <v>827</v>
      </c>
      <c r="G15242" s="12" t="s">
        <v>21</v>
      </c>
      <c r="H15242" s="11" t="s">
        <v>63</v>
      </c>
      <c r="I15242" s="13" t="s">
        <v>29935</v>
      </c>
      <c r="J15242" s="14" t="str">
        <f>HYPERLINK("https://www.boe.es/gazeta/dias/1839/09/25/pdfs/GMD-1839-1781.pdf#page=4","Abrir facsímil")</f>
        <v>Abrir facsímil</v>
      </c>
      <c r="K15242" s="12" t="s">
        <v>65</v>
      </c>
    </row>
    <row r="15243" spans="1:11" ht="40.049999999999997" customHeight="1" x14ac:dyDescent="0.25">
      <c r="A15243" s="11" t="s">
        <v>29929</v>
      </c>
      <c r="B15243" s="11" t="s">
        <v>29930</v>
      </c>
      <c r="C15243" s="11" t="s">
        <v>101</v>
      </c>
      <c r="D15243" s="11" t="s">
        <v>43</v>
      </c>
      <c r="E15243" s="12" t="s">
        <v>862</v>
      </c>
      <c r="F15243" s="12" t="s">
        <v>863</v>
      </c>
      <c r="G15243" s="12" t="s">
        <v>566</v>
      </c>
      <c r="H15243" s="11" t="s">
        <v>63</v>
      </c>
      <c r="I15243" s="13" t="s">
        <v>29936</v>
      </c>
      <c r="J15243" s="14" t="str">
        <f>HYPERLINK("https://www.boe.es/gazeta/dias/1839/10/28/pdfs/GMD-1839-1814.pdf#page=5","Abrir facsímil")</f>
        <v>Abrir facsímil</v>
      </c>
      <c r="K15243" s="12" t="s">
        <v>65</v>
      </c>
    </row>
    <row r="15244" spans="1:11" ht="40.049999999999997" customHeight="1" x14ac:dyDescent="0.25">
      <c r="A15244" s="11" t="s">
        <v>29937</v>
      </c>
      <c r="B15244" s="11" t="s">
        <v>29938</v>
      </c>
      <c r="C15244" s="11" t="s">
        <v>17</v>
      </c>
      <c r="D15244" s="11" t="s">
        <v>18</v>
      </c>
      <c r="E15244" s="12" t="s">
        <v>647</v>
      </c>
      <c r="F15244" s="12" t="s">
        <v>648</v>
      </c>
      <c r="G15244" s="12" t="s">
        <v>566</v>
      </c>
      <c r="H15244" s="11" t="s">
        <v>63</v>
      </c>
      <c r="I15244" s="13" t="s">
        <v>29939</v>
      </c>
      <c r="J15244" s="14" t="str">
        <f>HYPERLINK("https://www.boe.es/gazeta/dias/1839/10/08/pdfs/GMD-1839-1794.pdf#page=5","Abrir facsímil")</f>
        <v>Abrir facsímil</v>
      </c>
      <c r="K15244" s="12" t="s">
        <v>65</v>
      </c>
    </row>
    <row r="15245" spans="1:11" ht="40.049999999999997" customHeight="1" x14ac:dyDescent="0.25">
      <c r="A15245" s="11" t="s">
        <v>29937</v>
      </c>
      <c r="B15245" s="11" t="s">
        <v>29938</v>
      </c>
      <c r="C15245" s="11" t="s">
        <v>17</v>
      </c>
      <c r="D15245" s="11" t="s">
        <v>18</v>
      </c>
      <c r="E15245" s="12" t="s">
        <v>568</v>
      </c>
      <c r="F15245" s="12" t="s">
        <v>569</v>
      </c>
      <c r="G15245" s="12" t="s">
        <v>40</v>
      </c>
      <c r="H15245" s="11" t="s">
        <v>63</v>
      </c>
      <c r="I15245" s="13" t="s">
        <v>29940</v>
      </c>
      <c r="J15245" s="14" t="str">
        <f>HYPERLINK("https://www.boe.es/gazeta/dias/1839/10/23/pdfs/GMD-1839-1809.pdf#page=2","Abrir facsímil")</f>
        <v>Abrir facsímil</v>
      </c>
      <c r="K15245" s="12" t="s">
        <v>65</v>
      </c>
    </row>
    <row r="15246" spans="1:11" ht="40.049999999999997" customHeight="1" x14ac:dyDescent="0.25">
      <c r="A15246" s="11" t="s">
        <v>29937</v>
      </c>
      <c r="B15246" s="11" t="s">
        <v>29938</v>
      </c>
      <c r="C15246" s="11" t="s">
        <v>17</v>
      </c>
      <c r="D15246" s="11" t="s">
        <v>18</v>
      </c>
      <c r="E15246" s="12" t="s">
        <v>826</v>
      </c>
      <c r="F15246" s="12" t="s">
        <v>827</v>
      </c>
      <c r="G15246" s="12" t="s">
        <v>21</v>
      </c>
      <c r="H15246" s="11" t="s">
        <v>63</v>
      </c>
      <c r="I15246" s="13" t="s">
        <v>29941</v>
      </c>
      <c r="J15246" s="14" t="str">
        <f>HYPERLINK("https://www.boe.es/gazeta/dias/1839/09/25/pdfs/GMD-1839-1781.pdf#page=4","Abrir facsímil")</f>
        <v>Abrir facsímil</v>
      </c>
      <c r="K15246" s="12" t="s">
        <v>65</v>
      </c>
    </row>
    <row r="15247" spans="1:11" ht="40.049999999999997" customHeight="1" x14ac:dyDescent="0.25">
      <c r="A15247" s="11" t="s">
        <v>29937</v>
      </c>
      <c r="B15247" s="11" t="s">
        <v>29938</v>
      </c>
      <c r="C15247" s="11" t="s">
        <v>101</v>
      </c>
      <c r="D15247" s="11" t="s">
        <v>43</v>
      </c>
      <c r="E15247" s="12" t="s">
        <v>862</v>
      </c>
      <c r="F15247" s="12" t="s">
        <v>863</v>
      </c>
      <c r="G15247" s="12" t="s">
        <v>566</v>
      </c>
      <c r="H15247" s="11" t="s">
        <v>63</v>
      </c>
      <c r="I15247" s="13" t="s">
        <v>29942</v>
      </c>
      <c r="J15247" s="14" t="str">
        <f>HYPERLINK("https://www.boe.es/gazeta/dias/1839/10/28/pdfs/GMD-1839-1814.pdf#page=5","Abrir facsímil")</f>
        <v>Abrir facsímil</v>
      </c>
      <c r="K15247" s="12" t="s">
        <v>65</v>
      </c>
    </row>
    <row r="15248" spans="1:11" ht="40.049999999999997" customHeight="1" x14ac:dyDescent="0.25">
      <c r="A15248" s="11" t="s">
        <v>29943</v>
      </c>
      <c r="B15248" s="11" t="s">
        <v>29944</v>
      </c>
      <c r="C15248" s="11" t="s">
        <v>101</v>
      </c>
      <c r="D15248" s="11" t="s">
        <v>43</v>
      </c>
      <c r="E15248" s="12" t="s">
        <v>577</v>
      </c>
      <c r="F15248" s="12" t="s">
        <v>578</v>
      </c>
      <c r="G15248" s="12" t="s">
        <v>40</v>
      </c>
      <c r="H15248" s="11" t="s">
        <v>63</v>
      </c>
      <c r="I15248" s="13" t="s">
        <v>29945</v>
      </c>
      <c r="J15248" s="14" t="str">
        <f>HYPERLINK("https://www.boe.es/gazeta/dias/1839/09/30/pdfs/GMD-1839-1786.pdf#page=2","Abrir facsímil")</f>
        <v>Abrir facsímil</v>
      </c>
      <c r="K15248" s="12" t="s">
        <v>65</v>
      </c>
    </row>
    <row r="15249" spans="1:11" ht="40.049999999999997" customHeight="1" x14ac:dyDescent="0.25">
      <c r="A15249" s="11" t="s">
        <v>29946</v>
      </c>
      <c r="B15249" s="11" t="s">
        <v>29947</v>
      </c>
      <c r="C15249" s="11" t="s">
        <v>101</v>
      </c>
      <c r="D15249" s="11" t="s">
        <v>43</v>
      </c>
      <c r="E15249" s="12" t="s">
        <v>577</v>
      </c>
      <c r="F15249" s="12" t="s">
        <v>578</v>
      </c>
      <c r="G15249" s="12" t="s">
        <v>40</v>
      </c>
      <c r="H15249" s="11" t="s">
        <v>63</v>
      </c>
      <c r="I15249" s="13" t="s">
        <v>29948</v>
      </c>
      <c r="J15249" s="14" t="str">
        <f>HYPERLINK("https://www.boe.es/gazeta/dias/1839/09/30/pdfs/GMD-1839-1786.pdf#page=2","Abrir facsímil")</f>
        <v>Abrir facsímil</v>
      </c>
      <c r="K15249" s="12" t="s">
        <v>65</v>
      </c>
    </row>
    <row r="15250" spans="1:11" ht="40.049999999999997" customHeight="1" x14ac:dyDescent="0.25">
      <c r="A15250" s="11" t="s">
        <v>29949</v>
      </c>
      <c r="B15250" s="11" t="s">
        <v>29950</v>
      </c>
      <c r="C15250" s="11" t="s">
        <v>80</v>
      </c>
      <c r="D15250" s="11" t="s">
        <v>18</v>
      </c>
      <c r="E15250" s="12" t="s">
        <v>369</v>
      </c>
      <c r="F15250" s="12" t="s">
        <v>370</v>
      </c>
      <c r="G15250" s="12" t="s">
        <v>40</v>
      </c>
      <c r="H15250" s="11" t="s">
        <v>63</v>
      </c>
      <c r="I15250" s="13" t="s">
        <v>29951</v>
      </c>
      <c r="J15250" s="14" t="str">
        <f>HYPERLINK("https://www.boe.es/gazeta/dias/1839/11/01/pdfs/GMD-1839-1818.pdf#page=2","Abrir facsímil")</f>
        <v>Abrir facsímil</v>
      </c>
      <c r="K15250" s="12" t="s">
        <v>65</v>
      </c>
    </row>
    <row r="15251" spans="1:11" ht="40.049999999999997" customHeight="1" x14ac:dyDescent="0.25">
      <c r="A15251" s="11" t="s">
        <v>29949</v>
      </c>
      <c r="B15251" s="11" t="s">
        <v>29950</v>
      </c>
      <c r="C15251" s="11" t="s">
        <v>17</v>
      </c>
      <c r="D15251" s="11" t="s">
        <v>18</v>
      </c>
      <c r="E15251" s="12" t="s">
        <v>647</v>
      </c>
      <c r="F15251" s="12" t="s">
        <v>648</v>
      </c>
      <c r="G15251" s="12" t="s">
        <v>46</v>
      </c>
      <c r="H15251" s="11" t="s">
        <v>63</v>
      </c>
      <c r="I15251" s="13" t="s">
        <v>29952</v>
      </c>
      <c r="J15251" s="14" t="str">
        <f>HYPERLINK("https://www.boe.es/gazeta/dias/1839/10/08/pdfs/GMD-1839-1794.pdf#page=3","Abrir facsímil")</f>
        <v>Abrir facsímil</v>
      </c>
      <c r="K15251" s="12" t="s">
        <v>65</v>
      </c>
    </row>
    <row r="15252" spans="1:11" ht="40.049999999999997" customHeight="1" x14ac:dyDescent="0.25">
      <c r="A15252" s="11" t="s">
        <v>29949</v>
      </c>
      <c r="B15252" s="11" t="s">
        <v>29950</v>
      </c>
      <c r="C15252" s="11" t="s">
        <v>17</v>
      </c>
      <c r="D15252" s="11" t="s">
        <v>18</v>
      </c>
      <c r="E15252" s="12" t="s">
        <v>269</v>
      </c>
      <c r="F15252" s="12" t="s">
        <v>270</v>
      </c>
      <c r="G15252" s="12" t="s">
        <v>40</v>
      </c>
      <c r="H15252" s="11" t="s">
        <v>63</v>
      </c>
      <c r="I15252" s="13" t="s">
        <v>29953</v>
      </c>
      <c r="J15252" s="14" t="str">
        <f>HYPERLINK("https://www.boe.es/gazeta/dias/1839/02/10/pdfs/GMD-1839-1548.pdf#page=2","Abrir facsímil")</f>
        <v>Abrir facsímil</v>
      </c>
      <c r="K15252" s="12" t="s">
        <v>65</v>
      </c>
    </row>
    <row r="15253" spans="1:11" ht="40.049999999999997" customHeight="1" x14ac:dyDescent="0.25">
      <c r="A15253" s="11" t="s">
        <v>29954</v>
      </c>
      <c r="B15253" s="11" t="s">
        <v>29955</v>
      </c>
      <c r="C15253" s="11" t="s">
        <v>80</v>
      </c>
      <c r="D15253" s="11" t="s">
        <v>18</v>
      </c>
      <c r="E15253" s="12" t="s">
        <v>369</v>
      </c>
      <c r="F15253" s="12" t="s">
        <v>370</v>
      </c>
      <c r="G15253" s="12" t="s">
        <v>40</v>
      </c>
      <c r="H15253" s="11" t="s">
        <v>63</v>
      </c>
      <c r="I15253" s="13" t="s">
        <v>29956</v>
      </c>
      <c r="J15253" s="14" t="str">
        <f>HYPERLINK("https://www.boe.es/gazeta/dias/1839/11/01/pdfs/GMD-1839-1818.pdf#page=2","Abrir facsímil")</f>
        <v>Abrir facsímil</v>
      </c>
      <c r="K15253" s="12" t="s">
        <v>65</v>
      </c>
    </row>
    <row r="15254" spans="1:11" ht="40.049999999999997" customHeight="1" x14ac:dyDescent="0.25">
      <c r="A15254" s="11" t="s">
        <v>29954</v>
      </c>
      <c r="B15254" s="11" t="s">
        <v>29955</v>
      </c>
      <c r="C15254" s="11" t="s">
        <v>17</v>
      </c>
      <c r="D15254" s="11" t="s">
        <v>18</v>
      </c>
      <c r="E15254" s="12" t="s">
        <v>269</v>
      </c>
      <c r="F15254" s="12" t="s">
        <v>270</v>
      </c>
      <c r="G15254" s="12" t="s">
        <v>40</v>
      </c>
      <c r="H15254" s="11" t="s">
        <v>63</v>
      </c>
      <c r="I15254" s="13" t="s">
        <v>29957</v>
      </c>
      <c r="J15254" s="14" t="str">
        <f>HYPERLINK("https://www.boe.es/gazeta/dias/1839/02/10/pdfs/GMD-1839-1548.pdf#page=2","Abrir facsímil")</f>
        <v>Abrir facsímil</v>
      </c>
      <c r="K15254" s="12" t="s">
        <v>65</v>
      </c>
    </row>
    <row r="15255" spans="1:11" ht="40.049999999999997" customHeight="1" x14ac:dyDescent="0.25">
      <c r="A15255" s="11" t="s">
        <v>29958</v>
      </c>
      <c r="B15255" s="11" t="s">
        <v>29959</v>
      </c>
      <c r="C15255" s="11" t="s">
        <v>17</v>
      </c>
      <c r="D15255" s="11" t="s">
        <v>18</v>
      </c>
      <c r="E15255" s="12" t="s">
        <v>862</v>
      </c>
      <c r="F15255" s="12" t="s">
        <v>863</v>
      </c>
      <c r="G15255" s="12" t="s">
        <v>566</v>
      </c>
      <c r="H15255" s="11" t="s">
        <v>63</v>
      </c>
      <c r="I15255" s="13" t="s">
        <v>29960</v>
      </c>
      <c r="J15255" s="14" t="str">
        <f>HYPERLINK("https://www.boe.es/gazeta/dias/1839/10/28/pdfs/GMD-1839-1814.pdf#page=5","Abrir facsímil")</f>
        <v>Abrir facsímil</v>
      </c>
      <c r="K15255" s="12" t="s">
        <v>65</v>
      </c>
    </row>
    <row r="15256" spans="1:11" ht="40.049999999999997" customHeight="1" x14ac:dyDescent="0.25">
      <c r="A15256" s="11" t="s">
        <v>29961</v>
      </c>
      <c r="B15256" s="11" t="s">
        <v>29962</v>
      </c>
      <c r="C15256" s="11" t="s">
        <v>17</v>
      </c>
      <c r="D15256" s="11" t="s">
        <v>18</v>
      </c>
      <c r="E15256" s="12" t="s">
        <v>1813</v>
      </c>
      <c r="F15256" s="12" t="s">
        <v>1814</v>
      </c>
      <c r="G15256" s="12" t="s">
        <v>21</v>
      </c>
      <c r="H15256" s="11" t="s">
        <v>63</v>
      </c>
      <c r="I15256" s="13" t="s">
        <v>29963</v>
      </c>
      <c r="J15256" s="14" t="str">
        <f>HYPERLINK("https://www.boe.es/gazeta/dias/1839/09/02/pdfs/GMD-1839-1754.pdf#page=4","Abrir facsímil")</f>
        <v>Abrir facsímil</v>
      </c>
      <c r="K15256" s="12" t="s">
        <v>65</v>
      </c>
    </row>
    <row r="15257" spans="1:11" ht="40.049999999999997" customHeight="1" x14ac:dyDescent="0.25">
      <c r="A15257" s="11" t="s">
        <v>29961</v>
      </c>
      <c r="B15257" s="11" t="s">
        <v>29962</v>
      </c>
      <c r="C15257" s="11" t="s">
        <v>17</v>
      </c>
      <c r="D15257" s="11" t="s">
        <v>18</v>
      </c>
      <c r="E15257" s="12" t="s">
        <v>185</v>
      </c>
      <c r="F15257" s="12" t="s">
        <v>186</v>
      </c>
      <c r="G15257" s="12" t="s">
        <v>40</v>
      </c>
      <c r="H15257" s="11" t="s">
        <v>63</v>
      </c>
      <c r="I15257" s="13" t="s">
        <v>29964</v>
      </c>
      <c r="J15257" s="14" t="str">
        <f>HYPERLINK("https://www.boe.es/gazeta/dias/1839/01/15/pdfs/GMD-1839-1522.pdf#page=2","Abrir facsímil")</f>
        <v>Abrir facsímil</v>
      </c>
      <c r="K15257" s="12" t="s">
        <v>65</v>
      </c>
    </row>
    <row r="15258" spans="1:11" ht="40.049999999999997" customHeight="1" x14ac:dyDescent="0.25">
      <c r="A15258" s="11" t="s">
        <v>29965</v>
      </c>
      <c r="B15258" s="11" t="s">
        <v>29966</v>
      </c>
      <c r="C15258" s="11" t="s">
        <v>17</v>
      </c>
      <c r="D15258" s="11" t="s">
        <v>18</v>
      </c>
      <c r="E15258" s="12" t="s">
        <v>369</v>
      </c>
      <c r="F15258" s="12" t="s">
        <v>370</v>
      </c>
      <c r="G15258" s="12" t="s">
        <v>40</v>
      </c>
      <c r="H15258" s="11" t="s">
        <v>63</v>
      </c>
      <c r="I15258" s="13" t="s">
        <v>29967</v>
      </c>
      <c r="J15258" s="14" t="str">
        <f>HYPERLINK("https://www.boe.es/gazeta/dias/1839/11/01/pdfs/GMD-1839-1818.pdf#page=2","Abrir facsímil")</f>
        <v>Abrir facsímil</v>
      </c>
      <c r="K15258" s="12" t="s">
        <v>65</v>
      </c>
    </row>
    <row r="15259" spans="1:11" ht="40.049999999999997" customHeight="1" x14ac:dyDescent="0.25">
      <c r="A15259" s="11" t="s">
        <v>29965</v>
      </c>
      <c r="B15259" s="11" t="s">
        <v>29966</v>
      </c>
      <c r="C15259" s="11" t="s">
        <v>17</v>
      </c>
      <c r="D15259" s="11" t="s">
        <v>18</v>
      </c>
      <c r="E15259" s="12" t="s">
        <v>2440</v>
      </c>
      <c r="F15259" s="12" t="s">
        <v>2441</v>
      </c>
      <c r="G15259" s="12" t="s">
        <v>29</v>
      </c>
      <c r="H15259" s="11" t="s">
        <v>63</v>
      </c>
      <c r="I15259" s="13" t="s">
        <v>29968</v>
      </c>
      <c r="J15259" s="14" t="str">
        <f>HYPERLINK("https://www.boe.es/gazeta/dias/1839/12/01/pdfs/GMD-1839-1848.pdf#page=1","Abrir facsímil")</f>
        <v>Abrir facsímil</v>
      </c>
      <c r="K15259" s="12" t="s">
        <v>65</v>
      </c>
    </row>
    <row r="15260" spans="1:11" ht="40.049999999999997" customHeight="1" x14ac:dyDescent="0.25">
      <c r="A15260" s="11" t="s">
        <v>29965</v>
      </c>
      <c r="B15260" s="11" t="s">
        <v>29966</v>
      </c>
      <c r="C15260" s="11" t="s">
        <v>17</v>
      </c>
      <c r="D15260" s="11" t="s">
        <v>18</v>
      </c>
      <c r="E15260" s="12" t="s">
        <v>2138</v>
      </c>
      <c r="F15260" s="12" t="s">
        <v>2139</v>
      </c>
      <c r="G15260" s="12" t="s">
        <v>46</v>
      </c>
      <c r="H15260" s="11" t="s">
        <v>63</v>
      </c>
      <c r="I15260" s="13" t="s">
        <v>29969</v>
      </c>
      <c r="J15260" s="14" t="str">
        <f>HYPERLINK("https://www.boe.es/gazeta/dias/1839/10/02/pdfs/GMD-1839-1788.pdf#page=3","Abrir facsímil")</f>
        <v>Abrir facsímil</v>
      </c>
      <c r="K15260" s="12" t="s">
        <v>65</v>
      </c>
    </row>
    <row r="15261" spans="1:11" ht="40.049999999999997" customHeight="1" x14ac:dyDescent="0.25">
      <c r="A15261" s="11" t="s">
        <v>29965</v>
      </c>
      <c r="B15261" s="11" t="s">
        <v>29966</v>
      </c>
      <c r="C15261" s="11" t="s">
        <v>17</v>
      </c>
      <c r="D15261" s="11" t="s">
        <v>18</v>
      </c>
      <c r="E15261" s="12" t="s">
        <v>2138</v>
      </c>
      <c r="F15261" s="12" t="s">
        <v>2139</v>
      </c>
      <c r="G15261" s="12" t="s">
        <v>21</v>
      </c>
      <c r="H15261" s="11" t="s">
        <v>63</v>
      </c>
      <c r="I15261" s="13" t="s">
        <v>29970</v>
      </c>
      <c r="J15261" s="14" t="str">
        <f>HYPERLINK("https://www.boe.es/gazeta/dias/1839/10/02/pdfs/GMD-1839-1788.pdf#page=4","Abrir facsímil")</f>
        <v>Abrir facsímil</v>
      </c>
      <c r="K15261" s="12" t="s">
        <v>65</v>
      </c>
    </row>
    <row r="15262" spans="1:11" ht="40.049999999999997" customHeight="1" x14ac:dyDescent="0.25">
      <c r="A15262" s="11" t="s">
        <v>29965</v>
      </c>
      <c r="B15262" s="11" t="s">
        <v>29966</v>
      </c>
      <c r="C15262" s="11" t="s">
        <v>137</v>
      </c>
      <c r="D15262" s="11" t="s">
        <v>18</v>
      </c>
      <c r="E15262" s="12" t="s">
        <v>212</v>
      </c>
      <c r="F15262" s="12" t="s">
        <v>213</v>
      </c>
      <c r="G15262" s="12" t="s">
        <v>21</v>
      </c>
      <c r="H15262" s="11" t="s">
        <v>63</v>
      </c>
      <c r="I15262" s="13" t="s">
        <v>29971</v>
      </c>
      <c r="J15262" s="14" t="str">
        <f>HYPERLINK("https://www.boe.es/gazeta/dias/1839/10/03/pdfs/GMD-1839-1789.pdf#page=4","Abrir facsímil")</f>
        <v>Abrir facsímil</v>
      </c>
      <c r="K15262" s="12" t="s">
        <v>65</v>
      </c>
    </row>
    <row r="15263" spans="1:11" ht="40.049999999999997" customHeight="1" x14ac:dyDescent="0.25">
      <c r="A15263" s="11" t="s">
        <v>29965</v>
      </c>
      <c r="B15263" s="11" t="s">
        <v>29966</v>
      </c>
      <c r="C15263" s="11" t="s">
        <v>17</v>
      </c>
      <c r="D15263" s="11" t="s">
        <v>18</v>
      </c>
      <c r="E15263" s="12" t="s">
        <v>751</v>
      </c>
      <c r="F15263" s="12" t="s">
        <v>752</v>
      </c>
      <c r="G15263" s="12" t="s">
        <v>40</v>
      </c>
      <c r="H15263" s="11" t="s">
        <v>63</v>
      </c>
      <c r="I15263" s="13" t="s">
        <v>29972</v>
      </c>
      <c r="J15263" s="14" t="str">
        <f>HYPERLINK("https://www.boe.es/gazeta/dias/1839/02/05/pdfs/GMD-1839-1543.pdf#page=2","Abrir facsímil")</f>
        <v>Abrir facsímil</v>
      </c>
      <c r="K15263" s="12" t="s">
        <v>65</v>
      </c>
    </row>
    <row r="15264" spans="1:11" ht="40.049999999999997" customHeight="1" x14ac:dyDescent="0.25">
      <c r="A15264" s="11" t="s">
        <v>29965</v>
      </c>
      <c r="B15264" s="11" t="s">
        <v>29966</v>
      </c>
      <c r="C15264" s="11" t="s">
        <v>101</v>
      </c>
      <c r="D15264" s="11" t="s">
        <v>43</v>
      </c>
      <c r="E15264" s="12" t="s">
        <v>54</v>
      </c>
      <c r="F15264" s="12" t="s">
        <v>55</v>
      </c>
      <c r="G15264" s="12" t="s">
        <v>566</v>
      </c>
      <c r="H15264" s="11" t="s">
        <v>63</v>
      </c>
      <c r="I15264" s="13" t="s">
        <v>29973</v>
      </c>
      <c r="J15264" s="14" t="str">
        <f>HYPERLINK("https://www.boe.es/gazeta/dias/1839/10/05/pdfs/GMD-1839-1791.pdf#page=5","Abrir facsímil")</f>
        <v>Abrir facsímil</v>
      </c>
      <c r="K15264" s="12" t="s">
        <v>65</v>
      </c>
    </row>
    <row r="15265" spans="1:11" ht="40.049999999999997" customHeight="1" x14ac:dyDescent="0.25">
      <c r="A15265" s="11" t="s">
        <v>29965</v>
      </c>
      <c r="B15265" s="11" t="s">
        <v>29966</v>
      </c>
      <c r="C15265" s="11" t="s">
        <v>17</v>
      </c>
      <c r="D15265" s="11" t="s">
        <v>18</v>
      </c>
      <c r="E15265" s="12" t="s">
        <v>647</v>
      </c>
      <c r="F15265" s="12" t="s">
        <v>648</v>
      </c>
      <c r="G15265" s="12" t="s">
        <v>46</v>
      </c>
      <c r="H15265" s="11" t="s">
        <v>63</v>
      </c>
      <c r="I15265" s="13" t="s">
        <v>29974</v>
      </c>
      <c r="J15265" s="14" t="str">
        <f>HYPERLINK("https://www.boe.es/gazeta/dias/1839/10/08/pdfs/GMD-1839-1794.pdf#page=3","Abrir facsímil")</f>
        <v>Abrir facsímil</v>
      </c>
      <c r="K15265" s="12" t="s">
        <v>65</v>
      </c>
    </row>
    <row r="15266" spans="1:11" ht="40.049999999999997" customHeight="1" x14ac:dyDescent="0.25">
      <c r="A15266" s="11" t="s">
        <v>29965</v>
      </c>
      <c r="B15266" s="11" t="s">
        <v>29966</v>
      </c>
      <c r="C15266" s="11" t="s">
        <v>137</v>
      </c>
      <c r="D15266" s="11" t="s">
        <v>18</v>
      </c>
      <c r="E15266" s="12" t="s">
        <v>647</v>
      </c>
      <c r="F15266" s="12" t="s">
        <v>648</v>
      </c>
      <c r="G15266" s="12" t="s">
        <v>21</v>
      </c>
      <c r="H15266" s="11" t="s">
        <v>63</v>
      </c>
      <c r="I15266" s="13" t="s">
        <v>29975</v>
      </c>
      <c r="J15266" s="14" t="str">
        <f>HYPERLINK("https://www.boe.es/gazeta/dias/1839/10/08/pdfs/GMD-1839-1794.pdf#page=4","Abrir facsímil")</f>
        <v>Abrir facsímil</v>
      </c>
      <c r="K15266" s="12" t="s">
        <v>65</v>
      </c>
    </row>
    <row r="15267" spans="1:11" ht="40.049999999999997" customHeight="1" x14ac:dyDescent="0.25">
      <c r="A15267" s="11" t="s">
        <v>29965</v>
      </c>
      <c r="B15267" s="11" t="s">
        <v>29966</v>
      </c>
      <c r="C15267" s="11" t="s">
        <v>101</v>
      </c>
      <c r="D15267" s="11" t="s">
        <v>43</v>
      </c>
      <c r="E15267" s="12" t="s">
        <v>68</v>
      </c>
      <c r="F15267" s="12" t="s">
        <v>69</v>
      </c>
      <c r="G15267" s="12" t="s">
        <v>40</v>
      </c>
      <c r="H15267" s="11" t="s">
        <v>63</v>
      </c>
      <c r="I15267" s="13" t="s">
        <v>29976</v>
      </c>
      <c r="J15267" s="14" t="str">
        <f>HYPERLINK("https://www.boe.es/gazeta/dias/1839/02/09/pdfs/GMD-1839-1547.pdf#page=2","Abrir facsímil")</f>
        <v>Abrir facsímil</v>
      </c>
      <c r="K15267" s="12" t="s">
        <v>65</v>
      </c>
    </row>
    <row r="15268" spans="1:11" ht="40.049999999999997" customHeight="1" x14ac:dyDescent="0.25">
      <c r="A15268" s="11" t="s">
        <v>29965</v>
      </c>
      <c r="B15268" s="11" t="s">
        <v>29966</v>
      </c>
      <c r="C15268" s="11" t="s">
        <v>17</v>
      </c>
      <c r="D15268" s="11" t="s">
        <v>18</v>
      </c>
      <c r="E15268" s="12" t="s">
        <v>1366</v>
      </c>
      <c r="F15268" s="12" t="s">
        <v>1367</v>
      </c>
      <c r="G15268" s="12" t="s">
        <v>40</v>
      </c>
      <c r="H15268" s="11" t="s">
        <v>63</v>
      </c>
      <c r="I15268" s="13" t="s">
        <v>29977</v>
      </c>
      <c r="J15268" s="14" t="str">
        <f>HYPERLINK("https://www.boe.es/gazeta/dias/1839/09/09/pdfs/GMD-1839-1762.pdf#page=2","Abrir facsímil")</f>
        <v>Abrir facsímil</v>
      </c>
      <c r="K15268" s="12" t="s">
        <v>65</v>
      </c>
    </row>
    <row r="15269" spans="1:11" ht="40.049999999999997" customHeight="1" x14ac:dyDescent="0.25">
      <c r="A15269" s="11" t="s">
        <v>29965</v>
      </c>
      <c r="B15269" s="11" t="s">
        <v>29966</v>
      </c>
      <c r="C15269" s="11" t="s">
        <v>101</v>
      </c>
      <c r="D15269" s="11" t="s">
        <v>43</v>
      </c>
      <c r="E15269" s="12" t="s">
        <v>1100</v>
      </c>
      <c r="F15269" s="12" t="s">
        <v>1101</v>
      </c>
      <c r="G15269" s="12" t="s">
        <v>21</v>
      </c>
      <c r="H15269" s="11" t="s">
        <v>63</v>
      </c>
      <c r="I15269" s="13" t="s">
        <v>29978</v>
      </c>
      <c r="J15269" s="14" t="str">
        <f>HYPERLINK("https://www.boe.es/gazeta/dias/1839/09/13/pdfs/GMD-1839-1766.pdf#page=4","Abrir facsímil")</f>
        <v>Abrir facsímil</v>
      </c>
      <c r="K15269" s="12" t="s">
        <v>65</v>
      </c>
    </row>
    <row r="15270" spans="1:11" ht="40.049999999999997" customHeight="1" x14ac:dyDescent="0.25">
      <c r="A15270" s="11" t="s">
        <v>29965</v>
      </c>
      <c r="B15270" s="11" t="s">
        <v>29966</v>
      </c>
      <c r="C15270" s="11" t="s">
        <v>101</v>
      </c>
      <c r="D15270" s="11" t="s">
        <v>43</v>
      </c>
      <c r="E15270" s="12" t="s">
        <v>720</v>
      </c>
      <c r="F15270" s="12" t="s">
        <v>721</v>
      </c>
      <c r="G15270" s="12" t="s">
        <v>40</v>
      </c>
      <c r="H15270" s="11" t="s">
        <v>63</v>
      </c>
      <c r="I15270" s="13" t="s">
        <v>29979</v>
      </c>
      <c r="J15270" s="14" t="str">
        <f>HYPERLINK("https://www.boe.es/gazeta/dias/1839/01/14/pdfs/GMD-1839-1521.pdf#page=2","Abrir facsímil")</f>
        <v>Abrir facsímil</v>
      </c>
      <c r="K15270" s="12" t="s">
        <v>65</v>
      </c>
    </row>
    <row r="15271" spans="1:11" ht="40.049999999999997" customHeight="1" x14ac:dyDescent="0.25">
      <c r="A15271" s="11" t="s">
        <v>29965</v>
      </c>
      <c r="B15271" s="11" t="s">
        <v>29966</v>
      </c>
      <c r="C15271" s="11" t="s">
        <v>17</v>
      </c>
      <c r="D15271" s="11" t="s">
        <v>18</v>
      </c>
      <c r="E15271" s="12" t="s">
        <v>185</v>
      </c>
      <c r="F15271" s="12" t="s">
        <v>186</v>
      </c>
      <c r="G15271" s="12" t="s">
        <v>29</v>
      </c>
      <c r="H15271" s="11" t="s">
        <v>63</v>
      </c>
      <c r="I15271" s="13" t="s">
        <v>29980</v>
      </c>
      <c r="J15271" s="14" t="str">
        <f>HYPERLINK("https://www.boe.es/gazeta/dias/1839/01/15/pdfs/GMD-1839-1522.pdf#page=1","Abrir facsímil")</f>
        <v>Abrir facsímil</v>
      </c>
      <c r="K15271" s="12" t="s">
        <v>65</v>
      </c>
    </row>
    <row r="15272" spans="1:11" ht="40.049999999999997" customHeight="1" x14ac:dyDescent="0.25">
      <c r="A15272" s="11" t="s">
        <v>29965</v>
      </c>
      <c r="B15272" s="11" t="s">
        <v>29966</v>
      </c>
      <c r="C15272" s="11" t="s">
        <v>17</v>
      </c>
      <c r="D15272" s="11" t="s">
        <v>18</v>
      </c>
      <c r="E15272" s="12" t="s">
        <v>230</v>
      </c>
      <c r="F15272" s="12" t="s">
        <v>231</v>
      </c>
      <c r="G15272" s="12" t="s">
        <v>46</v>
      </c>
      <c r="H15272" s="11" t="s">
        <v>63</v>
      </c>
      <c r="I15272" s="13" t="s">
        <v>29981</v>
      </c>
      <c r="J15272" s="14" t="str">
        <f>HYPERLINK("https://www.boe.es/gazeta/dias/1839/09/16/pdfs/GMD-1839-1769.pdf#page=3","Abrir facsímil")</f>
        <v>Abrir facsímil</v>
      </c>
      <c r="K15272" s="12" t="s">
        <v>65</v>
      </c>
    </row>
    <row r="15273" spans="1:11" ht="40.049999999999997" customHeight="1" x14ac:dyDescent="0.25">
      <c r="A15273" s="11" t="s">
        <v>29965</v>
      </c>
      <c r="B15273" s="11" t="s">
        <v>29966</v>
      </c>
      <c r="C15273" s="11" t="s">
        <v>17</v>
      </c>
      <c r="D15273" s="11" t="s">
        <v>18</v>
      </c>
      <c r="E15273" s="12" t="s">
        <v>1236</v>
      </c>
      <c r="F15273" s="12" t="s">
        <v>1237</v>
      </c>
      <c r="G15273" s="12" t="s">
        <v>40</v>
      </c>
      <c r="H15273" s="11" t="s">
        <v>63</v>
      </c>
      <c r="I15273" s="13" t="s">
        <v>29982</v>
      </c>
      <c r="J15273" s="14" t="str">
        <f>HYPERLINK("https://www.boe.es/gazeta/dias/1839/10/16/pdfs/GMD-1839-1802.pdf#page=2","Abrir facsímil")</f>
        <v>Abrir facsímil</v>
      </c>
      <c r="K15273" s="12" t="s">
        <v>65</v>
      </c>
    </row>
    <row r="15274" spans="1:11" ht="40.049999999999997" customHeight="1" x14ac:dyDescent="0.25">
      <c r="A15274" s="11" t="s">
        <v>29965</v>
      </c>
      <c r="B15274" s="11" t="s">
        <v>29966</v>
      </c>
      <c r="C15274" s="11" t="s">
        <v>101</v>
      </c>
      <c r="D15274" s="11" t="s">
        <v>43</v>
      </c>
      <c r="E15274" s="12" t="s">
        <v>1179</v>
      </c>
      <c r="F15274" s="12" t="s">
        <v>1180</v>
      </c>
      <c r="G15274" s="12" t="s">
        <v>46</v>
      </c>
      <c r="H15274" s="11" t="s">
        <v>63</v>
      </c>
      <c r="I15274" s="13" t="s">
        <v>29983</v>
      </c>
      <c r="J15274" s="14" t="str">
        <f>HYPERLINK("https://www.boe.es/gazeta/dias/1839/10/18/pdfs/GMD-1839-1804.pdf#page=3","Abrir facsímil")</f>
        <v>Abrir facsímil</v>
      </c>
      <c r="K15274" s="12" t="s">
        <v>65</v>
      </c>
    </row>
    <row r="15275" spans="1:11" ht="40.049999999999997" customHeight="1" x14ac:dyDescent="0.25">
      <c r="A15275" s="11" t="s">
        <v>29965</v>
      </c>
      <c r="B15275" s="11" t="s">
        <v>29966</v>
      </c>
      <c r="C15275" s="11" t="s">
        <v>101</v>
      </c>
      <c r="D15275" s="11" t="s">
        <v>43</v>
      </c>
      <c r="E15275" s="12" t="s">
        <v>1179</v>
      </c>
      <c r="F15275" s="12" t="s">
        <v>1180</v>
      </c>
      <c r="G15275" s="12" t="s">
        <v>566</v>
      </c>
      <c r="H15275" s="11" t="s">
        <v>63</v>
      </c>
      <c r="I15275" s="13" t="s">
        <v>29984</v>
      </c>
      <c r="J15275" s="14" t="str">
        <f>HYPERLINK("https://www.boe.es/gazeta/dias/1839/10/18/pdfs/GMD-1839-1804.pdf#page=5","Abrir facsímil")</f>
        <v>Abrir facsímil</v>
      </c>
      <c r="K15275" s="12" t="s">
        <v>65</v>
      </c>
    </row>
    <row r="15276" spans="1:11" ht="40.049999999999997" customHeight="1" x14ac:dyDescent="0.25">
      <c r="A15276" s="11" t="s">
        <v>29965</v>
      </c>
      <c r="B15276" s="11" t="s">
        <v>29966</v>
      </c>
      <c r="C15276" s="11" t="s">
        <v>17</v>
      </c>
      <c r="D15276" s="11" t="s">
        <v>18</v>
      </c>
      <c r="E15276" s="12" t="s">
        <v>2069</v>
      </c>
      <c r="F15276" s="12" t="s">
        <v>2070</v>
      </c>
      <c r="G15276" s="12" t="s">
        <v>21</v>
      </c>
      <c r="H15276" s="11" t="s">
        <v>63</v>
      </c>
      <c r="I15276" s="13" t="s">
        <v>29985</v>
      </c>
      <c r="J15276" s="14" t="str">
        <f>HYPERLINK("https://www.boe.es/gazeta/dias/1839/10/20/pdfs/GMD-1839-1806.pdf#page=4","Abrir facsímil")</f>
        <v>Abrir facsímil</v>
      </c>
      <c r="K15276" s="12" t="s">
        <v>65</v>
      </c>
    </row>
    <row r="15277" spans="1:11" ht="40.049999999999997" customHeight="1" x14ac:dyDescent="0.25">
      <c r="A15277" s="11" t="s">
        <v>29965</v>
      </c>
      <c r="B15277" s="11" t="s">
        <v>29966</v>
      </c>
      <c r="C15277" s="11" t="s">
        <v>17</v>
      </c>
      <c r="D15277" s="11" t="s">
        <v>18</v>
      </c>
      <c r="E15277" s="12" t="s">
        <v>2949</v>
      </c>
      <c r="F15277" s="12" t="s">
        <v>2950</v>
      </c>
      <c r="G15277" s="12" t="s">
        <v>21</v>
      </c>
      <c r="H15277" s="11" t="s">
        <v>63</v>
      </c>
      <c r="I15277" s="13" t="s">
        <v>29986</v>
      </c>
      <c r="J15277" s="14" t="str">
        <f>HYPERLINK("https://www.boe.es/gazeta/dias/1839/10/21/pdfs/GMD-1839-1807.pdf#page=4","Abrir facsímil")</f>
        <v>Abrir facsímil</v>
      </c>
      <c r="K15277" s="12" t="s">
        <v>65</v>
      </c>
    </row>
    <row r="15278" spans="1:11" ht="40.049999999999997" customHeight="1" x14ac:dyDescent="0.25">
      <c r="A15278" s="11" t="s">
        <v>29965</v>
      </c>
      <c r="B15278" s="11" t="s">
        <v>29966</v>
      </c>
      <c r="C15278" s="11" t="s">
        <v>17</v>
      </c>
      <c r="D15278" s="11" t="s">
        <v>18</v>
      </c>
      <c r="E15278" s="12" t="s">
        <v>650</v>
      </c>
      <c r="F15278" s="12" t="s">
        <v>651</v>
      </c>
      <c r="G15278" s="12" t="s">
        <v>21</v>
      </c>
      <c r="H15278" s="11" t="s">
        <v>63</v>
      </c>
      <c r="I15278" s="13" t="s">
        <v>29987</v>
      </c>
      <c r="J15278" s="14" t="str">
        <f>HYPERLINK("https://www.boe.es/gazeta/dias/1839/10/25/pdfs/GMD-1839-1811.pdf#page=4","Abrir facsímil")</f>
        <v>Abrir facsímil</v>
      </c>
      <c r="K15278" s="12" t="s">
        <v>65</v>
      </c>
    </row>
    <row r="15279" spans="1:11" ht="40.049999999999997" customHeight="1" x14ac:dyDescent="0.25">
      <c r="A15279" s="11" t="s">
        <v>29965</v>
      </c>
      <c r="B15279" s="11" t="s">
        <v>29966</v>
      </c>
      <c r="C15279" s="11" t="s">
        <v>101</v>
      </c>
      <c r="D15279" s="11" t="s">
        <v>43</v>
      </c>
      <c r="E15279" s="12" t="s">
        <v>1086</v>
      </c>
      <c r="F15279" s="12" t="s">
        <v>1087</v>
      </c>
      <c r="G15279" s="12" t="s">
        <v>21</v>
      </c>
      <c r="H15279" s="11" t="s">
        <v>63</v>
      </c>
      <c r="I15279" s="13" t="s">
        <v>29988</v>
      </c>
      <c r="J15279" s="14" t="str">
        <f>HYPERLINK("https://www.boe.es/gazeta/dias/1839/10/26/pdfs/GMD-1839-1812.pdf#page=4","Abrir facsímil")</f>
        <v>Abrir facsímil</v>
      </c>
      <c r="K15279" s="12" t="s">
        <v>65</v>
      </c>
    </row>
    <row r="15280" spans="1:11" ht="40.049999999999997" customHeight="1" x14ac:dyDescent="0.25">
      <c r="A15280" s="11" t="s">
        <v>29965</v>
      </c>
      <c r="B15280" s="11" t="s">
        <v>29966</v>
      </c>
      <c r="C15280" s="11" t="s">
        <v>80</v>
      </c>
      <c r="D15280" s="11" t="s">
        <v>18</v>
      </c>
      <c r="E15280" s="12" t="s">
        <v>571</v>
      </c>
      <c r="F15280" s="12" t="s">
        <v>572</v>
      </c>
      <c r="G15280" s="12" t="s">
        <v>46</v>
      </c>
      <c r="H15280" s="11" t="s">
        <v>63</v>
      </c>
      <c r="I15280" s="13" t="s">
        <v>29989</v>
      </c>
      <c r="J15280" s="14" t="str">
        <f>HYPERLINK("https://www.boe.es/gazeta/dias/1839/09/27/pdfs/GMD-1839-1783.pdf#page=3","Abrir facsímil")</f>
        <v>Abrir facsímil</v>
      </c>
      <c r="K15280" s="12" t="s">
        <v>65</v>
      </c>
    </row>
    <row r="15281" spans="1:11" ht="40.049999999999997" customHeight="1" x14ac:dyDescent="0.25">
      <c r="A15281" s="11" t="s">
        <v>29965</v>
      </c>
      <c r="B15281" s="11" t="s">
        <v>29966</v>
      </c>
      <c r="C15281" s="11" t="s">
        <v>137</v>
      </c>
      <c r="D15281" s="11" t="s">
        <v>18</v>
      </c>
      <c r="E15281" s="12" t="s">
        <v>862</v>
      </c>
      <c r="F15281" s="12" t="s">
        <v>863</v>
      </c>
      <c r="G15281" s="12" t="s">
        <v>566</v>
      </c>
      <c r="H15281" s="11" t="s">
        <v>63</v>
      </c>
      <c r="I15281" s="13" t="s">
        <v>29990</v>
      </c>
      <c r="J15281" s="14" t="str">
        <f>HYPERLINK("https://www.boe.es/gazeta/dias/1839/10/28/pdfs/GMD-1839-1814.pdf#page=5","Abrir facsímil")</f>
        <v>Abrir facsímil</v>
      </c>
      <c r="K15281" s="12" t="s">
        <v>65</v>
      </c>
    </row>
    <row r="15282" spans="1:11" ht="40.049999999999997" customHeight="1" x14ac:dyDescent="0.25">
      <c r="A15282" s="11" t="s">
        <v>29965</v>
      </c>
      <c r="B15282" s="11" t="s">
        <v>29966</v>
      </c>
      <c r="C15282" s="11" t="s">
        <v>137</v>
      </c>
      <c r="D15282" s="11" t="s">
        <v>18</v>
      </c>
      <c r="E15282" s="12" t="s">
        <v>1988</v>
      </c>
      <c r="F15282" s="12" t="s">
        <v>1989</v>
      </c>
      <c r="G15282" s="12" t="s">
        <v>21</v>
      </c>
      <c r="H15282" s="11" t="s">
        <v>63</v>
      </c>
      <c r="I15282" s="13" t="s">
        <v>29991</v>
      </c>
      <c r="J15282" s="14" t="str">
        <f>HYPERLINK("https://www.boe.es/gazeta/dias/1839/10/29/pdfs/GMD-1839-1815.pdf#page=4","Abrir facsímil")</f>
        <v>Abrir facsímil</v>
      </c>
      <c r="K15282" s="12" t="s">
        <v>65</v>
      </c>
    </row>
    <row r="15283" spans="1:11" ht="40.049999999999997" customHeight="1" x14ac:dyDescent="0.25">
      <c r="A15283" s="11" t="s">
        <v>29965</v>
      </c>
      <c r="B15283" s="11" t="s">
        <v>29966</v>
      </c>
      <c r="C15283" s="11" t="s">
        <v>17</v>
      </c>
      <c r="D15283" s="11" t="s">
        <v>18</v>
      </c>
      <c r="E15283" s="12" t="s">
        <v>1867</v>
      </c>
      <c r="F15283" s="12" t="s">
        <v>1868</v>
      </c>
      <c r="G15283" s="12" t="s">
        <v>29</v>
      </c>
      <c r="H15283" s="11" t="s">
        <v>63</v>
      </c>
      <c r="I15283" s="13" t="s">
        <v>29992</v>
      </c>
      <c r="J15283" s="14" t="str">
        <f>HYPERLINK("https://www.boe.es/gazeta/dias/1839/01/30/pdfs/GMD-1839-1537.pdf#page=1","Abrir facsímil")</f>
        <v>Abrir facsímil</v>
      </c>
      <c r="K15283" s="12" t="s">
        <v>65</v>
      </c>
    </row>
    <row r="15284" spans="1:11" ht="40.049999999999997" customHeight="1" x14ac:dyDescent="0.25">
      <c r="A15284" s="11" t="s">
        <v>29965</v>
      </c>
      <c r="B15284" s="11" t="s">
        <v>29966</v>
      </c>
      <c r="C15284" s="11" t="s">
        <v>101</v>
      </c>
      <c r="D15284" s="11" t="s">
        <v>43</v>
      </c>
      <c r="E15284" s="12" t="s">
        <v>653</v>
      </c>
      <c r="F15284" s="12" t="s">
        <v>654</v>
      </c>
      <c r="G15284" s="12" t="s">
        <v>29</v>
      </c>
      <c r="H15284" s="11" t="s">
        <v>63</v>
      </c>
      <c r="I15284" s="13" t="s">
        <v>29993</v>
      </c>
      <c r="J15284" s="14" t="str">
        <f>HYPERLINK("https://www.boe.es/gazeta/dias/1839/10/31/pdfs/GMD-1839-1817.pdf#page=1","Abrir facsímil")</f>
        <v>Abrir facsímil</v>
      </c>
      <c r="K15284" s="12" t="s">
        <v>65</v>
      </c>
    </row>
    <row r="15285" spans="1:11" ht="40.049999999999997" customHeight="1" x14ac:dyDescent="0.25">
      <c r="A15285" s="11" t="s">
        <v>29965</v>
      </c>
      <c r="B15285" s="11" t="s">
        <v>29966</v>
      </c>
      <c r="C15285" s="11" t="s">
        <v>137</v>
      </c>
      <c r="D15285" s="11" t="s">
        <v>18</v>
      </c>
      <c r="E15285" s="12" t="s">
        <v>653</v>
      </c>
      <c r="F15285" s="12" t="s">
        <v>654</v>
      </c>
      <c r="G15285" s="12" t="s">
        <v>46</v>
      </c>
      <c r="H15285" s="11" t="s">
        <v>63</v>
      </c>
      <c r="I15285" s="13" t="s">
        <v>29994</v>
      </c>
      <c r="J15285" s="14" t="str">
        <f>HYPERLINK("https://www.boe.es/gazeta/dias/1839/10/31/pdfs/GMD-1839-1817.pdf#page=3","Abrir facsímil")</f>
        <v>Abrir facsímil</v>
      </c>
      <c r="K15285" s="12" t="s">
        <v>65</v>
      </c>
    </row>
    <row r="15286" spans="1:11" ht="40.049999999999997" customHeight="1" x14ac:dyDescent="0.25">
      <c r="A15286" s="11" t="s">
        <v>29995</v>
      </c>
      <c r="B15286" s="11" t="s">
        <v>29996</v>
      </c>
      <c r="C15286" s="11" t="s">
        <v>137</v>
      </c>
      <c r="D15286" s="11" t="s">
        <v>18</v>
      </c>
      <c r="E15286" s="12" t="s">
        <v>369</v>
      </c>
      <c r="F15286" s="12" t="s">
        <v>370</v>
      </c>
      <c r="G15286" s="12" t="s">
        <v>40</v>
      </c>
      <c r="H15286" s="11" t="s">
        <v>63</v>
      </c>
      <c r="I15286" s="13" t="s">
        <v>29997</v>
      </c>
      <c r="J15286" s="14" t="str">
        <f>HYPERLINK("https://www.boe.es/gazeta/dias/1839/11/01/pdfs/GMD-1839-1818.pdf#page=2","Abrir facsímil")</f>
        <v>Abrir facsímil</v>
      </c>
      <c r="K15286" s="12" t="s">
        <v>65</v>
      </c>
    </row>
    <row r="15287" spans="1:11" ht="40.049999999999997" customHeight="1" x14ac:dyDescent="0.25">
      <c r="A15287" s="11" t="s">
        <v>29995</v>
      </c>
      <c r="B15287" s="11" t="s">
        <v>29996</v>
      </c>
      <c r="C15287" s="11" t="s">
        <v>17</v>
      </c>
      <c r="D15287" s="11" t="s">
        <v>18</v>
      </c>
      <c r="E15287" s="12" t="s">
        <v>2440</v>
      </c>
      <c r="F15287" s="12" t="s">
        <v>2441</v>
      </c>
      <c r="G15287" s="12" t="s">
        <v>29</v>
      </c>
      <c r="H15287" s="11" t="s">
        <v>63</v>
      </c>
      <c r="I15287" s="13" t="s">
        <v>29998</v>
      </c>
      <c r="J15287" s="14" t="str">
        <f>HYPERLINK("https://www.boe.es/gazeta/dias/1839/12/01/pdfs/GMD-1839-1848.pdf#page=1","Abrir facsímil")</f>
        <v>Abrir facsímil</v>
      </c>
      <c r="K15287" s="12" t="s">
        <v>65</v>
      </c>
    </row>
    <row r="15288" spans="1:11" ht="40.049999999999997" customHeight="1" x14ac:dyDescent="0.25">
      <c r="A15288" s="11" t="s">
        <v>29995</v>
      </c>
      <c r="B15288" s="11" t="s">
        <v>29996</v>
      </c>
      <c r="C15288" s="11" t="s">
        <v>17</v>
      </c>
      <c r="D15288" s="11" t="s">
        <v>18</v>
      </c>
      <c r="E15288" s="12" t="s">
        <v>2138</v>
      </c>
      <c r="F15288" s="12" t="s">
        <v>2139</v>
      </c>
      <c r="G15288" s="12" t="s">
        <v>46</v>
      </c>
      <c r="H15288" s="11" t="s">
        <v>63</v>
      </c>
      <c r="I15288" s="13" t="s">
        <v>29999</v>
      </c>
      <c r="J15288" s="14" t="str">
        <f>HYPERLINK("https://www.boe.es/gazeta/dias/1839/10/02/pdfs/GMD-1839-1788.pdf#page=3","Abrir facsímil")</f>
        <v>Abrir facsímil</v>
      </c>
      <c r="K15288" s="12" t="s">
        <v>65</v>
      </c>
    </row>
    <row r="15289" spans="1:11" ht="40.049999999999997" customHeight="1" x14ac:dyDescent="0.25">
      <c r="A15289" s="11" t="s">
        <v>29995</v>
      </c>
      <c r="B15289" s="11" t="s">
        <v>29996</v>
      </c>
      <c r="C15289" s="11" t="s">
        <v>101</v>
      </c>
      <c r="D15289" s="11" t="s">
        <v>43</v>
      </c>
      <c r="E15289" s="12" t="s">
        <v>54</v>
      </c>
      <c r="F15289" s="12" t="s">
        <v>55</v>
      </c>
      <c r="G15289" s="12" t="s">
        <v>566</v>
      </c>
      <c r="H15289" s="11" t="s">
        <v>63</v>
      </c>
      <c r="I15289" s="13" t="s">
        <v>30000</v>
      </c>
      <c r="J15289" s="14" t="str">
        <f>HYPERLINK("https://www.boe.es/gazeta/dias/1839/10/05/pdfs/GMD-1839-1791.pdf#page=5","Abrir facsímil")</f>
        <v>Abrir facsímil</v>
      </c>
      <c r="K15289" s="12" t="s">
        <v>65</v>
      </c>
    </row>
    <row r="15290" spans="1:11" ht="40.049999999999997" customHeight="1" x14ac:dyDescent="0.25">
      <c r="A15290" s="11" t="s">
        <v>29995</v>
      </c>
      <c r="B15290" s="11" t="s">
        <v>29996</v>
      </c>
      <c r="C15290" s="11" t="s">
        <v>17</v>
      </c>
      <c r="D15290" s="11" t="s">
        <v>18</v>
      </c>
      <c r="E15290" s="12" t="s">
        <v>647</v>
      </c>
      <c r="F15290" s="12" t="s">
        <v>648</v>
      </c>
      <c r="G15290" s="12" t="s">
        <v>21</v>
      </c>
      <c r="H15290" s="11" t="s">
        <v>63</v>
      </c>
      <c r="I15290" s="13" t="s">
        <v>30001</v>
      </c>
      <c r="J15290" s="14" t="str">
        <f>HYPERLINK("https://www.boe.es/gazeta/dias/1839/10/08/pdfs/GMD-1839-1794.pdf#page=4","Abrir facsímil")</f>
        <v>Abrir facsímil</v>
      </c>
      <c r="K15290" s="12" t="s">
        <v>65</v>
      </c>
    </row>
    <row r="15291" spans="1:11" ht="40.049999999999997" customHeight="1" x14ac:dyDescent="0.25">
      <c r="A15291" s="11" t="s">
        <v>29995</v>
      </c>
      <c r="B15291" s="11" t="s">
        <v>29996</v>
      </c>
      <c r="C15291" s="11" t="s">
        <v>17</v>
      </c>
      <c r="D15291" s="11" t="s">
        <v>18</v>
      </c>
      <c r="E15291" s="12" t="s">
        <v>185</v>
      </c>
      <c r="F15291" s="12" t="s">
        <v>186</v>
      </c>
      <c r="G15291" s="12" t="s">
        <v>29</v>
      </c>
      <c r="H15291" s="11" t="s">
        <v>63</v>
      </c>
      <c r="I15291" s="13" t="s">
        <v>30002</v>
      </c>
      <c r="J15291" s="14" t="str">
        <f>HYPERLINK("https://www.boe.es/gazeta/dias/1839/01/15/pdfs/GMD-1839-1522.pdf#page=1","Abrir facsímil")</f>
        <v>Abrir facsímil</v>
      </c>
      <c r="K15291" s="12" t="s">
        <v>65</v>
      </c>
    </row>
    <row r="15292" spans="1:11" ht="40.049999999999997" customHeight="1" x14ac:dyDescent="0.25">
      <c r="A15292" s="11" t="s">
        <v>29995</v>
      </c>
      <c r="B15292" s="11" t="s">
        <v>29996</v>
      </c>
      <c r="C15292" s="11" t="s">
        <v>17</v>
      </c>
      <c r="D15292" s="11" t="s">
        <v>18</v>
      </c>
      <c r="E15292" s="12" t="s">
        <v>1236</v>
      </c>
      <c r="F15292" s="12" t="s">
        <v>1237</v>
      </c>
      <c r="G15292" s="12" t="s">
        <v>40</v>
      </c>
      <c r="H15292" s="11" t="s">
        <v>63</v>
      </c>
      <c r="I15292" s="13" t="s">
        <v>30003</v>
      </c>
      <c r="J15292" s="14" t="str">
        <f>HYPERLINK("https://www.boe.es/gazeta/dias/1839/10/16/pdfs/GMD-1839-1802.pdf#page=2","Abrir facsímil")</f>
        <v>Abrir facsímil</v>
      </c>
      <c r="K15292" s="12" t="s">
        <v>65</v>
      </c>
    </row>
    <row r="15293" spans="1:11" ht="40.049999999999997" customHeight="1" x14ac:dyDescent="0.25">
      <c r="A15293" s="11" t="s">
        <v>29995</v>
      </c>
      <c r="B15293" s="11" t="s">
        <v>29996</v>
      </c>
      <c r="C15293" s="11" t="s">
        <v>101</v>
      </c>
      <c r="D15293" s="11" t="s">
        <v>43</v>
      </c>
      <c r="E15293" s="12" t="s">
        <v>1179</v>
      </c>
      <c r="F15293" s="12" t="s">
        <v>1180</v>
      </c>
      <c r="G15293" s="12" t="s">
        <v>46</v>
      </c>
      <c r="H15293" s="11" t="s">
        <v>63</v>
      </c>
      <c r="I15293" s="13" t="s">
        <v>30004</v>
      </c>
      <c r="J15293" s="14" t="str">
        <f>HYPERLINK("https://www.boe.es/gazeta/dias/1839/10/18/pdfs/GMD-1839-1804.pdf#page=3","Abrir facsímil")</f>
        <v>Abrir facsímil</v>
      </c>
      <c r="K15293" s="12" t="s">
        <v>65</v>
      </c>
    </row>
    <row r="15294" spans="1:11" ht="40.049999999999997" customHeight="1" x14ac:dyDescent="0.25">
      <c r="A15294" s="11" t="s">
        <v>29995</v>
      </c>
      <c r="B15294" s="11" t="s">
        <v>29996</v>
      </c>
      <c r="C15294" s="11" t="s">
        <v>17</v>
      </c>
      <c r="D15294" s="11" t="s">
        <v>18</v>
      </c>
      <c r="E15294" s="12" t="s">
        <v>2069</v>
      </c>
      <c r="F15294" s="12" t="s">
        <v>2070</v>
      </c>
      <c r="G15294" s="12" t="s">
        <v>21</v>
      </c>
      <c r="H15294" s="11" t="s">
        <v>63</v>
      </c>
      <c r="I15294" s="13" t="s">
        <v>30005</v>
      </c>
      <c r="J15294" s="14" t="str">
        <f>HYPERLINK("https://www.boe.es/gazeta/dias/1839/10/20/pdfs/GMD-1839-1806.pdf#page=4","Abrir facsímil")</f>
        <v>Abrir facsímil</v>
      </c>
      <c r="K15294" s="12" t="s">
        <v>65</v>
      </c>
    </row>
    <row r="15295" spans="1:11" ht="40.049999999999997" customHeight="1" x14ac:dyDescent="0.25">
      <c r="A15295" s="11" t="s">
        <v>29995</v>
      </c>
      <c r="B15295" s="11" t="s">
        <v>29996</v>
      </c>
      <c r="C15295" s="11" t="s">
        <v>17</v>
      </c>
      <c r="D15295" s="11" t="s">
        <v>18</v>
      </c>
      <c r="E15295" s="12" t="s">
        <v>2949</v>
      </c>
      <c r="F15295" s="12" t="s">
        <v>2950</v>
      </c>
      <c r="G15295" s="12" t="s">
        <v>21</v>
      </c>
      <c r="H15295" s="11" t="s">
        <v>63</v>
      </c>
      <c r="I15295" s="13" t="s">
        <v>30006</v>
      </c>
      <c r="J15295" s="14" t="str">
        <f>HYPERLINK("https://www.boe.es/gazeta/dias/1839/10/21/pdfs/GMD-1839-1807.pdf#page=4","Abrir facsímil")</f>
        <v>Abrir facsímil</v>
      </c>
      <c r="K15295" s="12" t="s">
        <v>65</v>
      </c>
    </row>
    <row r="15296" spans="1:11" ht="40.049999999999997" customHeight="1" x14ac:dyDescent="0.25">
      <c r="A15296" s="11" t="s">
        <v>29995</v>
      </c>
      <c r="B15296" s="11" t="s">
        <v>29996</v>
      </c>
      <c r="C15296" s="11" t="s">
        <v>17</v>
      </c>
      <c r="D15296" s="11" t="s">
        <v>18</v>
      </c>
      <c r="E15296" s="12" t="s">
        <v>650</v>
      </c>
      <c r="F15296" s="12" t="s">
        <v>651</v>
      </c>
      <c r="G15296" s="12" t="s">
        <v>21</v>
      </c>
      <c r="H15296" s="11" t="s">
        <v>63</v>
      </c>
      <c r="I15296" s="13" t="s">
        <v>30007</v>
      </c>
      <c r="J15296" s="14" t="str">
        <f>HYPERLINK("https://www.boe.es/gazeta/dias/1839/10/25/pdfs/GMD-1839-1811.pdf#page=4","Abrir facsímil")</f>
        <v>Abrir facsímil</v>
      </c>
      <c r="K15296" s="12" t="s">
        <v>65</v>
      </c>
    </row>
    <row r="15297" spans="1:11" ht="40.049999999999997" customHeight="1" x14ac:dyDescent="0.25">
      <c r="A15297" s="11" t="s">
        <v>29995</v>
      </c>
      <c r="B15297" s="11" t="s">
        <v>29996</v>
      </c>
      <c r="C15297" s="11" t="s">
        <v>101</v>
      </c>
      <c r="D15297" s="11" t="s">
        <v>43</v>
      </c>
      <c r="E15297" s="12" t="s">
        <v>1086</v>
      </c>
      <c r="F15297" s="12" t="s">
        <v>1087</v>
      </c>
      <c r="G15297" s="12" t="s">
        <v>21</v>
      </c>
      <c r="H15297" s="11" t="s">
        <v>63</v>
      </c>
      <c r="I15297" s="13" t="s">
        <v>30008</v>
      </c>
      <c r="J15297" s="14" t="str">
        <f>HYPERLINK("https://www.boe.es/gazeta/dias/1839/10/26/pdfs/GMD-1839-1812.pdf#page=4","Abrir facsímil")</f>
        <v>Abrir facsímil</v>
      </c>
      <c r="K15297" s="12" t="s">
        <v>65</v>
      </c>
    </row>
    <row r="15298" spans="1:11" ht="40.049999999999997" customHeight="1" x14ac:dyDescent="0.25">
      <c r="A15298" s="11" t="s">
        <v>29995</v>
      </c>
      <c r="B15298" s="11" t="s">
        <v>29996</v>
      </c>
      <c r="C15298" s="11" t="s">
        <v>80</v>
      </c>
      <c r="D15298" s="11" t="s">
        <v>18</v>
      </c>
      <c r="E15298" s="12" t="s">
        <v>571</v>
      </c>
      <c r="F15298" s="12" t="s">
        <v>572</v>
      </c>
      <c r="G15298" s="12" t="s">
        <v>46</v>
      </c>
      <c r="H15298" s="11" t="s">
        <v>63</v>
      </c>
      <c r="I15298" s="13" t="s">
        <v>30009</v>
      </c>
      <c r="J15298" s="14" t="str">
        <f>HYPERLINK("https://www.boe.es/gazeta/dias/1839/09/27/pdfs/GMD-1839-1783.pdf#page=3","Abrir facsímil")</f>
        <v>Abrir facsímil</v>
      </c>
      <c r="K15298" s="12" t="s">
        <v>65</v>
      </c>
    </row>
    <row r="15299" spans="1:11" ht="40.049999999999997" customHeight="1" x14ac:dyDescent="0.25">
      <c r="A15299" s="11" t="s">
        <v>29995</v>
      </c>
      <c r="B15299" s="11" t="s">
        <v>29996</v>
      </c>
      <c r="C15299" s="11" t="s">
        <v>137</v>
      </c>
      <c r="D15299" s="11" t="s">
        <v>18</v>
      </c>
      <c r="E15299" s="12" t="s">
        <v>862</v>
      </c>
      <c r="F15299" s="12" t="s">
        <v>863</v>
      </c>
      <c r="G15299" s="12" t="s">
        <v>566</v>
      </c>
      <c r="H15299" s="11" t="s">
        <v>63</v>
      </c>
      <c r="I15299" s="13" t="s">
        <v>30010</v>
      </c>
      <c r="J15299" s="14" t="str">
        <f>HYPERLINK("https://www.boe.es/gazeta/dias/1839/10/28/pdfs/GMD-1839-1814.pdf#page=5","Abrir facsímil")</f>
        <v>Abrir facsímil</v>
      </c>
      <c r="K15299" s="12" t="s">
        <v>65</v>
      </c>
    </row>
    <row r="15300" spans="1:11" ht="40.049999999999997" customHeight="1" x14ac:dyDescent="0.25">
      <c r="A15300" s="11" t="s">
        <v>29995</v>
      </c>
      <c r="B15300" s="11" t="s">
        <v>29996</v>
      </c>
      <c r="C15300" s="11" t="s">
        <v>137</v>
      </c>
      <c r="D15300" s="11" t="s">
        <v>18</v>
      </c>
      <c r="E15300" s="12" t="s">
        <v>1988</v>
      </c>
      <c r="F15300" s="12" t="s">
        <v>1989</v>
      </c>
      <c r="G15300" s="12" t="s">
        <v>21</v>
      </c>
      <c r="H15300" s="11" t="s">
        <v>63</v>
      </c>
      <c r="I15300" s="13" t="s">
        <v>30011</v>
      </c>
      <c r="J15300" s="14" t="str">
        <f>HYPERLINK("https://www.boe.es/gazeta/dias/1839/10/29/pdfs/GMD-1839-1815.pdf#page=4","Abrir facsímil")</f>
        <v>Abrir facsímil</v>
      </c>
      <c r="K15300" s="12" t="s">
        <v>65</v>
      </c>
    </row>
    <row r="15301" spans="1:11" ht="40.049999999999997" customHeight="1" x14ac:dyDescent="0.25">
      <c r="A15301" s="11" t="s">
        <v>29995</v>
      </c>
      <c r="B15301" s="11" t="s">
        <v>29996</v>
      </c>
      <c r="C15301" s="11" t="s">
        <v>17</v>
      </c>
      <c r="D15301" s="11" t="s">
        <v>18</v>
      </c>
      <c r="E15301" s="12" t="s">
        <v>1867</v>
      </c>
      <c r="F15301" s="12" t="s">
        <v>1868</v>
      </c>
      <c r="G15301" s="12" t="s">
        <v>29</v>
      </c>
      <c r="H15301" s="11" t="s">
        <v>63</v>
      </c>
      <c r="I15301" s="13" t="s">
        <v>30012</v>
      </c>
      <c r="J15301" s="14" t="str">
        <f>HYPERLINK("https://www.boe.es/gazeta/dias/1839/01/30/pdfs/GMD-1839-1537.pdf#page=1","Abrir facsímil")</f>
        <v>Abrir facsímil</v>
      </c>
      <c r="K15301" s="12" t="s">
        <v>65</v>
      </c>
    </row>
    <row r="15302" spans="1:11" ht="40.049999999999997" customHeight="1" x14ac:dyDescent="0.25">
      <c r="A15302" s="11" t="s">
        <v>29995</v>
      </c>
      <c r="B15302" s="11" t="s">
        <v>29996</v>
      </c>
      <c r="C15302" s="11" t="s">
        <v>101</v>
      </c>
      <c r="D15302" s="11" t="s">
        <v>43</v>
      </c>
      <c r="E15302" s="12" t="s">
        <v>653</v>
      </c>
      <c r="F15302" s="12" t="s">
        <v>654</v>
      </c>
      <c r="G15302" s="12" t="s">
        <v>29</v>
      </c>
      <c r="H15302" s="11" t="s">
        <v>63</v>
      </c>
      <c r="I15302" s="13" t="s">
        <v>30013</v>
      </c>
      <c r="J15302" s="14" t="str">
        <f>HYPERLINK("https://www.boe.es/gazeta/dias/1839/10/31/pdfs/GMD-1839-1817.pdf#page=1","Abrir facsímil")</f>
        <v>Abrir facsímil</v>
      </c>
      <c r="K15302" s="12" t="s">
        <v>65</v>
      </c>
    </row>
    <row r="15303" spans="1:11" ht="40.049999999999997" customHeight="1" x14ac:dyDescent="0.25">
      <c r="A15303" s="11" t="s">
        <v>29995</v>
      </c>
      <c r="B15303" s="11" t="s">
        <v>29996</v>
      </c>
      <c r="C15303" s="11" t="s">
        <v>137</v>
      </c>
      <c r="D15303" s="11" t="s">
        <v>18</v>
      </c>
      <c r="E15303" s="12" t="s">
        <v>653</v>
      </c>
      <c r="F15303" s="12" t="s">
        <v>654</v>
      </c>
      <c r="G15303" s="12" t="s">
        <v>46</v>
      </c>
      <c r="H15303" s="11" t="s">
        <v>63</v>
      </c>
      <c r="I15303" s="13" t="s">
        <v>30014</v>
      </c>
      <c r="J15303" s="14" t="str">
        <f>HYPERLINK("https://www.boe.es/gazeta/dias/1839/10/31/pdfs/GMD-1839-1817.pdf#page=3","Abrir facsímil")</f>
        <v>Abrir facsímil</v>
      </c>
      <c r="K15303" s="12" t="s">
        <v>65</v>
      </c>
    </row>
    <row r="15304" spans="1:11" ht="40.049999999999997" customHeight="1" x14ac:dyDescent="0.25">
      <c r="A15304" s="11" t="s">
        <v>30015</v>
      </c>
      <c r="B15304" s="11" t="s">
        <v>30016</v>
      </c>
      <c r="C15304" s="11" t="s">
        <v>137</v>
      </c>
      <c r="D15304" s="11" t="s">
        <v>18</v>
      </c>
      <c r="E15304" s="12" t="s">
        <v>1086</v>
      </c>
      <c r="F15304" s="12" t="s">
        <v>1087</v>
      </c>
      <c r="G15304" s="12" t="s">
        <v>40</v>
      </c>
      <c r="H15304" s="11" t="s">
        <v>63</v>
      </c>
      <c r="I15304" s="13" t="s">
        <v>30017</v>
      </c>
      <c r="J15304" s="14" t="str">
        <f>HYPERLINK("https://www.boe.es/gazeta/dias/1839/10/26/pdfs/GMD-1839-1812.pdf#page=2","Abrir facsímil")</f>
        <v>Abrir facsímil</v>
      </c>
      <c r="K15304" s="12" t="s">
        <v>65</v>
      </c>
    </row>
    <row r="15305" spans="1:11" ht="40.049999999999997" customHeight="1" x14ac:dyDescent="0.25">
      <c r="A15305" s="11" t="s">
        <v>30018</v>
      </c>
      <c r="B15305" s="11" t="s">
        <v>30019</v>
      </c>
      <c r="C15305" s="11" t="s">
        <v>80</v>
      </c>
      <c r="D15305" s="11" t="s">
        <v>18</v>
      </c>
      <c r="E15305" s="12" t="s">
        <v>269</v>
      </c>
      <c r="F15305" s="12" t="s">
        <v>270</v>
      </c>
      <c r="G15305" s="12" t="s">
        <v>40</v>
      </c>
      <c r="H15305" s="11" t="s">
        <v>63</v>
      </c>
      <c r="I15305" s="13" t="s">
        <v>30020</v>
      </c>
      <c r="J15305" s="14" t="str">
        <f>HYPERLINK("https://www.boe.es/gazeta/dias/1839/02/10/pdfs/GMD-1839-1548.pdf#page=2","Abrir facsímil")</f>
        <v>Abrir facsímil</v>
      </c>
      <c r="K15305" s="12" t="s">
        <v>65</v>
      </c>
    </row>
    <row r="15306" spans="1:11" ht="40.049999999999997" customHeight="1" x14ac:dyDescent="0.25">
      <c r="A15306" s="11" t="s">
        <v>30021</v>
      </c>
      <c r="B15306" s="11" t="s">
        <v>30022</v>
      </c>
      <c r="C15306" s="11" t="s">
        <v>17</v>
      </c>
      <c r="D15306" s="11" t="s">
        <v>18</v>
      </c>
      <c r="E15306" s="12" t="s">
        <v>946</v>
      </c>
      <c r="F15306" s="12" t="s">
        <v>947</v>
      </c>
      <c r="G15306" s="12" t="s">
        <v>40</v>
      </c>
      <c r="H15306" s="11" t="s">
        <v>63</v>
      </c>
      <c r="I15306" s="13" t="s">
        <v>30023</v>
      </c>
      <c r="J15306" s="14" t="str">
        <f>HYPERLINK("https://www.boe.es/gazeta/dias/1839/04/15/pdfs/GMD-1839-1612.pdf#page=2","Abrir facsímil")</f>
        <v>Abrir facsímil</v>
      </c>
      <c r="K15306" s="12" t="s">
        <v>65</v>
      </c>
    </row>
    <row r="15307" spans="1:11" ht="40.049999999999997" customHeight="1" x14ac:dyDescent="0.25">
      <c r="A15307" s="11" t="s">
        <v>30024</v>
      </c>
      <c r="B15307" s="11" t="s">
        <v>30025</v>
      </c>
      <c r="C15307" s="11" t="s">
        <v>101</v>
      </c>
      <c r="D15307" s="11" t="s">
        <v>43</v>
      </c>
      <c r="E15307" s="12" t="s">
        <v>643</v>
      </c>
      <c r="F15307" s="12" t="s">
        <v>644</v>
      </c>
      <c r="G15307" s="12" t="s">
        <v>40</v>
      </c>
      <c r="H15307" s="11" t="s">
        <v>63</v>
      </c>
      <c r="I15307" s="13" t="s">
        <v>30026</v>
      </c>
      <c r="J15307" s="14" t="str">
        <f>HYPERLINK("https://www.boe.es/gazeta/dias/1839/03/20/pdfs/GMD-1839-1586.pdf#page=2","Abrir facsímil")</f>
        <v>Abrir facsímil</v>
      </c>
      <c r="K15307" s="12" t="s">
        <v>65</v>
      </c>
    </row>
    <row r="15308" spans="1:11" ht="40.049999999999997" customHeight="1" x14ac:dyDescent="0.25">
      <c r="A15308" s="11" t="s">
        <v>30027</v>
      </c>
      <c r="B15308" s="11" t="s">
        <v>30028</v>
      </c>
      <c r="C15308" s="11" t="s">
        <v>17</v>
      </c>
      <c r="D15308" s="11" t="s">
        <v>18</v>
      </c>
      <c r="E15308" s="12" t="s">
        <v>756</v>
      </c>
      <c r="F15308" s="12" t="s">
        <v>757</v>
      </c>
      <c r="G15308" s="12" t="s">
        <v>29</v>
      </c>
      <c r="H15308" s="11" t="s">
        <v>63</v>
      </c>
      <c r="I15308" s="13" t="s">
        <v>30029</v>
      </c>
      <c r="J15308" s="14" t="str">
        <f>HYPERLINK("https://www.boe.es/gazeta/dias/1839/12/17/pdfs/GMD-1839-1864.pdf#page=1","Abrir facsímil")</f>
        <v>Abrir facsímil</v>
      </c>
      <c r="K15308" s="12" t="s">
        <v>65</v>
      </c>
    </row>
    <row r="15309" spans="1:11" ht="40.049999999999997" customHeight="1" x14ac:dyDescent="0.25">
      <c r="A15309" s="11" t="s">
        <v>30030</v>
      </c>
      <c r="B15309" s="11" t="s">
        <v>30031</v>
      </c>
      <c r="C15309" s="11" t="s">
        <v>17</v>
      </c>
      <c r="D15309" s="11" t="s">
        <v>18</v>
      </c>
      <c r="E15309" s="12" t="s">
        <v>160</v>
      </c>
      <c r="F15309" s="12" t="s">
        <v>161</v>
      </c>
      <c r="G15309" s="12" t="s">
        <v>29</v>
      </c>
      <c r="H15309" s="11" t="s">
        <v>63</v>
      </c>
      <c r="I15309" s="13" t="s">
        <v>30032</v>
      </c>
      <c r="J15309" s="14" t="str">
        <f>HYPERLINK("https://www.boe.es/gazeta/dias/1839/01/10/pdfs/GMD-1839-1517.pdf#page=1","Abrir facsímil")</f>
        <v>Abrir facsímil</v>
      </c>
      <c r="K15309" s="12" t="s">
        <v>65</v>
      </c>
    </row>
    <row r="15310" spans="1:11" ht="40.049999999999997" customHeight="1" x14ac:dyDescent="0.25">
      <c r="A15310" s="11" t="s">
        <v>30033</v>
      </c>
      <c r="B15310" s="11" t="s">
        <v>30034</v>
      </c>
      <c r="C15310" s="11" t="s">
        <v>17</v>
      </c>
      <c r="D15310" s="11" t="s">
        <v>18</v>
      </c>
      <c r="E15310" s="12" t="s">
        <v>1079</v>
      </c>
      <c r="F15310" s="12" t="s">
        <v>1080</v>
      </c>
      <c r="G15310" s="12" t="s">
        <v>46</v>
      </c>
      <c r="H15310" s="11" t="s">
        <v>63</v>
      </c>
      <c r="I15310" s="13" t="s">
        <v>30035</v>
      </c>
      <c r="J15310" s="14" t="str">
        <f>HYPERLINK("https://www.boe.es/gazeta/dias/1839/05/24/pdfs/GMD-1839-1651.pdf#page=3","Abrir facsímil")</f>
        <v>Abrir facsímil</v>
      </c>
      <c r="K15310" s="12" t="s">
        <v>65</v>
      </c>
    </row>
    <row r="15311" spans="1:11" ht="40.049999999999997" customHeight="1" x14ac:dyDescent="0.25">
      <c r="A15311" s="11" t="s">
        <v>30036</v>
      </c>
      <c r="B15311" s="11" t="s">
        <v>30037</v>
      </c>
      <c r="C15311" s="11" t="s">
        <v>17</v>
      </c>
      <c r="D15311" s="11" t="s">
        <v>18</v>
      </c>
      <c r="E15311" s="12" t="s">
        <v>632</v>
      </c>
      <c r="F15311" s="12" t="s">
        <v>633</v>
      </c>
      <c r="G15311" s="12" t="s">
        <v>40</v>
      </c>
      <c r="H15311" s="11" t="s">
        <v>63</v>
      </c>
      <c r="I15311" s="13" t="s">
        <v>30038</v>
      </c>
      <c r="J15311" s="14" t="str">
        <f>HYPERLINK("https://www.boe.es/gazeta/dias/1839/04/06/pdfs/GMD-1839-1603.pdf#page=2","Abrir facsímil")</f>
        <v>Abrir facsímil</v>
      </c>
      <c r="K15311" s="12" t="s">
        <v>65</v>
      </c>
    </row>
    <row r="15312" spans="1:11" ht="40.049999999999997" customHeight="1" x14ac:dyDescent="0.25">
      <c r="A15312" s="11" t="s">
        <v>30039</v>
      </c>
      <c r="B15312" s="11" t="s">
        <v>30040</v>
      </c>
      <c r="C15312" s="11" t="s">
        <v>137</v>
      </c>
      <c r="D15312" s="11" t="s">
        <v>18</v>
      </c>
      <c r="E15312" s="12" t="s">
        <v>862</v>
      </c>
      <c r="F15312" s="12" t="s">
        <v>863</v>
      </c>
      <c r="G15312" s="12" t="s">
        <v>305</v>
      </c>
      <c r="H15312" s="11" t="s">
        <v>22</v>
      </c>
      <c r="I15312" s="13" t="s">
        <v>30041</v>
      </c>
      <c r="J15312" s="14" t="str">
        <f>HYPERLINK("https://www.boe.es/gazeta/dias/1839/10/28/pdfs/GMD-1839-1814.pdf#page=6","Abrir facsímil")</f>
        <v>Abrir facsímil</v>
      </c>
      <c r="K15312" s="12" t="s">
        <v>24</v>
      </c>
    </row>
    <row r="15313" spans="1:11" ht="40.049999999999997" customHeight="1" x14ac:dyDescent="0.25">
      <c r="A15313" s="11" t="s">
        <v>30042</v>
      </c>
      <c r="B15313" s="11" t="s">
        <v>30043</v>
      </c>
      <c r="C15313" s="11" t="s">
        <v>101</v>
      </c>
      <c r="D15313" s="11" t="s">
        <v>43</v>
      </c>
      <c r="E15313" s="12" t="s">
        <v>254</v>
      </c>
      <c r="F15313" s="12" t="s">
        <v>255</v>
      </c>
      <c r="G15313" s="12" t="s">
        <v>46</v>
      </c>
      <c r="H15313" s="11" t="s">
        <v>63</v>
      </c>
      <c r="I15313" s="13" t="s">
        <v>30044</v>
      </c>
      <c r="J15313" s="14" t="str">
        <f>HYPERLINK("https://www.boe.es/gazeta/dias/1839/09/12/pdfs/GMD-1839-1765.pdf#page=3","Abrir facsímil")</f>
        <v>Abrir facsímil</v>
      </c>
      <c r="K15313" s="12" t="s">
        <v>65</v>
      </c>
    </row>
    <row r="15314" spans="1:11" ht="40.049999999999997" customHeight="1" x14ac:dyDescent="0.25">
      <c r="A15314" s="11" t="s">
        <v>30045</v>
      </c>
      <c r="B15314" s="11" t="s">
        <v>30046</v>
      </c>
      <c r="C15314" s="11" t="s">
        <v>17</v>
      </c>
      <c r="D15314" s="11" t="s">
        <v>18</v>
      </c>
      <c r="E15314" s="12" t="s">
        <v>2378</v>
      </c>
      <c r="F15314" s="12" t="s">
        <v>2379</v>
      </c>
      <c r="G15314" s="12" t="s">
        <v>21</v>
      </c>
      <c r="H15314" s="11" t="s">
        <v>63</v>
      </c>
      <c r="I15314" s="13" t="s">
        <v>30047</v>
      </c>
      <c r="J15314" s="14" t="str">
        <f>HYPERLINK("https://www.boe.es/gazeta/dias/1839/06/20/pdfs/GMD-1839-1678.pdf#page=4","Abrir facsímil")</f>
        <v>Abrir facsímil</v>
      </c>
      <c r="K15314" s="12" t="s">
        <v>65</v>
      </c>
    </row>
    <row r="15315" spans="1:11" ht="40.049999999999997" customHeight="1" x14ac:dyDescent="0.25">
      <c r="A15315" s="11" t="s">
        <v>30045</v>
      </c>
      <c r="B15315" s="11" t="s">
        <v>30046</v>
      </c>
      <c r="C15315" s="11" t="s">
        <v>137</v>
      </c>
      <c r="D15315" s="11" t="s">
        <v>18</v>
      </c>
      <c r="E15315" s="12" t="s">
        <v>222</v>
      </c>
      <c r="F15315" s="12" t="s">
        <v>223</v>
      </c>
      <c r="G15315" s="12" t="s">
        <v>21</v>
      </c>
      <c r="H15315" s="11" t="s">
        <v>63</v>
      </c>
      <c r="I15315" s="13" t="s">
        <v>30048</v>
      </c>
      <c r="J15315" s="14" t="str">
        <f>HYPERLINK("https://www.boe.es/gazeta/dias/1839/06/22/pdfs/GMD-1839-1680.pdf#page=4","Abrir facsímil")</f>
        <v>Abrir facsímil</v>
      </c>
      <c r="K15315" s="12" t="s">
        <v>65</v>
      </c>
    </row>
    <row r="15316" spans="1:11" ht="40.049999999999997" customHeight="1" x14ac:dyDescent="0.25">
      <c r="A15316" s="11" t="s">
        <v>30049</v>
      </c>
      <c r="B15316" s="11" t="s">
        <v>30050</v>
      </c>
      <c r="C15316" s="11" t="s">
        <v>17</v>
      </c>
      <c r="D15316" s="11" t="s">
        <v>18</v>
      </c>
      <c r="E15316" s="12" t="s">
        <v>503</v>
      </c>
      <c r="F15316" s="12" t="s">
        <v>504</v>
      </c>
      <c r="G15316" s="12" t="s">
        <v>46</v>
      </c>
      <c r="H15316" s="11" t="s">
        <v>63</v>
      </c>
      <c r="I15316" s="13" t="s">
        <v>30051</v>
      </c>
      <c r="J15316" s="14" t="str">
        <f>HYPERLINK("https://www.boe.es/gazeta/dias/1839/06/07/pdfs/GMD-1839-1665.pdf#page=3","Abrir facsímil")</f>
        <v>Abrir facsímil</v>
      </c>
      <c r="K15316" s="12" t="s">
        <v>65</v>
      </c>
    </row>
    <row r="15317" spans="1:11" ht="40.049999999999997" customHeight="1" x14ac:dyDescent="0.25">
      <c r="A15317" s="11" t="s">
        <v>30052</v>
      </c>
      <c r="B15317" s="11" t="s">
        <v>30053</v>
      </c>
      <c r="C15317" s="11" t="s">
        <v>17</v>
      </c>
      <c r="D15317" s="11" t="s">
        <v>18</v>
      </c>
      <c r="E15317" s="12" t="s">
        <v>713</v>
      </c>
      <c r="F15317" s="12" t="s">
        <v>714</v>
      </c>
      <c r="G15317" s="12" t="s">
        <v>46</v>
      </c>
      <c r="H15317" s="11" t="s">
        <v>63</v>
      </c>
      <c r="I15317" s="13" t="s">
        <v>30054</v>
      </c>
      <c r="J15317" s="14" t="str">
        <f>HYPERLINK("https://www.boe.es/gazeta/dias/1839/12/18/pdfs/GMD-1839-1865.pdf#page=3","Abrir facsímil")</f>
        <v>Abrir facsímil</v>
      </c>
      <c r="K15317" s="12" t="s">
        <v>65</v>
      </c>
    </row>
    <row r="15318" spans="1:11" ht="40.049999999999997" customHeight="1" x14ac:dyDescent="0.25">
      <c r="A15318" s="11" t="s">
        <v>30055</v>
      </c>
      <c r="B15318" s="11" t="s">
        <v>30056</v>
      </c>
      <c r="C15318" s="11" t="s">
        <v>17</v>
      </c>
      <c r="D15318" s="11" t="s">
        <v>18</v>
      </c>
      <c r="E15318" s="12" t="s">
        <v>1057</v>
      </c>
      <c r="F15318" s="12" t="s">
        <v>1058</v>
      </c>
      <c r="G15318" s="12" t="s">
        <v>46</v>
      </c>
      <c r="H15318" s="11" t="s">
        <v>63</v>
      </c>
      <c r="I15318" s="13" t="s">
        <v>30057</v>
      </c>
      <c r="J15318" s="14" t="str">
        <f>HYPERLINK("https://www.boe.es/gazeta/dias/1839/10/01/pdfs/GMD-1839-1787.pdf#page=3","Abrir facsímil")</f>
        <v>Abrir facsímil</v>
      </c>
      <c r="K15318" s="12" t="s">
        <v>65</v>
      </c>
    </row>
    <row r="15319" spans="1:11" ht="40.049999999999997" customHeight="1" x14ac:dyDescent="0.25">
      <c r="A15319" s="11" t="s">
        <v>30058</v>
      </c>
      <c r="B15319" s="11" t="s">
        <v>30059</v>
      </c>
      <c r="C15319" s="11" t="s">
        <v>101</v>
      </c>
      <c r="D15319" s="11" t="s">
        <v>43</v>
      </c>
      <c r="E15319" s="12" t="s">
        <v>254</v>
      </c>
      <c r="F15319" s="12" t="s">
        <v>255</v>
      </c>
      <c r="G15319" s="12" t="s">
        <v>46</v>
      </c>
      <c r="H15319" s="11" t="s">
        <v>63</v>
      </c>
      <c r="I15319" s="13" t="s">
        <v>30060</v>
      </c>
      <c r="J15319" s="14" t="str">
        <f>HYPERLINK("https://www.boe.es/gazeta/dias/1839/09/12/pdfs/GMD-1839-1765.pdf#page=3","Abrir facsímil")</f>
        <v>Abrir facsímil</v>
      </c>
      <c r="K15319" s="12" t="s">
        <v>65</v>
      </c>
    </row>
    <row r="15320" spans="1:11" ht="40.049999999999997" customHeight="1" x14ac:dyDescent="0.25">
      <c r="A15320" s="11" t="s">
        <v>30061</v>
      </c>
      <c r="B15320" s="11" t="s">
        <v>30062</v>
      </c>
      <c r="C15320" s="11" t="s">
        <v>101</v>
      </c>
      <c r="D15320" s="11" t="s">
        <v>43</v>
      </c>
      <c r="E15320" s="12" t="s">
        <v>1497</v>
      </c>
      <c r="F15320" s="12" t="s">
        <v>1498</v>
      </c>
      <c r="G15320" s="12" t="s">
        <v>29</v>
      </c>
      <c r="H15320" s="11" t="s">
        <v>63</v>
      </c>
      <c r="I15320" s="13" t="s">
        <v>30063</v>
      </c>
      <c r="J15320" s="14" t="str">
        <f>HYPERLINK("https://www.boe.es/gazeta/dias/1839/08/23/pdfs/GMD-1839-1744.pdf#page=1","Abrir facsímil")</f>
        <v>Abrir facsímil</v>
      </c>
      <c r="K15320" s="12" t="s">
        <v>65</v>
      </c>
    </row>
    <row r="15321" spans="1:11" ht="40.049999999999997" customHeight="1" x14ac:dyDescent="0.25">
      <c r="A15321" s="11" t="s">
        <v>30064</v>
      </c>
      <c r="B15321" s="11" t="s">
        <v>30065</v>
      </c>
      <c r="C15321" s="11" t="s">
        <v>17</v>
      </c>
      <c r="D15321" s="11" t="s">
        <v>18</v>
      </c>
      <c r="E15321" s="12" t="s">
        <v>2301</v>
      </c>
      <c r="F15321" s="12" t="s">
        <v>2302</v>
      </c>
      <c r="G15321" s="12" t="s">
        <v>29</v>
      </c>
      <c r="H15321" s="11" t="s">
        <v>63</v>
      </c>
      <c r="I15321" s="13" t="s">
        <v>30066</v>
      </c>
      <c r="J15321" s="14" t="str">
        <f>HYPERLINK("https://www.boe.es/gazeta/dias/1839/09/08/pdfs/GMD-1839-1761.pdf#page=1","Abrir facsímil")</f>
        <v>Abrir facsímil</v>
      </c>
      <c r="K15321" s="12" t="s">
        <v>65</v>
      </c>
    </row>
    <row r="15322" spans="1:11" ht="40.049999999999997" customHeight="1" x14ac:dyDescent="0.25">
      <c r="A15322" s="11" t="s">
        <v>30067</v>
      </c>
      <c r="B15322" s="11" t="s">
        <v>30068</v>
      </c>
      <c r="C15322" s="11" t="s">
        <v>59</v>
      </c>
      <c r="D15322" s="11" t="s">
        <v>60</v>
      </c>
      <c r="E15322" s="12" t="s">
        <v>821</v>
      </c>
      <c r="F15322" s="12" t="s">
        <v>822</v>
      </c>
      <c r="G15322" s="12" t="s">
        <v>21</v>
      </c>
      <c r="H15322" s="11" t="s">
        <v>63</v>
      </c>
      <c r="I15322" s="13" t="s">
        <v>30069</v>
      </c>
      <c r="J15322" s="14" t="str">
        <f>HYPERLINK("https://www.boe.es/gazeta/dias/1839/09/20/pdfs/GMD-1839-1775.pdf#page=4","Abrir facsímil")</f>
        <v>Abrir facsímil</v>
      </c>
      <c r="K15322" s="12" t="s">
        <v>65</v>
      </c>
    </row>
    <row r="15323" spans="1:11" ht="40.049999999999997" customHeight="1" x14ac:dyDescent="0.25">
      <c r="A15323" s="11" t="s">
        <v>30070</v>
      </c>
      <c r="B15323" s="11" t="s">
        <v>30071</v>
      </c>
      <c r="C15323" s="11" t="s">
        <v>17</v>
      </c>
      <c r="D15323" s="11" t="s">
        <v>18</v>
      </c>
      <c r="E15323" s="12" t="s">
        <v>647</v>
      </c>
      <c r="F15323" s="12" t="s">
        <v>648</v>
      </c>
      <c r="G15323" s="12" t="s">
        <v>40</v>
      </c>
      <c r="H15323" s="11" t="s">
        <v>63</v>
      </c>
      <c r="I15323" s="13" t="s">
        <v>30072</v>
      </c>
      <c r="J15323" s="14" t="str">
        <f>HYPERLINK("https://www.boe.es/gazeta/dias/1839/10/08/pdfs/GMD-1839-1794.pdf#page=2","Abrir facsímil")</f>
        <v>Abrir facsímil</v>
      </c>
      <c r="K15323" s="12" t="s">
        <v>65</v>
      </c>
    </row>
    <row r="15324" spans="1:11" ht="40.049999999999997" customHeight="1" x14ac:dyDescent="0.25">
      <c r="A15324" s="11" t="s">
        <v>30073</v>
      </c>
      <c r="B15324" s="11" t="s">
        <v>30074</v>
      </c>
      <c r="C15324" s="11" t="s">
        <v>59</v>
      </c>
      <c r="D15324" s="11" t="s">
        <v>60</v>
      </c>
      <c r="E15324" s="12" t="s">
        <v>1019</v>
      </c>
      <c r="F15324" s="12" t="s">
        <v>1020</v>
      </c>
      <c r="G15324" s="12" t="s">
        <v>40</v>
      </c>
      <c r="H15324" s="11" t="s">
        <v>63</v>
      </c>
      <c r="I15324" s="13" t="s">
        <v>30075</v>
      </c>
      <c r="J15324" s="14" t="str">
        <f>HYPERLINK("https://www.boe.es/gazeta/dias/1839/07/15/pdfs/GMD-1839-1703.pdf#page=2","Abrir facsímil")</f>
        <v>Abrir facsímil</v>
      </c>
      <c r="K15324" s="12" t="s">
        <v>65</v>
      </c>
    </row>
    <row r="15325" spans="1:11" ht="40.049999999999997" customHeight="1" x14ac:dyDescent="0.25">
      <c r="A15325" s="11" t="s">
        <v>30073</v>
      </c>
      <c r="B15325" s="11" t="s">
        <v>30074</v>
      </c>
      <c r="C15325" s="11" t="s">
        <v>59</v>
      </c>
      <c r="D15325" s="11" t="s">
        <v>60</v>
      </c>
      <c r="E15325" s="12" t="s">
        <v>555</v>
      </c>
      <c r="F15325" s="12" t="s">
        <v>556</v>
      </c>
      <c r="G15325" s="12" t="s">
        <v>29</v>
      </c>
      <c r="H15325" s="11" t="s">
        <v>63</v>
      </c>
      <c r="I15325" s="13" t="s">
        <v>30076</v>
      </c>
      <c r="J15325" s="14" t="str">
        <f>HYPERLINK("https://www.boe.es/gazeta/dias/1839/07/19/pdfs/GMD-1839-1707.pdf#page=1","Abrir facsímil")</f>
        <v>Abrir facsímil</v>
      </c>
      <c r="K15325" s="12" t="s">
        <v>65</v>
      </c>
    </row>
    <row r="15326" spans="1:11" ht="40.049999999999997" customHeight="1" x14ac:dyDescent="0.25">
      <c r="A15326" s="11" t="s">
        <v>30077</v>
      </c>
      <c r="B15326" s="11" t="s">
        <v>30078</v>
      </c>
      <c r="C15326" s="11" t="s">
        <v>17</v>
      </c>
      <c r="D15326" s="11" t="s">
        <v>18</v>
      </c>
      <c r="E15326" s="12" t="s">
        <v>262</v>
      </c>
      <c r="F15326" s="12" t="s">
        <v>263</v>
      </c>
      <c r="G15326" s="12" t="s">
        <v>21</v>
      </c>
      <c r="H15326" s="11" t="s">
        <v>22</v>
      </c>
      <c r="I15326" s="13" t="s">
        <v>30079</v>
      </c>
      <c r="J15326" s="14" t="str">
        <f>HYPERLINK("https://www.boe.es/gazeta/dias/1839/01/01/pdfs/GMD-1839-1508.pdf#page=4","Abrir facsímil")</f>
        <v>Abrir facsímil</v>
      </c>
      <c r="K15326" s="12" t="s">
        <v>24</v>
      </c>
    </row>
    <row r="15327" spans="1:11" ht="40.049999999999997" customHeight="1" x14ac:dyDescent="0.25">
      <c r="A15327" s="11" t="s">
        <v>30080</v>
      </c>
      <c r="B15327" s="11" t="s">
        <v>30081</v>
      </c>
      <c r="C15327" s="11" t="s">
        <v>17</v>
      </c>
      <c r="D15327" s="11" t="s">
        <v>18</v>
      </c>
      <c r="E15327" s="12" t="s">
        <v>2215</v>
      </c>
      <c r="F15327" s="12" t="s">
        <v>2216</v>
      </c>
      <c r="G15327" s="12" t="s">
        <v>46</v>
      </c>
      <c r="H15327" s="11" t="s">
        <v>63</v>
      </c>
      <c r="I15327" s="13" t="s">
        <v>30082</v>
      </c>
      <c r="J15327" s="14" t="str">
        <f>HYPERLINK("https://www.boe.es/gazeta/dias/1839/07/21/pdfs/GMD-1839-1709.pdf#page=3","Abrir facsímil")</f>
        <v>Abrir facsímil</v>
      </c>
      <c r="K15327" s="12" t="s">
        <v>65</v>
      </c>
    </row>
    <row r="15328" spans="1:11" ht="40.049999999999997" customHeight="1" x14ac:dyDescent="0.25">
      <c r="A15328" s="11" t="s">
        <v>30083</v>
      </c>
      <c r="B15328" s="11" t="s">
        <v>30084</v>
      </c>
      <c r="C15328" s="11" t="s">
        <v>80</v>
      </c>
      <c r="D15328" s="11" t="s">
        <v>18</v>
      </c>
      <c r="E15328" s="12" t="s">
        <v>782</v>
      </c>
      <c r="F15328" s="12" t="s">
        <v>783</v>
      </c>
      <c r="G15328" s="12" t="s">
        <v>21</v>
      </c>
      <c r="H15328" s="11" t="s">
        <v>63</v>
      </c>
      <c r="I15328" s="13" t="s">
        <v>30085</v>
      </c>
      <c r="J15328" s="14" t="str">
        <f>HYPERLINK("https://www.boe.es/gazeta/dias/1839/05/09/pdfs/GMD-1839-1636.pdf#page=4","Abrir facsímil")</f>
        <v>Abrir facsímil</v>
      </c>
      <c r="K15328" s="12" t="s">
        <v>65</v>
      </c>
    </row>
    <row r="15329" spans="1:11" ht="40.049999999999997" customHeight="1" x14ac:dyDescent="0.25">
      <c r="A15329" s="11" t="s">
        <v>30086</v>
      </c>
      <c r="B15329" s="11" t="s">
        <v>30087</v>
      </c>
      <c r="C15329" s="11" t="s">
        <v>17</v>
      </c>
      <c r="D15329" s="11" t="s">
        <v>18</v>
      </c>
      <c r="E15329" s="12" t="s">
        <v>677</v>
      </c>
      <c r="F15329" s="12" t="s">
        <v>678</v>
      </c>
      <c r="G15329" s="12" t="s">
        <v>40</v>
      </c>
      <c r="H15329" s="11" t="s">
        <v>63</v>
      </c>
      <c r="I15329" s="13" t="s">
        <v>30088</v>
      </c>
      <c r="J15329" s="14" t="str">
        <f>HYPERLINK("https://www.boe.es/gazeta/dias/1839/04/28/pdfs/GMD-1839-1625.pdf#page=2","Abrir facsímil")</f>
        <v>Abrir facsímil</v>
      </c>
      <c r="K15329" s="12" t="s">
        <v>65</v>
      </c>
    </row>
    <row r="15330" spans="1:11" ht="40.049999999999997" customHeight="1" x14ac:dyDescent="0.25">
      <c r="A15330" s="11" t="s">
        <v>30089</v>
      </c>
      <c r="B15330" s="11" t="s">
        <v>30090</v>
      </c>
      <c r="C15330" s="11" t="s">
        <v>137</v>
      </c>
      <c r="D15330" s="11" t="s">
        <v>18</v>
      </c>
      <c r="E15330" s="12" t="s">
        <v>54</v>
      </c>
      <c r="F15330" s="12" t="s">
        <v>55</v>
      </c>
      <c r="G15330" s="12" t="s">
        <v>29</v>
      </c>
      <c r="H15330" s="11" t="s">
        <v>63</v>
      </c>
      <c r="I15330" s="13" t="s">
        <v>30091</v>
      </c>
      <c r="J15330" s="14" t="str">
        <f>HYPERLINK("https://www.boe.es/gazeta/dias/1839/10/05/pdfs/GMD-1839-1791.pdf#page=1","Abrir facsímil")</f>
        <v>Abrir facsímil</v>
      </c>
      <c r="K15330" s="12" t="s">
        <v>65</v>
      </c>
    </row>
    <row r="15331" spans="1:11" ht="40.049999999999997" customHeight="1" x14ac:dyDescent="0.25">
      <c r="A15331" s="11" t="s">
        <v>30092</v>
      </c>
      <c r="B15331" s="11" t="s">
        <v>30093</v>
      </c>
      <c r="C15331" s="11" t="s">
        <v>137</v>
      </c>
      <c r="D15331" s="11" t="s">
        <v>18</v>
      </c>
      <c r="E15331" s="12" t="s">
        <v>1490</v>
      </c>
      <c r="F15331" s="12" t="s">
        <v>1491</v>
      </c>
      <c r="G15331" s="12" t="s">
        <v>29</v>
      </c>
      <c r="H15331" s="11" t="s">
        <v>63</v>
      </c>
      <c r="I15331" s="13" t="s">
        <v>30094</v>
      </c>
      <c r="J15331" s="14" t="str">
        <f>HYPERLINK("https://www.boe.es/gazeta/dias/1839/02/27/pdfs/GMD-1839-1565.pdf#page=1","Abrir facsímil")</f>
        <v>Abrir facsímil</v>
      </c>
      <c r="K15331" s="12" t="s">
        <v>65</v>
      </c>
    </row>
    <row r="15332" spans="1:11" ht="40.049999999999997" customHeight="1" x14ac:dyDescent="0.25">
      <c r="A15332" s="11" t="s">
        <v>30095</v>
      </c>
      <c r="B15332" s="11" t="s">
        <v>30096</v>
      </c>
      <c r="C15332" s="11" t="s">
        <v>137</v>
      </c>
      <c r="D15332" s="11" t="s">
        <v>18</v>
      </c>
      <c r="E15332" s="12" t="s">
        <v>770</v>
      </c>
      <c r="F15332" s="12" t="s">
        <v>771</v>
      </c>
      <c r="G15332" s="12" t="s">
        <v>21</v>
      </c>
      <c r="H15332" s="11" t="s">
        <v>22</v>
      </c>
      <c r="I15332" s="13" t="s">
        <v>30097</v>
      </c>
      <c r="J15332" s="14" t="str">
        <f>HYPERLINK("https://www.boe.es/gazeta/dias/1839/12/05/pdfs/GMD-1839-1852.pdf#page=4","Abrir facsímil")</f>
        <v>Abrir facsímil</v>
      </c>
      <c r="K15332" s="12" t="s">
        <v>24</v>
      </c>
    </row>
    <row r="15333" spans="1:11" ht="40.049999999999997" customHeight="1" x14ac:dyDescent="0.25">
      <c r="A15333" s="11" t="s">
        <v>30095</v>
      </c>
      <c r="B15333" s="11" t="s">
        <v>30096</v>
      </c>
      <c r="C15333" s="11" t="s">
        <v>17</v>
      </c>
      <c r="D15333" s="11" t="s">
        <v>18</v>
      </c>
      <c r="E15333" s="12" t="s">
        <v>38</v>
      </c>
      <c r="F15333" s="12" t="s">
        <v>39</v>
      </c>
      <c r="G15333" s="12" t="s">
        <v>21</v>
      </c>
      <c r="H15333" s="11" t="s">
        <v>22</v>
      </c>
      <c r="I15333" s="13" t="s">
        <v>30098</v>
      </c>
      <c r="J15333" s="14" t="str">
        <f>HYPERLINK("https://www.boe.es/gazeta/dias/1839/08/08/pdfs/GMD-1839-1728.pdf#page=4","Abrir facsímil")</f>
        <v>Abrir facsímil</v>
      </c>
      <c r="K15333" s="12" t="s">
        <v>24</v>
      </c>
    </row>
    <row r="15334" spans="1:11" ht="40.049999999999997" customHeight="1" x14ac:dyDescent="0.25">
      <c r="A15334" s="11" t="s">
        <v>30099</v>
      </c>
      <c r="B15334" s="11" t="s">
        <v>30100</v>
      </c>
      <c r="C15334" s="11" t="s">
        <v>59</v>
      </c>
      <c r="D15334" s="11" t="s">
        <v>60</v>
      </c>
      <c r="E15334" s="12" t="s">
        <v>61</v>
      </c>
      <c r="F15334" s="12" t="s">
        <v>62</v>
      </c>
      <c r="G15334" s="12" t="s">
        <v>21</v>
      </c>
      <c r="H15334" s="11" t="s">
        <v>63</v>
      </c>
      <c r="I15334" s="13" t="s">
        <v>30101</v>
      </c>
      <c r="J15334" s="14" t="str">
        <f>HYPERLINK("https://www.boe.es/gazeta/dias/1839/09/10/pdfs/GMD-1839-1763.pdf#page=4","Abrir facsímil")</f>
        <v>Abrir facsímil</v>
      </c>
      <c r="K15334" s="12" t="s">
        <v>65</v>
      </c>
    </row>
    <row r="15335" spans="1:11" ht="40.049999999999997" customHeight="1" x14ac:dyDescent="0.25">
      <c r="A15335" s="11" t="s">
        <v>30099</v>
      </c>
      <c r="B15335" s="11" t="s">
        <v>30100</v>
      </c>
      <c r="C15335" s="11" t="s">
        <v>17</v>
      </c>
      <c r="D15335" s="11" t="s">
        <v>18</v>
      </c>
      <c r="E15335" s="12" t="s">
        <v>1019</v>
      </c>
      <c r="F15335" s="12" t="s">
        <v>1020</v>
      </c>
      <c r="G15335" s="12" t="s">
        <v>21</v>
      </c>
      <c r="H15335" s="11" t="s">
        <v>63</v>
      </c>
      <c r="I15335" s="13" t="s">
        <v>30102</v>
      </c>
      <c r="J15335" s="14" t="str">
        <f>HYPERLINK("https://www.boe.es/gazeta/dias/1839/07/15/pdfs/GMD-1839-1703.pdf#page=4","Abrir facsímil")</f>
        <v>Abrir facsímil</v>
      </c>
      <c r="K15335" s="12" t="s">
        <v>65</v>
      </c>
    </row>
    <row r="15336" spans="1:11" ht="40.049999999999997" customHeight="1" x14ac:dyDescent="0.25">
      <c r="A15336" s="11" t="s">
        <v>30099</v>
      </c>
      <c r="B15336" s="11" t="s">
        <v>30100</v>
      </c>
      <c r="C15336" s="11" t="s">
        <v>137</v>
      </c>
      <c r="D15336" s="11" t="s">
        <v>18</v>
      </c>
      <c r="E15336" s="12" t="s">
        <v>175</v>
      </c>
      <c r="F15336" s="12" t="s">
        <v>176</v>
      </c>
      <c r="G15336" s="12" t="s">
        <v>40</v>
      </c>
      <c r="H15336" s="11" t="s">
        <v>63</v>
      </c>
      <c r="I15336" s="13" t="s">
        <v>30103</v>
      </c>
      <c r="J15336" s="14" t="str">
        <f>HYPERLINK("https://www.boe.es/gazeta/dias/1839/01/16/pdfs/GMD-1839-1523.pdf#page=2","Abrir facsímil")</f>
        <v>Abrir facsímil</v>
      </c>
      <c r="K15336" s="12" t="s">
        <v>65</v>
      </c>
    </row>
    <row r="15337" spans="1:11" ht="40.049999999999997" customHeight="1" x14ac:dyDescent="0.25">
      <c r="A15337" s="11" t="s">
        <v>30099</v>
      </c>
      <c r="B15337" s="11" t="s">
        <v>30100</v>
      </c>
      <c r="C15337" s="11" t="s">
        <v>80</v>
      </c>
      <c r="D15337" s="11" t="s">
        <v>18</v>
      </c>
      <c r="E15337" s="12" t="s">
        <v>1666</v>
      </c>
      <c r="F15337" s="12" t="s">
        <v>1667</v>
      </c>
      <c r="G15337" s="12" t="s">
        <v>46</v>
      </c>
      <c r="H15337" s="11" t="s">
        <v>63</v>
      </c>
      <c r="I15337" s="13" t="s">
        <v>30104</v>
      </c>
      <c r="J15337" s="14" t="str">
        <f>HYPERLINK("https://www.boe.es/gazeta/dias/1839/04/22/pdfs/GMD-1839-1619.pdf#page=3","Abrir facsímil")</f>
        <v>Abrir facsímil</v>
      </c>
      <c r="K15337" s="12" t="s">
        <v>65</v>
      </c>
    </row>
    <row r="15338" spans="1:11" ht="40.049999999999997" customHeight="1" x14ac:dyDescent="0.25">
      <c r="A15338" s="11" t="s">
        <v>30105</v>
      </c>
      <c r="B15338" s="11" t="s">
        <v>30106</v>
      </c>
      <c r="C15338" s="11" t="s">
        <v>80</v>
      </c>
      <c r="D15338" s="11" t="s">
        <v>18</v>
      </c>
      <c r="E15338" s="12" t="s">
        <v>756</v>
      </c>
      <c r="F15338" s="12" t="s">
        <v>757</v>
      </c>
      <c r="G15338" s="12" t="s">
        <v>21</v>
      </c>
      <c r="H15338" s="11" t="s">
        <v>63</v>
      </c>
      <c r="I15338" s="13" t="s">
        <v>30107</v>
      </c>
      <c r="J15338" s="14" t="str">
        <f>HYPERLINK("https://www.boe.es/gazeta/dias/1839/12/17/pdfs/GMD-1839-1864.pdf#page=4","Abrir facsímil")</f>
        <v>Abrir facsímil</v>
      </c>
      <c r="K15338" s="12" t="s">
        <v>65</v>
      </c>
    </row>
    <row r="15339" spans="1:11" ht="40.049999999999997" customHeight="1" x14ac:dyDescent="0.25">
      <c r="A15339" s="11" t="s">
        <v>30108</v>
      </c>
      <c r="B15339" s="11" t="s">
        <v>30109</v>
      </c>
      <c r="C15339" s="11" t="s">
        <v>17</v>
      </c>
      <c r="D15339" s="11" t="s">
        <v>18</v>
      </c>
      <c r="E15339" s="12" t="s">
        <v>258</v>
      </c>
      <c r="F15339" s="12" t="s">
        <v>259</v>
      </c>
      <c r="G15339" s="12" t="s">
        <v>40</v>
      </c>
      <c r="H15339" s="11" t="s">
        <v>63</v>
      </c>
      <c r="I15339" s="13" t="s">
        <v>30110</v>
      </c>
      <c r="J15339" s="14" t="str">
        <f>HYPERLINK("https://www.boe.es/gazeta/dias/1839/01/02/pdfs/GMD-1839-1509.pdf#page=2","Abrir facsímil")</f>
        <v>Abrir facsímil</v>
      </c>
      <c r="K15339" s="12" t="s">
        <v>65</v>
      </c>
    </row>
    <row r="15340" spans="1:11" ht="40.049999999999997" customHeight="1" x14ac:dyDescent="0.25">
      <c r="A15340" s="11" t="s">
        <v>30111</v>
      </c>
      <c r="B15340" s="11" t="s">
        <v>30112</v>
      </c>
      <c r="C15340" s="11" t="s">
        <v>17</v>
      </c>
      <c r="D15340" s="11" t="s">
        <v>18</v>
      </c>
      <c r="E15340" s="12" t="s">
        <v>1179</v>
      </c>
      <c r="F15340" s="12" t="s">
        <v>1180</v>
      </c>
      <c r="G15340" s="12" t="s">
        <v>21</v>
      </c>
      <c r="H15340" s="11" t="s">
        <v>63</v>
      </c>
      <c r="I15340" s="13" t="s">
        <v>30113</v>
      </c>
      <c r="J15340" s="14" t="str">
        <f>HYPERLINK("https://www.boe.es/gazeta/dias/1839/10/18/pdfs/GMD-1839-1804.pdf#page=4","Abrir facsímil")</f>
        <v>Abrir facsímil</v>
      </c>
      <c r="K15340" s="12" t="s">
        <v>65</v>
      </c>
    </row>
    <row r="15341" spans="1:11" ht="40.049999999999997" customHeight="1" x14ac:dyDescent="0.25">
      <c r="A15341" s="11" t="s">
        <v>30114</v>
      </c>
      <c r="B15341" s="11" t="s">
        <v>30115</v>
      </c>
      <c r="C15341" s="11" t="s">
        <v>17</v>
      </c>
      <c r="D15341" s="11" t="s">
        <v>18</v>
      </c>
      <c r="E15341" s="12" t="s">
        <v>2069</v>
      </c>
      <c r="F15341" s="12" t="s">
        <v>2070</v>
      </c>
      <c r="G15341" s="12" t="s">
        <v>21</v>
      </c>
      <c r="H15341" s="11" t="s">
        <v>63</v>
      </c>
      <c r="I15341" s="13" t="s">
        <v>30116</v>
      </c>
      <c r="J15341" s="14" t="str">
        <f>HYPERLINK("https://www.boe.es/gazeta/dias/1839/10/20/pdfs/GMD-1839-1806.pdf#page=4","Abrir facsímil")</f>
        <v>Abrir facsímil</v>
      </c>
      <c r="K15341" s="12" t="s">
        <v>65</v>
      </c>
    </row>
    <row r="15342" spans="1:11" ht="40.049999999999997" customHeight="1" x14ac:dyDescent="0.25">
      <c r="A15342" s="11" t="s">
        <v>30117</v>
      </c>
      <c r="B15342" s="11" t="s">
        <v>30118</v>
      </c>
      <c r="C15342" s="11" t="s">
        <v>17</v>
      </c>
      <c r="D15342" s="11" t="s">
        <v>18</v>
      </c>
      <c r="E15342" s="12" t="s">
        <v>883</v>
      </c>
      <c r="F15342" s="12" t="s">
        <v>884</v>
      </c>
      <c r="G15342" s="12" t="s">
        <v>46</v>
      </c>
      <c r="H15342" s="11" t="s">
        <v>63</v>
      </c>
      <c r="I15342" s="13" t="s">
        <v>30119</v>
      </c>
      <c r="J15342" s="14" t="str">
        <f>HYPERLINK("https://www.boe.es/gazeta/dias/1839/11/03/pdfs/GMD-1839-1820.pdf#page=3","Abrir facsímil")</f>
        <v>Abrir facsímil</v>
      </c>
      <c r="K15342" s="12" t="s">
        <v>65</v>
      </c>
    </row>
    <row r="15343" spans="1:11" ht="40.049999999999997" customHeight="1" x14ac:dyDescent="0.25">
      <c r="A15343" s="11" t="s">
        <v>30117</v>
      </c>
      <c r="B15343" s="11" t="s">
        <v>30118</v>
      </c>
      <c r="C15343" s="11" t="s">
        <v>17</v>
      </c>
      <c r="D15343" s="11" t="s">
        <v>18</v>
      </c>
      <c r="E15343" s="12" t="s">
        <v>138</v>
      </c>
      <c r="F15343" s="12" t="s">
        <v>139</v>
      </c>
      <c r="G15343" s="12" t="s">
        <v>21</v>
      </c>
      <c r="H15343" s="11" t="s">
        <v>63</v>
      </c>
      <c r="I15343" s="13" t="s">
        <v>30120</v>
      </c>
      <c r="J15343" s="14" t="str">
        <f>HYPERLINK("https://www.boe.es/gazeta/dias/1839/10/09/pdfs/GMD-1839-1795.pdf#page=4","Abrir facsímil")</f>
        <v>Abrir facsímil</v>
      </c>
      <c r="K15343" s="12" t="s">
        <v>65</v>
      </c>
    </row>
    <row r="15344" spans="1:11" ht="40.049999999999997" customHeight="1" x14ac:dyDescent="0.25">
      <c r="A15344" s="11" t="s">
        <v>30117</v>
      </c>
      <c r="B15344" s="11" t="s">
        <v>30118</v>
      </c>
      <c r="C15344" s="11" t="s">
        <v>17</v>
      </c>
      <c r="D15344" s="11" t="s">
        <v>18</v>
      </c>
      <c r="E15344" s="12" t="s">
        <v>1725</v>
      </c>
      <c r="F15344" s="12" t="s">
        <v>1726</v>
      </c>
      <c r="G15344" s="12" t="s">
        <v>40</v>
      </c>
      <c r="H15344" s="11" t="s">
        <v>63</v>
      </c>
      <c r="I15344" s="13" t="s">
        <v>30121</v>
      </c>
      <c r="J15344" s="14" t="str">
        <f>HYPERLINK("https://www.boe.es/gazeta/dias/1839/11/17/pdfs/GMD-1839-1834.pdf#page=2","Abrir facsímil")</f>
        <v>Abrir facsímil</v>
      </c>
      <c r="K15344" s="12" t="s">
        <v>65</v>
      </c>
    </row>
    <row r="15345" spans="1:11" ht="40.049999999999997" customHeight="1" x14ac:dyDescent="0.25">
      <c r="A15345" s="11" t="s">
        <v>30122</v>
      </c>
      <c r="B15345" s="11" t="s">
        <v>30123</v>
      </c>
      <c r="C15345" s="11" t="s">
        <v>59</v>
      </c>
      <c r="D15345" s="11" t="s">
        <v>60</v>
      </c>
      <c r="E15345" s="12" t="s">
        <v>76</v>
      </c>
      <c r="F15345" s="12" t="s">
        <v>77</v>
      </c>
      <c r="G15345" s="12" t="s">
        <v>29</v>
      </c>
      <c r="H15345" s="11" t="s">
        <v>63</v>
      </c>
      <c r="I15345" s="13" t="s">
        <v>30124</v>
      </c>
      <c r="J15345" s="14" t="str">
        <f>HYPERLINK("https://www.boe.es/gazeta/dias/1839/03/13/pdfs/GMD-1839-1579.pdf#page=1","Abrir facsímil")</f>
        <v>Abrir facsímil</v>
      </c>
      <c r="K15345" s="12" t="s">
        <v>65</v>
      </c>
    </row>
    <row r="15346" spans="1:11" ht="40.049999999999997" customHeight="1" x14ac:dyDescent="0.25">
      <c r="A15346" s="11" t="s">
        <v>30125</v>
      </c>
      <c r="B15346" s="11" t="s">
        <v>30126</v>
      </c>
      <c r="C15346" s="11" t="s">
        <v>17</v>
      </c>
      <c r="D15346" s="11" t="s">
        <v>18</v>
      </c>
      <c r="E15346" s="12" t="s">
        <v>1079</v>
      </c>
      <c r="F15346" s="12" t="s">
        <v>1080</v>
      </c>
      <c r="G15346" s="12" t="s">
        <v>29</v>
      </c>
      <c r="H15346" s="11" t="s">
        <v>63</v>
      </c>
      <c r="I15346" s="13" t="s">
        <v>30127</v>
      </c>
      <c r="J15346" s="14" t="str">
        <f>HYPERLINK("https://www.boe.es/gazeta/dias/1839/05/24/pdfs/GMD-1839-1651.pdf#page=1","Abrir facsímil")</f>
        <v>Abrir facsímil</v>
      </c>
      <c r="K15346" s="12" t="s">
        <v>65</v>
      </c>
    </row>
    <row r="15347" spans="1:11" ht="40.049999999999997" customHeight="1" x14ac:dyDescent="0.25">
      <c r="A15347" s="11" t="s">
        <v>30128</v>
      </c>
      <c r="B15347" s="11" t="s">
        <v>30129</v>
      </c>
      <c r="C15347" s="11" t="s">
        <v>17</v>
      </c>
      <c r="D15347" s="11" t="s">
        <v>18</v>
      </c>
      <c r="E15347" s="12" t="s">
        <v>320</v>
      </c>
      <c r="F15347" s="12" t="s">
        <v>321</v>
      </c>
      <c r="G15347" s="12" t="s">
        <v>21</v>
      </c>
      <c r="H15347" s="11" t="s">
        <v>63</v>
      </c>
      <c r="I15347" s="13" t="s">
        <v>30130</v>
      </c>
      <c r="J15347" s="14" t="str">
        <f>HYPERLINK("https://www.boe.es/gazeta/dias/1839/05/11/pdfs/GMD-1839-1638.pdf#page=4","Abrir facsímil")</f>
        <v>Abrir facsímil</v>
      </c>
      <c r="K15347" s="12" t="s">
        <v>65</v>
      </c>
    </row>
    <row r="15348" spans="1:11" ht="40.049999999999997" customHeight="1" x14ac:dyDescent="0.25">
      <c r="A15348" s="11" t="s">
        <v>30131</v>
      </c>
      <c r="B15348" s="11" t="s">
        <v>30132</v>
      </c>
      <c r="C15348" s="11" t="s">
        <v>80</v>
      </c>
      <c r="D15348" s="11" t="s">
        <v>18</v>
      </c>
      <c r="E15348" s="12" t="s">
        <v>770</v>
      </c>
      <c r="F15348" s="12" t="s">
        <v>771</v>
      </c>
      <c r="G15348" s="12" t="s">
        <v>21</v>
      </c>
      <c r="H15348" s="11" t="s">
        <v>63</v>
      </c>
      <c r="I15348" s="13" t="s">
        <v>30133</v>
      </c>
      <c r="J15348" s="14" t="str">
        <f>HYPERLINK("https://www.boe.es/gazeta/dias/1839/12/05/pdfs/GMD-1839-1852.pdf#page=4","Abrir facsímil")</f>
        <v>Abrir facsímil</v>
      </c>
      <c r="K15348" s="12" t="s">
        <v>65</v>
      </c>
    </row>
    <row r="15349" spans="1:11" ht="40.049999999999997" customHeight="1" x14ac:dyDescent="0.25">
      <c r="A15349" s="11" t="s">
        <v>30134</v>
      </c>
      <c r="B15349" s="11" t="s">
        <v>30135</v>
      </c>
      <c r="C15349" s="11" t="s">
        <v>59</v>
      </c>
      <c r="D15349" s="11" t="s">
        <v>60</v>
      </c>
      <c r="E15349" s="12" t="s">
        <v>1252</v>
      </c>
      <c r="F15349" s="12" t="s">
        <v>1253</v>
      </c>
      <c r="G15349" s="12" t="s">
        <v>21</v>
      </c>
      <c r="H15349" s="11" t="s">
        <v>63</v>
      </c>
      <c r="I15349" s="13" t="s">
        <v>30136</v>
      </c>
      <c r="J15349" s="14" t="str">
        <f>HYPERLINK("https://www.boe.es/gazeta/dias/1839/06/15/pdfs/GMD-1839-1673.pdf#page=4","Abrir facsímil")</f>
        <v>Abrir facsímil</v>
      </c>
      <c r="K15349" s="12" t="s">
        <v>65</v>
      </c>
    </row>
    <row r="15350" spans="1:11" ht="40.049999999999997" customHeight="1" x14ac:dyDescent="0.25">
      <c r="A15350" s="11" t="s">
        <v>30137</v>
      </c>
      <c r="B15350" s="11" t="s">
        <v>30138</v>
      </c>
      <c r="C15350" s="11" t="s">
        <v>17</v>
      </c>
      <c r="D15350" s="11" t="s">
        <v>18</v>
      </c>
      <c r="E15350" s="12" t="s">
        <v>1614</v>
      </c>
      <c r="F15350" s="12" t="s">
        <v>1615</v>
      </c>
      <c r="G15350" s="12" t="s">
        <v>21</v>
      </c>
      <c r="H15350" s="11" t="s">
        <v>22</v>
      </c>
      <c r="I15350" s="13" t="s">
        <v>30139</v>
      </c>
      <c r="J15350" s="14" t="str">
        <f>HYPERLINK("https://www.boe.es/gazeta/dias/1839/07/03/pdfs/GMD-1839-1691.pdf#page=4","Abrir facsímil")</f>
        <v>Abrir facsímil</v>
      </c>
      <c r="K15350" s="12" t="s">
        <v>24</v>
      </c>
    </row>
    <row r="15351" spans="1:11" ht="40.049999999999997" customHeight="1" x14ac:dyDescent="0.25">
      <c r="A15351" s="11" t="s">
        <v>30140</v>
      </c>
      <c r="B15351" s="11" t="s">
        <v>30141</v>
      </c>
      <c r="C15351" s="11" t="s">
        <v>80</v>
      </c>
      <c r="D15351" s="11" t="s">
        <v>18</v>
      </c>
      <c r="E15351" s="12" t="s">
        <v>103</v>
      </c>
      <c r="F15351" s="12" t="s">
        <v>104</v>
      </c>
      <c r="G15351" s="12" t="s">
        <v>21</v>
      </c>
      <c r="H15351" s="11" t="s">
        <v>63</v>
      </c>
      <c r="I15351" s="13" t="s">
        <v>30142</v>
      </c>
      <c r="J15351" s="14" t="str">
        <f>HYPERLINK("https://www.boe.es/gazeta/dias/1839/10/12/pdfs/GMD-1839-1798.pdf#page=4","Abrir facsímil")</f>
        <v>Abrir facsímil</v>
      </c>
      <c r="K15351" s="12" t="s">
        <v>65</v>
      </c>
    </row>
    <row r="15352" spans="1:11" ht="40.049999999999997" customHeight="1" x14ac:dyDescent="0.25">
      <c r="A15352" s="11" t="s">
        <v>30143</v>
      </c>
      <c r="B15352" s="11" t="s">
        <v>30144</v>
      </c>
      <c r="C15352" s="11" t="s">
        <v>80</v>
      </c>
      <c r="D15352" s="11" t="s">
        <v>18</v>
      </c>
      <c r="E15352" s="12" t="s">
        <v>516</v>
      </c>
      <c r="F15352" s="12" t="s">
        <v>517</v>
      </c>
      <c r="G15352" s="12" t="s">
        <v>21</v>
      </c>
      <c r="H15352" s="11" t="s">
        <v>22</v>
      </c>
      <c r="I15352" s="13" t="s">
        <v>30145</v>
      </c>
      <c r="J15352" s="14" t="str">
        <f>HYPERLINK("https://www.boe.es/gazeta/dias/1839/06/21/pdfs/GMD-1839-1679.pdf#page=4","Abrir facsímil")</f>
        <v>Abrir facsímil</v>
      </c>
      <c r="K15352" s="12" t="s">
        <v>24</v>
      </c>
    </row>
    <row r="15353" spans="1:11" ht="40.049999999999997" customHeight="1" x14ac:dyDescent="0.25">
      <c r="A15353" s="11" t="s">
        <v>30146</v>
      </c>
      <c r="B15353" s="11" t="s">
        <v>30147</v>
      </c>
      <c r="C15353" s="11" t="s">
        <v>17</v>
      </c>
      <c r="D15353" s="11" t="s">
        <v>18</v>
      </c>
      <c r="E15353" s="12" t="s">
        <v>246</v>
      </c>
      <c r="F15353" s="12" t="s">
        <v>247</v>
      </c>
      <c r="G15353" s="12" t="s">
        <v>21</v>
      </c>
      <c r="H15353" s="11" t="s">
        <v>22</v>
      </c>
      <c r="I15353" s="13" t="s">
        <v>30148</v>
      </c>
      <c r="J15353" s="14" t="str">
        <f>HYPERLINK("https://www.boe.es/gazeta/dias/1839/11/24/pdfs/GMD-1839-1841.pdf#page=4","Abrir facsímil")</f>
        <v>Abrir facsímil</v>
      </c>
      <c r="K15353" s="12" t="s">
        <v>24</v>
      </c>
    </row>
    <row r="15354" spans="1:11" ht="40.049999999999997" customHeight="1" x14ac:dyDescent="0.25">
      <c r="A15354" s="11" t="s">
        <v>30149</v>
      </c>
      <c r="B15354" s="11" t="s">
        <v>30150</v>
      </c>
      <c r="C15354" s="11" t="s">
        <v>17</v>
      </c>
      <c r="D15354" s="11" t="s">
        <v>18</v>
      </c>
      <c r="E15354" s="12" t="s">
        <v>192</v>
      </c>
      <c r="F15354" s="12" t="s">
        <v>193</v>
      </c>
      <c r="G15354" s="12" t="s">
        <v>40</v>
      </c>
      <c r="H15354" s="11" t="s">
        <v>22</v>
      </c>
      <c r="I15354" s="13" t="s">
        <v>30151</v>
      </c>
      <c r="J15354" s="14" t="str">
        <f>HYPERLINK("https://www.boe.es/gazeta/dias/1839/01/12/pdfs/GMD-1839-1519.pdf#page=2","Abrir facsímil")</f>
        <v>Abrir facsímil</v>
      </c>
      <c r="K15354" s="12" t="s">
        <v>24</v>
      </c>
    </row>
    <row r="15355" spans="1:11" ht="40.049999999999997" customHeight="1" x14ac:dyDescent="0.25">
      <c r="A15355" s="11" t="s">
        <v>30149</v>
      </c>
      <c r="B15355" s="11" t="s">
        <v>30150</v>
      </c>
      <c r="C15355" s="11" t="s">
        <v>17</v>
      </c>
      <c r="D15355" s="11" t="s">
        <v>18</v>
      </c>
      <c r="E15355" s="12" t="s">
        <v>1019</v>
      </c>
      <c r="F15355" s="12" t="s">
        <v>1020</v>
      </c>
      <c r="G15355" s="12" t="s">
        <v>21</v>
      </c>
      <c r="H15355" s="11" t="s">
        <v>22</v>
      </c>
      <c r="I15355" s="13" t="s">
        <v>30152</v>
      </c>
      <c r="J15355" s="14" t="str">
        <f>HYPERLINK("https://www.boe.es/gazeta/dias/1839/07/15/pdfs/GMD-1839-1703.pdf#page=4","Abrir facsímil")</f>
        <v>Abrir facsímil</v>
      </c>
      <c r="K15355" s="12" t="s">
        <v>24</v>
      </c>
    </row>
    <row r="15356" spans="1:11" ht="40.049999999999997" customHeight="1" x14ac:dyDescent="0.25">
      <c r="A15356" s="11" t="s">
        <v>30149</v>
      </c>
      <c r="B15356" s="11" t="s">
        <v>30150</v>
      </c>
      <c r="C15356" s="11" t="s">
        <v>17</v>
      </c>
      <c r="D15356" s="11" t="s">
        <v>18</v>
      </c>
      <c r="E15356" s="12" t="s">
        <v>821</v>
      </c>
      <c r="F15356" s="12" t="s">
        <v>822</v>
      </c>
      <c r="G15356" s="12" t="s">
        <v>21</v>
      </c>
      <c r="H15356" s="11" t="s">
        <v>22</v>
      </c>
      <c r="I15356" s="13" t="s">
        <v>30153</v>
      </c>
      <c r="J15356" s="14" t="str">
        <f>HYPERLINK("https://www.boe.es/gazeta/dias/1839/09/20/pdfs/GMD-1839-1775.pdf#page=4","Abrir facsímil")</f>
        <v>Abrir facsímil</v>
      </c>
      <c r="K15356" s="12" t="s">
        <v>24</v>
      </c>
    </row>
    <row r="15357" spans="1:11" ht="40.049999999999997" customHeight="1" x14ac:dyDescent="0.25">
      <c r="A15357" s="11" t="s">
        <v>30149</v>
      </c>
      <c r="B15357" s="11" t="s">
        <v>30150</v>
      </c>
      <c r="C15357" s="11" t="s">
        <v>80</v>
      </c>
      <c r="D15357" s="11" t="s">
        <v>18</v>
      </c>
      <c r="E15357" s="12" t="s">
        <v>2215</v>
      </c>
      <c r="F15357" s="12" t="s">
        <v>2216</v>
      </c>
      <c r="G15357" s="12" t="s">
        <v>21</v>
      </c>
      <c r="H15357" s="11" t="s">
        <v>22</v>
      </c>
      <c r="I15357" s="13" t="s">
        <v>30154</v>
      </c>
      <c r="J15357" s="14" t="str">
        <f>HYPERLINK("https://www.boe.es/gazeta/dias/1839/07/21/pdfs/GMD-1839-1709.pdf#page=4","Abrir facsímil")</f>
        <v>Abrir facsímil</v>
      </c>
      <c r="K15357" s="12" t="s">
        <v>24</v>
      </c>
    </row>
    <row r="15358" spans="1:11" ht="40.049999999999997" customHeight="1" x14ac:dyDescent="0.25">
      <c r="A15358" s="11" t="s">
        <v>30149</v>
      </c>
      <c r="B15358" s="11" t="s">
        <v>30150</v>
      </c>
      <c r="C15358" s="11" t="s">
        <v>137</v>
      </c>
      <c r="D15358" s="11" t="s">
        <v>18</v>
      </c>
      <c r="E15358" s="12" t="s">
        <v>1729</v>
      </c>
      <c r="F15358" s="12" t="s">
        <v>1730</v>
      </c>
      <c r="G15358" s="12" t="s">
        <v>21</v>
      </c>
      <c r="H15358" s="11" t="s">
        <v>22</v>
      </c>
      <c r="I15358" s="13" t="s">
        <v>30155</v>
      </c>
      <c r="J15358" s="14" t="str">
        <f>HYPERLINK("https://www.boe.es/gazeta/dias/1839/04/25/pdfs/GMD-1839-1622.pdf#page=4","Abrir facsímil")</f>
        <v>Abrir facsímil</v>
      </c>
      <c r="K15358" s="12" t="s">
        <v>24</v>
      </c>
    </row>
    <row r="15359" spans="1:11" ht="40.049999999999997" customHeight="1" x14ac:dyDescent="0.25">
      <c r="A15359" s="11" t="s">
        <v>30156</v>
      </c>
      <c r="B15359" s="11" t="s">
        <v>30157</v>
      </c>
      <c r="C15359" s="11" t="s">
        <v>17</v>
      </c>
      <c r="D15359" s="11" t="s">
        <v>18</v>
      </c>
      <c r="E15359" s="12" t="s">
        <v>395</v>
      </c>
      <c r="F15359" s="12" t="s">
        <v>396</v>
      </c>
      <c r="G15359" s="12" t="s">
        <v>29</v>
      </c>
      <c r="H15359" s="11" t="s">
        <v>22</v>
      </c>
      <c r="I15359" s="13" t="s">
        <v>30158</v>
      </c>
      <c r="J15359" s="14" t="str">
        <f>HYPERLINK("https://www.boe.es/gazeta/dias/1839/03/15/pdfs/GMD-1839-1581.pdf#page=1","Abrir facsímil")</f>
        <v>Abrir facsímil</v>
      </c>
      <c r="K15359" s="12" t="s">
        <v>24</v>
      </c>
    </row>
    <row r="15360" spans="1:11" ht="40.049999999999997" customHeight="1" x14ac:dyDescent="0.25">
      <c r="A15360" s="11" t="s">
        <v>30159</v>
      </c>
      <c r="B15360" s="11" t="s">
        <v>30160</v>
      </c>
      <c r="C15360" s="11" t="s">
        <v>17</v>
      </c>
      <c r="D15360" s="11" t="s">
        <v>18</v>
      </c>
      <c r="E15360" s="12" t="s">
        <v>946</v>
      </c>
      <c r="F15360" s="12" t="s">
        <v>947</v>
      </c>
      <c r="G15360" s="12" t="s">
        <v>46</v>
      </c>
      <c r="H15360" s="11" t="s">
        <v>63</v>
      </c>
      <c r="I15360" s="13" t="s">
        <v>30161</v>
      </c>
      <c r="J15360" s="14" t="str">
        <f>HYPERLINK("https://www.boe.es/gazeta/dias/1839/04/15/pdfs/GMD-1839-1612.pdf#page=3","Abrir facsímil")</f>
        <v>Abrir facsímil</v>
      </c>
      <c r="K15360" s="12" t="s">
        <v>65</v>
      </c>
    </row>
    <row r="15361" spans="1:11" ht="40.049999999999997" customHeight="1" x14ac:dyDescent="0.25">
      <c r="A15361" s="11" t="s">
        <v>30162</v>
      </c>
      <c r="B15361" s="11" t="s">
        <v>30163</v>
      </c>
      <c r="C15361" s="11" t="s">
        <v>80</v>
      </c>
      <c r="D15361" s="11" t="s">
        <v>18</v>
      </c>
      <c r="E15361" s="12" t="s">
        <v>385</v>
      </c>
      <c r="F15361" s="12" t="s">
        <v>386</v>
      </c>
      <c r="G15361" s="12" t="s">
        <v>21</v>
      </c>
      <c r="H15361" s="11" t="s">
        <v>63</v>
      </c>
      <c r="I15361" s="13" t="s">
        <v>30164</v>
      </c>
      <c r="J15361" s="14" t="str">
        <f>HYPERLINK("https://www.boe.es/gazeta/dias/1839/08/01/pdfs/GMD-1839-1721.pdf#page=4","Abrir facsímil")</f>
        <v>Abrir facsímil</v>
      </c>
      <c r="K15361" s="12" t="s">
        <v>65</v>
      </c>
    </row>
    <row r="15362" spans="1:11" ht="40.049999999999997" customHeight="1" x14ac:dyDescent="0.25">
      <c r="A15362" s="11" t="s">
        <v>30162</v>
      </c>
      <c r="B15362" s="11" t="s">
        <v>30163</v>
      </c>
      <c r="C15362" s="11" t="s">
        <v>80</v>
      </c>
      <c r="D15362" s="11" t="s">
        <v>173</v>
      </c>
      <c r="E15362" s="12" t="s">
        <v>2839</v>
      </c>
      <c r="F15362" s="12" t="s">
        <v>2840</v>
      </c>
      <c r="G15362" s="12" t="s">
        <v>29</v>
      </c>
      <c r="H15362" s="11" t="s">
        <v>63</v>
      </c>
      <c r="I15362" s="13" t="s">
        <v>30165</v>
      </c>
      <c r="J15362" s="14" t="str">
        <f>HYPERLINK("https://www.boe.es/gazeta/dias/1839/03/06/pdfs/GMD-1839-1572.pdf#page=1","Abrir facsímil")</f>
        <v>Abrir facsímil</v>
      </c>
      <c r="K15362" s="12" t="s">
        <v>65</v>
      </c>
    </row>
    <row r="15363" spans="1:11" ht="40.049999999999997" customHeight="1" x14ac:dyDescent="0.25">
      <c r="A15363" s="11" t="s">
        <v>30162</v>
      </c>
      <c r="B15363" s="11" t="s">
        <v>30163</v>
      </c>
      <c r="C15363" s="11" t="s">
        <v>17</v>
      </c>
      <c r="D15363" s="11" t="s">
        <v>43</v>
      </c>
      <c r="E15363" s="12" t="s">
        <v>1019</v>
      </c>
      <c r="F15363" s="12" t="s">
        <v>1020</v>
      </c>
      <c r="G15363" s="12" t="s">
        <v>21</v>
      </c>
      <c r="H15363" s="11" t="s">
        <v>63</v>
      </c>
      <c r="I15363" s="13" t="s">
        <v>30166</v>
      </c>
      <c r="J15363" s="14" t="str">
        <f>HYPERLINK("https://www.boe.es/gazeta/dias/1839/07/15/pdfs/GMD-1839-1703.pdf#page=4","Abrir facsímil")</f>
        <v>Abrir facsímil</v>
      </c>
      <c r="K15363" s="12" t="s">
        <v>65</v>
      </c>
    </row>
    <row r="15364" spans="1:11" ht="40.049999999999997" customHeight="1" x14ac:dyDescent="0.25">
      <c r="A15364" s="11" t="s">
        <v>30162</v>
      </c>
      <c r="B15364" s="11" t="s">
        <v>30163</v>
      </c>
      <c r="C15364" s="11" t="s">
        <v>17</v>
      </c>
      <c r="D15364" s="11" t="s">
        <v>18</v>
      </c>
      <c r="E15364" s="12" t="s">
        <v>1672</v>
      </c>
      <c r="F15364" s="12" t="s">
        <v>1673</v>
      </c>
      <c r="G15364" s="12" t="s">
        <v>21</v>
      </c>
      <c r="H15364" s="11" t="s">
        <v>63</v>
      </c>
      <c r="I15364" s="13" t="s">
        <v>30167</v>
      </c>
      <c r="J15364" s="14" t="str">
        <f>HYPERLINK("https://www.boe.es/gazeta/dias/1839/08/24/pdfs/GMD-1839-1745.pdf#page=4","Abrir facsímil")</f>
        <v>Abrir facsímil</v>
      </c>
      <c r="K15364" s="12" t="s">
        <v>65</v>
      </c>
    </row>
    <row r="15365" spans="1:11" ht="40.049999999999997" customHeight="1" x14ac:dyDescent="0.25">
      <c r="A15365" s="11" t="s">
        <v>30162</v>
      </c>
      <c r="B15365" s="11" t="s">
        <v>30163</v>
      </c>
      <c r="C15365" s="11" t="s">
        <v>80</v>
      </c>
      <c r="D15365" s="11" t="s">
        <v>18</v>
      </c>
      <c r="E15365" s="12" t="s">
        <v>89</v>
      </c>
      <c r="F15365" s="12" t="s">
        <v>90</v>
      </c>
      <c r="G15365" s="12" t="s">
        <v>21</v>
      </c>
      <c r="H15365" s="11" t="s">
        <v>63</v>
      </c>
      <c r="I15365" s="13" t="s">
        <v>30168</v>
      </c>
      <c r="J15365" s="14" t="str">
        <f>HYPERLINK("https://www.boe.es/gazeta/dias/1839/11/28/pdfs/GMD-1839-1845.pdf#page=4","Abrir facsímil")</f>
        <v>Abrir facsímil</v>
      </c>
      <c r="K15365" s="12" t="s">
        <v>65</v>
      </c>
    </row>
    <row r="15366" spans="1:11" ht="40.049999999999997" customHeight="1" x14ac:dyDescent="0.25">
      <c r="A15366" s="11" t="s">
        <v>30169</v>
      </c>
      <c r="B15366" s="11" t="s">
        <v>30170</v>
      </c>
      <c r="C15366" s="11" t="s">
        <v>17</v>
      </c>
      <c r="D15366" s="11" t="s">
        <v>18</v>
      </c>
      <c r="E15366" s="12" t="s">
        <v>1079</v>
      </c>
      <c r="F15366" s="12" t="s">
        <v>1080</v>
      </c>
      <c r="G15366" s="12" t="s">
        <v>46</v>
      </c>
      <c r="H15366" s="11" t="s">
        <v>63</v>
      </c>
      <c r="I15366" s="13" t="s">
        <v>30171</v>
      </c>
      <c r="J15366" s="14" t="str">
        <f>HYPERLINK("https://www.boe.es/gazeta/dias/1839/05/24/pdfs/GMD-1839-1651.pdf#page=3","Abrir facsímil")</f>
        <v>Abrir facsímil</v>
      </c>
      <c r="K15366" s="12" t="s">
        <v>65</v>
      </c>
    </row>
    <row r="15367" spans="1:11" ht="40.049999999999997" customHeight="1" x14ac:dyDescent="0.25">
      <c r="A15367" s="11" t="s">
        <v>30172</v>
      </c>
      <c r="B15367" s="11" t="s">
        <v>30173</v>
      </c>
      <c r="C15367" s="11" t="s">
        <v>17</v>
      </c>
      <c r="D15367" s="11" t="s">
        <v>18</v>
      </c>
      <c r="E15367" s="12" t="s">
        <v>3134</v>
      </c>
      <c r="F15367" s="12" t="s">
        <v>3135</v>
      </c>
      <c r="G15367" s="12" t="s">
        <v>29</v>
      </c>
      <c r="H15367" s="11" t="s">
        <v>63</v>
      </c>
      <c r="I15367" s="13" t="s">
        <v>30174</v>
      </c>
      <c r="J15367" s="14" t="str">
        <f>HYPERLINK("https://www.boe.es/gazeta/dias/1839/08/09/pdfs/GMD-1839-1729.pdf#page=1","Abrir facsímil")</f>
        <v>Abrir facsímil</v>
      </c>
      <c r="K15367" s="12" t="s">
        <v>65</v>
      </c>
    </row>
    <row r="15368" spans="1:11" ht="40.049999999999997" customHeight="1" x14ac:dyDescent="0.25">
      <c r="A15368" s="11" t="s">
        <v>30175</v>
      </c>
      <c r="B15368" s="11" t="s">
        <v>30176</v>
      </c>
      <c r="C15368" s="11" t="s">
        <v>80</v>
      </c>
      <c r="D15368" s="11" t="s">
        <v>18</v>
      </c>
      <c r="E15368" s="12" t="s">
        <v>433</v>
      </c>
      <c r="F15368" s="12" t="s">
        <v>434</v>
      </c>
      <c r="G15368" s="12" t="s">
        <v>21</v>
      </c>
      <c r="H15368" s="11" t="s">
        <v>63</v>
      </c>
      <c r="I15368" s="13" t="s">
        <v>30177</v>
      </c>
      <c r="J15368" s="14" t="str">
        <f>HYPERLINK("https://www.boe.es/gazeta/dias/1839/01/20/pdfs/GMD-1839-1527.pdf#page=4","Abrir facsímil")</f>
        <v>Abrir facsímil</v>
      </c>
      <c r="K15368" s="12" t="s">
        <v>65</v>
      </c>
    </row>
    <row r="15369" spans="1:11" ht="40.049999999999997" customHeight="1" x14ac:dyDescent="0.25">
      <c r="A15369" s="11" t="s">
        <v>30178</v>
      </c>
      <c r="B15369" s="11" t="s">
        <v>30179</v>
      </c>
      <c r="C15369" s="11" t="s">
        <v>17</v>
      </c>
      <c r="D15369" s="11" t="s">
        <v>18</v>
      </c>
      <c r="E15369" s="12" t="s">
        <v>1179</v>
      </c>
      <c r="F15369" s="12" t="s">
        <v>1180</v>
      </c>
      <c r="G15369" s="12" t="s">
        <v>40</v>
      </c>
      <c r="H15369" s="11" t="s">
        <v>63</v>
      </c>
      <c r="I15369" s="13" t="s">
        <v>30180</v>
      </c>
      <c r="J15369" s="14" t="str">
        <f>HYPERLINK("https://www.boe.es/gazeta/dias/1839/10/18/pdfs/GMD-1839-1804.pdf#page=2","Abrir facsímil")</f>
        <v>Abrir facsímil</v>
      </c>
      <c r="K15369" s="12" t="s">
        <v>65</v>
      </c>
    </row>
    <row r="15370" spans="1:11" ht="40.049999999999997" customHeight="1" x14ac:dyDescent="0.25">
      <c r="A15370" s="11" t="s">
        <v>30181</v>
      </c>
      <c r="B15370" s="11" t="s">
        <v>30182</v>
      </c>
      <c r="C15370" s="11" t="s">
        <v>80</v>
      </c>
      <c r="D15370" s="11" t="s">
        <v>18</v>
      </c>
      <c r="E15370" s="12" t="s">
        <v>1179</v>
      </c>
      <c r="F15370" s="12" t="s">
        <v>1180</v>
      </c>
      <c r="G15370" s="12" t="s">
        <v>305</v>
      </c>
      <c r="H15370" s="11" t="s">
        <v>63</v>
      </c>
      <c r="I15370" s="13" t="s">
        <v>30183</v>
      </c>
      <c r="J15370" s="14" t="str">
        <f>HYPERLINK("https://www.boe.es/gazeta/dias/1839/10/18/pdfs/GMD-1839-1804.pdf#page=6","Abrir facsímil")</f>
        <v>Abrir facsímil</v>
      </c>
      <c r="K15370" s="12" t="s">
        <v>65</v>
      </c>
    </row>
    <row r="15371" spans="1:11" ht="40.049999999999997" customHeight="1" x14ac:dyDescent="0.25">
      <c r="A15371" s="11" t="s">
        <v>30184</v>
      </c>
      <c r="B15371" s="11" t="s">
        <v>30185</v>
      </c>
      <c r="C15371" s="11" t="s">
        <v>17</v>
      </c>
      <c r="D15371" s="11" t="s">
        <v>18</v>
      </c>
      <c r="E15371" s="12" t="s">
        <v>1336</v>
      </c>
      <c r="F15371" s="12" t="s">
        <v>1337</v>
      </c>
      <c r="G15371" s="12" t="s">
        <v>29</v>
      </c>
      <c r="H15371" s="11" t="s">
        <v>63</v>
      </c>
      <c r="I15371" s="13" t="s">
        <v>30186</v>
      </c>
      <c r="J15371" s="14" t="str">
        <f>HYPERLINK("https://www.boe.es/gazeta/dias/1839/02/26/pdfs/GMD-1839-1564.pdf#page=1","Abrir facsímil")</f>
        <v>Abrir facsímil</v>
      </c>
      <c r="K15371" s="12" t="s">
        <v>65</v>
      </c>
    </row>
    <row r="15372" spans="1:11" ht="40.049999999999997" customHeight="1" x14ac:dyDescent="0.25">
      <c r="A15372" s="11" t="s">
        <v>30187</v>
      </c>
      <c r="B15372" s="11" t="s">
        <v>30188</v>
      </c>
      <c r="C15372" s="11" t="s">
        <v>17</v>
      </c>
      <c r="D15372" s="11" t="s">
        <v>18</v>
      </c>
      <c r="E15372" s="12" t="s">
        <v>258</v>
      </c>
      <c r="F15372" s="12" t="s">
        <v>259</v>
      </c>
      <c r="G15372" s="12" t="s">
        <v>21</v>
      </c>
      <c r="H15372" s="11" t="s">
        <v>22</v>
      </c>
      <c r="I15372" s="13" t="s">
        <v>30189</v>
      </c>
      <c r="J15372" s="14" t="str">
        <f>HYPERLINK("https://www.boe.es/gazeta/dias/1839/01/02/pdfs/GMD-1839-1509.pdf#page=4","Abrir facsímil")</f>
        <v>Abrir facsímil</v>
      </c>
      <c r="K15372" s="12" t="s">
        <v>24</v>
      </c>
    </row>
    <row r="15373" spans="1:11" ht="40.049999999999997" customHeight="1" x14ac:dyDescent="0.25">
      <c r="A15373" s="11" t="s">
        <v>30190</v>
      </c>
      <c r="B15373" s="11" t="s">
        <v>30191</v>
      </c>
      <c r="C15373" s="11" t="s">
        <v>17</v>
      </c>
      <c r="D15373" s="11" t="s">
        <v>18</v>
      </c>
      <c r="E15373" s="12" t="s">
        <v>160</v>
      </c>
      <c r="F15373" s="12" t="s">
        <v>161</v>
      </c>
      <c r="G15373" s="12" t="s">
        <v>40</v>
      </c>
      <c r="H15373" s="11" t="s">
        <v>63</v>
      </c>
      <c r="I15373" s="13" t="s">
        <v>30192</v>
      </c>
      <c r="J15373" s="14" t="str">
        <f>HYPERLINK("https://www.boe.es/gazeta/dias/1839/01/10/pdfs/GMD-1839-1517.pdf#page=2","Abrir facsímil")</f>
        <v>Abrir facsímil</v>
      </c>
      <c r="K15373" s="12" t="s">
        <v>65</v>
      </c>
    </row>
    <row r="15374" spans="1:11" ht="40.049999999999997" customHeight="1" x14ac:dyDescent="0.25">
      <c r="A15374" s="11" t="s">
        <v>30190</v>
      </c>
      <c r="B15374" s="11" t="s">
        <v>30191</v>
      </c>
      <c r="C15374" s="11" t="s">
        <v>17</v>
      </c>
      <c r="D15374" s="11" t="s">
        <v>18</v>
      </c>
      <c r="E15374" s="12" t="s">
        <v>929</v>
      </c>
      <c r="F15374" s="12" t="s">
        <v>930</v>
      </c>
      <c r="G15374" s="12" t="s">
        <v>46</v>
      </c>
      <c r="H15374" s="11" t="s">
        <v>63</v>
      </c>
      <c r="I15374" s="13" t="s">
        <v>30193</v>
      </c>
      <c r="J15374" s="14" t="str">
        <f>HYPERLINK("https://www.boe.es/gazeta/dias/1839/01/31/pdfs/GMD-1839-1538.pdf#page=3","Abrir facsímil")</f>
        <v>Abrir facsímil</v>
      </c>
      <c r="K15374" s="12" t="s">
        <v>65</v>
      </c>
    </row>
    <row r="15375" spans="1:11" ht="40.049999999999997" customHeight="1" x14ac:dyDescent="0.25">
      <c r="A15375" s="11" t="s">
        <v>30194</v>
      </c>
      <c r="B15375" s="11" t="s">
        <v>30195</v>
      </c>
      <c r="C15375" s="11" t="s">
        <v>17</v>
      </c>
      <c r="D15375" s="11" t="s">
        <v>18</v>
      </c>
      <c r="E15375" s="12" t="s">
        <v>5845</v>
      </c>
      <c r="F15375" s="12" t="s">
        <v>5846</v>
      </c>
      <c r="G15375" s="12" t="s">
        <v>29</v>
      </c>
      <c r="H15375" s="11" t="s">
        <v>63</v>
      </c>
      <c r="I15375" s="13" t="s">
        <v>30196</v>
      </c>
      <c r="J15375" s="14" t="str">
        <f>HYPERLINK("https://www.boe.es/gazeta/dias/1839/04/01/pdfs/GMD-1839-1598.pdf#page=1","Abrir facsímil")</f>
        <v>Abrir facsímil</v>
      </c>
      <c r="K15375" s="12" t="s">
        <v>65</v>
      </c>
    </row>
    <row r="15376" spans="1:11" ht="40.049999999999997" customHeight="1" x14ac:dyDescent="0.25">
      <c r="A15376" s="11" t="s">
        <v>30197</v>
      </c>
      <c r="B15376" s="11" t="s">
        <v>30198</v>
      </c>
      <c r="C15376" s="11" t="s">
        <v>80</v>
      </c>
      <c r="D15376" s="11" t="s">
        <v>173</v>
      </c>
      <c r="E15376" s="12" t="s">
        <v>181</v>
      </c>
      <c r="F15376" s="12" t="s">
        <v>182</v>
      </c>
      <c r="G15376" s="12" t="s">
        <v>29</v>
      </c>
      <c r="H15376" s="11" t="s">
        <v>63</v>
      </c>
      <c r="I15376" s="13" t="s">
        <v>30199</v>
      </c>
      <c r="J15376" s="14" t="str">
        <f>HYPERLINK("https://www.boe.es/gazeta/dias/1839/01/11/pdfs/GMD-1839-1518.pdf#page=1","Abrir facsímil")</f>
        <v>Abrir facsímil</v>
      </c>
      <c r="K15376" s="12" t="s">
        <v>65</v>
      </c>
    </row>
    <row r="15377" spans="1:11" ht="40.049999999999997" customHeight="1" x14ac:dyDescent="0.25">
      <c r="A15377" s="11" t="s">
        <v>30200</v>
      </c>
      <c r="B15377" s="11" t="s">
        <v>30201</v>
      </c>
      <c r="C15377" s="11" t="s">
        <v>17</v>
      </c>
      <c r="D15377" s="11" t="s">
        <v>18</v>
      </c>
      <c r="E15377" s="12" t="s">
        <v>998</v>
      </c>
      <c r="F15377" s="12" t="s">
        <v>999</v>
      </c>
      <c r="G15377" s="12" t="s">
        <v>40</v>
      </c>
      <c r="H15377" s="11" t="s">
        <v>63</v>
      </c>
      <c r="I15377" s="13" t="s">
        <v>30202</v>
      </c>
      <c r="J15377" s="14" t="str">
        <f>HYPERLINK("https://www.boe.es/gazeta/dias/1839/05/06/pdfs/GMD-1839-1633.pdf#page=2","Abrir facsímil")</f>
        <v>Abrir facsímil</v>
      </c>
      <c r="K15377" s="12" t="s">
        <v>65</v>
      </c>
    </row>
    <row r="15378" spans="1:11" ht="40.049999999999997" customHeight="1" x14ac:dyDescent="0.25">
      <c r="A15378" s="11" t="s">
        <v>30203</v>
      </c>
      <c r="B15378" s="11" t="s">
        <v>30204</v>
      </c>
      <c r="C15378" s="11" t="s">
        <v>17</v>
      </c>
      <c r="D15378" s="11" t="s">
        <v>18</v>
      </c>
      <c r="E15378" s="12" t="s">
        <v>984</v>
      </c>
      <c r="F15378" s="12" t="s">
        <v>985</v>
      </c>
      <c r="G15378" s="12" t="s">
        <v>40</v>
      </c>
      <c r="H15378" s="11" t="s">
        <v>63</v>
      </c>
      <c r="I15378" s="13" t="s">
        <v>30205</v>
      </c>
      <c r="J15378" s="14" t="str">
        <f>HYPERLINK("https://www.boe.es/gazeta/dias/1839/04/10/pdfs/GMD-1839-1607.pdf#page=2","Abrir facsímil")</f>
        <v>Abrir facsímil</v>
      </c>
      <c r="K15378" s="12" t="s">
        <v>65</v>
      </c>
    </row>
    <row r="15379" spans="1:11" ht="40.049999999999997" customHeight="1" x14ac:dyDescent="0.25">
      <c r="A15379" s="11" t="s">
        <v>30206</v>
      </c>
      <c r="B15379" s="11" t="s">
        <v>30207</v>
      </c>
      <c r="C15379" s="11" t="s">
        <v>59</v>
      </c>
      <c r="D15379" s="11" t="s">
        <v>60</v>
      </c>
      <c r="E15379" s="12" t="s">
        <v>1512</v>
      </c>
      <c r="F15379" s="12" t="s">
        <v>1513</v>
      </c>
      <c r="G15379" s="12" t="s">
        <v>46</v>
      </c>
      <c r="H15379" s="11" t="s">
        <v>63</v>
      </c>
      <c r="I15379" s="13" t="s">
        <v>30208</v>
      </c>
      <c r="J15379" s="14" t="str">
        <f>HYPERLINK("https://www.boe.es/gazeta/dias/1839/04/13/pdfs/GMD-1839-1610.pdf#page=3","Abrir facsímil")</f>
        <v>Abrir facsímil</v>
      </c>
      <c r="K15379" s="12" t="s">
        <v>65</v>
      </c>
    </row>
    <row r="15380" spans="1:11" ht="40.049999999999997" customHeight="1" x14ac:dyDescent="0.25">
      <c r="A15380" s="11" t="s">
        <v>30209</v>
      </c>
      <c r="B15380" s="11" t="s">
        <v>30210</v>
      </c>
      <c r="C15380" s="11" t="s">
        <v>80</v>
      </c>
      <c r="D15380" s="11" t="s">
        <v>18</v>
      </c>
      <c r="E15380" s="12" t="s">
        <v>1614</v>
      </c>
      <c r="F15380" s="12" t="s">
        <v>1615</v>
      </c>
      <c r="G15380" s="12" t="s">
        <v>21</v>
      </c>
      <c r="H15380" s="11" t="s">
        <v>22</v>
      </c>
      <c r="I15380" s="13" t="s">
        <v>30211</v>
      </c>
      <c r="J15380" s="14" t="str">
        <f>HYPERLINK("https://www.boe.es/gazeta/dias/1839/07/03/pdfs/GMD-1839-1691.pdf#page=4","Abrir facsímil")</f>
        <v>Abrir facsímil</v>
      </c>
      <c r="K15380" s="12" t="s">
        <v>24</v>
      </c>
    </row>
    <row r="15381" spans="1:11" ht="40.049999999999997" customHeight="1" x14ac:dyDescent="0.25">
      <c r="A15381" s="11" t="s">
        <v>30212</v>
      </c>
      <c r="B15381" s="11" t="s">
        <v>30213</v>
      </c>
      <c r="C15381" s="11" t="s">
        <v>137</v>
      </c>
      <c r="D15381" s="11" t="s">
        <v>18</v>
      </c>
      <c r="E15381" s="12" t="s">
        <v>1772</v>
      </c>
      <c r="F15381" s="12" t="s">
        <v>1773</v>
      </c>
      <c r="G15381" s="12" t="s">
        <v>40</v>
      </c>
      <c r="H15381" s="11" t="s">
        <v>63</v>
      </c>
      <c r="I15381" s="13" t="s">
        <v>30214</v>
      </c>
      <c r="J15381" s="14" t="str">
        <f>HYPERLINK("https://www.boe.es/gazeta/dias/1839/05/07/pdfs/GMD-1839-1634.pdf#page=2","Abrir facsímil")</f>
        <v>Abrir facsímil</v>
      </c>
      <c r="K15381" s="12" t="s">
        <v>65</v>
      </c>
    </row>
    <row r="15382" spans="1:11" ht="40.049999999999997" customHeight="1" x14ac:dyDescent="0.25">
      <c r="A15382" s="11" t="s">
        <v>30215</v>
      </c>
      <c r="B15382" s="11" t="s">
        <v>30216</v>
      </c>
      <c r="C15382" s="11" t="s">
        <v>137</v>
      </c>
      <c r="D15382" s="11" t="s">
        <v>18</v>
      </c>
      <c r="E15382" s="12" t="s">
        <v>951</v>
      </c>
      <c r="F15382" s="12" t="s">
        <v>952</v>
      </c>
      <c r="G15382" s="12" t="s">
        <v>21</v>
      </c>
      <c r="H15382" s="11" t="s">
        <v>63</v>
      </c>
      <c r="I15382" s="13" t="s">
        <v>30217</v>
      </c>
      <c r="J15382" s="14" t="str">
        <f>HYPERLINK("https://www.boe.es/gazeta/dias/1839/12/30/pdfs/GMD-1839-1877.pdf#page=4","Abrir facsímil")</f>
        <v>Abrir facsímil</v>
      </c>
      <c r="K15382" s="12" t="s">
        <v>65</v>
      </c>
    </row>
    <row r="15383" spans="1:11" ht="40.049999999999997" customHeight="1" x14ac:dyDescent="0.25">
      <c r="A15383" s="11" t="s">
        <v>30218</v>
      </c>
      <c r="B15383" s="11" t="s">
        <v>30219</v>
      </c>
      <c r="C15383" s="11" t="s">
        <v>17</v>
      </c>
      <c r="D15383" s="11" t="s">
        <v>18</v>
      </c>
      <c r="E15383" s="12" t="s">
        <v>1666</v>
      </c>
      <c r="F15383" s="12" t="s">
        <v>1667</v>
      </c>
      <c r="G15383" s="12" t="s">
        <v>21</v>
      </c>
      <c r="H15383" s="11" t="s">
        <v>63</v>
      </c>
      <c r="I15383" s="13" t="s">
        <v>30220</v>
      </c>
      <c r="J15383" s="14" t="str">
        <f>HYPERLINK("https://www.boe.es/gazeta/dias/1839/04/22/pdfs/GMD-1839-1619.pdf#page=4","Abrir facsímil")</f>
        <v>Abrir facsímil</v>
      </c>
      <c r="K15383" s="12" t="s">
        <v>65</v>
      </c>
    </row>
    <row r="15384" spans="1:11" ht="40.049999999999997" customHeight="1" x14ac:dyDescent="0.25">
      <c r="A15384" s="11" t="s">
        <v>30221</v>
      </c>
      <c r="B15384" s="11" t="s">
        <v>30222</v>
      </c>
      <c r="C15384" s="11" t="s">
        <v>17</v>
      </c>
      <c r="D15384" s="11" t="s">
        <v>18</v>
      </c>
      <c r="E15384" s="12" t="s">
        <v>474</v>
      </c>
      <c r="F15384" s="12" t="s">
        <v>475</v>
      </c>
      <c r="G15384" s="12" t="s">
        <v>21</v>
      </c>
      <c r="H15384" s="11" t="s">
        <v>63</v>
      </c>
      <c r="I15384" s="13" t="s">
        <v>30223</v>
      </c>
      <c r="J15384" s="14" t="str">
        <f>HYPERLINK("https://www.boe.es/gazeta/dias/1839/03/31/pdfs/GMD-1839-1597.pdf#page=4","Abrir facsímil")</f>
        <v>Abrir facsímil</v>
      </c>
      <c r="K15384" s="12" t="s">
        <v>65</v>
      </c>
    </row>
    <row r="15385" spans="1:11" ht="40.049999999999997" customHeight="1" x14ac:dyDescent="0.25">
      <c r="A15385" s="11" t="s">
        <v>30224</v>
      </c>
      <c r="B15385" s="11" t="s">
        <v>30225</v>
      </c>
      <c r="C15385" s="11" t="s">
        <v>17</v>
      </c>
      <c r="D15385" s="11" t="s">
        <v>18</v>
      </c>
      <c r="E15385" s="12" t="s">
        <v>690</v>
      </c>
      <c r="F15385" s="12" t="s">
        <v>691</v>
      </c>
      <c r="G15385" s="12" t="s">
        <v>29</v>
      </c>
      <c r="H15385" s="11" t="s">
        <v>63</v>
      </c>
      <c r="I15385" s="13" t="s">
        <v>30226</v>
      </c>
      <c r="J15385" s="14" t="str">
        <f>HYPERLINK("https://www.boe.es/gazeta/dias/1839/12/08/pdfs/GMD-1839-1855.pdf#page=1","Abrir facsímil")</f>
        <v>Abrir facsímil</v>
      </c>
      <c r="K15385" s="12" t="s">
        <v>65</v>
      </c>
    </row>
    <row r="15386" spans="1:11" ht="40.049999999999997" customHeight="1" x14ac:dyDescent="0.25">
      <c r="A15386" s="11" t="s">
        <v>30227</v>
      </c>
      <c r="B15386" s="11" t="s">
        <v>30228</v>
      </c>
      <c r="C15386" s="11" t="s">
        <v>101</v>
      </c>
      <c r="D15386" s="11" t="s">
        <v>43</v>
      </c>
      <c r="E15386" s="12" t="s">
        <v>254</v>
      </c>
      <c r="F15386" s="12" t="s">
        <v>255</v>
      </c>
      <c r="G15386" s="12" t="s">
        <v>40</v>
      </c>
      <c r="H15386" s="11" t="s">
        <v>63</v>
      </c>
      <c r="I15386" s="13" t="s">
        <v>30229</v>
      </c>
      <c r="J15386" s="14" t="str">
        <f>HYPERLINK("https://www.boe.es/gazeta/dias/1839/09/12/pdfs/GMD-1839-1765.pdf#page=2","Abrir facsímil")</f>
        <v>Abrir facsímil</v>
      </c>
      <c r="K15386" s="12" t="s">
        <v>65</v>
      </c>
    </row>
    <row r="15387" spans="1:11" ht="40.049999999999997" customHeight="1" x14ac:dyDescent="0.25">
      <c r="A15387" s="11" t="s">
        <v>30230</v>
      </c>
      <c r="B15387" s="11" t="s">
        <v>30231</v>
      </c>
      <c r="C15387" s="11" t="s">
        <v>17</v>
      </c>
      <c r="D15387" s="11" t="s">
        <v>18</v>
      </c>
      <c r="E15387" s="12" t="s">
        <v>258</v>
      </c>
      <c r="F15387" s="12" t="s">
        <v>259</v>
      </c>
      <c r="G15387" s="12" t="s">
        <v>46</v>
      </c>
      <c r="H15387" s="11" t="s">
        <v>22</v>
      </c>
      <c r="I15387" s="13" t="s">
        <v>30232</v>
      </c>
      <c r="J15387" s="14" t="str">
        <f>HYPERLINK("https://www.boe.es/gazeta/dias/1839/01/02/pdfs/GMD-1839-1509.pdf#page=3","Abrir facsímil")</f>
        <v>Abrir facsímil</v>
      </c>
      <c r="K15387" s="12" t="s">
        <v>24</v>
      </c>
    </row>
    <row r="15388" spans="1:11" ht="40.049999999999997" customHeight="1" x14ac:dyDescent="0.25">
      <c r="A15388" s="11" t="s">
        <v>30233</v>
      </c>
      <c r="B15388" s="11" t="s">
        <v>30234</v>
      </c>
      <c r="C15388" s="11" t="s">
        <v>17</v>
      </c>
      <c r="D15388" s="11" t="s">
        <v>18</v>
      </c>
      <c r="E15388" s="12" t="s">
        <v>1779</v>
      </c>
      <c r="F15388" s="12" t="s">
        <v>1780</v>
      </c>
      <c r="G15388" s="12" t="s">
        <v>29</v>
      </c>
      <c r="H15388" s="11" t="s">
        <v>63</v>
      </c>
      <c r="I15388" s="13" t="s">
        <v>30235</v>
      </c>
      <c r="J15388" s="14" t="str">
        <f>HYPERLINK("https://www.boe.es/gazeta/dias/1839/03/18/pdfs/GMD-1839-1584.pdf#page=1","Abrir facsímil")</f>
        <v>Abrir facsímil</v>
      </c>
      <c r="K15388" s="12" t="s">
        <v>65</v>
      </c>
    </row>
    <row r="15389" spans="1:11" ht="40.049999999999997" customHeight="1" x14ac:dyDescent="0.25">
      <c r="A15389" s="11" t="s">
        <v>30236</v>
      </c>
      <c r="B15389" s="11" t="s">
        <v>30237</v>
      </c>
      <c r="C15389" s="11" t="s">
        <v>80</v>
      </c>
      <c r="D15389" s="11" t="s">
        <v>18</v>
      </c>
      <c r="E15389" s="12" t="s">
        <v>621</v>
      </c>
      <c r="F15389" s="12" t="s">
        <v>622</v>
      </c>
      <c r="G15389" s="12" t="s">
        <v>29</v>
      </c>
      <c r="H15389" s="11" t="s">
        <v>63</v>
      </c>
      <c r="I15389" s="13" t="s">
        <v>30238</v>
      </c>
      <c r="J15389" s="14" t="str">
        <f>HYPERLINK("https://www.boe.es/gazeta/dias/1839/04/14/pdfs/GMD-1839-1611.pdf#page=1","Abrir facsímil")</f>
        <v>Abrir facsímil</v>
      </c>
      <c r="K15389" s="12" t="s">
        <v>65</v>
      </c>
    </row>
    <row r="15390" spans="1:11" ht="40.049999999999997" customHeight="1" x14ac:dyDescent="0.25">
      <c r="A15390" s="11" t="s">
        <v>30239</v>
      </c>
      <c r="B15390" s="11" t="s">
        <v>30240</v>
      </c>
      <c r="C15390" s="11" t="s">
        <v>101</v>
      </c>
      <c r="D15390" s="11" t="s">
        <v>102</v>
      </c>
      <c r="E15390" s="12" t="s">
        <v>111</v>
      </c>
      <c r="F15390" s="12" t="s">
        <v>112</v>
      </c>
      <c r="G15390" s="12" t="s">
        <v>29</v>
      </c>
      <c r="H15390" s="11" t="s">
        <v>63</v>
      </c>
      <c r="I15390" s="13" t="s">
        <v>30241</v>
      </c>
      <c r="J15390" s="14" t="str">
        <f>HYPERLINK("https://www.boe.es/gazeta/dias/1839/07/25/pdfs/GMD-1839-1714.pdf#page=1","Abrir facsímil")</f>
        <v>Abrir facsímil</v>
      </c>
      <c r="K15390" s="12" t="s">
        <v>65</v>
      </c>
    </row>
    <row r="15391" spans="1:11" ht="40.049999999999997" customHeight="1" x14ac:dyDescent="0.25">
      <c r="A15391" s="11" t="s">
        <v>30242</v>
      </c>
      <c r="B15391" s="11" t="s">
        <v>30243</v>
      </c>
      <c r="C15391" s="11" t="s">
        <v>17</v>
      </c>
      <c r="D15391" s="11" t="s">
        <v>18</v>
      </c>
      <c r="E15391" s="12" t="s">
        <v>258</v>
      </c>
      <c r="F15391" s="12" t="s">
        <v>259</v>
      </c>
      <c r="G15391" s="12" t="s">
        <v>40</v>
      </c>
      <c r="H15391" s="11" t="s">
        <v>63</v>
      </c>
      <c r="I15391" s="13" t="s">
        <v>30244</v>
      </c>
      <c r="J15391" s="14" t="str">
        <f>HYPERLINK("https://www.boe.es/gazeta/dias/1839/01/02/pdfs/GMD-1839-1509.pdf#page=2","Abrir facsímil")</f>
        <v>Abrir facsímil</v>
      </c>
      <c r="K15391" s="12" t="s">
        <v>65</v>
      </c>
    </row>
    <row r="15392" spans="1:11" ht="40.049999999999997" customHeight="1" x14ac:dyDescent="0.25">
      <c r="A15392" s="11" t="s">
        <v>30245</v>
      </c>
      <c r="B15392" s="11" t="s">
        <v>30246</v>
      </c>
      <c r="C15392" s="11" t="s">
        <v>17</v>
      </c>
      <c r="D15392" s="11" t="s">
        <v>18</v>
      </c>
      <c r="E15392" s="12" t="s">
        <v>222</v>
      </c>
      <c r="F15392" s="12" t="s">
        <v>223</v>
      </c>
      <c r="G15392" s="12" t="s">
        <v>21</v>
      </c>
      <c r="H15392" s="11" t="s">
        <v>63</v>
      </c>
      <c r="I15392" s="13" t="s">
        <v>30247</v>
      </c>
      <c r="J15392" s="14" t="str">
        <f>HYPERLINK("https://www.boe.es/gazeta/dias/1839/06/22/pdfs/GMD-1839-1680.pdf#page=4","Abrir facsímil")</f>
        <v>Abrir facsímil</v>
      </c>
      <c r="K15392" s="12" t="s">
        <v>65</v>
      </c>
    </row>
    <row r="15393" spans="1:11" ht="40.049999999999997" customHeight="1" x14ac:dyDescent="0.25">
      <c r="A15393" s="11" t="s">
        <v>30248</v>
      </c>
      <c r="B15393" s="11" t="s">
        <v>30249</v>
      </c>
      <c r="C15393" s="11" t="s">
        <v>80</v>
      </c>
      <c r="D15393" s="11" t="s">
        <v>18</v>
      </c>
      <c r="E15393" s="12" t="s">
        <v>2962</v>
      </c>
      <c r="F15393" s="12" t="s">
        <v>2963</v>
      </c>
      <c r="G15393" s="12" t="s">
        <v>21</v>
      </c>
      <c r="H15393" s="11" t="s">
        <v>63</v>
      </c>
      <c r="I15393" s="13" t="s">
        <v>30250</v>
      </c>
      <c r="J15393" s="14" t="str">
        <f>HYPERLINK("https://www.boe.es/gazeta/dias/1839/12/21/pdfs/GMD-1839-1868.pdf#page=4","Abrir facsímil")</f>
        <v>Abrir facsímil</v>
      </c>
      <c r="K15393" s="12" t="s">
        <v>65</v>
      </c>
    </row>
    <row r="15394" spans="1:11" ht="40.049999999999997" customHeight="1" x14ac:dyDescent="0.25">
      <c r="A15394" s="11" t="s">
        <v>30251</v>
      </c>
      <c r="B15394" s="11" t="s">
        <v>30252</v>
      </c>
      <c r="C15394" s="11" t="s">
        <v>17</v>
      </c>
      <c r="D15394" s="11" t="s">
        <v>18</v>
      </c>
      <c r="E15394" s="12" t="s">
        <v>1139</v>
      </c>
      <c r="F15394" s="12" t="s">
        <v>1140</v>
      </c>
      <c r="G15394" s="12" t="s">
        <v>29</v>
      </c>
      <c r="H15394" s="11" t="s">
        <v>63</v>
      </c>
      <c r="I15394" s="13" t="s">
        <v>30253</v>
      </c>
      <c r="J15394" s="14" t="str">
        <f>HYPERLINK("https://www.boe.es/gazeta/dias/1839/02/15/pdfs/GMD-1839-1553.pdf#page=1","Abrir facsímil")</f>
        <v>Abrir facsímil</v>
      </c>
      <c r="K15394" s="12" t="s">
        <v>65</v>
      </c>
    </row>
    <row r="15395" spans="1:11" ht="40.049999999999997" customHeight="1" x14ac:dyDescent="0.25">
      <c r="A15395" s="11" t="s">
        <v>30254</v>
      </c>
      <c r="B15395" s="11" t="s">
        <v>30255</v>
      </c>
      <c r="C15395" s="11" t="s">
        <v>80</v>
      </c>
      <c r="D15395" s="11" t="s">
        <v>18</v>
      </c>
      <c r="E15395" s="12" t="s">
        <v>89</v>
      </c>
      <c r="F15395" s="12" t="s">
        <v>90</v>
      </c>
      <c r="G15395" s="12" t="s">
        <v>21</v>
      </c>
      <c r="H15395" s="11" t="s">
        <v>63</v>
      </c>
      <c r="I15395" s="13" t="s">
        <v>30256</v>
      </c>
      <c r="J15395" s="14" t="str">
        <f>HYPERLINK("https://www.boe.es/gazeta/dias/1839/11/28/pdfs/GMD-1839-1845.pdf#page=4","Abrir facsímil")</f>
        <v>Abrir facsímil</v>
      </c>
      <c r="K15395" s="12" t="s">
        <v>65</v>
      </c>
    </row>
    <row r="15396" spans="1:11" ht="40.049999999999997" customHeight="1" x14ac:dyDescent="0.25">
      <c r="A15396" s="11" t="s">
        <v>30257</v>
      </c>
      <c r="B15396" s="11" t="s">
        <v>30258</v>
      </c>
      <c r="C15396" s="11" t="s">
        <v>17</v>
      </c>
      <c r="D15396" s="11" t="s">
        <v>18</v>
      </c>
      <c r="E15396" s="12" t="s">
        <v>1057</v>
      </c>
      <c r="F15396" s="12" t="s">
        <v>1058</v>
      </c>
      <c r="G15396" s="12" t="s">
        <v>40</v>
      </c>
      <c r="H15396" s="11" t="s">
        <v>63</v>
      </c>
      <c r="I15396" s="13" t="s">
        <v>30259</v>
      </c>
      <c r="J15396" s="14" t="str">
        <f>HYPERLINK("https://www.boe.es/gazeta/dias/1839/10/01/pdfs/GMD-1839-1787.pdf#page=2","Abrir facsímil")</f>
        <v>Abrir facsímil</v>
      </c>
      <c r="K15396" s="12" t="s">
        <v>65</v>
      </c>
    </row>
    <row r="15397" spans="1:11" ht="40.049999999999997" customHeight="1" x14ac:dyDescent="0.25">
      <c r="A15397" s="11" t="s">
        <v>30260</v>
      </c>
      <c r="B15397" s="11" t="s">
        <v>30261</v>
      </c>
      <c r="C15397" s="11" t="s">
        <v>17</v>
      </c>
      <c r="D15397" s="11" t="s">
        <v>18</v>
      </c>
      <c r="E15397" s="12" t="s">
        <v>372</v>
      </c>
      <c r="F15397" s="12" t="s">
        <v>373</v>
      </c>
      <c r="G15397" s="12" t="s">
        <v>46</v>
      </c>
      <c r="H15397" s="11" t="s">
        <v>63</v>
      </c>
      <c r="I15397" s="13" t="s">
        <v>30262</v>
      </c>
      <c r="J15397" s="14" t="str">
        <f>HYPERLINK("https://www.boe.es/gazeta/dias/1839/11/08/pdfs/GMD-1839-1825.pdf#page=3","Abrir facsímil")</f>
        <v>Abrir facsímil</v>
      </c>
      <c r="K15397" s="12" t="s">
        <v>65</v>
      </c>
    </row>
    <row r="15398" spans="1:11" ht="40.049999999999997" customHeight="1" x14ac:dyDescent="0.25">
      <c r="A15398" s="11" t="s">
        <v>30263</v>
      </c>
      <c r="B15398" s="11" t="s">
        <v>30264</v>
      </c>
      <c r="C15398" s="11" t="s">
        <v>17</v>
      </c>
      <c r="D15398" s="11" t="s">
        <v>18</v>
      </c>
      <c r="E15398" s="12" t="s">
        <v>2117</v>
      </c>
      <c r="F15398" s="12" t="s">
        <v>2118</v>
      </c>
      <c r="G15398" s="12" t="s">
        <v>29</v>
      </c>
      <c r="H15398" s="11" t="s">
        <v>63</v>
      </c>
      <c r="I15398" s="13" t="s">
        <v>30265</v>
      </c>
      <c r="J15398" s="14" t="str">
        <f>HYPERLINK("https://www.boe.es/gazeta/dias/1839/06/23/pdfs/GMD-1839-1681.pdf#page=1","Abrir facsímil")</f>
        <v>Abrir facsímil</v>
      </c>
      <c r="K15398" s="12" t="s">
        <v>65</v>
      </c>
    </row>
    <row r="15399" spans="1:11" ht="40.049999999999997" customHeight="1" x14ac:dyDescent="0.25">
      <c r="A15399" s="11" t="s">
        <v>30266</v>
      </c>
      <c r="B15399" s="11" t="s">
        <v>30267</v>
      </c>
      <c r="C15399" s="11" t="s">
        <v>17</v>
      </c>
      <c r="D15399" s="11" t="s">
        <v>18</v>
      </c>
      <c r="E15399" s="12" t="s">
        <v>1685</v>
      </c>
      <c r="F15399" s="12" t="s">
        <v>1686</v>
      </c>
      <c r="G15399" s="12" t="s">
        <v>29</v>
      </c>
      <c r="H15399" s="11" t="s">
        <v>63</v>
      </c>
      <c r="I15399" s="13" t="s">
        <v>30268</v>
      </c>
      <c r="J15399" s="14" t="str">
        <f>HYPERLINK("https://www.boe.es/gazeta/dias/1839/04/27/pdfs/GMD-1839-1624.pdf#page=1","Abrir facsímil")</f>
        <v>Abrir facsímil</v>
      </c>
      <c r="K15399" s="12" t="s">
        <v>65</v>
      </c>
    </row>
    <row r="15400" spans="1:11" ht="40.049999999999997" customHeight="1" x14ac:dyDescent="0.25">
      <c r="A15400" s="11" t="s">
        <v>30269</v>
      </c>
      <c r="B15400" s="11" t="s">
        <v>30270</v>
      </c>
      <c r="C15400" s="11" t="s">
        <v>137</v>
      </c>
      <c r="D15400" s="11" t="s">
        <v>18</v>
      </c>
      <c r="E15400" s="12" t="s">
        <v>1523</v>
      </c>
      <c r="F15400" s="12" t="s">
        <v>1524</v>
      </c>
      <c r="G15400" s="12" t="s">
        <v>29</v>
      </c>
      <c r="H15400" s="11" t="s">
        <v>63</v>
      </c>
      <c r="I15400" s="13" t="s">
        <v>30271</v>
      </c>
      <c r="J15400" s="14" t="str">
        <f>HYPERLINK("https://www.boe.es/gazeta/dias/1839/08/29/pdfs/GMD-1839-1750.pdf#page=1","Abrir facsímil")</f>
        <v>Abrir facsímil</v>
      </c>
      <c r="K15400" s="12" t="s">
        <v>65</v>
      </c>
    </row>
    <row r="15401" spans="1:11" ht="40.049999999999997" customHeight="1" x14ac:dyDescent="0.25">
      <c r="A15401" s="11" t="s">
        <v>30272</v>
      </c>
      <c r="B15401" s="11" t="s">
        <v>30273</v>
      </c>
      <c r="C15401" s="11" t="s">
        <v>101</v>
      </c>
      <c r="D15401" s="11" t="s">
        <v>43</v>
      </c>
      <c r="E15401" s="12" t="s">
        <v>132</v>
      </c>
      <c r="F15401" s="12" t="s">
        <v>133</v>
      </c>
      <c r="G15401" s="12" t="s">
        <v>29</v>
      </c>
      <c r="H15401" s="11" t="s">
        <v>63</v>
      </c>
      <c r="I15401" s="13" t="s">
        <v>30274</v>
      </c>
      <c r="J15401" s="14" t="str">
        <f>HYPERLINK("https://www.boe.es/gazeta/dias/1839/08/02/pdfs/GMD-1839-1722.pdf#page=1","Abrir facsímil")</f>
        <v>Abrir facsímil</v>
      </c>
      <c r="K15401" s="12" t="s">
        <v>65</v>
      </c>
    </row>
    <row r="15402" spans="1:11" ht="40.049999999999997" customHeight="1" x14ac:dyDescent="0.25">
      <c r="A15402" s="11" t="s">
        <v>30272</v>
      </c>
      <c r="B15402" s="11" t="s">
        <v>30273</v>
      </c>
      <c r="C15402" s="11" t="s">
        <v>17</v>
      </c>
      <c r="D15402" s="11" t="s">
        <v>18</v>
      </c>
      <c r="E15402" s="12" t="s">
        <v>2392</v>
      </c>
      <c r="F15402" s="12" t="s">
        <v>2393</v>
      </c>
      <c r="G15402" s="12" t="s">
        <v>40</v>
      </c>
      <c r="H15402" s="11" t="s">
        <v>63</v>
      </c>
      <c r="I15402" s="13" t="s">
        <v>30275</v>
      </c>
      <c r="J15402" s="14" t="str">
        <f>HYPERLINK("https://www.boe.es/gazeta/dias/1839/05/21/pdfs/GMD-1839-1648.pdf#page=2","Abrir facsímil")</f>
        <v>Abrir facsímil</v>
      </c>
      <c r="K15402" s="12" t="s">
        <v>65</v>
      </c>
    </row>
    <row r="15403" spans="1:11" ht="40.049999999999997" customHeight="1" x14ac:dyDescent="0.25">
      <c r="A15403" s="11" t="s">
        <v>30276</v>
      </c>
      <c r="B15403" s="11" t="s">
        <v>30277</v>
      </c>
      <c r="C15403" s="11" t="s">
        <v>17</v>
      </c>
      <c r="D15403" s="11" t="s">
        <v>18</v>
      </c>
      <c r="E15403" s="12" t="s">
        <v>132</v>
      </c>
      <c r="F15403" s="12" t="s">
        <v>133</v>
      </c>
      <c r="G15403" s="12" t="s">
        <v>40</v>
      </c>
      <c r="H15403" s="11" t="s">
        <v>63</v>
      </c>
      <c r="I15403" s="13" t="s">
        <v>30278</v>
      </c>
      <c r="J15403" s="14" t="str">
        <f>HYPERLINK("https://www.boe.es/gazeta/dias/1839/08/02/pdfs/GMD-1839-1722.pdf#page=2","Abrir facsímil")</f>
        <v>Abrir facsímil</v>
      </c>
      <c r="K15403" s="12" t="s">
        <v>65</v>
      </c>
    </row>
    <row r="15404" spans="1:11" ht="40.049999999999997" customHeight="1" x14ac:dyDescent="0.25">
      <c r="A15404" s="11" t="s">
        <v>30279</v>
      </c>
      <c r="B15404" s="11" t="s">
        <v>30280</v>
      </c>
      <c r="C15404" s="11" t="s">
        <v>17</v>
      </c>
      <c r="D15404" s="11" t="s">
        <v>18</v>
      </c>
      <c r="E15404" s="12" t="s">
        <v>1027</v>
      </c>
      <c r="F15404" s="12" t="s">
        <v>1028</v>
      </c>
      <c r="G15404" s="12" t="s">
        <v>21</v>
      </c>
      <c r="H15404" s="11" t="s">
        <v>63</v>
      </c>
      <c r="I15404" s="13" t="s">
        <v>30281</v>
      </c>
      <c r="J15404" s="14" t="str">
        <f>HYPERLINK("https://www.boe.es/gazeta/dias/1839/08/16/pdfs/GMD-1839-1736.pdf#page=4","Abrir facsímil")</f>
        <v>Abrir facsímil</v>
      </c>
      <c r="K15404" s="12" t="s">
        <v>65</v>
      </c>
    </row>
    <row r="15405" spans="1:11" ht="40.049999999999997" customHeight="1" x14ac:dyDescent="0.25">
      <c r="A15405" s="11" t="s">
        <v>30282</v>
      </c>
      <c r="B15405" s="11" t="s">
        <v>30283</v>
      </c>
      <c r="C15405" s="11" t="s">
        <v>17</v>
      </c>
      <c r="D15405" s="11" t="s">
        <v>18</v>
      </c>
      <c r="E15405" s="12" t="s">
        <v>453</v>
      </c>
      <c r="F15405" s="12" t="s">
        <v>454</v>
      </c>
      <c r="G15405" s="12" t="s">
        <v>46</v>
      </c>
      <c r="H15405" s="11" t="s">
        <v>63</v>
      </c>
      <c r="I15405" s="13" t="s">
        <v>30284</v>
      </c>
      <c r="J15405" s="14" t="str">
        <f>HYPERLINK("https://www.boe.es/gazeta/dias/1839/02/07/pdfs/GMD-1839-1545.pdf#page=3","Abrir facsímil")</f>
        <v>Abrir facsímil</v>
      </c>
      <c r="K15405" s="12" t="s">
        <v>65</v>
      </c>
    </row>
    <row r="15406" spans="1:11" ht="40.049999999999997" customHeight="1" x14ac:dyDescent="0.25">
      <c r="A15406" s="11" t="s">
        <v>30285</v>
      </c>
      <c r="B15406" s="11" t="s">
        <v>30286</v>
      </c>
      <c r="C15406" s="11" t="s">
        <v>17</v>
      </c>
      <c r="D15406" s="11" t="s">
        <v>18</v>
      </c>
      <c r="E15406" s="12" t="s">
        <v>38</v>
      </c>
      <c r="F15406" s="12" t="s">
        <v>39</v>
      </c>
      <c r="G15406" s="12" t="s">
        <v>21</v>
      </c>
      <c r="H15406" s="11" t="s">
        <v>63</v>
      </c>
      <c r="I15406" s="13" t="s">
        <v>30287</v>
      </c>
      <c r="J15406" s="14" t="str">
        <f>HYPERLINK("https://www.boe.es/gazeta/dias/1839/08/08/pdfs/GMD-1839-1728.pdf#page=4","Abrir facsímil")</f>
        <v>Abrir facsímil</v>
      </c>
      <c r="K15406" s="12" t="s">
        <v>65</v>
      </c>
    </row>
    <row r="15407" spans="1:11" ht="40.049999999999997" customHeight="1" x14ac:dyDescent="0.25">
      <c r="A15407" s="11" t="s">
        <v>30288</v>
      </c>
      <c r="B15407" s="11" t="s">
        <v>30289</v>
      </c>
      <c r="C15407" s="11" t="s">
        <v>17</v>
      </c>
      <c r="D15407" s="11" t="s">
        <v>18</v>
      </c>
      <c r="E15407" s="12" t="s">
        <v>1159</v>
      </c>
      <c r="F15407" s="12" t="s">
        <v>1160</v>
      </c>
      <c r="G15407" s="12" t="s">
        <v>21</v>
      </c>
      <c r="H15407" s="11" t="s">
        <v>63</v>
      </c>
      <c r="I15407" s="13" t="s">
        <v>30290</v>
      </c>
      <c r="J15407" s="14" t="str">
        <f>HYPERLINK("https://www.boe.es/gazeta/dias/1839/11/26/pdfs/GMD-1839-1843.pdf#page=4","Abrir facsímil")</f>
        <v>Abrir facsímil</v>
      </c>
      <c r="K15407" s="12" t="s">
        <v>65</v>
      </c>
    </row>
    <row r="15408" spans="1:11" ht="40.049999999999997" customHeight="1" x14ac:dyDescent="0.25">
      <c r="A15408" s="11" t="s">
        <v>30291</v>
      </c>
      <c r="B15408" s="11" t="s">
        <v>30292</v>
      </c>
      <c r="C15408" s="11" t="s">
        <v>17</v>
      </c>
      <c r="D15408" s="11" t="s">
        <v>18</v>
      </c>
      <c r="E15408" s="12" t="s">
        <v>303</v>
      </c>
      <c r="F15408" s="12" t="s">
        <v>304</v>
      </c>
      <c r="G15408" s="12" t="s">
        <v>46</v>
      </c>
      <c r="H15408" s="11" t="s">
        <v>63</v>
      </c>
      <c r="I15408" s="13" t="s">
        <v>30293</v>
      </c>
      <c r="J15408" s="14" t="str">
        <f>HYPERLINK("https://www.boe.es/gazeta/dias/1839/10/06/pdfs/GMD-1839-1792.pdf#page=3","Abrir facsímil")</f>
        <v>Abrir facsímil</v>
      </c>
      <c r="K15408" s="12" t="s">
        <v>65</v>
      </c>
    </row>
    <row r="15409" spans="1:11" ht="40.049999999999997" customHeight="1" x14ac:dyDescent="0.25">
      <c r="A15409" s="11" t="s">
        <v>30294</v>
      </c>
      <c r="B15409" s="11" t="s">
        <v>30295</v>
      </c>
      <c r="C15409" s="11" t="s">
        <v>17</v>
      </c>
      <c r="D15409" s="11" t="s">
        <v>18</v>
      </c>
      <c r="E15409" s="12" t="s">
        <v>834</v>
      </c>
      <c r="F15409" s="12" t="s">
        <v>835</v>
      </c>
      <c r="G15409" s="12" t="s">
        <v>40</v>
      </c>
      <c r="H15409" s="11" t="s">
        <v>63</v>
      </c>
      <c r="I15409" s="13" t="s">
        <v>30296</v>
      </c>
      <c r="J15409" s="14" t="str">
        <f>HYPERLINK("https://www.boe.es/gazeta/dias/1839/08/17/pdfs/GMD-1839-1737.pdf#page=2","Abrir facsímil")</f>
        <v>Abrir facsímil</v>
      </c>
      <c r="K15409" s="12" t="s">
        <v>65</v>
      </c>
    </row>
    <row r="15410" spans="1:11" ht="40.049999999999997" customHeight="1" x14ac:dyDescent="0.25">
      <c r="A15410" s="11" t="s">
        <v>30297</v>
      </c>
      <c r="B15410" s="11" t="s">
        <v>30298</v>
      </c>
      <c r="C15410" s="11" t="s">
        <v>80</v>
      </c>
      <c r="D15410" s="11" t="s">
        <v>18</v>
      </c>
      <c r="E15410" s="12" t="s">
        <v>2851</v>
      </c>
      <c r="F15410" s="12" t="s">
        <v>2852</v>
      </c>
      <c r="G15410" s="12" t="s">
        <v>29</v>
      </c>
      <c r="H15410" s="11" t="s">
        <v>63</v>
      </c>
      <c r="I15410" s="13" t="s">
        <v>30299</v>
      </c>
      <c r="J15410" s="14" t="str">
        <f>HYPERLINK("https://www.boe.es/gazeta/dias/1839/05/16/pdfs/GMD-1839-1643.pdf#page=1","Abrir facsímil")</f>
        <v>Abrir facsímil</v>
      </c>
      <c r="K15410" s="12" t="s">
        <v>65</v>
      </c>
    </row>
    <row r="15411" spans="1:11" ht="40.049999999999997" customHeight="1" x14ac:dyDescent="0.25">
      <c r="A15411" s="11" t="s">
        <v>30300</v>
      </c>
      <c r="B15411" s="11" t="s">
        <v>30301</v>
      </c>
      <c r="C15411" s="11" t="s">
        <v>17</v>
      </c>
      <c r="D15411" s="11" t="s">
        <v>18</v>
      </c>
      <c r="E15411" s="12" t="s">
        <v>4550</v>
      </c>
      <c r="F15411" s="12" t="s">
        <v>4551</v>
      </c>
      <c r="G15411" s="12" t="s">
        <v>21</v>
      </c>
      <c r="H15411" s="11" t="s">
        <v>63</v>
      </c>
      <c r="I15411" s="13" t="s">
        <v>30302</v>
      </c>
      <c r="J15411" s="14" t="str">
        <f>HYPERLINK("https://www.boe.es/gazeta/dias/1839/04/17/pdfs/GMD-1839-1614.pdf#page=4","Abrir facsímil")</f>
        <v>Abrir facsímil</v>
      </c>
      <c r="K15411" s="12" t="s">
        <v>65</v>
      </c>
    </row>
    <row r="15412" spans="1:11" ht="40.049999999999997" customHeight="1" x14ac:dyDescent="0.25">
      <c r="A15412" s="11" t="s">
        <v>30303</v>
      </c>
      <c r="B15412" s="11" t="s">
        <v>30304</v>
      </c>
      <c r="C15412" s="11" t="s">
        <v>17</v>
      </c>
      <c r="D15412" s="11" t="s">
        <v>18</v>
      </c>
      <c r="E15412" s="12" t="s">
        <v>1079</v>
      </c>
      <c r="F15412" s="12" t="s">
        <v>1080</v>
      </c>
      <c r="G15412" s="12" t="s">
        <v>46</v>
      </c>
      <c r="H15412" s="11" t="s">
        <v>63</v>
      </c>
      <c r="I15412" s="13" t="s">
        <v>30305</v>
      </c>
      <c r="J15412" s="14" t="str">
        <f>HYPERLINK("https://www.boe.es/gazeta/dias/1839/05/24/pdfs/GMD-1839-1651.pdf#page=3","Abrir facsímil")</f>
        <v>Abrir facsímil</v>
      </c>
      <c r="K15412" s="12" t="s">
        <v>65</v>
      </c>
    </row>
    <row r="15413" spans="1:11" ht="40.049999999999997" customHeight="1" x14ac:dyDescent="0.25">
      <c r="A15413" s="11" t="s">
        <v>30306</v>
      </c>
      <c r="B15413" s="11" t="s">
        <v>30307</v>
      </c>
      <c r="C15413" s="11" t="s">
        <v>17</v>
      </c>
      <c r="D15413" s="11" t="s">
        <v>18</v>
      </c>
      <c r="E15413" s="12" t="s">
        <v>168</v>
      </c>
      <c r="F15413" s="12" t="s">
        <v>169</v>
      </c>
      <c r="G15413" s="12" t="s">
        <v>21</v>
      </c>
      <c r="H15413" s="11" t="s">
        <v>63</v>
      </c>
      <c r="I15413" s="13" t="s">
        <v>30308</v>
      </c>
      <c r="J15413" s="14" t="str">
        <f>HYPERLINK("https://www.boe.es/gazeta/dias/1839/07/12/pdfs/GMD-1839-1700.pdf#page=4","Abrir facsímil")</f>
        <v>Abrir facsímil</v>
      </c>
      <c r="K15413" s="12" t="s">
        <v>65</v>
      </c>
    </row>
    <row r="15414" spans="1:11" ht="40.049999999999997" customHeight="1" x14ac:dyDescent="0.25">
      <c r="A15414" s="11" t="s">
        <v>30309</v>
      </c>
      <c r="B15414" s="11" t="s">
        <v>30310</v>
      </c>
      <c r="C15414" s="11" t="s">
        <v>17</v>
      </c>
      <c r="D15414" s="11" t="s">
        <v>18</v>
      </c>
      <c r="E15414" s="12" t="s">
        <v>2138</v>
      </c>
      <c r="F15414" s="12" t="s">
        <v>2139</v>
      </c>
      <c r="G15414" s="12" t="s">
        <v>46</v>
      </c>
      <c r="H15414" s="11" t="s">
        <v>63</v>
      </c>
      <c r="I15414" s="13" t="s">
        <v>30311</v>
      </c>
      <c r="J15414" s="14" t="str">
        <f>HYPERLINK("https://www.boe.es/gazeta/dias/1839/10/02/pdfs/GMD-1839-1788.pdf#page=3","Abrir facsímil")</f>
        <v>Abrir facsímil</v>
      </c>
      <c r="K15414" s="12" t="s">
        <v>65</v>
      </c>
    </row>
    <row r="15415" spans="1:11" ht="40.049999999999997" customHeight="1" x14ac:dyDescent="0.25">
      <c r="A15415" s="11" t="s">
        <v>30309</v>
      </c>
      <c r="B15415" s="11" t="s">
        <v>30310</v>
      </c>
      <c r="C15415" s="11" t="s">
        <v>17</v>
      </c>
      <c r="D15415" s="11" t="s">
        <v>18</v>
      </c>
      <c r="E15415" s="12" t="s">
        <v>1100</v>
      </c>
      <c r="F15415" s="12" t="s">
        <v>1101</v>
      </c>
      <c r="G15415" s="12" t="s">
        <v>29</v>
      </c>
      <c r="H15415" s="11" t="s">
        <v>63</v>
      </c>
      <c r="I15415" s="13" t="s">
        <v>30312</v>
      </c>
      <c r="J15415" s="14" t="str">
        <f>HYPERLINK("https://www.boe.es/gazeta/dias/1839/09/13/pdfs/GMD-1839-1766.pdf#page=1","Abrir facsímil")</f>
        <v>Abrir facsímil</v>
      </c>
      <c r="K15415" s="12" t="s">
        <v>65</v>
      </c>
    </row>
    <row r="15416" spans="1:11" ht="40.049999999999997" customHeight="1" x14ac:dyDescent="0.25">
      <c r="A15416" s="11" t="s">
        <v>30313</v>
      </c>
      <c r="B15416" s="11" t="s">
        <v>30314</v>
      </c>
      <c r="C15416" s="11" t="s">
        <v>80</v>
      </c>
      <c r="D15416" s="11" t="s">
        <v>18</v>
      </c>
      <c r="E15416" s="12" t="s">
        <v>3601</v>
      </c>
      <c r="F15416" s="12" t="s">
        <v>3602</v>
      </c>
      <c r="G15416" s="12" t="s">
        <v>29</v>
      </c>
      <c r="H15416" s="11" t="s">
        <v>63</v>
      </c>
      <c r="I15416" s="13" t="s">
        <v>30315</v>
      </c>
      <c r="J15416" s="14" t="str">
        <f>HYPERLINK("https://www.boe.es/gazeta/dias/1839/03/21/pdfs/GMD-1839-1587.pdf#page=1","Abrir facsímil")</f>
        <v>Abrir facsímil</v>
      </c>
      <c r="K15416" s="12" t="s">
        <v>65</v>
      </c>
    </row>
    <row r="15417" spans="1:11" ht="40.049999999999997" customHeight="1" x14ac:dyDescent="0.25">
      <c r="A15417" s="11" t="s">
        <v>30316</v>
      </c>
      <c r="B15417" s="11" t="s">
        <v>30317</v>
      </c>
      <c r="C15417" s="11" t="s">
        <v>17</v>
      </c>
      <c r="D15417" s="11" t="s">
        <v>18</v>
      </c>
      <c r="E15417" s="12" t="s">
        <v>1813</v>
      </c>
      <c r="F15417" s="12" t="s">
        <v>1814</v>
      </c>
      <c r="G15417" s="12" t="s">
        <v>21</v>
      </c>
      <c r="H15417" s="11" t="s">
        <v>22</v>
      </c>
      <c r="I15417" s="13" t="s">
        <v>30318</v>
      </c>
      <c r="J15417" s="14" t="str">
        <f>HYPERLINK("https://www.boe.es/gazeta/dias/1839/09/02/pdfs/GMD-1839-1754.pdf#page=4","Abrir facsímil")</f>
        <v>Abrir facsímil</v>
      </c>
      <c r="K15417" s="12" t="s">
        <v>24</v>
      </c>
    </row>
    <row r="15418" spans="1:11" ht="40.049999999999997" customHeight="1" x14ac:dyDescent="0.25">
      <c r="A15418" s="11" t="s">
        <v>30319</v>
      </c>
      <c r="B15418" s="11" t="s">
        <v>30320</v>
      </c>
      <c r="C15418" s="11" t="s">
        <v>17</v>
      </c>
      <c r="D15418" s="11" t="s">
        <v>18</v>
      </c>
      <c r="E15418" s="12" t="s">
        <v>258</v>
      </c>
      <c r="F15418" s="12" t="s">
        <v>259</v>
      </c>
      <c r="G15418" s="12" t="s">
        <v>46</v>
      </c>
      <c r="H15418" s="11" t="s">
        <v>22</v>
      </c>
      <c r="I15418" s="13" t="s">
        <v>30321</v>
      </c>
      <c r="J15418" s="14" t="str">
        <f>HYPERLINK("https://www.boe.es/gazeta/dias/1839/01/02/pdfs/GMD-1839-1509.pdf#page=3","Abrir facsímil")</f>
        <v>Abrir facsímil</v>
      </c>
      <c r="K15418" s="12" t="s">
        <v>24</v>
      </c>
    </row>
    <row r="15419" spans="1:11" ht="40.049999999999997" customHeight="1" x14ac:dyDescent="0.25">
      <c r="A15419" s="11" t="s">
        <v>30322</v>
      </c>
      <c r="B15419" s="11" t="s">
        <v>30323</v>
      </c>
      <c r="C15419" s="11" t="s">
        <v>17</v>
      </c>
      <c r="D15419" s="11" t="s">
        <v>18</v>
      </c>
      <c r="E15419" s="12" t="s">
        <v>998</v>
      </c>
      <c r="F15419" s="12" t="s">
        <v>999</v>
      </c>
      <c r="G15419" s="12" t="s">
        <v>21</v>
      </c>
      <c r="H15419" s="11" t="s">
        <v>63</v>
      </c>
      <c r="I15419" s="13" t="s">
        <v>30324</v>
      </c>
      <c r="J15419" s="14" t="str">
        <f>HYPERLINK("https://www.boe.es/gazeta/dias/1839/05/06/pdfs/GMD-1839-1633.pdf#page=4","Abrir facsímil")</f>
        <v>Abrir facsímil</v>
      </c>
      <c r="K15419" s="12" t="s">
        <v>65</v>
      </c>
    </row>
    <row r="15420" spans="1:11" ht="40.049999999999997" customHeight="1" x14ac:dyDescent="0.25">
      <c r="A15420" s="11" t="s">
        <v>30325</v>
      </c>
      <c r="B15420" s="11" t="s">
        <v>30326</v>
      </c>
      <c r="C15420" s="11" t="s">
        <v>17</v>
      </c>
      <c r="D15420" s="11" t="s">
        <v>18</v>
      </c>
      <c r="E15420" s="12" t="s">
        <v>2301</v>
      </c>
      <c r="F15420" s="12" t="s">
        <v>2302</v>
      </c>
      <c r="G15420" s="12" t="s">
        <v>46</v>
      </c>
      <c r="H15420" s="11" t="s">
        <v>63</v>
      </c>
      <c r="I15420" s="13" t="s">
        <v>30327</v>
      </c>
      <c r="J15420" s="14" t="str">
        <f>HYPERLINK("https://www.boe.es/gazeta/dias/1839/09/08/pdfs/GMD-1839-1761.pdf#page=3","Abrir facsímil")</f>
        <v>Abrir facsímil</v>
      </c>
      <c r="K15420" s="12" t="s">
        <v>65</v>
      </c>
    </row>
    <row r="15421" spans="1:11" ht="40.049999999999997" customHeight="1" x14ac:dyDescent="0.25">
      <c r="A15421" s="11" t="s">
        <v>30328</v>
      </c>
      <c r="B15421" s="11" t="s">
        <v>30329</v>
      </c>
      <c r="C15421" s="11" t="s">
        <v>101</v>
      </c>
      <c r="D15421" s="11" t="s">
        <v>43</v>
      </c>
      <c r="E15421" s="12" t="s">
        <v>723</v>
      </c>
      <c r="F15421" s="12" t="s">
        <v>724</v>
      </c>
      <c r="G15421" s="12" t="s">
        <v>46</v>
      </c>
      <c r="H15421" s="11" t="s">
        <v>63</v>
      </c>
      <c r="I15421" s="13" t="s">
        <v>30330</v>
      </c>
      <c r="J15421" s="14" t="str">
        <f>HYPERLINK("https://www.boe.es/gazeta/dias/1839/09/26/pdfs/GMD-1839-1782.pdf#page=3","Abrir facsímil")</f>
        <v>Abrir facsímil</v>
      </c>
      <c r="K15421" s="12" t="s">
        <v>65</v>
      </c>
    </row>
    <row r="15422" spans="1:11" ht="40.049999999999997" customHeight="1" x14ac:dyDescent="0.25">
      <c r="A15422" s="11" t="s">
        <v>30331</v>
      </c>
      <c r="B15422" s="11" t="s">
        <v>30332</v>
      </c>
      <c r="C15422" s="11" t="s">
        <v>101</v>
      </c>
      <c r="D15422" s="11" t="s">
        <v>102</v>
      </c>
      <c r="E15422" s="12" t="s">
        <v>2851</v>
      </c>
      <c r="F15422" s="12" t="s">
        <v>2852</v>
      </c>
      <c r="G15422" s="12" t="s">
        <v>21</v>
      </c>
      <c r="H15422" s="11" t="s">
        <v>63</v>
      </c>
      <c r="I15422" s="13" t="s">
        <v>30333</v>
      </c>
      <c r="J15422" s="14" t="str">
        <f>HYPERLINK("https://www.boe.es/gazeta/dias/1839/05/16/pdfs/GMD-1839-1643.pdf#page=4","Abrir facsímil")</f>
        <v>Abrir facsímil</v>
      </c>
      <c r="K15422" s="12" t="s">
        <v>65</v>
      </c>
    </row>
    <row r="15423" spans="1:11" ht="40.049999999999997" customHeight="1" x14ac:dyDescent="0.25">
      <c r="A15423" s="11" t="s">
        <v>30334</v>
      </c>
      <c r="B15423" s="11" t="s">
        <v>30335</v>
      </c>
      <c r="C15423" s="11" t="s">
        <v>17</v>
      </c>
      <c r="D15423" s="11" t="s">
        <v>18</v>
      </c>
      <c r="E15423" s="12" t="s">
        <v>369</v>
      </c>
      <c r="F15423" s="12" t="s">
        <v>370</v>
      </c>
      <c r="G15423" s="12" t="s">
        <v>21</v>
      </c>
      <c r="H15423" s="11" t="s">
        <v>63</v>
      </c>
      <c r="I15423" s="13" t="s">
        <v>30336</v>
      </c>
      <c r="J15423" s="14" t="str">
        <f>HYPERLINK("https://www.boe.es/gazeta/dias/1839/11/01/pdfs/GMD-1839-1818.pdf#page=4","Abrir facsímil")</f>
        <v>Abrir facsímil</v>
      </c>
      <c r="K15423" s="12" t="s">
        <v>65</v>
      </c>
    </row>
    <row r="15424" spans="1:11" ht="40.049999999999997" customHeight="1" x14ac:dyDescent="0.25">
      <c r="A15424" s="11" t="s">
        <v>30334</v>
      </c>
      <c r="B15424" s="11" t="s">
        <v>30335</v>
      </c>
      <c r="C15424" s="11" t="s">
        <v>137</v>
      </c>
      <c r="D15424" s="11" t="s">
        <v>18</v>
      </c>
      <c r="E15424" s="12" t="s">
        <v>934</v>
      </c>
      <c r="F15424" s="12" t="s">
        <v>935</v>
      </c>
      <c r="G15424" s="12" t="s">
        <v>21</v>
      </c>
      <c r="H15424" s="11" t="s">
        <v>63</v>
      </c>
      <c r="I15424" s="13" t="s">
        <v>30337</v>
      </c>
      <c r="J15424" s="14" t="str">
        <f>HYPERLINK("https://www.boe.es/gazeta/dias/1839/11/07/pdfs/GMD-1839-1824.pdf#page=4","Abrir facsímil")</f>
        <v>Abrir facsímil</v>
      </c>
      <c r="K15424" s="12" t="s">
        <v>65</v>
      </c>
    </row>
    <row r="15425" spans="1:11" ht="40.049999999999997" customHeight="1" x14ac:dyDescent="0.25">
      <c r="A15425" s="11" t="s">
        <v>30334</v>
      </c>
      <c r="B15425" s="11" t="s">
        <v>30335</v>
      </c>
      <c r="C15425" s="11" t="s">
        <v>80</v>
      </c>
      <c r="D15425" s="11" t="s">
        <v>18</v>
      </c>
      <c r="E15425" s="12" t="s">
        <v>372</v>
      </c>
      <c r="F15425" s="12" t="s">
        <v>373</v>
      </c>
      <c r="G15425" s="12" t="s">
        <v>21</v>
      </c>
      <c r="H15425" s="11" t="s">
        <v>63</v>
      </c>
      <c r="I15425" s="13" t="s">
        <v>30338</v>
      </c>
      <c r="J15425" s="14" t="str">
        <f>HYPERLINK("https://www.boe.es/gazeta/dias/1839/11/08/pdfs/GMD-1839-1825.pdf#page=4","Abrir facsímil")</f>
        <v>Abrir facsímil</v>
      </c>
      <c r="K15425" s="12" t="s">
        <v>65</v>
      </c>
    </row>
    <row r="15426" spans="1:11" ht="40.049999999999997" customHeight="1" x14ac:dyDescent="0.25">
      <c r="A15426" s="11" t="s">
        <v>30339</v>
      </c>
      <c r="B15426" s="11" t="s">
        <v>30340</v>
      </c>
      <c r="C15426" s="11" t="s">
        <v>17</v>
      </c>
      <c r="D15426" s="11" t="s">
        <v>18</v>
      </c>
      <c r="E15426" s="12" t="s">
        <v>375</v>
      </c>
      <c r="F15426" s="12" t="s">
        <v>376</v>
      </c>
      <c r="G15426" s="12" t="s">
        <v>21</v>
      </c>
      <c r="H15426" s="11" t="s">
        <v>63</v>
      </c>
      <c r="I15426" s="13" t="s">
        <v>30341</v>
      </c>
      <c r="J15426" s="14" t="str">
        <f>HYPERLINK("https://www.boe.es/gazeta/dias/1839/11/25/pdfs/GMD-1839-1842.pdf#page=4","Abrir facsímil")</f>
        <v>Abrir facsímil</v>
      </c>
      <c r="K15426" s="12" t="s">
        <v>65</v>
      </c>
    </row>
    <row r="15427" spans="1:11" ht="40.049999999999997" customHeight="1" x14ac:dyDescent="0.25">
      <c r="A15427" s="11" t="s">
        <v>30342</v>
      </c>
      <c r="B15427" s="11" t="s">
        <v>30343</v>
      </c>
      <c r="C15427" s="11" t="s">
        <v>101</v>
      </c>
      <c r="D15427" s="11" t="s">
        <v>102</v>
      </c>
      <c r="E15427" s="12" t="s">
        <v>4475</v>
      </c>
      <c r="F15427" s="12" t="s">
        <v>4476</v>
      </c>
      <c r="G15427" s="12" t="s">
        <v>21</v>
      </c>
      <c r="H15427" s="11" t="s">
        <v>22</v>
      </c>
      <c r="I15427" s="13" t="s">
        <v>30344</v>
      </c>
      <c r="J15427" s="14" t="str">
        <f>HYPERLINK("https://www.boe.es/gazeta/dias/1839/07/04/pdfs/GMD-1839-1692.pdf#page=4","Abrir facsímil")</f>
        <v>Abrir facsímil</v>
      </c>
      <c r="K15427" s="12" t="s">
        <v>24</v>
      </c>
    </row>
    <row r="15428" spans="1:11" ht="40.049999999999997" customHeight="1" x14ac:dyDescent="0.25">
      <c r="A15428" s="11" t="s">
        <v>30345</v>
      </c>
      <c r="B15428" s="11" t="s">
        <v>30346</v>
      </c>
      <c r="C15428" s="11" t="s">
        <v>80</v>
      </c>
      <c r="D15428" s="11" t="s">
        <v>18</v>
      </c>
      <c r="E15428" s="12" t="s">
        <v>959</v>
      </c>
      <c r="F15428" s="12" t="s">
        <v>960</v>
      </c>
      <c r="G15428" s="12" t="s">
        <v>46</v>
      </c>
      <c r="H15428" s="11" t="s">
        <v>63</v>
      </c>
      <c r="I15428" s="13" t="s">
        <v>30347</v>
      </c>
      <c r="J15428" s="14" t="str">
        <f>HYPERLINK("https://www.boe.es/gazeta/dias/1839/12/06/pdfs/GMD-1839-1853.pdf#page=3","Abrir facsímil")</f>
        <v>Abrir facsímil</v>
      </c>
      <c r="K15428" s="12" t="s">
        <v>65</v>
      </c>
    </row>
    <row r="15429" spans="1:11" ht="40.049999999999997" customHeight="1" x14ac:dyDescent="0.25">
      <c r="A15429" s="11" t="s">
        <v>30348</v>
      </c>
      <c r="B15429" s="11" t="s">
        <v>30349</v>
      </c>
      <c r="C15429" s="11" t="s">
        <v>59</v>
      </c>
      <c r="D15429" s="11" t="s">
        <v>60</v>
      </c>
      <c r="E15429" s="12" t="s">
        <v>1460</v>
      </c>
      <c r="F15429" s="12" t="s">
        <v>1461</v>
      </c>
      <c r="G15429" s="12" t="s">
        <v>46</v>
      </c>
      <c r="H15429" s="11" t="s">
        <v>63</v>
      </c>
      <c r="I15429" s="13" t="s">
        <v>30350</v>
      </c>
      <c r="J15429" s="14" t="str">
        <f>HYPERLINK("https://www.boe.es/gazeta/dias/1839/03/01/pdfs/GMD-1839-1567.pdf#page=3","Abrir facsímil")</f>
        <v>Abrir facsímil</v>
      </c>
      <c r="K15429" s="12" t="s">
        <v>65</v>
      </c>
    </row>
    <row r="15430" spans="1:11" ht="40.049999999999997" customHeight="1" x14ac:dyDescent="0.25">
      <c r="A15430" s="11" t="s">
        <v>30351</v>
      </c>
      <c r="B15430" s="11" t="s">
        <v>30352</v>
      </c>
      <c r="C15430" s="11" t="s">
        <v>80</v>
      </c>
      <c r="D15430" s="11" t="s">
        <v>18</v>
      </c>
      <c r="E15430" s="12" t="s">
        <v>138</v>
      </c>
      <c r="F15430" s="12" t="s">
        <v>139</v>
      </c>
      <c r="G15430" s="12" t="s">
        <v>29</v>
      </c>
      <c r="H15430" s="11" t="s">
        <v>63</v>
      </c>
      <c r="I15430" s="13" t="s">
        <v>30353</v>
      </c>
      <c r="J15430" s="14" t="str">
        <f>HYPERLINK("https://www.boe.es/gazeta/dias/1839/10/09/pdfs/GMD-1839-1795.pdf#page=1","Abrir facsímil")</f>
        <v>Abrir facsímil</v>
      </c>
      <c r="K15430" s="12" t="s">
        <v>65</v>
      </c>
    </row>
    <row r="15431" spans="1:11" ht="40.049999999999997" customHeight="1" x14ac:dyDescent="0.25">
      <c r="A15431" s="11" t="s">
        <v>30354</v>
      </c>
      <c r="B15431" s="11" t="s">
        <v>30355</v>
      </c>
      <c r="C15431" s="11" t="s">
        <v>80</v>
      </c>
      <c r="D15431" s="11" t="s">
        <v>18</v>
      </c>
      <c r="E15431" s="12" t="s">
        <v>81</v>
      </c>
      <c r="F15431" s="12" t="s">
        <v>82</v>
      </c>
      <c r="G15431" s="12" t="s">
        <v>29</v>
      </c>
      <c r="H15431" s="11" t="s">
        <v>63</v>
      </c>
      <c r="I15431" s="13" t="s">
        <v>30356</v>
      </c>
      <c r="J15431" s="14" t="str">
        <f>HYPERLINK("https://www.boe.es/gazeta/dias/1839/03/03/pdfs/GMD-1839-1569.pdf#page=1","Abrir facsímil")</f>
        <v>Abrir facsímil</v>
      </c>
      <c r="K15431" s="12" t="s">
        <v>65</v>
      </c>
    </row>
    <row r="15432" spans="1:11" ht="40.049999999999997" customHeight="1" x14ac:dyDescent="0.25">
      <c r="A15432" s="11" t="s">
        <v>30357</v>
      </c>
      <c r="B15432" s="11" t="s">
        <v>30358</v>
      </c>
      <c r="C15432" s="11" t="s">
        <v>80</v>
      </c>
      <c r="D15432" s="11" t="s">
        <v>18</v>
      </c>
      <c r="E15432" s="12" t="s">
        <v>222</v>
      </c>
      <c r="F15432" s="12" t="s">
        <v>223</v>
      </c>
      <c r="G15432" s="12" t="s">
        <v>21</v>
      </c>
      <c r="H15432" s="11" t="s">
        <v>63</v>
      </c>
      <c r="I15432" s="13" t="s">
        <v>30359</v>
      </c>
      <c r="J15432" s="14" t="str">
        <f>HYPERLINK("https://www.boe.es/gazeta/dias/1839/06/22/pdfs/GMD-1839-1680.pdf#page=4","Abrir facsímil")</f>
        <v>Abrir facsímil</v>
      </c>
      <c r="K15432" s="12" t="s">
        <v>65</v>
      </c>
    </row>
    <row r="15433" spans="1:11" ht="40.049999999999997" customHeight="1" x14ac:dyDescent="0.25">
      <c r="A15433" s="11" t="s">
        <v>30360</v>
      </c>
      <c r="B15433" s="11" t="s">
        <v>30361</v>
      </c>
      <c r="C15433" s="11" t="s">
        <v>137</v>
      </c>
      <c r="D15433" s="11" t="s">
        <v>18</v>
      </c>
      <c r="E15433" s="12" t="s">
        <v>1136</v>
      </c>
      <c r="F15433" s="12" t="s">
        <v>1137</v>
      </c>
      <c r="G15433" s="12" t="s">
        <v>46</v>
      </c>
      <c r="H15433" s="11" t="s">
        <v>63</v>
      </c>
      <c r="I15433" s="13" t="s">
        <v>30362</v>
      </c>
      <c r="J15433" s="14" t="str">
        <f>HYPERLINK("https://www.boe.es/gazeta/dias/1839/04/03/pdfs/GMD-1839-1600.pdf#page=3","Abrir facsímil")</f>
        <v>Abrir facsímil</v>
      </c>
      <c r="K15433" s="12" t="s">
        <v>65</v>
      </c>
    </row>
    <row r="15434" spans="1:11" ht="40.049999999999997" customHeight="1" x14ac:dyDescent="0.25">
      <c r="A15434" s="11" t="s">
        <v>30363</v>
      </c>
      <c r="B15434" s="11" t="s">
        <v>30364</v>
      </c>
      <c r="C15434" s="11" t="s">
        <v>17</v>
      </c>
      <c r="D15434" s="11" t="s">
        <v>18</v>
      </c>
      <c r="E15434" s="12" t="s">
        <v>1460</v>
      </c>
      <c r="F15434" s="12" t="s">
        <v>1461</v>
      </c>
      <c r="G15434" s="12" t="s">
        <v>46</v>
      </c>
      <c r="H15434" s="11" t="s">
        <v>63</v>
      </c>
      <c r="I15434" s="13" t="s">
        <v>30365</v>
      </c>
      <c r="J15434" s="14" t="str">
        <f>HYPERLINK("https://www.boe.es/gazeta/dias/1839/03/01/pdfs/GMD-1839-1567.pdf#page=3","Abrir facsímil")</f>
        <v>Abrir facsímil</v>
      </c>
      <c r="K15434" s="12" t="s">
        <v>65</v>
      </c>
    </row>
    <row r="15435" spans="1:11" ht="40.049999999999997" customHeight="1" x14ac:dyDescent="0.25">
      <c r="A15435" s="11" t="s">
        <v>30366</v>
      </c>
      <c r="B15435" s="11" t="s">
        <v>30367</v>
      </c>
      <c r="C15435" s="11" t="s">
        <v>80</v>
      </c>
      <c r="D15435" s="11" t="s">
        <v>18</v>
      </c>
      <c r="E15435" s="12" t="s">
        <v>38</v>
      </c>
      <c r="F15435" s="12" t="s">
        <v>39</v>
      </c>
      <c r="G15435" s="12" t="s">
        <v>46</v>
      </c>
      <c r="H15435" s="11" t="s">
        <v>63</v>
      </c>
      <c r="I15435" s="13" t="s">
        <v>30368</v>
      </c>
      <c r="J15435" s="14" t="str">
        <f>HYPERLINK("https://www.boe.es/gazeta/dias/1839/08/08/pdfs/GMD-1839-1728.pdf#page=3","Abrir facsímil")</f>
        <v>Abrir facsímil</v>
      </c>
      <c r="K15435" s="12" t="s">
        <v>65</v>
      </c>
    </row>
    <row r="15436" spans="1:11" ht="40.049999999999997" customHeight="1" x14ac:dyDescent="0.25">
      <c r="A15436" s="11" t="s">
        <v>30369</v>
      </c>
      <c r="B15436" s="11" t="s">
        <v>30370</v>
      </c>
      <c r="C15436" s="11" t="s">
        <v>137</v>
      </c>
      <c r="D15436" s="11" t="s">
        <v>18</v>
      </c>
      <c r="E15436" s="12" t="s">
        <v>116</v>
      </c>
      <c r="F15436" s="12" t="s">
        <v>117</v>
      </c>
      <c r="G15436" s="12" t="s">
        <v>40</v>
      </c>
      <c r="H15436" s="11" t="s">
        <v>63</v>
      </c>
      <c r="I15436" s="13" t="s">
        <v>30371</v>
      </c>
      <c r="J15436" s="14" t="str">
        <f>HYPERLINK("https://www.boe.es/gazeta/dias/1839/10/10/pdfs/GMD-1839-1796.pdf#page=2","Abrir facsímil")</f>
        <v>Abrir facsímil</v>
      </c>
      <c r="K15436" s="12" t="s">
        <v>65</v>
      </c>
    </row>
    <row r="15437" spans="1:11" ht="40.049999999999997" customHeight="1" x14ac:dyDescent="0.25">
      <c r="A15437" s="11" t="s">
        <v>30372</v>
      </c>
      <c r="B15437" s="11" t="s">
        <v>30373</v>
      </c>
      <c r="C15437" s="11" t="s">
        <v>137</v>
      </c>
      <c r="D15437" s="11" t="s">
        <v>18</v>
      </c>
      <c r="E15437" s="12" t="s">
        <v>108</v>
      </c>
      <c r="F15437" s="12" t="s">
        <v>109</v>
      </c>
      <c r="G15437" s="12" t="s">
        <v>29</v>
      </c>
      <c r="H15437" s="11" t="s">
        <v>63</v>
      </c>
      <c r="I15437" s="13" t="s">
        <v>30374</v>
      </c>
      <c r="J15437" s="14" t="str">
        <f>HYPERLINK("https://www.boe.es/gazeta/dias/1839/01/04/pdfs/GMD-1839-1511.pdf#page=1","Abrir facsímil")</f>
        <v>Abrir facsímil</v>
      </c>
      <c r="K15437" s="12" t="s">
        <v>65</v>
      </c>
    </row>
    <row r="15438" spans="1:11" ht="40.049999999999997" customHeight="1" x14ac:dyDescent="0.25">
      <c r="A15438" s="11" t="s">
        <v>30375</v>
      </c>
      <c r="B15438" s="11" t="s">
        <v>30376</v>
      </c>
      <c r="C15438" s="11" t="s">
        <v>59</v>
      </c>
      <c r="D15438" s="11" t="s">
        <v>60</v>
      </c>
      <c r="E15438" s="12" t="s">
        <v>474</v>
      </c>
      <c r="F15438" s="12" t="s">
        <v>475</v>
      </c>
      <c r="G15438" s="12" t="s">
        <v>21</v>
      </c>
      <c r="H15438" s="11" t="s">
        <v>63</v>
      </c>
      <c r="I15438" s="13" t="s">
        <v>30377</v>
      </c>
      <c r="J15438" s="14" t="str">
        <f>HYPERLINK("https://www.boe.es/gazeta/dias/1839/03/31/pdfs/GMD-1839-1597.pdf#page=4","Abrir facsímil")</f>
        <v>Abrir facsímil</v>
      </c>
      <c r="K15438" s="12" t="s">
        <v>65</v>
      </c>
    </row>
    <row r="15439" spans="1:11" ht="40.049999999999997" customHeight="1" x14ac:dyDescent="0.25">
      <c r="A15439" s="11" t="s">
        <v>30378</v>
      </c>
      <c r="B15439" s="11" t="s">
        <v>30379</v>
      </c>
      <c r="C15439" s="11" t="s">
        <v>17</v>
      </c>
      <c r="D15439" s="11" t="s">
        <v>18</v>
      </c>
      <c r="E15439" s="12" t="s">
        <v>474</v>
      </c>
      <c r="F15439" s="12" t="s">
        <v>475</v>
      </c>
      <c r="G15439" s="12" t="s">
        <v>21</v>
      </c>
      <c r="H15439" s="11" t="s">
        <v>22</v>
      </c>
      <c r="I15439" s="13" t="s">
        <v>30380</v>
      </c>
      <c r="J15439" s="14" t="str">
        <f>HYPERLINK("https://www.boe.es/gazeta/dias/1839/03/31/pdfs/GMD-1839-1597.pdf#page=4","Abrir facsímil")</f>
        <v>Abrir facsímil</v>
      </c>
      <c r="K15439" s="12" t="s">
        <v>24</v>
      </c>
    </row>
    <row r="15440" spans="1:11" ht="40.049999999999997" customHeight="1" x14ac:dyDescent="0.25">
      <c r="A15440" s="11" t="s">
        <v>30381</v>
      </c>
      <c r="B15440" s="11" t="s">
        <v>30382</v>
      </c>
      <c r="C15440" s="11" t="s">
        <v>80</v>
      </c>
      <c r="D15440" s="11" t="s">
        <v>18</v>
      </c>
      <c r="E15440" s="12" t="s">
        <v>355</v>
      </c>
      <c r="F15440" s="12" t="s">
        <v>356</v>
      </c>
      <c r="G15440" s="12" t="s">
        <v>21</v>
      </c>
      <c r="H15440" s="11" t="s">
        <v>63</v>
      </c>
      <c r="I15440" s="13" t="s">
        <v>30383</v>
      </c>
      <c r="J15440" s="14" t="str">
        <f>HYPERLINK("https://www.boe.es/gazeta/dias/1839/05/31/pdfs/GMD-1839-1658.pdf#page=4","Abrir facsímil")</f>
        <v>Abrir facsímil</v>
      </c>
      <c r="K15440" s="12" t="s">
        <v>65</v>
      </c>
    </row>
    <row r="15441" spans="1:11" ht="40.049999999999997" customHeight="1" x14ac:dyDescent="0.25">
      <c r="A15441" s="11" t="s">
        <v>30384</v>
      </c>
      <c r="B15441" s="11" t="s">
        <v>30385</v>
      </c>
      <c r="C15441" s="11" t="s">
        <v>17</v>
      </c>
      <c r="D15441" s="11" t="s">
        <v>18</v>
      </c>
      <c r="E15441" s="12" t="s">
        <v>2270</v>
      </c>
      <c r="F15441" s="12" t="s">
        <v>2271</v>
      </c>
      <c r="G15441" s="12" t="s">
        <v>40</v>
      </c>
      <c r="H15441" s="11" t="s">
        <v>63</v>
      </c>
      <c r="I15441" s="13" t="s">
        <v>30386</v>
      </c>
      <c r="J15441" s="14" t="str">
        <f>HYPERLINK("https://www.boe.es/gazeta/dias/1839/06/13/pdfs/GMD-1839-1671.pdf#page=2","Abrir facsímil")</f>
        <v>Abrir facsímil</v>
      </c>
      <c r="K15441" s="12" t="s">
        <v>65</v>
      </c>
    </row>
    <row r="15442" spans="1:11" ht="40.049999999999997" customHeight="1" x14ac:dyDescent="0.25">
      <c r="A15442" s="11" t="s">
        <v>30387</v>
      </c>
      <c r="B15442" s="11" t="s">
        <v>30388</v>
      </c>
      <c r="C15442" s="11" t="s">
        <v>17</v>
      </c>
      <c r="D15442" s="11" t="s">
        <v>18</v>
      </c>
      <c r="E15442" s="12" t="s">
        <v>19</v>
      </c>
      <c r="F15442" s="12" t="s">
        <v>20</v>
      </c>
      <c r="G15442" s="12" t="s">
        <v>29</v>
      </c>
      <c r="H15442" s="11" t="s">
        <v>63</v>
      </c>
      <c r="I15442" s="13" t="s">
        <v>30389</v>
      </c>
      <c r="J15442" s="14" t="str">
        <f>HYPERLINK("https://www.boe.es/gazeta/dias/1839/01/19/pdfs/GMD-1839-1526.pdf#page=1","Abrir facsímil")</f>
        <v>Abrir facsímil</v>
      </c>
      <c r="K15442" s="12" t="s">
        <v>65</v>
      </c>
    </row>
    <row r="15443" spans="1:11" ht="40.049999999999997" customHeight="1" x14ac:dyDescent="0.25">
      <c r="A15443" s="11" t="s">
        <v>30390</v>
      </c>
      <c r="B15443" s="11" t="s">
        <v>30391</v>
      </c>
      <c r="C15443" s="11" t="s">
        <v>17</v>
      </c>
      <c r="D15443" s="11" t="s">
        <v>18</v>
      </c>
      <c r="E15443" s="12" t="s">
        <v>280</v>
      </c>
      <c r="F15443" s="12" t="s">
        <v>281</v>
      </c>
      <c r="G15443" s="12" t="s">
        <v>29</v>
      </c>
      <c r="H15443" s="11" t="s">
        <v>63</v>
      </c>
      <c r="I15443" s="13" t="s">
        <v>30392</v>
      </c>
      <c r="J15443" s="14" t="str">
        <f>HYPERLINK("https://www.boe.es/gazeta/dias/1839/08/21/pdfs/GMD-1839-1742.pdf#page=1","Abrir facsímil")</f>
        <v>Abrir facsímil</v>
      </c>
      <c r="K15443" s="12" t="s">
        <v>65</v>
      </c>
    </row>
    <row r="15444" spans="1:11" ht="40.049999999999997" customHeight="1" x14ac:dyDescent="0.25">
      <c r="A15444" s="11" t="s">
        <v>30393</v>
      </c>
      <c r="B15444" s="11" t="s">
        <v>30394</v>
      </c>
      <c r="C15444" s="11" t="s">
        <v>17</v>
      </c>
      <c r="D15444" s="11" t="s">
        <v>18</v>
      </c>
      <c r="E15444" s="12" t="s">
        <v>222</v>
      </c>
      <c r="F15444" s="12" t="s">
        <v>223</v>
      </c>
      <c r="G15444" s="12" t="s">
        <v>21</v>
      </c>
      <c r="H15444" s="11" t="s">
        <v>63</v>
      </c>
      <c r="I15444" s="13" t="s">
        <v>30395</v>
      </c>
      <c r="J15444" s="14" t="str">
        <f>HYPERLINK("https://www.boe.es/gazeta/dias/1839/06/22/pdfs/GMD-1839-1680.pdf#page=4","Abrir facsímil")</f>
        <v>Abrir facsímil</v>
      </c>
      <c r="K15444" s="12" t="s">
        <v>65</v>
      </c>
    </row>
    <row r="15445" spans="1:11" ht="40.049999999999997" customHeight="1" x14ac:dyDescent="0.25">
      <c r="A15445" s="11" t="s">
        <v>30396</v>
      </c>
      <c r="B15445" s="11" t="s">
        <v>30397</v>
      </c>
      <c r="C15445" s="11" t="s">
        <v>17</v>
      </c>
      <c r="D15445" s="11" t="s">
        <v>18</v>
      </c>
      <c r="E15445" s="12" t="s">
        <v>756</v>
      </c>
      <c r="F15445" s="12" t="s">
        <v>757</v>
      </c>
      <c r="G15445" s="12" t="s">
        <v>21</v>
      </c>
      <c r="H15445" s="11" t="s">
        <v>63</v>
      </c>
      <c r="I15445" s="13" t="s">
        <v>30398</v>
      </c>
      <c r="J15445" s="14" t="str">
        <f>HYPERLINK("https://www.boe.es/gazeta/dias/1839/12/17/pdfs/GMD-1839-1864.pdf#page=4","Abrir facsímil")</f>
        <v>Abrir facsímil</v>
      </c>
      <c r="K15445" s="12" t="s">
        <v>65</v>
      </c>
    </row>
    <row r="15446" spans="1:11" ht="40.049999999999997" customHeight="1" x14ac:dyDescent="0.25">
      <c r="A15446" s="11" t="s">
        <v>30399</v>
      </c>
      <c r="B15446" s="11" t="s">
        <v>30400</v>
      </c>
      <c r="C15446" s="11" t="s">
        <v>17</v>
      </c>
      <c r="D15446" s="11" t="s">
        <v>18</v>
      </c>
      <c r="E15446" s="12" t="s">
        <v>108</v>
      </c>
      <c r="F15446" s="12" t="s">
        <v>109</v>
      </c>
      <c r="G15446" s="12" t="s">
        <v>40</v>
      </c>
      <c r="H15446" s="11" t="s">
        <v>63</v>
      </c>
      <c r="I15446" s="13" t="s">
        <v>30401</v>
      </c>
      <c r="J15446" s="14" t="str">
        <f>HYPERLINK("https://www.boe.es/gazeta/dias/1839/01/04/pdfs/GMD-1839-1511.pdf#page=2","Abrir facsímil")</f>
        <v>Abrir facsímil</v>
      </c>
      <c r="K15446" s="12" t="s">
        <v>65</v>
      </c>
    </row>
    <row r="15447" spans="1:11" ht="40.049999999999997" customHeight="1" x14ac:dyDescent="0.25">
      <c r="A15447" s="11" t="s">
        <v>30402</v>
      </c>
      <c r="B15447" s="11" t="s">
        <v>30403</v>
      </c>
      <c r="C15447" s="11" t="s">
        <v>17</v>
      </c>
      <c r="D15447" s="11" t="s">
        <v>18</v>
      </c>
      <c r="E15447" s="12" t="s">
        <v>1144</v>
      </c>
      <c r="F15447" s="12" t="s">
        <v>1145</v>
      </c>
      <c r="G15447" s="12" t="s">
        <v>40</v>
      </c>
      <c r="H15447" s="11" t="s">
        <v>63</v>
      </c>
      <c r="I15447" s="13" t="s">
        <v>30404</v>
      </c>
      <c r="J15447" s="14" t="str">
        <f>HYPERLINK("https://www.boe.es/gazeta/dias/1839/08/13/pdfs/GMD-1839-1733.pdf#page=2","Abrir facsímil")</f>
        <v>Abrir facsímil</v>
      </c>
      <c r="K15447" s="12" t="s">
        <v>65</v>
      </c>
    </row>
    <row r="15448" spans="1:11" ht="40.049999999999997" customHeight="1" x14ac:dyDescent="0.25">
      <c r="A15448" s="11" t="s">
        <v>30405</v>
      </c>
      <c r="B15448" s="11" t="s">
        <v>30406</v>
      </c>
      <c r="C15448" s="11" t="s">
        <v>59</v>
      </c>
      <c r="D15448" s="11" t="s">
        <v>60</v>
      </c>
      <c r="E15448" s="12" t="s">
        <v>2463</v>
      </c>
      <c r="F15448" s="12" t="s">
        <v>2464</v>
      </c>
      <c r="G15448" s="12" t="s">
        <v>21</v>
      </c>
      <c r="H15448" s="11" t="s">
        <v>63</v>
      </c>
      <c r="I15448" s="13" t="s">
        <v>30407</v>
      </c>
      <c r="J15448" s="14" t="str">
        <f>HYPERLINK("https://www.boe.es/gazeta/dias/1839/04/26/pdfs/GMD-1839-1623.pdf#page=4","Abrir facsímil")</f>
        <v>Abrir facsímil</v>
      </c>
      <c r="K15448" s="12" t="s">
        <v>65</v>
      </c>
    </row>
    <row r="15449" spans="1:11" ht="40.049999999999997" customHeight="1" x14ac:dyDescent="0.25">
      <c r="A15449" s="11" t="s">
        <v>30408</v>
      </c>
      <c r="B15449" s="11" t="s">
        <v>30409</v>
      </c>
      <c r="C15449" s="11" t="s">
        <v>17</v>
      </c>
      <c r="D15449" s="11" t="s">
        <v>18</v>
      </c>
      <c r="E15449" s="12" t="s">
        <v>1388</v>
      </c>
      <c r="F15449" s="12" t="s">
        <v>1389</v>
      </c>
      <c r="G15449" s="12" t="s">
        <v>40</v>
      </c>
      <c r="H15449" s="11" t="s">
        <v>63</v>
      </c>
      <c r="I15449" s="13" t="s">
        <v>30410</v>
      </c>
      <c r="J15449" s="14" t="str">
        <f>HYPERLINK("https://www.boe.es/gazeta/dias/1839/06/04/pdfs/GMD-1839-1662.pdf#page=2","Abrir facsímil")</f>
        <v>Abrir facsímil</v>
      </c>
      <c r="K15449" s="12" t="s">
        <v>65</v>
      </c>
    </row>
    <row r="15450" spans="1:11" ht="40.049999999999997" customHeight="1" x14ac:dyDescent="0.25">
      <c r="A15450" s="11" t="s">
        <v>30408</v>
      </c>
      <c r="B15450" s="11" t="s">
        <v>30409</v>
      </c>
      <c r="C15450" s="11" t="s">
        <v>17</v>
      </c>
      <c r="D15450" s="11" t="s">
        <v>18</v>
      </c>
      <c r="E15450" s="12" t="s">
        <v>217</v>
      </c>
      <c r="F15450" s="12" t="s">
        <v>218</v>
      </c>
      <c r="G15450" s="12" t="s">
        <v>29</v>
      </c>
      <c r="H15450" s="11" t="s">
        <v>63</v>
      </c>
      <c r="I15450" s="13" t="s">
        <v>30411</v>
      </c>
      <c r="J15450" s="14" t="str">
        <f>HYPERLINK("https://www.boe.es/gazeta/dias/1839/08/06/pdfs/GMD-1839-1726.pdf#page=1","Abrir facsímil")</f>
        <v>Abrir facsímil</v>
      </c>
      <c r="K15450" s="12" t="s">
        <v>65</v>
      </c>
    </row>
    <row r="15451" spans="1:11" ht="40.049999999999997" customHeight="1" x14ac:dyDescent="0.25">
      <c r="A15451" s="11" t="s">
        <v>30408</v>
      </c>
      <c r="B15451" s="11" t="s">
        <v>30409</v>
      </c>
      <c r="C15451" s="11" t="s">
        <v>17</v>
      </c>
      <c r="D15451" s="11" t="s">
        <v>18</v>
      </c>
      <c r="E15451" s="12" t="s">
        <v>1891</v>
      </c>
      <c r="F15451" s="12" t="s">
        <v>1892</v>
      </c>
      <c r="G15451" s="12" t="s">
        <v>29</v>
      </c>
      <c r="H15451" s="11" t="s">
        <v>63</v>
      </c>
      <c r="I15451" s="13" t="s">
        <v>30412</v>
      </c>
      <c r="J15451" s="14" t="str">
        <f>HYPERLINK("https://www.boe.es/gazeta/dias/1839/12/14/pdfs/GMD-1839-1861.pdf#page=1","Abrir facsímil")</f>
        <v>Abrir facsímil</v>
      </c>
      <c r="K15451" s="12" t="s">
        <v>65</v>
      </c>
    </row>
    <row r="15452" spans="1:11" ht="40.049999999999997" customHeight="1" x14ac:dyDescent="0.25">
      <c r="A15452" s="11" t="s">
        <v>30413</v>
      </c>
      <c r="B15452" s="11" t="s">
        <v>30414</v>
      </c>
      <c r="C15452" s="11" t="s">
        <v>101</v>
      </c>
      <c r="D15452" s="11" t="s">
        <v>102</v>
      </c>
      <c r="E15452" s="12" t="s">
        <v>4921</v>
      </c>
      <c r="F15452" s="12" t="s">
        <v>4922</v>
      </c>
      <c r="G15452" s="12" t="s">
        <v>29</v>
      </c>
      <c r="H15452" s="11" t="s">
        <v>63</v>
      </c>
      <c r="I15452" s="13" t="s">
        <v>30415</v>
      </c>
      <c r="J15452" s="14" t="str">
        <f>HYPERLINK("https://www.boe.es/gazeta/dias/1839/11/05/pdfs/GMD-1839-1822.pdf#page=1","Abrir facsímil")</f>
        <v>Abrir facsímil</v>
      </c>
      <c r="K15452" s="12" t="s">
        <v>65</v>
      </c>
    </row>
    <row r="15453" spans="1:11" ht="40.049999999999997" customHeight="1" x14ac:dyDescent="0.25">
      <c r="A15453" s="11" t="s">
        <v>30413</v>
      </c>
      <c r="B15453" s="11" t="s">
        <v>30414</v>
      </c>
      <c r="C15453" s="11" t="s">
        <v>17</v>
      </c>
      <c r="D15453" s="11" t="s">
        <v>18</v>
      </c>
      <c r="E15453" s="12" t="s">
        <v>582</v>
      </c>
      <c r="F15453" s="12" t="s">
        <v>583</v>
      </c>
      <c r="G15453" s="12" t="s">
        <v>29</v>
      </c>
      <c r="H15453" s="11" t="s">
        <v>63</v>
      </c>
      <c r="I15453" s="13" t="s">
        <v>30416</v>
      </c>
      <c r="J15453" s="14" t="str">
        <f>HYPERLINK("https://www.boe.es/gazeta/dias/1839/11/09/pdfs/GMD-1839-1826.pdf#page=1","Abrir facsímil")</f>
        <v>Abrir facsímil</v>
      </c>
      <c r="K15453" s="12" t="s">
        <v>65</v>
      </c>
    </row>
    <row r="15454" spans="1:11" ht="40.049999999999997" customHeight="1" x14ac:dyDescent="0.25">
      <c r="A15454" s="11" t="s">
        <v>30417</v>
      </c>
      <c r="B15454" s="11" t="s">
        <v>30418</v>
      </c>
      <c r="C15454" s="11" t="s">
        <v>17</v>
      </c>
      <c r="D15454" s="11" t="s">
        <v>18</v>
      </c>
      <c r="E15454" s="12" t="s">
        <v>1019</v>
      </c>
      <c r="F15454" s="12" t="s">
        <v>1020</v>
      </c>
      <c r="G15454" s="12" t="s">
        <v>21</v>
      </c>
      <c r="H15454" s="11" t="s">
        <v>63</v>
      </c>
      <c r="I15454" s="13" t="s">
        <v>30419</v>
      </c>
      <c r="J15454" s="14" t="str">
        <f>HYPERLINK("https://www.boe.es/gazeta/dias/1839/07/15/pdfs/GMD-1839-1703.pdf#page=4","Abrir facsímil")</f>
        <v>Abrir facsímil</v>
      </c>
      <c r="K15454" s="12" t="s">
        <v>65</v>
      </c>
    </row>
    <row r="15455" spans="1:11" ht="40.049999999999997" customHeight="1" x14ac:dyDescent="0.25">
      <c r="A15455" s="11" t="s">
        <v>30420</v>
      </c>
      <c r="B15455" s="11" t="s">
        <v>30421</v>
      </c>
      <c r="C15455" s="11" t="s">
        <v>17</v>
      </c>
      <c r="D15455" s="11" t="s">
        <v>18</v>
      </c>
      <c r="E15455" s="12" t="s">
        <v>1772</v>
      </c>
      <c r="F15455" s="12" t="s">
        <v>1773</v>
      </c>
      <c r="G15455" s="12" t="s">
        <v>29</v>
      </c>
      <c r="H15455" s="11" t="s">
        <v>63</v>
      </c>
      <c r="I15455" s="13" t="s">
        <v>30422</v>
      </c>
      <c r="J15455" s="14" t="str">
        <f>HYPERLINK("https://www.boe.es/gazeta/dias/1839/05/07/pdfs/GMD-1839-1634.pdf#page=1","Abrir facsímil")</f>
        <v>Abrir facsímil</v>
      </c>
      <c r="K15455" s="12" t="s">
        <v>65</v>
      </c>
    </row>
    <row r="15456" spans="1:11" ht="40.049999999999997" customHeight="1" x14ac:dyDescent="0.25">
      <c r="A15456" s="11" t="s">
        <v>30423</v>
      </c>
      <c r="B15456" s="11" t="s">
        <v>30424</v>
      </c>
      <c r="C15456" s="11" t="s">
        <v>59</v>
      </c>
      <c r="D15456" s="11" t="s">
        <v>60</v>
      </c>
      <c r="E15456" s="12" t="s">
        <v>1606</v>
      </c>
      <c r="F15456" s="12" t="s">
        <v>1607</v>
      </c>
      <c r="G15456" s="12" t="s">
        <v>21</v>
      </c>
      <c r="H15456" s="11" t="s">
        <v>63</v>
      </c>
      <c r="I15456" s="13" t="s">
        <v>30425</v>
      </c>
      <c r="J15456" s="14" t="str">
        <f>HYPERLINK("https://www.boe.es/gazeta/dias/1839/07/02/pdfs/GMD-1839-1690.pdf#page=4","Abrir facsímil")</f>
        <v>Abrir facsímil</v>
      </c>
      <c r="K15456" s="12" t="s">
        <v>65</v>
      </c>
    </row>
    <row r="15457" spans="1:11" ht="40.049999999999997" customHeight="1" x14ac:dyDescent="0.25">
      <c r="A15457" s="11" t="s">
        <v>30423</v>
      </c>
      <c r="B15457" s="11" t="s">
        <v>30424</v>
      </c>
      <c r="C15457" s="11" t="s">
        <v>59</v>
      </c>
      <c r="D15457" s="11" t="s">
        <v>60</v>
      </c>
      <c r="E15457" s="12" t="s">
        <v>489</v>
      </c>
      <c r="F15457" s="12" t="s">
        <v>490</v>
      </c>
      <c r="G15457" s="12" t="s">
        <v>29</v>
      </c>
      <c r="H15457" s="11" t="s">
        <v>63</v>
      </c>
      <c r="I15457" s="13" t="s">
        <v>30426</v>
      </c>
      <c r="J15457" s="14" t="str">
        <f>HYPERLINK("https://www.boe.es/gazeta/dias/1839/06/29/pdfs/GMD-1839-1687.pdf#page=1","Abrir facsímil")</f>
        <v>Abrir facsímil</v>
      </c>
      <c r="K15457" s="12" t="s">
        <v>65</v>
      </c>
    </row>
    <row r="15458" spans="1:11" ht="40.049999999999997" customHeight="1" x14ac:dyDescent="0.25">
      <c r="A15458" s="11" t="s">
        <v>30427</v>
      </c>
      <c r="B15458" s="11" t="s">
        <v>30428</v>
      </c>
      <c r="C15458" s="11" t="s">
        <v>80</v>
      </c>
      <c r="D15458" s="11" t="s">
        <v>18</v>
      </c>
      <c r="E15458" s="12" t="s">
        <v>291</v>
      </c>
      <c r="F15458" s="12" t="s">
        <v>292</v>
      </c>
      <c r="G15458" s="12" t="s">
        <v>21</v>
      </c>
      <c r="H15458" s="11" t="s">
        <v>63</v>
      </c>
      <c r="I15458" s="13" t="s">
        <v>30429</v>
      </c>
      <c r="J15458" s="14" t="str">
        <f>HYPERLINK("https://www.boe.es/gazeta/dias/1839/09/04/pdfs/GMD-1839-1757.pdf#page=4","Abrir facsímil")</f>
        <v>Abrir facsímil</v>
      </c>
      <c r="K15458" s="12" t="s">
        <v>65</v>
      </c>
    </row>
    <row r="15459" spans="1:11" ht="40.049999999999997" customHeight="1" x14ac:dyDescent="0.25">
      <c r="A15459" s="11" t="s">
        <v>30430</v>
      </c>
      <c r="B15459" s="11" t="s">
        <v>30431</v>
      </c>
      <c r="C15459" s="11" t="s">
        <v>17</v>
      </c>
      <c r="D15459" s="11" t="s">
        <v>18</v>
      </c>
      <c r="E15459" s="12" t="s">
        <v>1696</v>
      </c>
      <c r="F15459" s="12" t="s">
        <v>1697</v>
      </c>
      <c r="G15459" s="12" t="s">
        <v>21</v>
      </c>
      <c r="H15459" s="11" t="s">
        <v>63</v>
      </c>
      <c r="I15459" s="13" t="s">
        <v>30432</v>
      </c>
      <c r="J15459" s="14" t="str">
        <f>HYPERLINK("https://www.boe.es/gazeta/dias/1839/08/31/pdfs/GMD-1839-1752.pdf#page=4","Abrir facsímil")</f>
        <v>Abrir facsímil</v>
      </c>
      <c r="K15459" s="12" t="s">
        <v>65</v>
      </c>
    </row>
    <row r="15460" spans="1:11" ht="40.049999999999997" customHeight="1" x14ac:dyDescent="0.25">
      <c r="A15460" s="11" t="s">
        <v>30433</v>
      </c>
      <c r="B15460" s="11" t="s">
        <v>30434</v>
      </c>
      <c r="C15460" s="11" t="s">
        <v>80</v>
      </c>
      <c r="D15460" s="11" t="s">
        <v>18</v>
      </c>
      <c r="E15460" s="12" t="s">
        <v>1179</v>
      </c>
      <c r="F15460" s="12" t="s">
        <v>1180</v>
      </c>
      <c r="G15460" s="12" t="s">
        <v>305</v>
      </c>
      <c r="H15460" s="11" t="s">
        <v>63</v>
      </c>
      <c r="I15460" s="13" t="s">
        <v>30435</v>
      </c>
      <c r="J15460" s="14" t="str">
        <f>HYPERLINK("https://www.boe.es/gazeta/dias/1839/10/18/pdfs/GMD-1839-1804.pdf#page=6","Abrir facsímil")</f>
        <v>Abrir facsímil</v>
      </c>
      <c r="K15460" s="12" t="s">
        <v>65</v>
      </c>
    </row>
    <row r="15461" spans="1:11" ht="40.049999999999997" customHeight="1" x14ac:dyDescent="0.25">
      <c r="A15461" s="11" t="s">
        <v>30436</v>
      </c>
      <c r="B15461" s="11" t="s">
        <v>30437</v>
      </c>
      <c r="C15461" s="11" t="s">
        <v>17</v>
      </c>
      <c r="D15461" s="11" t="s">
        <v>18</v>
      </c>
      <c r="E15461" s="12" t="s">
        <v>1179</v>
      </c>
      <c r="F15461" s="12" t="s">
        <v>1180</v>
      </c>
      <c r="G15461" s="12" t="s">
        <v>305</v>
      </c>
      <c r="H15461" s="11" t="s">
        <v>63</v>
      </c>
      <c r="I15461" s="13" t="s">
        <v>30438</v>
      </c>
      <c r="J15461" s="14" t="str">
        <f>HYPERLINK("https://www.boe.es/gazeta/dias/1839/10/18/pdfs/GMD-1839-1804.pdf#page=6","Abrir facsímil")</f>
        <v>Abrir facsímil</v>
      </c>
      <c r="K15461" s="12" t="s">
        <v>65</v>
      </c>
    </row>
    <row r="15462" spans="1:11" ht="40.049999999999997" customHeight="1" x14ac:dyDescent="0.25">
      <c r="A15462" s="11" t="s">
        <v>30439</v>
      </c>
      <c r="B15462" s="11" t="s">
        <v>30440</v>
      </c>
      <c r="C15462" s="11" t="s">
        <v>17</v>
      </c>
      <c r="D15462" s="11" t="s">
        <v>18</v>
      </c>
      <c r="E15462" s="12" t="s">
        <v>1366</v>
      </c>
      <c r="F15462" s="12" t="s">
        <v>1367</v>
      </c>
      <c r="G15462" s="12" t="s">
        <v>46</v>
      </c>
      <c r="H15462" s="11" t="s">
        <v>63</v>
      </c>
      <c r="I15462" s="13" t="s">
        <v>30441</v>
      </c>
      <c r="J15462" s="14" t="str">
        <f>HYPERLINK("https://www.boe.es/gazeta/dias/1839/09/09/pdfs/GMD-1839-1762.pdf#page=3","Abrir facsímil")</f>
        <v>Abrir facsímil</v>
      </c>
      <c r="K15462" s="12" t="s">
        <v>65</v>
      </c>
    </row>
    <row r="15463" spans="1:11" ht="40.049999999999997" customHeight="1" x14ac:dyDescent="0.25">
      <c r="A15463" s="11" t="s">
        <v>30442</v>
      </c>
      <c r="B15463" s="11" t="s">
        <v>30443</v>
      </c>
      <c r="C15463" s="11" t="s">
        <v>101</v>
      </c>
      <c r="D15463" s="11" t="s">
        <v>43</v>
      </c>
      <c r="E15463" s="12" t="s">
        <v>2138</v>
      </c>
      <c r="F15463" s="12" t="s">
        <v>2139</v>
      </c>
      <c r="G15463" s="12" t="s">
        <v>21</v>
      </c>
      <c r="H15463" s="11" t="s">
        <v>63</v>
      </c>
      <c r="I15463" s="13" t="s">
        <v>30444</v>
      </c>
      <c r="J15463" s="14" t="str">
        <f>HYPERLINK("https://www.boe.es/gazeta/dias/1839/10/02/pdfs/GMD-1839-1788.pdf#page=4","Abrir facsímil")</f>
        <v>Abrir facsímil</v>
      </c>
      <c r="K15463" s="12" t="s">
        <v>65</v>
      </c>
    </row>
    <row r="15464" spans="1:11" ht="40.049999999999997" customHeight="1" x14ac:dyDescent="0.25">
      <c r="A15464" s="11" t="s">
        <v>30445</v>
      </c>
      <c r="B15464" s="11" t="s">
        <v>30446</v>
      </c>
      <c r="C15464" s="11" t="s">
        <v>17</v>
      </c>
      <c r="D15464" s="11" t="s">
        <v>18</v>
      </c>
      <c r="E15464" s="12" t="s">
        <v>1179</v>
      </c>
      <c r="F15464" s="12" t="s">
        <v>1180</v>
      </c>
      <c r="G15464" s="12" t="s">
        <v>21</v>
      </c>
      <c r="H15464" s="11" t="s">
        <v>63</v>
      </c>
      <c r="I15464" s="13" t="s">
        <v>30447</v>
      </c>
      <c r="J15464" s="14" t="str">
        <f>HYPERLINK("https://www.boe.es/gazeta/dias/1839/10/18/pdfs/GMD-1839-1804.pdf#page=4","Abrir facsímil")</f>
        <v>Abrir facsímil</v>
      </c>
      <c r="K15464" s="12" t="s">
        <v>65</v>
      </c>
    </row>
    <row r="15465" spans="1:11" ht="40.049999999999997" customHeight="1" x14ac:dyDescent="0.25">
      <c r="A15465" s="11" t="s">
        <v>30445</v>
      </c>
      <c r="B15465" s="11" t="s">
        <v>30446</v>
      </c>
      <c r="C15465" s="11" t="s">
        <v>137</v>
      </c>
      <c r="D15465" s="11" t="s">
        <v>18</v>
      </c>
      <c r="E15465" s="12" t="s">
        <v>862</v>
      </c>
      <c r="F15465" s="12" t="s">
        <v>863</v>
      </c>
      <c r="G15465" s="12" t="s">
        <v>566</v>
      </c>
      <c r="H15465" s="11" t="s">
        <v>63</v>
      </c>
      <c r="I15465" s="13" t="s">
        <v>30448</v>
      </c>
      <c r="J15465" s="14" t="str">
        <f>HYPERLINK("https://www.boe.es/gazeta/dias/1839/10/28/pdfs/GMD-1839-1814.pdf#page=5","Abrir facsímil")</f>
        <v>Abrir facsímil</v>
      </c>
      <c r="K15465" s="12" t="s">
        <v>65</v>
      </c>
    </row>
    <row r="15466" spans="1:11" ht="40.049999999999997" customHeight="1" x14ac:dyDescent="0.25">
      <c r="A15466" s="11" t="s">
        <v>30449</v>
      </c>
      <c r="B15466" s="11" t="s">
        <v>30450</v>
      </c>
      <c r="C15466" s="11" t="s">
        <v>17</v>
      </c>
      <c r="D15466" s="11" t="s">
        <v>18</v>
      </c>
      <c r="E15466" s="12" t="s">
        <v>111</v>
      </c>
      <c r="F15466" s="12" t="s">
        <v>112</v>
      </c>
      <c r="G15466" s="12" t="s">
        <v>21</v>
      </c>
      <c r="H15466" s="11" t="s">
        <v>22</v>
      </c>
      <c r="I15466" s="13" t="s">
        <v>30451</v>
      </c>
      <c r="J15466" s="14" t="str">
        <f>HYPERLINK("https://www.boe.es/gazeta/dias/1839/07/25/pdfs/GMD-1839-1714.pdf#page=4","Abrir facsímil")</f>
        <v>Abrir facsímil</v>
      </c>
      <c r="K15466" s="12" t="s">
        <v>24</v>
      </c>
    </row>
    <row r="15467" spans="1:11" ht="40.049999999999997" customHeight="1" x14ac:dyDescent="0.25">
      <c r="A15467" s="11" t="s">
        <v>30452</v>
      </c>
      <c r="B15467" s="11" t="s">
        <v>30453</v>
      </c>
      <c r="C15467" s="11" t="s">
        <v>59</v>
      </c>
      <c r="D15467" s="11" t="s">
        <v>60</v>
      </c>
      <c r="E15467" s="12" t="s">
        <v>1378</v>
      </c>
      <c r="F15467" s="12" t="s">
        <v>1379</v>
      </c>
      <c r="G15467" s="12" t="s">
        <v>21</v>
      </c>
      <c r="H15467" s="11" t="s">
        <v>63</v>
      </c>
      <c r="I15467" s="13" t="s">
        <v>30454</v>
      </c>
      <c r="J15467" s="14" t="str">
        <f>HYPERLINK("https://www.boe.es/gazeta/dias/1839/05/18/pdfs/GMD-1839-1645.pdf#page=4","Abrir facsímil")</f>
        <v>Abrir facsímil</v>
      </c>
      <c r="K15467" s="12" t="s">
        <v>65</v>
      </c>
    </row>
    <row r="15468" spans="1:11" ht="40.049999999999997" customHeight="1" x14ac:dyDescent="0.25">
      <c r="A15468" s="11" t="s">
        <v>30455</v>
      </c>
      <c r="B15468" s="11" t="s">
        <v>30456</v>
      </c>
      <c r="C15468" s="11" t="s">
        <v>137</v>
      </c>
      <c r="D15468" s="11" t="s">
        <v>18</v>
      </c>
      <c r="E15468" s="12" t="s">
        <v>375</v>
      </c>
      <c r="F15468" s="12" t="s">
        <v>376</v>
      </c>
      <c r="G15468" s="12" t="s">
        <v>21</v>
      </c>
      <c r="H15468" s="11" t="s">
        <v>63</v>
      </c>
      <c r="I15468" s="13" t="s">
        <v>30457</v>
      </c>
      <c r="J15468" s="14" t="str">
        <f>HYPERLINK("https://www.boe.es/gazeta/dias/1839/11/25/pdfs/GMD-1839-1842.pdf#page=4","Abrir facsímil")</f>
        <v>Abrir facsímil</v>
      </c>
      <c r="K15468" s="12" t="s">
        <v>65</v>
      </c>
    </row>
    <row r="15469" spans="1:11" ht="40.049999999999997" customHeight="1" x14ac:dyDescent="0.25">
      <c r="A15469" s="11" t="s">
        <v>30458</v>
      </c>
      <c r="B15469" s="11" t="s">
        <v>30459</v>
      </c>
      <c r="C15469" s="11" t="s">
        <v>17</v>
      </c>
      <c r="D15469" s="11" t="s">
        <v>18</v>
      </c>
      <c r="E15469" s="12" t="s">
        <v>4189</v>
      </c>
      <c r="F15469" s="12" t="s">
        <v>4190</v>
      </c>
      <c r="G15469" s="12" t="s">
        <v>46</v>
      </c>
      <c r="H15469" s="11" t="s">
        <v>63</v>
      </c>
      <c r="I15469" s="13" t="s">
        <v>30460</v>
      </c>
      <c r="J15469" s="14" t="str">
        <f>HYPERLINK("https://www.boe.es/gazeta/dias/1839/02/13/pdfs/GMD-1839-1551.pdf#page=3","Abrir facsímil")</f>
        <v>Abrir facsímil</v>
      </c>
      <c r="K15469" s="12" t="s">
        <v>65</v>
      </c>
    </row>
    <row r="15470" spans="1:11" ht="40.049999999999997" customHeight="1" x14ac:dyDescent="0.25">
      <c r="A15470" s="11" t="s">
        <v>30461</v>
      </c>
      <c r="B15470" s="11" t="s">
        <v>30462</v>
      </c>
      <c r="C15470" s="11" t="s">
        <v>17</v>
      </c>
      <c r="D15470" s="11" t="s">
        <v>18</v>
      </c>
      <c r="E15470" s="12" t="s">
        <v>500</v>
      </c>
      <c r="F15470" s="12" t="s">
        <v>501</v>
      </c>
      <c r="G15470" s="12" t="s">
        <v>21</v>
      </c>
      <c r="H15470" s="11" t="s">
        <v>63</v>
      </c>
      <c r="I15470" s="13" t="s">
        <v>30463</v>
      </c>
      <c r="J15470" s="14" t="str">
        <f>HYPERLINK("https://www.boe.es/gazeta/dias/1839/11/06/pdfs/GMD-1839-1823.pdf#page=4","Abrir facsímil")</f>
        <v>Abrir facsímil</v>
      </c>
      <c r="K15470" s="12" t="s">
        <v>65</v>
      </c>
    </row>
    <row r="15471" spans="1:11" ht="40.049999999999997" customHeight="1" x14ac:dyDescent="0.25">
      <c r="A15471" s="11" t="s">
        <v>30461</v>
      </c>
      <c r="B15471" s="11" t="s">
        <v>30462</v>
      </c>
      <c r="C15471" s="11" t="s">
        <v>17</v>
      </c>
      <c r="D15471" s="11" t="s">
        <v>18</v>
      </c>
      <c r="E15471" s="12" t="s">
        <v>892</v>
      </c>
      <c r="F15471" s="12" t="s">
        <v>893</v>
      </c>
      <c r="G15471" s="12" t="s">
        <v>21</v>
      </c>
      <c r="H15471" s="11" t="s">
        <v>63</v>
      </c>
      <c r="I15471" s="13" t="s">
        <v>30464</v>
      </c>
      <c r="J15471" s="14" t="str">
        <f>HYPERLINK("https://www.boe.es/gazeta/dias/1839/12/28/pdfs/GMD-1839-1875.pdf#page=4","Abrir facsímil")</f>
        <v>Abrir facsímil</v>
      </c>
      <c r="K15471" s="12" t="s">
        <v>65</v>
      </c>
    </row>
    <row r="15472" spans="1:11" ht="40.049999999999997" customHeight="1" x14ac:dyDescent="0.25">
      <c r="A15472" s="11" t="s">
        <v>30465</v>
      </c>
      <c r="B15472" s="11" t="s">
        <v>30466</v>
      </c>
      <c r="C15472" s="11" t="s">
        <v>80</v>
      </c>
      <c r="D15472" s="11" t="s">
        <v>18</v>
      </c>
      <c r="E15472" s="12" t="s">
        <v>2440</v>
      </c>
      <c r="F15472" s="12" t="s">
        <v>2441</v>
      </c>
      <c r="G15472" s="12" t="s">
        <v>21</v>
      </c>
      <c r="H15472" s="11" t="s">
        <v>22</v>
      </c>
      <c r="I15472" s="13" t="s">
        <v>30467</v>
      </c>
      <c r="J15472" s="14" t="str">
        <f>HYPERLINK("https://www.boe.es/gazeta/dias/1839/12/01/pdfs/GMD-1839-1848.pdf#page=4","Abrir facsímil")</f>
        <v>Abrir facsímil</v>
      </c>
      <c r="K15472" s="12" t="s">
        <v>24</v>
      </c>
    </row>
    <row r="15473" spans="1:11" ht="40.049999999999997" customHeight="1" x14ac:dyDescent="0.25">
      <c r="A15473" s="11" t="s">
        <v>30465</v>
      </c>
      <c r="B15473" s="11" t="s">
        <v>30466</v>
      </c>
      <c r="C15473" s="11" t="s">
        <v>80</v>
      </c>
      <c r="D15473" s="11" t="s">
        <v>18</v>
      </c>
      <c r="E15473" s="12" t="s">
        <v>132</v>
      </c>
      <c r="F15473" s="12" t="s">
        <v>133</v>
      </c>
      <c r="G15473" s="12" t="s">
        <v>21</v>
      </c>
      <c r="H15473" s="11" t="s">
        <v>22</v>
      </c>
      <c r="I15473" s="13" t="s">
        <v>30468</v>
      </c>
      <c r="J15473" s="14" t="str">
        <f>HYPERLINK("https://www.boe.es/gazeta/dias/1839/08/02/pdfs/GMD-1839-1722.pdf#page=4","Abrir facsímil")</f>
        <v>Abrir facsímil</v>
      </c>
      <c r="K15473" s="12" t="s">
        <v>24</v>
      </c>
    </row>
    <row r="15474" spans="1:11" ht="40.049999999999997" customHeight="1" x14ac:dyDescent="0.25">
      <c r="A15474" s="11" t="s">
        <v>30465</v>
      </c>
      <c r="B15474" s="11" t="s">
        <v>30466</v>
      </c>
      <c r="C15474" s="11" t="s">
        <v>80</v>
      </c>
      <c r="D15474" s="11" t="s">
        <v>18</v>
      </c>
      <c r="E15474" s="12" t="s">
        <v>770</v>
      </c>
      <c r="F15474" s="12" t="s">
        <v>771</v>
      </c>
      <c r="G15474" s="12" t="s">
        <v>21</v>
      </c>
      <c r="H15474" s="11" t="s">
        <v>22</v>
      </c>
      <c r="I15474" s="13" t="s">
        <v>30469</v>
      </c>
      <c r="J15474" s="14" t="str">
        <f>HYPERLINK("https://www.boe.es/gazeta/dias/1839/12/05/pdfs/GMD-1839-1852.pdf#page=4","Abrir facsímil")</f>
        <v>Abrir facsímil</v>
      </c>
      <c r="K15474" s="12" t="s">
        <v>24</v>
      </c>
    </row>
    <row r="15475" spans="1:11" ht="40.049999999999997" customHeight="1" x14ac:dyDescent="0.25">
      <c r="A15475" s="11" t="s">
        <v>30465</v>
      </c>
      <c r="B15475" s="11" t="s">
        <v>30466</v>
      </c>
      <c r="C15475" s="11" t="s">
        <v>80</v>
      </c>
      <c r="D15475" s="11" t="s">
        <v>18</v>
      </c>
      <c r="E15475" s="12" t="s">
        <v>217</v>
      </c>
      <c r="F15475" s="12" t="s">
        <v>218</v>
      </c>
      <c r="G15475" s="12" t="s">
        <v>21</v>
      </c>
      <c r="H15475" s="11" t="s">
        <v>22</v>
      </c>
      <c r="I15475" s="13" t="s">
        <v>30470</v>
      </c>
      <c r="J15475" s="14" t="str">
        <f>HYPERLINK("https://www.boe.es/gazeta/dias/1839/08/06/pdfs/GMD-1839-1726.pdf#page=4","Abrir facsímil")</f>
        <v>Abrir facsímil</v>
      </c>
      <c r="K15475" s="12" t="s">
        <v>24</v>
      </c>
    </row>
    <row r="15476" spans="1:11" ht="40.049999999999997" customHeight="1" x14ac:dyDescent="0.25">
      <c r="A15476" s="11" t="s">
        <v>30465</v>
      </c>
      <c r="B15476" s="11" t="s">
        <v>30466</v>
      </c>
      <c r="C15476" s="11" t="s">
        <v>80</v>
      </c>
      <c r="D15476" s="11" t="s">
        <v>18</v>
      </c>
      <c r="E15476" s="12" t="s">
        <v>690</v>
      </c>
      <c r="F15476" s="12" t="s">
        <v>691</v>
      </c>
      <c r="G15476" s="12" t="s">
        <v>21</v>
      </c>
      <c r="H15476" s="11" t="s">
        <v>22</v>
      </c>
      <c r="I15476" s="13" t="s">
        <v>30471</v>
      </c>
      <c r="J15476" s="14" t="str">
        <f>HYPERLINK("https://www.boe.es/gazeta/dias/1839/12/08/pdfs/GMD-1839-1855.pdf#page=4","Abrir facsímil")</f>
        <v>Abrir facsímil</v>
      </c>
      <c r="K15476" s="12" t="s">
        <v>24</v>
      </c>
    </row>
    <row r="15477" spans="1:11" ht="40.049999999999997" customHeight="1" x14ac:dyDescent="0.25">
      <c r="A15477" s="11" t="s">
        <v>30465</v>
      </c>
      <c r="B15477" s="11" t="s">
        <v>30466</v>
      </c>
      <c r="C15477" s="11" t="s">
        <v>80</v>
      </c>
      <c r="D15477" s="11" t="s">
        <v>18</v>
      </c>
      <c r="E15477" s="12" t="s">
        <v>568</v>
      </c>
      <c r="F15477" s="12" t="s">
        <v>569</v>
      </c>
      <c r="G15477" s="12" t="s">
        <v>21</v>
      </c>
      <c r="H15477" s="11" t="s">
        <v>22</v>
      </c>
      <c r="I15477" s="13" t="s">
        <v>30472</v>
      </c>
      <c r="J15477" s="14" t="str">
        <f>HYPERLINK("https://www.boe.es/gazeta/dias/1839/10/23/pdfs/GMD-1839-1809.pdf#page=4","Abrir facsímil")</f>
        <v>Abrir facsímil</v>
      </c>
      <c r="K15477" s="12" t="s">
        <v>24</v>
      </c>
    </row>
    <row r="15478" spans="1:11" ht="40.049999999999997" customHeight="1" x14ac:dyDescent="0.25">
      <c r="A15478" s="11" t="s">
        <v>30473</v>
      </c>
      <c r="B15478" s="11" t="s">
        <v>30474</v>
      </c>
      <c r="C15478" s="11" t="s">
        <v>137</v>
      </c>
      <c r="D15478" s="11" t="s">
        <v>18</v>
      </c>
      <c r="E15478" s="12" t="s">
        <v>1374</v>
      </c>
      <c r="F15478" s="12" t="s">
        <v>1375</v>
      </c>
      <c r="G15478" s="12" t="s">
        <v>46</v>
      </c>
      <c r="H15478" s="11" t="s">
        <v>63</v>
      </c>
      <c r="I15478" s="13" t="s">
        <v>30475</v>
      </c>
      <c r="J15478" s="14" t="str">
        <f>HYPERLINK("https://www.boe.es/gazeta/dias/1839/07/20/pdfs/GMD-1839-1708.pdf#page=3","Abrir facsímil")</f>
        <v>Abrir facsímil</v>
      </c>
      <c r="K15478" s="12" t="s">
        <v>65</v>
      </c>
    </row>
    <row r="15479" spans="1:11" ht="40.049999999999997" customHeight="1" x14ac:dyDescent="0.25">
      <c r="A15479" s="11" t="s">
        <v>30476</v>
      </c>
      <c r="B15479" s="11" t="s">
        <v>30477</v>
      </c>
      <c r="C15479" s="11" t="s">
        <v>17</v>
      </c>
      <c r="D15479" s="11" t="s">
        <v>18</v>
      </c>
      <c r="E15479" s="12" t="s">
        <v>2738</v>
      </c>
      <c r="F15479" s="12" t="s">
        <v>2739</v>
      </c>
      <c r="G15479" s="12" t="s">
        <v>46</v>
      </c>
      <c r="H15479" s="11" t="s">
        <v>63</v>
      </c>
      <c r="I15479" s="13" t="s">
        <v>30478</v>
      </c>
      <c r="J15479" s="14" t="str">
        <f>HYPERLINK("https://www.boe.es/gazeta/dias/1839/09/06/pdfs/GMD-1839-1759.pdf#page=3","Abrir facsímil")</f>
        <v>Abrir facsímil</v>
      </c>
      <c r="K15479" s="12" t="s">
        <v>65</v>
      </c>
    </row>
    <row r="15480" spans="1:11" ht="40.049999999999997" customHeight="1" x14ac:dyDescent="0.25">
      <c r="A15480" s="11" t="s">
        <v>30479</v>
      </c>
      <c r="B15480" s="11" t="s">
        <v>30480</v>
      </c>
      <c r="C15480" s="11" t="s">
        <v>17</v>
      </c>
      <c r="D15480" s="11" t="s">
        <v>18</v>
      </c>
      <c r="E15480" s="12" t="s">
        <v>489</v>
      </c>
      <c r="F15480" s="12" t="s">
        <v>490</v>
      </c>
      <c r="G15480" s="12" t="s">
        <v>29</v>
      </c>
      <c r="H15480" s="11" t="s">
        <v>63</v>
      </c>
      <c r="I15480" s="13" t="s">
        <v>30481</v>
      </c>
      <c r="J15480" s="14" t="str">
        <f>HYPERLINK("https://www.boe.es/gazeta/dias/1839/06/29/pdfs/GMD-1839-1687.pdf#page=1","Abrir facsímil")</f>
        <v>Abrir facsímil</v>
      </c>
      <c r="K15480" s="12" t="s">
        <v>65</v>
      </c>
    </row>
    <row r="15481" spans="1:11" ht="40.049999999999997" customHeight="1" x14ac:dyDescent="0.25">
      <c r="A15481" s="11" t="s">
        <v>30482</v>
      </c>
      <c r="B15481" s="11" t="s">
        <v>30483</v>
      </c>
      <c r="C15481" s="11" t="s">
        <v>59</v>
      </c>
      <c r="D15481" s="11" t="s">
        <v>60</v>
      </c>
      <c r="E15481" s="12" t="s">
        <v>1356</v>
      </c>
      <c r="F15481" s="12" t="s">
        <v>1357</v>
      </c>
      <c r="G15481" s="12" t="s">
        <v>40</v>
      </c>
      <c r="H15481" s="11" t="s">
        <v>63</v>
      </c>
      <c r="I15481" s="13" t="s">
        <v>30484</v>
      </c>
      <c r="J15481" s="14" t="str">
        <f>HYPERLINK("https://www.boe.es/gazeta/dias/1839/06/05/pdfs/GMD-1839-1663.pdf#page=2","Abrir facsímil")</f>
        <v>Abrir facsímil</v>
      </c>
      <c r="K15481" s="12" t="s">
        <v>65</v>
      </c>
    </row>
    <row r="15482" spans="1:11" ht="40.049999999999997" customHeight="1" x14ac:dyDescent="0.25">
      <c r="A15482" s="11" t="s">
        <v>30485</v>
      </c>
      <c r="B15482" s="11" t="s">
        <v>30486</v>
      </c>
      <c r="C15482" s="11" t="s">
        <v>80</v>
      </c>
      <c r="D15482" s="11" t="s">
        <v>18</v>
      </c>
      <c r="E15482" s="12" t="s">
        <v>388</v>
      </c>
      <c r="F15482" s="12" t="s">
        <v>389</v>
      </c>
      <c r="G15482" s="12" t="s">
        <v>29</v>
      </c>
      <c r="H15482" s="11" t="s">
        <v>63</v>
      </c>
      <c r="I15482" s="13" t="s">
        <v>30487</v>
      </c>
      <c r="J15482" s="14" t="str">
        <f>HYPERLINK("https://www.boe.es/gazeta/dias/1839/08/07/pdfs/GMD-1839-1727.pdf#page=1","Abrir facsímil")</f>
        <v>Abrir facsímil</v>
      </c>
      <c r="K15482" s="12" t="s">
        <v>65</v>
      </c>
    </row>
    <row r="15483" spans="1:11" ht="40.049999999999997" customHeight="1" x14ac:dyDescent="0.25">
      <c r="A15483" s="11" t="s">
        <v>30488</v>
      </c>
      <c r="B15483" s="11" t="s">
        <v>30489</v>
      </c>
      <c r="C15483" s="11" t="s">
        <v>137</v>
      </c>
      <c r="D15483" s="11" t="s">
        <v>18</v>
      </c>
      <c r="E15483" s="12" t="s">
        <v>984</v>
      </c>
      <c r="F15483" s="12" t="s">
        <v>985</v>
      </c>
      <c r="G15483" s="12" t="s">
        <v>21</v>
      </c>
      <c r="H15483" s="11" t="s">
        <v>63</v>
      </c>
      <c r="I15483" s="13" t="s">
        <v>30490</v>
      </c>
      <c r="J15483" s="14" t="str">
        <f>HYPERLINK("https://www.boe.es/gazeta/dias/1839/04/10/pdfs/GMD-1839-1607.pdf#page=4","Abrir facsímil")</f>
        <v>Abrir facsímil</v>
      </c>
      <c r="K15483" s="12" t="s">
        <v>65</v>
      </c>
    </row>
    <row r="15484" spans="1:11" ht="40.049999999999997" customHeight="1" x14ac:dyDescent="0.25">
      <c r="A15484" s="11" t="s">
        <v>30491</v>
      </c>
      <c r="B15484" s="11" t="s">
        <v>30492</v>
      </c>
      <c r="C15484" s="11" t="s">
        <v>17</v>
      </c>
      <c r="D15484" s="11" t="s">
        <v>18</v>
      </c>
      <c r="E15484" s="12" t="s">
        <v>108</v>
      </c>
      <c r="F15484" s="12" t="s">
        <v>109</v>
      </c>
      <c r="G15484" s="12" t="s">
        <v>21</v>
      </c>
      <c r="H15484" s="11" t="s">
        <v>63</v>
      </c>
      <c r="I15484" s="13" t="s">
        <v>30493</v>
      </c>
      <c r="J15484" s="14" t="str">
        <f>HYPERLINK("https://www.boe.es/gazeta/dias/1839/01/04/pdfs/GMD-1839-1511.pdf#page=4","Abrir facsímil")</f>
        <v>Abrir facsímil</v>
      </c>
      <c r="K15484" s="12" t="s">
        <v>65</v>
      </c>
    </row>
    <row r="15485" spans="1:11" ht="40.049999999999997" customHeight="1" x14ac:dyDescent="0.25">
      <c r="A15485" s="11" t="s">
        <v>30494</v>
      </c>
      <c r="B15485" s="11" t="s">
        <v>30495</v>
      </c>
      <c r="C15485" s="11" t="s">
        <v>101</v>
      </c>
      <c r="D15485" s="11" t="s">
        <v>102</v>
      </c>
      <c r="E15485" s="12" t="s">
        <v>1236</v>
      </c>
      <c r="F15485" s="12" t="s">
        <v>1237</v>
      </c>
      <c r="G15485" s="12" t="s">
        <v>21</v>
      </c>
      <c r="H15485" s="11" t="s">
        <v>63</v>
      </c>
      <c r="I15485" s="13" t="s">
        <v>30496</v>
      </c>
      <c r="J15485" s="14" t="str">
        <f>HYPERLINK("https://www.boe.es/gazeta/dias/1839/10/16/pdfs/GMD-1839-1802.pdf#page=4","Abrir facsímil")</f>
        <v>Abrir facsímil</v>
      </c>
      <c r="K15485" s="12" t="s">
        <v>65</v>
      </c>
    </row>
    <row r="15486" spans="1:11" ht="40.049999999999997" customHeight="1" x14ac:dyDescent="0.25">
      <c r="A15486" s="11" t="s">
        <v>30497</v>
      </c>
      <c r="B15486" s="11" t="s">
        <v>30498</v>
      </c>
      <c r="C15486" s="11" t="s">
        <v>80</v>
      </c>
      <c r="D15486" s="11" t="s">
        <v>18</v>
      </c>
      <c r="E15486" s="12" t="s">
        <v>770</v>
      </c>
      <c r="F15486" s="12" t="s">
        <v>771</v>
      </c>
      <c r="G15486" s="12" t="s">
        <v>21</v>
      </c>
      <c r="H15486" s="11" t="s">
        <v>63</v>
      </c>
      <c r="I15486" s="13" t="s">
        <v>30499</v>
      </c>
      <c r="J15486" s="14" t="str">
        <f>HYPERLINK("https://www.boe.es/gazeta/dias/1839/12/05/pdfs/GMD-1839-1852.pdf#page=4","Abrir facsímil")</f>
        <v>Abrir facsímil</v>
      </c>
      <c r="K15486" s="12" t="s">
        <v>65</v>
      </c>
    </row>
    <row r="15487" spans="1:11" ht="40.049999999999997" customHeight="1" x14ac:dyDescent="0.25">
      <c r="A15487" s="11" t="s">
        <v>30500</v>
      </c>
      <c r="B15487" s="11" t="s">
        <v>30501</v>
      </c>
      <c r="C15487" s="11" t="s">
        <v>137</v>
      </c>
      <c r="D15487" s="11" t="s">
        <v>18</v>
      </c>
      <c r="E15487" s="12" t="s">
        <v>462</v>
      </c>
      <c r="F15487" s="12" t="s">
        <v>463</v>
      </c>
      <c r="G15487" s="12" t="s">
        <v>21</v>
      </c>
      <c r="H15487" s="11" t="s">
        <v>63</v>
      </c>
      <c r="I15487" s="13" t="s">
        <v>30502</v>
      </c>
      <c r="J15487" s="14" t="str">
        <f>HYPERLINK("https://www.boe.es/gazeta/dias/1839/06/19/pdfs/GMD-1839-1677.pdf#page=4","Abrir facsímil")</f>
        <v>Abrir facsímil</v>
      </c>
      <c r="K15487" s="12" t="s">
        <v>65</v>
      </c>
    </row>
    <row r="15488" spans="1:11" ht="40.049999999999997" customHeight="1" x14ac:dyDescent="0.25">
      <c r="A15488" s="11" t="s">
        <v>30503</v>
      </c>
      <c r="B15488" s="11" t="s">
        <v>30504</v>
      </c>
      <c r="C15488" s="11" t="s">
        <v>17</v>
      </c>
      <c r="D15488" s="11" t="s">
        <v>18</v>
      </c>
      <c r="E15488" s="12" t="s">
        <v>44</v>
      </c>
      <c r="F15488" s="12" t="s">
        <v>45</v>
      </c>
      <c r="G15488" s="12" t="s">
        <v>21</v>
      </c>
      <c r="H15488" s="11" t="s">
        <v>63</v>
      </c>
      <c r="I15488" s="13" t="s">
        <v>30505</v>
      </c>
      <c r="J15488" s="14" t="str">
        <f>HYPERLINK("https://www.boe.es/gazeta/dias/1839/11/15/pdfs/GMD-1839-1832.pdf#page=4","Abrir facsímil")</f>
        <v>Abrir facsímil</v>
      </c>
      <c r="K15488" s="12" t="s">
        <v>65</v>
      </c>
    </row>
    <row r="15489" spans="1:11" ht="40.049999999999997" customHeight="1" x14ac:dyDescent="0.25">
      <c r="A15489" s="11" t="s">
        <v>30506</v>
      </c>
      <c r="B15489" s="11" t="s">
        <v>30507</v>
      </c>
      <c r="C15489" s="11" t="s">
        <v>80</v>
      </c>
      <c r="D15489" s="11" t="s">
        <v>18</v>
      </c>
      <c r="E15489" s="12" t="s">
        <v>4186</v>
      </c>
      <c r="F15489" s="12" t="s">
        <v>4187</v>
      </c>
      <c r="G15489" s="12" t="s">
        <v>21</v>
      </c>
      <c r="H15489" s="11" t="s">
        <v>63</v>
      </c>
      <c r="I15489" s="13" t="s">
        <v>30508</v>
      </c>
      <c r="J15489" s="14" t="str">
        <f>HYPERLINK("https://www.boe.es/gazeta/dias/1839/12/12/pdfs/GMD-1839-1859.pdf#page=4","Abrir facsímil")</f>
        <v>Abrir facsímil</v>
      </c>
      <c r="K15489" s="12" t="s">
        <v>65</v>
      </c>
    </row>
    <row r="15490" spans="1:11" ht="40.049999999999997" customHeight="1" x14ac:dyDescent="0.25">
      <c r="A15490" s="11" t="s">
        <v>30506</v>
      </c>
      <c r="B15490" s="11" t="s">
        <v>30507</v>
      </c>
      <c r="C15490" s="11" t="s">
        <v>80</v>
      </c>
      <c r="D15490" s="11" t="s">
        <v>18</v>
      </c>
      <c r="E15490" s="12" t="s">
        <v>951</v>
      </c>
      <c r="F15490" s="12" t="s">
        <v>952</v>
      </c>
      <c r="G15490" s="12" t="s">
        <v>21</v>
      </c>
      <c r="H15490" s="11" t="s">
        <v>63</v>
      </c>
      <c r="I15490" s="13" t="s">
        <v>30509</v>
      </c>
      <c r="J15490" s="14" t="str">
        <f>HYPERLINK("https://www.boe.es/gazeta/dias/1839/12/30/pdfs/GMD-1839-1877.pdf#page=4","Abrir facsímil")</f>
        <v>Abrir facsímil</v>
      </c>
      <c r="K15490" s="12" t="s">
        <v>65</v>
      </c>
    </row>
    <row r="15491" spans="1:11" ht="40.049999999999997" customHeight="1" x14ac:dyDescent="0.25">
      <c r="A15491" s="11" t="s">
        <v>30510</v>
      </c>
      <c r="B15491" s="11" t="s">
        <v>30511</v>
      </c>
      <c r="C15491" s="11" t="s">
        <v>17</v>
      </c>
      <c r="D15491" s="11" t="s">
        <v>18</v>
      </c>
      <c r="E15491" s="12" t="s">
        <v>1144</v>
      </c>
      <c r="F15491" s="12" t="s">
        <v>1145</v>
      </c>
      <c r="G15491" s="12" t="s">
        <v>40</v>
      </c>
      <c r="H15491" s="11" t="s">
        <v>63</v>
      </c>
      <c r="I15491" s="13" t="s">
        <v>30512</v>
      </c>
      <c r="J15491" s="14" t="str">
        <f>HYPERLINK("https://www.boe.es/gazeta/dias/1839/08/13/pdfs/GMD-1839-1733.pdf#page=2","Abrir facsímil")</f>
        <v>Abrir facsímil</v>
      </c>
      <c r="K15491" s="12" t="s">
        <v>65</v>
      </c>
    </row>
    <row r="15492" spans="1:11" ht="40.049999999999997" customHeight="1" x14ac:dyDescent="0.25">
      <c r="A15492" s="11" t="s">
        <v>30513</v>
      </c>
      <c r="B15492" s="11" t="s">
        <v>30514</v>
      </c>
      <c r="C15492" s="11" t="s">
        <v>17</v>
      </c>
      <c r="D15492" s="11" t="s">
        <v>18</v>
      </c>
      <c r="E15492" s="12" t="s">
        <v>2155</v>
      </c>
      <c r="F15492" s="12" t="s">
        <v>2156</v>
      </c>
      <c r="G15492" s="12" t="s">
        <v>29</v>
      </c>
      <c r="H15492" s="11" t="s">
        <v>63</v>
      </c>
      <c r="I15492" s="13" t="s">
        <v>30515</v>
      </c>
      <c r="J15492" s="14" t="str">
        <f>HYPERLINK("https://www.boe.es/gazeta/dias/1839/01/17/pdfs/GMD-1839-1524.pdf#page=1","Abrir facsímil")</f>
        <v>Abrir facsímil</v>
      </c>
      <c r="K15492" s="12" t="s">
        <v>65</v>
      </c>
    </row>
    <row r="15493" spans="1:11" ht="40.049999999999997" customHeight="1" x14ac:dyDescent="0.25">
      <c r="A15493" s="11" t="s">
        <v>30516</v>
      </c>
      <c r="B15493" s="11" t="s">
        <v>30517</v>
      </c>
      <c r="C15493" s="11" t="s">
        <v>59</v>
      </c>
      <c r="D15493" s="11" t="s">
        <v>60</v>
      </c>
      <c r="E15493" s="12" t="s">
        <v>246</v>
      </c>
      <c r="F15493" s="12" t="s">
        <v>247</v>
      </c>
      <c r="G15493" s="12" t="s">
        <v>21</v>
      </c>
      <c r="H15493" s="11" t="s">
        <v>63</v>
      </c>
      <c r="I15493" s="13" t="s">
        <v>30518</v>
      </c>
      <c r="J15493" s="14" t="str">
        <f>HYPERLINK("https://www.boe.es/gazeta/dias/1839/11/24/pdfs/GMD-1839-1841.pdf#page=4","Abrir facsímil")</f>
        <v>Abrir facsímil</v>
      </c>
      <c r="K15493" s="12" t="s">
        <v>65</v>
      </c>
    </row>
    <row r="15494" spans="1:11" ht="40.049999999999997" customHeight="1" x14ac:dyDescent="0.25">
      <c r="A15494" s="11" t="s">
        <v>30519</v>
      </c>
      <c r="B15494" s="11" t="s">
        <v>30520</v>
      </c>
      <c r="C15494" s="11" t="s">
        <v>137</v>
      </c>
      <c r="D15494" s="11" t="s">
        <v>18</v>
      </c>
      <c r="E15494" s="12" t="s">
        <v>2851</v>
      </c>
      <c r="F15494" s="12" t="s">
        <v>2852</v>
      </c>
      <c r="G15494" s="12" t="s">
        <v>29</v>
      </c>
      <c r="H15494" s="11" t="s">
        <v>63</v>
      </c>
      <c r="I15494" s="13" t="s">
        <v>30521</v>
      </c>
      <c r="J15494" s="14" t="str">
        <f>HYPERLINK("https://www.boe.es/gazeta/dias/1839/05/16/pdfs/GMD-1839-1643.pdf#page=1","Abrir facsímil")</f>
        <v>Abrir facsímil</v>
      </c>
      <c r="K15494" s="12" t="s">
        <v>65</v>
      </c>
    </row>
    <row r="15495" spans="1:11" ht="40.049999999999997" customHeight="1" x14ac:dyDescent="0.25">
      <c r="A15495" s="11" t="s">
        <v>30522</v>
      </c>
      <c r="B15495" s="11" t="s">
        <v>30523</v>
      </c>
      <c r="C15495" s="11" t="s">
        <v>101</v>
      </c>
      <c r="D15495" s="11" t="s">
        <v>43</v>
      </c>
      <c r="E15495" s="12" t="s">
        <v>197</v>
      </c>
      <c r="F15495" s="12" t="s">
        <v>198</v>
      </c>
      <c r="G15495" s="12" t="s">
        <v>46</v>
      </c>
      <c r="H15495" s="11" t="s">
        <v>63</v>
      </c>
      <c r="I15495" s="13" t="s">
        <v>30524</v>
      </c>
      <c r="J15495" s="14" t="str">
        <f>HYPERLINK("https://www.boe.es/gazeta/dias/1839/10/04/pdfs/GMD-1839-1790.pdf#page=3","Abrir facsímil")</f>
        <v>Abrir facsímil</v>
      </c>
      <c r="K15495" s="12" t="s">
        <v>65</v>
      </c>
    </row>
    <row r="15496" spans="1:11" ht="40.049999999999997" customHeight="1" x14ac:dyDescent="0.25">
      <c r="A15496" s="11" t="s">
        <v>30525</v>
      </c>
      <c r="B15496" s="11" t="s">
        <v>30526</v>
      </c>
      <c r="C15496" s="11" t="s">
        <v>80</v>
      </c>
      <c r="D15496" s="11" t="s">
        <v>18</v>
      </c>
      <c r="E15496" s="12" t="s">
        <v>2452</v>
      </c>
      <c r="F15496" s="12" t="s">
        <v>2453</v>
      </c>
      <c r="G15496" s="12" t="s">
        <v>21</v>
      </c>
      <c r="H15496" s="11" t="s">
        <v>63</v>
      </c>
      <c r="I15496" s="13" t="s">
        <v>30527</v>
      </c>
      <c r="J15496" s="14" t="str">
        <f>HYPERLINK("https://www.boe.es/gazeta/dias/1839/11/14/pdfs/GMD-1839-1831.pdf#page=4","Abrir facsímil")</f>
        <v>Abrir facsímil</v>
      </c>
      <c r="K15496" s="12" t="s">
        <v>65</v>
      </c>
    </row>
    <row r="15497" spans="1:11" ht="40.049999999999997" customHeight="1" x14ac:dyDescent="0.25">
      <c r="A15497" s="11" t="s">
        <v>30528</v>
      </c>
      <c r="B15497" s="11" t="s">
        <v>30529</v>
      </c>
      <c r="C15497" s="11" t="s">
        <v>80</v>
      </c>
      <c r="D15497" s="11" t="s">
        <v>18</v>
      </c>
      <c r="E15497" s="12" t="s">
        <v>433</v>
      </c>
      <c r="F15497" s="12" t="s">
        <v>434</v>
      </c>
      <c r="G15497" s="12" t="s">
        <v>40</v>
      </c>
      <c r="H15497" s="11" t="s">
        <v>63</v>
      </c>
      <c r="I15497" s="13" t="s">
        <v>30530</v>
      </c>
      <c r="J15497" s="14" t="str">
        <f>HYPERLINK("https://www.boe.es/gazeta/dias/1839/01/20/pdfs/GMD-1839-1527.pdf#page=2","Abrir facsímil")</f>
        <v>Abrir facsímil</v>
      </c>
      <c r="K15497" s="12" t="s">
        <v>65</v>
      </c>
    </row>
    <row r="15498" spans="1:11" ht="40.049999999999997" customHeight="1" x14ac:dyDescent="0.25">
      <c r="A15498" s="11" t="s">
        <v>30531</v>
      </c>
      <c r="B15498" s="11" t="s">
        <v>30532</v>
      </c>
      <c r="C15498" s="11" t="s">
        <v>59</v>
      </c>
      <c r="D15498" s="11" t="s">
        <v>60</v>
      </c>
      <c r="E15498" s="12" t="s">
        <v>785</v>
      </c>
      <c r="F15498" s="12" t="s">
        <v>786</v>
      </c>
      <c r="G15498" s="12" t="s">
        <v>40</v>
      </c>
      <c r="H15498" s="11" t="s">
        <v>63</v>
      </c>
      <c r="I15498" s="13" t="s">
        <v>30533</v>
      </c>
      <c r="J15498" s="14" t="str">
        <f>HYPERLINK("https://www.boe.es/gazeta/dias/1839/07/13/pdfs/GMD-1839-1701.pdf#page=2","Abrir facsímil")</f>
        <v>Abrir facsímil</v>
      </c>
      <c r="K15498" s="12" t="s">
        <v>65</v>
      </c>
    </row>
    <row r="15499" spans="1:11" ht="40.049999999999997" customHeight="1" x14ac:dyDescent="0.25">
      <c r="A15499" s="11" t="s">
        <v>30534</v>
      </c>
      <c r="B15499" s="11" t="s">
        <v>30535</v>
      </c>
      <c r="C15499" s="11" t="s">
        <v>17</v>
      </c>
      <c r="D15499" s="11" t="s">
        <v>18</v>
      </c>
      <c r="E15499" s="12" t="s">
        <v>1012</v>
      </c>
      <c r="F15499" s="12" t="s">
        <v>1013</v>
      </c>
      <c r="G15499" s="12" t="s">
        <v>46</v>
      </c>
      <c r="H15499" s="11" t="s">
        <v>63</v>
      </c>
      <c r="I15499" s="13" t="s">
        <v>30536</v>
      </c>
      <c r="J15499" s="14" t="str">
        <f>HYPERLINK("https://www.boe.es/gazeta/dias/1839/11/22/pdfs/GMD-1839-1839.pdf#page=3","Abrir facsímil")</f>
        <v>Abrir facsímil</v>
      </c>
      <c r="K15499" s="12" t="s">
        <v>65</v>
      </c>
    </row>
    <row r="15500" spans="1:11" ht="40.049999999999997" customHeight="1" x14ac:dyDescent="0.25">
      <c r="A15500" s="11" t="s">
        <v>30537</v>
      </c>
      <c r="B15500" s="11" t="s">
        <v>30538</v>
      </c>
      <c r="C15500" s="11" t="s">
        <v>17</v>
      </c>
      <c r="D15500" s="11" t="s">
        <v>18</v>
      </c>
      <c r="E15500" s="12" t="s">
        <v>834</v>
      </c>
      <c r="F15500" s="12" t="s">
        <v>835</v>
      </c>
      <c r="G15500" s="12" t="s">
        <v>40</v>
      </c>
      <c r="H15500" s="11" t="s">
        <v>63</v>
      </c>
      <c r="I15500" s="13" t="s">
        <v>30539</v>
      </c>
      <c r="J15500" s="14" t="str">
        <f>HYPERLINK("https://www.boe.es/gazeta/dias/1839/08/17/pdfs/GMD-1839-1737.pdf#page=2","Abrir facsímil")</f>
        <v>Abrir facsímil</v>
      </c>
      <c r="K15500" s="12" t="s">
        <v>65</v>
      </c>
    </row>
    <row r="15501" spans="1:11" ht="40.049999999999997" customHeight="1" x14ac:dyDescent="0.25">
      <c r="A15501" s="11" t="s">
        <v>30540</v>
      </c>
      <c r="B15501" s="11" t="s">
        <v>30541</v>
      </c>
      <c r="C15501" s="11" t="s">
        <v>80</v>
      </c>
      <c r="D15501" s="11" t="s">
        <v>18</v>
      </c>
      <c r="E15501" s="12" t="s">
        <v>168</v>
      </c>
      <c r="F15501" s="12" t="s">
        <v>169</v>
      </c>
      <c r="G15501" s="12" t="s">
        <v>46</v>
      </c>
      <c r="H15501" s="11" t="s">
        <v>63</v>
      </c>
      <c r="I15501" s="13" t="s">
        <v>30542</v>
      </c>
      <c r="J15501" s="14" t="str">
        <f>HYPERLINK("https://www.boe.es/gazeta/dias/1839/07/12/pdfs/GMD-1839-1700.pdf#page=3","Abrir facsímil")</f>
        <v>Abrir facsímil</v>
      </c>
      <c r="K15501" s="12" t="s">
        <v>65</v>
      </c>
    </row>
    <row r="15502" spans="1:11" ht="40.049999999999997" customHeight="1" x14ac:dyDescent="0.25">
      <c r="A15502" s="11" t="s">
        <v>30543</v>
      </c>
      <c r="B15502" s="11" t="s">
        <v>30544</v>
      </c>
      <c r="C15502" s="11" t="s">
        <v>59</v>
      </c>
      <c r="D15502" s="11" t="s">
        <v>60</v>
      </c>
      <c r="E15502" s="12" t="s">
        <v>355</v>
      </c>
      <c r="F15502" s="12" t="s">
        <v>356</v>
      </c>
      <c r="G15502" s="12" t="s">
        <v>29</v>
      </c>
      <c r="H15502" s="11" t="s">
        <v>63</v>
      </c>
      <c r="I15502" s="13" t="s">
        <v>30545</v>
      </c>
      <c r="J15502" s="14" t="str">
        <f>HYPERLINK("https://www.boe.es/gazeta/dias/1839/05/31/pdfs/GMD-1839-1658.pdf#page=1","Abrir facsímil")</f>
        <v>Abrir facsímil</v>
      </c>
      <c r="K15502" s="12" t="s">
        <v>65</v>
      </c>
    </row>
    <row r="15503" spans="1:11" ht="40.049999999999997" customHeight="1" x14ac:dyDescent="0.25">
      <c r="A15503" s="11" t="s">
        <v>30546</v>
      </c>
      <c r="B15503" s="11" t="s">
        <v>30547</v>
      </c>
      <c r="C15503" s="11" t="s">
        <v>17</v>
      </c>
      <c r="D15503" s="11" t="s">
        <v>18</v>
      </c>
      <c r="E15503" s="12" t="s">
        <v>246</v>
      </c>
      <c r="F15503" s="12" t="s">
        <v>247</v>
      </c>
      <c r="G15503" s="12" t="s">
        <v>21</v>
      </c>
      <c r="H15503" s="11" t="s">
        <v>63</v>
      </c>
      <c r="I15503" s="13" t="s">
        <v>30548</v>
      </c>
      <c r="J15503" s="14" t="str">
        <f>HYPERLINK("https://www.boe.es/gazeta/dias/1839/11/24/pdfs/GMD-1839-1841.pdf#page=4","Abrir facsímil")</f>
        <v>Abrir facsímil</v>
      </c>
      <c r="K15503" s="12" t="s">
        <v>65</v>
      </c>
    </row>
    <row r="15504" spans="1:11" ht="40.049999999999997" customHeight="1" x14ac:dyDescent="0.25">
      <c r="A15504" s="11" t="s">
        <v>30549</v>
      </c>
      <c r="B15504" s="11" t="s">
        <v>30550</v>
      </c>
      <c r="C15504" s="11" t="s">
        <v>17</v>
      </c>
      <c r="D15504" s="11" t="s">
        <v>18</v>
      </c>
      <c r="E15504" s="12" t="s">
        <v>2449</v>
      </c>
      <c r="F15504" s="12" t="s">
        <v>2450</v>
      </c>
      <c r="G15504" s="12" t="s">
        <v>40</v>
      </c>
      <c r="H15504" s="11" t="s">
        <v>63</v>
      </c>
      <c r="I15504" s="13" t="s">
        <v>30551</v>
      </c>
      <c r="J15504" s="14" t="str">
        <f>HYPERLINK("https://www.boe.es/gazeta/dias/1839/12/11/pdfs/GMD-1839-1858.pdf#page=2","Abrir facsímil")</f>
        <v>Abrir facsímil</v>
      </c>
      <c r="K15504" s="12" t="s">
        <v>65</v>
      </c>
    </row>
    <row r="15505" spans="1:11" ht="40.049999999999997" customHeight="1" x14ac:dyDescent="0.25">
      <c r="A15505" s="11" t="s">
        <v>30552</v>
      </c>
      <c r="B15505" s="11" t="s">
        <v>30553</v>
      </c>
      <c r="C15505" s="11" t="s">
        <v>80</v>
      </c>
      <c r="D15505" s="11" t="s">
        <v>18</v>
      </c>
      <c r="E15505" s="12" t="s">
        <v>1772</v>
      </c>
      <c r="F15505" s="12" t="s">
        <v>1773</v>
      </c>
      <c r="G15505" s="12" t="s">
        <v>40</v>
      </c>
      <c r="H15505" s="11" t="s">
        <v>63</v>
      </c>
      <c r="I15505" s="13" t="s">
        <v>30554</v>
      </c>
      <c r="J15505" s="14" t="str">
        <f>HYPERLINK("https://www.boe.es/gazeta/dias/1839/05/07/pdfs/GMD-1839-1634.pdf#page=2","Abrir facsímil")</f>
        <v>Abrir facsímil</v>
      </c>
      <c r="K15505" s="12" t="s">
        <v>65</v>
      </c>
    </row>
    <row r="15506" spans="1:11" ht="40.049999999999997" customHeight="1" x14ac:dyDescent="0.25">
      <c r="A15506" s="11" t="s">
        <v>30555</v>
      </c>
      <c r="B15506" s="11" t="s">
        <v>30556</v>
      </c>
      <c r="C15506" s="11" t="s">
        <v>17</v>
      </c>
      <c r="D15506" s="11" t="s">
        <v>18</v>
      </c>
      <c r="E15506" s="12" t="s">
        <v>1079</v>
      </c>
      <c r="F15506" s="12" t="s">
        <v>1080</v>
      </c>
      <c r="G15506" s="12" t="s">
        <v>46</v>
      </c>
      <c r="H15506" s="11" t="s">
        <v>63</v>
      </c>
      <c r="I15506" s="13" t="s">
        <v>30557</v>
      </c>
      <c r="J15506" s="14" t="str">
        <f>HYPERLINK("https://www.boe.es/gazeta/dias/1839/05/24/pdfs/GMD-1839-1651.pdf#page=3","Abrir facsímil")</f>
        <v>Abrir facsímil</v>
      </c>
      <c r="K15506" s="12" t="s">
        <v>65</v>
      </c>
    </row>
    <row r="15507" spans="1:11" ht="40.049999999999997" customHeight="1" x14ac:dyDescent="0.25">
      <c r="A15507" s="11" t="s">
        <v>30558</v>
      </c>
      <c r="B15507" s="11" t="s">
        <v>30559</v>
      </c>
      <c r="C15507" s="11" t="s">
        <v>17</v>
      </c>
      <c r="D15507" s="11" t="s">
        <v>18</v>
      </c>
      <c r="E15507" s="12" t="s">
        <v>2222</v>
      </c>
      <c r="F15507" s="12" t="s">
        <v>2223</v>
      </c>
      <c r="G15507" s="12" t="s">
        <v>21</v>
      </c>
      <c r="H15507" s="11" t="s">
        <v>63</v>
      </c>
      <c r="I15507" s="13" t="s">
        <v>30560</v>
      </c>
      <c r="J15507" s="14" t="str">
        <f>HYPERLINK("https://www.boe.es/gazeta/dias/1839/09/19/pdfs/GMD-1839-1773.pdf#page=4","Abrir facsímil")</f>
        <v>Abrir facsímil</v>
      </c>
      <c r="K15507" s="12" t="s">
        <v>65</v>
      </c>
    </row>
    <row r="15508" spans="1:11" ht="40.049999999999997" customHeight="1" x14ac:dyDescent="0.25">
      <c r="A15508" s="11" t="s">
        <v>30561</v>
      </c>
      <c r="B15508" s="11" t="s">
        <v>30562</v>
      </c>
      <c r="C15508" s="11" t="s">
        <v>59</v>
      </c>
      <c r="D15508" s="11" t="s">
        <v>60</v>
      </c>
      <c r="E15508" s="12" t="s">
        <v>2738</v>
      </c>
      <c r="F15508" s="12" t="s">
        <v>2739</v>
      </c>
      <c r="G15508" s="12" t="s">
        <v>29</v>
      </c>
      <c r="H15508" s="11" t="s">
        <v>63</v>
      </c>
      <c r="I15508" s="13" t="s">
        <v>30563</v>
      </c>
      <c r="J15508" s="14" t="str">
        <f>HYPERLINK("https://www.boe.es/gazeta/dias/1839/09/06/pdfs/GMD-1839-1759.pdf#page=1","Abrir facsímil")</f>
        <v>Abrir facsímil</v>
      </c>
      <c r="K15508" s="12" t="s">
        <v>65</v>
      </c>
    </row>
    <row r="15509" spans="1:11" ht="40.049999999999997" customHeight="1" x14ac:dyDescent="0.25">
      <c r="A15509" s="11" t="s">
        <v>30564</v>
      </c>
      <c r="B15509" s="11" t="s">
        <v>30565</v>
      </c>
      <c r="C15509" s="11" t="s">
        <v>59</v>
      </c>
      <c r="D15509" s="11" t="s">
        <v>60</v>
      </c>
      <c r="E15509" s="12" t="s">
        <v>154</v>
      </c>
      <c r="F15509" s="12" t="s">
        <v>155</v>
      </c>
      <c r="G15509" s="12" t="s">
        <v>21</v>
      </c>
      <c r="H15509" s="11" t="s">
        <v>63</v>
      </c>
      <c r="I15509" s="13" t="s">
        <v>30566</v>
      </c>
      <c r="J15509" s="14" t="str">
        <f>HYPERLINK("https://www.boe.es/gazeta/dias/1839/02/02/pdfs/GMD-1839-1540.pdf#page=4","Abrir facsímil")</f>
        <v>Abrir facsímil</v>
      </c>
      <c r="K15509" s="12" t="s">
        <v>65</v>
      </c>
    </row>
    <row r="15510" spans="1:11" ht="40.049999999999997" customHeight="1" x14ac:dyDescent="0.25">
      <c r="A15510" s="11" t="s">
        <v>30567</v>
      </c>
      <c r="B15510" s="11" t="s">
        <v>30568</v>
      </c>
      <c r="C15510" s="11" t="s">
        <v>17</v>
      </c>
      <c r="D15510" s="11" t="s">
        <v>18</v>
      </c>
      <c r="E15510" s="12" t="s">
        <v>160</v>
      </c>
      <c r="F15510" s="12" t="s">
        <v>161</v>
      </c>
      <c r="G15510" s="12" t="s">
        <v>29</v>
      </c>
      <c r="H15510" s="11" t="s">
        <v>63</v>
      </c>
      <c r="I15510" s="13" t="s">
        <v>30569</v>
      </c>
      <c r="J15510" s="14" t="str">
        <f>HYPERLINK("https://www.boe.es/gazeta/dias/1839/01/10/pdfs/GMD-1839-1517.pdf#page=1","Abrir facsímil")</f>
        <v>Abrir facsímil</v>
      </c>
      <c r="K15510" s="12" t="s">
        <v>65</v>
      </c>
    </row>
    <row r="15511" spans="1:11" ht="40.049999999999997" customHeight="1" x14ac:dyDescent="0.25">
      <c r="A15511" s="11" t="s">
        <v>30570</v>
      </c>
      <c r="B15511" s="11" t="s">
        <v>30571</v>
      </c>
      <c r="C15511" s="11" t="s">
        <v>59</v>
      </c>
      <c r="D15511" s="11" t="s">
        <v>60</v>
      </c>
      <c r="E15511" s="12" t="s">
        <v>571</v>
      </c>
      <c r="F15511" s="12" t="s">
        <v>572</v>
      </c>
      <c r="G15511" s="12" t="s">
        <v>40</v>
      </c>
      <c r="H15511" s="11" t="s">
        <v>63</v>
      </c>
      <c r="I15511" s="13" t="s">
        <v>30572</v>
      </c>
      <c r="J15511" s="14" t="str">
        <f>HYPERLINK("https://www.boe.es/gazeta/dias/1839/09/27/pdfs/GMD-1839-1783.pdf#page=2","Abrir facsímil")</f>
        <v>Abrir facsímil</v>
      </c>
      <c r="K15511" s="12" t="s">
        <v>65</v>
      </c>
    </row>
    <row r="15512" spans="1:11" ht="40.049999999999997" customHeight="1" x14ac:dyDescent="0.25">
      <c r="A15512" s="11" t="s">
        <v>30573</v>
      </c>
      <c r="B15512" s="11" t="s">
        <v>30574</v>
      </c>
      <c r="C15512" s="11" t="s">
        <v>17</v>
      </c>
      <c r="D15512" s="11" t="s">
        <v>18</v>
      </c>
      <c r="E15512" s="12" t="s">
        <v>2107</v>
      </c>
      <c r="F15512" s="12" t="s">
        <v>2108</v>
      </c>
      <c r="G15512" s="12" t="s">
        <v>21</v>
      </c>
      <c r="H15512" s="11" t="s">
        <v>63</v>
      </c>
      <c r="I15512" s="13" t="s">
        <v>30575</v>
      </c>
      <c r="J15512" s="14" t="str">
        <f>HYPERLINK("https://www.boe.es/gazeta/dias/1839/10/11/pdfs/GMD-1839-1797.pdf#page=4","Abrir facsímil")</f>
        <v>Abrir facsímil</v>
      </c>
      <c r="K15512" s="12" t="s">
        <v>65</v>
      </c>
    </row>
    <row r="15513" spans="1:11" ht="40.049999999999997" customHeight="1" x14ac:dyDescent="0.25">
      <c r="A15513" s="11" t="s">
        <v>30573</v>
      </c>
      <c r="B15513" s="11" t="s">
        <v>30574</v>
      </c>
      <c r="C15513" s="11" t="s">
        <v>137</v>
      </c>
      <c r="D15513" s="11" t="s">
        <v>18</v>
      </c>
      <c r="E15513" s="12" t="s">
        <v>592</v>
      </c>
      <c r="F15513" s="12" t="s">
        <v>593</v>
      </c>
      <c r="G15513" s="12" t="s">
        <v>29</v>
      </c>
      <c r="H15513" s="11" t="s">
        <v>63</v>
      </c>
      <c r="I15513" s="13" t="s">
        <v>30576</v>
      </c>
      <c r="J15513" s="14" t="str">
        <f>HYPERLINK("https://www.boe.es/gazeta/dias/1839/09/14/pdfs/GMD-1839-1767.pdf#page=1","Abrir facsímil")</f>
        <v>Abrir facsímil</v>
      </c>
      <c r="K15513" s="12" t="s">
        <v>65</v>
      </c>
    </row>
    <row r="15514" spans="1:11" ht="40.049999999999997" customHeight="1" x14ac:dyDescent="0.25">
      <c r="A15514" s="11" t="s">
        <v>30577</v>
      </c>
      <c r="B15514" s="11" t="s">
        <v>30578</v>
      </c>
      <c r="C15514" s="11" t="s">
        <v>17</v>
      </c>
      <c r="D15514" s="11" t="s">
        <v>18</v>
      </c>
      <c r="E15514" s="12" t="s">
        <v>1460</v>
      </c>
      <c r="F15514" s="12" t="s">
        <v>1461</v>
      </c>
      <c r="G15514" s="12" t="s">
        <v>46</v>
      </c>
      <c r="H15514" s="11" t="s">
        <v>63</v>
      </c>
      <c r="I15514" s="13" t="s">
        <v>30579</v>
      </c>
      <c r="J15514" s="14" t="str">
        <f>HYPERLINK("https://www.boe.es/gazeta/dias/1839/03/01/pdfs/GMD-1839-1567.pdf#page=3","Abrir facsímil")</f>
        <v>Abrir facsímil</v>
      </c>
      <c r="K15514" s="12" t="s">
        <v>65</v>
      </c>
    </row>
    <row r="15515" spans="1:11" ht="40.049999999999997" customHeight="1" x14ac:dyDescent="0.25">
      <c r="A15515" s="11" t="s">
        <v>30580</v>
      </c>
      <c r="B15515" s="11" t="s">
        <v>30581</v>
      </c>
      <c r="C15515" s="11" t="s">
        <v>80</v>
      </c>
      <c r="D15515" s="11" t="s">
        <v>18</v>
      </c>
      <c r="E15515" s="12" t="s">
        <v>496</v>
      </c>
      <c r="F15515" s="12" t="s">
        <v>497</v>
      </c>
      <c r="G15515" s="12" t="s">
        <v>46</v>
      </c>
      <c r="H15515" s="11" t="s">
        <v>63</v>
      </c>
      <c r="I15515" s="13" t="s">
        <v>30582</v>
      </c>
      <c r="J15515" s="14" t="str">
        <f>HYPERLINK("https://www.boe.es/gazeta/dias/1839/11/23/pdfs/GMD-1839-1840.pdf#page=3","Abrir facsímil")</f>
        <v>Abrir facsímil</v>
      </c>
      <c r="K15515" s="12" t="s">
        <v>65</v>
      </c>
    </row>
    <row r="15516" spans="1:11" ht="40.049999999999997" customHeight="1" x14ac:dyDescent="0.25">
      <c r="A15516" s="11" t="s">
        <v>30583</v>
      </c>
      <c r="B15516" s="11" t="s">
        <v>30584</v>
      </c>
      <c r="C15516" s="11" t="s">
        <v>17</v>
      </c>
      <c r="D15516" s="11" t="s">
        <v>18</v>
      </c>
      <c r="E15516" s="12" t="s">
        <v>606</v>
      </c>
      <c r="F15516" s="12" t="s">
        <v>607</v>
      </c>
      <c r="G15516" s="12" t="s">
        <v>40</v>
      </c>
      <c r="H15516" s="11" t="s">
        <v>63</v>
      </c>
      <c r="I15516" s="13" t="s">
        <v>30585</v>
      </c>
      <c r="J15516" s="14" t="str">
        <f>HYPERLINK("https://www.boe.es/gazeta/dias/1839/04/02/pdfs/GMD-1839-1599.pdf#page=2","Abrir facsímil")</f>
        <v>Abrir facsímil</v>
      </c>
      <c r="K15516" s="12" t="s">
        <v>65</v>
      </c>
    </row>
    <row r="15517" spans="1:11" ht="40.049999999999997" customHeight="1" x14ac:dyDescent="0.25">
      <c r="A15517" s="11" t="s">
        <v>30586</v>
      </c>
      <c r="B15517" s="11" t="s">
        <v>30587</v>
      </c>
      <c r="C15517" s="11" t="s">
        <v>137</v>
      </c>
      <c r="D15517" s="11" t="s">
        <v>18</v>
      </c>
      <c r="E15517" s="12" t="s">
        <v>327</v>
      </c>
      <c r="F15517" s="12" t="s">
        <v>328</v>
      </c>
      <c r="G15517" s="12" t="s">
        <v>21</v>
      </c>
      <c r="H15517" s="11" t="s">
        <v>63</v>
      </c>
      <c r="I15517" s="13" t="s">
        <v>30588</v>
      </c>
      <c r="J15517" s="14" t="str">
        <f>HYPERLINK("https://www.boe.es/gazeta/dias/1839/08/05/pdfs/GMD-1839-1725.pdf#page=4","Abrir facsímil")</f>
        <v>Abrir facsímil</v>
      </c>
      <c r="K15517" s="12" t="s">
        <v>65</v>
      </c>
    </row>
    <row r="15518" spans="1:11" ht="40.049999999999997" customHeight="1" x14ac:dyDescent="0.25">
      <c r="A15518" s="11" t="s">
        <v>30586</v>
      </c>
      <c r="B15518" s="11" t="s">
        <v>30587</v>
      </c>
      <c r="C15518" s="11" t="s">
        <v>17</v>
      </c>
      <c r="D15518" s="11" t="s">
        <v>18</v>
      </c>
      <c r="E15518" s="12" t="s">
        <v>1509</v>
      </c>
      <c r="F15518" s="12" t="s">
        <v>1510</v>
      </c>
      <c r="G15518" s="12" t="s">
        <v>305</v>
      </c>
      <c r="H15518" s="11" t="s">
        <v>63</v>
      </c>
      <c r="I15518" s="13" t="s">
        <v>30589</v>
      </c>
      <c r="J15518" s="14" t="str">
        <f>HYPERLINK("https://www.boe.es/gazeta/dias/1839/10/07/pdfs/GMD-1839-1793.pdf#page=6","Abrir facsímil")</f>
        <v>Abrir facsímil</v>
      </c>
      <c r="K15518" s="12" t="s">
        <v>65</v>
      </c>
    </row>
    <row r="15519" spans="1:11" ht="40.049999999999997" customHeight="1" x14ac:dyDescent="0.25">
      <c r="A15519" s="11" t="s">
        <v>30586</v>
      </c>
      <c r="B15519" s="11" t="s">
        <v>30587</v>
      </c>
      <c r="C15519" s="11" t="s">
        <v>80</v>
      </c>
      <c r="D15519" s="11" t="s">
        <v>18</v>
      </c>
      <c r="E15519" s="12" t="s">
        <v>2320</v>
      </c>
      <c r="F15519" s="12" t="s">
        <v>2321</v>
      </c>
      <c r="G15519" s="12" t="s">
        <v>21</v>
      </c>
      <c r="H15519" s="11" t="s">
        <v>63</v>
      </c>
      <c r="I15519" s="13" t="s">
        <v>30590</v>
      </c>
      <c r="J15519" s="14" t="str">
        <f>HYPERLINK("https://www.boe.es/gazeta/dias/1839/11/13/pdfs/GMD-1839-1830.pdf#page=4","Abrir facsímil")</f>
        <v>Abrir facsímil</v>
      </c>
      <c r="K15519" s="12" t="s">
        <v>65</v>
      </c>
    </row>
    <row r="15520" spans="1:11" ht="40.049999999999997" customHeight="1" x14ac:dyDescent="0.25">
      <c r="A15520" s="11" t="s">
        <v>30586</v>
      </c>
      <c r="B15520" s="11" t="s">
        <v>30587</v>
      </c>
      <c r="C15520" s="11" t="s">
        <v>80</v>
      </c>
      <c r="D15520" s="11" t="s">
        <v>18</v>
      </c>
      <c r="E15520" s="12" t="s">
        <v>903</v>
      </c>
      <c r="F15520" s="12" t="s">
        <v>904</v>
      </c>
      <c r="G15520" s="12" t="s">
        <v>40</v>
      </c>
      <c r="H15520" s="11" t="s">
        <v>63</v>
      </c>
      <c r="I15520" s="13" t="s">
        <v>30591</v>
      </c>
      <c r="J15520" s="14" t="str">
        <f>HYPERLINK("https://www.boe.es/gazeta/dias/1839/03/14/pdfs/GMD-1839-1580.pdf#page=2","Abrir facsímil")</f>
        <v>Abrir facsímil</v>
      </c>
      <c r="K15520" s="12" t="s">
        <v>65</v>
      </c>
    </row>
    <row r="15521" spans="1:11" ht="40.049999999999997" customHeight="1" x14ac:dyDescent="0.25">
      <c r="A15521" s="11" t="s">
        <v>30586</v>
      </c>
      <c r="B15521" s="11" t="s">
        <v>30587</v>
      </c>
      <c r="C15521" s="11" t="s">
        <v>80</v>
      </c>
      <c r="D15521" s="11" t="s">
        <v>18</v>
      </c>
      <c r="E15521" s="12" t="s">
        <v>44</v>
      </c>
      <c r="F15521" s="12" t="s">
        <v>45</v>
      </c>
      <c r="G15521" s="12" t="s">
        <v>21</v>
      </c>
      <c r="H15521" s="11" t="s">
        <v>63</v>
      </c>
      <c r="I15521" s="13" t="s">
        <v>30592</v>
      </c>
      <c r="J15521" s="14" t="str">
        <f>HYPERLINK("https://www.boe.es/gazeta/dias/1839/11/15/pdfs/GMD-1839-1832.pdf#page=4","Abrir facsímil")</f>
        <v>Abrir facsímil</v>
      </c>
      <c r="K15521" s="12" t="s">
        <v>65</v>
      </c>
    </row>
    <row r="15522" spans="1:11" ht="40.049999999999997" customHeight="1" x14ac:dyDescent="0.25">
      <c r="A15522" s="11" t="s">
        <v>30586</v>
      </c>
      <c r="B15522" s="11" t="s">
        <v>30587</v>
      </c>
      <c r="C15522" s="11" t="s">
        <v>17</v>
      </c>
      <c r="D15522" s="11" t="s">
        <v>18</v>
      </c>
      <c r="E15522" s="12" t="s">
        <v>1072</v>
      </c>
      <c r="F15522" s="12" t="s">
        <v>1073</v>
      </c>
      <c r="G15522" s="12" t="s">
        <v>29</v>
      </c>
      <c r="H15522" s="11" t="s">
        <v>63</v>
      </c>
      <c r="I15522" s="13" t="s">
        <v>30593</v>
      </c>
      <c r="J15522" s="14" t="str">
        <f>HYPERLINK("https://www.boe.es/gazeta/dias/1839/01/18/pdfs/GMD-1839-1525.pdf#page=1","Abrir facsímil")</f>
        <v>Abrir facsímil</v>
      </c>
      <c r="K15522" s="12" t="s">
        <v>65</v>
      </c>
    </row>
    <row r="15523" spans="1:11" ht="40.049999999999997" customHeight="1" x14ac:dyDescent="0.25">
      <c r="A15523" s="11" t="s">
        <v>30586</v>
      </c>
      <c r="B15523" s="11" t="s">
        <v>30587</v>
      </c>
      <c r="C15523" s="11" t="s">
        <v>80</v>
      </c>
      <c r="D15523" s="11" t="s">
        <v>18</v>
      </c>
      <c r="E15523" s="12" t="s">
        <v>862</v>
      </c>
      <c r="F15523" s="12" t="s">
        <v>863</v>
      </c>
      <c r="G15523" s="12" t="s">
        <v>305</v>
      </c>
      <c r="H15523" s="11" t="s">
        <v>63</v>
      </c>
      <c r="I15523" s="13" t="s">
        <v>30594</v>
      </c>
      <c r="J15523" s="14" t="str">
        <f>HYPERLINK("https://www.boe.es/gazeta/dias/1839/10/28/pdfs/GMD-1839-1814.pdf#page=6","Abrir facsímil")</f>
        <v>Abrir facsímil</v>
      </c>
      <c r="K15523" s="12" t="s">
        <v>65</v>
      </c>
    </row>
    <row r="15524" spans="1:11" ht="40.049999999999997" customHeight="1" x14ac:dyDescent="0.25">
      <c r="A15524" s="11" t="s">
        <v>30595</v>
      </c>
      <c r="B15524" s="11" t="s">
        <v>30596</v>
      </c>
      <c r="C15524" s="11" t="s">
        <v>101</v>
      </c>
      <c r="D15524" s="11" t="s">
        <v>43</v>
      </c>
      <c r="E15524" s="12" t="s">
        <v>303</v>
      </c>
      <c r="F15524" s="12" t="s">
        <v>304</v>
      </c>
      <c r="G15524" s="12" t="s">
        <v>40</v>
      </c>
      <c r="H15524" s="11" t="s">
        <v>63</v>
      </c>
      <c r="I15524" s="13" t="s">
        <v>30597</v>
      </c>
      <c r="J15524" s="14" t="str">
        <f>HYPERLINK("https://www.boe.es/gazeta/dias/1839/10/06/pdfs/GMD-1839-1792.pdf#page=2","Abrir facsímil")</f>
        <v>Abrir facsímil</v>
      </c>
      <c r="K15524" s="12" t="s">
        <v>65</v>
      </c>
    </row>
    <row r="15525" spans="1:11" ht="40.049999999999997" customHeight="1" x14ac:dyDescent="0.25">
      <c r="A15525" s="11" t="s">
        <v>30598</v>
      </c>
      <c r="B15525" s="11" t="s">
        <v>30599</v>
      </c>
      <c r="C15525" s="11" t="s">
        <v>17</v>
      </c>
      <c r="D15525" s="11" t="s">
        <v>18</v>
      </c>
      <c r="E15525" s="12" t="s">
        <v>369</v>
      </c>
      <c r="F15525" s="12" t="s">
        <v>370</v>
      </c>
      <c r="G15525" s="12" t="s">
        <v>46</v>
      </c>
      <c r="H15525" s="11" t="s">
        <v>63</v>
      </c>
      <c r="I15525" s="13" t="s">
        <v>30600</v>
      </c>
      <c r="J15525" s="14" t="str">
        <f>HYPERLINK("https://www.boe.es/gazeta/dias/1839/11/01/pdfs/GMD-1839-1818.pdf#page=3","Abrir facsímil")</f>
        <v>Abrir facsímil</v>
      </c>
      <c r="K15525" s="12" t="s">
        <v>65</v>
      </c>
    </row>
    <row r="15526" spans="1:11" ht="40.049999999999997" customHeight="1" x14ac:dyDescent="0.25">
      <c r="A15526" s="11" t="s">
        <v>30601</v>
      </c>
      <c r="B15526" s="11" t="s">
        <v>30602</v>
      </c>
      <c r="C15526" s="11" t="s">
        <v>80</v>
      </c>
      <c r="D15526" s="11" t="s">
        <v>18</v>
      </c>
      <c r="E15526" s="12" t="s">
        <v>327</v>
      </c>
      <c r="F15526" s="12" t="s">
        <v>328</v>
      </c>
      <c r="G15526" s="12" t="s">
        <v>21</v>
      </c>
      <c r="H15526" s="11" t="s">
        <v>63</v>
      </c>
      <c r="I15526" s="13" t="s">
        <v>30603</v>
      </c>
      <c r="J15526" s="14" t="str">
        <f>HYPERLINK("https://www.boe.es/gazeta/dias/1839/08/05/pdfs/GMD-1839-1725.pdf#page=4","Abrir facsímil")</f>
        <v>Abrir facsímil</v>
      </c>
      <c r="K15526" s="12" t="s">
        <v>65</v>
      </c>
    </row>
    <row r="15527" spans="1:11" ht="40.049999999999997" customHeight="1" x14ac:dyDescent="0.25">
      <c r="A15527" s="11" t="s">
        <v>30601</v>
      </c>
      <c r="B15527" s="11" t="s">
        <v>30602</v>
      </c>
      <c r="C15527" s="11" t="s">
        <v>17</v>
      </c>
      <c r="D15527" s="11" t="s">
        <v>18</v>
      </c>
      <c r="E15527" s="12" t="s">
        <v>1446</v>
      </c>
      <c r="F15527" s="12" t="s">
        <v>1447</v>
      </c>
      <c r="G15527" s="12" t="s">
        <v>21</v>
      </c>
      <c r="H15527" s="11" t="s">
        <v>63</v>
      </c>
      <c r="I15527" s="13" t="s">
        <v>30604</v>
      </c>
      <c r="J15527" s="14" t="str">
        <f>HYPERLINK("https://www.boe.es/gazeta/dias/1839/08/25/pdfs/GMD-1839-1746.pdf#page=4","Abrir facsímil")</f>
        <v>Abrir facsímil</v>
      </c>
      <c r="K15527" s="12" t="s">
        <v>65</v>
      </c>
    </row>
    <row r="15528" spans="1:11" ht="40.049999999999997" customHeight="1" x14ac:dyDescent="0.25">
      <c r="A15528" s="11" t="s">
        <v>30605</v>
      </c>
      <c r="B15528" s="11" t="s">
        <v>30606</v>
      </c>
      <c r="C15528" s="11" t="s">
        <v>17</v>
      </c>
      <c r="D15528" s="11" t="s">
        <v>18</v>
      </c>
      <c r="E15528" s="12" t="s">
        <v>946</v>
      </c>
      <c r="F15528" s="12" t="s">
        <v>947</v>
      </c>
      <c r="G15528" s="12" t="s">
        <v>21</v>
      </c>
      <c r="H15528" s="11" t="s">
        <v>63</v>
      </c>
      <c r="I15528" s="13" t="s">
        <v>30607</v>
      </c>
      <c r="J15528" s="14" t="str">
        <f>HYPERLINK("https://www.boe.es/gazeta/dias/1839/04/15/pdfs/GMD-1839-1612.pdf#page=4","Abrir facsímil")</f>
        <v>Abrir facsímil</v>
      </c>
      <c r="K15528" s="12" t="s">
        <v>65</v>
      </c>
    </row>
    <row r="15529" spans="1:11" ht="40.049999999999997" customHeight="1" x14ac:dyDescent="0.25">
      <c r="A15529" s="11" t="s">
        <v>30608</v>
      </c>
      <c r="B15529" s="11" t="s">
        <v>30609</v>
      </c>
      <c r="C15529" s="11" t="s">
        <v>80</v>
      </c>
      <c r="D15529" s="11" t="s">
        <v>18</v>
      </c>
      <c r="E15529" s="12" t="s">
        <v>89</v>
      </c>
      <c r="F15529" s="12" t="s">
        <v>90</v>
      </c>
      <c r="G15529" s="12" t="s">
        <v>21</v>
      </c>
      <c r="H15529" s="11" t="s">
        <v>63</v>
      </c>
      <c r="I15529" s="13" t="s">
        <v>30610</v>
      </c>
      <c r="J15529" s="14" t="str">
        <f>HYPERLINK("https://www.boe.es/gazeta/dias/1839/11/28/pdfs/GMD-1839-1845.pdf#page=4","Abrir facsímil")</f>
        <v>Abrir facsímil</v>
      </c>
      <c r="K15529" s="12" t="s">
        <v>65</v>
      </c>
    </row>
    <row r="15530" spans="1:11" ht="40.049999999999997" customHeight="1" x14ac:dyDescent="0.25">
      <c r="A15530" s="11" t="s">
        <v>30611</v>
      </c>
      <c r="B15530" s="11" t="s">
        <v>30612</v>
      </c>
      <c r="C15530" s="11" t="s">
        <v>80</v>
      </c>
      <c r="D15530" s="11" t="s">
        <v>18</v>
      </c>
      <c r="E15530" s="12" t="s">
        <v>4485</v>
      </c>
      <c r="F15530" s="12" t="s">
        <v>4486</v>
      </c>
      <c r="G15530" s="12" t="s">
        <v>21</v>
      </c>
      <c r="H15530" s="11" t="s">
        <v>63</v>
      </c>
      <c r="I15530" s="13" t="s">
        <v>30613</v>
      </c>
      <c r="J15530" s="14" t="str">
        <f>HYPERLINK("https://www.boe.es/gazeta/dias/1839/07/08/pdfs/GMD-1839-1696.pdf#page=4","Abrir facsímil")</f>
        <v>Abrir facsímil</v>
      </c>
      <c r="K15530" s="12" t="s">
        <v>65</v>
      </c>
    </row>
    <row r="15531" spans="1:11" ht="40.049999999999997" customHeight="1" x14ac:dyDescent="0.25">
      <c r="A15531" s="11" t="s">
        <v>30614</v>
      </c>
      <c r="B15531" s="11" t="s">
        <v>30615</v>
      </c>
      <c r="C15531" s="11" t="s">
        <v>17</v>
      </c>
      <c r="D15531" s="11" t="s">
        <v>18</v>
      </c>
      <c r="E15531" s="12" t="s">
        <v>2227</v>
      </c>
      <c r="F15531" s="12" t="s">
        <v>2228</v>
      </c>
      <c r="G15531" s="12" t="s">
        <v>40</v>
      </c>
      <c r="H15531" s="11" t="s">
        <v>63</v>
      </c>
      <c r="I15531" s="13" t="s">
        <v>30616</v>
      </c>
      <c r="J15531" s="14" t="str">
        <f>HYPERLINK("https://www.boe.es/gazeta/dias/1839/12/04/pdfs/GMD-1839-1851.pdf#page=2","Abrir facsímil")</f>
        <v>Abrir facsímil</v>
      </c>
      <c r="K15531" s="12" t="s">
        <v>65</v>
      </c>
    </row>
    <row r="15532" spans="1:11" ht="40.049999999999997" customHeight="1" x14ac:dyDescent="0.25">
      <c r="A15532" s="11" t="s">
        <v>30617</v>
      </c>
      <c r="B15532" s="11" t="s">
        <v>30618</v>
      </c>
      <c r="C15532" s="11" t="s">
        <v>137</v>
      </c>
      <c r="D15532" s="11" t="s">
        <v>18</v>
      </c>
      <c r="E15532" s="12" t="s">
        <v>1179</v>
      </c>
      <c r="F15532" s="12" t="s">
        <v>1180</v>
      </c>
      <c r="G15532" s="12" t="s">
        <v>21</v>
      </c>
      <c r="H15532" s="11" t="s">
        <v>63</v>
      </c>
      <c r="I15532" s="13" t="s">
        <v>30619</v>
      </c>
      <c r="J15532" s="14" t="str">
        <f>HYPERLINK("https://www.boe.es/gazeta/dias/1839/10/18/pdfs/GMD-1839-1804.pdf#page=4","Abrir facsímil")</f>
        <v>Abrir facsímil</v>
      </c>
      <c r="K15532" s="12" t="s">
        <v>65</v>
      </c>
    </row>
    <row r="15533" spans="1:11" ht="40.049999999999997" customHeight="1" x14ac:dyDescent="0.25">
      <c r="A15533" s="11" t="s">
        <v>30620</v>
      </c>
      <c r="B15533" s="11" t="s">
        <v>30621</v>
      </c>
      <c r="C15533" s="11" t="s">
        <v>17</v>
      </c>
      <c r="D15533" s="11" t="s">
        <v>18</v>
      </c>
      <c r="E15533" s="12" t="s">
        <v>254</v>
      </c>
      <c r="F15533" s="12" t="s">
        <v>255</v>
      </c>
      <c r="G15533" s="12" t="s">
        <v>40</v>
      </c>
      <c r="H15533" s="11" t="s">
        <v>63</v>
      </c>
      <c r="I15533" s="13" t="s">
        <v>30622</v>
      </c>
      <c r="J15533" s="14" t="str">
        <f>HYPERLINK("https://www.boe.es/gazeta/dias/1839/09/12/pdfs/GMD-1839-1765.pdf#page=2","Abrir facsímil")</f>
        <v>Abrir facsímil</v>
      </c>
      <c r="K15533" s="12" t="s">
        <v>65</v>
      </c>
    </row>
    <row r="15534" spans="1:11" ht="40.049999999999997" customHeight="1" x14ac:dyDescent="0.25">
      <c r="A15534" s="11" t="s">
        <v>30623</v>
      </c>
      <c r="B15534" s="11" t="s">
        <v>30624</v>
      </c>
      <c r="C15534" s="11" t="s">
        <v>17</v>
      </c>
      <c r="D15534" s="11" t="s">
        <v>18</v>
      </c>
      <c r="E15534" s="12" t="s">
        <v>398</v>
      </c>
      <c r="F15534" s="12" t="s">
        <v>399</v>
      </c>
      <c r="G15534" s="12" t="s">
        <v>40</v>
      </c>
      <c r="H15534" s="11" t="s">
        <v>63</v>
      </c>
      <c r="I15534" s="13" t="s">
        <v>30625</v>
      </c>
      <c r="J15534" s="14" t="str">
        <f>HYPERLINK("https://www.boe.es/gazeta/dias/1839/05/17/pdfs/GMD-1839-1644.pdf#page=2","Abrir facsímil")</f>
        <v>Abrir facsímil</v>
      </c>
      <c r="K15534" s="12" t="s">
        <v>65</v>
      </c>
    </row>
    <row r="15535" spans="1:11" ht="40.049999999999997" customHeight="1" x14ac:dyDescent="0.25">
      <c r="A15535" s="11" t="s">
        <v>30626</v>
      </c>
      <c r="B15535" s="11" t="s">
        <v>30627</v>
      </c>
      <c r="C15535" s="11" t="s">
        <v>80</v>
      </c>
      <c r="D15535" s="11" t="s">
        <v>18</v>
      </c>
      <c r="E15535" s="12" t="s">
        <v>695</v>
      </c>
      <c r="F15535" s="12" t="s">
        <v>696</v>
      </c>
      <c r="G15535" s="12" t="s">
        <v>21</v>
      </c>
      <c r="H15535" s="11" t="s">
        <v>63</v>
      </c>
      <c r="I15535" s="13" t="s">
        <v>30628</v>
      </c>
      <c r="J15535" s="14" t="str">
        <f>HYPERLINK("https://www.boe.es/gazeta/dias/1839/12/19/pdfs/GMD-1839-1866.pdf#page=4","Abrir facsímil")</f>
        <v>Abrir facsímil</v>
      </c>
      <c r="K15535" s="12" t="s">
        <v>65</v>
      </c>
    </row>
    <row r="15536" spans="1:11" ht="40.049999999999997" customHeight="1" x14ac:dyDescent="0.25">
      <c r="A15536" s="11" t="s">
        <v>30626</v>
      </c>
      <c r="B15536" s="11" t="s">
        <v>30627</v>
      </c>
      <c r="C15536" s="11" t="s">
        <v>17</v>
      </c>
      <c r="D15536" s="11" t="s">
        <v>18</v>
      </c>
      <c r="E15536" s="12" t="s">
        <v>2962</v>
      </c>
      <c r="F15536" s="12" t="s">
        <v>2963</v>
      </c>
      <c r="G15536" s="12" t="s">
        <v>21</v>
      </c>
      <c r="H15536" s="11" t="s">
        <v>63</v>
      </c>
      <c r="I15536" s="13" t="s">
        <v>30629</v>
      </c>
      <c r="J15536" s="14" t="str">
        <f>HYPERLINK("https://www.boe.es/gazeta/dias/1839/12/21/pdfs/GMD-1839-1868.pdf#page=4","Abrir facsímil")</f>
        <v>Abrir facsímil</v>
      </c>
      <c r="K15536" s="12" t="s">
        <v>65</v>
      </c>
    </row>
    <row r="15537" spans="1:11" ht="40.049999999999997" customHeight="1" x14ac:dyDescent="0.25">
      <c r="A15537" s="11" t="s">
        <v>30626</v>
      </c>
      <c r="B15537" s="11" t="s">
        <v>30627</v>
      </c>
      <c r="C15537" s="11" t="s">
        <v>17</v>
      </c>
      <c r="D15537" s="11" t="s">
        <v>18</v>
      </c>
      <c r="E15537" s="12" t="s">
        <v>2415</v>
      </c>
      <c r="F15537" s="12" t="s">
        <v>2416</v>
      </c>
      <c r="G15537" s="12" t="s">
        <v>21</v>
      </c>
      <c r="H15537" s="11" t="s">
        <v>63</v>
      </c>
      <c r="I15537" s="13" t="s">
        <v>30630</v>
      </c>
      <c r="J15537" s="14" t="str">
        <f>HYPERLINK("https://www.boe.es/gazeta/dias/1839/12/22/pdfs/GMD-1839-1869.pdf#page=4","Abrir facsímil")</f>
        <v>Abrir facsímil</v>
      </c>
      <c r="K15537" s="12" t="s">
        <v>65</v>
      </c>
    </row>
    <row r="15538" spans="1:11" ht="40.049999999999997" customHeight="1" x14ac:dyDescent="0.25">
      <c r="A15538" s="11" t="s">
        <v>30631</v>
      </c>
      <c r="B15538" s="11" t="s">
        <v>30632</v>
      </c>
      <c r="C15538" s="11" t="s">
        <v>17</v>
      </c>
      <c r="D15538" s="11" t="s">
        <v>18</v>
      </c>
      <c r="E15538" s="12" t="s">
        <v>163</v>
      </c>
      <c r="F15538" s="12" t="s">
        <v>164</v>
      </c>
      <c r="G15538" s="12" t="s">
        <v>46</v>
      </c>
      <c r="H15538" s="11" t="s">
        <v>63</v>
      </c>
      <c r="I15538" s="13" t="s">
        <v>30633</v>
      </c>
      <c r="J15538" s="14" t="str">
        <f>HYPERLINK("https://www.boe.es/gazeta/dias/1839/01/13/pdfs/GMD-1839-1520.pdf#page=3","Abrir facsímil")</f>
        <v>Abrir facsímil</v>
      </c>
      <c r="K15538" s="12" t="s">
        <v>65</v>
      </c>
    </row>
    <row r="15539" spans="1:11" ht="40.049999999999997" customHeight="1" x14ac:dyDescent="0.25">
      <c r="A15539" s="11" t="s">
        <v>30634</v>
      </c>
      <c r="B15539" s="11" t="s">
        <v>30635</v>
      </c>
      <c r="C15539" s="11" t="s">
        <v>17</v>
      </c>
      <c r="D15539" s="11" t="s">
        <v>18</v>
      </c>
      <c r="E15539" s="12" t="s">
        <v>54</v>
      </c>
      <c r="F15539" s="12" t="s">
        <v>55</v>
      </c>
      <c r="G15539" s="12" t="s">
        <v>29</v>
      </c>
      <c r="H15539" s="11" t="s">
        <v>63</v>
      </c>
      <c r="I15539" s="13" t="s">
        <v>30636</v>
      </c>
      <c r="J15539" s="14" t="str">
        <f>HYPERLINK("https://www.boe.es/gazeta/dias/1839/10/05/pdfs/GMD-1839-1791.pdf#page=1","Abrir facsímil")</f>
        <v>Abrir facsímil</v>
      </c>
      <c r="K15539" s="12" t="s">
        <v>65</v>
      </c>
    </row>
    <row r="15540" spans="1:11" ht="40.049999999999997" customHeight="1" x14ac:dyDescent="0.25">
      <c r="A15540" s="11" t="s">
        <v>30637</v>
      </c>
      <c r="B15540" s="11" t="s">
        <v>30638</v>
      </c>
      <c r="C15540" s="11" t="s">
        <v>17</v>
      </c>
      <c r="D15540" s="11" t="s">
        <v>18</v>
      </c>
      <c r="E15540" s="12" t="s">
        <v>2210</v>
      </c>
      <c r="F15540" s="12" t="s">
        <v>2211</v>
      </c>
      <c r="G15540" s="12" t="s">
        <v>21</v>
      </c>
      <c r="H15540" s="11" t="s">
        <v>63</v>
      </c>
      <c r="I15540" s="13" t="s">
        <v>30639</v>
      </c>
      <c r="J15540" s="14" t="str">
        <f>HYPERLINK("https://www.boe.es/gazeta/dias/1839/09/05/pdfs/GMD-1839-1758.pdf#page=4","Abrir facsímil")</f>
        <v>Abrir facsímil</v>
      </c>
      <c r="K15540" s="12" t="s">
        <v>65</v>
      </c>
    </row>
    <row r="15541" spans="1:11" ht="40.049999999999997" customHeight="1" x14ac:dyDescent="0.25">
      <c r="A15541" s="11" t="s">
        <v>30637</v>
      </c>
      <c r="B15541" s="11" t="s">
        <v>30638</v>
      </c>
      <c r="C15541" s="11" t="s">
        <v>17</v>
      </c>
      <c r="D15541" s="11" t="s">
        <v>18</v>
      </c>
      <c r="E15541" s="12" t="s">
        <v>1395</v>
      </c>
      <c r="F15541" s="12" t="s">
        <v>1396</v>
      </c>
      <c r="G15541" s="12" t="s">
        <v>46</v>
      </c>
      <c r="H15541" s="11" t="s">
        <v>63</v>
      </c>
      <c r="I15541" s="13" t="s">
        <v>30640</v>
      </c>
      <c r="J15541" s="14" t="str">
        <f>HYPERLINK("https://www.boe.es/gazeta/dias/1839/06/26/pdfs/GMD-1839-1684.pdf#page=3","Abrir facsímil")</f>
        <v>Abrir facsímil</v>
      </c>
      <c r="K15541" s="12" t="s">
        <v>65</v>
      </c>
    </row>
    <row r="15542" spans="1:11" ht="40.049999999999997" customHeight="1" x14ac:dyDescent="0.25">
      <c r="A15542" s="11" t="s">
        <v>30637</v>
      </c>
      <c r="B15542" s="11" t="s">
        <v>30638</v>
      </c>
      <c r="C15542" s="11" t="s">
        <v>17</v>
      </c>
      <c r="D15542" s="11" t="s">
        <v>18</v>
      </c>
      <c r="E15542" s="12" t="s">
        <v>1988</v>
      </c>
      <c r="F15542" s="12" t="s">
        <v>1989</v>
      </c>
      <c r="G15542" s="12" t="s">
        <v>21</v>
      </c>
      <c r="H15542" s="11" t="s">
        <v>63</v>
      </c>
      <c r="I15542" s="13" t="s">
        <v>30641</v>
      </c>
      <c r="J15542" s="14" t="str">
        <f>HYPERLINK("https://www.boe.es/gazeta/dias/1839/10/29/pdfs/GMD-1839-1815.pdf#page=4","Abrir facsímil")</f>
        <v>Abrir facsímil</v>
      </c>
      <c r="K15542" s="12" t="s">
        <v>65</v>
      </c>
    </row>
    <row r="15543" spans="1:11" ht="40.049999999999997" customHeight="1" x14ac:dyDescent="0.25">
      <c r="A15543" s="11" t="s">
        <v>30642</v>
      </c>
      <c r="B15543" s="11" t="s">
        <v>30643</v>
      </c>
      <c r="C15543" s="11" t="s">
        <v>101</v>
      </c>
      <c r="D15543" s="11" t="s">
        <v>43</v>
      </c>
      <c r="E15543" s="12" t="s">
        <v>848</v>
      </c>
      <c r="F15543" s="12" t="s">
        <v>849</v>
      </c>
      <c r="G15543" s="12" t="s">
        <v>46</v>
      </c>
      <c r="H15543" s="11" t="s">
        <v>63</v>
      </c>
      <c r="I15543" s="13" t="s">
        <v>30644</v>
      </c>
      <c r="J15543" s="14" t="str">
        <f>HYPERLINK("https://www.boe.es/gazeta/dias/1839/08/04/pdfs/GMD-1839-1724.pdf#page=3","Abrir facsímil")</f>
        <v>Abrir facsímil</v>
      </c>
      <c r="K15543" s="12" t="s">
        <v>65</v>
      </c>
    </row>
    <row r="15544" spans="1:11" ht="40.049999999999997" customHeight="1" x14ac:dyDescent="0.25">
      <c r="A15544" s="11" t="s">
        <v>30645</v>
      </c>
      <c r="B15544" s="11" t="s">
        <v>30646</v>
      </c>
      <c r="C15544" s="11" t="s">
        <v>59</v>
      </c>
      <c r="D15544" s="11" t="s">
        <v>60</v>
      </c>
      <c r="E15544" s="12" t="s">
        <v>2440</v>
      </c>
      <c r="F15544" s="12" t="s">
        <v>2441</v>
      </c>
      <c r="G15544" s="12" t="s">
        <v>21</v>
      </c>
      <c r="H15544" s="11" t="s">
        <v>63</v>
      </c>
      <c r="I15544" s="13" t="s">
        <v>30647</v>
      </c>
      <c r="J15544" s="14" t="str">
        <f>HYPERLINK("https://www.boe.es/gazeta/dias/1839/12/01/pdfs/GMD-1839-1848.pdf#page=4","Abrir facsímil")</f>
        <v>Abrir facsímil</v>
      </c>
      <c r="K15544" s="12" t="s">
        <v>65</v>
      </c>
    </row>
    <row r="15545" spans="1:11" ht="40.049999999999997" customHeight="1" x14ac:dyDescent="0.25">
      <c r="A15545" s="11" t="s">
        <v>30645</v>
      </c>
      <c r="B15545" s="11" t="s">
        <v>30646</v>
      </c>
      <c r="C15545" s="11" t="s">
        <v>17</v>
      </c>
      <c r="D15545" s="11" t="s">
        <v>18</v>
      </c>
      <c r="E15545" s="12" t="s">
        <v>4451</v>
      </c>
      <c r="F15545" s="12" t="s">
        <v>4452</v>
      </c>
      <c r="G15545" s="12" t="s">
        <v>21</v>
      </c>
      <c r="H15545" s="11" t="s">
        <v>63</v>
      </c>
      <c r="I15545" s="13" t="s">
        <v>30648</v>
      </c>
      <c r="J15545" s="14" t="str">
        <f>HYPERLINK("https://www.boe.es/gazeta/dias/1839/12/02/pdfs/GMD-1839-1849.pdf#page=4","Abrir facsímil")</f>
        <v>Abrir facsímil</v>
      </c>
      <c r="K15545" s="12" t="s">
        <v>65</v>
      </c>
    </row>
    <row r="15546" spans="1:11" ht="40.049999999999997" customHeight="1" x14ac:dyDescent="0.25">
      <c r="A15546" s="11" t="s">
        <v>30645</v>
      </c>
      <c r="B15546" s="11" t="s">
        <v>30646</v>
      </c>
      <c r="C15546" s="11" t="s">
        <v>17</v>
      </c>
      <c r="D15546" s="11" t="s">
        <v>18</v>
      </c>
      <c r="E15546" s="12" t="s">
        <v>2270</v>
      </c>
      <c r="F15546" s="12" t="s">
        <v>2271</v>
      </c>
      <c r="G15546" s="12" t="s">
        <v>21</v>
      </c>
      <c r="H15546" s="11" t="s">
        <v>63</v>
      </c>
      <c r="I15546" s="13" t="s">
        <v>30649</v>
      </c>
      <c r="J15546" s="14" t="str">
        <f>HYPERLINK("https://www.boe.es/gazeta/dias/1839/06/13/pdfs/GMD-1839-1671.pdf#page=4","Abrir facsímil")</f>
        <v>Abrir facsímil</v>
      </c>
      <c r="K15546" s="12" t="s">
        <v>65</v>
      </c>
    </row>
    <row r="15547" spans="1:11" ht="40.049999999999997" customHeight="1" x14ac:dyDescent="0.25">
      <c r="A15547" s="11" t="s">
        <v>30645</v>
      </c>
      <c r="B15547" s="11" t="s">
        <v>30646</v>
      </c>
      <c r="C15547" s="11" t="s">
        <v>17</v>
      </c>
      <c r="D15547" s="11" t="s">
        <v>18</v>
      </c>
      <c r="E15547" s="12" t="s">
        <v>1252</v>
      </c>
      <c r="F15547" s="12" t="s">
        <v>1253</v>
      </c>
      <c r="G15547" s="12" t="s">
        <v>21</v>
      </c>
      <c r="H15547" s="11" t="s">
        <v>63</v>
      </c>
      <c r="I15547" s="13" t="s">
        <v>30650</v>
      </c>
      <c r="J15547" s="14" t="str">
        <f>HYPERLINK("https://www.boe.es/gazeta/dias/1839/06/15/pdfs/GMD-1839-1673.pdf#page=4","Abrir facsímil")</f>
        <v>Abrir facsímil</v>
      </c>
      <c r="K15547" s="12" t="s">
        <v>65</v>
      </c>
    </row>
    <row r="15548" spans="1:11" ht="40.049999999999997" customHeight="1" x14ac:dyDescent="0.25">
      <c r="A15548" s="11" t="s">
        <v>30645</v>
      </c>
      <c r="B15548" s="11" t="s">
        <v>30646</v>
      </c>
      <c r="C15548" s="11" t="s">
        <v>17</v>
      </c>
      <c r="D15548" s="11" t="s">
        <v>18</v>
      </c>
      <c r="E15548" s="12" t="s">
        <v>2995</v>
      </c>
      <c r="F15548" s="12" t="s">
        <v>2996</v>
      </c>
      <c r="G15548" s="12" t="s">
        <v>21</v>
      </c>
      <c r="H15548" s="11" t="s">
        <v>63</v>
      </c>
      <c r="I15548" s="13" t="s">
        <v>30651</v>
      </c>
      <c r="J15548" s="14" t="str">
        <f>HYPERLINK("https://www.boe.es/gazeta/dias/1839/06/16/pdfs/GMD-1839-1674.pdf#page=4","Abrir facsímil")</f>
        <v>Abrir facsímil</v>
      </c>
      <c r="K15548" s="12" t="s">
        <v>65</v>
      </c>
    </row>
    <row r="15549" spans="1:11" ht="40.049999999999997" customHeight="1" x14ac:dyDescent="0.25">
      <c r="A15549" s="11" t="s">
        <v>30645</v>
      </c>
      <c r="B15549" s="11" t="s">
        <v>30646</v>
      </c>
      <c r="C15549" s="11" t="s">
        <v>17</v>
      </c>
      <c r="D15549" s="11" t="s">
        <v>18</v>
      </c>
      <c r="E15549" s="12" t="s">
        <v>312</v>
      </c>
      <c r="F15549" s="12" t="s">
        <v>313</v>
      </c>
      <c r="G15549" s="12" t="s">
        <v>21</v>
      </c>
      <c r="H15549" s="11" t="s">
        <v>63</v>
      </c>
      <c r="I15549" s="13" t="s">
        <v>30652</v>
      </c>
      <c r="J15549" s="14" t="str">
        <f>HYPERLINK("https://www.boe.es/gazeta/dias/1839/11/30/pdfs/GMD-1839-1847.pdf#page=4","Abrir facsímil")</f>
        <v>Abrir facsímil</v>
      </c>
      <c r="K15549" s="12" t="s">
        <v>65</v>
      </c>
    </row>
    <row r="15550" spans="1:11" ht="40.049999999999997" customHeight="1" x14ac:dyDescent="0.25">
      <c r="A15550" s="11" t="s">
        <v>30653</v>
      </c>
      <c r="B15550" s="11" t="s">
        <v>30654</v>
      </c>
      <c r="C15550" s="11" t="s">
        <v>17</v>
      </c>
      <c r="D15550" s="11" t="s">
        <v>18</v>
      </c>
      <c r="E15550" s="12" t="s">
        <v>903</v>
      </c>
      <c r="F15550" s="12" t="s">
        <v>904</v>
      </c>
      <c r="G15550" s="12" t="s">
        <v>40</v>
      </c>
      <c r="H15550" s="11" t="s">
        <v>63</v>
      </c>
      <c r="I15550" s="13" t="s">
        <v>30655</v>
      </c>
      <c r="J15550" s="14" t="str">
        <f>HYPERLINK("https://www.boe.es/gazeta/dias/1839/03/14/pdfs/GMD-1839-1580.pdf#page=2","Abrir facsímil")</f>
        <v>Abrir facsímil</v>
      </c>
      <c r="K15550" s="12" t="s">
        <v>65</v>
      </c>
    </row>
    <row r="15551" spans="1:11" ht="40.049999999999997" customHeight="1" x14ac:dyDescent="0.25">
      <c r="A15551" s="11" t="s">
        <v>30656</v>
      </c>
      <c r="B15551" s="11" t="s">
        <v>30657</v>
      </c>
      <c r="C15551" s="11" t="s">
        <v>17</v>
      </c>
      <c r="D15551" s="11" t="s">
        <v>18</v>
      </c>
      <c r="E15551" s="12" t="s">
        <v>1895</v>
      </c>
      <c r="F15551" s="12" t="s">
        <v>1896</v>
      </c>
      <c r="G15551" s="12" t="s">
        <v>29</v>
      </c>
      <c r="H15551" s="11" t="s">
        <v>63</v>
      </c>
      <c r="I15551" s="13" t="s">
        <v>30658</v>
      </c>
      <c r="J15551" s="14" t="str">
        <f>HYPERLINK("https://www.boe.es/gazeta/dias/1839/12/23/pdfs/GMD-1839-1870.pdf#page=1","Abrir facsímil")</f>
        <v>Abrir facsímil</v>
      </c>
      <c r="K15551" s="12" t="s">
        <v>65</v>
      </c>
    </row>
    <row r="15552" spans="1:11" ht="40.049999999999997" customHeight="1" x14ac:dyDescent="0.25">
      <c r="A15552" s="11" t="s">
        <v>30659</v>
      </c>
      <c r="B15552" s="11" t="s">
        <v>30660</v>
      </c>
      <c r="C15552" s="11" t="s">
        <v>17</v>
      </c>
      <c r="D15552" s="11" t="s">
        <v>18</v>
      </c>
      <c r="E15552" s="12" t="s">
        <v>433</v>
      </c>
      <c r="F15552" s="12" t="s">
        <v>434</v>
      </c>
      <c r="G15552" s="12" t="s">
        <v>46</v>
      </c>
      <c r="H15552" s="11" t="s">
        <v>63</v>
      </c>
      <c r="I15552" s="13" t="s">
        <v>30661</v>
      </c>
      <c r="J15552" s="14" t="str">
        <f>HYPERLINK("https://www.boe.es/gazeta/dias/1839/01/20/pdfs/GMD-1839-1527.pdf#page=3","Abrir facsímil")</f>
        <v>Abrir facsímil</v>
      </c>
      <c r="K15552" s="12" t="s">
        <v>65</v>
      </c>
    </row>
    <row r="15553" spans="1:11" ht="40.049999999999997" customHeight="1" x14ac:dyDescent="0.25">
      <c r="A15553" s="11" t="s">
        <v>30662</v>
      </c>
      <c r="B15553" s="11" t="s">
        <v>30663</v>
      </c>
      <c r="C15553" s="11" t="s">
        <v>17</v>
      </c>
      <c r="D15553" s="11" t="s">
        <v>18</v>
      </c>
      <c r="E15553" s="12" t="s">
        <v>4189</v>
      </c>
      <c r="F15553" s="12" t="s">
        <v>4190</v>
      </c>
      <c r="G15553" s="12" t="s">
        <v>21</v>
      </c>
      <c r="H15553" s="11" t="s">
        <v>63</v>
      </c>
      <c r="I15553" s="13" t="s">
        <v>30664</v>
      </c>
      <c r="J15553" s="14" t="str">
        <f>HYPERLINK("https://www.boe.es/gazeta/dias/1839/02/13/pdfs/GMD-1839-1551.pdf#page=4","Abrir facsímil")</f>
        <v>Abrir facsímil</v>
      </c>
      <c r="K15553" s="12" t="s">
        <v>65</v>
      </c>
    </row>
    <row r="15554" spans="1:11" ht="40.049999999999997" customHeight="1" x14ac:dyDescent="0.25">
      <c r="A15554" s="11" t="s">
        <v>30665</v>
      </c>
      <c r="B15554" s="11" t="s">
        <v>30666</v>
      </c>
      <c r="C15554" s="11" t="s">
        <v>17</v>
      </c>
      <c r="D15554" s="11" t="s">
        <v>18</v>
      </c>
      <c r="E15554" s="12" t="s">
        <v>1623</v>
      </c>
      <c r="F15554" s="12" t="s">
        <v>1624</v>
      </c>
      <c r="G15554" s="12" t="s">
        <v>40</v>
      </c>
      <c r="H15554" s="11" t="s">
        <v>63</v>
      </c>
      <c r="I15554" s="13" t="s">
        <v>30667</v>
      </c>
      <c r="J15554" s="14" t="str">
        <f>HYPERLINK("https://www.boe.es/gazeta/dias/1839/04/07/pdfs/GMD-1839-1604.pdf#page=2","Abrir facsímil")</f>
        <v>Abrir facsímil</v>
      </c>
      <c r="K15554" s="12" t="s">
        <v>65</v>
      </c>
    </row>
    <row r="15555" spans="1:11" ht="40.049999999999997" customHeight="1" x14ac:dyDescent="0.25">
      <c r="A15555" s="11" t="s">
        <v>30668</v>
      </c>
      <c r="B15555" s="11" t="s">
        <v>30669</v>
      </c>
      <c r="C15555" s="11" t="s">
        <v>17</v>
      </c>
      <c r="D15555" s="11" t="s">
        <v>43</v>
      </c>
      <c r="E15555" s="12" t="s">
        <v>1086</v>
      </c>
      <c r="F15555" s="12" t="s">
        <v>1087</v>
      </c>
      <c r="G15555" s="12" t="s">
        <v>21</v>
      </c>
      <c r="H15555" s="11" t="s">
        <v>63</v>
      </c>
      <c r="I15555" s="13" t="s">
        <v>30670</v>
      </c>
      <c r="J15555" s="14" t="str">
        <f>HYPERLINK("https://www.boe.es/gazeta/dias/1839/10/26/pdfs/GMD-1839-1812.pdf#page=4","Abrir facsímil")</f>
        <v>Abrir facsímil</v>
      </c>
      <c r="K15555" s="12" t="s">
        <v>65</v>
      </c>
    </row>
    <row r="15556" spans="1:11" ht="40.049999999999997" customHeight="1" x14ac:dyDescent="0.25">
      <c r="A15556" s="11" t="s">
        <v>30671</v>
      </c>
      <c r="B15556" s="11" t="s">
        <v>30672</v>
      </c>
      <c r="C15556" s="11" t="s">
        <v>17</v>
      </c>
      <c r="D15556" s="11" t="s">
        <v>18</v>
      </c>
      <c r="E15556" s="12" t="s">
        <v>1479</v>
      </c>
      <c r="F15556" s="12" t="s">
        <v>1480</v>
      </c>
      <c r="G15556" s="12" t="s">
        <v>40</v>
      </c>
      <c r="H15556" s="11" t="s">
        <v>63</v>
      </c>
      <c r="I15556" s="13" t="s">
        <v>30673</v>
      </c>
      <c r="J15556" s="14" t="str">
        <f>HYPERLINK("https://www.boe.es/gazeta/dias/1839/04/09/pdfs/GMD-1839-1606.pdf#page=2","Abrir facsímil")</f>
        <v>Abrir facsímil</v>
      </c>
      <c r="K15556" s="12" t="s">
        <v>65</v>
      </c>
    </row>
    <row r="15557" spans="1:11" ht="40.049999999999997" customHeight="1" x14ac:dyDescent="0.25">
      <c r="A15557" s="11" t="s">
        <v>30674</v>
      </c>
      <c r="B15557" s="11" t="s">
        <v>30675</v>
      </c>
      <c r="C15557" s="11" t="s">
        <v>17</v>
      </c>
      <c r="D15557" s="11" t="s">
        <v>18</v>
      </c>
      <c r="E15557" s="12" t="s">
        <v>2301</v>
      </c>
      <c r="F15557" s="12" t="s">
        <v>2302</v>
      </c>
      <c r="G15557" s="12" t="s">
        <v>40</v>
      </c>
      <c r="H15557" s="11" t="s">
        <v>63</v>
      </c>
      <c r="I15557" s="13" t="s">
        <v>30676</v>
      </c>
      <c r="J15557" s="14" t="str">
        <f>HYPERLINK("https://www.boe.es/gazeta/dias/1839/09/08/pdfs/GMD-1839-1761.pdf#page=2","Abrir facsímil")</f>
        <v>Abrir facsímil</v>
      </c>
      <c r="K15557" s="12" t="s">
        <v>65</v>
      </c>
    </row>
    <row r="15558" spans="1:11" ht="40.049999999999997" customHeight="1" x14ac:dyDescent="0.25">
      <c r="A15558" s="11" t="s">
        <v>30677</v>
      </c>
      <c r="B15558" s="11" t="s">
        <v>30678</v>
      </c>
      <c r="C15558" s="11" t="s">
        <v>80</v>
      </c>
      <c r="D15558" s="11" t="s">
        <v>18</v>
      </c>
      <c r="E15558" s="12" t="s">
        <v>544</v>
      </c>
      <c r="F15558" s="12" t="s">
        <v>545</v>
      </c>
      <c r="G15558" s="12" t="s">
        <v>29</v>
      </c>
      <c r="H15558" s="11" t="s">
        <v>63</v>
      </c>
      <c r="I15558" s="13" t="s">
        <v>30679</v>
      </c>
      <c r="J15558" s="14" t="str">
        <f>HYPERLINK("https://www.boe.es/gazeta/dias/1839/11/11/pdfs/GMD-1839-1828.pdf#page=1","Abrir facsímil")</f>
        <v>Abrir facsímil</v>
      </c>
      <c r="K15558" s="12" t="s">
        <v>65</v>
      </c>
    </row>
    <row r="15559" spans="1:11" ht="40.049999999999997" customHeight="1" x14ac:dyDescent="0.25">
      <c r="A15559" s="11" t="s">
        <v>30680</v>
      </c>
      <c r="B15559" s="11" t="s">
        <v>30681</v>
      </c>
      <c r="C15559" s="11" t="s">
        <v>59</v>
      </c>
      <c r="D15559" s="11" t="s">
        <v>60</v>
      </c>
      <c r="E15559" s="12" t="s">
        <v>785</v>
      </c>
      <c r="F15559" s="12" t="s">
        <v>786</v>
      </c>
      <c r="G15559" s="12" t="s">
        <v>46</v>
      </c>
      <c r="H15559" s="11" t="s">
        <v>63</v>
      </c>
      <c r="I15559" s="13" t="s">
        <v>30682</v>
      </c>
      <c r="J15559" s="14" t="str">
        <f>HYPERLINK("https://www.boe.es/gazeta/dias/1839/07/13/pdfs/GMD-1839-1701.pdf#page=3","Abrir facsímil")</f>
        <v>Abrir facsímil</v>
      </c>
      <c r="K15559" s="12" t="s">
        <v>65</v>
      </c>
    </row>
    <row r="15560" spans="1:11" ht="40.049999999999997" customHeight="1" x14ac:dyDescent="0.25">
      <c r="A15560" s="11" t="s">
        <v>30683</v>
      </c>
      <c r="B15560" s="11" t="s">
        <v>30684</v>
      </c>
      <c r="C15560" s="11" t="s">
        <v>17</v>
      </c>
      <c r="D15560" s="11" t="s">
        <v>18</v>
      </c>
      <c r="E15560" s="12" t="s">
        <v>848</v>
      </c>
      <c r="F15560" s="12" t="s">
        <v>849</v>
      </c>
      <c r="G15560" s="12" t="s">
        <v>40</v>
      </c>
      <c r="H15560" s="11" t="s">
        <v>63</v>
      </c>
      <c r="I15560" s="13" t="s">
        <v>30685</v>
      </c>
      <c r="J15560" s="14" t="str">
        <f>HYPERLINK("https://www.boe.es/gazeta/dias/1839/08/04/pdfs/GMD-1839-1724.pdf#page=2","Abrir facsímil")</f>
        <v>Abrir facsímil</v>
      </c>
      <c r="K15560" s="12" t="s">
        <v>65</v>
      </c>
    </row>
    <row r="15561" spans="1:11" ht="40.049999999999997" customHeight="1" x14ac:dyDescent="0.25">
      <c r="A15561" s="11" t="s">
        <v>30683</v>
      </c>
      <c r="B15561" s="11" t="s">
        <v>30684</v>
      </c>
      <c r="C15561" s="11" t="s">
        <v>137</v>
      </c>
      <c r="D15561" s="11" t="s">
        <v>18</v>
      </c>
      <c r="E15561" s="12" t="s">
        <v>2165</v>
      </c>
      <c r="F15561" s="12" t="s">
        <v>2166</v>
      </c>
      <c r="G15561" s="12" t="s">
        <v>40</v>
      </c>
      <c r="H15561" s="11" t="s">
        <v>63</v>
      </c>
      <c r="I15561" s="13" t="s">
        <v>30686</v>
      </c>
      <c r="J15561" s="14" t="str">
        <f>HYPERLINK("https://www.boe.es/gazeta/dias/1839/01/06/pdfs/GMD-1839-1513.pdf#page=2","Abrir facsímil")</f>
        <v>Abrir facsímil</v>
      </c>
      <c r="K15561" s="12" t="s">
        <v>65</v>
      </c>
    </row>
    <row r="15562" spans="1:11" ht="40.049999999999997" customHeight="1" x14ac:dyDescent="0.25">
      <c r="A15562" s="11" t="s">
        <v>30683</v>
      </c>
      <c r="B15562" s="11" t="s">
        <v>30684</v>
      </c>
      <c r="C15562" s="11" t="s">
        <v>17</v>
      </c>
      <c r="D15562" s="11" t="s">
        <v>18</v>
      </c>
      <c r="E15562" s="12" t="s">
        <v>1019</v>
      </c>
      <c r="F15562" s="12" t="s">
        <v>1020</v>
      </c>
      <c r="G15562" s="12" t="s">
        <v>46</v>
      </c>
      <c r="H15562" s="11" t="s">
        <v>63</v>
      </c>
      <c r="I15562" s="13" t="s">
        <v>30687</v>
      </c>
      <c r="J15562" s="14" t="str">
        <f>HYPERLINK("https://www.boe.es/gazeta/dias/1839/07/15/pdfs/GMD-1839-1703.pdf#page=3","Abrir facsímil")</f>
        <v>Abrir facsímil</v>
      </c>
      <c r="K15562" s="12" t="s">
        <v>65</v>
      </c>
    </row>
    <row r="15563" spans="1:11" ht="40.049999999999997" customHeight="1" x14ac:dyDescent="0.25">
      <c r="A15563" s="11" t="s">
        <v>30683</v>
      </c>
      <c r="B15563" s="11" t="s">
        <v>30684</v>
      </c>
      <c r="C15563" s="11" t="s">
        <v>101</v>
      </c>
      <c r="D15563" s="11" t="s">
        <v>102</v>
      </c>
      <c r="E15563" s="12" t="s">
        <v>2658</v>
      </c>
      <c r="F15563" s="12" t="s">
        <v>2659</v>
      </c>
      <c r="G15563" s="12" t="s">
        <v>21</v>
      </c>
      <c r="H15563" s="11" t="s">
        <v>63</v>
      </c>
      <c r="I15563" s="13" t="s">
        <v>30688</v>
      </c>
      <c r="J15563" s="14" t="str">
        <f>HYPERLINK("https://www.boe.es/gazeta/dias/1839/06/27/pdfs/GMD-1839-1685.pdf#page=4","Abrir facsímil")</f>
        <v>Abrir facsímil</v>
      </c>
      <c r="K15563" s="12" t="s">
        <v>65</v>
      </c>
    </row>
    <row r="15564" spans="1:11" ht="40.049999999999997" customHeight="1" x14ac:dyDescent="0.25">
      <c r="A15564" s="11" t="s">
        <v>30683</v>
      </c>
      <c r="B15564" s="11" t="s">
        <v>30684</v>
      </c>
      <c r="C15564" s="11" t="s">
        <v>101</v>
      </c>
      <c r="D15564" s="11" t="s">
        <v>43</v>
      </c>
      <c r="E15564" s="12" t="s">
        <v>1909</v>
      </c>
      <c r="F15564" s="12" t="s">
        <v>1910</v>
      </c>
      <c r="G15564" s="12" t="s">
        <v>46</v>
      </c>
      <c r="H15564" s="11" t="s">
        <v>63</v>
      </c>
      <c r="I15564" s="13" t="s">
        <v>30689</v>
      </c>
      <c r="J15564" s="14" t="str">
        <f>HYPERLINK("https://www.boe.es/gazeta/dias/1839/10/27/pdfs/GMD-1839-1813.pdf#page=3","Abrir facsímil")</f>
        <v>Abrir facsímil</v>
      </c>
      <c r="K15564" s="12" t="s">
        <v>65</v>
      </c>
    </row>
    <row r="15565" spans="1:11" ht="40.049999999999997" customHeight="1" x14ac:dyDescent="0.25">
      <c r="A15565" s="11" t="s">
        <v>30690</v>
      </c>
      <c r="B15565" s="11" t="s">
        <v>30691</v>
      </c>
      <c r="C15565" s="11" t="s">
        <v>17</v>
      </c>
      <c r="D15565" s="11" t="s">
        <v>18</v>
      </c>
      <c r="E15565" s="12" t="s">
        <v>352</v>
      </c>
      <c r="F15565" s="12" t="s">
        <v>353</v>
      </c>
      <c r="G15565" s="12" t="s">
        <v>29</v>
      </c>
      <c r="H15565" s="11" t="s">
        <v>22</v>
      </c>
      <c r="I15565" s="13" t="s">
        <v>30692</v>
      </c>
      <c r="J15565" s="14" t="str">
        <f>HYPERLINK("https://www.boe.es/gazeta/dias/1839/03/30/pdfs/GMD-1839-1596.pdf#page=1","Abrir facsímil")</f>
        <v>Abrir facsímil</v>
      </c>
      <c r="K15565" s="12" t="s">
        <v>24</v>
      </c>
    </row>
    <row r="15566" spans="1:11" ht="40.049999999999997" customHeight="1" x14ac:dyDescent="0.25">
      <c r="A15566" s="11" t="s">
        <v>30693</v>
      </c>
      <c r="B15566" s="11" t="s">
        <v>30694</v>
      </c>
      <c r="C15566" s="11" t="s">
        <v>101</v>
      </c>
      <c r="D15566" s="11" t="s">
        <v>102</v>
      </c>
      <c r="E15566" s="12" t="s">
        <v>111</v>
      </c>
      <c r="F15566" s="12" t="s">
        <v>112</v>
      </c>
      <c r="G15566" s="12" t="s">
        <v>29</v>
      </c>
      <c r="H15566" s="11" t="s">
        <v>63</v>
      </c>
      <c r="I15566" s="13" t="s">
        <v>30695</v>
      </c>
      <c r="J15566" s="14" t="str">
        <f>HYPERLINK("https://www.boe.es/gazeta/dias/1839/07/25/pdfs/GMD-1839-1714.pdf#page=1","Abrir facsímil")</f>
        <v>Abrir facsímil</v>
      </c>
      <c r="K15566" s="12" t="s">
        <v>65</v>
      </c>
    </row>
    <row r="15567" spans="1:11" ht="40.049999999999997" customHeight="1" x14ac:dyDescent="0.25">
      <c r="A15567" s="11" t="s">
        <v>30696</v>
      </c>
      <c r="B15567" s="11" t="s">
        <v>30697</v>
      </c>
      <c r="C15567" s="11" t="s">
        <v>101</v>
      </c>
      <c r="D15567" s="11" t="s">
        <v>43</v>
      </c>
      <c r="E15567" s="12" t="s">
        <v>116</v>
      </c>
      <c r="F15567" s="12" t="s">
        <v>117</v>
      </c>
      <c r="G15567" s="12" t="s">
        <v>21</v>
      </c>
      <c r="H15567" s="11" t="s">
        <v>22</v>
      </c>
      <c r="I15567" s="13" t="s">
        <v>30698</v>
      </c>
      <c r="J15567" s="14" t="str">
        <f>HYPERLINK("https://www.boe.es/gazeta/dias/1839/10/10/pdfs/GMD-1839-1796.pdf#page=4","Abrir facsímil")</f>
        <v>Abrir facsímil</v>
      </c>
      <c r="K15567" s="12" t="s">
        <v>24</v>
      </c>
    </row>
    <row r="15568" spans="1:11" ht="40.049999999999997" customHeight="1" x14ac:dyDescent="0.25">
      <c r="A15568" s="11" t="s">
        <v>30696</v>
      </c>
      <c r="B15568" s="11" t="s">
        <v>30697</v>
      </c>
      <c r="C15568" s="11" t="s">
        <v>80</v>
      </c>
      <c r="D15568" s="11" t="s">
        <v>18</v>
      </c>
      <c r="E15568" s="12" t="s">
        <v>320</v>
      </c>
      <c r="F15568" s="12" t="s">
        <v>321</v>
      </c>
      <c r="G15568" s="12" t="s">
        <v>21</v>
      </c>
      <c r="H15568" s="11" t="s">
        <v>22</v>
      </c>
      <c r="I15568" s="13" t="s">
        <v>30699</v>
      </c>
      <c r="J15568" s="14" t="str">
        <f>HYPERLINK("https://www.boe.es/gazeta/dias/1839/05/11/pdfs/GMD-1839-1638.pdf#page=4","Abrir facsímil")</f>
        <v>Abrir facsímil</v>
      </c>
      <c r="K15568" s="12" t="s">
        <v>24</v>
      </c>
    </row>
    <row r="15569" spans="1:11" ht="40.049999999999997" customHeight="1" x14ac:dyDescent="0.25">
      <c r="A15569" s="11" t="s">
        <v>30700</v>
      </c>
      <c r="B15569" s="11" t="s">
        <v>30701</v>
      </c>
      <c r="C15569" s="11" t="s">
        <v>17</v>
      </c>
      <c r="D15569" s="11" t="s">
        <v>18</v>
      </c>
      <c r="E15569" s="12" t="s">
        <v>2829</v>
      </c>
      <c r="F15569" s="12" t="s">
        <v>2830</v>
      </c>
      <c r="G15569" s="12" t="s">
        <v>21</v>
      </c>
      <c r="H15569" s="11" t="s">
        <v>22</v>
      </c>
      <c r="I15569" s="13" t="s">
        <v>30702</v>
      </c>
      <c r="J15569" s="14" t="str">
        <f>HYPERLINK("https://www.boe.es/gazeta/dias/1839/07/01/pdfs/GMD-1839-1689.pdf#page=4","Abrir facsímil")</f>
        <v>Abrir facsímil</v>
      </c>
      <c r="K15569" s="12" t="s">
        <v>24</v>
      </c>
    </row>
    <row r="15570" spans="1:11" ht="40.049999999999997" customHeight="1" x14ac:dyDescent="0.25">
      <c r="A15570" s="11" t="s">
        <v>30700</v>
      </c>
      <c r="B15570" s="11" t="s">
        <v>30701</v>
      </c>
      <c r="C15570" s="11" t="s">
        <v>137</v>
      </c>
      <c r="D15570" s="11" t="s">
        <v>18</v>
      </c>
      <c r="E15570" s="12" t="s">
        <v>587</v>
      </c>
      <c r="F15570" s="12" t="s">
        <v>588</v>
      </c>
      <c r="G15570" s="12" t="s">
        <v>21</v>
      </c>
      <c r="H15570" s="11" t="s">
        <v>22</v>
      </c>
      <c r="I15570" s="13" t="s">
        <v>30703</v>
      </c>
      <c r="J15570" s="14" t="str">
        <f>HYPERLINK("https://www.boe.es/gazeta/dias/1839/05/02/pdfs/GMD-1839-1629.pdf#page=4","Abrir facsímil")</f>
        <v>Abrir facsímil</v>
      </c>
      <c r="K15570" s="12" t="s">
        <v>24</v>
      </c>
    </row>
    <row r="15571" spans="1:11" ht="40.049999999999997" customHeight="1" x14ac:dyDescent="0.25">
      <c r="A15571" s="11" t="s">
        <v>30700</v>
      </c>
      <c r="B15571" s="11" t="s">
        <v>30701</v>
      </c>
      <c r="C15571" s="11" t="s">
        <v>80</v>
      </c>
      <c r="D15571" s="11" t="s">
        <v>173</v>
      </c>
      <c r="E15571" s="12" t="s">
        <v>81</v>
      </c>
      <c r="F15571" s="12" t="s">
        <v>82</v>
      </c>
      <c r="G15571" s="12" t="s">
        <v>29</v>
      </c>
      <c r="H15571" s="11" t="s">
        <v>22</v>
      </c>
      <c r="I15571" s="13" t="s">
        <v>30704</v>
      </c>
      <c r="J15571" s="14" t="str">
        <f>HYPERLINK("https://www.boe.es/gazeta/dias/1839/03/03/pdfs/GMD-1839-1569.pdf#page=1","Abrir facsímil")</f>
        <v>Abrir facsímil</v>
      </c>
      <c r="K15571" s="12" t="s">
        <v>24</v>
      </c>
    </row>
    <row r="15572" spans="1:11" ht="40.049999999999997" customHeight="1" x14ac:dyDescent="0.25">
      <c r="A15572" s="11" t="s">
        <v>30700</v>
      </c>
      <c r="B15572" s="11" t="s">
        <v>30701</v>
      </c>
      <c r="C15572" s="11" t="s">
        <v>17</v>
      </c>
      <c r="D15572" s="11" t="s">
        <v>18</v>
      </c>
      <c r="E15572" s="12" t="s">
        <v>327</v>
      </c>
      <c r="F15572" s="12" t="s">
        <v>328</v>
      </c>
      <c r="G15572" s="12" t="s">
        <v>21</v>
      </c>
      <c r="H15572" s="11" t="s">
        <v>22</v>
      </c>
      <c r="I15572" s="13" t="s">
        <v>30705</v>
      </c>
      <c r="J15572" s="14" t="str">
        <f>HYPERLINK("https://www.boe.es/gazeta/dias/1839/08/05/pdfs/GMD-1839-1725.pdf#page=4","Abrir facsímil")</f>
        <v>Abrir facsímil</v>
      </c>
      <c r="K15572" s="12" t="s">
        <v>24</v>
      </c>
    </row>
    <row r="15573" spans="1:11" ht="40.049999999999997" customHeight="1" x14ac:dyDescent="0.25">
      <c r="A15573" s="11" t="s">
        <v>30700</v>
      </c>
      <c r="B15573" s="11" t="s">
        <v>30701</v>
      </c>
      <c r="C15573" s="11" t="s">
        <v>17</v>
      </c>
      <c r="D15573" s="11" t="s">
        <v>18</v>
      </c>
      <c r="E15573" s="12" t="s">
        <v>918</v>
      </c>
      <c r="F15573" s="12" t="s">
        <v>919</v>
      </c>
      <c r="G15573" s="12" t="s">
        <v>21</v>
      </c>
      <c r="H15573" s="11" t="s">
        <v>22</v>
      </c>
      <c r="I15573" s="13" t="s">
        <v>30706</v>
      </c>
      <c r="J15573" s="14" t="str">
        <f>HYPERLINK("https://www.boe.es/gazeta/dias/1839/12/07/pdfs/GMD-1839-1854.pdf#page=4","Abrir facsímil")</f>
        <v>Abrir facsímil</v>
      </c>
      <c r="K15573" s="12" t="s">
        <v>24</v>
      </c>
    </row>
    <row r="15574" spans="1:11" ht="40.049999999999997" customHeight="1" x14ac:dyDescent="0.25">
      <c r="A15574" s="11" t="s">
        <v>30700</v>
      </c>
      <c r="B15574" s="11" t="s">
        <v>30701</v>
      </c>
      <c r="C15574" s="11" t="s">
        <v>80</v>
      </c>
      <c r="D15574" s="11" t="s">
        <v>18</v>
      </c>
      <c r="E15574" s="12" t="s">
        <v>690</v>
      </c>
      <c r="F15574" s="12" t="s">
        <v>691</v>
      </c>
      <c r="G15574" s="12" t="s">
        <v>21</v>
      </c>
      <c r="H15574" s="11" t="s">
        <v>22</v>
      </c>
      <c r="I15574" s="13" t="s">
        <v>30707</v>
      </c>
      <c r="J15574" s="14" t="str">
        <f>HYPERLINK("https://www.boe.es/gazeta/dias/1839/12/08/pdfs/GMD-1839-1855.pdf#page=4","Abrir facsímil")</f>
        <v>Abrir facsímil</v>
      </c>
      <c r="K15574" s="12" t="s">
        <v>24</v>
      </c>
    </row>
    <row r="15575" spans="1:11" ht="40.049999999999997" customHeight="1" x14ac:dyDescent="0.25">
      <c r="A15575" s="11" t="s">
        <v>30700</v>
      </c>
      <c r="B15575" s="11" t="s">
        <v>30701</v>
      </c>
      <c r="C15575" s="11" t="s">
        <v>80</v>
      </c>
      <c r="D15575" s="11" t="s">
        <v>18</v>
      </c>
      <c r="E15575" s="12" t="s">
        <v>744</v>
      </c>
      <c r="F15575" s="12" t="s">
        <v>745</v>
      </c>
      <c r="G15575" s="12" t="s">
        <v>21</v>
      </c>
      <c r="H15575" s="11" t="s">
        <v>22</v>
      </c>
      <c r="I15575" s="13" t="s">
        <v>30708</v>
      </c>
      <c r="J15575" s="14" t="str">
        <f>HYPERLINK("https://www.boe.es/gazeta/dias/1839/12/09/pdfs/GMD-1839-1856.pdf#page=4","Abrir facsímil")</f>
        <v>Abrir facsímil</v>
      </c>
      <c r="K15575" s="12" t="s">
        <v>24</v>
      </c>
    </row>
    <row r="15576" spans="1:11" ht="40.049999999999997" customHeight="1" x14ac:dyDescent="0.25">
      <c r="A15576" s="11" t="s">
        <v>30700</v>
      </c>
      <c r="B15576" s="11" t="s">
        <v>30701</v>
      </c>
      <c r="C15576" s="11" t="s">
        <v>17</v>
      </c>
      <c r="D15576" s="11" t="s">
        <v>18</v>
      </c>
      <c r="E15576" s="12" t="s">
        <v>1631</v>
      </c>
      <c r="F15576" s="12" t="s">
        <v>1632</v>
      </c>
      <c r="G15576" s="12" t="s">
        <v>21</v>
      </c>
      <c r="H15576" s="11" t="s">
        <v>22</v>
      </c>
      <c r="I15576" s="13" t="s">
        <v>30709</v>
      </c>
      <c r="J15576" s="14" t="str">
        <f>HYPERLINK("https://www.boe.es/gazeta/dias/1839/05/10/pdfs/GMD-1839-1637.pdf#page=4","Abrir facsímil")</f>
        <v>Abrir facsímil</v>
      </c>
      <c r="K15576" s="12" t="s">
        <v>24</v>
      </c>
    </row>
    <row r="15577" spans="1:11" ht="40.049999999999997" customHeight="1" x14ac:dyDescent="0.25">
      <c r="A15577" s="11" t="s">
        <v>30700</v>
      </c>
      <c r="B15577" s="11" t="s">
        <v>30701</v>
      </c>
      <c r="C15577" s="11" t="s">
        <v>17</v>
      </c>
      <c r="D15577" s="11" t="s">
        <v>18</v>
      </c>
      <c r="E15577" s="12" t="s">
        <v>1123</v>
      </c>
      <c r="F15577" s="12" t="s">
        <v>1124</v>
      </c>
      <c r="G15577" s="12" t="s">
        <v>21</v>
      </c>
      <c r="H15577" s="11" t="s">
        <v>22</v>
      </c>
      <c r="I15577" s="13" t="s">
        <v>30710</v>
      </c>
      <c r="J15577" s="14" t="str">
        <f>HYPERLINK("https://www.boe.es/gazeta/dias/1839/08/10/pdfs/GMD-1839-1730.pdf#page=4","Abrir facsímil")</f>
        <v>Abrir facsímil</v>
      </c>
      <c r="K15577" s="12" t="s">
        <v>24</v>
      </c>
    </row>
    <row r="15578" spans="1:11" ht="40.049999999999997" customHeight="1" x14ac:dyDescent="0.25">
      <c r="A15578" s="11" t="s">
        <v>30700</v>
      </c>
      <c r="B15578" s="11" t="s">
        <v>30701</v>
      </c>
      <c r="C15578" s="11" t="s">
        <v>80</v>
      </c>
      <c r="D15578" s="11" t="s">
        <v>18</v>
      </c>
      <c r="E15578" s="12" t="s">
        <v>181</v>
      </c>
      <c r="F15578" s="12" t="s">
        <v>182</v>
      </c>
      <c r="G15578" s="12" t="s">
        <v>29</v>
      </c>
      <c r="H15578" s="11" t="s">
        <v>22</v>
      </c>
      <c r="I15578" s="13" t="s">
        <v>30711</v>
      </c>
      <c r="J15578" s="14" t="str">
        <f>HYPERLINK("https://www.boe.es/gazeta/dias/1839/01/11/pdfs/GMD-1839-1518.pdf#page=1","Abrir facsímil")</f>
        <v>Abrir facsímil</v>
      </c>
      <c r="K15578" s="12" t="s">
        <v>24</v>
      </c>
    </row>
    <row r="15579" spans="1:11" ht="40.049999999999997" customHeight="1" x14ac:dyDescent="0.25">
      <c r="A15579" s="11" t="s">
        <v>30700</v>
      </c>
      <c r="B15579" s="11" t="s">
        <v>30701</v>
      </c>
      <c r="C15579" s="11" t="s">
        <v>17</v>
      </c>
      <c r="D15579" s="11" t="s">
        <v>18</v>
      </c>
      <c r="E15579" s="12" t="s">
        <v>44</v>
      </c>
      <c r="F15579" s="12" t="s">
        <v>45</v>
      </c>
      <c r="G15579" s="12" t="s">
        <v>46</v>
      </c>
      <c r="H15579" s="11" t="s">
        <v>22</v>
      </c>
      <c r="I15579" s="13" t="s">
        <v>30712</v>
      </c>
      <c r="J15579" s="14" t="str">
        <f>HYPERLINK("https://www.boe.es/gazeta/dias/1839/11/15/pdfs/GMD-1839-1832.pdf#page=3","Abrir facsímil")</f>
        <v>Abrir facsímil</v>
      </c>
      <c r="K15579" s="12" t="s">
        <v>24</v>
      </c>
    </row>
    <row r="15580" spans="1:11" ht="40.049999999999997" customHeight="1" x14ac:dyDescent="0.25">
      <c r="A15580" s="11" t="s">
        <v>30700</v>
      </c>
      <c r="B15580" s="11" t="s">
        <v>30701</v>
      </c>
      <c r="C15580" s="11" t="s">
        <v>59</v>
      </c>
      <c r="D15580" s="11" t="s">
        <v>60</v>
      </c>
      <c r="E15580" s="12" t="s">
        <v>685</v>
      </c>
      <c r="F15580" s="12" t="s">
        <v>686</v>
      </c>
      <c r="G15580" s="12" t="s">
        <v>21</v>
      </c>
      <c r="H15580" s="11" t="s">
        <v>22</v>
      </c>
      <c r="I15580" s="13" t="s">
        <v>30713</v>
      </c>
      <c r="J15580" s="14" t="str">
        <f>HYPERLINK("https://www.boe.es/gazeta/dias/1839/06/18/pdfs/GMD-1839-1676.pdf#page=4","Abrir facsímil")</f>
        <v>Abrir facsímil</v>
      </c>
      <c r="K15580" s="12" t="s">
        <v>24</v>
      </c>
    </row>
    <row r="15581" spans="1:11" ht="40.049999999999997" customHeight="1" x14ac:dyDescent="0.25">
      <c r="A15581" s="11" t="s">
        <v>30700</v>
      </c>
      <c r="B15581" s="11" t="s">
        <v>30701</v>
      </c>
      <c r="C15581" s="11" t="s">
        <v>17</v>
      </c>
      <c r="D15581" s="11" t="s">
        <v>18</v>
      </c>
      <c r="E15581" s="12" t="s">
        <v>713</v>
      </c>
      <c r="F15581" s="12" t="s">
        <v>714</v>
      </c>
      <c r="G15581" s="12" t="s">
        <v>46</v>
      </c>
      <c r="H15581" s="11" t="s">
        <v>22</v>
      </c>
      <c r="I15581" s="13" t="s">
        <v>30714</v>
      </c>
      <c r="J15581" s="14" t="str">
        <f>HYPERLINK("https://www.boe.es/gazeta/dias/1839/12/18/pdfs/GMD-1839-1865.pdf#page=3","Abrir facsímil")</f>
        <v>Abrir facsímil</v>
      </c>
      <c r="K15581" s="12" t="s">
        <v>24</v>
      </c>
    </row>
    <row r="15582" spans="1:11" ht="40.049999999999997" customHeight="1" x14ac:dyDescent="0.25">
      <c r="A15582" s="11" t="s">
        <v>30700</v>
      </c>
      <c r="B15582" s="11" t="s">
        <v>30701</v>
      </c>
      <c r="C15582" s="11" t="s">
        <v>80</v>
      </c>
      <c r="D15582" s="11" t="s">
        <v>173</v>
      </c>
      <c r="E15582" s="12" t="s">
        <v>1663</v>
      </c>
      <c r="F15582" s="12" t="s">
        <v>1664</v>
      </c>
      <c r="G15582" s="12" t="s">
        <v>29</v>
      </c>
      <c r="H15582" s="11" t="s">
        <v>22</v>
      </c>
      <c r="I15582" s="13" t="s">
        <v>30715</v>
      </c>
      <c r="J15582" s="14" t="str">
        <f>HYPERLINK("https://www.boe.es/gazeta/dias/1839/03/22/pdfs/GMD-1839-1588.pdf#page=1","Abrir facsímil")</f>
        <v>Abrir facsímil</v>
      </c>
      <c r="K15582" s="12" t="s">
        <v>24</v>
      </c>
    </row>
    <row r="15583" spans="1:11" ht="40.049999999999997" customHeight="1" x14ac:dyDescent="0.25">
      <c r="A15583" s="11" t="s">
        <v>30700</v>
      </c>
      <c r="B15583" s="11" t="s">
        <v>30701</v>
      </c>
      <c r="C15583" s="11" t="s">
        <v>17</v>
      </c>
      <c r="D15583" s="11" t="s">
        <v>18</v>
      </c>
      <c r="E15583" s="12" t="s">
        <v>125</v>
      </c>
      <c r="F15583" s="12" t="s">
        <v>126</v>
      </c>
      <c r="G15583" s="12" t="s">
        <v>46</v>
      </c>
      <c r="H15583" s="11" t="s">
        <v>22</v>
      </c>
      <c r="I15583" s="13" t="s">
        <v>30716</v>
      </c>
      <c r="J15583" s="14" t="str">
        <f>HYPERLINK("https://www.boe.es/gazeta/dias/1839/05/23/pdfs/GMD-1839-1650.pdf#page=3","Abrir facsímil")</f>
        <v>Abrir facsímil</v>
      </c>
      <c r="K15583" s="12" t="s">
        <v>24</v>
      </c>
    </row>
    <row r="15584" spans="1:11" ht="40.049999999999997" customHeight="1" x14ac:dyDescent="0.25">
      <c r="A15584" s="11" t="s">
        <v>30700</v>
      </c>
      <c r="B15584" s="11" t="s">
        <v>30701</v>
      </c>
      <c r="C15584" s="11" t="s">
        <v>137</v>
      </c>
      <c r="D15584" s="11" t="s">
        <v>18</v>
      </c>
      <c r="E15584" s="12" t="s">
        <v>1729</v>
      </c>
      <c r="F15584" s="12" t="s">
        <v>1730</v>
      </c>
      <c r="G15584" s="12" t="s">
        <v>21</v>
      </c>
      <c r="H15584" s="11" t="s">
        <v>22</v>
      </c>
      <c r="I15584" s="13" t="s">
        <v>30717</v>
      </c>
      <c r="J15584" s="14" t="str">
        <f>HYPERLINK("https://www.boe.es/gazeta/dias/1839/04/25/pdfs/GMD-1839-1622.pdf#page=4","Abrir facsímil")</f>
        <v>Abrir facsímil</v>
      </c>
      <c r="K15584" s="12" t="s">
        <v>24</v>
      </c>
    </row>
    <row r="15585" spans="1:11" ht="40.049999999999997" customHeight="1" x14ac:dyDescent="0.25">
      <c r="A15585" s="11" t="s">
        <v>30700</v>
      </c>
      <c r="B15585" s="11" t="s">
        <v>30701</v>
      </c>
      <c r="C15585" s="11" t="s">
        <v>17</v>
      </c>
      <c r="D15585" s="11" t="s">
        <v>18</v>
      </c>
      <c r="E15585" s="12" t="s">
        <v>522</v>
      </c>
      <c r="F15585" s="12" t="s">
        <v>523</v>
      </c>
      <c r="G15585" s="12" t="s">
        <v>21</v>
      </c>
      <c r="H15585" s="11" t="s">
        <v>22</v>
      </c>
      <c r="I15585" s="13" t="s">
        <v>30718</v>
      </c>
      <c r="J15585" s="14" t="str">
        <f>HYPERLINK("https://www.boe.es/gazeta/dias/1839/08/27/pdfs/GMD-1839-1748.pdf#page=4","Abrir facsímil")</f>
        <v>Abrir facsímil</v>
      </c>
      <c r="K15585" s="12" t="s">
        <v>24</v>
      </c>
    </row>
    <row r="15586" spans="1:11" ht="40.049999999999997" customHeight="1" x14ac:dyDescent="0.25">
      <c r="A15586" s="11" t="s">
        <v>30700</v>
      </c>
      <c r="B15586" s="11" t="s">
        <v>30701</v>
      </c>
      <c r="C15586" s="11" t="s">
        <v>80</v>
      </c>
      <c r="D15586" s="11" t="s">
        <v>18</v>
      </c>
      <c r="E15586" s="12" t="s">
        <v>912</v>
      </c>
      <c r="F15586" s="12" t="s">
        <v>913</v>
      </c>
      <c r="G15586" s="12" t="s">
        <v>21</v>
      </c>
      <c r="H15586" s="11" t="s">
        <v>22</v>
      </c>
      <c r="I15586" s="13" t="s">
        <v>30719</v>
      </c>
      <c r="J15586" s="14" t="str">
        <f>HYPERLINK("https://www.boe.es/gazeta/dias/1839/04/30/pdfs/GMD-1839-1627.pdf#page=4","Abrir facsímil")</f>
        <v>Abrir facsímil</v>
      </c>
      <c r="K15586" s="12" t="s">
        <v>24</v>
      </c>
    </row>
    <row r="15587" spans="1:11" ht="40.049999999999997" customHeight="1" x14ac:dyDescent="0.25">
      <c r="A15587" s="11" t="s">
        <v>30720</v>
      </c>
      <c r="B15587" s="11" t="s">
        <v>30721</v>
      </c>
      <c r="C15587" s="11" t="s">
        <v>137</v>
      </c>
      <c r="D15587" s="11" t="s">
        <v>18</v>
      </c>
      <c r="E15587" s="12" t="s">
        <v>1929</v>
      </c>
      <c r="F15587" s="12" t="s">
        <v>1930</v>
      </c>
      <c r="G15587" s="12" t="s">
        <v>40</v>
      </c>
      <c r="H15587" s="11" t="s">
        <v>22</v>
      </c>
      <c r="I15587" s="13" t="s">
        <v>30722</v>
      </c>
      <c r="J15587" s="14" t="str">
        <f>HYPERLINK("https://www.boe.es/gazeta/dias/1839/02/01/pdfs/GMD-1839-1539.pdf#page=2","Abrir facsímil")</f>
        <v>Abrir facsímil</v>
      </c>
      <c r="K15587" s="12" t="s">
        <v>24</v>
      </c>
    </row>
    <row r="15588" spans="1:11" ht="40.049999999999997" customHeight="1" x14ac:dyDescent="0.25">
      <c r="A15588" s="11" t="s">
        <v>30723</v>
      </c>
      <c r="B15588" s="11" t="s">
        <v>30724</v>
      </c>
      <c r="C15588" s="11" t="s">
        <v>17</v>
      </c>
      <c r="D15588" s="11" t="s">
        <v>43</v>
      </c>
      <c r="E15588" s="12" t="s">
        <v>49</v>
      </c>
      <c r="F15588" s="12" t="s">
        <v>50</v>
      </c>
      <c r="G15588" s="12" t="s">
        <v>40</v>
      </c>
      <c r="H15588" s="11" t="s">
        <v>22</v>
      </c>
      <c r="I15588" s="13" t="s">
        <v>30725</v>
      </c>
      <c r="J15588" s="14" t="str">
        <f>HYPERLINK("https://www.boe.es/gazeta/dias/1839/01/05/pdfs/GMD-1839-1512.pdf#page=2","Abrir facsímil")</f>
        <v>Abrir facsímil</v>
      </c>
      <c r="K15588" s="12" t="s">
        <v>24</v>
      </c>
    </row>
    <row r="15589" spans="1:11" ht="40.049999999999997" customHeight="1" x14ac:dyDescent="0.25">
      <c r="A15589" s="11" t="s">
        <v>30723</v>
      </c>
      <c r="B15589" s="11" t="s">
        <v>30724</v>
      </c>
      <c r="C15589" s="11" t="s">
        <v>17</v>
      </c>
      <c r="D15589" s="11" t="s">
        <v>18</v>
      </c>
      <c r="E15589" s="12" t="s">
        <v>116</v>
      </c>
      <c r="F15589" s="12" t="s">
        <v>117</v>
      </c>
      <c r="G15589" s="12" t="s">
        <v>46</v>
      </c>
      <c r="H15589" s="11" t="s">
        <v>22</v>
      </c>
      <c r="I15589" s="13" t="s">
        <v>30726</v>
      </c>
      <c r="J15589" s="14" t="str">
        <f>HYPERLINK("https://www.boe.es/gazeta/dias/1839/10/10/pdfs/GMD-1839-1796.pdf#page=3","Abrir facsímil")</f>
        <v>Abrir facsímil</v>
      </c>
      <c r="K15589" s="12" t="s">
        <v>24</v>
      </c>
    </row>
    <row r="15590" spans="1:11" ht="40.049999999999997" customHeight="1" x14ac:dyDescent="0.25">
      <c r="A15590" s="11" t="s">
        <v>30723</v>
      </c>
      <c r="B15590" s="11" t="s">
        <v>30724</v>
      </c>
      <c r="C15590" s="11" t="s">
        <v>17</v>
      </c>
      <c r="D15590" s="11" t="s">
        <v>18</v>
      </c>
      <c r="E15590" s="12" t="s">
        <v>163</v>
      </c>
      <c r="F15590" s="12" t="s">
        <v>164</v>
      </c>
      <c r="G15590" s="12" t="s">
        <v>29</v>
      </c>
      <c r="H15590" s="11" t="s">
        <v>22</v>
      </c>
      <c r="I15590" s="13" t="s">
        <v>30727</v>
      </c>
      <c r="J15590" s="14" t="str">
        <f>HYPERLINK("https://www.boe.es/gazeta/dias/1839/01/13/pdfs/GMD-1839-1520.pdf#page=1","Abrir facsímil")</f>
        <v>Abrir facsímil</v>
      </c>
      <c r="K15590" s="12" t="s">
        <v>24</v>
      </c>
    </row>
    <row r="15591" spans="1:11" ht="40.049999999999997" customHeight="1" x14ac:dyDescent="0.25">
      <c r="A15591" s="11" t="s">
        <v>30723</v>
      </c>
      <c r="B15591" s="11" t="s">
        <v>30724</v>
      </c>
      <c r="C15591" s="11" t="s">
        <v>80</v>
      </c>
      <c r="D15591" s="11" t="s">
        <v>18</v>
      </c>
      <c r="E15591" s="12" t="s">
        <v>336</v>
      </c>
      <c r="F15591" s="12" t="s">
        <v>337</v>
      </c>
      <c r="G15591" s="12" t="s">
        <v>21</v>
      </c>
      <c r="H15591" s="11" t="s">
        <v>22</v>
      </c>
      <c r="I15591" s="13" t="s">
        <v>30728</v>
      </c>
      <c r="J15591" s="14" t="str">
        <f>HYPERLINK("https://www.boe.es/gazeta/dias/1839/07/14/pdfs/GMD-1839-1702.pdf#page=4","Abrir facsímil")</f>
        <v>Abrir facsímil</v>
      </c>
      <c r="K15591" s="12" t="s">
        <v>24</v>
      </c>
    </row>
    <row r="15592" spans="1:11" ht="40.049999999999997" customHeight="1" x14ac:dyDescent="0.25">
      <c r="A15592" s="11" t="s">
        <v>30723</v>
      </c>
      <c r="B15592" s="11" t="s">
        <v>30724</v>
      </c>
      <c r="C15592" s="11" t="s">
        <v>137</v>
      </c>
      <c r="D15592" s="11" t="s">
        <v>18</v>
      </c>
      <c r="E15592" s="12" t="s">
        <v>1490</v>
      </c>
      <c r="F15592" s="12" t="s">
        <v>1491</v>
      </c>
      <c r="G15592" s="12" t="s">
        <v>29</v>
      </c>
      <c r="H15592" s="11" t="s">
        <v>22</v>
      </c>
      <c r="I15592" s="13" t="s">
        <v>30729</v>
      </c>
      <c r="J15592" s="14" t="str">
        <f>HYPERLINK("https://www.boe.es/gazeta/dias/1839/02/27/pdfs/GMD-1839-1565.pdf#page=1","Abrir facsímil")</f>
        <v>Abrir facsímil</v>
      </c>
      <c r="K15592" s="12" t="s">
        <v>24</v>
      </c>
    </row>
    <row r="15593" spans="1:11" ht="40.049999999999997" customHeight="1" x14ac:dyDescent="0.25">
      <c r="A15593" s="11" t="s">
        <v>30730</v>
      </c>
      <c r="B15593" s="11" t="s">
        <v>30731</v>
      </c>
      <c r="C15593" s="11" t="s">
        <v>17</v>
      </c>
      <c r="D15593" s="11" t="s">
        <v>18</v>
      </c>
      <c r="E15593" s="12" t="s">
        <v>601</v>
      </c>
      <c r="F15593" s="12" t="s">
        <v>602</v>
      </c>
      <c r="G15593" s="12" t="s">
        <v>21</v>
      </c>
      <c r="H15593" s="11" t="s">
        <v>22</v>
      </c>
      <c r="I15593" s="13" t="s">
        <v>30732</v>
      </c>
      <c r="J15593" s="14" t="str">
        <f>HYPERLINK("https://www.boe.es/gazeta/dias/1839/04/21/pdfs/GMD-1839-1618.pdf#page=4","Abrir facsímil")</f>
        <v>Abrir facsímil</v>
      </c>
      <c r="K15593" s="12" t="s">
        <v>24</v>
      </c>
    </row>
    <row r="15594" spans="1:11" ht="40.049999999999997" customHeight="1" x14ac:dyDescent="0.25">
      <c r="A15594" s="11" t="s">
        <v>30733</v>
      </c>
      <c r="B15594" s="11" t="s">
        <v>30734</v>
      </c>
      <c r="C15594" s="11" t="s">
        <v>59</v>
      </c>
      <c r="D15594" s="11" t="s">
        <v>60</v>
      </c>
      <c r="E15594" s="12" t="s">
        <v>568</v>
      </c>
      <c r="F15594" s="12" t="s">
        <v>569</v>
      </c>
      <c r="G15594" s="12" t="s">
        <v>40</v>
      </c>
      <c r="H15594" s="11" t="s">
        <v>22</v>
      </c>
      <c r="I15594" s="13" t="s">
        <v>30735</v>
      </c>
      <c r="J15594" s="14" t="str">
        <f>HYPERLINK("https://www.boe.es/gazeta/dias/1839/10/23/pdfs/GMD-1839-1809.pdf#page=2","Abrir facsímil")</f>
        <v>Abrir facsímil</v>
      </c>
      <c r="K15594" s="12" t="s">
        <v>24</v>
      </c>
    </row>
    <row r="15595" spans="1:11" ht="40.049999999999997" customHeight="1" x14ac:dyDescent="0.25">
      <c r="A15595" s="11" t="s">
        <v>30736</v>
      </c>
      <c r="B15595" s="11" t="s">
        <v>30737</v>
      </c>
      <c r="C15595" s="11" t="s">
        <v>80</v>
      </c>
      <c r="D15595" s="11" t="s">
        <v>18</v>
      </c>
      <c r="E15595" s="12" t="s">
        <v>3289</v>
      </c>
      <c r="F15595" s="12" t="s">
        <v>3290</v>
      </c>
      <c r="G15595" s="12" t="s">
        <v>21</v>
      </c>
      <c r="H15595" s="11" t="s">
        <v>22</v>
      </c>
      <c r="I15595" s="13" t="s">
        <v>30738</v>
      </c>
      <c r="J15595" s="14" t="str">
        <f>HYPERLINK("https://www.boe.es/gazeta/dias/1839/12/10/pdfs/GMD-1839-1857.pdf#page=4","Abrir facsímil")</f>
        <v>Abrir facsímil</v>
      </c>
      <c r="K15595" s="12" t="s">
        <v>24</v>
      </c>
    </row>
    <row r="15596" spans="1:11" ht="40.049999999999997" customHeight="1" x14ac:dyDescent="0.25">
      <c r="A15596" s="11" t="s">
        <v>30739</v>
      </c>
      <c r="B15596" s="11" t="s">
        <v>30740</v>
      </c>
      <c r="C15596" s="11" t="s">
        <v>80</v>
      </c>
      <c r="D15596" s="11" t="s">
        <v>18</v>
      </c>
      <c r="E15596" s="12" t="s">
        <v>385</v>
      </c>
      <c r="F15596" s="12" t="s">
        <v>386</v>
      </c>
      <c r="G15596" s="12" t="s">
        <v>21</v>
      </c>
      <c r="H15596" s="11" t="s">
        <v>22</v>
      </c>
      <c r="I15596" s="13" t="s">
        <v>30741</v>
      </c>
      <c r="J15596" s="14" t="str">
        <f>HYPERLINK("https://www.boe.es/gazeta/dias/1839/08/01/pdfs/GMD-1839-1721.pdf#page=4","Abrir facsímil")</f>
        <v>Abrir facsímil</v>
      </c>
      <c r="K15596" s="12" t="s">
        <v>24</v>
      </c>
    </row>
    <row r="15597" spans="1:11" ht="40.049999999999997" customHeight="1" x14ac:dyDescent="0.25">
      <c r="A15597" s="11" t="s">
        <v>30742</v>
      </c>
      <c r="B15597" s="11" t="s">
        <v>30743</v>
      </c>
      <c r="C15597" s="11" t="s">
        <v>17</v>
      </c>
      <c r="D15597" s="11" t="s">
        <v>18</v>
      </c>
      <c r="E15597" s="12" t="s">
        <v>516</v>
      </c>
      <c r="F15597" s="12" t="s">
        <v>517</v>
      </c>
      <c r="G15597" s="12" t="s">
        <v>40</v>
      </c>
      <c r="H15597" s="11" t="s">
        <v>22</v>
      </c>
      <c r="I15597" s="13" t="s">
        <v>30744</v>
      </c>
      <c r="J15597" s="14" t="str">
        <f>HYPERLINK("https://www.boe.es/gazeta/dias/1839/06/21/pdfs/GMD-1839-1679.pdf#page=2","Abrir facsímil")</f>
        <v>Abrir facsímil</v>
      </c>
      <c r="K15597" s="12" t="s">
        <v>24</v>
      </c>
    </row>
    <row r="15598" spans="1:11" ht="40.049999999999997" customHeight="1" x14ac:dyDescent="0.25">
      <c r="A15598" s="11" t="s">
        <v>30745</v>
      </c>
      <c r="B15598" s="11" t="s">
        <v>30746</v>
      </c>
      <c r="C15598" s="11" t="s">
        <v>137</v>
      </c>
      <c r="D15598" s="11" t="s">
        <v>18</v>
      </c>
      <c r="E15598" s="12" t="s">
        <v>132</v>
      </c>
      <c r="F15598" s="12" t="s">
        <v>133</v>
      </c>
      <c r="G15598" s="12" t="s">
        <v>21</v>
      </c>
      <c r="H15598" s="11" t="s">
        <v>22</v>
      </c>
      <c r="I15598" s="13" t="s">
        <v>30747</v>
      </c>
      <c r="J15598" s="14" t="str">
        <f>HYPERLINK("https://www.boe.es/gazeta/dias/1839/08/02/pdfs/GMD-1839-1722.pdf#page=4","Abrir facsímil")</f>
        <v>Abrir facsímil</v>
      </c>
      <c r="K15598" s="12" t="s">
        <v>24</v>
      </c>
    </row>
    <row r="15599" spans="1:11" ht="40.049999999999997" customHeight="1" x14ac:dyDescent="0.25">
      <c r="A15599" s="11" t="s">
        <v>30748</v>
      </c>
      <c r="B15599" s="11" t="s">
        <v>30749</v>
      </c>
      <c r="C15599" s="11" t="s">
        <v>17</v>
      </c>
      <c r="D15599" s="11" t="s">
        <v>18</v>
      </c>
      <c r="E15599" s="12" t="s">
        <v>258</v>
      </c>
      <c r="F15599" s="12" t="s">
        <v>259</v>
      </c>
      <c r="G15599" s="12" t="s">
        <v>46</v>
      </c>
      <c r="H15599" s="11" t="s">
        <v>22</v>
      </c>
      <c r="I15599" s="13" t="s">
        <v>30750</v>
      </c>
      <c r="J15599" s="14" t="str">
        <f>HYPERLINK("https://www.boe.es/gazeta/dias/1839/01/02/pdfs/GMD-1839-1509.pdf#page=3","Abrir facsímil")</f>
        <v>Abrir facsímil</v>
      </c>
      <c r="K15599" s="12" t="s">
        <v>24</v>
      </c>
    </row>
    <row r="15600" spans="1:11" ht="40.049999999999997" customHeight="1" x14ac:dyDescent="0.25">
      <c r="A15600" s="11" t="s">
        <v>30751</v>
      </c>
      <c r="B15600" s="11" t="s">
        <v>30752</v>
      </c>
      <c r="C15600" s="11" t="s">
        <v>101</v>
      </c>
      <c r="D15600" s="11" t="s">
        <v>43</v>
      </c>
      <c r="E15600" s="12" t="s">
        <v>1236</v>
      </c>
      <c r="F15600" s="12" t="s">
        <v>1237</v>
      </c>
      <c r="G15600" s="12" t="s">
        <v>29</v>
      </c>
      <c r="H15600" s="11" t="s">
        <v>22</v>
      </c>
      <c r="I15600" s="13" t="s">
        <v>30753</v>
      </c>
      <c r="J15600" s="14" t="str">
        <f>HYPERLINK("https://www.boe.es/gazeta/dias/1839/10/16/pdfs/GMD-1839-1802.pdf#page=1","Abrir facsímil")</f>
        <v>Abrir facsímil</v>
      </c>
      <c r="K15600" s="12" t="s">
        <v>24</v>
      </c>
    </row>
    <row r="15601" spans="1:11" ht="40.049999999999997" customHeight="1" x14ac:dyDescent="0.25">
      <c r="A15601" s="11" t="s">
        <v>30754</v>
      </c>
      <c r="B15601" s="11" t="s">
        <v>30755</v>
      </c>
      <c r="C15601" s="11" t="s">
        <v>17</v>
      </c>
      <c r="D15601" s="11" t="s">
        <v>18</v>
      </c>
      <c r="E15601" s="12" t="s">
        <v>3601</v>
      </c>
      <c r="F15601" s="12" t="s">
        <v>3602</v>
      </c>
      <c r="G15601" s="12" t="s">
        <v>29</v>
      </c>
      <c r="H15601" s="11" t="s">
        <v>22</v>
      </c>
      <c r="I15601" s="13" t="s">
        <v>30756</v>
      </c>
      <c r="J15601" s="14" t="str">
        <f>HYPERLINK("https://www.boe.es/gazeta/dias/1839/03/21/pdfs/GMD-1839-1587.pdf#page=1","Abrir facsímil")</f>
        <v>Abrir facsímil</v>
      </c>
      <c r="K15601" s="12" t="s">
        <v>24</v>
      </c>
    </row>
    <row r="15602" spans="1:11" ht="40.049999999999997" customHeight="1" x14ac:dyDescent="0.25">
      <c r="A15602" s="11" t="s">
        <v>30757</v>
      </c>
      <c r="B15602" s="11" t="s">
        <v>30758</v>
      </c>
      <c r="C15602" s="11" t="s">
        <v>59</v>
      </c>
      <c r="D15602" s="11" t="s">
        <v>60</v>
      </c>
      <c r="E15602" s="12" t="s">
        <v>2210</v>
      </c>
      <c r="F15602" s="12" t="s">
        <v>2211</v>
      </c>
      <c r="G15602" s="12" t="s">
        <v>29</v>
      </c>
      <c r="H15602" s="11" t="s">
        <v>63</v>
      </c>
      <c r="I15602" s="13" t="s">
        <v>30759</v>
      </c>
      <c r="J15602" s="14" t="str">
        <f>HYPERLINK("https://www.boe.es/gazeta/dias/1839/09/05/pdfs/GMD-1839-1758.pdf#page=1","Abrir facsímil")</f>
        <v>Abrir facsímil</v>
      </c>
      <c r="K15602" s="12" t="s">
        <v>65</v>
      </c>
    </row>
    <row r="15603" spans="1:11" ht="40.049999999999997" customHeight="1" x14ac:dyDescent="0.25">
      <c r="A15603" s="11" t="s">
        <v>30760</v>
      </c>
      <c r="B15603" s="11" t="s">
        <v>30761</v>
      </c>
      <c r="C15603" s="11" t="s">
        <v>17</v>
      </c>
      <c r="D15603" s="11" t="s">
        <v>18</v>
      </c>
      <c r="E15603" s="12" t="s">
        <v>1100</v>
      </c>
      <c r="F15603" s="12" t="s">
        <v>1101</v>
      </c>
      <c r="G15603" s="12" t="s">
        <v>46</v>
      </c>
      <c r="H15603" s="11" t="s">
        <v>63</v>
      </c>
      <c r="I15603" s="13" t="s">
        <v>30762</v>
      </c>
      <c r="J15603" s="14" t="str">
        <f>HYPERLINK("https://www.boe.es/gazeta/dias/1839/09/13/pdfs/GMD-1839-1766.pdf#page=3","Abrir facsímil")</f>
        <v>Abrir facsímil</v>
      </c>
      <c r="K15603" s="12" t="s">
        <v>65</v>
      </c>
    </row>
    <row r="15604" spans="1:11" ht="40.049999999999997" customHeight="1" x14ac:dyDescent="0.25">
      <c r="A15604" s="11" t="s">
        <v>30763</v>
      </c>
      <c r="B15604" s="11" t="s">
        <v>30764</v>
      </c>
      <c r="C15604" s="11" t="s">
        <v>101</v>
      </c>
      <c r="D15604" s="11" t="s">
        <v>43</v>
      </c>
      <c r="E15604" s="12" t="s">
        <v>49</v>
      </c>
      <c r="F15604" s="12" t="s">
        <v>50</v>
      </c>
      <c r="G15604" s="12" t="s">
        <v>46</v>
      </c>
      <c r="H15604" s="11" t="s">
        <v>63</v>
      </c>
      <c r="I15604" s="13" t="s">
        <v>30765</v>
      </c>
      <c r="J15604" s="14" t="str">
        <f>HYPERLINK("https://www.boe.es/gazeta/dias/1839/01/05/pdfs/GMD-1839-1512.pdf#page=3","Abrir facsímil")</f>
        <v>Abrir facsímil</v>
      </c>
      <c r="K15604" s="12" t="s">
        <v>65</v>
      </c>
    </row>
    <row r="15605" spans="1:11" ht="40.049999999999997" customHeight="1" x14ac:dyDescent="0.25">
      <c r="A15605" s="11" t="s">
        <v>30766</v>
      </c>
      <c r="B15605" s="11" t="s">
        <v>30767</v>
      </c>
      <c r="C15605" s="11" t="s">
        <v>17</v>
      </c>
      <c r="D15605" s="11" t="s">
        <v>18</v>
      </c>
      <c r="E15605" s="12" t="s">
        <v>108</v>
      </c>
      <c r="F15605" s="12" t="s">
        <v>109</v>
      </c>
      <c r="G15605" s="12" t="s">
        <v>21</v>
      </c>
      <c r="H15605" s="11" t="s">
        <v>63</v>
      </c>
      <c r="I15605" s="13" t="s">
        <v>30768</v>
      </c>
      <c r="J15605" s="14" t="str">
        <f>HYPERLINK("https://www.boe.es/gazeta/dias/1839/01/04/pdfs/GMD-1839-1511.pdf#page=4","Abrir facsímil")</f>
        <v>Abrir facsímil</v>
      </c>
      <c r="K15605" s="12" t="s">
        <v>65</v>
      </c>
    </row>
    <row r="15606" spans="1:11" ht="40.049999999999997" customHeight="1" x14ac:dyDescent="0.25">
      <c r="A15606" s="11" t="s">
        <v>30769</v>
      </c>
      <c r="B15606" s="11" t="s">
        <v>30770</v>
      </c>
      <c r="C15606" s="11" t="s">
        <v>17</v>
      </c>
      <c r="D15606" s="11" t="s">
        <v>18</v>
      </c>
      <c r="E15606" s="12" t="s">
        <v>38</v>
      </c>
      <c r="F15606" s="12" t="s">
        <v>39</v>
      </c>
      <c r="G15606" s="12" t="s">
        <v>46</v>
      </c>
      <c r="H15606" s="11" t="s">
        <v>22</v>
      </c>
      <c r="I15606" s="13" t="s">
        <v>30771</v>
      </c>
      <c r="J15606" s="14" t="str">
        <f>HYPERLINK("https://www.boe.es/gazeta/dias/1839/08/08/pdfs/GMD-1839-1728.pdf#page=3","Abrir facsímil")</f>
        <v>Abrir facsímil</v>
      </c>
      <c r="K15606" s="12" t="s">
        <v>24</v>
      </c>
    </row>
    <row r="15607" spans="1:11" ht="40.049999999999997" customHeight="1" x14ac:dyDescent="0.25">
      <c r="A15607" s="11" t="s">
        <v>30772</v>
      </c>
      <c r="B15607" s="11" t="s">
        <v>30773</v>
      </c>
      <c r="C15607" s="11" t="s">
        <v>17</v>
      </c>
      <c r="D15607" s="11" t="s">
        <v>18</v>
      </c>
      <c r="E15607" s="12" t="s">
        <v>3224</v>
      </c>
      <c r="F15607" s="12" t="s">
        <v>3225</v>
      </c>
      <c r="G15607" s="12" t="s">
        <v>40</v>
      </c>
      <c r="H15607" s="11" t="s">
        <v>63</v>
      </c>
      <c r="I15607" s="13" t="s">
        <v>30774</v>
      </c>
      <c r="J15607" s="14" t="str">
        <f>HYPERLINK("https://www.boe.es/gazeta/dias/1839/06/03/pdfs/GMD-1839-1661.pdf#page=2","Abrir facsímil")</f>
        <v>Abrir facsímil</v>
      </c>
      <c r="K15607" s="12" t="s">
        <v>65</v>
      </c>
    </row>
    <row r="15608" spans="1:11" ht="40.049999999999997" customHeight="1" x14ac:dyDescent="0.25">
      <c r="A15608" s="11" t="s">
        <v>30775</v>
      </c>
      <c r="B15608" s="11" t="s">
        <v>30776</v>
      </c>
      <c r="C15608" s="11" t="s">
        <v>17</v>
      </c>
      <c r="D15608" s="11" t="s">
        <v>18</v>
      </c>
      <c r="E15608" s="12" t="s">
        <v>202</v>
      </c>
      <c r="F15608" s="12" t="s">
        <v>203</v>
      </c>
      <c r="G15608" s="12" t="s">
        <v>40</v>
      </c>
      <c r="H15608" s="11" t="s">
        <v>63</v>
      </c>
      <c r="I15608" s="13" t="s">
        <v>30777</v>
      </c>
      <c r="J15608" s="14" t="str">
        <f>HYPERLINK("https://www.boe.es/gazeta/dias/1839/04/05/pdfs/GMD-1839-1602.pdf#page=2","Abrir facsímil")</f>
        <v>Abrir facsímil</v>
      </c>
      <c r="K15608" s="12" t="s">
        <v>65</v>
      </c>
    </row>
    <row r="15609" spans="1:11" ht="40.049999999999997" customHeight="1" x14ac:dyDescent="0.25">
      <c r="A15609" s="11" t="s">
        <v>30778</v>
      </c>
      <c r="B15609" s="11" t="s">
        <v>30779</v>
      </c>
      <c r="C15609" s="11" t="s">
        <v>17</v>
      </c>
      <c r="D15609" s="11" t="s">
        <v>18</v>
      </c>
      <c r="E15609" s="12" t="s">
        <v>336</v>
      </c>
      <c r="F15609" s="12" t="s">
        <v>337</v>
      </c>
      <c r="G15609" s="12" t="s">
        <v>21</v>
      </c>
      <c r="H15609" s="11" t="s">
        <v>63</v>
      </c>
      <c r="I15609" s="13" t="s">
        <v>30780</v>
      </c>
      <c r="J15609" s="14" t="str">
        <f>HYPERLINK("https://www.boe.es/gazeta/dias/1839/07/14/pdfs/GMD-1839-1702.pdf#page=4","Abrir facsímil")</f>
        <v>Abrir facsímil</v>
      </c>
      <c r="K15609" s="12" t="s">
        <v>65</v>
      </c>
    </row>
    <row r="15610" spans="1:11" ht="40.049999999999997" customHeight="1" x14ac:dyDescent="0.25">
      <c r="A15610" s="11" t="s">
        <v>30781</v>
      </c>
      <c r="B15610" s="11" t="s">
        <v>30782</v>
      </c>
      <c r="C15610" s="11" t="s">
        <v>17</v>
      </c>
      <c r="D15610" s="11" t="s">
        <v>18</v>
      </c>
      <c r="E15610" s="12" t="s">
        <v>192</v>
      </c>
      <c r="F15610" s="12" t="s">
        <v>193</v>
      </c>
      <c r="G15610" s="12" t="s">
        <v>46</v>
      </c>
      <c r="H15610" s="11" t="s">
        <v>63</v>
      </c>
      <c r="I15610" s="13" t="s">
        <v>30783</v>
      </c>
      <c r="J15610" s="14" t="str">
        <f>HYPERLINK("https://www.boe.es/gazeta/dias/1839/01/12/pdfs/GMD-1839-1519.pdf#page=3","Abrir facsímil")</f>
        <v>Abrir facsímil</v>
      </c>
      <c r="K15610" s="12" t="s">
        <v>65</v>
      </c>
    </row>
    <row r="15611" spans="1:11" ht="40.049999999999997" customHeight="1" x14ac:dyDescent="0.25">
      <c r="A15611" s="11" t="s">
        <v>30784</v>
      </c>
      <c r="B15611" s="11" t="s">
        <v>30785</v>
      </c>
      <c r="C15611" s="11" t="s">
        <v>17</v>
      </c>
      <c r="D15611" s="11" t="s">
        <v>18</v>
      </c>
      <c r="E15611" s="12" t="s">
        <v>89</v>
      </c>
      <c r="F15611" s="12" t="s">
        <v>90</v>
      </c>
      <c r="G15611" s="12" t="s">
        <v>21</v>
      </c>
      <c r="H15611" s="11" t="s">
        <v>63</v>
      </c>
      <c r="I15611" s="13" t="s">
        <v>30786</v>
      </c>
      <c r="J15611" s="14" t="str">
        <f>HYPERLINK("https://www.boe.es/gazeta/dias/1839/11/28/pdfs/GMD-1839-1845.pdf#page=4","Abrir facsímil")</f>
        <v>Abrir facsímil</v>
      </c>
      <c r="K15611" s="12" t="s">
        <v>65</v>
      </c>
    </row>
    <row r="15612" spans="1:11" ht="40.049999999999997" customHeight="1" x14ac:dyDescent="0.25">
      <c r="A15612" s="11" t="s">
        <v>30787</v>
      </c>
      <c r="B15612" s="11" t="s">
        <v>30788</v>
      </c>
      <c r="C15612" s="11" t="s">
        <v>137</v>
      </c>
      <c r="D15612" s="11" t="s">
        <v>18</v>
      </c>
      <c r="E15612" s="12" t="s">
        <v>1644</v>
      </c>
      <c r="F15612" s="12" t="s">
        <v>1645</v>
      </c>
      <c r="G15612" s="12" t="s">
        <v>29</v>
      </c>
      <c r="H15612" s="11" t="s">
        <v>63</v>
      </c>
      <c r="I15612" s="13" t="s">
        <v>30789</v>
      </c>
      <c r="J15612" s="14" t="str">
        <f>HYPERLINK("https://www.boe.es/gazeta/dias/1839/04/16/pdfs/GMD-1839-1613.pdf#page=1","Abrir facsímil")</f>
        <v>Abrir facsímil</v>
      </c>
      <c r="K15612" s="12" t="s">
        <v>65</v>
      </c>
    </row>
    <row r="15613" spans="1:11" ht="40.049999999999997" customHeight="1" x14ac:dyDescent="0.25">
      <c r="A15613" s="11" t="s">
        <v>30790</v>
      </c>
      <c r="B15613" s="11" t="s">
        <v>30791</v>
      </c>
      <c r="C15613" s="11" t="s">
        <v>101</v>
      </c>
      <c r="D15613" s="11" t="s">
        <v>43</v>
      </c>
      <c r="E15613" s="12" t="s">
        <v>561</v>
      </c>
      <c r="F15613" s="12" t="s">
        <v>562</v>
      </c>
      <c r="G15613" s="12" t="s">
        <v>46</v>
      </c>
      <c r="H15613" s="11" t="s">
        <v>63</v>
      </c>
      <c r="I15613" s="13" t="s">
        <v>30792</v>
      </c>
      <c r="J15613" s="14" t="str">
        <f>HYPERLINK("https://www.boe.es/gazeta/dias/1839/09/11/pdfs/GMD-1839-1764.pdf#page=3","Abrir facsímil")</f>
        <v>Abrir facsímil</v>
      </c>
      <c r="K15613" s="12" t="s">
        <v>65</v>
      </c>
    </row>
    <row r="15614" spans="1:11" ht="40.049999999999997" customHeight="1" x14ac:dyDescent="0.25">
      <c r="A15614" s="11" t="s">
        <v>30793</v>
      </c>
      <c r="B15614" s="11" t="s">
        <v>30794</v>
      </c>
      <c r="C15614" s="11" t="s">
        <v>17</v>
      </c>
      <c r="D15614" s="11" t="s">
        <v>18</v>
      </c>
      <c r="E15614" s="12" t="s">
        <v>1388</v>
      </c>
      <c r="F15614" s="12" t="s">
        <v>1389</v>
      </c>
      <c r="G15614" s="12" t="s">
        <v>46</v>
      </c>
      <c r="H15614" s="11" t="s">
        <v>63</v>
      </c>
      <c r="I15614" s="13" t="s">
        <v>30795</v>
      </c>
      <c r="J15614" s="14" t="str">
        <f>HYPERLINK("https://www.boe.es/gazeta/dias/1839/06/04/pdfs/GMD-1839-1662.pdf#page=3","Abrir facsímil")</f>
        <v>Abrir facsímil</v>
      </c>
      <c r="K15614" s="12" t="s">
        <v>65</v>
      </c>
    </row>
    <row r="15615" spans="1:11" ht="40.049999999999997" customHeight="1" x14ac:dyDescent="0.25">
      <c r="A15615" s="11" t="s">
        <v>30796</v>
      </c>
      <c r="B15615" s="11" t="s">
        <v>30797</v>
      </c>
      <c r="C15615" s="11" t="s">
        <v>17</v>
      </c>
      <c r="D15615" s="11" t="s">
        <v>18</v>
      </c>
      <c r="E15615" s="12" t="s">
        <v>1460</v>
      </c>
      <c r="F15615" s="12" t="s">
        <v>1461</v>
      </c>
      <c r="G15615" s="12" t="s">
        <v>46</v>
      </c>
      <c r="H15615" s="11" t="s">
        <v>63</v>
      </c>
      <c r="I15615" s="13" t="s">
        <v>30798</v>
      </c>
      <c r="J15615" s="14" t="str">
        <f>HYPERLINK("https://www.boe.es/gazeta/dias/1839/03/01/pdfs/GMD-1839-1567.pdf#page=3","Abrir facsímil")</f>
        <v>Abrir facsímil</v>
      </c>
      <c r="K15615" s="12" t="s">
        <v>65</v>
      </c>
    </row>
    <row r="15616" spans="1:11" ht="40.049999999999997" customHeight="1" x14ac:dyDescent="0.25">
      <c r="A15616" s="11" t="s">
        <v>30799</v>
      </c>
      <c r="B15616" s="11" t="s">
        <v>30800</v>
      </c>
      <c r="C15616" s="11" t="s">
        <v>17</v>
      </c>
      <c r="D15616" s="11" t="s">
        <v>18</v>
      </c>
      <c r="E15616" s="12" t="s">
        <v>1509</v>
      </c>
      <c r="F15616" s="12" t="s">
        <v>1510</v>
      </c>
      <c r="G15616" s="12" t="s">
        <v>40</v>
      </c>
      <c r="H15616" s="11" t="s">
        <v>63</v>
      </c>
      <c r="I15616" s="13" t="s">
        <v>30801</v>
      </c>
      <c r="J15616" s="14" t="str">
        <f>HYPERLINK("https://www.boe.es/gazeta/dias/1839/10/07/pdfs/GMD-1839-1793.pdf#page=2","Abrir facsímil")</f>
        <v>Abrir facsímil</v>
      </c>
      <c r="K15616" s="12" t="s">
        <v>65</v>
      </c>
    </row>
    <row r="15617" spans="1:11" ht="40.049999999999997" customHeight="1" x14ac:dyDescent="0.25">
      <c r="A15617" s="11" t="s">
        <v>30799</v>
      </c>
      <c r="B15617" s="11" t="s">
        <v>30800</v>
      </c>
      <c r="C15617" s="11" t="s">
        <v>59</v>
      </c>
      <c r="D15617" s="11" t="s">
        <v>60</v>
      </c>
      <c r="E15617" s="12" t="s">
        <v>2301</v>
      </c>
      <c r="F15617" s="12" t="s">
        <v>2302</v>
      </c>
      <c r="G15617" s="12" t="s">
        <v>40</v>
      </c>
      <c r="H15617" s="11" t="s">
        <v>63</v>
      </c>
      <c r="I15617" s="13" t="s">
        <v>30802</v>
      </c>
      <c r="J15617" s="14" t="str">
        <f>HYPERLINK("https://www.boe.es/gazeta/dias/1839/09/08/pdfs/GMD-1839-1761.pdf#page=2","Abrir facsímil")</f>
        <v>Abrir facsímil</v>
      </c>
      <c r="K15617" s="12" t="s">
        <v>65</v>
      </c>
    </row>
    <row r="15618" spans="1:11" ht="40.049999999999997" customHeight="1" x14ac:dyDescent="0.25">
      <c r="A15618" s="11" t="s">
        <v>30799</v>
      </c>
      <c r="B15618" s="11" t="s">
        <v>30800</v>
      </c>
      <c r="C15618" s="11" t="s">
        <v>59</v>
      </c>
      <c r="D15618" s="11" t="s">
        <v>60</v>
      </c>
      <c r="E15618" s="12" t="s">
        <v>1366</v>
      </c>
      <c r="F15618" s="12" t="s">
        <v>1367</v>
      </c>
      <c r="G15618" s="12" t="s">
        <v>21</v>
      </c>
      <c r="H15618" s="11" t="s">
        <v>63</v>
      </c>
      <c r="I15618" s="13" t="s">
        <v>30803</v>
      </c>
      <c r="J15618" s="14" t="str">
        <f>HYPERLINK("https://www.boe.es/gazeta/dias/1839/09/09/pdfs/GMD-1839-1762.pdf#page=4","Abrir facsímil")</f>
        <v>Abrir facsímil</v>
      </c>
      <c r="K15618" s="12" t="s">
        <v>65</v>
      </c>
    </row>
    <row r="15619" spans="1:11" ht="40.049999999999997" customHeight="1" x14ac:dyDescent="0.25">
      <c r="A15619" s="11" t="s">
        <v>30799</v>
      </c>
      <c r="B15619" s="11" t="s">
        <v>30800</v>
      </c>
      <c r="C15619" s="11" t="s">
        <v>80</v>
      </c>
      <c r="D15619" s="11" t="s">
        <v>173</v>
      </c>
      <c r="E15619" s="12" t="s">
        <v>1988</v>
      </c>
      <c r="F15619" s="12" t="s">
        <v>1989</v>
      </c>
      <c r="G15619" s="12" t="s">
        <v>566</v>
      </c>
      <c r="H15619" s="11" t="s">
        <v>63</v>
      </c>
      <c r="I15619" s="13" t="s">
        <v>30804</v>
      </c>
      <c r="J15619" s="14" t="str">
        <f>HYPERLINK("https://www.boe.es/gazeta/dias/1839/10/29/pdfs/GMD-1839-1815.pdf#page=5","Abrir facsímil")</f>
        <v>Abrir facsímil</v>
      </c>
      <c r="K15619" s="12" t="s">
        <v>65</v>
      </c>
    </row>
    <row r="15620" spans="1:11" ht="40.049999999999997" customHeight="1" x14ac:dyDescent="0.25">
      <c r="A15620" s="11" t="s">
        <v>30805</v>
      </c>
      <c r="B15620" s="11" t="s">
        <v>30806</v>
      </c>
      <c r="C15620" s="11" t="s">
        <v>17</v>
      </c>
      <c r="D15620" s="11" t="s">
        <v>43</v>
      </c>
      <c r="E15620" s="12" t="s">
        <v>1460</v>
      </c>
      <c r="F15620" s="12" t="s">
        <v>1461</v>
      </c>
      <c r="G15620" s="12" t="s">
        <v>46</v>
      </c>
      <c r="H15620" s="11" t="s">
        <v>63</v>
      </c>
      <c r="I15620" s="13" t="s">
        <v>30807</v>
      </c>
      <c r="J15620" s="14" t="str">
        <f>HYPERLINK("https://www.boe.es/gazeta/dias/1839/03/01/pdfs/GMD-1839-1567.pdf#page=3","Abrir facsímil")</f>
        <v>Abrir facsímil</v>
      </c>
      <c r="K15620" s="12" t="s">
        <v>65</v>
      </c>
    </row>
    <row r="15621" spans="1:11" ht="40.049999999999997" customHeight="1" x14ac:dyDescent="0.25">
      <c r="A15621" s="11" t="s">
        <v>30808</v>
      </c>
      <c r="B15621" s="11" t="s">
        <v>30809</v>
      </c>
      <c r="C15621" s="11" t="s">
        <v>80</v>
      </c>
      <c r="D15621" s="11" t="s">
        <v>18</v>
      </c>
      <c r="E15621" s="12" t="s">
        <v>103</v>
      </c>
      <c r="F15621" s="12" t="s">
        <v>104</v>
      </c>
      <c r="G15621" s="12" t="s">
        <v>21</v>
      </c>
      <c r="H15621" s="11" t="s">
        <v>63</v>
      </c>
      <c r="I15621" s="13" t="s">
        <v>30810</v>
      </c>
      <c r="J15621" s="14" t="str">
        <f>HYPERLINK("https://www.boe.es/gazeta/dias/1839/10/12/pdfs/GMD-1839-1798.pdf#page=4","Abrir facsímil")</f>
        <v>Abrir facsímil</v>
      </c>
      <c r="K15621" s="12" t="s">
        <v>65</v>
      </c>
    </row>
    <row r="15622" spans="1:11" ht="40.049999999999997" customHeight="1" x14ac:dyDescent="0.25">
      <c r="A15622" s="11" t="s">
        <v>30811</v>
      </c>
      <c r="B15622" s="11" t="s">
        <v>30812</v>
      </c>
      <c r="C15622" s="11" t="s">
        <v>17</v>
      </c>
      <c r="D15622" s="11" t="s">
        <v>18</v>
      </c>
      <c r="E15622" s="12" t="s">
        <v>111</v>
      </c>
      <c r="F15622" s="12" t="s">
        <v>112</v>
      </c>
      <c r="G15622" s="12" t="s">
        <v>21</v>
      </c>
      <c r="H15622" s="11" t="s">
        <v>63</v>
      </c>
      <c r="I15622" s="13" t="s">
        <v>30813</v>
      </c>
      <c r="J15622" s="14" t="str">
        <f>HYPERLINK("https://www.boe.es/gazeta/dias/1839/07/25/pdfs/GMD-1839-1714.pdf#page=4","Abrir facsímil")</f>
        <v>Abrir facsímil</v>
      </c>
      <c r="K15622" s="12" t="s">
        <v>65</v>
      </c>
    </row>
    <row r="15623" spans="1:11" ht="40.049999999999997" customHeight="1" x14ac:dyDescent="0.25">
      <c r="A15623" s="11" t="s">
        <v>30814</v>
      </c>
      <c r="B15623" s="11" t="s">
        <v>30815</v>
      </c>
      <c r="C15623" s="11" t="s">
        <v>101</v>
      </c>
      <c r="D15623" s="11" t="s">
        <v>43</v>
      </c>
      <c r="E15623" s="12" t="s">
        <v>1069</v>
      </c>
      <c r="F15623" s="12" t="s">
        <v>1070</v>
      </c>
      <c r="G15623" s="12" t="s">
        <v>40</v>
      </c>
      <c r="H15623" s="11" t="s">
        <v>63</v>
      </c>
      <c r="I15623" s="13" t="s">
        <v>30816</v>
      </c>
      <c r="J15623" s="14" t="str">
        <f>HYPERLINK("https://www.boe.es/gazeta/dias/1839/10/15/pdfs/GMD-1839-1801.pdf#page=2","Abrir facsímil")</f>
        <v>Abrir facsímil</v>
      </c>
      <c r="K15623" s="12" t="s">
        <v>65</v>
      </c>
    </row>
    <row r="15624" spans="1:11" ht="40.049999999999997" customHeight="1" x14ac:dyDescent="0.25">
      <c r="A15624" s="11" t="s">
        <v>30814</v>
      </c>
      <c r="B15624" s="11" t="s">
        <v>30815</v>
      </c>
      <c r="C15624" s="11" t="s">
        <v>101</v>
      </c>
      <c r="D15624" s="11" t="s">
        <v>43</v>
      </c>
      <c r="E15624" s="12" t="s">
        <v>568</v>
      </c>
      <c r="F15624" s="12" t="s">
        <v>569</v>
      </c>
      <c r="G15624" s="12" t="s">
        <v>46</v>
      </c>
      <c r="H15624" s="11" t="s">
        <v>63</v>
      </c>
      <c r="I15624" s="13" t="s">
        <v>30817</v>
      </c>
      <c r="J15624" s="14" t="str">
        <f>HYPERLINK("https://www.boe.es/gazeta/dias/1839/10/23/pdfs/GMD-1839-1809.pdf#page=3","Abrir facsímil")</f>
        <v>Abrir facsímil</v>
      </c>
      <c r="K15624" s="12" t="s">
        <v>65</v>
      </c>
    </row>
    <row r="15625" spans="1:11" ht="40.049999999999997" customHeight="1" x14ac:dyDescent="0.25">
      <c r="A15625" s="11" t="s">
        <v>30814</v>
      </c>
      <c r="B15625" s="11" t="s">
        <v>30815</v>
      </c>
      <c r="C15625" s="11" t="s">
        <v>17</v>
      </c>
      <c r="D15625" s="11" t="s">
        <v>18</v>
      </c>
      <c r="E15625" s="12" t="s">
        <v>650</v>
      </c>
      <c r="F15625" s="12" t="s">
        <v>651</v>
      </c>
      <c r="G15625" s="12" t="s">
        <v>40</v>
      </c>
      <c r="H15625" s="11" t="s">
        <v>63</v>
      </c>
      <c r="I15625" s="13" t="s">
        <v>30818</v>
      </c>
      <c r="J15625" s="14" t="str">
        <f>HYPERLINK("https://www.boe.es/gazeta/dias/1839/10/25/pdfs/GMD-1839-1811.pdf#page=2","Abrir facsímil")</f>
        <v>Abrir facsímil</v>
      </c>
      <c r="K15625" s="12" t="s">
        <v>65</v>
      </c>
    </row>
    <row r="15626" spans="1:11" ht="40.049999999999997" customHeight="1" x14ac:dyDescent="0.25">
      <c r="A15626" s="11" t="s">
        <v>30819</v>
      </c>
      <c r="B15626" s="11" t="s">
        <v>30820</v>
      </c>
      <c r="C15626" s="11" t="s">
        <v>80</v>
      </c>
      <c r="D15626" s="11" t="s">
        <v>18</v>
      </c>
      <c r="E15626" s="12" t="s">
        <v>713</v>
      </c>
      <c r="F15626" s="12" t="s">
        <v>714</v>
      </c>
      <c r="G15626" s="12" t="s">
        <v>46</v>
      </c>
      <c r="H15626" s="11" t="s">
        <v>63</v>
      </c>
      <c r="I15626" s="13" t="s">
        <v>30821</v>
      </c>
      <c r="J15626" s="14" t="str">
        <f>HYPERLINK("https://www.boe.es/gazeta/dias/1839/12/18/pdfs/GMD-1839-1865.pdf#page=3","Abrir facsímil")</f>
        <v>Abrir facsímil</v>
      </c>
      <c r="K15626" s="12" t="s">
        <v>65</v>
      </c>
    </row>
    <row r="15627" spans="1:11" ht="40.049999999999997" customHeight="1" x14ac:dyDescent="0.25">
      <c r="A15627" s="11" t="s">
        <v>30822</v>
      </c>
      <c r="B15627" s="11" t="s">
        <v>30823</v>
      </c>
      <c r="C15627" s="11" t="s">
        <v>17</v>
      </c>
      <c r="D15627" s="11" t="s">
        <v>18</v>
      </c>
      <c r="E15627" s="12" t="s">
        <v>510</v>
      </c>
      <c r="F15627" s="12" t="s">
        <v>511</v>
      </c>
      <c r="G15627" s="12" t="s">
        <v>21</v>
      </c>
      <c r="H15627" s="11" t="s">
        <v>63</v>
      </c>
      <c r="I15627" s="13" t="s">
        <v>30824</v>
      </c>
      <c r="J15627" s="14" t="str">
        <f>HYPERLINK("https://www.boe.es/gazeta/dias/1839/05/13/pdfs/GMD-1839-1640.pdf#page=4","Abrir facsímil")</f>
        <v>Abrir facsímil</v>
      </c>
      <c r="K15627" s="12" t="s">
        <v>65</v>
      </c>
    </row>
    <row r="15628" spans="1:11" ht="40.049999999999997" customHeight="1" x14ac:dyDescent="0.25">
      <c r="A15628" s="11" t="s">
        <v>30825</v>
      </c>
      <c r="B15628" s="11" t="s">
        <v>30826</v>
      </c>
      <c r="C15628" s="11" t="s">
        <v>80</v>
      </c>
      <c r="D15628" s="11" t="s">
        <v>18</v>
      </c>
      <c r="E15628" s="12" t="s">
        <v>355</v>
      </c>
      <c r="F15628" s="12" t="s">
        <v>356</v>
      </c>
      <c r="G15628" s="12" t="s">
        <v>21</v>
      </c>
      <c r="H15628" s="11" t="s">
        <v>63</v>
      </c>
      <c r="I15628" s="13" t="s">
        <v>30827</v>
      </c>
      <c r="J15628" s="14" t="str">
        <f>HYPERLINK("https://www.boe.es/gazeta/dias/1839/05/31/pdfs/GMD-1839-1658.pdf#page=4","Abrir facsímil")</f>
        <v>Abrir facsímil</v>
      </c>
      <c r="K15628" s="12" t="s">
        <v>65</v>
      </c>
    </row>
    <row r="15629" spans="1:11" ht="40.049999999999997" customHeight="1" x14ac:dyDescent="0.25">
      <c r="A15629" s="11" t="s">
        <v>30828</v>
      </c>
      <c r="B15629" s="11" t="s">
        <v>30829</v>
      </c>
      <c r="C15629" s="11" t="s">
        <v>80</v>
      </c>
      <c r="D15629" s="11" t="s">
        <v>18</v>
      </c>
      <c r="E15629" s="12" t="s">
        <v>486</v>
      </c>
      <c r="F15629" s="12" t="s">
        <v>487</v>
      </c>
      <c r="G15629" s="12" t="s">
        <v>40</v>
      </c>
      <c r="H15629" s="11" t="s">
        <v>63</v>
      </c>
      <c r="I15629" s="13" t="s">
        <v>30830</v>
      </c>
      <c r="J15629" s="14" t="str">
        <f>HYPERLINK("https://www.boe.es/gazeta/dias/1839/04/19/pdfs/GMD-1839-1616.pdf#page=2","Abrir facsímil")</f>
        <v>Abrir facsímil</v>
      </c>
      <c r="K15629" s="12" t="s">
        <v>65</v>
      </c>
    </row>
    <row r="15630" spans="1:11" ht="40.049999999999997" customHeight="1" x14ac:dyDescent="0.25">
      <c r="A15630" s="11" t="s">
        <v>30831</v>
      </c>
      <c r="B15630" s="11" t="s">
        <v>30832</v>
      </c>
      <c r="C15630" s="11" t="s">
        <v>101</v>
      </c>
      <c r="D15630" s="11" t="s">
        <v>102</v>
      </c>
      <c r="E15630" s="12" t="s">
        <v>1252</v>
      </c>
      <c r="F15630" s="12" t="s">
        <v>1253</v>
      </c>
      <c r="G15630" s="12" t="s">
        <v>29</v>
      </c>
      <c r="H15630" s="11" t="s">
        <v>63</v>
      </c>
      <c r="I15630" s="13" t="s">
        <v>30833</v>
      </c>
      <c r="J15630" s="14" t="str">
        <f>HYPERLINK("https://www.boe.es/gazeta/dias/1839/06/15/pdfs/GMD-1839-1673.pdf#page=1","Abrir facsímil")</f>
        <v>Abrir facsímil</v>
      </c>
      <c r="K15630" s="12" t="s">
        <v>65</v>
      </c>
    </row>
    <row r="15631" spans="1:11" ht="40.049999999999997" customHeight="1" x14ac:dyDescent="0.25">
      <c r="A15631" s="11" t="s">
        <v>30834</v>
      </c>
      <c r="B15631" s="11" t="s">
        <v>30835</v>
      </c>
      <c r="C15631" s="11" t="s">
        <v>17</v>
      </c>
      <c r="D15631" s="11" t="s">
        <v>18</v>
      </c>
      <c r="E15631" s="12" t="s">
        <v>2069</v>
      </c>
      <c r="F15631" s="12" t="s">
        <v>2070</v>
      </c>
      <c r="G15631" s="12" t="s">
        <v>21</v>
      </c>
      <c r="H15631" s="11" t="s">
        <v>63</v>
      </c>
      <c r="I15631" s="13" t="s">
        <v>30836</v>
      </c>
      <c r="J15631" s="14" t="str">
        <f>HYPERLINK("https://www.boe.es/gazeta/dias/1839/10/20/pdfs/GMD-1839-1806.pdf#page=4","Abrir facsímil")</f>
        <v>Abrir facsímil</v>
      </c>
      <c r="K15631" s="12" t="s">
        <v>65</v>
      </c>
    </row>
    <row r="15632" spans="1:11" ht="40.049999999999997" customHeight="1" x14ac:dyDescent="0.25">
      <c r="A15632" s="11" t="s">
        <v>30837</v>
      </c>
      <c r="B15632" s="11" t="s">
        <v>30838</v>
      </c>
      <c r="C15632" s="11" t="s">
        <v>80</v>
      </c>
      <c r="D15632" s="11" t="s">
        <v>18</v>
      </c>
      <c r="E15632" s="12" t="s">
        <v>3289</v>
      </c>
      <c r="F15632" s="12" t="s">
        <v>3290</v>
      </c>
      <c r="G15632" s="12" t="s">
        <v>21</v>
      </c>
      <c r="H15632" s="11" t="s">
        <v>63</v>
      </c>
      <c r="I15632" s="13" t="s">
        <v>30839</v>
      </c>
      <c r="J15632" s="14" t="str">
        <f>HYPERLINK("https://www.boe.es/gazeta/dias/1839/12/10/pdfs/GMD-1839-1857.pdf#page=4","Abrir facsímil")</f>
        <v>Abrir facsímil</v>
      </c>
      <c r="K15632" s="12" t="s">
        <v>65</v>
      </c>
    </row>
    <row r="15633" spans="1:11" ht="40.049999999999997" customHeight="1" x14ac:dyDescent="0.25">
      <c r="A15633" s="11" t="s">
        <v>30840</v>
      </c>
      <c r="B15633" s="11" t="s">
        <v>30841</v>
      </c>
      <c r="C15633" s="11" t="s">
        <v>17</v>
      </c>
      <c r="D15633" s="11" t="s">
        <v>18</v>
      </c>
      <c r="E15633" s="12" t="s">
        <v>934</v>
      </c>
      <c r="F15633" s="12" t="s">
        <v>935</v>
      </c>
      <c r="G15633" s="12" t="s">
        <v>21</v>
      </c>
      <c r="H15633" s="11" t="s">
        <v>63</v>
      </c>
      <c r="I15633" s="13" t="s">
        <v>30842</v>
      </c>
      <c r="J15633" s="14" t="str">
        <f>HYPERLINK("https://www.boe.es/gazeta/dias/1839/11/07/pdfs/GMD-1839-1824.pdf#page=4","Abrir facsímil")</f>
        <v>Abrir facsímil</v>
      </c>
      <c r="K15633" s="12" t="s">
        <v>65</v>
      </c>
    </row>
    <row r="15634" spans="1:11" ht="40.049999999999997" customHeight="1" x14ac:dyDescent="0.25">
      <c r="A15634" s="11" t="s">
        <v>30843</v>
      </c>
      <c r="B15634" s="11" t="s">
        <v>30844</v>
      </c>
      <c r="C15634" s="11" t="s">
        <v>137</v>
      </c>
      <c r="D15634" s="11" t="s">
        <v>18</v>
      </c>
      <c r="E15634" s="12" t="s">
        <v>2205</v>
      </c>
      <c r="F15634" s="12" t="s">
        <v>2206</v>
      </c>
      <c r="G15634" s="12" t="s">
        <v>21</v>
      </c>
      <c r="H15634" s="11" t="s">
        <v>63</v>
      </c>
      <c r="I15634" s="13" t="s">
        <v>30845</v>
      </c>
      <c r="J15634" s="14" t="str">
        <f>HYPERLINK("https://www.boe.es/gazeta/dias/1839/07/11/pdfs/GMD-1839-1699.pdf#page=4","Abrir facsímil")</f>
        <v>Abrir facsímil</v>
      </c>
      <c r="K15634" s="12" t="s">
        <v>65</v>
      </c>
    </row>
    <row r="15635" spans="1:11" ht="40.049999999999997" customHeight="1" x14ac:dyDescent="0.25">
      <c r="A15635" s="11" t="s">
        <v>30846</v>
      </c>
      <c r="B15635" s="11" t="s">
        <v>30847</v>
      </c>
      <c r="C15635" s="11" t="s">
        <v>137</v>
      </c>
      <c r="D15635" s="11" t="s">
        <v>18</v>
      </c>
      <c r="E15635" s="12" t="s">
        <v>516</v>
      </c>
      <c r="F15635" s="12" t="s">
        <v>517</v>
      </c>
      <c r="G15635" s="12" t="s">
        <v>21</v>
      </c>
      <c r="H15635" s="11" t="s">
        <v>63</v>
      </c>
      <c r="I15635" s="13" t="s">
        <v>30848</v>
      </c>
      <c r="J15635" s="14" t="str">
        <f>HYPERLINK("https://www.boe.es/gazeta/dias/1839/06/21/pdfs/GMD-1839-1679.pdf#page=4","Abrir facsímil")</f>
        <v>Abrir facsímil</v>
      </c>
      <c r="K15635" s="12" t="s">
        <v>65</v>
      </c>
    </row>
    <row r="15636" spans="1:11" ht="40.049999999999997" customHeight="1" x14ac:dyDescent="0.25">
      <c r="A15636" s="11" t="s">
        <v>30849</v>
      </c>
      <c r="B15636" s="11" t="s">
        <v>30850</v>
      </c>
      <c r="C15636" s="11" t="s">
        <v>17</v>
      </c>
      <c r="D15636" s="11" t="s">
        <v>18</v>
      </c>
      <c r="E15636" s="12" t="s">
        <v>1479</v>
      </c>
      <c r="F15636" s="12" t="s">
        <v>1480</v>
      </c>
      <c r="G15636" s="12" t="s">
        <v>21</v>
      </c>
      <c r="H15636" s="11" t="s">
        <v>63</v>
      </c>
      <c r="I15636" s="13" t="s">
        <v>30851</v>
      </c>
      <c r="J15636" s="14" t="str">
        <f>HYPERLINK("https://www.boe.es/gazeta/dias/1839/04/09/pdfs/GMD-1839-1606.pdf#page=4","Abrir facsímil")</f>
        <v>Abrir facsímil</v>
      </c>
      <c r="K15636" s="12" t="s">
        <v>65</v>
      </c>
    </row>
    <row r="15637" spans="1:11" ht="40.049999999999997" customHeight="1" x14ac:dyDescent="0.25">
      <c r="A15637" s="11" t="s">
        <v>30852</v>
      </c>
      <c r="B15637" s="11" t="s">
        <v>30853</v>
      </c>
      <c r="C15637" s="11" t="s">
        <v>17</v>
      </c>
      <c r="D15637" s="11" t="s">
        <v>18</v>
      </c>
      <c r="E15637" s="12" t="s">
        <v>596</v>
      </c>
      <c r="F15637" s="12" t="s">
        <v>597</v>
      </c>
      <c r="G15637" s="12" t="s">
        <v>46</v>
      </c>
      <c r="H15637" s="11" t="s">
        <v>63</v>
      </c>
      <c r="I15637" s="13" t="s">
        <v>30854</v>
      </c>
      <c r="J15637" s="14" t="str">
        <f>HYPERLINK("https://www.boe.es/gazeta/dias/1839/01/23/pdfs/GMD-1839-1530.pdf#page=3","Abrir facsímil")</f>
        <v>Abrir facsímil</v>
      </c>
      <c r="K15637" s="12" t="s">
        <v>65</v>
      </c>
    </row>
    <row r="15638" spans="1:11" ht="40.049999999999997" customHeight="1" x14ac:dyDescent="0.25">
      <c r="A15638" s="11" t="s">
        <v>30855</v>
      </c>
      <c r="B15638" s="11" t="s">
        <v>30856</v>
      </c>
      <c r="C15638" s="11" t="s">
        <v>137</v>
      </c>
      <c r="D15638" s="11" t="s">
        <v>18</v>
      </c>
      <c r="E15638" s="12" t="s">
        <v>330</v>
      </c>
      <c r="F15638" s="12" t="s">
        <v>331</v>
      </c>
      <c r="G15638" s="12" t="s">
        <v>21</v>
      </c>
      <c r="H15638" s="11" t="s">
        <v>63</v>
      </c>
      <c r="I15638" s="13" t="s">
        <v>30857</v>
      </c>
      <c r="J15638" s="14" t="str">
        <f>HYPERLINK("https://www.boe.es/gazeta/dias/1839/04/11/pdfs/GMD-1839-1608.pdf#page=4","Abrir facsímil")</f>
        <v>Abrir facsímil</v>
      </c>
      <c r="K15638" s="12" t="s">
        <v>65</v>
      </c>
    </row>
    <row r="15639" spans="1:11" ht="40.049999999999997" customHeight="1" x14ac:dyDescent="0.25">
      <c r="A15639" s="11" t="s">
        <v>30858</v>
      </c>
      <c r="B15639" s="11" t="s">
        <v>30859</v>
      </c>
      <c r="C15639" s="11" t="s">
        <v>80</v>
      </c>
      <c r="D15639" s="11" t="s">
        <v>18</v>
      </c>
      <c r="E15639" s="12" t="s">
        <v>1909</v>
      </c>
      <c r="F15639" s="12" t="s">
        <v>1910</v>
      </c>
      <c r="G15639" s="12" t="s">
        <v>21</v>
      </c>
      <c r="H15639" s="11" t="s">
        <v>63</v>
      </c>
      <c r="I15639" s="13" t="s">
        <v>30860</v>
      </c>
      <c r="J15639" s="14" t="str">
        <f>HYPERLINK("https://www.boe.es/gazeta/dias/1839/10/27/pdfs/GMD-1839-1813.pdf#page=4","Abrir facsímil")</f>
        <v>Abrir facsímil</v>
      </c>
      <c r="K15639" s="12" t="s">
        <v>65</v>
      </c>
    </row>
    <row r="15640" spans="1:11" ht="40.049999999999997" customHeight="1" x14ac:dyDescent="0.25">
      <c r="A15640" s="11" t="s">
        <v>30861</v>
      </c>
      <c r="B15640" s="11" t="s">
        <v>30862</v>
      </c>
      <c r="C15640" s="11" t="s">
        <v>17</v>
      </c>
      <c r="D15640" s="11" t="s">
        <v>18</v>
      </c>
      <c r="E15640" s="12" t="s">
        <v>1019</v>
      </c>
      <c r="F15640" s="12" t="s">
        <v>1020</v>
      </c>
      <c r="G15640" s="12" t="s">
        <v>21</v>
      </c>
      <c r="H15640" s="11" t="s">
        <v>63</v>
      </c>
      <c r="I15640" s="13" t="s">
        <v>30863</v>
      </c>
      <c r="J15640" s="14" t="str">
        <f>HYPERLINK("https://www.boe.es/gazeta/dias/1839/07/15/pdfs/GMD-1839-1703.pdf#page=4","Abrir facsímil")</f>
        <v>Abrir facsímil</v>
      </c>
      <c r="K15640" s="12" t="s">
        <v>65</v>
      </c>
    </row>
    <row r="15641" spans="1:11" ht="40.049999999999997" customHeight="1" x14ac:dyDescent="0.25">
      <c r="A15641" s="11" t="s">
        <v>30864</v>
      </c>
      <c r="B15641" s="11" t="s">
        <v>30865</v>
      </c>
      <c r="C15641" s="11" t="s">
        <v>17</v>
      </c>
      <c r="D15641" s="11" t="s">
        <v>18</v>
      </c>
      <c r="E15641" s="12" t="s">
        <v>132</v>
      </c>
      <c r="F15641" s="12" t="s">
        <v>133</v>
      </c>
      <c r="G15641" s="12" t="s">
        <v>46</v>
      </c>
      <c r="H15641" s="11" t="s">
        <v>63</v>
      </c>
      <c r="I15641" s="13" t="s">
        <v>30866</v>
      </c>
      <c r="J15641" s="14" t="str">
        <f>HYPERLINK("https://www.boe.es/gazeta/dias/1839/08/02/pdfs/GMD-1839-1722.pdf#page=3","Abrir facsímil")</f>
        <v>Abrir facsímil</v>
      </c>
      <c r="K15641" s="12" t="s">
        <v>65</v>
      </c>
    </row>
    <row r="15642" spans="1:11" ht="40.049999999999997" customHeight="1" x14ac:dyDescent="0.25">
      <c r="A15642" s="11" t="s">
        <v>30867</v>
      </c>
      <c r="B15642" s="11" t="s">
        <v>30868</v>
      </c>
      <c r="C15642" s="11" t="s">
        <v>101</v>
      </c>
      <c r="D15642" s="11" t="s">
        <v>43</v>
      </c>
      <c r="E15642" s="12" t="s">
        <v>1086</v>
      </c>
      <c r="F15642" s="12" t="s">
        <v>1087</v>
      </c>
      <c r="G15642" s="12" t="s">
        <v>21</v>
      </c>
      <c r="H15642" s="11" t="s">
        <v>63</v>
      </c>
      <c r="I15642" s="13" t="s">
        <v>30869</v>
      </c>
      <c r="J15642" s="14" t="str">
        <f>HYPERLINK("https://www.boe.es/gazeta/dias/1839/10/26/pdfs/GMD-1839-1812.pdf#page=4","Abrir facsímil")</f>
        <v>Abrir facsímil</v>
      </c>
      <c r="K15642" s="12" t="s">
        <v>65</v>
      </c>
    </row>
    <row r="15643" spans="1:11" ht="40.049999999999997" customHeight="1" x14ac:dyDescent="0.25">
      <c r="A15643" s="11" t="s">
        <v>30870</v>
      </c>
      <c r="B15643" s="11" t="s">
        <v>30871</v>
      </c>
      <c r="C15643" s="11" t="s">
        <v>17</v>
      </c>
      <c r="D15643" s="11" t="s">
        <v>18</v>
      </c>
      <c r="E15643" s="12" t="s">
        <v>611</v>
      </c>
      <c r="F15643" s="12" t="s">
        <v>612</v>
      </c>
      <c r="G15643" s="12" t="s">
        <v>21</v>
      </c>
      <c r="H15643" s="11" t="s">
        <v>63</v>
      </c>
      <c r="I15643" s="13" t="s">
        <v>30872</v>
      </c>
      <c r="J15643" s="14" t="str">
        <f>HYPERLINK("https://www.boe.es/gazeta/dias/1839/07/22/pdfs/GMD-1839-1710.pdf#page=4","Abrir facsímil")</f>
        <v>Abrir facsímil</v>
      </c>
      <c r="K15643" s="12" t="s">
        <v>65</v>
      </c>
    </row>
    <row r="15644" spans="1:11" ht="40.049999999999997" customHeight="1" x14ac:dyDescent="0.25">
      <c r="A15644" s="11" t="s">
        <v>30873</v>
      </c>
      <c r="B15644" s="11" t="s">
        <v>30874</v>
      </c>
      <c r="C15644" s="11" t="s">
        <v>59</v>
      </c>
      <c r="D15644" s="11" t="s">
        <v>60</v>
      </c>
      <c r="E15644" s="12" t="s">
        <v>2919</v>
      </c>
      <c r="F15644" s="12" t="s">
        <v>2920</v>
      </c>
      <c r="G15644" s="12" t="s">
        <v>40</v>
      </c>
      <c r="H15644" s="11" t="s">
        <v>63</v>
      </c>
      <c r="I15644" s="13" t="s">
        <v>30875</v>
      </c>
      <c r="J15644" s="14" t="str">
        <f>HYPERLINK("https://www.boe.es/gazeta/dias/1839/11/12/pdfs/GMD-1839-1829.pdf#page=2","Abrir facsímil")</f>
        <v>Abrir facsímil</v>
      </c>
      <c r="K15644" s="12" t="s">
        <v>65</v>
      </c>
    </row>
    <row r="15645" spans="1:11" ht="40.049999999999997" customHeight="1" x14ac:dyDescent="0.25">
      <c r="A15645" s="11" t="s">
        <v>30876</v>
      </c>
      <c r="B15645" s="11" t="s">
        <v>30877</v>
      </c>
      <c r="C15645" s="11" t="s">
        <v>101</v>
      </c>
      <c r="D15645" s="11" t="s">
        <v>43</v>
      </c>
      <c r="E15645" s="12" t="s">
        <v>1284</v>
      </c>
      <c r="F15645" s="12" t="s">
        <v>1285</v>
      </c>
      <c r="G15645" s="12" t="s">
        <v>46</v>
      </c>
      <c r="H15645" s="11" t="s">
        <v>63</v>
      </c>
      <c r="I15645" s="13" t="s">
        <v>30878</v>
      </c>
      <c r="J15645" s="14" t="str">
        <f>HYPERLINK("https://www.boe.es/gazeta/dias/1839/03/27/pdfs/GMD-1839-1593.pdf#page=3","Abrir facsímil")</f>
        <v>Abrir facsímil</v>
      </c>
      <c r="K15645" s="12" t="s">
        <v>65</v>
      </c>
    </row>
    <row r="15646" spans="1:11" ht="40.049999999999997" customHeight="1" x14ac:dyDescent="0.25">
      <c r="A15646" s="11" t="s">
        <v>30879</v>
      </c>
      <c r="B15646" s="11" t="s">
        <v>30880</v>
      </c>
      <c r="C15646" s="11" t="s">
        <v>101</v>
      </c>
      <c r="D15646" s="11" t="s">
        <v>43</v>
      </c>
      <c r="E15646" s="12" t="s">
        <v>453</v>
      </c>
      <c r="F15646" s="12" t="s">
        <v>454</v>
      </c>
      <c r="G15646" s="12" t="s">
        <v>40</v>
      </c>
      <c r="H15646" s="11" t="s">
        <v>63</v>
      </c>
      <c r="I15646" s="13" t="s">
        <v>30881</v>
      </c>
      <c r="J15646" s="14" t="str">
        <f>HYPERLINK("https://www.boe.es/gazeta/dias/1839/02/07/pdfs/GMD-1839-1545.pdf#page=2","Abrir facsímil")</f>
        <v>Abrir facsímil</v>
      </c>
      <c r="K15646" s="12" t="s">
        <v>65</v>
      </c>
    </row>
    <row r="15647" spans="1:11" ht="40.049999999999997" customHeight="1" x14ac:dyDescent="0.25">
      <c r="A15647" s="11" t="s">
        <v>30882</v>
      </c>
      <c r="B15647" s="11" t="s">
        <v>30883</v>
      </c>
      <c r="C15647" s="11" t="s">
        <v>17</v>
      </c>
      <c r="D15647" s="11" t="s">
        <v>18</v>
      </c>
      <c r="E15647" s="12" t="s">
        <v>2069</v>
      </c>
      <c r="F15647" s="12" t="s">
        <v>2070</v>
      </c>
      <c r="G15647" s="12" t="s">
        <v>566</v>
      </c>
      <c r="H15647" s="11" t="s">
        <v>63</v>
      </c>
      <c r="I15647" s="13" t="s">
        <v>30884</v>
      </c>
      <c r="J15647" s="14" t="str">
        <f>HYPERLINK("https://www.boe.es/gazeta/dias/1839/10/20/pdfs/GMD-1839-1806.pdf#page=5","Abrir facsímil")</f>
        <v>Abrir facsímil</v>
      </c>
      <c r="K15647" s="12" t="s">
        <v>65</v>
      </c>
    </row>
    <row r="15648" spans="1:11" ht="40.049999999999997" customHeight="1" x14ac:dyDescent="0.25">
      <c r="A15648" s="11" t="s">
        <v>30885</v>
      </c>
      <c r="B15648" s="11" t="s">
        <v>30886</v>
      </c>
      <c r="C15648" s="11" t="s">
        <v>137</v>
      </c>
      <c r="D15648" s="11" t="s">
        <v>18</v>
      </c>
      <c r="E15648" s="12" t="s">
        <v>291</v>
      </c>
      <c r="F15648" s="12" t="s">
        <v>292</v>
      </c>
      <c r="G15648" s="12" t="s">
        <v>40</v>
      </c>
      <c r="H15648" s="11" t="s">
        <v>63</v>
      </c>
      <c r="I15648" s="13" t="s">
        <v>30887</v>
      </c>
      <c r="J15648" s="14" t="str">
        <f>HYPERLINK("https://www.boe.es/gazeta/dias/1839/09/04/pdfs/GMD-1839-1757.pdf#page=2","Abrir facsímil")</f>
        <v>Abrir facsímil</v>
      </c>
      <c r="K15648" s="12" t="s">
        <v>65</v>
      </c>
    </row>
    <row r="15649" spans="1:11" ht="40.049999999999997" customHeight="1" x14ac:dyDescent="0.25">
      <c r="A15649" s="11" t="s">
        <v>30885</v>
      </c>
      <c r="B15649" s="11" t="s">
        <v>30886</v>
      </c>
      <c r="C15649" s="11" t="s">
        <v>17</v>
      </c>
      <c r="D15649" s="11" t="s">
        <v>18</v>
      </c>
      <c r="E15649" s="12" t="s">
        <v>918</v>
      </c>
      <c r="F15649" s="12" t="s">
        <v>919</v>
      </c>
      <c r="G15649" s="12" t="s">
        <v>40</v>
      </c>
      <c r="H15649" s="11" t="s">
        <v>63</v>
      </c>
      <c r="I15649" s="13" t="s">
        <v>30888</v>
      </c>
      <c r="J15649" s="14" t="str">
        <f>HYPERLINK("https://www.boe.es/gazeta/dias/1839/12/07/pdfs/GMD-1839-1854.pdf#page=2","Abrir facsímil")</f>
        <v>Abrir facsímil</v>
      </c>
      <c r="K15649" s="12" t="s">
        <v>65</v>
      </c>
    </row>
    <row r="15650" spans="1:11" ht="40.049999999999997" customHeight="1" x14ac:dyDescent="0.25">
      <c r="A15650" s="11" t="s">
        <v>30885</v>
      </c>
      <c r="B15650" s="11" t="s">
        <v>30886</v>
      </c>
      <c r="C15650" s="11" t="s">
        <v>59</v>
      </c>
      <c r="D15650" s="11" t="s">
        <v>60</v>
      </c>
      <c r="E15650" s="12" t="s">
        <v>2962</v>
      </c>
      <c r="F15650" s="12" t="s">
        <v>2963</v>
      </c>
      <c r="G15650" s="12" t="s">
        <v>40</v>
      </c>
      <c r="H15650" s="11" t="s">
        <v>63</v>
      </c>
      <c r="I15650" s="13" t="s">
        <v>30889</v>
      </c>
      <c r="J15650" s="14" t="str">
        <f>HYPERLINK("https://www.boe.es/gazeta/dias/1839/12/21/pdfs/GMD-1839-1868.pdf#page=2","Abrir facsímil")</f>
        <v>Abrir facsímil</v>
      </c>
      <c r="K15650" s="12" t="s">
        <v>65</v>
      </c>
    </row>
    <row r="15651" spans="1:11" ht="40.049999999999997" customHeight="1" x14ac:dyDescent="0.25">
      <c r="A15651" s="11" t="s">
        <v>30890</v>
      </c>
      <c r="B15651" s="11" t="s">
        <v>30891</v>
      </c>
      <c r="C15651" s="11" t="s">
        <v>101</v>
      </c>
      <c r="D15651" s="11" t="s">
        <v>43</v>
      </c>
      <c r="E15651" s="12" t="s">
        <v>157</v>
      </c>
      <c r="F15651" s="12" t="s">
        <v>158</v>
      </c>
      <c r="G15651" s="12" t="s">
        <v>21</v>
      </c>
      <c r="H15651" s="11" t="s">
        <v>63</v>
      </c>
      <c r="I15651" s="13" t="s">
        <v>30892</v>
      </c>
      <c r="J15651" s="14" t="str">
        <f>HYPERLINK("https://www.boe.es/gazeta/dias/1839/02/08/pdfs/GMD-1839-1546.pdf#page=4","Abrir facsímil")</f>
        <v>Abrir facsímil</v>
      </c>
      <c r="K15651" s="12" t="s">
        <v>65</v>
      </c>
    </row>
    <row r="15652" spans="1:11" ht="40.049999999999997" customHeight="1" x14ac:dyDescent="0.25">
      <c r="A15652" s="11" t="s">
        <v>30893</v>
      </c>
      <c r="B15652" s="11" t="s">
        <v>30894</v>
      </c>
      <c r="C15652" s="11" t="s">
        <v>17</v>
      </c>
      <c r="D15652" s="11" t="s">
        <v>18</v>
      </c>
      <c r="E15652" s="12" t="s">
        <v>1057</v>
      </c>
      <c r="F15652" s="12" t="s">
        <v>1058</v>
      </c>
      <c r="G15652" s="12" t="s">
        <v>46</v>
      </c>
      <c r="H15652" s="11" t="s">
        <v>63</v>
      </c>
      <c r="I15652" s="13" t="s">
        <v>30895</v>
      </c>
      <c r="J15652" s="14" t="str">
        <f>HYPERLINK("https://www.boe.es/gazeta/dias/1839/10/01/pdfs/GMD-1839-1787.pdf#page=3","Abrir facsímil")</f>
        <v>Abrir facsímil</v>
      </c>
      <c r="K15652" s="12" t="s">
        <v>65</v>
      </c>
    </row>
    <row r="15653" spans="1:11" ht="40.049999999999997" customHeight="1" x14ac:dyDescent="0.25">
      <c r="A15653" s="11" t="s">
        <v>30893</v>
      </c>
      <c r="B15653" s="11" t="s">
        <v>30894</v>
      </c>
      <c r="C15653" s="11" t="s">
        <v>17</v>
      </c>
      <c r="D15653" s="11" t="s">
        <v>18</v>
      </c>
      <c r="E15653" s="12" t="s">
        <v>49</v>
      </c>
      <c r="F15653" s="12" t="s">
        <v>50</v>
      </c>
      <c r="G15653" s="12" t="s">
        <v>46</v>
      </c>
      <c r="H15653" s="11" t="s">
        <v>63</v>
      </c>
      <c r="I15653" s="13" t="s">
        <v>30896</v>
      </c>
      <c r="J15653" s="14" t="str">
        <f>HYPERLINK("https://www.boe.es/gazeta/dias/1839/01/05/pdfs/GMD-1839-1512.pdf#page=3","Abrir facsímil")</f>
        <v>Abrir facsímil</v>
      </c>
      <c r="K15653" s="12" t="s">
        <v>65</v>
      </c>
    </row>
    <row r="15654" spans="1:11" ht="40.049999999999997" customHeight="1" x14ac:dyDescent="0.25">
      <c r="A15654" s="11" t="s">
        <v>30893</v>
      </c>
      <c r="B15654" s="11" t="s">
        <v>30894</v>
      </c>
      <c r="C15654" s="11" t="s">
        <v>17</v>
      </c>
      <c r="D15654" s="11" t="s">
        <v>18</v>
      </c>
      <c r="E15654" s="12" t="s">
        <v>647</v>
      </c>
      <c r="F15654" s="12" t="s">
        <v>648</v>
      </c>
      <c r="G15654" s="12" t="s">
        <v>46</v>
      </c>
      <c r="H15654" s="11" t="s">
        <v>63</v>
      </c>
      <c r="I15654" s="13" t="s">
        <v>30897</v>
      </c>
      <c r="J15654" s="14" t="str">
        <f>HYPERLINK("https://www.boe.es/gazeta/dias/1839/10/08/pdfs/GMD-1839-1794.pdf#page=3","Abrir facsímil")</f>
        <v>Abrir facsímil</v>
      </c>
      <c r="K15654" s="12" t="s">
        <v>65</v>
      </c>
    </row>
    <row r="15655" spans="1:11" ht="40.049999999999997" customHeight="1" x14ac:dyDescent="0.25">
      <c r="A15655" s="11" t="s">
        <v>30893</v>
      </c>
      <c r="B15655" s="11" t="s">
        <v>30894</v>
      </c>
      <c r="C15655" s="11" t="s">
        <v>80</v>
      </c>
      <c r="D15655" s="11" t="s">
        <v>18</v>
      </c>
      <c r="E15655" s="12" t="s">
        <v>269</v>
      </c>
      <c r="F15655" s="12" t="s">
        <v>270</v>
      </c>
      <c r="G15655" s="12" t="s">
        <v>40</v>
      </c>
      <c r="H15655" s="11" t="s">
        <v>63</v>
      </c>
      <c r="I15655" s="13" t="s">
        <v>30898</v>
      </c>
      <c r="J15655" s="14" t="str">
        <f>HYPERLINK("https://www.boe.es/gazeta/dias/1839/02/10/pdfs/GMD-1839-1548.pdf#page=2","Abrir facsímil")</f>
        <v>Abrir facsímil</v>
      </c>
      <c r="K15655" s="12" t="s">
        <v>65</v>
      </c>
    </row>
    <row r="15656" spans="1:11" ht="40.049999999999997" customHeight="1" x14ac:dyDescent="0.25">
      <c r="A15656" s="11" t="s">
        <v>30893</v>
      </c>
      <c r="B15656" s="11" t="s">
        <v>30894</v>
      </c>
      <c r="C15656" s="11" t="s">
        <v>17</v>
      </c>
      <c r="D15656" s="11" t="s">
        <v>18</v>
      </c>
      <c r="E15656" s="12" t="s">
        <v>1100</v>
      </c>
      <c r="F15656" s="12" t="s">
        <v>1101</v>
      </c>
      <c r="G15656" s="12" t="s">
        <v>21</v>
      </c>
      <c r="H15656" s="11" t="s">
        <v>63</v>
      </c>
      <c r="I15656" s="13" t="s">
        <v>30899</v>
      </c>
      <c r="J15656" s="14" t="str">
        <f>HYPERLINK("https://www.boe.es/gazeta/dias/1839/09/13/pdfs/GMD-1839-1766.pdf#page=4","Abrir facsímil")</f>
        <v>Abrir facsímil</v>
      </c>
      <c r="K15656" s="12" t="s">
        <v>65</v>
      </c>
    </row>
    <row r="15657" spans="1:11" ht="40.049999999999997" customHeight="1" x14ac:dyDescent="0.25">
      <c r="A15657" s="11" t="s">
        <v>30893</v>
      </c>
      <c r="B15657" s="11" t="s">
        <v>30894</v>
      </c>
      <c r="C15657" s="11" t="s">
        <v>137</v>
      </c>
      <c r="D15657" s="11" t="s">
        <v>18</v>
      </c>
      <c r="E15657" s="12" t="s">
        <v>720</v>
      </c>
      <c r="F15657" s="12" t="s">
        <v>721</v>
      </c>
      <c r="G15657" s="12" t="s">
        <v>40</v>
      </c>
      <c r="H15657" s="11" t="s">
        <v>63</v>
      </c>
      <c r="I15657" s="13" t="s">
        <v>30900</v>
      </c>
      <c r="J15657" s="14" t="str">
        <f>HYPERLINK("https://www.boe.es/gazeta/dias/1839/01/14/pdfs/GMD-1839-1521.pdf#page=2","Abrir facsímil")</f>
        <v>Abrir facsímil</v>
      </c>
      <c r="K15657" s="12" t="s">
        <v>65</v>
      </c>
    </row>
    <row r="15658" spans="1:11" ht="40.049999999999997" customHeight="1" x14ac:dyDescent="0.25">
      <c r="A15658" s="11" t="s">
        <v>30893</v>
      </c>
      <c r="B15658" s="11" t="s">
        <v>30894</v>
      </c>
      <c r="C15658" s="11" t="s">
        <v>101</v>
      </c>
      <c r="D15658" s="11" t="s">
        <v>43</v>
      </c>
      <c r="E15658" s="12" t="s">
        <v>230</v>
      </c>
      <c r="F15658" s="12" t="s">
        <v>231</v>
      </c>
      <c r="G15658" s="12" t="s">
        <v>40</v>
      </c>
      <c r="H15658" s="11" t="s">
        <v>63</v>
      </c>
      <c r="I15658" s="13" t="s">
        <v>30901</v>
      </c>
      <c r="J15658" s="14" t="str">
        <f>HYPERLINK("https://www.boe.es/gazeta/dias/1839/09/16/pdfs/GMD-1839-1769.pdf#page=2","Abrir facsímil")</f>
        <v>Abrir facsímil</v>
      </c>
      <c r="K15658" s="12" t="s">
        <v>65</v>
      </c>
    </row>
    <row r="15659" spans="1:11" ht="40.049999999999997" customHeight="1" x14ac:dyDescent="0.25">
      <c r="A15659" s="11" t="s">
        <v>30893</v>
      </c>
      <c r="B15659" s="11" t="s">
        <v>30894</v>
      </c>
      <c r="C15659" s="11" t="s">
        <v>17</v>
      </c>
      <c r="D15659" s="11" t="s">
        <v>18</v>
      </c>
      <c r="E15659" s="12" t="s">
        <v>1076</v>
      </c>
      <c r="F15659" s="12" t="s">
        <v>1077</v>
      </c>
      <c r="G15659" s="12" t="s">
        <v>40</v>
      </c>
      <c r="H15659" s="11" t="s">
        <v>63</v>
      </c>
      <c r="I15659" s="13" t="s">
        <v>30902</v>
      </c>
      <c r="J15659" s="14" t="str">
        <f>HYPERLINK("https://www.boe.es/gazeta/dias/1839/10/19/pdfs/GMD-1839-1805.pdf#page=2","Abrir facsímil")</f>
        <v>Abrir facsímil</v>
      </c>
      <c r="K15659" s="12" t="s">
        <v>65</v>
      </c>
    </row>
    <row r="15660" spans="1:11" ht="40.049999999999997" customHeight="1" x14ac:dyDescent="0.25">
      <c r="A15660" s="11" t="s">
        <v>30893</v>
      </c>
      <c r="B15660" s="11" t="s">
        <v>30894</v>
      </c>
      <c r="C15660" s="11" t="s">
        <v>101</v>
      </c>
      <c r="D15660" s="11" t="s">
        <v>43</v>
      </c>
      <c r="E15660" s="12" t="s">
        <v>433</v>
      </c>
      <c r="F15660" s="12" t="s">
        <v>434</v>
      </c>
      <c r="G15660" s="12" t="s">
        <v>46</v>
      </c>
      <c r="H15660" s="11" t="s">
        <v>63</v>
      </c>
      <c r="I15660" s="13" t="s">
        <v>30903</v>
      </c>
      <c r="J15660" s="14" t="str">
        <f>HYPERLINK("https://www.boe.es/gazeta/dias/1839/01/20/pdfs/GMD-1839-1527.pdf#page=3","Abrir facsímil")</f>
        <v>Abrir facsímil</v>
      </c>
      <c r="K15660" s="12" t="s">
        <v>65</v>
      </c>
    </row>
    <row r="15661" spans="1:11" ht="40.049999999999997" customHeight="1" x14ac:dyDescent="0.25">
      <c r="A15661" s="11" t="s">
        <v>30893</v>
      </c>
      <c r="B15661" s="11" t="s">
        <v>30894</v>
      </c>
      <c r="C15661" s="11" t="s">
        <v>17</v>
      </c>
      <c r="D15661" s="11" t="s">
        <v>18</v>
      </c>
      <c r="E15661" s="12" t="s">
        <v>568</v>
      </c>
      <c r="F15661" s="12" t="s">
        <v>569</v>
      </c>
      <c r="G15661" s="12" t="s">
        <v>21</v>
      </c>
      <c r="H15661" s="11" t="s">
        <v>63</v>
      </c>
      <c r="I15661" s="13" t="s">
        <v>30904</v>
      </c>
      <c r="J15661" s="14" t="str">
        <f>HYPERLINK("https://www.boe.es/gazeta/dias/1839/10/23/pdfs/GMD-1839-1809.pdf#page=4","Abrir facsímil")</f>
        <v>Abrir facsímil</v>
      </c>
      <c r="K15661" s="12" t="s">
        <v>65</v>
      </c>
    </row>
    <row r="15662" spans="1:11" ht="40.049999999999997" customHeight="1" x14ac:dyDescent="0.25">
      <c r="A15662" s="11" t="s">
        <v>30893</v>
      </c>
      <c r="B15662" s="11" t="s">
        <v>30894</v>
      </c>
      <c r="C15662" s="11" t="s">
        <v>137</v>
      </c>
      <c r="D15662" s="11" t="s">
        <v>18</v>
      </c>
      <c r="E15662" s="12" t="s">
        <v>650</v>
      </c>
      <c r="F15662" s="12" t="s">
        <v>651</v>
      </c>
      <c r="G15662" s="12" t="s">
        <v>21</v>
      </c>
      <c r="H15662" s="11" t="s">
        <v>63</v>
      </c>
      <c r="I15662" s="13" t="s">
        <v>30905</v>
      </c>
      <c r="J15662" s="14" t="str">
        <f>HYPERLINK("https://www.boe.es/gazeta/dias/1839/10/25/pdfs/GMD-1839-1811.pdf#page=4","Abrir facsímil")</f>
        <v>Abrir facsímil</v>
      </c>
      <c r="K15662" s="12" t="s">
        <v>65</v>
      </c>
    </row>
    <row r="15663" spans="1:11" ht="40.049999999999997" customHeight="1" x14ac:dyDescent="0.25">
      <c r="A15663" s="11" t="s">
        <v>30893</v>
      </c>
      <c r="B15663" s="11" t="s">
        <v>30894</v>
      </c>
      <c r="C15663" s="11" t="s">
        <v>101</v>
      </c>
      <c r="D15663" s="11" t="s">
        <v>43</v>
      </c>
      <c r="E15663" s="12" t="s">
        <v>1086</v>
      </c>
      <c r="F15663" s="12" t="s">
        <v>1087</v>
      </c>
      <c r="G15663" s="12" t="s">
        <v>40</v>
      </c>
      <c r="H15663" s="11" t="s">
        <v>63</v>
      </c>
      <c r="I15663" s="13" t="s">
        <v>30906</v>
      </c>
      <c r="J15663" s="14" t="str">
        <f>HYPERLINK("https://www.boe.es/gazeta/dias/1839/10/26/pdfs/GMD-1839-1812.pdf#page=2","Abrir facsímil")</f>
        <v>Abrir facsímil</v>
      </c>
      <c r="K15663" s="12" t="s">
        <v>65</v>
      </c>
    </row>
    <row r="15664" spans="1:11" ht="40.049999999999997" customHeight="1" x14ac:dyDescent="0.25">
      <c r="A15664" s="11" t="s">
        <v>30893</v>
      </c>
      <c r="B15664" s="11" t="s">
        <v>30894</v>
      </c>
      <c r="C15664" s="11" t="s">
        <v>17</v>
      </c>
      <c r="D15664" s="11" t="s">
        <v>18</v>
      </c>
      <c r="E15664" s="12" t="s">
        <v>1086</v>
      </c>
      <c r="F15664" s="12" t="s">
        <v>1087</v>
      </c>
      <c r="G15664" s="12" t="s">
        <v>46</v>
      </c>
      <c r="H15664" s="11" t="s">
        <v>63</v>
      </c>
      <c r="I15664" s="13" t="s">
        <v>30907</v>
      </c>
      <c r="J15664" s="14" t="str">
        <f>HYPERLINK("https://www.boe.es/gazeta/dias/1839/10/26/pdfs/GMD-1839-1812.pdf#page=3","Abrir facsímil")</f>
        <v>Abrir facsímil</v>
      </c>
      <c r="K15664" s="12" t="s">
        <v>65</v>
      </c>
    </row>
    <row r="15665" spans="1:11" ht="40.049999999999997" customHeight="1" x14ac:dyDescent="0.25">
      <c r="A15665" s="11" t="s">
        <v>30893</v>
      </c>
      <c r="B15665" s="11" t="s">
        <v>30894</v>
      </c>
      <c r="C15665" s="11" t="s">
        <v>17</v>
      </c>
      <c r="D15665" s="11" t="s">
        <v>18</v>
      </c>
      <c r="E15665" s="12" t="s">
        <v>1988</v>
      </c>
      <c r="F15665" s="12" t="s">
        <v>1989</v>
      </c>
      <c r="G15665" s="12" t="s">
        <v>21</v>
      </c>
      <c r="H15665" s="11" t="s">
        <v>63</v>
      </c>
      <c r="I15665" s="13" t="s">
        <v>30908</v>
      </c>
      <c r="J15665" s="14" t="str">
        <f>HYPERLINK("https://www.boe.es/gazeta/dias/1839/10/29/pdfs/GMD-1839-1815.pdf#page=4","Abrir facsímil")</f>
        <v>Abrir facsímil</v>
      </c>
      <c r="K15665" s="12" t="s">
        <v>65</v>
      </c>
    </row>
    <row r="15666" spans="1:11" ht="40.049999999999997" customHeight="1" x14ac:dyDescent="0.25">
      <c r="A15666" s="11" t="s">
        <v>30909</v>
      </c>
      <c r="B15666" s="11" t="s">
        <v>30910</v>
      </c>
      <c r="C15666" s="11" t="s">
        <v>137</v>
      </c>
      <c r="D15666" s="11" t="s">
        <v>18</v>
      </c>
      <c r="E15666" s="12" t="s">
        <v>2069</v>
      </c>
      <c r="F15666" s="12" t="s">
        <v>2070</v>
      </c>
      <c r="G15666" s="12" t="s">
        <v>21</v>
      </c>
      <c r="H15666" s="11" t="s">
        <v>63</v>
      </c>
      <c r="I15666" s="13" t="s">
        <v>30911</v>
      </c>
      <c r="J15666" s="14" t="str">
        <f>HYPERLINK("https://www.boe.es/gazeta/dias/1839/10/20/pdfs/GMD-1839-1806.pdf#page=4","Abrir facsímil")</f>
        <v>Abrir facsímil</v>
      </c>
      <c r="K15666" s="12" t="s">
        <v>65</v>
      </c>
    </row>
    <row r="15667" spans="1:11" ht="40.049999999999997" customHeight="1" x14ac:dyDescent="0.25">
      <c r="A15667" s="11" t="s">
        <v>30912</v>
      </c>
      <c r="B15667" s="11" t="s">
        <v>30913</v>
      </c>
      <c r="C15667" s="11" t="s">
        <v>80</v>
      </c>
      <c r="D15667" s="11" t="s">
        <v>18</v>
      </c>
      <c r="E15667" s="12" t="s">
        <v>239</v>
      </c>
      <c r="F15667" s="12" t="s">
        <v>240</v>
      </c>
      <c r="G15667" s="12" t="s">
        <v>21</v>
      </c>
      <c r="H15667" s="11" t="s">
        <v>63</v>
      </c>
      <c r="I15667" s="13" t="s">
        <v>30914</v>
      </c>
      <c r="J15667" s="14" t="str">
        <f>HYPERLINK("https://www.boe.es/gazeta/dias/1839/09/22/pdfs/GMD-1839-1777.pdf#page=4","Abrir facsímil")</f>
        <v>Abrir facsímil</v>
      </c>
      <c r="K15667" s="12" t="s">
        <v>65</v>
      </c>
    </row>
    <row r="15668" spans="1:11" ht="40.049999999999997" customHeight="1" x14ac:dyDescent="0.25">
      <c r="A15668" s="11" t="s">
        <v>30915</v>
      </c>
      <c r="B15668" s="11" t="s">
        <v>30916</v>
      </c>
      <c r="C15668" s="11" t="s">
        <v>59</v>
      </c>
      <c r="D15668" s="11" t="s">
        <v>60</v>
      </c>
      <c r="E15668" s="12" t="s">
        <v>744</v>
      </c>
      <c r="F15668" s="12" t="s">
        <v>745</v>
      </c>
      <c r="G15668" s="12" t="s">
        <v>40</v>
      </c>
      <c r="H15668" s="11" t="s">
        <v>63</v>
      </c>
      <c r="I15668" s="13" t="s">
        <v>30917</v>
      </c>
      <c r="J15668" s="14" t="str">
        <f>HYPERLINK("https://www.boe.es/gazeta/dias/1839/12/09/pdfs/GMD-1839-1856.pdf#page=2","Abrir facsímil")</f>
        <v>Abrir facsímil</v>
      </c>
      <c r="K15668" s="12" t="s">
        <v>65</v>
      </c>
    </row>
    <row r="15669" spans="1:11" ht="40.049999999999997" customHeight="1" x14ac:dyDescent="0.25">
      <c r="A15669" s="11" t="s">
        <v>30918</v>
      </c>
      <c r="B15669" s="11" t="s">
        <v>30919</v>
      </c>
      <c r="C15669" s="11" t="s">
        <v>17</v>
      </c>
      <c r="D15669" s="11" t="s">
        <v>18</v>
      </c>
      <c r="E15669" s="12" t="s">
        <v>1628</v>
      </c>
      <c r="F15669" s="12" t="s">
        <v>1629</v>
      </c>
      <c r="G15669" s="12" t="s">
        <v>40</v>
      </c>
      <c r="H15669" s="11" t="s">
        <v>63</v>
      </c>
      <c r="I15669" s="13" t="s">
        <v>30920</v>
      </c>
      <c r="J15669" s="14" t="str">
        <f>HYPERLINK("https://www.boe.es/gazeta/dias/1839/03/10/pdfs/GMD-1839-1576.pdf#page=2","Abrir facsímil")</f>
        <v>Abrir facsímil</v>
      </c>
      <c r="K15669" s="12" t="s">
        <v>65</v>
      </c>
    </row>
    <row r="15670" spans="1:11" ht="40.049999999999997" customHeight="1" x14ac:dyDescent="0.25">
      <c r="A15670" s="11" t="s">
        <v>30918</v>
      </c>
      <c r="B15670" s="11" t="s">
        <v>30919</v>
      </c>
      <c r="C15670" s="11" t="s">
        <v>101</v>
      </c>
      <c r="D15670" s="11" t="s">
        <v>102</v>
      </c>
      <c r="E15670" s="12" t="s">
        <v>2851</v>
      </c>
      <c r="F15670" s="12" t="s">
        <v>2852</v>
      </c>
      <c r="G15670" s="12" t="s">
        <v>40</v>
      </c>
      <c r="H15670" s="11" t="s">
        <v>63</v>
      </c>
      <c r="I15670" s="13" t="s">
        <v>30921</v>
      </c>
      <c r="J15670" s="14" t="str">
        <f>HYPERLINK("https://www.boe.es/gazeta/dias/1839/05/16/pdfs/GMD-1839-1643.pdf#page=2","Abrir facsímil")</f>
        <v>Abrir facsímil</v>
      </c>
      <c r="K15670" s="12" t="s">
        <v>65</v>
      </c>
    </row>
    <row r="15671" spans="1:11" ht="40.049999999999997" customHeight="1" x14ac:dyDescent="0.25">
      <c r="A15671" s="11" t="s">
        <v>30918</v>
      </c>
      <c r="B15671" s="11" t="s">
        <v>30919</v>
      </c>
      <c r="C15671" s="11" t="s">
        <v>17</v>
      </c>
      <c r="D15671" s="11" t="s">
        <v>18</v>
      </c>
      <c r="E15671" s="12" t="s">
        <v>148</v>
      </c>
      <c r="F15671" s="12" t="s">
        <v>149</v>
      </c>
      <c r="G15671" s="12" t="s">
        <v>40</v>
      </c>
      <c r="H15671" s="11" t="s">
        <v>63</v>
      </c>
      <c r="I15671" s="13" t="s">
        <v>30922</v>
      </c>
      <c r="J15671" s="14" t="str">
        <f>HYPERLINK("https://www.boe.es/gazeta/dias/1839/07/16/pdfs/GMD-1839-1704.pdf#page=2","Abrir facsímil")</f>
        <v>Abrir facsímil</v>
      </c>
      <c r="K15671" s="12" t="s">
        <v>65</v>
      </c>
    </row>
    <row r="15672" spans="1:11" ht="40.049999999999997" customHeight="1" x14ac:dyDescent="0.25">
      <c r="A15672" s="11" t="s">
        <v>30918</v>
      </c>
      <c r="B15672" s="11" t="s">
        <v>30919</v>
      </c>
      <c r="C15672" s="11" t="s">
        <v>17</v>
      </c>
      <c r="D15672" s="11" t="s">
        <v>18</v>
      </c>
      <c r="E15672" s="12" t="s">
        <v>756</v>
      </c>
      <c r="F15672" s="12" t="s">
        <v>757</v>
      </c>
      <c r="G15672" s="12" t="s">
        <v>29</v>
      </c>
      <c r="H15672" s="11" t="s">
        <v>63</v>
      </c>
      <c r="I15672" s="13" t="s">
        <v>30923</v>
      </c>
      <c r="J15672" s="14" t="str">
        <f>HYPERLINK("https://www.boe.es/gazeta/dias/1839/12/17/pdfs/GMD-1839-1864.pdf#page=1","Abrir facsímil")</f>
        <v>Abrir facsímil</v>
      </c>
      <c r="K15672" s="12" t="s">
        <v>65</v>
      </c>
    </row>
    <row r="15673" spans="1:11" ht="40.049999999999997" customHeight="1" x14ac:dyDescent="0.25">
      <c r="A15673" s="11" t="s">
        <v>30918</v>
      </c>
      <c r="B15673" s="11" t="s">
        <v>30919</v>
      </c>
      <c r="C15673" s="11" t="s">
        <v>17</v>
      </c>
      <c r="D15673" s="11" t="s">
        <v>18</v>
      </c>
      <c r="E15673" s="12" t="s">
        <v>479</v>
      </c>
      <c r="F15673" s="12" t="s">
        <v>480</v>
      </c>
      <c r="G15673" s="12" t="s">
        <v>29</v>
      </c>
      <c r="H15673" s="11" t="s">
        <v>63</v>
      </c>
      <c r="I15673" s="13" t="s">
        <v>30924</v>
      </c>
      <c r="J15673" s="14" t="str">
        <f>HYPERLINK("https://www.boe.es/gazeta/dias/1839/06/24/pdfs/GMD-1839-1682.pdf#page=1","Abrir facsímil")</f>
        <v>Abrir facsímil</v>
      </c>
      <c r="K15673" s="12" t="s">
        <v>65</v>
      </c>
    </row>
    <row r="15674" spans="1:11" ht="40.049999999999997" customHeight="1" x14ac:dyDescent="0.25">
      <c r="A15674" s="11" t="s">
        <v>30918</v>
      </c>
      <c r="B15674" s="11" t="s">
        <v>30919</v>
      </c>
      <c r="C15674" s="11" t="s">
        <v>17</v>
      </c>
      <c r="D15674" s="11" t="s">
        <v>18</v>
      </c>
      <c r="E15674" s="12" t="s">
        <v>4292</v>
      </c>
      <c r="F15674" s="12" t="s">
        <v>4293</v>
      </c>
      <c r="G15674" s="12" t="s">
        <v>29</v>
      </c>
      <c r="H15674" s="11" t="s">
        <v>63</v>
      </c>
      <c r="I15674" s="13" t="s">
        <v>30925</v>
      </c>
      <c r="J15674" s="14" t="str">
        <f>HYPERLINK("https://www.boe.es/gazeta/dias/1839/11/29/pdfs/GMD-1839-1846.pdf#page=1","Abrir facsímil")</f>
        <v>Abrir facsímil</v>
      </c>
      <c r="K15674" s="12" t="s">
        <v>65</v>
      </c>
    </row>
    <row r="15675" spans="1:11" ht="40.049999999999997" customHeight="1" x14ac:dyDescent="0.25">
      <c r="A15675" s="11" t="s">
        <v>30926</v>
      </c>
      <c r="B15675" s="11" t="s">
        <v>30927</v>
      </c>
      <c r="C15675" s="11" t="s">
        <v>17</v>
      </c>
      <c r="D15675" s="11" t="s">
        <v>18</v>
      </c>
      <c r="E15675" s="12" t="s">
        <v>1008</v>
      </c>
      <c r="F15675" s="12" t="s">
        <v>1009</v>
      </c>
      <c r="G15675" s="12" t="s">
        <v>40</v>
      </c>
      <c r="H15675" s="11" t="s">
        <v>63</v>
      </c>
      <c r="I15675" s="13" t="s">
        <v>30928</v>
      </c>
      <c r="J15675" s="14" t="str">
        <f>HYPERLINK("https://www.boe.es/gazeta/dias/1839/09/07/pdfs/GMD-1839-1760.pdf#page=2","Abrir facsímil")</f>
        <v>Abrir facsímil</v>
      </c>
      <c r="K15675" s="12" t="s">
        <v>65</v>
      </c>
    </row>
    <row r="15676" spans="1:11" ht="40.049999999999997" customHeight="1" x14ac:dyDescent="0.25">
      <c r="A15676" s="11" t="s">
        <v>30929</v>
      </c>
      <c r="B15676" s="11" t="s">
        <v>30930</v>
      </c>
      <c r="C15676" s="11" t="s">
        <v>101</v>
      </c>
      <c r="D15676" s="11" t="s">
        <v>43</v>
      </c>
      <c r="E15676" s="12" t="s">
        <v>1679</v>
      </c>
      <c r="F15676" s="12" t="s">
        <v>1680</v>
      </c>
      <c r="G15676" s="12" t="s">
        <v>46</v>
      </c>
      <c r="H15676" s="11" t="s">
        <v>63</v>
      </c>
      <c r="I15676" s="13" t="s">
        <v>30931</v>
      </c>
      <c r="J15676" s="14" t="str">
        <f>HYPERLINK("https://www.boe.es/gazeta/dias/1839/01/26/pdfs/GMD-1839-1533.pdf#page=3","Abrir facsímil")</f>
        <v>Abrir facsímil</v>
      </c>
      <c r="K15676" s="12" t="s">
        <v>65</v>
      </c>
    </row>
    <row r="15677" spans="1:11" ht="40.049999999999997" customHeight="1" x14ac:dyDescent="0.25">
      <c r="A15677" s="11" t="s">
        <v>30932</v>
      </c>
      <c r="B15677" s="11" t="s">
        <v>30933</v>
      </c>
      <c r="C15677" s="11" t="s">
        <v>137</v>
      </c>
      <c r="D15677" s="11" t="s">
        <v>18</v>
      </c>
      <c r="E15677" s="12" t="s">
        <v>601</v>
      </c>
      <c r="F15677" s="12" t="s">
        <v>602</v>
      </c>
      <c r="G15677" s="12" t="s">
        <v>46</v>
      </c>
      <c r="H15677" s="11" t="s">
        <v>63</v>
      </c>
      <c r="I15677" s="13" t="s">
        <v>30934</v>
      </c>
      <c r="J15677" s="14" t="str">
        <f>HYPERLINK("https://www.boe.es/gazeta/dias/1839/04/21/pdfs/GMD-1839-1618.pdf#page=3","Abrir facsímil")</f>
        <v>Abrir facsímil</v>
      </c>
      <c r="K15677" s="12" t="s">
        <v>65</v>
      </c>
    </row>
    <row r="15678" spans="1:11" ht="40.049999999999997" customHeight="1" x14ac:dyDescent="0.25">
      <c r="A15678" s="11" t="s">
        <v>30935</v>
      </c>
      <c r="B15678" s="11" t="s">
        <v>30936</v>
      </c>
      <c r="C15678" s="11" t="s">
        <v>17</v>
      </c>
      <c r="D15678" s="11" t="s">
        <v>18</v>
      </c>
      <c r="E15678" s="12" t="s">
        <v>157</v>
      </c>
      <c r="F15678" s="12" t="s">
        <v>158</v>
      </c>
      <c r="G15678" s="12" t="s">
        <v>40</v>
      </c>
      <c r="H15678" s="11" t="s">
        <v>63</v>
      </c>
      <c r="I15678" s="13" t="s">
        <v>30937</v>
      </c>
      <c r="J15678" s="14" t="str">
        <f>HYPERLINK("https://www.boe.es/gazeta/dias/1839/02/08/pdfs/GMD-1839-1546.pdf#page=2","Abrir facsímil")</f>
        <v>Abrir facsímil</v>
      </c>
      <c r="K15678" s="12" t="s">
        <v>65</v>
      </c>
    </row>
    <row r="15679" spans="1:11" ht="40.049999999999997" customHeight="1" x14ac:dyDescent="0.25">
      <c r="A15679" s="11" t="s">
        <v>30938</v>
      </c>
      <c r="B15679" s="11" t="s">
        <v>30939</v>
      </c>
      <c r="C15679" s="11" t="s">
        <v>17</v>
      </c>
      <c r="D15679" s="11" t="s">
        <v>18</v>
      </c>
      <c r="E15679" s="12" t="s">
        <v>4189</v>
      </c>
      <c r="F15679" s="12" t="s">
        <v>4190</v>
      </c>
      <c r="G15679" s="12" t="s">
        <v>29</v>
      </c>
      <c r="H15679" s="11" t="s">
        <v>63</v>
      </c>
      <c r="I15679" s="13" t="s">
        <v>30940</v>
      </c>
      <c r="J15679" s="14" t="str">
        <f>HYPERLINK("https://www.boe.es/gazeta/dias/1839/02/13/pdfs/GMD-1839-1551.pdf#page=1","Abrir facsímil")</f>
        <v>Abrir facsímil</v>
      </c>
      <c r="K15679" s="12" t="s">
        <v>65</v>
      </c>
    </row>
    <row r="15680" spans="1:11" ht="40.049999999999997" customHeight="1" x14ac:dyDescent="0.25">
      <c r="A15680" s="11" t="s">
        <v>30941</v>
      </c>
      <c r="B15680" s="11" t="s">
        <v>30942</v>
      </c>
      <c r="C15680" s="11" t="s">
        <v>80</v>
      </c>
      <c r="D15680" s="11" t="s">
        <v>18</v>
      </c>
      <c r="E15680" s="12" t="s">
        <v>266</v>
      </c>
      <c r="F15680" s="12" t="s">
        <v>267</v>
      </c>
      <c r="G15680" s="12" t="s">
        <v>40</v>
      </c>
      <c r="H15680" s="11" t="s">
        <v>63</v>
      </c>
      <c r="I15680" s="13" t="s">
        <v>30943</v>
      </c>
      <c r="J15680" s="14" t="str">
        <f>HYPERLINK("https://www.boe.es/gazeta/dias/1839/01/03/pdfs/GMD-1839-1510.pdf#page=2","Abrir facsímil")</f>
        <v>Abrir facsímil</v>
      </c>
      <c r="K15680" s="12" t="s">
        <v>65</v>
      </c>
    </row>
    <row r="15681" spans="1:11" ht="40.049999999999997" customHeight="1" x14ac:dyDescent="0.25">
      <c r="A15681" s="11" t="s">
        <v>30941</v>
      </c>
      <c r="B15681" s="11" t="s">
        <v>30942</v>
      </c>
      <c r="C15681" s="11" t="s">
        <v>80</v>
      </c>
      <c r="D15681" s="11" t="s">
        <v>18</v>
      </c>
      <c r="E15681" s="12" t="s">
        <v>1631</v>
      </c>
      <c r="F15681" s="12" t="s">
        <v>1632</v>
      </c>
      <c r="G15681" s="12" t="s">
        <v>21</v>
      </c>
      <c r="H15681" s="11" t="s">
        <v>63</v>
      </c>
      <c r="I15681" s="13" t="s">
        <v>30944</v>
      </c>
      <c r="J15681" s="14" t="str">
        <f>HYPERLINK("https://www.boe.es/gazeta/dias/1839/05/10/pdfs/GMD-1839-1637.pdf#page=4","Abrir facsímil")</f>
        <v>Abrir facsímil</v>
      </c>
      <c r="K15681" s="12" t="s">
        <v>65</v>
      </c>
    </row>
    <row r="15682" spans="1:11" ht="40.049999999999997" customHeight="1" x14ac:dyDescent="0.25">
      <c r="A15682" s="11" t="s">
        <v>30941</v>
      </c>
      <c r="B15682" s="11" t="s">
        <v>30942</v>
      </c>
      <c r="C15682" s="11" t="s">
        <v>17</v>
      </c>
      <c r="D15682" s="11" t="s">
        <v>43</v>
      </c>
      <c r="E15682" s="12" t="s">
        <v>1208</v>
      </c>
      <c r="F15682" s="12" t="s">
        <v>1209</v>
      </c>
      <c r="G15682" s="12" t="s">
        <v>21</v>
      </c>
      <c r="H15682" s="11" t="s">
        <v>63</v>
      </c>
      <c r="I15682" s="13" t="s">
        <v>30945</v>
      </c>
      <c r="J15682" s="14" t="str">
        <f>HYPERLINK("https://www.boe.es/gazeta/dias/1839/04/24/pdfs/GMD-1839-1621.pdf#page=4","Abrir facsímil")</f>
        <v>Abrir facsímil</v>
      </c>
      <c r="K15682" s="12" t="s">
        <v>65</v>
      </c>
    </row>
    <row r="15683" spans="1:11" ht="40.049999999999997" customHeight="1" x14ac:dyDescent="0.25">
      <c r="A15683" s="11" t="s">
        <v>30941</v>
      </c>
      <c r="B15683" s="11" t="s">
        <v>30942</v>
      </c>
      <c r="C15683" s="11" t="s">
        <v>17</v>
      </c>
      <c r="D15683" s="11" t="s">
        <v>43</v>
      </c>
      <c r="E15683" s="12" t="s">
        <v>1692</v>
      </c>
      <c r="F15683" s="12" t="s">
        <v>1693</v>
      </c>
      <c r="G15683" s="12" t="s">
        <v>21</v>
      </c>
      <c r="H15683" s="11" t="s">
        <v>63</v>
      </c>
      <c r="I15683" s="13" t="s">
        <v>30946</v>
      </c>
      <c r="J15683" s="14" t="str">
        <f>HYPERLINK("https://www.boe.es/gazeta/dias/1839/05/30/pdfs/GMD-1839-1657.pdf#page=4","Abrir facsímil")</f>
        <v>Abrir facsímil</v>
      </c>
      <c r="K15683" s="12" t="s">
        <v>65</v>
      </c>
    </row>
    <row r="15684" spans="1:11" ht="40.049999999999997" customHeight="1" x14ac:dyDescent="0.25">
      <c r="A15684" s="11" t="s">
        <v>30947</v>
      </c>
      <c r="B15684" s="11" t="s">
        <v>30948</v>
      </c>
      <c r="C15684" s="11" t="s">
        <v>80</v>
      </c>
      <c r="D15684" s="11" t="s">
        <v>18</v>
      </c>
      <c r="E15684" s="12" t="s">
        <v>782</v>
      </c>
      <c r="F15684" s="12" t="s">
        <v>783</v>
      </c>
      <c r="G15684" s="12" t="s">
        <v>21</v>
      </c>
      <c r="H15684" s="11" t="s">
        <v>22</v>
      </c>
      <c r="I15684" s="13" t="s">
        <v>30949</v>
      </c>
      <c r="J15684" s="14" t="str">
        <f>HYPERLINK("https://www.boe.es/gazeta/dias/1839/05/09/pdfs/GMD-1839-1636.pdf#page=4","Abrir facsímil")</f>
        <v>Abrir facsímil</v>
      </c>
      <c r="K15684" s="12" t="s">
        <v>24</v>
      </c>
    </row>
    <row r="15685" spans="1:11" ht="40.049999999999997" customHeight="1" x14ac:dyDescent="0.25">
      <c r="A15685" s="11" t="s">
        <v>30947</v>
      </c>
      <c r="B15685" s="11" t="s">
        <v>30948</v>
      </c>
      <c r="C15685" s="11" t="s">
        <v>80</v>
      </c>
      <c r="D15685" s="11" t="s">
        <v>18</v>
      </c>
      <c r="E15685" s="12" t="s">
        <v>1631</v>
      </c>
      <c r="F15685" s="12" t="s">
        <v>1632</v>
      </c>
      <c r="G15685" s="12" t="s">
        <v>21</v>
      </c>
      <c r="H15685" s="11" t="s">
        <v>22</v>
      </c>
      <c r="I15685" s="13" t="s">
        <v>30950</v>
      </c>
      <c r="J15685" s="14" t="str">
        <f>HYPERLINK("https://www.boe.es/gazeta/dias/1839/05/10/pdfs/GMD-1839-1637.pdf#page=4","Abrir facsímil")</f>
        <v>Abrir facsímil</v>
      </c>
      <c r="K15685" s="12" t="s">
        <v>24</v>
      </c>
    </row>
    <row r="15686" spans="1:11" ht="40.049999999999997" customHeight="1" x14ac:dyDescent="0.25">
      <c r="A15686" s="11" t="s">
        <v>30951</v>
      </c>
      <c r="B15686" s="11" t="s">
        <v>30952</v>
      </c>
      <c r="C15686" s="11" t="s">
        <v>80</v>
      </c>
      <c r="D15686" s="11" t="s">
        <v>18</v>
      </c>
      <c r="E15686" s="12" t="s">
        <v>912</v>
      </c>
      <c r="F15686" s="12" t="s">
        <v>913</v>
      </c>
      <c r="G15686" s="12" t="s">
        <v>21</v>
      </c>
      <c r="H15686" s="11" t="s">
        <v>63</v>
      </c>
      <c r="I15686" s="13" t="s">
        <v>30953</v>
      </c>
      <c r="J15686" s="14" t="str">
        <f>HYPERLINK("https://www.boe.es/gazeta/dias/1839/04/30/pdfs/GMD-1839-1627.pdf#page=4","Abrir facsímil")</f>
        <v>Abrir facsímil</v>
      </c>
      <c r="K15686" s="12" t="s">
        <v>65</v>
      </c>
    </row>
    <row r="15687" spans="1:11" ht="40.049999999999997" customHeight="1" x14ac:dyDescent="0.25">
      <c r="A15687" s="11" t="s">
        <v>30954</v>
      </c>
      <c r="B15687" s="11" t="s">
        <v>30955</v>
      </c>
      <c r="C15687" s="11" t="s">
        <v>59</v>
      </c>
      <c r="D15687" s="11" t="s">
        <v>60</v>
      </c>
      <c r="E15687" s="12" t="s">
        <v>1057</v>
      </c>
      <c r="F15687" s="12" t="s">
        <v>1058</v>
      </c>
      <c r="G15687" s="12" t="s">
        <v>40</v>
      </c>
      <c r="H15687" s="11" t="s">
        <v>63</v>
      </c>
      <c r="I15687" s="13" t="s">
        <v>30956</v>
      </c>
      <c r="J15687" s="14" t="str">
        <f>HYPERLINK("https://www.boe.es/gazeta/dias/1839/10/01/pdfs/GMD-1839-1787.pdf#page=2","Abrir facsímil")</f>
        <v>Abrir facsímil</v>
      </c>
      <c r="K15687" s="12" t="s">
        <v>65</v>
      </c>
    </row>
    <row r="15688" spans="1:11" ht="40.049999999999997" customHeight="1" x14ac:dyDescent="0.25">
      <c r="A15688" s="11" t="s">
        <v>30957</v>
      </c>
      <c r="B15688" s="11" t="s">
        <v>30958</v>
      </c>
      <c r="C15688" s="11" t="s">
        <v>17</v>
      </c>
      <c r="D15688" s="11" t="s">
        <v>18</v>
      </c>
      <c r="E15688" s="12" t="s">
        <v>1497</v>
      </c>
      <c r="F15688" s="12" t="s">
        <v>1498</v>
      </c>
      <c r="G15688" s="12" t="s">
        <v>21</v>
      </c>
      <c r="H15688" s="11" t="s">
        <v>63</v>
      </c>
      <c r="I15688" s="13" t="s">
        <v>30959</v>
      </c>
      <c r="J15688" s="14" t="str">
        <f>HYPERLINK("https://www.boe.es/gazeta/dias/1839/08/23/pdfs/GMD-1839-1744.pdf#page=4","Abrir facsímil")</f>
        <v>Abrir facsímil</v>
      </c>
      <c r="K15688" s="12" t="s">
        <v>65</v>
      </c>
    </row>
    <row r="15689" spans="1:11" ht="40.049999999999997" customHeight="1" x14ac:dyDescent="0.25">
      <c r="A15689" s="11" t="s">
        <v>30960</v>
      </c>
      <c r="B15689" s="11" t="s">
        <v>30961</v>
      </c>
      <c r="C15689" s="11" t="s">
        <v>17</v>
      </c>
      <c r="D15689" s="11" t="s">
        <v>18</v>
      </c>
      <c r="E15689" s="12" t="s">
        <v>516</v>
      </c>
      <c r="F15689" s="12" t="s">
        <v>517</v>
      </c>
      <c r="G15689" s="12" t="s">
        <v>21</v>
      </c>
      <c r="H15689" s="11" t="s">
        <v>63</v>
      </c>
      <c r="I15689" s="13" t="s">
        <v>30962</v>
      </c>
      <c r="J15689" s="14" t="str">
        <f>HYPERLINK("https://www.boe.es/gazeta/dias/1839/06/21/pdfs/GMD-1839-1679.pdf#page=4","Abrir facsímil")</f>
        <v>Abrir facsímil</v>
      </c>
      <c r="K15689" s="12" t="s">
        <v>65</v>
      </c>
    </row>
    <row r="15690" spans="1:11" ht="40.049999999999997" customHeight="1" x14ac:dyDescent="0.25">
      <c r="A15690" s="11" t="s">
        <v>30963</v>
      </c>
      <c r="B15690" s="11" t="s">
        <v>30964</v>
      </c>
      <c r="C15690" s="11" t="s">
        <v>59</v>
      </c>
      <c r="D15690" s="11" t="s">
        <v>60</v>
      </c>
      <c r="E15690" s="12" t="s">
        <v>84</v>
      </c>
      <c r="F15690" s="12" t="s">
        <v>85</v>
      </c>
      <c r="G15690" s="12" t="s">
        <v>21</v>
      </c>
      <c r="H15690" s="11" t="s">
        <v>63</v>
      </c>
      <c r="I15690" s="13" t="s">
        <v>30965</v>
      </c>
      <c r="J15690" s="14" t="str">
        <f>HYPERLINK("https://www.boe.es/gazeta/dias/1839/03/11/pdfs/GMD-1839-1577.pdf#page=4","Abrir facsímil")</f>
        <v>Abrir facsímil</v>
      </c>
      <c r="K15690" s="12" t="s">
        <v>65</v>
      </c>
    </row>
    <row r="15691" spans="1:11" ht="40.049999999999997" customHeight="1" x14ac:dyDescent="0.25">
      <c r="A15691" s="11" t="s">
        <v>30966</v>
      </c>
      <c r="B15691" s="11" t="s">
        <v>30967</v>
      </c>
      <c r="C15691" s="11" t="s">
        <v>17</v>
      </c>
      <c r="D15691" s="11" t="s">
        <v>18</v>
      </c>
      <c r="E15691" s="12" t="s">
        <v>1366</v>
      </c>
      <c r="F15691" s="12" t="s">
        <v>1367</v>
      </c>
      <c r="G15691" s="12" t="s">
        <v>46</v>
      </c>
      <c r="H15691" s="11" t="s">
        <v>63</v>
      </c>
      <c r="I15691" s="13" t="s">
        <v>30968</v>
      </c>
      <c r="J15691" s="14" t="str">
        <f>HYPERLINK("https://www.boe.es/gazeta/dias/1839/09/09/pdfs/GMD-1839-1762.pdf#page=3","Abrir facsímil")</f>
        <v>Abrir facsímil</v>
      </c>
      <c r="K15691" s="12" t="s">
        <v>65</v>
      </c>
    </row>
    <row r="15692" spans="1:11" ht="40.049999999999997" customHeight="1" x14ac:dyDescent="0.25">
      <c r="A15692" s="11" t="s">
        <v>30969</v>
      </c>
      <c r="B15692" s="11" t="s">
        <v>30970</v>
      </c>
      <c r="C15692" s="11" t="s">
        <v>80</v>
      </c>
      <c r="D15692" s="11" t="s">
        <v>18</v>
      </c>
      <c r="E15692" s="12" t="s">
        <v>388</v>
      </c>
      <c r="F15692" s="12" t="s">
        <v>389</v>
      </c>
      <c r="G15692" s="12" t="s">
        <v>21</v>
      </c>
      <c r="H15692" s="11" t="s">
        <v>63</v>
      </c>
      <c r="I15692" s="13" t="s">
        <v>30971</v>
      </c>
      <c r="J15692" s="14" t="str">
        <f>HYPERLINK("https://www.boe.es/gazeta/dias/1839/08/07/pdfs/GMD-1839-1727.pdf#page=4","Abrir facsímil")</f>
        <v>Abrir facsímil</v>
      </c>
      <c r="K15692" s="12" t="s">
        <v>65</v>
      </c>
    </row>
    <row r="15693" spans="1:11" ht="40.049999999999997" customHeight="1" x14ac:dyDescent="0.25">
      <c r="A15693" s="11" t="s">
        <v>30972</v>
      </c>
      <c r="B15693" s="11" t="s">
        <v>30973</v>
      </c>
      <c r="C15693" s="11" t="s">
        <v>17</v>
      </c>
      <c r="D15693" s="11" t="s">
        <v>18</v>
      </c>
      <c r="E15693" s="12" t="s">
        <v>1460</v>
      </c>
      <c r="F15693" s="12" t="s">
        <v>1461</v>
      </c>
      <c r="G15693" s="12" t="s">
        <v>46</v>
      </c>
      <c r="H15693" s="11" t="s">
        <v>63</v>
      </c>
      <c r="I15693" s="13" t="s">
        <v>30974</v>
      </c>
      <c r="J15693" s="14" t="str">
        <f>HYPERLINK("https://www.boe.es/gazeta/dias/1839/03/01/pdfs/GMD-1839-1567.pdf#page=3","Abrir facsímil")</f>
        <v>Abrir facsímil</v>
      </c>
      <c r="K15693" s="12" t="s">
        <v>65</v>
      </c>
    </row>
    <row r="15694" spans="1:11" ht="40.049999999999997" customHeight="1" x14ac:dyDescent="0.25">
      <c r="A15694" s="11" t="s">
        <v>30975</v>
      </c>
      <c r="B15694" s="11" t="s">
        <v>30976</v>
      </c>
      <c r="C15694" s="11" t="s">
        <v>59</v>
      </c>
      <c r="D15694" s="11" t="s">
        <v>60</v>
      </c>
      <c r="E15694" s="12" t="s">
        <v>202</v>
      </c>
      <c r="F15694" s="12" t="s">
        <v>203</v>
      </c>
      <c r="G15694" s="12" t="s">
        <v>46</v>
      </c>
      <c r="H15694" s="11" t="s">
        <v>63</v>
      </c>
      <c r="I15694" s="13" t="s">
        <v>30977</v>
      </c>
      <c r="J15694" s="14" t="str">
        <f>HYPERLINK("https://www.boe.es/gazeta/dias/1839/04/05/pdfs/GMD-1839-1602.pdf#page=3","Abrir facsímil")</f>
        <v>Abrir facsímil</v>
      </c>
      <c r="K15694" s="12" t="s">
        <v>65</v>
      </c>
    </row>
    <row r="15695" spans="1:11" ht="40.049999999999997" customHeight="1" x14ac:dyDescent="0.25">
      <c r="A15695" s="11" t="s">
        <v>30978</v>
      </c>
      <c r="B15695" s="11" t="s">
        <v>30979</v>
      </c>
      <c r="C15695" s="11" t="s">
        <v>137</v>
      </c>
      <c r="D15695" s="11" t="s">
        <v>18</v>
      </c>
      <c r="E15695" s="12" t="s">
        <v>2440</v>
      </c>
      <c r="F15695" s="12" t="s">
        <v>2441</v>
      </c>
      <c r="G15695" s="12" t="s">
        <v>21</v>
      </c>
      <c r="H15695" s="11" t="s">
        <v>63</v>
      </c>
      <c r="I15695" s="13" t="s">
        <v>30980</v>
      </c>
      <c r="J15695" s="14" t="str">
        <f>HYPERLINK("https://www.boe.es/gazeta/dias/1839/12/01/pdfs/GMD-1839-1848.pdf#page=4","Abrir facsímil")</f>
        <v>Abrir facsímil</v>
      </c>
      <c r="K15695" s="12" t="s">
        <v>65</v>
      </c>
    </row>
    <row r="15696" spans="1:11" ht="40.049999999999997" customHeight="1" x14ac:dyDescent="0.25">
      <c r="A15696" s="11" t="s">
        <v>30981</v>
      </c>
      <c r="B15696" s="11" t="s">
        <v>30982</v>
      </c>
      <c r="C15696" s="11" t="s">
        <v>137</v>
      </c>
      <c r="D15696" s="11" t="s">
        <v>18</v>
      </c>
      <c r="E15696" s="12" t="s">
        <v>4186</v>
      </c>
      <c r="F15696" s="12" t="s">
        <v>4187</v>
      </c>
      <c r="G15696" s="12" t="s">
        <v>21</v>
      </c>
      <c r="H15696" s="11" t="s">
        <v>63</v>
      </c>
      <c r="I15696" s="13" t="s">
        <v>30983</v>
      </c>
      <c r="J15696" s="14" t="str">
        <f>HYPERLINK("https://www.boe.es/gazeta/dias/1839/12/12/pdfs/GMD-1839-1859.pdf#page=4","Abrir facsímil")</f>
        <v>Abrir facsímil</v>
      </c>
      <c r="K15696" s="12" t="s">
        <v>65</v>
      </c>
    </row>
    <row r="15697" spans="1:11" ht="40.049999999999997" customHeight="1" x14ac:dyDescent="0.25">
      <c r="A15697" s="11" t="s">
        <v>30984</v>
      </c>
      <c r="B15697" s="11" t="s">
        <v>30985</v>
      </c>
      <c r="C15697" s="11" t="s">
        <v>101</v>
      </c>
      <c r="D15697" s="11" t="s">
        <v>43</v>
      </c>
      <c r="E15697" s="12" t="s">
        <v>336</v>
      </c>
      <c r="F15697" s="12" t="s">
        <v>337</v>
      </c>
      <c r="G15697" s="12" t="s">
        <v>21</v>
      </c>
      <c r="H15697" s="11" t="s">
        <v>63</v>
      </c>
      <c r="I15697" s="13" t="s">
        <v>30986</v>
      </c>
      <c r="J15697" s="14" t="str">
        <f>HYPERLINK("https://www.boe.es/gazeta/dias/1839/07/14/pdfs/GMD-1839-1702.pdf#page=4","Abrir facsímil")</f>
        <v>Abrir facsímil</v>
      </c>
      <c r="K15697" s="12" t="s">
        <v>65</v>
      </c>
    </row>
    <row r="15698" spans="1:11" ht="40.049999999999997" customHeight="1" x14ac:dyDescent="0.25">
      <c r="A15698" s="11" t="s">
        <v>30987</v>
      </c>
      <c r="B15698" s="11" t="s">
        <v>30988</v>
      </c>
      <c r="C15698" s="11" t="s">
        <v>137</v>
      </c>
      <c r="D15698" s="11" t="s">
        <v>18</v>
      </c>
      <c r="E15698" s="12" t="s">
        <v>49</v>
      </c>
      <c r="F15698" s="12" t="s">
        <v>50</v>
      </c>
      <c r="G15698" s="12" t="s">
        <v>40</v>
      </c>
      <c r="H15698" s="11" t="s">
        <v>63</v>
      </c>
      <c r="I15698" s="13" t="s">
        <v>30989</v>
      </c>
      <c r="J15698" s="14" t="str">
        <f>HYPERLINK("https://www.boe.es/gazeta/dias/1839/01/05/pdfs/GMD-1839-1512.pdf#page=2","Abrir facsímil")</f>
        <v>Abrir facsímil</v>
      </c>
      <c r="K15698" s="12" t="s">
        <v>65</v>
      </c>
    </row>
    <row r="15699" spans="1:11" ht="40.049999999999997" customHeight="1" x14ac:dyDescent="0.25">
      <c r="A15699" s="11" t="s">
        <v>30990</v>
      </c>
      <c r="B15699" s="11" t="s">
        <v>30991</v>
      </c>
      <c r="C15699" s="11" t="s">
        <v>17</v>
      </c>
      <c r="D15699" s="11" t="s">
        <v>18</v>
      </c>
      <c r="E15699" s="12" t="s">
        <v>1079</v>
      </c>
      <c r="F15699" s="12" t="s">
        <v>1080</v>
      </c>
      <c r="G15699" s="12" t="s">
        <v>46</v>
      </c>
      <c r="H15699" s="11" t="s">
        <v>63</v>
      </c>
      <c r="I15699" s="13" t="s">
        <v>30992</v>
      </c>
      <c r="J15699" s="14" t="str">
        <f>HYPERLINK("https://www.boe.es/gazeta/dias/1839/05/24/pdfs/GMD-1839-1651.pdf#page=3","Abrir facsímil")</f>
        <v>Abrir facsímil</v>
      </c>
      <c r="K15699" s="12" t="s">
        <v>65</v>
      </c>
    </row>
    <row r="15700" spans="1:11" ht="40.049999999999997" customHeight="1" x14ac:dyDescent="0.25">
      <c r="A15700" s="11" t="s">
        <v>30993</v>
      </c>
      <c r="B15700" s="11" t="s">
        <v>30994</v>
      </c>
      <c r="C15700" s="11" t="s">
        <v>101</v>
      </c>
      <c r="D15700" s="11" t="s">
        <v>43</v>
      </c>
      <c r="E15700" s="12" t="s">
        <v>1086</v>
      </c>
      <c r="F15700" s="12" t="s">
        <v>1087</v>
      </c>
      <c r="G15700" s="12" t="s">
        <v>21</v>
      </c>
      <c r="H15700" s="11" t="s">
        <v>63</v>
      </c>
      <c r="I15700" s="13" t="s">
        <v>30995</v>
      </c>
      <c r="J15700" s="14" t="str">
        <f>HYPERLINK("https://www.boe.es/gazeta/dias/1839/10/26/pdfs/GMD-1839-1812.pdf#page=4","Abrir facsímil")</f>
        <v>Abrir facsímil</v>
      </c>
      <c r="K15700" s="12" t="s">
        <v>65</v>
      </c>
    </row>
    <row r="15701" spans="1:11" ht="40.049999999999997" customHeight="1" x14ac:dyDescent="0.25">
      <c r="A15701" s="11" t="s">
        <v>30996</v>
      </c>
      <c r="B15701" s="11" t="s">
        <v>30997</v>
      </c>
      <c r="C15701" s="11" t="s">
        <v>59</v>
      </c>
      <c r="D15701" s="11" t="s">
        <v>60</v>
      </c>
      <c r="E15701" s="12" t="s">
        <v>1019</v>
      </c>
      <c r="F15701" s="12" t="s">
        <v>1020</v>
      </c>
      <c r="G15701" s="12" t="s">
        <v>40</v>
      </c>
      <c r="H15701" s="11" t="s">
        <v>63</v>
      </c>
      <c r="I15701" s="13" t="s">
        <v>30998</v>
      </c>
      <c r="J15701" s="14" t="str">
        <f>HYPERLINK("https://www.boe.es/gazeta/dias/1839/07/15/pdfs/GMD-1839-1703.pdf#page=2","Abrir facsímil")</f>
        <v>Abrir facsímil</v>
      </c>
      <c r="K15701" s="12" t="s">
        <v>65</v>
      </c>
    </row>
    <row r="15702" spans="1:11" ht="40.049999999999997" customHeight="1" x14ac:dyDescent="0.25">
      <c r="A15702" s="11" t="s">
        <v>30999</v>
      </c>
      <c r="B15702" s="11" t="s">
        <v>31000</v>
      </c>
      <c r="C15702" s="11" t="s">
        <v>59</v>
      </c>
      <c r="D15702" s="11" t="s">
        <v>60</v>
      </c>
      <c r="E15702" s="12" t="s">
        <v>2449</v>
      </c>
      <c r="F15702" s="12" t="s">
        <v>2450</v>
      </c>
      <c r="G15702" s="12" t="s">
        <v>29</v>
      </c>
      <c r="H15702" s="11" t="s">
        <v>63</v>
      </c>
      <c r="I15702" s="13" t="s">
        <v>31001</v>
      </c>
      <c r="J15702" s="14" t="str">
        <f>HYPERLINK("https://www.boe.es/gazeta/dias/1839/12/11/pdfs/GMD-1839-1858.pdf#page=1","Abrir facsímil")</f>
        <v>Abrir facsímil</v>
      </c>
      <c r="K15702" s="12" t="s">
        <v>65</v>
      </c>
    </row>
    <row r="15703" spans="1:11" ht="40.049999999999997" customHeight="1" x14ac:dyDescent="0.25">
      <c r="A15703" s="11" t="s">
        <v>31002</v>
      </c>
      <c r="B15703" s="11" t="s">
        <v>31003</v>
      </c>
      <c r="C15703" s="11" t="s">
        <v>17</v>
      </c>
      <c r="D15703" s="11" t="s">
        <v>18</v>
      </c>
      <c r="E15703" s="12" t="s">
        <v>1123</v>
      </c>
      <c r="F15703" s="12" t="s">
        <v>1124</v>
      </c>
      <c r="G15703" s="12" t="s">
        <v>40</v>
      </c>
      <c r="H15703" s="11" t="s">
        <v>63</v>
      </c>
      <c r="I15703" s="13" t="s">
        <v>31004</v>
      </c>
      <c r="J15703" s="14" t="str">
        <f>HYPERLINK("https://www.boe.es/gazeta/dias/1839/08/10/pdfs/GMD-1839-1730.pdf#page=2","Abrir facsímil")</f>
        <v>Abrir facsímil</v>
      </c>
      <c r="K15703" s="12" t="s">
        <v>65</v>
      </c>
    </row>
    <row r="15704" spans="1:11" ht="40.049999999999997" customHeight="1" x14ac:dyDescent="0.25">
      <c r="A15704" s="11" t="s">
        <v>31005</v>
      </c>
      <c r="B15704" s="11" t="s">
        <v>31006</v>
      </c>
      <c r="C15704" s="11" t="s">
        <v>137</v>
      </c>
      <c r="D15704" s="11" t="s">
        <v>18</v>
      </c>
      <c r="E15704" s="12" t="s">
        <v>2021</v>
      </c>
      <c r="F15704" s="12" t="s">
        <v>2022</v>
      </c>
      <c r="G15704" s="12" t="s">
        <v>21</v>
      </c>
      <c r="H15704" s="11" t="s">
        <v>63</v>
      </c>
      <c r="I15704" s="13" t="s">
        <v>31007</v>
      </c>
      <c r="J15704" s="14" t="str">
        <f>HYPERLINK("https://www.boe.es/gazeta/dias/1839/02/17/pdfs/GMD-1839-1555.pdf#page=4","Abrir facsímil")</f>
        <v>Abrir facsímil</v>
      </c>
      <c r="K15704" s="12" t="s">
        <v>65</v>
      </c>
    </row>
    <row r="15705" spans="1:11" ht="40.049999999999997" customHeight="1" x14ac:dyDescent="0.25">
      <c r="A15705" s="11" t="s">
        <v>31008</v>
      </c>
      <c r="B15705" s="11" t="s">
        <v>31009</v>
      </c>
      <c r="C15705" s="11" t="s">
        <v>101</v>
      </c>
      <c r="D15705" s="11" t="s">
        <v>43</v>
      </c>
      <c r="E15705" s="12" t="s">
        <v>462</v>
      </c>
      <c r="F15705" s="12" t="s">
        <v>463</v>
      </c>
      <c r="G15705" s="12" t="s">
        <v>46</v>
      </c>
      <c r="H15705" s="11" t="s">
        <v>63</v>
      </c>
      <c r="I15705" s="13" t="s">
        <v>31010</v>
      </c>
      <c r="J15705" s="14" t="str">
        <f>HYPERLINK("https://www.boe.es/gazeta/dias/1839/06/19/pdfs/GMD-1839-1677.pdf#page=3","Abrir facsímil")</f>
        <v>Abrir facsímil</v>
      </c>
      <c r="K15705" s="12" t="s">
        <v>65</v>
      </c>
    </row>
    <row r="15706" spans="1:11" ht="40.049999999999997" customHeight="1" x14ac:dyDescent="0.25">
      <c r="A15706" s="11" t="s">
        <v>31011</v>
      </c>
      <c r="B15706" s="11" t="s">
        <v>31012</v>
      </c>
      <c r="C15706" s="11" t="s">
        <v>80</v>
      </c>
      <c r="D15706" s="11" t="s">
        <v>18</v>
      </c>
      <c r="E15706" s="12" t="s">
        <v>5845</v>
      </c>
      <c r="F15706" s="12" t="s">
        <v>5846</v>
      </c>
      <c r="G15706" s="12" t="s">
        <v>29</v>
      </c>
      <c r="H15706" s="11" t="s">
        <v>63</v>
      </c>
      <c r="I15706" s="13" t="s">
        <v>31013</v>
      </c>
      <c r="J15706" s="14" t="str">
        <f>HYPERLINK("https://www.boe.es/gazeta/dias/1839/04/01/pdfs/GMD-1839-1598.pdf#page=1","Abrir facsímil")</f>
        <v>Abrir facsímil</v>
      </c>
      <c r="K15706" s="12" t="s">
        <v>65</v>
      </c>
    </row>
    <row r="15707" spans="1:11" ht="40.049999999999997" customHeight="1" x14ac:dyDescent="0.25">
      <c r="A15707" s="11" t="s">
        <v>31014</v>
      </c>
      <c r="B15707" s="11" t="s">
        <v>31015</v>
      </c>
      <c r="C15707" s="11" t="s">
        <v>17</v>
      </c>
      <c r="D15707" s="11" t="s">
        <v>18</v>
      </c>
      <c r="E15707" s="12" t="s">
        <v>3391</v>
      </c>
      <c r="F15707" s="12" t="s">
        <v>3392</v>
      </c>
      <c r="G15707" s="12" t="s">
        <v>21</v>
      </c>
      <c r="H15707" s="11" t="s">
        <v>63</v>
      </c>
      <c r="I15707" s="13" t="s">
        <v>31016</v>
      </c>
      <c r="J15707" s="14" t="str">
        <f>HYPERLINK("https://www.boe.es/gazeta/dias/1839/12/31/pdfs/GMD-1839-1878.pdf#page=4","Abrir facsímil")</f>
        <v>Abrir facsímil</v>
      </c>
      <c r="K15707" s="12" t="s">
        <v>65</v>
      </c>
    </row>
    <row r="15708" spans="1:11" ht="40.049999999999997" customHeight="1" x14ac:dyDescent="0.25">
      <c r="A15708" s="11" t="s">
        <v>31017</v>
      </c>
      <c r="B15708" s="11" t="s">
        <v>31018</v>
      </c>
      <c r="C15708" s="11" t="s">
        <v>80</v>
      </c>
      <c r="D15708" s="11" t="s">
        <v>18</v>
      </c>
      <c r="E15708" s="12" t="s">
        <v>1123</v>
      </c>
      <c r="F15708" s="12" t="s">
        <v>1124</v>
      </c>
      <c r="G15708" s="12" t="s">
        <v>21</v>
      </c>
      <c r="H15708" s="11" t="s">
        <v>63</v>
      </c>
      <c r="I15708" s="13" t="s">
        <v>31019</v>
      </c>
      <c r="J15708" s="14" t="str">
        <f>HYPERLINK("https://www.boe.es/gazeta/dias/1839/08/10/pdfs/GMD-1839-1730.pdf#page=4","Abrir facsímil")</f>
        <v>Abrir facsímil</v>
      </c>
      <c r="K15708" s="12" t="s">
        <v>65</v>
      </c>
    </row>
    <row r="15709" spans="1:11" ht="40.049999999999997" customHeight="1" x14ac:dyDescent="0.25">
      <c r="A15709" s="11" t="s">
        <v>31020</v>
      </c>
      <c r="B15709" s="11" t="s">
        <v>31021</v>
      </c>
      <c r="C15709" s="11" t="s">
        <v>59</v>
      </c>
      <c r="D15709" s="11" t="s">
        <v>60</v>
      </c>
      <c r="E15709" s="12" t="s">
        <v>19</v>
      </c>
      <c r="F15709" s="12" t="s">
        <v>20</v>
      </c>
      <c r="G15709" s="12" t="s">
        <v>29</v>
      </c>
      <c r="H15709" s="11" t="s">
        <v>63</v>
      </c>
      <c r="I15709" s="13" t="s">
        <v>31022</v>
      </c>
      <c r="J15709" s="14" t="str">
        <f>HYPERLINK("https://www.boe.es/gazeta/dias/1839/01/19/pdfs/GMD-1839-1526.pdf#page=1","Abrir facsímil")</f>
        <v>Abrir facsímil</v>
      </c>
      <c r="K15709" s="12" t="s">
        <v>65</v>
      </c>
    </row>
    <row r="15710" spans="1:11" ht="40.049999999999997" customHeight="1" x14ac:dyDescent="0.25">
      <c r="A15710" s="11" t="s">
        <v>31023</v>
      </c>
      <c r="B15710" s="11" t="s">
        <v>31024</v>
      </c>
      <c r="C15710" s="11" t="s">
        <v>17</v>
      </c>
      <c r="D15710" s="11" t="s">
        <v>18</v>
      </c>
      <c r="E15710" s="12" t="s">
        <v>2021</v>
      </c>
      <c r="F15710" s="12" t="s">
        <v>2022</v>
      </c>
      <c r="G15710" s="12" t="s">
        <v>21</v>
      </c>
      <c r="H15710" s="11" t="s">
        <v>63</v>
      </c>
      <c r="I15710" s="13" t="s">
        <v>31025</v>
      </c>
      <c r="J15710" s="14" t="str">
        <f>HYPERLINK("https://www.boe.es/gazeta/dias/1839/02/17/pdfs/GMD-1839-1555.pdf#page=4","Abrir facsímil")</f>
        <v>Abrir facsímil</v>
      </c>
      <c r="K15710" s="12" t="s">
        <v>65</v>
      </c>
    </row>
    <row r="15711" spans="1:11" ht="40.049999999999997" customHeight="1" x14ac:dyDescent="0.25">
      <c r="A15711" s="11" t="s">
        <v>31026</v>
      </c>
      <c r="B15711" s="11" t="s">
        <v>31027</v>
      </c>
      <c r="C15711" s="11" t="s">
        <v>17</v>
      </c>
      <c r="D15711" s="11" t="s">
        <v>18</v>
      </c>
      <c r="E15711" s="12" t="s">
        <v>1340</v>
      </c>
      <c r="F15711" s="12" t="s">
        <v>1341</v>
      </c>
      <c r="G15711" s="12" t="s">
        <v>40</v>
      </c>
      <c r="H15711" s="11" t="s">
        <v>63</v>
      </c>
      <c r="I15711" s="13" t="s">
        <v>31028</v>
      </c>
      <c r="J15711" s="14" t="str">
        <f>HYPERLINK("https://www.boe.es/gazeta/dias/1839/05/05/pdfs/GMD-1839-1632.pdf#page=2","Abrir facsímil")</f>
        <v>Abrir facsímil</v>
      </c>
      <c r="K15711" s="12" t="s">
        <v>65</v>
      </c>
    </row>
    <row r="15712" spans="1:11" ht="40.049999999999997" customHeight="1" x14ac:dyDescent="0.25">
      <c r="A15712" s="11" t="s">
        <v>31029</v>
      </c>
      <c r="B15712" s="11" t="s">
        <v>31030</v>
      </c>
      <c r="C15712" s="11" t="s">
        <v>137</v>
      </c>
      <c r="D15712" s="11" t="s">
        <v>18</v>
      </c>
      <c r="E15712" s="12" t="s">
        <v>2440</v>
      </c>
      <c r="F15712" s="12" t="s">
        <v>2441</v>
      </c>
      <c r="G15712" s="12" t="s">
        <v>21</v>
      </c>
      <c r="H15712" s="11" t="s">
        <v>63</v>
      </c>
      <c r="I15712" s="13" t="s">
        <v>31031</v>
      </c>
      <c r="J15712" s="14" t="str">
        <f>HYPERLINK("https://www.boe.es/gazeta/dias/1839/12/01/pdfs/GMD-1839-1848.pdf#page=4","Abrir facsímil")</f>
        <v>Abrir facsímil</v>
      </c>
      <c r="K15712" s="12" t="s">
        <v>65</v>
      </c>
    </row>
    <row r="15713" spans="1:11" ht="40.049999999999997" customHeight="1" x14ac:dyDescent="0.25">
      <c r="A15713" s="11" t="s">
        <v>31032</v>
      </c>
      <c r="B15713" s="11" t="s">
        <v>31033</v>
      </c>
      <c r="C15713" s="11" t="s">
        <v>80</v>
      </c>
      <c r="D15713" s="11" t="s">
        <v>18</v>
      </c>
      <c r="E15713" s="12" t="s">
        <v>3601</v>
      </c>
      <c r="F15713" s="12" t="s">
        <v>3602</v>
      </c>
      <c r="G15713" s="12" t="s">
        <v>29</v>
      </c>
      <c r="H15713" s="11" t="s">
        <v>63</v>
      </c>
      <c r="I15713" s="13" t="s">
        <v>31034</v>
      </c>
      <c r="J15713" s="14" t="str">
        <f>HYPERLINK("https://www.boe.es/gazeta/dias/1839/03/21/pdfs/GMD-1839-1587.pdf#page=1","Abrir facsímil")</f>
        <v>Abrir facsímil</v>
      </c>
      <c r="K15713" s="12" t="s">
        <v>65</v>
      </c>
    </row>
    <row r="15714" spans="1:11" ht="40.049999999999997" customHeight="1" x14ac:dyDescent="0.25">
      <c r="A15714" s="11" t="s">
        <v>31035</v>
      </c>
      <c r="B15714" s="11" t="s">
        <v>31036</v>
      </c>
      <c r="C15714" s="11" t="s">
        <v>17</v>
      </c>
      <c r="D15714" s="11" t="s">
        <v>18</v>
      </c>
      <c r="E15714" s="12" t="s">
        <v>1460</v>
      </c>
      <c r="F15714" s="12" t="s">
        <v>1461</v>
      </c>
      <c r="G15714" s="12" t="s">
        <v>46</v>
      </c>
      <c r="H15714" s="11" t="s">
        <v>63</v>
      </c>
      <c r="I15714" s="13" t="s">
        <v>31037</v>
      </c>
      <c r="J15714" s="14" t="str">
        <f>HYPERLINK("https://www.boe.es/gazeta/dias/1839/03/01/pdfs/GMD-1839-1567.pdf#page=3","Abrir facsímil")</f>
        <v>Abrir facsímil</v>
      </c>
      <c r="K15714" s="12" t="s">
        <v>65</v>
      </c>
    </row>
    <row r="15715" spans="1:11" ht="40.049999999999997" customHeight="1" x14ac:dyDescent="0.25">
      <c r="A15715" s="11" t="s">
        <v>31038</v>
      </c>
      <c r="B15715" s="11" t="s">
        <v>31039</v>
      </c>
      <c r="C15715" s="11" t="s">
        <v>17</v>
      </c>
      <c r="D15715" s="11" t="s">
        <v>18</v>
      </c>
      <c r="E15715" s="12" t="s">
        <v>984</v>
      </c>
      <c r="F15715" s="12" t="s">
        <v>985</v>
      </c>
      <c r="G15715" s="12" t="s">
        <v>29</v>
      </c>
      <c r="H15715" s="11" t="s">
        <v>63</v>
      </c>
      <c r="I15715" s="13" t="s">
        <v>31040</v>
      </c>
      <c r="J15715" s="14" t="str">
        <f>HYPERLINK("https://www.boe.es/gazeta/dias/1839/04/10/pdfs/GMD-1839-1607.pdf#page=1","Abrir facsímil")</f>
        <v>Abrir facsímil</v>
      </c>
      <c r="K15715" s="12" t="s">
        <v>65</v>
      </c>
    </row>
    <row r="15716" spans="1:11" ht="40.049999999999997" customHeight="1" x14ac:dyDescent="0.25">
      <c r="A15716" s="11" t="s">
        <v>31041</v>
      </c>
      <c r="B15716" s="11" t="s">
        <v>31042</v>
      </c>
      <c r="C15716" s="11" t="s">
        <v>17</v>
      </c>
      <c r="D15716" s="11" t="s">
        <v>18</v>
      </c>
      <c r="E15716" s="12" t="s">
        <v>2205</v>
      </c>
      <c r="F15716" s="12" t="s">
        <v>2206</v>
      </c>
      <c r="G15716" s="12" t="s">
        <v>46</v>
      </c>
      <c r="H15716" s="11" t="s">
        <v>63</v>
      </c>
      <c r="I15716" s="13" t="s">
        <v>31043</v>
      </c>
      <c r="J15716" s="14" t="str">
        <f>HYPERLINK("https://www.boe.es/gazeta/dias/1839/07/11/pdfs/GMD-1839-1699.pdf#page=3","Abrir facsímil")</f>
        <v>Abrir facsímil</v>
      </c>
      <c r="K15716" s="12" t="s">
        <v>65</v>
      </c>
    </row>
    <row r="15717" spans="1:11" ht="40.049999999999997" customHeight="1" x14ac:dyDescent="0.25">
      <c r="A15717" s="11" t="s">
        <v>31044</v>
      </c>
      <c r="B15717" s="11" t="s">
        <v>31045</v>
      </c>
      <c r="C15717" s="11" t="s">
        <v>17</v>
      </c>
      <c r="D15717" s="11" t="s">
        <v>18</v>
      </c>
      <c r="E15717" s="12" t="s">
        <v>111</v>
      </c>
      <c r="F15717" s="12" t="s">
        <v>112</v>
      </c>
      <c r="G15717" s="12" t="s">
        <v>21</v>
      </c>
      <c r="H15717" s="11" t="s">
        <v>63</v>
      </c>
      <c r="I15717" s="13" t="s">
        <v>31046</v>
      </c>
      <c r="J15717" s="14" t="str">
        <f>HYPERLINK("https://www.boe.es/gazeta/dias/1839/07/25/pdfs/GMD-1839-1714.pdf#page=4","Abrir facsímil")</f>
        <v>Abrir facsímil</v>
      </c>
      <c r="K15717" s="12" t="s">
        <v>65</v>
      </c>
    </row>
    <row r="15718" spans="1:11" ht="40.049999999999997" customHeight="1" x14ac:dyDescent="0.25">
      <c r="A15718" s="11" t="s">
        <v>31047</v>
      </c>
      <c r="B15718" s="11" t="s">
        <v>31048</v>
      </c>
      <c r="C15718" s="11" t="s">
        <v>17</v>
      </c>
      <c r="D15718" s="11" t="s">
        <v>18</v>
      </c>
      <c r="E15718" s="12" t="s">
        <v>2449</v>
      </c>
      <c r="F15718" s="12" t="s">
        <v>2450</v>
      </c>
      <c r="G15718" s="12" t="s">
        <v>40</v>
      </c>
      <c r="H15718" s="11" t="s">
        <v>63</v>
      </c>
      <c r="I15718" s="13" t="s">
        <v>31049</v>
      </c>
      <c r="J15718" s="14" t="str">
        <f>HYPERLINK("https://www.boe.es/gazeta/dias/1839/12/11/pdfs/GMD-1839-1858.pdf#page=2","Abrir facsímil")</f>
        <v>Abrir facsímil</v>
      </c>
      <c r="K15718" s="12" t="s">
        <v>65</v>
      </c>
    </row>
    <row r="15719" spans="1:11" ht="40.049999999999997" customHeight="1" x14ac:dyDescent="0.25">
      <c r="A15719" s="11" t="s">
        <v>31050</v>
      </c>
      <c r="B15719" s="11" t="s">
        <v>31051</v>
      </c>
      <c r="C15719" s="11" t="s">
        <v>80</v>
      </c>
      <c r="D15719" s="11" t="s">
        <v>18</v>
      </c>
      <c r="E15719" s="12" t="s">
        <v>826</v>
      </c>
      <c r="F15719" s="12" t="s">
        <v>827</v>
      </c>
      <c r="G15719" s="12" t="s">
        <v>21</v>
      </c>
      <c r="H15719" s="11" t="s">
        <v>63</v>
      </c>
      <c r="I15719" s="13" t="s">
        <v>31052</v>
      </c>
      <c r="J15719" s="14" t="str">
        <f>HYPERLINK("https://www.boe.es/gazeta/dias/1839/09/25/pdfs/GMD-1839-1781.pdf#page=4","Abrir facsímil")</f>
        <v>Abrir facsímil</v>
      </c>
      <c r="K15719" s="12" t="s">
        <v>65</v>
      </c>
    </row>
    <row r="15720" spans="1:11" ht="40.049999999999997" customHeight="1" x14ac:dyDescent="0.25">
      <c r="A15720" s="11" t="s">
        <v>31053</v>
      </c>
      <c r="B15720" s="11" t="s">
        <v>31054</v>
      </c>
      <c r="C15720" s="11" t="s">
        <v>17</v>
      </c>
      <c r="D15720" s="11" t="s">
        <v>18</v>
      </c>
      <c r="E15720" s="12" t="s">
        <v>1183</v>
      </c>
      <c r="F15720" s="12" t="s">
        <v>1184</v>
      </c>
      <c r="G15720" s="12" t="s">
        <v>21</v>
      </c>
      <c r="H15720" s="11" t="s">
        <v>63</v>
      </c>
      <c r="I15720" s="13" t="s">
        <v>31055</v>
      </c>
      <c r="J15720" s="14" t="str">
        <f>HYPERLINK("https://www.boe.es/gazeta/dias/1839/07/26/pdfs/GMD-1839-1715.pdf#page=4","Abrir facsímil")</f>
        <v>Abrir facsímil</v>
      </c>
      <c r="K15720" s="12" t="s">
        <v>65</v>
      </c>
    </row>
    <row r="15721" spans="1:11" ht="40.049999999999997" customHeight="1" x14ac:dyDescent="0.25">
      <c r="A15721" s="11" t="s">
        <v>31056</v>
      </c>
      <c r="B15721" s="11" t="s">
        <v>31057</v>
      </c>
      <c r="C15721" s="11" t="s">
        <v>101</v>
      </c>
      <c r="D15721" s="11" t="s">
        <v>102</v>
      </c>
      <c r="E15721" s="12" t="s">
        <v>5806</v>
      </c>
      <c r="F15721" s="12" t="s">
        <v>5807</v>
      </c>
      <c r="G15721" s="12" t="s">
        <v>29</v>
      </c>
      <c r="H15721" s="11" t="s">
        <v>63</v>
      </c>
      <c r="I15721" s="13" t="s">
        <v>31058</v>
      </c>
      <c r="J15721" s="14" t="str">
        <f>HYPERLINK("https://www.boe.es/gazeta/dias/1839/02/16/pdfs/GMD-1839-1554.pdf#page=1","Abrir facsímil")</f>
        <v>Abrir facsímil</v>
      </c>
      <c r="K15721" s="12" t="s">
        <v>65</v>
      </c>
    </row>
    <row r="15722" spans="1:11" ht="40.049999999999997" customHeight="1" x14ac:dyDescent="0.25">
      <c r="A15722" s="11" t="s">
        <v>31059</v>
      </c>
      <c r="B15722" s="11" t="s">
        <v>31060</v>
      </c>
      <c r="C15722" s="11" t="s">
        <v>17</v>
      </c>
      <c r="D15722" s="11" t="s">
        <v>18</v>
      </c>
      <c r="E15722" s="12" t="s">
        <v>1027</v>
      </c>
      <c r="F15722" s="12" t="s">
        <v>1028</v>
      </c>
      <c r="G15722" s="12" t="s">
        <v>21</v>
      </c>
      <c r="H15722" s="11" t="s">
        <v>63</v>
      </c>
      <c r="I15722" s="13" t="s">
        <v>31061</v>
      </c>
      <c r="J15722" s="14" t="str">
        <f>HYPERLINK("https://www.boe.es/gazeta/dias/1839/08/16/pdfs/GMD-1839-1736.pdf#page=4","Abrir facsímil")</f>
        <v>Abrir facsímil</v>
      </c>
      <c r="K15722" s="12" t="s">
        <v>65</v>
      </c>
    </row>
    <row r="15723" spans="1:11" ht="40.049999999999997" customHeight="1" x14ac:dyDescent="0.25">
      <c r="A15723" s="11" t="s">
        <v>31062</v>
      </c>
      <c r="B15723" s="11" t="s">
        <v>31063</v>
      </c>
      <c r="C15723" s="11" t="s">
        <v>17</v>
      </c>
      <c r="D15723" s="11" t="s">
        <v>18</v>
      </c>
      <c r="E15723" s="12" t="s">
        <v>785</v>
      </c>
      <c r="F15723" s="12" t="s">
        <v>786</v>
      </c>
      <c r="G15723" s="12" t="s">
        <v>40</v>
      </c>
      <c r="H15723" s="11" t="s">
        <v>63</v>
      </c>
      <c r="I15723" s="13" t="s">
        <v>31064</v>
      </c>
      <c r="J15723" s="14" t="str">
        <f>HYPERLINK("https://www.boe.es/gazeta/dias/1839/07/13/pdfs/GMD-1839-1701.pdf#page=2","Abrir facsímil")</f>
        <v>Abrir facsímil</v>
      </c>
      <c r="K15723" s="12" t="s">
        <v>65</v>
      </c>
    </row>
    <row r="15724" spans="1:11" ht="40.049999999999997" customHeight="1" x14ac:dyDescent="0.25">
      <c r="A15724" s="11" t="s">
        <v>31065</v>
      </c>
      <c r="B15724" s="11" t="s">
        <v>31066</v>
      </c>
      <c r="C15724" s="11" t="s">
        <v>80</v>
      </c>
      <c r="D15724" s="11" t="s">
        <v>18</v>
      </c>
      <c r="E15724" s="12" t="s">
        <v>246</v>
      </c>
      <c r="F15724" s="12" t="s">
        <v>247</v>
      </c>
      <c r="G15724" s="12" t="s">
        <v>46</v>
      </c>
      <c r="H15724" s="11" t="s">
        <v>63</v>
      </c>
      <c r="I15724" s="13" t="s">
        <v>31067</v>
      </c>
      <c r="J15724" s="14" t="str">
        <f>HYPERLINK("https://www.boe.es/gazeta/dias/1839/11/24/pdfs/GMD-1839-1841.pdf#page=3","Abrir facsímil")</f>
        <v>Abrir facsímil</v>
      </c>
      <c r="K15724" s="12" t="s">
        <v>65</v>
      </c>
    </row>
    <row r="15725" spans="1:11" ht="40.049999999999997" customHeight="1" x14ac:dyDescent="0.25">
      <c r="A15725" s="11" t="s">
        <v>31068</v>
      </c>
      <c r="B15725" s="11" t="s">
        <v>31069</v>
      </c>
      <c r="C15725" s="11" t="s">
        <v>17</v>
      </c>
      <c r="D15725" s="11" t="s">
        <v>18</v>
      </c>
      <c r="E15725" s="12" t="s">
        <v>3224</v>
      </c>
      <c r="F15725" s="12" t="s">
        <v>3225</v>
      </c>
      <c r="G15725" s="12" t="s">
        <v>21</v>
      </c>
      <c r="H15725" s="11" t="s">
        <v>63</v>
      </c>
      <c r="I15725" s="13" t="s">
        <v>31070</v>
      </c>
      <c r="J15725" s="14" t="str">
        <f>HYPERLINK("https://www.boe.es/gazeta/dias/1839/06/03/pdfs/GMD-1839-1661.pdf#page=4","Abrir facsímil")</f>
        <v>Abrir facsímil</v>
      </c>
      <c r="K15725" s="12" t="s">
        <v>65</v>
      </c>
    </row>
    <row r="15726" spans="1:11" ht="40.049999999999997" customHeight="1" x14ac:dyDescent="0.25">
      <c r="A15726" s="11" t="s">
        <v>31071</v>
      </c>
      <c r="B15726" s="11" t="s">
        <v>31072</v>
      </c>
      <c r="C15726" s="11" t="s">
        <v>17</v>
      </c>
      <c r="D15726" s="11" t="s">
        <v>18</v>
      </c>
      <c r="E15726" s="12" t="s">
        <v>1725</v>
      </c>
      <c r="F15726" s="12" t="s">
        <v>1726</v>
      </c>
      <c r="G15726" s="12" t="s">
        <v>40</v>
      </c>
      <c r="H15726" s="11" t="s">
        <v>22</v>
      </c>
      <c r="I15726" s="13" t="s">
        <v>31073</v>
      </c>
      <c r="J15726" s="14" t="str">
        <f>HYPERLINK("https://www.boe.es/gazeta/dias/1839/11/17/pdfs/GMD-1839-1834.pdf#page=2","Abrir facsímil")</f>
        <v>Abrir facsímil</v>
      </c>
      <c r="K15726" s="12" t="s">
        <v>24</v>
      </c>
    </row>
    <row r="15727" spans="1:11" ht="40.049999999999997" customHeight="1" x14ac:dyDescent="0.25">
      <c r="A15727" s="11" t="s">
        <v>31074</v>
      </c>
      <c r="B15727" s="11" t="s">
        <v>31075</v>
      </c>
      <c r="C15727" s="11" t="s">
        <v>17</v>
      </c>
      <c r="D15727" s="11" t="s">
        <v>18</v>
      </c>
      <c r="E15727" s="12" t="s">
        <v>355</v>
      </c>
      <c r="F15727" s="12" t="s">
        <v>356</v>
      </c>
      <c r="G15727" s="12" t="s">
        <v>21</v>
      </c>
      <c r="H15727" s="11" t="s">
        <v>63</v>
      </c>
      <c r="I15727" s="13" t="s">
        <v>31076</v>
      </c>
      <c r="J15727" s="14" t="str">
        <f>HYPERLINK("https://www.boe.es/gazeta/dias/1839/05/31/pdfs/GMD-1839-1658.pdf#page=4","Abrir facsímil")</f>
        <v>Abrir facsímil</v>
      </c>
      <c r="K15727" s="12" t="s">
        <v>65</v>
      </c>
    </row>
    <row r="15728" spans="1:11" ht="40.049999999999997" customHeight="1" x14ac:dyDescent="0.25">
      <c r="A15728" s="11" t="s">
        <v>31077</v>
      </c>
      <c r="B15728" s="11" t="s">
        <v>31078</v>
      </c>
      <c r="C15728" s="11" t="s">
        <v>59</v>
      </c>
      <c r="D15728" s="11" t="s">
        <v>60</v>
      </c>
      <c r="E15728" s="12" t="s">
        <v>804</v>
      </c>
      <c r="F15728" s="12" t="s">
        <v>805</v>
      </c>
      <c r="G15728" s="12" t="s">
        <v>29</v>
      </c>
      <c r="H15728" s="11" t="s">
        <v>63</v>
      </c>
      <c r="I15728" s="13" t="s">
        <v>31079</v>
      </c>
      <c r="J15728" s="14" t="str">
        <f>HYPERLINK("https://www.boe.es/gazeta/dias/1839/01/08/pdfs/GMD-1839-1515.pdf#page=1","Abrir facsímil")</f>
        <v>Abrir facsímil</v>
      </c>
      <c r="K15728" s="12" t="s">
        <v>65</v>
      </c>
    </row>
    <row r="15729" spans="1:11" ht="40.049999999999997" customHeight="1" x14ac:dyDescent="0.25">
      <c r="A15729" s="11" t="s">
        <v>31080</v>
      </c>
      <c r="B15729" s="11" t="s">
        <v>31081</v>
      </c>
      <c r="C15729" s="11" t="s">
        <v>17</v>
      </c>
      <c r="D15729" s="11" t="s">
        <v>18</v>
      </c>
      <c r="E15729" s="12" t="s">
        <v>327</v>
      </c>
      <c r="F15729" s="12" t="s">
        <v>328</v>
      </c>
      <c r="G15729" s="12" t="s">
        <v>29</v>
      </c>
      <c r="H15729" s="11" t="s">
        <v>63</v>
      </c>
      <c r="I15729" s="13" t="s">
        <v>31082</v>
      </c>
      <c r="J15729" s="14" t="str">
        <f>HYPERLINK("https://www.boe.es/gazeta/dias/1839/08/05/pdfs/GMD-1839-1725.pdf#page=1","Abrir facsímil")</f>
        <v>Abrir facsímil</v>
      </c>
      <c r="K15729" s="12" t="s">
        <v>65</v>
      </c>
    </row>
    <row r="15730" spans="1:11" ht="40.049999999999997" customHeight="1" x14ac:dyDescent="0.25">
      <c r="A15730" s="11" t="s">
        <v>31083</v>
      </c>
      <c r="B15730" s="11" t="s">
        <v>31084</v>
      </c>
      <c r="C15730" s="11" t="s">
        <v>137</v>
      </c>
      <c r="D15730" s="11" t="s">
        <v>18</v>
      </c>
      <c r="E15730" s="12" t="s">
        <v>1356</v>
      </c>
      <c r="F15730" s="12" t="s">
        <v>1357</v>
      </c>
      <c r="G15730" s="12" t="s">
        <v>21</v>
      </c>
      <c r="H15730" s="11" t="s">
        <v>63</v>
      </c>
      <c r="I15730" s="13" t="s">
        <v>31085</v>
      </c>
      <c r="J15730" s="14" t="str">
        <f>HYPERLINK("https://www.boe.es/gazeta/dias/1839/06/05/pdfs/GMD-1839-1663.pdf#page=4","Abrir facsímil")</f>
        <v>Abrir facsímil</v>
      </c>
      <c r="K15730" s="12" t="s">
        <v>65</v>
      </c>
    </row>
    <row r="15731" spans="1:11" ht="40.049999999999997" customHeight="1" x14ac:dyDescent="0.25">
      <c r="A15731" s="11" t="s">
        <v>31086</v>
      </c>
      <c r="B15731" s="11" t="s">
        <v>31087</v>
      </c>
      <c r="C15731" s="11" t="s">
        <v>59</v>
      </c>
      <c r="D15731" s="11" t="s">
        <v>60</v>
      </c>
      <c r="E15731" s="12" t="s">
        <v>489</v>
      </c>
      <c r="F15731" s="12" t="s">
        <v>490</v>
      </c>
      <c r="G15731" s="12" t="s">
        <v>21</v>
      </c>
      <c r="H15731" s="11" t="s">
        <v>63</v>
      </c>
      <c r="I15731" s="13" t="s">
        <v>31088</v>
      </c>
      <c r="J15731" s="14" t="str">
        <f>HYPERLINK("https://www.boe.es/gazeta/dias/1839/06/29/pdfs/GMD-1839-1687.pdf#page=4","Abrir facsímil")</f>
        <v>Abrir facsímil</v>
      </c>
      <c r="K15731" s="12" t="s">
        <v>65</v>
      </c>
    </row>
    <row r="15732" spans="1:11" ht="40.049999999999997" customHeight="1" x14ac:dyDescent="0.25">
      <c r="A15732" s="11" t="s">
        <v>31089</v>
      </c>
      <c r="B15732" s="11" t="s">
        <v>31090</v>
      </c>
      <c r="C15732" s="11" t="s">
        <v>17</v>
      </c>
      <c r="D15732" s="11" t="s">
        <v>18</v>
      </c>
      <c r="E15732" s="12" t="s">
        <v>992</v>
      </c>
      <c r="F15732" s="12" t="s">
        <v>993</v>
      </c>
      <c r="G15732" s="12" t="s">
        <v>40</v>
      </c>
      <c r="H15732" s="11" t="s">
        <v>63</v>
      </c>
      <c r="I15732" s="13" t="s">
        <v>31091</v>
      </c>
      <c r="J15732" s="14" t="str">
        <f>HYPERLINK("https://www.boe.es/gazeta/dias/1839/02/18/pdfs/GMD-1839-1556.pdf#page=2","Abrir facsímil")</f>
        <v>Abrir facsímil</v>
      </c>
      <c r="K15732" s="12" t="s">
        <v>65</v>
      </c>
    </row>
    <row r="15733" spans="1:11" ht="40.049999999999997" customHeight="1" x14ac:dyDescent="0.25">
      <c r="A15733" s="11" t="s">
        <v>31092</v>
      </c>
      <c r="B15733" s="11" t="s">
        <v>31093</v>
      </c>
      <c r="C15733" s="11" t="s">
        <v>17</v>
      </c>
      <c r="D15733" s="11" t="s">
        <v>18</v>
      </c>
      <c r="E15733" s="12" t="s">
        <v>1614</v>
      </c>
      <c r="F15733" s="12" t="s">
        <v>1615</v>
      </c>
      <c r="G15733" s="12" t="s">
        <v>21</v>
      </c>
      <c r="H15733" s="11" t="s">
        <v>63</v>
      </c>
      <c r="I15733" s="13" t="s">
        <v>31094</v>
      </c>
      <c r="J15733" s="14" t="str">
        <f>HYPERLINK("https://www.boe.es/gazeta/dias/1839/07/03/pdfs/GMD-1839-1691.pdf#page=4","Abrir facsímil")</f>
        <v>Abrir facsímil</v>
      </c>
      <c r="K15733" s="12" t="s">
        <v>65</v>
      </c>
    </row>
    <row r="15734" spans="1:11" ht="40.049999999999997" customHeight="1" x14ac:dyDescent="0.25">
      <c r="A15734" s="11" t="s">
        <v>31095</v>
      </c>
      <c r="B15734" s="11" t="s">
        <v>31096</v>
      </c>
      <c r="C15734" s="11" t="s">
        <v>17</v>
      </c>
      <c r="D15734" s="11" t="s">
        <v>18</v>
      </c>
      <c r="E15734" s="12" t="s">
        <v>38</v>
      </c>
      <c r="F15734" s="12" t="s">
        <v>39</v>
      </c>
      <c r="G15734" s="12" t="s">
        <v>46</v>
      </c>
      <c r="H15734" s="11" t="s">
        <v>63</v>
      </c>
      <c r="I15734" s="13" t="s">
        <v>31097</v>
      </c>
      <c r="J15734" s="14" t="str">
        <f>HYPERLINK("https://www.boe.es/gazeta/dias/1839/08/08/pdfs/GMD-1839-1728.pdf#page=3","Abrir facsímil")</f>
        <v>Abrir facsímil</v>
      </c>
      <c r="K15734" s="12" t="s">
        <v>65</v>
      </c>
    </row>
    <row r="15735" spans="1:11" ht="40.049999999999997" customHeight="1" x14ac:dyDescent="0.25">
      <c r="A15735" s="11" t="s">
        <v>31098</v>
      </c>
      <c r="B15735" s="11" t="s">
        <v>31099</v>
      </c>
      <c r="C15735" s="11" t="s">
        <v>59</v>
      </c>
      <c r="D15735" s="11" t="s">
        <v>60</v>
      </c>
      <c r="E15735" s="12" t="s">
        <v>1391</v>
      </c>
      <c r="F15735" s="12" t="s">
        <v>1392</v>
      </c>
      <c r="G15735" s="12" t="s">
        <v>29</v>
      </c>
      <c r="H15735" s="11" t="s">
        <v>63</v>
      </c>
      <c r="I15735" s="13" t="s">
        <v>31100</v>
      </c>
      <c r="J15735" s="14" t="str">
        <f>HYPERLINK("https://www.boe.es/gazeta/dias/1839/05/12/pdfs/GMD-1839-1639.pdf#page=1","Abrir facsímil")</f>
        <v>Abrir facsímil</v>
      </c>
      <c r="K15735" s="12" t="s">
        <v>65</v>
      </c>
    </row>
    <row r="15736" spans="1:11" ht="40.049999999999997" customHeight="1" x14ac:dyDescent="0.25">
      <c r="A15736" s="11" t="s">
        <v>31101</v>
      </c>
      <c r="B15736" s="11" t="s">
        <v>31102</v>
      </c>
      <c r="C15736" s="11" t="s">
        <v>17</v>
      </c>
      <c r="D15736" s="11" t="s">
        <v>18</v>
      </c>
      <c r="E15736" s="12" t="s">
        <v>299</v>
      </c>
      <c r="F15736" s="12" t="s">
        <v>300</v>
      </c>
      <c r="G15736" s="12" t="s">
        <v>46</v>
      </c>
      <c r="H15736" s="11" t="s">
        <v>22</v>
      </c>
      <c r="I15736" s="13" t="s">
        <v>31103</v>
      </c>
      <c r="J15736" s="14" t="str">
        <f>HYPERLINK("https://www.boe.es/gazeta/dias/1839/02/14/pdfs/GMD-1839-1552.pdf#page=3","Abrir facsímil")</f>
        <v>Abrir facsímil</v>
      </c>
      <c r="K15736" s="12" t="s">
        <v>24</v>
      </c>
    </row>
    <row r="15737" spans="1:11" ht="40.049999999999997" customHeight="1" x14ac:dyDescent="0.25">
      <c r="A15737" s="11" t="s">
        <v>31104</v>
      </c>
      <c r="B15737" s="11" t="s">
        <v>31105</v>
      </c>
      <c r="C15737" s="11" t="s">
        <v>17</v>
      </c>
      <c r="D15737" s="11" t="s">
        <v>18</v>
      </c>
      <c r="E15737" s="12" t="s">
        <v>1867</v>
      </c>
      <c r="F15737" s="12" t="s">
        <v>1868</v>
      </c>
      <c r="G15737" s="12" t="s">
        <v>40</v>
      </c>
      <c r="H15737" s="11" t="s">
        <v>63</v>
      </c>
      <c r="I15737" s="13" t="s">
        <v>31106</v>
      </c>
      <c r="J15737" s="14" t="str">
        <f>HYPERLINK("https://www.boe.es/gazeta/dias/1839/01/30/pdfs/GMD-1839-1537.pdf#page=2","Abrir facsímil")</f>
        <v>Abrir facsímil</v>
      </c>
      <c r="K15737" s="12" t="s">
        <v>65</v>
      </c>
    </row>
    <row r="15738" spans="1:11" ht="40.049999999999997" customHeight="1" x14ac:dyDescent="0.25">
      <c r="A15738" s="11" t="s">
        <v>31107</v>
      </c>
      <c r="B15738" s="11" t="s">
        <v>31108</v>
      </c>
      <c r="C15738" s="11" t="s">
        <v>17</v>
      </c>
      <c r="D15738" s="11" t="s">
        <v>18</v>
      </c>
      <c r="E15738" s="12" t="s">
        <v>1057</v>
      </c>
      <c r="F15738" s="12" t="s">
        <v>1058</v>
      </c>
      <c r="G15738" s="12" t="s">
        <v>46</v>
      </c>
      <c r="H15738" s="11" t="s">
        <v>63</v>
      </c>
      <c r="I15738" s="13" t="s">
        <v>31109</v>
      </c>
      <c r="J15738" s="14" t="str">
        <f>HYPERLINK("https://www.boe.es/gazeta/dias/1839/10/01/pdfs/GMD-1839-1787.pdf#page=3","Abrir facsímil")</f>
        <v>Abrir facsímil</v>
      </c>
      <c r="K15738" s="12" t="s">
        <v>65</v>
      </c>
    </row>
    <row r="15739" spans="1:11" ht="40.049999999999997" customHeight="1" x14ac:dyDescent="0.25">
      <c r="A15739" s="11" t="s">
        <v>31110</v>
      </c>
      <c r="B15739" s="11" t="s">
        <v>31111</v>
      </c>
      <c r="C15739" s="11" t="s">
        <v>17</v>
      </c>
      <c r="D15739" s="11" t="s">
        <v>18</v>
      </c>
      <c r="E15739" s="12" t="s">
        <v>1460</v>
      </c>
      <c r="F15739" s="12" t="s">
        <v>1461</v>
      </c>
      <c r="G15739" s="12" t="s">
        <v>40</v>
      </c>
      <c r="H15739" s="11" t="s">
        <v>63</v>
      </c>
      <c r="I15739" s="13" t="s">
        <v>31112</v>
      </c>
      <c r="J15739" s="14" t="str">
        <f>HYPERLINK("https://www.boe.es/gazeta/dias/1839/03/01/pdfs/GMD-1839-1567.pdf#page=2","Abrir facsímil")</f>
        <v>Abrir facsímil</v>
      </c>
      <c r="K15739" s="12" t="s">
        <v>65</v>
      </c>
    </row>
    <row r="15740" spans="1:11" ht="40.049999999999997" customHeight="1" x14ac:dyDescent="0.25">
      <c r="A15740" s="11" t="s">
        <v>31113</v>
      </c>
      <c r="B15740" s="11" t="s">
        <v>31114</v>
      </c>
      <c r="C15740" s="11" t="s">
        <v>17</v>
      </c>
      <c r="D15740" s="11" t="s">
        <v>18</v>
      </c>
      <c r="E15740" s="12" t="s">
        <v>647</v>
      </c>
      <c r="F15740" s="12" t="s">
        <v>648</v>
      </c>
      <c r="G15740" s="12" t="s">
        <v>46</v>
      </c>
      <c r="H15740" s="11" t="s">
        <v>63</v>
      </c>
      <c r="I15740" s="13" t="s">
        <v>31115</v>
      </c>
      <c r="J15740" s="14" t="str">
        <f>HYPERLINK("https://www.boe.es/gazeta/dias/1839/10/08/pdfs/GMD-1839-1794.pdf#page=3","Abrir facsímil")</f>
        <v>Abrir facsímil</v>
      </c>
      <c r="K15740" s="12" t="s">
        <v>65</v>
      </c>
    </row>
    <row r="15741" spans="1:11" ht="40.049999999999997" customHeight="1" x14ac:dyDescent="0.25">
      <c r="A15741" s="11" t="s">
        <v>31113</v>
      </c>
      <c r="B15741" s="11" t="s">
        <v>31114</v>
      </c>
      <c r="C15741" s="11" t="s">
        <v>17</v>
      </c>
      <c r="D15741" s="11" t="s">
        <v>18</v>
      </c>
      <c r="E15741" s="12" t="s">
        <v>647</v>
      </c>
      <c r="F15741" s="12" t="s">
        <v>648</v>
      </c>
      <c r="G15741" s="12" t="s">
        <v>5567</v>
      </c>
      <c r="H15741" s="11" t="s">
        <v>63</v>
      </c>
      <c r="I15741" s="13" t="s">
        <v>31116</v>
      </c>
      <c r="J15741" s="14" t="str">
        <f>HYPERLINK("https://www.boe.es/gazeta/dias/1839/10/08/pdfs/GMD-1839-1794.pdf#page=7","Abrir facsímil")</f>
        <v>Abrir facsímil</v>
      </c>
      <c r="K15741" s="12" t="s">
        <v>65</v>
      </c>
    </row>
    <row r="15742" spans="1:11" ht="40.049999999999997" customHeight="1" x14ac:dyDescent="0.25">
      <c r="A15742" s="11" t="s">
        <v>31117</v>
      </c>
      <c r="B15742" s="11" t="s">
        <v>31118</v>
      </c>
      <c r="C15742" s="11" t="s">
        <v>137</v>
      </c>
      <c r="D15742" s="11" t="s">
        <v>18</v>
      </c>
      <c r="E15742" s="12" t="s">
        <v>1446</v>
      </c>
      <c r="F15742" s="12" t="s">
        <v>1447</v>
      </c>
      <c r="G15742" s="12" t="s">
        <v>21</v>
      </c>
      <c r="H15742" s="11" t="s">
        <v>63</v>
      </c>
      <c r="I15742" s="13" t="s">
        <v>31119</v>
      </c>
      <c r="J15742" s="14" t="str">
        <f>HYPERLINK("https://www.boe.es/gazeta/dias/1839/08/25/pdfs/GMD-1839-1746.pdf#page=4","Abrir facsímil")</f>
        <v>Abrir facsímil</v>
      </c>
      <c r="K15742" s="12" t="s">
        <v>65</v>
      </c>
    </row>
    <row r="15743" spans="1:11" ht="40.049999999999997" customHeight="1" x14ac:dyDescent="0.25">
      <c r="A15743" s="11" t="s">
        <v>31120</v>
      </c>
      <c r="B15743" s="11" t="s">
        <v>31121</v>
      </c>
      <c r="C15743" s="11" t="s">
        <v>137</v>
      </c>
      <c r="D15743" s="11" t="s">
        <v>18</v>
      </c>
      <c r="E15743" s="12" t="s">
        <v>1460</v>
      </c>
      <c r="F15743" s="12" t="s">
        <v>1461</v>
      </c>
      <c r="G15743" s="12" t="s">
        <v>46</v>
      </c>
      <c r="H15743" s="11" t="s">
        <v>63</v>
      </c>
      <c r="I15743" s="13" t="s">
        <v>31122</v>
      </c>
      <c r="J15743" s="14" t="str">
        <f>HYPERLINK("https://www.boe.es/gazeta/dias/1839/03/01/pdfs/GMD-1839-1567.pdf#page=3","Abrir facsímil")</f>
        <v>Abrir facsímil</v>
      </c>
      <c r="K15743" s="12" t="s">
        <v>65</v>
      </c>
    </row>
    <row r="15744" spans="1:11" ht="40.049999999999997" customHeight="1" x14ac:dyDescent="0.25">
      <c r="A15744" s="11" t="s">
        <v>31123</v>
      </c>
      <c r="B15744" s="11" t="s">
        <v>31124</v>
      </c>
      <c r="C15744" s="11" t="s">
        <v>17</v>
      </c>
      <c r="D15744" s="11" t="s">
        <v>18</v>
      </c>
      <c r="E15744" s="12" t="s">
        <v>621</v>
      </c>
      <c r="F15744" s="12" t="s">
        <v>622</v>
      </c>
      <c r="G15744" s="12" t="s">
        <v>21</v>
      </c>
      <c r="H15744" s="11" t="s">
        <v>63</v>
      </c>
      <c r="I15744" s="13" t="s">
        <v>31125</v>
      </c>
      <c r="J15744" s="14" t="str">
        <f>HYPERLINK("https://www.boe.es/gazeta/dias/1839/04/14/pdfs/GMD-1839-1611.pdf#page=4","Abrir facsímil")</f>
        <v>Abrir facsímil</v>
      </c>
      <c r="K15744" s="12" t="s">
        <v>65</v>
      </c>
    </row>
    <row r="15745" spans="1:11" ht="40.049999999999997" customHeight="1" x14ac:dyDescent="0.25">
      <c r="A15745" s="11" t="s">
        <v>31126</v>
      </c>
      <c r="B15745" s="11" t="s">
        <v>31127</v>
      </c>
      <c r="C15745" s="11" t="s">
        <v>137</v>
      </c>
      <c r="D15745" s="11" t="s">
        <v>18</v>
      </c>
      <c r="E15745" s="12" t="s">
        <v>951</v>
      </c>
      <c r="F15745" s="12" t="s">
        <v>952</v>
      </c>
      <c r="G15745" s="12" t="s">
        <v>21</v>
      </c>
      <c r="H15745" s="11" t="s">
        <v>63</v>
      </c>
      <c r="I15745" s="13" t="s">
        <v>31128</v>
      </c>
      <c r="J15745" s="14" t="str">
        <f>HYPERLINK("https://www.boe.es/gazeta/dias/1839/12/30/pdfs/GMD-1839-1877.pdf#page=4","Abrir facsímil")</f>
        <v>Abrir facsímil</v>
      </c>
      <c r="K15745" s="12" t="s">
        <v>65</v>
      </c>
    </row>
    <row r="15746" spans="1:11" ht="40.049999999999997" customHeight="1" x14ac:dyDescent="0.25">
      <c r="A15746" s="11" t="s">
        <v>31129</v>
      </c>
      <c r="B15746" s="11" t="s">
        <v>31130</v>
      </c>
      <c r="C15746" s="11" t="s">
        <v>17</v>
      </c>
      <c r="D15746" s="11" t="s">
        <v>43</v>
      </c>
      <c r="E15746" s="12" t="s">
        <v>544</v>
      </c>
      <c r="F15746" s="12" t="s">
        <v>545</v>
      </c>
      <c r="G15746" s="12" t="s">
        <v>21</v>
      </c>
      <c r="H15746" s="11" t="s">
        <v>63</v>
      </c>
      <c r="I15746" s="13" t="s">
        <v>31131</v>
      </c>
      <c r="J15746" s="14" t="str">
        <f>HYPERLINK("https://www.boe.es/gazeta/dias/1839/11/11/pdfs/GMD-1839-1828.pdf#page=4","Abrir facsímil")</f>
        <v>Abrir facsímil</v>
      </c>
      <c r="K15746" s="12" t="s">
        <v>65</v>
      </c>
    </row>
    <row r="15747" spans="1:11" ht="40.049999999999997" customHeight="1" x14ac:dyDescent="0.25">
      <c r="A15747" s="11" t="s">
        <v>31132</v>
      </c>
      <c r="B15747" s="11" t="s">
        <v>31133</v>
      </c>
      <c r="C15747" s="11" t="s">
        <v>137</v>
      </c>
      <c r="D15747" s="11" t="s">
        <v>18</v>
      </c>
      <c r="E15747" s="12" t="s">
        <v>1086</v>
      </c>
      <c r="F15747" s="12" t="s">
        <v>1087</v>
      </c>
      <c r="G15747" s="12" t="s">
        <v>40</v>
      </c>
      <c r="H15747" s="11" t="s">
        <v>63</v>
      </c>
      <c r="I15747" s="13" t="s">
        <v>31134</v>
      </c>
      <c r="J15747" s="14" t="str">
        <f>HYPERLINK("https://www.boe.es/gazeta/dias/1839/10/26/pdfs/GMD-1839-1812.pdf#page=2","Abrir facsímil")</f>
        <v>Abrir facsímil</v>
      </c>
      <c r="K15747" s="12" t="s">
        <v>65</v>
      </c>
    </row>
    <row r="15748" spans="1:11" ht="40.049999999999997" customHeight="1" x14ac:dyDescent="0.25">
      <c r="A15748" s="11" t="s">
        <v>31135</v>
      </c>
      <c r="B15748" s="11" t="s">
        <v>31136</v>
      </c>
      <c r="C15748" s="11" t="s">
        <v>80</v>
      </c>
      <c r="D15748" s="11" t="s">
        <v>18</v>
      </c>
      <c r="E15748" s="12" t="s">
        <v>168</v>
      </c>
      <c r="F15748" s="12" t="s">
        <v>169</v>
      </c>
      <c r="G15748" s="12" t="s">
        <v>46</v>
      </c>
      <c r="H15748" s="11" t="s">
        <v>63</v>
      </c>
      <c r="I15748" s="13" t="s">
        <v>31137</v>
      </c>
      <c r="J15748" s="14" t="str">
        <f>HYPERLINK("https://www.boe.es/gazeta/dias/1839/07/12/pdfs/GMD-1839-1700.pdf#page=3","Abrir facsímil")</f>
        <v>Abrir facsímil</v>
      </c>
      <c r="K15748" s="12" t="s">
        <v>65</v>
      </c>
    </row>
    <row r="15749" spans="1:11" ht="40.049999999999997" customHeight="1" x14ac:dyDescent="0.25">
      <c r="A15749" s="11" t="s">
        <v>31135</v>
      </c>
      <c r="B15749" s="11" t="s">
        <v>31136</v>
      </c>
      <c r="C15749" s="11" t="s">
        <v>80</v>
      </c>
      <c r="D15749" s="11" t="s">
        <v>18</v>
      </c>
      <c r="E15749" s="12" t="s">
        <v>2270</v>
      </c>
      <c r="F15749" s="12" t="s">
        <v>2271</v>
      </c>
      <c r="G15749" s="12" t="s">
        <v>40</v>
      </c>
      <c r="H15749" s="11" t="s">
        <v>63</v>
      </c>
      <c r="I15749" s="13" t="s">
        <v>31138</v>
      </c>
      <c r="J15749" s="14" t="str">
        <f>HYPERLINK("https://www.boe.es/gazeta/dias/1839/06/13/pdfs/GMD-1839-1671.pdf#page=2","Abrir facsímil")</f>
        <v>Abrir facsímil</v>
      </c>
      <c r="K15749" s="12" t="s">
        <v>65</v>
      </c>
    </row>
    <row r="15750" spans="1:11" ht="40.049999999999997" customHeight="1" x14ac:dyDescent="0.25">
      <c r="A15750" s="11" t="s">
        <v>31139</v>
      </c>
      <c r="B15750" s="11" t="s">
        <v>31140</v>
      </c>
      <c r="C15750" s="11" t="s">
        <v>59</v>
      </c>
      <c r="D15750" s="11" t="s">
        <v>60</v>
      </c>
      <c r="E15750" s="12" t="s">
        <v>510</v>
      </c>
      <c r="F15750" s="12" t="s">
        <v>511</v>
      </c>
      <c r="G15750" s="12" t="s">
        <v>46</v>
      </c>
      <c r="H15750" s="11" t="s">
        <v>63</v>
      </c>
      <c r="I15750" s="13" t="s">
        <v>31141</v>
      </c>
      <c r="J15750" s="14" t="str">
        <f>HYPERLINK("https://www.boe.es/gazeta/dias/1839/05/13/pdfs/GMD-1839-1640.pdf#page=3","Abrir facsímil")</f>
        <v>Abrir facsímil</v>
      </c>
      <c r="K15750" s="12" t="s">
        <v>65</v>
      </c>
    </row>
    <row r="15751" spans="1:11" ht="40.049999999999997" customHeight="1" x14ac:dyDescent="0.25">
      <c r="A15751" s="11" t="s">
        <v>31142</v>
      </c>
      <c r="B15751" s="11" t="s">
        <v>31143</v>
      </c>
      <c r="C15751" s="11" t="s">
        <v>80</v>
      </c>
      <c r="D15751" s="11" t="s">
        <v>18</v>
      </c>
      <c r="E15751" s="12" t="s">
        <v>998</v>
      </c>
      <c r="F15751" s="12" t="s">
        <v>999</v>
      </c>
      <c r="G15751" s="12" t="s">
        <v>29</v>
      </c>
      <c r="H15751" s="11" t="s">
        <v>63</v>
      </c>
      <c r="I15751" s="13" t="s">
        <v>31144</v>
      </c>
      <c r="J15751" s="14" t="str">
        <f>HYPERLINK("https://www.boe.es/gazeta/dias/1839/05/06/pdfs/GMD-1839-1633.pdf#page=1","Abrir facsímil")</f>
        <v>Abrir facsímil</v>
      </c>
      <c r="K15751" s="12" t="s">
        <v>65</v>
      </c>
    </row>
    <row r="15752" spans="1:11" ht="40.049999999999997" customHeight="1" x14ac:dyDescent="0.25">
      <c r="A15752" s="11" t="s">
        <v>31145</v>
      </c>
      <c r="B15752" s="11" t="s">
        <v>31146</v>
      </c>
      <c r="C15752" s="11" t="s">
        <v>101</v>
      </c>
      <c r="D15752" s="11" t="s">
        <v>102</v>
      </c>
      <c r="E15752" s="12" t="s">
        <v>4451</v>
      </c>
      <c r="F15752" s="12" t="s">
        <v>4452</v>
      </c>
      <c r="G15752" s="12" t="s">
        <v>21</v>
      </c>
      <c r="H15752" s="11" t="s">
        <v>63</v>
      </c>
      <c r="I15752" s="13" t="s">
        <v>31147</v>
      </c>
      <c r="J15752" s="14" t="str">
        <f>HYPERLINK("https://www.boe.es/gazeta/dias/1839/12/02/pdfs/GMD-1839-1849.pdf#page=4","Abrir facsímil")</f>
        <v>Abrir facsímil</v>
      </c>
      <c r="K15752" s="12" t="s">
        <v>65</v>
      </c>
    </row>
    <row r="15753" spans="1:11" ht="40.049999999999997" customHeight="1" x14ac:dyDescent="0.25">
      <c r="A15753" s="11" t="s">
        <v>31148</v>
      </c>
      <c r="B15753" s="11" t="s">
        <v>31149</v>
      </c>
      <c r="C15753" s="11" t="s">
        <v>80</v>
      </c>
      <c r="D15753" s="11" t="s">
        <v>18</v>
      </c>
      <c r="E15753" s="12" t="s">
        <v>926</v>
      </c>
      <c r="F15753" s="12" t="s">
        <v>927</v>
      </c>
      <c r="G15753" s="12" t="s">
        <v>21</v>
      </c>
      <c r="H15753" s="11" t="s">
        <v>63</v>
      </c>
      <c r="I15753" s="13" t="s">
        <v>31150</v>
      </c>
      <c r="J15753" s="14" t="str">
        <f>HYPERLINK("https://www.boe.es/gazeta/dias/1839/01/25/pdfs/GMD-1839-1532.pdf#page=4","Abrir facsímil")</f>
        <v>Abrir facsímil</v>
      </c>
      <c r="K15753" s="12" t="s">
        <v>65</v>
      </c>
    </row>
    <row r="15754" spans="1:11" ht="40.049999999999997" customHeight="1" x14ac:dyDescent="0.25">
      <c r="A15754" s="11" t="s">
        <v>31151</v>
      </c>
      <c r="B15754" s="11" t="s">
        <v>31152</v>
      </c>
      <c r="C15754" s="11" t="s">
        <v>137</v>
      </c>
      <c r="D15754" s="11" t="s">
        <v>18</v>
      </c>
      <c r="E15754" s="12" t="s">
        <v>197</v>
      </c>
      <c r="F15754" s="12" t="s">
        <v>198</v>
      </c>
      <c r="G15754" s="12" t="s">
        <v>46</v>
      </c>
      <c r="H15754" s="11" t="s">
        <v>63</v>
      </c>
      <c r="I15754" s="13" t="s">
        <v>31153</v>
      </c>
      <c r="J15754" s="14" t="str">
        <f>HYPERLINK("https://www.boe.es/gazeta/dias/1839/10/04/pdfs/GMD-1839-1790.pdf#page=3","Abrir facsímil")</f>
        <v>Abrir facsímil</v>
      </c>
      <c r="K15754" s="12" t="s">
        <v>65</v>
      </c>
    </row>
    <row r="15755" spans="1:11" ht="40.049999999999997" customHeight="1" x14ac:dyDescent="0.25">
      <c r="A15755" s="11" t="s">
        <v>31154</v>
      </c>
      <c r="B15755" s="11" t="s">
        <v>31155</v>
      </c>
      <c r="C15755" s="11" t="s">
        <v>80</v>
      </c>
      <c r="D15755" s="11" t="s">
        <v>173</v>
      </c>
      <c r="E15755" s="12" t="s">
        <v>89</v>
      </c>
      <c r="F15755" s="12" t="s">
        <v>90</v>
      </c>
      <c r="G15755" s="12" t="s">
        <v>40</v>
      </c>
      <c r="H15755" s="11" t="s">
        <v>63</v>
      </c>
      <c r="I15755" s="13" t="s">
        <v>31156</v>
      </c>
      <c r="J15755" s="14" t="str">
        <f>HYPERLINK("https://www.boe.es/gazeta/dias/1839/11/28/pdfs/GMD-1839-1845.pdf#page=2","Abrir facsímil")</f>
        <v>Abrir facsímil</v>
      </c>
      <c r="K15755" s="12" t="s">
        <v>65</v>
      </c>
    </row>
    <row r="15756" spans="1:11" ht="40.049999999999997" customHeight="1" x14ac:dyDescent="0.25">
      <c r="A15756" s="11" t="s">
        <v>31157</v>
      </c>
      <c r="B15756" s="11" t="s">
        <v>31158</v>
      </c>
      <c r="C15756" s="11" t="s">
        <v>137</v>
      </c>
      <c r="D15756" s="11" t="s">
        <v>18</v>
      </c>
      <c r="E15756" s="12" t="s">
        <v>1490</v>
      </c>
      <c r="F15756" s="12" t="s">
        <v>1491</v>
      </c>
      <c r="G15756" s="12" t="s">
        <v>29</v>
      </c>
      <c r="H15756" s="11" t="s">
        <v>63</v>
      </c>
      <c r="I15756" s="13" t="s">
        <v>31159</v>
      </c>
      <c r="J15756" s="14" t="str">
        <f>HYPERLINK("https://www.boe.es/gazeta/dias/1839/02/27/pdfs/GMD-1839-1565.pdf#page=1","Abrir facsímil")</f>
        <v>Abrir facsímil</v>
      </c>
      <c r="K15756" s="12" t="s">
        <v>65</v>
      </c>
    </row>
    <row r="15757" spans="1:11" ht="40.049999999999997" customHeight="1" x14ac:dyDescent="0.25">
      <c r="A15757" s="11" t="s">
        <v>31160</v>
      </c>
      <c r="B15757" s="11" t="s">
        <v>31161</v>
      </c>
      <c r="C15757" s="11" t="s">
        <v>17</v>
      </c>
      <c r="D15757" s="11" t="s">
        <v>18</v>
      </c>
      <c r="E15757" s="12" t="s">
        <v>1332</v>
      </c>
      <c r="F15757" s="12" t="s">
        <v>1333</v>
      </c>
      <c r="G15757" s="12" t="s">
        <v>21</v>
      </c>
      <c r="H15757" s="11" t="s">
        <v>63</v>
      </c>
      <c r="I15757" s="13" t="s">
        <v>31162</v>
      </c>
      <c r="J15757" s="14" t="str">
        <f>HYPERLINK("https://www.boe.es/gazeta/dias/1839/05/04/pdfs/GMD-1839-1631.pdf#page=4","Abrir facsímil")</f>
        <v>Abrir facsímil</v>
      </c>
      <c r="K15757" s="12" t="s">
        <v>65</v>
      </c>
    </row>
    <row r="15758" spans="1:11" ht="40.049999999999997" customHeight="1" x14ac:dyDescent="0.25">
      <c r="A15758" s="11" t="s">
        <v>31163</v>
      </c>
      <c r="B15758" s="11" t="s">
        <v>31164</v>
      </c>
      <c r="C15758" s="11" t="s">
        <v>101</v>
      </c>
      <c r="D15758" s="11" t="s">
        <v>102</v>
      </c>
      <c r="E15758" s="12" t="s">
        <v>160</v>
      </c>
      <c r="F15758" s="12" t="s">
        <v>161</v>
      </c>
      <c r="G15758" s="12" t="s">
        <v>40</v>
      </c>
      <c r="H15758" s="11" t="s">
        <v>63</v>
      </c>
      <c r="I15758" s="13" t="s">
        <v>31165</v>
      </c>
      <c r="J15758" s="14" t="str">
        <f>HYPERLINK("https://www.boe.es/gazeta/dias/1839/01/10/pdfs/GMD-1839-1517.pdf#page=2","Abrir facsímil")</f>
        <v>Abrir facsímil</v>
      </c>
      <c r="K15758" s="12" t="s">
        <v>65</v>
      </c>
    </row>
    <row r="15759" spans="1:11" ht="40.049999999999997" customHeight="1" x14ac:dyDescent="0.25">
      <c r="A15759" s="11" t="s">
        <v>31166</v>
      </c>
      <c r="B15759" s="11" t="s">
        <v>31167</v>
      </c>
      <c r="C15759" s="11" t="s">
        <v>17</v>
      </c>
      <c r="D15759" s="11" t="s">
        <v>18</v>
      </c>
      <c r="E15759" s="12" t="s">
        <v>1236</v>
      </c>
      <c r="F15759" s="12" t="s">
        <v>1237</v>
      </c>
      <c r="G15759" s="12" t="s">
        <v>29</v>
      </c>
      <c r="H15759" s="11" t="s">
        <v>63</v>
      </c>
      <c r="I15759" s="13" t="s">
        <v>31168</v>
      </c>
      <c r="J15759" s="14" t="str">
        <f>HYPERLINK("https://www.boe.es/gazeta/dias/1839/10/16/pdfs/GMD-1839-1802.pdf#page=1","Abrir facsímil")</f>
        <v>Abrir facsímil</v>
      </c>
      <c r="K15759" s="12" t="s">
        <v>65</v>
      </c>
    </row>
    <row r="15760" spans="1:11" ht="40.049999999999997" customHeight="1" x14ac:dyDescent="0.25">
      <c r="A15760" s="11" t="s">
        <v>31169</v>
      </c>
      <c r="B15760" s="11" t="s">
        <v>31170</v>
      </c>
      <c r="C15760" s="11" t="s">
        <v>59</v>
      </c>
      <c r="D15760" s="11" t="s">
        <v>60</v>
      </c>
      <c r="E15760" s="12" t="s">
        <v>125</v>
      </c>
      <c r="F15760" s="12" t="s">
        <v>126</v>
      </c>
      <c r="G15760" s="12" t="s">
        <v>46</v>
      </c>
      <c r="H15760" s="11" t="s">
        <v>63</v>
      </c>
      <c r="I15760" s="13" t="s">
        <v>31171</v>
      </c>
      <c r="J15760" s="14" t="str">
        <f>HYPERLINK("https://www.boe.es/gazeta/dias/1839/05/23/pdfs/GMD-1839-1650.pdf#page=3","Abrir facsímil")</f>
        <v>Abrir facsímil</v>
      </c>
      <c r="K15760" s="12" t="s">
        <v>65</v>
      </c>
    </row>
    <row r="15761" spans="1:11" ht="40.049999999999997" customHeight="1" x14ac:dyDescent="0.25">
      <c r="A15761" s="11" t="s">
        <v>31172</v>
      </c>
      <c r="B15761" s="11" t="s">
        <v>31173</v>
      </c>
      <c r="C15761" s="11" t="s">
        <v>101</v>
      </c>
      <c r="D15761" s="11" t="s">
        <v>102</v>
      </c>
      <c r="E15761" s="12" t="s">
        <v>1149</v>
      </c>
      <c r="F15761" s="12" t="s">
        <v>1150</v>
      </c>
      <c r="G15761" s="12" t="s">
        <v>29</v>
      </c>
      <c r="H15761" s="11" t="s">
        <v>63</v>
      </c>
      <c r="I15761" s="13" t="s">
        <v>31174</v>
      </c>
      <c r="J15761" s="14" t="str">
        <f>HYPERLINK("https://www.boe.es/gazeta/dias/1839/06/25/pdfs/GMD-1839-1683.pdf#page=1","Abrir facsímil")</f>
        <v>Abrir facsímil</v>
      </c>
      <c r="K15761" s="12" t="s">
        <v>65</v>
      </c>
    </row>
    <row r="15762" spans="1:11" ht="40.049999999999997" customHeight="1" x14ac:dyDescent="0.25">
      <c r="A15762" s="11" t="s">
        <v>31175</v>
      </c>
      <c r="B15762" s="11" t="s">
        <v>31176</v>
      </c>
      <c r="C15762" s="11" t="s">
        <v>17</v>
      </c>
      <c r="D15762" s="11" t="s">
        <v>18</v>
      </c>
      <c r="E15762" s="12" t="s">
        <v>4055</v>
      </c>
      <c r="F15762" s="12" t="s">
        <v>4056</v>
      </c>
      <c r="G15762" s="12" t="s">
        <v>21</v>
      </c>
      <c r="H15762" s="11" t="s">
        <v>63</v>
      </c>
      <c r="I15762" s="13" t="s">
        <v>31177</v>
      </c>
      <c r="J15762" s="14" t="str">
        <f>HYPERLINK("https://www.boe.es/gazeta/dias/1839/03/07/pdfs/GMD-1839-1573.pdf#page=4","Abrir facsímil")</f>
        <v>Abrir facsímil</v>
      </c>
      <c r="K15762" s="12" t="s">
        <v>65</v>
      </c>
    </row>
    <row r="15763" spans="1:11" ht="40.049999999999997" customHeight="1" x14ac:dyDescent="0.25">
      <c r="A15763" s="11" t="s">
        <v>31178</v>
      </c>
      <c r="B15763" s="11" t="s">
        <v>31179</v>
      </c>
      <c r="C15763" s="11" t="s">
        <v>17</v>
      </c>
      <c r="D15763" s="11" t="s">
        <v>18</v>
      </c>
      <c r="E15763" s="12" t="s">
        <v>84</v>
      </c>
      <c r="F15763" s="12" t="s">
        <v>85</v>
      </c>
      <c r="G15763" s="12" t="s">
        <v>29</v>
      </c>
      <c r="H15763" s="11" t="s">
        <v>63</v>
      </c>
      <c r="I15763" s="13" t="s">
        <v>31180</v>
      </c>
      <c r="J15763" s="14" t="str">
        <f>HYPERLINK("https://www.boe.es/gazeta/dias/1839/03/11/pdfs/GMD-1839-1577.pdf#page=1","Abrir facsímil")</f>
        <v>Abrir facsímil</v>
      </c>
      <c r="K15763" s="12" t="s">
        <v>65</v>
      </c>
    </row>
    <row r="15764" spans="1:11" ht="40.049999999999997" customHeight="1" x14ac:dyDescent="0.25">
      <c r="A15764" s="11" t="s">
        <v>31181</v>
      </c>
      <c r="B15764" s="11" t="s">
        <v>31182</v>
      </c>
      <c r="C15764" s="11" t="s">
        <v>17</v>
      </c>
      <c r="D15764" s="11" t="s">
        <v>18</v>
      </c>
      <c r="E15764" s="12" t="s">
        <v>239</v>
      </c>
      <c r="F15764" s="12" t="s">
        <v>240</v>
      </c>
      <c r="G15764" s="12" t="s">
        <v>29</v>
      </c>
      <c r="H15764" s="11" t="s">
        <v>63</v>
      </c>
      <c r="I15764" s="13" t="s">
        <v>31183</v>
      </c>
      <c r="J15764" s="14" t="str">
        <f>HYPERLINK("https://www.boe.es/gazeta/dias/1839/09/22/pdfs/GMD-1839-1777.pdf#page=1","Abrir facsímil")</f>
        <v>Abrir facsímil</v>
      </c>
      <c r="K15764" s="12" t="s">
        <v>65</v>
      </c>
    </row>
    <row r="15765" spans="1:11" ht="40.049999999999997" customHeight="1" x14ac:dyDescent="0.25">
      <c r="A15765" s="11" t="s">
        <v>31184</v>
      </c>
      <c r="B15765" s="11" t="s">
        <v>31185</v>
      </c>
      <c r="C15765" s="11" t="s">
        <v>17</v>
      </c>
      <c r="D15765" s="11" t="s">
        <v>18</v>
      </c>
      <c r="E15765" s="12" t="s">
        <v>1008</v>
      </c>
      <c r="F15765" s="12" t="s">
        <v>1009</v>
      </c>
      <c r="G15765" s="12" t="s">
        <v>40</v>
      </c>
      <c r="H15765" s="11" t="s">
        <v>63</v>
      </c>
      <c r="I15765" s="13" t="s">
        <v>31186</v>
      </c>
      <c r="J15765" s="14" t="str">
        <f>HYPERLINK("https://www.boe.es/gazeta/dias/1839/09/07/pdfs/GMD-1839-1760.pdf#page=2","Abrir facsímil")</f>
        <v>Abrir facsímil</v>
      </c>
      <c r="K15765" s="12" t="s">
        <v>65</v>
      </c>
    </row>
    <row r="15766" spans="1:11" ht="40.049999999999997" customHeight="1" x14ac:dyDescent="0.25">
      <c r="A15766" s="11" t="s">
        <v>31187</v>
      </c>
      <c r="B15766" s="11" t="s">
        <v>31188</v>
      </c>
      <c r="C15766" s="11" t="s">
        <v>59</v>
      </c>
      <c r="D15766" s="11" t="s">
        <v>60</v>
      </c>
      <c r="E15766" s="12" t="s">
        <v>695</v>
      </c>
      <c r="F15766" s="12" t="s">
        <v>696</v>
      </c>
      <c r="G15766" s="12" t="s">
        <v>46</v>
      </c>
      <c r="H15766" s="11" t="s">
        <v>63</v>
      </c>
      <c r="I15766" s="13" t="s">
        <v>31189</v>
      </c>
      <c r="J15766" s="14" t="str">
        <f>HYPERLINK("https://www.boe.es/gazeta/dias/1839/12/19/pdfs/GMD-1839-1866.pdf#page=3","Abrir facsímil")</f>
        <v>Abrir facsímil</v>
      </c>
      <c r="K15766" s="12" t="s">
        <v>65</v>
      </c>
    </row>
    <row r="15767" spans="1:11" ht="40.049999999999997" customHeight="1" x14ac:dyDescent="0.25">
      <c r="A15767" s="11" t="s">
        <v>31190</v>
      </c>
      <c r="B15767" s="11" t="s">
        <v>31191</v>
      </c>
      <c r="C15767" s="11" t="s">
        <v>17</v>
      </c>
      <c r="D15767" s="11" t="s">
        <v>18</v>
      </c>
      <c r="E15767" s="12" t="s">
        <v>2069</v>
      </c>
      <c r="F15767" s="12" t="s">
        <v>2070</v>
      </c>
      <c r="G15767" s="12" t="s">
        <v>566</v>
      </c>
      <c r="H15767" s="11" t="s">
        <v>63</v>
      </c>
      <c r="I15767" s="13" t="s">
        <v>31192</v>
      </c>
      <c r="J15767" s="14" t="str">
        <f>HYPERLINK("https://www.boe.es/gazeta/dias/1839/10/20/pdfs/GMD-1839-1806.pdf#page=5","Abrir facsímil")</f>
        <v>Abrir facsímil</v>
      </c>
      <c r="K15767" s="12" t="s">
        <v>65</v>
      </c>
    </row>
    <row r="15768" spans="1:11" ht="40.049999999999997" customHeight="1" x14ac:dyDescent="0.25">
      <c r="A15768" s="11" t="s">
        <v>31193</v>
      </c>
      <c r="B15768" s="11" t="s">
        <v>31194</v>
      </c>
      <c r="C15768" s="11" t="s">
        <v>17</v>
      </c>
      <c r="D15768" s="11" t="s">
        <v>18</v>
      </c>
      <c r="E15768" s="12" t="s">
        <v>1057</v>
      </c>
      <c r="F15768" s="12" t="s">
        <v>1058</v>
      </c>
      <c r="G15768" s="12" t="s">
        <v>46</v>
      </c>
      <c r="H15768" s="11" t="s">
        <v>63</v>
      </c>
      <c r="I15768" s="13" t="s">
        <v>31195</v>
      </c>
      <c r="J15768" s="14" t="str">
        <f>HYPERLINK("https://www.boe.es/gazeta/dias/1839/10/01/pdfs/GMD-1839-1787.pdf#page=3","Abrir facsímil")</f>
        <v>Abrir facsímil</v>
      </c>
      <c r="K15768" s="12" t="s">
        <v>65</v>
      </c>
    </row>
    <row r="15769" spans="1:11" ht="40.049999999999997" customHeight="1" x14ac:dyDescent="0.25">
      <c r="A15769" s="11" t="s">
        <v>31193</v>
      </c>
      <c r="B15769" s="11" t="s">
        <v>31194</v>
      </c>
      <c r="C15769" s="11" t="s">
        <v>101</v>
      </c>
      <c r="D15769" s="11" t="s">
        <v>43</v>
      </c>
      <c r="E15769" s="12" t="s">
        <v>1086</v>
      </c>
      <c r="F15769" s="12" t="s">
        <v>1087</v>
      </c>
      <c r="G15769" s="12" t="s">
        <v>40</v>
      </c>
      <c r="H15769" s="11" t="s">
        <v>63</v>
      </c>
      <c r="I15769" s="13" t="s">
        <v>31196</v>
      </c>
      <c r="J15769" s="14" t="str">
        <f>HYPERLINK("https://www.boe.es/gazeta/dias/1839/10/26/pdfs/GMD-1839-1812.pdf#page=2","Abrir facsímil")</f>
        <v>Abrir facsímil</v>
      </c>
      <c r="K15769" s="12" t="s">
        <v>65</v>
      </c>
    </row>
    <row r="15770" spans="1:11" ht="40.049999999999997" customHeight="1" x14ac:dyDescent="0.25">
      <c r="A15770" s="11" t="s">
        <v>31193</v>
      </c>
      <c r="B15770" s="11" t="s">
        <v>31194</v>
      </c>
      <c r="C15770" s="11" t="s">
        <v>17</v>
      </c>
      <c r="D15770" s="11" t="s">
        <v>18</v>
      </c>
      <c r="E15770" s="12" t="s">
        <v>1988</v>
      </c>
      <c r="F15770" s="12" t="s">
        <v>1989</v>
      </c>
      <c r="G15770" s="12" t="s">
        <v>21</v>
      </c>
      <c r="H15770" s="11" t="s">
        <v>63</v>
      </c>
      <c r="I15770" s="13" t="s">
        <v>31197</v>
      </c>
      <c r="J15770" s="14" t="str">
        <f>HYPERLINK("https://www.boe.es/gazeta/dias/1839/10/29/pdfs/GMD-1839-1815.pdf#page=4","Abrir facsímil")</f>
        <v>Abrir facsímil</v>
      </c>
      <c r="K15770" s="12" t="s">
        <v>65</v>
      </c>
    </row>
    <row r="15771" spans="1:11" ht="40.049999999999997" customHeight="1" x14ac:dyDescent="0.25">
      <c r="A15771" s="11" t="s">
        <v>31198</v>
      </c>
      <c r="B15771" s="11" t="s">
        <v>31199</v>
      </c>
      <c r="C15771" s="11" t="s">
        <v>101</v>
      </c>
      <c r="D15771" s="11" t="s">
        <v>102</v>
      </c>
      <c r="E15771" s="12" t="s">
        <v>2851</v>
      </c>
      <c r="F15771" s="12" t="s">
        <v>2852</v>
      </c>
      <c r="G15771" s="12" t="s">
        <v>40</v>
      </c>
      <c r="H15771" s="11" t="s">
        <v>63</v>
      </c>
      <c r="I15771" s="13" t="s">
        <v>31200</v>
      </c>
      <c r="J15771" s="14" t="str">
        <f>HYPERLINK("https://www.boe.es/gazeta/dias/1839/05/16/pdfs/GMD-1839-1643.pdf#page=2","Abrir facsímil")</f>
        <v>Abrir facsímil</v>
      </c>
      <c r="K15771" s="12" t="s">
        <v>65</v>
      </c>
    </row>
    <row r="15772" spans="1:11" ht="40.049999999999997" customHeight="1" x14ac:dyDescent="0.25">
      <c r="A15772" s="11" t="s">
        <v>31198</v>
      </c>
      <c r="B15772" s="11" t="s">
        <v>31199</v>
      </c>
      <c r="C15772" s="11" t="s">
        <v>17</v>
      </c>
      <c r="D15772" s="11" t="s">
        <v>18</v>
      </c>
      <c r="E15772" s="12" t="s">
        <v>756</v>
      </c>
      <c r="F15772" s="12" t="s">
        <v>757</v>
      </c>
      <c r="G15772" s="12" t="s">
        <v>29</v>
      </c>
      <c r="H15772" s="11" t="s">
        <v>63</v>
      </c>
      <c r="I15772" s="13" t="s">
        <v>31201</v>
      </c>
      <c r="J15772" s="14" t="str">
        <f>HYPERLINK("https://www.boe.es/gazeta/dias/1839/12/17/pdfs/GMD-1839-1864.pdf#page=1","Abrir facsímil")</f>
        <v>Abrir facsímil</v>
      </c>
      <c r="K15772" s="12" t="s">
        <v>65</v>
      </c>
    </row>
    <row r="15773" spans="1:11" ht="40.049999999999997" customHeight="1" x14ac:dyDescent="0.25">
      <c r="A15773" s="11" t="s">
        <v>31198</v>
      </c>
      <c r="B15773" s="11" t="s">
        <v>31199</v>
      </c>
      <c r="C15773" s="11" t="s">
        <v>17</v>
      </c>
      <c r="D15773" s="11" t="s">
        <v>18</v>
      </c>
      <c r="E15773" s="12" t="s">
        <v>479</v>
      </c>
      <c r="F15773" s="12" t="s">
        <v>480</v>
      </c>
      <c r="G15773" s="12" t="s">
        <v>29</v>
      </c>
      <c r="H15773" s="11" t="s">
        <v>63</v>
      </c>
      <c r="I15773" s="13" t="s">
        <v>31202</v>
      </c>
      <c r="J15773" s="14" t="str">
        <f>HYPERLINK("https://www.boe.es/gazeta/dias/1839/06/24/pdfs/GMD-1839-1682.pdf#page=1","Abrir facsímil")</f>
        <v>Abrir facsímil</v>
      </c>
      <c r="K15773" s="12" t="s">
        <v>65</v>
      </c>
    </row>
    <row r="15774" spans="1:11" ht="40.049999999999997" customHeight="1" x14ac:dyDescent="0.25">
      <c r="A15774" s="11" t="s">
        <v>31203</v>
      </c>
      <c r="B15774" s="11" t="s">
        <v>31204</v>
      </c>
      <c r="C15774" s="11" t="s">
        <v>17</v>
      </c>
      <c r="D15774" s="11" t="s">
        <v>18</v>
      </c>
      <c r="E15774" s="12" t="s">
        <v>3134</v>
      </c>
      <c r="F15774" s="12" t="s">
        <v>3135</v>
      </c>
      <c r="G15774" s="12" t="s">
        <v>29</v>
      </c>
      <c r="H15774" s="11" t="s">
        <v>63</v>
      </c>
      <c r="I15774" s="13" t="s">
        <v>31205</v>
      </c>
      <c r="J15774" s="14" t="str">
        <f>HYPERLINK("https://www.boe.es/gazeta/dias/1839/08/09/pdfs/GMD-1839-1729.pdf#page=1","Abrir facsímil")</f>
        <v>Abrir facsímil</v>
      </c>
      <c r="K15774" s="12" t="s">
        <v>65</v>
      </c>
    </row>
    <row r="15775" spans="1:11" ht="40.049999999999997" customHeight="1" x14ac:dyDescent="0.25">
      <c r="A15775" s="11" t="s">
        <v>31206</v>
      </c>
      <c r="B15775" s="11" t="s">
        <v>31207</v>
      </c>
      <c r="C15775" s="11" t="s">
        <v>17</v>
      </c>
      <c r="D15775" s="11" t="s">
        <v>18</v>
      </c>
      <c r="E15775" s="12" t="s">
        <v>54</v>
      </c>
      <c r="F15775" s="12" t="s">
        <v>55</v>
      </c>
      <c r="G15775" s="12" t="s">
        <v>46</v>
      </c>
      <c r="H15775" s="11" t="s">
        <v>63</v>
      </c>
      <c r="I15775" s="13" t="s">
        <v>31208</v>
      </c>
      <c r="J15775" s="14" t="str">
        <f>HYPERLINK("https://www.boe.es/gazeta/dias/1839/10/05/pdfs/GMD-1839-1791.pdf#page=3","Abrir facsímil")</f>
        <v>Abrir facsímil</v>
      </c>
      <c r="K15775" s="12" t="s">
        <v>65</v>
      </c>
    </row>
    <row r="15776" spans="1:11" ht="40.049999999999997" customHeight="1" x14ac:dyDescent="0.25">
      <c r="A15776" s="11" t="s">
        <v>31209</v>
      </c>
      <c r="B15776" s="11" t="s">
        <v>31210</v>
      </c>
      <c r="C15776" s="11" t="s">
        <v>17</v>
      </c>
      <c r="D15776" s="11" t="s">
        <v>18</v>
      </c>
      <c r="E15776" s="12" t="s">
        <v>3566</v>
      </c>
      <c r="F15776" s="12" t="s">
        <v>3567</v>
      </c>
      <c r="G15776" s="12" t="s">
        <v>21</v>
      </c>
      <c r="H15776" s="11" t="s">
        <v>63</v>
      </c>
      <c r="I15776" s="13" t="s">
        <v>31211</v>
      </c>
      <c r="J15776" s="14" t="str">
        <f>HYPERLINK("https://www.boe.es/gazeta/dias/1839/07/06/pdfs/GMD-1839-1694.pdf#page=4","Abrir facsímil")</f>
        <v>Abrir facsímil</v>
      </c>
      <c r="K15776" s="12" t="s">
        <v>65</v>
      </c>
    </row>
    <row r="15777" spans="1:11" ht="40.049999999999997" customHeight="1" x14ac:dyDescent="0.25">
      <c r="A15777" s="11" t="s">
        <v>31212</v>
      </c>
      <c r="B15777" s="11" t="s">
        <v>31213</v>
      </c>
      <c r="C15777" s="11" t="s">
        <v>80</v>
      </c>
      <c r="D15777" s="11" t="s">
        <v>18</v>
      </c>
      <c r="E15777" s="12" t="s">
        <v>3289</v>
      </c>
      <c r="F15777" s="12" t="s">
        <v>3290</v>
      </c>
      <c r="G15777" s="12" t="s">
        <v>29</v>
      </c>
      <c r="H15777" s="11" t="s">
        <v>63</v>
      </c>
      <c r="I15777" s="13" t="s">
        <v>31214</v>
      </c>
      <c r="J15777" s="14" t="str">
        <f>HYPERLINK("https://www.boe.es/gazeta/dias/1839/12/10/pdfs/GMD-1839-1857.pdf#page=1","Abrir facsímil")</f>
        <v>Abrir facsímil</v>
      </c>
      <c r="K15777" s="12" t="s">
        <v>65</v>
      </c>
    </row>
    <row r="15778" spans="1:11" ht="40.049999999999997" customHeight="1" x14ac:dyDescent="0.25">
      <c r="A15778" s="11" t="s">
        <v>31215</v>
      </c>
      <c r="B15778" s="11" t="s">
        <v>31216</v>
      </c>
      <c r="C15778" s="11" t="s">
        <v>17</v>
      </c>
      <c r="D15778" s="11" t="s">
        <v>18</v>
      </c>
      <c r="E15778" s="12" t="s">
        <v>207</v>
      </c>
      <c r="F15778" s="12" t="s">
        <v>208</v>
      </c>
      <c r="G15778" s="12" t="s">
        <v>40</v>
      </c>
      <c r="H15778" s="11" t="s">
        <v>63</v>
      </c>
      <c r="I15778" s="13" t="s">
        <v>31217</v>
      </c>
      <c r="J15778" s="14" t="str">
        <f>HYPERLINK("https://www.boe.es/gazeta/dias/1839/02/19/pdfs/GMD-1839-1557.pdf#page=2","Abrir facsímil")</f>
        <v>Abrir facsímil</v>
      </c>
      <c r="K15778" s="12" t="s">
        <v>65</v>
      </c>
    </row>
    <row r="15779" spans="1:11" ht="40.049999999999997" customHeight="1" x14ac:dyDescent="0.25">
      <c r="A15779" s="11" t="s">
        <v>31218</v>
      </c>
      <c r="B15779" s="11" t="s">
        <v>31219</v>
      </c>
      <c r="C15779" s="11" t="s">
        <v>59</v>
      </c>
      <c r="D15779" s="11" t="s">
        <v>60</v>
      </c>
      <c r="E15779" s="12" t="s">
        <v>2069</v>
      </c>
      <c r="F15779" s="12" t="s">
        <v>2070</v>
      </c>
      <c r="G15779" s="12" t="s">
        <v>305</v>
      </c>
      <c r="H15779" s="11" t="s">
        <v>63</v>
      </c>
      <c r="I15779" s="13" t="s">
        <v>31220</v>
      </c>
      <c r="J15779" s="14" t="str">
        <f>HYPERLINK("https://www.boe.es/gazeta/dias/1839/10/20/pdfs/GMD-1839-1806.pdf#page=6","Abrir facsímil")</f>
        <v>Abrir facsímil</v>
      </c>
      <c r="K15779" s="12" t="s">
        <v>65</v>
      </c>
    </row>
    <row r="15780" spans="1:11" ht="40.049999999999997" customHeight="1" x14ac:dyDescent="0.25">
      <c r="A15780" s="11" t="s">
        <v>31221</v>
      </c>
      <c r="B15780" s="11" t="s">
        <v>31222</v>
      </c>
      <c r="C15780" s="11" t="s">
        <v>17</v>
      </c>
      <c r="D15780" s="11" t="s">
        <v>18</v>
      </c>
      <c r="E15780" s="12" t="s">
        <v>1479</v>
      </c>
      <c r="F15780" s="12" t="s">
        <v>1480</v>
      </c>
      <c r="G15780" s="12" t="s">
        <v>29</v>
      </c>
      <c r="H15780" s="11" t="s">
        <v>63</v>
      </c>
      <c r="I15780" s="13" t="s">
        <v>31223</v>
      </c>
      <c r="J15780" s="14" t="str">
        <f>HYPERLINK("https://www.boe.es/gazeta/dias/1839/04/09/pdfs/GMD-1839-1606.pdf#page=1","Abrir facsímil")</f>
        <v>Abrir facsímil</v>
      </c>
      <c r="K15780" s="12" t="s">
        <v>65</v>
      </c>
    </row>
    <row r="15781" spans="1:11" ht="40.049999999999997" customHeight="1" x14ac:dyDescent="0.25">
      <c r="A15781" s="11" t="s">
        <v>31224</v>
      </c>
      <c r="B15781" s="11" t="s">
        <v>31225</v>
      </c>
      <c r="C15781" s="11" t="s">
        <v>17</v>
      </c>
      <c r="D15781" s="11" t="s">
        <v>18</v>
      </c>
      <c r="E15781" s="12" t="s">
        <v>1523</v>
      </c>
      <c r="F15781" s="12" t="s">
        <v>1524</v>
      </c>
      <c r="G15781" s="12" t="s">
        <v>29</v>
      </c>
      <c r="H15781" s="11" t="s">
        <v>63</v>
      </c>
      <c r="I15781" s="13" t="s">
        <v>31226</v>
      </c>
      <c r="J15781" s="14" t="str">
        <f>HYPERLINK("https://www.boe.es/gazeta/dias/1839/08/29/pdfs/GMD-1839-1750.pdf#page=1","Abrir facsímil")</f>
        <v>Abrir facsímil</v>
      </c>
      <c r="K15781" s="12" t="s">
        <v>65</v>
      </c>
    </row>
    <row r="15782" spans="1:11" ht="40.049999999999997" customHeight="1" x14ac:dyDescent="0.25">
      <c r="A15782" s="11" t="s">
        <v>31227</v>
      </c>
      <c r="B15782" s="11" t="s">
        <v>31228</v>
      </c>
      <c r="C15782" s="11" t="s">
        <v>17</v>
      </c>
      <c r="D15782" s="11" t="s">
        <v>18</v>
      </c>
      <c r="E15782" s="12" t="s">
        <v>287</v>
      </c>
      <c r="F15782" s="12" t="s">
        <v>288</v>
      </c>
      <c r="G15782" s="12" t="s">
        <v>29</v>
      </c>
      <c r="H15782" s="11" t="s">
        <v>63</v>
      </c>
      <c r="I15782" s="13" t="s">
        <v>31229</v>
      </c>
      <c r="J15782" s="14" t="str">
        <f>HYPERLINK("https://www.boe.es/gazeta/dias/1839/11/27/pdfs/GMD-1839-1844.pdf#page=1","Abrir facsímil")</f>
        <v>Abrir facsímil</v>
      </c>
      <c r="K15782" s="12" t="s">
        <v>65</v>
      </c>
    </row>
    <row r="15783" spans="1:11" ht="40.049999999999997" customHeight="1" x14ac:dyDescent="0.25">
      <c r="A15783" s="11" t="s">
        <v>31230</v>
      </c>
      <c r="B15783" s="11" t="s">
        <v>31231</v>
      </c>
      <c r="C15783" s="11" t="s">
        <v>137</v>
      </c>
      <c r="D15783" s="11" t="s">
        <v>18</v>
      </c>
      <c r="E15783" s="12" t="s">
        <v>1988</v>
      </c>
      <c r="F15783" s="12" t="s">
        <v>1989</v>
      </c>
      <c r="G15783" s="12" t="s">
        <v>46</v>
      </c>
      <c r="H15783" s="11" t="s">
        <v>63</v>
      </c>
      <c r="I15783" s="13" t="s">
        <v>31232</v>
      </c>
      <c r="J15783" s="14" t="str">
        <f>HYPERLINK("https://www.boe.es/gazeta/dias/1839/10/29/pdfs/GMD-1839-1815.pdf#page=3","Abrir facsímil")</f>
        <v>Abrir facsímil</v>
      </c>
      <c r="K15783" s="12" t="s">
        <v>65</v>
      </c>
    </row>
    <row r="15784" spans="1:11" ht="40.049999999999997" customHeight="1" x14ac:dyDescent="0.25">
      <c r="A15784" s="11" t="s">
        <v>31233</v>
      </c>
      <c r="B15784" s="11" t="s">
        <v>31234</v>
      </c>
      <c r="C15784" s="11" t="s">
        <v>17</v>
      </c>
      <c r="D15784" s="11" t="s">
        <v>18</v>
      </c>
      <c r="E15784" s="12" t="s">
        <v>1867</v>
      </c>
      <c r="F15784" s="12" t="s">
        <v>1868</v>
      </c>
      <c r="G15784" s="12" t="s">
        <v>29</v>
      </c>
      <c r="H15784" s="11" t="s">
        <v>63</v>
      </c>
      <c r="I15784" s="13" t="s">
        <v>31235</v>
      </c>
      <c r="J15784" s="14" t="str">
        <f>HYPERLINK("https://www.boe.es/gazeta/dias/1839/01/30/pdfs/GMD-1839-1537.pdf#page=1","Abrir facsímil")</f>
        <v>Abrir facsímil</v>
      </c>
      <c r="K15784" s="12" t="s">
        <v>65</v>
      </c>
    </row>
    <row r="15785" spans="1:11" ht="40.049999999999997" customHeight="1" x14ac:dyDescent="0.25">
      <c r="A15785" s="11" t="s">
        <v>31236</v>
      </c>
      <c r="B15785" s="11" t="s">
        <v>31237</v>
      </c>
      <c r="C15785" s="11" t="s">
        <v>17</v>
      </c>
      <c r="D15785" s="11" t="s">
        <v>18</v>
      </c>
      <c r="E15785" s="12" t="s">
        <v>1584</v>
      </c>
      <c r="F15785" s="12" t="s">
        <v>1585</v>
      </c>
      <c r="G15785" s="12" t="s">
        <v>46</v>
      </c>
      <c r="H15785" s="11" t="s">
        <v>63</v>
      </c>
      <c r="I15785" s="13" t="s">
        <v>31238</v>
      </c>
      <c r="J15785" s="14" t="str">
        <f>HYPERLINK("https://www.boe.es/gazeta/dias/1839/11/20/pdfs/GMD-1839-1837.pdf#page=3","Abrir facsímil")</f>
        <v>Abrir facsímil</v>
      </c>
      <c r="K15785" s="12" t="s">
        <v>65</v>
      </c>
    </row>
    <row r="15786" spans="1:11" ht="40.049999999999997" customHeight="1" x14ac:dyDescent="0.25">
      <c r="A15786" s="11" t="s">
        <v>31239</v>
      </c>
      <c r="B15786" s="11" t="s">
        <v>31240</v>
      </c>
      <c r="C15786" s="11" t="s">
        <v>17</v>
      </c>
      <c r="D15786" s="11" t="s">
        <v>18</v>
      </c>
      <c r="E15786" s="12" t="s">
        <v>2851</v>
      </c>
      <c r="F15786" s="12" t="s">
        <v>2852</v>
      </c>
      <c r="G15786" s="12" t="s">
        <v>21</v>
      </c>
      <c r="H15786" s="11" t="s">
        <v>63</v>
      </c>
      <c r="I15786" s="13" t="s">
        <v>31241</v>
      </c>
      <c r="J15786" s="14" t="str">
        <f>HYPERLINK("https://www.boe.es/gazeta/dias/1839/05/16/pdfs/GMD-1839-1643.pdf#page=4","Abrir facsímil")</f>
        <v>Abrir facsímil</v>
      </c>
      <c r="K15786" s="12" t="s">
        <v>65</v>
      </c>
    </row>
    <row r="15787" spans="1:11" ht="40.049999999999997" customHeight="1" x14ac:dyDescent="0.25">
      <c r="A15787" s="11" t="s">
        <v>31242</v>
      </c>
      <c r="B15787" s="11" t="s">
        <v>31243</v>
      </c>
      <c r="C15787" s="11" t="s">
        <v>137</v>
      </c>
      <c r="D15787" s="11" t="s">
        <v>18</v>
      </c>
      <c r="E15787" s="12" t="s">
        <v>883</v>
      </c>
      <c r="F15787" s="12" t="s">
        <v>884</v>
      </c>
      <c r="G15787" s="12" t="s">
        <v>46</v>
      </c>
      <c r="H15787" s="11" t="s">
        <v>63</v>
      </c>
      <c r="I15787" s="13" t="s">
        <v>31244</v>
      </c>
      <c r="J15787" s="14" t="str">
        <f>HYPERLINK("https://www.boe.es/gazeta/dias/1839/11/03/pdfs/GMD-1839-1820.pdf#page=3","Abrir facsímil")</f>
        <v>Abrir facsímil</v>
      </c>
      <c r="K15787" s="12" t="s">
        <v>65</v>
      </c>
    </row>
    <row r="15788" spans="1:11" ht="40.049999999999997" customHeight="1" x14ac:dyDescent="0.25">
      <c r="A15788" s="11" t="s">
        <v>31245</v>
      </c>
      <c r="B15788" s="11" t="s">
        <v>31246</v>
      </c>
      <c r="C15788" s="11" t="s">
        <v>101</v>
      </c>
      <c r="D15788" s="11" t="s">
        <v>43</v>
      </c>
      <c r="E15788" s="12" t="s">
        <v>197</v>
      </c>
      <c r="F15788" s="12" t="s">
        <v>198</v>
      </c>
      <c r="G15788" s="12" t="s">
        <v>46</v>
      </c>
      <c r="H15788" s="11" t="s">
        <v>63</v>
      </c>
      <c r="I15788" s="13" t="s">
        <v>31247</v>
      </c>
      <c r="J15788" s="14" t="str">
        <f>HYPERLINK("https://www.boe.es/gazeta/dias/1839/10/04/pdfs/GMD-1839-1790.pdf#page=3","Abrir facsímil")</f>
        <v>Abrir facsímil</v>
      </c>
      <c r="K15788" s="12" t="s">
        <v>65</v>
      </c>
    </row>
    <row r="15789" spans="1:11" ht="40.049999999999997" customHeight="1" x14ac:dyDescent="0.25">
      <c r="A15789" s="11" t="s">
        <v>31248</v>
      </c>
      <c r="B15789" s="11" t="s">
        <v>31249</v>
      </c>
      <c r="C15789" s="11" t="s">
        <v>137</v>
      </c>
      <c r="D15789" s="11" t="s">
        <v>18</v>
      </c>
      <c r="E15789" s="12" t="s">
        <v>330</v>
      </c>
      <c r="F15789" s="12" t="s">
        <v>331</v>
      </c>
      <c r="G15789" s="12" t="s">
        <v>21</v>
      </c>
      <c r="H15789" s="11" t="s">
        <v>22</v>
      </c>
      <c r="I15789" s="13" t="s">
        <v>31250</v>
      </c>
      <c r="J15789" s="14" t="str">
        <f>HYPERLINK("https://www.boe.es/gazeta/dias/1839/04/11/pdfs/GMD-1839-1608.pdf#page=4","Abrir facsímil")</f>
        <v>Abrir facsímil</v>
      </c>
      <c r="K15789" s="12" t="s">
        <v>24</v>
      </c>
    </row>
    <row r="15790" spans="1:11" ht="40.049999999999997" customHeight="1" x14ac:dyDescent="0.25">
      <c r="A15790" s="11" t="s">
        <v>31251</v>
      </c>
      <c r="B15790" s="11" t="s">
        <v>31252</v>
      </c>
      <c r="C15790" s="11" t="s">
        <v>59</v>
      </c>
      <c r="D15790" s="11" t="s">
        <v>60</v>
      </c>
      <c r="E15790" s="12" t="s">
        <v>548</v>
      </c>
      <c r="F15790" s="12" t="s">
        <v>549</v>
      </c>
      <c r="G15790" s="12" t="s">
        <v>29</v>
      </c>
      <c r="H15790" s="11" t="s">
        <v>63</v>
      </c>
      <c r="I15790" s="13" t="s">
        <v>31253</v>
      </c>
      <c r="J15790" s="14" t="str">
        <f>HYPERLINK("https://www.boe.es/gazeta/dias/1839/06/06/pdfs/GMD-1839-1664.pdf#page=1","Abrir facsímil")</f>
        <v>Abrir facsímil</v>
      </c>
      <c r="K15790" s="12" t="s">
        <v>65</v>
      </c>
    </row>
    <row r="15791" spans="1:11" ht="40.049999999999997" customHeight="1" x14ac:dyDescent="0.25">
      <c r="A15791" s="11" t="s">
        <v>31254</v>
      </c>
      <c r="B15791" s="11" t="s">
        <v>31255</v>
      </c>
      <c r="C15791" s="11" t="s">
        <v>137</v>
      </c>
      <c r="D15791" s="11" t="s">
        <v>18</v>
      </c>
      <c r="E15791" s="12" t="s">
        <v>369</v>
      </c>
      <c r="F15791" s="12" t="s">
        <v>370</v>
      </c>
      <c r="G15791" s="12" t="s">
        <v>46</v>
      </c>
      <c r="H15791" s="11" t="s">
        <v>63</v>
      </c>
      <c r="I15791" s="13" t="s">
        <v>31256</v>
      </c>
      <c r="J15791" s="14" t="str">
        <f>HYPERLINK("https://www.boe.es/gazeta/dias/1839/11/01/pdfs/GMD-1839-1818.pdf#page=3","Abrir facsímil")</f>
        <v>Abrir facsímil</v>
      </c>
      <c r="K15791" s="12" t="s">
        <v>65</v>
      </c>
    </row>
    <row r="15792" spans="1:11" ht="40.049999999999997" customHeight="1" x14ac:dyDescent="0.25">
      <c r="A15792" s="11" t="s">
        <v>31257</v>
      </c>
      <c r="B15792" s="11" t="s">
        <v>31258</v>
      </c>
      <c r="C15792" s="11" t="s">
        <v>17</v>
      </c>
      <c r="D15792" s="11" t="s">
        <v>18</v>
      </c>
      <c r="E15792" s="12" t="s">
        <v>303</v>
      </c>
      <c r="F15792" s="12" t="s">
        <v>304</v>
      </c>
      <c r="G15792" s="12" t="s">
        <v>305</v>
      </c>
      <c r="H15792" s="11" t="s">
        <v>63</v>
      </c>
      <c r="I15792" s="13" t="s">
        <v>31259</v>
      </c>
      <c r="J15792" s="14" t="str">
        <f>HYPERLINK("https://www.boe.es/gazeta/dias/1839/10/06/pdfs/GMD-1839-1792.pdf#page=6","Abrir facsímil")</f>
        <v>Abrir facsímil</v>
      </c>
      <c r="K15792" s="12" t="s">
        <v>65</v>
      </c>
    </row>
    <row r="15793" spans="1:11" ht="40.049999999999997" customHeight="1" x14ac:dyDescent="0.25">
      <c r="A15793" s="11" t="s">
        <v>31257</v>
      </c>
      <c r="B15793" s="11" t="s">
        <v>31258</v>
      </c>
      <c r="C15793" s="11" t="s">
        <v>17</v>
      </c>
      <c r="D15793" s="11" t="s">
        <v>18</v>
      </c>
      <c r="E15793" s="12" t="s">
        <v>564</v>
      </c>
      <c r="F15793" s="12" t="s">
        <v>565</v>
      </c>
      <c r="G15793" s="12" t="s">
        <v>305</v>
      </c>
      <c r="H15793" s="11" t="s">
        <v>63</v>
      </c>
      <c r="I15793" s="13" t="s">
        <v>31260</v>
      </c>
      <c r="J15793" s="14" t="str">
        <f>HYPERLINK("https://www.boe.es/gazeta/dias/1839/10/17/pdfs/GMD-1839-1803.pdf#page=6","Abrir facsímil")</f>
        <v>Abrir facsímil</v>
      </c>
      <c r="K15793" s="12" t="s">
        <v>65</v>
      </c>
    </row>
    <row r="15794" spans="1:11" ht="40.049999999999997" customHeight="1" x14ac:dyDescent="0.25">
      <c r="A15794" s="11" t="s">
        <v>31261</v>
      </c>
      <c r="B15794" s="11" t="s">
        <v>31262</v>
      </c>
      <c r="C15794" s="11" t="s">
        <v>17</v>
      </c>
      <c r="D15794" s="11" t="s">
        <v>18</v>
      </c>
      <c r="E15794" s="12" t="s">
        <v>770</v>
      </c>
      <c r="F15794" s="12" t="s">
        <v>771</v>
      </c>
      <c r="G15794" s="12" t="s">
        <v>46</v>
      </c>
      <c r="H15794" s="11" t="s">
        <v>63</v>
      </c>
      <c r="I15794" s="13" t="s">
        <v>31263</v>
      </c>
      <c r="J15794" s="14" t="str">
        <f>HYPERLINK("https://www.boe.es/gazeta/dias/1839/12/05/pdfs/GMD-1839-1852.pdf#page=3","Abrir facsímil")</f>
        <v>Abrir facsímil</v>
      </c>
      <c r="K15794" s="12" t="s">
        <v>65</v>
      </c>
    </row>
    <row r="15795" spans="1:11" ht="40.049999999999997" customHeight="1" x14ac:dyDescent="0.25">
      <c r="A15795" s="11" t="s">
        <v>31261</v>
      </c>
      <c r="B15795" s="11" t="s">
        <v>31262</v>
      </c>
      <c r="C15795" s="11" t="s">
        <v>17</v>
      </c>
      <c r="D15795" s="11" t="s">
        <v>18</v>
      </c>
      <c r="E15795" s="12" t="s">
        <v>723</v>
      </c>
      <c r="F15795" s="12" t="s">
        <v>724</v>
      </c>
      <c r="G15795" s="12" t="s">
        <v>21</v>
      </c>
      <c r="H15795" s="11" t="s">
        <v>63</v>
      </c>
      <c r="I15795" s="13" t="s">
        <v>31264</v>
      </c>
      <c r="J15795" s="14" t="str">
        <f>HYPERLINK("https://www.boe.es/gazeta/dias/1839/09/26/pdfs/GMD-1839-1782.pdf#page=4","Abrir facsímil")</f>
        <v>Abrir facsímil</v>
      </c>
      <c r="K15795" s="12" t="s">
        <v>65</v>
      </c>
    </row>
    <row r="15796" spans="1:11" ht="40.049999999999997" customHeight="1" x14ac:dyDescent="0.25">
      <c r="A15796" s="11" t="s">
        <v>31261</v>
      </c>
      <c r="B15796" s="11" t="s">
        <v>31262</v>
      </c>
      <c r="C15796" s="11" t="s">
        <v>137</v>
      </c>
      <c r="D15796" s="11" t="s">
        <v>18</v>
      </c>
      <c r="E15796" s="12" t="s">
        <v>3391</v>
      </c>
      <c r="F15796" s="12" t="s">
        <v>3392</v>
      </c>
      <c r="G15796" s="12" t="s">
        <v>21</v>
      </c>
      <c r="H15796" s="11" t="s">
        <v>63</v>
      </c>
      <c r="I15796" s="13" t="s">
        <v>31265</v>
      </c>
      <c r="J15796" s="14" t="str">
        <f>HYPERLINK("https://www.boe.es/gazeta/dias/1839/12/31/pdfs/GMD-1839-1878.pdf#page=4","Abrir facsímil")</f>
        <v>Abrir facsímil</v>
      </c>
      <c r="K15796" s="12" t="s">
        <v>65</v>
      </c>
    </row>
    <row r="15797" spans="1:11" ht="40.049999999999997" customHeight="1" x14ac:dyDescent="0.25">
      <c r="A15797" s="11" t="s">
        <v>31266</v>
      </c>
      <c r="B15797" s="11" t="s">
        <v>31267</v>
      </c>
      <c r="C15797" s="11" t="s">
        <v>17</v>
      </c>
      <c r="D15797" s="11" t="s">
        <v>18</v>
      </c>
      <c r="E15797" s="12" t="s">
        <v>513</v>
      </c>
      <c r="F15797" s="12" t="s">
        <v>514</v>
      </c>
      <c r="G15797" s="12" t="s">
        <v>29</v>
      </c>
      <c r="H15797" s="11" t="s">
        <v>63</v>
      </c>
      <c r="I15797" s="13" t="s">
        <v>31268</v>
      </c>
      <c r="J15797" s="14" t="str">
        <f>HYPERLINK("https://www.boe.es/gazeta/dias/1839/03/17/pdfs/GMD-1839-1583.pdf#page=1","Abrir facsímil")</f>
        <v>Abrir facsímil</v>
      </c>
      <c r="K15797" s="12" t="s">
        <v>65</v>
      </c>
    </row>
    <row r="15798" spans="1:11" ht="40.049999999999997" customHeight="1" x14ac:dyDescent="0.25">
      <c r="A15798" s="11" t="s">
        <v>31269</v>
      </c>
      <c r="B15798" s="11" t="s">
        <v>31270</v>
      </c>
      <c r="C15798" s="11" t="s">
        <v>17</v>
      </c>
      <c r="D15798" s="11" t="s">
        <v>18</v>
      </c>
      <c r="E15798" s="12" t="s">
        <v>804</v>
      </c>
      <c r="F15798" s="12" t="s">
        <v>805</v>
      </c>
      <c r="G15798" s="12" t="s">
        <v>21</v>
      </c>
      <c r="H15798" s="11" t="s">
        <v>63</v>
      </c>
      <c r="I15798" s="13" t="s">
        <v>31271</v>
      </c>
      <c r="J15798" s="14" t="str">
        <f>HYPERLINK("https://www.boe.es/gazeta/dias/1839/01/08/pdfs/GMD-1839-1515.pdf#page=4","Abrir facsímil")</f>
        <v>Abrir facsímil</v>
      </c>
      <c r="K15798" s="12" t="s">
        <v>65</v>
      </c>
    </row>
    <row r="15799" spans="1:11" ht="40.049999999999997" customHeight="1" x14ac:dyDescent="0.25">
      <c r="A15799" s="11" t="s">
        <v>31272</v>
      </c>
      <c r="B15799" s="11" t="s">
        <v>31273</v>
      </c>
      <c r="C15799" s="11" t="s">
        <v>80</v>
      </c>
      <c r="D15799" s="11" t="s">
        <v>18</v>
      </c>
      <c r="E15799" s="12" t="s">
        <v>1310</v>
      </c>
      <c r="F15799" s="12" t="s">
        <v>1311</v>
      </c>
      <c r="G15799" s="12" t="s">
        <v>40</v>
      </c>
      <c r="H15799" s="11" t="s">
        <v>63</v>
      </c>
      <c r="I15799" s="13" t="s">
        <v>31274</v>
      </c>
      <c r="J15799" s="14" t="str">
        <f>HYPERLINK("https://www.boe.es/gazeta/dias/1839/04/23/pdfs/GMD-1839-1620.pdf#page=2","Abrir facsímil")</f>
        <v>Abrir facsímil</v>
      </c>
      <c r="K15799" s="12" t="s">
        <v>65</v>
      </c>
    </row>
    <row r="15800" spans="1:11" ht="40.049999999999997" customHeight="1" x14ac:dyDescent="0.25">
      <c r="A15800" s="11" t="s">
        <v>31275</v>
      </c>
      <c r="B15800" s="11" t="s">
        <v>31276</v>
      </c>
      <c r="C15800" s="11" t="s">
        <v>17</v>
      </c>
      <c r="D15800" s="11" t="s">
        <v>18</v>
      </c>
      <c r="E15800" s="12" t="s">
        <v>44</v>
      </c>
      <c r="F15800" s="12" t="s">
        <v>45</v>
      </c>
      <c r="G15800" s="12" t="s">
        <v>46</v>
      </c>
      <c r="H15800" s="11" t="s">
        <v>63</v>
      </c>
      <c r="I15800" s="13" t="s">
        <v>31277</v>
      </c>
      <c r="J15800" s="14" t="str">
        <f>HYPERLINK("https://www.boe.es/gazeta/dias/1839/11/15/pdfs/GMD-1839-1832.pdf#page=3","Abrir facsímil")</f>
        <v>Abrir facsímil</v>
      </c>
      <c r="K15800" s="12" t="s">
        <v>65</v>
      </c>
    </row>
    <row r="15801" spans="1:11" ht="40.049999999999997" customHeight="1" x14ac:dyDescent="0.25">
      <c r="A15801" s="11" t="s">
        <v>31278</v>
      </c>
      <c r="B15801" s="11" t="s">
        <v>31279</v>
      </c>
      <c r="C15801" s="11" t="s">
        <v>17</v>
      </c>
      <c r="D15801" s="11" t="s">
        <v>18</v>
      </c>
      <c r="E15801" s="12" t="s">
        <v>287</v>
      </c>
      <c r="F15801" s="12" t="s">
        <v>288</v>
      </c>
      <c r="G15801" s="12" t="s">
        <v>29</v>
      </c>
      <c r="H15801" s="11" t="s">
        <v>63</v>
      </c>
      <c r="I15801" s="13" t="s">
        <v>31280</v>
      </c>
      <c r="J15801" s="14" t="str">
        <f>HYPERLINK("https://www.boe.es/gazeta/dias/1839/11/27/pdfs/GMD-1839-1844.pdf#page=1","Abrir facsímil")</f>
        <v>Abrir facsímil</v>
      </c>
      <c r="K15801" s="12" t="s">
        <v>65</v>
      </c>
    </row>
    <row r="15802" spans="1:11" ht="40.049999999999997" customHeight="1" x14ac:dyDescent="0.25">
      <c r="A15802" s="11" t="s">
        <v>31281</v>
      </c>
      <c r="B15802" s="11" t="s">
        <v>31282</v>
      </c>
      <c r="C15802" s="11" t="s">
        <v>17</v>
      </c>
      <c r="D15802" s="11" t="s">
        <v>18</v>
      </c>
      <c r="E15802" s="12" t="s">
        <v>582</v>
      </c>
      <c r="F15802" s="12" t="s">
        <v>583</v>
      </c>
      <c r="G15802" s="12" t="s">
        <v>21</v>
      </c>
      <c r="H15802" s="11" t="s">
        <v>63</v>
      </c>
      <c r="I15802" s="13" t="s">
        <v>31283</v>
      </c>
      <c r="J15802" s="14" t="str">
        <f>HYPERLINK("https://www.boe.es/gazeta/dias/1839/11/09/pdfs/GMD-1839-1826.pdf#page=4","Abrir facsímil")</f>
        <v>Abrir facsímil</v>
      </c>
      <c r="K15802" s="12" t="s">
        <v>65</v>
      </c>
    </row>
    <row r="15803" spans="1:11" ht="40.049999999999997" customHeight="1" x14ac:dyDescent="0.25">
      <c r="A15803" s="11" t="s">
        <v>31284</v>
      </c>
      <c r="B15803" s="11" t="s">
        <v>31285</v>
      </c>
      <c r="C15803" s="11" t="s">
        <v>17</v>
      </c>
      <c r="D15803" s="11" t="s">
        <v>18</v>
      </c>
      <c r="E15803" s="12" t="s">
        <v>168</v>
      </c>
      <c r="F15803" s="12" t="s">
        <v>169</v>
      </c>
      <c r="G15803" s="12" t="s">
        <v>46</v>
      </c>
      <c r="H15803" s="11" t="s">
        <v>63</v>
      </c>
      <c r="I15803" s="13" t="s">
        <v>31286</v>
      </c>
      <c r="J15803" s="14" t="str">
        <f>HYPERLINK("https://www.boe.es/gazeta/dias/1839/07/12/pdfs/GMD-1839-1700.pdf#page=3","Abrir facsímil")</f>
        <v>Abrir facsímil</v>
      </c>
      <c r="K15803" s="12" t="s">
        <v>65</v>
      </c>
    </row>
    <row r="15804" spans="1:11" ht="40.049999999999997" customHeight="1" x14ac:dyDescent="0.25">
      <c r="A15804" s="11" t="s">
        <v>31287</v>
      </c>
      <c r="B15804" s="11" t="s">
        <v>31288</v>
      </c>
      <c r="C15804" s="11" t="s">
        <v>101</v>
      </c>
      <c r="D15804" s="11" t="s">
        <v>43</v>
      </c>
      <c r="E15804" s="12" t="s">
        <v>2165</v>
      </c>
      <c r="F15804" s="12" t="s">
        <v>2166</v>
      </c>
      <c r="G15804" s="12" t="s">
        <v>40</v>
      </c>
      <c r="H15804" s="11" t="s">
        <v>63</v>
      </c>
      <c r="I15804" s="13" t="s">
        <v>31289</v>
      </c>
      <c r="J15804" s="14" t="str">
        <f>HYPERLINK("https://www.boe.es/gazeta/dias/1839/01/06/pdfs/GMD-1839-1513.pdf#page=2","Abrir facsímil")</f>
        <v>Abrir facsímil</v>
      </c>
      <c r="K15804" s="12" t="s">
        <v>65</v>
      </c>
    </row>
    <row r="15805" spans="1:11" ht="40.049999999999997" customHeight="1" x14ac:dyDescent="0.25">
      <c r="A15805" s="11" t="s">
        <v>31287</v>
      </c>
      <c r="B15805" s="11" t="s">
        <v>31288</v>
      </c>
      <c r="C15805" s="11" t="s">
        <v>17</v>
      </c>
      <c r="D15805" s="11" t="s">
        <v>18</v>
      </c>
      <c r="E15805" s="12" t="s">
        <v>192</v>
      </c>
      <c r="F15805" s="12" t="s">
        <v>193</v>
      </c>
      <c r="G15805" s="12" t="s">
        <v>21</v>
      </c>
      <c r="H15805" s="11" t="s">
        <v>63</v>
      </c>
      <c r="I15805" s="13" t="s">
        <v>31290</v>
      </c>
      <c r="J15805" s="14" t="str">
        <f>HYPERLINK("https://www.boe.es/gazeta/dias/1839/01/12/pdfs/GMD-1839-1519.pdf#page=4","Abrir facsímil")</f>
        <v>Abrir facsímil</v>
      </c>
      <c r="K15805" s="12" t="s">
        <v>65</v>
      </c>
    </row>
    <row r="15806" spans="1:11" ht="40.049999999999997" customHeight="1" x14ac:dyDescent="0.25">
      <c r="A15806" s="11" t="s">
        <v>31291</v>
      </c>
      <c r="B15806" s="11" t="s">
        <v>31292</v>
      </c>
      <c r="C15806" s="11" t="s">
        <v>17</v>
      </c>
      <c r="D15806" s="11" t="s">
        <v>18</v>
      </c>
      <c r="E15806" s="12" t="s">
        <v>197</v>
      </c>
      <c r="F15806" s="12" t="s">
        <v>198</v>
      </c>
      <c r="G15806" s="12" t="s">
        <v>46</v>
      </c>
      <c r="H15806" s="11" t="s">
        <v>63</v>
      </c>
      <c r="I15806" s="13" t="s">
        <v>31293</v>
      </c>
      <c r="J15806" s="14" t="str">
        <f>HYPERLINK("https://www.boe.es/gazeta/dias/1839/10/04/pdfs/GMD-1839-1790.pdf#page=3","Abrir facsímil")</f>
        <v>Abrir facsímil</v>
      </c>
      <c r="K15806" s="12" t="s">
        <v>65</v>
      </c>
    </row>
    <row r="15807" spans="1:11" ht="40.049999999999997" customHeight="1" x14ac:dyDescent="0.25">
      <c r="A15807" s="11" t="s">
        <v>31294</v>
      </c>
      <c r="B15807" s="11" t="s">
        <v>31295</v>
      </c>
      <c r="C15807" s="11" t="s">
        <v>101</v>
      </c>
      <c r="D15807" s="11" t="s">
        <v>43</v>
      </c>
      <c r="E15807" s="12" t="s">
        <v>1929</v>
      </c>
      <c r="F15807" s="12" t="s">
        <v>1930</v>
      </c>
      <c r="G15807" s="12" t="s">
        <v>46</v>
      </c>
      <c r="H15807" s="11" t="s">
        <v>63</v>
      </c>
      <c r="I15807" s="13" t="s">
        <v>31296</v>
      </c>
      <c r="J15807" s="14" t="str">
        <f>HYPERLINK("https://www.boe.es/gazeta/dias/1839/02/01/pdfs/GMD-1839-1539.pdf#page=3","Abrir facsímil")</f>
        <v>Abrir facsímil</v>
      </c>
      <c r="K15807" s="12" t="s">
        <v>65</v>
      </c>
    </row>
    <row r="15808" spans="1:11" ht="40.049999999999997" customHeight="1" x14ac:dyDescent="0.25">
      <c r="A15808" s="11" t="s">
        <v>31297</v>
      </c>
      <c r="B15808" s="11" t="s">
        <v>31298</v>
      </c>
      <c r="C15808" s="11" t="s">
        <v>17</v>
      </c>
      <c r="D15808" s="11" t="s">
        <v>18</v>
      </c>
      <c r="E15808" s="12" t="s">
        <v>108</v>
      </c>
      <c r="F15808" s="12" t="s">
        <v>109</v>
      </c>
      <c r="G15808" s="12" t="s">
        <v>21</v>
      </c>
      <c r="H15808" s="11" t="s">
        <v>63</v>
      </c>
      <c r="I15808" s="13" t="s">
        <v>31299</v>
      </c>
      <c r="J15808" s="14" t="str">
        <f>HYPERLINK("https://www.boe.es/gazeta/dias/1839/01/04/pdfs/GMD-1839-1511.pdf#page=4","Abrir facsímil")</f>
        <v>Abrir facsímil</v>
      </c>
      <c r="K15808" s="12" t="s">
        <v>65</v>
      </c>
    </row>
    <row r="15809" spans="1:11" ht="40.049999999999997" customHeight="1" x14ac:dyDescent="0.25">
      <c r="A15809" s="11" t="s">
        <v>31300</v>
      </c>
      <c r="B15809" s="11" t="s">
        <v>31301</v>
      </c>
      <c r="C15809" s="11" t="s">
        <v>17</v>
      </c>
      <c r="D15809" s="11" t="s">
        <v>18</v>
      </c>
      <c r="E15809" s="12" t="s">
        <v>513</v>
      </c>
      <c r="F15809" s="12" t="s">
        <v>514</v>
      </c>
      <c r="G15809" s="12" t="s">
        <v>29</v>
      </c>
      <c r="H15809" s="11" t="s">
        <v>63</v>
      </c>
      <c r="I15809" s="13" t="s">
        <v>31302</v>
      </c>
      <c r="J15809" s="14" t="str">
        <f>HYPERLINK("https://www.boe.es/gazeta/dias/1839/03/17/pdfs/GMD-1839-1583.pdf#page=1","Abrir facsímil")</f>
        <v>Abrir facsímil</v>
      </c>
      <c r="K15809" s="12" t="s">
        <v>65</v>
      </c>
    </row>
    <row r="15810" spans="1:11" ht="40.049999999999997" customHeight="1" x14ac:dyDescent="0.25">
      <c r="A15810" s="11" t="s">
        <v>31303</v>
      </c>
      <c r="B15810" s="11" t="s">
        <v>31304</v>
      </c>
      <c r="C15810" s="11" t="s">
        <v>137</v>
      </c>
      <c r="D15810" s="11" t="s">
        <v>18</v>
      </c>
      <c r="E15810" s="12" t="s">
        <v>157</v>
      </c>
      <c r="F15810" s="12" t="s">
        <v>158</v>
      </c>
      <c r="G15810" s="12" t="s">
        <v>21</v>
      </c>
      <c r="H15810" s="11" t="s">
        <v>63</v>
      </c>
      <c r="I15810" s="13" t="s">
        <v>31305</v>
      </c>
      <c r="J15810" s="14" t="str">
        <f>HYPERLINK("https://www.boe.es/gazeta/dias/1839/02/08/pdfs/GMD-1839-1546.pdf#page=4","Abrir facsímil")</f>
        <v>Abrir facsímil</v>
      </c>
      <c r="K15810" s="12" t="s">
        <v>65</v>
      </c>
    </row>
    <row r="15811" spans="1:11" ht="40.049999999999997" customHeight="1" x14ac:dyDescent="0.25">
      <c r="A15811" s="11" t="s">
        <v>31306</v>
      </c>
      <c r="B15811" s="11" t="s">
        <v>31307</v>
      </c>
      <c r="C15811" s="11" t="s">
        <v>17</v>
      </c>
      <c r="D15811" s="11" t="s">
        <v>18</v>
      </c>
      <c r="E15811" s="12" t="s">
        <v>163</v>
      </c>
      <c r="F15811" s="12" t="s">
        <v>164</v>
      </c>
      <c r="G15811" s="12" t="s">
        <v>29</v>
      </c>
      <c r="H15811" s="11" t="s">
        <v>63</v>
      </c>
      <c r="I15811" s="13" t="s">
        <v>31308</v>
      </c>
      <c r="J15811" s="14" t="str">
        <f>HYPERLINK("https://www.boe.es/gazeta/dias/1839/01/13/pdfs/GMD-1839-1520.pdf#page=1","Abrir facsímil")</f>
        <v>Abrir facsímil</v>
      </c>
      <c r="K15811" s="12" t="s">
        <v>65</v>
      </c>
    </row>
    <row r="15812" spans="1:11" ht="40.049999999999997" customHeight="1" x14ac:dyDescent="0.25">
      <c r="A15812" s="11" t="s">
        <v>31309</v>
      </c>
      <c r="B15812" s="11" t="s">
        <v>31310</v>
      </c>
      <c r="C15812" s="11" t="s">
        <v>80</v>
      </c>
      <c r="D15812" s="11" t="s">
        <v>173</v>
      </c>
      <c r="E15812" s="12" t="s">
        <v>303</v>
      </c>
      <c r="F15812" s="12" t="s">
        <v>304</v>
      </c>
      <c r="G15812" s="12" t="s">
        <v>305</v>
      </c>
      <c r="H15812" s="11" t="s">
        <v>22</v>
      </c>
      <c r="I15812" s="13" t="s">
        <v>31311</v>
      </c>
      <c r="J15812" s="14" t="str">
        <f>HYPERLINK("https://www.boe.es/gazeta/dias/1839/10/06/pdfs/GMD-1839-1792.pdf#page=6","Abrir facsímil")</f>
        <v>Abrir facsímil</v>
      </c>
      <c r="K15812" s="12" t="s">
        <v>24</v>
      </c>
    </row>
    <row r="15813" spans="1:11" ht="40.049999999999997" customHeight="1" x14ac:dyDescent="0.25">
      <c r="A15813" s="11" t="s">
        <v>31312</v>
      </c>
      <c r="B15813" s="11" t="s">
        <v>31313</v>
      </c>
      <c r="C15813" s="11" t="s">
        <v>17</v>
      </c>
      <c r="D15813" s="11" t="s">
        <v>18</v>
      </c>
      <c r="E15813" s="12" t="s">
        <v>108</v>
      </c>
      <c r="F15813" s="12" t="s">
        <v>109</v>
      </c>
      <c r="G15813" s="12" t="s">
        <v>40</v>
      </c>
      <c r="H15813" s="11" t="s">
        <v>63</v>
      </c>
      <c r="I15813" s="13" t="s">
        <v>31314</v>
      </c>
      <c r="J15813" s="14" t="str">
        <f>HYPERLINK("https://www.boe.es/gazeta/dias/1839/01/04/pdfs/GMD-1839-1511.pdf#page=2","Abrir facsímil")</f>
        <v>Abrir facsímil</v>
      </c>
      <c r="K15813" s="12" t="s">
        <v>65</v>
      </c>
    </row>
    <row r="15814" spans="1:11" ht="40.049999999999997" customHeight="1" x14ac:dyDescent="0.25">
      <c r="A15814" s="11" t="s">
        <v>31315</v>
      </c>
      <c r="B15814" s="11" t="s">
        <v>31316</v>
      </c>
      <c r="C15814" s="11" t="s">
        <v>59</v>
      </c>
      <c r="D15814" s="11" t="s">
        <v>60</v>
      </c>
      <c r="E15814" s="12" t="s">
        <v>2301</v>
      </c>
      <c r="F15814" s="12" t="s">
        <v>2302</v>
      </c>
      <c r="G15814" s="12" t="s">
        <v>40</v>
      </c>
      <c r="H15814" s="11" t="s">
        <v>63</v>
      </c>
      <c r="I15814" s="13" t="s">
        <v>31317</v>
      </c>
      <c r="J15814" s="14" t="str">
        <f>HYPERLINK("https://www.boe.es/gazeta/dias/1839/09/08/pdfs/GMD-1839-1761.pdf#page=2","Abrir facsímil")</f>
        <v>Abrir facsímil</v>
      </c>
      <c r="K15814" s="12" t="s">
        <v>65</v>
      </c>
    </row>
    <row r="15815" spans="1:11" ht="40.049999999999997" customHeight="1" x14ac:dyDescent="0.25">
      <c r="A15815" s="11" t="s">
        <v>31318</v>
      </c>
      <c r="B15815" s="11" t="s">
        <v>31319</v>
      </c>
      <c r="C15815" s="11" t="s">
        <v>80</v>
      </c>
      <c r="D15815" s="11" t="s">
        <v>18</v>
      </c>
      <c r="E15815" s="12" t="s">
        <v>690</v>
      </c>
      <c r="F15815" s="12" t="s">
        <v>691</v>
      </c>
      <c r="G15815" s="12" t="s">
        <v>46</v>
      </c>
      <c r="H15815" s="11" t="s">
        <v>63</v>
      </c>
      <c r="I15815" s="13" t="s">
        <v>31320</v>
      </c>
      <c r="J15815" s="14" t="str">
        <f>HYPERLINK("https://www.boe.es/gazeta/dias/1839/12/08/pdfs/GMD-1839-1855.pdf#page=3","Abrir facsímil")</f>
        <v>Abrir facsímil</v>
      </c>
      <c r="K15815" s="12" t="s">
        <v>65</v>
      </c>
    </row>
    <row r="15816" spans="1:11" ht="40.049999999999997" customHeight="1" x14ac:dyDescent="0.25">
      <c r="A15816" s="11" t="s">
        <v>31321</v>
      </c>
      <c r="B15816" s="11" t="s">
        <v>31322</v>
      </c>
      <c r="C15816" s="11" t="s">
        <v>17</v>
      </c>
      <c r="D15816" s="11" t="s">
        <v>18</v>
      </c>
      <c r="E15816" s="12" t="s">
        <v>1551</v>
      </c>
      <c r="F15816" s="12" t="s">
        <v>1552</v>
      </c>
      <c r="G15816" s="12" t="s">
        <v>29</v>
      </c>
      <c r="H15816" s="11" t="s">
        <v>63</v>
      </c>
      <c r="I15816" s="13" t="s">
        <v>31323</v>
      </c>
      <c r="J15816" s="14" t="str">
        <f>HYPERLINK("https://www.boe.es/gazeta/dias/1839/06/30/pdfs/GMD-1839-1688.pdf#page=1","Abrir facsímil")</f>
        <v>Abrir facsímil</v>
      </c>
      <c r="K15816" s="12" t="s">
        <v>65</v>
      </c>
    </row>
    <row r="15817" spans="1:11" ht="40.049999999999997" customHeight="1" x14ac:dyDescent="0.25">
      <c r="A15817" s="11" t="s">
        <v>31324</v>
      </c>
      <c r="B15817" s="11" t="s">
        <v>31325</v>
      </c>
      <c r="C15817" s="11" t="s">
        <v>137</v>
      </c>
      <c r="D15817" s="11" t="s">
        <v>18</v>
      </c>
      <c r="E15817" s="12" t="s">
        <v>2165</v>
      </c>
      <c r="F15817" s="12" t="s">
        <v>2166</v>
      </c>
      <c r="G15817" s="12" t="s">
        <v>40</v>
      </c>
      <c r="H15817" s="11" t="s">
        <v>63</v>
      </c>
      <c r="I15817" s="13" t="s">
        <v>31326</v>
      </c>
      <c r="J15817" s="14" t="str">
        <f>HYPERLINK("https://www.boe.es/gazeta/dias/1839/01/06/pdfs/GMD-1839-1513.pdf#page=2","Abrir facsímil")</f>
        <v>Abrir facsímil</v>
      </c>
      <c r="K15817" s="12" t="s">
        <v>65</v>
      </c>
    </row>
    <row r="15818" spans="1:11" ht="40.049999999999997" customHeight="1" x14ac:dyDescent="0.25">
      <c r="A15818" s="11" t="s">
        <v>31327</v>
      </c>
      <c r="B15818" s="11" t="s">
        <v>31328</v>
      </c>
      <c r="C15818" s="11" t="s">
        <v>17</v>
      </c>
      <c r="D15818" s="11" t="s">
        <v>18</v>
      </c>
      <c r="E15818" s="12" t="s">
        <v>3633</v>
      </c>
      <c r="F15818" s="12" t="s">
        <v>3634</v>
      </c>
      <c r="G15818" s="12" t="s">
        <v>21</v>
      </c>
      <c r="H15818" s="11" t="s">
        <v>63</v>
      </c>
      <c r="I15818" s="13" t="s">
        <v>31329</v>
      </c>
      <c r="J15818" s="14" t="str">
        <f>HYPERLINK("https://www.boe.es/gazeta/dias/1839/04/12/pdfs/GMD-1839-1609.pdf#page=4","Abrir facsímil")</f>
        <v>Abrir facsímil</v>
      </c>
      <c r="K15818" s="12" t="s">
        <v>65</v>
      </c>
    </row>
    <row r="15819" spans="1:11" ht="40.049999999999997" customHeight="1" x14ac:dyDescent="0.25">
      <c r="A15819" s="11" t="s">
        <v>31330</v>
      </c>
      <c r="B15819" s="11" t="s">
        <v>31331</v>
      </c>
      <c r="C15819" s="11" t="s">
        <v>80</v>
      </c>
      <c r="D15819" s="11" t="s">
        <v>18</v>
      </c>
      <c r="E15819" s="12" t="s">
        <v>474</v>
      </c>
      <c r="F15819" s="12" t="s">
        <v>475</v>
      </c>
      <c r="G15819" s="12" t="s">
        <v>21</v>
      </c>
      <c r="H15819" s="11" t="s">
        <v>63</v>
      </c>
      <c r="I15819" s="13" t="s">
        <v>31332</v>
      </c>
      <c r="J15819" s="14" t="str">
        <f>HYPERLINK("https://www.boe.es/gazeta/dias/1839/03/31/pdfs/GMD-1839-1597.pdf#page=4","Abrir facsímil")</f>
        <v>Abrir facsímil</v>
      </c>
      <c r="K15819" s="12" t="s">
        <v>65</v>
      </c>
    </row>
    <row r="15820" spans="1:11" ht="40.049999999999997" customHeight="1" x14ac:dyDescent="0.25">
      <c r="A15820" s="11" t="s">
        <v>31333</v>
      </c>
      <c r="B15820" s="11" t="s">
        <v>31334</v>
      </c>
      <c r="C15820" s="11" t="s">
        <v>80</v>
      </c>
      <c r="D15820" s="11" t="s">
        <v>173</v>
      </c>
      <c r="E15820" s="12" t="s">
        <v>1356</v>
      </c>
      <c r="F15820" s="12" t="s">
        <v>1357</v>
      </c>
      <c r="G15820" s="12" t="s">
        <v>21</v>
      </c>
      <c r="H15820" s="11" t="s">
        <v>63</v>
      </c>
      <c r="I15820" s="13" t="s">
        <v>31335</v>
      </c>
      <c r="J15820" s="14" t="str">
        <f>HYPERLINK("https://www.boe.es/gazeta/dias/1839/06/05/pdfs/GMD-1839-1663.pdf#page=4","Abrir facsímil")</f>
        <v>Abrir facsímil</v>
      </c>
      <c r="K15820" s="12" t="s">
        <v>65</v>
      </c>
    </row>
    <row r="15821" spans="1:11" ht="40.049999999999997" customHeight="1" x14ac:dyDescent="0.25">
      <c r="A15821" s="11" t="s">
        <v>31336</v>
      </c>
      <c r="B15821" s="11" t="s">
        <v>31337</v>
      </c>
      <c r="C15821" s="11" t="s">
        <v>101</v>
      </c>
      <c r="D15821" s="11" t="s">
        <v>43</v>
      </c>
      <c r="E15821" s="12" t="s">
        <v>606</v>
      </c>
      <c r="F15821" s="12" t="s">
        <v>607</v>
      </c>
      <c r="G15821" s="12" t="s">
        <v>40</v>
      </c>
      <c r="H15821" s="11" t="s">
        <v>63</v>
      </c>
      <c r="I15821" s="13" t="s">
        <v>31338</v>
      </c>
      <c r="J15821" s="14" t="str">
        <f>HYPERLINK("https://www.boe.es/gazeta/dias/1839/04/02/pdfs/GMD-1839-1599.pdf#page=2","Abrir facsímil")</f>
        <v>Abrir facsímil</v>
      </c>
      <c r="K15821" s="12" t="s">
        <v>65</v>
      </c>
    </row>
    <row r="15822" spans="1:11" ht="40.049999999999997" customHeight="1" x14ac:dyDescent="0.25">
      <c r="A15822" s="11" t="s">
        <v>31339</v>
      </c>
      <c r="B15822" s="11" t="s">
        <v>31340</v>
      </c>
      <c r="C15822" s="11" t="s">
        <v>17</v>
      </c>
      <c r="D15822" s="11" t="s">
        <v>18</v>
      </c>
      <c r="E15822" s="12" t="s">
        <v>606</v>
      </c>
      <c r="F15822" s="12" t="s">
        <v>607</v>
      </c>
      <c r="G15822" s="12" t="s">
        <v>29</v>
      </c>
      <c r="H15822" s="11" t="s">
        <v>63</v>
      </c>
      <c r="I15822" s="13" t="s">
        <v>31341</v>
      </c>
      <c r="J15822" s="14" t="str">
        <f>HYPERLINK("https://www.boe.es/gazeta/dias/1839/04/02/pdfs/GMD-1839-1599.pdf#page=1","Abrir facsímil")</f>
        <v>Abrir facsímil</v>
      </c>
      <c r="K15822" s="12" t="s">
        <v>65</v>
      </c>
    </row>
    <row r="15823" spans="1:11" ht="40.049999999999997" customHeight="1" x14ac:dyDescent="0.25">
      <c r="A15823" s="11" t="s">
        <v>31339</v>
      </c>
      <c r="B15823" s="11" t="s">
        <v>31340</v>
      </c>
      <c r="C15823" s="11" t="s">
        <v>17</v>
      </c>
      <c r="D15823" s="11" t="s">
        <v>18</v>
      </c>
      <c r="E15823" s="12" t="s">
        <v>4921</v>
      </c>
      <c r="F15823" s="12" t="s">
        <v>4922</v>
      </c>
      <c r="G15823" s="12" t="s">
        <v>29</v>
      </c>
      <c r="H15823" s="11" t="s">
        <v>63</v>
      </c>
      <c r="I15823" s="13" t="s">
        <v>31342</v>
      </c>
      <c r="J15823" s="14" t="str">
        <f>HYPERLINK("https://www.boe.es/gazeta/dias/1839/11/05/pdfs/GMD-1839-1822.pdf#page=1","Abrir facsímil")</f>
        <v>Abrir facsímil</v>
      </c>
      <c r="K15823" s="12" t="s">
        <v>65</v>
      </c>
    </row>
    <row r="15824" spans="1:11" ht="40.049999999999997" customHeight="1" x14ac:dyDescent="0.25">
      <c r="A15824" s="11" t="s">
        <v>31339</v>
      </c>
      <c r="B15824" s="11" t="s">
        <v>31340</v>
      </c>
      <c r="C15824" s="11" t="s">
        <v>137</v>
      </c>
      <c r="D15824" s="11" t="s">
        <v>18</v>
      </c>
      <c r="E15824" s="12" t="s">
        <v>503</v>
      </c>
      <c r="F15824" s="12" t="s">
        <v>504</v>
      </c>
      <c r="G15824" s="12" t="s">
        <v>40</v>
      </c>
      <c r="H15824" s="11" t="s">
        <v>63</v>
      </c>
      <c r="I15824" s="13" t="s">
        <v>31343</v>
      </c>
      <c r="J15824" s="14" t="str">
        <f>HYPERLINK("https://www.boe.es/gazeta/dias/1839/06/07/pdfs/GMD-1839-1665.pdf#page=2","Abrir facsímil")</f>
        <v>Abrir facsímil</v>
      </c>
      <c r="K15824" s="12" t="s">
        <v>65</v>
      </c>
    </row>
    <row r="15825" spans="1:11" ht="40.049999999999997" customHeight="1" x14ac:dyDescent="0.25">
      <c r="A15825" s="11" t="s">
        <v>31339</v>
      </c>
      <c r="B15825" s="11" t="s">
        <v>31340</v>
      </c>
      <c r="C15825" s="11" t="s">
        <v>17</v>
      </c>
      <c r="D15825" s="11" t="s">
        <v>18</v>
      </c>
      <c r="E15825" s="12" t="s">
        <v>395</v>
      </c>
      <c r="F15825" s="12" t="s">
        <v>396</v>
      </c>
      <c r="G15825" s="12" t="s">
        <v>29</v>
      </c>
      <c r="H15825" s="11" t="s">
        <v>63</v>
      </c>
      <c r="I15825" s="13" t="s">
        <v>31344</v>
      </c>
      <c r="J15825" s="14" t="str">
        <f>HYPERLINK("https://www.boe.es/gazeta/dias/1839/03/15/pdfs/GMD-1839-1581.pdf#page=1","Abrir facsímil")</f>
        <v>Abrir facsímil</v>
      </c>
      <c r="K15825" s="12" t="s">
        <v>65</v>
      </c>
    </row>
    <row r="15826" spans="1:11" ht="40.049999999999997" customHeight="1" x14ac:dyDescent="0.25">
      <c r="A15826" s="11" t="s">
        <v>31339</v>
      </c>
      <c r="B15826" s="11" t="s">
        <v>31340</v>
      </c>
      <c r="C15826" s="11" t="s">
        <v>17</v>
      </c>
      <c r="D15826" s="11" t="s">
        <v>18</v>
      </c>
      <c r="E15826" s="12" t="s">
        <v>284</v>
      </c>
      <c r="F15826" s="12" t="s">
        <v>285</v>
      </c>
      <c r="G15826" s="12" t="s">
        <v>29</v>
      </c>
      <c r="H15826" s="11" t="s">
        <v>63</v>
      </c>
      <c r="I15826" s="13" t="s">
        <v>31345</v>
      </c>
      <c r="J15826" s="14" t="str">
        <f>HYPERLINK("https://www.boe.es/gazeta/dias/1839/01/27/pdfs/GMD-1839-1534.pdf#page=1","Abrir facsímil")</f>
        <v>Abrir facsímil</v>
      </c>
      <c r="K15826" s="12" t="s">
        <v>65</v>
      </c>
    </row>
    <row r="15827" spans="1:11" ht="40.049999999999997" customHeight="1" x14ac:dyDescent="0.25">
      <c r="A15827" s="11" t="s">
        <v>31346</v>
      </c>
      <c r="B15827" s="11" t="s">
        <v>31347</v>
      </c>
      <c r="C15827" s="11" t="s">
        <v>17</v>
      </c>
      <c r="D15827" s="11" t="s">
        <v>18</v>
      </c>
      <c r="E15827" s="12" t="s">
        <v>2222</v>
      </c>
      <c r="F15827" s="12" t="s">
        <v>2223</v>
      </c>
      <c r="G15827" s="12" t="s">
        <v>40</v>
      </c>
      <c r="H15827" s="11" t="s">
        <v>63</v>
      </c>
      <c r="I15827" s="13" t="s">
        <v>31348</v>
      </c>
      <c r="J15827" s="14" t="str">
        <f>HYPERLINK("https://www.boe.es/gazeta/dias/1839/09/19/pdfs/GMD-1839-1773.pdf#page=2","Abrir facsímil")</f>
        <v>Abrir facsímil</v>
      </c>
      <c r="K15827" s="12" t="s">
        <v>65</v>
      </c>
    </row>
    <row r="15828" spans="1:11" ht="40.049999999999997" customHeight="1" x14ac:dyDescent="0.25">
      <c r="A15828" s="11" t="s">
        <v>31349</v>
      </c>
      <c r="B15828" s="11" t="s">
        <v>31350</v>
      </c>
      <c r="C15828" s="11" t="s">
        <v>17</v>
      </c>
      <c r="D15828" s="11" t="s">
        <v>18</v>
      </c>
      <c r="E15828" s="12" t="s">
        <v>568</v>
      </c>
      <c r="F15828" s="12" t="s">
        <v>569</v>
      </c>
      <c r="G15828" s="12" t="s">
        <v>21</v>
      </c>
      <c r="H15828" s="11" t="s">
        <v>63</v>
      </c>
      <c r="I15828" s="13" t="s">
        <v>31351</v>
      </c>
      <c r="J15828" s="14" t="str">
        <f>HYPERLINK("https://www.boe.es/gazeta/dias/1839/10/23/pdfs/GMD-1839-1809.pdf#page=4","Abrir facsímil")</f>
        <v>Abrir facsímil</v>
      </c>
      <c r="K15828" s="12" t="s">
        <v>65</v>
      </c>
    </row>
    <row r="15829" spans="1:11" ht="40.049999999999997" customHeight="1" x14ac:dyDescent="0.25">
      <c r="A15829" s="11" t="s">
        <v>31352</v>
      </c>
      <c r="B15829" s="11" t="s">
        <v>31353</v>
      </c>
      <c r="C15829" s="11" t="s">
        <v>137</v>
      </c>
      <c r="D15829" s="11" t="s">
        <v>18</v>
      </c>
      <c r="E15829" s="12" t="s">
        <v>2050</v>
      </c>
      <c r="F15829" s="12" t="s">
        <v>2051</v>
      </c>
      <c r="G15829" s="12" t="s">
        <v>46</v>
      </c>
      <c r="H15829" s="11" t="s">
        <v>63</v>
      </c>
      <c r="I15829" s="13" t="s">
        <v>31354</v>
      </c>
      <c r="J15829" s="14" t="str">
        <f>HYPERLINK("https://www.boe.es/gazeta/dias/1839/01/09/pdfs/GMD-1839-1516.pdf#page=3","Abrir facsímil")</f>
        <v>Abrir facsímil</v>
      </c>
      <c r="K15829" s="12" t="s">
        <v>65</v>
      </c>
    </row>
    <row r="15830" spans="1:11" ht="40.049999999999997" customHeight="1" x14ac:dyDescent="0.25">
      <c r="A15830" s="11" t="s">
        <v>31352</v>
      </c>
      <c r="B15830" s="11" t="s">
        <v>31353</v>
      </c>
      <c r="C15830" s="11" t="s">
        <v>101</v>
      </c>
      <c r="D15830" s="11" t="s">
        <v>43</v>
      </c>
      <c r="E15830" s="12" t="s">
        <v>19</v>
      </c>
      <c r="F15830" s="12" t="s">
        <v>20</v>
      </c>
      <c r="G15830" s="12" t="s">
        <v>21</v>
      </c>
      <c r="H15830" s="11" t="s">
        <v>63</v>
      </c>
      <c r="I15830" s="13" t="s">
        <v>31355</v>
      </c>
      <c r="J15830" s="14" t="str">
        <f>HYPERLINK("https://www.boe.es/gazeta/dias/1839/01/19/pdfs/GMD-1839-1526.pdf#page=4","Abrir facsímil")</f>
        <v>Abrir facsímil</v>
      </c>
      <c r="K15830" s="12" t="s">
        <v>65</v>
      </c>
    </row>
    <row r="15831" spans="1:11" ht="40.049999999999997" customHeight="1" x14ac:dyDescent="0.25">
      <c r="A15831" s="11" t="s">
        <v>31356</v>
      </c>
      <c r="B15831" s="11" t="s">
        <v>31357</v>
      </c>
      <c r="C15831" s="11" t="s">
        <v>17</v>
      </c>
      <c r="D15831" s="11" t="s">
        <v>18</v>
      </c>
      <c r="E15831" s="12" t="s">
        <v>857</v>
      </c>
      <c r="F15831" s="12" t="s">
        <v>858</v>
      </c>
      <c r="G15831" s="12" t="s">
        <v>40</v>
      </c>
      <c r="H15831" s="11" t="s">
        <v>63</v>
      </c>
      <c r="I15831" s="13" t="s">
        <v>31358</v>
      </c>
      <c r="J15831" s="14" t="str">
        <f>HYPERLINK("https://www.boe.es/gazeta/dias/1839/11/21/pdfs/GMD-1839-1838.pdf#page=2","Abrir facsímil")</f>
        <v>Abrir facsímil</v>
      </c>
      <c r="K15831" s="12" t="s">
        <v>65</v>
      </c>
    </row>
    <row r="15832" spans="1:11" ht="40.049999999999997" customHeight="1" x14ac:dyDescent="0.25">
      <c r="A15832" s="11" t="s">
        <v>31359</v>
      </c>
      <c r="B15832" s="11" t="s">
        <v>31360</v>
      </c>
      <c r="C15832" s="11" t="s">
        <v>101</v>
      </c>
      <c r="D15832" s="11" t="s">
        <v>102</v>
      </c>
      <c r="E15832" s="12" t="s">
        <v>503</v>
      </c>
      <c r="F15832" s="12" t="s">
        <v>504</v>
      </c>
      <c r="G15832" s="12" t="s">
        <v>46</v>
      </c>
      <c r="H15832" s="11" t="s">
        <v>63</v>
      </c>
      <c r="I15832" s="13" t="s">
        <v>31361</v>
      </c>
      <c r="J15832" s="14" t="str">
        <f>HYPERLINK("https://www.boe.es/gazeta/dias/1839/06/07/pdfs/GMD-1839-1665.pdf#page=3","Abrir facsímil")</f>
        <v>Abrir facsímil</v>
      </c>
      <c r="K15832" s="12" t="s">
        <v>65</v>
      </c>
    </row>
    <row r="15833" spans="1:11" ht="40.049999999999997" customHeight="1" x14ac:dyDescent="0.25">
      <c r="A15833" s="11" t="s">
        <v>31362</v>
      </c>
      <c r="B15833" s="11" t="s">
        <v>31363</v>
      </c>
      <c r="C15833" s="11" t="s">
        <v>59</v>
      </c>
      <c r="D15833" s="11" t="s">
        <v>60</v>
      </c>
      <c r="E15833" s="12" t="s">
        <v>4189</v>
      </c>
      <c r="F15833" s="12" t="s">
        <v>4190</v>
      </c>
      <c r="G15833" s="12" t="s">
        <v>29</v>
      </c>
      <c r="H15833" s="11" t="s">
        <v>63</v>
      </c>
      <c r="I15833" s="13" t="s">
        <v>31364</v>
      </c>
      <c r="J15833" s="14" t="str">
        <f>HYPERLINK("https://www.boe.es/gazeta/dias/1839/02/13/pdfs/GMD-1839-1551.pdf#page=1","Abrir facsímil")</f>
        <v>Abrir facsímil</v>
      </c>
      <c r="K15833" s="12" t="s">
        <v>65</v>
      </c>
    </row>
    <row r="15834" spans="1:11" ht="40.049999999999997" customHeight="1" x14ac:dyDescent="0.25">
      <c r="A15834" s="11" t="s">
        <v>31365</v>
      </c>
      <c r="B15834" s="11" t="s">
        <v>31366</v>
      </c>
      <c r="C15834" s="11" t="s">
        <v>17</v>
      </c>
      <c r="D15834" s="11" t="s">
        <v>18</v>
      </c>
      <c r="E15834" s="12" t="s">
        <v>54</v>
      </c>
      <c r="F15834" s="12" t="s">
        <v>55</v>
      </c>
      <c r="G15834" s="12" t="s">
        <v>305</v>
      </c>
      <c r="H15834" s="11" t="s">
        <v>63</v>
      </c>
      <c r="I15834" s="13" t="s">
        <v>31367</v>
      </c>
      <c r="J15834" s="14" t="str">
        <f>HYPERLINK("https://www.boe.es/gazeta/dias/1839/10/05/pdfs/GMD-1839-1791.pdf#page=6","Abrir facsímil")</f>
        <v>Abrir facsímil</v>
      </c>
      <c r="K15834" s="12" t="s">
        <v>65</v>
      </c>
    </row>
    <row r="15835" spans="1:11" ht="40.049999999999997" customHeight="1" x14ac:dyDescent="0.25">
      <c r="A15835" s="11" t="s">
        <v>31365</v>
      </c>
      <c r="B15835" s="11" t="s">
        <v>31366</v>
      </c>
      <c r="C15835" s="11" t="s">
        <v>17</v>
      </c>
      <c r="D15835" s="11" t="s">
        <v>18</v>
      </c>
      <c r="E15835" s="12" t="s">
        <v>303</v>
      </c>
      <c r="F15835" s="12" t="s">
        <v>304</v>
      </c>
      <c r="G15835" s="12" t="s">
        <v>305</v>
      </c>
      <c r="H15835" s="11" t="s">
        <v>63</v>
      </c>
      <c r="I15835" s="13" t="s">
        <v>31368</v>
      </c>
      <c r="J15835" s="14" t="str">
        <f>HYPERLINK("https://www.boe.es/gazeta/dias/1839/10/06/pdfs/GMD-1839-1792.pdf#page=6","Abrir facsímil")</f>
        <v>Abrir facsímil</v>
      </c>
      <c r="K15835" s="12" t="s">
        <v>65</v>
      </c>
    </row>
    <row r="15836" spans="1:11" ht="40.049999999999997" customHeight="1" x14ac:dyDescent="0.25">
      <c r="A15836" s="11" t="s">
        <v>31365</v>
      </c>
      <c r="B15836" s="11" t="s">
        <v>31366</v>
      </c>
      <c r="C15836" s="11" t="s">
        <v>17</v>
      </c>
      <c r="D15836" s="11" t="s">
        <v>18</v>
      </c>
      <c r="E15836" s="12" t="s">
        <v>695</v>
      </c>
      <c r="F15836" s="12" t="s">
        <v>696</v>
      </c>
      <c r="G15836" s="12" t="s">
        <v>21</v>
      </c>
      <c r="H15836" s="11" t="s">
        <v>63</v>
      </c>
      <c r="I15836" s="13" t="s">
        <v>31369</v>
      </c>
      <c r="J15836" s="14" t="str">
        <f>HYPERLINK("https://www.boe.es/gazeta/dias/1839/12/19/pdfs/GMD-1839-1866.pdf#page=4","Abrir facsímil")</f>
        <v>Abrir facsímil</v>
      </c>
      <c r="K15836" s="12" t="s">
        <v>65</v>
      </c>
    </row>
    <row r="15837" spans="1:11" ht="40.049999999999997" customHeight="1" x14ac:dyDescent="0.25">
      <c r="A15837" s="11" t="s">
        <v>31365</v>
      </c>
      <c r="B15837" s="11" t="s">
        <v>31366</v>
      </c>
      <c r="C15837" s="11" t="s">
        <v>80</v>
      </c>
      <c r="D15837" s="11" t="s">
        <v>18</v>
      </c>
      <c r="E15837" s="12" t="s">
        <v>2962</v>
      </c>
      <c r="F15837" s="12" t="s">
        <v>2963</v>
      </c>
      <c r="G15837" s="12" t="s">
        <v>21</v>
      </c>
      <c r="H15837" s="11" t="s">
        <v>63</v>
      </c>
      <c r="I15837" s="13" t="s">
        <v>31370</v>
      </c>
      <c r="J15837" s="14" t="str">
        <f>HYPERLINK("https://www.boe.es/gazeta/dias/1839/12/21/pdfs/GMD-1839-1868.pdf#page=4","Abrir facsímil")</f>
        <v>Abrir facsímil</v>
      </c>
      <c r="K15837" s="12" t="s">
        <v>65</v>
      </c>
    </row>
    <row r="15838" spans="1:11" ht="40.049999999999997" customHeight="1" x14ac:dyDescent="0.25">
      <c r="A15838" s="11" t="s">
        <v>31365</v>
      </c>
      <c r="B15838" s="11" t="s">
        <v>31366</v>
      </c>
      <c r="C15838" s="11" t="s">
        <v>17</v>
      </c>
      <c r="D15838" s="11" t="s">
        <v>18</v>
      </c>
      <c r="E15838" s="12" t="s">
        <v>2415</v>
      </c>
      <c r="F15838" s="12" t="s">
        <v>2416</v>
      </c>
      <c r="G15838" s="12" t="s">
        <v>21</v>
      </c>
      <c r="H15838" s="11" t="s">
        <v>63</v>
      </c>
      <c r="I15838" s="13" t="s">
        <v>31371</v>
      </c>
      <c r="J15838" s="14" t="str">
        <f>HYPERLINK("https://www.boe.es/gazeta/dias/1839/12/22/pdfs/GMD-1839-1869.pdf#page=4","Abrir facsímil")</f>
        <v>Abrir facsímil</v>
      </c>
      <c r="K15838" s="12" t="s">
        <v>65</v>
      </c>
    </row>
    <row r="15839" spans="1:11" ht="40.049999999999997" customHeight="1" x14ac:dyDescent="0.25">
      <c r="A15839" s="11" t="s">
        <v>31365</v>
      </c>
      <c r="B15839" s="11" t="s">
        <v>31366</v>
      </c>
      <c r="C15839" s="11" t="s">
        <v>17</v>
      </c>
      <c r="D15839" s="11" t="s">
        <v>18</v>
      </c>
      <c r="E15839" s="12" t="s">
        <v>1895</v>
      </c>
      <c r="F15839" s="12" t="s">
        <v>1896</v>
      </c>
      <c r="G15839" s="12" t="s">
        <v>21</v>
      </c>
      <c r="H15839" s="11" t="s">
        <v>63</v>
      </c>
      <c r="I15839" s="13" t="s">
        <v>31372</v>
      </c>
      <c r="J15839" s="14" t="str">
        <f>HYPERLINK("https://www.boe.es/gazeta/dias/1839/12/23/pdfs/GMD-1839-1870.pdf#page=4","Abrir facsímil")</f>
        <v>Abrir facsímil</v>
      </c>
      <c r="K15839" s="12" t="s">
        <v>65</v>
      </c>
    </row>
    <row r="15840" spans="1:11" ht="40.049999999999997" customHeight="1" x14ac:dyDescent="0.25">
      <c r="A15840" s="11" t="s">
        <v>31365</v>
      </c>
      <c r="B15840" s="11" t="s">
        <v>31366</v>
      </c>
      <c r="C15840" s="11" t="s">
        <v>17</v>
      </c>
      <c r="D15840" s="11" t="s">
        <v>18</v>
      </c>
      <c r="E15840" s="12" t="s">
        <v>844</v>
      </c>
      <c r="F15840" s="12" t="s">
        <v>845</v>
      </c>
      <c r="G15840" s="12" t="s">
        <v>21</v>
      </c>
      <c r="H15840" s="11" t="s">
        <v>63</v>
      </c>
      <c r="I15840" s="13" t="s">
        <v>31373</v>
      </c>
      <c r="J15840" s="14" t="str">
        <f>HYPERLINK("https://www.boe.es/gazeta/dias/1839/12/24/pdfs/GMD-1839-1871.pdf#page=4","Abrir facsímil")</f>
        <v>Abrir facsímil</v>
      </c>
      <c r="K15840" s="12" t="s">
        <v>65</v>
      </c>
    </row>
    <row r="15841" spans="1:11" ht="40.049999999999997" customHeight="1" x14ac:dyDescent="0.25">
      <c r="A15841" s="11" t="s">
        <v>31374</v>
      </c>
      <c r="B15841" s="11" t="s">
        <v>31375</v>
      </c>
      <c r="C15841" s="11" t="s">
        <v>137</v>
      </c>
      <c r="D15841" s="11" t="s">
        <v>18</v>
      </c>
      <c r="E15841" s="12" t="s">
        <v>798</v>
      </c>
      <c r="F15841" s="12" t="s">
        <v>799</v>
      </c>
      <c r="G15841" s="12" t="s">
        <v>40</v>
      </c>
      <c r="H15841" s="11" t="s">
        <v>63</v>
      </c>
      <c r="I15841" s="13" t="s">
        <v>31376</v>
      </c>
      <c r="J15841" s="14" t="str">
        <f>HYPERLINK("https://www.boe.es/gazeta/dias/1839/09/03/pdfs/GMD-1839-1755.pdf#page=2","Abrir facsímil")</f>
        <v>Abrir facsímil</v>
      </c>
      <c r="K15841" s="12" t="s">
        <v>65</v>
      </c>
    </row>
    <row r="15842" spans="1:11" ht="40.049999999999997" customHeight="1" x14ac:dyDescent="0.25">
      <c r="A15842" s="11" t="s">
        <v>31377</v>
      </c>
      <c r="B15842" s="11" t="s">
        <v>31378</v>
      </c>
      <c r="C15842" s="11" t="s">
        <v>17</v>
      </c>
      <c r="D15842" s="11" t="s">
        <v>18</v>
      </c>
      <c r="E15842" s="12" t="s">
        <v>54</v>
      </c>
      <c r="F15842" s="12" t="s">
        <v>55</v>
      </c>
      <c r="G15842" s="12" t="s">
        <v>566</v>
      </c>
      <c r="H15842" s="11" t="s">
        <v>63</v>
      </c>
      <c r="I15842" s="13" t="s">
        <v>31379</v>
      </c>
      <c r="J15842" s="14" t="str">
        <f>HYPERLINK("https://www.boe.es/gazeta/dias/1839/10/05/pdfs/GMD-1839-1791.pdf#page=5","Abrir facsímil")</f>
        <v>Abrir facsímil</v>
      </c>
      <c r="K15842" s="12" t="s">
        <v>65</v>
      </c>
    </row>
    <row r="15843" spans="1:11" ht="40.049999999999997" customHeight="1" x14ac:dyDescent="0.25">
      <c r="A15843" s="11" t="s">
        <v>31380</v>
      </c>
      <c r="B15843" s="11" t="s">
        <v>31381</v>
      </c>
      <c r="C15843" s="11" t="s">
        <v>17</v>
      </c>
      <c r="D15843" s="11" t="s">
        <v>18</v>
      </c>
      <c r="E15843" s="12" t="s">
        <v>668</v>
      </c>
      <c r="F15843" s="12" t="s">
        <v>669</v>
      </c>
      <c r="G15843" s="12" t="s">
        <v>40</v>
      </c>
      <c r="H15843" s="11" t="s">
        <v>63</v>
      </c>
      <c r="I15843" s="13" t="s">
        <v>31382</v>
      </c>
      <c r="J15843" s="14" t="str">
        <f>HYPERLINK("https://www.boe.es/gazeta/dias/1839/03/28/pdfs/GMD-1839-1594.pdf#page=2","Abrir facsímil")</f>
        <v>Abrir facsímil</v>
      </c>
      <c r="K15843" s="12" t="s">
        <v>65</v>
      </c>
    </row>
    <row r="15844" spans="1:11" ht="40.049999999999997" customHeight="1" x14ac:dyDescent="0.25">
      <c r="A15844" s="11" t="s">
        <v>31383</v>
      </c>
      <c r="B15844" s="11" t="s">
        <v>31384</v>
      </c>
      <c r="C15844" s="11" t="s">
        <v>59</v>
      </c>
      <c r="D15844" s="11" t="s">
        <v>60</v>
      </c>
      <c r="E15844" s="12" t="s">
        <v>2210</v>
      </c>
      <c r="F15844" s="12" t="s">
        <v>2211</v>
      </c>
      <c r="G15844" s="12" t="s">
        <v>46</v>
      </c>
      <c r="H15844" s="11" t="s">
        <v>63</v>
      </c>
      <c r="I15844" s="13" t="s">
        <v>31385</v>
      </c>
      <c r="J15844" s="14" t="str">
        <f>HYPERLINK("https://www.boe.es/gazeta/dias/1839/09/05/pdfs/GMD-1839-1758.pdf#page=3","Abrir facsímil")</f>
        <v>Abrir facsímil</v>
      </c>
      <c r="K15844" s="12" t="s">
        <v>65</v>
      </c>
    </row>
    <row r="15845" spans="1:11" ht="40.049999999999997" customHeight="1" x14ac:dyDescent="0.25">
      <c r="A15845" s="11" t="s">
        <v>31383</v>
      </c>
      <c r="B15845" s="11" t="s">
        <v>31384</v>
      </c>
      <c r="C15845" s="11" t="s">
        <v>59</v>
      </c>
      <c r="D15845" s="11" t="s">
        <v>60</v>
      </c>
      <c r="E15845" s="12" t="s">
        <v>1076</v>
      </c>
      <c r="F15845" s="12" t="s">
        <v>1077</v>
      </c>
      <c r="G15845" s="12" t="s">
        <v>29</v>
      </c>
      <c r="H15845" s="11" t="s">
        <v>63</v>
      </c>
      <c r="I15845" s="13" t="s">
        <v>31386</v>
      </c>
      <c r="J15845" s="14" t="str">
        <f>HYPERLINK("https://www.boe.es/gazeta/dias/1839/10/19/pdfs/GMD-1839-1805.pdf#page=1","Abrir facsímil")</f>
        <v>Abrir facsímil</v>
      </c>
      <c r="K15845" s="12" t="s">
        <v>65</v>
      </c>
    </row>
    <row r="15846" spans="1:11" ht="40.049999999999997" customHeight="1" x14ac:dyDescent="0.25">
      <c r="A15846" s="11" t="s">
        <v>31387</v>
      </c>
      <c r="B15846" s="11" t="s">
        <v>31388</v>
      </c>
      <c r="C15846" s="11" t="s">
        <v>80</v>
      </c>
      <c r="D15846" s="11" t="s">
        <v>18</v>
      </c>
      <c r="E15846" s="12" t="s">
        <v>516</v>
      </c>
      <c r="F15846" s="12" t="s">
        <v>517</v>
      </c>
      <c r="G15846" s="12" t="s">
        <v>40</v>
      </c>
      <c r="H15846" s="11" t="s">
        <v>63</v>
      </c>
      <c r="I15846" s="13" t="s">
        <v>31389</v>
      </c>
      <c r="J15846" s="14" t="str">
        <f>HYPERLINK("https://www.boe.es/gazeta/dias/1839/06/21/pdfs/GMD-1839-1679.pdf#page=2","Abrir facsímil")</f>
        <v>Abrir facsímil</v>
      </c>
      <c r="K15846" s="12" t="s">
        <v>65</v>
      </c>
    </row>
    <row r="15847" spans="1:11" ht="40.049999999999997" customHeight="1" x14ac:dyDescent="0.25">
      <c r="A15847" s="11" t="s">
        <v>31390</v>
      </c>
      <c r="B15847" s="11" t="s">
        <v>31391</v>
      </c>
      <c r="C15847" s="11" t="s">
        <v>59</v>
      </c>
      <c r="D15847" s="11" t="s">
        <v>60</v>
      </c>
      <c r="E15847" s="12" t="s">
        <v>2301</v>
      </c>
      <c r="F15847" s="12" t="s">
        <v>2302</v>
      </c>
      <c r="G15847" s="12" t="s">
        <v>46</v>
      </c>
      <c r="H15847" s="11" t="s">
        <v>63</v>
      </c>
      <c r="I15847" s="13" t="s">
        <v>31392</v>
      </c>
      <c r="J15847" s="14" t="str">
        <f>HYPERLINK("https://www.boe.es/gazeta/dias/1839/09/08/pdfs/GMD-1839-1761.pdf#page=3","Abrir facsímil")</f>
        <v>Abrir facsímil</v>
      </c>
      <c r="K15847" s="12" t="s">
        <v>65</v>
      </c>
    </row>
    <row r="15848" spans="1:11" ht="40.049999999999997" customHeight="1" x14ac:dyDescent="0.25">
      <c r="A15848" s="11" t="s">
        <v>31393</v>
      </c>
      <c r="B15848" s="11" t="s">
        <v>31394</v>
      </c>
      <c r="C15848" s="11" t="s">
        <v>101</v>
      </c>
      <c r="D15848" s="11" t="s">
        <v>102</v>
      </c>
      <c r="E15848" s="12" t="s">
        <v>2738</v>
      </c>
      <c r="F15848" s="12" t="s">
        <v>2739</v>
      </c>
      <c r="G15848" s="12" t="s">
        <v>29</v>
      </c>
      <c r="H15848" s="11" t="s">
        <v>63</v>
      </c>
      <c r="I15848" s="13" t="s">
        <v>31395</v>
      </c>
      <c r="J15848" s="14" t="str">
        <f>HYPERLINK("https://www.boe.es/gazeta/dias/1839/09/06/pdfs/GMD-1839-1759.pdf#page=1","Abrir facsímil")</f>
        <v>Abrir facsímil</v>
      </c>
      <c r="K15848" s="12" t="s">
        <v>65</v>
      </c>
    </row>
    <row r="15849" spans="1:11" ht="40.049999999999997" customHeight="1" x14ac:dyDescent="0.25">
      <c r="A15849" s="11" t="s">
        <v>31393</v>
      </c>
      <c r="B15849" s="11" t="s">
        <v>31394</v>
      </c>
      <c r="C15849" s="11" t="s">
        <v>101</v>
      </c>
      <c r="D15849" s="11" t="s">
        <v>43</v>
      </c>
      <c r="E15849" s="12" t="s">
        <v>61</v>
      </c>
      <c r="F15849" s="12" t="s">
        <v>62</v>
      </c>
      <c r="G15849" s="12" t="s">
        <v>29</v>
      </c>
      <c r="H15849" s="11" t="s">
        <v>63</v>
      </c>
      <c r="I15849" s="13" t="s">
        <v>31396</v>
      </c>
      <c r="J15849" s="14" t="str">
        <f>HYPERLINK("https://www.boe.es/gazeta/dias/1839/09/10/pdfs/GMD-1839-1763.pdf#page=1","Abrir facsímil")</f>
        <v>Abrir facsímil</v>
      </c>
      <c r="K15849" s="12" t="s">
        <v>65</v>
      </c>
    </row>
    <row r="15850" spans="1:11" ht="40.049999999999997" customHeight="1" x14ac:dyDescent="0.25">
      <c r="A15850" s="11" t="s">
        <v>31393</v>
      </c>
      <c r="B15850" s="11" t="s">
        <v>31394</v>
      </c>
      <c r="C15850" s="11" t="s">
        <v>59</v>
      </c>
      <c r="D15850" s="11" t="s">
        <v>60</v>
      </c>
      <c r="E15850" s="12" t="s">
        <v>2107</v>
      </c>
      <c r="F15850" s="12" t="s">
        <v>2108</v>
      </c>
      <c r="G15850" s="12" t="s">
        <v>46</v>
      </c>
      <c r="H15850" s="11" t="s">
        <v>63</v>
      </c>
      <c r="I15850" s="13" t="s">
        <v>31397</v>
      </c>
      <c r="J15850" s="14" t="str">
        <f>HYPERLINK("https://www.boe.es/gazeta/dias/1839/10/11/pdfs/GMD-1839-1797.pdf#page=3","Abrir facsímil")</f>
        <v>Abrir facsímil</v>
      </c>
      <c r="K15850" s="12" t="s">
        <v>65</v>
      </c>
    </row>
    <row r="15851" spans="1:11" ht="40.049999999999997" customHeight="1" x14ac:dyDescent="0.25">
      <c r="A15851" s="11" t="s">
        <v>31393</v>
      </c>
      <c r="B15851" s="11" t="s">
        <v>31394</v>
      </c>
      <c r="C15851" s="11" t="s">
        <v>17</v>
      </c>
      <c r="D15851" s="11" t="s">
        <v>43</v>
      </c>
      <c r="E15851" s="12" t="s">
        <v>1252</v>
      </c>
      <c r="F15851" s="12" t="s">
        <v>1253</v>
      </c>
      <c r="G15851" s="12" t="s">
        <v>29</v>
      </c>
      <c r="H15851" s="11" t="s">
        <v>63</v>
      </c>
      <c r="I15851" s="13" t="s">
        <v>31398</v>
      </c>
      <c r="J15851" s="14" t="str">
        <f>HYPERLINK("https://www.boe.es/gazeta/dias/1839/06/15/pdfs/GMD-1839-1673.pdf#page=1","Abrir facsímil")</f>
        <v>Abrir facsímil</v>
      </c>
      <c r="K15851" s="12" t="s">
        <v>65</v>
      </c>
    </row>
    <row r="15852" spans="1:11" ht="40.049999999999997" customHeight="1" x14ac:dyDescent="0.25">
      <c r="A15852" s="11" t="s">
        <v>31393</v>
      </c>
      <c r="B15852" s="11" t="s">
        <v>31394</v>
      </c>
      <c r="C15852" s="11" t="s">
        <v>17</v>
      </c>
      <c r="D15852" s="11" t="s">
        <v>18</v>
      </c>
      <c r="E15852" s="12" t="s">
        <v>343</v>
      </c>
      <c r="F15852" s="12" t="s">
        <v>344</v>
      </c>
      <c r="G15852" s="12" t="s">
        <v>29</v>
      </c>
      <c r="H15852" s="11" t="s">
        <v>63</v>
      </c>
      <c r="I15852" s="13" t="s">
        <v>31399</v>
      </c>
      <c r="J15852" s="14" t="str">
        <f>HYPERLINK("https://www.boe.es/gazeta/dias/1839/05/20/pdfs/GMD-1839-1647.pdf#page=1","Abrir facsímil")</f>
        <v>Abrir facsímil</v>
      </c>
      <c r="K15852" s="12" t="s">
        <v>65</v>
      </c>
    </row>
    <row r="15853" spans="1:11" ht="40.049999999999997" customHeight="1" x14ac:dyDescent="0.25">
      <c r="A15853" s="11" t="s">
        <v>31400</v>
      </c>
      <c r="B15853" s="11" t="s">
        <v>31401</v>
      </c>
      <c r="C15853" s="11" t="s">
        <v>137</v>
      </c>
      <c r="D15853" s="11" t="s">
        <v>18</v>
      </c>
      <c r="E15853" s="12" t="s">
        <v>2069</v>
      </c>
      <c r="F15853" s="12" t="s">
        <v>2070</v>
      </c>
      <c r="G15853" s="12" t="s">
        <v>21</v>
      </c>
      <c r="H15853" s="11" t="s">
        <v>63</v>
      </c>
      <c r="I15853" s="13" t="s">
        <v>31402</v>
      </c>
      <c r="J15853" s="14" t="str">
        <f>HYPERLINK("https://www.boe.es/gazeta/dias/1839/10/20/pdfs/GMD-1839-1806.pdf#page=4","Abrir facsímil")</f>
        <v>Abrir facsímil</v>
      </c>
      <c r="K15853" s="12" t="s">
        <v>65</v>
      </c>
    </row>
    <row r="15854" spans="1:11" ht="40.049999999999997" customHeight="1" x14ac:dyDescent="0.25">
      <c r="A15854" s="11" t="s">
        <v>31403</v>
      </c>
      <c r="B15854" s="11" t="s">
        <v>31404</v>
      </c>
      <c r="C15854" s="11" t="s">
        <v>80</v>
      </c>
      <c r="D15854" s="11" t="s">
        <v>18</v>
      </c>
      <c r="E15854" s="12" t="s">
        <v>1008</v>
      </c>
      <c r="F15854" s="12" t="s">
        <v>1009</v>
      </c>
      <c r="G15854" s="12" t="s">
        <v>29</v>
      </c>
      <c r="H15854" s="11" t="s">
        <v>63</v>
      </c>
      <c r="I15854" s="13" t="s">
        <v>31405</v>
      </c>
      <c r="J15854" s="14" t="str">
        <f>HYPERLINK("https://www.boe.es/gazeta/dias/1839/09/07/pdfs/GMD-1839-1760.pdf#page=1","Abrir facsímil")</f>
        <v>Abrir facsímil</v>
      </c>
      <c r="K15854" s="12" t="s">
        <v>65</v>
      </c>
    </row>
    <row r="15855" spans="1:11" ht="40.049999999999997" customHeight="1" x14ac:dyDescent="0.25">
      <c r="A15855" s="11" t="s">
        <v>31406</v>
      </c>
      <c r="B15855" s="11" t="s">
        <v>31407</v>
      </c>
      <c r="C15855" s="11" t="s">
        <v>59</v>
      </c>
      <c r="D15855" s="11" t="s">
        <v>60</v>
      </c>
      <c r="E15855" s="12" t="s">
        <v>804</v>
      </c>
      <c r="F15855" s="12" t="s">
        <v>805</v>
      </c>
      <c r="G15855" s="12" t="s">
        <v>29</v>
      </c>
      <c r="H15855" s="11" t="s">
        <v>63</v>
      </c>
      <c r="I15855" s="13" t="s">
        <v>31408</v>
      </c>
      <c r="J15855" s="14" t="str">
        <f>HYPERLINK("https://www.boe.es/gazeta/dias/1839/01/08/pdfs/GMD-1839-1515.pdf#page=1","Abrir facsímil")</f>
        <v>Abrir facsímil</v>
      </c>
      <c r="K15855" s="12" t="s">
        <v>65</v>
      </c>
    </row>
    <row r="15856" spans="1:11" ht="40.049999999999997" customHeight="1" x14ac:dyDescent="0.25">
      <c r="A15856" s="11" t="s">
        <v>31409</v>
      </c>
      <c r="B15856" s="11" t="s">
        <v>31410</v>
      </c>
      <c r="C15856" s="11" t="s">
        <v>101</v>
      </c>
      <c r="D15856" s="11" t="s">
        <v>102</v>
      </c>
      <c r="E15856" s="12" t="s">
        <v>2443</v>
      </c>
      <c r="F15856" s="12" t="s">
        <v>2444</v>
      </c>
      <c r="G15856" s="12" t="s">
        <v>40</v>
      </c>
      <c r="H15856" s="11" t="s">
        <v>63</v>
      </c>
      <c r="I15856" s="13" t="s">
        <v>31411</v>
      </c>
      <c r="J15856" s="14" t="str">
        <f>HYPERLINK("https://www.boe.es/gazeta/dias/1839/11/02/pdfs/GMD-1839-1819.pdf#page=2","Abrir facsímil")</f>
        <v>Abrir facsímil</v>
      </c>
      <c r="K15856" s="12" t="s">
        <v>65</v>
      </c>
    </row>
    <row r="15857" spans="1:11" ht="40.049999999999997" customHeight="1" x14ac:dyDescent="0.25">
      <c r="A15857" s="11" t="s">
        <v>31412</v>
      </c>
      <c r="B15857" s="11" t="s">
        <v>31413</v>
      </c>
      <c r="C15857" s="11" t="s">
        <v>101</v>
      </c>
      <c r="D15857" s="11" t="s">
        <v>102</v>
      </c>
      <c r="E15857" s="12" t="s">
        <v>121</v>
      </c>
      <c r="F15857" s="12" t="s">
        <v>122</v>
      </c>
      <c r="G15857" s="12" t="s">
        <v>40</v>
      </c>
      <c r="H15857" s="11" t="s">
        <v>63</v>
      </c>
      <c r="I15857" s="13" t="s">
        <v>31414</v>
      </c>
      <c r="J15857" s="14" t="str">
        <f>HYPERLINK("https://www.boe.es/gazeta/dias/1839/06/08/pdfs/GMD-1839-1666.pdf#page=2","Abrir facsímil")</f>
        <v>Abrir facsímil</v>
      </c>
      <c r="K15857" s="12" t="s">
        <v>65</v>
      </c>
    </row>
    <row r="15858" spans="1:11" ht="40.049999999999997" customHeight="1" x14ac:dyDescent="0.25">
      <c r="A15858" s="11" t="s">
        <v>31415</v>
      </c>
      <c r="B15858" s="11" t="s">
        <v>31416</v>
      </c>
      <c r="C15858" s="11" t="s">
        <v>80</v>
      </c>
      <c r="D15858" s="11" t="s">
        <v>18</v>
      </c>
      <c r="E15858" s="12" t="s">
        <v>3601</v>
      </c>
      <c r="F15858" s="12" t="s">
        <v>3602</v>
      </c>
      <c r="G15858" s="12" t="s">
        <v>21</v>
      </c>
      <c r="H15858" s="11" t="s">
        <v>63</v>
      </c>
      <c r="I15858" s="13" t="s">
        <v>31417</v>
      </c>
      <c r="J15858" s="14" t="str">
        <f>HYPERLINK("https://www.boe.es/gazeta/dias/1839/03/21/pdfs/GMD-1839-1587.pdf#page=4","Abrir facsímil")</f>
        <v>Abrir facsímil</v>
      </c>
      <c r="K15858" s="12" t="s">
        <v>65</v>
      </c>
    </row>
    <row r="15859" spans="1:11" ht="40.049999999999997" customHeight="1" x14ac:dyDescent="0.25">
      <c r="A15859" s="11" t="s">
        <v>31418</v>
      </c>
      <c r="B15859" s="11" t="s">
        <v>31419</v>
      </c>
      <c r="C15859" s="11" t="s">
        <v>17</v>
      </c>
      <c r="D15859" s="11" t="s">
        <v>18</v>
      </c>
      <c r="E15859" s="12" t="s">
        <v>138</v>
      </c>
      <c r="F15859" s="12" t="s">
        <v>139</v>
      </c>
      <c r="G15859" s="12" t="s">
        <v>46</v>
      </c>
      <c r="H15859" s="11" t="s">
        <v>63</v>
      </c>
      <c r="I15859" s="13" t="s">
        <v>31420</v>
      </c>
      <c r="J15859" s="14" t="str">
        <f>HYPERLINK("https://www.boe.es/gazeta/dias/1839/10/09/pdfs/GMD-1839-1795.pdf#page=3","Abrir facsímil")</f>
        <v>Abrir facsímil</v>
      </c>
      <c r="K15859" s="12" t="s">
        <v>65</v>
      </c>
    </row>
    <row r="15860" spans="1:11" ht="40.049999999999997" customHeight="1" x14ac:dyDescent="0.25">
      <c r="A15860" s="11" t="s">
        <v>31421</v>
      </c>
      <c r="B15860" s="11" t="s">
        <v>31422</v>
      </c>
      <c r="C15860" s="11" t="s">
        <v>80</v>
      </c>
      <c r="D15860" s="11" t="s">
        <v>18</v>
      </c>
      <c r="E15860" s="12" t="s">
        <v>346</v>
      </c>
      <c r="F15860" s="12" t="s">
        <v>347</v>
      </c>
      <c r="G15860" s="12" t="s">
        <v>21</v>
      </c>
      <c r="H15860" s="11" t="s">
        <v>63</v>
      </c>
      <c r="I15860" s="13" t="s">
        <v>31423</v>
      </c>
      <c r="J15860" s="14" t="str">
        <f>HYPERLINK("https://www.boe.es/gazeta/dias/1839/03/24/pdfs/GMD-1839-1590.pdf#page=4","Abrir facsímil")</f>
        <v>Abrir facsímil</v>
      </c>
      <c r="K15860" s="12" t="s">
        <v>65</v>
      </c>
    </row>
    <row r="15861" spans="1:11" ht="40.049999999999997" customHeight="1" x14ac:dyDescent="0.25">
      <c r="A15861" s="11" t="s">
        <v>31424</v>
      </c>
      <c r="B15861" s="11" t="s">
        <v>31425</v>
      </c>
      <c r="C15861" s="11" t="s">
        <v>17</v>
      </c>
      <c r="D15861" s="11" t="s">
        <v>18</v>
      </c>
      <c r="E15861" s="12" t="s">
        <v>496</v>
      </c>
      <c r="F15861" s="12" t="s">
        <v>497</v>
      </c>
      <c r="G15861" s="12" t="s">
        <v>46</v>
      </c>
      <c r="H15861" s="11" t="s">
        <v>63</v>
      </c>
      <c r="I15861" s="13" t="s">
        <v>31426</v>
      </c>
      <c r="J15861" s="14" t="str">
        <f>HYPERLINK("https://www.boe.es/gazeta/dias/1839/11/23/pdfs/GMD-1839-1840.pdf#page=3","Abrir facsímil")</f>
        <v>Abrir facsímil</v>
      </c>
      <c r="K15861" s="12" t="s">
        <v>65</v>
      </c>
    </row>
    <row r="15862" spans="1:11" ht="40.049999999999997" customHeight="1" x14ac:dyDescent="0.25">
      <c r="A15862" s="11" t="s">
        <v>31427</v>
      </c>
      <c r="B15862" s="11" t="s">
        <v>31428</v>
      </c>
      <c r="C15862" s="11" t="s">
        <v>101</v>
      </c>
      <c r="D15862" s="11" t="s">
        <v>102</v>
      </c>
      <c r="E15862" s="12" t="s">
        <v>870</v>
      </c>
      <c r="F15862" s="12" t="s">
        <v>871</v>
      </c>
      <c r="G15862" s="12" t="s">
        <v>46</v>
      </c>
      <c r="H15862" s="11" t="s">
        <v>63</v>
      </c>
      <c r="I15862" s="13" t="s">
        <v>31429</v>
      </c>
      <c r="J15862" s="14" t="str">
        <f>HYPERLINK("https://www.boe.es/gazeta/dias/1839/04/18/pdfs/GMD-1839-1615.pdf#page=3","Abrir facsímil")</f>
        <v>Abrir facsímil</v>
      </c>
      <c r="K15862" s="12" t="s">
        <v>65</v>
      </c>
    </row>
    <row r="15863" spans="1:11" ht="40.049999999999997" customHeight="1" x14ac:dyDescent="0.25">
      <c r="A15863" s="11" t="s">
        <v>31430</v>
      </c>
      <c r="B15863" s="11" t="s">
        <v>31431</v>
      </c>
      <c r="C15863" s="11" t="s">
        <v>101</v>
      </c>
      <c r="D15863" s="11" t="s">
        <v>102</v>
      </c>
      <c r="E15863" s="12" t="s">
        <v>564</v>
      </c>
      <c r="F15863" s="12" t="s">
        <v>565</v>
      </c>
      <c r="G15863" s="12" t="s">
        <v>46</v>
      </c>
      <c r="H15863" s="11" t="s">
        <v>63</v>
      </c>
      <c r="I15863" s="13" t="s">
        <v>31432</v>
      </c>
      <c r="J15863" s="14" t="str">
        <f>HYPERLINK("https://www.boe.es/gazeta/dias/1839/10/17/pdfs/GMD-1839-1803.pdf#page=3","Abrir facsímil")</f>
        <v>Abrir facsímil</v>
      </c>
      <c r="K15863" s="12" t="s">
        <v>65</v>
      </c>
    </row>
    <row r="15864" spans="1:11" ht="40.049999999999997" customHeight="1" x14ac:dyDescent="0.25">
      <c r="A15864" s="11" t="s">
        <v>31433</v>
      </c>
      <c r="B15864" s="11" t="s">
        <v>31434</v>
      </c>
      <c r="C15864" s="11" t="s">
        <v>137</v>
      </c>
      <c r="D15864" s="11" t="s">
        <v>18</v>
      </c>
      <c r="E15864" s="12" t="s">
        <v>571</v>
      </c>
      <c r="F15864" s="12" t="s">
        <v>572</v>
      </c>
      <c r="G15864" s="12" t="s">
        <v>21</v>
      </c>
      <c r="H15864" s="11" t="s">
        <v>63</v>
      </c>
      <c r="I15864" s="13" t="s">
        <v>31435</v>
      </c>
      <c r="J15864" s="14" t="str">
        <f>HYPERLINK("https://www.boe.es/gazeta/dias/1839/09/27/pdfs/GMD-1839-1783.pdf#page=4","Abrir facsímil")</f>
        <v>Abrir facsímil</v>
      </c>
      <c r="K15864" s="12" t="s">
        <v>65</v>
      </c>
    </row>
    <row r="15865" spans="1:11" ht="40.049999999999997" customHeight="1" x14ac:dyDescent="0.25">
      <c r="A15865" s="11" t="s">
        <v>31433</v>
      </c>
      <c r="B15865" s="11" t="s">
        <v>31434</v>
      </c>
      <c r="C15865" s="11" t="s">
        <v>137</v>
      </c>
      <c r="D15865" s="11" t="s">
        <v>18</v>
      </c>
      <c r="E15865" s="12" t="s">
        <v>574</v>
      </c>
      <c r="F15865" s="12" t="s">
        <v>575</v>
      </c>
      <c r="G15865" s="12" t="s">
        <v>40</v>
      </c>
      <c r="H15865" s="11" t="s">
        <v>63</v>
      </c>
      <c r="I15865" s="13" t="s">
        <v>31436</v>
      </c>
      <c r="J15865" s="14" t="str">
        <f>HYPERLINK("https://www.boe.es/gazeta/dias/1839/09/28/pdfs/GMD-1839-1784.pdf#page=2","Abrir facsímil")</f>
        <v>Abrir facsímil</v>
      </c>
      <c r="K15865" s="12" t="s">
        <v>65</v>
      </c>
    </row>
    <row r="15866" spans="1:11" ht="40.049999999999997" customHeight="1" x14ac:dyDescent="0.25">
      <c r="A15866" s="11" t="s">
        <v>31437</v>
      </c>
      <c r="B15866" s="11" t="s">
        <v>31438</v>
      </c>
      <c r="C15866" s="11" t="s">
        <v>17</v>
      </c>
      <c r="D15866" s="11" t="s">
        <v>18</v>
      </c>
      <c r="E15866" s="12" t="s">
        <v>544</v>
      </c>
      <c r="F15866" s="12" t="s">
        <v>545</v>
      </c>
      <c r="G15866" s="12" t="s">
        <v>21</v>
      </c>
      <c r="H15866" s="11" t="s">
        <v>63</v>
      </c>
      <c r="I15866" s="13" t="s">
        <v>31439</v>
      </c>
      <c r="J15866" s="14" t="str">
        <f>HYPERLINK("https://www.boe.es/gazeta/dias/1839/11/11/pdfs/GMD-1839-1828.pdf#page=4","Abrir facsímil")</f>
        <v>Abrir facsímil</v>
      </c>
      <c r="K15866" s="12" t="s">
        <v>65</v>
      </c>
    </row>
    <row r="15867" spans="1:11" ht="40.049999999999997" customHeight="1" x14ac:dyDescent="0.25">
      <c r="A15867" s="11" t="s">
        <v>31440</v>
      </c>
      <c r="B15867" s="11" t="s">
        <v>31441</v>
      </c>
      <c r="C15867" s="11" t="s">
        <v>17</v>
      </c>
      <c r="D15867" s="11" t="s">
        <v>18</v>
      </c>
      <c r="E15867" s="12" t="s">
        <v>798</v>
      </c>
      <c r="F15867" s="12" t="s">
        <v>799</v>
      </c>
      <c r="G15867" s="12" t="s">
        <v>40</v>
      </c>
      <c r="H15867" s="11" t="s">
        <v>63</v>
      </c>
      <c r="I15867" s="13" t="s">
        <v>31442</v>
      </c>
      <c r="J15867" s="14" t="str">
        <f>HYPERLINK("https://www.boe.es/gazeta/dias/1839/09/03/pdfs/GMD-1839-1755.pdf#page=2","Abrir facsímil")</f>
        <v>Abrir facsímil</v>
      </c>
      <c r="K15867" s="12" t="s">
        <v>65</v>
      </c>
    </row>
    <row r="15868" spans="1:11" ht="40.049999999999997" customHeight="1" x14ac:dyDescent="0.25">
      <c r="A15868" s="11" t="s">
        <v>31443</v>
      </c>
      <c r="B15868" s="11" t="s">
        <v>31444</v>
      </c>
      <c r="C15868" s="11" t="s">
        <v>17</v>
      </c>
      <c r="D15868" s="11" t="s">
        <v>18</v>
      </c>
      <c r="E15868" s="12" t="s">
        <v>587</v>
      </c>
      <c r="F15868" s="12" t="s">
        <v>588</v>
      </c>
      <c r="G15868" s="12" t="s">
        <v>21</v>
      </c>
      <c r="H15868" s="11" t="s">
        <v>63</v>
      </c>
      <c r="I15868" s="13" t="s">
        <v>31445</v>
      </c>
      <c r="J15868" s="14" t="str">
        <f>HYPERLINK("https://www.boe.es/gazeta/dias/1839/05/02/pdfs/GMD-1839-1629.pdf#page=4","Abrir facsímil")</f>
        <v>Abrir facsímil</v>
      </c>
      <c r="K15868" s="12" t="s">
        <v>65</v>
      </c>
    </row>
    <row r="15869" spans="1:11" ht="40.049999999999997" customHeight="1" x14ac:dyDescent="0.25">
      <c r="A15869" s="11" t="s">
        <v>31446</v>
      </c>
      <c r="B15869" s="11" t="s">
        <v>31447</v>
      </c>
      <c r="C15869" s="11" t="s">
        <v>17</v>
      </c>
      <c r="D15869" s="11" t="s">
        <v>18</v>
      </c>
      <c r="E15869" s="12" t="s">
        <v>157</v>
      </c>
      <c r="F15869" s="12" t="s">
        <v>158</v>
      </c>
      <c r="G15869" s="12" t="s">
        <v>29</v>
      </c>
      <c r="H15869" s="11" t="s">
        <v>63</v>
      </c>
      <c r="I15869" s="13" t="s">
        <v>31448</v>
      </c>
      <c r="J15869" s="14" t="str">
        <f>HYPERLINK("https://www.boe.es/gazeta/dias/1839/02/08/pdfs/GMD-1839-1546.pdf#page=1","Abrir facsímil")</f>
        <v>Abrir facsímil</v>
      </c>
      <c r="K15869" s="12" t="s">
        <v>65</v>
      </c>
    </row>
    <row r="15870" spans="1:11" ht="40.049999999999997" customHeight="1" x14ac:dyDescent="0.25">
      <c r="A15870" s="11" t="s">
        <v>31446</v>
      </c>
      <c r="B15870" s="11" t="s">
        <v>31447</v>
      </c>
      <c r="C15870" s="11" t="s">
        <v>59</v>
      </c>
      <c r="D15870" s="11" t="s">
        <v>60</v>
      </c>
      <c r="E15870" s="12" t="s">
        <v>330</v>
      </c>
      <c r="F15870" s="12" t="s">
        <v>331</v>
      </c>
      <c r="G15870" s="12" t="s">
        <v>46</v>
      </c>
      <c r="H15870" s="11" t="s">
        <v>63</v>
      </c>
      <c r="I15870" s="13" t="s">
        <v>31449</v>
      </c>
      <c r="J15870" s="14" t="str">
        <f>HYPERLINK("https://www.boe.es/gazeta/dias/1839/04/11/pdfs/GMD-1839-1608.pdf#page=3","Abrir facsímil")</f>
        <v>Abrir facsímil</v>
      </c>
      <c r="K15870" s="12" t="s">
        <v>65</v>
      </c>
    </row>
    <row r="15871" spans="1:11" ht="40.049999999999997" customHeight="1" x14ac:dyDescent="0.25">
      <c r="A15871" s="11" t="s">
        <v>31450</v>
      </c>
      <c r="B15871" s="11" t="s">
        <v>31451</v>
      </c>
      <c r="C15871" s="11" t="s">
        <v>101</v>
      </c>
      <c r="D15871" s="11" t="s">
        <v>102</v>
      </c>
      <c r="E15871" s="12" t="s">
        <v>756</v>
      </c>
      <c r="F15871" s="12" t="s">
        <v>757</v>
      </c>
      <c r="G15871" s="12" t="s">
        <v>46</v>
      </c>
      <c r="H15871" s="11" t="s">
        <v>63</v>
      </c>
      <c r="I15871" s="13" t="s">
        <v>31452</v>
      </c>
      <c r="J15871" s="14" t="str">
        <f>HYPERLINK("https://www.boe.es/gazeta/dias/1839/12/17/pdfs/GMD-1839-1864.pdf#page=3","Abrir facsímil")</f>
        <v>Abrir facsímil</v>
      </c>
      <c r="K15871" s="12" t="s">
        <v>65</v>
      </c>
    </row>
    <row r="15872" spans="1:11" ht="40.049999999999997" customHeight="1" x14ac:dyDescent="0.25">
      <c r="A15872" s="11" t="s">
        <v>31453</v>
      </c>
      <c r="B15872" s="11" t="s">
        <v>31454</v>
      </c>
      <c r="C15872" s="11" t="s">
        <v>17</v>
      </c>
      <c r="D15872" s="11" t="s">
        <v>18</v>
      </c>
      <c r="E15872" s="12" t="s">
        <v>163</v>
      </c>
      <c r="F15872" s="12" t="s">
        <v>164</v>
      </c>
      <c r="G15872" s="12" t="s">
        <v>40</v>
      </c>
      <c r="H15872" s="11" t="s">
        <v>63</v>
      </c>
      <c r="I15872" s="13" t="s">
        <v>31455</v>
      </c>
      <c r="J15872" s="14" t="str">
        <f>HYPERLINK("https://www.boe.es/gazeta/dias/1839/01/13/pdfs/GMD-1839-1520.pdf#page=2","Abrir facsímil")</f>
        <v>Abrir facsímil</v>
      </c>
      <c r="K15872" s="12" t="s">
        <v>65</v>
      </c>
    </row>
    <row r="15873" spans="1:11" ht="40.049999999999997" customHeight="1" x14ac:dyDescent="0.25">
      <c r="A15873" s="11" t="s">
        <v>31456</v>
      </c>
      <c r="B15873" s="11" t="s">
        <v>31457</v>
      </c>
      <c r="C15873" s="11" t="s">
        <v>17</v>
      </c>
      <c r="D15873" s="11" t="s">
        <v>18</v>
      </c>
      <c r="E15873" s="12" t="s">
        <v>61</v>
      </c>
      <c r="F15873" s="12" t="s">
        <v>62</v>
      </c>
      <c r="G15873" s="12" t="s">
        <v>21</v>
      </c>
      <c r="H15873" s="11" t="s">
        <v>63</v>
      </c>
      <c r="I15873" s="13" t="s">
        <v>31458</v>
      </c>
      <c r="J15873" s="14" t="str">
        <f>HYPERLINK("https://www.boe.es/gazeta/dias/1839/09/10/pdfs/GMD-1839-1763.pdf#page=4","Abrir facsímil")</f>
        <v>Abrir facsímil</v>
      </c>
      <c r="K15873" s="12" t="s">
        <v>65</v>
      </c>
    </row>
    <row r="15874" spans="1:11" ht="40.049999999999997" customHeight="1" x14ac:dyDescent="0.25">
      <c r="A15874" s="11" t="s">
        <v>31459</v>
      </c>
      <c r="B15874" s="11" t="s">
        <v>31460</v>
      </c>
      <c r="C15874" s="11" t="s">
        <v>17</v>
      </c>
      <c r="D15874" s="11" t="s">
        <v>18</v>
      </c>
      <c r="E15874" s="12" t="s">
        <v>108</v>
      </c>
      <c r="F15874" s="12" t="s">
        <v>109</v>
      </c>
      <c r="G15874" s="12" t="s">
        <v>40</v>
      </c>
      <c r="H15874" s="11" t="s">
        <v>63</v>
      </c>
      <c r="I15874" s="13" t="s">
        <v>31461</v>
      </c>
      <c r="J15874" s="14" t="str">
        <f>HYPERLINK("https://www.boe.es/gazeta/dias/1839/01/04/pdfs/GMD-1839-1511.pdf#page=2","Abrir facsímil")</f>
        <v>Abrir facsímil</v>
      </c>
      <c r="K15874" s="12" t="s">
        <v>65</v>
      </c>
    </row>
    <row r="15875" spans="1:11" ht="40.049999999999997" customHeight="1" x14ac:dyDescent="0.25">
      <c r="A15875" s="11" t="s">
        <v>31462</v>
      </c>
      <c r="B15875" s="11" t="s">
        <v>31463</v>
      </c>
      <c r="C15875" s="11" t="s">
        <v>59</v>
      </c>
      <c r="D15875" s="11" t="s">
        <v>60</v>
      </c>
      <c r="E15875" s="12" t="s">
        <v>121</v>
      </c>
      <c r="F15875" s="12" t="s">
        <v>122</v>
      </c>
      <c r="G15875" s="12" t="s">
        <v>29</v>
      </c>
      <c r="H15875" s="11" t="s">
        <v>63</v>
      </c>
      <c r="I15875" s="13" t="s">
        <v>31464</v>
      </c>
      <c r="J15875" s="14" t="str">
        <f>HYPERLINK("https://www.boe.es/gazeta/dias/1839/06/08/pdfs/GMD-1839-1666.pdf#page=1","Abrir facsímil")</f>
        <v>Abrir facsímil</v>
      </c>
      <c r="K15875" s="12" t="s">
        <v>65</v>
      </c>
    </row>
    <row r="15876" spans="1:11" ht="40.049999999999997" customHeight="1" x14ac:dyDescent="0.25">
      <c r="A15876" s="11" t="s">
        <v>31465</v>
      </c>
      <c r="B15876" s="11" t="s">
        <v>31466</v>
      </c>
      <c r="C15876" s="11" t="s">
        <v>59</v>
      </c>
      <c r="D15876" s="11" t="s">
        <v>60</v>
      </c>
      <c r="E15876" s="12" t="s">
        <v>54</v>
      </c>
      <c r="F15876" s="12" t="s">
        <v>55</v>
      </c>
      <c r="G15876" s="12" t="s">
        <v>305</v>
      </c>
      <c r="H15876" s="11" t="s">
        <v>63</v>
      </c>
      <c r="I15876" s="13" t="s">
        <v>31467</v>
      </c>
      <c r="J15876" s="14" t="str">
        <f>HYPERLINK("https://www.boe.es/gazeta/dias/1839/10/05/pdfs/GMD-1839-1791.pdf#page=6","Abrir facsímil")</f>
        <v>Abrir facsímil</v>
      </c>
      <c r="K15876" s="12" t="s">
        <v>65</v>
      </c>
    </row>
    <row r="15877" spans="1:11" ht="40.049999999999997" customHeight="1" x14ac:dyDescent="0.25">
      <c r="A15877" s="11" t="s">
        <v>31465</v>
      </c>
      <c r="B15877" s="11" t="s">
        <v>31466</v>
      </c>
      <c r="C15877" s="11" t="s">
        <v>17</v>
      </c>
      <c r="D15877" s="11" t="s">
        <v>18</v>
      </c>
      <c r="E15877" s="12" t="s">
        <v>303</v>
      </c>
      <c r="F15877" s="12" t="s">
        <v>304</v>
      </c>
      <c r="G15877" s="12" t="s">
        <v>305</v>
      </c>
      <c r="H15877" s="11" t="s">
        <v>63</v>
      </c>
      <c r="I15877" s="13" t="s">
        <v>31468</v>
      </c>
      <c r="J15877" s="14" t="str">
        <f>HYPERLINK("https://www.boe.es/gazeta/dias/1839/10/06/pdfs/GMD-1839-1792.pdf#page=6","Abrir facsímil")</f>
        <v>Abrir facsímil</v>
      </c>
      <c r="K15877" s="12" t="s">
        <v>65</v>
      </c>
    </row>
    <row r="15878" spans="1:11" ht="40.049999999999997" customHeight="1" x14ac:dyDescent="0.25">
      <c r="A15878" s="11" t="s">
        <v>31465</v>
      </c>
      <c r="B15878" s="11" t="s">
        <v>31466</v>
      </c>
      <c r="C15878" s="11" t="s">
        <v>17</v>
      </c>
      <c r="D15878" s="11" t="s">
        <v>18</v>
      </c>
      <c r="E15878" s="12" t="s">
        <v>1648</v>
      </c>
      <c r="F15878" s="12" t="s">
        <v>1649</v>
      </c>
      <c r="G15878" s="12" t="s">
        <v>21</v>
      </c>
      <c r="H15878" s="11" t="s">
        <v>63</v>
      </c>
      <c r="I15878" s="13" t="s">
        <v>31469</v>
      </c>
      <c r="J15878" s="14" t="str">
        <f>HYPERLINK("https://www.boe.es/gazeta/dias/1839/08/18/pdfs/GMD-1839-1738.pdf#page=4","Abrir facsímil")</f>
        <v>Abrir facsímil</v>
      </c>
      <c r="K15878" s="12" t="s">
        <v>65</v>
      </c>
    </row>
    <row r="15879" spans="1:11" ht="40.049999999999997" customHeight="1" x14ac:dyDescent="0.25">
      <c r="A15879" s="11" t="s">
        <v>31465</v>
      </c>
      <c r="B15879" s="11" t="s">
        <v>31466</v>
      </c>
      <c r="C15879" s="11" t="s">
        <v>17</v>
      </c>
      <c r="D15879" s="11" t="s">
        <v>18</v>
      </c>
      <c r="E15879" s="12" t="s">
        <v>695</v>
      </c>
      <c r="F15879" s="12" t="s">
        <v>696</v>
      </c>
      <c r="G15879" s="12" t="s">
        <v>21</v>
      </c>
      <c r="H15879" s="11" t="s">
        <v>63</v>
      </c>
      <c r="I15879" s="13" t="s">
        <v>31470</v>
      </c>
      <c r="J15879" s="14" t="str">
        <f>HYPERLINK("https://www.boe.es/gazeta/dias/1839/12/19/pdfs/GMD-1839-1866.pdf#page=4","Abrir facsímil")</f>
        <v>Abrir facsímil</v>
      </c>
      <c r="K15879" s="12" t="s">
        <v>65</v>
      </c>
    </row>
    <row r="15880" spans="1:11" ht="40.049999999999997" customHeight="1" x14ac:dyDescent="0.25">
      <c r="A15880" s="11" t="s">
        <v>31465</v>
      </c>
      <c r="B15880" s="11" t="s">
        <v>31466</v>
      </c>
      <c r="C15880" s="11" t="s">
        <v>17</v>
      </c>
      <c r="D15880" s="11" t="s">
        <v>18</v>
      </c>
      <c r="E15880" s="12" t="s">
        <v>2415</v>
      </c>
      <c r="F15880" s="12" t="s">
        <v>2416</v>
      </c>
      <c r="G15880" s="12" t="s">
        <v>21</v>
      </c>
      <c r="H15880" s="11" t="s">
        <v>63</v>
      </c>
      <c r="I15880" s="13" t="s">
        <v>31471</v>
      </c>
      <c r="J15880" s="14" t="str">
        <f>HYPERLINK("https://www.boe.es/gazeta/dias/1839/12/22/pdfs/GMD-1839-1869.pdf#page=4","Abrir facsímil")</f>
        <v>Abrir facsímil</v>
      </c>
      <c r="K15880" s="12" t="s">
        <v>65</v>
      </c>
    </row>
    <row r="15881" spans="1:11" ht="40.049999999999997" customHeight="1" x14ac:dyDescent="0.25">
      <c r="A15881" s="11" t="s">
        <v>31465</v>
      </c>
      <c r="B15881" s="11" t="s">
        <v>31466</v>
      </c>
      <c r="C15881" s="11" t="s">
        <v>17</v>
      </c>
      <c r="D15881" s="11" t="s">
        <v>18</v>
      </c>
      <c r="E15881" s="12" t="s">
        <v>844</v>
      </c>
      <c r="F15881" s="12" t="s">
        <v>845</v>
      </c>
      <c r="G15881" s="12" t="s">
        <v>21</v>
      </c>
      <c r="H15881" s="11" t="s">
        <v>63</v>
      </c>
      <c r="I15881" s="13" t="s">
        <v>31472</v>
      </c>
      <c r="J15881" s="14" t="str">
        <f>HYPERLINK("https://www.boe.es/gazeta/dias/1839/12/24/pdfs/GMD-1839-1871.pdf#page=4","Abrir facsímil")</f>
        <v>Abrir facsímil</v>
      </c>
      <c r="K15881" s="12" t="s">
        <v>65</v>
      </c>
    </row>
    <row r="15882" spans="1:11" ht="40.049999999999997" customHeight="1" x14ac:dyDescent="0.25">
      <c r="A15882" s="11" t="s">
        <v>31473</v>
      </c>
      <c r="B15882" s="11" t="s">
        <v>31474</v>
      </c>
      <c r="C15882" s="11" t="s">
        <v>17</v>
      </c>
      <c r="D15882" s="11" t="s">
        <v>18</v>
      </c>
      <c r="E15882" s="12" t="s">
        <v>1008</v>
      </c>
      <c r="F15882" s="12" t="s">
        <v>1009</v>
      </c>
      <c r="G15882" s="12" t="s">
        <v>21</v>
      </c>
      <c r="H15882" s="11" t="s">
        <v>63</v>
      </c>
      <c r="I15882" s="13" t="s">
        <v>31475</v>
      </c>
      <c r="J15882" s="14" t="str">
        <f>HYPERLINK("https://www.boe.es/gazeta/dias/1839/09/07/pdfs/GMD-1839-1760.pdf#page=4","Abrir facsímil")</f>
        <v>Abrir facsímil</v>
      </c>
      <c r="K15882" s="12" t="s">
        <v>65</v>
      </c>
    </row>
    <row r="15883" spans="1:11" ht="40.049999999999997" customHeight="1" x14ac:dyDescent="0.25">
      <c r="A15883" s="11" t="s">
        <v>31476</v>
      </c>
      <c r="B15883" s="11" t="s">
        <v>31477</v>
      </c>
      <c r="C15883" s="11" t="s">
        <v>17</v>
      </c>
      <c r="D15883" s="11" t="s">
        <v>18</v>
      </c>
      <c r="E15883" s="12" t="s">
        <v>959</v>
      </c>
      <c r="F15883" s="12" t="s">
        <v>960</v>
      </c>
      <c r="G15883" s="12" t="s">
        <v>29</v>
      </c>
      <c r="H15883" s="11" t="s">
        <v>63</v>
      </c>
      <c r="I15883" s="13" t="s">
        <v>31478</v>
      </c>
      <c r="J15883" s="14" t="str">
        <f>HYPERLINK("https://www.boe.es/gazeta/dias/1839/12/06/pdfs/GMD-1839-1853.pdf#page=1","Abrir facsímil")</f>
        <v>Abrir facsímil</v>
      </c>
      <c r="K15883" s="12" t="s">
        <v>65</v>
      </c>
    </row>
    <row r="15884" spans="1:11" ht="40.049999999999997" customHeight="1" x14ac:dyDescent="0.25">
      <c r="A15884" s="11" t="s">
        <v>31479</v>
      </c>
      <c r="B15884" s="11" t="s">
        <v>31480</v>
      </c>
      <c r="C15884" s="11" t="s">
        <v>80</v>
      </c>
      <c r="D15884" s="11" t="s">
        <v>18</v>
      </c>
      <c r="E15884" s="12" t="s">
        <v>848</v>
      </c>
      <c r="F15884" s="12" t="s">
        <v>849</v>
      </c>
      <c r="G15884" s="12" t="s">
        <v>21</v>
      </c>
      <c r="H15884" s="11" t="s">
        <v>63</v>
      </c>
      <c r="I15884" s="13" t="s">
        <v>31481</v>
      </c>
      <c r="J15884" s="14" t="str">
        <f>HYPERLINK("https://www.boe.es/gazeta/dias/1839/08/04/pdfs/GMD-1839-1724.pdf#page=4","Abrir facsímil")</f>
        <v>Abrir facsímil</v>
      </c>
      <c r="K15884" s="12" t="s">
        <v>65</v>
      </c>
    </row>
    <row r="15885" spans="1:11" ht="40.049999999999997" customHeight="1" x14ac:dyDescent="0.25">
      <c r="A15885" s="11" t="s">
        <v>31479</v>
      </c>
      <c r="B15885" s="11" t="s">
        <v>31480</v>
      </c>
      <c r="C15885" s="11" t="s">
        <v>59</v>
      </c>
      <c r="D15885" s="11" t="s">
        <v>60</v>
      </c>
      <c r="E15885" s="12" t="s">
        <v>3668</v>
      </c>
      <c r="F15885" s="12" t="s">
        <v>3669</v>
      </c>
      <c r="G15885" s="12" t="s">
        <v>29</v>
      </c>
      <c r="H15885" s="11" t="s">
        <v>63</v>
      </c>
      <c r="I15885" s="13" t="s">
        <v>31482</v>
      </c>
      <c r="J15885" s="14" t="str">
        <f>HYPERLINK("https://www.boe.es/gazeta/dias/1839/05/19/pdfs/GMD-1839-1646.pdf#page=1","Abrir facsímil")</f>
        <v>Abrir facsímil</v>
      </c>
      <c r="K15885" s="12" t="s">
        <v>65</v>
      </c>
    </row>
    <row r="15886" spans="1:11" ht="40.049999999999997" customHeight="1" x14ac:dyDescent="0.25">
      <c r="A15886" s="11" t="s">
        <v>31483</v>
      </c>
      <c r="B15886" s="11" t="s">
        <v>31484</v>
      </c>
      <c r="C15886" s="11" t="s">
        <v>59</v>
      </c>
      <c r="D15886" s="11" t="s">
        <v>60</v>
      </c>
      <c r="E15886" s="12" t="s">
        <v>857</v>
      </c>
      <c r="F15886" s="12" t="s">
        <v>858</v>
      </c>
      <c r="G15886" s="12" t="s">
        <v>40</v>
      </c>
      <c r="H15886" s="11" t="s">
        <v>63</v>
      </c>
      <c r="I15886" s="13" t="s">
        <v>31485</v>
      </c>
      <c r="J15886" s="14" t="str">
        <f>HYPERLINK("https://www.boe.es/gazeta/dias/1839/11/21/pdfs/GMD-1839-1838.pdf#page=2","Abrir facsímil")</f>
        <v>Abrir facsímil</v>
      </c>
      <c r="K15886" s="12" t="s">
        <v>65</v>
      </c>
    </row>
    <row r="15887" spans="1:11" ht="40.049999999999997" customHeight="1" x14ac:dyDescent="0.25">
      <c r="A15887" s="11" t="s">
        <v>31486</v>
      </c>
      <c r="B15887" s="11" t="s">
        <v>31486</v>
      </c>
      <c r="C15887" s="11" t="s">
        <v>101</v>
      </c>
      <c r="D15887" s="11" t="s">
        <v>43</v>
      </c>
      <c r="E15887" s="12" t="s">
        <v>564</v>
      </c>
      <c r="F15887" s="12" t="s">
        <v>565</v>
      </c>
      <c r="G15887" s="12" t="s">
        <v>46</v>
      </c>
      <c r="H15887" s="11" t="s">
        <v>63</v>
      </c>
      <c r="I15887" s="13" t="s">
        <v>31487</v>
      </c>
      <c r="J15887" s="14" t="str">
        <f>HYPERLINK("https://www.boe.es/gazeta/dias/1839/10/17/pdfs/GMD-1839-1803.pdf#page=3","Abrir facsímil")</f>
        <v>Abrir facsímil</v>
      </c>
      <c r="K15887" s="12" t="s">
        <v>65</v>
      </c>
    </row>
    <row r="15888" spans="1:11" ht="40.049999999999997" customHeight="1" x14ac:dyDescent="0.25">
      <c r="A15888" s="11" t="s">
        <v>31488</v>
      </c>
      <c r="B15888" s="11" t="s">
        <v>31489</v>
      </c>
      <c r="C15888" s="11" t="s">
        <v>80</v>
      </c>
      <c r="D15888" s="11" t="s">
        <v>18</v>
      </c>
      <c r="E15888" s="12" t="s">
        <v>1123</v>
      </c>
      <c r="F15888" s="12" t="s">
        <v>1124</v>
      </c>
      <c r="G15888" s="12" t="s">
        <v>21</v>
      </c>
      <c r="H15888" s="11" t="s">
        <v>63</v>
      </c>
      <c r="I15888" s="13" t="s">
        <v>31490</v>
      </c>
      <c r="J15888" s="14" t="str">
        <f>HYPERLINK("https://www.boe.es/gazeta/dias/1839/08/10/pdfs/GMD-1839-1730.pdf#page=4","Abrir facsímil")</f>
        <v>Abrir facsímil</v>
      </c>
      <c r="K15888" s="12" t="s">
        <v>65</v>
      </c>
    </row>
    <row r="15889" spans="1:11" ht="40.049999999999997" customHeight="1" x14ac:dyDescent="0.25">
      <c r="A15889" s="11" t="s">
        <v>31491</v>
      </c>
      <c r="B15889" s="11" t="s">
        <v>31491</v>
      </c>
      <c r="C15889" s="11" t="s">
        <v>17</v>
      </c>
      <c r="D15889" s="11" t="s">
        <v>18</v>
      </c>
      <c r="E15889" s="12" t="s">
        <v>653</v>
      </c>
      <c r="F15889" s="12" t="s">
        <v>654</v>
      </c>
      <c r="G15889" s="12" t="s">
        <v>29</v>
      </c>
      <c r="H15889" s="11" t="s">
        <v>22</v>
      </c>
      <c r="I15889" s="13" t="s">
        <v>31492</v>
      </c>
      <c r="J15889" s="14" t="str">
        <f>HYPERLINK("https://www.boe.es/gazeta/dias/1839/10/31/pdfs/GMD-1839-1817.pdf#page=1","Abrir facsímil")</f>
        <v>Abrir facsímil</v>
      </c>
      <c r="K15889" s="12" t="s">
        <v>24</v>
      </c>
    </row>
    <row r="15890" spans="1:11" ht="40.049999999999997" customHeight="1" x14ac:dyDescent="0.25">
      <c r="A15890" s="11" t="s">
        <v>31493</v>
      </c>
      <c r="B15890" s="11" t="s">
        <v>31493</v>
      </c>
      <c r="C15890" s="11" t="s">
        <v>59</v>
      </c>
      <c r="D15890" s="11" t="s">
        <v>60</v>
      </c>
      <c r="E15890" s="12" t="s">
        <v>1682</v>
      </c>
      <c r="F15890" s="12" t="s">
        <v>1683</v>
      </c>
      <c r="G15890" s="12" t="s">
        <v>40</v>
      </c>
      <c r="H15890" s="11" t="s">
        <v>63</v>
      </c>
      <c r="I15890" s="13" t="s">
        <v>31494</v>
      </c>
      <c r="J15890" s="14" t="str">
        <f>HYPERLINK("https://www.boe.es/gazeta/dias/1839/12/26/pdfs/GMD-1839-1873.pdf#page=2","Abrir facsímil")</f>
        <v>Abrir facsímil</v>
      </c>
      <c r="K15890" s="12" t="s">
        <v>65</v>
      </c>
    </row>
    <row r="15891" spans="1:11" ht="40.049999999999997" customHeight="1" x14ac:dyDescent="0.25">
      <c r="A15891" s="11" t="s">
        <v>31495</v>
      </c>
      <c r="B15891" s="11" t="s">
        <v>31496</v>
      </c>
      <c r="C15891" s="11" t="s">
        <v>17</v>
      </c>
      <c r="D15891" s="11" t="s">
        <v>18</v>
      </c>
      <c r="E15891" s="12" t="s">
        <v>405</v>
      </c>
      <c r="F15891" s="12" t="s">
        <v>406</v>
      </c>
      <c r="G15891" s="12" t="s">
        <v>29</v>
      </c>
      <c r="H15891" s="11" t="s">
        <v>63</v>
      </c>
      <c r="I15891" s="13" t="s">
        <v>31497</v>
      </c>
      <c r="J15891" s="14" t="str">
        <f>HYPERLINK("https://www.boe.es/gazeta/dias/1839/03/25/pdfs/GMD-1839-1591.pdf#page=1","Abrir facsímil")</f>
        <v>Abrir facsímil</v>
      </c>
      <c r="K15891" s="12" t="s">
        <v>65</v>
      </c>
    </row>
    <row r="15892" spans="1:11" ht="40.049999999999997" customHeight="1" x14ac:dyDescent="0.25">
      <c r="A15892" s="11" t="s">
        <v>31498</v>
      </c>
      <c r="B15892" s="11" t="s">
        <v>31499</v>
      </c>
      <c r="C15892" s="11" t="s">
        <v>17</v>
      </c>
      <c r="D15892" s="11" t="s">
        <v>18</v>
      </c>
      <c r="E15892" s="12" t="s">
        <v>513</v>
      </c>
      <c r="F15892" s="12" t="s">
        <v>514</v>
      </c>
      <c r="G15892" s="12" t="s">
        <v>29</v>
      </c>
      <c r="H15892" s="11" t="s">
        <v>22</v>
      </c>
      <c r="I15892" s="13" t="s">
        <v>31500</v>
      </c>
      <c r="J15892" s="14" t="str">
        <f>HYPERLINK("https://www.boe.es/gazeta/dias/1839/03/17/pdfs/GMD-1839-1583.pdf#page=1","Abrir facsímil")</f>
        <v>Abrir facsímil</v>
      </c>
      <c r="K15892" s="12" t="s">
        <v>24</v>
      </c>
    </row>
    <row r="15893" spans="1:11" ht="40.049999999999997" customHeight="1" x14ac:dyDescent="0.25">
      <c r="A15893" s="11" t="s">
        <v>31501</v>
      </c>
      <c r="B15893" s="11" t="s">
        <v>31502</v>
      </c>
      <c r="C15893" s="11" t="s">
        <v>17</v>
      </c>
      <c r="D15893" s="11" t="s">
        <v>18</v>
      </c>
      <c r="E15893" s="12" t="s">
        <v>138</v>
      </c>
      <c r="F15893" s="12" t="s">
        <v>139</v>
      </c>
      <c r="G15893" s="12" t="s">
        <v>21</v>
      </c>
      <c r="H15893" s="11" t="s">
        <v>63</v>
      </c>
      <c r="I15893" s="13" t="s">
        <v>31503</v>
      </c>
      <c r="J15893" s="14" t="str">
        <f>HYPERLINK("https://www.boe.es/gazeta/dias/1839/10/09/pdfs/GMD-1839-1795.pdf#page=4","Abrir facsímil")</f>
        <v>Abrir facsímil</v>
      </c>
      <c r="K15893" s="12" t="s">
        <v>65</v>
      </c>
    </row>
    <row r="15894" spans="1:11" ht="40.049999999999997" customHeight="1" x14ac:dyDescent="0.25">
      <c r="A15894" s="11" t="s">
        <v>31504</v>
      </c>
      <c r="B15894" s="11" t="s">
        <v>31504</v>
      </c>
      <c r="C15894" s="11" t="s">
        <v>17</v>
      </c>
      <c r="D15894" s="11" t="s">
        <v>18</v>
      </c>
      <c r="E15894" s="12" t="s">
        <v>804</v>
      </c>
      <c r="F15894" s="12" t="s">
        <v>805</v>
      </c>
      <c r="G15894" s="12" t="s">
        <v>40</v>
      </c>
      <c r="H15894" s="11" t="s">
        <v>22</v>
      </c>
      <c r="I15894" s="13" t="s">
        <v>31505</v>
      </c>
      <c r="J15894" s="14" t="str">
        <f>HYPERLINK("https://www.boe.es/gazeta/dias/1839/01/08/pdfs/GMD-1839-1515.pdf#page=2","Abrir facsímil")</f>
        <v>Abrir facsímil</v>
      </c>
      <c r="K15894" s="12" t="s">
        <v>24</v>
      </c>
    </row>
    <row r="15895" spans="1:11" ht="40.049999999999997" customHeight="1" x14ac:dyDescent="0.25">
      <c r="A15895" s="11" t="s">
        <v>31506</v>
      </c>
      <c r="B15895" s="11" t="s">
        <v>31507</v>
      </c>
      <c r="C15895" s="11" t="s">
        <v>17</v>
      </c>
      <c r="D15895" s="11" t="s">
        <v>18</v>
      </c>
      <c r="E15895" s="12" t="s">
        <v>185</v>
      </c>
      <c r="F15895" s="12" t="s">
        <v>186</v>
      </c>
      <c r="G15895" s="12" t="s">
        <v>21</v>
      </c>
      <c r="H15895" s="11" t="s">
        <v>63</v>
      </c>
      <c r="I15895" s="13" t="s">
        <v>31508</v>
      </c>
      <c r="J15895" s="14" t="str">
        <f>HYPERLINK("https://www.boe.es/gazeta/dias/1839/01/15/pdfs/GMD-1839-1522.pdf#page=4","Abrir facsímil")</f>
        <v>Abrir facsímil</v>
      </c>
      <c r="K15895" s="12" t="s">
        <v>65</v>
      </c>
    </row>
    <row r="15896" spans="1:11" ht="40.049999999999997" customHeight="1" x14ac:dyDescent="0.25">
      <c r="A15896" s="11" t="s">
        <v>31509</v>
      </c>
      <c r="B15896" s="11" t="s">
        <v>31509</v>
      </c>
      <c r="C15896" s="11" t="s">
        <v>101</v>
      </c>
      <c r="D15896" s="11" t="s">
        <v>43</v>
      </c>
      <c r="E15896" s="12" t="s">
        <v>33</v>
      </c>
      <c r="F15896" s="12" t="s">
        <v>34</v>
      </c>
      <c r="G15896" s="12" t="s">
        <v>40</v>
      </c>
      <c r="H15896" s="11" t="s">
        <v>63</v>
      </c>
      <c r="I15896" s="13" t="s">
        <v>31510</v>
      </c>
      <c r="J15896" s="14" t="str">
        <f>HYPERLINK("https://www.boe.es/gazeta/dias/1839/12/13/pdfs/GMD-1839-1860.pdf#page=2","Abrir facsímil")</f>
        <v>Abrir facsímil</v>
      </c>
      <c r="K15896" s="12" t="s">
        <v>65</v>
      </c>
    </row>
    <row r="15897" spans="1:11" ht="40.049999999999997" customHeight="1" x14ac:dyDescent="0.25">
      <c r="A15897" s="11" t="s">
        <v>31511</v>
      </c>
      <c r="B15897" s="11" t="s">
        <v>31512</v>
      </c>
      <c r="C15897" s="11" t="s">
        <v>101</v>
      </c>
      <c r="D15897" s="11" t="s">
        <v>102</v>
      </c>
      <c r="E15897" s="12" t="s">
        <v>2069</v>
      </c>
      <c r="F15897" s="12" t="s">
        <v>2070</v>
      </c>
      <c r="G15897" s="12" t="s">
        <v>305</v>
      </c>
      <c r="H15897" s="11" t="s">
        <v>63</v>
      </c>
      <c r="I15897" s="13" t="s">
        <v>31513</v>
      </c>
      <c r="J15897" s="14" t="str">
        <f>HYPERLINK("https://www.boe.es/gazeta/dias/1839/10/20/pdfs/GMD-1839-1806.pdf#page=6","Abrir facsímil")</f>
        <v>Abrir facsímil</v>
      </c>
      <c r="K15897" s="12" t="s">
        <v>65</v>
      </c>
    </row>
    <row r="15898" spans="1:11" ht="40.049999999999997" customHeight="1" x14ac:dyDescent="0.25">
      <c r="A15898" s="11" t="s">
        <v>31514</v>
      </c>
      <c r="B15898" s="11" t="s">
        <v>31514</v>
      </c>
      <c r="C15898" s="11" t="s">
        <v>137</v>
      </c>
      <c r="D15898" s="11" t="s">
        <v>18</v>
      </c>
      <c r="E15898" s="12" t="s">
        <v>202</v>
      </c>
      <c r="F15898" s="12" t="s">
        <v>203</v>
      </c>
      <c r="G15898" s="12" t="s">
        <v>29</v>
      </c>
      <c r="H15898" s="11" t="s">
        <v>63</v>
      </c>
      <c r="I15898" s="13" t="s">
        <v>31515</v>
      </c>
      <c r="J15898" s="14" t="str">
        <f>HYPERLINK("https://www.boe.es/gazeta/dias/1839/04/05/pdfs/GMD-1839-1602.pdf#page=1","Abrir facsímil")</f>
        <v>Abrir facsímil</v>
      </c>
      <c r="K15898" s="12" t="s">
        <v>65</v>
      </c>
    </row>
    <row r="15899" spans="1:11" ht="40.049999999999997" customHeight="1" x14ac:dyDescent="0.25">
      <c r="A15899" s="11" t="s">
        <v>31516</v>
      </c>
      <c r="B15899" s="11" t="s">
        <v>31516</v>
      </c>
      <c r="C15899" s="11" t="s">
        <v>59</v>
      </c>
      <c r="D15899" s="11" t="s">
        <v>60</v>
      </c>
      <c r="E15899" s="12" t="s">
        <v>664</v>
      </c>
      <c r="F15899" s="12" t="s">
        <v>665</v>
      </c>
      <c r="G15899" s="12" t="s">
        <v>46</v>
      </c>
      <c r="H15899" s="11" t="s">
        <v>63</v>
      </c>
      <c r="I15899" s="13" t="s">
        <v>31517</v>
      </c>
      <c r="J15899" s="14" t="str">
        <f>HYPERLINK("https://www.boe.es/gazeta/dias/1839/01/24/pdfs/GMD-1839-1531.pdf#page=3","Abrir facsímil")</f>
        <v>Abrir facsímil</v>
      </c>
      <c r="K15899" s="12" t="s">
        <v>65</v>
      </c>
    </row>
    <row r="15900" spans="1:11" ht="40.049999999999997" customHeight="1" x14ac:dyDescent="0.25">
      <c r="A15900" s="11" t="s">
        <v>31518</v>
      </c>
      <c r="B15900" s="11" t="s">
        <v>31518</v>
      </c>
      <c r="C15900" s="11" t="s">
        <v>59</v>
      </c>
      <c r="D15900" s="11" t="s">
        <v>60</v>
      </c>
      <c r="E15900" s="12" t="s">
        <v>951</v>
      </c>
      <c r="F15900" s="12" t="s">
        <v>952</v>
      </c>
      <c r="G15900" s="12" t="s">
        <v>40</v>
      </c>
      <c r="H15900" s="11" t="s">
        <v>63</v>
      </c>
      <c r="I15900" s="13" t="s">
        <v>31519</v>
      </c>
      <c r="J15900" s="14" t="str">
        <f>HYPERLINK("https://www.boe.es/gazeta/dias/1839/12/30/pdfs/GMD-1839-1877.pdf#page=2","Abrir facsímil")</f>
        <v>Abrir facsímil</v>
      </c>
      <c r="K15900" s="12" t="s">
        <v>65</v>
      </c>
    </row>
    <row r="15901" spans="1:11" ht="40.049999999999997" customHeight="1" x14ac:dyDescent="0.25">
      <c r="A15901" s="11" t="s">
        <v>31518</v>
      </c>
      <c r="B15901" s="11" t="s">
        <v>31518</v>
      </c>
      <c r="C15901" s="11" t="s">
        <v>59</v>
      </c>
      <c r="D15901" s="11" t="s">
        <v>60</v>
      </c>
      <c r="E15901" s="12" t="s">
        <v>951</v>
      </c>
      <c r="F15901" s="12" t="s">
        <v>952</v>
      </c>
      <c r="G15901" s="12" t="s">
        <v>46</v>
      </c>
      <c r="H15901" s="11" t="s">
        <v>63</v>
      </c>
      <c r="I15901" s="13" t="s">
        <v>31520</v>
      </c>
      <c r="J15901" s="14" t="str">
        <f>HYPERLINK("https://www.boe.es/gazeta/dias/1839/12/30/pdfs/GMD-1839-1877.pdf#page=3","Abrir facsímil")</f>
        <v>Abrir facsímil</v>
      </c>
      <c r="K15901" s="12" t="s">
        <v>65</v>
      </c>
    </row>
    <row r="15902" spans="1:11" ht="40.049999999999997" customHeight="1" x14ac:dyDescent="0.25">
      <c r="A15902" s="11" t="s">
        <v>31521</v>
      </c>
      <c r="B15902" s="11" t="s">
        <v>31522</v>
      </c>
      <c r="C15902" s="11" t="s">
        <v>59</v>
      </c>
      <c r="D15902" s="11" t="s">
        <v>60</v>
      </c>
      <c r="E15902" s="12" t="s">
        <v>668</v>
      </c>
      <c r="F15902" s="12" t="s">
        <v>669</v>
      </c>
      <c r="G15902" s="12" t="s">
        <v>21</v>
      </c>
      <c r="H15902" s="11" t="s">
        <v>63</v>
      </c>
      <c r="I15902" s="13" t="s">
        <v>31523</v>
      </c>
      <c r="J15902" s="14" t="str">
        <f>HYPERLINK("https://www.boe.es/gazeta/dias/1839/03/28/pdfs/GMD-1839-1594.pdf#page=4","Abrir facsímil")</f>
        <v>Abrir facsímil</v>
      </c>
      <c r="K15902" s="12" t="s">
        <v>65</v>
      </c>
    </row>
    <row r="15903" spans="1:11" ht="40.049999999999997" customHeight="1" x14ac:dyDescent="0.25">
      <c r="A15903" s="11" t="s">
        <v>31524</v>
      </c>
      <c r="B15903" s="11" t="s">
        <v>31524</v>
      </c>
      <c r="C15903" s="11" t="s">
        <v>17</v>
      </c>
      <c r="D15903" s="11" t="s">
        <v>18</v>
      </c>
      <c r="E15903" s="12" t="s">
        <v>1474</v>
      </c>
      <c r="F15903" s="12" t="s">
        <v>1475</v>
      </c>
      <c r="G15903" s="12" t="s">
        <v>29</v>
      </c>
      <c r="H15903" s="11" t="s">
        <v>63</v>
      </c>
      <c r="I15903" s="13" t="s">
        <v>31525</v>
      </c>
      <c r="J15903" s="14" t="str">
        <f>HYPERLINK("https://www.boe.es/gazeta/dias/1839/02/28/pdfs/GMD-1839-1566.pdf#page=1","Abrir facsímil")</f>
        <v>Abrir facsímil</v>
      </c>
      <c r="K15903" s="12" t="s">
        <v>65</v>
      </c>
    </row>
    <row r="15904" spans="1:11" ht="40.049999999999997" customHeight="1" x14ac:dyDescent="0.25">
      <c r="A15904" s="11" t="s">
        <v>31526</v>
      </c>
      <c r="B15904" s="11" t="s">
        <v>31527</v>
      </c>
      <c r="C15904" s="11" t="s">
        <v>80</v>
      </c>
      <c r="D15904" s="11" t="s">
        <v>18</v>
      </c>
      <c r="E15904" s="12" t="s">
        <v>4451</v>
      </c>
      <c r="F15904" s="12" t="s">
        <v>4452</v>
      </c>
      <c r="G15904" s="12" t="s">
        <v>46</v>
      </c>
      <c r="H15904" s="11" t="s">
        <v>63</v>
      </c>
      <c r="I15904" s="13" t="s">
        <v>31528</v>
      </c>
      <c r="J15904" s="14" t="str">
        <f>HYPERLINK("https://www.boe.es/gazeta/dias/1839/12/02/pdfs/GMD-1839-1849.pdf#page=3","Abrir facsímil")</f>
        <v>Abrir facsímil</v>
      </c>
      <c r="K15904" s="12" t="s">
        <v>65</v>
      </c>
    </row>
    <row r="15905" spans="1:11" ht="40.049999999999997" customHeight="1" x14ac:dyDescent="0.25">
      <c r="A15905" s="11" t="s">
        <v>31529</v>
      </c>
      <c r="B15905" s="11" t="s">
        <v>31530</v>
      </c>
      <c r="C15905" s="11" t="s">
        <v>80</v>
      </c>
      <c r="D15905" s="11" t="s">
        <v>18</v>
      </c>
      <c r="E15905" s="12" t="s">
        <v>870</v>
      </c>
      <c r="F15905" s="12" t="s">
        <v>871</v>
      </c>
      <c r="G15905" s="12" t="s">
        <v>21</v>
      </c>
      <c r="H15905" s="11" t="s">
        <v>63</v>
      </c>
      <c r="I15905" s="13" t="s">
        <v>31531</v>
      </c>
      <c r="J15905" s="14" t="str">
        <f>HYPERLINK("https://www.boe.es/gazeta/dias/1839/04/18/pdfs/GMD-1839-1615.pdf#page=4","Abrir facsímil")</f>
        <v>Abrir facsímil</v>
      </c>
      <c r="K15905" s="12" t="s">
        <v>65</v>
      </c>
    </row>
    <row r="15906" spans="1:11" ht="40.049999999999997" customHeight="1" x14ac:dyDescent="0.25">
      <c r="A15906" s="11" t="s">
        <v>31532</v>
      </c>
      <c r="B15906" s="11" t="s">
        <v>31532</v>
      </c>
      <c r="C15906" s="11" t="s">
        <v>17</v>
      </c>
      <c r="D15906" s="11" t="s">
        <v>18</v>
      </c>
      <c r="E15906" s="12" t="s">
        <v>1729</v>
      </c>
      <c r="F15906" s="12" t="s">
        <v>1730</v>
      </c>
      <c r="G15906" s="12" t="s">
        <v>46</v>
      </c>
      <c r="H15906" s="11" t="s">
        <v>63</v>
      </c>
      <c r="I15906" s="13" t="s">
        <v>31533</v>
      </c>
      <c r="J15906" s="14" t="str">
        <f>HYPERLINK("https://www.boe.es/gazeta/dias/1839/04/25/pdfs/GMD-1839-1622.pdf#page=3","Abrir facsímil")</f>
        <v>Abrir facsímil</v>
      </c>
      <c r="K15906" s="12" t="s">
        <v>65</v>
      </c>
    </row>
    <row r="15907" spans="1:11" ht="40.049999999999997" customHeight="1" x14ac:dyDescent="0.25">
      <c r="A15907" s="11" t="s">
        <v>31534</v>
      </c>
      <c r="B15907" s="11" t="s">
        <v>31535</v>
      </c>
      <c r="C15907" s="11" t="s">
        <v>17</v>
      </c>
      <c r="D15907" s="11" t="s">
        <v>18</v>
      </c>
      <c r="E15907" s="12" t="s">
        <v>2658</v>
      </c>
      <c r="F15907" s="12" t="s">
        <v>2659</v>
      </c>
      <c r="G15907" s="12" t="s">
        <v>46</v>
      </c>
      <c r="H15907" s="11" t="s">
        <v>63</v>
      </c>
      <c r="I15907" s="13" t="s">
        <v>31536</v>
      </c>
      <c r="J15907" s="14" t="str">
        <f>HYPERLINK("https://www.boe.es/gazeta/dias/1839/06/27/pdfs/GMD-1839-1685.pdf#page=3","Abrir facsímil")</f>
        <v>Abrir facsímil</v>
      </c>
      <c r="K15907" s="12" t="s">
        <v>65</v>
      </c>
    </row>
    <row r="15908" spans="1:11" ht="40.049999999999997" customHeight="1" x14ac:dyDescent="0.25">
      <c r="A15908" s="11" t="s">
        <v>31537</v>
      </c>
      <c r="B15908" s="11" t="s">
        <v>31538</v>
      </c>
      <c r="C15908" s="11" t="s">
        <v>101</v>
      </c>
      <c r="D15908" s="11" t="s">
        <v>43</v>
      </c>
      <c r="E15908" s="12" t="s">
        <v>998</v>
      </c>
      <c r="F15908" s="12" t="s">
        <v>999</v>
      </c>
      <c r="G15908" s="12" t="s">
        <v>29</v>
      </c>
      <c r="H15908" s="11" t="s">
        <v>63</v>
      </c>
      <c r="I15908" s="13" t="s">
        <v>31539</v>
      </c>
      <c r="J15908" s="14" t="str">
        <f>HYPERLINK("https://www.boe.es/gazeta/dias/1839/05/06/pdfs/GMD-1839-1633.pdf#page=1","Abrir facsímil")</f>
        <v>Abrir facsímil</v>
      </c>
      <c r="K15908" s="12" t="s">
        <v>65</v>
      </c>
    </row>
    <row r="15909" spans="1:11" ht="40.049999999999997" customHeight="1" x14ac:dyDescent="0.25">
      <c r="A15909" s="11" t="s">
        <v>31540</v>
      </c>
      <c r="B15909" s="11" t="s">
        <v>31541</v>
      </c>
      <c r="C15909" s="11" t="s">
        <v>59</v>
      </c>
      <c r="D15909" s="11" t="s">
        <v>60</v>
      </c>
      <c r="E15909" s="12" t="s">
        <v>202</v>
      </c>
      <c r="F15909" s="12" t="s">
        <v>203</v>
      </c>
      <c r="G15909" s="12" t="s">
        <v>40</v>
      </c>
      <c r="H15909" s="11" t="s">
        <v>63</v>
      </c>
      <c r="I15909" s="13" t="s">
        <v>31542</v>
      </c>
      <c r="J15909" s="14" t="str">
        <f>HYPERLINK("https://www.boe.es/gazeta/dias/1839/04/05/pdfs/GMD-1839-1602.pdf#page=2","Abrir facsímil")</f>
        <v>Abrir facsímil</v>
      </c>
      <c r="K15909" s="12" t="s">
        <v>65</v>
      </c>
    </row>
    <row r="15910" spans="1:11" ht="40.049999999999997" customHeight="1" x14ac:dyDescent="0.25">
      <c r="A15910" s="11" t="s">
        <v>31543</v>
      </c>
      <c r="B15910" s="11" t="s">
        <v>31544</v>
      </c>
      <c r="C15910" s="11" t="s">
        <v>80</v>
      </c>
      <c r="D15910" s="11" t="s">
        <v>18</v>
      </c>
      <c r="E15910" s="12" t="s">
        <v>132</v>
      </c>
      <c r="F15910" s="12" t="s">
        <v>133</v>
      </c>
      <c r="G15910" s="12" t="s">
        <v>21</v>
      </c>
      <c r="H15910" s="11" t="s">
        <v>63</v>
      </c>
      <c r="I15910" s="13" t="s">
        <v>31545</v>
      </c>
      <c r="J15910" s="14" t="str">
        <f>HYPERLINK("https://www.boe.es/gazeta/dias/1839/08/02/pdfs/GMD-1839-1722.pdf#page=4","Abrir facsímil")</f>
        <v>Abrir facsímil</v>
      </c>
      <c r="K15910" s="12" t="s">
        <v>65</v>
      </c>
    </row>
    <row r="15911" spans="1:11" ht="40.049999999999997" customHeight="1" x14ac:dyDescent="0.25">
      <c r="A15911" s="11" t="s">
        <v>31546</v>
      </c>
      <c r="B15911" s="11" t="s">
        <v>31546</v>
      </c>
      <c r="C15911" s="11" t="s">
        <v>17</v>
      </c>
      <c r="D15911" s="11" t="s">
        <v>18</v>
      </c>
      <c r="E15911" s="12" t="s">
        <v>1520</v>
      </c>
      <c r="F15911" s="12" t="s">
        <v>1521</v>
      </c>
      <c r="G15911" s="12" t="s">
        <v>40</v>
      </c>
      <c r="H15911" s="11" t="s">
        <v>63</v>
      </c>
      <c r="I15911" s="13" t="s">
        <v>31547</v>
      </c>
      <c r="J15911" s="14" t="str">
        <f>HYPERLINK("https://www.boe.es/gazeta/dias/1839/12/27/pdfs/GMD-1839-1874.pdf#page=2","Abrir facsímil")</f>
        <v>Abrir facsímil</v>
      </c>
      <c r="K15911" s="12" t="s">
        <v>65</v>
      </c>
    </row>
    <row r="15912" spans="1:11" ht="40.049999999999997" customHeight="1" x14ac:dyDescent="0.25">
      <c r="A15912" s="11" t="s">
        <v>31548</v>
      </c>
      <c r="B15912" s="11" t="s">
        <v>31548</v>
      </c>
      <c r="C15912" s="11" t="s">
        <v>59</v>
      </c>
      <c r="D15912" s="11" t="s">
        <v>60</v>
      </c>
      <c r="E15912" s="12" t="s">
        <v>1388</v>
      </c>
      <c r="F15912" s="12" t="s">
        <v>1389</v>
      </c>
      <c r="G15912" s="12" t="s">
        <v>29</v>
      </c>
      <c r="H15912" s="11" t="s">
        <v>63</v>
      </c>
      <c r="I15912" s="13" t="s">
        <v>31549</v>
      </c>
      <c r="J15912" s="14" t="str">
        <f>HYPERLINK("https://www.boe.es/gazeta/dias/1839/06/04/pdfs/GMD-1839-1662.pdf#page=1","Abrir facsímil")</f>
        <v>Abrir facsímil</v>
      </c>
      <c r="K15912" s="12" t="s">
        <v>65</v>
      </c>
    </row>
    <row r="15913" spans="1:11" ht="40.049999999999997" customHeight="1" x14ac:dyDescent="0.25">
      <c r="A15913" s="11" t="s">
        <v>31550</v>
      </c>
      <c r="B15913" s="11" t="s">
        <v>31550</v>
      </c>
      <c r="C15913" s="11" t="s">
        <v>101</v>
      </c>
      <c r="D15913" s="11" t="s">
        <v>102</v>
      </c>
      <c r="E15913" s="12" t="s">
        <v>1729</v>
      </c>
      <c r="F15913" s="12" t="s">
        <v>1730</v>
      </c>
      <c r="G15913" s="12" t="s">
        <v>29</v>
      </c>
      <c r="H15913" s="11" t="s">
        <v>63</v>
      </c>
      <c r="I15913" s="13" t="s">
        <v>31551</v>
      </c>
      <c r="J15913" s="14" t="str">
        <f>HYPERLINK("https://www.boe.es/gazeta/dias/1839/04/25/pdfs/GMD-1839-1622.pdf#page=1","Abrir facsímil")</f>
        <v>Abrir facsímil</v>
      </c>
      <c r="K15913" s="12" t="s">
        <v>65</v>
      </c>
    </row>
    <row r="15914" spans="1:11" ht="40.049999999999997" customHeight="1" x14ac:dyDescent="0.25">
      <c r="A15914" s="11" t="s">
        <v>31552</v>
      </c>
      <c r="B15914" s="11" t="s">
        <v>31553</v>
      </c>
      <c r="C15914" s="11" t="s">
        <v>101</v>
      </c>
      <c r="D15914" s="11" t="s">
        <v>102</v>
      </c>
      <c r="E15914" s="12" t="s">
        <v>568</v>
      </c>
      <c r="F15914" s="12" t="s">
        <v>569</v>
      </c>
      <c r="G15914" s="12" t="s">
        <v>46</v>
      </c>
      <c r="H15914" s="11" t="s">
        <v>63</v>
      </c>
      <c r="I15914" s="13" t="s">
        <v>31554</v>
      </c>
      <c r="J15914" s="14" t="str">
        <f>HYPERLINK("https://www.boe.es/gazeta/dias/1839/10/23/pdfs/GMD-1839-1809.pdf#page=3","Abrir facsímil")</f>
        <v>Abrir facsímil</v>
      </c>
      <c r="K15914" s="12" t="s">
        <v>65</v>
      </c>
    </row>
    <row r="15915" spans="1:11" ht="40.049999999999997" customHeight="1" x14ac:dyDescent="0.25">
      <c r="A15915" s="11" t="s">
        <v>31555</v>
      </c>
      <c r="B15915" s="11" t="s">
        <v>31555</v>
      </c>
      <c r="C15915" s="11" t="s">
        <v>101</v>
      </c>
      <c r="D15915" s="11" t="s">
        <v>43</v>
      </c>
      <c r="E15915" s="12" t="s">
        <v>571</v>
      </c>
      <c r="F15915" s="12" t="s">
        <v>572</v>
      </c>
      <c r="G15915" s="12" t="s">
        <v>46</v>
      </c>
      <c r="H15915" s="11" t="s">
        <v>63</v>
      </c>
      <c r="I15915" s="13" t="s">
        <v>31556</v>
      </c>
      <c r="J15915" s="14" t="str">
        <f>HYPERLINK("https://www.boe.es/gazeta/dias/1839/09/27/pdfs/GMD-1839-1783.pdf#page=3","Abrir facsímil")</f>
        <v>Abrir facsímil</v>
      </c>
      <c r="K15915" s="12" t="s">
        <v>65</v>
      </c>
    </row>
    <row r="15916" spans="1:11" ht="40.049999999999997" customHeight="1" x14ac:dyDescent="0.25">
      <c r="A15916" s="11" t="s">
        <v>31557</v>
      </c>
      <c r="B15916" s="11" t="s">
        <v>31557</v>
      </c>
      <c r="C15916" s="11" t="s">
        <v>17</v>
      </c>
      <c r="D15916" s="11" t="s">
        <v>43</v>
      </c>
      <c r="E15916" s="12" t="s">
        <v>258</v>
      </c>
      <c r="F15916" s="12" t="s">
        <v>259</v>
      </c>
      <c r="G15916" s="12" t="s">
        <v>21</v>
      </c>
      <c r="H15916" s="11" t="s">
        <v>63</v>
      </c>
      <c r="I15916" s="13" t="s">
        <v>31558</v>
      </c>
      <c r="J15916" s="14" t="str">
        <f>HYPERLINK("https://www.boe.es/gazeta/dias/1839/01/02/pdfs/GMD-1839-1509.pdf#page=4","Abrir facsímil")</f>
        <v>Abrir facsímil</v>
      </c>
      <c r="K15916" s="12" t="s">
        <v>65</v>
      </c>
    </row>
    <row r="15917" spans="1:11" ht="40.049999999999997" customHeight="1" x14ac:dyDescent="0.25">
      <c r="A15917" s="11" t="s">
        <v>31559</v>
      </c>
      <c r="B15917" s="11" t="s">
        <v>31559</v>
      </c>
      <c r="C15917" s="11" t="s">
        <v>17</v>
      </c>
      <c r="D15917" s="11" t="s">
        <v>18</v>
      </c>
      <c r="E15917" s="12" t="s">
        <v>1509</v>
      </c>
      <c r="F15917" s="12" t="s">
        <v>1510</v>
      </c>
      <c r="G15917" s="12" t="s">
        <v>305</v>
      </c>
      <c r="H15917" s="11" t="s">
        <v>63</v>
      </c>
      <c r="I15917" s="13" t="s">
        <v>31560</v>
      </c>
      <c r="J15917" s="14" t="str">
        <f>HYPERLINK("https://www.boe.es/gazeta/dias/1839/10/07/pdfs/GMD-1839-1793.pdf#page=6","Abrir facsímil")</f>
        <v>Abrir facsímil</v>
      </c>
      <c r="K15917" s="12" t="s">
        <v>65</v>
      </c>
    </row>
    <row r="15918" spans="1:11" ht="40.049999999999997" customHeight="1" x14ac:dyDescent="0.25">
      <c r="A15918" s="11" t="s">
        <v>31561</v>
      </c>
      <c r="B15918" s="11" t="s">
        <v>31562</v>
      </c>
      <c r="C15918" s="11" t="s">
        <v>17</v>
      </c>
      <c r="D15918" s="11" t="s">
        <v>18</v>
      </c>
      <c r="E15918" s="12" t="s">
        <v>1284</v>
      </c>
      <c r="F15918" s="12" t="s">
        <v>1285</v>
      </c>
      <c r="G15918" s="12" t="s">
        <v>21</v>
      </c>
      <c r="H15918" s="11" t="s">
        <v>63</v>
      </c>
      <c r="I15918" s="13" t="s">
        <v>31563</v>
      </c>
      <c r="J15918" s="14" t="str">
        <f>HYPERLINK("https://www.boe.es/gazeta/dias/1839/03/27/pdfs/GMD-1839-1593.pdf#page=4","Abrir facsímil")</f>
        <v>Abrir facsímil</v>
      </c>
      <c r="K15918" s="12" t="s">
        <v>65</v>
      </c>
    </row>
    <row r="15919" spans="1:11" ht="40.049999999999997" customHeight="1" x14ac:dyDescent="0.25">
      <c r="A15919" s="11" t="s">
        <v>31564</v>
      </c>
      <c r="B15919" s="11" t="s">
        <v>31564</v>
      </c>
      <c r="C15919" s="11" t="s">
        <v>17</v>
      </c>
      <c r="D15919" s="11" t="s">
        <v>18</v>
      </c>
      <c r="E15919" s="12" t="s">
        <v>2227</v>
      </c>
      <c r="F15919" s="12" t="s">
        <v>2228</v>
      </c>
      <c r="G15919" s="12" t="s">
        <v>46</v>
      </c>
      <c r="H15919" s="11" t="s">
        <v>63</v>
      </c>
      <c r="I15919" s="13" t="s">
        <v>31565</v>
      </c>
      <c r="J15919" s="14" t="str">
        <f>HYPERLINK("https://www.boe.es/gazeta/dias/1839/12/04/pdfs/GMD-1839-1851.pdf#page=3","Abrir facsímil")</f>
        <v>Abrir facsímil</v>
      </c>
      <c r="K15919" s="12" t="s">
        <v>65</v>
      </c>
    </row>
    <row r="15920" spans="1:11" ht="40.049999999999997" customHeight="1" x14ac:dyDescent="0.25">
      <c r="A15920" s="11" t="s">
        <v>31566</v>
      </c>
      <c r="B15920" s="11" t="s">
        <v>31567</v>
      </c>
      <c r="C15920" s="11" t="s">
        <v>137</v>
      </c>
      <c r="D15920" s="11" t="s">
        <v>18</v>
      </c>
      <c r="E15920" s="12" t="s">
        <v>3614</v>
      </c>
      <c r="F15920" s="12" t="s">
        <v>3615</v>
      </c>
      <c r="G15920" s="12" t="s">
        <v>29</v>
      </c>
      <c r="H15920" s="11" t="s">
        <v>63</v>
      </c>
      <c r="I15920" s="13" t="s">
        <v>31568</v>
      </c>
      <c r="J15920" s="14" t="str">
        <f>HYPERLINK("https://www.boe.es/gazeta/dias/1839/04/04/pdfs/GMD-1839-1601.pdf#page=1","Abrir facsímil")</f>
        <v>Abrir facsímil</v>
      </c>
      <c r="K15920" s="12" t="s">
        <v>65</v>
      </c>
    </row>
    <row r="15921" spans="1:11" ht="40.049999999999997" customHeight="1" x14ac:dyDescent="0.25">
      <c r="A15921" s="11" t="s">
        <v>31569</v>
      </c>
      <c r="B15921" s="11" t="s">
        <v>31569</v>
      </c>
      <c r="C15921" s="11" t="s">
        <v>80</v>
      </c>
      <c r="D15921" s="11" t="s">
        <v>18</v>
      </c>
      <c r="E15921" s="12" t="s">
        <v>1284</v>
      </c>
      <c r="F15921" s="12" t="s">
        <v>1285</v>
      </c>
      <c r="G15921" s="12" t="s">
        <v>21</v>
      </c>
      <c r="H15921" s="11" t="s">
        <v>63</v>
      </c>
      <c r="I15921" s="13" t="s">
        <v>31570</v>
      </c>
      <c r="J15921" s="14" t="str">
        <f>HYPERLINK("https://www.boe.es/gazeta/dias/1839/03/27/pdfs/GMD-1839-1593.pdf#page=4","Abrir facsímil")</f>
        <v>Abrir facsímil</v>
      </c>
      <c r="K15921" s="12" t="s">
        <v>65</v>
      </c>
    </row>
    <row r="15922" spans="1:11" ht="40.049999999999997" customHeight="1" x14ac:dyDescent="0.25">
      <c r="A15922" s="11" t="s">
        <v>31571</v>
      </c>
      <c r="B15922" s="11" t="s">
        <v>31571</v>
      </c>
      <c r="C15922" s="11" t="s">
        <v>80</v>
      </c>
      <c r="D15922" s="11" t="s">
        <v>18</v>
      </c>
      <c r="E15922" s="12" t="s">
        <v>2069</v>
      </c>
      <c r="F15922" s="12" t="s">
        <v>2070</v>
      </c>
      <c r="G15922" s="12" t="s">
        <v>305</v>
      </c>
      <c r="H15922" s="11" t="s">
        <v>22</v>
      </c>
      <c r="I15922" s="13" t="s">
        <v>31572</v>
      </c>
      <c r="J15922" s="14" t="str">
        <f>HYPERLINK("https://www.boe.es/gazeta/dias/1839/10/20/pdfs/GMD-1839-1806.pdf#page=6","Abrir facsímil")</f>
        <v>Abrir facsímil</v>
      </c>
      <c r="K15922" s="12" t="s">
        <v>24</v>
      </c>
    </row>
    <row r="15923" spans="1:11" ht="40.049999999999997" customHeight="1" x14ac:dyDescent="0.25">
      <c r="A15923" s="11" t="s">
        <v>31573</v>
      </c>
      <c r="B15923" s="11" t="s">
        <v>31574</v>
      </c>
      <c r="C15923" s="11" t="s">
        <v>80</v>
      </c>
      <c r="D15923" s="11" t="s">
        <v>18</v>
      </c>
      <c r="E15923" s="12" t="s">
        <v>1252</v>
      </c>
      <c r="F15923" s="12" t="s">
        <v>1253</v>
      </c>
      <c r="G15923" s="12" t="s">
        <v>21</v>
      </c>
      <c r="H15923" s="11" t="s">
        <v>63</v>
      </c>
      <c r="I15923" s="13" t="s">
        <v>31575</v>
      </c>
      <c r="J15923" s="14" t="str">
        <f>HYPERLINK("https://www.boe.es/gazeta/dias/1839/06/15/pdfs/GMD-1839-1673.pdf#page=4","Abrir facsímil")</f>
        <v>Abrir facsímil</v>
      </c>
      <c r="K15923" s="12" t="s">
        <v>65</v>
      </c>
    </row>
    <row r="15924" spans="1:11" ht="40.049999999999997" customHeight="1" x14ac:dyDescent="0.25">
      <c r="A15924" s="11" t="s">
        <v>31576</v>
      </c>
      <c r="B15924" s="11" t="s">
        <v>31577</v>
      </c>
      <c r="C15924" s="11" t="s">
        <v>80</v>
      </c>
      <c r="D15924" s="11" t="s">
        <v>18</v>
      </c>
      <c r="E15924" s="12" t="s">
        <v>1252</v>
      </c>
      <c r="F15924" s="12" t="s">
        <v>1253</v>
      </c>
      <c r="G15924" s="12" t="s">
        <v>21</v>
      </c>
      <c r="H15924" s="11" t="s">
        <v>22</v>
      </c>
      <c r="I15924" s="13" t="s">
        <v>31578</v>
      </c>
      <c r="J15924" s="14" t="str">
        <f>HYPERLINK("https://www.boe.es/gazeta/dias/1839/06/15/pdfs/GMD-1839-1673.pdf#page=4","Abrir facsímil")</f>
        <v>Abrir facsímil</v>
      </c>
      <c r="K15924" s="12" t="s">
        <v>24</v>
      </c>
    </row>
    <row r="15925" spans="1:11" ht="40.049999999999997" customHeight="1" x14ac:dyDescent="0.25">
      <c r="A15925" s="11" t="s">
        <v>31579</v>
      </c>
      <c r="B15925" s="11" t="s">
        <v>31580</v>
      </c>
      <c r="C15925" s="11" t="s">
        <v>101</v>
      </c>
      <c r="D15925" s="11" t="s">
        <v>102</v>
      </c>
      <c r="E15925" s="12" t="s">
        <v>3705</v>
      </c>
      <c r="F15925" s="12" t="s">
        <v>3706</v>
      </c>
      <c r="G15925" s="12" t="s">
        <v>21</v>
      </c>
      <c r="H15925" s="11" t="s">
        <v>22</v>
      </c>
      <c r="I15925" s="13" t="s">
        <v>31581</v>
      </c>
      <c r="J15925" s="14" t="str">
        <f>HYPERLINK("https://www.boe.es/gazeta/dias/1839/03/09/pdfs/GMD-1839-1575.pdf#page=4","Abrir facsímil")</f>
        <v>Abrir facsímil</v>
      </c>
      <c r="K15925" s="12" t="s">
        <v>24</v>
      </c>
    </row>
    <row r="15926" spans="1:11" ht="40.049999999999997" customHeight="1" x14ac:dyDescent="0.25">
      <c r="A15926" s="11" t="s">
        <v>31582</v>
      </c>
      <c r="B15926" s="11" t="s">
        <v>31582</v>
      </c>
      <c r="C15926" s="11" t="s">
        <v>17</v>
      </c>
      <c r="D15926" s="11" t="s">
        <v>18</v>
      </c>
      <c r="E15926" s="12" t="s">
        <v>154</v>
      </c>
      <c r="F15926" s="12" t="s">
        <v>155</v>
      </c>
      <c r="G15926" s="12" t="s">
        <v>21</v>
      </c>
      <c r="H15926" s="11" t="s">
        <v>63</v>
      </c>
      <c r="I15926" s="13" t="s">
        <v>31583</v>
      </c>
      <c r="J15926" s="14" t="str">
        <f>HYPERLINK("https://www.boe.es/gazeta/dias/1839/02/02/pdfs/GMD-1839-1540.pdf#page=4","Abrir facsímil")</f>
        <v>Abrir facsímil</v>
      </c>
      <c r="K15926" s="12" t="s">
        <v>65</v>
      </c>
    </row>
    <row r="15927" spans="1:11" ht="40.049999999999997" customHeight="1" x14ac:dyDescent="0.25">
      <c r="A15927" s="11" t="s">
        <v>31584</v>
      </c>
      <c r="B15927" s="11" t="s">
        <v>31585</v>
      </c>
      <c r="C15927" s="11" t="s">
        <v>80</v>
      </c>
      <c r="D15927" s="11" t="s">
        <v>18</v>
      </c>
      <c r="E15927" s="12" t="s">
        <v>713</v>
      </c>
      <c r="F15927" s="12" t="s">
        <v>714</v>
      </c>
      <c r="G15927" s="12" t="s">
        <v>40</v>
      </c>
      <c r="H15927" s="11" t="s">
        <v>63</v>
      </c>
      <c r="I15927" s="13" t="s">
        <v>31586</v>
      </c>
      <c r="J15927" s="14" t="str">
        <f>HYPERLINK("https://www.boe.es/gazeta/dias/1839/12/18/pdfs/GMD-1839-1865.pdf#page=2","Abrir facsímil")</f>
        <v>Abrir facsímil</v>
      </c>
      <c r="K15927" s="12" t="s">
        <v>65</v>
      </c>
    </row>
    <row r="15928" spans="1:11" ht="40.049999999999997" customHeight="1" x14ac:dyDescent="0.25">
      <c r="A15928" s="11" t="s">
        <v>31587</v>
      </c>
      <c r="B15928" s="11" t="s">
        <v>31587</v>
      </c>
      <c r="C15928" s="11" t="s">
        <v>101</v>
      </c>
      <c r="D15928" s="11" t="s">
        <v>43</v>
      </c>
      <c r="E15928" s="12" t="s">
        <v>685</v>
      </c>
      <c r="F15928" s="12" t="s">
        <v>686</v>
      </c>
      <c r="G15928" s="12" t="s">
        <v>46</v>
      </c>
      <c r="H15928" s="11" t="s">
        <v>63</v>
      </c>
      <c r="I15928" s="13" t="s">
        <v>31588</v>
      </c>
      <c r="J15928" s="14" t="str">
        <f>HYPERLINK("https://www.boe.es/gazeta/dias/1839/06/18/pdfs/GMD-1839-1676.pdf#page=3","Abrir facsímil")</f>
        <v>Abrir facsímil</v>
      </c>
      <c r="K15928" s="12" t="s">
        <v>65</v>
      </c>
    </row>
    <row r="15929" spans="1:11" ht="40.049999999999997" customHeight="1" x14ac:dyDescent="0.25">
      <c r="A15929" s="11" t="s">
        <v>31589</v>
      </c>
      <c r="B15929" s="11" t="s">
        <v>31590</v>
      </c>
      <c r="C15929" s="11" t="s">
        <v>137</v>
      </c>
      <c r="D15929" s="11" t="s">
        <v>18</v>
      </c>
      <c r="E15929" s="12" t="s">
        <v>1988</v>
      </c>
      <c r="F15929" s="12" t="s">
        <v>1989</v>
      </c>
      <c r="G15929" s="12" t="s">
        <v>566</v>
      </c>
      <c r="H15929" s="11" t="s">
        <v>63</v>
      </c>
      <c r="I15929" s="13" t="s">
        <v>31591</v>
      </c>
      <c r="J15929" s="14" t="str">
        <f>HYPERLINK("https://www.boe.es/gazeta/dias/1839/10/29/pdfs/GMD-1839-1815.pdf#page=5","Abrir facsímil")</f>
        <v>Abrir facsímil</v>
      </c>
      <c r="K15929" s="12" t="s">
        <v>65</v>
      </c>
    </row>
    <row r="15930" spans="1:11" ht="40.049999999999997" customHeight="1" x14ac:dyDescent="0.25">
      <c r="A15930" s="11" t="s">
        <v>31592</v>
      </c>
      <c r="B15930" s="11" t="s">
        <v>31593</v>
      </c>
      <c r="C15930" s="11" t="s">
        <v>59</v>
      </c>
      <c r="D15930" s="11" t="s">
        <v>60</v>
      </c>
      <c r="E15930" s="12" t="s">
        <v>1988</v>
      </c>
      <c r="F15930" s="12" t="s">
        <v>1989</v>
      </c>
      <c r="G15930" s="12" t="s">
        <v>46</v>
      </c>
      <c r="H15930" s="11" t="s">
        <v>63</v>
      </c>
      <c r="I15930" s="13" t="s">
        <v>31594</v>
      </c>
      <c r="J15930" s="14" t="str">
        <f>HYPERLINK("https://www.boe.es/gazeta/dias/1839/10/29/pdfs/GMD-1839-1815.pdf#page=3","Abrir facsímil")</f>
        <v>Abrir facsímil</v>
      </c>
      <c r="K15930" s="12" t="s">
        <v>65</v>
      </c>
    </row>
    <row r="15931" spans="1:11" ht="40.049999999999997" customHeight="1" x14ac:dyDescent="0.25">
      <c r="A15931" s="11" t="s">
        <v>31595</v>
      </c>
      <c r="B15931" s="11" t="s">
        <v>31595</v>
      </c>
      <c r="C15931" s="11" t="s">
        <v>101</v>
      </c>
      <c r="D15931" s="11" t="s">
        <v>102</v>
      </c>
      <c r="E15931" s="12" t="s">
        <v>1628</v>
      </c>
      <c r="F15931" s="12" t="s">
        <v>1629</v>
      </c>
      <c r="G15931" s="12" t="s">
        <v>46</v>
      </c>
      <c r="H15931" s="11" t="s">
        <v>63</v>
      </c>
      <c r="I15931" s="13" t="s">
        <v>31596</v>
      </c>
      <c r="J15931" s="14" t="str">
        <f>HYPERLINK("https://www.boe.es/gazeta/dias/1839/03/10/pdfs/GMD-1839-1576.pdf#page=3","Abrir facsímil")</f>
        <v>Abrir facsímil</v>
      </c>
      <c r="K15931" s="12" t="s">
        <v>65</v>
      </c>
    </row>
    <row r="15932" spans="1:11" ht="40.049999999999997" customHeight="1" x14ac:dyDescent="0.25">
      <c r="A15932" s="11" t="s">
        <v>31597</v>
      </c>
      <c r="B15932" s="11" t="s">
        <v>31597</v>
      </c>
      <c r="C15932" s="11" t="s">
        <v>59</v>
      </c>
      <c r="D15932" s="11" t="s">
        <v>60</v>
      </c>
      <c r="E15932" s="12" t="s">
        <v>4186</v>
      </c>
      <c r="F15932" s="12" t="s">
        <v>4187</v>
      </c>
      <c r="G15932" s="12" t="s">
        <v>46</v>
      </c>
      <c r="H15932" s="11" t="s">
        <v>63</v>
      </c>
      <c r="I15932" s="13" t="s">
        <v>31598</v>
      </c>
      <c r="J15932" s="14" t="str">
        <f>HYPERLINK("https://www.boe.es/gazeta/dias/1839/12/12/pdfs/GMD-1839-1859.pdf#page=3","Abrir facsímil")</f>
        <v>Abrir facsímil</v>
      </c>
      <c r="K15932" s="12" t="s">
        <v>65</v>
      </c>
    </row>
    <row r="15933" spans="1:11" ht="40.049999999999997" customHeight="1" x14ac:dyDescent="0.25">
      <c r="A15933" s="11" t="s">
        <v>31599</v>
      </c>
      <c r="B15933" s="11" t="s">
        <v>31599</v>
      </c>
      <c r="C15933" s="11" t="s">
        <v>59</v>
      </c>
      <c r="D15933" s="11" t="s">
        <v>60</v>
      </c>
      <c r="E15933" s="12" t="s">
        <v>1891</v>
      </c>
      <c r="F15933" s="12" t="s">
        <v>1892</v>
      </c>
      <c r="G15933" s="12" t="s">
        <v>29</v>
      </c>
      <c r="H15933" s="11" t="s">
        <v>63</v>
      </c>
      <c r="I15933" s="13" t="s">
        <v>31600</v>
      </c>
      <c r="J15933" s="14" t="str">
        <f>HYPERLINK("https://www.boe.es/gazeta/dias/1839/12/14/pdfs/GMD-1839-1861.pdf#page=1","Abrir facsímil")</f>
        <v>Abrir facsímil</v>
      </c>
      <c r="K15933" s="12" t="s">
        <v>65</v>
      </c>
    </row>
    <row r="15934" spans="1:11" ht="40.049999999999997" customHeight="1" x14ac:dyDescent="0.25">
      <c r="A15934" s="11" t="s">
        <v>31601</v>
      </c>
      <c r="B15934" s="11" t="s">
        <v>31602</v>
      </c>
      <c r="C15934" s="11" t="s">
        <v>101</v>
      </c>
      <c r="D15934" s="11" t="s">
        <v>102</v>
      </c>
      <c r="E15934" s="12" t="s">
        <v>1497</v>
      </c>
      <c r="F15934" s="12" t="s">
        <v>1498</v>
      </c>
      <c r="G15934" s="12" t="s">
        <v>29</v>
      </c>
      <c r="H15934" s="11" t="s">
        <v>63</v>
      </c>
      <c r="I15934" s="13" t="s">
        <v>31603</v>
      </c>
      <c r="J15934" s="14" t="str">
        <f>HYPERLINK("https://www.boe.es/gazeta/dias/1839/08/23/pdfs/GMD-1839-1744.pdf#page=1","Abrir facsímil")</f>
        <v>Abrir facsímil</v>
      </c>
      <c r="K15934" s="12" t="s">
        <v>65</v>
      </c>
    </row>
    <row r="15935" spans="1:11" ht="40.049999999999997" customHeight="1" x14ac:dyDescent="0.25">
      <c r="A15935" s="11" t="s">
        <v>31604</v>
      </c>
      <c r="B15935" s="11" t="s">
        <v>31604</v>
      </c>
      <c r="C15935" s="11" t="s">
        <v>101</v>
      </c>
      <c r="D15935" s="11" t="s">
        <v>102</v>
      </c>
      <c r="E15935" s="12" t="s">
        <v>677</v>
      </c>
      <c r="F15935" s="12" t="s">
        <v>678</v>
      </c>
      <c r="G15935" s="12" t="s">
        <v>40</v>
      </c>
      <c r="H15935" s="11" t="s">
        <v>63</v>
      </c>
      <c r="I15935" s="13" t="s">
        <v>31605</v>
      </c>
      <c r="J15935" s="14" t="str">
        <f>HYPERLINK("https://www.boe.es/gazeta/dias/1839/04/28/pdfs/GMD-1839-1625.pdf#page=2","Abrir facsímil")</f>
        <v>Abrir facsímil</v>
      </c>
      <c r="K15935" s="12" t="s">
        <v>65</v>
      </c>
    </row>
    <row r="15936" spans="1:11" ht="40.049999999999997" customHeight="1" x14ac:dyDescent="0.25">
      <c r="A15936" s="11" t="s">
        <v>31606</v>
      </c>
      <c r="B15936" s="11" t="s">
        <v>31607</v>
      </c>
      <c r="C15936" s="11" t="s">
        <v>137</v>
      </c>
      <c r="D15936" s="11" t="s">
        <v>18</v>
      </c>
      <c r="E15936" s="12" t="s">
        <v>1236</v>
      </c>
      <c r="F15936" s="12" t="s">
        <v>1237</v>
      </c>
      <c r="G15936" s="12" t="s">
        <v>21</v>
      </c>
      <c r="H15936" s="11" t="s">
        <v>63</v>
      </c>
      <c r="I15936" s="13" t="s">
        <v>31608</v>
      </c>
      <c r="J15936" s="14" t="str">
        <f>HYPERLINK("https://www.boe.es/gazeta/dias/1839/10/16/pdfs/GMD-1839-1802.pdf#page=4","Abrir facsímil")</f>
        <v>Abrir facsímil</v>
      </c>
      <c r="K15936" s="12" t="s">
        <v>65</v>
      </c>
    </row>
    <row r="15937" spans="1:11" ht="40.049999999999997" customHeight="1" x14ac:dyDescent="0.25">
      <c r="A15937" s="11" t="s">
        <v>31609</v>
      </c>
      <c r="B15937" s="11" t="s">
        <v>31609</v>
      </c>
      <c r="C15937" s="11" t="s">
        <v>80</v>
      </c>
      <c r="D15937" s="11" t="s">
        <v>18</v>
      </c>
      <c r="E15937" s="12" t="s">
        <v>809</v>
      </c>
      <c r="F15937" s="12" t="s">
        <v>810</v>
      </c>
      <c r="G15937" s="12" t="s">
        <v>40</v>
      </c>
      <c r="H15937" s="11" t="s">
        <v>63</v>
      </c>
      <c r="I15937" s="13" t="s">
        <v>31610</v>
      </c>
      <c r="J15937" s="14" t="str">
        <f>HYPERLINK("https://www.boe.es/gazeta/dias/1839/02/11/pdfs/GMD-1839-1549.pdf#page=2","Abrir facsímil")</f>
        <v>Abrir facsímil</v>
      </c>
      <c r="K15937" s="12" t="s">
        <v>65</v>
      </c>
    </row>
    <row r="15938" spans="1:11" ht="40.049999999999997" customHeight="1" x14ac:dyDescent="0.25">
      <c r="A15938" s="11" t="s">
        <v>31611</v>
      </c>
      <c r="B15938" s="11" t="s">
        <v>31612</v>
      </c>
      <c r="C15938" s="11" t="s">
        <v>17</v>
      </c>
      <c r="D15938" s="11" t="s">
        <v>18</v>
      </c>
      <c r="E15938" s="12" t="s">
        <v>1685</v>
      </c>
      <c r="F15938" s="12" t="s">
        <v>1686</v>
      </c>
      <c r="G15938" s="12" t="s">
        <v>46</v>
      </c>
      <c r="H15938" s="11" t="s">
        <v>63</v>
      </c>
      <c r="I15938" s="13" t="s">
        <v>31613</v>
      </c>
      <c r="J15938" s="14" t="str">
        <f>HYPERLINK("https://www.boe.es/gazeta/dias/1839/04/27/pdfs/GMD-1839-1624.pdf#page=3","Abrir facsímil")</f>
        <v>Abrir facsímil</v>
      </c>
      <c r="K15938" s="12" t="s">
        <v>65</v>
      </c>
    </row>
    <row r="15939" spans="1:11" ht="40.049999999999997" customHeight="1" x14ac:dyDescent="0.25">
      <c r="A15939" s="11" t="s">
        <v>31614</v>
      </c>
      <c r="B15939" s="11" t="s">
        <v>31615</v>
      </c>
      <c r="C15939" s="11" t="s">
        <v>59</v>
      </c>
      <c r="D15939" s="11" t="s">
        <v>60</v>
      </c>
      <c r="E15939" s="12" t="s">
        <v>1433</v>
      </c>
      <c r="F15939" s="12" t="s">
        <v>1434</v>
      </c>
      <c r="G15939" s="12" t="s">
        <v>21</v>
      </c>
      <c r="H15939" s="11" t="s">
        <v>63</v>
      </c>
      <c r="I15939" s="13" t="s">
        <v>31616</v>
      </c>
      <c r="J15939" s="14" t="str">
        <f>HYPERLINK("https://www.boe.es/gazeta/dias/1839/10/22/pdfs/GMD-1839-1808.pdf#page=4","Abrir facsímil")</f>
        <v>Abrir facsímil</v>
      </c>
      <c r="K15939" s="12" t="s">
        <v>65</v>
      </c>
    </row>
    <row r="15940" spans="1:11" ht="40.049999999999997" customHeight="1" x14ac:dyDescent="0.25">
      <c r="A15940" s="11" t="s">
        <v>31617</v>
      </c>
      <c r="B15940" s="11" t="s">
        <v>31617</v>
      </c>
      <c r="C15940" s="11" t="s">
        <v>17</v>
      </c>
      <c r="D15940" s="11" t="s">
        <v>18</v>
      </c>
      <c r="E15940" s="12" t="s">
        <v>453</v>
      </c>
      <c r="F15940" s="12" t="s">
        <v>454</v>
      </c>
      <c r="G15940" s="12" t="s">
        <v>40</v>
      </c>
      <c r="H15940" s="11" t="s">
        <v>63</v>
      </c>
      <c r="I15940" s="13" t="s">
        <v>31618</v>
      </c>
      <c r="J15940" s="14" t="str">
        <f>HYPERLINK("https://www.boe.es/gazeta/dias/1839/02/07/pdfs/GMD-1839-1545.pdf#page=2","Abrir facsímil")</f>
        <v>Abrir facsímil</v>
      </c>
      <c r="K15940" s="12" t="s">
        <v>65</v>
      </c>
    </row>
    <row r="15941" spans="1:11" ht="40.049999999999997" customHeight="1" x14ac:dyDescent="0.25">
      <c r="A15941" s="11" t="s">
        <v>31617</v>
      </c>
      <c r="B15941" s="11" t="s">
        <v>31617</v>
      </c>
      <c r="C15941" s="11" t="s">
        <v>17</v>
      </c>
      <c r="D15941" s="11" t="s">
        <v>18</v>
      </c>
      <c r="E15941" s="12" t="s">
        <v>1236</v>
      </c>
      <c r="F15941" s="12" t="s">
        <v>1237</v>
      </c>
      <c r="G15941" s="12" t="s">
        <v>29</v>
      </c>
      <c r="H15941" s="11" t="s">
        <v>63</v>
      </c>
      <c r="I15941" s="13" t="s">
        <v>31619</v>
      </c>
      <c r="J15941" s="14" t="str">
        <f>HYPERLINK("https://www.boe.es/gazeta/dias/1839/10/16/pdfs/GMD-1839-1802.pdf#page=1","Abrir facsímil")</f>
        <v>Abrir facsímil</v>
      </c>
      <c r="K15941" s="12" t="s">
        <v>65</v>
      </c>
    </row>
    <row r="15942" spans="1:11" ht="40.049999999999997" customHeight="1" x14ac:dyDescent="0.25">
      <c r="A15942" s="11" t="s">
        <v>31620</v>
      </c>
      <c r="B15942" s="11" t="s">
        <v>31621</v>
      </c>
      <c r="C15942" s="11" t="s">
        <v>59</v>
      </c>
      <c r="D15942" s="11" t="s">
        <v>60</v>
      </c>
      <c r="E15942" s="12" t="s">
        <v>779</v>
      </c>
      <c r="F15942" s="12" t="s">
        <v>780</v>
      </c>
      <c r="G15942" s="12" t="s">
        <v>40</v>
      </c>
      <c r="H15942" s="11" t="s">
        <v>63</v>
      </c>
      <c r="I15942" s="13" t="s">
        <v>31622</v>
      </c>
      <c r="J15942" s="14" t="str">
        <f>HYPERLINK("https://www.boe.es/gazeta/dias/1839/02/03/pdfs/GMD-1839-1541.pdf#page=2","Abrir facsímil")</f>
        <v>Abrir facsímil</v>
      </c>
      <c r="K15942" s="12" t="s">
        <v>65</v>
      </c>
    </row>
    <row r="15943" spans="1:11" ht="40.049999999999997" customHeight="1" x14ac:dyDescent="0.25">
      <c r="A15943" s="11" t="s">
        <v>31623</v>
      </c>
      <c r="B15943" s="11" t="s">
        <v>31624</v>
      </c>
      <c r="C15943" s="11" t="s">
        <v>137</v>
      </c>
      <c r="D15943" s="11" t="s">
        <v>18</v>
      </c>
      <c r="E15943" s="12" t="s">
        <v>181</v>
      </c>
      <c r="F15943" s="12" t="s">
        <v>182</v>
      </c>
      <c r="G15943" s="12" t="s">
        <v>29</v>
      </c>
      <c r="H15943" s="11" t="s">
        <v>63</v>
      </c>
      <c r="I15943" s="13" t="s">
        <v>31625</v>
      </c>
      <c r="J15943" s="14" t="str">
        <f>HYPERLINK("https://www.boe.es/gazeta/dias/1839/01/11/pdfs/GMD-1839-1518.pdf#page=1","Abrir facsímil")</f>
        <v>Abrir facsímil</v>
      </c>
      <c r="K15943" s="12" t="s">
        <v>65</v>
      </c>
    </row>
    <row r="15944" spans="1:11" ht="40.049999999999997" customHeight="1" x14ac:dyDescent="0.25">
      <c r="A15944" s="11" t="s">
        <v>31626</v>
      </c>
      <c r="B15944" s="11" t="s">
        <v>31626</v>
      </c>
      <c r="C15944" s="11" t="s">
        <v>101</v>
      </c>
      <c r="D15944" s="11" t="s">
        <v>43</v>
      </c>
      <c r="E15944" s="12" t="s">
        <v>1057</v>
      </c>
      <c r="F15944" s="12" t="s">
        <v>1058</v>
      </c>
      <c r="G15944" s="12" t="s">
        <v>40</v>
      </c>
      <c r="H15944" s="11" t="s">
        <v>63</v>
      </c>
      <c r="I15944" s="13" t="s">
        <v>31627</v>
      </c>
      <c r="J15944" s="14" t="str">
        <f>HYPERLINK("https://www.boe.es/gazeta/dias/1839/10/01/pdfs/GMD-1839-1787.pdf#page=2","Abrir facsímil")</f>
        <v>Abrir facsímil</v>
      </c>
      <c r="K15944" s="12" t="s">
        <v>65</v>
      </c>
    </row>
    <row r="15945" spans="1:11" ht="40.049999999999997" customHeight="1" x14ac:dyDescent="0.25">
      <c r="A15945" s="11" t="s">
        <v>31626</v>
      </c>
      <c r="B15945" s="11" t="s">
        <v>31626</v>
      </c>
      <c r="C15945" s="11" t="s">
        <v>17</v>
      </c>
      <c r="D15945" s="11" t="s">
        <v>18</v>
      </c>
      <c r="E15945" s="12" t="s">
        <v>453</v>
      </c>
      <c r="F15945" s="12" t="s">
        <v>454</v>
      </c>
      <c r="G15945" s="12" t="s">
        <v>46</v>
      </c>
      <c r="H15945" s="11" t="s">
        <v>63</v>
      </c>
      <c r="I15945" s="13" t="s">
        <v>31628</v>
      </c>
      <c r="J15945" s="14" t="str">
        <f>HYPERLINK("https://www.boe.es/gazeta/dias/1839/02/07/pdfs/GMD-1839-1545.pdf#page=3","Abrir facsímil")</f>
        <v>Abrir facsímil</v>
      </c>
      <c r="K15945" s="12" t="s">
        <v>65</v>
      </c>
    </row>
    <row r="15946" spans="1:11" ht="40.049999999999997" customHeight="1" x14ac:dyDescent="0.25">
      <c r="A15946" s="11" t="s">
        <v>31626</v>
      </c>
      <c r="B15946" s="11" t="s">
        <v>31626</v>
      </c>
      <c r="C15946" s="11" t="s">
        <v>17</v>
      </c>
      <c r="D15946" s="11" t="s">
        <v>18</v>
      </c>
      <c r="E15946" s="12" t="s">
        <v>138</v>
      </c>
      <c r="F15946" s="12" t="s">
        <v>139</v>
      </c>
      <c r="G15946" s="12" t="s">
        <v>46</v>
      </c>
      <c r="H15946" s="11" t="s">
        <v>63</v>
      </c>
      <c r="I15946" s="13" t="s">
        <v>31629</v>
      </c>
      <c r="J15946" s="14" t="str">
        <f>HYPERLINK("https://www.boe.es/gazeta/dias/1839/10/09/pdfs/GMD-1839-1795.pdf#page=3","Abrir facsímil")</f>
        <v>Abrir facsímil</v>
      </c>
      <c r="K15946" s="12" t="s">
        <v>65</v>
      </c>
    </row>
    <row r="15947" spans="1:11" ht="40.049999999999997" customHeight="1" x14ac:dyDescent="0.25">
      <c r="A15947" s="11" t="s">
        <v>31626</v>
      </c>
      <c r="B15947" s="11" t="s">
        <v>31626</v>
      </c>
      <c r="C15947" s="11" t="s">
        <v>101</v>
      </c>
      <c r="D15947" s="11" t="s">
        <v>43</v>
      </c>
      <c r="E15947" s="12" t="s">
        <v>561</v>
      </c>
      <c r="F15947" s="12" t="s">
        <v>562</v>
      </c>
      <c r="G15947" s="12" t="s">
        <v>21</v>
      </c>
      <c r="H15947" s="11" t="s">
        <v>63</v>
      </c>
      <c r="I15947" s="13" t="s">
        <v>31630</v>
      </c>
      <c r="J15947" s="14" t="str">
        <f>HYPERLINK("https://www.boe.es/gazeta/dias/1839/09/11/pdfs/GMD-1839-1764.pdf#page=4","Abrir facsímil")</f>
        <v>Abrir facsímil</v>
      </c>
      <c r="K15947" s="12" t="s">
        <v>65</v>
      </c>
    </row>
    <row r="15948" spans="1:11" ht="40.049999999999997" customHeight="1" x14ac:dyDescent="0.25">
      <c r="A15948" s="11" t="s">
        <v>31626</v>
      </c>
      <c r="B15948" s="11" t="s">
        <v>31626</v>
      </c>
      <c r="C15948" s="11" t="s">
        <v>101</v>
      </c>
      <c r="D15948" s="11" t="s">
        <v>43</v>
      </c>
      <c r="E15948" s="12" t="s">
        <v>103</v>
      </c>
      <c r="F15948" s="12" t="s">
        <v>104</v>
      </c>
      <c r="G15948" s="12" t="s">
        <v>40</v>
      </c>
      <c r="H15948" s="11" t="s">
        <v>63</v>
      </c>
      <c r="I15948" s="13" t="s">
        <v>31631</v>
      </c>
      <c r="J15948" s="14" t="str">
        <f>HYPERLINK("https://www.boe.es/gazeta/dias/1839/10/12/pdfs/GMD-1839-1798.pdf#page=2","Abrir facsímil")</f>
        <v>Abrir facsímil</v>
      </c>
      <c r="K15948" s="12" t="s">
        <v>65</v>
      </c>
    </row>
    <row r="15949" spans="1:11" ht="40.049999999999997" customHeight="1" x14ac:dyDescent="0.25">
      <c r="A15949" s="11" t="s">
        <v>31626</v>
      </c>
      <c r="B15949" s="11" t="s">
        <v>31626</v>
      </c>
      <c r="C15949" s="11" t="s">
        <v>17</v>
      </c>
      <c r="D15949" s="11" t="s">
        <v>18</v>
      </c>
      <c r="E15949" s="12" t="s">
        <v>1069</v>
      </c>
      <c r="F15949" s="12" t="s">
        <v>1070</v>
      </c>
      <c r="G15949" s="12" t="s">
        <v>40</v>
      </c>
      <c r="H15949" s="11" t="s">
        <v>63</v>
      </c>
      <c r="I15949" s="13" t="s">
        <v>31632</v>
      </c>
      <c r="J15949" s="14" t="str">
        <f>HYPERLINK("https://www.boe.es/gazeta/dias/1839/10/15/pdfs/GMD-1839-1801.pdf#page=2","Abrir facsímil")</f>
        <v>Abrir facsímil</v>
      </c>
      <c r="K15949" s="12" t="s">
        <v>65</v>
      </c>
    </row>
    <row r="15950" spans="1:11" ht="40.049999999999997" customHeight="1" x14ac:dyDescent="0.25">
      <c r="A15950" s="11" t="s">
        <v>31626</v>
      </c>
      <c r="B15950" s="11" t="s">
        <v>31626</v>
      </c>
      <c r="C15950" s="11" t="s">
        <v>101</v>
      </c>
      <c r="D15950" s="11" t="s">
        <v>43</v>
      </c>
      <c r="E15950" s="12" t="s">
        <v>834</v>
      </c>
      <c r="F15950" s="12" t="s">
        <v>835</v>
      </c>
      <c r="G15950" s="12" t="s">
        <v>40</v>
      </c>
      <c r="H15950" s="11" t="s">
        <v>63</v>
      </c>
      <c r="I15950" s="13" t="s">
        <v>31633</v>
      </c>
      <c r="J15950" s="14" t="str">
        <f>HYPERLINK("https://www.boe.es/gazeta/dias/1839/08/17/pdfs/GMD-1839-1737.pdf#page=2","Abrir facsímil")</f>
        <v>Abrir facsímil</v>
      </c>
      <c r="K15950" s="12" t="s">
        <v>65</v>
      </c>
    </row>
    <row r="15951" spans="1:11" ht="40.049999999999997" customHeight="1" x14ac:dyDescent="0.25">
      <c r="A15951" s="11" t="s">
        <v>31626</v>
      </c>
      <c r="B15951" s="11" t="s">
        <v>31626</v>
      </c>
      <c r="C15951" s="11" t="s">
        <v>17</v>
      </c>
      <c r="D15951" s="11" t="s">
        <v>18</v>
      </c>
      <c r="E15951" s="12" t="s">
        <v>2222</v>
      </c>
      <c r="F15951" s="12" t="s">
        <v>2223</v>
      </c>
      <c r="G15951" s="12" t="s">
        <v>40</v>
      </c>
      <c r="H15951" s="11" t="s">
        <v>63</v>
      </c>
      <c r="I15951" s="13" t="s">
        <v>31634</v>
      </c>
      <c r="J15951" s="14" t="str">
        <f>HYPERLINK("https://www.boe.es/gazeta/dias/1839/09/19/pdfs/GMD-1839-1773.pdf#page=2","Abrir facsímil")</f>
        <v>Abrir facsímil</v>
      </c>
      <c r="K15951" s="12" t="s">
        <v>65</v>
      </c>
    </row>
    <row r="15952" spans="1:11" ht="40.049999999999997" customHeight="1" x14ac:dyDescent="0.25">
      <c r="A15952" s="11" t="s">
        <v>31626</v>
      </c>
      <c r="B15952" s="11" t="s">
        <v>31626</v>
      </c>
      <c r="C15952" s="11" t="s">
        <v>17</v>
      </c>
      <c r="D15952" s="11" t="s">
        <v>18</v>
      </c>
      <c r="E15952" s="12" t="s">
        <v>222</v>
      </c>
      <c r="F15952" s="12" t="s">
        <v>223</v>
      </c>
      <c r="G15952" s="12" t="s">
        <v>21</v>
      </c>
      <c r="H15952" s="11" t="s">
        <v>63</v>
      </c>
      <c r="I15952" s="13" t="s">
        <v>31635</v>
      </c>
      <c r="J15952" s="14" t="str">
        <f>HYPERLINK("https://www.boe.es/gazeta/dias/1839/06/22/pdfs/GMD-1839-1680.pdf#page=4","Abrir facsímil")</f>
        <v>Abrir facsímil</v>
      </c>
      <c r="K15952" s="12" t="s">
        <v>65</v>
      </c>
    </row>
    <row r="15953" spans="1:11" ht="40.049999999999997" customHeight="1" x14ac:dyDescent="0.25">
      <c r="A15953" s="11" t="s">
        <v>31626</v>
      </c>
      <c r="B15953" s="11" t="s">
        <v>31626</v>
      </c>
      <c r="C15953" s="11" t="s">
        <v>17</v>
      </c>
      <c r="D15953" s="11" t="s">
        <v>18</v>
      </c>
      <c r="E15953" s="12" t="s">
        <v>239</v>
      </c>
      <c r="F15953" s="12" t="s">
        <v>240</v>
      </c>
      <c r="G15953" s="12" t="s">
        <v>46</v>
      </c>
      <c r="H15953" s="11" t="s">
        <v>63</v>
      </c>
      <c r="I15953" s="13" t="s">
        <v>31636</v>
      </c>
      <c r="J15953" s="14" t="str">
        <f>HYPERLINK("https://www.boe.es/gazeta/dias/1839/09/22/pdfs/GMD-1839-1777.pdf#page=3","Abrir facsímil")</f>
        <v>Abrir facsímil</v>
      </c>
      <c r="K15953" s="12" t="s">
        <v>65</v>
      </c>
    </row>
    <row r="15954" spans="1:11" ht="40.049999999999997" customHeight="1" x14ac:dyDescent="0.25">
      <c r="A15954" s="11" t="s">
        <v>31626</v>
      </c>
      <c r="B15954" s="11" t="s">
        <v>31626</v>
      </c>
      <c r="C15954" s="11" t="s">
        <v>137</v>
      </c>
      <c r="D15954" s="11" t="s">
        <v>18</v>
      </c>
      <c r="E15954" s="12" t="s">
        <v>416</v>
      </c>
      <c r="F15954" s="12" t="s">
        <v>417</v>
      </c>
      <c r="G15954" s="12" t="s">
        <v>21</v>
      </c>
      <c r="H15954" s="11" t="s">
        <v>63</v>
      </c>
      <c r="I15954" s="13" t="s">
        <v>31637</v>
      </c>
      <c r="J15954" s="14" t="str">
        <f>HYPERLINK("https://www.boe.es/gazeta/dias/1839/10/24/pdfs/GMD-1839-1810.pdf#page=4","Abrir facsímil")</f>
        <v>Abrir facsímil</v>
      </c>
      <c r="K15954" s="12" t="s">
        <v>65</v>
      </c>
    </row>
    <row r="15955" spans="1:11" ht="40.049999999999997" customHeight="1" x14ac:dyDescent="0.25">
      <c r="A15955" s="11" t="s">
        <v>31638</v>
      </c>
      <c r="B15955" s="11" t="s">
        <v>31639</v>
      </c>
      <c r="C15955" s="11" t="s">
        <v>17</v>
      </c>
      <c r="D15955" s="11" t="s">
        <v>18</v>
      </c>
      <c r="E15955" s="12" t="s">
        <v>2658</v>
      </c>
      <c r="F15955" s="12" t="s">
        <v>2659</v>
      </c>
      <c r="G15955" s="12" t="s">
        <v>40</v>
      </c>
      <c r="H15955" s="11" t="s">
        <v>22</v>
      </c>
      <c r="I15955" s="13" t="s">
        <v>31640</v>
      </c>
      <c r="J15955" s="14" t="str">
        <f>HYPERLINK("https://www.boe.es/gazeta/dias/1839/06/27/pdfs/GMD-1839-1685.pdf#page=2","Abrir facsímil")</f>
        <v>Abrir facsímil</v>
      </c>
      <c r="K15955" s="12" t="s">
        <v>24</v>
      </c>
    </row>
    <row r="15956" spans="1:11" ht="40.049999999999997" customHeight="1" x14ac:dyDescent="0.25">
      <c r="A15956" s="11" t="s">
        <v>31641</v>
      </c>
      <c r="B15956" s="11" t="s">
        <v>31641</v>
      </c>
      <c r="C15956" s="11" t="s">
        <v>17</v>
      </c>
      <c r="D15956" s="11" t="s">
        <v>18</v>
      </c>
      <c r="E15956" s="12" t="s">
        <v>804</v>
      </c>
      <c r="F15956" s="12" t="s">
        <v>805</v>
      </c>
      <c r="G15956" s="12" t="s">
        <v>29</v>
      </c>
      <c r="H15956" s="11" t="s">
        <v>22</v>
      </c>
      <c r="I15956" s="13" t="s">
        <v>31642</v>
      </c>
      <c r="J15956" s="14" t="str">
        <f>HYPERLINK("https://www.boe.es/gazeta/dias/1839/01/08/pdfs/GMD-1839-1515.pdf#page=1","Abrir facsímil")</f>
        <v>Abrir facsímil</v>
      </c>
      <c r="K15956" s="12" t="s">
        <v>24</v>
      </c>
    </row>
    <row r="15957" spans="1:11" ht="40.049999999999997" customHeight="1" x14ac:dyDescent="0.25">
      <c r="A15957" s="11" t="s">
        <v>31643</v>
      </c>
      <c r="B15957" s="11" t="s">
        <v>31643</v>
      </c>
      <c r="C15957" s="11" t="s">
        <v>59</v>
      </c>
      <c r="D15957" s="11" t="s">
        <v>60</v>
      </c>
      <c r="E15957" s="12" t="s">
        <v>84</v>
      </c>
      <c r="F15957" s="12" t="s">
        <v>85</v>
      </c>
      <c r="G15957" s="12" t="s">
        <v>21</v>
      </c>
      <c r="H15957" s="11" t="s">
        <v>63</v>
      </c>
      <c r="I15957" s="13" t="s">
        <v>31644</v>
      </c>
      <c r="J15957" s="14" t="str">
        <f>HYPERLINK("https://www.boe.es/gazeta/dias/1839/03/11/pdfs/GMD-1839-1577.pdf#page=4","Abrir facsímil")</f>
        <v>Abrir facsímil</v>
      </c>
      <c r="K15957" s="12" t="s">
        <v>65</v>
      </c>
    </row>
    <row r="15958" spans="1:11" ht="40.049999999999997" customHeight="1" x14ac:dyDescent="0.25">
      <c r="A15958" s="11" t="s">
        <v>31643</v>
      </c>
      <c r="B15958" s="11" t="s">
        <v>31643</v>
      </c>
      <c r="C15958" s="11" t="s">
        <v>80</v>
      </c>
      <c r="D15958" s="11" t="s">
        <v>18</v>
      </c>
      <c r="E15958" s="12" t="s">
        <v>821</v>
      </c>
      <c r="F15958" s="12" t="s">
        <v>822</v>
      </c>
      <c r="G15958" s="12" t="s">
        <v>29</v>
      </c>
      <c r="H15958" s="11" t="s">
        <v>63</v>
      </c>
      <c r="I15958" s="13" t="s">
        <v>31645</v>
      </c>
      <c r="J15958" s="14" t="str">
        <f>HYPERLINK("https://www.boe.es/gazeta/dias/1839/09/20/pdfs/GMD-1839-1775.pdf#page=1","Abrir facsímil")</f>
        <v>Abrir facsímil</v>
      </c>
      <c r="K15958" s="12" t="s">
        <v>65</v>
      </c>
    </row>
    <row r="15959" spans="1:11" ht="40.049999999999997" customHeight="1" x14ac:dyDescent="0.25">
      <c r="A15959" s="11" t="s">
        <v>31646</v>
      </c>
      <c r="B15959" s="11" t="s">
        <v>31646</v>
      </c>
      <c r="C15959" s="11" t="s">
        <v>17</v>
      </c>
      <c r="D15959" s="11" t="s">
        <v>43</v>
      </c>
      <c r="E15959" s="12" t="s">
        <v>862</v>
      </c>
      <c r="F15959" s="12" t="s">
        <v>863</v>
      </c>
      <c r="G15959" s="12" t="s">
        <v>46</v>
      </c>
      <c r="H15959" s="11" t="s">
        <v>63</v>
      </c>
      <c r="I15959" s="13" t="s">
        <v>31647</v>
      </c>
      <c r="J15959" s="14" t="str">
        <f>HYPERLINK("https://www.boe.es/gazeta/dias/1839/10/28/pdfs/GMD-1839-1814.pdf#page=3","Abrir facsímil")</f>
        <v>Abrir facsímil</v>
      </c>
      <c r="K15959" s="12" t="s">
        <v>65</v>
      </c>
    </row>
    <row r="15960" spans="1:11" ht="40.049999999999997" customHeight="1" x14ac:dyDescent="0.25">
      <c r="A15960" s="11" t="s">
        <v>31646</v>
      </c>
      <c r="B15960" s="11" t="s">
        <v>31646</v>
      </c>
      <c r="C15960" s="11" t="s">
        <v>17</v>
      </c>
      <c r="D15960" s="11" t="s">
        <v>18</v>
      </c>
      <c r="E15960" s="12" t="s">
        <v>862</v>
      </c>
      <c r="F15960" s="12" t="s">
        <v>863</v>
      </c>
      <c r="G15960" s="12" t="s">
        <v>566</v>
      </c>
      <c r="H15960" s="11" t="s">
        <v>63</v>
      </c>
      <c r="I15960" s="13" t="s">
        <v>31648</v>
      </c>
      <c r="J15960" s="14" t="str">
        <f>HYPERLINK("https://www.boe.es/gazeta/dias/1839/10/28/pdfs/GMD-1839-1814.pdf#page=5","Abrir facsímil")</f>
        <v>Abrir facsímil</v>
      </c>
      <c r="K15960" s="12" t="s">
        <v>65</v>
      </c>
    </row>
    <row r="15961" spans="1:11" ht="40.049999999999997" customHeight="1" x14ac:dyDescent="0.25">
      <c r="A15961" s="11" t="s">
        <v>31646</v>
      </c>
      <c r="B15961" s="11" t="s">
        <v>31646</v>
      </c>
      <c r="C15961" s="11" t="s">
        <v>137</v>
      </c>
      <c r="D15961" s="11" t="s">
        <v>18</v>
      </c>
      <c r="E15961" s="12" t="s">
        <v>1988</v>
      </c>
      <c r="F15961" s="12" t="s">
        <v>1989</v>
      </c>
      <c r="G15961" s="12" t="s">
        <v>46</v>
      </c>
      <c r="H15961" s="11" t="s">
        <v>63</v>
      </c>
      <c r="I15961" s="13" t="s">
        <v>31649</v>
      </c>
      <c r="J15961" s="14" t="str">
        <f>HYPERLINK("https://www.boe.es/gazeta/dias/1839/10/29/pdfs/GMD-1839-1815.pdf#page=3","Abrir facsímil")</f>
        <v>Abrir facsímil</v>
      </c>
      <c r="K15961" s="12" t="s">
        <v>65</v>
      </c>
    </row>
    <row r="15962" spans="1:11" ht="40.049999999999997" customHeight="1" x14ac:dyDescent="0.25">
      <c r="A15962" s="11" t="s">
        <v>31646</v>
      </c>
      <c r="B15962" s="11" t="s">
        <v>31646</v>
      </c>
      <c r="C15962" s="11" t="s">
        <v>17</v>
      </c>
      <c r="D15962" s="11" t="s">
        <v>18</v>
      </c>
      <c r="E15962" s="12" t="s">
        <v>1287</v>
      </c>
      <c r="F15962" s="12" t="s">
        <v>1288</v>
      </c>
      <c r="G15962" s="12" t="s">
        <v>46</v>
      </c>
      <c r="H15962" s="11" t="s">
        <v>63</v>
      </c>
      <c r="I15962" s="13" t="s">
        <v>31650</v>
      </c>
      <c r="J15962" s="14" t="str">
        <f>HYPERLINK("https://www.boe.es/gazeta/dias/1839/10/30/pdfs/GMD-1839-1816.pdf#page=3","Abrir facsímil")</f>
        <v>Abrir facsímil</v>
      </c>
      <c r="K15962" s="12" t="s">
        <v>65</v>
      </c>
    </row>
    <row r="15963" spans="1:11" ht="40.049999999999997" customHeight="1" x14ac:dyDescent="0.25">
      <c r="A15963" s="11" t="s">
        <v>31651</v>
      </c>
      <c r="B15963" s="11" t="s">
        <v>31652</v>
      </c>
      <c r="C15963" s="11" t="s">
        <v>17</v>
      </c>
      <c r="D15963" s="11" t="s">
        <v>18</v>
      </c>
      <c r="E15963" s="12" t="s">
        <v>388</v>
      </c>
      <c r="F15963" s="12" t="s">
        <v>389</v>
      </c>
      <c r="G15963" s="12" t="s">
        <v>29</v>
      </c>
      <c r="H15963" s="11" t="s">
        <v>63</v>
      </c>
      <c r="I15963" s="13" t="s">
        <v>31653</v>
      </c>
      <c r="J15963" s="14" t="str">
        <f>HYPERLINK("https://www.boe.es/gazeta/dias/1839/08/07/pdfs/GMD-1839-1727.pdf#page=1","Abrir facsímil")</f>
        <v>Abrir facsímil</v>
      </c>
      <c r="K15963" s="12" t="s">
        <v>65</v>
      </c>
    </row>
    <row r="15964" spans="1:11" ht="40.049999999999997" customHeight="1" x14ac:dyDescent="0.25">
      <c r="A15964" s="11" t="s">
        <v>31654</v>
      </c>
      <c r="B15964" s="11" t="s">
        <v>31654</v>
      </c>
      <c r="C15964" s="11" t="s">
        <v>17</v>
      </c>
      <c r="D15964" s="11" t="s">
        <v>18</v>
      </c>
      <c r="E15964" s="12" t="s">
        <v>243</v>
      </c>
      <c r="F15964" s="12" t="s">
        <v>244</v>
      </c>
      <c r="G15964" s="12" t="s">
        <v>46</v>
      </c>
      <c r="H15964" s="11" t="s">
        <v>63</v>
      </c>
      <c r="I15964" s="13" t="s">
        <v>31655</v>
      </c>
      <c r="J15964" s="14" t="str">
        <f>HYPERLINK("https://www.boe.es/gazeta/dias/1839/09/23/pdfs/GMD-1839-1779.pdf#page=3","Abrir facsímil")</f>
        <v>Abrir facsímil</v>
      </c>
      <c r="K15964" s="12" t="s">
        <v>65</v>
      </c>
    </row>
    <row r="15965" spans="1:11" ht="40.049999999999997" customHeight="1" x14ac:dyDescent="0.25">
      <c r="A15965" s="11" t="s">
        <v>31656</v>
      </c>
      <c r="B15965" s="11" t="s">
        <v>31657</v>
      </c>
      <c r="C15965" s="11" t="s">
        <v>17</v>
      </c>
      <c r="D15965" s="11" t="s">
        <v>18</v>
      </c>
      <c r="E15965" s="12" t="s">
        <v>700</v>
      </c>
      <c r="F15965" s="12" t="s">
        <v>701</v>
      </c>
      <c r="G15965" s="12" t="s">
        <v>40</v>
      </c>
      <c r="H15965" s="11" t="s">
        <v>63</v>
      </c>
      <c r="I15965" s="13" t="s">
        <v>31658</v>
      </c>
      <c r="J15965" s="14" t="str">
        <f>HYPERLINK("https://www.boe.es/gazeta/dias/1839/09/01/pdfs/GMD-1839-1753.pdf#page=2","Abrir facsímil")</f>
        <v>Abrir facsímil</v>
      </c>
      <c r="K15965" s="12" t="s">
        <v>65</v>
      </c>
    </row>
    <row r="15966" spans="1:11" ht="40.049999999999997" customHeight="1" x14ac:dyDescent="0.25">
      <c r="A15966" s="11" t="s">
        <v>31659</v>
      </c>
      <c r="B15966" s="11" t="s">
        <v>31659</v>
      </c>
      <c r="C15966" s="11" t="s">
        <v>17</v>
      </c>
      <c r="D15966" s="11" t="s">
        <v>18</v>
      </c>
      <c r="E15966" s="12" t="s">
        <v>713</v>
      </c>
      <c r="F15966" s="12" t="s">
        <v>714</v>
      </c>
      <c r="G15966" s="12" t="s">
        <v>46</v>
      </c>
      <c r="H15966" s="11" t="s">
        <v>63</v>
      </c>
      <c r="I15966" s="13" t="s">
        <v>31660</v>
      </c>
      <c r="J15966" s="14" t="str">
        <f>HYPERLINK("https://www.boe.es/gazeta/dias/1839/12/18/pdfs/GMD-1839-1865.pdf#page=3","Abrir facsímil")</f>
        <v>Abrir facsímil</v>
      </c>
      <c r="K15966" s="12" t="s">
        <v>65</v>
      </c>
    </row>
    <row r="15967" spans="1:11" ht="40.049999999999997" customHeight="1" x14ac:dyDescent="0.25">
      <c r="A15967" s="11" t="s">
        <v>31659</v>
      </c>
      <c r="B15967" s="11" t="s">
        <v>31659</v>
      </c>
      <c r="C15967" s="11" t="s">
        <v>17</v>
      </c>
      <c r="D15967" s="11" t="s">
        <v>18</v>
      </c>
      <c r="E15967" s="12" t="s">
        <v>723</v>
      </c>
      <c r="F15967" s="12" t="s">
        <v>724</v>
      </c>
      <c r="G15967" s="12" t="s">
        <v>21</v>
      </c>
      <c r="H15967" s="11" t="s">
        <v>63</v>
      </c>
      <c r="I15967" s="13" t="s">
        <v>31661</v>
      </c>
      <c r="J15967" s="14" t="str">
        <f>HYPERLINK("https://www.boe.es/gazeta/dias/1839/09/26/pdfs/GMD-1839-1782.pdf#page=4","Abrir facsímil")</f>
        <v>Abrir facsímil</v>
      </c>
      <c r="K15967" s="12" t="s">
        <v>65</v>
      </c>
    </row>
    <row r="15968" spans="1:11" ht="40.049999999999997" customHeight="1" x14ac:dyDescent="0.25">
      <c r="A15968" s="11" t="s">
        <v>31662</v>
      </c>
      <c r="B15968" s="11" t="s">
        <v>31662</v>
      </c>
      <c r="C15968" s="11" t="s">
        <v>17</v>
      </c>
      <c r="D15968" s="11" t="s">
        <v>18</v>
      </c>
      <c r="E15968" s="12" t="s">
        <v>632</v>
      </c>
      <c r="F15968" s="12" t="s">
        <v>633</v>
      </c>
      <c r="G15968" s="12" t="s">
        <v>46</v>
      </c>
      <c r="H15968" s="11" t="s">
        <v>63</v>
      </c>
      <c r="I15968" s="13" t="s">
        <v>31663</v>
      </c>
      <c r="J15968" s="14" t="str">
        <f>HYPERLINK("https://www.boe.es/gazeta/dias/1839/04/06/pdfs/GMD-1839-1603.pdf#page=3","Abrir facsímil")</f>
        <v>Abrir facsímil</v>
      </c>
      <c r="K15968" s="12" t="s">
        <v>65</v>
      </c>
    </row>
    <row r="15969" spans="1:11" ht="40.049999999999997" customHeight="1" x14ac:dyDescent="0.25">
      <c r="A15969" s="11" t="s">
        <v>31662</v>
      </c>
      <c r="B15969" s="11" t="s">
        <v>31662</v>
      </c>
      <c r="C15969" s="11" t="s">
        <v>17</v>
      </c>
      <c r="D15969" s="11" t="s">
        <v>18</v>
      </c>
      <c r="E15969" s="12" t="s">
        <v>632</v>
      </c>
      <c r="F15969" s="12" t="s">
        <v>633</v>
      </c>
      <c r="G15969" s="12" t="s">
        <v>21</v>
      </c>
      <c r="H15969" s="11" t="s">
        <v>63</v>
      </c>
      <c r="I15969" s="13" t="s">
        <v>31664</v>
      </c>
      <c r="J15969" s="14" t="str">
        <f>HYPERLINK("https://www.boe.es/gazeta/dias/1839/04/06/pdfs/GMD-1839-1603.pdf#page=4","Abrir facsímil")</f>
        <v>Abrir facsímil</v>
      </c>
      <c r="K15969" s="12" t="s">
        <v>65</v>
      </c>
    </row>
    <row r="15970" spans="1:11" ht="40.049999999999997" customHeight="1" x14ac:dyDescent="0.25">
      <c r="A15970" s="11" t="s">
        <v>31662</v>
      </c>
      <c r="B15970" s="11" t="s">
        <v>31662</v>
      </c>
      <c r="C15970" s="11" t="s">
        <v>17</v>
      </c>
      <c r="D15970" s="11" t="s">
        <v>18</v>
      </c>
      <c r="E15970" s="12" t="s">
        <v>61</v>
      </c>
      <c r="F15970" s="12" t="s">
        <v>62</v>
      </c>
      <c r="G15970" s="12" t="s">
        <v>21</v>
      </c>
      <c r="H15970" s="11" t="s">
        <v>63</v>
      </c>
      <c r="I15970" s="13" t="s">
        <v>31665</v>
      </c>
      <c r="J15970" s="14" t="str">
        <f>HYPERLINK("https://www.boe.es/gazeta/dias/1839/09/10/pdfs/GMD-1839-1763.pdf#page=4","Abrir facsímil")</f>
        <v>Abrir facsímil</v>
      </c>
      <c r="K15970" s="12" t="s">
        <v>65</v>
      </c>
    </row>
    <row r="15971" spans="1:11" ht="40.049999999999997" customHeight="1" x14ac:dyDescent="0.25">
      <c r="A15971" s="11" t="s">
        <v>31662</v>
      </c>
      <c r="B15971" s="11" t="s">
        <v>31662</v>
      </c>
      <c r="C15971" s="11" t="s">
        <v>137</v>
      </c>
      <c r="D15971" s="11" t="s">
        <v>18</v>
      </c>
      <c r="E15971" s="12" t="s">
        <v>544</v>
      </c>
      <c r="F15971" s="12" t="s">
        <v>545</v>
      </c>
      <c r="G15971" s="12" t="s">
        <v>46</v>
      </c>
      <c r="H15971" s="11" t="s">
        <v>63</v>
      </c>
      <c r="I15971" s="13" t="s">
        <v>31666</v>
      </c>
      <c r="J15971" s="14" t="str">
        <f>HYPERLINK("https://www.boe.es/gazeta/dias/1839/11/11/pdfs/GMD-1839-1828.pdf#page=3","Abrir facsímil")</f>
        <v>Abrir facsímil</v>
      </c>
      <c r="K15971" s="12" t="s">
        <v>65</v>
      </c>
    </row>
    <row r="15972" spans="1:11" ht="40.049999999999997" customHeight="1" x14ac:dyDescent="0.25">
      <c r="A15972" s="11" t="s">
        <v>31662</v>
      </c>
      <c r="B15972" s="11" t="s">
        <v>31662</v>
      </c>
      <c r="C15972" s="11" t="s">
        <v>17</v>
      </c>
      <c r="D15972" s="11" t="s">
        <v>18</v>
      </c>
      <c r="E15972" s="12" t="s">
        <v>510</v>
      </c>
      <c r="F15972" s="12" t="s">
        <v>511</v>
      </c>
      <c r="G15972" s="12" t="s">
        <v>46</v>
      </c>
      <c r="H15972" s="11" t="s">
        <v>63</v>
      </c>
      <c r="I15972" s="13" t="s">
        <v>31667</v>
      </c>
      <c r="J15972" s="14" t="str">
        <f>HYPERLINK("https://www.boe.es/gazeta/dias/1839/05/13/pdfs/GMD-1839-1640.pdf#page=3","Abrir facsímil")</f>
        <v>Abrir facsímil</v>
      </c>
      <c r="K15972" s="12" t="s">
        <v>65</v>
      </c>
    </row>
    <row r="15973" spans="1:11" ht="40.049999999999997" customHeight="1" x14ac:dyDescent="0.25">
      <c r="A15973" s="11" t="s">
        <v>31662</v>
      </c>
      <c r="B15973" s="11" t="s">
        <v>31662</v>
      </c>
      <c r="C15973" s="11" t="s">
        <v>17</v>
      </c>
      <c r="D15973" s="11" t="s">
        <v>18</v>
      </c>
      <c r="E15973" s="12" t="s">
        <v>148</v>
      </c>
      <c r="F15973" s="12" t="s">
        <v>149</v>
      </c>
      <c r="G15973" s="12" t="s">
        <v>21</v>
      </c>
      <c r="H15973" s="11" t="s">
        <v>63</v>
      </c>
      <c r="I15973" s="13" t="s">
        <v>31668</v>
      </c>
      <c r="J15973" s="14" t="str">
        <f>HYPERLINK("https://www.boe.es/gazeta/dias/1839/07/16/pdfs/GMD-1839-1704.pdf#page=4","Abrir facsímil")</f>
        <v>Abrir facsímil</v>
      </c>
      <c r="K15973" s="12" t="s">
        <v>65</v>
      </c>
    </row>
    <row r="15974" spans="1:11" ht="40.049999999999997" customHeight="1" x14ac:dyDescent="0.25">
      <c r="A15974" s="11" t="s">
        <v>31662</v>
      </c>
      <c r="B15974" s="11" t="s">
        <v>31662</v>
      </c>
      <c r="C15974" s="11" t="s">
        <v>17</v>
      </c>
      <c r="D15974" s="11" t="s">
        <v>18</v>
      </c>
      <c r="E15974" s="12" t="s">
        <v>723</v>
      </c>
      <c r="F15974" s="12" t="s">
        <v>724</v>
      </c>
      <c r="G15974" s="12" t="s">
        <v>46</v>
      </c>
      <c r="H15974" s="11" t="s">
        <v>63</v>
      </c>
      <c r="I15974" s="13" t="s">
        <v>31669</v>
      </c>
      <c r="J15974" s="14" t="str">
        <f>HYPERLINK("https://www.boe.es/gazeta/dias/1839/09/26/pdfs/GMD-1839-1782.pdf#page=3","Abrir facsímil")</f>
        <v>Abrir facsímil</v>
      </c>
      <c r="K15974" s="12" t="s">
        <v>65</v>
      </c>
    </row>
    <row r="15975" spans="1:11" ht="40.049999999999997" customHeight="1" x14ac:dyDescent="0.25">
      <c r="A15975" s="11" t="s">
        <v>31662</v>
      </c>
      <c r="B15975" s="11" t="s">
        <v>31662</v>
      </c>
      <c r="C15975" s="11" t="s">
        <v>101</v>
      </c>
      <c r="D15975" s="11" t="s">
        <v>102</v>
      </c>
      <c r="E15975" s="12" t="s">
        <v>723</v>
      </c>
      <c r="F15975" s="12" t="s">
        <v>724</v>
      </c>
      <c r="G15975" s="12" t="s">
        <v>21</v>
      </c>
      <c r="H15975" s="11" t="s">
        <v>63</v>
      </c>
      <c r="I15975" s="13" t="s">
        <v>31670</v>
      </c>
      <c r="J15975" s="14" t="str">
        <f>HYPERLINK("https://www.boe.es/gazeta/dias/1839/09/26/pdfs/GMD-1839-1782.pdf#page=4","Abrir facsímil")</f>
        <v>Abrir facsímil</v>
      </c>
      <c r="K15975" s="12" t="s">
        <v>65</v>
      </c>
    </row>
    <row r="15976" spans="1:11" ht="40.049999999999997" customHeight="1" x14ac:dyDescent="0.25">
      <c r="A15976" s="11" t="s">
        <v>31671</v>
      </c>
      <c r="B15976" s="11" t="s">
        <v>31672</v>
      </c>
      <c r="C15976" s="11" t="s">
        <v>17</v>
      </c>
      <c r="D15976" s="11" t="s">
        <v>18</v>
      </c>
      <c r="E15976" s="12" t="s">
        <v>2205</v>
      </c>
      <c r="F15976" s="12" t="s">
        <v>2206</v>
      </c>
      <c r="G15976" s="12" t="s">
        <v>21</v>
      </c>
      <c r="H15976" s="11" t="s">
        <v>22</v>
      </c>
      <c r="I15976" s="13" t="s">
        <v>31673</v>
      </c>
      <c r="J15976" s="14" t="str">
        <f>HYPERLINK("https://www.boe.es/gazeta/dias/1839/07/11/pdfs/GMD-1839-1699.pdf#page=4","Abrir facsímil")</f>
        <v>Abrir facsímil</v>
      </c>
      <c r="K15976" s="12" t="s">
        <v>24</v>
      </c>
    </row>
    <row r="15977" spans="1:11" ht="40.049999999999997" customHeight="1" x14ac:dyDescent="0.25">
      <c r="A15977" s="11" t="s">
        <v>31674</v>
      </c>
      <c r="B15977" s="11" t="s">
        <v>31675</v>
      </c>
      <c r="C15977" s="11" t="s">
        <v>17</v>
      </c>
      <c r="D15977" s="11" t="s">
        <v>18</v>
      </c>
      <c r="E15977" s="12" t="s">
        <v>883</v>
      </c>
      <c r="F15977" s="12" t="s">
        <v>884</v>
      </c>
      <c r="G15977" s="12" t="s">
        <v>40</v>
      </c>
      <c r="H15977" s="11" t="s">
        <v>63</v>
      </c>
      <c r="I15977" s="13" t="s">
        <v>31676</v>
      </c>
      <c r="J15977" s="14" t="str">
        <f>HYPERLINK("https://www.boe.es/gazeta/dias/1839/11/03/pdfs/GMD-1839-1820.pdf#page=2","Abrir facsímil")</f>
        <v>Abrir facsímil</v>
      </c>
      <c r="K15977" s="12" t="s">
        <v>65</v>
      </c>
    </row>
    <row r="15978" spans="1:11" ht="40.049999999999997" customHeight="1" x14ac:dyDescent="0.25">
      <c r="A15978" s="11" t="s">
        <v>31674</v>
      </c>
      <c r="B15978" s="11" t="s">
        <v>31675</v>
      </c>
      <c r="C15978" s="11" t="s">
        <v>17</v>
      </c>
      <c r="D15978" s="11" t="s">
        <v>43</v>
      </c>
      <c r="E15978" s="12" t="s">
        <v>1467</v>
      </c>
      <c r="F15978" s="12" t="s">
        <v>1468</v>
      </c>
      <c r="G15978" s="12" t="s">
        <v>21</v>
      </c>
      <c r="H15978" s="11" t="s">
        <v>63</v>
      </c>
      <c r="I15978" s="13" t="s">
        <v>31677</v>
      </c>
      <c r="J15978" s="14" t="str">
        <f>HYPERLINK("https://www.boe.es/gazeta/dias/1839/03/05/pdfs/GMD-1839-1571.pdf#page=4","Abrir facsímil")</f>
        <v>Abrir facsímil</v>
      </c>
      <c r="K15978" s="12" t="s">
        <v>65</v>
      </c>
    </row>
    <row r="15979" spans="1:11" ht="40.049999999999997" customHeight="1" x14ac:dyDescent="0.25">
      <c r="A15979" s="11" t="s">
        <v>31674</v>
      </c>
      <c r="B15979" s="11" t="s">
        <v>31675</v>
      </c>
      <c r="C15979" s="11" t="s">
        <v>17</v>
      </c>
      <c r="D15979" s="11" t="s">
        <v>18</v>
      </c>
      <c r="E15979" s="12" t="s">
        <v>888</v>
      </c>
      <c r="F15979" s="12" t="s">
        <v>889</v>
      </c>
      <c r="G15979" s="12" t="s">
        <v>21</v>
      </c>
      <c r="H15979" s="11" t="s">
        <v>63</v>
      </c>
      <c r="I15979" s="13" t="s">
        <v>31678</v>
      </c>
      <c r="J15979" s="14" t="str">
        <f>HYPERLINK("https://www.boe.es/gazeta/dias/1839/05/14/pdfs/GMD-1839-1641.pdf#page=4","Abrir facsímil")</f>
        <v>Abrir facsímil</v>
      </c>
      <c r="K15979" s="12" t="s">
        <v>65</v>
      </c>
    </row>
    <row r="15980" spans="1:11" ht="40.049999999999997" customHeight="1" x14ac:dyDescent="0.25">
      <c r="A15980" s="11" t="s">
        <v>31674</v>
      </c>
      <c r="B15980" s="11" t="s">
        <v>31675</v>
      </c>
      <c r="C15980" s="11" t="s">
        <v>17</v>
      </c>
      <c r="D15980" s="11" t="s">
        <v>18</v>
      </c>
      <c r="E15980" s="12" t="s">
        <v>343</v>
      </c>
      <c r="F15980" s="12" t="s">
        <v>344</v>
      </c>
      <c r="G15980" s="12" t="s">
        <v>21</v>
      </c>
      <c r="H15980" s="11" t="s">
        <v>63</v>
      </c>
      <c r="I15980" s="13" t="s">
        <v>31679</v>
      </c>
      <c r="J15980" s="14" t="str">
        <f>HYPERLINK("https://www.boe.es/gazeta/dias/1839/05/20/pdfs/GMD-1839-1647.pdf#page=4","Abrir facsímil")</f>
        <v>Abrir facsímil</v>
      </c>
      <c r="K15980" s="12" t="s">
        <v>65</v>
      </c>
    </row>
    <row r="15981" spans="1:11" ht="40.049999999999997" customHeight="1" x14ac:dyDescent="0.25">
      <c r="A15981" s="11" t="s">
        <v>31674</v>
      </c>
      <c r="B15981" s="11" t="s">
        <v>31675</v>
      </c>
      <c r="C15981" s="11" t="s">
        <v>17</v>
      </c>
      <c r="D15981" s="11" t="s">
        <v>18</v>
      </c>
      <c r="E15981" s="12" t="s">
        <v>239</v>
      </c>
      <c r="F15981" s="12" t="s">
        <v>240</v>
      </c>
      <c r="G15981" s="12" t="s">
        <v>21</v>
      </c>
      <c r="H15981" s="11" t="s">
        <v>63</v>
      </c>
      <c r="I15981" s="13" t="s">
        <v>31680</v>
      </c>
      <c r="J15981" s="14" t="str">
        <f>HYPERLINK("https://www.boe.es/gazeta/dias/1839/09/22/pdfs/GMD-1839-1777.pdf#page=4","Abrir facsímil")</f>
        <v>Abrir facsímil</v>
      </c>
      <c r="K15981" s="12" t="s">
        <v>65</v>
      </c>
    </row>
    <row r="15982" spans="1:11" ht="40.049999999999997" customHeight="1" x14ac:dyDescent="0.25">
      <c r="A15982" s="11" t="s">
        <v>31674</v>
      </c>
      <c r="B15982" s="11" t="s">
        <v>31675</v>
      </c>
      <c r="C15982" s="11" t="s">
        <v>17</v>
      </c>
      <c r="D15982" s="11" t="s">
        <v>18</v>
      </c>
      <c r="E15982" s="12" t="s">
        <v>243</v>
      </c>
      <c r="F15982" s="12" t="s">
        <v>244</v>
      </c>
      <c r="G15982" s="12" t="s">
        <v>21</v>
      </c>
      <c r="H15982" s="11" t="s">
        <v>63</v>
      </c>
      <c r="I15982" s="13" t="s">
        <v>31681</v>
      </c>
      <c r="J15982" s="14" t="str">
        <f>HYPERLINK("https://www.boe.es/gazeta/dias/1839/09/23/pdfs/GMD-1839-1779.pdf#page=4","Abrir facsímil")</f>
        <v>Abrir facsímil</v>
      </c>
      <c r="K15982" s="12" t="s">
        <v>65</v>
      </c>
    </row>
    <row r="15983" spans="1:11" ht="40.049999999999997" customHeight="1" x14ac:dyDescent="0.25">
      <c r="A15983" s="11" t="s">
        <v>31674</v>
      </c>
      <c r="B15983" s="11" t="s">
        <v>31675</v>
      </c>
      <c r="C15983" s="11" t="s">
        <v>17</v>
      </c>
      <c r="D15983" s="11" t="s">
        <v>18</v>
      </c>
      <c r="E15983" s="12" t="s">
        <v>246</v>
      </c>
      <c r="F15983" s="12" t="s">
        <v>247</v>
      </c>
      <c r="G15983" s="12" t="s">
        <v>21</v>
      </c>
      <c r="H15983" s="11" t="s">
        <v>63</v>
      </c>
      <c r="I15983" s="13" t="s">
        <v>31682</v>
      </c>
      <c r="J15983" s="14" t="str">
        <f>HYPERLINK("https://www.boe.es/gazeta/dias/1839/11/24/pdfs/GMD-1839-1841.pdf#page=4","Abrir facsímil")</f>
        <v>Abrir facsímil</v>
      </c>
      <c r="K15983" s="12" t="s">
        <v>65</v>
      </c>
    </row>
    <row r="15984" spans="1:11" ht="40.049999999999997" customHeight="1" x14ac:dyDescent="0.25">
      <c r="A15984" s="11" t="s">
        <v>31674</v>
      </c>
      <c r="B15984" s="11" t="s">
        <v>31675</v>
      </c>
      <c r="C15984" s="11" t="s">
        <v>101</v>
      </c>
      <c r="D15984" s="11" t="s">
        <v>43</v>
      </c>
      <c r="E15984" s="12" t="s">
        <v>926</v>
      </c>
      <c r="F15984" s="12" t="s">
        <v>927</v>
      </c>
      <c r="G15984" s="12" t="s">
        <v>21</v>
      </c>
      <c r="H15984" s="11" t="s">
        <v>63</v>
      </c>
      <c r="I15984" s="13" t="s">
        <v>31683</v>
      </c>
      <c r="J15984" s="14" t="str">
        <f>HYPERLINK("https://www.boe.es/gazeta/dias/1839/01/25/pdfs/GMD-1839-1532.pdf#page=4","Abrir facsímil")</f>
        <v>Abrir facsímil</v>
      </c>
      <c r="K15984" s="12" t="s">
        <v>65</v>
      </c>
    </row>
    <row r="15985" spans="1:11" ht="40.049999999999997" customHeight="1" x14ac:dyDescent="0.25">
      <c r="A15985" s="11" t="s">
        <v>31674</v>
      </c>
      <c r="B15985" s="11" t="s">
        <v>31675</v>
      </c>
      <c r="C15985" s="11" t="s">
        <v>17</v>
      </c>
      <c r="D15985" s="11" t="s">
        <v>18</v>
      </c>
      <c r="E15985" s="12" t="s">
        <v>1685</v>
      </c>
      <c r="F15985" s="12" t="s">
        <v>1686</v>
      </c>
      <c r="G15985" s="12" t="s">
        <v>21</v>
      </c>
      <c r="H15985" s="11" t="s">
        <v>63</v>
      </c>
      <c r="I15985" s="13" t="s">
        <v>31684</v>
      </c>
      <c r="J15985" s="14" t="str">
        <f>HYPERLINK("https://www.boe.es/gazeta/dias/1839/04/27/pdfs/GMD-1839-1624.pdf#page=4","Abrir facsímil")</f>
        <v>Abrir facsímil</v>
      </c>
      <c r="K15985" s="12" t="s">
        <v>65</v>
      </c>
    </row>
    <row r="15986" spans="1:11" ht="40.049999999999997" customHeight="1" x14ac:dyDescent="0.25">
      <c r="A15986" s="11" t="s">
        <v>31685</v>
      </c>
      <c r="B15986" s="11" t="s">
        <v>31685</v>
      </c>
      <c r="C15986" s="11" t="s">
        <v>17</v>
      </c>
      <c r="D15986" s="11" t="s">
        <v>18</v>
      </c>
      <c r="E15986" s="12" t="s">
        <v>1623</v>
      </c>
      <c r="F15986" s="12" t="s">
        <v>1624</v>
      </c>
      <c r="G15986" s="12" t="s">
        <v>29</v>
      </c>
      <c r="H15986" s="11" t="s">
        <v>63</v>
      </c>
      <c r="I15986" s="13" t="s">
        <v>31686</v>
      </c>
      <c r="J15986" s="14" t="str">
        <f>HYPERLINK("https://www.boe.es/gazeta/dias/1839/04/07/pdfs/GMD-1839-1604.pdf#page=1","Abrir facsímil")</f>
        <v>Abrir facsímil</v>
      </c>
      <c r="K15986" s="12" t="s">
        <v>65</v>
      </c>
    </row>
    <row r="15987" spans="1:11" ht="40.049999999999997" customHeight="1" x14ac:dyDescent="0.25">
      <c r="A15987" s="11" t="s">
        <v>31687</v>
      </c>
      <c r="B15987" s="11" t="s">
        <v>31687</v>
      </c>
      <c r="C15987" s="11" t="s">
        <v>17</v>
      </c>
      <c r="D15987" s="11" t="s">
        <v>18</v>
      </c>
      <c r="E15987" s="12" t="s">
        <v>254</v>
      </c>
      <c r="F15987" s="12" t="s">
        <v>255</v>
      </c>
      <c r="G15987" s="12" t="s">
        <v>46</v>
      </c>
      <c r="H15987" s="11" t="s">
        <v>22</v>
      </c>
      <c r="I15987" s="13" t="s">
        <v>31688</v>
      </c>
      <c r="J15987" s="14" t="str">
        <f>HYPERLINK("https://www.boe.es/gazeta/dias/1839/09/12/pdfs/GMD-1839-1765.pdf#page=3","Abrir facsímil")</f>
        <v>Abrir facsímil</v>
      </c>
      <c r="K15987" s="12" t="s">
        <v>24</v>
      </c>
    </row>
    <row r="15988" spans="1:11" ht="40.049999999999997" customHeight="1" x14ac:dyDescent="0.25">
      <c r="A15988" s="11" t="s">
        <v>31689</v>
      </c>
      <c r="B15988" s="11" t="s">
        <v>31689</v>
      </c>
      <c r="C15988" s="11" t="s">
        <v>101</v>
      </c>
      <c r="D15988" s="11" t="s">
        <v>43</v>
      </c>
      <c r="E15988" s="12" t="s">
        <v>197</v>
      </c>
      <c r="F15988" s="12" t="s">
        <v>198</v>
      </c>
      <c r="G15988" s="12" t="s">
        <v>40</v>
      </c>
      <c r="H15988" s="11" t="s">
        <v>63</v>
      </c>
      <c r="I15988" s="13" t="s">
        <v>31690</v>
      </c>
      <c r="J15988" s="14" t="str">
        <f>HYPERLINK("https://www.boe.es/gazeta/dias/1839/10/04/pdfs/GMD-1839-1790.pdf#page=2","Abrir facsímil")</f>
        <v>Abrir facsímil</v>
      </c>
      <c r="K15988" s="12" t="s">
        <v>65</v>
      </c>
    </row>
    <row r="15989" spans="1:11" ht="40.049999999999997" customHeight="1" x14ac:dyDescent="0.25">
      <c r="A15989" s="11" t="s">
        <v>31689</v>
      </c>
      <c r="B15989" s="11" t="s">
        <v>31689</v>
      </c>
      <c r="C15989" s="11" t="s">
        <v>101</v>
      </c>
      <c r="D15989" s="11" t="s">
        <v>43</v>
      </c>
      <c r="E15989" s="12" t="s">
        <v>561</v>
      </c>
      <c r="F15989" s="12" t="s">
        <v>562</v>
      </c>
      <c r="G15989" s="12" t="s">
        <v>46</v>
      </c>
      <c r="H15989" s="11" t="s">
        <v>63</v>
      </c>
      <c r="I15989" s="13" t="s">
        <v>31691</v>
      </c>
      <c r="J15989" s="14" t="str">
        <f>HYPERLINK("https://www.boe.es/gazeta/dias/1839/09/11/pdfs/GMD-1839-1764.pdf#page=3","Abrir facsímil")</f>
        <v>Abrir facsímil</v>
      </c>
      <c r="K15989" s="12" t="s">
        <v>65</v>
      </c>
    </row>
    <row r="15990" spans="1:11" ht="40.049999999999997" customHeight="1" x14ac:dyDescent="0.25">
      <c r="A15990" s="11" t="s">
        <v>31692</v>
      </c>
      <c r="B15990" s="11" t="s">
        <v>31692</v>
      </c>
      <c r="C15990" s="11" t="s">
        <v>80</v>
      </c>
      <c r="D15990" s="11" t="s">
        <v>18</v>
      </c>
      <c r="E15990" s="12" t="s">
        <v>217</v>
      </c>
      <c r="F15990" s="12" t="s">
        <v>218</v>
      </c>
      <c r="G15990" s="12" t="s">
        <v>21</v>
      </c>
      <c r="H15990" s="11" t="s">
        <v>63</v>
      </c>
      <c r="I15990" s="13" t="s">
        <v>31693</v>
      </c>
      <c r="J15990" s="14" t="str">
        <f>HYPERLINK("https://www.boe.es/gazeta/dias/1839/08/06/pdfs/GMD-1839-1726.pdf#page=4","Abrir facsímil")</f>
        <v>Abrir facsímil</v>
      </c>
      <c r="K15990" s="12" t="s">
        <v>65</v>
      </c>
    </row>
    <row r="15991" spans="1:11" ht="40.049999999999997" customHeight="1" x14ac:dyDescent="0.25">
      <c r="A15991" s="11" t="s">
        <v>31692</v>
      </c>
      <c r="B15991" s="11" t="s">
        <v>31692</v>
      </c>
      <c r="C15991" s="11" t="s">
        <v>59</v>
      </c>
      <c r="D15991" s="11" t="s">
        <v>60</v>
      </c>
      <c r="E15991" s="12" t="s">
        <v>1623</v>
      </c>
      <c r="F15991" s="12" t="s">
        <v>1624</v>
      </c>
      <c r="G15991" s="12" t="s">
        <v>29</v>
      </c>
      <c r="H15991" s="11" t="s">
        <v>63</v>
      </c>
      <c r="I15991" s="13" t="s">
        <v>31694</v>
      </c>
      <c r="J15991" s="14" t="str">
        <f>HYPERLINK("https://www.boe.es/gazeta/dias/1839/04/07/pdfs/GMD-1839-1604.pdf#page=1","Abrir facsímil")</f>
        <v>Abrir facsímil</v>
      </c>
      <c r="K15991" s="12" t="s">
        <v>65</v>
      </c>
    </row>
    <row r="15992" spans="1:11" ht="40.049999999999997" customHeight="1" x14ac:dyDescent="0.25">
      <c r="A15992" s="11" t="s">
        <v>31692</v>
      </c>
      <c r="B15992" s="11" t="s">
        <v>31692</v>
      </c>
      <c r="C15992" s="11" t="s">
        <v>137</v>
      </c>
      <c r="D15992" s="11" t="s">
        <v>18</v>
      </c>
      <c r="E15992" s="12" t="s">
        <v>2050</v>
      </c>
      <c r="F15992" s="12" t="s">
        <v>2051</v>
      </c>
      <c r="G15992" s="12" t="s">
        <v>21</v>
      </c>
      <c r="H15992" s="11" t="s">
        <v>63</v>
      </c>
      <c r="I15992" s="13" t="s">
        <v>31695</v>
      </c>
      <c r="J15992" s="14" t="str">
        <f>HYPERLINK("https://www.boe.es/gazeta/dias/1839/01/09/pdfs/GMD-1839-1516.pdf#page=4","Abrir facsímil")</f>
        <v>Abrir facsímil</v>
      </c>
      <c r="K15992" s="12" t="s">
        <v>65</v>
      </c>
    </row>
    <row r="15993" spans="1:11" ht="40.049999999999997" customHeight="1" x14ac:dyDescent="0.25">
      <c r="A15993" s="11" t="s">
        <v>31692</v>
      </c>
      <c r="B15993" s="11" t="s">
        <v>31692</v>
      </c>
      <c r="C15993" s="11" t="s">
        <v>80</v>
      </c>
      <c r="D15993" s="11" t="s">
        <v>18</v>
      </c>
      <c r="E15993" s="12" t="s">
        <v>1301</v>
      </c>
      <c r="F15993" s="12" t="s">
        <v>1302</v>
      </c>
      <c r="G15993" s="12" t="s">
        <v>21</v>
      </c>
      <c r="H15993" s="11" t="s">
        <v>63</v>
      </c>
      <c r="I15993" s="13" t="s">
        <v>31696</v>
      </c>
      <c r="J15993" s="14" t="str">
        <f>HYPERLINK("https://www.boe.es/gazeta/dias/1839/11/16/pdfs/GMD-1839-1833.pdf#page=4","Abrir facsímil")</f>
        <v>Abrir facsímil</v>
      </c>
      <c r="K15993" s="12" t="s">
        <v>65</v>
      </c>
    </row>
    <row r="15994" spans="1:11" ht="40.049999999999997" customHeight="1" x14ac:dyDescent="0.25">
      <c r="A15994" s="11" t="s">
        <v>31692</v>
      </c>
      <c r="B15994" s="11" t="s">
        <v>31692</v>
      </c>
      <c r="C15994" s="11" t="s">
        <v>17</v>
      </c>
      <c r="D15994" s="11" t="s">
        <v>18</v>
      </c>
      <c r="E15994" s="12" t="s">
        <v>1474</v>
      </c>
      <c r="F15994" s="12" t="s">
        <v>1475</v>
      </c>
      <c r="G15994" s="12" t="s">
        <v>29</v>
      </c>
      <c r="H15994" s="11" t="s">
        <v>63</v>
      </c>
      <c r="I15994" s="13" t="s">
        <v>31697</v>
      </c>
      <c r="J15994" s="14" t="str">
        <f>HYPERLINK("https://www.boe.es/gazeta/dias/1839/02/28/pdfs/GMD-1839-1566.pdf#page=1","Abrir facsímil")</f>
        <v>Abrir facsímil</v>
      </c>
      <c r="K15994" s="12" t="s">
        <v>65</v>
      </c>
    </row>
    <row r="15995" spans="1:11" ht="40.049999999999997" customHeight="1" x14ac:dyDescent="0.25">
      <c r="A15995" s="11" t="s">
        <v>31692</v>
      </c>
      <c r="B15995" s="11" t="s">
        <v>31692</v>
      </c>
      <c r="C15995" s="11" t="s">
        <v>80</v>
      </c>
      <c r="D15995" s="11" t="s">
        <v>18</v>
      </c>
      <c r="E15995" s="12" t="s">
        <v>951</v>
      </c>
      <c r="F15995" s="12" t="s">
        <v>952</v>
      </c>
      <c r="G15995" s="12" t="s">
        <v>46</v>
      </c>
      <c r="H15995" s="11" t="s">
        <v>63</v>
      </c>
      <c r="I15995" s="13" t="s">
        <v>31698</v>
      </c>
      <c r="J15995" s="14" t="str">
        <f>HYPERLINK("https://www.boe.es/gazeta/dias/1839/12/30/pdfs/GMD-1839-1877.pdf#page=3","Abrir facsímil")</f>
        <v>Abrir facsímil</v>
      </c>
      <c r="K15995" s="12" t="s">
        <v>65</v>
      </c>
    </row>
    <row r="15996" spans="1:11" ht="40.049999999999997" customHeight="1" x14ac:dyDescent="0.25">
      <c r="A15996" s="11" t="s">
        <v>31699</v>
      </c>
      <c r="B15996" s="11" t="s">
        <v>31700</v>
      </c>
      <c r="C15996" s="11" t="s">
        <v>80</v>
      </c>
      <c r="D15996" s="11" t="s">
        <v>18</v>
      </c>
      <c r="E15996" s="12" t="s">
        <v>870</v>
      </c>
      <c r="F15996" s="12" t="s">
        <v>871</v>
      </c>
      <c r="G15996" s="12" t="s">
        <v>21</v>
      </c>
      <c r="H15996" s="11" t="s">
        <v>63</v>
      </c>
      <c r="I15996" s="13" t="s">
        <v>31701</v>
      </c>
      <c r="J15996" s="14" t="str">
        <f>HYPERLINK("https://www.boe.es/gazeta/dias/1839/04/18/pdfs/GMD-1839-1615.pdf#page=4","Abrir facsímil")</f>
        <v>Abrir facsímil</v>
      </c>
      <c r="K15996" s="12" t="s">
        <v>65</v>
      </c>
    </row>
    <row r="15997" spans="1:11" ht="40.049999999999997" customHeight="1" x14ac:dyDescent="0.25">
      <c r="A15997" s="11" t="s">
        <v>31699</v>
      </c>
      <c r="B15997" s="11" t="s">
        <v>31700</v>
      </c>
      <c r="C15997" s="11" t="s">
        <v>17</v>
      </c>
      <c r="D15997" s="11" t="s">
        <v>18</v>
      </c>
      <c r="E15997" s="12" t="s">
        <v>1474</v>
      </c>
      <c r="F15997" s="12" t="s">
        <v>1475</v>
      </c>
      <c r="G15997" s="12" t="s">
        <v>29</v>
      </c>
      <c r="H15997" s="11" t="s">
        <v>63</v>
      </c>
      <c r="I15997" s="13" t="s">
        <v>31702</v>
      </c>
      <c r="J15997" s="14" t="str">
        <f>HYPERLINK("https://www.boe.es/gazeta/dias/1839/02/28/pdfs/GMD-1839-1566.pdf#page=1","Abrir facsímil")</f>
        <v>Abrir facsímil</v>
      </c>
      <c r="K15997" s="12" t="s">
        <v>65</v>
      </c>
    </row>
    <row r="15998" spans="1:11" ht="40.049999999999997" customHeight="1" x14ac:dyDescent="0.25">
      <c r="A15998" s="11" t="s">
        <v>31703</v>
      </c>
      <c r="B15998" s="11" t="s">
        <v>31703</v>
      </c>
      <c r="C15998" s="11" t="s">
        <v>137</v>
      </c>
      <c r="D15998" s="11" t="s">
        <v>18</v>
      </c>
      <c r="E15998" s="12" t="s">
        <v>3289</v>
      </c>
      <c r="F15998" s="12" t="s">
        <v>3290</v>
      </c>
      <c r="G15998" s="12" t="s">
        <v>40</v>
      </c>
      <c r="H15998" s="11" t="s">
        <v>63</v>
      </c>
      <c r="I15998" s="13" t="s">
        <v>31704</v>
      </c>
      <c r="J15998" s="14" t="str">
        <f>HYPERLINK("https://www.boe.es/gazeta/dias/1839/12/10/pdfs/GMD-1839-1857.pdf#page=2","Abrir facsímil")</f>
        <v>Abrir facsímil</v>
      </c>
      <c r="K15998" s="12" t="s">
        <v>65</v>
      </c>
    </row>
    <row r="15999" spans="1:11" ht="40.049999999999997" customHeight="1" x14ac:dyDescent="0.25">
      <c r="A15999" s="11" t="s">
        <v>31705</v>
      </c>
      <c r="B15999" s="11" t="s">
        <v>31705</v>
      </c>
      <c r="C15999" s="11" t="s">
        <v>17</v>
      </c>
      <c r="D15999" s="11" t="s">
        <v>18</v>
      </c>
      <c r="E15999" s="12" t="s">
        <v>346</v>
      </c>
      <c r="F15999" s="12" t="s">
        <v>347</v>
      </c>
      <c r="G15999" s="12" t="s">
        <v>21</v>
      </c>
      <c r="H15999" s="11" t="s">
        <v>63</v>
      </c>
      <c r="I15999" s="13" t="s">
        <v>31706</v>
      </c>
      <c r="J15999" s="14" t="str">
        <f>HYPERLINK("https://www.boe.es/gazeta/dias/1839/03/24/pdfs/GMD-1839-1590.pdf#page=4","Abrir facsímil")</f>
        <v>Abrir facsímil</v>
      </c>
      <c r="K15999" s="12" t="s">
        <v>65</v>
      </c>
    </row>
    <row r="16000" spans="1:11" ht="40.049999999999997" customHeight="1" x14ac:dyDescent="0.25">
      <c r="A16000" s="11" t="s">
        <v>31707</v>
      </c>
      <c r="B16000" s="11" t="s">
        <v>31707</v>
      </c>
      <c r="C16000" s="11" t="s">
        <v>101</v>
      </c>
      <c r="D16000" s="11" t="s">
        <v>43</v>
      </c>
      <c r="E16000" s="12" t="s">
        <v>2165</v>
      </c>
      <c r="F16000" s="12" t="s">
        <v>2166</v>
      </c>
      <c r="G16000" s="12" t="s">
        <v>40</v>
      </c>
      <c r="H16000" s="11" t="s">
        <v>22</v>
      </c>
      <c r="I16000" s="13" t="s">
        <v>31708</v>
      </c>
      <c r="J16000" s="14" t="str">
        <f>HYPERLINK("https://www.boe.es/gazeta/dias/1839/01/06/pdfs/GMD-1839-1513.pdf#page=2","Abrir facsímil")</f>
        <v>Abrir facsímil</v>
      </c>
      <c r="K16000" s="12" t="s">
        <v>24</v>
      </c>
    </row>
    <row r="16001" spans="1:11" ht="40.049999999999997" customHeight="1" x14ac:dyDescent="0.25">
      <c r="A16001" s="11" t="s">
        <v>31709</v>
      </c>
      <c r="B16001" s="11" t="s">
        <v>31709</v>
      </c>
      <c r="C16001" s="11" t="s">
        <v>17</v>
      </c>
      <c r="D16001" s="11" t="s">
        <v>18</v>
      </c>
      <c r="E16001" s="12" t="s">
        <v>2050</v>
      </c>
      <c r="F16001" s="12" t="s">
        <v>2051</v>
      </c>
      <c r="G16001" s="12" t="s">
        <v>40</v>
      </c>
      <c r="H16001" s="11" t="s">
        <v>22</v>
      </c>
      <c r="I16001" s="13" t="s">
        <v>31710</v>
      </c>
      <c r="J16001" s="14" t="str">
        <f>HYPERLINK("https://www.boe.es/gazeta/dias/1839/01/09/pdfs/GMD-1839-1516.pdf#page=2","Abrir facsímil")</f>
        <v>Abrir facsímil</v>
      </c>
      <c r="K16001" s="12" t="s">
        <v>24</v>
      </c>
    </row>
    <row r="16002" spans="1:11" ht="40.049999999999997" customHeight="1" x14ac:dyDescent="0.25">
      <c r="A16002" s="11" t="s">
        <v>31711</v>
      </c>
      <c r="B16002" s="11" t="s">
        <v>31711</v>
      </c>
      <c r="C16002" s="11" t="s">
        <v>17</v>
      </c>
      <c r="D16002" s="11" t="s">
        <v>18</v>
      </c>
      <c r="E16002" s="12" t="s">
        <v>272</v>
      </c>
      <c r="F16002" s="12" t="s">
        <v>273</v>
      </c>
      <c r="G16002" s="12" t="s">
        <v>21</v>
      </c>
      <c r="H16002" s="11" t="s">
        <v>63</v>
      </c>
      <c r="I16002" s="13" t="s">
        <v>31712</v>
      </c>
      <c r="J16002" s="14" t="str">
        <f>HYPERLINK("https://www.boe.es/gazeta/dias/1839/02/12/pdfs/GMD-1839-1550.pdf#page=4","Abrir facsímil")</f>
        <v>Abrir facsímil</v>
      </c>
      <c r="K16002" s="12" t="s">
        <v>65</v>
      </c>
    </row>
    <row r="16003" spans="1:11" ht="40.049999999999997" customHeight="1" x14ac:dyDescent="0.25">
      <c r="A16003" s="11" t="s">
        <v>31711</v>
      </c>
      <c r="B16003" s="11" t="s">
        <v>31711</v>
      </c>
      <c r="C16003" s="11" t="s">
        <v>80</v>
      </c>
      <c r="D16003" s="11" t="s">
        <v>18</v>
      </c>
      <c r="E16003" s="12" t="s">
        <v>1512</v>
      </c>
      <c r="F16003" s="12" t="s">
        <v>1513</v>
      </c>
      <c r="G16003" s="12" t="s">
        <v>21</v>
      </c>
      <c r="H16003" s="11" t="s">
        <v>63</v>
      </c>
      <c r="I16003" s="13" t="s">
        <v>31713</v>
      </c>
      <c r="J16003" s="14" t="str">
        <f>HYPERLINK("https://www.boe.es/gazeta/dias/1839/04/13/pdfs/GMD-1839-1610.pdf#page=4","Abrir facsímil")</f>
        <v>Abrir facsímil</v>
      </c>
      <c r="K16003" s="12" t="s">
        <v>65</v>
      </c>
    </row>
    <row r="16004" spans="1:11" ht="40.049999999999997" customHeight="1" x14ac:dyDescent="0.25">
      <c r="A16004" s="11" t="s">
        <v>31714</v>
      </c>
      <c r="B16004" s="11" t="s">
        <v>31715</v>
      </c>
      <c r="C16004" s="11" t="s">
        <v>80</v>
      </c>
      <c r="D16004" s="11" t="s">
        <v>18</v>
      </c>
      <c r="E16004" s="12" t="s">
        <v>438</v>
      </c>
      <c r="F16004" s="12" t="s">
        <v>439</v>
      </c>
      <c r="G16004" s="12" t="s">
        <v>21</v>
      </c>
      <c r="H16004" s="11" t="s">
        <v>63</v>
      </c>
      <c r="I16004" s="13" t="s">
        <v>31716</v>
      </c>
      <c r="J16004" s="14" t="str">
        <f>HYPERLINK("https://www.boe.es/gazeta/dias/1839/07/17/pdfs/GMD-1839-1705.pdf#page=4","Abrir facsímil")</f>
        <v>Abrir facsímil</v>
      </c>
      <c r="K16004" s="12" t="s">
        <v>65</v>
      </c>
    </row>
    <row r="16005" spans="1:11" ht="40.049999999999997" customHeight="1" x14ac:dyDescent="0.25">
      <c r="A16005" s="15" t="s">
        <v>31717</v>
      </c>
      <c r="B16005" s="15" t="s">
        <v>31717</v>
      </c>
      <c r="C16005" s="15" t="s">
        <v>137</v>
      </c>
      <c r="D16005" s="15" t="s">
        <v>18</v>
      </c>
      <c r="E16005" s="16" t="s">
        <v>453</v>
      </c>
      <c r="F16005" s="16" t="s">
        <v>454</v>
      </c>
      <c r="G16005" s="16" t="s">
        <v>21</v>
      </c>
      <c r="H16005" s="15" t="s">
        <v>22</v>
      </c>
      <c r="I16005" s="17" t="s">
        <v>31718</v>
      </c>
      <c r="J16005" s="18" t="str">
        <f>HYPERLINK("https://www.boe.es/gazeta/dias/1839/02/07/pdfs/GMD-1839-1545.pdf#page=4","Abrir facsímil")</f>
        <v>Abrir facsímil</v>
      </c>
      <c r="K16005" s="16" t="s">
        <v>24</v>
      </c>
    </row>
  </sheetData>
  <mergeCells count="4">
    <mergeCell ref="A1:K1"/>
    <mergeCell ref="A2:K2"/>
    <mergeCell ref="A3:K3"/>
    <mergeCell ref="A4:K4"/>
  </mergeCells>
  <conditionalFormatting sqref="K7:K16005">
    <cfRule type="containsText" dxfId="0" priority="2" operator="containsText" text="Revisar OCR">
      <formula>NOT(ISERROR(SEARCH("Revisar OCR",K7)))</formula>
    </cfRule>
  </conditionalFormatting>
  <pageMargins left="0.7" right="0.7" top="0.75" bottom="0.75" header="0.511811023622047" footer="0.511811023622047"/>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97B0"/>
  </sheetPr>
  <dimension ref="A1:F386"/>
  <sheetViews>
    <sheetView showGridLines="0" zoomScaleNormal="100" workbookViewId="0">
      <pane ySplit="4" topLeftCell="A5" activePane="bottomLeft" state="frozen"/>
      <selection pane="bottomLeft"/>
    </sheetView>
  </sheetViews>
  <sheetFormatPr baseColWidth="10" defaultColWidth="8.6640625" defaultRowHeight="13.2" x14ac:dyDescent="0.25"/>
  <cols>
    <col min="1" max="1" width="13" customWidth="1"/>
    <col min="2" max="2" width="39" customWidth="1"/>
    <col min="3" max="3" width="25" customWidth="1"/>
    <col min="4" max="5" width="18" customWidth="1"/>
    <col min="6" max="6" width="20" customWidth="1"/>
  </cols>
  <sheetData>
    <row r="1" spans="1:6" ht="22.05" customHeight="1" x14ac:dyDescent="0.4">
      <c r="A1" s="4" t="s">
        <v>31719</v>
      </c>
      <c r="B1" s="4"/>
      <c r="C1" s="4"/>
      <c r="D1" s="4"/>
      <c r="E1" s="4"/>
      <c r="F1" s="4"/>
    </row>
    <row r="2" spans="1:6" ht="22.05" customHeight="1" x14ac:dyDescent="0.25">
      <c r="A2" s="3" t="s">
        <v>31720</v>
      </c>
      <c r="B2" s="3"/>
      <c r="C2" s="3"/>
      <c r="D2" s="3"/>
      <c r="E2" s="3"/>
      <c r="F2" s="3"/>
    </row>
    <row r="4" spans="1:6" ht="30" customHeight="1" x14ac:dyDescent="0.25">
      <c r="A4" s="19" t="s">
        <v>8</v>
      </c>
      <c r="B4" s="20" t="s">
        <v>9</v>
      </c>
      <c r="C4" s="20" t="s">
        <v>31721</v>
      </c>
      <c r="D4" s="20" t="s">
        <v>31722</v>
      </c>
      <c r="E4" s="20" t="s">
        <v>31723</v>
      </c>
      <c r="F4" s="21" t="s">
        <v>31724</v>
      </c>
    </row>
    <row r="5" spans="1:6" ht="19.95" customHeight="1" x14ac:dyDescent="0.25">
      <c r="A5" s="22" t="s">
        <v>262</v>
      </c>
      <c r="B5" s="23" t="s">
        <v>263</v>
      </c>
      <c r="C5" s="23" t="s">
        <v>31725</v>
      </c>
      <c r="D5" s="22">
        <v>4</v>
      </c>
      <c r="E5" s="22">
        <v>91</v>
      </c>
      <c r="F5" s="24" t="str">
        <f>HYPERLINK("https://www.boe.es/gazeta/dias/1839/01/01/pdfs/GMD-1839-1508.pdf","Abrir PDF")</f>
        <v>Abrir PDF</v>
      </c>
    </row>
    <row r="6" spans="1:6" ht="19.95" customHeight="1" x14ac:dyDescent="0.25">
      <c r="A6" s="22" t="s">
        <v>258</v>
      </c>
      <c r="B6" s="23" t="s">
        <v>259</v>
      </c>
      <c r="C6" s="23" t="s">
        <v>31726</v>
      </c>
      <c r="D6" s="22">
        <v>4</v>
      </c>
      <c r="E6" s="22">
        <v>246</v>
      </c>
      <c r="F6" s="24" t="str">
        <f>HYPERLINK("https://www.boe.es/gazeta/dias/1839/01/02/pdfs/GMD-1839-1509.pdf","Abrir PDF")</f>
        <v>Abrir PDF</v>
      </c>
    </row>
    <row r="7" spans="1:6" ht="19.95" customHeight="1" x14ac:dyDescent="0.25">
      <c r="A7" s="22" t="s">
        <v>266</v>
      </c>
      <c r="B7" s="23" t="s">
        <v>267</v>
      </c>
      <c r="C7" s="23" t="s">
        <v>31727</v>
      </c>
      <c r="D7" s="22">
        <v>4</v>
      </c>
      <c r="E7" s="22">
        <v>69</v>
      </c>
      <c r="F7" s="24" t="str">
        <f>HYPERLINK("https://www.boe.es/gazeta/dias/1839/01/03/pdfs/GMD-1839-1510.pdf","Abrir PDF")</f>
        <v>Abrir PDF</v>
      </c>
    </row>
    <row r="8" spans="1:6" ht="19.95" customHeight="1" x14ac:dyDescent="0.25">
      <c r="A8" s="22" t="s">
        <v>108</v>
      </c>
      <c r="B8" s="23" t="s">
        <v>109</v>
      </c>
      <c r="C8" s="23" t="s">
        <v>31728</v>
      </c>
      <c r="D8" s="22">
        <v>4</v>
      </c>
      <c r="E8" s="22">
        <v>110</v>
      </c>
      <c r="F8" s="24" t="str">
        <f>HYPERLINK("https://www.boe.es/gazeta/dias/1839/01/04/pdfs/GMD-1839-1511.pdf","Abrir PDF")</f>
        <v>Abrir PDF</v>
      </c>
    </row>
    <row r="9" spans="1:6" ht="19.95" customHeight="1" x14ac:dyDescent="0.25">
      <c r="A9" s="22" t="s">
        <v>49</v>
      </c>
      <c r="B9" s="23" t="s">
        <v>50</v>
      </c>
      <c r="C9" s="23" t="s">
        <v>31729</v>
      </c>
      <c r="D9" s="22">
        <v>4</v>
      </c>
      <c r="E9" s="22">
        <v>82</v>
      </c>
      <c r="F9" s="24" t="str">
        <f>HYPERLINK("https://www.boe.es/gazeta/dias/1839/01/05/pdfs/GMD-1839-1512.pdf","Abrir PDF")</f>
        <v>Abrir PDF</v>
      </c>
    </row>
    <row r="10" spans="1:6" ht="19.95" customHeight="1" x14ac:dyDescent="0.25">
      <c r="A10" s="22" t="s">
        <v>2165</v>
      </c>
      <c r="B10" s="23" t="s">
        <v>2166</v>
      </c>
      <c r="C10" s="23" t="s">
        <v>31730</v>
      </c>
      <c r="D10" s="22">
        <v>4</v>
      </c>
      <c r="E10" s="22">
        <v>71</v>
      </c>
      <c r="F10" s="24" t="str">
        <f>HYPERLINK("https://www.boe.es/gazeta/dias/1839/01/06/pdfs/GMD-1839-1513.pdf","Abrir PDF")</f>
        <v>Abrir PDF</v>
      </c>
    </row>
    <row r="11" spans="1:6" ht="19.95" customHeight="1" x14ac:dyDescent="0.25">
      <c r="A11" s="22" t="s">
        <v>4044</v>
      </c>
      <c r="B11" s="23" t="s">
        <v>4045</v>
      </c>
      <c r="C11" s="23" t="s">
        <v>31731</v>
      </c>
      <c r="D11" s="22">
        <v>4</v>
      </c>
      <c r="E11" s="22">
        <v>22</v>
      </c>
      <c r="F11" s="24" t="str">
        <f>HYPERLINK("https://www.boe.es/gazeta/dias/1839/01/07/pdfs/GMD-1839-1514.pdf","Abrir PDF")</f>
        <v>Abrir PDF</v>
      </c>
    </row>
    <row r="12" spans="1:6" ht="19.95" customHeight="1" x14ac:dyDescent="0.25">
      <c r="A12" s="22" t="s">
        <v>804</v>
      </c>
      <c r="B12" s="23" t="s">
        <v>805</v>
      </c>
      <c r="C12" s="23" t="s">
        <v>31732</v>
      </c>
      <c r="D12" s="22">
        <v>4</v>
      </c>
      <c r="E12" s="22">
        <v>52</v>
      </c>
      <c r="F12" s="24" t="str">
        <f>HYPERLINK("https://www.boe.es/gazeta/dias/1839/01/08/pdfs/GMD-1839-1515.pdf","Abrir PDF")</f>
        <v>Abrir PDF</v>
      </c>
    </row>
    <row r="13" spans="1:6" ht="19.95" customHeight="1" x14ac:dyDescent="0.25">
      <c r="A13" s="22" t="s">
        <v>2050</v>
      </c>
      <c r="B13" s="23" t="s">
        <v>2051</v>
      </c>
      <c r="C13" s="23" t="s">
        <v>31733</v>
      </c>
      <c r="D13" s="22">
        <v>4</v>
      </c>
      <c r="E13" s="22">
        <v>59</v>
      </c>
      <c r="F13" s="24" t="str">
        <f>HYPERLINK("https://www.boe.es/gazeta/dias/1839/01/09/pdfs/GMD-1839-1516.pdf","Abrir PDF")</f>
        <v>Abrir PDF</v>
      </c>
    </row>
    <row r="14" spans="1:6" ht="19.95" customHeight="1" x14ac:dyDescent="0.25">
      <c r="A14" s="22" t="s">
        <v>160</v>
      </c>
      <c r="B14" s="23" t="s">
        <v>161</v>
      </c>
      <c r="C14" s="23" t="s">
        <v>31734</v>
      </c>
      <c r="D14" s="22">
        <v>4</v>
      </c>
      <c r="E14" s="22">
        <v>103</v>
      </c>
      <c r="F14" s="24" t="str">
        <f>HYPERLINK("https://www.boe.es/gazeta/dias/1839/01/10/pdfs/GMD-1839-1517.pdf","Abrir PDF")</f>
        <v>Abrir PDF</v>
      </c>
    </row>
    <row r="15" spans="1:6" ht="19.95" customHeight="1" x14ac:dyDescent="0.25">
      <c r="A15" s="22" t="s">
        <v>181</v>
      </c>
      <c r="B15" s="23" t="s">
        <v>182</v>
      </c>
      <c r="C15" s="23" t="s">
        <v>31735</v>
      </c>
      <c r="D15" s="22">
        <v>4</v>
      </c>
      <c r="E15" s="22">
        <v>52</v>
      </c>
      <c r="F15" s="24" t="str">
        <f>HYPERLINK("https://www.boe.es/gazeta/dias/1839/01/11/pdfs/GMD-1839-1518.pdf","Abrir PDF")</f>
        <v>Abrir PDF</v>
      </c>
    </row>
    <row r="16" spans="1:6" ht="19.95" customHeight="1" x14ac:dyDescent="0.25">
      <c r="A16" s="22" t="s">
        <v>192</v>
      </c>
      <c r="B16" s="23" t="s">
        <v>193</v>
      </c>
      <c r="C16" s="23" t="s">
        <v>31736</v>
      </c>
      <c r="D16" s="22">
        <v>4</v>
      </c>
      <c r="E16" s="22">
        <v>45</v>
      </c>
      <c r="F16" s="24" t="str">
        <f>HYPERLINK("https://www.boe.es/gazeta/dias/1839/01/12/pdfs/GMD-1839-1519.pdf","Abrir PDF")</f>
        <v>Abrir PDF</v>
      </c>
    </row>
    <row r="17" spans="1:6" ht="19.95" customHeight="1" x14ac:dyDescent="0.25">
      <c r="A17" s="22" t="s">
        <v>163</v>
      </c>
      <c r="B17" s="23" t="s">
        <v>164</v>
      </c>
      <c r="C17" s="23" t="s">
        <v>31737</v>
      </c>
      <c r="D17" s="22">
        <v>4</v>
      </c>
      <c r="E17" s="22">
        <v>77</v>
      </c>
      <c r="F17" s="24" t="str">
        <f>HYPERLINK("https://www.boe.es/gazeta/dias/1839/01/13/pdfs/GMD-1839-1520.pdf","Abrir PDF")</f>
        <v>Abrir PDF</v>
      </c>
    </row>
    <row r="18" spans="1:6" ht="19.95" customHeight="1" x14ac:dyDescent="0.25">
      <c r="A18" s="22" t="s">
        <v>720</v>
      </c>
      <c r="B18" s="23" t="s">
        <v>721</v>
      </c>
      <c r="C18" s="23" t="s">
        <v>31738</v>
      </c>
      <c r="D18" s="22">
        <v>4</v>
      </c>
      <c r="E18" s="22">
        <v>20</v>
      </c>
      <c r="F18" s="24" t="str">
        <f>HYPERLINK("https://www.boe.es/gazeta/dias/1839/01/14/pdfs/GMD-1839-1521.pdf","Abrir PDF")</f>
        <v>Abrir PDF</v>
      </c>
    </row>
    <row r="19" spans="1:6" ht="19.95" customHeight="1" x14ac:dyDescent="0.25">
      <c r="A19" s="22" t="s">
        <v>185</v>
      </c>
      <c r="B19" s="23" t="s">
        <v>186</v>
      </c>
      <c r="C19" s="23" t="s">
        <v>31739</v>
      </c>
      <c r="D19" s="22">
        <v>4</v>
      </c>
      <c r="E19" s="22">
        <v>113</v>
      </c>
      <c r="F19" s="24" t="str">
        <f>HYPERLINK("https://www.boe.es/gazeta/dias/1839/01/15/pdfs/GMD-1839-1522.pdf","Abrir PDF")</f>
        <v>Abrir PDF</v>
      </c>
    </row>
    <row r="20" spans="1:6" ht="19.95" customHeight="1" x14ac:dyDescent="0.25">
      <c r="A20" s="22" t="s">
        <v>175</v>
      </c>
      <c r="B20" s="23" t="s">
        <v>176</v>
      </c>
      <c r="C20" s="23" t="s">
        <v>31740</v>
      </c>
      <c r="D20" s="22">
        <v>4</v>
      </c>
      <c r="E20" s="22">
        <v>50</v>
      </c>
      <c r="F20" s="24" t="str">
        <f>HYPERLINK("https://www.boe.es/gazeta/dias/1839/01/16/pdfs/GMD-1839-1523.pdf","Abrir PDF")</f>
        <v>Abrir PDF</v>
      </c>
    </row>
    <row r="21" spans="1:6" ht="19.95" customHeight="1" x14ac:dyDescent="0.25">
      <c r="A21" s="22" t="s">
        <v>2155</v>
      </c>
      <c r="B21" s="23" t="s">
        <v>2156</v>
      </c>
      <c r="C21" s="23" t="s">
        <v>31741</v>
      </c>
      <c r="D21" s="22">
        <v>4</v>
      </c>
      <c r="E21" s="22">
        <v>60</v>
      </c>
      <c r="F21" s="24" t="str">
        <f>HYPERLINK("https://www.boe.es/gazeta/dias/1839/01/17/pdfs/GMD-1839-1524.pdf","Abrir PDF")</f>
        <v>Abrir PDF</v>
      </c>
    </row>
    <row r="22" spans="1:6" ht="19.95" customHeight="1" x14ac:dyDescent="0.25">
      <c r="A22" s="22" t="s">
        <v>1072</v>
      </c>
      <c r="B22" s="23" t="s">
        <v>1073</v>
      </c>
      <c r="C22" s="23" t="s">
        <v>31742</v>
      </c>
      <c r="D22" s="22">
        <v>4</v>
      </c>
      <c r="E22" s="22">
        <v>66</v>
      </c>
      <c r="F22" s="24" t="str">
        <f>HYPERLINK("https://www.boe.es/gazeta/dias/1839/01/18/pdfs/GMD-1839-1525.pdf","Abrir PDF")</f>
        <v>Abrir PDF</v>
      </c>
    </row>
    <row r="23" spans="1:6" ht="19.95" customHeight="1" x14ac:dyDescent="0.25">
      <c r="A23" s="22" t="s">
        <v>19</v>
      </c>
      <c r="B23" s="23" t="s">
        <v>20</v>
      </c>
      <c r="C23" s="23" t="s">
        <v>31743</v>
      </c>
      <c r="D23" s="22">
        <v>4</v>
      </c>
      <c r="E23" s="22">
        <v>74</v>
      </c>
      <c r="F23" s="24" t="str">
        <f>HYPERLINK("https://www.boe.es/gazeta/dias/1839/01/19/pdfs/GMD-1839-1526.pdf","Abrir PDF")</f>
        <v>Abrir PDF</v>
      </c>
    </row>
    <row r="24" spans="1:6" ht="19.95" customHeight="1" x14ac:dyDescent="0.25">
      <c r="A24" s="22" t="s">
        <v>433</v>
      </c>
      <c r="B24" s="23" t="s">
        <v>434</v>
      </c>
      <c r="C24" s="23" t="s">
        <v>31744</v>
      </c>
      <c r="D24" s="22">
        <v>4</v>
      </c>
      <c r="E24" s="22">
        <v>65</v>
      </c>
      <c r="F24" s="24" t="str">
        <f>HYPERLINK("https://www.boe.es/gazeta/dias/1839/01/20/pdfs/GMD-1839-1527.pdf","Abrir PDF")</f>
        <v>Abrir PDF</v>
      </c>
    </row>
    <row r="25" spans="1:6" ht="19.95" customHeight="1" x14ac:dyDescent="0.25">
      <c r="A25" s="22" t="s">
        <v>1703</v>
      </c>
      <c r="B25" s="23" t="s">
        <v>1704</v>
      </c>
      <c r="C25" s="23" t="s">
        <v>31745</v>
      </c>
      <c r="D25" s="22">
        <v>4</v>
      </c>
      <c r="E25" s="22">
        <v>24</v>
      </c>
      <c r="F25" s="24" t="str">
        <f>HYPERLINK("https://www.boe.es/gazeta/dias/1839/01/21/pdfs/GMD-1839-1528.pdf","Abrir PDF")</f>
        <v>Abrir PDF</v>
      </c>
    </row>
    <row r="26" spans="1:6" ht="19.95" customHeight="1" x14ac:dyDescent="0.25">
      <c r="A26" s="22" t="s">
        <v>794</v>
      </c>
      <c r="B26" s="23" t="s">
        <v>795</v>
      </c>
      <c r="C26" s="23" t="s">
        <v>31746</v>
      </c>
      <c r="D26" s="22">
        <v>4</v>
      </c>
      <c r="E26" s="22">
        <v>48</v>
      </c>
      <c r="F26" s="24" t="str">
        <f>HYPERLINK("https://www.boe.es/gazeta/dias/1839/01/22/pdfs/GMD-1839-1529.pdf","Abrir PDF")</f>
        <v>Abrir PDF</v>
      </c>
    </row>
    <row r="27" spans="1:6" ht="19.95" customHeight="1" x14ac:dyDescent="0.25">
      <c r="A27" s="22" t="s">
        <v>596</v>
      </c>
      <c r="B27" s="23" t="s">
        <v>597</v>
      </c>
      <c r="C27" s="23" t="s">
        <v>31747</v>
      </c>
      <c r="D27" s="22">
        <v>4</v>
      </c>
      <c r="E27" s="22">
        <v>55</v>
      </c>
      <c r="F27" s="24" t="str">
        <f>HYPERLINK("https://www.boe.es/gazeta/dias/1839/01/23/pdfs/GMD-1839-1530.pdf","Abrir PDF")</f>
        <v>Abrir PDF</v>
      </c>
    </row>
    <row r="28" spans="1:6" ht="19.95" customHeight="1" x14ac:dyDescent="0.25">
      <c r="A28" s="22" t="s">
        <v>664</v>
      </c>
      <c r="B28" s="23" t="s">
        <v>665</v>
      </c>
      <c r="C28" s="23" t="s">
        <v>31748</v>
      </c>
      <c r="D28" s="22">
        <v>4</v>
      </c>
      <c r="E28" s="22">
        <v>23</v>
      </c>
      <c r="F28" s="24" t="str">
        <f>HYPERLINK("https://www.boe.es/gazeta/dias/1839/01/24/pdfs/GMD-1839-1531.pdf","Abrir PDF")</f>
        <v>Abrir PDF</v>
      </c>
    </row>
    <row r="29" spans="1:6" ht="19.95" customHeight="1" x14ac:dyDescent="0.25">
      <c r="A29" s="22" t="s">
        <v>926</v>
      </c>
      <c r="B29" s="23" t="s">
        <v>927</v>
      </c>
      <c r="C29" s="23" t="s">
        <v>31749</v>
      </c>
      <c r="D29" s="22">
        <v>4</v>
      </c>
      <c r="E29" s="22">
        <v>41</v>
      </c>
      <c r="F29" s="24" t="str">
        <f>HYPERLINK("https://www.boe.es/gazeta/dias/1839/01/25/pdfs/GMD-1839-1532.pdf","Abrir PDF")</f>
        <v>Abrir PDF</v>
      </c>
    </row>
    <row r="30" spans="1:6" ht="19.95" customHeight="1" x14ac:dyDescent="0.25">
      <c r="A30" s="22" t="s">
        <v>1679</v>
      </c>
      <c r="B30" s="23" t="s">
        <v>1680</v>
      </c>
      <c r="C30" s="23" t="s">
        <v>31750</v>
      </c>
      <c r="D30" s="22">
        <v>4</v>
      </c>
      <c r="E30" s="22">
        <v>51</v>
      </c>
      <c r="F30" s="24" t="str">
        <f>HYPERLINK("https://www.boe.es/gazeta/dias/1839/01/26/pdfs/GMD-1839-1533.pdf","Abrir PDF")</f>
        <v>Abrir PDF</v>
      </c>
    </row>
    <row r="31" spans="1:6" ht="19.95" customHeight="1" x14ac:dyDescent="0.25">
      <c r="A31" s="22" t="s">
        <v>284</v>
      </c>
      <c r="B31" s="23" t="s">
        <v>285</v>
      </c>
      <c r="C31" s="23" t="s">
        <v>31751</v>
      </c>
      <c r="D31" s="22">
        <v>4</v>
      </c>
      <c r="E31" s="22">
        <v>48</v>
      </c>
      <c r="F31" s="24" t="str">
        <f>HYPERLINK("https://www.boe.es/gazeta/dias/1839/01/27/pdfs/GMD-1839-1534.pdf","Abrir PDF")</f>
        <v>Abrir PDF</v>
      </c>
    </row>
    <row r="32" spans="1:6" ht="19.95" customHeight="1" x14ac:dyDescent="0.25">
      <c r="A32" s="22" t="s">
        <v>4528</v>
      </c>
      <c r="B32" s="23" t="s">
        <v>4529</v>
      </c>
      <c r="C32" s="23" t="s">
        <v>31752</v>
      </c>
      <c r="D32" s="22">
        <v>4</v>
      </c>
      <c r="E32" s="22">
        <v>8</v>
      </c>
      <c r="F32" s="24" t="str">
        <f>HYPERLINK("https://www.boe.es/gazeta/dias/1839/01/28/pdfs/GMD-1839-1535.pdf","Abrir PDF")</f>
        <v>Abrir PDF</v>
      </c>
    </row>
    <row r="33" spans="1:6" ht="19.95" customHeight="1" x14ac:dyDescent="0.25">
      <c r="A33" s="22" t="s">
        <v>1807</v>
      </c>
      <c r="B33" s="23" t="s">
        <v>1808</v>
      </c>
      <c r="C33" s="23" t="s">
        <v>31753</v>
      </c>
      <c r="D33" s="22">
        <v>4</v>
      </c>
      <c r="E33" s="22">
        <v>57</v>
      </c>
      <c r="F33" s="24" t="str">
        <f>HYPERLINK("https://www.boe.es/gazeta/dias/1839/01/29/pdfs/GMD-1839-1536.pdf","Abrir PDF")</f>
        <v>Abrir PDF</v>
      </c>
    </row>
    <row r="34" spans="1:6" ht="19.95" customHeight="1" x14ac:dyDescent="0.25">
      <c r="A34" s="22" t="s">
        <v>1867</v>
      </c>
      <c r="B34" s="23" t="s">
        <v>1868</v>
      </c>
      <c r="C34" s="23" t="s">
        <v>31754</v>
      </c>
      <c r="D34" s="22">
        <v>4</v>
      </c>
      <c r="E34" s="22">
        <v>88</v>
      </c>
      <c r="F34" s="24" t="str">
        <f>HYPERLINK("https://www.boe.es/gazeta/dias/1839/01/30/pdfs/GMD-1839-1537.pdf","Abrir PDF")</f>
        <v>Abrir PDF</v>
      </c>
    </row>
    <row r="35" spans="1:6" ht="19.95" customHeight="1" x14ac:dyDescent="0.25">
      <c r="A35" s="22" t="s">
        <v>929</v>
      </c>
      <c r="B35" s="23" t="s">
        <v>930</v>
      </c>
      <c r="C35" s="23" t="s">
        <v>31755</v>
      </c>
      <c r="D35" s="22">
        <v>4</v>
      </c>
      <c r="E35" s="22">
        <v>35</v>
      </c>
      <c r="F35" s="24" t="str">
        <f>HYPERLINK("https://www.boe.es/gazeta/dias/1839/01/31/pdfs/GMD-1839-1538.pdf","Abrir PDF")</f>
        <v>Abrir PDF</v>
      </c>
    </row>
    <row r="36" spans="1:6" ht="19.95" customHeight="1" x14ac:dyDescent="0.25">
      <c r="A36" s="22" t="s">
        <v>1929</v>
      </c>
      <c r="B36" s="23" t="s">
        <v>1930</v>
      </c>
      <c r="C36" s="23" t="s">
        <v>31756</v>
      </c>
      <c r="D36" s="22">
        <v>4</v>
      </c>
      <c r="E36" s="22">
        <v>53</v>
      </c>
      <c r="F36" s="24" t="str">
        <f>HYPERLINK("https://www.boe.es/gazeta/dias/1839/02/01/pdfs/GMD-1839-1539.pdf","Abrir PDF")</f>
        <v>Abrir PDF</v>
      </c>
    </row>
    <row r="37" spans="1:6" ht="19.95" customHeight="1" x14ac:dyDescent="0.25">
      <c r="A37" s="22" t="s">
        <v>154</v>
      </c>
      <c r="B37" s="23" t="s">
        <v>155</v>
      </c>
      <c r="C37" s="23" t="s">
        <v>31757</v>
      </c>
      <c r="D37" s="22">
        <v>4</v>
      </c>
      <c r="E37" s="22">
        <v>56</v>
      </c>
      <c r="F37" s="24" t="str">
        <f>HYPERLINK("https://www.boe.es/gazeta/dias/1839/02/02/pdfs/GMD-1839-1540.pdf","Abrir PDF")</f>
        <v>Abrir PDF</v>
      </c>
    </row>
    <row r="38" spans="1:6" ht="19.95" customHeight="1" x14ac:dyDescent="0.25">
      <c r="A38" s="22" t="s">
        <v>779</v>
      </c>
      <c r="B38" s="23" t="s">
        <v>780</v>
      </c>
      <c r="C38" s="23" t="s">
        <v>31758</v>
      </c>
      <c r="D38" s="22">
        <v>4</v>
      </c>
      <c r="E38" s="22">
        <v>50</v>
      </c>
      <c r="F38" s="24" t="str">
        <f>HYPERLINK("https://www.boe.es/gazeta/dias/1839/02/03/pdfs/GMD-1839-1541.pdf","Abrir PDF")</f>
        <v>Abrir PDF</v>
      </c>
    </row>
    <row r="39" spans="1:6" ht="19.95" customHeight="1" x14ac:dyDescent="0.25">
      <c r="A39" s="22" t="s">
        <v>324</v>
      </c>
      <c r="B39" s="23" t="s">
        <v>325</v>
      </c>
      <c r="C39" s="23" t="s">
        <v>31759</v>
      </c>
      <c r="D39" s="22">
        <v>4</v>
      </c>
      <c r="E39" s="22">
        <v>10</v>
      </c>
      <c r="F39" s="24" t="str">
        <f>HYPERLINK("https://www.boe.es/gazeta/dias/1839/02/04/pdfs/GMD-1839-1542.pdf","Abrir PDF")</f>
        <v>Abrir PDF</v>
      </c>
    </row>
    <row r="40" spans="1:6" ht="19.95" customHeight="1" x14ac:dyDescent="0.25">
      <c r="A40" s="22" t="s">
        <v>751</v>
      </c>
      <c r="B40" s="23" t="s">
        <v>752</v>
      </c>
      <c r="C40" s="23" t="s">
        <v>31760</v>
      </c>
      <c r="D40" s="22">
        <v>4</v>
      </c>
      <c r="E40" s="22">
        <v>33</v>
      </c>
      <c r="F40" s="24" t="str">
        <f>HYPERLINK("https://www.boe.es/gazeta/dias/1839/02/05/pdfs/GMD-1839-1543.pdf","Abrir PDF")</f>
        <v>Abrir PDF</v>
      </c>
    </row>
    <row r="41" spans="1:6" ht="19.95" customHeight="1" x14ac:dyDescent="0.25">
      <c r="A41" s="22" t="s">
        <v>448</v>
      </c>
      <c r="B41" s="23" t="s">
        <v>449</v>
      </c>
      <c r="C41" s="23" t="s">
        <v>31761</v>
      </c>
      <c r="D41" s="22">
        <v>4</v>
      </c>
      <c r="E41" s="22">
        <v>52</v>
      </c>
      <c r="F41" s="24" t="str">
        <f>HYPERLINK("https://www.boe.es/gazeta/dias/1839/02/06/pdfs/GMD-1839-1544.pdf","Abrir PDF")</f>
        <v>Abrir PDF</v>
      </c>
    </row>
    <row r="42" spans="1:6" ht="19.95" customHeight="1" x14ac:dyDescent="0.25">
      <c r="A42" s="22" t="s">
        <v>453</v>
      </c>
      <c r="B42" s="23" t="s">
        <v>454</v>
      </c>
      <c r="C42" s="23" t="s">
        <v>31762</v>
      </c>
      <c r="D42" s="22">
        <v>4</v>
      </c>
      <c r="E42" s="22">
        <v>58</v>
      </c>
      <c r="F42" s="24" t="str">
        <f>HYPERLINK("https://www.boe.es/gazeta/dias/1839/02/07/pdfs/GMD-1839-1545.pdf","Abrir PDF")</f>
        <v>Abrir PDF</v>
      </c>
    </row>
    <row r="43" spans="1:6" ht="19.95" customHeight="1" x14ac:dyDescent="0.25">
      <c r="A43" s="22" t="s">
        <v>157</v>
      </c>
      <c r="B43" s="23" t="s">
        <v>158</v>
      </c>
      <c r="C43" s="23" t="s">
        <v>31763</v>
      </c>
      <c r="D43" s="22">
        <v>4</v>
      </c>
      <c r="E43" s="22">
        <v>105</v>
      </c>
      <c r="F43" s="24" t="str">
        <f>HYPERLINK("https://www.boe.es/gazeta/dias/1839/02/08/pdfs/GMD-1839-1546.pdf","Abrir PDF")</f>
        <v>Abrir PDF</v>
      </c>
    </row>
    <row r="44" spans="1:6" ht="19.95" customHeight="1" x14ac:dyDescent="0.25">
      <c r="A44" s="22" t="s">
        <v>68</v>
      </c>
      <c r="B44" s="23" t="s">
        <v>69</v>
      </c>
      <c r="C44" s="23" t="s">
        <v>31764</v>
      </c>
      <c r="D44" s="22">
        <v>4</v>
      </c>
      <c r="E44" s="22">
        <v>84</v>
      </c>
      <c r="F44" s="24" t="str">
        <f>HYPERLINK("https://www.boe.es/gazeta/dias/1839/02/09/pdfs/GMD-1839-1547.pdf","Abrir PDF")</f>
        <v>Abrir PDF</v>
      </c>
    </row>
    <row r="45" spans="1:6" ht="19.95" customHeight="1" x14ac:dyDescent="0.25">
      <c r="A45" s="22" t="s">
        <v>269</v>
      </c>
      <c r="B45" s="23" t="s">
        <v>270</v>
      </c>
      <c r="C45" s="23" t="s">
        <v>31765</v>
      </c>
      <c r="D45" s="22">
        <v>4</v>
      </c>
      <c r="E45" s="22">
        <v>57</v>
      </c>
      <c r="F45" s="24" t="str">
        <f>HYPERLINK("https://www.boe.es/gazeta/dias/1839/02/10/pdfs/GMD-1839-1548.pdf","Abrir PDF")</f>
        <v>Abrir PDF</v>
      </c>
    </row>
    <row r="46" spans="1:6" ht="19.95" customHeight="1" x14ac:dyDescent="0.25">
      <c r="A46" s="22" t="s">
        <v>809</v>
      </c>
      <c r="B46" s="23" t="s">
        <v>810</v>
      </c>
      <c r="C46" s="23" t="s">
        <v>31766</v>
      </c>
      <c r="D46" s="22">
        <v>4</v>
      </c>
      <c r="E46" s="22">
        <v>30</v>
      </c>
      <c r="F46" s="24" t="str">
        <f>HYPERLINK("https://www.boe.es/gazeta/dias/1839/02/11/pdfs/GMD-1839-1549.pdf","Abrir PDF")</f>
        <v>Abrir PDF</v>
      </c>
    </row>
    <row r="47" spans="1:6" ht="19.95" customHeight="1" x14ac:dyDescent="0.25">
      <c r="A47" s="22" t="s">
        <v>272</v>
      </c>
      <c r="B47" s="23" t="s">
        <v>273</v>
      </c>
      <c r="C47" s="23" t="s">
        <v>31767</v>
      </c>
      <c r="D47" s="22">
        <v>4</v>
      </c>
      <c r="E47" s="22">
        <v>39</v>
      </c>
      <c r="F47" s="24" t="str">
        <f>HYPERLINK("https://www.boe.es/gazeta/dias/1839/02/12/pdfs/GMD-1839-1550.pdf","Abrir PDF")</f>
        <v>Abrir PDF</v>
      </c>
    </row>
    <row r="48" spans="1:6" ht="19.95" customHeight="1" x14ac:dyDescent="0.25">
      <c r="A48" s="22" t="s">
        <v>4189</v>
      </c>
      <c r="B48" s="23" t="s">
        <v>4190</v>
      </c>
      <c r="C48" s="23" t="s">
        <v>31768</v>
      </c>
      <c r="D48" s="22">
        <v>4</v>
      </c>
      <c r="E48" s="22">
        <v>36</v>
      </c>
      <c r="F48" s="24" t="str">
        <f>HYPERLINK("https://www.boe.es/gazeta/dias/1839/02/13/pdfs/GMD-1839-1551.pdf","Abrir PDF")</f>
        <v>Abrir PDF</v>
      </c>
    </row>
    <row r="49" spans="1:6" ht="19.95" customHeight="1" x14ac:dyDescent="0.25">
      <c r="A49" s="22" t="s">
        <v>299</v>
      </c>
      <c r="B49" s="23" t="s">
        <v>300</v>
      </c>
      <c r="C49" s="23" t="s">
        <v>31769</v>
      </c>
      <c r="D49" s="22">
        <v>4</v>
      </c>
      <c r="E49" s="22">
        <v>26</v>
      </c>
      <c r="F49" s="24" t="str">
        <f>HYPERLINK("https://www.boe.es/gazeta/dias/1839/02/14/pdfs/GMD-1839-1552.pdf","Abrir PDF")</f>
        <v>Abrir PDF</v>
      </c>
    </row>
    <row r="50" spans="1:6" ht="19.95" customHeight="1" x14ac:dyDescent="0.25">
      <c r="A50" s="22" t="s">
        <v>1139</v>
      </c>
      <c r="B50" s="23" t="s">
        <v>1140</v>
      </c>
      <c r="C50" s="23" t="s">
        <v>31770</v>
      </c>
      <c r="D50" s="22">
        <v>4</v>
      </c>
      <c r="E50" s="22">
        <v>31</v>
      </c>
      <c r="F50" s="24" t="str">
        <f>HYPERLINK("https://www.boe.es/gazeta/dias/1839/02/15/pdfs/GMD-1839-1553.pdf","Abrir PDF")</f>
        <v>Abrir PDF</v>
      </c>
    </row>
    <row r="51" spans="1:6" ht="19.95" customHeight="1" x14ac:dyDescent="0.25">
      <c r="A51" s="22" t="s">
        <v>5806</v>
      </c>
      <c r="B51" s="23" t="s">
        <v>5807</v>
      </c>
      <c r="C51" s="23" t="s">
        <v>31771</v>
      </c>
      <c r="D51" s="22">
        <v>4</v>
      </c>
      <c r="E51" s="22">
        <v>31</v>
      </c>
      <c r="F51" s="24" t="str">
        <f>HYPERLINK("https://www.boe.es/gazeta/dias/1839/02/16/pdfs/GMD-1839-1554.pdf","Abrir PDF")</f>
        <v>Abrir PDF</v>
      </c>
    </row>
    <row r="52" spans="1:6" ht="19.95" customHeight="1" x14ac:dyDescent="0.25">
      <c r="A52" s="22" t="s">
        <v>2021</v>
      </c>
      <c r="B52" s="23" t="s">
        <v>2022</v>
      </c>
      <c r="C52" s="23" t="s">
        <v>31772</v>
      </c>
      <c r="D52" s="22">
        <v>4</v>
      </c>
      <c r="E52" s="22">
        <v>47</v>
      </c>
      <c r="F52" s="24" t="str">
        <f>HYPERLINK("https://www.boe.es/gazeta/dias/1839/02/17/pdfs/GMD-1839-1555.pdf","Abrir PDF")</f>
        <v>Abrir PDF</v>
      </c>
    </row>
    <row r="53" spans="1:6" ht="19.95" customHeight="1" x14ac:dyDescent="0.25">
      <c r="A53" s="22" t="s">
        <v>992</v>
      </c>
      <c r="B53" s="23" t="s">
        <v>993</v>
      </c>
      <c r="C53" s="23" t="s">
        <v>31773</v>
      </c>
      <c r="D53" s="22">
        <v>4</v>
      </c>
      <c r="E53" s="22">
        <v>25</v>
      </c>
      <c r="F53" s="24" t="str">
        <f>HYPERLINK("https://www.boe.es/gazeta/dias/1839/02/18/pdfs/GMD-1839-1556.pdf","Abrir PDF")</f>
        <v>Abrir PDF</v>
      </c>
    </row>
    <row r="54" spans="1:6" ht="19.95" customHeight="1" x14ac:dyDescent="0.25">
      <c r="A54" s="22" t="s">
        <v>207</v>
      </c>
      <c r="B54" s="23" t="s">
        <v>208</v>
      </c>
      <c r="C54" s="23" t="s">
        <v>31774</v>
      </c>
      <c r="D54" s="22">
        <v>4</v>
      </c>
      <c r="E54" s="22">
        <v>34</v>
      </c>
      <c r="F54" s="24" t="str">
        <f>HYPERLINK("https://www.boe.es/gazeta/dias/1839/02/19/pdfs/GMD-1839-1557.pdf","Abrir PDF")</f>
        <v>Abrir PDF</v>
      </c>
    </row>
    <row r="55" spans="1:6" ht="19.95" customHeight="1" x14ac:dyDescent="0.25">
      <c r="A55" s="22" t="s">
        <v>2253</v>
      </c>
      <c r="B55" s="23" t="s">
        <v>2254</v>
      </c>
      <c r="C55" s="23" t="s">
        <v>31775</v>
      </c>
      <c r="D55" s="22">
        <v>4</v>
      </c>
      <c r="E55" s="22">
        <v>15</v>
      </c>
      <c r="F55" s="24" t="str">
        <f>HYPERLINK("https://www.boe.es/gazeta/dias/1839/02/20/pdfs/GMD-1839-1558.pdf","Abrir PDF")</f>
        <v>Abrir PDF</v>
      </c>
    </row>
    <row r="56" spans="1:6" ht="19.95" customHeight="1" x14ac:dyDescent="0.25">
      <c r="A56" s="22" t="s">
        <v>1657</v>
      </c>
      <c r="B56" s="23" t="s">
        <v>1658</v>
      </c>
      <c r="C56" s="23" t="s">
        <v>31776</v>
      </c>
      <c r="D56" s="22">
        <v>4</v>
      </c>
      <c r="E56" s="22">
        <v>22</v>
      </c>
      <c r="F56" s="24" t="str">
        <f>HYPERLINK("https://www.boe.es/gazeta/dias/1839/02/21/pdfs/GMD-1839-1559.pdf","Abrir PDF")</f>
        <v>Abrir PDF</v>
      </c>
    </row>
    <row r="57" spans="1:6" ht="19.95" customHeight="1" x14ac:dyDescent="0.25">
      <c r="A57" s="22" t="s">
        <v>1794</v>
      </c>
      <c r="B57" s="23" t="s">
        <v>1795</v>
      </c>
      <c r="C57" s="23" t="s">
        <v>31777</v>
      </c>
      <c r="D57" s="22">
        <v>4</v>
      </c>
      <c r="E57" s="22">
        <v>28</v>
      </c>
      <c r="F57" s="24" t="str">
        <f>HYPERLINK("https://www.boe.es/gazeta/dias/1839/02/22/pdfs/GMD-1839-1560.pdf","Abrir PDF")</f>
        <v>Abrir PDF</v>
      </c>
    </row>
    <row r="58" spans="1:6" ht="19.95" customHeight="1" x14ac:dyDescent="0.25">
      <c r="A58" s="22" t="s">
        <v>519</v>
      </c>
      <c r="B58" s="23" t="s">
        <v>520</v>
      </c>
      <c r="C58" s="23" t="s">
        <v>31778</v>
      </c>
      <c r="D58" s="22">
        <v>4</v>
      </c>
      <c r="E58" s="22">
        <v>28</v>
      </c>
      <c r="F58" s="24" t="str">
        <f>HYPERLINK("https://www.boe.es/gazeta/dias/1839/02/23/pdfs/GMD-1839-1561.pdf","Abrir PDF")</f>
        <v>Abrir PDF</v>
      </c>
    </row>
    <row r="59" spans="1:6" ht="19.95" customHeight="1" x14ac:dyDescent="0.25">
      <c r="A59" s="22" t="s">
        <v>94</v>
      </c>
      <c r="B59" s="23" t="s">
        <v>95</v>
      </c>
      <c r="C59" s="23" t="s">
        <v>31779</v>
      </c>
      <c r="D59" s="22">
        <v>4</v>
      </c>
      <c r="E59" s="22">
        <v>51</v>
      </c>
      <c r="F59" s="24" t="str">
        <f>HYPERLINK("https://www.boe.es/gazeta/dias/1839/02/24/pdfs/GMD-1839-1562.pdf","Abrir PDF")</f>
        <v>Abrir PDF</v>
      </c>
    </row>
    <row r="60" spans="1:6" ht="19.95" customHeight="1" x14ac:dyDescent="0.25">
      <c r="A60" s="22" t="s">
        <v>775</v>
      </c>
      <c r="B60" s="23" t="s">
        <v>776</v>
      </c>
      <c r="C60" s="23" t="s">
        <v>31780</v>
      </c>
      <c r="D60" s="22">
        <v>4</v>
      </c>
      <c r="E60" s="22">
        <v>35</v>
      </c>
      <c r="F60" s="24" t="str">
        <f>HYPERLINK("https://www.boe.es/gazeta/dias/1839/02/25/pdfs/GMD-1839-1563.pdf","Abrir PDF")</f>
        <v>Abrir PDF</v>
      </c>
    </row>
    <row r="61" spans="1:6" ht="19.95" customHeight="1" x14ac:dyDescent="0.25">
      <c r="A61" s="22" t="s">
        <v>1336</v>
      </c>
      <c r="B61" s="23" t="s">
        <v>1337</v>
      </c>
      <c r="C61" s="23" t="s">
        <v>31781</v>
      </c>
      <c r="D61" s="22">
        <v>4</v>
      </c>
      <c r="E61" s="22">
        <v>14</v>
      </c>
      <c r="F61" s="24" t="str">
        <f>HYPERLINK("https://www.boe.es/gazeta/dias/1839/02/26/pdfs/GMD-1839-1564.pdf","Abrir PDF")</f>
        <v>Abrir PDF</v>
      </c>
    </row>
    <row r="62" spans="1:6" ht="19.95" customHeight="1" x14ac:dyDescent="0.25">
      <c r="A62" s="22" t="s">
        <v>1490</v>
      </c>
      <c r="B62" s="23" t="s">
        <v>1491</v>
      </c>
      <c r="C62" s="23" t="s">
        <v>31782</v>
      </c>
      <c r="D62" s="22">
        <v>4</v>
      </c>
      <c r="E62" s="22">
        <v>25</v>
      </c>
      <c r="F62" s="24" t="str">
        <f>HYPERLINK("https://www.boe.es/gazeta/dias/1839/02/27/pdfs/GMD-1839-1565.pdf","Abrir PDF")</f>
        <v>Abrir PDF</v>
      </c>
    </row>
    <row r="63" spans="1:6" ht="19.95" customHeight="1" x14ac:dyDescent="0.25">
      <c r="A63" s="22" t="s">
        <v>1474</v>
      </c>
      <c r="B63" s="23" t="s">
        <v>1475</v>
      </c>
      <c r="C63" s="23" t="s">
        <v>31783</v>
      </c>
      <c r="D63" s="22">
        <v>4</v>
      </c>
      <c r="E63" s="22">
        <v>42</v>
      </c>
      <c r="F63" s="24" t="str">
        <f>HYPERLINK("https://www.boe.es/gazeta/dias/1839/02/28/pdfs/GMD-1839-1566.pdf","Abrir PDF")</f>
        <v>Abrir PDF</v>
      </c>
    </row>
    <row r="64" spans="1:6" ht="19.95" customHeight="1" x14ac:dyDescent="0.25">
      <c r="A64" s="22" t="s">
        <v>1460</v>
      </c>
      <c r="B64" s="23" t="s">
        <v>1461</v>
      </c>
      <c r="C64" s="23" t="s">
        <v>31784</v>
      </c>
      <c r="D64" s="22">
        <v>4</v>
      </c>
      <c r="E64" s="22">
        <v>46</v>
      </c>
      <c r="F64" s="24" t="str">
        <f>HYPERLINK("https://www.boe.es/gazeta/dias/1839/03/01/pdfs/GMD-1839-1567.pdf","Abrir PDF")</f>
        <v>Abrir PDF</v>
      </c>
    </row>
    <row r="65" spans="1:6" ht="19.95" customHeight="1" x14ac:dyDescent="0.25">
      <c r="A65" s="22" t="s">
        <v>704</v>
      </c>
      <c r="B65" s="23" t="s">
        <v>705</v>
      </c>
      <c r="C65" s="23" t="s">
        <v>31785</v>
      </c>
      <c r="D65" s="22">
        <v>4</v>
      </c>
      <c r="E65" s="22">
        <v>39</v>
      </c>
      <c r="F65" s="24" t="str">
        <f>HYPERLINK("https://www.boe.es/gazeta/dias/1839/03/02/pdfs/GMD-1839-1568.pdf","Abrir PDF")</f>
        <v>Abrir PDF</v>
      </c>
    </row>
    <row r="66" spans="1:6" ht="19.95" customHeight="1" x14ac:dyDescent="0.25">
      <c r="A66" s="22" t="s">
        <v>81</v>
      </c>
      <c r="B66" s="23" t="s">
        <v>82</v>
      </c>
      <c r="C66" s="23" t="s">
        <v>31786</v>
      </c>
      <c r="D66" s="22">
        <v>4</v>
      </c>
      <c r="E66" s="22">
        <v>38</v>
      </c>
      <c r="F66" s="24" t="str">
        <f>HYPERLINK("https://www.boe.es/gazeta/dias/1839/03/03/pdfs/GMD-1839-1569.pdf","Abrir PDF")</f>
        <v>Abrir PDF</v>
      </c>
    </row>
    <row r="67" spans="1:6" ht="19.95" customHeight="1" x14ac:dyDescent="0.25">
      <c r="A67" s="22" t="s">
        <v>7860</v>
      </c>
      <c r="B67" s="23" t="s">
        <v>7861</v>
      </c>
      <c r="C67" s="23" t="s">
        <v>31787</v>
      </c>
      <c r="D67" s="22">
        <v>4</v>
      </c>
      <c r="E67" s="22">
        <v>18</v>
      </c>
      <c r="F67" s="24" t="str">
        <f>HYPERLINK("https://www.boe.es/gazeta/dias/1839/03/04/pdfs/GMD-1839-1570.pdf","Abrir PDF")</f>
        <v>Abrir PDF</v>
      </c>
    </row>
    <row r="68" spans="1:6" ht="19.95" customHeight="1" x14ac:dyDescent="0.25">
      <c r="A68" s="22" t="s">
        <v>1467</v>
      </c>
      <c r="B68" s="23" t="s">
        <v>1468</v>
      </c>
      <c r="C68" s="23" t="s">
        <v>31788</v>
      </c>
      <c r="D68" s="22">
        <v>4</v>
      </c>
      <c r="E68" s="22">
        <v>31</v>
      </c>
      <c r="F68" s="24" t="str">
        <f>HYPERLINK("https://www.boe.es/gazeta/dias/1839/03/05/pdfs/GMD-1839-1571.pdf","Abrir PDF")</f>
        <v>Abrir PDF</v>
      </c>
    </row>
    <row r="69" spans="1:6" ht="19.95" customHeight="1" x14ac:dyDescent="0.25">
      <c r="A69" s="22" t="s">
        <v>2839</v>
      </c>
      <c r="B69" s="23" t="s">
        <v>2840</v>
      </c>
      <c r="C69" s="23" t="s">
        <v>31789</v>
      </c>
      <c r="D69" s="22">
        <v>4</v>
      </c>
      <c r="E69" s="22">
        <v>26</v>
      </c>
      <c r="F69" s="24" t="str">
        <f>HYPERLINK("https://www.boe.es/gazeta/dias/1839/03/06/pdfs/GMD-1839-1572.pdf","Abrir PDF")</f>
        <v>Abrir PDF</v>
      </c>
    </row>
    <row r="70" spans="1:6" ht="19.95" customHeight="1" x14ac:dyDescent="0.25">
      <c r="A70" s="22" t="s">
        <v>4055</v>
      </c>
      <c r="B70" s="23" t="s">
        <v>4056</v>
      </c>
      <c r="C70" s="23" t="s">
        <v>31790</v>
      </c>
      <c r="D70" s="22">
        <v>4</v>
      </c>
      <c r="E70" s="22">
        <v>32</v>
      </c>
      <c r="F70" s="24" t="str">
        <f>HYPERLINK("https://www.boe.es/gazeta/dias/1839/03/07/pdfs/GMD-1839-1573.pdf","Abrir PDF")</f>
        <v>Abrir PDF</v>
      </c>
    </row>
    <row r="71" spans="1:6" ht="19.95" customHeight="1" x14ac:dyDescent="0.25">
      <c r="A71" s="22" t="s">
        <v>2507</v>
      </c>
      <c r="B71" s="23" t="s">
        <v>2508</v>
      </c>
      <c r="C71" s="23" t="s">
        <v>31791</v>
      </c>
      <c r="D71" s="22">
        <v>4</v>
      </c>
      <c r="E71" s="22">
        <v>23</v>
      </c>
      <c r="F71" s="24" t="str">
        <f>HYPERLINK("https://www.boe.es/gazeta/dias/1839/03/08/pdfs/GMD-1839-1574.pdf","Abrir PDF")</f>
        <v>Abrir PDF</v>
      </c>
    </row>
    <row r="72" spans="1:6" ht="19.95" customHeight="1" x14ac:dyDescent="0.25">
      <c r="A72" s="22" t="s">
        <v>3705</v>
      </c>
      <c r="B72" s="23" t="s">
        <v>3706</v>
      </c>
      <c r="C72" s="23" t="s">
        <v>31792</v>
      </c>
      <c r="D72" s="22">
        <v>4</v>
      </c>
      <c r="E72" s="22">
        <v>35</v>
      </c>
      <c r="F72" s="24" t="str">
        <f>HYPERLINK("https://www.boe.es/gazeta/dias/1839/03/09/pdfs/GMD-1839-1575.pdf","Abrir PDF")</f>
        <v>Abrir PDF</v>
      </c>
    </row>
    <row r="73" spans="1:6" ht="19.95" customHeight="1" x14ac:dyDescent="0.25">
      <c r="A73" s="22" t="s">
        <v>1628</v>
      </c>
      <c r="B73" s="23" t="s">
        <v>1629</v>
      </c>
      <c r="C73" s="23" t="s">
        <v>31793</v>
      </c>
      <c r="D73" s="22">
        <v>4</v>
      </c>
      <c r="E73" s="22">
        <v>30</v>
      </c>
      <c r="F73" s="24" t="str">
        <f>HYPERLINK("https://www.boe.es/gazeta/dias/1839/03/10/pdfs/GMD-1839-1576.pdf","Abrir PDF")</f>
        <v>Abrir PDF</v>
      </c>
    </row>
    <row r="74" spans="1:6" ht="19.95" customHeight="1" x14ac:dyDescent="0.25">
      <c r="A74" s="22" t="s">
        <v>84</v>
      </c>
      <c r="B74" s="23" t="s">
        <v>85</v>
      </c>
      <c r="C74" s="23" t="s">
        <v>31794</v>
      </c>
      <c r="D74" s="22">
        <v>4</v>
      </c>
      <c r="E74" s="22">
        <v>48</v>
      </c>
      <c r="F74" s="24" t="str">
        <f>HYPERLINK("https://www.boe.es/gazeta/dias/1839/03/11/pdfs/GMD-1839-1577.pdf","Abrir PDF")</f>
        <v>Abrir PDF</v>
      </c>
    </row>
    <row r="75" spans="1:6" ht="19.95" customHeight="1" x14ac:dyDescent="0.25">
      <c r="A75" s="22" t="s">
        <v>420</v>
      </c>
      <c r="B75" s="23" t="s">
        <v>421</v>
      </c>
      <c r="C75" s="23" t="s">
        <v>31795</v>
      </c>
      <c r="D75" s="22">
        <v>4</v>
      </c>
      <c r="E75" s="22">
        <v>27</v>
      </c>
      <c r="F75" s="24" t="str">
        <f>HYPERLINK("https://www.boe.es/gazeta/dias/1839/03/12/pdfs/GMD-1839-1578.pdf","Abrir PDF")</f>
        <v>Abrir PDF</v>
      </c>
    </row>
    <row r="76" spans="1:6" ht="19.95" customHeight="1" x14ac:dyDescent="0.25">
      <c r="A76" s="22" t="s">
        <v>76</v>
      </c>
      <c r="B76" s="23" t="s">
        <v>77</v>
      </c>
      <c r="C76" s="23" t="s">
        <v>31796</v>
      </c>
      <c r="D76" s="22">
        <v>4</v>
      </c>
      <c r="E76" s="22">
        <v>64</v>
      </c>
      <c r="F76" s="24" t="str">
        <f>HYPERLINK("https://www.boe.es/gazeta/dias/1839/03/13/pdfs/GMD-1839-1579.pdf","Abrir PDF")</f>
        <v>Abrir PDF</v>
      </c>
    </row>
    <row r="77" spans="1:6" ht="19.95" customHeight="1" x14ac:dyDescent="0.25">
      <c r="A77" s="22" t="s">
        <v>903</v>
      </c>
      <c r="B77" s="23" t="s">
        <v>904</v>
      </c>
      <c r="C77" s="23" t="s">
        <v>31797</v>
      </c>
      <c r="D77" s="22">
        <v>4</v>
      </c>
      <c r="E77" s="22">
        <v>33</v>
      </c>
      <c r="F77" s="24" t="str">
        <f>HYPERLINK("https://www.boe.es/gazeta/dias/1839/03/14/pdfs/GMD-1839-1580.pdf","Abrir PDF")</f>
        <v>Abrir PDF</v>
      </c>
    </row>
    <row r="78" spans="1:6" ht="19.95" customHeight="1" x14ac:dyDescent="0.25">
      <c r="A78" s="22" t="s">
        <v>395</v>
      </c>
      <c r="B78" s="23" t="s">
        <v>396</v>
      </c>
      <c r="C78" s="23" t="s">
        <v>31798</v>
      </c>
      <c r="D78" s="22">
        <v>4</v>
      </c>
      <c r="E78" s="22">
        <v>42</v>
      </c>
      <c r="F78" s="24" t="str">
        <f>HYPERLINK("https://www.boe.es/gazeta/dias/1839/03/15/pdfs/GMD-1839-1581.pdf","Abrir PDF")</f>
        <v>Abrir PDF</v>
      </c>
    </row>
    <row r="79" spans="1:6" ht="19.95" customHeight="1" x14ac:dyDescent="0.25">
      <c r="A79" s="22" t="s">
        <v>2262</v>
      </c>
      <c r="B79" s="23" t="s">
        <v>2263</v>
      </c>
      <c r="C79" s="23" t="s">
        <v>31799</v>
      </c>
      <c r="D79" s="22">
        <v>4</v>
      </c>
      <c r="E79" s="22">
        <v>28</v>
      </c>
      <c r="F79" s="24" t="str">
        <f>HYPERLINK("https://www.boe.es/gazeta/dias/1839/03/16/pdfs/GMD-1839-1582.pdf","Abrir PDF")</f>
        <v>Abrir PDF</v>
      </c>
    </row>
    <row r="80" spans="1:6" ht="19.95" customHeight="1" x14ac:dyDescent="0.25">
      <c r="A80" s="22" t="s">
        <v>513</v>
      </c>
      <c r="B80" s="23" t="s">
        <v>514</v>
      </c>
      <c r="C80" s="23" t="s">
        <v>31800</v>
      </c>
      <c r="D80" s="22">
        <v>4</v>
      </c>
      <c r="E80" s="22">
        <v>52</v>
      </c>
      <c r="F80" s="24" t="str">
        <f>HYPERLINK("https://www.boe.es/gazeta/dias/1839/03/17/pdfs/GMD-1839-1583.pdf","Abrir PDF")</f>
        <v>Abrir PDF</v>
      </c>
    </row>
    <row r="81" spans="1:6" ht="19.95" customHeight="1" x14ac:dyDescent="0.25">
      <c r="A81" s="22" t="s">
        <v>1779</v>
      </c>
      <c r="B81" s="23" t="s">
        <v>1780</v>
      </c>
      <c r="C81" s="23" t="s">
        <v>31801</v>
      </c>
      <c r="D81" s="22">
        <v>4</v>
      </c>
      <c r="E81" s="22">
        <v>24</v>
      </c>
      <c r="F81" s="24" t="str">
        <f>HYPERLINK("https://www.boe.es/gazeta/dias/1839/03/18/pdfs/GMD-1839-1584.pdf","Abrir PDF")</f>
        <v>Abrir PDF</v>
      </c>
    </row>
    <row r="82" spans="1:6" ht="19.95" customHeight="1" x14ac:dyDescent="0.25">
      <c r="A82" s="22" t="s">
        <v>340</v>
      </c>
      <c r="B82" s="23" t="s">
        <v>341</v>
      </c>
      <c r="C82" s="23" t="s">
        <v>31802</v>
      </c>
      <c r="D82" s="22">
        <v>4</v>
      </c>
      <c r="E82" s="22">
        <v>13</v>
      </c>
      <c r="F82" s="24" t="str">
        <f>HYPERLINK("https://www.boe.es/gazeta/dias/1839/03/19/pdfs/GMD-1839-1585.pdf","Abrir PDF")</f>
        <v>Abrir PDF</v>
      </c>
    </row>
    <row r="83" spans="1:6" ht="19.95" customHeight="1" x14ac:dyDescent="0.25">
      <c r="A83" s="22" t="s">
        <v>643</v>
      </c>
      <c r="B83" s="23" t="s">
        <v>644</v>
      </c>
      <c r="C83" s="23" t="s">
        <v>31803</v>
      </c>
      <c r="D83" s="22">
        <v>4</v>
      </c>
      <c r="E83" s="22">
        <v>35</v>
      </c>
      <c r="F83" s="24" t="str">
        <f>HYPERLINK("https://www.boe.es/gazeta/dias/1839/03/20/pdfs/GMD-1839-1586.pdf","Abrir PDF")</f>
        <v>Abrir PDF</v>
      </c>
    </row>
    <row r="84" spans="1:6" ht="19.95" customHeight="1" x14ac:dyDescent="0.25">
      <c r="A84" s="22" t="s">
        <v>3601</v>
      </c>
      <c r="B84" s="23" t="s">
        <v>3602</v>
      </c>
      <c r="C84" s="23" t="s">
        <v>31804</v>
      </c>
      <c r="D84" s="22">
        <v>4</v>
      </c>
      <c r="E84" s="22">
        <v>30</v>
      </c>
      <c r="F84" s="24" t="str">
        <f>HYPERLINK("https://www.boe.es/gazeta/dias/1839/03/21/pdfs/GMD-1839-1587.pdf","Abrir PDF")</f>
        <v>Abrir PDF</v>
      </c>
    </row>
    <row r="85" spans="1:6" ht="19.95" customHeight="1" x14ac:dyDescent="0.25">
      <c r="A85" s="22" t="s">
        <v>1663</v>
      </c>
      <c r="B85" s="23" t="s">
        <v>1664</v>
      </c>
      <c r="C85" s="23" t="s">
        <v>31805</v>
      </c>
      <c r="D85" s="22">
        <v>4</v>
      </c>
      <c r="E85" s="22">
        <v>46</v>
      </c>
      <c r="F85" s="24" t="str">
        <f>HYPERLINK("https://www.boe.es/gazeta/dias/1839/03/22/pdfs/GMD-1839-1588.pdf","Abrir PDF")</f>
        <v>Abrir PDF</v>
      </c>
    </row>
    <row r="86" spans="1:6" ht="19.95" customHeight="1" x14ac:dyDescent="0.25">
      <c r="A86" s="22" t="s">
        <v>4108</v>
      </c>
      <c r="B86" s="23" t="s">
        <v>4109</v>
      </c>
      <c r="C86" s="23" t="s">
        <v>31806</v>
      </c>
      <c r="D86" s="22">
        <v>4</v>
      </c>
      <c r="E86" s="22">
        <v>24</v>
      </c>
      <c r="F86" s="24" t="str">
        <f>HYPERLINK("https://www.boe.es/gazeta/dias/1839/03/23/pdfs/GMD-1839-1589.pdf","Abrir PDF")</f>
        <v>Abrir PDF</v>
      </c>
    </row>
    <row r="87" spans="1:6" ht="19.95" customHeight="1" x14ac:dyDescent="0.25">
      <c r="A87" s="22" t="s">
        <v>346</v>
      </c>
      <c r="B87" s="23" t="s">
        <v>347</v>
      </c>
      <c r="C87" s="23" t="s">
        <v>31807</v>
      </c>
      <c r="D87" s="22">
        <v>4</v>
      </c>
      <c r="E87" s="22">
        <v>28</v>
      </c>
      <c r="F87" s="24" t="str">
        <f>HYPERLINK("https://www.boe.es/gazeta/dias/1839/03/24/pdfs/GMD-1839-1590.pdf","Abrir PDF")</f>
        <v>Abrir PDF</v>
      </c>
    </row>
    <row r="88" spans="1:6" ht="19.95" customHeight="1" x14ac:dyDescent="0.25">
      <c r="A88" s="22" t="s">
        <v>405</v>
      </c>
      <c r="B88" s="23" t="s">
        <v>406</v>
      </c>
      <c r="C88" s="23" t="s">
        <v>31808</v>
      </c>
      <c r="D88" s="22">
        <v>4</v>
      </c>
      <c r="E88" s="22">
        <v>39</v>
      </c>
      <c r="F88" s="24" t="str">
        <f>HYPERLINK("https://www.boe.es/gazeta/dias/1839/03/25/pdfs/GMD-1839-1591.pdf","Abrir PDF")</f>
        <v>Abrir PDF</v>
      </c>
    </row>
    <row r="89" spans="1:6" ht="19.95" customHeight="1" x14ac:dyDescent="0.25">
      <c r="A89" s="22" t="s">
        <v>4047</v>
      </c>
      <c r="B89" s="23" t="s">
        <v>4048</v>
      </c>
      <c r="C89" s="23" t="s">
        <v>31809</v>
      </c>
      <c r="D89" s="22">
        <v>4</v>
      </c>
      <c r="E89" s="22">
        <v>16</v>
      </c>
      <c r="F89" s="24" t="str">
        <f>HYPERLINK("https://www.boe.es/gazeta/dias/1839/03/26/pdfs/GMD-1839-1592.pdf","Abrir PDF")</f>
        <v>Abrir PDF</v>
      </c>
    </row>
    <row r="90" spans="1:6" ht="19.95" customHeight="1" x14ac:dyDescent="0.25">
      <c r="A90" s="22" t="s">
        <v>1284</v>
      </c>
      <c r="B90" s="23" t="s">
        <v>1285</v>
      </c>
      <c r="C90" s="23" t="s">
        <v>31810</v>
      </c>
      <c r="D90" s="22">
        <v>4</v>
      </c>
      <c r="E90" s="22">
        <v>31</v>
      </c>
      <c r="F90" s="24" t="str">
        <f>HYPERLINK("https://www.boe.es/gazeta/dias/1839/03/27/pdfs/GMD-1839-1593.pdf","Abrir PDF")</f>
        <v>Abrir PDF</v>
      </c>
    </row>
    <row r="91" spans="1:6" ht="19.95" customHeight="1" x14ac:dyDescent="0.25">
      <c r="A91" s="22" t="s">
        <v>668</v>
      </c>
      <c r="B91" s="23" t="s">
        <v>669</v>
      </c>
      <c r="C91" s="23" t="s">
        <v>31811</v>
      </c>
      <c r="D91" s="22">
        <v>4</v>
      </c>
      <c r="E91" s="22">
        <v>43</v>
      </c>
      <c r="F91" s="24" t="str">
        <f>HYPERLINK("https://www.boe.es/gazeta/dias/1839/03/28/pdfs/GMD-1839-1594.pdf","Abrir PDF")</f>
        <v>Abrir PDF</v>
      </c>
    </row>
    <row r="92" spans="1:6" ht="19.95" customHeight="1" x14ac:dyDescent="0.25">
      <c r="A92" s="22" t="s">
        <v>401</v>
      </c>
      <c r="B92" s="23" t="s">
        <v>402</v>
      </c>
      <c r="C92" s="23" t="s">
        <v>31812</v>
      </c>
      <c r="D92" s="22">
        <v>4</v>
      </c>
      <c r="E92" s="22">
        <v>26</v>
      </c>
      <c r="F92" s="24" t="str">
        <f>HYPERLINK("https://www.boe.es/gazeta/dias/1839/03/29/pdfs/GMD-1839-1595.pdf","Abrir PDF")</f>
        <v>Abrir PDF</v>
      </c>
    </row>
    <row r="93" spans="1:6" ht="19.95" customHeight="1" x14ac:dyDescent="0.25">
      <c r="A93" s="22" t="s">
        <v>352</v>
      </c>
      <c r="B93" s="23" t="s">
        <v>353</v>
      </c>
      <c r="C93" s="23" t="s">
        <v>31813</v>
      </c>
      <c r="D93" s="22">
        <v>4</v>
      </c>
      <c r="E93" s="22">
        <v>19</v>
      </c>
      <c r="F93" s="24" t="str">
        <f>HYPERLINK("https://www.boe.es/gazeta/dias/1839/03/30/pdfs/GMD-1839-1596.pdf","Abrir PDF")</f>
        <v>Abrir PDF</v>
      </c>
    </row>
    <row r="94" spans="1:6" ht="19.95" customHeight="1" x14ac:dyDescent="0.25">
      <c r="A94" s="22" t="s">
        <v>474</v>
      </c>
      <c r="B94" s="23" t="s">
        <v>475</v>
      </c>
      <c r="C94" s="23" t="s">
        <v>31814</v>
      </c>
      <c r="D94" s="22">
        <v>4</v>
      </c>
      <c r="E94" s="22">
        <v>97</v>
      </c>
      <c r="F94" s="24" t="str">
        <f>HYPERLINK("https://www.boe.es/gazeta/dias/1839/03/31/pdfs/GMD-1839-1597.pdf","Abrir PDF")</f>
        <v>Abrir PDF</v>
      </c>
    </row>
    <row r="95" spans="1:6" ht="19.95" customHeight="1" x14ac:dyDescent="0.25">
      <c r="A95" s="22" t="s">
        <v>5845</v>
      </c>
      <c r="B95" s="23" t="s">
        <v>5846</v>
      </c>
      <c r="C95" s="23" t="s">
        <v>31815</v>
      </c>
      <c r="D95" s="22">
        <v>4</v>
      </c>
      <c r="E95" s="22">
        <v>21</v>
      </c>
      <c r="F95" s="24" t="str">
        <f>HYPERLINK("https://www.boe.es/gazeta/dias/1839/04/01/pdfs/GMD-1839-1598.pdf","Abrir PDF")</f>
        <v>Abrir PDF</v>
      </c>
    </row>
    <row r="96" spans="1:6" ht="19.95" customHeight="1" x14ac:dyDescent="0.25">
      <c r="A96" s="22" t="s">
        <v>606</v>
      </c>
      <c r="B96" s="23" t="s">
        <v>607</v>
      </c>
      <c r="C96" s="23" t="s">
        <v>31816</v>
      </c>
      <c r="D96" s="22">
        <v>4</v>
      </c>
      <c r="E96" s="22">
        <v>35</v>
      </c>
      <c r="F96" s="24" t="str">
        <f>HYPERLINK("https://www.boe.es/gazeta/dias/1839/04/02/pdfs/GMD-1839-1599.pdf","Abrir PDF")</f>
        <v>Abrir PDF</v>
      </c>
    </row>
    <row r="97" spans="1:6" ht="19.95" customHeight="1" x14ac:dyDescent="0.25">
      <c r="A97" s="22" t="s">
        <v>1136</v>
      </c>
      <c r="B97" s="23" t="s">
        <v>1137</v>
      </c>
      <c r="C97" s="23" t="s">
        <v>31817</v>
      </c>
      <c r="D97" s="22">
        <v>4</v>
      </c>
      <c r="E97" s="22">
        <v>33</v>
      </c>
      <c r="F97" s="24" t="str">
        <f>HYPERLINK("https://www.boe.es/gazeta/dias/1839/04/03/pdfs/GMD-1839-1600.pdf","Abrir PDF")</f>
        <v>Abrir PDF</v>
      </c>
    </row>
    <row r="98" spans="1:6" ht="19.95" customHeight="1" x14ac:dyDescent="0.25">
      <c r="A98" s="22" t="s">
        <v>3614</v>
      </c>
      <c r="B98" s="23" t="s">
        <v>3615</v>
      </c>
      <c r="C98" s="23" t="s">
        <v>31818</v>
      </c>
      <c r="D98" s="22">
        <v>4</v>
      </c>
      <c r="E98" s="22">
        <v>34</v>
      </c>
      <c r="F98" s="24" t="str">
        <f>HYPERLINK("https://www.boe.es/gazeta/dias/1839/04/04/pdfs/GMD-1839-1601.pdf","Abrir PDF")</f>
        <v>Abrir PDF</v>
      </c>
    </row>
    <row r="99" spans="1:6" ht="19.95" customHeight="1" x14ac:dyDescent="0.25">
      <c r="A99" s="22" t="s">
        <v>202</v>
      </c>
      <c r="B99" s="23" t="s">
        <v>203</v>
      </c>
      <c r="C99" s="23" t="s">
        <v>31819</v>
      </c>
      <c r="D99" s="22">
        <v>4</v>
      </c>
      <c r="E99" s="22">
        <v>82</v>
      </c>
      <c r="F99" s="24" t="str">
        <f>HYPERLINK("https://www.boe.es/gazeta/dias/1839/04/05/pdfs/GMD-1839-1602.pdf","Abrir PDF")</f>
        <v>Abrir PDF</v>
      </c>
    </row>
    <row r="100" spans="1:6" ht="19.95" customHeight="1" x14ac:dyDescent="0.25">
      <c r="A100" s="22" t="s">
        <v>632</v>
      </c>
      <c r="B100" s="23" t="s">
        <v>633</v>
      </c>
      <c r="C100" s="23" t="s">
        <v>31820</v>
      </c>
      <c r="D100" s="22">
        <v>4</v>
      </c>
      <c r="E100" s="22">
        <v>25</v>
      </c>
      <c r="F100" s="24" t="str">
        <f>HYPERLINK("https://www.boe.es/gazeta/dias/1839/04/06/pdfs/GMD-1839-1603.pdf","Abrir PDF")</f>
        <v>Abrir PDF</v>
      </c>
    </row>
    <row r="101" spans="1:6" ht="19.95" customHeight="1" x14ac:dyDescent="0.25">
      <c r="A101" s="22" t="s">
        <v>1623</v>
      </c>
      <c r="B101" s="23" t="s">
        <v>1624</v>
      </c>
      <c r="C101" s="23" t="s">
        <v>31821</v>
      </c>
      <c r="D101" s="22">
        <v>4</v>
      </c>
      <c r="E101" s="22">
        <v>67</v>
      </c>
      <c r="F101" s="24" t="str">
        <f>HYPERLINK("https://www.boe.es/gazeta/dias/1839/04/07/pdfs/GMD-1839-1604.pdf","Abrir PDF")</f>
        <v>Abrir PDF</v>
      </c>
    </row>
    <row r="102" spans="1:6" ht="19.95" customHeight="1" x14ac:dyDescent="0.25">
      <c r="A102" s="22" t="s">
        <v>1562</v>
      </c>
      <c r="B102" s="23" t="s">
        <v>1563</v>
      </c>
      <c r="C102" s="23" t="s">
        <v>31822</v>
      </c>
      <c r="D102" s="22">
        <v>4</v>
      </c>
      <c r="E102" s="22">
        <v>34</v>
      </c>
      <c r="F102" s="24" t="str">
        <f>HYPERLINK("https://www.boe.es/gazeta/dias/1839/04/08/pdfs/GMD-1839-1605.pdf","Abrir PDF")</f>
        <v>Abrir PDF</v>
      </c>
    </row>
    <row r="103" spans="1:6" ht="19.95" customHeight="1" x14ac:dyDescent="0.25">
      <c r="A103" s="22" t="s">
        <v>1479</v>
      </c>
      <c r="B103" s="23" t="s">
        <v>1480</v>
      </c>
      <c r="C103" s="23" t="s">
        <v>31823</v>
      </c>
      <c r="D103" s="22">
        <v>4</v>
      </c>
      <c r="E103" s="22">
        <v>35</v>
      </c>
      <c r="F103" s="24" t="str">
        <f>HYPERLINK("https://www.boe.es/gazeta/dias/1839/04/09/pdfs/GMD-1839-1606.pdf","Abrir PDF")</f>
        <v>Abrir PDF</v>
      </c>
    </row>
    <row r="104" spans="1:6" ht="19.95" customHeight="1" x14ac:dyDescent="0.25">
      <c r="A104" s="22" t="s">
        <v>984</v>
      </c>
      <c r="B104" s="23" t="s">
        <v>985</v>
      </c>
      <c r="C104" s="23" t="s">
        <v>31824</v>
      </c>
      <c r="D104" s="22">
        <v>4</v>
      </c>
      <c r="E104" s="22">
        <v>52</v>
      </c>
      <c r="F104" s="24" t="str">
        <f>HYPERLINK("https://www.boe.es/gazeta/dias/1839/04/10/pdfs/GMD-1839-1607.pdf","Abrir PDF")</f>
        <v>Abrir PDF</v>
      </c>
    </row>
    <row r="105" spans="1:6" ht="19.95" customHeight="1" x14ac:dyDescent="0.25">
      <c r="A105" s="22" t="s">
        <v>330</v>
      </c>
      <c r="B105" s="23" t="s">
        <v>331</v>
      </c>
      <c r="C105" s="23" t="s">
        <v>31825</v>
      </c>
      <c r="D105" s="22">
        <v>4</v>
      </c>
      <c r="E105" s="22">
        <v>34</v>
      </c>
      <c r="F105" s="24" t="str">
        <f>HYPERLINK("https://www.boe.es/gazeta/dias/1839/04/11/pdfs/GMD-1839-1608.pdf","Abrir PDF")</f>
        <v>Abrir PDF</v>
      </c>
    </row>
    <row r="106" spans="1:6" ht="19.95" customHeight="1" x14ac:dyDescent="0.25">
      <c r="A106" s="22" t="s">
        <v>3633</v>
      </c>
      <c r="B106" s="23" t="s">
        <v>3634</v>
      </c>
      <c r="C106" s="23" t="s">
        <v>31826</v>
      </c>
      <c r="D106" s="22">
        <v>4</v>
      </c>
      <c r="E106" s="22">
        <v>11</v>
      </c>
      <c r="F106" s="24" t="str">
        <f>HYPERLINK("https://www.boe.es/gazeta/dias/1839/04/12/pdfs/GMD-1839-1609.pdf","Abrir PDF")</f>
        <v>Abrir PDF</v>
      </c>
    </row>
    <row r="107" spans="1:6" ht="19.95" customHeight="1" x14ac:dyDescent="0.25">
      <c r="A107" s="22" t="s">
        <v>1512</v>
      </c>
      <c r="B107" s="23" t="s">
        <v>1513</v>
      </c>
      <c r="C107" s="23" t="s">
        <v>31827</v>
      </c>
      <c r="D107" s="22">
        <v>4</v>
      </c>
      <c r="E107" s="22">
        <v>41</v>
      </c>
      <c r="F107" s="24" t="str">
        <f>HYPERLINK("https://www.boe.es/gazeta/dias/1839/04/13/pdfs/GMD-1839-1610.pdf","Abrir PDF")</f>
        <v>Abrir PDF</v>
      </c>
    </row>
    <row r="108" spans="1:6" ht="19.95" customHeight="1" x14ac:dyDescent="0.25">
      <c r="A108" s="22" t="s">
        <v>621</v>
      </c>
      <c r="B108" s="23" t="s">
        <v>622</v>
      </c>
      <c r="C108" s="23" t="s">
        <v>31828</v>
      </c>
      <c r="D108" s="22">
        <v>4</v>
      </c>
      <c r="E108" s="22">
        <v>57</v>
      </c>
      <c r="F108" s="24" t="str">
        <f>HYPERLINK("https://www.boe.es/gazeta/dias/1839/04/14/pdfs/GMD-1839-1611.pdf","Abrir PDF")</f>
        <v>Abrir PDF</v>
      </c>
    </row>
    <row r="109" spans="1:6" ht="19.95" customHeight="1" x14ac:dyDescent="0.25">
      <c r="A109" s="22" t="s">
        <v>946</v>
      </c>
      <c r="B109" s="23" t="s">
        <v>947</v>
      </c>
      <c r="C109" s="23" t="s">
        <v>31829</v>
      </c>
      <c r="D109" s="22">
        <v>4</v>
      </c>
      <c r="E109" s="22">
        <v>34</v>
      </c>
      <c r="F109" s="24" t="str">
        <f>HYPERLINK("https://www.boe.es/gazeta/dias/1839/04/15/pdfs/GMD-1839-1612.pdf","Abrir PDF")</f>
        <v>Abrir PDF</v>
      </c>
    </row>
    <row r="110" spans="1:6" ht="19.95" customHeight="1" x14ac:dyDescent="0.25">
      <c r="A110" s="22" t="s">
        <v>1644</v>
      </c>
      <c r="B110" s="23" t="s">
        <v>1645</v>
      </c>
      <c r="C110" s="23" t="s">
        <v>31830</v>
      </c>
      <c r="D110" s="22">
        <v>4</v>
      </c>
      <c r="E110" s="22">
        <v>36</v>
      </c>
      <c r="F110" s="24" t="str">
        <f>HYPERLINK("https://www.boe.es/gazeta/dias/1839/04/16/pdfs/GMD-1839-1613.pdf","Abrir PDF")</f>
        <v>Abrir PDF</v>
      </c>
    </row>
    <row r="111" spans="1:6" ht="19.95" customHeight="1" x14ac:dyDescent="0.25">
      <c r="A111" s="22" t="s">
        <v>4550</v>
      </c>
      <c r="B111" s="23" t="s">
        <v>4551</v>
      </c>
      <c r="C111" s="23" t="s">
        <v>31831</v>
      </c>
      <c r="D111" s="22">
        <v>4</v>
      </c>
      <c r="E111" s="22">
        <v>36</v>
      </c>
      <c r="F111" s="24" t="str">
        <f>HYPERLINK("https://www.boe.es/gazeta/dias/1839/04/17/pdfs/GMD-1839-1614.pdf","Abrir PDF")</f>
        <v>Abrir PDF</v>
      </c>
    </row>
    <row r="112" spans="1:6" ht="19.95" customHeight="1" x14ac:dyDescent="0.25">
      <c r="A112" s="22" t="s">
        <v>870</v>
      </c>
      <c r="B112" s="23" t="s">
        <v>871</v>
      </c>
      <c r="C112" s="23" t="s">
        <v>31832</v>
      </c>
      <c r="D112" s="22">
        <v>4</v>
      </c>
      <c r="E112" s="22">
        <v>49</v>
      </c>
      <c r="F112" s="24" t="str">
        <f>HYPERLINK("https://www.boe.es/gazeta/dias/1839/04/18/pdfs/GMD-1839-1615.pdf","Abrir PDF")</f>
        <v>Abrir PDF</v>
      </c>
    </row>
    <row r="113" spans="1:6" ht="19.95" customHeight="1" x14ac:dyDescent="0.25">
      <c r="A113" s="22" t="s">
        <v>486</v>
      </c>
      <c r="B113" s="23" t="s">
        <v>487</v>
      </c>
      <c r="C113" s="23" t="s">
        <v>31833</v>
      </c>
      <c r="D113" s="22">
        <v>4</v>
      </c>
      <c r="E113" s="22">
        <v>42</v>
      </c>
      <c r="F113" s="24" t="str">
        <f>HYPERLINK("https://www.boe.es/gazeta/dias/1839/04/19/pdfs/GMD-1839-1616.pdf","Abrir PDF")</f>
        <v>Abrir PDF</v>
      </c>
    </row>
    <row r="114" spans="1:6" ht="19.95" customHeight="1" x14ac:dyDescent="0.25">
      <c r="A114" s="22" t="s">
        <v>3009</v>
      </c>
      <c r="B114" s="23" t="s">
        <v>3010</v>
      </c>
      <c r="C114" s="23" t="s">
        <v>31834</v>
      </c>
      <c r="D114" s="22">
        <v>4</v>
      </c>
      <c r="E114" s="22">
        <v>22</v>
      </c>
      <c r="F114" s="24" t="str">
        <f>HYPERLINK("https://www.boe.es/gazeta/dias/1839/04/20/pdfs/GMD-1839-1617.pdf","Abrir PDF")</f>
        <v>Abrir PDF</v>
      </c>
    </row>
    <row r="115" spans="1:6" ht="19.95" customHeight="1" x14ac:dyDescent="0.25">
      <c r="A115" s="22" t="s">
        <v>601</v>
      </c>
      <c r="B115" s="23" t="s">
        <v>602</v>
      </c>
      <c r="C115" s="23" t="s">
        <v>31835</v>
      </c>
      <c r="D115" s="22">
        <v>4</v>
      </c>
      <c r="E115" s="22">
        <v>33</v>
      </c>
      <c r="F115" s="24" t="str">
        <f>HYPERLINK("https://www.boe.es/gazeta/dias/1839/04/21/pdfs/GMD-1839-1618.pdf","Abrir PDF")</f>
        <v>Abrir PDF</v>
      </c>
    </row>
    <row r="116" spans="1:6" ht="19.95" customHeight="1" x14ac:dyDescent="0.25">
      <c r="A116" s="22" t="s">
        <v>1666</v>
      </c>
      <c r="B116" s="23" t="s">
        <v>1667</v>
      </c>
      <c r="C116" s="23" t="s">
        <v>31836</v>
      </c>
      <c r="D116" s="22">
        <v>4</v>
      </c>
      <c r="E116" s="22">
        <v>25</v>
      </c>
      <c r="F116" s="24" t="str">
        <f>HYPERLINK("https://www.boe.es/gazeta/dias/1839/04/22/pdfs/GMD-1839-1619.pdf","Abrir PDF")</f>
        <v>Abrir PDF</v>
      </c>
    </row>
    <row r="117" spans="1:6" ht="19.95" customHeight="1" x14ac:dyDescent="0.25">
      <c r="A117" s="22" t="s">
        <v>1310</v>
      </c>
      <c r="B117" s="23" t="s">
        <v>1311</v>
      </c>
      <c r="C117" s="23" t="s">
        <v>31837</v>
      </c>
      <c r="D117" s="22">
        <v>4</v>
      </c>
      <c r="E117" s="22">
        <v>67</v>
      </c>
      <c r="F117" s="24" t="str">
        <f>HYPERLINK("https://www.boe.es/gazeta/dias/1839/04/23/pdfs/GMD-1839-1620.pdf","Abrir PDF")</f>
        <v>Abrir PDF</v>
      </c>
    </row>
    <row r="118" spans="1:6" ht="19.95" customHeight="1" x14ac:dyDescent="0.25">
      <c r="A118" s="22" t="s">
        <v>1208</v>
      </c>
      <c r="B118" s="23" t="s">
        <v>1209</v>
      </c>
      <c r="C118" s="23" t="s">
        <v>31838</v>
      </c>
      <c r="D118" s="22">
        <v>4</v>
      </c>
      <c r="E118" s="22">
        <v>31</v>
      </c>
      <c r="F118" s="24" t="str">
        <f>HYPERLINK("https://www.boe.es/gazeta/dias/1839/04/24/pdfs/GMD-1839-1621.pdf","Abrir PDF")</f>
        <v>Abrir PDF</v>
      </c>
    </row>
    <row r="119" spans="1:6" ht="19.95" customHeight="1" x14ac:dyDescent="0.25">
      <c r="A119" s="22" t="s">
        <v>1729</v>
      </c>
      <c r="B119" s="23" t="s">
        <v>1730</v>
      </c>
      <c r="C119" s="23" t="s">
        <v>31839</v>
      </c>
      <c r="D119" s="22">
        <v>4</v>
      </c>
      <c r="E119" s="22">
        <v>32</v>
      </c>
      <c r="F119" s="24" t="str">
        <f>HYPERLINK("https://www.boe.es/gazeta/dias/1839/04/25/pdfs/GMD-1839-1622.pdf","Abrir PDF")</f>
        <v>Abrir PDF</v>
      </c>
    </row>
    <row r="120" spans="1:6" ht="19.95" customHeight="1" x14ac:dyDescent="0.25">
      <c r="A120" s="22" t="s">
        <v>2463</v>
      </c>
      <c r="B120" s="23" t="s">
        <v>2464</v>
      </c>
      <c r="C120" s="23" t="s">
        <v>31840</v>
      </c>
      <c r="D120" s="22">
        <v>4</v>
      </c>
      <c r="E120" s="22">
        <v>29</v>
      </c>
      <c r="F120" s="24" t="str">
        <f>HYPERLINK("https://www.boe.es/gazeta/dias/1839/04/26/pdfs/GMD-1839-1623.pdf","Abrir PDF")</f>
        <v>Abrir PDF</v>
      </c>
    </row>
    <row r="121" spans="1:6" ht="19.95" customHeight="1" x14ac:dyDescent="0.25">
      <c r="A121" s="22" t="s">
        <v>1685</v>
      </c>
      <c r="B121" s="23" t="s">
        <v>1686</v>
      </c>
      <c r="C121" s="23" t="s">
        <v>31841</v>
      </c>
      <c r="D121" s="22">
        <v>4</v>
      </c>
      <c r="E121" s="22">
        <v>79</v>
      </c>
      <c r="F121" s="24" t="str">
        <f>HYPERLINK("https://www.boe.es/gazeta/dias/1839/04/27/pdfs/GMD-1839-1624.pdf","Abrir PDF")</f>
        <v>Abrir PDF</v>
      </c>
    </row>
    <row r="122" spans="1:6" ht="19.95" customHeight="1" x14ac:dyDescent="0.25">
      <c r="A122" s="22" t="s">
        <v>677</v>
      </c>
      <c r="B122" s="23" t="s">
        <v>678</v>
      </c>
      <c r="C122" s="23" t="s">
        <v>31842</v>
      </c>
      <c r="D122" s="22">
        <v>4</v>
      </c>
      <c r="E122" s="22">
        <v>37</v>
      </c>
      <c r="F122" s="24" t="str">
        <f>HYPERLINK("https://www.boe.es/gazeta/dias/1839/04/28/pdfs/GMD-1839-1625.pdf","Abrir PDF")</f>
        <v>Abrir PDF</v>
      </c>
    </row>
    <row r="123" spans="1:6" ht="19.95" customHeight="1" x14ac:dyDescent="0.25">
      <c r="A123" s="22" t="s">
        <v>1269</v>
      </c>
      <c r="B123" s="23" t="s">
        <v>1270</v>
      </c>
      <c r="C123" s="23" t="s">
        <v>31843</v>
      </c>
      <c r="D123" s="22">
        <v>4</v>
      </c>
      <c r="E123" s="22">
        <v>22</v>
      </c>
      <c r="F123" s="24" t="str">
        <f>HYPERLINK("https://www.boe.es/gazeta/dias/1839/04/29/pdfs/GMD-1839-1626.pdf","Abrir PDF")</f>
        <v>Abrir PDF</v>
      </c>
    </row>
    <row r="124" spans="1:6" ht="19.95" customHeight="1" x14ac:dyDescent="0.25">
      <c r="A124" s="22" t="s">
        <v>912</v>
      </c>
      <c r="B124" s="23" t="s">
        <v>913</v>
      </c>
      <c r="C124" s="23" t="s">
        <v>31844</v>
      </c>
      <c r="D124" s="22">
        <v>4</v>
      </c>
      <c r="E124" s="22">
        <v>32</v>
      </c>
      <c r="F124" s="24" t="str">
        <f>HYPERLINK("https://www.boe.es/gazeta/dias/1839/04/30/pdfs/GMD-1839-1627.pdf","Abrir PDF")</f>
        <v>Abrir PDF</v>
      </c>
    </row>
    <row r="125" spans="1:6" ht="19.95" customHeight="1" x14ac:dyDescent="0.25">
      <c r="A125" s="22" t="s">
        <v>2491</v>
      </c>
      <c r="B125" s="23" t="s">
        <v>2492</v>
      </c>
      <c r="C125" s="23" t="s">
        <v>31845</v>
      </c>
      <c r="D125" s="22">
        <v>4</v>
      </c>
      <c r="E125" s="22">
        <v>42</v>
      </c>
      <c r="F125" s="24" t="str">
        <f>HYPERLINK("https://www.boe.es/gazeta/dias/1839/05/01/pdfs/GMD-1839-1628.pdf","Abrir PDF")</f>
        <v>Abrir PDF</v>
      </c>
    </row>
    <row r="126" spans="1:6" ht="19.95" customHeight="1" x14ac:dyDescent="0.25">
      <c r="A126" s="22" t="s">
        <v>587</v>
      </c>
      <c r="B126" s="23" t="s">
        <v>588</v>
      </c>
      <c r="C126" s="23" t="s">
        <v>31846</v>
      </c>
      <c r="D126" s="22">
        <v>4</v>
      </c>
      <c r="E126" s="22">
        <v>31</v>
      </c>
      <c r="F126" s="24" t="str">
        <f>HYPERLINK("https://www.boe.es/gazeta/dias/1839/05/02/pdfs/GMD-1839-1629.pdf","Abrir PDF")</f>
        <v>Abrir PDF</v>
      </c>
    </row>
    <row r="127" spans="1:6" ht="19.95" customHeight="1" x14ac:dyDescent="0.25">
      <c r="A127" s="22" t="s">
        <v>1611</v>
      </c>
      <c r="B127" s="23" t="s">
        <v>1612</v>
      </c>
      <c r="C127" s="23" t="s">
        <v>31847</v>
      </c>
      <c r="D127" s="22">
        <v>4</v>
      </c>
      <c r="E127" s="22">
        <v>17</v>
      </c>
      <c r="F127" s="24" t="str">
        <f>HYPERLINK("https://www.boe.es/gazeta/dias/1839/05/03/pdfs/GMD-1839-1630.pdf","Abrir PDF")</f>
        <v>Abrir PDF</v>
      </c>
    </row>
    <row r="128" spans="1:6" ht="19.95" customHeight="1" x14ac:dyDescent="0.25">
      <c r="A128" s="22" t="s">
        <v>1332</v>
      </c>
      <c r="B128" s="23" t="s">
        <v>1333</v>
      </c>
      <c r="C128" s="23" t="s">
        <v>31848</v>
      </c>
      <c r="D128" s="22">
        <v>4</v>
      </c>
      <c r="E128" s="22">
        <v>26</v>
      </c>
      <c r="F128" s="24" t="str">
        <f>HYPERLINK("https://www.boe.es/gazeta/dias/1839/05/04/pdfs/GMD-1839-1631.pdf","Abrir PDF")</f>
        <v>Abrir PDF</v>
      </c>
    </row>
    <row r="129" spans="1:6" ht="19.95" customHeight="1" x14ac:dyDescent="0.25">
      <c r="A129" s="22" t="s">
        <v>1340</v>
      </c>
      <c r="B129" s="23" t="s">
        <v>1341</v>
      </c>
      <c r="C129" s="23" t="s">
        <v>31849</v>
      </c>
      <c r="D129" s="22">
        <v>4</v>
      </c>
      <c r="E129" s="22">
        <v>28</v>
      </c>
      <c r="F129" s="24" t="str">
        <f>HYPERLINK("https://www.boe.es/gazeta/dias/1839/05/05/pdfs/GMD-1839-1632.pdf","Abrir PDF")</f>
        <v>Abrir PDF</v>
      </c>
    </row>
    <row r="130" spans="1:6" ht="19.95" customHeight="1" x14ac:dyDescent="0.25">
      <c r="A130" s="22" t="s">
        <v>998</v>
      </c>
      <c r="B130" s="23" t="s">
        <v>999</v>
      </c>
      <c r="C130" s="23" t="s">
        <v>31850</v>
      </c>
      <c r="D130" s="22">
        <v>4</v>
      </c>
      <c r="E130" s="22">
        <v>38</v>
      </c>
      <c r="F130" s="24" t="str">
        <f>HYPERLINK("https://www.boe.es/gazeta/dias/1839/05/06/pdfs/GMD-1839-1633.pdf","Abrir PDF")</f>
        <v>Abrir PDF</v>
      </c>
    </row>
    <row r="131" spans="1:6" ht="19.95" customHeight="1" x14ac:dyDescent="0.25">
      <c r="A131" s="22" t="s">
        <v>1772</v>
      </c>
      <c r="B131" s="23" t="s">
        <v>1773</v>
      </c>
      <c r="C131" s="23" t="s">
        <v>31851</v>
      </c>
      <c r="D131" s="22">
        <v>4</v>
      </c>
      <c r="E131" s="22">
        <v>42</v>
      </c>
      <c r="F131" s="24" t="str">
        <f>HYPERLINK("https://www.boe.es/gazeta/dias/1839/05/07/pdfs/GMD-1839-1634.pdf","Abrir PDF")</f>
        <v>Abrir PDF</v>
      </c>
    </row>
    <row r="132" spans="1:6" ht="19.95" customHeight="1" x14ac:dyDescent="0.25">
      <c r="A132" s="22" t="s">
        <v>2881</v>
      </c>
      <c r="B132" s="23" t="s">
        <v>2882</v>
      </c>
      <c r="C132" s="23" t="s">
        <v>31852</v>
      </c>
      <c r="D132" s="22">
        <v>4</v>
      </c>
      <c r="E132" s="22">
        <v>34</v>
      </c>
      <c r="F132" s="24" t="str">
        <f>HYPERLINK("https://www.boe.es/gazeta/dias/1839/05/08/pdfs/GMD-1839-1635.pdf","Abrir PDF")</f>
        <v>Abrir PDF</v>
      </c>
    </row>
    <row r="133" spans="1:6" ht="19.95" customHeight="1" x14ac:dyDescent="0.25">
      <c r="A133" s="22" t="s">
        <v>782</v>
      </c>
      <c r="B133" s="23" t="s">
        <v>783</v>
      </c>
      <c r="C133" s="23" t="s">
        <v>31853</v>
      </c>
      <c r="D133" s="22">
        <v>4</v>
      </c>
      <c r="E133" s="22">
        <v>35</v>
      </c>
      <c r="F133" s="24" t="str">
        <f>HYPERLINK("https://www.boe.es/gazeta/dias/1839/05/09/pdfs/GMD-1839-1636.pdf","Abrir PDF")</f>
        <v>Abrir PDF</v>
      </c>
    </row>
    <row r="134" spans="1:6" ht="19.95" customHeight="1" x14ac:dyDescent="0.25">
      <c r="A134" s="22" t="s">
        <v>1631</v>
      </c>
      <c r="B134" s="23" t="s">
        <v>1632</v>
      </c>
      <c r="C134" s="23" t="s">
        <v>31854</v>
      </c>
      <c r="D134" s="22">
        <v>4</v>
      </c>
      <c r="E134" s="22">
        <v>20</v>
      </c>
      <c r="F134" s="24" t="str">
        <f>HYPERLINK("https://www.boe.es/gazeta/dias/1839/05/10/pdfs/GMD-1839-1637.pdf","Abrir PDF")</f>
        <v>Abrir PDF</v>
      </c>
    </row>
    <row r="135" spans="1:6" ht="19.95" customHeight="1" x14ac:dyDescent="0.25">
      <c r="A135" s="22" t="s">
        <v>320</v>
      </c>
      <c r="B135" s="23" t="s">
        <v>321</v>
      </c>
      <c r="C135" s="23" t="s">
        <v>31855</v>
      </c>
      <c r="D135" s="22">
        <v>4</v>
      </c>
      <c r="E135" s="22">
        <v>35</v>
      </c>
      <c r="F135" s="24" t="str">
        <f>HYPERLINK("https://www.boe.es/gazeta/dias/1839/05/11/pdfs/GMD-1839-1638.pdf","Abrir PDF")</f>
        <v>Abrir PDF</v>
      </c>
    </row>
    <row r="136" spans="1:6" ht="19.95" customHeight="1" x14ac:dyDescent="0.25">
      <c r="A136" s="22" t="s">
        <v>1391</v>
      </c>
      <c r="B136" s="23" t="s">
        <v>1392</v>
      </c>
      <c r="C136" s="23" t="s">
        <v>31856</v>
      </c>
      <c r="D136" s="22">
        <v>4</v>
      </c>
      <c r="E136" s="22">
        <v>37</v>
      </c>
      <c r="F136" s="24" t="str">
        <f>HYPERLINK("https://www.boe.es/gazeta/dias/1839/05/12/pdfs/GMD-1839-1639.pdf","Abrir PDF")</f>
        <v>Abrir PDF</v>
      </c>
    </row>
    <row r="137" spans="1:6" ht="19.95" customHeight="1" x14ac:dyDescent="0.25">
      <c r="A137" s="22" t="s">
        <v>510</v>
      </c>
      <c r="B137" s="23" t="s">
        <v>511</v>
      </c>
      <c r="C137" s="23" t="s">
        <v>31857</v>
      </c>
      <c r="D137" s="22">
        <v>4</v>
      </c>
      <c r="E137" s="22">
        <v>41</v>
      </c>
      <c r="F137" s="24" t="str">
        <f>HYPERLINK("https://www.boe.es/gazeta/dias/1839/05/13/pdfs/GMD-1839-1640.pdf","Abrir PDF")</f>
        <v>Abrir PDF</v>
      </c>
    </row>
    <row r="138" spans="1:6" ht="19.95" customHeight="1" x14ac:dyDescent="0.25">
      <c r="A138" s="22" t="s">
        <v>888</v>
      </c>
      <c r="B138" s="23" t="s">
        <v>889</v>
      </c>
      <c r="C138" s="23" t="s">
        <v>31858</v>
      </c>
      <c r="D138" s="22">
        <v>4</v>
      </c>
      <c r="E138" s="22">
        <v>27</v>
      </c>
      <c r="F138" s="24" t="str">
        <f>HYPERLINK("https://www.boe.es/gazeta/dias/1839/05/14/pdfs/GMD-1839-1641.pdf","Abrir PDF")</f>
        <v>Abrir PDF</v>
      </c>
    </row>
    <row r="139" spans="1:6" ht="19.95" customHeight="1" x14ac:dyDescent="0.25">
      <c r="A139" s="22" t="s">
        <v>3114</v>
      </c>
      <c r="B139" s="23" t="s">
        <v>3115</v>
      </c>
      <c r="C139" s="23" t="s">
        <v>31859</v>
      </c>
      <c r="D139" s="22">
        <v>4</v>
      </c>
      <c r="E139" s="22">
        <v>35</v>
      </c>
      <c r="F139" s="24" t="str">
        <f>HYPERLINK("https://www.boe.es/gazeta/dias/1839/05/15/pdfs/GMD-1839-1642.pdf","Abrir PDF")</f>
        <v>Abrir PDF</v>
      </c>
    </row>
    <row r="140" spans="1:6" ht="19.95" customHeight="1" x14ac:dyDescent="0.25">
      <c r="A140" s="22" t="s">
        <v>2851</v>
      </c>
      <c r="B140" s="23" t="s">
        <v>2852</v>
      </c>
      <c r="C140" s="23" t="s">
        <v>31860</v>
      </c>
      <c r="D140" s="22">
        <v>4</v>
      </c>
      <c r="E140" s="22">
        <v>38</v>
      </c>
      <c r="F140" s="24" t="str">
        <f>HYPERLINK("https://www.boe.es/gazeta/dias/1839/05/16/pdfs/GMD-1839-1643.pdf","Abrir PDF")</f>
        <v>Abrir PDF</v>
      </c>
    </row>
    <row r="141" spans="1:6" ht="19.95" customHeight="1" x14ac:dyDescent="0.25">
      <c r="A141" s="22" t="s">
        <v>398</v>
      </c>
      <c r="B141" s="23" t="s">
        <v>399</v>
      </c>
      <c r="C141" s="23" t="s">
        <v>31861</v>
      </c>
      <c r="D141" s="22">
        <v>4</v>
      </c>
      <c r="E141" s="22">
        <v>26</v>
      </c>
      <c r="F141" s="24" t="str">
        <f>HYPERLINK("https://www.boe.es/gazeta/dias/1839/05/17/pdfs/GMD-1839-1644.pdf","Abrir PDF")</f>
        <v>Abrir PDF</v>
      </c>
    </row>
    <row r="142" spans="1:6" ht="19.95" customHeight="1" x14ac:dyDescent="0.25">
      <c r="A142" s="22" t="s">
        <v>1378</v>
      </c>
      <c r="B142" s="23" t="s">
        <v>1379</v>
      </c>
      <c r="C142" s="23" t="s">
        <v>31862</v>
      </c>
      <c r="D142" s="22">
        <v>4</v>
      </c>
      <c r="E142" s="22">
        <v>26</v>
      </c>
      <c r="F142" s="24" t="str">
        <f>HYPERLINK("https://www.boe.es/gazeta/dias/1839/05/18/pdfs/GMD-1839-1645.pdf","Abrir PDF")</f>
        <v>Abrir PDF</v>
      </c>
    </row>
    <row r="143" spans="1:6" ht="19.95" customHeight="1" x14ac:dyDescent="0.25">
      <c r="A143" s="22" t="s">
        <v>3668</v>
      </c>
      <c r="B143" s="23" t="s">
        <v>3669</v>
      </c>
      <c r="C143" s="23" t="s">
        <v>31863</v>
      </c>
      <c r="D143" s="22">
        <v>4</v>
      </c>
      <c r="E143" s="22">
        <v>27</v>
      </c>
      <c r="F143" s="24" t="str">
        <f>HYPERLINK("https://www.boe.es/gazeta/dias/1839/05/19/pdfs/GMD-1839-1646.pdf","Abrir PDF")</f>
        <v>Abrir PDF</v>
      </c>
    </row>
    <row r="144" spans="1:6" ht="19.95" customHeight="1" x14ac:dyDescent="0.25">
      <c r="A144" s="22" t="s">
        <v>343</v>
      </c>
      <c r="B144" s="23" t="s">
        <v>344</v>
      </c>
      <c r="C144" s="23" t="s">
        <v>31864</v>
      </c>
      <c r="D144" s="22">
        <v>4</v>
      </c>
      <c r="E144" s="22">
        <v>23</v>
      </c>
      <c r="F144" s="24" t="str">
        <f>HYPERLINK("https://www.boe.es/gazeta/dias/1839/05/20/pdfs/GMD-1839-1647.pdf","Abrir PDF")</f>
        <v>Abrir PDF</v>
      </c>
    </row>
    <row r="145" spans="1:6" ht="19.95" customHeight="1" x14ac:dyDescent="0.25">
      <c r="A145" s="22" t="s">
        <v>2392</v>
      </c>
      <c r="B145" s="23" t="s">
        <v>2393</v>
      </c>
      <c r="C145" s="23" t="s">
        <v>31865</v>
      </c>
      <c r="D145" s="22">
        <v>4</v>
      </c>
      <c r="E145" s="22">
        <v>19</v>
      </c>
      <c r="F145" s="24" t="str">
        <f>HYPERLINK("https://www.boe.es/gazeta/dias/1839/05/21/pdfs/GMD-1839-1648.pdf","Abrir PDF")</f>
        <v>Abrir PDF</v>
      </c>
    </row>
    <row r="146" spans="1:6" ht="19.95" customHeight="1" x14ac:dyDescent="0.25">
      <c r="A146" s="22" t="s">
        <v>7119</v>
      </c>
      <c r="B146" s="23" t="s">
        <v>7120</v>
      </c>
      <c r="C146" s="23" t="s">
        <v>31866</v>
      </c>
      <c r="D146" s="22">
        <v>4</v>
      </c>
      <c r="E146" s="22">
        <v>15</v>
      </c>
      <c r="F146" s="24" t="str">
        <f>HYPERLINK("https://www.boe.es/gazeta/dias/1839/05/22/pdfs/GMD-1839-1649.pdf","Abrir PDF")</f>
        <v>Abrir PDF</v>
      </c>
    </row>
    <row r="147" spans="1:6" ht="19.95" customHeight="1" x14ac:dyDescent="0.25">
      <c r="A147" s="22" t="s">
        <v>125</v>
      </c>
      <c r="B147" s="23" t="s">
        <v>126</v>
      </c>
      <c r="C147" s="23" t="s">
        <v>31867</v>
      </c>
      <c r="D147" s="22">
        <v>4</v>
      </c>
      <c r="E147" s="22">
        <v>32</v>
      </c>
      <c r="F147" s="24" t="str">
        <f>HYPERLINK("https://www.boe.es/gazeta/dias/1839/05/23/pdfs/GMD-1839-1650.pdf","Abrir PDF")</f>
        <v>Abrir PDF</v>
      </c>
    </row>
    <row r="148" spans="1:6" ht="19.95" customHeight="1" x14ac:dyDescent="0.25">
      <c r="A148" s="22" t="s">
        <v>1079</v>
      </c>
      <c r="B148" s="23" t="s">
        <v>1080</v>
      </c>
      <c r="C148" s="23" t="s">
        <v>31868</v>
      </c>
      <c r="D148" s="22">
        <v>4</v>
      </c>
      <c r="E148" s="22">
        <v>41</v>
      </c>
      <c r="F148" s="24" t="str">
        <f>HYPERLINK("https://www.boe.es/gazeta/dias/1839/05/24/pdfs/GMD-1839-1651.pdf","Abrir PDF")</f>
        <v>Abrir PDF</v>
      </c>
    </row>
    <row r="149" spans="1:6" ht="19.95" customHeight="1" x14ac:dyDescent="0.25">
      <c r="A149" s="22" t="s">
        <v>128</v>
      </c>
      <c r="B149" s="23" t="s">
        <v>129</v>
      </c>
      <c r="C149" s="23" t="s">
        <v>31869</v>
      </c>
      <c r="D149" s="22">
        <v>4</v>
      </c>
      <c r="E149" s="22">
        <v>23</v>
      </c>
      <c r="F149" s="24" t="str">
        <f>HYPERLINK("https://www.boe.es/gazeta/dias/1839/05/25/pdfs/GMD-1839-1652.pdf","Abrir PDF")</f>
        <v>Abrir PDF</v>
      </c>
    </row>
    <row r="150" spans="1:6" ht="19.95" customHeight="1" x14ac:dyDescent="0.25">
      <c r="A150" s="22" t="s">
        <v>4787</v>
      </c>
      <c r="B150" s="23" t="s">
        <v>4788</v>
      </c>
      <c r="C150" s="23" t="s">
        <v>31870</v>
      </c>
      <c r="D150" s="22">
        <v>4</v>
      </c>
      <c r="E150" s="22">
        <v>25</v>
      </c>
      <c r="F150" s="24" t="str">
        <f>HYPERLINK("https://www.boe.es/gazeta/dias/1839/05/26/pdfs/GMD-1839-1653.pdf","Abrir PDF")</f>
        <v>Abrir PDF</v>
      </c>
    </row>
    <row r="151" spans="1:6" ht="19.95" customHeight="1" x14ac:dyDescent="0.25">
      <c r="A151" s="22" t="s">
        <v>1398</v>
      </c>
      <c r="B151" s="23" t="s">
        <v>1399</v>
      </c>
      <c r="C151" s="23" t="s">
        <v>31871</v>
      </c>
      <c r="D151" s="22">
        <v>4</v>
      </c>
      <c r="E151" s="22">
        <v>13</v>
      </c>
      <c r="F151" s="24" t="str">
        <f>HYPERLINK("https://www.boe.es/gazeta/dias/1839/05/27/pdfs/GMD-1839-1654.pdf","Abrir PDF")</f>
        <v>Abrir PDF</v>
      </c>
    </row>
    <row r="152" spans="1:6" ht="19.95" customHeight="1" x14ac:dyDescent="0.25">
      <c r="A152" s="22" t="s">
        <v>817</v>
      </c>
      <c r="B152" s="23" t="s">
        <v>818</v>
      </c>
      <c r="C152" s="23" t="s">
        <v>31872</v>
      </c>
      <c r="D152" s="22">
        <v>4</v>
      </c>
      <c r="E152" s="22">
        <v>31</v>
      </c>
      <c r="F152" s="24" t="str">
        <f>HYPERLINK("https://www.boe.es/gazeta/dias/1839/05/28/pdfs/GMD-1839-1655.pdf","Abrir PDF")</f>
        <v>Abrir PDF</v>
      </c>
    </row>
    <row r="153" spans="1:6" ht="19.95" customHeight="1" x14ac:dyDescent="0.25">
      <c r="A153" s="22" t="s">
        <v>616</v>
      </c>
      <c r="B153" s="23" t="s">
        <v>617</v>
      </c>
      <c r="C153" s="23" t="s">
        <v>31873</v>
      </c>
      <c r="D153" s="22">
        <v>4</v>
      </c>
      <c r="E153" s="22">
        <v>24</v>
      </c>
      <c r="F153" s="24" t="str">
        <f>HYPERLINK("https://www.boe.es/gazeta/dias/1839/05/29/pdfs/GMD-1839-1656.pdf","Abrir PDF")</f>
        <v>Abrir PDF</v>
      </c>
    </row>
    <row r="154" spans="1:6" ht="19.95" customHeight="1" x14ac:dyDescent="0.25">
      <c r="A154" s="22" t="s">
        <v>1692</v>
      </c>
      <c r="B154" s="23" t="s">
        <v>1693</v>
      </c>
      <c r="C154" s="23" t="s">
        <v>31874</v>
      </c>
      <c r="D154" s="22">
        <v>4</v>
      </c>
      <c r="E154" s="22">
        <v>17</v>
      </c>
      <c r="F154" s="24" t="str">
        <f>HYPERLINK("https://www.boe.es/gazeta/dias/1839/05/30/pdfs/GMD-1839-1657.pdf","Abrir PDF")</f>
        <v>Abrir PDF</v>
      </c>
    </row>
    <row r="155" spans="1:6" ht="19.95" customHeight="1" x14ac:dyDescent="0.25">
      <c r="A155" s="22" t="s">
        <v>355</v>
      </c>
      <c r="B155" s="23" t="s">
        <v>356</v>
      </c>
      <c r="C155" s="23" t="s">
        <v>31875</v>
      </c>
      <c r="D155" s="22">
        <v>4</v>
      </c>
      <c r="E155" s="22">
        <v>41</v>
      </c>
      <c r="F155" s="24" t="str">
        <f>HYPERLINK("https://www.boe.es/gazeta/dias/1839/05/31/pdfs/GMD-1839-1658.pdf","Abrir PDF")</f>
        <v>Abrir PDF</v>
      </c>
    </row>
    <row r="156" spans="1:6" ht="19.95" customHeight="1" x14ac:dyDescent="0.25">
      <c r="A156" s="22" t="s">
        <v>4287</v>
      </c>
      <c r="B156" s="23" t="s">
        <v>4288</v>
      </c>
      <c r="C156" s="23" t="s">
        <v>31876</v>
      </c>
      <c r="D156" s="22">
        <v>4</v>
      </c>
      <c r="E156" s="22">
        <v>17</v>
      </c>
      <c r="F156" s="24" t="str">
        <f>HYPERLINK("https://www.boe.es/gazeta/dias/1839/06/01/pdfs/GMD-1839-1659.pdf","Abrir PDF")</f>
        <v>Abrir PDF</v>
      </c>
    </row>
    <row r="157" spans="1:6" ht="19.95" customHeight="1" x14ac:dyDescent="0.25">
      <c r="A157" s="22" t="s">
        <v>381</v>
      </c>
      <c r="B157" s="23" t="s">
        <v>382</v>
      </c>
      <c r="C157" s="23" t="s">
        <v>31877</v>
      </c>
      <c r="D157" s="22">
        <v>4</v>
      </c>
      <c r="E157" s="22">
        <v>31</v>
      </c>
      <c r="F157" s="24" t="str">
        <f>HYPERLINK("https://www.boe.es/gazeta/dias/1839/06/02/pdfs/GMD-1839-1660.pdf","Abrir PDF")</f>
        <v>Abrir PDF</v>
      </c>
    </row>
    <row r="158" spans="1:6" ht="19.95" customHeight="1" x14ac:dyDescent="0.25">
      <c r="A158" s="22" t="s">
        <v>3224</v>
      </c>
      <c r="B158" s="23" t="s">
        <v>3225</v>
      </c>
      <c r="C158" s="23" t="s">
        <v>31878</v>
      </c>
      <c r="D158" s="22">
        <v>4</v>
      </c>
      <c r="E158" s="22">
        <v>54</v>
      </c>
      <c r="F158" s="24" t="str">
        <f>HYPERLINK("https://www.boe.es/gazeta/dias/1839/06/03/pdfs/GMD-1839-1661.pdf","Abrir PDF")</f>
        <v>Abrir PDF</v>
      </c>
    </row>
    <row r="159" spans="1:6" ht="19.95" customHeight="1" x14ac:dyDescent="0.25">
      <c r="A159" s="22" t="s">
        <v>1388</v>
      </c>
      <c r="B159" s="23" t="s">
        <v>1389</v>
      </c>
      <c r="C159" s="23" t="s">
        <v>31879</v>
      </c>
      <c r="D159" s="22">
        <v>4</v>
      </c>
      <c r="E159" s="22">
        <v>58</v>
      </c>
      <c r="F159" s="24" t="str">
        <f>HYPERLINK("https://www.boe.es/gazeta/dias/1839/06/04/pdfs/GMD-1839-1662.pdf","Abrir PDF")</f>
        <v>Abrir PDF</v>
      </c>
    </row>
    <row r="160" spans="1:6" ht="19.95" customHeight="1" x14ac:dyDescent="0.25">
      <c r="A160" s="22" t="s">
        <v>1356</v>
      </c>
      <c r="B160" s="23" t="s">
        <v>1357</v>
      </c>
      <c r="C160" s="23" t="s">
        <v>31880</v>
      </c>
      <c r="D160" s="22">
        <v>4</v>
      </c>
      <c r="E160" s="22">
        <v>34</v>
      </c>
      <c r="F160" s="24" t="str">
        <f>HYPERLINK("https://www.boe.es/gazeta/dias/1839/06/05/pdfs/GMD-1839-1663.pdf","Abrir PDF")</f>
        <v>Abrir PDF</v>
      </c>
    </row>
    <row r="161" spans="1:6" ht="19.95" customHeight="1" x14ac:dyDescent="0.25">
      <c r="A161" s="22" t="s">
        <v>548</v>
      </c>
      <c r="B161" s="23" t="s">
        <v>549</v>
      </c>
      <c r="C161" s="23" t="s">
        <v>31881</v>
      </c>
      <c r="D161" s="22">
        <v>4</v>
      </c>
      <c r="E161" s="22">
        <v>32</v>
      </c>
      <c r="F161" s="24" t="str">
        <f>HYPERLINK("https://www.boe.es/gazeta/dias/1839/06/06/pdfs/GMD-1839-1664.pdf","Abrir PDF")</f>
        <v>Abrir PDF</v>
      </c>
    </row>
    <row r="162" spans="1:6" ht="19.95" customHeight="1" x14ac:dyDescent="0.25">
      <c r="A162" s="22" t="s">
        <v>503</v>
      </c>
      <c r="B162" s="23" t="s">
        <v>504</v>
      </c>
      <c r="C162" s="23" t="s">
        <v>31882</v>
      </c>
      <c r="D162" s="22">
        <v>4</v>
      </c>
      <c r="E162" s="22">
        <v>39</v>
      </c>
      <c r="F162" s="24" t="str">
        <f>HYPERLINK("https://www.boe.es/gazeta/dias/1839/06/07/pdfs/GMD-1839-1665.pdf","Abrir PDF")</f>
        <v>Abrir PDF</v>
      </c>
    </row>
    <row r="163" spans="1:6" ht="19.95" customHeight="1" x14ac:dyDescent="0.25">
      <c r="A163" s="22" t="s">
        <v>121</v>
      </c>
      <c r="B163" s="23" t="s">
        <v>122</v>
      </c>
      <c r="C163" s="23" t="s">
        <v>31883</v>
      </c>
      <c r="D163" s="22">
        <v>4</v>
      </c>
      <c r="E163" s="22">
        <v>57</v>
      </c>
      <c r="F163" s="24" t="str">
        <f>HYPERLINK("https://www.boe.es/gazeta/dias/1839/06/08/pdfs/GMD-1839-1666.pdf","Abrir PDF")</f>
        <v>Abrir PDF</v>
      </c>
    </row>
    <row r="164" spans="1:6" ht="19.95" customHeight="1" x14ac:dyDescent="0.25">
      <c r="A164" s="22" t="s">
        <v>226</v>
      </c>
      <c r="B164" s="23" t="s">
        <v>227</v>
      </c>
      <c r="C164" s="23" t="s">
        <v>31884</v>
      </c>
      <c r="D164" s="22">
        <v>4</v>
      </c>
      <c r="E164" s="22">
        <v>20</v>
      </c>
      <c r="F164" s="24" t="str">
        <f>HYPERLINK("https://www.boe.es/gazeta/dias/1839/06/09/pdfs/GMD-1839-1667.pdf","Abrir PDF")</f>
        <v>Abrir PDF</v>
      </c>
    </row>
    <row r="165" spans="1:6" ht="19.95" customHeight="1" x14ac:dyDescent="0.25">
      <c r="A165" s="22" t="s">
        <v>3766</v>
      </c>
      <c r="B165" s="23" t="s">
        <v>3767</v>
      </c>
      <c r="C165" s="23" t="s">
        <v>31885</v>
      </c>
      <c r="D165" s="22">
        <v>4</v>
      </c>
      <c r="E165" s="22">
        <v>11</v>
      </c>
      <c r="F165" s="24" t="str">
        <f>HYPERLINK("https://www.boe.es/gazeta/dias/1839/06/10/pdfs/GMD-1839-1668.pdf","Abrir PDF")</f>
        <v>Abrir PDF</v>
      </c>
    </row>
    <row r="166" spans="1:6" ht="19.95" customHeight="1" x14ac:dyDescent="0.25">
      <c r="A166" s="22" t="s">
        <v>333</v>
      </c>
      <c r="B166" s="23" t="s">
        <v>334</v>
      </c>
      <c r="C166" s="23" t="s">
        <v>31886</v>
      </c>
      <c r="D166" s="22">
        <v>4</v>
      </c>
      <c r="E166" s="22">
        <v>20</v>
      </c>
      <c r="F166" s="24" t="str">
        <f>HYPERLINK("https://www.boe.es/gazeta/dias/1839/06/11/pdfs/GMD-1839-1669.pdf","Abrir PDF")</f>
        <v>Abrir PDF</v>
      </c>
    </row>
    <row r="167" spans="1:6" ht="19.95" customHeight="1" x14ac:dyDescent="0.25">
      <c r="A167" s="22" t="s">
        <v>1414</v>
      </c>
      <c r="B167" s="23" t="s">
        <v>1415</v>
      </c>
      <c r="C167" s="23" t="s">
        <v>31887</v>
      </c>
      <c r="D167" s="22">
        <v>4</v>
      </c>
      <c r="E167" s="22">
        <v>40</v>
      </c>
      <c r="F167" s="24" t="str">
        <f>HYPERLINK("https://www.boe.es/gazeta/dias/1839/06/12/pdfs/GMD-1839-1670.pdf","Abrir PDF")</f>
        <v>Abrir PDF</v>
      </c>
    </row>
    <row r="168" spans="1:6" ht="19.95" customHeight="1" x14ac:dyDescent="0.25">
      <c r="A168" s="22" t="s">
        <v>2270</v>
      </c>
      <c r="B168" s="23" t="s">
        <v>2271</v>
      </c>
      <c r="C168" s="23" t="s">
        <v>31888</v>
      </c>
      <c r="D168" s="22">
        <v>4</v>
      </c>
      <c r="E168" s="22">
        <v>30</v>
      </c>
      <c r="F168" s="24" t="str">
        <f>HYPERLINK("https://www.boe.es/gazeta/dias/1839/06/13/pdfs/GMD-1839-1671.pdf","Abrir PDF")</f>
        <v>Abrir PDF</v>
      </c>
    </row>
    <row r="169" spans="1:6" ht="19.95" customHeight="1" x14ac:dyDescent="0.25">
      <c r="A169" s="22" t="s">
        <v>2374</v>
      </c>
      <c r="B169" s="23" t="s">
        <v>2375</v>
      </c>
      <c r="C169" s="23" t="s">
        <v>31889</v>
      </c>
      <c r="D169" s="22">
        <v>4</v>
      </c>
      <c r="E169" s="22">
        <v>37</v>
      </c>
      <c r="F169" s="24" t="str">
        <f>HYPERLINK("https://www.boe.es/gazeta/dias/1839/06/14/pdfs/GMD-1839-1672.pdf","Abrir PDF")</f>
        <v>Abrir PDF</v>
      </c>
    </row>
    <row r="170" spans="1:6" ht="19.95" customHeight="1" x14ac:dyDescent="0.25">
      <c r="A170" s="22" t="s">
        <v>1252</v>
      </c>
      <c r="B170" s="23" t="s">
        <v>1253</v>
      </c>
      <c r="C170" s="23" t="s">
        <v>31890</v>
      </c>
      <c r="D170" s="22">
        <v>4</v>
      </c>
      <c r="E170" s="22">
        <v>47</v>
      </c>
      <c r="F170" s="24" t="str">
        <f>HYPERLINK("https://www.boe.es/gazeta/dias/1839/06/15/pdfs/GMD-1839-1673.pdf","Abrir PDF")</f>
        <v>Abrir PDF</v>
      </c>
    </row>
    <row r="171" spans="1:6" ht="19.95" customHeight="1" x14ac:dyDescent="0.25">
      <c r="A171" s="22" t="s">
        <v>2995</v>
      </c>
      <c r="B171" s="23" t="s">
        <v>2996</v>
      </c>
      <c r="C171" s="23" t="s">
        <v>31891</v>
      </c>
      <c r="D171" s="22">
        <v>4</v>
      </c>
      <c r="E171" s="22">
        <v>27</v>
      </c>
      <c r="F171" s="24" t="str">
        <f>HYPERLINK("https://www.boe.es/gazeta/dias/1839/06/16/pdfs/GMD-1839-1674.pdf","Abrir PDF")</f>
        <v>Abrir PDF</v>
      </c>
    </row>
    <row r="172" spans="1:6" ht="19.95" customHeight="1" x14ac:dyDescent="0.25">
      <c r="A172" s="22" t="s">
        <v>1565</v>
      </c>
      <c r="B172" s="23" t="s">
        <v>1566</v>
      </c>
      <c r="C172" s="23" t="s">
        <v>31892</v>
      </c>
      <c r="D172" s="22">
        <v>4</v>
      </c>
      <c r="E172" s="22">
        <v>25</v>
      </c>
      <c r="F172" s="24" t="str">
        <f>HYPERLINK("https://www.boe.es/gazeta/dias/1839/06/17/pdfs/GMD-1839-1675.pdf","Abrir PDF")</f>
        <v>Abrir PDF</v>
      </c>
    </row>
    <row r="173" spans="1:6" ht="19.95" customHeight="1" x14ac:dyDescent="0.25">
      <c r="A173" s="22" t="s">
        <v>685</v>
      </c>
      <c r="B173" s="23" t="s">
        <v>686</v>
      </c>
      <c r="C173" s="23" t="s">
        <v>31893</v>
      </c>
      <c r="D173" s="22">
        <v>4</v>
      </c>
      <c r="E173" s="22">
        <v>41</v>
      </c>
      <c r="F173" s="24" t="str">
        <f>HYPERLINK("https://www.boe.es/gazeta/dias/1839/06/18/pdfs/GMD-1839-1676.pdf","Abrir PDF")</f>
        <v>Abrir PDF</v>
      </c>
    </row>
    <row r="174" spans="1:6" ht="19.95" customHeight="1" x14ac:dyDescent="0.25">
      <c r="A174" s="22" t="s">
        <v>462</v>
      </c>
      <c r="B174" s="23" t="s">
        <v>463</v>
      </c>
      <c r="C174" s="23" t="s">
        <v>31894</v>
      </c>
      <c r="D174" s="22">
        <v>4</v>
      </c>
      <c r="E174" s="22">
        <v>98</v>
      </c>
      <c r="F174" s="24" t="str">
        <f>HYPERLINK("https://www.boe.es/gazeta/dias/1839/06/19/pdfs/GMD-1839-1677.pdf","Abrir PDF")</f>
        <v>Abrir PDF</v>
      </c>
    </row>
    <row r="175" spans="1:6" ht="19.95" customHeight="1" x14ac:dyDescent="0.25">
      <c r="A175" s="22" t="s">
        <v>2378</v>
      </c>
      <c r="B175" s="23" t="s">
        <v>2379</v>
      </c>
      <c r="C175" s="23" t="s">
        <v>31895</v>
      </c>
      <c r="D175" s="22">
        <v>4</v>
      </c>
      <c r="E175" s="22">
        <v>18</v>
      </c>
      <c r="F175" s="24" t="str">
        <f>HYPERLINK("https://www.boe.es/gazeta/dias/1839/06/20/pdfs/GMD-1839-1678.pdf","Abrir PDF")</f>
        <v>Abrir PDF</v>
      </c>
    </row>
    <row r="176" spans="1:6" ht="19.95" customHeight="1" x14ac:dyDescent="0.25">
      <c r="A176" s="22" t="s">
        <v>516</v>
      </c>
      <c r="B176" s="23" t="s">
        <v>517</v>
      </c>
      <c r="C176" s="23" t="s">
        <v>31896</v>
      </c>
      <c r="D176" s="22">
        <v>4</v>
      </c>
      <c r="E176" s="22">
        <v>45</v>
      </c>
      <c r="F176" s="24" t="str">
        <f>HYPERLINK("https://www.boe.es/gazeta/dias/1839/06/21/pdfs/GMD-1839-1679.pdf","Abrir PDF")</f>
        <v>Abrir PDF</v>
      </c>
    </row>
    <row r="177" spans="1:6" ht="19.95" customHeight="1" x14ac:dyDescent="0.25">
      <c r="A177" s="22" t="s">
        <v>222</v>
      </c>
      <c r="B177" s="23" t="s">
        <v>223</v>
      </c>
      <c r="C177" s="23" t="s">
        <v>31897</v>
      </c>
      <c r="D177" s="22">
        <v>4</v>
      </c>
      <c r="E177" s="22">
        <v>76</v>
      </c>
      <c r="F177" s="24" t="str">
        <f>HYPERLINK("https://www.boe.es/gazeta/dias/1839/06/22/pdfs/GMD-1839-1680.pdf","Abrir PDF")</f>
        <v>Abrir PDF</v>
      </c>
    </row>
    <row r="178" spans="1:6" ht="19.95" customHeight="1" x14ac:dyDescent="0.25">
      <c r="A178" s="22" t="s">
        <v>2117</v>
      </c>
      <c r="B178" s="23" t="s">
        <v>2118</v>
      </c>
      <c r="C178" s="23" t="s">
        <v>31898</v>
      </c>
      <c r="D178" s="22">
        <v>4</v>
      </c>
      <c r="E178" s="22">
        <v>30</v>
      </c>
      <c r="F178" s="24" t="str">
        <f>HYPERLINK("https://www.boe.es/gazeta/dias/1839/06/23/pdfs/GMD-1839-1681.pdf","Abrir PDF")</f>
        <v>Abrir PDF</v>
      </c>
    </row>
    <row r="179" spans="1:6" ht="19.95" customHeight="1" x14ac:dyDescent="0.25">
      <c r="A179" s="22" t="s">
        <v>479</v>
      </c>
      <c r="B179" s="23" t="s">
        <v>480</v>
      </c>
      <c r="C179" s="23" t="s">
        <v>31899</v>
      </c>
      <c r="D179" s="22">
        <v>4</v>
      </c>
      <c r="E179" s="22">
        <v>47</v>
      </c>
      <c r="F179" s="24" t="str">
        <f>HYPERLINK("https://www.boe.es/gazeta/dias/1839/06/24/pdfs/GMD-1839-1682.pdf","Abrir PDF")</f>
        <v>Abrir PDF</v>
      </c>
    </row>
    <row r="180" spans="1:6" ht="19.95" customHeight="1" x14ac:dyDescent="0.25">
      <c r="A180" s="22" t="s">
        <v>1149</v>
      </c>
      <c r="B180" s="23" t="s">
        <v>1150</v>
      </c>
      <c r="C180" s="23" t="s">
        <v>31900</v>
      </c>
      <c r="D180" s="22">
        <v>4</v>
      </c>
      <c r="E180" s="22">
        <v>18</v>
      </c>
      <c r="F180" s="24" t="str">
        <f>HYPERLINK("https://www.boe.es/gazeta/dias/1839/06/25/pdfs/GMD-1839-1683.pdf","Abrir PDF")</f>
        <v>Abrir PDF</v>
      </c>
    </row>
    <row r="181" spans="1:6" ht="19.95" customHeight="1" x14ac:dyDescent="0.25">
      <c r="A181" s="22" t="s">
        <v>1395</v>
      </c>
      <c r="B181" s="23" t="s">
        <v>1396</v>
      </c>
      <c r="C181" s="23" t="s">
        <v>31901</v>
      </c>
      <c r="D181" s="22">
        <v>4</v>
      </c>
      <c r="E181" s="22">
        <v>35</v>
      </c>
      <c r="F181" s="24" t="str">
        <f>HYPERLINK("https://www.boe.es/gazeta/dias/1839/06/26/pdfs/GMD-1839-1684.pdf","Abrir PDF")</f>
        <v>Abrir PDF</v>
      </c>
    </row>
    <row r="182" spans="1:6" ht="19.95" customHeight="1" x14ac:dyDescent="0.25">
      <c r="A182" s="22" t="s">
        <v>2658</v>
      </c>
      <c r="B182" s="23" t="s">
        <v>2659</v>
      </c>
      <c r="C182" s="23" t="s">
        <v>31902</v>
      </c>
      <c r="D182" s="22">
        <v>4</v>
      </c>
      <c r="E182" s="22">
        <v>44</v>
      </c>
      <c r="F182" s="24" t="str">
        <f>HYPERLINK("https://www.boe.es/gazeta/dias/1839/06/27/pdfs/GMD-1839-1685.pdf","Abrir PDF")</f>
        <v>Abrir PDF</v>
      </c>
    </row>
    <row r="183" spans="1:6" ht="19.95" customHeight="1" x14ac:dyDescent="0.25">
      <c r="A183" s="22" t="s">
        <v>1749</v>
      </c>
      <c r="B183" s="23" t="s">
        <v>1750</v>
      </c>
      <c r="C183" s="23" t="s">
        <v>31903</v>
      </c>
      <c r="D183" s="22">
        <v>4</v>
      </c>
      <c r="E183" s="22">
        <v>43</v>
      </c>
      <c r="F183" s="24" t="str">
        <f>HYPERLINK("https://www.boe.es/gazeta/dias/1839/06/28/pdfs/GMD-1839-1686.pdf","Abrir PDF")</f>
        <v>Abrir PDF</v>
      </c>
    </row>
    <row r="184" spans="1:6" ht="19.95" customHeight="1" x14ac:dyDescent="0.25">
      <c r="A184" s="22" t="s">
        <v>489</v>
      </c>
      <c r="B184" s="23" t="s">
        <v>490</v>
      </c>
      <c r="C184" s="23" t="s">
        <v>31904</v>
      </c>
      <c r="D184" s="22">
        <v>4</v>
      </c>
      <c r="E184" s="22">
        <v>39</v>
      </c>
      <c r="F184" s="24" t="str">
        <f>HYPERLINK("https://www.boe.es/gazeta/dias/1839/06/29/pdfs/GMD-1839-1687.pdf","Abrir PDF")</f>
        <v>Abrir PDF</v>
      </c>
    </row>
    <row r="185" spans="1:6" ht="19.95" customHeight="1" x14ac:dyDescent="0.25">
      <c r="A185" s="22" t="s">
        <v>1551</v>
      </c>
      <c r="B185" s="23" t="s">
        <v>1552</v>
      </c>
      <c r="C185" s="23" t="s">
        <v>31905</v>
      </c>
      <c r="D185" s="22">
        <v>4</v>
      </c>
      <c r="E185" s="22">
        <v>39</v>
      </c>
      <c r="F185" s="24" t="str">
        <f>HYPERLINK("https://www.boe.es/gazeta/dias/1839/06/30/pdfs/GMD-1839-1688.pdf","Abrir PDF")</f>
        <v>Abrir PDF</v>
      </c>
    </row>
    <row r="186" spans="1:6" ht="19.95" customHeight="1" x14ac:dyDescent="0.25">
      <c r="A186" s="22" t="s">
        <v>2829</v>
      </c>
      <c r="B186" s="23" t="s">
        <v>2830</v>
      </c>
      <c r="C186" s="23" t="s">
        <v>31906</v>
      </c>
      <c r="D186" s="22">
        <v>4</v>
      </c>
      <c r="E186" s="22">
        <v>26</v>
      </c>
      <c r="F186" s="24" t="str">
        <f>HYPERLINK("https://www.boe.es/gazeta/dias/1839/07/01/pdfs/GMD-1839-1689.pdf","Abrir PDF")</f>
        <v>Abrir PDF</v>
      </c>
    </row>
    <row r="187" spans="1:6" ht="19.95" customHeight="1" x14ac:dyDescent="0.25">
      <c r="A187" s="22" t="s">
        <v>1606</v>
      </c>
      <c r="B187" s="23" t="s">
        <v>1607</v>
      </c>
      <c r="C187" s="23" t="s">
        <v>31907</v>
      </c>
      <c r="D187" s="22">
        <v>4</v>
      </c>
      <c r="E187" s="22">
        <v>27</v>
      </c>
      <c r="F187" s="24" t="str">
        <f>HYPERLINK("https://www.boe.es/gazeta/dias/1839/07/02/pdfs/GMD-1839-1690.pdf","Abrir PDF")</f>
        <v>Abrir PDF</v>
      </c>
    </row>
    <row r="188" spans="1:6" ht="19.95" customHeight="1" x14ac:dyDescent="0.25">
      <c r="A188" s="22" t="s">
        <v>1614</v>
      </c>
      <c r="B188" s="23" t="s">
        <v>1615</v>
      </c>
      <c r="C188" s="23" t="s">
        <v>31908</v>
      </c>
      <c r="D188" s="22">
        <v>4</v>
      </c>
      <c r="E188" s="22">
        <v>32</v>
      </c>
      <c r="F188" s="24" t="str">
        <f>HYPERLINK("https://www.boe.es/gazeta/dias/1839/07/03/pdfs/GMD-1839-1691.pdf","Abrir PDF")</f>
        <v>Abrir PDF</v>
      </c>
    </row>
    <row r="189" spans="1:6" ht="19.95" customHeight="1" x14ac:dyDescent="0.25">
      <c r="A189" s="22" t="s">
        <v>4475</v>
      </c>
      <c r="B189" s="23" t="s">
        <v>4476</v>
      </c>
      <c r="C189" s="23" t="s">
        <v>31909</v>
      </c>
      <c r="D189" s="22">
        <v>4</v>
      </c>
      <c r="E189" s="22">
        <v>20</v>
      </c>
      <c r="F189" s="24" t="str">
        <f>HYPERLINK("https://www.boe.es/gazeta/dias/1839/07/04/pdfs/GMD-1839-1692.pdf","Abrir PDF")</f>
        <v>Abrir PDF</v>
      </c>
    </row>
    <row r="190" spans="1:6" ht="19.95" customHeight="1" x14ac:dyDescent="0.25">
      <c r="A190" s="22" t="s">
        <v>409</v>
      </c>
      <c r="B190" s="23" t="s">
        <v>410</v>
      </c>
      <c r="C190" s="23" t="s">
        <v>31910</v>
      </c>
      <c r="D190" s="22">
        <v>4</v>
      </c>
      <c r="E190" s="22">
        <v>34</v>
      </c>
      <c r="F190" s="24" t="str">
        <f>HYPERLINK("https://www.boe.es/gazeta/dias/1839/07/05/pdfs/GMD-1839-1693.pdf","Abrir PDF")</f>
        <v>Abrir PDF</v>
      </c>
    </row>
    <row r="191" spans="1:6" ht="19.95" customHeight="1" x14ac:dyDescent="0.25">
      <c r="A191" s="22" t="s">
        <v>3566</v>
      </c>
      <c r="B191" s="23" t="s">
        <v>3567</v>
      </c>
      <c r="C191" s="23" t="s">
        <v>31911</v>
      </c>
      <c r="D191" s="22">
        <v>4</v>
      </c>
      <c r="E191" s="22">
        <v>22</v>
      </c>
      <c r="F191" s="24" t="str">
        <f>HYPERLINK("https://www.boe.es/gazeta/dias/1839/07/06/pdfs/GMD-1839-1694.pdf","Abrir PDF")</f>
        <v>Abrir PDF</v>
      </c>
    </row>
    <row r="192" spans="1:6" ht="19.95" customHeight="1" x14ac:dyDescent="0.25">
      <c r="A192" s="22" t="s">
        <v>2482</v>
      </c>
      <c r="B192" s="23" t="s">
        <v>2483</v>
      </c>
      <c r="C192" s="23" t="s">
        <v>31912</v>
      </c>
      <c r="D192" s="22">
        <v>4</v>
      </c>
      <c r="E192" s="22">
        <v>24</v>
      </c>
      <c r="F192" s="24" t="str">
        <f>HYPERLINK("https://www.boe.es/gazeta/dias/1839/07/07/pdfs/GMD-1839-1695.pdf","Abrir PDF")</f>
        <v>Abrir PDF</v>
      </c>
    </row>
    <row r="193" spans="1:6" ht="19.95" customHeight="1" x14ac:dyDescent="0.25">
      <c r="A193" s="22" t="s">
        <v>4485</v>
      </c>
      <c r="B193" s="23" t="s">
        <v>4486</v>
      </c>
      <c r="C193" s="23" t="s">
        <v>31913</v>
      </c>
      <c r="D193" s="22">
        <v>4</v>
      </c>
      <c r="E193" s="22">
        <v>11</v>
      </c>
      <c r="F193" s="24" t="str">
        <f>HYPERLINK("https://www.boe.es/gazeta/dias/1839/07/08/pdfs/GMD-1839-1696.pdf","Abrir PDF")</f>
        <v>Abrir PDF</v>
      </c>
    </row>
    <row r="194" spans="1:6" ht="19.95" customHeight="1" x14ac:dyDescent="0.25">
      <c r="A194" s="22" t="s">
        <v>1001</v>
      </c>
      <c r="B194" s="23" t="s">
        <v>1002</v>
      </c>
      <c r="C194" s="23" t="s">
        <v>31914</v>
      </c>
      <c r="D194" s="22">
        <v>4</v>
      </c>
      <c r="E194" s="22">
        <v>12</v>
      </c>
      <c r="F194" s="24" t="str">
        <f>HYPERLINK("https://www.boe.es/gazeta/dias/1839/07/09/pdfs/GMD-1839-1697.pdf","Abrir PDF")</f>
        <v>Abrir PDF</v>
      </c>
    </row>
    <row r="195" spans="1:6" ht="19.95" customHeight="1" x14ac:dyDescent="0.25">
      <c r="A195" s="22" t="s">
        <v>527</v>
      </c>
      <c r="B195" s="23" t="s">
        <v>528</v>
      </c>
      <c r="C195" s="23" t="s">
        <v>31915</v>
      </c>
      <c r="D195" s="22">
        <v>4</v>
      </c>
      <c r="E195" s="22">
        <v>19</v>
      </c>
      <c r="F195" s="24" t="str">
        <f>HYPERLINK("https://www.boe.es/gazeta/dias/1839/07/10/pdfs/GMD-1839-1698.pdf","Abrir PDF")</f>
        <v>Abrir PDF</v>
      </c>
    </row>
    <row r="196" spans="1:6" ht="19.95" customHeight="1" x14ac:dyDescent="0.25">
      <c r="A196" s="22" t="s">
        <v>2205</v>
      </c>
      <c r="B196" s="23" t="s">
        <v>2206</v>
      </c>
      <c r="C196" s="23" t="s">
        <v>31916</v>
      </c>
      <c r="D196" s="22">
        <v>4</v>
      </c>
      <c r="E196" s="22">
        <v>22</v>
      </c>
      <c r="F196" s="24" t="str">
        <f>HYPERLINK("https://www.boe.es/gazeta/dias/1839/07/11/pdfs/GMD-1839-1699.pdf","Abrir PDF")</f>
        <v>Abrir PDF</v>
      </c>
    </row>
    <row r="197" spans="1:6" ht="19.95" customHeight="1" x14ac:dyDescent="0.25">
      <c r="A197" s="22" t="s">
        <v>168</v>
      </c>
      <c r="B197" s="23" t="s">
        <v>169</v>
      </c>
      <c r="C197" s="23" t="s">
        <v>31917</v>
      </c>
      <c r="D197" s="22">
        <v>4</v>
      </c>
      <c r="E197" s="22">
        <v>61</v>
      </c>
      <c r="F197" s="24" t="str">
        <f>HYPERLINK("https://www.boe.es/gazeta/dias/1839/07/12/pdfs/GMD-1839-1700.pdf","Abrir PDF")</f>
        <v>Abrir PDF</v>
      </c>
    </row>
    <row r="198" spans="1:6" ht="19.95" customHeight="1" x14ac:dyDescent="0.25">
      <c r="A198" s="22" t="s">
        <v>785</v>
      </c>
      <c r="B198" s="23" t="s">
        <v>786</v>
      </c>
      <c r="C198" s="23" t="s">
        <v>31918</v>
      </c>
      <c r="D198" s="22">
        <v>4</v>
      </c>
      <c r="E198" s="22">
        <v>50</v>
      </c>
      <c r="F198" s="24" t="str">
        <f>HYPERLINK("https://www.boe.es/gazeta/dias/1839/07/13/pdfs/GMD-1839-1701.pdf","Abrir PDF")</f>
        <v>Abrir PDF</v>
      </c>
    </row>
    <row r="199" spans="1:6" ht="19.95" customHeight="1" x14ac:dyDescent="0.25">
      <c r="A199" s="22" t="s">
        <v>336</v>
      </c>
      <c r="B199" s="23" t="s">
        <v>337</v>
      </c>
      <c r="C199" s="23" t="s">
        <v>31919</v>
      </c>
      <c r="D199" s="22">
        <v>4</v>
      </c>
      <c r="E199" s="22">
        <v>36</v>
      </c>
      <c r="F199" s="24" t="str">
        <f>HYPERLINK("https://www.boe.es/gazeta/dias/1839/07/14/pdfs/GMD-1839-1702.pdf","Abrir PDF")</f>
        <v>Abrir PDF</v>
      </c>
    </row>
    <row r="200" spans="1:6" ht="19.95" customHeight="1" x14ac:dyDescent="0.25">
      <c r="A200" s="22" t="s">
        <v>1019</v>
      </c>
      <c r="B200" s="23" t="s">
        <v>1020</v>
      </c>
      <c r="C200" s="23" t="s">
        <v>31920</v>
      </c>
      <c r="D200" s="22">
        <v>4</v>
      </c>
      <c r="E200" s="22">
        <v>54</v>
      </c>
      <c r="F200" s="24" t="str">
        <f>HYPERLINK("https://www.boe.es/gazeta/dias/1839/07/15/pdfs/GMD-1839-1703.pdf","Abrir PDF")</f>
        <v>Abrir PDF</v>
      </c>
    </row>
    <row r="201" spans="1:6" ht="19.95" customHeight="1" x14ac:dyDescent="0.25">
      <c r="A201" s="22" t="s">
        <v>148</v>
      </c>
      <c r="B201" s="23" t="s">
        <v>149</v>
      </c>
      <c r="C201" s="23" t="s">
        <v>31921</v>
      </c>
      <c r="D201" s="22">
        <v>4</v>
      </c>
      <c r="E201" s="22">
        <v>23</v>
      </c>
      <c r="F201" s="24" t="str">
        <f>HYPERLINK("https://www.boe.es/gazeta/dias/1839/07/16/pdfs/GMD-1839-1704.pdf","Abrir PDF")</f>
        <v>Abrir PDF</v>
      </c>
    </row>
    <row r="202" spans="1:6" ht="19.95" customHeight="1" x14ac:dyDescent="0.25">
      <c r="A202" s="22" t="s">
        <v>438</v>
      </c>
      <c r="B202" s="23" t="s">
        <v>439</v>
      </c>
      <c r="C202" s="23" t="s">
        <v>31922</v>
      </c>
      <c r="D202" s="22">
        <v>4</v>
      </c>
      <c r="E202" s="22">
        <v>38</v>
      </c>
      <c r="F202" s="24" t="str">
        <f>HYPERLINK("https://www.boe.es/gazeta/dias/1839/07/17/pdfs/GMD-1839-1705.pdf","Abrir PDF")</f>
        <v>Abrir PDF</v>
      </c>
    </row>
    <row r="203" spans="1:6" ht="19.95" customHeight="1" x14ac:dyDescent="0.25">
      <c r="A203" s="22" t="s">
        <v>1406</v>
      </c>
      <c r="B203" s="23" t="s">
        <v>1407</v>
      </c>
      <c r="C203" s="23" t="s">
        <v>31923</v>
      </c>
      <c r="D203" s="22">
        <v>4</v>
      </c>
      <c r="E203" s="22">
        <v>28</v>
      </c>
      <c r="F203" s="24" t="str">
        <f>HYPERLINK("https://www.boe.es/gazeta/dias/1839/07/18/pdfs/GMD-1839-1706.pdf","Abrir PDF")</f>
        <v>Abrir PDF</v>
      </c>
    </row>
    <row r="204" spans="1:6" ht="19.95" customHeight="1" x14ac:dyDescent="0.25">
      <c r="A204" s="22" t="s">
        <v>555</v>
      </c>
      <c r="B204" s="23" t="s">
        <v>556</v>
      </c>
      <c r="C204" s="23" t="s">
        <v>31924</v>
      </c>
      <c r="D204" s="22">
        <v>4</v>
      </c>
      <c r="E204" s="22">
        <v>27</v>
      </c>
      <c r="F204" s="24" t="str">
        <f>HYPERLINK("https://www.boe.es/gazeta/dias/1839/07/19/pdfs/GMD-1839-1707.pdf","Abrir PDF")</f>
        <v>Abrir PDF</v>
      </c>
    </row>
    <row r="205" spans="1:6" ht="19.95" customHeight="1" x14ac:dyDescent="0.25">
      <c r="A205" s="22" t="s">
        <v>1374</v>
      </c>
      <c r="B205" s="23" t="s">
        <v>1375</v>
      </c>
      <c r="C205" s="23" t="s">
        <v>31925</v>
      </c>
      <c r="D205" s="22">
        <v>4</v>
      </c>
      <c r="E205" s="22">
        <v>76</v>
      </c>
      <c r="F205" s="24" t="str">
        <f>HYPERLINK("https://www.boe.es/gazeta/dias/1839/07/20/pdfs/GMD-1839-1708.pdf","Abrir PDF")</f>
        <v>Abrir PDF</v>
      </c>
    </row>
    <row r="206" spans="1:6" ht="19.95" customHeight="1" x14ac:dyDescent="0.25">
      <c r="A206" s="22" t="s">
        <v>2215</v>
      </c>
      <c r="B206" s="23" t="s">
        <v>2216</v>
      </c>
      <c r="C206" s="23" t="s">
        <v>31926</v>
      </c>
      <c r="D206" s="22">
        <v>4</v>
      </c>
      <c r="E206" s="22">
        <v>20</v>
      </c>
      <c r="F206" s="24" t="str">
        <f>HYPERLINK("https://www.boe.es/gazeta/dias/1839/07/21/pdfs/GMD-1839-1709.pdf","Abrir PDF")</f>
        <v>Abrir PDF</v>
      </c>
    </row>
    <row r="207" spans="1:6" ht="19.95" customHeight="1" x14ac:dyDescent="0.25">
      <c r="A207" s="22" t="s">
        <v>611</v>
      </c>
      <c r="B207" s="23" t="s">
        <v>612</v>
      </c>
      <c r="C207" s="23" t="s">
        <v>31927</v>
      </c>
      <c r="D207" s="22">
        <v>4</v>
      </c>
      <c r="E207" s="22">
        <v>22</v>
      </c>
      <c r="F207" s="24" t="str">
        <f>HYPERLINK("https://www.boe.es/gazeta/dias/1839/07/22/pdfs/GMD-1839-1710.pdf","Abrir PDF")</f>
        <v>Abrir PDF</v>
      </c>
    </row>
    <row r="208" spans="1:6" ht="19.95" customHeight="1" x14ac:dyDescent="0.25">
      <c r="A208" s="22" t="s">
        <v>2432</v>
      </c>
      <c r="B208" s="23" t="s">
        <v>2581</v>
      </c>
      <c r="C208" s="23" t="s">
        <v>31928</v>
      </c>
      <c r="D208" s="22">
        <v>4</v>
      </c>
      <c r="E208" s="22">
        <v>27</v>
      </c>
      <c r="F208" s="24" t="str">
        <f>HYPERLINK("https://www.boe.es/gazeta/dias/1839/07/23/pdfs/GMD-1839-1711.pdf","Abrir PDF")</f>
        <v>Abrir PDF</v>
      </c>
    </row>
    <row r="209" spans="1:6" ht="19.95" customHeight="1" x14ac:dyDescent="0.25">
      <c r="A209" s="22" t="s">
        <v>2432</v>
      </c>
      <c r="B209" s="23" t="s">
        <v>2433</v>
      </c>
      <c r="C209" s="23" t="s">
        <v>31929</v>
      </c>
      <c r="D209" s="22">
        <v>1</v>
      </c>
      <c r="E209" s="22">
        <v>5</v>
      </c>
      <c r="F209" s="24" t="str">
        <f>HYPERLINK("https://www.boe.es/datos/pdfs/BOE//1839/1712/E00001-00001.pdf","Abrir PDF")</f>
        <v>Abrir PDF</v>
      </c>
    </row>
    <row r="210" spans="1:6" ht="19.95" customHeight="1" x14ac:dyDescent="0.25">
      <c r="A210" s="22" t="s">
        <v>2435</v>
      </c>
      <c r="B210" s="23" t="s">
        <v>2436</v>
      </c>
      <c r="C210" s="23" t="s">
        <v>31930</v>
      </c>
      <c r="D210" s="22">
        <v>4</v>
      </c>
      <c r="E210" s="22">
        <v>19</v>
      </c>
      <c r="F210" s="24" t="str">
        <f>HYPERLINK("https://www.boe.es/gazeta/dias/1839/07/24/pdfs/GMD-1839-1713.pdf","Abrir PDF")</f>
        <v>Abrir PDF</v>
      </c>
    </row>
    <row r="211" spans="1:6" ht="19.95" customHeight="1" x14ac:dyDescent="0.25">
      <c r="A211" s="22" t="s">
        <v>111</v>
      </c>
      <c r="B211" s="23" t="s">
        <v>112</v>
      </c>
      <c r="C211" s="23" t="s">
        <v>31931</v>
      </c>
      <c r="D211" s="22">
        <v>4</v>
      </c>
      <c r="E211" s="22">
        <v>44</v>
      </c>
      <c r="F211" s="24" t="str">
        <f>HYPERLINK("https://www.boe.es/gazeta/dias/1839/07/25/pdfs/GMD-1839-1714.pdf","Abrir PDF")</f>
        <v>Abrir PDF</v>
      </c>
    </row>
    <row r="212" spans="1:6" ht="19.95" customHeight="1" x14ac:dyDescent="0.25">
      <c r="A212" s="22" t="s">
        <v>1183</v>
      </c>
      <c r="B212" s="23" t="s">
        <v>1184</v>
      </c>
      <c r="C212" s="23" t="s">
        <v>31932</v>
      </c>
      <c r="D212" s="22">
        <v>4</v>
      </c>
      <c r="E212" s="22">
        <v>38</v>
      </c>
      <c r="F212" s="24" t="str">
        <f>HYPERLINK("https://www.boe.es/gazeta/dias/1839/07/26/pdfs/GMD-1839-1715.pdf","Abrir PDF")</f>
        <v>Abrir PDF</v>
      </c>
    </row>
    <row r="213" spans="1:6" ht="19.95" customHeight="1" x14ac:dyDescent="0.25">
      <c r="A213" s="22" t="s">
        <v>1588</v>
      </c>
      <c r="B213" s="23" t="s">
        <v>1589</v>
      </c>
      <c r="C213" s="23" t="s">
        <v>31933</v>
      </c>
      <c r="D213" s="22">
        <v>4</v>
      </c>
      <c r="E213" s="22">
        <v>39</v>
      </c>
      <c r="F213" s="24" t="str">
        <f>HYPERLINK("https://www.boe.es/gazeta/dias/1839/07/27/pdfs/GMD-1839-1716.pdf","Abrir PDF")</f>
        <v>Abrir PDF</v>
      </c>
    </row>
    <row r="214" spans="1:6" ht="19.95" customHeight="1" x14ac:dyDescent="0.25">
      <c r="A214" s="22" t="s">
        <v>27</v>
      </c>
      <c r="B214" s="23" t="s">
        <v>28</v>
      </c>
      <c r="C214" s="23" t="s">
        <v>31934</v>
      </c>
      <c r="D214" s="22">
        <v>4</v>
      </c>
      <c r="E214" s="22">
        <v>32</v>
      </c>
      <c r="F214" s="24" t="str">
        <f>HYPERLINK("https://www.boe.es/gazeta/dias/1839/07/28/pdfs/GMD-1839-1717.pdf","Abrir PDF")</f>
        <v>Abrir PDF</v>
      </c>
    </row>
    <row r="215" spans="1:6" ht="19.95" customHeight="1" x14ac:dyDescent="0.25">
      <c r="A215" s="22" t="s">
        <v>308</v>
      </c>
      <c r="B215" s="23" t="s">
        <v>309</v>
      </c>
      <c r="C215" s="23" t="s">
        <v>31935</v>
      </c>
      <c r="D215" s="22">
        <v>4</v>
      </c>
      <c r="E215" s="22">
        <v>26</v>
      </c>
      <c r="F215" s="24" t="str">
        <f>HYPERLINK("https://www.boe.es/gazeta/dias/1839/07/29/pdfs/GMD-1839-1718.pdf","Abrir PDF")</f>
        <v>Abrir PDF</v>
      </c>
    </row>
    <row r="216" spans="1:6" ht="19.95" customHeight="1" x14ac:dyDescent="0.25">
      <c r="A216" s="22" t="s">
        <v>716</v>
      </c>
      <c r="B216" s="23" t="s">
        <v>717</v>
      </c>
      <c r="C216" s="23" t="s">
        <v>31936</v>
      </c>
      <c r="D216" s="22">
        <v>4</v>
      </c>
      <c r="E216" s="22">
        <v>52</v>
      </c>
      <c r="F216" s="24" t="str">
        <f>HYPERLINK("https://www.boe.es/gazeta/dias/1839/07/30/pdfs/GMD-1839-1719.pdf","Abrir PDF")</f>
        <v>Abrir PDF</v>
      </c>
    </row>
    <row r="217" spans="1:6" ht="19.95" customHeight="1" x14ac:dyDescent="0.25">
      <c r="A217" s="22" t="s">
        <v>907</v>
      </c>
      <c r="B217" s="23" t="s">
        <v>908</v>
      </c>
      <c r="C217" s="23" t="s">
        <v>31937</v>
      </c>
      <c r="D217" s="22">
        <v>4</v>
      </c>
      <c r="E217" s="22">
        <v>38</v>
      </c>
      <c r="F217" s="24" t="str">
        <f>HYPERLINK("https://www.boe.es/gazeta/dias/1839/07/31/pdfs/GMD-1839-1720.pdf","Abrir PDF")</f>
        <v>Abrir PDF</v>
      </c>
    </row>
    <row r="218" spans="1:6" ht="19.95" customHeight="1" x14ac:dyDescent="0.25">
      <c r="A218" s="22" t="s">
        <v>385</v>
      </c>
      <c r="B218" s="23" t="s">
        <v>386</v>
      </c>
      <c r="C218" s="23" t="s">
        <v>31938</v>
      </c>
      <c r="D218" s="22">
        <v>4</v>
      </c>
      <c r="E218" s="22">
        <v>52</v>
      </c>
      <c r="F218" s="24" t="str">
        <f>HYPERLINK("https://www.boe.es/gazeta/dias/1839/08/01/pdfs/GMD-1839-1721.pdf","Abrir PDF")</f>
        <v>Abrir PDF</v>
      </c>
    </row>
    <row r="219" spans="1:6" ht="19.95" customHeight="1" x14ac:dyDescent="0.25">
      <c r="A219" s="22" t="s">
        <v>132</v>
      </c>
      <c r="B219" s="23" t="s">
        <v>133</v>
      </c>
      <c r="C219" s="23" t="s">
        <v>31939</v>
      </c>
      <c r="D219" s="22">
        <v>4</v>
      </c>
      <c r="E219" s="22">
        <v>49</v>
      </c>
      <c r="F219" s="24" t="str">
        <f>HYPERLINK("https://www.boe.es/gazeta/dias/1839/08/02/pdfs/GMD-1839-1722.pdf","Abrir PDF")</f>
        <v>Abrir PDF</v>
      </c>
    </row>
    <row r="220" spans="1:6" ht="19.95" customHeight="1" x14ac:dyDescent="0.25">
      <c r="A220" s="22" t="s">
        <v>4472</v>
      </c>
      <c r="B220" s="23" t="s">
        <v>4473</v>
      </c>
      <c r="C220" s="23" t="s">
        <v>31940</v>
      </c>
      <c r="D220" s="22">
        <v>4</v>
      </c>
      <c r="E220" s="22">
        <v>23</v>
      </c>
      <c r="F220" s="24" t="str">
        <f>HYPERLINK("https://www.boe.es/gazeta/dias/1839/08/03/pdfs/GMD-1839-1723.pdf","Abrir PDF")</f>
        <v>Abrir PDF</v>
      </c>
    </row>
    <row r="221" spans="1:6" ht="19.95" customHeight="1" x14ac:dyDescent="0.25">
      <c r="A221" s="22" t="s">
        <v>848</v>
      </c>
      <c r="B221" s="23" t="s">
        <v>849</v>
      </c>
      <c r="C221" s="23" t="s">
        <v>31941</v>
      </c>
      <c r="D221" s="22">
        <v>4</v>
      </c>
      <c r="E221" s="22">
        <v>29</v>
      </c>
      <c r="F221" s="24" t="str">
        <f>HYPERLINK("https://www.boe.es/gazeta/dias/1839/08/04/pdfs/GMD-1839-1724.pdf","Abrir PDF")</f>
        <v>Abrir PDF</v>
      </c>
    </row>
    <row r="222" spans="1:6" ht="19.95" customHeight="1" x14ac:dyDescent="0.25">
      <c r="A222" s="22" t="s">
        <v>327</v>
      </c>
      <c r="B222" s="23" t="s">
        <v>328</v>
      </c>
      <c r="C222" s="23" t="s">
        <v>31942</v>
      </c>
      <c r="D222" s="22">
        <v>4</v>
      </c>
      <c r="E222" s="22">
        <v>31</v>
      </c>
      <c r="F222" s="24" t="str">
        <f>HYPERLINK("https://www.boe.es/gazeta/dias/1839/08/05/pdfs/GMD-1839-1725.pdf","Abrir PDF")</f>
        <v>Abrir PDF</v>
      </c>
    </row>
    <row r="223" spans="1:6" ht="19.95" customHeight="1" x14ac:dyDescent="0.25">
      <c r="A223" s="22" t="s">
        <v>217</v>
      </c>
      <c r="B223" s="23" t="s">
        <v>218</v>
      </c>
      <c r="C223" s="23" t="s">
        <v>31943</v>
      </c>
      <c r="D223" s="22">
        <v>4</v>
      </c>
      <c r="E223" s="22">
        <v>49</v>
      </c>
      <c r="F223" s="24" t="str">
        <f>HYPERLINK("https://www.boe.es/gazeta/dias/1839/08/06/pdfs/GMD-1839-1726.pdf","Abrir PDF")</f>
        <v>Abrir PDF</v>
      </c>
    </row>
    <row r="224" spans="1:6" ht="19.95" customHeight="1" x14ac:dyDescent="0.25">
      <c r="A224" s="22" t="s">
        <v>388</v>
      </c>
      <c r="B224" s="23" t="s">
        <v>389</v>
      </c>
      <c r="C224" s="23" t="s">
        <v>31944</v>
      </c>
      <c r="D224" s="22">
        <v>4</v>
      </c>
      <c r="E224" s="22">
        <v>39</v>
      </c>
      <c r="F224" s="24" t="str">
        <f>HYPERLINK("https://www.boe.es/gazeta/dias/1839/08/07/pdfs/GMD-1839-1727.pdf","Abrir PDF")</f>
        <v>Abrir PDF</v>
      </c>
    </row>
    <row r="225" spans="1:6" ht="19.95" customHeight="1" x14ac:dyDescent="0.25">
      <c r="A225" s="22" t="s">
        <v>38</v>
      </c>
      <c r="B225" s="23" t="s">
        <v>39</v>
      </c>
      <c r="C225" s="23" t="s">
        <v>31945</v>
      </c>
      <c r="D225" s="22">
        <v>4</v>
      </c>
      <c r="E225" s="22">
        <v>57</v>
      </c>
      <c r="F225" s="24" t="str">
        <f>HYPERLINK("https://www.boe.es/gazeta/dias/1839/08/08/pdfs/GMD-1839-1728.pdf","Abrir PDF")</f>
        <v>Abrir PDF</v>
      </c>
    </row>
    <row r="226" spans="1:6" ht="19.95" customHeight="1" x14ac:dyDescent="0.25">
      <c r="A226" s="22" t="s">
        <v>3134</v>
      </c>
      <c r="B226" s="23" t="s">
        <v>3135</v>
      </c>
      <c r="C226" s="23" t="s">
        <v>31946</v>
      </c>
      <c r="D226" s="22">
        <v>4</v>
      </c>
      <c r="E226" s="22">
        <v>25</v>
      </c>
      <c r="F226" s="24" t="str">
        <f>HYPERLINK("https://www.boe.es/gazeta/dias/1839/08/09/pdfs/GMD-1839-1729.pdf","Abrir PDF")</f>
        <v>Abrir PDF</v>
      </c>
    </row>
    <row r="227" spans="1:6" ht="19.95" customHeight="1" x14ac:dyDescent="0.25">
      <c r="A227" s="22" t="s">
        <v>1123</v>
      </c>
      <c r="B227" s="23" t="s">
        <v>1124</v>
      </c>
      <c r="C227" s="23" t="s">
        <v>31947</v>
      </c>
      <c r="D227" s="22">
        <v>4</v>
      </c>
      <c r="E227" s="22">
        <v>77</v>
      </c>
      <c r="F227" s="24" t="str">
        <f>HYPERLINK("https://www.boe.es/gazeta/dias/1839/08/10/pdfs/GMD-1839-1730.pdf","Abrir PDF")</f>
        <v>Abrir PDF</v>
      </c>
    </row>
    <row r="228" spans="1:6" ht="19.95" customHeight="1" x14ac:dyDescent="0.25">
      <c r="A228" s="22" t="s">
        <v>426</v>
      </c>
      <c r="B228" s="23" t="s">
        <v>427</v>
      </c>
      <c r="C228" s="23" t="s">
        <v>31948</v>
      </c>
      <c r="D228" s="22">
        <v>4</v>
      </c>
      <c r="E228" s="22">
        <v>23</v>
      </c>
      <c r="F228" s="24" t="str">
        <f>HYPERLINK("https://www.boe.es/gazeta/dias/1839/08/11/pdfs/GMD-1839-1731.pdf","Abrir PDF")</f>
        <v>Abrir PDF</v>
      </c>
    </row>
    <row r="229" spans="1:6" ht="19.95" customHeight="1" x14ac:dyDescent="0.25">
      <c r="A229" s="22" t="s">
        <v>507</v>
      </c>
      <c r="B229" s="23" t="s">
        <v>508</v>
      </c>
      <c r="C229" s="23" t="s">
        <v>31949</v>
      </c>
      <c r="D229" s="22">
        <v>4</v>
      </c>
      <c r="E229" s="22">
        <v>36</v>
      </c>
      <c r="F229" s="24" t="str">
        <f>HYPERLINK("https://www.boe.es/gazeta/dias/1839/08/12/pdfs/GMD-1839-1732.pdf","Abrir PDF")</f>
        <v>Abrir PDF</v>
      </c>
    </row>
    <row r="230" spans="1:6" ht="19.95" customHeight="1" x14ac:dyDescent="0.25">
      <c r="A230" s="22" t="s">
        <v>1144</v>
      </c>
      <c r="B230" s="23" t="s">
        <v>1145</v>
      </c>
      <c r="C230" s="23" t="s">
        <v>31950</v>
      </c>
      <c r="D230" s="22">
        <v>4</v>
      </c>
      <c r="E230" s="22">
        <v>67</v>
      </c>
      <c r="F230" s="24" t="str">
        <f>HYPERLINK("https://www.boe.es/gazeta/dias/1839/08/13/pdfs/GMD-1839-1733.pdf","Abrir PDF")</f>
        <v>Abrir PDF</v>
      </c>
    </row>
    <row r="231" spans="1:6" ht="19.95" customHeight="1" x14ac:dyDescent="0.25">
      <c r="A231" s="22" t="s">
        <v>365</v>
      </c>
      <c r="B231" s="23" t="s">
        <v>366</v>
      </c>
      <c r="C231" s="23" t="s">
        <v>31951</v>
      </c>
      <c r="D231" s="22">
        <v>4</v>
      </c>
      <c r="E231" s="22">
        <v>23</v>
      </c>
      <c r="F231" s="24" t="str">
        <f>HYPERLINK("https://www.boe.es/gazeta/dias/1839/08/14/pdfs/GMD-1839-1734.pdf","Abrir PDF")</f>
        <v>Abrir PDF</v>
      </c>
    </row>
    <row r="232" spans="1:6" ht="19.95" customHeight="1" x14ac:dyDescent="0.25">
      <c r="A232" s="22" t="s">
        <v>5138</v>
      </c>
      <c r="B232" s="23" t="s">
        <v>5139</v>
      </c>
      <c r="C232" s="23" t="s">
        <v>31952</v>
      </c>
      <c r="D232" s="22">
        <v>4</v>
      </c>
      <c r="E232" s="22">
        <v>12</v>
      </c>
      <c r="F232" s="24" t="str">
        <f>HYPERLINK("https://www.boe.es/gazeta/dias/1839/08/15/pdfs/GMD-1839-1735.pdf","Abrir PDF")</f>
        <v>Abrir PDF</v>
      </c>
    </row>
    <row r="233" spans="1:6" ht="19.95" customHeight="1" x14ac:dyDescent="0.25">
      <c r="A233" s="22" t="s">
        <v>1027</v>
      </c>
      <c r="B233" s="23" t="s">
        <v>1028</v>
      </c>
      <c r="C233" s="23" t="s">
        <v>31953</v>
      </c>
      <c r="D233" s="22">
        <v>4</v>
      </c>
      <c r="E233" s="22">
        <v>51</v>
      </c>
      <c r="F233" s="24" t="str">
        <f>HYPERLINK("https://www.boe.es/gazeta/dias/1839/08/16/pdfs/GMD-1839-1736.pdf","Abrir PDF")</f>
        <v>Abrir PDF</v>
      </c>
    </row>
    <row r="234" spans="1:6" ht="19.95" customHeight="1" x14ac:dyDescent="0.25">
      <c r="A234" s="22" t="s">
        <v>834</v>
      </c>
      <c r="B234" s="23" t="s">
        <v>835</v>
      </c>
      <c r="C234" s="23" t="s">
        <v>31954</v>
      </c>
      <c r="D234" s="22">
        <v>4</v>
      </c>
      <c r="E234" s="22">
        <v>58</v>
      </c>
      <c r="F234" s="24" t="str">
        <f>HYPERLINK("https://www.boe.es/gazeta/dias/1839/08/17/pdfs/GMD-1839-1737.pdf","Abrir PDF")</f>
        <v>Abrir PDF</v>
      </c>
    </row>
    <row r="235" spans="1:6" ht="19.95" customHeight="1" x14ac:dyDescent="0.25">
      <c r="A235" s="22" t="s">
        <v>1648</v>
      </c>
      <c r="B235" s="23" t="s">
        <v>1649</v>
      </c>
      <c r="C235" s="23" t="s">
        <v>31955</v>
      </c>
      <c r="D235" s="22">
        <v>4</v>
      </c>
      <c r="E235" s="22">
        <v>27</v>
      </c>
      <c r="F235" s="24" t="str">
        <f>HYPERLINK("https://www.boe.es/gazeta/dias/1839/08/18/pdfs/GMD-1839-1738.pdf","Abrir PDF")</f>
        <v>Abrir PDF</v>
      </c>
    </row>
    <row r="236" spans="1:6" ht="19.95" customHeight="1" x14ac:dyDescent="0.25">
      <c r="A236" s="22" t="s">
        <v>1648</v>
      </c>
      <c r="B236" s="23" t="s">
        <v>2458</v>
      </c>
      <c r="C236" s="23" t="s">
        <v>31929</v>
      </c>
      <c r="D236" s="22">
        <v>1</v>
      </c>
      <c r="E236" s="22">
        <v>10</v>
      </c>
      <c r="F236" s="24" t="str">
        <f>HYPERLINK("https://www.boe.es/datos/pdfs/BOE//1839/1739/E00001-00001.pdf","Abrir PDF")</f>
        <v>Abrir PDF</v>
      </c>
    </row>
    <row r="237" spans="1:6" ht="19.95" customHeight="1" x14ac:dyDescent="0.25">
      <c r="A237" s="22" t="s">
        <v>295</v>
      </c>
      <c r="B237" s="23" t="s">
        <v>296</v>
      </c>
      <c r="C237" s="23" t="s">
        <v>31956</v>
      </c>
      <c r="D237" s="22">
        <v>4</v>
      </c>
      <c r="E237" s="22">
        <v>21</v>
      </c>
      <c r="F237" s="24" t="str">
        <f>HYPERLINK("https://www.boe.es/gazeta/dias/1839/08/19/pdfs/GMD-1839-1740.pdf","Abrir PDF")</f>
        <v>Abrir PDF</v>
      </c>
    </row>
    <row r="238" spans="1:6" ht="19.95" customHeight="1" x14ac:dyDescent="0.25">
      <c r="A238" s="22" t="s">
        <v>469</v>
      </c>
      <c r="B238" s="23" t="s">
        <v>470</v>
      </c>
      <c r="C238" s="23" t="s">
        <v>31957</v>
      </c>
      <c r="D238" s="22">
        <v>4</v>
      </c>
      <c r="E238" s="22">
        <v>29</v>
      </c>
      <c r="F238" s="24" t="str">
        <f>HYPERLINK("https://www.boe.es/gazeta/dias/1839/08/20/pdfs/GMD-1839-1741.pdf","Abrir PDF")</f>
        <v>Abrir PDF</v>
      </c>
    </row>
    <row r="239" spans="1:6" ht="19.95" customHeight="1" x14ac:dyDescent="0.25">
      <c r="A239" s="22" t="s">
        <v>280</v>
      </c>
      <c r="B239" s="23" t="s">
        <v>281</v>
      </c>
      <c r="C239" s="23" t="s">
        <v>31958</v>
      </c>
      <c r="D239" s="22">
        <v>4</v>
      </c>
      <c r="E239" s="22">
        <v>41</v>
      </c>
      <c r="F239" s="24" t="str">
        <f>HYPERLINK("https://www.boe.es/gazeta/dias/1839/08/21/pdfs/GMD-1839-1742.pdf","Abrir PDF")</f>
        <v>Abrir PDF</v>
      </c>
    </row>
    <row r="240" spans="1:6" ht="19.95" customHeight="1" x14ac:dyDescent="0.25">
      <c r="A240" s="22" t="s">
        <v>360</v>
      </c>
      <c r="B240" s="23" t="s">
        <v>361</v>
      </c>
      <c r="C240" s="23" t="s">
        <v>31959</v>
      </c>
      <c r="D240" s="22">
        <v>4</v>
      </c>
      <c r="E240" s="22">
        <v>32</v>
      </c>
      <c r="F240" s="24" t="str">
        <f>HYPERLINK("https://www.boe.es/gazeta/dias/1839/08/22/pdfs/GMD-1839-1743.pdf","Abrir PDF")</f>
        <v>Abrir PDF</v>
      </c>
    </row>
    <row r="241" spans="1:6" ht="19.95" customHeight="1" x14ac:dyDescent="0.25">
      <c r="A241" s="22" t="s">
        <v>1497</v>
      </c>
      <c r="B241" s="23" t="s">
        <v>1498</v>
      </c>
      <c r="C241" s="23" t="s">
        <v>31960</v>
      </c>
      <c r="D241" s="22">
        <v>4</v>
      </c>
      <c r="E241" s="22">
        <v>41</v>
      </c>
      <c r="F241" s="24" t="str">
        <f>HYPERLINK("https://www.boe.es/gazeta/dias/1839/08/23/pdfs/GMD-1839-1744.pdf","Abrir PDF")</f>
        <v>Abrir PDF</v>
      </c>
    </row>
    <row r="242" spans="1:6" ht="19.95" customHeight="1" x14ac:dyDescent="0.25">
      <c r="A242" s="22" t="s">
        <v>1672</v>
      </c>
      <c r="B242" s="23" t="s">
        <v>1673</v>
      </c>
      <c r="C242" s="23" t="s">
        <v>31961</v>
      </c>
      <c r="D242" s="22">
        <v>4</v>
      </c>
      <c r="E242" s="22">
        <v>39</v>
      </c>
      <c r="F242" s="24" t="str">
        <f>HYPERLINK("https://www.boe.es/gazeta/dias/1839/08/24/pdfs/GMD-1839-1745.pdf","Abrir PDF")</f>
        <v>Abrir PDF</v>
      </c>
    </row>
    <row r="243" spans="1:6" ht="19.95" customHeight="1" x14ac:dyDescent="0.25">
      <c r="A243" s="22" t="s">
        <v>1446</v>
      </c>
      <c r="B243" s="23" t="s">
        <v>1447</v>
      </c>
      <c r="C243" s="23" t="s">
        <v>31962</v>
      </c>
      <c r="D243" s="22">
        <v>4</v>
      </c>
      <c r="E243" s="22">
        <v>35</v>
      </c>
      <c r="F243" s="24" t="str">
        <f>HYPERLINK("https://www.boe.es/gazeta/dias/1839/08/25/pdfs/GMD-1839-1746.pdf","Abrir PDF")</f>
        <v>Abrir PDF</v>
      </c>
    </row>
    <row r="244" spans="1:6" ht="19.95" customHeight="1" x14ac:dyDescent="0.25">
      <c r="A244" s="22" t="s">
        <v>638</v>
      </c>
      <c r="B244" s="23" t="s">
        <v>639</v>
      </c>
      <c r="C244" s="23" t="s">
        <v>31963</v>
      </c>
      <c r="D244" s="22">
        <v>4</v>
      </c>
      <c r="E244" s="22">
        <v>23</v>
      </c>
      <c r="F244" s="24" t="str">
        <f>HYPERLINK("https://www.boe.es/gazeta/dias/1839/08/26/pdfs/GMD-1839-1747.pdf","Abrir PDF")</f>
        <v>Abrir PDF</v>
      </c>
    </row>
    <row r="245" spans="1:6" ht="19.95" customHeight="1" x14ac:dyDescent="0.25">
      <c r="A245" s="22" t="s">
        <v>522</v>
      </c>
      <c r="B245" s="23" t="s">
        <v>523</v>
      </c>
      <c r="C245" s="23" t="s">
        <v>31964</v>
      </c>
      <c r="D245" s="22">
        <v>6</v>
      </c>
      <c r="E245" s="22">
        <v>49</v>
      </c>
      <c r="F245" s="24" t="str">
        <f>HYPERLINK("https://www.boe.es/gazeta/dias/1839/08/27/pdfs/GMD-1839-1748.pdf","Abrir PDF")</f>
        <v>Abrir PDF</v>
      </c>
    </row>
    <row r="246" spans="1:6" ht="19.95" customHeight="1" x14ac:dyDescent="0.25">
      <c r="A246" s="22" t="s">
        <v>4463</v>
      </c>
      <c r="B246" s="23" t="s">
        <v>4464</v>
      </c>
      <c r="C246" s="23" t="s">
        <v>31965</v>
      </c>
      <c r="D246" s="22">
        <v>4</v>
      </c>
      <c r="E246" s="22">
        <v>16</v>
      </c>
      <c r="F246" s="24" t="str">
        <f>HYPERLINK("https://www.boe.es/gazeta/dias/1839/08/28/pdfs/GMD-1839-1749.pdf","Abrir PDF")</f>
        <v>Abrir PDF</v>
      </c>
    </row>
    <row r="247" spans="1:6" ht="19.95" customHeight="1" x14ac:dyDescent="0.25">
      <c r="A247" s="22" t="s">
        <v>1523</v>
      </c>
      <c r="B247" s="23" t="s">
        <v>1524</v>
      </c>
      <c r="C247" s="23" t="s">
        <v>31966</v>
      </c>
      <c r="D247" s="22">
        <v>4</v>
      </c>
      <c r="E247" s="22">
        <v>42</v>
      </c>
      <c r="F247" s="24" t="str">
        <f>HYPERLINK("https://www.boe.es/gazeta/dias/1839/08/29/pdfs/GMD-1839-1750.pdf","Abrir PDF")</f>
        <v>Abrir PDF</v>
      </c>
    </row>
    <row r="248" spans="1:6" ht="19.95" customHeight="1" x14ac:dyDescent="0.25">
      <c r="A248" s="22" t="s">
        <v>1118</v>
      </c>
      <c r="B248" s="23" t="s">
        <v>1119</v>
      </c>
      <c r="C248" s="23" t="s">
        <v>31967</v>
      </c>
      <c r="D248" s="22">
        <v>4</v>
      </c>
      <c r="E248" s="22">
        <v>28</v>
      </c>
      <c r="F248" s="24" t="str">
        <f>HYPERLINK("https://www.boe.es/gazeta/dias/1839/08/30/pdfs/GMD-1839-1751.pdf","Abrir PDF")</f>
        <v>Abrir PDF</v>
      </c>
    </row>
    <row r="249" spans="1:6" ht="19.95" customHeight="1" x14ac:dyDescent="0.25">
      <c r="A249" s="22" t="s">
        <v>1696</v>
      </c>
      <c r="B249" s="23" t="s">
        <v>1697</v>
      </c>
      <c r="C249" s="23" t="s">
        <v>31968</v>
      </c>
      <c r="D249" s="22">
        <v>4</v>
      </c>
      <c r="E249" s="22">
        <v>14</v>
      </c>
      <c r="F249" s="24" t="str">
        <f>HYPERLINK("https://www.boe.es/gazeta/dias/1839/08/31/pdfs/GMD-1839-1752.pdf","Abrir PDF")</f>
        <v>Abrir PDF</v>
      </c>
    </row>
    <row r="250" spans="1:6" ht="19.95" customHeight="1" x14ac:dyDescent="0.25">
      <c r="A250" s="22" t="s">
        <v>700</v>
      </c>
      <c r="B250" s="23" t="s">
        <v>701</v>
      </c>
      <c r="C250" s="23" t="s">
        <v>31969</v>
      </c>
      <c r="D250" s="22">
        <v>4</v>
      </c>
      <c r="E250" s="22">
        <v>62</v>
      </c>
      <c r="F250" s="24" t="str">
        <f>HYPERLINK("https://www.boe.es/gazeta/dias/1839/09/01/pdfs/GMD-1839-1753.pdf","Abrir PDF")</f>
        <v>Abrir PDF</v>
      </c>
    </row>
    <row r="251" spans="1:6" ht="19.95" customHeight="1" x14ac:dyDescent="0.25">
      <c r="A251" s="22" t="s">
        <v>1813</v>
      </c>
      <c r="B251" s="23" t="s">
        <v>1814</v>
      </c>
      <c r="C251" s="23" t="s">
        <v>31970</v>
      </c>
      <c r="D251" s="22">
        <v>4</v>
      </c>
      <c r="E251" s="22">
        <v>53</v>
      </c>
      <c r="F251" s="24" t="str">
        <f>HYPERLINK("https://www.boe.es/gazeta/dias/1839/09/02/pdfs/GMD-1839-1754.pdf","Abrir PDF")</f>
        <v>Abrir PDF</v>
      </c>
    </row>
    <row r="252" spans="1:6" ht="19.95" customHeight="1" x14ac:dyDescent="0.25">
      <c r="A252" s="22" t="s">
        <v>798</v>
      </c>
      <c r="B252" s="23" t="s">
        <v>799</v>
      </c>
      <c r="C252" s="23" t="s">
        <v>31971</v>
      </c>
      <c r="D252" s="22">
        <v>4</v>
      </c>
      <c r="E252" s="22">
        <v>86</v>
      </c>
      <c r="F252" s="24" t="str">
        <f>HYPERLINK("https://www.boe.es/gazeta/dias/1839/09/03/pdfs/GMD-1839-1755.pdf","Abrir PDF")</f>
        <v>Abrir PDF</v>
      </c>
    </row>
    <row r="253" spans="1:6" ht="19.95" customHeight="1" x14ac:dyDescent="0.25">
      <c r="A253" s="22" t="s">
        <v>798</v>
      </c>
      <c r="B253" s="23" t="s">
        <v>21237</v>
      </c>
      <c r="C253" s="23" t="s">
        <v>31929</v>
      </c>
      <c r="D253" s="22">
        <v>1</v>
      </c>
      <c r="E253" s="22">
        <v>4</v>
      </c>
      <c r="F253" s="24" t="str">
        <f>HYPERLINK("https://www.boe.es/datos/pdfs/BOE//1839/1756/E00001-00001.pdf","Abrir PDF")</f>
        <v>Abrir PDF</v>
      </c>
    </row>
    <row r="254" spans="1:6" ht="19.95" customHeight="1" x14ac:dyDescent="0.25">
      <c r="A254" s="22" t="s">
        <v>291</v>
      </c>
      <c r="B254" s="23" t="s">
        <v>292</v>
      </c>
      <c r="C254" s="23" t="s">
        <v>31972</v>
      </c>
      <c r="D254" s="22">
        <v>4</v>
      </c>
      <c r="E254" s="22">
        <v>80</v>
      </c>
      <c r="F254" s="24" t="str">
        <f>HYPERLINK("https://www.boe.es/gazeta/dias/1839/09/04/pdfs/GMD-1839-1757.pdf","Abrir PDF")</f>
        <v>Abrir PDF</v>
      </c>
    </row>
    <row r="255" spans="1:6" ht="19.95" customHeight="1" x14ac:dyDescent="0.25">
      <c r="A255" s="22" t="s">
        <v>2210</v>
      </c>
      <c r="B255" s="23" t="s">
        <v>2211</v>
      </c>
      <c r="C255" s="23" t="s">
        <v>31973</v>
      </c>
      <c r="D255" s="22">
        <v>4</v>
      </c>
      <c r="E255" s="22">
        <v>83</v>
      </c>
      <c r="F255" s="24" t="str">
        <f>HYPERLINK("https://www.boe.es/gazeta/dias/1839/09/05/pdfs/GMD-1839-1758.pdf","Abrir PDF")</f>
        <v>Abrir PDF</v>
      </c>
    </row>
    <row r="256" spans="1:6" ht="19.95" customHeight="1" x14ac:dyDescent="0.25">
      <c r="A256" s="22" t="s">
        <v>2738</v>
      </c>
      <c r="B256" s="23" t="s">
        <v>2739</v>
      </c>
      <c r="C256" s="23" t="s">
        <v>31974</v>
      </c>
      <c r="D256" s="22">
        <v>4</v>
      </c>
      <c r="E256" s="22">
        <v>43</v>
      </c>
      <c r="F256" s="24" t="str">
        <f>HYPERLINK("https://www.boe.es/gazeta/dias/1839/09/06/pdfs/GMD-1839-1759.pdf","Abrir PDF")</f>
        <v>Abrir PDF</v>
      </c>
    </row>
    <row r="257" spans="1:6" ht="19.95" customHeight="1" x14ac:dyDescent="0.25">
      <c r="A257" s="22" t="s">
        <v>1008</v>
      </c>
      <c r="B257" s="23" t="s">
        <v>1009</v>
      </c>
      <c r="C257" s="23" t="s">
        <v>31975</v>
      </c>
      <c r="D257" s="22">
        <v>4</v>
      </c>
      <c r="E257" s="22">
        <v>74</v>
      </c>
      <c r="F257" s="24" t="str">
        <f>HYPERLINK("https://www.boe.es/gazeta/dias/1839/09/07/pdfs/GMD-1839-1760.pdf","Abrir PDF")</f>
        <v>Abrir PDF</v>
      </c>
    </row>
    <row r="258" spans="1:6" ht="19.95" customHeight="1" x14ac:dyDescent="0.25">
      <c r="A258" s="22" t="s">
        <v>2301</v>
      </c>
      <c r="B258" s="23" t="s">
        <v>2302</v>
      </c>
      <c r="C258" s="23" t="s">
        <v>31976</v>
      </c>
      <c r="D258" s="22">
        <v>4</v>
      </c>
      <c r="E258" s="22">
        <v>44</v>
      </c>
      <c r="F258" s="24" t="str">
        <f>HYPERLINK("https://www.boe.es/gazeta/dias/1839/09/08/pdfs/GMD-1839-1761.pdf","Abrir PDF")</f>
        <v>Abrir PDF</v>
      </c>
    </row>
    <row r="259" spans="1:6" ht="19.95" customHeight="1" x14ac:dyDescent="0.25">
      <c r="A259" s="22" t="s">
        <v>1366</v>
      </c>
      <c r="B259" s="23" t="s">
        <v>1367</v>
      </c>
      <c r="C259" s="23" t="s">
        <v>31977</v>
      </c>
      <c r="D259" s="22">
        <v>4</v>
      </c>
      <c r="E259" s="22">
        <v>68</v>
      </c>
      <c r="F259" s="24" t="str">
        <f>HYPERLINK("https://www.boe.es/gazeta/dias/1839/09/09/pdfs/GMD-1839-1762.pdf","Abrir PDF")</f>
        <v>Abrir PDF</v>
      </c>
    </row>
    <row r="260" spans="1:6" ht="19.95" customHeight="1" x14ac:dyDescent="0.25">
      <c r="A260" s="22" t="s">
        <v>61</v>
      </c>
      <c r="B260" s="23" t="s">
        <v>62</v>
      </c>
      <c r="C260" s="23" t="s">
        <v>31978</v>
      </c>
      <c r="D260" s="22">
        <v>4</v>
      </c>
      <c r="E260" s="22">
        <v>70</v>
      </c>
      <c r="F260" s="24" t="str">
        <f>HYPERLINK("https://www.boe.es/gazeta/dias/1839/09/10/pdfs/GMD-1839-1763.pdf","Abrir PDF")</f>
        <v>Abrir PDF</v>
      </c>
    </row>
    <row r="261" spans="1:6" ht="19.95" customHeight="1" x14ac:dyDescent="0.25">
      <c r="A261" s="22" t="s">
        <v>561</v>
      </c>
      <c r="B261" s="23" t="s">
        <v>562</v>
      </c>
      <c r="C261" s="23" t="s">
        <v>31979</v>
      </c>
      <c r="D261" s="22">
        <v>4</v>
      </c>
      <c r="E261" s="22">
        <v>73</v>
      </c>
      <c r="F261" s="24" t="str">
        <f>HYPERLINK("https://www.boe.es/gazeta/dias/1839/09/11/pdfs/GMD-1839-1764.pdf","Abrir PDF")</f>
        <v>Abrir PDF</v>
      </c>
    </row>
    <row r="262" spans="1:6" ht="19.95" customHeight="1" x14ac:dyDescent="0.25">
      <c r="A262" s="22" t="s">
        <v>254</v>
      </c>
      <c r="B262" s="23" t="s">
        <v>255</v>
      </c>
      <c r="C262" s="23" t="s">
        <v>31980</v>
      </c>
      <c r="D262" s="22">
        <v>4</v>
      </c>
      <c r="E262" s="22">
        <v>79</v>
      </c>
      <c r="F262" s="24" t="str">
        <f>HYPERLINK("https://www.boe.es/gazeta/dias/1839/09/12/pdfs/GMD-1839-1765.pdf","Abrir PDF")</f>
        <v>Abrir PDF</v>
      </c>
    </row>
    <row r="263" spans="1:6" ht="19.95" customHeight="1" x14ac:dyDescent="0.25">
      <c r="A263" s="22" t="s">
        <v>1100</v>
      </c>
      <c r="B263" s="23" t="s">
        <v>1101</v>
      </c>
      <c r="C263" s="23" t="s">
        <v>31981</v>
      </c>
      <c r="D263" s="22">
        <v>4</v>
      </c>
      <c r="E263" s="22">
        <v>95</v>
      </c>
      <c r="F263" s="24" t="str">
        <f>HYPERLINK("https://www.boe.es/gazeta/dias/1839/09/13/pdfs/GMD-1839-1766.pdf","Abrir PDF")</f>
        <v>Abrir PDF</v>
      </c>
    </row>
    <row r="264" spans="1:6" ht="19.95" customHeight="1" x14ac:dyDescent="0.25">
      <c r="A264" s="22" t="s">
        <v>592</v>
      </c>
      <c r="B264" s="23" t="s">
        <v>593</v>
      </c>
      <c r="C264" s="23" t="s">
        <v>31982</v>
      </c>
      <c r="D264" s="22">
        <v>4</v>
      </c>
      <c r="E264" s="22">
        <v>66</v>
      </c>
      <c r="F264" s="24" t="str">
        <f>HYPERLINK("https://www.boe.es/gazeta/dias/1839/09/14/pdfs/GMD-1839-1767.pdf","Abrir PDF")</f>
        <v>Abrir PDF</v>
      </c>
    </row>
    <row r="265" spans="1:6" ht="19.95" customHeight="1" x14ac:dyDescent="0.25">
      <c r="A265" s="22" t="s">
        <v>2650</v>
      </c>
      <c r="B265" s="23" t="s">
        <v>2651</v>
      </c>
      <c r="C265" s="23" t="s">
        <v>31983</v>
      </c>
      <c r="D265" s="22">
        <v>4</v>
      </c>
      <c r="E265" s="22">
        <v>57</v>
      </c>
      <c r="F265" s="24" t="str">
        <f>HYPERLINK("https://www.boe.es/gazeta/dias/1839/09/15/pdfs/GMD-1839-1768.pdf","Abrir PDF")</f>
        <v>Abrir PDF</v>
      </c>
    </row>
    <row r="266" spans="1:6" ht="19.95" customHeight="1" x14ac:dyDescent="0.25">
      <c r="A266" s="22" t="s">
        <v>230</v>
      </c>
      <c r="B266" s="23" t="s">
        <v>231</v>
      </c>
      <c r="C266" s="23" t="s">
        <v>31984</v>
      </c>
      <c r="D266" s="22">
        <v>4</v>
      </c>
      <c r="E266" s="22">
        <v>72</v>
      </c>
      <c r="F266" s="24" t="str">
        <f>HYPERLINK("https://www.boe.es/gazeta/dias/1839/09/16/pdfs/GMD-1839-1769.pdf","Abrir PDF")</f>
        <v>Abrir PDF</v>
      </c>
    </row>
    <row r="267" spans="1:6" ht="19.95" customHeight="1" x14ac:dyDescent="0.25">
      <c r="A267" s="22" t="s">
        <v>233</v>
      </c>
      <c r="B267" s="23" t="s">
        <v>234</v>
      </c>
      <c r="C267" s="23" t="s">
        <v>31985</v>
      </c>
      <c r="D267" s="22">
        <v>4</v>
      </c>
      <c r="E267" s="22">
        <v>58</v>
      </c>
      <c r="F267" s="24" t="str">
        <f>HYPERLINK("https://www.boe.es/gazeta/dias/1839/09/17/pdfs/GMD-1839-1770.pdf","Abrir PDF")</f>
        <v>Abrir PDF</v>
      </c>
    </row>
    <row r="268" spans="1:6" ht="19.95" customHeight="1" x14ac:dyDescent="0.25">
      <c r="A268" s="22" t="s">
        <v>236</v>
      </c>
      <c r="B268" s="23" t="s">
        <v>237</v>
      </c>
      <c r="C268" s="23" t="s">
        <v>31986</v>
      </c>
      <c r="D268" s="22">
        <v>4</v>
      </c>
      <c r="E268" s="22">
        <v>47</v>
      </c>
      <c r="F268" s="24" t="str">
        <f>HYPERLINK("https://www.boe.es/gazeta/dias/1839/09/18/pdfs/GMD-1839-1771.pdf","Abrir PDF")</f>
        <v>Abrir PDF</v>
      </c>
    </row>
    <row r="269" spans="1:6" ht="19.95" customHeight="1" x14ac:dyDescent="0.25">
      <c r="A269" s="22" t="s">
        <v>236</v>
      </c>
      <c r="B269" s="23" t="s">
        <v>8961</v>
      </c>
      <c r="C269" s="23" t="s">
        <v>31929</v>
      </c>
      <c r="D269" s="22">
        <v>1</v>
      </c>
      <c r="E269" s="22">
        <v>3</v>
      </c>
      <c r="F269" s="24" t="str">
        <f>HYPERLINK("https://www.boe.es/datos/pdfs/BOE//1839/1772/E00001-00001.pdf","Abrir PDF")</f>
        <v>Abrir PDF</v>
      </c>
    </row>
    <row r="270" spans="1:6" ht="19.95" customHeight="1" x14ac:dyDescent="0.25">
      <c r="A270" s="22" t="s">
        <v>2222</v>
      </c>
      <c r="B270" s="23" t="s">
        <v>2223</v>
      </c>
      <c r="C270" s="23" t="s">
        <v>31987</v>
      </c>
      <c r="D270" s="22">
        <v>4</v>
      </c>
      <c r="E270" s="22">
        <v>78</v>
      </c>
      <c r="F270" s="24" t="str">
        <f>HYPERLINK("https://www.boe.es/gazeta/dias/1839/09/19/pdfs/GMD-1839-1773.pdf","Abrir PDF")</f>
        <v>Abrir PDF</v>
      </c>
    </row>
    <row r="271" spans="1:6" ht="19.95" customHeight="1" x14ac:dyDescent="0.25">
      <c r="A271" s="22" t="s">
        <v>2222</v>
      </c>
      <c r="B271" s="23" t="s">
        <v>10214</v>
      </c>
      <c r="C271" s="23" t="s">
        <v>31929</v>
      </c>
      <c r="D271" s="22">
        <v>1</v>
      </c>
      <c r="E271" s="22">
        <v>3</v>
      </c>
      <c r="F271" s="24" t="str">
        <f>HYPERLINK("https://www.boe.es/datos/pdfs/BOE//1839/1774/E00001-00001.pdf","Abrir PDF")</f>
        <v>Abrir PDF</v>
      </c>
    </row>
    <row r="272" spans="1:6" ht="19.95" customHeight="1" x14ac:dyDescent="0.25">
      <c r="A272" s="22" t="s">
        <v>821</v>
      </c>
      <c r="B272" s="23" t="s">
        <v>822</v>
      </c>
      <c r="C272" s="23" t="s">
        <v>31988</v>
      </c>
      <c r="D272" s="22">
        <v>4</v>
      </c>
      <c r="E272" s="22">
        <v>55</v>
      </c>
      <c r="F272" s="24" t="str">
        <f>HYPERLINK("https://www.boe.es/gazeta/dias/1839/09/20/pdfs/GMD-1839-1775.pdf","Abrir PDF")</f>
        <v>Abrir PDF</v>
      </c>
    </row>
    <row r="273" spans="1:6" ht="19.95" customHeight="1" x14ac:dyDescent="0.25">
      <c r="A273" s="22" t="s">
        <v>1108</v>
      </c>
      <c r="B273" s="23" t="s">
        <v>1109</v>
      </c>
      <c r="C273" s="23" t="s">
        <v>31989</v>
      </c>
      <c r="D273" s="22">
        <v>4</v>
      </c>
      <c r="E273" s="22">
        <v>55</v>
      </c>
      <c r="F273" s="24" t="str">
        <f>HYPERLINK("https://www.boe.es/gazeta/dias/1839/09/21/pdfs/GMD-1839-1776.pdf","Abrir PDF")</f>
        <v>Abrir PDF</v>
      </c>
    </row>
    <row r="274" spans="1:6" ht="19.95" customHeight="1" x14ac:dyDescent="0.25">
      <c r="A274" s="22" t="s">
        <v>239</v>
      </c>
      <c r="B274" s="23" t="s">
        <v>240</v>
      </c>
      <c r="C274" s="23" t="s">
        <v>31990</v>
      </c>
      <c r="D274" s="22">
        <v>4</v>
      </c>
      <c r="E274" s="22">
        <v>68</v>
      </c>
      <c r="F274" s="24" t="str">
        <f>HYPERLINK("https://www.boe.es/gazeta/dias/1839/09/22/pdfs/GMD-1839-1777.pdf","Abrir PDF")</f>
        <v>Abrir PDF</v>
      </c>
    </row>
    <row r="275" spans="1:6" ht="19.95" customHeight="1" x14ac:dyDescent="0.25">
      <c r="A275" s="22" t="s">
        <v>239</v>
      </c>
      <c r="B275" s="23" t="s">
        <v>1863</v>
      </c>
      <c r="C275" s="23" t="s">
        <v>31929</v>
      </c>
      <c r="D275" s="22">
        <v>1</v>
      </c>
      <c r="E275" s="22">
        <v>7</v>
      </c>
      <c r="F275" s="24" t="str">
        <f>HYPERLINK("https://www.boe.es/datos/pdfs/BOE//1839/1778/E00001-00001.pdf","Abrir PDF")</f>
        <v>Abrir PDF</v>
      </c>
    </row>
    <row r="276" spans="1:6" ht="19.95" customHeight="1" x14ac:dyDescent="0.25">
      <c r="A276" s="22" t="s">
        <v>243</v>
      </c>
      <c r="B276" s="23" t="s">
        <v>244</v>
      </c>
      <c r="C276" s="23" t="s">
        <v>31991</v>
      </c>
      <c r="D276" s="22">
        <v>4</v>
      </c>
      <c r="E276" s="22">
        <v>45</v>
      </c>
      <c r="F276" s="24" t="str">
        <f>HYPERLINK("https://www.boe.es/gazeta/dias/1839/09/23/pdfs/GMD-1839-1779.pdf","Abrir PDF")</f>
        <v>Abrir PDF</v>
      </c>
    </row>
    <row r="277" spans="1:6" ht="19.95" customHeight="1" x14ac:dyDescent="0.25">
      <c r="A277" s="22" t="s">
        <v>276</v>
      </c>
      <c r="B277" s="23" t="s">
        <v>277</v>
      </c>
      <c r="C277" s="23" t="s">
        <v>31992</v>
      </c>
      <c r="D277" s="22">
        <v>4</v>
      </c>
      <c r="E277" s="22">
        <v>59</v>
      </c>
      <c r="F277" s="24" t="str">
        <f>HYPERLINK("https://www.boe.es/gazeta/dias/1839/09/24/pdfs/GMD-1839-1780.pdf","Abrir PDF")</f>
        <v>Abrir PDF</v>
      </c>
    </row>
    <row r="278" spans="1:6" ht="19.95" customHeight="1" x14ac:dyDescent="0.25">
      <c r="A278" s="22" t="s">
        <v>826</v>
      </c>
      <c r="B278" s="23" t="s">
        <v>827</v>
      </c>
      <c r="C278" s="23" t="s">
        <v>31993</v>
      </c>
      <c r="D278" s="22">
        <v>4</v>
      </c>
      <c r="E278" s="22">
        <v>57</v>
      </c>
      <c r="F278" s="24" t="str">
        <f>HYPERLINK("https://www.boe.es/gazeta/dias/1839/09/25/pdfs/GMD-1839-1781.pdf","Abrir PDF")</f>
        <v>Abrir PDF</v>
      </c>
    </row>
    <row r="279" spans="1:6" ht="19.95" customHeight="1" x14ac:dyDescent="0.25">
      <c r="A279" s="22" t="s">
        <v>723</v>
      </c>
      <c r="B279" s="23" t="s">
        <v>724</v>
      </c>
      <c r="C279" s="23" t="s">
        <v>31994</v>
      </c>
      <c r="D279" s="22">
        <v>4</v>
      </c>
      <c r="E279" s="22">
        <v>62</v>
      </c>
      <c r="F279" s="24" t="str">
        <f>HYPERLINK("https://www.boe.es/gazeta/dias/1839/09/26/pdfs/GMD-1839-1782.pdf","Abrir PDF")</f>
        <v>Abrir PDF</v>
      </c>
    </row>
    <row r="280" spans="1:6" ht="19.95" customHeight="1" x14ac:dyDescent="0.25">
      <c r="A280" s="22" t="s">
        <v>571</v>
      </c>
      <c r="B280" s="23" t="s">
        <v>572</v>
      </c>
      <c r="C280" s="23" t="s">
        <v>31995</v>
      </c>
      <c r="D280" s="22">
        <v>6</v>
      </c>
      <c r="E280" s="22">
        <v>79</v>
      </c>
      <c r="F280" s="24" t="str">
        <f>HYPERLINK("https://www.boe.es/gazeta/dias/1839/09/27/pdfs/GMD-1839-1783.pdf","Abrir PDF")</f>
        <v>Abrir PDF</v>
      </c>
    </row>
    <row r="281" spans="1:6" ht="19.95" customHeight="1" x14ac:dyDescent="0.25">
      <c r="A281" s="22" t="s">
        <v>574</v>
      </c>
      <c r="B281" s="23" t="s">
        <v>575</v>
      </c>
      <c r="C281" s="23" t="s">
        <v>31996</v>
      </c>
      <c r="D281" s="22">
        <v>4</v>
      </c>
      <c r="E281" s="22">
        <v>26</v>
      </c>
      <c r="F281" s="24" t="str">
        <f>HYPERLINK("https://www.boe.es/gazeta/dias/1839/09/28/pdfs/GMD-1839-1784.pdf","Abrir PDF")</f>
        <v>Abrir PDF</v>
      </c>
    </row>
    <row r="282" spans="1:6" ht="19.95" customHeight="1" x14ac:dyDescent="0.25">
      <c r="A282" s="22" t="s">
        <v>2349</v>
      </c>
      <c r="B282" s="23" t="s">
        <v>2350</v>
      </c>
      <c r="C282" s="23" t="s">
        <v>31997</v>
      </c>
      <c r="D282" s="22">
        <v>6</v>
      </c>
      <c r="E282" s="22">
        <v>45</v>
      </c>
      <c r="F282" s="24" t="str">
        <f>HYPERLINK("https://www.boe.es/gazeta/dias/1839/09/29/pdfs/GMD-1839-1785.pdf","Abrir PDF")</f>
        <v>Abrir PDF</v>
      </c>
    </row>
    <row r="283" spans="1:6" ht="19.95" customHeight="1" x14ac:dyDescent="0.25">
      <c r="A283" s="22" t="s">
        <v>577</v>
      </c>
      <c r="B283" s="23" t="s">
        <v>578</v>
      </c>
      <c r="C283" s="23" t="s">
        <v>31998</v>
      </c>
      <c r="D283" s="22">
        <v>4</v>
      </c>
      <c r="E283" s="22">
        <v>29</v>
      </c>
      <c r="F283" s="24" t="str">
        <f>HYPERLINK("https://www.boe.es/gazeta/dias/1839/09/30/pdfs/GMD-1839-1786.pdf","Abrir PDF")</f>
        <v>Abrir PDF</v>
      </c>
    </row>
    <row r="284" spans="1:6" ht="19.95" customHeight="1" x14ac:dyDescent="0.25">
      <c r="A284" s="22" t="s">
        <v>1057</v>
      </c>
      <c r="B284" s="23" t="s">
        <v>1058</v>
      </c>
      <c r="C284" s="23" t="s">
        <v>31999</v>
      </c>
      <c r="D284" s="22">
        <v>6</v>
      </c>
      <c r="E284" s="22">
        <v>77</v>
      </c>
      <c r="F284" s="24" t="str">
        <f>HYPERLINK("https://www.boe.es/gazeta/dias/1839/10/01/pdfs/GMD-1839-1787.pdf","Abrir PDF")</f>
        <v>Abrir PDF</v>
      </c>
    </row>
    <row r="285" spans="1:6" ht="19.95" customHeight="1" x14ac:dyDescent="0.25">
      <c r="A285" s="22" t="s">
        <v>2138</v>
      </c>
      <c r="B285" s="23" t="s">
        <v>2139</v>
      </c>
      <c r="C285" s="23" t="s">
        <v>32000</v>
      </c>
      <c r="D285" s="22">
        <v>6</v>
      </c>
      <c r="E285" s="22">
        <v>46</v>
      </c>
      <c r="F285" s="24" t="str">
        <f>HYPERLINK("https://www.boe.es/gazeta/dias/1839/10/02/pdfs/GMD-1839-1788.pdf","Abrir PDF")</f>
        <v>Abrir PDF</v>
      </c>
    </row>
    <row r="286" spans="1:6" ht="19.95" customHeight="1" x14ac:dyDescent="0.25">
      <c r="A286" s="22" t="s">
        <v>212</v>
      </c>
      <c r="B286" s="23" t="s">
        <v>213</v>
      </c>
      <c r="C286" s="23" t="s">
        <v>32001</v>
      </c>
      <c r="D286" s="22">
        <v>6</v>
      </c>
      <c r="E286" s="22">
        <v>71</v>
      </c>
      <c r="F286" s="24" t="str">
        <f>HYPERLINK("https://www.boe.es/gazeta/dias/1839/10/03/pdfs/GMD-1839-1789.pdf","Abrir PDF")</f>
        <v>Abrir PDF</v>
      </c>
    </row>
    <row r="287" spans="1:6" ht="19.95" customHeight="1" x14ac:dyDescent="0.25">
      <c r="A287" s="22" t="s">
        <v>197</v>
      </c>
      <c r="B287" s="23" t="s">
        <v>198</v>
      </c>
      <c r="C287" s="23" t="s">
        <v>32002</v>
      </c>
      <c r="D287" s="22">
        <v>4</v>
      </c>
      <c r="E287" s="22">
        <v>98</v>
      </c>
      <c r="F287" s="24" t="str">
        <f>HYPERLINK("https://www.boe.es/gazeta/dias/1839/10/04/pdfs/GMD-1839-1790.pdf","Abrir PDF")</f>
        <v>Abrir PDF</v>
      </c>
    </row>
    <row r="288" spans="1:6" ht="19.95" customHeight="1" x14ac:dyDescent="0.25">
      <c r="A288" s="22" t="s">
        <v>54</v>
      </c>
      <c r="B288" s="23" t="s">
        <v>55</v>
      </c>
      <c r="C288" s="23" t="s">
        <v>32003</v>
      </c>
      <c r="D288" s="22">
        <v>6</v>
      </c>
      <c r="E288" s="22">
        <v>106</v>
      </c>
      <c r="F288" s="24" t="str">
        <f>HYPERLINK("https://www.boe.es/gazeta/dias/1839/10/05/pdfs/GMD-1839-1791.pdf","Abrir PDF")</f>
        <v>Abrir PDF</v>
      </c>
    </row>
    <row r="289" spans="1:6" ht="19.95" customHeight="1" x14ac:dyDescent="0.25">
      <c r="A289" s="22" t="s">
        <v>303</v>
      </c>
      <c r="B289" s="23" t="s">
        <v>304</v>
      </c>
      <c r="C289" s="23" t="s">
        <v>32004</v>
      </c>
      <c r="D289" s="22">
        <v>6</v>
      </c>
      <c r="E289" s="22">
        <v>119</v>
      </c>
      <c r="F289" s="24" t="str">
        <f>HYPERLINK("https://www.boe.es/gazeta/dias/1839/10/06/pdfs/GMD-1839-1792.pdf","Abrir PDF")</f>
        <v>Abrir PDF</v>
      </c>
    </row>
    <row r="290" spans="1:6" ht="19.95" customHeight="1" x14ac:dyDescent="0.25">
      <c r="A290" s="22" t="s">
        <v>1509</v>
      </c>
      <c r="B290" s="23" t="s">
        <v>1510</v>
      </c>
      <c r="C290" s="23" t="s">
        <v>32005</v>
      </c>
      <c r="D290" s="22">
        <v>6</v>
      </c>
      <c r="E290" s="22">
        <v>68</v>
      </c>
      <c r="F290" s="24" t="str">
        <f>HYPERLINK("https://www.boe.es/gazeta/dias/1839/10/07/pdfs/GMD-1839-1793.pdf","Abrir PDF")</f>
        <v>Abrir PDF</v>
      </c>
    </row>
    <row r="291" spans="1:6" ht="19.95" customHeight="1" x14ac:dyDescent="0.25">
      <c r="A291" s="22" t="s">
        <v>647</v>
      </c>
      <c r="B291" s="23" t="s">
        <v>648</v>
      </c>
      <c r="C291" s="23" t="s">
        <v>32006</v>
      </c>
      <c r="D291" s="22">
        <v>8</v>
      </c>
      <c r="E291" s="22">
        <v>118</v>
      </c>
      <c r="F291" s="24" t="str">
        <f>HYPERLINK("https://www.boe.es/gazeta/dias/1839/10/08/pdfs/GMD-1839-1794.pdf","Abrir PDF")</f>
        <v>Abrir PDF</v>
      </c>
    </row>
    <row r="292" spans="1:6" ht="19.95" customHeight="1" x14ac:dyDescent="0.25">
      <c r="A292" s="22" t="s">
        <v>138</v>
      </c>
      <c r="B292" s="23" t="s">
        <v>139</v>
      </c>
      <c r="C292" s="23" t="s">
        <v>32007</v>
      </c>
      <c r="D292" s="22">
        <v>4</v>
      </c>
      <c r="E292" s="22">
        <v>84</v>
      </c>
      <c r="F292" s="24" t="str">
        <f>HYPERLINK("https://www.boe.es/gazeta/dias/1839/10/09/pdfs/GMD-1839-1795.pdf","Abrir PDF")</f>
        <v>Abrir PDF</v>
      </c>
    </row>
    <row r="293" spans="1:6" ht="19.95" customHeight="1" x14ac:dyDescent="0.25">
      <c r="A293" s="22" t="s">
        <v>116</v>
      </c>
      <c r="B293" s="23" t="s">
        <v>117</v>
      </c>
      <c r="C293" s="23" t="s">
        <v>32008</v>
      </c>
      <c r="D293" s="22">
        <v>4</v>
      </c>
      <c r="E293" s="22">
        <v>81</v>
      </c>
      <c r="F293" s="24" t="str">
        <f>HYPERLINK("https://www.boe.es/gazeta/dias/1839/10/10/pdfs/GMD-1839-1796.pdf","Abrir PDF")</f>
        <v>Abrir PDF</v>
      </c>
    </row>
    <row r="294" spans="1:6" ht="19.95" customHeight="1" x14ac:dyDescent="0.25">
      <c r="A294" s="22" t="s">
        <v>2107</v>
      </c>
      <c r="B294" s="23" t="s">
        <v>2108</v>
      </c>
      <c r="C294" s="23" t="s">
        <v>32009</v>
      </c>
      <c r="D294" s="22">
        <v>4</v>
      </c>
      <c r="E294" s="22">
        <v>28</v>
      </c>
      <c r="F294" s="24" t="str">
        <f>HYPERLINK("https://www.boe.es/gazeta/dias/1839/10/11/pdfs/GMD-1839-1797.pdf","Abrir PDF")</f>
        <v>Abrir PDF</v>
      </c>
    </row>
    <row r="295" spans="1:6" ht="19.95" customHeight="1" x14ac:dyDescent="0.25">
      <c r="A295" s="22" t="s">
        <v>103</v>
      </c>
      <c r="B295" s="23" t="s">
        <v>104</v>
      </c>
      <c r="C295" s="23" t="s">
        <v>32010</v>
      </c>
      <c r="D295" s="22">
        <v>4</v>
      </c>
      <c r="E295" s="22">
        <v>56</v>
      </c>
      <c r="F295" s="24" t="str">
        <f>HYPERLINK("https://www.boe.es/gazeta/dias/1839/10/12/pdfs/GMD-1839-1798.pdf","Abrir PDF")</f>
        <v>Abrir PDF</v>
      </c>
    </row>
    <row r="296" spans="1:6" ht="19.95" customHeight="1" x14ac:dyDescent="0.25">
      <c r="A296" s="22" t="s">
        <v>736</v>
      </c>
      <c r="B296" s="23" t="s">
        <v>737</v>
      </c>
      <c r="C296" s="23" t="s">
        <v>32011</v>
      </c>
      <c r="D296" s="22">
        <v>4</v>
      </c>
      <c r="E296" s="22">
        <v>76</v>
      </c>
      <c r="F296" s="24" t="str">
        <f>HYPERLINK("https://www.boe.es/gazeta/dias/1839/10/13/pdfs/GMD-1839-1799.pdf","Abrir PDF")</f>
        <v>Abrir PDF</v>
      </c>
    </row>
    <row r="297" spans="1:6" ht="19.95" customHeight="1" x14ac:dyDescent="0.25">
      <c r="A297" s="22" t="s">
        <v>5399</v>
      </c>
      <c r="B297" s="23" t="s">
        <v>5400</v>
      </c>
      <c r="C297" s="23" t="s">
        <v>32012</v>
      </c>
      <c r="D297" s="22">
        <v>4</v>
      </c>
      <c r="E297" s="22">
        <v>22</v>
      </c>
      <c r="F297" s="24" t="str">
        <f>HYPERLINK("https://www.boe.es/gazeta/dias/1839/10/14/pdfs/GMD-1839-1800.pdf","Abrir PDF")</f>
        <v>Abrir PDF</v>
      </c>
    </row>
    <row r="298" spans="1:6" ht="19.95" customHeight="1" x14ac:dyDescent="0.25">
      <c r="A298" s="22" t="s">
        <v>1069</v>
      </c>
      <c r="B298" s="23" t="s">
        <v>1070</v>
      </c>
      <c r="C298" s="23" t="s">
        <v>32013</v>
      </c>
      <c r="D298" s="22">
        <v>4</v>
      </c>
      <c r="E298" s="22">
        <v>42</v>
      </c>
      <c r="F298" s="24" t="str">
        <f>HYPERLINK("https://www.boe.es/gazeta/dias/1839/10/15/pdfs/GMD-1839-1801.pdf","Abrir PDF")</f>
        <v>Abrir PDF</v>
      </c>
    </row>
    <row r="299" spans="1:6" ht="19.95" customHeight="1" x14ac:dyDescent="0.25">
      <c r="A299" s="22" t="s">
        <v>1236</v>
      </c>
      <c r="B299" s="23" t="s">
        <v>1237</v>
      </c>
      <c r="C299" s="23" t="s">
        <v>32014</v>
      </c>
      <c r="D299" s="22">
        <v>4</v>
      </c>
      <c r="E299" s="22">
        <v>60</v>
      </c>
      <c r="F299" s="24" t="str">
        <f>HYPERLINK("https://www.boe.es/gazeta/dias/1839/10/16/pdfs/GMD-1839-1802.pdf","Abrir PDF")</f>
        <v>Abrir PDF</v>
      </c>
    </row>
    <row r="300" spans="1:6" ht="19.95" customHeight="1" x14ac:dyDescent="0.25">
      <c r="A300" s="22" t="s">
        <v>564</v>
      </c>
      <c r="B300" s="23" t="s">
        <v>565</v>
      </c>
      <c r="C300" s="23" t="s">
        <v>32015</v>
      </c>
      <c r="D300" s="22">
        <v>6</v>
      </c>
      <c r="E300" s="22">
        <v>67</v>
      </c>
      <c r="F300" s="24" t="str">
        <f>HYPERLINK("https://www.boe.es/gazeta/dias/1839/10/17/pdfs/GMD-1839-1803.pdf","Abrir PDF")</f>
        <v>Abrir PDF</v>
      </c>
    </row>
    <row r="301" spans="1:6" ht="19.95" customHeight="1" x14ac:dyDescent="0.25">
      <c r="A301" s="22" t="s">
        <v>1179</v>
      </c>
      <c r="B301" s="23" t="s">
        <v>1180</v>
      </c>
      <c r="C301" s="23" t="s">
        <v>32016</v>
      </c>
      <c r="D301" s="22">
        <v>6</v>
      </c>
      <c r="E301" s="22">
        <v>125</v>
      </c>
      <c r="F301" s="24" t="str">
        <f>HYPERLINK("https://www.boe.es/gazeta/dias/1839/10/18/pdfs/GMD-1839-1804.pdf","Abrir PDF")</f>
        <v>Abrir PDF</v>
      </c>
    </row>
    <row r="302" spans="1:6" ht="19.95" customHeight="1" x14ac:dyDescent="0.25">
      <c r="A302" s="22" t="s">
        <v>1076</v>
      </c>
      <c r="B302" s="23" t="s">
        <v>1077</v>
      </c>
      <c r="C302" s="23" t="s">
        <v>32017</v>
      </c>
      <c r="D302" s="22">
        <v>4</v>
      </c>
      <c r="E302" s="22">
        <v>43</v>
      </c>
      <c r="F302" s="24" t="str">
        <f>HYPERLINK("https://www.boe.es/gazeta/dias/1839/10/19/pdfs/GMD-1839-1805.pdf","Abrir PDF")</f>
        <v>Abrir PDF</v>
      </c>
    </row>
    <row r="303" spans="1:6" ht="19.95" customHeight="1" x14ac:dyDescent="0.25">
      <c r="A303" s="22" t="s">
        <v>2069</v>
      </c>
      <c r="B303" s="23" t="s">
        <v>2070</v>
      </c>
      <c r="C303" s="23" t="s">
        <v>32018</v>
      </c>
      <c r="D303" s="22">
        <v>6</v>
      </c>
      <c r="E303" s="22">
        <v>83</v>
      </c>
      <c r="F303" s="24" t="str">
        <f>HYPERLINK("https://www.boe.es/gazeta/dias/1839/10/20/pdfs/GMD-1839-1806.pdf","Abrir PDF")</f>
        <v>Abrir PDF</v>
      </c>
    </row>
    <row r="304" spans="1:6" ht="19.95" customHeight="1" x14ac:dyDescent="0.25">
      <c r="A304" s="22" t="s">
        <v>2949</v>
      </c>
      <c r="B304" s="23" t="s">
        <v>2950</v>
      </c>
      <c r="C304" s="23" t="s">
        <v>32019</v>
      </c>
      <c r="D304" s="22">
        <v>4</v>
      </c>
      <c r="E304" s="22">
        <v>26</v>
      </c>
      <c r="F304" s="24" t="str">
        <f>HYPERLINK("https://www.boe.es/gazeta/dias/1839/10/21/pdfs/GMD-1839-1807.pdf","Abrir PDF")</f>
        <v>Abrir PDF</v>
      </c>
    </row>
    <row r="305" spans="1:6" ht="19.95" customHeight="1" x14ac:dyDescent="0.25">
      <c r="A305" s="22" t="s">
        <v>1433</v>
      </c>
      <c r="B305" s="23" t="s">
        <v>1434</v>
      </c>
      <c r="C305" s="23" t="s">
        <v>32020</v>
      </c>
      <c r="D305" s="22">
        <v>4</v>
      </c>
      <c r="E305" s="22">
        <v>49</v>
      </c>
      <c r="F305" s="24" t="str">
        <f>HYPERLINK("https://www.boe.es/gazeta/dias/1839/10/22/pdfs/GMD-1839-1808.pdf","Abrir PDF")</f>
        <v>Abrir PDF</v>
      </c>
    </row>
    <row r="306" spans="1:6" ht="19.95" customHeight="1" x14ac:dyDescent="0.25">
      <c r="A306" s="22" t="s">
        <v>568</v>
      </c>
      <c r="B306" s="23" t="s">
        <v>569</v>
      </c>
      <c r="C306" s="23" t="s">
        <v>32021</v>
      </c>
      <c r="D306" s="22">
        <v>4</v>
      </c>
      <c r="E306" s="22">
        <v>71</v>
      </c>
      <c r="F306" s="24" t="str">
        <f>HYPERLINK("https://www.boe.es/gazeta/dias/1839/10/23/pdfs/GMD-1839-1809.pdf","Abrir PDF")</f>
        <v>Abrir PDF</v>
      </c>
    </row>
    <row r="307" spans="1:6" ht="19.95" customHeight="1" x14ac:dyDescent="0.25">
      <c r="A307" s="22" t="s">
        <v>416</v>
      </c>
      <c r="B307" s="23" t="s">
        <v>417</v>
      </c>
      <c r="C307" s="23" t="s">
        <v>32022</v>
      </c>
      <c r="D307" s="22">
        <v>4</v>
      </c>
      <c r="E307" s="22">
        <v>46</v>
      </c>
      <c r="F307" s="24" t="str">
        <f>HYPERLINK("https://www.boe.es/gazeta/dias/1839/10/24/pdfs/GMD-1839-1810.pdf","Abrir PDF")</f>
        <v>Abrir PDF</v>
      </c>
    </row>
    <row r="308" spans="1:6" ht="19.95" customHeight="1" x14ac:dyDescent="0.25">
      <c r="A308" s="22" t="s">
        <v>650</v>
      </c>
      <c r="B308" s="23" t="s">
        <v>651</v>
      </c>
      <c r="C308" s="23" t="s">
        <v>32023</v>
      </c>
      <c r="D308" s="22">
        <v>4</v>
      </c>
      <c r="E308" s="22">
        <v>60</v>
      </c>
      <c r="F308" s="24" t="str">
        <f>HYPERLINK("https://www.boe.es/gazeta/dias/1839/10/25/pdfs/GMD-1839-1811.pdf","Abrir PDF")</f>
        <v>Abrir PDF</v>
      </c>
    </row>
    <row r="309" spans="1:6" ht="19.95" customHeight="1" x14ac:dyDescent="0.25">
      <c r="A309" s="22" t="s">
        <v>1086</v>
      </c>
      <c r="B309" s="23" t="s">
        <v>1087</v>
      </c>
      <c r="C309" s="23" t="s">
        <v>32024</v>
      </c>
      <c r="D309" s="22">
        <v>4</v>
      </c>
      <c r="E309" s="22">
        <v>69</v>
      </c>
      <c r="F309" s="24" t="str">
        <f>HYPERLINK("https://www.boe.es/gazeta/dias/1839/10/26/pdfs/GMD-1839-1812.pdf","Abrir PDF")</f>
        <v>Abrir PDF</v>
      </c>
    </row>
    <row r="310" spans="1:6" ht="19.95" customHeight="1" x14ac:dyDescent="0.25">
      <c r="A310" s="22" t="s">
        <v>1909</v>
      </c>
      <c r="B310" s="23" t="s">
        <v>1910</v>
      </c>
      <c r="C310" s="23" t="s">
        <v>32025</v>
      </c>
      <c r="D310" s="22">
        <v>4</v>
      </c>
      <c r="E310" s="22">
        <v>77</v>
      </c>
      <c r="F310" s="24" t="str">
        <f>HYPERLINK("https://www.boe.es/gazeta/dias/1839/10/27/pdfs/GMD-1839-1813.pdf","Abrir PDF")</f>
        <v>Abrir PDF</v>
      </c>
    </row>
    <row r="311" spans="1:6" ht="19.95" customHeight="1" x14ac:dyDescent="0.25">
      <c r="A311" s="22" t="s">
        <v>862</v>
      </c>
      <c r="B311" s="23" t="s">
        <v>863</v>
      </c>
      <c r="C311" s="23" t="s">
        <v>32026</v>
      </c>
      <c r="D311" s="22">
        <v>6</v>
      </c>
      <c r="E311" s="22">
        <v>96</v>
      </c>
      <c r="F311" s="24" t="str">
        <f>HYPERLINK("https://www.boe.es/gazeta/dias/1839/10/28/pdfs/GMD-1839-1814.pdf","Abrir PDF")</f>
        <v>Abrir PDF</v>
      </c>
    </row>
    <row r="312" spans="1:6" ht="19.95" customHeight="1" x14ac:dyDescent="0.25">
      <c r="A312" s="22" t="s">
        <v>1988</v>
      </c>
      <c r="B312" s="23" t="s">
        <v>1989</v>
      </c>
      <c r="C312" s="23" t="s">
        <v>32027</v>
      </c>
      <c r="D312" s="22">
        <v>6</v>
      </c>
      <c r="E312" s="22">
        <v>85</v>
      </c>
      <c r="F312" s="24" t="str">
        <f>HYPERLINK("https://www.boe.es/gazeta/dias/1839/10/29/pdfs/GMD-1839-1815.pdf","Abrir PDF")</f>
        <v>Abrir PDF</v>
      </c>
    </row>
    <row r="313" spans="1:6" ht="19.95" customHeight="1" x14ac:dyDescent="0.25">
      <c r="A313" s="22" t="s">
        <v>1287</v>
      </c>
      <c r="B313" s="23" t="s">
        <v>1288</v>
      </c>
      <c r="C313" s="23" t="s">
        <v>32028</v>
      </c>
      <c r="D313" s="22">
        <v>4</v>
      </c>
      <c r="E313" s="22">
        <v>48</v>
      </c>
      <c r="F313" s="24" t="str">
        <f>HYPERLINK("https://www.boe.es/gazeta/dias/1839/10/30/pdfs/GMD-1839-1816.pdf","Abrir PDF")</f>
        <v>Abrir PDF</v>
      </c>
    </row>
    <row r="314" spans="1:6" ht="19.95" customHeight="1" x14ac:dyDescent="0.25">
      <c r="A314" s="22" t="s">
        <v>653</v>
      </c>
      <c r="B314" s="23" t="s">
        <v>654</v>
      </c>
      <c r="C314" s="23" t="s">
        <v>32029</v>
      </c>
      <c r="D314" s="22">
        <v>4</v>
      </c>
      <c r="E314" s="22">
        <v>68</v>
      </c>
      <c r="F314" s="24" t="str">
        <f>HYPERLINK("https://www.boe.es/gazeta/dias/1839/10/31/pdfs/GMD-1839-1817.pdf","Abrir PDF")</f>
        <v>Abrir PDF</v>
      </c>
    </row>
    <row r="315" spans="1:6" ht="19.95" customHeight="1" x14ac:dyDescent="0.25">
      <c r="A315" s="22" t="s">
        <v>369</v>
      </c>
      <c r="B315" s="23" t="s">
        <v>370</v>
      </c>
      <c r="C315" s="23" t="s">
        <v>32030</v>
      </c>
      <c r="D315" s="22">
        <v>4</v>
      </c>
      <c r="E315" s="22">
        <v>79</v>
      </c>
      <c r="F315" s="24" t="str">
        <f>HYPERLINK("https://www.boe.es/gazeta/dias/1839/11/01/pdfs/GMD-1839-1818.pdf","Abrir PDF")</f>
        <v>Abrir PDF</v>
      </c>
    </row>
    <row r="316" spans="1:6" ht="19.95" customHeight="1" x14ac:dyDescent="0.25">
      <c r="A316" s="22" t="s">
        <v>2443</v>
      </c>
      <c r="B316" s="23" t="s">
        <v>2444</v>
      </c>
      <c r="C316" s="23" t="s">
        <v>32031</v>
      </c>
      <c r="D316" s="22">
        <v>4</v>
      </c>
      <c r="E316" s="22">
        <v>28</v>
      </c>
      <c r="F316" s="24" t="str">
        <f>HYPERLINK("https://www.boe.es/gazeta/dias/1839/11/02/pdfs/GMD-1839-1819.pdf","Abrir PDF")</f>
        <v>Abrir PDF</v>
      </c>
    </row>
    <row r="317" spans="1:6" ht="19.95" customHeight="1" x14ac:dyDescent="0.25">
      <c r="A317" s="22" t="s">
        <v>883</v>
      </c>
      <c r="B317" s="23" t="s">
        <v>884</v>
      </c>
      <c r="C317" s="23" t="s">
        <v>32032</v>
      </c>
      <c r="D317" s="22">
        <v>4</v>
      </c>
      <c r="E317" s="22">
        <v>59</v>
      </c>
      <c r="F317" s="24" t="str">
        <f>HYPERLINK("https://www.boe.es/gazeta/dias/1839/11/03/pdfs/GMD-1839-1820.pdf","Abrir PDF")</f>
        <v>Abrir PDF</v>
      </c>
    </row>
    <row r="318" spans="1:6" ht="19.95" customHeight="1" x14ac:dyDescent="0.25">
      <c r="A318" s="22" t="s">
        <v>4957</v>
      </c>
      <c r="B318" s="23" t="s">
        <v>4958</v>
      </c>
      <c r="C318" s="23" t="s">
        <v>32033</v>
      </c>
      <c r="D318" s="22">
        <v>4</v>
      </c>
      <c r="E318" s="22">
        <v>21</v>
      </c>
      <c r="F318" s="24" t="str">
        <f>HYPERLINK("https://www.boe.es/gazeta/dias/1839/11/04/pdfs/GMD-1839-1821.pdf","Abrir PDF")</f>
        <v>Abrir PDF</v>
      </c>
    </row>
    <row r="319" spans="1:6" ht="19.95" customHeight="1" x14ac:dyDescent="0.25">
      <c r="A319" s="22" t="s">
        <v>4921</v>
      </c>
      <c r="B319" s="23" t="s">
        <v>4922</v>
      </c>
      <c r="C319" s="23" t="s">
        <v>32034</v>
      </c>
      <c r="D319" s="22">
        <v>4</v>
      </c>
      <c r="E319" s="22">
        <v>14</v>
      </c>
      <c r="F319" s="24" t="str">
        <f>HYPERLINK("https://www.boe.es/gazeta/dias/1839/11/05/pdfs/GMD-1839-1822.pdf","Abrir PDF")</f>
        <v>Abrir PDF</v>
      </c>
    </row>
    <row r="320" spans="1:6" ht="19.95" customHeight="1" x14ac:dyDescent="0.25">
      <c r="A320" s="22" t="s">
        <v>500</v>
      </c>
      <c r="B320" s="23" t="s">
        <v>501</v>
      </c>
      <c r="C320" s="23" t="s">
        <v>32035</v>
      </c>
      <c r="D320" s="22">
        <v>4</v>
      </c>
      <c r="E320" s="22">
        <v>32</v>
      </c>
      <c r="F320" s="24" t="str">
        <f>HYPERLINK("https://www.boe.es/gazeta/dias/1839/11/06/pdfs/GMD-1839-1823.pdf","Abrir PDF")</f>
        <v>Abrir PDF</v>
      </c>
    </row>
    <row r="321" spans="1:6" ht="19.95" customHeight="1" x14ac:dyDescent="0.25">
      <c r="A321" s="22" t="s">
        <v>934</v>
      </c>
      <c r="B321" s="23" t="s">
        <v>935</v>
      </c>
      <c r="C321" s="23" t="s">
        <v>32036</v>
      </c>
      <c r="D321" s="22">
        <v>4</v>
      </c>
      <c r="E321" s="22">
        <v>22</v>
      </c>
      <c r="F321" s="24" t="str">
        <f>HYPERLINK("https://www.boe.es/gazeta/dias/1839/11/07/pdfs/GMD-1839-1824.pdf","Abrir PDF")</f>
        <v>Abrir PDF</v>
      </c>
    </row>
    <row r="322" spans="1:6" ht="19.95" customHeight="1" x14ac:dyDescent="0.25">
      <c r="A322" s="22" t="s">
        <v>372</v>
      </c>
      <c r="B322" s="23" t="s">
        <v>373</v>
      </c>
      <c r="C322" s="23" t="s">
        <v>32037</v>
      </c>
      <c r="D322" s="22">
        <v>4</v>
      </c>
      <c r="E322" s="22">
        <v>35</v>
      </c>
      <c r="F322" s="24" t="str">
        <f>HYPERLINK("https://www.boe.es/gazeta/dias/1839/11/08/pdfs/GMD-1839-1825.pdf","Abrir PDF")</f>
        <v>Abrir PDF</v>
      </c>
    </row>
    <row r="323" spans="1:6" ht="19.95" customHeight="1" x14ac:dyDescent="0.25">
      <c r="A323" s="22" t="s">
        <v>582</v>
      </c>
      <c r="B323" s="23" t="s">
        <v>583</v>
      </c>
      <c r="C323" s="23" t="s">
        <v>32038</v>
      </c>
      <c r="D323" s="22">
        <v>4</v>
      </c>
      <c r="E323" s="22">
        <v>20</v>
      </c>
      <c r="F323" s="24" t="str">
        <f>HYPERLINK("https://www.boe.es/gazeta/dias/1839/11/09/pdfs/GMD-1839-1826.pdf","Abrir PDF")</f>
        <v>Abrir PDF</v>
      </c>
    </row>
    <row r="324" spans="1:6" ht="19.95" customHeight="1" x14ac:dyDescent="0.25">
      <c r="A324" s="22" t="s">
        <v>141</v>
      </c>
      <c r="B324" s="23" t="s">
        <v>142</v>
      </c>
      <c r="C324" s="23" t="s">
        <v>32039</v>
      </c>
      <c r="D324" s="22">
        <v>4</v>
      </c>
      <c r="E324" s="22">
        <v>34</v>
      </c>
      <c r="F324" s="24" t="str">
        <f>HYPERLINK("https://www.boe.es/gazeta/dias/1839/11/10/pdfs/GMD-1839-1827.pdf","Abrir PDF")</f>
        <v>Abrir PDF</v>
      </c>
    </row>
    <row r="325" spans="1:6" ht="19.95" customHeight="1" x14ac:dyDescent="0.25">
      <c r="A325" s="22" t="s">
        <v>544</v>
      </c>
      <c r="B325" s="23" t="s">
        <v>545</v>
      </c>
      <c r="C325" s="23" t="s">
        <v>32040</v>
      </c>
      <c r="D325" s="22">
        <v>4</v>
      </c>
      <c r="E325" s="22">
        <v>44</v>
      </c>
      <c r="F325" s="24" t="str">
        <f>HYPERLINK("https://www.boe.es/gazeta/dias/1839/11/11/pdfs/GMD-1839-1828.pdf","Abrir PDF")</f>
        <v>Abrir PDF</v>
      </c>
    </row>
    <row r="326" spans="1:6" ht="19.95" customHeight="1" x14ac:dyDescent="0.25">
      <c r="A326" s="22" t="s">
        <v>2919</v>
      </c>
      <c r="B326" s="23" t="s">
        <v>2920</v>
      </c>
      <c r="C326" s="23" t="s">
        <v>32041</v>
      </c>
      <c r="D326" s="22">
        <v>4</v>
      </c>
      <c r="E326" s="22">
        <v>33</v>
      </c>
      <c r="F326" s="24" t="str">
        <f>HYPERLINK("https://www.boe.es/gazeta/dias/1839/11/12/pdfs/GMD-1839-1829.pdf","Abrir PDF")</f>
        <v>Abrir PDF</v>
      </c>
    </row>
    <row r="327" spans="1:6" ht="19.95" customHeight="1" x14ac:dyDescent="0.25">
      <c r="A327" s="22" t="s">
        <v>2320</v>
      </c>
      <c r="B327" s="23" t="s">
        <v>2321</v>
      </c>
      <c r="C327" s="23" t="s">
        <v>32042</v>
      </c>
      <c r="D327" s="22">
        <v>4</v>
      </c>
      <c r="E327" s="22">
        <v>32</v>
      </c>
      <c r="F327" s="24" t="str">
        <f>HYPERLINK("https://www.boe.es/gazeta/dias/1839/11/13/pdfs/GMD-1839-1830.pdf","Abrir PDF")</f>
        <v>Abrir PDF</v>
      </c>
    </row>
    <row r="328" spans="1:6" ht="19.95" customHeight="1" x14ac:dyDescent="0.25">
      <c r="A328" s="22" t="s">
        <v>2452</v>
      </c>
      <c r="B328" s="23" t="s">
        <v>2453</v>
      </c>
      <c r="C328" s="23" t="s">
        <v>32043</v>
      </c>
      <c r="D328" s="22">
        <v>4</v>
      </c>
      <c r="E328" s="22">
        <v>24</v>
      </c>
      <c r="F328" s="24" t="str">
        <f>HYPERLINK("https://www.boe.es/gazeta/dias/1839/11/14/pdfs/GMD-1839-1831.pdf","Abrir PDF")</f>
        <v>Abrir PDF</v>
      </c>
    </row>
    <row r="329" spans="1:6" ht="19.95" customHeight="1" x14ac:dyDescent="0.25">
      <c r="A329" s="22" t="s">
        <v>44</v>
      </c>
      <c r="B329" s="23" t="s">
        <v>45</v>
      </c>
      <c r="C329" s="23" t="s">
        <v>32044</v>
      </c>
      <c r="D329" s="22">
        <v>4</v>
      </c>
      <c r="E329" s="22">
        <v>60</v>
      </c>
      <c r="F329" s="24" t="str">
        <f>HYPERLINK("https://www.boe.es/gazeta/dias/1839/11/15/pdfs/GMD-1839-1832.pdf","Abrir PDF")</f>
        <v>Abrir PDF</v>
      </c>
    </row>
    <row r="330" spans="1:6" ht="19.95" customHeight="1" x14ac:dyDescent="0.25">
      <c r="A330" s="22" t="s">
        <v>1301</v>
      </c>
      <c r="B330" s="23" t="s">
        <v>1302</v>
      </c>
      <c r="C330" s="23" t="s">
        <v>32045</v>
      </c>
      <c r="D330" s="22">
        <v>4</v>
      </c>
      <c r="E330" s="22">
        <v>27</v>
      </c>
      <c r="F330" s="24" t="str">
        <f>HYPERLINK("https://www.boe.es/gazeta/dias/1839/11/16/pdfs/GMD-1839-1833.pdf","Abrir PDF")</f>
        <v>Abrir PDF</v>
      </c>
    </row>
    <row r="331" spans="1:6" ht="19.95" customHeight="1" x14ac:dyDescent="0.25">
      <c r="A331" s="22" t="s">
        <v>1725</v>
      </c>
      <c r="B331" s="23" t="s">
        <v>1726</v>
      </c>
      <c r="C331" s="23" t="s">
        <v>32046</v>
      </c>
      <c r="D331" s="22">
        <v>4</v>
      </c>
      <c r="E331" s="22">
        <v>31</v>
      </c>
      <c r="F331" s="24" t="str">
        <f>HYPERLINK("https://www.boe.es/gazeta/dias/1839/11/17/pdfs/GMD-1839-1834.pdf","Abrir PDF")</f>
        <v>Abrir PDF</v>
      </c>
    </row>
    <row r="332" spans="1:6" ht="19.95" customHeight="1" x14ac:dyDescent="0.25">
      <c r="A332" s="22" t="s">
        <v>483</v>
      </c>
      <c r="B332" s="23" t="s">
        <v>484</v>
      </c>
      <c r="C332" s="23" t="s">
        <v>32047</v>
      </c>
      <c r="D332" s="22">
        <v>4</v>
      </c>
      <c r="E332" s="22">
        <v>25</v>
      </c>
      <c r="F332" s="24" t="str">
        <f>HYPERLINK("https://www.boe.es/gazeta/dias/1839/11/18/pdfs/GMD-1839-1835.pdf","Abrir PDF")</f>
        <v>Abrir PDF</v>
      </c>
    </row>
    <row r="333" spans="1:6" ht="19.95" customHeight="1" x14ac:dyDescent="0.25">
      <c r="A333" s="22" t="s">
        <v>1654</v>
      </c>
      <c r="B333" s="23" t="s">
        <v>1655</v>
      </c>
      <c r="C333" s="23" t="s">
        <v>32048</v>
      </c>
      <c r="D333" s="22">
        <v>4</v>
      </c>
      <c r="E333" s="22">
        <v>36</v>
      </c>
      <c r="F333" s="24" t="str">
        <f>HYPERLINK("https://www.boe.es/gazeta/dias/1839/11/19/pdfs/GMD-1839-1836.pdf","Abrir PDF")</f>
        <v>Abrir PDF</v>
      </c>
    </row>
    <row r="334" spans="1:6" ht="19.95" customHeight="1" x14ac:dyDescent="0.25">
      <c r="A334" s="22" t="s">
        <v>1584</v>
      </c>
      <c r="B334" s="23" t="s">
        <v>1585</v>
      </c>
      <c r="C334" s="23" t="s">
        <v>32049</v>
      </c>
      <c r="D334" s="22">
        <v>4</v>
      </c>
      <c r="E334" s="22">
        <v>39</v>
      </c>
      <c r="F334" s="24" t="str">
        <f>HYPERLINK("https://www.boe.es/gazeta/dias/1839/11/20/pdfs/GMD-1839-1837.pdf","Abrir PDF")</f>
        <v>Abrir PDF</v>
      </c>
    </row>
    <row r="335" spans="1:6" ht="19.95" customHeight="1" x14ac:dyDescent="0.25">
      <c r="A335" s="22" t="s">
        <v>857</v>
      </c>
      <c r="B335" s="23" t="s">
        <v>858</v>
      </c>
      <c r="C335" s="23" t="s">
        <v>32050</v>
      </c>
      <c r="D335" s="22">
        <v>4</v>
      </c>
      <c r="E335" s="22">
        <v>35</v>
      </c>
      <c r="F335" s="24" t="str">
        <f>HYPERLINK("https://www.boe.es/gazeta/dias/1839/11/21/pdfs/GMD-1839-1838.pdf","Abrir PDF")</f>
        <v>Abrir PDF</v>
      </c>
    </row>
    <row r="336" spans="1:6" ht="19.95" customHeight="1" x14ac:dyDescent="0.25">
      <c r="A336" s="22" t="s">
        <v>1012</v>
      </c>
      <c r="B336" s="23" t="s">
        <v>1013</v>
      </c>
      <c r="C336" s="23" t="s">
        <v>32051</v>
      </c>
      <c r="D336" s="22">
        <v>4</v>
      </c>
      <c r="E336" s="22">
        <v>66</v>
      </c>
      <c r="F336" s="24" t="str">
        <f>HYPERLINK("https://www.boe.es/gazeta/dias/1839/11/22/pdfs/GMD-1839-1839.pdf","Abrir PDF")</f>
        <v>Abrir PDF</v>
      </c>
    </row>
    <row r="337" spans="1:6" ht="19.95" customHeight="1" x14ac:dyDescent="0.25">
      <c r="A337" s="22" t="s">
        <v>496</v>
      </c>
      <c r="B337" s="23" t="s">
        <v>497</v>
      </c>
      <c r="C337" s="23" t="s">
        <v>32052</v>
      </c>
      <c r="D337" s="22">
        <v>4</v>
      </c>
      <c r="E337" s="22">
        <v>53</v>
      </c>
      <c r="F337" s="24" t="str">
        <f>HYPERLINK("https://www.boe.es/gazeta/dias/1839/11/23/pdfs/GMD-1839-1840.pdf","Abrir PDF")</f>
        <v>Abrir PDF</v>
      </c>
    </row>
    <row r="338" spans="1:6" ht="19.95" customHeight="1" x14ac:dyDescent="0.25">
      <c r="A338" s="22" t="s">
        <v>246</v>
      </c>
      <c r="B338" s="23" t="s">
        <v>247</v>
      </c>
      <c r="C338" s="23" t="s">
        <v>32053</v>
      </c>
      <c r="D338" s="22">
        <v>4</v>
      </c>
      <c r="E338" s="22">
        <v>65</v>
      </c>
      <c r="F338" s="24" t="str">
        <f>HYPERLINK("https://www.boe.es/gazeta/dias/1839/11/24/pdfs/GMD-1839-1841.pdf","Abrir PDF")</f>
        <v>Abrir PDF</v>
      </c>
    </row>
    <row r="339" spans="1:6" ht="19.95" customHeight="1" x14ac:dyDescent="0.25">
      <c r="A339" s="22" t="s">
        <v>375</v>
      </c>
      <c r="B339" s="23" t="s">
        <v>376</v>
      </c>
      <c r="C339" s="23" t="s">
        <v>32054</v>
      </c>
      <c r="D339" s="22">
        <v>4</v>
      </c>
      <c r="E339" s="22">
        <v>51</v>
      </c>
      <c r="F339" s="24" t="str">
        <f>HYPERLINK("https://www.boe.es/gazeta/dias/1839/11/25/pdfs/GMD-1839-1842.pdf","Abrir PDF")</f>
        <v>Abrir PDF</v>
      </c>
    </row>
    <row r="340" spans="1:6" ht="19.95" customHeight="1" x14ac:dyDescent="0.25">
      <c r="A340" s="22" t="s">
        <v>1159</v>
      </c>
      <c r="B340" s="23" t="s">
        <v>1160</v>
      </c>
      <c r="C340" s="23" t="s">
        <v>32055</v>
      </c>
      <c r="D340" s="22">
        <v>4</v>
      </c>
      <c r="E340" s="22">
        <v>35</v>
      </c>
      <c r="F340" s="24" t="str">
        <f>HYPERLINK("https://www.boe.es/gazeta/dias/1839/11/26/pdfs/GMD-1839-1843.pdf","Abrir PDF")</f>
        <v>Abrir PDF</v>
      </c>
    </row>
    <row r="341" spans="1:6" ht="19.95" customHeight="1" x14ac:dyDescent="0.25">
      <c r="A341" s="22" t="s">
        <v>287</v>
      </c>
      <c r="B341" s="23" t="s">
        <v>288</v>
      </c>
      <c r="C341" s="23" t="s">
        <v>32056</v>
      </c>
      <c r="D341" s="22">
        <v>4</v>
      </c>
      <c r="E341" s="22">
        <v>56</v>
      </c>
      <c r="F341" s="24" t="str">
        <f>HYPERLINK("https://www.boe.es/gazeta/dias/1839/11/27/pdfs/GMD-1839-1844.pdf","Abrir PDF")</f>
        <v>Abrir PDF</v>
      </c>
    </row>
    <row r="342" spans="1:6" ht="19.95" customHeight="1" x14ac:dyDescent="0.25">
      <c r="A342" s="22" t="s">
        <v>89</v>
      </c>
      <c r="B342" s="23" t="s">
        <v>90</v>
      </c>
      <c r="C342" s="23" t="s">
        <v>32057</v>
      </c>
      <c r="D342" s="22">
        <v>4</v>
      </c>
      <c r="E342" s="22">
        <v>66</v>
      </c>
      <c r="F342" s="24" t="str">
        <f>HYPERLINK("https://www.boe.es/gazeta/dias/1839/11/28/pdfs/GMD-1839-1845.pdf","Abrir PDF")</f>
        <v>Abrir PDF</v>
      </c>
    </row>
    <row r="343" spans="1:6" ht="19.95" customHeight="1" x14ac:dyDescent="0.25">
      <c r="A343" s="22" t="s">
        <v>4292</v>
      </c>
      <c r="B343" s="23" t="s">
        <v>4293</v>
      </c>
      <c r="C343" s="23" t="s">
        <v>32058</v>
      </c>
      <c r="D343" s="22">
        <v>4</v>
      </c>
      <c r="E343" s="22">
        <v>32</v>
      </c>
      <c r="F343" s="24" t="str">
        <f>HYPERLINK("https://www.boe.es/gazeta/dias/1839/11/29/pdfs/GMD-1839-1846.pdf","Abrir PDF")</f>
        <v>Abrir PDF</v>
      </c>
    </row>
    <row r="344" spans="1:6" ht="19.95" customHeight="1" x14ac:dyDescent="0.25">
      <c r="A344" s="22" t="s">
        <v>312</v>
      </c>
      <c r="B344" s="23" t="s">
        <v>313</v>
      </c>
      <c r="C344" s="23" t="s">
        <v>32059</v>
      </c>
      <c r="D344" s="22">
        <v>4</v>
      </c>
      <c r="E344" s="22">
        <v>36</v>
      </c>
      <c r="F344" s="24" t="str">
        <f>HYPERLINK("https://www.boe.es/gazeta/dias/1839/11/30/pdfs/GMD-1839-1847.pdf","Abrir PDF")</f>
        <v>Abrir PDF</v>
      </c>
    </row>
    <row r="345" spans="1:6" ht="19.95" customHeight="1" x14ac:dyDescent="0.25">
      <c r="A345" s="22" t="s">
        <v>2440</v>
      </c>
      <c r="B345" s="23" t="s">
        <v>2441</v>
      </c>
      <c r="C345" s="23" t="s">
        <v>32060</v>
      </c>
      <c r="D345" s="22">
        <v>4</v>
      </c>
      <c r="E345" s="22">
        <v>27</v>
      </c>
      <c r="F345" s="24" t="str">
        <f>HYPERLINK("https://www.boe.es/gazeta/dias/1839/12/01/pdfs/GMD-1839-1848.pdf","Abrir PDF")</f>
        <v>Abrir PDF</v>
      </c>
    </row>
    <row r="346" spans="1:6" ht="19.95" customHeight="1" x14ac:dyDescent="0.25">
      <c r="A346" s="22" t="s">
        <v>4451</v>
      </c>
      <c r="B346" s="23" t="s">
        <v>4452</v>
      </c>
      <c r="C346" s="23" t="s">
        <v>32061</v>
      </c>
      <c r="D346" s="22">
        <v>4</v>
      </c>
      <c r="E346" s="22">
        <v>22</v>
      </c>
      <c r="F346" s="24" t="str">
        <f>HYPERLINK("https://www.boe.es/gazeta/dias/1839/12/02/pdfs/GMD-1839-1849.pdf","Abrir PDF")</f>
        <v>Abrir PDF</v>
      </c>
    </row>
    <row r="347" spans="1:6" ht="19.95" customHeight="1" x14ac:dyDescent="0.25">
      <c r="A347" s="22" t="s">
        <v>3236</v>
      </c>
      <c r="B347" s="23" t="s">
        <v>3237</v>
      </c>
      <c r="C347" s="23" t="s">
        <v>32062</v>
      </c>
      <c r="D347" s="22">
        <v>4</v>
      </c>
      <c r="E347" s="22">
        <v>31</v>
      </c>
      <c r="F347" s="24" t="str">
        <f>HYPERLINK("https://www.boe.es/gazeta/dias/1839/12/03/pdfs/GMD-1839-1850.pdf","Abrir PDF")</f>
        <v>Abrir PDF</v>
      </c>
    </row>
    <row r="348" spans="1:6" ht="19.95" customHeight="1" x14ac:dyDescent="0.25">
      <c r="A348" s="22" t="s">
        <v>2227</v>
      </c>
      <c r="B348" s="23" t="s">
        <v>2228</v>
      </c>
      <c r="C348" s="23" t="s">
        <v>32063</v>
      </c>
      <c r="D348" s="22">
        <v>4</v>
      </c>
      <c r="E348" s="22">
        <v>36</v>
      </c>
      <c r="F348" s="24" t="str">
        <f>HYPERLINK("https://www.boe.es/gazeta/dias/1839/12/04/pdfs/GMD-1839-1851.pdf","Abrir PDF")</f>
        <v>Abrir PDF</v>
      </c>
    </row>
    <row r="349" spans="1:6" ht="19.95" customHeight="1" x14ac:dyDescent="0.25">
      <c r="A349" s="22" t="s">
        <v>770</v>
      </c>
      <c r="B349" s="23" t="s">
        <v>771</v>
      </c>
      <c r="C349" s="23" t="s">
        <v>32064</v>
      </c>
      <c r="D349" s="22">
        <v>4</v>
      </c>
      <c r="E349" s="22">
        <v>46</v>
      </c>
      <c r="F349" s="24" t="str">
        <f>HYPERLINK("https://www.boe.es/gazeta/dias/1839/12/05/pdfs/GMD-1839-1852.pdf","Abrir PDF")</f>
        <v>Abrir PDF</v>
      </c>
    </row>
    <row r="350" spans="1:6" ht="19.95" customHeight="1" x14ac:dyDescent="0.25">
      <c r="A350" s="22" t="s">
        <v>959</v>
      </c>
      <c r="B350" s="23" t="s">
        <v>960</v>
      </c>
      <c r="C350" s="23" t="s">
        <v>32065</v>
      </c>
      <c r="D350" s="22">
        <v>4</v>
      </c>
      <c r="E350" s="22">
        <v>18</v>
      </c>
      <c r="F350" s="24" t="str">
        <f>HYPERLINK("https://www.boe.es/gazeta/dias/1839/12/06/pdfs/GMD-1839-1853.pdf","Abrir PDF")</f>
        <v>Abrir PDF</v>
      </c>
    </row>
    <row r="351" spans="1:6" ht="19.95" customHeight="1" x14ac:dyDescent="0.25">
      <c r="A351" s="22" t="s">
        <v>918</v>
      </c>
      <c r="B351" s="23" t="s">
        <v>919</v>
      </c>
      <c r="C351" s="23" t="s">
        <v>32066</v>
      </c>
      <c r="D351" s="22">
        <v>4</v>
      </c>
      <c r="E351" s="22">
        <v>25</v>
      </c>
      <c r="F351" s="24" t="str">
        <f>HYPERLINK("https://www.boe.es/gazeta/dias/1839/12/07/pdfs/GMD-1839-1854.pdf","Abrir PDF")</f>
        <v>Abrir PDF</v>
      </c>
    </row>
    <row r="352" spans="1:6" ht="19.95" customHeight="1" x14ac:dyDescent="0.25">
      <c r="A352" s="22" t="s">
        <v>690</v>
      </c>
      <c r="B352" s="23" t="s">
        <v>691</v>
      </c>
      <c r="C352" s="23" t="s">
        <v>32067</v>
      </c>
      <c r="D352" s="22">
        <v>4</v>
      </c>
      <c r="E352" s="22">
        <v>50</v>
      </c>
      <c r="F352" s="24" t="str">
        <f>HYPERLINK("https://www.boe.es/gazeta/dias/1839/12/08/pdfs/GMD-1839-1855.pdf","Abrir PDF")</f>
        <v>Abrir PDF</v>
      </c>
    </row>
    <row r="353" spans="1:6" ht="19.95" customHeight="1" x14ac:dyDescent="0.25">
      <c r="A353" s="22" t="s">
        <v>744</v>
      </c>
      <c r="B353" s="23" t="s">
        <v>745</v>
      </c>
      <c r="C353" s="23" t="s">
        <v>32068</v>
      </c>
      <c r="D353" s="22">
        <v>4</v>
      </c>
      <c r="E353" s="22">
        <v>36</v>
      </c>
      <c r="F353" s="24" t="str">
        <f>HYPERLINK("https://www.boe.es/gazeta/dias/1839/12/09/pdfs/GMD-1839-1856.pdf","Abrir PDF")</f>
        <v>Abrir PDF</v>
      </c>
    </row>
    <row r="354" spans="1:6" ht="19.95" customHeight="1" x14ac:dyDescent="0.25">
      <c r="A354" s="22" t="s">
        <v>3289</v>
      </c>
      <c r="B354" s="23" t="s">
        <v>3290</v>
      </c>
      <c r="C354" s="23" t="s">
        <v>32069</v>
      </c>
      <c r="D354" s="22">
        <v>4</v>
      </c>
      <c r="E354" s="22">
        <v>31</v>
      </c>
      <c r="F354" s="24" t="str">
        <f>HYPERLINK("https://www.boe.es/gazeta/dias/1839/12/10/pdfs/GMD-1839-1857.pdf","Abrir PDF")</f>
        <v>Abrir PDF</v>
      </c>
    </row>
    <row r="355" spans="1:6" ht="19.95" customHeight="1" x14ac:dyDescent="0.25">
      <c r="A355" s="22" t="s">
        <v>2449</v>
      </c>
      <c r="B355" s="23" t="s">
        <v>2450</v>
      </c>
      <c r="C355" s="23" t="s">
        <v>32070</v>
      </c>
      <c r="D355" s="22">
        <v>4</v>
      </c>
      <c r="E355" s="22">
        <v>53</v>
      </c>
      <c r="F355" s="24" t="str">
        <f>HYPERLINK("https://www.boe.es/gazeta/dias/1839/12/11/pdfs/GMD-1839-1858.pdf","Abrir PDF")</f>
        <v>Abrir PDF</v>
      </c>
    </row>
    <row r="356" spans="1:6" ht="19.95" customHeight="1" x14ac:dyDescent="0.25">
      <c r="A356" s="22" t="s">
        <v>4186</v>
      </c>
      <c r="B356" s="23" t="s">
        <v>4187</v>
      </c>
      <c r="C356" s="23" t="s">
        <v>32071</v>
      </c>
      <c r="D356" s="22">
        <v>4</v>
      </c>
      <c r="E356" s="22">
        <v>37</v>
      </c>
      <c r="F356" s="24" t="str">
        <f>HYPERLINK("https://www.boe.es/gazeta/dias/1839/12/12/pdfs/GMD-1839-1859.pdf","Abrir PDF")</f>
        <v>Abrir PDF</v>
      </c>
    </row>
    <row r="357" spans="1:6" ht="19.95" customHeight="1" x14ac:dyDescent="0.25">
      <c r="A357" s="22" t="s">
        <v>33</v>
      </c>
      <c r="B357" s="23" t="s">
        <v>34</v>
      </c>
      <c r="C357" s="23" t="s">
        <v>32072</v>
      </c>
      <c r="D357" s="22">
        <v>4</v>
      </c>
      <c r="E357" s="22">
        <v>17</v>
      </c>
      <c r="F357" s="24" t="str">
        <f>HYPERLINK("https://www.boe.es/gazeta/dias/1839/12/13/pdfs/GMD-1839-1860.pdf","Abrir PDF")</f>
        <v>Abrir PDF</v>
      </c>
    </row>
    <row r="358" spans="1:6" ht="19.95" customHeight="1" x14ac:dyDescent="0.25">
      <c r="A358" s="22" t="s">
        <v>1891</v>
      </c>
      <c r="B358" s="23" t="s">
        <v>1892</v>
      </c>
      <c r="C358" s="23" t="s">
        <v>32073</v>
      </c>
      <c r="D358" s="22">
        <v>4</v>
      </c>
      <c r="E358" s="22">
        <v>45</v>
      </c>
      <c r="F358" s="24" t="str">
        <f>HYPERLINK("https://www.boe.es/gazeta/dias/1839/12/14/pdfs/GMD-1839-1861.pdf","Abrir PDF")</f>
        <v>Abrir PDF</v>
      </c>
    </row>
    <row r="359" spans="1:6" ht="19.95" customHeight="1" x14ac:dyDescent="0.25">
      <c r="A359" s="22" t="s">
        <v>1528</v>
      </c>
      <c r="B359" s="23" t="s">
        <v>1529</v>
      </c>
      <c r="C359" s="23" t="s">
        <v>32074</v>
      </c>
      <c r="D359" s="22">
        <v>4</v>
      </c>
      <c r="E359" s="22">
        <v>58</v>
      </c>
      <c r="F359" s="24" t="str">
        <f>HYPERLINK("https://www.boe.es/gazeta/dias/1839/12/15/pdfs/GMD-1839-1862.pdf","Abrir PDF")</f>
        <v>Abrir PDF</v>
      </c>
    </row>
    <row r="360" spans="1:6" ht="19.95" customHeight="1" x14ac:dyDescent="0.25">
      <c r="A360" s="22" t="s">
        <v>1537</v>
      </c>
      <c r="B360" s="23" t="s">
        <v>1538</v>
      </c>
      <c r="C360" s="23" t="s">
        <v>32075</v>
      </c>
      <c r="D360" s="22">
        <v>4</v>
      </c>
      <c r="E360" s="22">
        <v>30</v>
      </c>
      <c r="F360" s="24" t="str">
        <f>HYPERLINK("https://www.boe.es/gazeta/dias/1839/12/16/pdfs/GMD-1839-1863.pdf","Abrir PDF")</f>
        <v>Abrir PDF</v>
      </c>
    </row>
    <row r="361" spans="1:6" ht="19.95" customHeight="1" x14ac:dyDescent="0.25">
      <c r="A361" s="22" t="s">
        <v>756</v>
      </c>
      <c r="B361" s="23" t="s">
        <v>757</v>
      </c>
      <c r="C361" s="23" t="s">
        <v>32076</v>
      </c>
      <c r="D361" s="22">
        <v>4</v>
      </c>
      <c r="E361" s="22">
        <v>83</v>
      </c>
      <c r="F361" s="24" t="str">
        <f>HYPERLINK("https://www.boe.es/gazeta/dias/1839/12/17/pdfs/GMD-1839-1864.pdf","Abrir PDF")</f>
        <v>Abrir PDF</v>
      </c>
    </row>
    <row r="362" spans="1:6" ht="19.95" customHeight="1" x14ac:dyDescent="0.25">
      <c r="A362" s="22" t="s">
        <v>713</v>
      </c>
      <c r="B362" s="23" t="s">
        <v>714</v>
      </c>
      <c r="C362" s="23" t="s">
        <v>32077</v>
      </c>
      <c r="D362" s="22">
        <v>4</v>
      </c>
      <c r="E362" s="22">
        <v>59</v>
      </c>
      <c r="F362" s="24" t="str">
        <f>HYPERLINK("https://www.boe.es/gazeta/dias/1839/12/18/pdfs/GMD-1839-1865.pdf","Abrir PDF")</f>
        <v>Abrir PDF</v>
      </c>
    </row>
    <row r="363" spans="1:6" ht="19.95" customHeight="1" x14ac:dyDescent="0.25">
      <c r="A363" s="22" t="s">
        <v>695</v>
      </c>
      <c r="B363" s="23" t="s">
        <v>696</v>
      </c>
      <c r="C363" s="23" t="s">
        <v>32078</v>
      </c>
      <c r="D363" s="22">
        <v>4</v>
      </c>
      <c r="E363" s="22">
        <v>67</v>
      </c>
      <c r="F363" s="24" t="str">
        <f>HYPERLINK("https://www.boe.es/gazeta/dias/1839/12/19/pdfs/GMD-1839-1866.pdf","Abrir PDF")</f>
        <v>Abrir PDF</v>
      </c>
    </row>
    <row r="364" spans="1:6" ht="19.95" customHeight="1" x14ac:dyDescent="0.25">
      <c r="A364" s="22" t="s">
        <v>1517</v>
      </c>
      <c r="B364" s="23" t="s">
        <v>1518</v>
      </c>
      <c r="C364" s="23" t="s">
        <v>32079</v>
      </c>
      <c r="D364" s="22">
        <v>4</v>
      </c>
      <c r="E364" s="22">
        <v>27</v>
      </c>
      <c r="F364" s="24" t="str">
        <f>HYPERLINK("https://www.boe.es/gazeta/dias/1839/12/20/pdfs/GMD-1839-1867.pdf","Abrir PDF")</f>
        <v>Abrir PDF</v>
      </c>
    </row>
    <row r="365" spans="1:6" ht="19.95" customHeight="1" x14ac:dyDescent="0.25">
      <c r="A365" s="22" t="s">
        <v>2962</v>
      </c>
      <c r="B365" s="23" t="s">
        <v>2963</v>
      </c>
      <c r="C365" s="23" t="s">
        <v>32080</v>
      </c>
      <c r="D365" s="22">
        <v>4</v>
      </c>
      <c r="E365" s="22">
        <v>36</v>
      </c>
      <c r="F365" s="24" t="str">
        <f>HYPERLINK("https://www.boe.es/gazeta/dias/1839/12/21/pdfs/GMD-1839-1868.pdf","Abrir PDF")</f>
        <v>Abrir PDF</v>
      </c>
    </row>
    <row r="366" spans="1:6" ht="19.95" customHeight="1" x14ac:dyDescent="0.25">
      <c r="A366" s="22" t="s">
        <v>2415</v>
      </c>
      <c r="B366" s="23" t="s">
        <v>2416</v>
      </c>
      <c r="C366" s="23" t="s">
        <v>32081</v>
      </c>
      <c r="D366" s="22">
        <v>4</v>
      </c>
      <c r="E366" s="22">
        <v>41</v>
      </c>
      <c r="F366" s="24" t="str">
        <f>HYPERLINK("https://www.boe.es/gazeta/dias/1839/12/22/pdfs/GMD-1839-1869.pdf","Abrir PDF")</f>
        <v>Abrir PDF</v>
      </c>
    </row>
    <row r="367" spans="1:6" ht="19.95" customHeight="1" x14ac:dyDescent="0.25">
      <c r="A367" s="22" t="s">
        <v>1895</v>
      </c>
      <c r="B367" s="23" t="s">
        <v>1896</v>
      </c>
      <c r="C367" s="23" t="s">
        <v>32082</v>
      </c>
      <c r="D367" s="22">
        <v>4</v>
      </c>
      <c r="E367" s="22">
        <v>29</v>
      </c>
      <c r="F367" s="24" t="str">
        <f>HYPERLINK("https://www.boe.es/gazeta/dias/1839/12/23/pdfs/GMD-1839-1870.pdf","Abrir PDF")</f>
        <v>Abrir PDF</v>
      </c>
    </row>
    <row r="368" spans="1:6" ht="19.95" customHeight="1" x14ac:dyDescent="0.25">
      <c r="A368" s="22" t="s">
        <v>844</v>
      </c>
      <c r="B368" s="23" t="s">
        <v>845</v>
      </c>
      <c r="C368" s="23" t="s">
        <v>32083</v>
      </c>
      <c r="D368" s="22">
        <v>4</v>
      </c>
      <c r="E368" s="22">
        <v>35</v>
      </c>
      <c r="F368" s="24" t="str">
        <f>HYPERLINK("https://www.boe.es/gazeta/dias/1839/12/24/pdfs/GMD-1839-1871.pdf","Abrir PDF")</f>
        <v>Abrir PDF</v>
      </c>
    </row>
    <row r="369" spans="1:6" ht="19.95" customHeight="1" x14ac:dyDescent="0.25">
      <c r="A369" s="22" t="s">
        <v>349</v>
      </c>
      <c r="B369" s="23" t="s">
        <v>350</v>
      </c>
      <c r="C369" s="23" t="s">
        <v>32084</v>
      </c>
      <c r="D369" s="22">
        <v>4</v>
      </c>
      <c r="E369" s="22">
        <v>28</v>
      </c>
      <c r="F369" s="24" t="str">
        <f>HYPERLINK("https://www.boe.es/gazeta/dias/1839/12/25/pdfs/GMD-1839-1872.pdf","Abrir PDF")</f>
        <v>Abrir PDF</v>
      </c>
    </row>
    <row r="370" spans="1:6" ht="19.95" customHeight="1" x14ac:dyDescent="0.25">
      <c r="A370" s="22" t="s">
        <v>1682</v>
      </c>
      <c r="B370" s="23" t="s">
        <v>1683</v>
      </c>
      <c r="C370" s="23" t="s">
        <v>32085</v>
      </c>
      <c r="D370" s="22">
        <v>4</v>
      </c>
      <c r="E370" s="22">
        <v>25</v>
      </c>
      <c r="F370" s="24" t="str">
        <f>HYPERLINK("https://www.boe.es/gazeta/dias/1839/12/26/pdfs/GMD-1839-1873.pdf","Abrir PDF")</f>
        <v>Abrir PDF</v>
      </c>
    </row>
    <row r="371" spans="1:6" ht="19.95" customHeight="1" x14ac:dyDescent="0.25">
      <c r="A371" s="22" t="s">
        <v>1520</v>
      </c>
      <c r="B371" s="23" t="s">
        <v>1521</v>
      </c>
      <c r="C371" s="23" t="s">
        <v>32086</v>
      </c>
      <c r="D371" s="22">
        <v>4</v>
      </c>
      <c r="E371" s="22">
        <v>39</v>
      </c>
      <c r="F371" s="24" t="str">
        <f>HYPERLINK("https://www.boe.es/gazeta/dias/1839/12/27/pdfs/GMD-1839-1874.pdf","Abrir PDF")</f>
        <v>Abrir PDF</v>
      </c>
    </row>
    <row r="372" spans="1:6" ht="19.95" customHeight="1" x14ac:dyDescent="0.25">
      <c r="A372" s="22" t="s">
        <v>892</v>
      </c>
      <c r="B372" s="23" t="s">
        <v>893</v>
      </c>
      <c r="C372" s="23" t="s">
        <v>32087</v>
      </c>
      <c r="D372" s="22">
        <v>4</v>
      </c>
      <c r="E372" s="22">
        <v>35</v>
      </c>
      <c r="F372" s="24" t="str">
        <f>HYPERLINK("https://www.boe.es/gazeta/dias/1839/12/28/pdfs/GMD-1839-1875.pdf","Abrir PDF")</f>
        <v>Abrir PDF</v>
      </c>
    </row>
    <row r="373" spans="1:6" ht="19.95" customHeight="1" x14ac:dyDescent="0.25">
      <c r="A373" s="22" t="s">
        <v>2522</v>
      </c>
      <c r="B373" s="23" t="s">
        <v>2523</v>
      </c>
      <c r="C373" s="23" t="s">
        <v>32088</v>
      </c>
      <c r="D373" s="22">
        <v>4</v>
      </c>
      <c r="E373" s="22">
        <v>21</v>
      </c>
      <c r="F373" s="24" t="str">
        <f>HYPERLINK("https://www.boe.es/gazeta/dias/1839/12/29/pdfs/GMD-1839-1876.pdf","Abrir PDF")</f>
        <v>Abrir PDF</v>
      </c>
    </row>
    <row r="374" spans="1:6" ht="19.95" customHeight="1" x14ac:dyDescent="0.25">
      <c r="A374" s="22" t="s">
        <v>951</v>
      </c>
      <c r="B374" s="23" t="s">
        <v>952</v>
      </c>
      <c r="C374" s="23" t="s">
        <v>32089</v>
      </c>
      <c r="D374" s="22">
        <v>4</v>
      </c>
      <c r="E374" s="22">
        <v>48</v>
      </c>
      <c r="F374" s="24" t="str">
        <f>HYPERLINK("https://www.boe.es/gazeta/dias/1839/12/30/pdfs/GMD-1839-1877.pdf","Abrir PDF")</f>
        <v>Abrir PDF</v>
      </c>
    </row>
    <row r="375" spans="1:6" ht="19.95" customHeight="1" x14ac:dyDescent="0.25">
      <c r="A375" s="22" t="s">
        <v>3391</v>
      </c>
      <c r="B375" s="23" t="s">
        <v>3392</v>
      </c>
      <c r="C375" s="23" t="s">
        <v>32090</v>
      </c>
      <c r="D375" s="22">
        <v>4</v>
      </c>
      <c r="E375" s="22">
        <v>39</v>
      </c>
      <c r="F375" s="24" t="str">
        <f>HYPERLINK("https://www.boe.es/gazeta/dias/1839/12/31/pdfs/GMD-1839-1878.pdf","Abrir PDF")</f>
        <v>Abrir PDF</v>
      </c>
    </row>
    <row r="378" spans="1:6" ht="13.8" x14ac:dyDescent="0.25">
      <c r="A378" s="2" t="s">
        <v>32091</v>
      </c>
      <c r="B378" s="2"/>
      <c r="C378" s="2"/>
      <c r="D378" s="2"/>
      <c r="E378" s="2"/>
      <c r="F378" s="2"/>
    </row>
    <row r="379" spans="1:6" ht="34.049999999999997" customHeight="1" x14ac:dyDescent="0.25">
      <c r="A379" s="1" t="s">
        <v>32092</v>
      </c>
      <c r="B379" s="1"/>
      <c r="C379" s="1"/>
      <c r="D379" s="1"/>
      <c r="E379" s="1"/>
      <c r="F379" s="1"/>
    </row>
    <row r="380" spans="1:6" ht="34.049999999999997" customHeight="1" x14ac:dyDescent="0.25">
      <c r="A380" s="1" t="s">
        <v>32093</v>
      </c>
      <c r="B380" s="1"/>
      <c r="C380" s="1"/>
      <c r="D380" s="1"/>
      <c r="E380" s="1"/>
      <c r="F380" s="1"/>
    </row>
    <row r="381" spans="1:6" ht="34.049999999999997" customHeight="1" x14ac:dyDescent="0.25">
      <c r="A381" s="1" t="s">
        <v>32094</v>
      </c>
      <c r="B381" s="1"/>
      <c r="C381" s="1"/>
      <c r="D381" s="1"/>
      <c r="E381" s="1"/>
      <c r="F381" s="1"/>
    </row>
    <row r="382" spans="1:6" ht="34.049999999999997" customHeight="1" x14ac:dyDescent="0.25">
      <c r="A382" s="1" t="s">
        <v>32095</v>
      </c>
      <c r="B382" s="1"/>
      <c r="C382" s="1"/>
      <c r="D382" s="1"/>
      <c r="E382" s="1"/>
      <c r="F382" s="1"/>
    </row>
    <row r="383" spans="1:6" ht="34.049999999999997" customHeight="1" x14ac:dyDescent="0.25">
      <c r="A383" s="1" t="s">
        <v>32096</v>
      </c>
      <c r="B383" s="1"/>
      <c r="C383" s="1"/>
      <c r="D383" s="1"/>
      <c r="E383" s="1"/>
      <c r="F383" s="1"/>
    </row>
    <row r="384" spans="1:6" ht="34.049999999999997" customHeight="1" x14ac:dyDescent="0.25">
      <c r="A384" s="1" t="s">
        <v>32097</v>
      </c>
      <c r="B384" s="1"/>
      <c r="C384" s="1"/>
      <c r="D384" s="1"/>
      <c r="E384" s="1"/>
      <c r="F384" s="1"/>
    </row>
    <row r="385" spans="1:6" ht="34.049999999999997" customHeight="1" x14ac:dyDescent="0.25">
      <c r="A385" s="1" t="s">
        <v>32098</v>
      </c>
      <c r="B385" s="1"/>
      <c r="C385" s="1"/>
      <c r="D385" s="1"/>
      <c r="E385" s="1"/>
      <c r="F385" s="1"/>
    </row>
    <row r="386" spans="1:6" ht="34.049999999999997" customHeight="1" x14ac:dyDescent="0.25">
      <c r="A386" s="1" t="s">
        <v>32099</v>
      </c>
      <c r="B386" s="1"/>
      <c r="C386" s="1"/>
      <c r="D386" s="1"/>
      <c r="E386" s="1"/>
      <c r="F386" s="1"/>
    </row>
  </sheetData>
  <mergeCells count="11">
    <mergeCell ref="A386:F386"/>
    <mergeCell ref="A381:F381"/>
    <mergeCell ref="A382:F382"/>
    <mergeCell ref="A383:F383"/>
    <mergeCell ref="A384:F384"/>
    <mergeCell ref="A385:F385"/>
    <mergeCell ref="A1:F1"/>
    <mergeCell ref="A2:F2"/>
    <mergeCell ref="A378:F378"/>
    <mergeCell ref="A379:F379"/>
    <mergeCell ref="A380:F380"/>
  </mergeCells>
  <pageMargins left="0.7" right="0.7" top="0.75" bottom="0.75" header="0.511811023622047" footer="0.511811023622047"/>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dc:description/>
  <cp:lastModifiedBy>Ignacio Koblischek</cp:lastModifiedBy>
  <cp:revision>0</cp:revision>
  <dcterms:created xsi:type="dcterms:W3CDTF">2026-10-29T19:02:33Z</dcterms:created>
  <dcterms:modified xsi:type="dcterms:W3CDTF">2026-10-29T19:02:34Z</dcterms:modified>
  <dc:language>en-US</dc:language>
</cp:coreProperties>
</file>